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gorovchinnikov/IdeaProjects/smeta/src/"/>
    </mc:Choice>
  </mc:AlternateContent>
  <xr:revisionPtr revIDLastSave="0" documentId="13_ncr:1_{1499CAD0-F5A2-9549-84D6-54A52905CE76}" xr6:coauthVersionLast="46" xr6:coauthVersionMax="46" xr10:uidLastSave="{00000000-0000-0000-0000-000000000000}"/>
  <bookViews>
    <workbookView xWindow="0" yWindow="500" windowWidth="28800" windowHeight="15640" tabRatio="500" activeTab="2" xr2:uid="{00000000-000D-0000-FFFF-FFFF00000000}"/>
  </bookViews>
  <sheets>
    <sheet name="Право" sheetId="1" r:id="rId1"/>
    <sheet name="Прайс лист" sheetId="2" r:id="rId2"/>
    <sheet name="Ввод данных" sheetId="3" r:id="rId3"/>
    <sheet name="пристройка" sheetId="4" state="hidden" r:id="rId4"/>
    <sheet name="дома" sheetId="5" state="hidden" r:id="rId5"/>
    <sheet name="отделка" sheetId="6" state="hidden" r:id="rId6"/>
    <sheet name="перекрытие" sheetId="7" state="hidden" r:id="rId7"/>
    <sheet name="фундамент" sheetId="8" state="hidden" r:id="rId8"/>
    <sheet name="крыша" sheetId="9" state="hidden" r:id="rId9"/>
    <sheet name="Спецификация" sheetId="10" r:id="rId10"/>
    <sheet name="связи1" sheetId="11" state="hidden" r:id="rId11"/>
    <sheet name="инженерка" sheetId="12" state="hidden" r:id="rId12"/>
    <sheet name="Смета Внутр" sheetId="13" r:id="rId13"/>
    <sheet name="Смета для Зак укр" sheetId="14" r:id="rId14"/>
    <sheet name="Смета для Зак расш" sheetId="15" r:id="rId15"/>
  </sheets>
  <definedNames>
    <definedName name="_xlnm._FilterDatabase" localSheetId="12" hidden="1">'Смета Внутр'!$H$11:$H$2507</definedName>
    <definedName name="_xlnm._FilterDatabase" localSheetId="14" hidden="1">'Смета для Зак расш'!$J$11:$J$2488</definedName>
    <definedName name="_xlnm._FilterDatabase" localSheetId="13" hidden="1">'Смета для Зак укр'!$F$12:$F$2346</definedName>
    <definedName name="_xlnm._FilterDatabase" localSheetId="9" hidden="1">Спецификация!$H$3:$H$872</definedName>
    <definedName name="CR02_55X78">'Прайс лист'!$B$1337:$B$1348</definedName>
    <definedName name="H_боковых_стен_дома_одинаковая">связи1!$A$128:$A$129</definedName>
    <definedName name="аааааа">'Прайс лист'!$B$820:$B$831</definedName>
    <definedName name="ававав">'Прайс лист'!$B$258:$B$270</definedName>
    <definedName name="ап">связи1!$Q$2:$Q$22</definedName>
    <definedName name="апап">связи1!$H$26:$H$31</definedName>
    <definedName name="апапапп">связи1!$H$34:$H$36</definedName>
    <definedName name="апарппнр">связи1!$A$432:$A$440</definedName>
    <definedName name="Арматура_М6_каждый_3_й_ряд__2_нити">связи1!$A$356:$A$363</definedName>
    <definedName name="Арматура_М8">связи1!$A$399:$A$405</definedName>
    <definedName name="Арматура_стальная_Ø_6">'Прайс лист'!$B$199:$B$210</definedName>
    <definedName name="Бетон__м200">'Прайс лист'!$B$225:$G$232</definedName>
    <definedName name="Блок_хаус">'Прайс лист'!$B$691:$B$696</definedName>
    <definedName name="Блоки_ФБС">связи1!$F$22:$G$23</definedName>
    <definedName name="бревна">связи1!$A$63:$A$66</definedName>
    <definedName name="Брус">'Прайс лист'!$B$334:$B$353</definedName>
    <definedName name="Брус_естественной_влажности__200_100мм">связи1!$A$204:$A$209</definedName>
    <definedName name="БрусКлееный">'Прайс лист'!$B$354:$B$377</definedName>
    <definedName name="БрусПрофилированный">'Прайс лист'!$B$403:$B$419</definedName>
    <definedName name="БрусПрофилированныйсухой">'Прайс лист'!$B$390:$B$402</definedName>
    <definedName name="вавава">связи1!$A$196:$A$198</definedName>
    <definedName name="вавававввв">'Прайс лист'!$B$744:$B$782</definedName>
    <definedName name="вваенр">связи1!$F$203:$F$213</definedName>
    <definedName name="ввв">связи1!$R$2:$R$157</definedName>
    <definedName name="ввввв">связи1!$A$408:$A$416</definedName>
    <definedName name="ввввыывывыв">'Прайс лист'!$B$225:$B$232</definedName>
    <definedName name="вент_зазор">связи1!$E$12:$E$23</definedName>
    <definedName name="ВинтовыеСваи">'Прайс лист'!$B$908:$B$968</definedName>
    <definedName name="Выключатель_1">'Прайс лист'!$B$1250:$B$1254</definedName>
    <definedName name="выпуски">связи1!$A$99:$A$102</definedName>
    <definedName name="высота">связи1!$B$44:$D$51</definedName>
    <definedName name="высота1этажа">связи1!$S$2:$S$42</definedName>
    <definedName name="выше_основной_кровли">связи1!$A$114:$A$117</definedName>
    <definedName name="выысота">связи1!$B$44:$B$51</definedName>
    <definedName name="Газобетон">связи1!$A$255:$A$296</definedName>
    <definedName name="ддд">связи1!$H$46:$H$48</definedName>
    <definedName name="Декоративнаяштукатурка">'Прайс лист'!$B$1582:$B$1586</definedName>
    <definedName name="Деревянное_перекрытие__брус">связи1!$H$38:$H$41</definedName>
    <definedName name="ДикоеБревно">'Прайс лист'!$B$485:$B$528</definedName>
    <definedName name="длина">связи1!$S$2:$S$158</definedName>
    <definedName name="Дом_из_кирпича">связи1!$A$35:$A$41</definedName>
    <definedName name="Дом_из_одного_материала">связи1!$A$149:$A$185</definedName>
    <definedName name="Доска_сухая__200_50мм">связи1!$A$408:$A$416</definedName>
    <definedName name="Доставка">связи1!$F$29:$F$46</definedName>
    <definedName name="Дренажный_колодец_D300">'Прайс лист'!$B$1124:$B$1127</definedName>
    <definedName name="Евровагонка">'Прайс лист'!$B$703:$B$708</definedName>
    <definedName name="Евровагонка.">'Прайс лист'!$B$703:$B$714</definedName>
    <definedName name="ееее">связи1!$A$418:$A$421</definedName>
    <definedName name="ен">связи1!$H$8:$H$10</definedName>
    <definedName name="Имитация_бруса">'Прайс лист'!$B$697:$B$702</definedName>
    <definedName name="каркасарматуры">связи1!$F$30:$F$32</definedName>
    <definedName name="Каркасный">связи1!$A$408:$A$416</definedName>
    <definedName name="Каркасный_дом">связи1!$A$150:$A$185</definedName>
    <definedName name="Кирпич">'Прайс лист'!$B$979:$B$1017</definedName>
    <definedName name="КирпичОблицовочный">связи1!$A$495:$A$534</definedName>
    <definedName name="Клей_монтажный_ВК_100">связи1!$A$315:$A$317</definedName>
    <definedName name="Коллектор_1">'Прайс лист'!$B$1092:$B$1099</definedName>
    <definedName name="Конек_по_центру_дома">связи1!$A$132:$A$133</definedName>
    <definedName name="Контрлаги_считать">связи1!$A$53:$A$54</definedName>
    <definedName name="Лен_джут_10х0_5х2000">'Прайс лист'!$B$428:$B$432</definedName>
    <definedName name="ЛенточныйФундамент">связи1!$A$468:$A$473</definedName>
    <definedName name="м.п.">'Ввод данных'!$C$216</definedName>
    <definedName name="мансара">связи1!$D$44:$D$75</definedName>
    <definedName name="МатериалБревно">'Прайс лист'!$B$441:$B$528</definedName>
    <definedName name="МатериалБрус">'Прайс лист'!$B$333:$B$419</definedName>
    <definedName name="Металлочерепица">связи1!$A$6:$A$9</definedName>
    <definedName name="Монтаж_свай_гидравлика">связи1!$F$25:$F$26</definedName>
    <definedName name="монтаж_свай_гидравликой">связи1!$A$483:$A$484</definedName>
    <definedName name="натяжной">связи1!$H$18:$H$23</definedName>
    <definedName name="Не_буду_считать">связи1!$A$57:$A$61</definedName>
    <definedName name="Не_использовать_S_в_доме_под_балкон_терассу">связи1!$A$191:$A$193</definedName>
    <definedName name="Не_считать_конопатку_дома">связи1!$A$475:$A$476</definedName>
    <definedName name="нет">связи1!$H$3:$H$5</definedName>
    <definedName name="Нет_анкерных_болтов">'Прайс лист'!$B$858:$B$870</definedName>
    <definedName name="нет_ветроизоляции">'Прайс лист'!$B$793:$B$819</definedName>
    <definedName name="нет_выбора">'Прайс лист'!$B$908:$B$968</definedName>
    <definedName name="Нет_гвоздей_ершоных">'Прайс лист'!$B$896:$B$898</definedName>
    <definedName name="Нет_гвоздей_строительных">'Прайс лист'!$B$888:$B$891</definedName>
    <definedName name="Нет_гидроизоляции">'Прайс лист'!$B$1389:$B$1392</definedName>
    <definedName name="Нет_гофры">'Прайс лист'!$B$1213:$B$1235</definedName>
    <definedName name="Нет_грунтовки">'Прайс лист'!$B$1531:$B$1533</definedName>
    <definedName name="Нет_дна_бетонного">связи1!$A$74:$A$78</definedName>
    <definedName name="Нет_кабеля">'Прайс лист'!$B$1207:$B$1212</definedName>
    <definedName name="Нет_колец_бетонных">связи1!$A$79:$A$83</definedName>
    <definedName name="Нет_краски">'Прайс лист'!$B$1534:$B$1561</definedName>
    <definedName name="Нет_кровли_на_пристройке">связи1!$A$105:$A$111</definedName>
    <definedName name="Нет_кронштейна">'Прайс лист'!$B$1505:$B$1516</definedName>
    <definedName name="Нет_крышки_бетонной">связи1!$A$84:$A$88</definedName>
    <definedName name="Нет_лака">'Прайс лист'!$B$1562:$B$1564</definedName>
    <definedName name="Нет_люка_для_крышки">связи1!$A$89:$A$91</definedName>
    <definedName name="Нет_материала">связи1!$F$58:$F$61</definedName>
    <definedName name="Нет_наждачной_бумаги">'Прайс лист'!$B$1478:$B$1486</definedName>
    <definedName name="Нет_накладки">'Прайс лист'!$B$420:$B$424</definedName>
    <definedName name="Нет_наличника">'Прайс лист'!$B$717:$B$723</definedName>
    <definedName name="Нет_огнебиозащиты">'Прайс лист'!$B$728:$B$737</definedName>
    <definedName name="нет_пароизоляции">'Прайс лист'!$B$820:$B$831</definedName>
    <definedName name="Нет_перекрестного_пола">связи1!$J$237:$J$240</definedName>
    <definedName name="Нет_перекрытия">связи1!$A$44:$A$51</definedName>
    <definedName name="Нет_перемычки">'Прайс лист'!$B$127:$B$152</definedName>
    <definedName name="Нет_пластин">'Прайс лист'!$B$845:$B$848</definedName>
    <definedName name="Нет_плоского_шифера">'Прайс лист'!$B$1521:$B$1526</definedName>
    <definedName name="нет_подсистемы">связи1!$A$12:$A$14</definedName>
    <definedName name="Нет_покрытия">связи1!$H$13:$H$15</definedName>
    <definedName name="Нет_саморезов">'Прайс лист'!$B$875:$B$881</definedName>
    <definedName name="Нет_уголков">'Прайс лист'!$B$837:$B$840</definedName>
    <definedName name="Нет_утеплителя">'Прайс лист'!$B$744:$B$782</definedName>
    <definedName name="Нет_фундамента">связи1!$A$464:$A$466</definedName>
    <definedName name="ннн">связи1!$H$40:$H$43</definedName>
    <definedName name="ноль">связи1!$Q$2:$Q$73</definedName>
    <definedName name="номер">связи1!$R$2:$R$77</definedName>
    <definedName name="обвязочный_брус">связи1!$F$6:$F$12</definedName>
    <definedName name="Оголовкок_150_150">'Прайс лист'!$B$969:$B$972</definedName>
    <definedName name="Один_полноценный_этаж">связи1!$A$94:$A$98</definedName>
    <definedName name="ОтделкаДеревом">'Прайс лист'!$B$685:$B$714</definedName>
    <definedName name="Открытый_монтаж_проводки">связи1!$A$536:$A$537</definedName>
    <definedName name="Оцилиндрованное_бревно_сосна_200мм">'Прайс лист'!$B$441:$B$528</definedName>
    <definedName name="ОцилиндрованноеБревно">'Прайс лист'!$B$441:$B$484</definedName>
    <definedName name="папап">'Прайс лист'!$B$888:$B$891</definedName>
    <definedName name="Пенобетон">связи1!$A$383:$A$397</definedName>
    <definedName name="Пенобетон_60x30x20">связи1!$A$383:$A$397</definedName>
    <definedName name="пепепе">связи1!$A$488:$A$493</definedName>
    <definedName name="перегородкинесущие">связи1!$I$314:$I$324</definedName>
    <definedName name="Перекрестный_пол_есть">связи1!#REF!</definedName>
    <definedName name="перекрытие">связи1!$A$200:$A$234</definedName>
    <definedName name="Перекрытие_0_этажа_делать">связи1!$A$135:$A$136</definedName>
    <definedName name="перемычка">'Прайс лист'!$B$127:$B$152</definedName>
    <definedName name="Планкен">'Прайс лист'!$B$685:$B$690</definedName>
    <definedName name="ппп">'Прайс лист'!$B$793:$B$819</definedName>
    <definedName name="пппррол">связи1!$A$456:$A$457</definedName>
    <definedName name="пппуууу">'Прайс лист'!$B$333:$B$419</definedName>
    <definedName name="прпролл">'Прайс лист'!$B$978:$B$1025</definedName>
    <definedName name="рад">связи1!#REF!</definedName>
    <definedName name="Различные_выпуски_по_длине_в_доме">связи1!$A$101:$A$102</definedName>
    <definedName name="размер_стен_каркас">связи1!$E$2:$E$9</definedName>
    <definedName name="раствор">связи1!$A$315:$A$321</definedName>
    <definedName name="Розетка_1">'Прайс лист'!$B$1245:$B$1249</definedName>
    <definedName name="сайдинг_металлический">связи1!$A$28:$A$31</definedName>
    <definedName name="Сейсмопояс_Арматура_М6_4_нити">связи1!$A$365:$A$372</definedName>
    <definedName name="септик">связи1!$A$75:$A$87</definedName>
    <definedName name="сип_панели">связи1!$F$15:$F$19</definedName>
    <definedName name="Сиппанели">связи1!$A$298:$A$309</definedName>
    <definedName name="Система_отопления_однотрубная">связи1!$A$69:$A$70</definedName>
    <definedName name="Слияние_с_боковой_стеной_дома">связи1!$A$120:$A$123</definedName>
    <definedName name="Сосна_влаж__200_50мм">'Прайс лист'!$B$291:$B$303</definedName>
    <definedName name="Сосна_влаж__50_50мм">связи1!$A$419:$A$421</definedName>
    <definedName name="ссс">связи1!$A$75:$A$79</definedName>
    <definedName name="стены_монолит">связи1!$H$54:$H$55</definedName>
    <definedName name="Считать">связи1!$A$2:$A$3</definedName>
    <definedName name="Считать_по_проекту__высотам">связи1!$F$2:$F$3</definedName>
    <definedName name="Считать_сверление_для_скрытой_проводки">связи1!$A$539:$A$540</definedName>
    <definedName name="Термоблок__фактурованный_200х390х390">связи1!$A$255:$A$296</definedName>
    <definedName name="толщина_стен_газобет">связи1!$E$41:$E$72</definedName>
    <definedName name="Труба_гофрированная_одностенная_d_63">'Прайс лист'!$B$1103:$B$1118</definedName>
    <definedName name="Труба_теплого_пола_1">'Прайс лист'!$B$1083:$B$1091</definedName>
    <definedName name="укукукук">связи1!$A$479:$A$481</definedName>
    <definedName name="ууу">связи1!$F$65:$F$67</definedName>
    <definedName name="фанера">'Прайс лист'!$B$1027:$B$1078</definedName>
    <definedName name="фы">связи1!$A$201:$A$203</definedName>
    <definedName name="Хомут_для_сейсмопояса_Арматура_М6__шаг_600мм">связи1!$A$374:$A$379</definedName>
    <definedName name="цокольныйжтаж">связи1!$F$22:$F$23</definedName>
    <definedName name="шаг">связи1!$D$44:$D$51</definedName>
    <definedName name="шаг_перекрытий">связи1!$E$25:$E$39</definedName>
    <definedName name="шаг1">связи1!$D$44:$D$57</definedName>
    <definedName name="ширина">связи1!$C$44:$C$51</definedName>
    <definedName name="шифер_плоский_на_все_стены">связи1!$A$18:$A$25</definedName>
    <definedName name="ШиферПлоский">'Прайс лист'!$B$1521:$B$1526</definedName>
    <definedName name="Шкант">связи1!$A$459:$A$461</definedName>
    <definedName name="Шлифовка_стен_дома_внурти">связи1!$A$545:$A$546</definedName>
    <definedName name="Шлифовка_стен_дома_снаружи">связи1!$A$542:$A$543</definedName>
    <definedName name="Штиль">'Прайс лист'!$B$709:$B$711</definedName>
    <definedName name="ыыыукке">связи1!$A$443:$A$454</definedName>
    <definedName name="ыыыыыыыыыы">связи1!$A$423:$A$430</definedName>
    <definedName name="Экскаватор_погрузчик">'Прайс лист'!$B$181:$B$194</definedName>
  </definedNames>
  <calcPr calcId="191029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2499" i="15" l="1"/>
  <c r="B2498" i="15"/>
  <c r="B2497" i="15"/>
  <c r="B2496" i="15"/>
  <c r="B2495" i="15"/>
  <c r="B2494" i="15"/>
  <c r="B2492" i="15"/>
  <c r="B2491" i="15"/>
  <c r="B2490" i="15"/>
  <c r="B2488" i="15"/>
  <c r="F2487" i="15"/>
  <c r="C2487" i="15"/>
  <c r="F2486" i="15"/>
  <c r="C2486" i="15"/>
  <c r="F2485" i="15"/>
  <c r="F2484" i="15"/>
  <c r="F2483" i="15"/>
  <c r="F2482" i="15"/>
  <c r="F2481" i="15"/>
  <c r="F2480" i="15"/>
  <c r="F2479" i="15"/>
  <c r="F2478" i="15"/>
  <c r="F2477" i="15"/>
  <c r="F2476" i="15"/>
  <c r="H2475" i="15"/>
  <c r="B2475" i="15"/>
  <c r="B2474" i="15"/>
  <c r="F2473" i="15"/>
  <c r="F2472" i="15"/>
  <c r="F2471" i="15"/>
  <c r="C2471" i="15"/>
  <c r="F2470" i="15"/>
  <c r="C2470" i="15"/>
  <c r="F2469" i="15"/>
  <c r="F2468" i="15"/>
  <c r="F2467" i="15"/>
  <c r="F2466" i="15"/>
  <c r="F2465" i="15"/>
  <c r="F2464" i="15"/>
  <c r="F2463" i="15"/>
  <c r="F2462" i="15"/>
  <c r="F2461" i="15"/>
  <c r="F2460" i="15"/>
  <c r="F2459" i="15"/>
  <c r="F2458" i="15"/>
  <c r="F2457" i="15"/>
  <c r="F2456" i="15"/>
  <c r="F2455" i="15"/>
  <c r="F2454" i="15"/>
  <c r="F2453" i="15"/>
  <c r="F2452" i="15"/>
  <c r="F2451" i="15"/>
  <c r="C2451" i="15"/>
  <c r="F2450" i="15"/>
  <c r="C2450" i="15"/>
  <c r="F2449" i="15"/>
  <c r="C2449" i="15"/>
  <c r="F2448" i="15"/>
  <c r="C2448" i="15"/>
  <c r="F2447" i="15"/>
  <c r="C2447" i="15"/>
  <c r="F2446" i="15"/>
  <c r="C2446" i="15"/>
  <c r="F2445" i="15"/>
  <c r="C2445" i="15"/>
  <c r="F2444" i="15"/>
  <c r="C2444" i="15"/>
  <c r="F2443" i="15"/>
  <c r="C2443" i="15"/>
  <c r="F2442" i="15"/>
  <c r="C2442" i="15"/>
  <c r="F2441" i="15"/>
  <c r="C2441" i="15"/>
  <c r="F2440" i="15"/>
  <c r="C2440" i="15"/>
  <c r="F2439" i="15"/>
  <c r="F2438" i="15"/>
  <c r="F2437" i="15"/>
  <c r="F2436" i="15"/>
  <c r="F2435" i="15"/>
  <c r="C2435" i="15"/>
  <c r="H2434" i="15"/>
  <c r="B2434" i="15"/>
  <c r="B2433" i="15"/>
  <c r="F2432" i="15"/>
  <c r="F2431" i="15"/>
  <c r="F2430" i="15"/>
  <c r="F2429" i="15"/>
  <c r="F2428" i="15"/>
  <c r="C2428" i="15"/>
  <c r="F2427" i="15"/>
  <c r="C2427" i="15"/>
  <c r="F2426" i="15"/>
  <c r="F2425" i="15"/>
  <c r="F2424" i="15"/>
  <c r="C2424" i="15"/>
  <c r="F2423" i="15"/>
  <c r="C2423" i="15"/>
  <c r="F2422" i="15"/>
  <c r="C2422" i="15"/>
  <c r="F2421" i="15"/>
  <c r="C2421" i="15"/>
  <c r="F2420" i="15"/>
  <c r="C2420" i="15"/>
  <c r="F2419" i="15"/>
  <c r="C2419" i="15"/>
  <c r="F2418" i="15"/>
  <c r="C2418" i="15"/>
  <c r="F2417" i="15"/>
  <c r="C2417" i="15"/>
  <c r="F2416" i="15"/>
  <c r="C2416" i="15"/>
  <c r="F2415" i="15"/>
  <c r="C2415" i="15"/>
  <c r="F2414" i="15"/>
  <c r="C2414" i="15"/>
  <c r="F2413" i="15"/>
  <c r="C2413" i="15"/>
  <c r="F2412" i="15"/>
  <c r="C2412" i="15"/>
  <c r="F2411" i="15"/>
  <c r="C2411" i="15"/>
  <c r="F2410" i="15"/>
  <c r="C2410" i="15"/>
  <c r="F2409" i="15"/>
  <c r="F2408" i="15"/>
  <c r="C2408" i="15"/>
  <c r="F2407" i="15"/>
  <c r="C2407" i="15"/>
  <c r="F2406" i="15"/>
  <c r="C2406" i="15"/>
  <c r="F2405" i="15"/>
  <c r="C2405" i="15"/>
  <c r="F2404" i="15"/>
  <c r="C2404" i="15"/>
  <c r="F2403" i="15"/>
  <c r="C2403" i="15"/>
  <c r="F2402" i="15"/>
  <c r="C2402" i="15"/>
  <c r="F2401" i="15"/>
  <c r="C2401" i="15"/>
  <c r="F2400" i="15"/>
  <c r="C2400" i="15"/>
  <c r="F2399" i="15"/>
  <c r="C2399" i="15"/>
  <c r="F2398" i="15"/>
  <c r="C2398" i="15"/>
  <c r="F2397" i="15"/>
  <c r="C2397" i="15"/>
  <c r="F2396" i="15"/>
  <c r="C2396" i="15"/>
  <c r="F2395" i="15"/>
  <c r="C2395" i="15"/>
  <c r="F2394" i="15"/>
  <c r="C2394" i="15"/>
  <c r="F2393" i="15"/>
  <c r="C2393" i="15"/>
  <c r="F2392" i="15"/>
  <c r="C2392" i="15"/>
  <c r="F2391" i="15"/>
  <c r="C2391" i="15"/>
  <c r="F2390" i="15"/>
  <c r="C2390" i="15"/>
  <c r="F2389" i="15"/>
  <c r="C2389" i="15"/>
  <c r="F2388" i="15"/>
  <c r="C2388" i="15"/>
  <c r="F2387" i="15"/>
  <c r="C2387" i="15"/>
  <c r="F2386" i="15"/>
  <c r="C2386" i="15"/>
  <c r="F2385" i="15"/>
  <c r="C2385" i="15"/>
  <c r="F2384" i="15"/>
  <c r="C2384" i="15"/>
  <c r="F2383" i="15"/>
  <c r="C2383" i="15"/>
  <c r="F2382" i="15"/>
  <c r="C2382" i="15"/>
  <c r="F2381" i="15"/>
  <c r="C2381" i="15"/>
  <c r="F2380" i="15"/>
  <c r="C2380" i="15"/>
  <c r="F2379" i="15"/>
  <c r="C2379" i="15"/>
  <c r="F2378" i="15"/>
  <c r="C2378" i="15"/>
  <c r="F2377" i="15"/>
  <c r="C2377" i="15"/>
  <c r="F2376" i="15"/>
  <c r="C2376" i="15"/>
  <c r="F2375" i="15"/>
  <c r="C2375" i="15"/>
  <c r="F2374" i="15"/>
  <c r="C2374" i="15"/>
  <c r="F2373" i="15"/>
  <c r="C2373" i="15"/>
  <c r="F2372" i="15"/>
  <c r="C2372" i="15"/>
  <c r="F2371" i="15"/>
  <c r="C2371" i="15"/>
  <c r="F2370" i="15"/>
  <c r="C2370" i="15"/>
  <c r="F2369" i="15"/>
  <c r="C2369" i="15"/>
  <c r="F2368" i="15"/>
  <c r="C2368" i="15"/>
  <c r="F2367" i="15"/>
  <c r="C2367" i="15"/>
  <c r="F2366" i="15"/>
  <c r="C2366" i="15"/>
  <c r="F2365" i="15"/>
  <c r="C2365" i="15"/>
  <c r="F2364" i="15"/>
  <c r="C2364" i="15"/>
  <c r="F2363" i="15"/>
  <c r="C2363" i="15"/>
  <c r="F2362" i="15"/>
  <c r="C2362" i="15"/>
  <c r="F2361" i="15"/>
  <c r="C2361" i="15"/>
  <c r="F2360" i="15"/>
  <c r="C2360" i="15"/>
  <c r="F2359" i="15"/>
  <c r="C2359" i="15"/>
  <c r="F2358" i="15"/>
  <c r="C2358" i="15"/>
  <c r="F2357" i="15"/>
  <c r="C2357" i="15"/>
  <c r="F2356" i="15"/>
  <c r="C2356" i="15"/>
  <c r="F2355" i="15"/>
  <c r="C2355" i="15"/>
  <c r="F2354" i="15"/>
  <c r="C2354" i="15"/>
  <c r="F2353" i="15"/>
  <c r="C2353" i="15"/>
  <c r="F2352" i="15"/>
  <c r="C2352" i="15"/>
  <c r="F2351" i="15"/>
  <c r="C2351" i="15"/>
  <c r="F2350" i="15"/>
  <c r="C2350" i="15"/>
  <c r="F2349" i="15"/>
  <c r="C2349" i="15"/>
  <c r="F2348" i="15"/>
  <c r="C2348" i="15"/>
  <c r="F2347" i="15"/>
  <c r="C2347" i="15"/>
  <c r="F2346" i="15"/>
  <c r="C2346" i="15"/>
  <c r="F2345" i="15"/>
  <c r="C2345" i="15"/>
  <c r="F2344" i="15"/>
  <c r="C2344" i="15"/>
  <c r="F2343" i="15"/>
  <c r="C2343" i="15"/>
  <c r="F2342" i="15"/>
  <c r="C2342" i="15"/>
  <c r="F2341" i="15"/>
  <c r="C2341" i="15"/>
  <c r="H2340" i="15"/>
  <c r="B2340" i="15"/>
  <c r="B2339" i="15"/>
  <c r="F2338" i="15"/>
  <c r="C2338" i="15"/>
  <c r="B2338" i="15"/>
  <c r="F2337" i="15"/>
  <c r="C2337" i="15"/>
  <c r="B2337" i="15"/>
  <c r="F2336" i="15"/>
  <c r="C2336" i="15"/>
  <c r="B2336" i="15"/>
  <c r="F2335" i="15"/>
  <c r="C2335" i="15"/>
  <c r="B2335" i="15"/>
  <c r="F2334" i="15"/>
  <c r="C2334" i="15"/>
  <c r="B2334" i="15"/>
  <c r="F2333" i="15"/>
  <c r="C2333" i="15"/>
  <c r="B2333" i="15"/>
  <c r="F2332" i="15"/>
  <c r="C2332" i="15"/>
  <c r="B2332" i="15"/>
  <c r="F2331" i="15"/>
  <c r="C2331" i="15"/>
  <c r="B2331" i="15"/>
  <c r="H2330" i="15"/>
  <c r="B2330" i="15"/>
  <c r="B2329" i="15"/>
  <c r="F2328" i="15"/>
  <c r="D2328" i="15"/>
  <c r="C2328" i="15"/>
  <c r="B2328" i="15"/>
  <c r="F2327" i="15"/>
  <c r="D2327" i="15"/>
  <c r="C2327" i="15"/>
  <c r="B2327" i="15"/>
  <c r="F2326" i="15"/>
  <c r="C2326" i="15"/>
  <c r="B2326" i="15"/>
  <c r="F2325" i="15"/>
  <c r="C2325" i="15"/>
  <c r="B2325" i="15"/>
  <c r="F2324" i="15"/>
  <c r="C2324" i="15"/>
  <c r="B2324" i="15"/>
  <c r="F2323" i="15"/>
  <c r="C2323" i="15"/>
  <c r="B2323" i="15"/>
  <c r="F2322" i="15"/>
  <c r="C2322" i="15"/>
  <c r="B2322" i="15"/>
  <c r="F2321" i="15"/>
  <c r="D2321" i="15"/>
  <c r="C2321" i="15"/>
  <c r="B2321" i="15"/>
  <c r="F2320" i="15"/>
  <c r="D2320" i="15"/>
  <c r="C2320" i="15"/>
  <c r="B2320" i="15"/>
  <c r="F2319" i="15"/>
  <c r="C2319" i="15"/>
  <c r="B2319" i="15"/>
  <c r="F2318" i="15"/>
  <c r="C2318" i="15"/>
  <c r="B2318" i="15"/>
  <c r="F2317" i="15"/>
  <c r="C2317" i="15"/>
  <c r="B2317" i="15"/>
  <c r="F2316" i="15"/>
  <c r="C2316" i="15"/>
  <c r="B2316" i="15"/>
  <c r="F2315" i="15"/>
  <c r="C2315" i="15"/>
  <c r="B2315" i="15"/>
  <c r="H2314" i="15"/>
  <c r="B2314" i="15"/>
  <c r="H2313" i="15"/>
  <c r="B2313" i="15"/>
  <c r="B2312" i="15"/>
  <c r="F2311" i="15"/>
  <c r="C2311" i="15"/>
  <c r="F2310" i="15"/>
  <c r="C2310" i="15"/>
  <c r="F2309" i="15"/>
  <c r="C2309" i="15"/>
  <c r="F2308" i="15"/>
  <c r="C2308" i="15"/>
  <c r="F2307" i="15"/>
  <c r="C2307" i="15"/>
  <c r="F2306" i="15"/>
  <c r="C2306" i="15"/>
  <c r="F2305" i="15"/>
  <c r="C2305" i="15"/>
  <c r="H2304" i="15"/>
  <c r="B2304" i="15"/>
  <c r="B2303" i="15"/>
  <c r="F2302" i="15"/>
  <c r="F2301" i="15"/>
  <c r="F2300" i="15"/>
  <c r="F2299" i="15"/>
  <c r="F2298" i="15"/>
  <c r="F2297" i="15"/>
  <c r="F2296" i="15"/>
  <c r="F2295" i="15"/>
  <c r="F2294" i="15"/>
  <c r="F2293" i="15"/>
  <c r="F2292" i="15"/>
  <c r="F2291" i="15"/>
  <c r="F2290" i="15"/>
  <c r="H2289" i="15"/>
  <c r="B2289" i="15"/>
  <c r="H2288" i="15"/>
  <c r="B2288" i="15"/>
  <c r="B2287" i="15"/>
  <c r="F2286" i="15"/>
  <c r="C2286" i="15"/>
  <c r="B2286" i="15"/>
  <c r="F2285" i="15"/>
  <c r="C2285" i="15"/>
  <c r="B2285" i="15"/>
  <c r="F2284" i="15"/>
  <c r="C2284" i="15"/>
  <c r="B2284" i="15"/>
  <c r="F2283" i="15"/>
  <c r="C2283" i="15"/>
  <c r="B2283" i="15"/>
  <c r="F2282" i="15"/>
  <c r="C2282" i="15"/>
  <c r="B2282" i="15"/>
  <c r="F2281" i="15"/>
  <c r="C2281" i="15"/>
  <c r="B2281" i="15"/>
  <c r="H2280" i="15"/>
  <c r="B2280" i="15"/>
  <c r="B2279" i="15"/>
  <c r="F2278" i="15"/>
  <c r="F2277" i="15"/>
  <c r="F2276" i="15"/>
  <c r="F2275" i="15"/>
  <c r="F2274" i="15"/>
  <c r="F2273" i="15"/>
  <c r="F2272" i="15"/>
  <c r="F2271" i="15"/>
  <c r="F2270" i="15"/>
  <c r="H2269" i="15"/>
  <c r="B2269" i="15"/>
  <c r="H2268" i="15"/>
  <c r="B2268" i="15"/>
  <c r="B2267" i="15"/>
  <c r="F2266" i="15"/>
  <c r="C2266" i="15"/>
  <c r="B2266" i="15"/>
  <c r="F2265" i="15"/>
  <c r="C2265" i="15"/>
  <c r="B2265" i="15"/>
  <c r="F2264" i="15"/>
  <c r="C2264" i="15"/>
  <c r="B2264" i="15"/>
  <c r="H2263" i="15"/>
  <c r="B2263" i="15"/>
  <c r="B2262" i="15"/>
  <c r="F2261" i="15"/>
  <c r="F2260" i="15"/>
  <c r="F2259" i="15"/>
  <c r="F2258" i="15"/>
  <c r="F2257" i="15"/>
  <c r="F2256" i="15"/>
  <c r="F2255" i="15"/>
  <c r="F2254" i="15"/>
  <c r="F2253" i="15"/>
  <c r="F2252" i="15"/>
  <c r="F2251" i="15"/>
  <c r="H2250" i="15"/>
  <c r="B2250" i="15"/>
  <c r="H2249" i="15"/>
  <c r="B2249" i="15"/>
  <c r="B2248" i="15"/>
  <c r="F2247" i="15"/>
  <c r="C2247" i="15"/>
  <c r="F2246" i="15"/>
  <c r="C2246" i="15"/>
  <c r="F2245" i="15"/>
  <c r="C2245" i="15"/>
  <c r="F2244" i="15"/>
  <c r="C2244" i="15"/>
  <c r="F2243" i="15"/>
  <c r="C2243" i="15"/>
  <c r="F2242" i="15"/>
  <c r="C2242" i="15"/>
  <c r="F2241" i="15"/>
  <c r="C2241" i="15"/>
  <c r="F2240" i="15"/>
  <c r="C2240" i="15"/>
  <c r="H2239" i="15"/>
  <c r="B2239" i="15"/>
  <c r="B2238" i="15"/>
  <c r="F2237" i="15"/>
  <c r="F2236" i="15"/>
  <c r="F2235" i="15"/>
  <c r="F2234" i="15"/>
  <c r="F2233" i="15"/>
  <c r="F2232" i="15"/>
  <c r="F2231" i="15"/>
  <c r="F2230" i="15"/>
  <c r="F2229" i="15"/>
  <c r="F2228" i="15"/>
  <c r="F2227" i="15"/>
  <c r="F2226" i="15"/>
  <c r="F2225" i="15"/>
  <c r="F2224" i="15"/>
  <c r="F2223" i="15"/>
  <c r="F2222" i="15"/>
  <c r="F2221" i="15"/>
  <c r="H2220" i="15"/>
  <c r="B2220" i="15"/>
  <c r="H2219" i="15"/>
  <c r="B2219" i="15"/>
  <c r="B2218" i="15"/>
  <c r="F2217" i="15"/>
  <c r="C2217" i="15"/>
  <c r="B2217" i="15"/>
  <c r="F2216" i="15"/>
  <c r="C2216" i="15"/>
  <c r="B2216" i="15"/>
  <c r="F2215" i="15"/>
  <c r="C2215" i="15"/>
  <c r="B2215" i="15"/>
  <c r="F2214" i="15"/>
  <c r="C2214" i="15"/>
  <c r="B2214" i="15"/>
  <c r="F2213" i="15"/>
  <c r="C2213" i="15"/>
  <c r="B2213" i="15"/>
  <c r="B2212" i="15"/>
  <c r="F2211" i="15"/>
  <c r="C2211" i="15"/>
  <c r="B2211" i="15"/>
  <c r="F2210" i="15"/>
  <c r="C2210" i="15"/>
  <c r="B2210" i="15"/>
  <c r="F2209" i="15"/>
  <c r="C2209" i="15"/>
  <c r="B2209" i="15"/>
  <c r="F2208" i="15"/>
  <c r="C2208" i="15"/>
  <c r="B2208" i="15"/>
  <c r="F2207" i="15"/>
  <c r="C2207" i="15"/>
  <c r="B2207" i="15"/>
  <c r="F2206" i="15"/>
  <c r="C2206" i="15"/>
  <c r="B2206" i="15"/>
  <c r="B2205" i="15"/>
  <c r="F2204" i="15"/>
  <c r="C2204" i="15"/>
  <c r="B2204" i="15"/>
  <c r="F2203" i="15"/>
  <c r="C2203" i="15"/>
  <c r="B2203" i="15"/>
  <c r="F2202" i="15"/>
  <c r="C2202" i="15"/>
  <c r="B2202" i="15"/>
  <c r="F2201" i="15"/>
  <c r="C2201" i="15"/>
  <c r="B2201" i="15"/>
  <c r="F2200" i="15"/>
  <c r="C2200" i="15"/>
  <c r="B2200" i="15"/>
  <c r="B2199" i="15"/>
  <c r="F2198" i="15"/>
  <c r="C2198" i="15"/>
  <c r="B2198" i="15"/>
  <c r="F2197" i="15"/>
  <c r="C2197" i="15"/>
  <c r="B2197" i="15"/>
  <c r="F2196" i="15"/>
  <c r="C2196" i="15"/>
  <c r="B2196" i="15"/>
  <c r="F2195" i="15"/>
  <c r="C2195" i="15"/>
  <c r="B2195" i="15"/>
  <c r="F2194" i="15"/>
  <c r="C2194" i="15"/>
  <c r="B2194" i="15"/>
  <c r="F2193" i="15"/>
  <c r="C2193" i="15"/>
  <c r="B2193" i="15"/>
  <c r="F2192" i="15"/>
  <c r="C2192" i="15"/>
  <c r="B2192" i="15"/>
  <c r="F2191" i="15"/>
  <c r="C2191" i="15"/>
  <c r="B2191" i="15"/>
  <c r="F2190" i="15"/>
  <c r="C2190" i="15"/>
  <c r="B2190" i="15"/>
  <c r="F2189" i="15"/>
  <c r="C2189" i="15"/>
  <c r="B2189" i="15"/>
  <c r="F2188" i="15"/>
  <c r="C2188" i="15"/>
  <c r="B2188" i="15"/>
  <c r="F2187" i="15"/>
  <c r="C2187" i="15"/>
  <c r="B2187" i="15"/>
  <c r="F2186" i="15"/>
  <c r="C2186" i="15"/>
  <c r="B2186" i="15"/>
  <c r="B2185" i="15"/>
  <c r="F2184" i="15"/>
  <c r="C2184" i="15"/>
  <c r="B2184" i="15"/>
  <c r="F2183" i="15"/>
  <c r="C2183" i="15"/>
  <c r="B2183" i="15"/>
  <c r="F2182" i="15"/>
  <c r="C2182" i="15"/>
  <c r="B2182" i="15"/>
  <c r="F2181" i="15"/>
  <c r="C2181" i="15"/>
  <c r="B2181" i="15"/>
  <c r="F2180" i="15"/>
  <c r="C2180" i="15"/>
  <c r="B2180" i="15"/>
  <c r="F2179" i="15"/>
  <c r="C2179" i="15"/>
  <c r="B2179" i="15"/>
  <c r="F2178" i="15"/>
  <c r="C2178" i="15"/>
  <c r="B2178" i="15"/>
  <c r="F2177" i="15"/>
  <c r="C2177" i="15"/>
  <c r="B2177" i="15"/>
  <c r="F2176" i="15"/>
  <c r="C2176" i="15"/>
  <c r="B2176" i="15"/>
  <c r="F2175" i="15"/>
  <c r="C2175" i="15"/>
  <c r="B2175" i="15"/>
  <c r="B2174" i="15"/>
  <c r="H2173" i="15"/>
  <c r="B2173" i="15"/>
  <c r="B2172" i="15"/>
  <c r="F2171" i="15"/>
  <c r="C2171" i="15"/>
  <c r="B2171" i="15"/>
  <c r="F2170" i="15"/>
  <c r="C2170" i="15"/>
  <c r="B2170" i="15"/>
  <c r="F2169" i="15"/>
  <c r="C2169" i="15"/>
  <c r="B2169" i="15"/>
  <c r="F2168" i="15"/>
  <c r="C2168" i="15"/>
  <c r="B2168" i="15"/>
  <c r="F2167" i="15"/>
  <c r="C2167" i="15"/>
  <c r="B2167" i="15"/>
  <c r="F2166" i="15"/>
  <c r="C2166" i="15"/>
  <c r="B2166" i="15"/>
  <c r="B2165" i="15"/>
  <c r="F2164" i="15"/>
  <c r="C2164" i="15"/>
  <c r="B2164" i="15"/>
  <c r="F2163" i="15"/>
  <c r="C2163" i="15"/>
  <c r="B2163" i="15"/>
  <c r="F2162" i="15"/>
  <c r="C2162" i="15"/>
  <c r="B2162" i="15"/>
  <c r="F2161" i="15"/>
  <c r="C2161" i="15"/>
  <c r="B2161" i="15"/>
  <c r="F2160" i="15"/>
  <c r="C2160" i="15"/>
  <c r="B2160" i="15"/>
  <c r="F2159" i="15"/>
  <c r="C2159" i="15"/>
  <c r="B2159" i="15"/>
  <c r="F2158" i="15"/>
  <c r="C2158" i="15"/>
  <c r="B2158" i="15"/>
  <c r="F2157" i="15"/>
  <c r="C2157" i="15"/>
  <c r="B2157" i="15"/>
  <c r="F2156" i="15"/>
  <c r="C2156" i="15"/>
  <c r="B2156" i="15"/>
  <c r="F2155" i="15"/>
  <c r="C2155" i="15"/>
  <c r="B2155" i="15"/>
  <c r="F2154" i="15"/>
  <c r="C2154" i="15"/>
  <c r="B2154" i="15"/>
  <c r="B2153" i="15"/>
  <c r="F2152" i="15"/>
  <c r="C2152" i="15"/>
  <c r="B2152" i="15"/>
  <c r="F2151" i="15"/>
  <c r="C2151" i="15"/>
  <c r="B2151" i="15"/>
  <c r="F2150" i="15"/>
  <c r="C2150" i="15"/>
  <c r="B2150" i="15"/>
  <c r="F2149" i="15"/>
  <c r="C2149" i="15"/>
  <c r="B2149" i="15"/>
  <c r="F2148" i="15"/>
  <c r="C2148" i="15"/>
  <c r="B2148" i="15"/>
  <c r="F2147" i="15"/>
  <c r="C2147" i="15"/>
  <c r="B2147" i="15"/>
  <c r="F2146" i="15"/>
  <c r="C2146" i="15"/>
  <c r="B2146" i="15"/>
  <c r="F2145" i="15"/>
  <c r="C2145" i="15"/>
  <c r="B2145" i="15"/>
  <c r="F2144" i="15"/>
  <c r="C2144" i="15"/>
  <c r="B2144" i="15"/>
  <c r="F2143" i="15"/>
  <c r="C2143" i="15"/>
  <c r="B2143" i="15"/>
  <c r="B2142" i="15"/>
  <c r="F2141" i="15"/>
  <c r="C2141" i="15"/>
  <c r="B2141" i="15"/>
  <c r="F2140" i="15"/>
  <c r="C2140" i="15"/>
  <c r="B2140" i="15"/>
  <c r="F2139" i="15"/>
  <c r="C2139" i="15"/>
  <c r="B2139" i="15"/>
  <c r="F2138" i="15"/>
  <c r="C2138" i="15"/>
  <c r="B2138" i="15"/>
  <c r="F2137" i="15"/>
  <c r="C2137" i="15"/>
  <c r="B2137" i="15"/>
  <c r="F2136" i="15"/>
  <c r="C2136" i="15"/>
  <c r="B2136" i="15"/>
  <c r="F2135" i="15"/>
  <c r="C2135" i="15"/>
  <c r="B2135" i="15"/>
  <c r="F2134" i="15"/>
  <c r="C2134" i="15"/>
  <c r="B2134" i="15"/>
  <c r="F2133" i="15"/>
  <c r="C2133" i="15"/>
  <c r="B2133" i="15"/>
  <c r="F2132" i="15"/>
  <c r="C2132" i="15"/>
  <c r="B2132" i="15"/>
  <c r="F2131" i="15"/>
  <c r="C2131" i="15"/>
  <c r="B2131" i="15"/>
  <c r="F2130" i="15"/>
  <c r="C2130" i="15"/>
  <c r="B2130" i="15"/>
  <c r="F2129" i="15"/>
  <c r="C2129" i="15"/>
  <c r="B2129" i="15"/>
  <c r="F2128" i="15"/>
  <c r="C2128" i="15"/>
  <c r="B2128" i="15"/>
  <c r="F2127" i="15"/>
  <c r="C2127" i="15"/>
  <c r="B2127" i="15"/>
  <c r="F2126" i="15"/>
  <c r="C2126" i="15"/>
  <c r="B2126" i="15"/>
  <c r="F2125" i="15"/>
  <c r="C2125" i="15"/>
  <c r="B2125" i="15"/>
  <c r="F2124" i="15"/>
  <c r="C2124" i="15"/>
  <c r="B2124" i="15"/>
  <c r="F2123" i="15"/>
  <c r="C2123" i="15"/>
  <c r="B2123" i="15"/>
  <c r="F2122" i="15"/>
  <c r="C2122" i="15"/>
  <c r="B2122" i="15"/>
  <c r="F2121" i="15"/>
  <c r="C2121" i="15"/>
  <c r="B2121" i="15"/>
  <c r="F2120" i="15"/>
  <c r="C2120" i="15"/>
  <c r="B2120" i="15"/>
  <c r="F2119" i="15"/>
  <c r="C2119" i="15"/>
  <c r="B2119" i="15"/>
  <c r="B2118" i="15"/>
  <c r="F2117" i="15"/>
  <c r="F2116" i="15"/>
  <c r="F2115" i="15"/>
  <c r="F2114" i="15"/>
  <c r="F2113" i="15"/>
  <c r="C2113" i="15"/>
  <c r="B2113" i="15"/>
  <c r="F2112" i="15"/>
  <c r="C2112" i="15"/>
  <c r="B2112" i="15"/>
  <c r="F2111" i="15"/>
  <c r="C2111" i="15"/>
  <c r="B2111" i="15"/>
  <c r="F2110" i="15"/>
  <c r="C2110" i="15"/>
  <c r="B2110" i="15"/>
  <c r="F2109" i="15"/>
  <c r="C2109" i="15"/>
  <c r="B2109" i="15"/>
  <c r="F2108" i="15"/>
  <c r="C2108" i="15"/>
  <c r="B2108" i="15"/>
  <c r="F2107" i="15"/>
  <c r="C2107" i="15"/>
  <c r="B2107" i="15"/>
  <c r="F2106" i="15"/>
  <c r="C2106" i="15"/>
  <c r="B2106" i="15"/>
  <c r="F2105" i="15"/>
  <c r="C2105" i="15"/>
  <c r="B2105" i="15"/>
  <c r="F2104" i="15"/>
  <c r="C2104" i="15"/>
  <c r="B2104" i="15"/>
  <c r="F2103" i="15"/>
  <c r="C2103" i="15"/>
  <c r="B2103" i="15"/>
  <c r="F2102" i="15"/>
  <c r="C2102" i="15"/>
  <c r="B2102" i="15"/>
  <c r="F2101" i="15"/>
  <c r="C2101" i="15"/>
  <c r="B2101" i="15"/>
  <c r="F2100" i="15"/>
  <c r="C2100" i="15"/>
  <c r="B2100" i="15"/>
  <c r="F2099" i="15"/>
  <c r="C2099" i="15"/>
  <c r="B2099" i="15"/>
  <c r="F2098" i="15"/>
  <c r="C2098" i="15"/>
  <c r="B2098" i="15"/>
  <c r="F2097" i="15"/>
  <c r="C2097" i="15"/>
  <c r="B2097" i="15"/>
  <c r="F2096" i="15"/>
  <c r="C2096" i="15"/>
  <c r="B2096" i="15"/>
  <c r="F2095" i="15"/>
  <c r="C2095" i="15"/>
  <c r="B2095" i="15"/>
  <c r="F2094" i="15"/>
  <c r="C2094" i="15"/>
  <c r="B2094" i="15"/>
  <c r="B2093" i="15"/>
  <c r="H2092" i="15"/>
  <c r="B2092" i="15"/>
  <c r="H2091" i="15"/>
  <c r="B2091" i="15"/>
  <c r="B2090" i="15"/>
  <c r="F2089" i="15"/>
  <c r="C2089" i="15"/>
  <c r="B2089" i="15"/>
  <c r="F2088" i="15"/>
  <c r="C2088" i="15"/>
  <c r="B2088" i="15"/>
  <c r="F2087" i="15"/>
  <c r="C2087" i="15"/>
  <c r="B2087" i="15"/>
  <c r="B2086" i="15"/>
  <c r="F2085" i="15"/>
  <c r="C2085" i="15"/>
  <c r="B2085" i="15"/>
  <c r="F2084" i="15"/>
  <c r="C2084" i="15"/>
  <c r="B2084" i="15"/>
  <c r="F2083" i="15"/>
  <c r="C2083" i="15"/>
  <c r="B2083" i="15"/>
  <c r="F2082" i="15"/>
  <c r="C2082" i="15"/>
  <c r="B2082" i="15"/>
  <c r="F2081" i="15"/>
  <c r="C2081" i="15"/>
  <c r="B2081" i="15"/>
  <c r="F2080" i="15"/>
  <c r="C2080" i="15"/>
  <c r="B2080" i="15"/>
  <c r="B2079" i="15"/>
  <c r="F2078" i="15"/>
  <c r="F2077" i="15"/>
  <c r="F2076" i="15"/>
  <c r="F2075" i="15"/>
  <c r="F2074" i="15"/>
  <c r="C2074" i="15"/>
  <c r="F2073" i="15"/>
  <c r="F2072" i="15"/>
  <c r="F2071" i="15"/>
  <c r="F2070" i="15"/>
  <c r="F2069" i="15"/>
  <c r="F2068" i="15"/>
  <c r="F2067" i="15"/>
  <c r="F2066" i="15"/>
  <c r="F2065" i="15"/>
  <c r="B2064" i="15"/>
  <c r="H2063" i="15"/>
  <c r="B2063" i="15"/>
  <c r="B2062" i="15"/>
  <c r="F2061" i="15"/>
  <c r="F2060" i="15"/>
  <c r="F2059" i="15"/>
  <c r="F2058" i="15"/>
  <c r="F2057" i="15"/>
  <c r="F2056" i="15"/>
  <c r="F2055" i="15"/>
  <c r="B2054" i="15"/>
  <c r="F2053" i="15"/>
  <c r="F2052" i="15"/>
  <c r="C2052" i="15"/>
  <c r="F2051" i="15"/>
  <c r="F2050" i="15"/>
  <c r="F2049" i="15"/>
  <c r="F2048" i="15"/>
  <c r="F2047" i="15"/>
  <c r="F2046" i="15"/>
  <c r="F2045" i="15"/>
  <c r="F2044" i="15"/>
  <c r="F2043" i="15"/>
  <c r="B2042" i="15"/>
  <c r="F2041" i="15"/>
  <c r="C2041" i="15"/>
  <c r="F2040" i="15"/>
  <c r="F2039" i="15"/>
  <c r="F2038" i="15"/>
  <c r="F2037" i="15"/>
  <c r="F2036" i="15"/>
  <c r="F2035" i="15"/>
  <c r="F2034" i="15"/>
  <c r="F2033" i="15"/>
  <c r="F2032" i="15"/>
  <c r="F2031" i="15"/>
  <c r="F2030" i="15"/>
  <c r="F2029" i="15"/>
  <c r="F2028" i="15"/>
  <c r="F2027" i="15"/>
  <c r="F2026" i="15"/>
  <c r="F2025" i="15"/>
  <c r="F2024" i="15"/>
  <c r="F2023" i="15"/>
  <c r="F2022" i="15"/>
  <c r="F2021" i="15"/>
  <c r="F2020" i="15"/>
  <c r="F2019" i="15"/>
  <c r="F2018" i="15"/>
  <c r="B2017" i="15"/>
  <c r="H2016" i="15"/>
  <c r="B2016" i="15"/>
  <c r="H2015" i="15"/>
  <c r="B2015" i="15"/>
  <c r="B2014" i="15"/>
  <c r="F2013" i="15"/>
  <c r="C2013" i="15"/>
  <c r="F2012" i="15"/>
  <c r="C2012" i="15"/>
  <c r="F2011" i="15"/>
  <c r="C2011" i="15"/>
  <c r="F2010" i="15"/>
  <c r="C2010" i="15"/>
  <c r="H2009" i="15"/>
  <c r="B2009" i="15"/>
  <c r="B2008" i="15"/>
  <c r="F2007" i="15"/>
  <c r="C2007" i="15"/>
  <c r="F2006" i="15"/>
  <c r="C2006" i="15"/>
  <c r="F2005" i="15"/>
  <c r="C2005" i="15"/>
  <c r="F2004" i="15"/>
  <c r="C2004" i="15"/>
  <c r="H2003" i="15"/>
  <c r="B2003" i="15"/>
  <c r="H2002" i="15"/>
  <c r="B2002" i="15"/>
  <c r="B2001" i="15"/>
  <c r="F2000" i="15"/>
  <c r="C2000" i="15"/>
  <c r="B1999" i="15"/>
  <c r="B1998" i="15"/>
  <c r="F1997" i="15"/>
  <c r="C1997" i="15"/>
  <c r="F1996" i="15"/>
  <c r="C1996" i="15"/>
  <c r="F1995" i="15"/>
  <c r="D1995" i="15"/>
  <c r="C1995" i="15"/>
  <c r="F1994" i="15"/>
  <c r="C1994" i="15"/>
  <c r="F1993" i="15"/>
  <c r="C1993" i="15"/>
  <c r="B1992" i="15"/>
  <c r="B1991" i="15"/>
  <c r="B1990" i="15"/>
  <c r="F1989" i="15"/>
  <c r="D1989" i="15"/>
  <c r="C1989" i="15"/>
  <c r="B1988" i="15"/>
  <c r="B1987" i="15"/>
  <c r="F1986" i="15"/>
  <c r="D1986" i="15"/>
  <c r="C1986" i="15"/>
  <c r="F1985" i="15"/>
  <c r="C1985" i="15"/>
  <c r="F1984" i="15"/>
  <c r="C1984" i="15"/>
  <c r="F1983" i="15"/>
  <c r="C1983" i="15"/>
  <c r="F1982" i="15"/>
  <c r="C1982" i="15"/>
  <c r="F1981" i="15"/>
  <c r="C1981" i="15"/>
  <c r="F1980" i="15"/>
  <c r="C1980" i="15"/>
  <c r="F1979" i="15"/>
  <c r="C1979" i="15"/>
  <c r="B1978" i="15"/>
  <c r="B1977" i="15"/>
  <c r="B1976" i="15"/>
  <c r="F1975" i="15"/>
  <c r="C1975" i="15"/>
  <c r="B1975" i="15"/>
  <c r="H1974" i="15"/>
  <c r="B1974" i="15"/>
  <c r="B1973" i="15"/>
  <c r="F1972" i="15"/>
  <c r="C1972" i="15"/>
  <c r="B1972" i="15"/>
  <c r="F1971" i="15"/>
  <c r="C1971" i="15"/>
  <c r="B1971" i="15"/>
  <c r="F1970" i="15"/>
  <c r="C1970" i="15"/>
  <c r="B1970" i="15"/>
  <c r="F1969" i="15"/>
  <c r="C1969" i="15"/>
  <c r="B1969" i="15"/>
  <c r="F1968" i="15"/>
  <c r="C1968" i="15"/>
  <c r="B1968" i="15"/>
  <c r="F1967" i="15"/>
  <c r="C1967" i="15"/>
  <c r="B1967" i="15"/>
  <c r="F1966" i="15"/>
  <c r="C1966" i="15"/>
  <c r="B1966" i="15"/>
  <c r="F1965" i="15"/>
  <c r="C1965" i="15"/>
  <c r="B1965" i="15"/>
  <c r="F1964" i="15"/>
  <c r="C1964" i="15"/>
  <c r="B1964" i="15"/>
  <c r="F1963" i="15"/>
  <c r="C1963" i="15"/>
  <c r="B1963" i="15"/>
  <c r="H1962" i="15"/>
  <c r="B1962" i="15"/>
  <c r="H1961" i="15"/>
  <c r="B1961" i="15"/>
  <c r="B1960" i="15"/>
  <c r="F1959" i="15"/>
  <c r="C1959" i="15"/>
  <c r="B1959" i="15"/>
  <c r="F1958" i="15"/>
  <c r="C1958" i="15"/>
  <c r="F1957" i="15"/>
  <c r="C1957" i="15"/>
  <c r="B1957" i="15"/>
  <c r="F1956" i="15"/>
  <c r="C1956" i="15"/>
  <c r="B1956" i="15"/>
  <c r="F1955" i="15"/>
  <c r="C1955" i="15"/>
  <c r="B1955" i="15"/>
  <c r="F1954" i="15"/>
  <c r="C1954" i="15"/>
  <c r="B1954" i="15"/>
  <c r="F1953" i="15"/>
  <c r="C1953" i="15"/>
  <c r="B1953" i="15"/>
  <c r="F1952" i="15"/>
  <c r="C1952" i="15"/>
  <c r="B1952" i="15"/>
  <c r="F1951" i="15"/>
  <c r="C1951" i="15"/>
  <c r="B1951" i="15"/>
  <c r="F1950" i="15"/>
  <c r="C1950" i="15"/>
  <c r="B1950" i="15"/>
  <c r="F1949" i="15"/>
  <c r="C1949" i="15"/>
  <c r="B1949" i="15"/>
  <c r="F1948" i="15"/>
  <c r="C1948" i="15"/>
  <c r="B1948" i="15"/>
  <c r="F1947" i="15"/>
  <c r="C1947" i="15"/>
  <c r="B1947" i="15"/>
  <c r="H1946" i="15"/>
  <c r="B1946" i="15"/>
  <c r="B1945" i="15"/>
  <c r="F1944" i="15"/>
  <c r="F1943" i="15"/>
  <c r="F1942" i="15"/>
  <c r="F1941" i="15"/>
  <c r="F1940" i="15"/>
  <c r="F1939" i="15"/>
  <c r="F1938" i="15"/>
  <c r="F1937" i="15"/>
  <c r="F1936" i="15"/>
  <c r="F1935" i="15"/>
  <c r="F1934" i="15"/>
  <c r="F1933" i="15"/>
  <c r="F1932" i="15"/>
  <c r="F1931" i="15"/>
  <c r="F1930" i="15"/>
  <c r="F1929" i="15"/>
  <c r="F1928" i="15"/>
  <c r="F1927" i="15"/>
  <c r="F1926" i="15"/>
  <c r="F1925" i="15"/>
  <c r="H1924" i="15"/>
  <c r="B1924" i="15"/>
  <c r="H1923" i="15"/>
  <c r="B1923" i="15"/>
  <c r="B1922" i="15"/>
  <c r="F1921" i="15"/>
  <c r="F1920" i="15"/>
  <c r="F1919" i="15"/>
  <c r="F1918" i="15"/>
  <c r="F1917" i="15"/>
  <c r="F1916" i="15"/>
  <c r="F1915" i="15"/>
  <c r="F1914" i="15"/>
  <c r="F1913" i="15"/>
  <c r="F1912" i="15"/>
  <c r="F1911" i="15"/>
  <c r="F1910" i="15"/>
  <c r="F1909" i="15"/>
  <c r="F1908" i="15"/>
  <c r="H1907" i="15"/>
  <c r="B1907" i="15"/>
  <c r="B1906" i="15"/>
  <c r="F1905" i="15"/>
  <c r="F1904" i="15"/>
  <c r="F1903" i="15"/>
  <c r="F1902" i="15"/>
  <c r="F1901" i="15"/>
  <c r="F1900" i="15"/>
  <c r="F1899" i="15"/>
  <c r="F1898" i="15"/>
  <c r="F1897" i="15"/>
  <c r="F1896" i="15"/>
  <c r="F1895" i="15"/>
  <c r="F1894" i="15"/>
  <c r="F1893" i="15"/>
  <c r="F1892" i="15"/>
  <c r="F1891" i="15"/>
  <c r="F1890" i="15"/>
  <c r="F1889" i="15"/>
  <c r="F1888" i="15"/>
  <c r="F1887" i="15"/>
  <c r="F1886" i="15"/>
  <c r="F1885" i="15"/>
  <c r="F1884" i="15"/>
  <c r="F1883" i="15"/>
  <c r="F1882" i="15"/>
  <c r="F1881" i="15"/>
  <c r="F1880" i="15"/>
  <c r="F1879" i="15"/>
  <c r="F1878" i="15"/>
  <c r="F1877" i="15"/>
  <c r="F1876" i="15"/>
  <c r="F1875" i="15"/>
  <c r="F1874" i="15"/>
  <c r="F1873" i="15"/>
  <c r="F1872" i="15"/>
  <c r="F1871" i="15"/>
  <c r="F1870" i="15"/>
  <c r="F1869" i="15"/>
  <c r="H1868" i="15"/>
  <c r="B1868" i="15"/>
  <c r="H1867" i="15"/>
  <c r="B1867" i="15"/>
  <c r="B1866" i="15"/>
  <c r="F1865" i="15"/>
  <c r="F1864" i="15"/>
  <c r="F1863" i="15"/>
  <c r="F1862" i="15"/>
  <c r="F1861" i="15"/>
  <c r="F1860" i="15"/>
  <c r="F1859" i="15"/>
  <c r="F1858" i="15"/>
  <c r="F1857" i="15"/>
  <c r="F1856" i="15"/>
  <c r="F1855" i="15"/>
  <c r="F1854" i="15"/>
  <c r="F1853" i="15"/>
  <c r="H1852" i="15"/>
  <c r="B1852" i="15"/>
  <c r="B1851" i="15"/>
  <c r="F1850" i="15"/>
  <c r="F1849" i="15"/>
  <c r="F1848" i="15"/>
  <c r="F1847" i="15"/>
  <c r="F1846" i="15"/>
  <c r="F1845" i="15"/>
  <c r="F1844" i="15"/>
  <c r="F1843" i="15"/>
  <c r="F1842" i="15"/>
  <c r="F1841" i="15"/>
  <c r="F1840" i="15"/>
  <c r="F1839" i="15"/>
  <c r="F1838" i="15"/>
  <c r="F1837" i="15"/>
  <c r="F1836" i="15"/>
  <c r="F1835" i="15"/>
  <c r="F1834" i="15"/>
  <c r="F1833" i="15"/>
  <c r="F1832" i="15"/>
  <c r="F1831" i="15"/>
  <c r="F1830" i="15"/>
  <c r="F1829" i="15"/>
  <c r="F1828" i="15"/>
  <c r="F1827" i="15"/>
  <c r="F1826" i="15"/>
  <c r="F1825" i="15"/>
  <c r="F1824" i="15"/>
  <c r="F1823" i="15"/>
  <c r="F1822" i="15"/>
  <c r="F1821" i="15"/>
  <c r="F1820" i="15"/>
  <c r="F1819" i="15"/>
  <c r="F1818" i="15"/>
  <c r="F1817" i="15"/>
  <c r="F1816" i="15"/>
  <c r="F1815" i="15"/>
  <c r="F1814" i="15"/>
  <c r="F1813" i="15"/>
  <c r="F1812" i="15"/>
  <c r="F1811" i="15"/>
  <c r="F1810" i="15"/>
  <c r="H1809" i="15"/>
  <c r="B1809" i="15"/>
  <c r="H1808" i="15"/>
  <c r="B1808" i="15"/>
  <c r="B1807" i="15"/>
  <c r="F1806" i="15"/>
  <c r="F1805" i="15"/>
  <c r="F1804" i="15"/>
  <c r="F1803" i="15"/>
  <c r="F1802" i="15"/>
  <c r="F1801" i="15"/>
  <c r="F1800" i="15"/>
  <c r="F1799" i="15"/>
  <c r="F1798" i="15"/>
  <c r="F1797" i="15"/>
  <c r="F1796" i="15"/>
  <c r="F1795" i="15"/>
  <c r="F1794" i="15"/>
  <c r="F1793" i="15"/>
  <c r="F1792" i="15"/>
  <c r="H1791" i="15"/>
  <c r="B1791" i="15"/>
  <c r="B1790" i="15"/>
  <c r="F1789" i="15"/>
  <c r="F1788" i="15"/>
  <c r="F1787" i="15"/>
  <c r="F1786" i="15"/>
  <c r="F1785" i="15"/>
  <c r="F1784" i="15"/>
  <c r="F1783" i="15"/>
  <c r="F1782" i="15"/>
  <c r="F1781" i="15"/>
  <c r="F1780" i="15"/>
  <c r="F1779" i="15"/>
  <c r="F1778" i="15"/>
  <c r="F1777" i="15"/>
  <c r="F1776" i="15"/>
  <c r="F1775" i="15"/>
  <c r="F1774" i="15"/>
  <c r="F1773" i="15"/>
  <c r="F1772" i="15"/>
  <c r="F1771" i="15"/>
  <c r="F1770" i="15"/>
  <c r="F1769" i="15"/>
  <c r="F1768" i="15"/>
  <c r="F1767" i="15"/>
  <c r="F1766" i="15"/>
  <c r="F1765" i="15"/>
  <c r="F1764" i="15"/>
  <c r="F1763" i="15"/>
  <c r="F1762" i="15"/>
  <c r="F1761" i="15"/>
  <c r="F1760" i="15"/>
  <c r="F1759" i="15"/>
  <c r="F1758" i="15"/>
  <c r="F1757" i="15"/>
  <c r="F1756" i="15"/>
  <c r="F1755" i="15"/>
  <c r="F1754" i="15"/>
  <c r="F1753" i="15"/>
  <c r="F1752" i="15"/>
  <c r="F1751" i="15"/>
  <c r="F1750" i="15"/>
  <c r="F1749" i="15"/>
  <c r="F1748" i="15"/>
  <c r="F1747" i="15"/>
  <c r="F1746" i="15"/>
  <c r="F1745" i="15"/>
  <c r="F1744" i="15"/>
  <c r="H1743" i="15"/>
  <c r="B1743" i="15"/>
  <c r="H1742" i="15"/>
  <c r="B1742" i="15"/>
  <c r="B1741" i="15"/>
  <c r="F1740" i="15"/>
  <c r="F1739" i="15"/>
  <c r="F1738" i="15"/>
  <c r="F1737" i="15"/>
  <c r="F1736" i="15"/>
  <c r="F1735" i="15"/>
  <c r="F1734" i="15"/>
  <c r="F1733" i="15"/>
  <c r="F1732" i="15"/>
  <c r="F1731" i="15"/>
  <c r="F1730" i="15"/>
  <c r="F1729" i="15"/>
  <c r="F1728" i="15"/>
  <c r="F1727" i="15"/>
  <c r="F1726" i="15"/>
  <c r="F1725" i="15"/>
  <c r="F1724" i="15"/>
  <c r="H1723" i="15"/>
  <c r="B1723" i="15"/>
  <c r="B1722" i="15"/>
  <c r="F1721" i="15"/>
  <c r="F1720" i="15"/>
  <c r="F1719" i="15"/>
  <c r="F1718" i="15"/>
  <c r="F1717" i="15"/>
  <c r="F1716" i="15"/>
  <c r="F1715" i="15"/>
  <c r="F1714" i="15"/>
  <c r="F1713" i="15"/>
  <c r="F1712" i="15"/>
  <c r="F1711" i="15"/>
  <c r="F1710" i="15"/>
  <c r="F1709" i="15"/>
  <c r="F1708" i="15"/>
  <c r="F1707" i="15"/>
  <c r="F1706" i="15"/>
  <c r="F1705" i="15"/>
  <c r="F1704" i="15"/>
  <c r="F1703" i="15"/>
  <c r="F1702" i="15"/>
  <c r="F1701" i="15"/>
  <c r="F1700" i="15"/>
  <c r="F1699" i="15"/>
  <c r="F1698" i="15"/>
  <c r="F1697" i="15"/>
  <c r="F1696" i="15"/>
  <c r="F1695" i="15"/>
  <c r="F1694" i="15"/>
  <c r="F1693" i="15"/>
  <c r="F1692" i="15"/>
  <c r="F1691" i="15"/>
  <c r="F1690" i="15"/>
  <c r="F1689" i="15"/>
  <c r="F1688" i="15"/>
  <c r="F1687" i="15"/>
  <c r="F1686" i="15"/>
  <c r="F1685" i="15"/>
  <c r="F1684" i="15"/>
  <c r="F1683" i="15"/>
  <c r="F1682" i="15"/>
  <c r="F1681" i="15"/>
  <c r="F1680" i="15"/>
  <c r="F1679" i="15"/>
  <c r="F1678" i="15"/>
  <c r="F1677" i="15"/>
  <c r="F1676" i="15"/>
  <c r="F1675" i="15"/>
  <c r="H1674" i="15"/>
  <c r="B1674" i="15"/>
  <c r="H1673" i="15"/>
  <c r="B1673" i="15"/>
  <c r="B1672" i="15"/>
  <c r="F1671" i="15"/>
  <c r="C1671" i="15"/>
  <c r="F1670" i="15"/>
  <c r="C1670" i="15"/>
  <c r="F1669" i="15"/>
  <c r="C1669" i="15"/>
  <c r="F1668" i="15"/>
  <c r="C1668" i="15"/>
  <c r="F1667" i="15"/>
  <c r="C1667" i="15"/>
  <c r="F1666" i="15"/>
  <c r="C1666" i="15"/>
  <c r="F1665" i="15"/>
  <c r="C1665" i="15"/>
  <c r="F1664" i="15"/>
  <c r="C1664" i="15"/>
  <c r="F1663" i="15"/>
  <c r="C1663" i="15"/>
  <c r="F1662" i="15"/>
  <c r="C1662" i="15"/>
  <c r="F1661" i="15"/>
  <c r="C1661" i="15"/>
  <c r="F1660" i="15"/>
  <c r="C1660" i="15"/>
  <c r="F1659" i="15"/>
  <c r="C1659" i="15"/>
  <c r="H1658" i="15"/>
  <c r="B1658" i="15"/>
  <c r="B1657" i="15"/>
  <c r="F1656" i="15"/>
  <c r="F1655" i="15"/>
  <c r="F1654" i="15"/>
  <c r="F1653" i="15"/>
  <c r="F1652" i="15"/>
  <c r="F1651" i="15"/>
  <c r="F1650" i="15"/>
  <c r="F1649" i="15"/>
  <c r="F1648" i="15"/>
  <c r="F1647" i="15"/>
  <c r="F1646" i="15"/>
  <c r="F1645" i="15"/>
  <c r="F1644" i="15"/>
  <c r="F1643" i="15"/>
  <c r="F1642" i="15"/>
  <c r="F1641" i="15"/>
  <c r="F1640" i="15"/>
  <c r="F1639" i="15"/>
  <c r="F1638" i="15"/>
  <c r="F1637" i="15"/>
  <c r="F1636" i="15"/>
  <c r="F1635" i="15"/>
  <c r="F1634" i="15"/>
  <c r="F1633" i="15"/>
  <c r="F1632" i="15"/>
  <c r="F1631" i="15"/>
  <c r="F1630" i="15"/>
  <c r="F1629" i="15"/>
  <c r="F1628" i="15"/>
  <c r="F1627" i="15"/>
  <c r="F1626" i="15"/>
  <c r="F1625" i="15"/>
  <c r="F1624" i="15"/>
  <c r="F1623" i="15"/>
  <c r="F1622" i="15"/>
  <c r="F1621" i="15"/>
  <c r="F1620" i="15"/>
  <c r="F1619" i="15"/>
  <c r="F1618" i="15"/>
  <c r="F1617" i="15"/>
  <c r="H1616" i="15"/>
  <c r="B1616" i="15"/>
  <c r="H1615" i="15"/>
  <c r="B1615" i="15"/>
  <c r="B1614" i="15"/>
  <c r="F1613" i="15"/>
  <c r="F1612" i="15"/>
  <c r="F1611" i="15"/>
  <c r="F1610" i="15"/>
  <c r="F1609" i="15"/>
  <c r="F1608" i="15"/>
  <c r="F1607" i="15"/>
  <c r="F1606" i="15"/>
  <c r="F1605" i="15"/>
  <c r="F1604" i="15"/>
  <c r="F1603" i="15"/>
  <c r="F1602" i="15"/>
  <c r="F1601" i="15"/>
  <c r="F1600" i="15"/>
  <c r="F1599" i="15"/>
  <c r="F1598" i="15"/>
  <c r="F1597" i="15"/>
  <c r="F1596" i="15"/>
  <c r="H1595" i="15"/>
  <c r="B1595" i="15"/>
  <c r="B1594" i="15"/>
  <c r="F1593" i="15"/>
  <c r="F1592" i="15"/>
  <c r="F1591" i="15"/>
  <c r="F1590" i="15"/>
  <c r="F1589" i="15"/>
  <c r="F1588" i="15"/>
  <c r="F1587" i="15"/>
  <c r="F1586" i="15"/>
  <c r="F1585" i="15"/>
  <c r="F1584" i="15"/>
  <c r="F1583" i="15"/>
  <c r="F1582" i="15"/>
  <c r="F1581" i="15"/>
  <c r="F1580" i="15"/>
  <c r="F1579" i="15"/>
  <c r="F1578" i="15"/>
  <c r="F1577" i="15"/>
  <c r="F1576" i="15"/>
  <c r="F1575" i="15"/>
  <c r="F1574" i="15"/>
  <c r="F1573" i="15"/>
  <c r="F1572" i="15"/>
  <c r="F1571" i="15"/>
  <c r="F1570" i="15"/>
  <c r="F1569" i="15"/>
  <c r="F1568" i="15"/>
  <c r="F1567" i="15"/>
  <c r="F1566" i="15"/>
  <c r="F1565" i="15"/>
  <c r="F1564" i="15"/>
  <c r="F1563" i="15"/>
  <c r="F1562" i="15"/>
  <c r="F1561" i="15"/>
  <c r="F1560" i="15"/>
  <c r="F1559" i="15"/>
  <c r="F1558" i="15"/>
  <c r="F1557" i="15"/>
  <c r="F1556" i="15"/>
  <c r="F1555" i="15"/>
  <c r="F1554" i="15"/>
  <c r="F1553" i="15"/>
  <c r="F1552" i="15"/>
  <c r="F1551" i="15"/>
  <c r="F1550" i="15"/>
  <c r="F1549" i="15"/>
  <c r="F1548" i="15"/>
  <c r="F1547" i="15"/>
  <c r="F1546" i="15"/>
  <c r="F1545" i="15"/>
  <c r="F1544" i="15"/>
  <c r="H1543" i="15"/>
  <c r="B1543" i="15"/>
  <c r="H1542" i="15"/>
  <c r="B1542" i="15"/>
  <c r="B1541" i="15"/>
  <c r="F1540" i="15"/>
  <c r="F1539" i="15"/>
  <c r="F1538" i="15"/>
  <c r="F1537" i="15"/>
  <c r="F1536" i="15"/>
  <c r="F1535" i="15"/>
  <c r="F1534" i="15"/>
  <c r="F1533" i="15"/>
  <c r="F1532" i="15"/>
  <c r="F1531" i="15"/>
  <c r="F1530" i="15"/>
  <c r="F1529" i="15"/>
  <c r="F1528" i="15"/>
  <c r="F1527" i="15"/>
  <c r="F1526" i="15"/>
  <c r="F1525" i="15"/>
  <c r="H1524" i="15"/>
  <c r="B1524" i="15"/>
  <c r="B1523" i="15"/>
  <c r="F1522" i="15"/>
  <c r="F1521" i="15"/>
  <c r="F1520" i="15"/>
  <c r="F1519" i="15"/>
  <c r="F1518" i="15"/>
  <c r="F1517" i="15"/>
  <c r="F1516" i="15"/>
  <c r="F1515" i="15"/>
  <c r="F1514" i="15"/>
  <c r="F1513" i="15"/>
  <c r="F1512" i="15"/>
  <c r="F1511" i="15"/>
  <c r="F1510" i="15"/>
  <c r="F1509" i="15"/>
  <c r="F1508" i="15"/>
  <c r="F1507" i="15"/>
  <c r="F1506" i="15"/>
  <c r="F1505" i="15"/>
  <c r="F1504" i="15"/>
  <c r="F1503" i="15"/>
  <c r="F1502" i="15"/>
  <c r="C1502" i="15"/>
  <c r="F1501" i="15"/>
  <c r="F1500" i="15"/>
  <c r="F1499" i="15"/>
  <c r="F1498" i="15"/>
  <c r="F1497" i="15"/>
  <c r="F1496" i="15"/>
  <c r="F1495" i="15"/>
  <c r="C1495" i="15"/>
  <c r="F1494" i="15"/>
  <c r="F1493" i="15"/>
  <c r="F1492" i="15"/>
  <c r="F1491" i="15"/>
  <c r="F1490" i="15"/>
  <c r="F1489" i="15"/>
  <c r="F1488" i="15"/>
  <c r="F1487" i="15"/>
  <c r="F1486" i="15"/>
  <c r="F1485" i="15"/>
  <c r="F1484" i="15"/>
  <c r="F1483" i="15"/>
  <c r="F1482" i="15"/>
  <c r="F1481" i="15"/>
  <c r="F1480" i="15"/>
  <c r="F1479" i="15"/>
  <c r="F1478" i="15"/>
  <c r="H1477" i="15"/>
  <c r="B1477" i="15"/>
  <c r="H1476" i="15"/>
  <c r="B1476" i="15"/>
  <c r="B1475" i="15"/>
  <c r="F1474" i="15"/>
  <c r="C1474" i="15"/>
  <c r="F1473" i="15"/>
  <c r="C1473" i="15"/>
  <c r="F1472" i="15"/>
  <c r="C1472" i="15"/>
  <c r="F1471" i="15"/>
  <c r="C1471" i="15"/>
  <c r="F1470" i="15"/>
  <c r="C1470" i="15"/>
  <c r="F1469" i="15"/>
  <c r="C1469" i="15"/>
  <c r="F1468" i="15"/>
  <c r="C1468" i="15"/>
  <c r="F1467" i="15"/>
  <c r="C1467" i="15"/>
  <c r="F1466" i="15"/>
  <c r="C1466" i="15"/>
  <c r="F1465" i="15"/>
  <c r="C1465" i="15"/>
  <c r="F1464" i="15"/>
  <c r="C1464" i="15"/>
  <c r="F1463" i="15"/>
  <c r="C1463" i="15"/>
  <c r="F1462" i="15"/>
  <c r="C1462" i="15"/>
  <c r="F1461" i="15"/>
  <c r="C1461" i="15"/>
  <c r="F1460" i="15"/>
  <c r="C1460" i="15"/>
  <c r="F1459" i="15"/>
  <c r="C1459" i="15"/>
  <c r="F1458" i="15"/>
  <c r="C1458" i="15"/>
  <c r="H1457" i="15"/>
  <c r="B1457" i="15"/>
  <c r="B1456" i="15"/>
  <c r="F1455" i="15"/>
  <c r="F1454" i="15"/>
  <c r="F1453" i="15"/>
  <c r="F1452" i="15"/>
  <c r="F1451" i="15"/>
  <c r="F1450" i="15"/>
  <c r="F1449" i="15"/>
  <c r="F1448" i="15"/>
  <c r="F1447" i="15"/>
  <c r="F1446" i="15"/>
  <c r="F1445" i="15"/>
  <c r="F1444" i="15"/>
  <c r="F1443" i="15"/>
  <c r="F1442" i="15"/>
  <c r="F1441" i="15"/>
  <c r="F1440" i="15"/>
  <c r="F1439" i="15"/>
  <c r="F1438" i="15"/>
  <c r="F1437" i="15"/>
  <c r="F1436" i="15"/>
  <c r="F1435" i="15"/>
  <c r="F1434" i="15"/>
  <c r="F1433" i="15"/>
  <c r="F1432" i="15"/>
  <c r="F1431" i="15"/>
  <c r="F1430" i="15"/>
  <c r="F1429" i="15"/>
  <c r="F1428" i="15"/>
  <c r="F1427" i="15"/>
  <c r="F1426" i="15"/>
  <c r="F1425" i="15"/>
  <c r="F1424" i="15"/>
  <c r="F1423" i="15"/>
  <c r="F1422" i="15"/>
  <c r="F1421" i="15"/>
  <c r="F1420" i="15"/>
  <c r="F1419" i="15"/>
  <c r="F1418" i="15"/>
  <c r="F1417" i="15"/>
  <c r="F1416" i="15"/>
  <c r="F1415" i="15"/>
  <c r="F1414" i="15"/>
  <c r="F1413" i="15"/>
  <c r="F1412" i="15"/>
  <c r="C1412" i="15"/>
  <c r="F1411" i="15"/>
  <c r="F1410" i="15"/>
  <c r="F1409" i="15"/>
  <c r="F1408" i="15"/>
  <c r="F1407" i="15"/>
  <c r="F1406" i="15"/>
  <c r="F1405" i="15"/>
  <c r="F1404" i="15"/>
  <c r="H1403" i="15"/>
  <c r="B1403" i="15"/>
  <c r="H1402" i="15"/>
  <c r="B1402" i="15"/>
  <c r="B1401" i="15"/>
  <c r="F1400" i="15"/>
  <c r="F1399" i="15"/>
  <c r="F1398" i="15"/>
  <c r="F1397" i="15"/>
  <c r="F1396" i="15"/>
  <c r="F1395" i="15"/>
  <c r="F1394" i="15"/>
  <c r="F1393" i="15"/>
  <c r="F1392" i="15"/>
  <c r="F1391" i="15"/>
  <c r="F1390" i="15"/>
  <c r="F1389" i="15"/>
  <c r="F1388" i="15"/>
  <c r="F1387" i="15"/>
  <c r="F1386" i="15"/>
  <c r="F1385" i="15"/>
  <c r="F1384" i="15"/>
  <c r="H1383" i="15"/>
  <c r="B1383" i="15"/>
  <c r="B1382" i="15"/>
  <c r="F1381" i="15"/>
  <c r="F1380" i="15"/>
  <c r="F1379" i="15"/>
  <c r="F1378" i="15"/>
  <c r="F1377" i="15"/>
  <c r="F1376" i="15"/>
  <c r="F1375" i="15"/>
  <c r="F1374" i="15"/>
  <c r="F1373" i="15"/>
  <c r="F1372" i="15"/>
  <c r="F1371" i="15"/>
  <c r="F1370" i="15"/>
  <c r="F1369" i="15"/>
  <c r="F1368" i="15"/>
  <c r="F1367" i="15"/>
  <c r="F1366" i="15"/>
  <c r="F1365" i="15"/>
  <c r="F1364" i="15"/>
  <c r="F1363" i="15"/>
  <c r="F1362" i="15"/>
  <c r="F1361" i="15"/>
  <c r="F1360" i="15"/>
  <c r="F1359" i="15"/>
  <c r="F1358" i="15"/>
  <c r="F1357" i="15"/>
  <c r="F1356" i="15"/>
  <c r="F1355" i="15"/>
  <c r="F1354" i="15"/>
  <c r="F1353" i="15"/>
  <c r="F1352" i="15"/>
  <c r="F1351" i="15"/>
  <c r="F1350" i="15"/>
  <c r="F1349" i="15"/>
  <c r="F1348" i="15"/>
  <c r="F1347" i="15"/>
  <c r="F1346" i="15"/>
  <c r="F1345" i="15"/>
  <c r="F1344" i="15"/>
  <c r="F1343" i="15"/>
  <c r="F1342" i="15"/>
  <c r="F1341" i="15"/>
  <c r="F1340" i="15"/>
  <c r="F1339" i="15"/>
  <c r="F1338" i="15"/>
  <c r="F1337" i="15"/>
  <c r="F1336" i="15"/>
  <c r="F1335" i="15"/>
  <c r="F1334" i="15"/>
  <c r="F1333" i="15"/>
  <c r="F1332" i="15"/>
  <c r="F1331" i="15"/>
  <c r="F1330" i="15"/>
  <c r="H1329" i="15"/>
  <c r="B1329" i="15"/>
  <c r="H1328" i="15"/>
  <c r="B1328" i="15"/>
  <c r="B1327" i="15"/>
  <c r="F1326" i="15"/>
  <c r="C1326" i="15"/>
  <c r="F1325" i="15"/>
  <c r="C1325" i="15"/>
  <c r="F1324" i="15"/>
  <c r="C1324" i="15"/>
  <c r="F1323" i="15"/>
  <c r="C1323" i="15"/>
  <c r="F1322" i="15"/>
  <c r="C1322" i="15"/>
  <c r="F1321" i="15"/>
  <c r="C1321" i="15"/>
  <c r="H1320" i="15"/>
  <c r="B1320" i="15"/>
  <c r="B1319" i="15"/>
  <c r="F1318" i="15"/>
  <c r="F1317" i="15"/>
  <c r="F1316" i="15"/>
  <c r="F1315" i="15"/>
  <c r="F1314" i="15"/>
  <c r="F1313" i="15"/>
  <c r="F1312" i="15"/>
  <c r="F1311" i="15"/>
  <c r="F1310" i="15"/>
  <c r="F1309" i="15"/>
  <c r="F1308" i="15"/>
  <c r="H1307" i="15"/>
  <c r="B1307" i="15"/>
  <c r="H1306" i="15"/>
  <c r="B1306" i="15"/>
  <c r="B1305" i="15"/>
  <c r="F1304" i="15"/>
  <c r="H1303" i="15"/>
  <c r="B1303" i="15"/>
  <c r="B1302" i="15"/>
  <c r="F1301" i="15"/>
  <c r="F1300" i="15"/>
  <c r="F1299" i="15"/>
  <c r="F1298" i="15"/>
  <c r="F1297" i="15"/>
  <c r="F1296" i="15"/>
  <c r="F1295" i="15"/>
  <c r="F1294" i="15"/>
  <c r="F1293" i="15"/>
  <c r="F1292" i="15"/>
  <c r="F1291" i="15"/>
  <c r="F1290" i="15"/>
  <c r="F1289" i="15"/>
  <c r="F1288" i="15"/>
  <c r="F1287" i="15"/>
  <c r="F1286" i="15"/>
  <c r="F1285" i="15"/>
  <c r="F1284" i="15"/>
  <c r="H1283" i="15"/>
  <c r="B1283" i="15"/>
  <c r="H1282" i="15"/>
  <c r="B1282" i="15"/>
  <c r="B1281" i="15"/>
  <c r="F1280" i="15"/>
  <c r="C1280" i="15"/>
  <c r="F1279" i="15"/>
  <c r="C1279" i="15"/>
  <c r="F1278" i="15"/>
  <c r="C1278" i="15"/>
  <c r="F1277" i="15"/>
  <c r="C1277" i="15"/>
  <c r="F1276" i="15"/>
  <c r="C1276" i="15"/>
  <c r="F1275" i="15"/>
  <c r="C1275" i="15"/>
  <c r="F1274" i="15"/>
  <c r="C1274" i="15"/>
  <c r="F1273" i="15"/>
  <c r="C1273" i="15"/>
  <c r="F1272" i="15"/>
  <c r="C1272" i="15"/>
  <c r="H1271" i="15"/>
  <c r="B1271" i="15"/>
  <c r="B1270" i="15"/>
  <c r="F1269" i="15"/>
  <c r="F1268" i="15"/>
  <c r="F1267" i="15"/>
  <c r="F1266" i="15"/>
  <c r="F1265" i="15"/>
  <c r="F1264" i="15"/>
  <c r="F1263" i="15"/>
  <c r="F1262" i="15"/>
  <c r="F1261" i="15"/>
  <c r="F1260" i="15"/>
  <c r="F1259" i="15"/>
  <c r="F1258" i="15"/>
  <c r="F1257" i="15"/>
  <c r="F1256" i="15"/>
  <c r="F1255" i="15"/>
  <c r="F1254" i="15"/>
  <c r="F1253" i="15"/>
  <c r="F1252" i="15"/>
  <c r="F1251" i="15"/>
  <c r="F1250" i="15"/>
  <c r="F1249" i="15"/>
  <c r="F1248" i="15"/>
  <c r="F1247" i="15"/>
  <c r="F1246" i="15"/>
  <c r="F1245" i="15"/>
  <c r="F1244" i="15"/>
  <c r="H1243" i="15"/>
  <c r="B1243" i="15"/>
  <c r="H1242" i="15"/>
  <c r="B1242" i="15"/>
  <c r="B1241" i="15"/>
  <c r="J1240" i="15"/>
  <c r="F1240" i="15"/>
  <c r="C1240" i="15"/>
  <c r="J1239" i="15"/>
  <c r="F1239" i="15"/>
  <c r="C1239" i="15"/>
  <c r="J1238" i="15"/>
  <c r="F1238" i="15"/>
  <c r="C1238" i="15"/>
  <c r="F1237" i="15"/>
  <c r="C1237" i="15"/>
  <c r="F1236" i="15"/>
  <c r="C1236" i="15"/>
  <c r="F1235" i="15"/>
  <c r="C1235" i="15"/>
  <c r="F1234" i="15"/>
  <c r="C1234" i="15"/>
  <c r="F1233" i="15"/>
  <c r="C1233" i="15"/>
  <c r="F1232" i="15"/>
  <c r="C1232" i="15"/>
  <c r="F1231" i="15"/>
  <c r="C1231" i="15"/>
  <c r="F1230" i="15"/>
  <c r="C1230" i="15"/>
  <c r="F1229" i="15"/>
  <c r="C1229" i="15"/>
  <c r="F1228" i="15"/>
  <c r="C1228" i="15"/>
  <c r="F1227" i="15"/>
  <c r="C1227" i="15"/>
  <c r="F1226" i="15"/>
  <c r="C1226" i="15"/>
  <c r="F1225" i="15"/>
  <c r="C1225" i="15"/>
  <c r="F1224" i="15"/>
  <c r="C1224" i="15"/>
  <c r="F1223" i="15"/>
  <c r="C1223" i="15"/>
  <c r="F1222" i="15"/>
  <c r="C1222" i="15"/>
  <c r="F1221" i="15"/>
  <c r="C1221" i="15"/>
  <c r="F1220" i="15"/>
  <c r="C1220" i="15"/>
  <c r="F1219" i="15"/>
  <c r="C1219" i="15"/>
  <c r="F1218" i="15"/>
  <c r="C1218" i="15"/>
  <c r="F1217" i="15"/>
  <c r="C1217" i="15"/>
  <c r="F1216" i="15"/>
  <c r="C1216" i="15"/>
  <c r="F1215" i="15"/>
  <c r="C1215" i="15"/>
  <c r="F1214" i="15"/>
  <c r="C1214" i="15"/>
  <c r="F1213" i="15"/>
  <c r="C1213" i="15"/>
  <c r="F1212" i="15"/>
  <c r="C1212" i="15"/>
  <c r="F1211" i="15"/>
  <c r="C1211" i="15"/>
  <c r="F1210" i="15"/>
  <c r="C1210" i="15"/>
  <c r="F1209" i="15"/>
  <c r="C1209" i="15"/>
  <c r="F1208" i="15"/>
  <c r="C1208" i="15"/>
  <c r="F1207" i="15"/>
  <c r="C1207" i="15"/>
  <c r="F1206" i="15"/>
  <c r="C1206" i="15"/>
  <c r="F1205" i="15"/>
  <c r="C1205" i="15"/>
  <c r="F1204" i="15"/>
  <c r="C1204" i="15"/>
  <c r="F1203" i="15"/>
  <c r="C1203" i="15"/>
  <c r="F1202" i="15"/>
  <c r="C1202" i="15"/>
  <c r="F1201" i="15"/>
  <c r="C1201" i="15"/>
  <c r="F1200" i="15"/>
  <c r="C1200" i="15"/>
  <c r="F1199" i="15"/>
  <c r="C1199" i="15"/>
  <c r="F1198" i="15"/>
  <c r="C1198" i="15"/>
  <c r="F1197" i="15"/>
  <c r="C1197" i="15"/>
  <c r="H1196" i="15"/>
  <c r="B1196" i="15"/>
  <c r="B1195" i="15"/>
  <c r="J1194" i="15"/>
  <c r="F1194" i="15"/>
  <c r="C1194" i="15"/>
  <c r="J1193" i="15"/>
  <c r="F1193" i="15"/>
  <c r="J1192" i="15"/>
  <c r="F1192" i="15"/>
  <c r="J1191" i="15"/>
  <c r="F1191" i="15"/>
  <c r="J1190" i="15"/>
  <c r="F1190" i="15"/>
  <c r="J1189" i="15"/>
  <c r="F1189" i="15"/>
  <c r="J1188" i="15"/>
  <c r="F1188" i="15"/>
  <c r="J1187" i="15"/>
  <c r="F1187" i="15"/>
  <c r="J1186" i="15"/>
  <c r="F1186" i="15"/>
  <c r="J1185" i="15"/>
  <c r="F1185" i="15"/>
  <c r="J1184" i="15"/>
  <c r="F1184" i="15"/>
  <c r="J1183" i="15"/>
  <c r="F1183" i="15"/>
  <c r="J1182" i="15"/>
  <c r="F1182" i="15"/>
  <c r="J1181" i="15"/>
  <c r="F1181" i="15"/>
  <c r="J1180" i="15"/>
  <c r="F1180" i="15"/>
  <c r="J1179" i="15"/>
  <c r="F1179" i="15"/>
  <c r="J1178" i="15"/>
  <c r="F1178" i="15"/>
  <c r="J1177" i="15"/>
  <c r="F1177" i="15"/>
  <c r="J1176" i="15"/>
  <c r="F1176" i="15"/>
  <c r="J1175" i="15"/>
  <c r="F1175" i="15"/>
  <c r="J1174" i="15"/>
  <c r="F1174" i="15"/>
  <c r="J1173" i="15"/>
  <c r="F1173" i="15"/>
  <c r="J1172" i="15"/>
  <c r="F1172" i="15"/>
  <c r="J1171" i="15"/>
  <c r="F1171" i="15"/>
  <c r="J1170" i="15"/>
  <c r="F1170" i="15"/>
  <c r="J1169" i="15"/>
  <c r="F1169" i="15"/>
  <c r="J1168" i="15"/>
  <c r="F1168" i="15"/>
  <c r="J1167" i="15"/>
  <c r="F1167" i="15"/>
  <c r="J1166" i="15"/>
  <c r="F1166" i="15"/>
  <c r="J1165" i="15"/>
  <c r="F1165" i="15"/>
  <c r="J1164" i="15"/>
  <c r="F1164" i="15"/>
  <c r="J1163" i="15"/>
  <c r="F1163" i="15"/>
  <c r="J1162" i="15"/>
  <c r="F1162" i="15"/>
  <c r="J1161" i="15"/>
  <c r="F1161" i="15"/>
  <c r="J1160" i="15"/>
  <c r="F1160" i="15"/>
  <c r="J1159" i="15"/>
  <c r="F1159" i="15"/>
  <c r="J1158" i="15"/>
  <c r="F1158" i="15"/>
  <c r="J1157" i="15"/>
  <c r="F1157" i="15"/>
  <c r="J1156" i="15"/>
  <c r="F1156" i="15"/>
  <c r="J1155" i="15"/>
  <c r="F1155" i="15"/>
  <c r="C1155" i="15"/>
  <c r="J1154" i="15"/>
  <c r="F1154" i="15"/>
  <c r="J1153" i="15"/>
  <c r="F1153" i="15"/>
  <c r="J1152" i="15"/>
  <c r="F1152" i="15"/>
  <c r="J1151" i="15"/>
  <c r="F1151" i="15"/>
  <c r="J1150" i="15"/>
  <c r="F1150" i="15"/>
  <c r="J1149" i="15"/>
  <c r="F1149" i="15"/>
  <c r="J1148" i="15"/>
  <c r="F1148" i="15"/>
  <c r="J1147" i="15"/>
  <c r="F1147" i="15"/>
  <c r="J1146" i="15"/>
  <c r="F1146" i="15"/>
  <c r="J1145" i="15"/>
  <c r="F1145" i="15"/>
  <c r="J1144" i="15"/>
  <c r="F1144" i="15"/>
  <c r="J1143" i="15"/>
  <c r="F1143" i="15"/>
  <c r="J1142" i="15"/>
  <c r="F1142" i="15"/>
  <c r="J1141" i="15"/>
  <c r="F1141" i="15"/>
  <c r="J1140" i="15"/>
  <c r="F1140" i="15"/>
  <c r="J1139" i="15"/>
  <c r="F1139" i="15"/>
  <c r="J1138" i="15"/>
  <c r="F1138" i="15"/>
  <c r="J1137" i="15"/>
  <c r="F1137" i="15"/>
  <c r="J1136" i="15"/>
  <c r="F1136" i="15"/>
  <c r="J1135" i="15"/>
  <c r="F1135" i="15"/>
  <c r="J1134" i="15"/>
  <c r="F1134" i="15"/>
  <c r="J1133" i="15"/>
  <c r="F1133" i="15"/>
  <c r="J1132" i="15"/>
  <c r="F1132" i="15"/>
  <c r="J1131" i="15"/>
  <c r="F1131" i="15"/>
  <c r="J1130" i="15"/>
  <c r="F1130" i="15"/>
  <c r="J1129" i="15"/>
  <c r="F1129" i="15"/>
  <c r="J1128" i="15"/>
  <c r="F1128" i="15"/>
  <c r="J1127" i="15"/>
  <c r="F1127" i="15"/>
  <c r="J1126" i="15"/>
  <c r="F1126" i="15"/>
  <c r="J1125" i="15"/>
  <c r="F1125" i="15"/>
  <c r="J1124" i="15"/>
  <c r="F1124" i="15"/>
  <c r="J1123" i="15"/>
  <c r="F1123" i="15"/>
  <c r="J1122" i="15"/>
  <c r="F1122" i="15"/>
  <c r="J1121" i="15"/>
  <c r="F1121" i="15"/>
  <c r="J1120" i="15"/>
  <c r="F1120" i="15"/>
  <c r="J1119" i="15"/>
  <c r="F1119" i="15"/>
  <c r="J1118" i="15"/>
  <c r="F1118" i="15"/>
  <c r="J1117" i="15"/>
  <c r="F1117" i="15"/>
  <c r="J1116" i="15"/>
  <c r="F1116" i="15"/>
  <c r="C1116" i="15"/>
  <c r="J1115" i="15"/>
  <c r="F1115" i="15"/>
  <c r="J1114" i="15"/>
  <c r="F1114" i="15"/>
  <c r="J1113" i="15"/>
  <c r="F1113" i="15"/>
  <c r="J1112" i="15"/>
  <c r="F1112" i="15"/>
  <c r="J1111" i="15"/>
  <c r="F1111" i="15"/>
  <c r="J1110" i="15"/>
  <c r="F1110" i="15"/>
  <c r="J1109" i="15"/>
  <c r="F1109" i="15"/>
  <c r="J1108" i="15"/>
  <c r="F1108" i="15"/>
  <c r="J1107" i="15"/>
  <c r="F1107" i="15"/>
  <c r="J1106" i="15"/>
  <c r="F1106" i="15"/>
  <c r="J1105" i="15"/>
  <c r="F1105" i="15"/>
  <c r="J1104" i="15"/>
  <c r="F1104" i="15"/>
  <c r="J1103" i="15"/>
  <c r="F1103" i="15"/>
  <c r="J1102" i="15"/>
  <c r="F1102" i="15"/>
  <c r="J1101" i="15"/>
  <c r="F1101" i="15"/>
  <c r="J1100" i="15"/>
  <c r="F1100" i="15"/>
  <c r="J1099" i="15"/>
  <c r="F1099" i="15"/>
  <c r="J1098" i="15"/>
  <c r="F1098" i="15"/>
  <c r="J1097" i="15"/>
  <c r="F1097" i="15"/>
  <c r="J1096" i="15"/>
  <c r="F1096" i="15"/>
  <c r="J1095" i="15"/>
  <c r="F1095" i="15"/>
  <c r="J1094" i="15"/>
  <c r="F1094" i="15"/>
  <c r="J1093" i="15"/>
  <c r="F1093" i="15"/>
  <c r="J1092" i="15"/>
  <c r="F1092" i="15"/>
  <c r="J1091" i="15"/>
  <c r="F1091" i="15"/>
  <c r="J1090" i="15"/>
  <c r="F1090" i="15"/>
  <c r="J1089" i="15"/>
  <c r="F1089" i="15"/>
  <c r="J1088" i="15"/>
  <c r="F1088" i="15"/>
  <c r="J1087" i="15"/>
  <c r="F1087" i="15"/>
  <c r="J1086" i="15"/>
  <c r="F1086" i="15"/>
  <c r="J1085" i="15"/>
  <c r="F1085" i="15"/>
  <c r="J1084" i="15"/>
  <c r="F1084" i="15"/>
  <c r="J1083" i="15"/>
  <c r="F1083" i="15"/>
  <c r="J1082" i="15"/>
  <c r="F1082" i="15"/>
  <c r="J1081" i="15"/>
  <c r="F1081" i="15"/>
  <c r="J1080" i="15"/>
  <c r="F1080" i="15"/>
  <c r="J1079" i="15"/>
  <c r="F1079" i="15"/>
  <c r="J1078" i="15"/>
  <c r="F1078" i="15"/>
  <c r="F1077" i="15"/>
  <c r="F1076" i="15"/>
  <c r="F1075" i="15"/>
  <c r="F1074" i="15"/>
  <c r="F1073" i="15"/>
  <c r="F1072" i="15"/>
  <c r="F1071" i="15"/>
  <c r="F1070" i="15"/>
  <c r="F1069" i="15"/>
  <c r="F1068" i="15"/>
  <c r="F1067" i="15"/>
  <c r="F1066" i="15"/>
  <c r="F1065" i="15"/>
  <c r="F1064" i="15"/>
  <c r="F1063" i="15"/>
  <c r="F1062" i="15"/>
  <c r="F1061" i="15"/>
  <c r="F1060" i="15"/>
  <c r="F1059" i="15"/>
  <c r="F1058" i="15"/>
  <c r="F1057" i="15"/>
  <c r="F1056" i="15"/>
  <c r="F1055" i="15"/>
  <c r="F1054" i="15"/>
  <c r="F1053" i="15"/>
  <c r="F1052" i="15"/>
  <c r="F1051" i="15"/>
  <c r="F1050" i="15"/>
  <c r="F1049" i="15"/>
  <c r="F1048" i="15"/>
  <c r="F1047" i="15"/>
  <c r="F1046" i="15"/>
  <c r="F1045" i="15"/>
  <c r="F1044" i="15"/>
  <c r="F1043" i="15"/>
  <c r="F1042" i="15"/>
  <c r="F1041" i="15"/>
  <c r="F1040" i="15"/>
  <c r="F1039" i="15"/>
  <c r="F1038" i="15"/>
  <c r="F1037" i="15"/>
  <c r="F1036" i="15"/>
  <c r="F1035" i="15"/>
  <c r="F1034" i="15"/>
  <c r="F1033" i="15"/>
  <c r="F1032" i="15"/>
  <c r="F1031" i="15"/>
  <c r="F1030" i="15"/>
  <c r="F1029" i="15"/>
  <c r="F1028" i="15"/>
  <c r="F1027" i="15"/>
  <c r="F1026" i="15"/>
  <c r="F1025" i="15"/>
  <c r="F1024" i="15"/>
  <c r="F1023" i="15"/>
  <c r="F1022" i="15"/>
  <c r="F1021" i="15"/>
  <c r="F1020" i="15"/>
  <c r="F1019" i="15"/>
  <c r="F1018" i="15"/>
  <c r="F1017" i="15"/>
  <c r="F1016" i="15"/>
  <c r="F1015" i="15"/>
  <c r="F1014" i="15"/>
  <c r="F1013" i="15"/>
  <c r="F1012" i="15"/>
  <c r="F1011" i="15"/>
  <c r="F1010" i="15"/>
  <c r="F1009" i="15"/>
  <c r="F1008" i="15"/>
  <c r="F1007" i="15"/>
  <c r="F1006" i="15"/>
  <c r="F1005" i="15"/>
  <c r="F1004" i="15"/>
  <c r="F1003" i="15"/>
  <c r="F1002" i="15"/>
  <c r="F1001" i="15"/>
  <c r="F1000" i="15"/>
  <c r="F999" i="15"/>
  <c r="F998" i="15"/>
  <c r="F997" i="15"/>
  <c r="F996" i="15"/>
  <c r="F995" i="15"/>
  <c r="F994" i="15"/>
  <c r="F993" i="15"/>
  <c r="F992" i="15"/>
  <c r="F991" i="15"/>
  <c r="F990" i="15"/>
  <c r="F989" i="15"/>
  <c r="F988" i="15"/>
  <c r="F987" i="15"/>
  <c r="F986" i="15"/>
  <c r="F985" i="15"/>
  <c r="F984" i="15"/>
  <c r="F983" i="15"/>
  <c r="F982" i="15"/>
  <c r="F981" i="15"/>
  <c r="F980" i="15"/>
  <c r="F979" i="15"/>
  <c r="F978" i="15"/>
  <c r="F977" i="15"/>
  <c r="F976" i="15"/>
  <c r="F975" i="15"/>
  <c r="F974" i="15"/>
  <c r="F973" i="15"/>
  <c r="F972" i="15"/>
  <c r="F971" i="15"/>
  <c r="F970" i="15"/>
  <c r="F969" i="15"/>
  <c r="F968" i="15"/>
  <c r="F967" i="15"/>
  <c r="F966" i="15"/>
  <c r="F965" i="15"/>
  <c r="F964" i="15"/>
  <c r="F963" i="15"/>
  <c r="F962" i="15"/>
  <c r="F961" i="15"/>
  <c r="F960" i="15"/>
  <c r="F959" i="15"/>
  <c r="F958" i="15"/>
  <c r="F957" i="15"/>
  <c r="F956" i="15"/>
  <c r="F955" i="15"/>
  <c r="F954" i="15"/>
  <c r="F953" i="15"/>
  <c r="F952" i="15"/>
  <c r="F951" i="15"/>
  <c r="F950" i="15"/>
  <c r="F949" i="15"/>
  <c r="F948" i="15"/>
  <c r="F947" i="15"/>
  <c r="F946" i="15"/>
  <c r="F945" i="15"/>
  <c r="F944" i="15"/>
  <c r="F943" i="15"/>
  <c r="F942" i="15"/>
  <c r="F941" i="15"/>
  <c r="F940" i="15"/>
  <c r="F939" i="15"/>
  <c r="F938" i="15"/>
  <c r="F937" i="15"/>
  <c r="F936" i="15"/>
  <c r="F935" i="15"/>
  <c r="F934" i="15"/>
  <c r="F933" i="15"/>
  <c r="F932" i="15"/>
  <c r="F931" i="15"/>
  <c r="F930" i="15"/>
  <c r="F929" i="15"/>
  <c r="F928" i="15"/>
  <c r="F927" i="15"/>
  <c r="F926" i="15"/>
  <c r="F925" i="15"/>
  <c r="F924" i="15"/>
  <c r="F923" i="15"/>
  <c r="F922" i="15"/>
  <c r="F921" i="15"/>
  <c r="F920" i="15"/>
  <c r="F919" i="15"/>
  <c r="F918" i="15"/>
  <c r="F917" i="15"/>
  <c r="F916" i="15"/>
  <c r="F915" i="15"/>
  <c r="F914" i="15"/>
  <c r="F913" i="15"/>
  <c r="F912" i="15"/>
  <c r="F911" i="15"/>
  <c r="F910" i="15"/>
  <c r="F909" i="15"/>
  <c r="F908" i="15"/>
  <c r="F907" i="15"/>
  <c r="F906" i="15"/>
  <c r="F905" i="15"/>
  <c r="F904" i="15"/>
  <c r="F903" i="15"/>
  <c r="F902" i="15"/>
  <c r="F901" i="15"/>
  <c r="F900" i="15"/>
  <c r="F899" i="15"/>
  <c r="F898" i="15"/>
  <c r="H897" i="15"/>
  <c r="B897" i="15"/>
  <c r="H896" i="15"/>
  <c r="B896" i="15"/>
  <c r="B895" i="15"/>
  <c r="F894" i="15"/>
  <c r="C894" i="15"/>
  <c r="F893" i="15"/>
  <c r="C893" i="15"/>
  <c r="F892" i="15"/>
  <c r="C892" i="15"/>
  <c r="F891" i="15"/>
  <c r="C891" i="15"/>
  <c r="F890" i="15"/>
  <c r="C890" i="15"/>
  <c r="F889" i="15"/>
  <c r="C889" i="15"/>
  <c r="F888" i="15"/>
  <c r="C888" i="15"/>
  <c r="F887" i="15"/>
  <c r="C887" i="15"/>
  <c r="F886" i="15"/>
  <c r="C886" i="15"/>
  <c r="H885" i="15"/>
  <c r="B885" i="15"/>
  <c r="B884" i="15"/>
  <c r="F883" i="15"/>
  <c r="F882" i="15"/>
  <c r="F881" i="15"/>
  <c r="F880" i="15"/>
  <c r="F879" i="15"/>
  <c r="F878" i="15"/>
  <c r="F877" i="15"/>
  <c r="F876" i="15"/>
  <c r="F875" i="15"/>
  <c r="F874" i="15"/>
  <c r="C874" i="15"/>
  <c r="F873" i="15"/>
  <c r="F872" i="15"/>
  <c r="F871" i="15"/>
  <c r="F870" i="15"/>
  <c r="F869" i="15"/>
  <c r="F868" i="15"/>
  <c r="F867" i="15"/>
  <c r="F866" i="15"/>
  <c r="F865" i="15"/>
  <c r="F864" i="15"/>
  <c r="F863" i="15"/>
  <c r="F862" i="15"/>
  <c r="F861" i="15"/>
  <c r="H860" i="15"/>
  <c r="B860" i="15"/>
  <c r="H859" i="15"/>
  <c r="B859" i="15"/>
  <c r="B858" i="15"/>
  <c r="F857" i="15"/>
  <c r="C857" i="15"/>
  <c r="F856" i="15"/>
  <c r="C856" i="15"/>
  <c r="F855" i="15"/>
  <c r="C855" i="15"/>
  <c r="F854" i="15"/>
  <c r="C854" i="15"/>
  <c r="F853" i="15"/>
  <c r="C853" i="15"/>
  <c r="F852" i="15"/>
  <c r="C852" i="15"/>
  <c r="F851" i="15"/>
  <c r="C851" i="15"/>
  <c r="F850" i="15"/>
  <c r="C850" i="15"/>
  <c r="F849" i="15"/>
  <c r="C849" i="15"/>
  <c r="H848" i="15"/>
  <c r="B848" i="15"/>
  <c r="B847" i="15"/>
  <c r="F846" i="15"/>
  <c r="F845" i="15"/>
  <c r="F844" i="15"/>
  <c r="F843" i="15"/>
  <c r="F842" i="15"/>
  <c r="F841" i="15"/>
  <c r="F840" i="15"/>
  <c r="F839" i="15"/>
  <c r="F838" i="15"/>
  <c r="F837" i="15"/>
  <c r="C837" i="15"/>
  <c r="F836" i="15"/>
  <c r="F835" i="15"/>
  <c r="F834" i="15"/>
  <c r="F833" i="15"/>
  <c r="F832" i="15"/>
  <c r="F831" i="15"/>
  <c r="F830" i="15"/>
  <c r="F829" i="15"/>
  <c r="F828" i="15"/>
  <c r="F827" i="15"/>
  <c r="F826" i="15"/>
  <c r="F825" i="15"/>
  <c r="F824" i="15"/>
  <c r="H823" i="15"/>
  <c r="B823" i="15"/>
  <c r="H822" i="15"/>
  <c r="B822" i="15"/>
  <c r="B821" i="15"/>
  <c r="F820" i="15"/>
  <c r="C820" i="15"/>
  <c r="F819" i="15"/>
  <c r="C819" i="15"/>
  <c r="F818" i="15"/>
  <c r="C818" i="15"/>
  <c r="F817" i="15"/>
  <c r="C817" i="15"/>
  <c r="F816" i="15"/>
  <c r="C816" i="15"/>
  <c r="F815" i="15"/>
  <c r="C815" i="15"/>
  <c r="F814" i="15"/>
  <c r="C814" i="15"/>
  <c r="F813" i="15"/>
  <c r="C813" i="15"/>
  <c r="F812" i="15"/>
  <c r="C812" i="15"/>
  <c r="H811" i="15"/>
  <c r="B811" i="15"/>
  <c r="B810" i="15"/>
  <c r="F809" i="15"/>
  <c r="F808" i="15"/>
  <c r="F807" i="15"/>
  <c r="F806" i="15"/>
  <c r="F805" i="15"/>
  <c r="F804" i="15"/>
  <c r="F803" i="15"/>
  <c r="F802" i="15"/>
  <c r="F801" i="15"/>
  <c r="F800" i="15"/>
  <c r="C800" i="15"/>
  <c r="F799" i="15"/>
  <c r="F798" i="15"/>
  <c r="F797" i="15"/>
  <c r="F796" i="15"/>
  <c r="F795" i="15"/>
  <c r="F794" i="15"/>
  <c r="F793" i="15"/>
  <c r="F792" i="15"/>
  <c r="F791" i="15"/>
  <c r="F790" i="15"/>
  <c r="F789" i="15"/>
  <c r="F788" i="15"/>
  <c r="F787" i="15"/>
  <c r="H786" i="15"/>
  <c r="B786" i="15"/>
  <c r="H785" i="15"/>
  <c r="B785" i="15"/>
  <c r="B784" i="15"/>
  <c r="F783" i="15"/>
  <c r="C783" i="15"/>
  <c r="F782" i="15"/>
  <c r="C782" i="15"/>
  <c r="F781" i="15"/>
  <c r="C781" i="15"/>
  <c r="F780" i="15"/>
  <c r="C780" i="15"/>
  <c r="F779" i="15"/>
  <c r="C779" i="15"/>
  <c r="F778" i="15"/>
  <c r="C778" i="15"/>
  <c r="F777" i="15"/>
  <c r="C777" i="15"/>
  <c r="F776" i="15"/>
  <c r="C776" i="15"/>
  <c r="F775" i="15"/>
  <c r="C775" i="15"/>
  <c r="H774" i="15"/>
  <c r="B774" i="15"/>
  <c r="B773" i="15"/>
  <c r="F772" i="15"/>
  <c r="F771" i="15"/>
  <c r="F770" i="15"/>
  <c r="F769" i="15"/>
  <c r="F768" i="15"/>
  <c r="F767" i="15"/>
  <c r="F766" i="15"/>
  <c r="F765" i="15"/>
  <c r="F764" i="15"/>
  <c r="F763" i="15"/>
  <c r="C763" i="15"/>
  <c r="F762" i="15"/>
  <c r="F761" i="15"/>
  <c r="F760" i="15"/>
  <c r="F759" i="15"/>
  <c r="F758" i="15"/>
  <c r="F757" i="15"/>
  <c r="F756" i="15"/>
  <c r="F755" i="15"/>
  <c r="F754" i="15"/>
  <c r="F753" i="15"/>
  <c r="F752" i="15"/>
  <c r="F751" i="15"/>
  <c r="F750" i="15"/>
  <c r="H749" i="15"/>
  <c r="B749" i="15"/>
  <c r="H748" i="15"/>
  <c r="B748" i="15"/>
  <c r="B747" i="15"/>
  <c r="F746" i="15"/>
  <c r="C746" i="15"/>
  <c r="F745" i="15"/>
  <c r="C745" i="15"/>
  <c r="F744" i="15"/>
  <c r="C744" i="15"/>
  <c r="F743" i="15"/>
  <c r="C743" i="15"/>
  <c r="F742" i="15"/>
  <c r="C742" i="15"/>
  <c r="F741" i="15"/>
  <c r="C741" i="15"/>
  <c r="F740" i="15"/>
  <c r="C740" i="15"/>
  <c r="F739" i="15"/>
  <c r="C739" i="15"/>
  <c r="F738" i="15"/>
  <c r="C738" i="15"/>
  <c r="H737" i="15"/>
  <c r="B737" i="15"/>
  <c r="B736" i="15"/>
  <c r="F735" i="15"/>
  <c r="F734" i="15"/>
  <c r="F733" i="15"/>
  <c r="F732" i="15"/>
  <c r="F731" i="15"/>
  <c r="F730" i="15"/>
  <c r="F729" i="15"/>
  <c r="F728" i="15"/>
  <c r="F727" i="15"/>
  <c r="F726" i="15"/>
  <c r="C726" i="15"/>
  <c r="F725" i="15"/>
  <c r="F724" i="15"/>
  <c r="F723" i="15"/>
  <c r="F722" i="15"/>
  <c r="F721" i="15"/>
  <c r="F720" i="15"/>
  <c r="F719" i="15"/>
  <c r="F718" i="15"/>
  <c r="F717" i="15"/>
  <c r="F716" i="15"/>
  <c r="F715" i="15"/>
  <c r="F714" i="15"/>
  <c r="F713" i="15"/>
  <c r="H712" i="15"/>
  <c r="B712" i="15"/>
  <c r="H711" i="15"/>
  <c r="B711" i="15"/>
  <c r="B710" i="15"/>
  <c r="F709" i="15"/>
  <c r="C709" i="15"/>
  <c r="F708" i="15"/>
  <c r="C708" i="15"/>
  <c r="F707" i="15"/>
  <c r="C707" i="15"/>
  <c r="F706" i="15"/>
  <c r="C706" i="15"/>
  <c r="F705" i="15"/>
  <c r="C705" i="15"/>
  <c r="F704" i="15"/>
  <c r="C704" i="15"/>
  <c r="F703" i="15"/>
  <c r="C703" i="15"/>
  <c r="H702" i="15"/>
  <c r="B702" i="15"/>
  <c r="B701" i="15"/>
  <c r="F700" i="15"/>
  <c r="F699" i="15"/>
  <c r="F698" i="15"/>
  <c r="F697" i="15"/>
  <c r="F696" i="15"/>
  <c r="F695" i="15"/>
  <c r="F694" i="15"/>
  <c r="F693" i="15"/>
  <c r="F692" i="15"/>
  <c r="F691" i="15"/>
  <c r="F690" i="15"/>
  <c r="F689" i="15"/>
  <c r="F688" i="15"/>
  <c r="F687" i="15"/>
  <c r="F686" i="15"/>
  <c r="F685" i="15"/>
  <c r="F684" i="15"/>
  <c r="F683" i="15"/>
  <c r="F682" i="15"/>
  <c r="F681" i="15"/>
  <c r="F680" i="15"/>
  <c r="F679" i="15"/>
  <c r="F678" i="15"/>
  <c r="F677" i="15"/>
  <c r="F676" i="15"/>
  <c r="F675" i="15"/>
  <c r="F674" i="15"/>
  <c r="F673" i="15"/>
  <c r="F672" i="15"/>
  <c r="F671" i="15"/>
  <c r="F670" i="15"/>
  <c r="F669" i="15"/>
  <c r="F668" i="15"/>
  <c r="F667" i="15"/>
  <c r="F666" i="15"/>
  <c r="F665" i="15"/>
  <c r="F664" i="15"/>
  <c r="F663" i="15"/>
  <c r="F662" i="15"/>
  <c r="F661" i="15"/>
  <c r="H660" i="15"/>
  <c r="B660" i="15"/>
  <c r="H659" i="15"/>
  <c r="B659" i="15"/>
  <c r="B658" i="15"/>
  <c r="F657" i="15"/>
  <c r="C657" i="15"/>
  <c r="F656" i="15"/>
  <c r="C656" i="15"/>
  <c r="F655" i="15"/>
  <c r="C655" i="15"/>
  <c r="F654" i="15"/>
  <c r="C654" i="15"/>
  <c r="F653" i="15"/>
  <c r="C653" i="15"/>
  <c r="F652" i="15"/>
  <c r="C652" i="15"/>
  <c r="F651" i="15"/>
  <c r="C651" i="15"/>
  <c r="F650" i="15"/>
  <c r="C650" i="15"/>
  <c r="F649" i="15"/>
  <c r="C649" i="15"/>
  <c r="F648" i="15"/>
  <c r="C648" i="15"/>
  <c r="F647" i="15"/>
  <c r="C647" i="15"/>
  <c r="H646" i="15"/>
  <c r="B646" i="15"/>
  <c r="B645" i="15"/>
  <c r="F644" i="15"/>
  <c r="F643" i="15"/>
  <c r="F642" i="15"/>
  <c r="F641" i="15"/>
  <c r="F640" i="15"/>
  <c r="F639" i="15"/>
  <c r="F638" i="15"/>
  <c r="F637" i="15"/>
  <c r="F636" i="15"/>
  <c r="F635" i="15"/>
  <c r="F634" i="15"/>
  <c r="F633" i="15"/>
  <c r="F632" i="15"/>
  <c r="F631" i="15"/>
  <c r="F630" i="15"/>
  <c r="F629" i="15"/>
  <c r="F628" i="15"/>
  <c r="F627" i="15"/>
  <c r="F626" i="15"/>
  <c r="F625" i="15"/>
  <c r="F624" i="15"/>
  <c r="F623" i="15"/>
  <c r="F622" i="15"/>
  <c r="F621" i="15"/>
  <c r="F620" i="15"/>
  <c r="F619" i="15"/>
  <c r="F618" i="15"/>
  <c r="F617" i="15"/>
  <c r="F616" i="15"/>
  <c r="F615" i="15"/>
  <c r="F614" i="15"/>
  <c r="F613" i="15"/>
  <c r="F612" i="15"/>
  <c r="F611" i="15"/>
  <c r="F610" i="15"/>
  <c r="F609" i="15"/>
  <c r="F608" i="15"/>
  <c r="F607" i="15"/>
  <c r="F606" i="15"/>
  <c r="F605" i="15"/>
  <c r="F604" i="15"/>
  <c r="F603" i="15"/>
  <c r="F602" i="15"/>
  <c r="F601" i="15"/>
  <c r="H600" i="15"/>
  <c r="B600" i="15"/>
  <c r="H599" i="15"/>
  <c r="B599" i="15"/>
  <c r="B598" i="15"/>
  <c r="F597" i="15"/>
  <c r="F596" i="15"/>
  <c r="F595" i="15"/>
  <c r="F594" i="15"/>
  <c r="F593" i="15"/>
  <c r="F592" i="15"/>
  <c r="F591" i="15"/>
  <c r="F590" i="15"/>
  <c r="F589" i="15"/>
  <c r="F588" i="15"/>
  <c r="F587" i="15"/>
  <c r="H586" i="15"/>
  <c r="B586" i="15"/>
  <c r="B585" i="15"/>
  <c r="F584" i="15"/>
  <c r="F583" i="15"/>
  <c r="F582" i="15"/>
  <c r="F581" i="15"/>
  <c r="F580" i="15"/>
  <c r="F579" i="15"/>
  <c r="F578" i="15"/>
  <c r="F577" i="15"/>
  <c r="F576" i="15"/>
  <c r="F575" i="15"/>
  <c r="F574" i="15"/>
  <c r="F573" i="15"/>
  <c r="F572" i="15"/>
  <c r="F571" i="15"/>
  <c r="F570" i="15"/>
  <c r="F569" i="15"/>
  <c r="F568" i="15"/>
  <c r="F567" i="15"/>
  <c r="F566" i="15"/>
  <c r="F565" i="15"/>
  <c r="F564" i="15"/>
  <c r="F563" i="15"/>
  <c r="F562" i="15"/>
  <c r="F561" i="15"/>
  <c r="F560" i="15"/>
  <c r="F559" i="15"/>
  <c r="F558" i="15"/>
  <c r="F557" i="15"/>
  <c r="F556" i="15"/>
  <c r="F555" i="15"/>
  <c r="F554" i="15"/>
  <c r="F553" i="15"/>
  <c r="F552" i="15"/>
  <c r="F551" i="15"/>
  <c r="F550" i="15"/>
  <c r="F549" i="15"/>
  <c r="F548" i="15"/>
  <c r="F547" i="15"/>
  <c r="F546" i="15"/>
  <c r="F545" i="15"/>
  <c r="F544" i="15"/>
  <c r="F543" i="15"/>
  <c r="F542" i="15"/>
  <c r="F541" i="15"/>
  <c r="F540" i="15"/>
  <c r="F539" i="15"/>
  <c r="F538" i="15"/>
  <c r="F537" i="15"/>
  <c r="F536" i="15"/>
  <c r="H535" i="15"/>
  <c r="B535" i="15"/>
  <c r="H534" i="15"/>
  <c r="B534" i="15"/>
  <c r="B533" i="15"/>
  <c r="F532" i="15"/>
  <c r="C532" i="15"/>
  <c r="F531" i="15"/>
  <c r="C531" i="15"/>
  <c r="F530" i="15"/>
  <c r="C530" i="15"/>
  <c r="B529" i="15"/>
  <c r="B528" i="15"/>
  <c r="F527" i="15"/>
  <c r="C527" i="15"/>
  <c r="F526" i="15"/>
  <c r="C526" i="15"/>
  <c r="F525" i="15"/>
  <c r="C525" i="15"/>
  <c r="F524" i="15"/>
  <c r="C524" i="15"/>
  <c r="F523" i="15"/>
  <c r="C523" i="15"/>
  <c r="F522" i="15"/>
  <c r="C522" i="15"/>
  <c r="F521" i="15"/>
  <c r="C521" i="15"/>
  <c r="F520" i="15"/>
  <c r="C520" i="15"/>
  <c r="F519" i="15"/>
  <c r="C519" i="15"/>
  <c r="F518" i="15"/>
  <c r="C518" i="15"/>
  <c r="F517" i="15"/>
  <c r="C517" i="15"/>
  <c r="F516" i="15"/>
  <c r="C516" i="15"/>
  <c r="F515" i="15"/>
  <c r="C515" i="15"/>
  <c r="F514" i="15"/>
  <c r="C514" i="15"/>
  <c r="F513" i="15"/>
  <c r="C513" i="15"/>
  <c r="F512" i="15"/>
  <c r="C512" i="15"/>
  <c r="F511" i="15"/>
  <c r="C511" i="15"/>
  <c r="F510" i="15"/>
  <c r="C510" i="15"/>
  <c r="F509" i="15"/>
  <c r="C509" i="15"/>
  <c r="F508" i="15"/>
  <c r="C508" i="15"/>
  <c r="F507" i="15"/>
  <c r="C507" i="15"/>
  <c r="B506" i="15"/>
  <c r="B505" i="15"/>
  <c r="F504" i="15"/>
  <c r="F503" i="15"/>
  <c r="F502" i="15"/>
  <c r="F501" i="15"/>
  <c r="F500" i="15"/>
  <c r="F499" i="15"/>
  <c r="F498" i="15"/>
  <c r="F497" i="15"/>
  <c r="F496" i="15"/>
  <c r="F495" i="15"/>
  <c r="F494" i="15"/>
  <c r="F493" i="15"/>
  <c r="F492" i="15"/>
  <c r="F491" i="15"/>
  <c r="F490" i="15"/>
  <c r="F489" i="15"/>
  <c r="F488" i="15"/>
  <c r="F487" i="15"/>
  <c r="F486" i="15"/>
  <c r="F485" i="15"/>
  <c r="F484" i="15"/>
  <c r="F483" i="15"/>
  <c r="F482" i="15"/>
  <c r="F481" i="15"/>
  <c r="F480" i="15"/>
  <c r="F479" i="15"/>
  <c r="F478" i="15"/>
  <c r="F477" i="15"/>
  <c r="F476" i="15"/>
  <c r="F475" i="15"/>
  <c r="F474" i="15"/>
  <c r="F473" i="15"/>
  <c r="F472" i="15"/>
  <c r="F471" i="15"/>
  <c r="F470" i="15"/>
  <c r="F469" i="15"/>
  <c r="F468" i="15"/>
  <c r="F467" i="15"/>
  <c r="F466" i="15"/>
  <c r="F465" i="15"/>
  <c r="F464" i="15"/>
  <c r="F463" i="15"/>
  <c r="F462" i="15"/>
  <c r="F461" i="15"/>
  <c r="F460" i="15"/>
  <c r="F459" i="15"/>
  <c r="F458" i="15"/>
  <c r="F457" i="15"/>
  <c r="F456" i="15"/>
  <c r="F455" i="15"/>
  <c r="F454" i="15"/>
  <c r="F453" i="15"/>
  <c r="B452" i="15"/>
  <c r="B451" i="15"/>
  <c r="J450" i="15"/>
  <c r="B450" i="15"/>
  <c r="F449" i="15"/>
  <c r="C449" i="15"/>
  <c r="F448" i="15"/>
  <c r="C448" i="15"/>
  <c r="F447" i="15"/>
  <c r="C447" i="15"/>
  <c r="B446" i="15"/>
  <c r="B445" i="15"/>
  <c r="F444" i="15"/>
  <c r="C444" i="15"/>
  <c r="F443" i="15"/>
  <c r="C443" i="15"/>
  <c r="F442" i="15"/>
  <c r="C442" i="15"/>
  <c r="F441" i="15"/>
  <c r="C441" i="15"/>
  <c r="F440" i="15"/>
  <c r="C440" i="15"/>
  <c r="F439" i="15"/>
  <c r="C439" i="15"/>
  <c r="F438" i="15"/>
  <c r="C438" i="15"/>
  <c r="F437" i="15"/>
  <c r="C437" i="15"/>
  <c r="F436" i="15"/>
  <c r="C436" i="15"/>
  <c r="F435" i="15"/>
  <c r="C435" i="15"/>
  <c r="F434" i="15"/>
  <c r="C434" i="15"/>
  <c r="F433" i="15"/>
  <c r="C433" i="15"/>
  <c r="F432" i="15"/>
  <c r="C432" i="15"/>
  <c r="F431" i="15"/>
  <c r="C431" i="15"/>
  <c r="F430" i="15"/>
  <c r="C430" i="15"/>
  <c r="F429" i="15"/>
  <c r="C429" i="15"/>
  <c r="F428" i="15"/>
  <c r="C428" i="15"/>
  <c r="F427" i="15"/>
  <c r="C427" i="15"/>
  <c r="F426" i="15"/>
  <c r="C426" i="15"/>
  <c r="F425" i="15"/>
  <c r="C425" i="15"/>
  <c r="F424" i="15"/>
  <c r="C424" i="15"/>
  <c r="B423" i="15"/>
  <c r="B422" i="15"/>
  <c r="F421" i="15"/>
  <c r="F420" i="15"/>
  <c r="F419" i="15"/>
  <c r="F418" i="15"/>
  <c r="F417" i="15"/>
  <c r="F416" i="15"/>
  <c r="F415" i="15"/>
  <c r="F414" i="15"/>
  <c r="F413" i="15"/>
  <c r="F412" i="15"/>
  <c r="F411" i="15"/>
  <c r="F410" i="15"/>
  <c r="F409" i="15"/>
  <c r="F408" i="15"/>
  <c r="F407" i="15"/>
  <c r="F406" i="15"/>
  <c r="F405" i="15"/>
  <c r="F404" i="15"/>
  <c r="F403" i="15"/>
  <c r="F402" i="15"/>
  <c r="F401" i="15"/>
  <c r="F400" i="15"/>
  <c r="F399" i="15"/>
  <c r="F398" i="15"/>
  <c r="F397" i="15"/>
  <c r="F396" i="15"/>
  <c r="F395" i="15"/>
  <c r="F394" i="15"/>
  <c r="F393" i="15"/>
  <c r="F392" i="15"/>
  <c r="F391" i="15"/>
  <c r="F390" i="15"/>
  <c r="F389" i="15"/>
  <c r="F388" i="15"/>
  <c r="F387" i="15"/>
  <c r="F386" i="15"/>
  <c r="F385" i="15"/>
  <c r="F384" i="15"/>
  <c r="F383" i="15"/>
  <c r="F382" i="15"/>
  <c r="F381" i="15"/>
  <c r="F380" i="15"/>
  <c r="F379" i="15"/>
  <c r="F378" i="15"/>
  <c r="F377" i="15"/>
  <c r="F376" i="15"/>
  <c r="F375" i="15"/>
  <c r="F374" i="15"/>
  <c r="F373" i="15"/>
  <c r="F372" i="15"/>
  <c r="F371" i="15"/>
  <c r="F370" i="15"/>
  <c r="B369" i="15"/>
  <c r="B368" i="15"/>
  <c r="B367" i="15"/>
  <c r="F366" i="15"/>
  <c r="C366" i="15"/>
  <c r="F365" i="15"/>
  <c r="C365" i="15"/>
  <c r="F364" i="15"/>
  <c r="C364" i="15"/>
  <c r="F363" i="15"/>
  <c r="C363" i="15"/>
  <c r="F362" i="15"/>
  <c r="C362" i="15"/>
  <c r="F361" i="15"/>
  <c r="C361" i="15"/>
  <c r="F360" i="15"/>
  <c r="C360" i="15"/>
  <c r="F359" i="15"/>
  <c r="C359" i="15"/>
  <c r="F358" i="15"/>
  <c r="C358" i="15"/>
  <c r="F357" i="15"/>
  <c r="C357" i="15"/>
  <c r="F356" i="15"/>
  <c r="C356" i="15"/>
  <c r="F355" i="15"/>
  <c r="C355" i="15"/>
  <c r="F354" i="15"/>
  <c r="C354" i="15"/>
  <c r="F353" i="15"/>
  <c r="C353" i="15"/>
  <c r="H352" i="15"/>
  <c r="B352" i="15"/>
  <c r="B351" i="15"/>
  <c r="F350" i="15"/>
  <c r="F349" i="15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H332" i="15"/>
  <c r="B332" i="15"/>
  <c r="H331" i="15"/>
  <c r="B331" i="15"/>
  <c r="B330" i="15"/>
  <c r="F329" i="15"/>
  <c r="C329" i="15"/>
  <c r="F328" i="15"/>
  <c r="C328" i="15"/>
  <c r="F327" i="15"/>
  <c r="C327" i="15"/>
  <c r="F326" i="15"/>
  <c r="C326" i="15"/>
  <c r="F325" i="15"/>
  <c r="C325" i="15"/>
  <c r="F324" i="15"/>
  <c r="C324" i="15"/>
  <c r="H323" i="15"/>
  <c r="B323" i="15"/>
  <c r="B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H303" i="15"/>
  <c r="B303" i="15"/>
  <c r="H302" i="15"/>
  <c r="B302" i="15"/>
  <c r="B301" i="15"/>
  <c r="F300" i="15"/>
  <c r="F299" i="15"/>
  <c r="F298" i="15"/>
  <c r="F297" i="15"/>
  <c r="F296" i="15"/>
  <c r="F295" i="15"/>
  <c r="F294" i="15"/>
  <c r="F293" i="15"/>
  <c r="F292" i="15"/>
  <c r="F291" i="15"/>
  <c r="F290" i="15"/>
  <c r="F289" i="15"/>
  <c r="F288" i="15"/>
  <c r="F287" i="15"/>
  <c r="F286" i="15"/>
  <c r="F285" i="15"/>
  <c r="F284" i="15"/>
  <c r="F283" i="15"/>
  <c r="H282" i="15"/>
  <c r="B282" i="15"/>
  <c r="B281" i="15"/>
  <c r="F280" i="15"/>
  <c r="F279" i="15"/>
  <c r="F278" i="15"/>
  <c r="F277" i="15"/>
  <c r="F276" i="15"/>
  <c r="F275" i="15"/>
  <c r="F274" i="15"/>
  <c r="F273" i="15"/>
  <c r="F272" i="15"/>
  <c r="F271" i="15"/>
  <c r="F270" i="15"/>
  <c r="F269" i="15"/>
  <c r="F268" i="15"/>
  <c r="F267" i="15"/>
  <c r="F266" i="15"/>
  <c r="F265" i="15"/>
  <c r="F264" i="15"/>
  <c r="F263" i="15"/>
  <c r="F262" i="15"/>
  <c r="F261" i="15"/>
  <c r="F260" i="15"/>
  <c r="F259" i="15"/>
  <c r="F258" i="15"/>
  <c r="H257" i="15"/>
  <c r="B257" i="15"/>
  <c r="H256" i="15"/>
  <c r="B256" i="15"/>
  <c r="B255" i="15"/>
  <c r="G254" i="15"/>
  <c r="F253" i="15"/>
  <c r="C253" i="15"/>
  <c r="F252" i="15"/>
  <c r="C252" i="15"/>
  <c r="F251" i="15"/>
  <c r="C251" i="15"/>
  <c r="F250" i="15"/>
  <c r="C250" i="15"/>
  <c r="F249" i="15"/>
  <c r="C249" i="15"/>
  <c r="F248" i="15"/>
  <c r="C248" i="15"/>
  <c r="F247" i="15"/>
  <c r="C247" i="15"/>
  <c r="F246" i="15"/>
  <c r="C246" i="15"/>
  <c r="F245" i="15"/>
  <c r="C245" i="15"/>
  <c r="F244" i="15"/>
  <c r="C244" i="15"/>
  <c r="F243" i="15"/>
  <c r="C243" i="15"/>
  <c r="F242" i="15"/>
  <c r="C242" i="15"/>
  <c r="F241" i="15"/>
  <c r="C241" i="15"/>
  <c r="F240" i="15"/>
  <c r="C240" i="15"/>
  <c r="F239" i="15"/>
  <c r="C239" i="15"/>
  <c r="F238" i="15"/>
  <c r="C238" i="15"/>
  <c r="H237" i="15"/>
  <c r="B237" i="15"/>
  <c r="B236" i="15"/>
  <c r="G235" i="15"/>
  <c r="G234" i="15"/>
  <c r="F233" i="15"/>
  <c r="F232" i="15"/>
  <c r="F231" i="15"/>
  <c r="F230" i="15"/>
  <c r="F229" i="15"/>
  <c r="F228" i="15"/>
  <c r="F227" i="15"/>
  <c r="F226" i="15"/>
  <c r="F225" i="15"/>
  <c r="F224" i="15"/>
  <c r="F223" i="15"/>
  <c r="F222" i="15"/>
  <c r="F221" i="15"/>
  <c r="F220" i="15"/>
  <c r="F219" i="15"/>
  <c r="F218" i="15"/>
  <c r="F217" i="15"/>
  <c r="F216" i="15"/>
  <c r="H215" i="15"/>
  <c r="B215" i="15"/>
  <c r="H214" i="15"/>
  <c r="B214" i="15"/>
  <c r="B213" i="15"/>
  <c r="G212" i="15"/>
  <c r="F211" i="15"/>
  <c r="C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H197" i="15"/>
  <c r="B197" i="15"/>
  <c r="B196" i="15"/>
  <c r="G195" i="15"/>
  <c r="G194" i="15"/>
  <c r="F193" i="15"/>
  <c r="F192" i="15"/>
  <c r="F191" i="15"/>
  <c r="F190" i="15"/>
  <c r="F189" i="15"/>
  <c r="F188" i="15"/>
  <c r="F187" i="15"/>
  <c r="F186" i="15"/>
  <c r="F185" i="15"/>
  <c r="F184" i="15"/>
  <c r="F183" i="15"/>
  <c r="F182" i="15"/>
  <c r="F181" i="15"/>
  <c r="F180" i="15"/>
  <c r="F179" i="15"/>
  <c r="H178" i="15"/>
  <c r="B178" i="15"/>
  <c r="H177" i="15"/>
  <c r="B177" i="15"/>
  <c r="B176" i="15"/>
  <c r="F175" i="15"/>
  <c r="F174" i="15"/>
  <c r="F173" i="15"/>
  <c r="F172" i="15"/>
  <c r="F171" i="15"/>
  <c r="F170" i="15"/>
  <c r="F169" i="15"/>
  <c r="H168" i="15"/>
  <c r="B167" i="15"/>
  <c r="F166" i="15"/>
  <c r="F165" i="15"/>
  <c r="F164" i="15"/>
  <c r="F163" i="15"/>
  <c r="F162" i="15"/>
  <c r="F161" i="15"/>
  <c r="H160" i="15"/>
  <c r="B160" i="15"/>
  <c r="H159" i="15"/>
  <c r="B159" i="15"/>
  <c r="B158" i="15"/>
  <c r="F157" i="15"/>
  <c r="F156" i="15"/>
  <c r="F155" i="15"/>
  <c r="F154" i="15"/>
  <c r="F153" i="15"/>
  <c r="F152" i="15"/>
  <c r="F151" i="15"/>
  <c r="H150" i="15"/>
  <c r="B149" i="15"/>
  <c r="F148" i="15"/>
  <c r="F147" i="15"/>
  <c r="F146" i="15"/>
  <c r="F145" i="15"/>
  <c r="F144" i="15"/>
  <c r="F143" i="15"/>
  <c r="H142" i="15"/>
  <c r="B142" i="15"/>
  <c r="H141" i="15"/>
  <c r="B141" i="15"/>
  <c r="B140" i="15"/>
  <c r="F139" i="15"/>
  <c r="C139" i="15"/>
  <c r="F138" i="15"/>
  <c r="C138" i="15"/>
  <c r="F137" i="15"/>
  <c r="C137" i="15"/>
  <c r="F136" i="15"/>
  <c r="C136" i="15"/>
  <c r="F135" i="15"/>
  <c r="C135" i="15"/>
  <c r="F134" i="15"/>
  <c r="C134" i="15"/>
  <c r="F133" i="15"/>
  <c r="C133" i="15"/>
  <c r="H132" i="15"/>
  <c r="B132" i="15"/>
  <c r="B131" i="15"/>
  <c r="F130" i="15"/>
  <c r="F129" i="15"/>
  <c r="F128" i="15"/>
  <c r="F127" i="15"/>
  <c r="F126" i="15"/>
  <c r="F125" i="15"/>
  <c r="H124" i="15"/>
  <c r="B124" i="15"/>
  <c r="H123" i="15"/>
  <c r="B123" i="15"/>
  <c r="B122" i="15"/>
  <c r="F121" i="15"/>
  <c r="C121" i="15"/>
  <c r="F120" i="15"/>
  <c r="C120" i="15"/>
  <c r="F119" i="15"/>
  <c r="C119" i="15"/>
  <c r="F118" i="15"/>
  <c r="C118" i="15"/>
  <c r="F117" i="15"/>
  <c r="C117" i="15"/>
  <c r="F116" i="15"/>
  <c r="C116" i="15"/>
  <c r="F115" i="15"/>
  <c r="C115" i="15"/>
  <c r="F114" i="15"/>
  <c r="C114" i="15"/>
  <c r="H113" i="15"/>
  <c r="B113" i="15"/>
  <c r="B112" i="15"/>
  <c r="F111" i="15"/>
  <c r="F110" i="15"/>
  <c r="F109" i="15"/>
  <c r="F108" i="15"/>
  <c r="F107" i="15"/>
  <c r="F106" i="15"/>
  <c r="F105" i="15"/>
  <c r="F104" i="15"/>
  <c r="F103" i="15"/>
  <c r="F102" i="15"/>
  <c r="F101" i="15"/>
  <c r="H100" i="15"/>
  <c r="B100" i="15"/>
  <c r="H99" i="15"/>
  <c r="B99" i="15"/>
  <c r="B98" i="15"/>
  <c r="F97" i="15"/>
  <c r="C97" i="15"/>
  <c r="F96" i="15"/>
  <c r="C96" i="15"/>
  <c r="F95" i="15"/>
  <c r="C95" i="15"/>
  <c r="F94" i="15"/>
  <c r="C94" i="15"/>
  <c r="F93" i="15"/>
  <c r="C93" i="15"/>
  <c r="F92" i="15"/>
  <c r="C92" i="15"/>
  <c r="F91" i="15"/>
  <c r="C91" i="15"/>
  <c r="F90" i="15"/>
  <c r="C90" i="15"/>
  <c r="F89" i="15"/>
  <c r="C89" i="15"/>
  <c r="H88" i="15"/>
  <c r="B88" i="15"/>
  <c r="B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H72" i="15"/>
  <c r="B72" i="15"/>
  <c r="H71" i="15"/>
  <c r="B71" i="15"/>
  <c r="B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H55" i="15"/>
  <c r="B55" i="15"/>
  <c r="B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H35" i="15"/>
  <c r="B35" i="15"/>
  <c r="H34" i="15"/>
  <c r="B34" i="15"/>
  <c r="B33" i="15"/>
  <c r="F32" i="15"/>
  <c r="F31" i="15"/>
  <c r="F30" i="15"/>
  <c r="F29" i="15"/>
  <c r="F28" i="15"/>
  <c r="F27" i="15"/>
  <c r="F26" i="15"/>
  <c r="F25" i="15"/>
  <c r="H24" i="15"/>
  <c r="B24" i="15"/>
  <c r="B23" i="15"/>
  <c r="F22" i="15"/>
  <c r="F21" i="15"/>
  <c r="F20" i="15"/>
  <c r="F19" i="15"/>
  <c r="F18" i="15"/>
  <c r="F17" i="15"/>
  <c r="F16" i="15"/>
  <c r="F15" i="15"/>
  <c r="F14" i="15"/>
  <c r="H13" i="15"/>
  <c r="F13" i="15"/>
  <c r="E13" i="15"/>
  <c r="B13" i="15"/>
  <c r="H12" i="15"/>
  <c r="F12" i="15"/>
  <c r="E12" i="15"/>
  <c r="B12" i="15"/>
  <c r="J11" i="15"/>
  <c r="I11" i="15"/>
  <c r="H11" i="15"/>
  <c r="F11" i="15"/>
  <c r="E11" i="15"/>
  <c r="D11" i="15"/>
  <c r="C11" i="15"/>
  <c r="B11" i="15"/>
  <c r="B9" i="15"/>
  <c r="B8" i="15"/>
  <c r="I7" i="15"/>
  <c r="H7" i="15"/>
  <c r="F7" i="15"/>
  <c r="E7" i="15"/>
  <c r="H6" i="15"/>
  <c r="F6" i="15"/>
  <c r="E6" i="15"/>
  <c r="D6" i="15"/>
  <c r="H5" i="15"/>
  <c r="F5" i="15"/>
  <c r="E5" i="15"/>
  <c r="D5" i="15"/>
  <c r="H4" i="15"/>
  <c r="F4" i="15"/>
  <c r="E4" i="15"/>
  <c r="D4" i="15"/>
  <c r="H3" i="15"/>
  <c r="F3" i="15"/>
  <c r="E3" i="15"/>
  <c r="D3" i="15"/>
  <c r="H2" i="15"/>
  <c r="F2" i="15"/>
  <c r="E2" i="15"/>
  <c r="D2" i="15"/>
  <c r="B2" i="15"/>
  <c r="I1" i="15"/>
  <c r="H1" i="15"/>
  <c r="F1" i="15"/>
  <c r="E1" i="15"/>
  <c r="B1" i="15"/>
  <c r="B2357" i="14"/>
  <c r="B2356" i="14"/>
  <c r="B2355" i="14"/>
  <c r="B2354" i="14"/>
  <c r="B2353" i="14"/>
  <c r="B2352" i="14"/>
  <c r="B2350" i="14"/>
  <c r="B2349" i="14"/>
  <c r="B2348" i="14"/>
  <c r="B2346" i="14"/>
  <c r="B2345" i="14"/>
  <c r="B2344" i="14"/>
  <c r="B2343" i="14"/>
  <c r="B2342" i="14"/>
  <c r="B2341" i="14"/>
  <c r="B2340" i="14"/>
  <c r="C2339" i="14"/>
  <c r="B2339" i="14"/>
  <c r="C2338" i="14"/>
  <c r="B2338" i="14"/>
  <c r="C2337" i="14"/>
  <c r="B2337" i="14"/>
  <c r="C2336" i="14"/>
  <c r="B2336" i="14"/>
  <c r="C2335" i="14"/>
  <c r="B2335" i="14"/>
  <c r="C2334" i="14"/>
  <c r="B2334" i="14"/>
  <c r="C2333" i="14"/>
  <c r="B2333" i="14"/>
  <c r="C2332" i="14"/>
  <c r="B2332" i="14"/>
  <c r="B2331" i="14"/>
  <c r="B2330" i="14"/>
  <c r="D2329" i="14"/>
  <c r="C2329" i="14"/>
  <c r="B2329" i="14"/>
  <c r="D2328" i="14"/>
  <c r="C2328" i="14"/>
  <c r="B2328" i="14"/>
  <c r="C2327" i="14"/>
  <c r="B2327" i="14"/>
  <c r="C2326" i="14"/>
  <c r="B2326" i="14"/>
  <c r="C2325" i="14"/>
  <c r="B2325" i="14"/>
  <c r="C2324" i="14"/>
  <c r="B2324" i="14"/>
  <c r="C2323" i="14"/>
  <c r="B2323" i="14"/>
  <c r="D2322" i="14"/>
  <c r="C2322" i="14"/>
  <c r="B2322" i="14"/>
  <c r="D2321" i="14"/>
  <c r="C2321" i="14"/>
  <c r="B2321" i="14"/>
  <c r="C2320" i="14"/>
  <c r="B2320" i="14"/>
  <c r="C2319" i="14"/>
  <c r="B2319" i="14"/>
  <c r="C2318" i="14"/>
  <c r="B2318" i="14"/>
  <c r="C2317" i="14"/>
  <c r="B2317" i="14"/>
  <c r="C2316" i="14"/>
  <c r="B2316" i="14"/>
  <c r="B2315" i="14"/>
  <c r="B2314" i="14"/>
  <c r="B2313" i="14"/>
  <c r="C2312" i="14"/>
  <c r="C2311" i="14"/>
  <c r="C2310" i="14"/>
  <c r="C2309" i="14"/>
  <c r="C2308" i="14"/>
  <c r="C2307" i="14"/>
  <c r="C2306" i="14"/>
  <c r="B2305" i="14"/>
  <c r="B2304" i="14"/>
  <c r="B2290" i="14"/>
  <c r="B2289" i="14"/>
  <c r="B2288" i="14"/>
  <c r="C2287" i="14"/>
  <c r="B2287" i="14"/>
  <c r="C2286" i="14"/>
  <c r="B2286" i="14"/>
  <c r="C2285" i="14"/>
  <c r="B2285" i="14"/>
  <c r="C2284" i="14"/>
  <c r="B2284" i="14"/>
  <c r="C2283" i="14"/>
  <c r="B2283" i="14"/>
  <c r="C2282" i="14"/>
  <c r="B2282" i="14"/>
  <c r="B2281" i="14"/>
  <c r="B2280" i="14"/>
  <c r="B2270" i="14"/>
  <c r="B2269" i="14"/>
  <c r="B2268" i="14"/>
  <c r="C2267" i="14"/>
  <c r="B2267" i="14"/>
  <c r="C2266" i="14"/>
  <c r="B2266" i="14"/>
  <c r="C2265" i="14"/>
  <c r="B2265" i="14"/>
  <c r="B2264" i="14"/>
  <c r="B2263" i="14"/>
  <c r="B2251" i="14"/>
  <c r="B2250" i="14"/>
  <c r="B2249" i="14"/>
  <c r="C2248" i="14"/>
  <c r="C2247" i="14"/>
  <c r="C2246" i="14"/>
  <c r="C2245" i="14"/>
  <c r="C2244" i="14"/>
  <c r="C2243" i="14"/>
  <c r="C2242" i="14"/>
  <c r="C2241" i="14"/>
  <c r="B2240" i="14"/>
  <c r="B2239" i="14"/>
  <c r="B2221" i="14"/>
  <c r="B2220" i="14"/>
  <c r="B2219" i="14"/>
  <c r="C2218" i="14"/>
  <c r="B2218" i="14"/>
  <c r="C2217" i="14"/>
  <c r="B2217" i="14"/>
  <c r="C2216" i="14"/>
  <c r="B2216" i="14"/>
  <c r="C2215" i="14"/>
  <c r="B2215" i="14"/>
  <c r="C2214" i="14"/>
  <c r="B2214" i="14"/>
  <c r="B2213" i="14"/>
  <c r="C2212" i="14"/>
  <c r="B2212" i="14"/>
  <c r="C2211" i="14"/>
  <c r="B2211" i="14"/>
  <c r="C2210" i="14"/>
  <c r="B2210" i="14"/>
  <c r="C2209" i="14"/>
  <c r="B2209" i="14"/>
  <c r="C2208" i="14"/>
  <c r="B2208" i="14"/>
  <c r="C2207" i="14"/>
  <c r="B2207" i="14"/>
  <c r="B2206" i="14"/>
  <c r="C2205" i="14"/>
  <c r="B2205" i="14"/>
  <c r="C2204" i="14"/>
  <c r="B2204" i="14"/>
  <c r="C2203" i="14"/>
  <c r="B2203" i="14"/>
  <c r="C2202" i="14"/>
  <c r="B2202" i="14"/>
  <c r="C2201" i="14"/>
  <c r="B2201" i="14"/>
  <c r="B2200" i="14"/>
  <c r="C2199" i="14"/>
  <c r="B2199" i="14"/>
  <c r="C2198" i="14"/>
  <c r="B2198" i="14"/>
  <c r="C2197" i="14"/>
  <c r="B2197" i="14"/>
  <c r="C2196" i="14"/>
  <c r="B2196" i="14"/>
  <c r="C2195" i="14"/>
  <c r="B2195" i="14"/>
  <c r="C2194" i="14"/>
  <c r="B2194" i="14"/>
  <c r="C2193" i="14"/>
  <c r="B2193" i="14"/>
  <c r="C2192" i="14"/>
  <c r="B2192" i="14"/>
  <c r="C2191" i="14"/>
  <c r="B2191" i="14"/>
  <c r="C2190" i="14"/>
  <c r="B2190" i="14"/>
  <c r="C2189" i="14"/>
  <c r="B2189" i="14"/>
  <c r="C2188" i="14"/>
  <c r="B2188" i="14"/>
  <c r="C2187" i="14"/>
  <c r="B2187" i="14"/>
  <c r="B2186" i="14"/>
  <c r="C2185" i="14"/>
  <c r="B2185" i="14"/>
  <c r="C2184" i="14"/>
  <c r="B2184" i="14"/>
  <c r="C2183" i="14"/>
  <c r="B2183" i="14"/>
  <c r="C2182" i="14"/>
  <c r="B2182" i="14"/>
  <c r="C2181" i="14"/>
  <c r="B2181" i="14"/>
  <c r="C2180" i="14"/>
  <c r="B2180" i="14"/>
  <c r="C2179" i="14"/>
  <c r="B2179" i="14"/>
  <c r="C2178" i="14"/>
  <c r="B2178" i="14"/>
  <c r="C2177" i="14"/>
  <c r="B2177" i="14"/>
  <c r="C2176" i="14"/>
  <c r="B2176" i="14"/>
  <c r="B2175" i="14"/>
  <c r="B2174" i="14"/>
  <c r="B2173" i="14"/>
  <c r="C2172" i="14"/>
  <c r="B2172" i="14"/>
  <c r="C2171" i="14"/>
  <c r="B2171" i="14"/>
  <c r="C2170" i="14"/>
  <c r="B2170" i="14"/>
  <c r="C2169" i="14"/>
  <c r="B2169" i="14"/>
  <c r="C2168" i="14"/>
  <c r="B2168" i="14"/>
  <c r="C2167" i="14"/>
  <c r="B2167" i="14"/>
  <c r="B2166" i="14"/>
  <c r="C2165" i="14"/>
  <c r="B2165" i="14"/>
  <c r="C2164" i="14"/>
  <c r="B2164" i="14"/>
  <c r="C2163" i="14"/>
  <c r="B2163" i="14"/>
  <c r="C2162" i="14"/>
  <c r="B2162" i="14"/>
  <c r="C2161" i="14"/>
  <c r="B2161" i="14"/>
  <c r="C2160" i="14"/>
  <c r="B2160" i="14"/>
  <c r="C2159" i="14"/>
  <c r="B2159" i="14"/>
  <c r="C2158" i="14"/>
  <c r="B2158" i="14"/>
  <c r="C2157" i="14"/>
  <c r="B2157" i="14"/>
  <c r="C2156" i="14"/>
  <c r="B2156" i="14"/>
  <c r="C2155" i="14"/>
  <c r="B2155" i="14"/>
  <c r="B2154" i="14"/>
  <c r="C2153" i="14"/>
  <c r="B2153" i="14"/>
  <c r="C2152" i="14"/>
  <c r="B2152" i="14"/>
  <c r="C2151" i="14"/>
  <c r="B2151" i="14"/>
  <c r="C2150" i="14"/>
  <c r="B2150" i="14"/>
  <c r="C2149" i="14"/>
  <c r="B2149" i="14"/>
  <c r="C2148" i="14"/>
  <c r="B2148" i="14"/>
  <c r="C2147" i="14"/>
  <c r="B2147" i="14"/>
  <c r="C2146" i="14"/>
  <c r="B2146" i="14"/>
  <c r="C2145" i="14"/>
  <c r="B2145" i="14"/>
  <c r="C2144" i="14"/>
  <c r="B2144" i="14"/>
  <c r="B2143" i="14"/>
  <c r="C2142" i="14"/>
  <c r="B2142" i="14"/>
  <c r="C2141" i="14"/>
  <c r="B2141" i="14"/>
  <c r="C2140" i="14"/>
  <c r="B2140" i="14"/>
  <c r="C2139" i="14"/>
  <c r="B2139" i="14"/>
  <c r="C2138" i="14"/>
  <c r="B2138" i="14"/>
  <c r="C2137" i="14"/>
  <c r="B2137" i="14"/>
  <c r="C2136" i="14"/>
  <c r="B2136" i="14"/>
  <c r="C2135" i="14"/>
  <c r="B2135" i="14"/>
  <c r="C2134" i="14"/>
  <c r="B2134" i="14"/>
  <c r="C2133" i="14"/>
  <c r="B2133" i="14"/>
  <c r="C2132" i="14"/>
  <c r="B2132" i="14"/>
  <c r="C2131" i="14"/>
  <c r="B2131" i="14"/>
  <c r="C2130" i="14"/>
  <c r="B2130" i="14"/>
  <c r="C2129" i="14"/>
  <c r="B2129" i="14"/>
  <c r="C2128" i="14"/>
  <c r="B2128" i="14"/>
  <c r="C2127" i="14"/>
  <c r="B2127" i="14"/>
  <c r="C2126" i="14"/>
  <c r="B2126" i="14"/>
  <c r="C2125" i="14"/>
  <c r="B2125" i="14"/>
  <c r="C2124" i="14"/>
  <c r="B2124" i="14"/>
  <c r="C2123" i="14"/>
  <c r="B2123" i="14"/>
  <c r="C2122" i="14"/>
  <c r="B2122" i="14"/>
  <c r="C2121" i="14"/>
  <c r="B2121" i="14"/>
  <c r="C2120" i="14"/>
  <c r="B2120" i="14"/>
  <c r="B2119" i="14"/>
  <c r="C2114" i="14"/>
  <c r="B2114" i="14"/>
  <c r="C2113" i="14"/>
  <c r="B2113" i="14"/>
  <c r="C2112" i="14"/>
  <c r="B2112" i="14"/>
  <c r="C2111" i="14"/>
  <c r="B2111" i="14"/>
  <c r="C2110" i="14"/>
  <c r="B2110" i="14"/>
  <c r="C2109" i="14"/>
  <c r="B2109" i="14"/>
  <c r="C2108" i="14"/>
  <c r="B2108" i="14"/>
  <c r="C2107" i="14"/>
  <c r="B2107" i="14"/>
  <c r="C2106" i="14"/>
  <c r="B2106" i="14"/>
  <c r="C2105" i="14"/>
  <c r="B2105" i="14"/>
  <c r="C2104" i="14"/>
  <c r="B2104" i="14"/>
  <c r="C2103" i="14"/>
  <c r="B2103" i="14"/>
  <c r="C2102" i="14"/>
  <c r="B2102" i="14"/>
  <c r="C2101" i="14"/>
  <c r="B2101" i="14"/>
  <c r="C2100" i="14"/>
  <c r="B2100" i="14"/>
  <c r="C2099" i="14"/>
  <c r="B2099" i="14"/>
  <c r="C2098" i="14"/>
  <c r="B2098" i="14"/>
  <c r="C2097" i="14"/>
  <c r="B2097" i="14"/>
  <c r="C2096" i="14"/>
  <c r="B2096" i="14"/>
  <c r="C2095" i="14"/>
  <c r="B2095" i="14"/>
  <c r="B2094" i="14"/>
  <c r="B2093" i="14"/>
  <c r="B2092" i="14"/>
  <c r="B2091" i="14"/>
  <c r="C2090" i="14"/>
  <c r="B2090" i="14"/>
  <c r="C2089" i="14"/>
  <c r="B2089" i="14"/>
  <c r="C2088" i="14"/>
  <c r="B2088" i="14"/>
  <c r="B2087" i="14"/>
  <c r="C2086" i="14"/>
  <c r="B2086" i="14"/>
  <c r="C2085" i="14"/>
  <c r="B2085" i="14"/>
  <c r="C2084" i="14"/>
  <c r="B2084" i="14"/>
  <c r="C2083" i="14"/>
  <c r="B2083" i="14"/>
  <c r="C2082" i="14"/>
  <c r="B2082" i="14"/>
  <c r="C2081" i="14"/>
  <c r="B2081" i="14"/>
  <c r="B2080" i="14"/>
  <c r="C2075" i="14"/>
  <c r="B2065" i="14"/>
  <c r="B2064" i="14"/>
  <c r="B2063" i="14"/>
  <c r="B2055" i="14"/>
  <c r="C2053" i="14"/>
  <c r="B2043" i="14"/>
  <c r="C2042" i="14"/>
  <c r="B2018" i="14"/>
  <c r="B2017" i="14"/>
  <c r="B2016" i="14"/>
  <c r="B2015" i="14"/>
  <c r="C2014" i="14"/>
  <c r="C2013" i="14"/>
  <c r="C2012" i="14"/>
  <c r="C2011" i="14"/>
  <c r="B2010" i="14"/>
  <c r="B2009" i="14"/>
  <c r="C2008" i="14"/>
  <c r="C2007" i="14"/>
  <c r="C2006" i="14"/>
  <c r="C2005" i="14"/>
  <c r="B2004" i="14"/>
  <c r="B2003" i="14"/>
  <c r="B2002" i="14"/>
  <c r="C2001" i="14"/>
  <c r="B2000" i="14"/>
  <c r="B1999" i="14"/>
  <c r="C1998" i="14"/>
  <c r="C1997" i="14"/>
  <c r="D1996" i="14"/>
  <c r="C1996" i="14"/>
  <c r="C1995" i="14"/>
  <c r="C1994" i="14"/>
  <c r="B1993" i="14"/>
  <c r="B1992" i="14"/>
  <c r="B1991" i="14"/>
  <c r="D1990" i="14"/>
  <c r="C1990" i="14"/>
  <c r="B1989" i="14"/>
  <c r="B1988" i="14"/>
  <c r="D1987" i="14"/>
  <c r="C1987" i="14"/>
  <c r="C1986" i="14"/>
  <c r="C1985" i="14"/>
  <c r="C1984" i="14"/>
  <c r="C1983" i="14"/>
  <c r="C1982" i="14"/>
  <c r="C1981" i="14"/>
  <c r="C1980" i="14"/>
  <c r="B1979" i="14"/>
  <c r="B1978" i="14"/>
  <c r="B1977" i="14"/>
  <c r="C1976" i="14"/>
  <c r="B1976" i="14"/>
  <c r="B1975" i="14"/>
  <c r="B1974" i="14"/>
  <c r="C1973" i="14"/>
  <c r="B1973" i="14"/>
  <c r="C1972" i="14"/>
  <c r="B1972" i="14"/>
  <c r="C1971" i="14"/>
  <c r="B1971" i="14"/>
  <c r="C1970" i="14"/>
  <c r="B1970" i="14"/>
  <c r="C1969" i="14"/>
  <c r="B1969" i="14"/>
  <c r="C1968" i="14"/>
  <c r="B1968" i="14"/>
  <c r="C1967" i="14"/>
  <c r="B1967" i="14"/>
  <c r="C1966" i="14"/>
  <c r="B1966" i="14"/>
  <c r="C1965" i="14"/>
  <c r="B1965" i="14"/>
  <c r="C1964" i="14"/>
  <c r="B1964" i="14"/>
  <c r="B1963" i="14"/>
  <c r="B1962" i="14"/>
  <c r="B1961" i="14"/>
  <c r="C1960" i="14"/>
  <c r="B1960" i="14"/>
  <c r="C1959" i="14"/>
  <c r="C1958" i="14"/>
  <c r="B1958" i="14"/>
  <c r="C1957" i="14"/>
  <c r="B1957" i="14"/>
  <c r="C1956" i="14"/>
  <c r="B1956" i="14"/>
  <c r="C1955" i="14"/>
  <c r="B1955" i="14"/>
  <c r="C1954" i="14"/>
  <c r="B1954" i="14"/>
  <c r="C1953" i="14"/>
  <c r="B1953" i="14"/>
  <c r="C1952" i="14"/>
  <c r="B1952" i="14"/>
  <c r="C1951" i="14"/>
  <c r="B1951" i="14"/>
  <c r="C1950" i="14"/>
  <c r="B1950" i="14"/>
  <c r="C1949" i="14"/>
  <c r="B1949" i="14"/>
  <c r="C1948" i="14"/>
  <c r="B1948" i="14"/>
  <c r="B1947" i="14"/>
  <c r="B1946" i="14"/>
  <c r="B1925" i="14"/>
  <c r="B1924" i="14"/>
  <c r="B1923" i="14"/>
  <c r="B1908" i="14"/>
  <c r="B1907" i="14"/>
  <c r="B1869" i="14"/>
  <c r="B1868" i="14"/>
  <c r="B1867" i="14"/>
  <c r="B1853" i="14"/>
  <c r="B1852" i="14"/>
  <c r="B1810" i="14"/>
  <c r="B1809" i="14"/>
  <c r="B1808" i="14"/>
  <c r="B1792" i="14"/>
  <c r="B1791" i="14"/>
  <c r="B1744" i="14"/>
  <c r="B1743" i="14"/>
  <c r="B1742" i="14"/>
  <c r="B1724" i="14"/>
  <c r="B1723" i="14"/>
  <c r="B1675" i="14"/>
  <c r="B1674" i="14"/>
  <c r="B1673" i="14"/>
  <c r="C1672" i="14"/>
  <c r="C1671" i="14"/>
  <c r="C1670" i="14"/>
  <c r="C1669" i="14"/>
  <c r="C1668" i="14"/>
  <c r="C1667" i="14"/>
  <c r="C1666" i="14"/>
  <c r="C1665" i="14"/>
  <c r="C1664" i="14"/>
  <c r="C1663" i="14"/>
  <c r="C1662" i="14"/>
  <c r="C1661" i="14"/>
  <c r="C1660" i="14"/>
  <c r="B1659" i="14"/>
  <c r="B1658" i="14"/>
  <c r="B1617" i="14"/>
  <c r="B1616" i="14"/>
  <c r="B1615" i="14"/>
  <c r="B1596" i="14"/>
  <c r="B1595" i="14"/>
  <c r="B1544" i="14"/>
  <c r="B1543" i="14"/>
  <c r="B1542" i="14"/>
  <c r="B1525" i="14"/>
  <c r="B1524" i="14"/>
  <c r="C1503" i="14"/>
  <c r="C1496" i="14"/>
  <c r="B1478" i="14"/>
  <c r="B1477" i="14"/>
  <c r="B1476" i="14"/>
  <c r="C1475" i="14"/>
  <c r="C1474" i="14"/>
  <c r="C1473" i="14"/>
  <c r="C1472" i="14"/>
  <c r="C1471" i="14"/>
  <c r="C1470" i="14"/>
  <c r="C1469" i="14"/>
  <c r="C1468" i="14"/>
  <c r="C1467" i="14"/>
  <c r="C1466" i="14"/>
  <c r="C1465" i="14"/>
  <c r="C1464" i="14"/>
  <c r="C1463" i="14"/>
  <c r="C1462" i="14"/>
  <c r="C1461" i="14"/>
  <c r="C1460" i="14"/>
  <c r="C1459" i="14"/>
  <c r="B1458" i="14"/>
  <c r="B1457" i="14"/>
  <c r="C1413" i="14"/>
  <c r="B1404" i="14"/>
  <c r="B1403" i="14"/>
  <c r="B1402" i="14"/>
  <c r="B1384" i="14"/>
  <c r="B1383" i="14"/>
  <c r="B1330" i="14"/>
  <c r="B1329" i="14"/>
  <c r="B1328" i="14"/>
  <c r="C1327" i="14"/>
  <c r="C1326" i="14"/>
  <c r="C1325" i="14"/>
  <c r="C1324" i="14"/>
  <c r="C1323" i="14"/>
  <c r="C1322" i="14"/>
  <c r="B1321" i="14"/>
  <c r="B1320" i="14"/>
  <c r="B1308" i="14"/>
  <c r="B1307" i="14"/>
  <c r="B1306" i="14"/>
  <c r="B1304" i="14"/>
  <c r="B1303" i="14"/>
  <c r="B1284" i="14"/>
  <c r="B1283" i="14"/>
  <c r="B1282" i="14"/>
  <c r="C1281" i="14"/>
  <c r="C1280" i="14"/>
  <c r="C1279" i="14"/>
  <c r="C1278" i="14"/>
  <c r="C1277" i="14"/>
  <c r="C1276" i="14"/>
  <c r="C1275" i="14"/>
  <c r="C1274" i="14"/>
  <c r="C1273" i="14"/>
  <c r="B1272" i="14"/>
  <c r="B1271" i="14"/>
  <c r="B1244" i="14"/>
  <c r="B1243" i="14"/>
  <c r="B1242" i="14"/>
  <c r="C1241" i="14"/>
  <c r="C1240" i="14"/>
  <c r="C1239" i="14"/>
  <c r="C1238" i="14"/>
  <c r="C1237" i="14"/>
  <c r="C1236" i="14"/>
  <c r="C1235" i="14"/>
  <c r="C1234" i="14"/>
  <c r="C1233" i="14"/>
  <c r="C1232" i="14"/>
  <c r="C1231" i="14"/>
  <c r="C1230" i="14"/>
  <c r="C1229" i="14"/>
  <c r="C1228" i="14"/>
  <c r="C1227" i="14"/>
  <c r="C1226" i="14"/>
  <c r="C1225" i="14"/>
  <c r="C1224" i="14"/>
  <c r="C1223" i="14"/>
  <c r="C1222" i="14"/>
  <c r="C1221" i="14"/>
  <c r="C1220" i="14"/>
  <c r="C1219" i="14"/>
  <c r="C1218" i="14"/>
  <c r="C1217" i="14"/>
  <c r="C1216" i="14"/>
  <c r="C1215" i="14"/>
  <c r="C1214" i="14"/>
  <c r="C1213" i="14"/>
  <c r="C1212" i="14"/>
  <c r="C1211" i="14"/>
  <c r="C1210" i="14"/>
  <c r="C1209" i="14"/>
  <c r="C1208" i="14"/>
  <c r="C1207" i="14"/>
  <c r="C1206" i="14"/>
  <c r="C1205" i="14"/>
  <c r="C1204" i="14"/>
  <c r="C1203" i="14"/>
  <c r="C1202" i="14"/>
  <c r="C1201" i="14"/>
  <c r="C1200" i="14"/>
  <c r="C1199" i="14"/>
  <c r="C1198" i="14"/>
  <c r="B1197" i="14"/>
  <c r="B1196" i="14"/>
  <c r="C1195" i="14"/>
  <c r="C1156" i="14"/>
  <c r="C1117" i="14"/>
  <c r="B898" i="14"/>
  <c r="B897" i="14"/>
  <c r="B896" i="14"/>
  <c r="C895" i="14"/>
  <c r="C894" i="14"/>
  <c r="C893" i="14"/>
  <c r="C892" i="14"/>
  <c r="C891" i="14"/>
  <c r="C890" i="14"/>
  <c r="C889" i="14"/>
  <c r="C888" i="14"/>
  <c r="C887" i="14"/>
  <c r="B886" i="14"/>
  <c r="B885" i="14"/>
  <c r="C875" i="14"/>
  <c r="B861" i="14"/>
  <c r="B860" i="14"/>
  <c r="B859" i="14"/>
  <c r="C858" i="14"/>
  <c r="C857" i="14"/>
  <c r="C856" i="14"/>
  <c r="C855" i="14"/>
  <c r="C854" i="14"/>
  <c r="C853" i="14"/>
  <c r="C852" i="14"/>
  <c r="C851" i="14"/>
  <c r="C850" i="14"/>
  <c r="B849" i="14"/>
  <c r="B848" i="14"/>
  <c r="C838" i="14"/>
  <c r="B824" i="14"/>
  <c r="B823" i="14"/>
  <c r="B822" i="14"/>
  <c r="C821" i="14"/>
  <c r="C820" i="14"/>
  <c r="C819" i="14"/>
  <c r="C818" i="14"/>
  <c r="C817" i="14"/>
  <c r="C816" i="14"/>
  <c r="C815" i="14"/>
  <c r="C814" i="14"/>
  <c r="C813" i="14"/>
  <c r="B812" i="14"/>
  <c r="B811" i="14"/>
  <c r="C801" i="14"/>
  <c r="B787" i="14"/>
  <c r="B786" i="14"/>
  <c r="B785" i="14"/>
  <c r="C784" i="14"/>
  <c r="C783" i="14"/>
  <c r="C782" i="14"/>
  <c r="C781" i="14"/>
  <c r="C780" i="14"/>
  <c r="C779" i="14"/>
  <c r="C778" i="14"/>
  <c r="C777" i="14"/>
  <c r="C776" i="14"/>
  <c r="B775" i="14"/>
  <c r="B774" i="14"/>
  <c r="C764" i="14"/>
  <c r="B750" i="14"/>
  <c r="B749" i="14"/>
  <c r="B748" i="14"/>
  <c r="C747" i="14"/>
  <c r="C746" i="14"/>
  <c r="C745" i="14"/>
  <c r="C744" i="14"/>
  <c r="C743" i="14"/>
  <c r="C742" i="14"/>
  <c r="C741" i="14"/>
  <c r="C740" i="14"/>
  <c r="C739" i="14"/>
  <c r="B738" i="14"/>
  <c r="B737" i="14"/>
  <c r="C727" i="14"/>
  <c r="B713" i="14"/>
  <c r="B712" i="14"/>
  <c r="B711" i="14"/>
  <c r="C710" i="14"/>
  <c r="C709" i="14"/>
  <c r="C708" i="14"/>
  <c r="C707" i="14"/>
  <c r="C706" i="14"/>
  <c r="C705" i="14"/>
  <c r="C704" i="14"/>
  <c r="B703" i="14"/>
  <c r="B702" i="14"/>
  <c r="B661" i="14"/>
  <c r="B660" i="14"/>
  <c r="B659" i="14"/>
  <c r="C658" i="14"/>
  <c r="C657" i="14"/>
  <c r="C656" i="14"/>
  <c r="C655" i="14"/>
  <c r="C654" i="14"/>
  <c r="C653" i="14"/>
  <c r="C652" i="14"/>
  <c r="C651" i="14"/>
  <c r="C650" i="14"/>
  <c r="C649" i="14"/>
  <c r="C648" i="14"/>
  <c r="B647" i="14"/>
  <c r="B646" i="14"/>
  <c r="B601" i="14"/>
  <c r="B600" i="14"/>
  <c r="B599" i="14"/>
  <c r="B587" i="14"/>
  <c r="B586" i="14"/>
  <c r="B536" i="14"/>
  <c r="B535" i="14"/>
  <c r="B534" i="14"/>
  <c r="C533" i="14"/>
  <c r="C532" i="14"/>
  <c r="C531" i="14"/>
  <c r="B530" i="14"/>
  <c r="B529" i="14"/>
  <c r="C528" i="14"/>
  <c r="C527" i="14"/>
  <c r="C526" i="14"/>
  <c r="C525" i="14"/>
  <c r="C524" i="14"/>
  <c r="C523" i="14"/>
  <c r="C522" i="14"/>
  <c r="C521" i="14"/>
  <c r="C520" i="14"/>
  <c r="C519" i="14"/>
  <c r="C518" i="14"/>
  <c r="C517" i="14"/>
  <c r="C516" i="14"/>
  <c r="C515" i="14"/>
  <c r="C514" i="14"/>
  <c r="C513" i="14"/>
  <c r="C512" i="14"/>
  <c r="C511" i="14"/>
  <c r="C510" i="14"/>
  <c r="C509" i="14"/>
  <c r="C508" i="14"/>
  <c r="B507" i="14"/>
  <c r="B506" i="14"/>
  <c r="B453" i="14"/>
  <c r="B452" i="14"/>
  <c r="B451" i="14"/>
  <c r="C450" i="14"/>
  <c r="C449" i="14"/>
  <c r="C448" i="14"/>
  <c r="B447" i="14"/>
  <c r="B446" i="14"/>
  <c r="C445" i="14"/>
  <c r="C444" i="14"/>
  <c r="C443" i="14"/>
  <c r="C442" i="14"/>
  <c r="C441" i="14"/>
  <c r="C440" i="14"/>
  <c r="C439" i="14"/>
  <c r="C438" i="14"/>
  <c r="C437" i="14"/>
  <c r="C436" i="14"/>
  <c r="C435" i="14"/>
  <c r="C434" i="14"/>
  <c r="C433" i="14"/>
  <c r="C432" i="14"/>
  <c r="C431" i="14"/>
  <c r="C430" i="14"/>
  <c r="C429" i="14"/>
  <c r="C428" i="14"/>
  <c r="C427" i="14"/>
  <c r="C426" i="14"/>
  <c r="C425" i="14"/>
  <c r="B424" i="14"/>
  <c r="B423" i="14"/>
  <c r="B370" i="14"/>
  <c r="B369" i="14"/>
  <c r="B368" i="14"/>
  <c r="C367" i="14"/>
  <c r="C366" i="14"/>
  <c r="C365" i="14"/>
  <c r="C364" i="14"/>
  <c r="C363" i="14"/>
  <c r="C362" i="14"/>
  <c r="C361" i="14"/>
  <c r="C360" i="14"/>
  <c r="C359" i="14"/>
  <c r="C358" i="14"/>
  <c r="C357" i="14"/>
  <c r="C356" i="14"/>
  <c r="C355" i="14"/>
  <c r="C354" i="14"/>
  <c r="B353" i="14"/>
  <c r="B352" i="14"/>
  <c r="B333" i="14"/>
  <c r="B332" i="14"/>
  <c r="B331" i="14"/>
  <c r="C330" i="14"/>
  <c r="C329" i="14"/>
  <c r="C328" i="14"/>
  <c r="C327" i="14"/>
  <c r="C326" i="14"/>
  <c r="C325" i="14"/>
  <c r="B324" i="14"/>
  <c r="B323" i="14"/>
  <c r="B304" i="14"/>
  <c r="B303" i="14"/>
  <c r="B302" i="14"/>
  <c r="B283" i="14"/>
  <c r="B282" i="14"/>
  <c r="B258" i="14"/>
  <c r="B257" i="14"/>
  <c r="B256" i="14"/>
  <c r="C254" i="14"/>
  <c r="C253" i="14"/>
  <c r="C252" i="14"/>
  <c r="C251" i="14"/>
  <c r="C250" i="14"/>
  <c r="C249" i="14"/>
  <c r="C248" i="14"/>
  <c r="C247" i="14"/>
  <c r="C246" i="14"/>
  <c r="C245" i="14"/>
  <c r="C244" i="14"/>
  <c r="C243" i="14"/>
  <c r="C242" i="14"/>
  <c r="C241" i="14"/>
  <c r="C240" i="14"/>
  <c r="C239" i="14"/>
  <c r="B238" i="14"/>
  <c r="B237" i="14"/>
  <c r="B216" i="14"/>
  <c r="B215" i="14"/>
  <c r="B214" i="14"/>
  <c r="C212" i="14"/>
  <c r="B198" i="14"/>
  <c r="B197" i="14"/>
  <c r="B179" i="14"/>
  <c r="B178" i="14"/>
  <c r="B177" i="14"/>
  <c r="B168" i="14"/>
  <c r="B161" i="14"/>
  <c r="B160" i="14"/>
  <c r="B159" i="14"/>
  <c r="B150" i="14"/>
  <c r="B143" i="14"/>
  <c r="B142" i="14"/>
  <c r="B141" i="14"/>
  <c r="C140" i="14"/>
  <c r="C139" i="14"/>
  <c r="C138" i="14"/>
  <c r="C137" i="14"/>
  <c r="C136" i="14"/>
  <c r="C135" i="14"/>
  <c r="C134" i="14"/>
  <c r="B133" i="14"/>
  <c r="B132" i="14"/>
  <c r="B125" i="14"/>
  <c r="B124" i="14"/>
  <c r="B123" i="14"/>
  <c r="C122" i="14"/>
  <c r="C121" i="14"/>
  <c r="C120" i="14"/>
  <c r="C119" i="14"/>
  <c r="C118" i="14"/>
  <c r="C117" i="14"/>
  <c r="C116" i="14"/>
  <c r="C115" i="14"/>
  <c r="B114" i="14"/>
  <c r="B113" i="14"/>
  <c r="B101" i="14"/>
  <c r="B100" i="14"/>
  <c r="B99" i="14"/>
  <c r="C98" i="14"/>
  <c r="C97" i="14"/>
  <c r="C96" i="14"/>
  <c r="C95" i="14"/>
  <c r="C94" i="14"/>
  <c r="C93" i="14"/>
  <c r="C92" i="14"/>
  <c r="C91" i="14"/>
  <c r="C90" i="14"/>
  <c r="B89" i="14"/>
  <c r="B88" i="14"/>
  <c r="B73" i="14"/>
  <c r="B72" i="14"/>
  <c r="B71" i="14"/>
  <c r="B56" i="14"/>
  <c r="B55" i="14"/>
  <c r="B36" i="14"/>
  <c r="B35" i="14"/>
  <c r="B34" i="14"/>
  <c r="B25" i="14"/>
  <c r="B24" i="14"/>
  <c r="B14" i="14"/>
  <c r="B13" i="14"/>
  <c r="F12" i="14"/>
  <c r="E12" i="14"/>
  <c r="D12" i="14"/>
  <c r="C12" i="14"/>
  <c r="B12" i="14"/>
  <c r="B10" i="14"/>
  <c r="B9" i="14"/>
  <c r="C7" i="14"/>
  <c r="C6" i="14"/>
  <c r="C5" i="14"/>
  <c r="C4" i="14"/>
  <c r="C3" i="14"/>
  <c r="B3" i="14"/>
  <c r="B2" i="14"/>
  <c r="K2496" i="13"/>
  <c r="C2489" i="13"/>
  <c r="C2481" i="15" s="1"/>
  <c r="C2487" i="13"/>
  <c r="C2479" i="15" s="1"/>
  <c r="C2485" i="13"/>
  <c r="C2477" i="15" s="1"/>
  <c r="C2484" i="13"/>
  <c r="C2476" i="15" s="1"/>
  <c r="K2482" i="13"/>
  <c r="K2481" i="13"/>
  <c r="D2481" i="13"/>
  <c r="D2473" i="15" s="1"/>
  <c r="C2481" i="13"/>
  <c r="C2473" i="15" s="1"/>
  <c r="K2480" i="13"/>
  <c r="D2480" i="13"/>
  <c r="D2472" i="15" s="1"/>
  <c r="C2480" i="13"/>
  <c r="C2472" i="15" s="1"/>
  <c r="C2461" i="13"/>
  <c r="C2453" i="15" s="1"/>
  <c r="C2447" i="13"/>
  <c r="C2439" i="15" s="1"/>
  <c r="E2443" i="13"/>
  <c r="E2435" i="15" s="1"/>
  <c r="G2435" i="15" s="1"/>
  <c r="D2443" i="13"/>
  <c r="D2435" i="15" s="1"/>
  <c r="B2443" i="13"/>
  <c r="B2435" i="15" s="1"/>
  <c r="K2441" i="13"/>
  <c r="C2440" i="13"/>
  <c r="C2432" i="15" s="1"/>
  <c r="C2439" i="13"/>
  <c r="C2431" i="15" s="1"/>
  <c r="C2438" i="13"/>
  <c r="C2430" i="15" s="1"/>
  <c r="C2437" i="13"/>
  <c r="C2429" i="15" s="1"/>
  <c r="D2417" i="13"/>
  <c r="D2409" i="15" s="1"/>
  <c r="C2417" i="13"/>
  <c r="C2409" i="15" s="1"/>
  <c r="B2417" i="13"/>
  <c r="B2409" i="15" s="1"/>
  <c r="D2416" i="13"/>
  <c r="K2416" i="13" s="1"/>
  <c r="C2416" i="13"/>
  <c r="B2416" i="13"/>
  <c r="E2416" i="13" s="1"/>
  <c r="H2416" i="13" s="1"/>
  <c r="G2416" i="13" s="1"/>
  <c r="I2416" i="13" s="1"/>
  <c r="D2415" i="13"/>
  <c r="D2408" i="15" s="1"/>
  <c r="B2415" i="13"/>
  <c r="B2408" i="15" s="1"/>
  <c r="E2345" i="13"/>
  <c r="E2338" i="15" s="1"/>
  <c r="G2338" i="15" s="1"/>
  <c r="E2344" i="13"/>
  <c r="E2337" i="15" s="1"/>
  <c r="G2337" i="15" s="1"/>
  <c r="D2344" i="13"/>
  <c r="E2343" i="13"/>
  <c r="E2336" i="15" s="1"/>
  <c r="G2336" i="15" s="1"/>
  <c r="D2343" i="13"/>
  <c r="E2342" i="13"/>
  <c r="E2335" i="15" s="1"/>
  <c r="G2335" i="15" s="1"/>
  <c r="E2341" i="13"/>
  <c r="E2334" i="15" s="1"/>
  <c r="G2334" i="15" s="1"/>
  <c r="E2340" i="13"/>
  <c r="E2333" i="15" s="1"/>
  <c r="G2333" i="15" s="1"/>
  <c r="E2339" i="13"/>
  <c r="E2332" i="15" s="1"/>
  <c r="G2332" i="15" s="1"/>
  <c r="E2338" i="13"/>
  <c r="E2331" i="15" s="1"/>
  <c r="G2331" i="15" s="1"/>
  <c r="K2336" i="13"/>
  <c r="K2335" i="13"/>
  <c r="G2335" i="13"/>
  <c r="H2328" i="15" s="1"/>
  <c r="E2335" i="13"/>
  <c r="E2328" i="15" s="1"/>
  <c r="G2328" i="15" s="1"/>
  <c r="K2334" i="13"/>
  <c r="G2334" i="13"/>
  <c r="H2327" i="15" s="1"/>
  <c r="E2334" i="13"/>
  <c r="E2327" i="15" s="1"/>
  <c r="G2327" i="15" s="1"/>
  <c r="E2333" i="13"/>
  <c r="E2326" i="15" s="1"/>
  <c r="G2326" i="15" s="1"/>
  <c r="E2332" i="13"/>
  <c r="E2325" i="15" s="1"/>
  <c r="G2325" i="15" s="1"/>
  <c r="E2331" i="13"/>
  <c r="E2324" i="15" s="1"/>
  <c r="G2324" i="15" s="1"/>
  <c r="E2330" i="13"/>
  <c r="E2323" i="15" s="1"/>
  <c r="G2323" i="15" s="1"/>
  <c r="E2329" i="13"/>
  <c r="E2322" i="15" s="1"/>
  <c r="G2322" i="15" s="1"/>
  <c r="K2328" i="13"/>
  <c r="G2328" i="13"/>
  <c r="H2321" i="15" s="1"/>
  <c r="E2328" i="13"/>
  <c r="E2321" i="15" s="1"/>
  <c r="G2321" i="15" s="1"/>
  <c r="K2327" i="13"/>
  <c r="G2327" i="13"/>
  <c r="H2320" i="15" s="1"/>
  <c r="E2327" i="13"/>
  <c r="E2320" i="15" s="1"/>
  <c r="G2320" i="15" s="1"/>
  <c r="E2326" i="13"/>
  <c r="E2319" i="15" s="1"/>
  <c r="G2319" i="15" s="1"/>
  <c r="E2325" i="13"/>
  <c r="E2318" i="15" s="1"/>
  <c r="G2318" i="15" s="1"/>
  <c r="E2324" i="13"/>
  <c r="E2317" i="15" s="1"/>
  <c r="G2317" i="15" s="1"/>
  <c r="E2323" i="13"/>
  <c r="E2316" i="15" s="1"/>
  <c r="G2316" i="15" s="1"/>
  <c r="E2322" i="13"/>
  <c r="E2315" i="15" s="1"/>
  <c r="G2315" i="15" s="1"/>
  <c r="H2320" i="13"/>
  <c r="B2318" i="13"/>
  <c r="B2317" i="13"/>
  <c r="B2316" i="13"/>
  <c r="B2315" i="13"/>
  <c r="B2314" i="13"/>
  <c r="B2313" i="13"/>
  <c r="B2312" i="13"/>
  <c r="K2310" i="13"/>
  <c r="K2305" i="13"/>
  <c r="D2305" i="13"/>
  <c r="C2305" i="13"/>
  <c r="B2305" i="13"/>
  <c r="K2304" i="13"/>
  <c r="D2304" i="13"/>
  <c r="C2304" i="13"/>
  <c r="B2304" i="13"/>
  <c r="C2303" i="13"/>
  <c r="B2303" i="13"/>
  <c r="C2302" i="13"/>
  <c r="C2300" i="13"/>
  <c r="C2299" i="13"/>
  <c r="C2298" i="13"/>
  <c r="C2297" i="13"/>
  <c r="H2295" i="13"/>
  <c r="H2296" i="13" s="1"/>
  <c r="K2286" i="13"/>
  <c r="C2285" i="13"/>
  <c r="B2285" i="13"/>
  <c r="D2284" i="13"/>
  <c r="C2284" i="13"/>
  <c r="B2284" i="13"/>
  <c r="C2283" i="13"/>
  <c r="B2283" i="13"/>
  <c r="C2282" i="13"/>
  <c r="B2282" i="13"/>
  <c r="C2281" i="13"/>
  <c r="B2281" i="13"/>
  <c r="D2280" i="13"/>
  <c r="C2280" i="13"/>
  <c r="B2280" i="13"/>
  <c r="C2279" i="13"/>
  <c r="B2279" i="13"/>
  <c r="C2278" i="13"/>
  <c r="B2278" i="13"/>
  <c r="D2277" i="13"/>
  <c r="C2277" i="13"/>
  <c r="B2277" i="13"/>
  <c r="H2276" i="13"/>
  <c r="H2275" i="13"/>
  <c r="I2275" i="13" s="1"/>
  <c r="J2268" i="15" s="1"/>
  <c r="K2269" i="13"/>
  <c r="C2268" i="13"/>
  <c r="B2268" i="13"/>
  <c r="C2267" i="13"/>
  <c r="B2267" i="13"/>
  <c r="D2266" i="13"/>
  <c r="C2266" i="13"/>
  <c r="B2266" i="13"/>
  <c r="C2265" i="13"/>
  <c r="B2265" i="13"/>
  <c r="C2264" i="13"/>
  <c r="B2264" i="13"/>
  <c r="C2263" i="13"/>
  <c r="B2263" i="13"/>
  <c r="C2262" i="13"/>
  <c r="B2262" i="13"/>
  <c r="C2261" i="13"/>
  <c r="B2261" i="13"/>
  <c r="C2260" i="13"/>
  <c r="B2260" i="13"/>
  <c r="C2259" i="13"/>
  <c r="B2259" i="13"/>
  <c r="C2258" i="13"/>
  <c r="B2258" i="13"/>
  <c r="H2257" i="13"/>
  <c r="H2256" i="13"/>
  <c r="I2256" i="13" s="1"/>
  <c r="J2249" i="15" s="1"/>
  <c r="B2254" i="13"/>
  <c r="B2253" i="13"/>
  <c r="B2252" i="13"/>
  <c r="B2251" i="13"/>
  <c r="B2250" i="13"/>
  <c r="B2249" i="13"/>
  <c r="B2248" i="13"/>
  <c r="B2247" i="13"/>
  <c r="K2245" i="13"/>
  <c r="C2244" i="13"/>
  <c r="C2243" i="13"/>
  <c r="C2242" i="13"/>
  <c r="K2241" i="13"/>
  <c r="D2241" i="13"/>
  <c r="C2241" i="13"/>
  <c r="K2240" i="13"/>
  <c r="D2240" i="13"/>
  <c r="C2240" i="13"/>
  <c r="K2239" i="13"/>
  <c r="D2239" i="13"/>
  <c r="C2239" i="13"/>
  <c r="C2238" i="13"/>
  <c r="C2237" i="13"/>
  <c r="C2236" i="13"/>
  <c r="C2235" i="13"/>
  <c r="C2234" i="13"/>
  <c r="C2233" i="13"/>
  <c r="C2232" i="13"/>
  <c r="C2231" i="13"/>
  <c r="C2230" i="13"/>
  <c r="C2229" i="13"/>
  <c r="C2228" i="13"/>
  <c r="H2226" i="13"/>
  <c r="H2227" i="13" s="1"/>
  <c r="G2219" i="13"/>
  <c r="H2212" i="15" s="1"/>
  <c r="G2212" i="13"/>
  <c r="H2205" i="15" s="1"/>
  <c r="G2206" i="13"/>
  <c r="H2199" i="15" s="1"/>
  <c r="G2192" i="13"/>
  <c r="H2185" i="15" s="1"/>
  <c r="G2181" i="13"/>
  <c r="H2174" i="15" s="1"/>
  <c r="K2172" i="13"/>
  <c r="G2172" i="13"/>
  <c r="H2165" i="15" s="1"/>
  <c r="K2160" i="13"/>
  <c r="G2160" i="13"/>
  <c r="H2153" i="15" s="1"/>
  <c r="K2149" i="13"/>
  <c r="G2149" i="13"/>
  <c r="H2142" i="15" s="1"/>
  <c r="K2125" i="13"/>
  <c r="G2125" i="13"/>
  <c r="H2118" i="15" s="1"/>
  <c r="C2124" i="13"/>
  <c r="C2123" i="13"/>
  <c r="C2122" i="13"/>
  <c r="C2121" i="13"/>
  <c r="K2100" i="13"/>
  <c r="G2100" i="13"/>
  <c r="H2093" i="15" s="1"/>
  <c r="H2098" i="13"/>
  <c r="G2093" i="13"/>
  <c r="H2086" i="15" s="1"/>
  <c r="G2086" i="13"/>
  <c r="H2079" i="15" s="1"/>
  <c r="C2085" i="13"/>
  <c r="C2084" i="13"/>
  <c r="C2083" i="13"/>
  <c r="C2082" i="13"/>
  <c r="B2082" i="13"/>
  <c r="B2081" i="13"/>
  <c r="C2080" i="13"/>
  <c r="B2080" i="13"/>
  <c r="C2079" i="13"/>
  <c r="B2079" i="13"/>
  <c r="C2078" i="13"/>
  <c r="B2078" i="13"/>
  <c r="C2077" i="13"/>
  <c r="B2077" i="13"/>
  <c r="C2076" i="13"/>
  <c r="B2076" i="13"/>
  <c r="C2075" i="13"/>
  <c r="B2075" i="13"/>
  <c r="C2074" i="13"/>
  <c r="B2074" i="13"/>
  <c r="C2073" i="13"/>
  <c r="B2073" i="13"/>
  <c r="C2072" i="13"/>
  <c r="B2072" i="13"/>
  <c r="G2071" i="13"/>
  <c r="H2064" i="15" s="1"/>
  <c r="H2070" i="13"/>
  <c r="K2069" i="13"/>
  <c r="C2068" i="13"/>
  <c r="C2067" i="13"/>
  <c r="C2066" i="13"/>
  <c r="B2066" i="13"/>
  <c r="C2065" i="13"/>
  <c r="B2065" i="13"/>
  <c r="C2064" i="13"/>
  <c r="B2064" i="13"/>
  <c r="C2063" i="13"/>
  <c r="C2062" i="13"/>
  <c r="B2062" i="13"/>
  <c r="K2061" i="13"/>
  <c r="G2061" i="13"/>
  <c r="C2060" i="13"/>
  <c r="C2058" i="13"/>
  <c r="C2057" i="13"/>
  <c r="C2056" i="13"/>
  <c r="C2055" i="13"/>
  <c r="C2054" i="13"/>
  <c r="B2054" i="13"/>
  <c r="C2053" i="13"/>
  <c r="B2053" i="13"/>
  <c r="C2052" i="13"/>
  <c r="B2052" i="13"/>
  <c r="C2051" i="13"/>
  <c r="B2051" i="13"/>
  <c r="C2050" i="13"/>
  <c r="B2050" i="13"/>
  <c r="K2049" i="13"/>
  <c r="G2049" i="13"/>
  <c r="H2042" i="15" s="1"/>
  <c r="C2047" i="13"/>
  <c r="C2046" i="13"/>
  <c r="C2045" i="13"/>
  <c r="C2044" i="13"/>
  <c r="C2043" i="13"/>
  <c r="C2042" i="13"/>
  <c r="C2041" i="13"/>
  <c r="B2041" i="13"/>
  <c r="C2040" i="13"/>
  <c r="C2039" i="13"/>
  <c r="C2038" i="13"/>
  <c r="B2038" i="13"/>
  <c r="C2037" i="13"/>
  <c r="C2036" i="13"/>
  <c r="B2036" i="13"/>
  <c r="C2035" i="13"/>
  <c r="B2035" i="13"/>
  <c r="C2034" i="13"/>
  <c r="B2034" i="13"/>
  <c r="C2033" i="13"/>
  <c r="B2033" i="13"/>
  <c r="C2032" i="13"/>
  <c r="C2031" i="13"/>
  <c r="C2030" i="13"/>
  <c r="C2029" i="13"/>
  <c r="C2028" i="13"/>
  <c r="C2027" i="13"/>
  <c r="C2026" i="13"/>
  <c r="C2025" i="13"/>
  <c r="G2024" i="13"/>
  <c r="H2017" i="15" s="1"/>
  <c r="I2022" i="13"/>
  <c r="J2015" i="15" s="1"/>
  <c r="H2022" i="13"/>
  <c r="H2023" i="13" s="1"/>
  <c r="K2015" i="13"/>
  <c r="H2010" i="13"/>
  <c r="H2009" i="13"/>
  <c r="D2007" i="13"/>
  <c r="B2007" i="13"/>
  <c r="E2007" i="13" s="1"/>
  <c r="D2004" i="13"/>
  <c r="D2440" i="13" s="1"/>
  <c r="B2004" i="13"/>
  <c r="E2004" i="13" s="1"/>
  <c r="D2003" i="13"/>
  <c r="B2003" i="13"/>
  <c r="E2003" i="13" s="1"/>
  <c r="E2002" i="13"/>
  <c r="E1995" i="15" s="1"/>
  <c r="G1995" i="15" s="1"/>
  <c r="B2002" i="13"/>
  <c r="K2001" i="13"/>
  <c r="E2001" i="13"/>
  <c r="D2001" i="13"/>
  <c r="B2001" i="13"/>
  <c r="D2000" i="13"/>
  <c r="B2000" i="13"/>
  <c r="E2000" i="13" s="1"/>
  <c r="H1998" i="13"/>
  <c r="H2002" i="13" s="1"/>
  <c r="H1995" i="15" s="1"/>
  <c r="B1996" i="13"/>
  <c r="K1993" i="13"/>
  <c r="B1993" i="13"/>
  <c r="B2480" i="13" s="1"/>
  <c r="B2472" i="15" s="1"/>
  <c r="K1990" i="13"/>
  <c r="D1990" i="13"/>
  <c r="B1987" i="13"/>
  <c r="H1984" i="13"/>
  <c r="H1985" i="13" s="1"/>
  <c r="D1982" i="13"/>
  <c r="K1980" i="13"/>
  <c r="D1978" i="13"/>
  <c r="D1977" i="13"/>
  <c r="D1975" i="13"/>
  <c r="D1974" i="13"/>
  <c r="D1973" i="13"/>
  <c r="D1972" i="13"/>
  <c r="D1971" i="13"/>
  <c r="H1968" i="13"/>
  <c r="H1969" i="13" s="1"/>
  <c r="B1965" i="13"/>
  <c r="K1952" i="13"/>
  <c r="C1951" i="13"/>
  <c r="B1951" i="13"/>
  <c r="C1950" i="13"/>
  <c r="B1950" i="13"/>
  <c r="C1949" i="13"/>
  <c r="B1949" i="13"/>
  <c r="C1948" i="13"/>
  <c r="B1948" i="13"/>
  <c r="C1947" i="13"/>
  <c r="C1946" i="13"/>
  <c r="B1946" i="13"/>
  <c r="C1945" i="13"/>
  <c r="B1945" i="13"/>
  <c r="C1944" i="13"/>
  <c r="C1943" i="13"/>
  <c r="B1943" i="13"/>
  <c r="C1942" i="13"/>
  <c r="B1942" i="13"/>
  <c r="C1941" i="13"/>
  <c r="B1941" i="13"/>
  <c r="C1940" i="13"/>
  <c r="B1940" i="13"/>
  <c r="C1939" i="13"/>
  <c r="B1939" i="13"/>
  <c r="C1938" i="13"/>
  <c r="B1938" i="13"/>
  <c r="C1937" i="13"/>
  <c r="B1937" i="13"/>
  <c r="C1936" i="13"/>
  <c r="B1936" i="13"/>
  <c r="C1935" i="13"/>
  <c r="B1935" i="13"/>
  <c r="C1934" i="13"/>
  <c r="B1934" i="13"/>
  <c r="C1933" i="13"/>
  <c r="B1933" i="13"/>
  <c r="C1932" i="13"/>
  <c r="B1932" i="13"/>
  <c r="I1930" i="13"/>
  <c r="J1923" i="15" s="1"/>
  <c r="H1930" i="13"/>
  <c r="H1931" i="13" s="1"/>
  <c r="C1928" i="13"/>
  <c r="B1928" i="13"/>
  <c r="K1913" i="13"/>
  <c r="C1880" i="13"/>
  <c r="C1879" i="13"/>
  <c r="C1878" i="13"/>
  <c r="C1877" i="13"/>
  <c r="C1876" i="13"/>
  <c r="H1874" i="13"/>
  <c r="H1914" i="13" s="1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K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33" i="13"/>
  <c r="D1830" i="13"/>
  <c r="C1825" i="13"/>
  <c r="B1825" i="13"/>
  <c r="C1824" i="13"/>
  <c r="B1824" i="13"/>
  <c r="C1823" i="13"/>
  <c r="B1823" i="13"/>
  <c r="C1822" i="13"/>
  <c r="B1822" i="13"/>
  <c r="C1821" i="13"/>
  <c r="B1821" i="13"/>
  <c r="C1820" i="13"/>
  <c r="C1819" i="13"/>
  <c r="C1818" i="13"/>
  <c r="C1817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K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D1784" i="13"/>
  <c r="C1784" i="13"/>
  <c r="C1783" i="13"/>
  <c r="D1782" i="13"/>
  <c r="C1772" i="13"/>
  <c r="D1771" i="13"/>
  <c r="D1769" i="13"/>
  <c r="D1766" i="13"/>
  <c r="C1764" i="13"/>
  <c r="B1764" i="13"/>
  <c r="C1763" i="13"/>
  <c r="C1762" i="13"/>
  <c r="C1761" i="13"/>
  <c r="C1760" i="13"/>
  <c r="C1759" i="13"/>
  <c r="B1759" i="13"/>
  <c r="C1758" i="13"/>
  <c r="C1757" i="13"/>
  <c r="C1756" i="13"/>
  <c r="C1755" i="13"/>
  <c r="C1754" i="13"/>
  <c r="C1753" i="13"/>
  <c r="C1752" i="13"/>
  <c r="C1751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K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05" i="13"/>
  <c r="C1697" i="13"/>
  <c r="B1697" i="13"/>
  <c r="C1696" i="13"/>
  <c r="C1695" i="13"/>
  <c r="C1694" i="13"/>
  <c r="C1693" i="13"/>
  <c r="C1692" i="13"/>
  <c r="C1691" i="13"/>
  <c r="B1691" i="13"/>
  <c r="C1690" i="13"/>
  <c r="C1689" i="13"/>
  <c r="C1688" i="13"/>
  <c r="C1687" i="13"/>
  <c r="C1686" i="13"/>
  <c r="C1685" i="13"/>
  <c r="B1685" i="13"/>
  <c r="C1684" i="13"/>
  <c r="C1683" i="13"/>
  <c r="C1682" i="13"/>
  <c r="K1664" i="13"/>
  <c r="C1663" i="13"/>
  <c r="C1662" i="13"/>
  <c r="C1661" i="13"/>
  <c r="C1660" i="13"/>
  <c r="C1659" i="13"/>
  <c r="C1658" i="13"/>
  <c r="C1657" i="13"/>
  <c r="D1653" i="13"/>
  <c r="D1650" i="13"/>
  <c r="D1648" i="13"/>
  <c r="C1646" i="13"/>
  <c r="D1644" i="13"/>
  <c r="C1638" i="13"/>
  <c r="B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B1626" i="13"/>
  <c r="C1625" i="13"/>
  <c r="B1625" i="13"/>
  <c r="C1624" i="13"/>
  <c r="C1620" i="13"/>
  <c r="C1619" i="13"/>
  <c r="C1618" i="13"/>
  <c r="C1617" i="13"/>
  <c r="C1616" i="13"/>
  <c r="B1616" i="13"/>
  <c r="C1615" i="13"/>
  <c r="B1615" i="13"/>
  <c r="C1614" i="13"/>
  <c r="B1614" i="13"/>
  <c r="C1613" i="13"/>
  <c r="B1613" i="13"/>
  <c r="C1612" i="13"/>
  <c r="B1612" i="13"/>
  <c r="C1611" i="13"/>
  <c r="B1611" i="13"/>
  <c r="C1610" i="13"/>
  <c r="C1609" i="13"/>
  <c r="B1609" i="13"/>
  <c r="C1608" i="13"/>
  <c r="B1608" i="13"/>
  <c r="C1607" i="13"/>
  <c r="B1607" i="13"/>
  <c r="C1606" i="13"/>
  <c r="B1606" i="13"/>
  <c r="C1605" i="13"/>
  <c r="B1605" i="13"/>
  <c r="C1604" i="13"/>
  <c r="B1604" i="13"/>
  <c r="C1603" i="13"/>
  <c r="B1603" i="13"/>
  <c r="K1601" i="13"/>
  <c r="C1600" i="13"/>
  <c r="C1599" i="13"/>
  <c r="C1598" i="13"/>
  <c r="C1597" i="13"/>
  <c r="C1596" i="13"/>
  <c r="C1595" i="13"/>
  <c r="C1594" i="13"/>
  <c r="C1593" i="13"/>
  <c r="C1592" i="13"/>
  <c r="K1591" i="13"/>
  <c r="D1591" i="13"/>
  <c r="C1591" i="13"/>
  <c r="K1590" i="13"/>
  <c r="D1590" i="13"/>
  <c r="C1590" i="13"/>
  <c r="C1589" i="13"/>
  <c r="C1588" i="13"/>
  <c r="K1587" i="13"/>
  <c r="D1587" i="13"/>
  <c r="C1587" i="13"/>
  <c r="C1586" i="13"/>
  <c r="K1585" i="13"/>
  <c r="D1585" i="13"/>
  <c r="C1585" i="13"/>
  <c r="C1584" i="13"/>
  <c r="K1580" i="13"/>
  <c r="D1580" i="13"/>
  <c r="K1578" i="13"/>
  <c r="D1578" i="13"/>
  <c r="C1573" i="13"/>
  <c r="K1571" i="13"/>
  <c r="D1571" i="13"/>
  <c r="K1570" i="13"/>
  <c r="D1570" i="13"/>
  <c r="K1569" i="13"/>
  <c r="D1569" i="13"/>
  <c r="C1565" i="13"/>
  <c r="B1565" i="13"/>
  <c r="C1564" i="13"/>
  <c r="C1563" i="13"/>
  <c r="C1562" i="13"/>
  <c r="C1561" i="13"/>
  <c r="B1561" i="13"/>
  <c r="C1560" i="13"/>
  <c r="C1559" i="13"/>
  <c r="C1558" i="13"/>
  <c r="C1557" i="13"/>
  <c r="C1556" i="13"/>
  <c r="C1555" i="13"/>
  <c r="B1555" i="13"/>
  <c r="C1554" i="13"/>
  <c r="B1554" i="13"/>
  <c r="C1553" i="13"/>
  <c r="C1552" i="13"/>
  <c r="C1551" i="13"/>
  <c r="C1547" i="13"/>
  <c r="C1546" i="13"/>
  <c r="C1545" i="13"/>
  <c r="C1544" i="13"/>
  <c r="B1544" i="13"/>
  <c r="C1543" i="13"/>
  <c r="B1543" i="13"/>
  <c r="C1542" i="13"/>
  <c r="B1542" i="13"/>
  <c r="C1541" i="13"/>
  <c r="B1541" i="13"/>
  <c r="C1540" i="13"/>
  <c r="C1539" i="13"/>
  <c r="C1538" i="13"/>
  <c r="C1537" i="13"/>
  <c r="C1536" i="13"/>
  <c r="C1535" i="13"/>
  <c r="C1534" i="13"/>
  <c r="C1533" i="13"/>
  <c r="C1532" i="13"/>
  <c r="K1530" i="13"/>
  <c r="C1529" i="13"/>
  <c r="C1528" i="13"/>
  <c r="C1527" i="13"/>
  <c r="C1526" i="13"/>
  <c r="C1525" i="13"/>
  <c r="C1524" i="13"/>
  <c r="C1523" i="13"/>
  <c r="C1522" i="13"/>
  <c r="C1521" i="13"/>
  <c r="D1520" i="13"/>
  <c r="C1520" i="13"/>
  <c r="D1519" i="13"/>
  <c r="C1519" i="13"/>
  <c r="C1518" i="13"/>
  <c r="C1517" i="13"/>
  <c r="C1516" i="13"/>
  <c r="C1515" i="13"/>
  <c r="D1514" i="13"/>
  <c r="C1514" i="13"/>
  <c r="C1513" i="13"/>
  <c r="C1512" i="13"/>
  <c r="C1511" i="13"/>
  <c r="C1510" i="13"/>
  <c r="D1509" i="13"/>
  <c r="C1508" i="13"/>
  <c r="D1507" i="13"/>
  <c r="C1507" i="13"/>
  <c r="C1506" i="13"/>
  <c r="C1505" i="13"/>
  <c r="C1504" i="13"/>
  <c r="C1503" i="13"/>
  <c r="C1501" i="13"/>
  <c r="C1500" i="13"/>
  <c r="C1499" i="13"/>
  <c r="C1498" i="13"/>
  <c r="B1498" i="13"/>
  <c r="C1497" i="13"/>
  <c r="C1496" i="13"/>
  <c r="C1495" i="13"/>
  <c r="B1495" i="13"/>
  <c r="C1494" i="13"/>
  <c r="C1493" i="13"/>
  <c r="C1492" i="13"/>
  <c r="C1491" i="13"/>
  <c r="C1490" i="13"/>
  <c r="C1489" i="13"/>
  <c r="B1489" i="13"/>
  <c r="C1488" i="13"/>
  <c r="B1488" i="13"/>
  <c r="C1487" i="13"/>
  <c r="C1486" i="13"/>
  <c r="C1485" i="13"/>
  <c r="E1481" i="13"/>
  <c r="E1474" i="15" s="1"/>
  <c r="G1474" i="15" s="1"/>
  <c r="D1481" i="13"/>
  <c r="G1480" i="13"/>
  <c r="H1473" i="15" s="1"/>
  <c r="E1480" i="13"/>
  <c r="E1473" i="15" s="1"/>
  <c r="G1473" i="15" s="1"/>
  <c r="D1480" i="13"/>
  <c r="B1478" i="13"/>
  <c r="B1477" i="13"/>
  <c r="B1475" i="13"/>
  <c r="B1474" i="13"/>
  <c r="B1473" i="13"/>
  <c r="B1472" i="13"/>
  <c r="B1471" i="13"/>
  <c r="B1468" i="13"/>
  <c r="B1467" i="13"/>
  <c r="B1466" i="13"/>
  <c r="B1465" i="13"/>
  <c r="K1463" i="13"/>
  <c r="C1462" i="13"/>
  <c r="C1461" i="13"/>
  <c r="C1460" i="13"/>
  <c r="C1459" i="13"/>
  <c r="C1458" i="13"/>
  <c r="C1457" i="13"/>
  <c r="C1456" i="13"/>
  <c r="C1455" i="13"/>
  <c r="C1454" i="13"/>
  <c r="C1453" i="13"/>
  <c r="D1452" i="13"/>
  <c r="C1452" i="13"/>
  <c r="C1451" i="13"/>
  <c r="C1450" i="13"/>
  <c r="D1449" i="13"/>
  <c r="C1449" i="13"/>
  <c r="C1448" i="13"/>
  <c r="D1447" i="13"/>
  <c r="C1447" i="13"/>
  <c r="C1446" i="13"/>
  <c r="D1442" i="13"/>
  <c r="D1440" i="13"/>
  <c r="C1435" i="13"/>
  <c r="C1434" i="13"/>
  <c r="D1433" i="13"/>
  <c r="C1433" i="13"/>
  <c r="D1432" i="13"/>
  <c r="C1432" i="13"/>
  <c r="D1431" i="13"/>
  <c r="C1431" i="13"/>
  <c r="C1430" i="13"/>
  <c r="C1429" i="13"/>
  <c r="C1428" i="13"/>
  <c r="C1427" i="13"/>
  <c r="B1427" i="13"/>
  <c r="C1426" i="13"/>
  <c r="C1425" i="13"/>
  <c r="C1424" i="13"/>
  <c r="C1423" i="13"/>
  <c r="C1422" i="13"/>
  <c r="C1421" i="13"/>
  <c r="C1420" i="13"/>
  <c r="C1418" i="13"/>
  <c r="C1417" i="13"/>
  <c r="C1416" i="13"/>
  <c r="C1415" i="13"/>
  <c r="B1415" i="13"/>
  <c r="C1414" i="13"/>
  <c r="B1414" i="13"/>
  <c r="C1413" i="13"/>
  <c r="C1412" i="13"/>
  <c r="C1411" i="13"/>
  <c r="K1389" i="13"/>
  <c r="D1387" i="13"/>
  <c r="D1368" i="13"/>
  <c r="D1366" i="13"/>
  <c r="D1359" i="13"/>
  <c r="D1358" i="13"/>
  <c r="D1357" i="13"/>
  <c r="C1345" i="13"/>
  <c r="C1344" i="13"/>
  <c r="C1343" i="13"/>
  <c r="H1335" i="13"/>
  <c r="H1336" i="13" s="1"/>
  <c r="K1326" i="13"/>
  <c r="C1325" i="13"/>
  <c r="C1324" i="13"/>
  <c r="C1323" i="13"/>
  <c r="C1322" i="13"/>
  <c r="C1321" i="13"/>
  <c r="C1320" i="13"/>
  <c r="C1316" i="13"/>
  <c r="C1315" i="13"/>
  <c r="I1313" i="13"/>
  <c r="J1306" i="15" s="1"/>
  <c r="H1313" i="13"/>
  <c r="H1314" i="13" s="1"/>
  <c r="C1311" i="13"/>
  <c r="K1309" i="13"/>
  <c r="C1298" i="13"/>
  <c r="C1297" i="13"/>
  <c r="C1296" i="13"/>
  <c r="C1295" i="13"/>
  <c r="C1294" i="13"/>
  <c r="C1293" i="13"/>
  <c r="C1292" i="13"/>
  <c r="C1291" i="13"/>
  <c r="I1289" i="13"/>
  <c r="J1282" i="15" s="1"/>
  <c r="H1289" i="13"/>
  <c r="H1290" i="13" s="1"/>
  <c r="B1280" i="13"/>
  <c r="B1279" i="13"/>
  <c r="K1277" i="13"/>
  <c r="C1276" i="13"/>
  <c r="C1275" i="13"/>
  <c r="C1274" i="13"/>
  <c r="C1273" i="13"/>
  <c r="C1272" i="13"/>
  <c r="C1271" i="13"/>
  <c r="C1260" i="13"/>
  <c r="C1259" i="13"/>
  <c r="C1258" i="13"/>
  <c r="C1257" i="13"/>
  <c r="C1256" i="13"/>
  <c r="C1255" i="13"/>
  <c r="C1254" i="13"/>
  <c r="C1253" i="13"/>
  <c r="C1252" i="13"/>
  <c r="C1251" i="13"/>
  <c r="B1244" i="13"/>
  <c r="B1243" i="13"/>
  <c r="B1242" i="13"/>
  <c r="B1241" i="13"/>
  <c r="K1202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B1072" i="13"/>
  <c r="C1071" i="13"/>
  <c r="B1071" i="13"/>
  <c r="C1070" i="13"/>
  <c r="B1070" i="13"/>
  <c r="C1069" i="13"/>
  <c r="B1069" i="13"/>
  <c r="C1068" i="13"/>
  <c r="B1068" i="13"/>
  <c r="C1067" i="13"/>
  <c r="B1067" i="13"/>
  <c r="C1066" i="13"/>
  <c r="B1066" i="13"/>
  <c r="C1065" i="13"/>
  <c r="B1065" i="13"/>
  <c r="C1064" i="13"/>
  <c r="B1064" i="13"/>
  <c r="C1063" i="13"/>
  <c r="B1063" i="13"/>
  <c r="C1062" i="13"/>
  <c r="B1062" i="13"/>
  <c r="C1061" i="13"/>
  <c r="B1061" i="13"/>
  <c r="C1060" i="13"/>
  <c r="C1059" i="13"/>
  <c r="B1059" i="13"/>
  <c r="C1058" i="13"/>
  <c r="B1058" i="13"/>
  <c r="C1057" i="13"/>
  <c r="C1056" i="13"/>
  <c r="B1056" i="13"/>
  <c r="C1055" i="13"/>
  <c r="B1055" i="13"/>
  <c r="C1054" i="13"/>
  <c r="C1053" i="13"/>
  <c r="C1052" i="13"/>
  <c r="C1051" i="13"/>
  <c r="B1051" i="13"/>
  <c r="C1050" i="13"/>
  <c r="B1050" i="13"/>
  <c r="C1049" i="13"/>
  <c r="B1049" i="13"/>
  <c r="C1048" i="13"/>
  <c r="C1047" i="13"/>
  <c r="C1046" i="13"/>
  <c r="C1045" i="13"/>
  <c r="C1044" i="13"/>
  <c r="C1043" i="13"/>
  <c r="C1042" i="13"/>
  <c r="C1041" i="13"/>
  <c r="B1041" i="13"/>
  <c r="C1040" i="13"/>
  <c r="B1040" i="13"/>
  <c r="C1039" i="13"/>
  <c r="B1039" i="13"/>
  <c r="C1038" i="13"/>
  <c r="B1038" i="13"/>
  <c r="C1037" i="13"/>
  <c r="B1037" i="13"/>
  <c r="C1036" i="13"/>
  <c r="B1036" i="13"/>
  <c r="C1035" i="13"/>
  <c r="B1035" i="13"/>
  <c r="C1034" i="13"/>
  <c r="C1033" i="13"/>
  <c r="C1032" i="13"/>
  <c r="C1031" i="13"/>
  <c r="E1030" i="13"/>
  <c r="E1023" i="15" s="1"/>
  <c r="G1023" i="15" s="1"/>
  <c r="C1030" i="13"/>
  <c r="B1030" i="13"/>
  <c r="C1029" i="13"/>
  <c r="B1029" i="13"/>
  <c r="E1028" i="13"/>
  <c r="E1021" i="15" s="1"/>
  <c r="G1021" i="15" s="1"/>
  <c r="C1028" i="13"/>
  <c r="B1028" i="13"/>
  <c r="E1027" i="13"/>
  <c r="E1020" i="15" s="1"/>
  <c r="G1020" i="15" s="1"/>
  <c r="C1027" i="13"/>
  <c r="B1027" i="13"/>
  <c r="E1026" i="13"/>
  <c r="E1019" i="15" s="1"/>
  <c r="G1019" i="15" s="1"/>
  <c r="C1026" i="13"/>
  <c r="B1026" i="13"/>
  <c r="E1025" i="13"/>
  <c r="E1018" i="15" s="1"/>
  <c r="G1018" i="15" s="1"/>
  <c r="C1025" i="13"/>
  <c r="B1025" i="13"/>
  <c r="E1024" i="13"/>
  <c r="E1017" i="15" s="1"/>
  <c r="G1017" i="15" s="1"/>
  <c r="C1024" i="13"/>
  <c r="B1024" i="13"/>
  <c r="E1023" i="13"/>
  <c r="E1016" i="15" s="1"/>
  <c r="G1016" i="15" s="1"/>
  <c r="C1023" i="13"/>
  <c r="B1023" i="13"/>
  <c r="E1022" i="13"/>
  <c r="E1015" i="15" s="1"/>
  <c r="G1015" i="15" s="1"/>
  <c r="C1022" i="13"/>
  <c r="B1022" i="13"/>
  <c r="E1021" i="13"/>
  <c r="E1014" i="15" s="1"/>
  <c r="G1014" i="15" s="1"/>
  <c r="C1021" i="13"/>
  <c r="B1021" i="13"/>
  <c r="C1020" i="13"/>
  <c r="C1019" i="13"/>
  <c r="B1019" i="13"/>
  <c r="C1018" i="13"/>
  <c r="C1017" i="13"/>
  <c r="C1016" i="13"/>
  <c r="C1015" i="13"/>
  <c r="C1014" i="13"/>
  <c r="C1013" i="13"/>
  <c r="B1013" i="13"/>
  <c r="C1012" i="13"/>
  <c r="B1012" i="13"/>
  <c r="C1011" i="13"/>
  <c r="B1011" i="13"/>
  <c r="C1010" i="13"/>
  <c r="B1010" i="13"/>
  <c r="C1009" i="13"/>
  <c r="B1009" i="13"/>
  <c r="C1008" i="13"/>
  <c r="B1008" i="13"/>
  <c r="C1007" i="13"/>
  <c r="B1007" i="13"/>
  <c r="C1006" i="13"/>
  <c r="B1006" i="13"/>
  <c r="C1005" i="13"/>
  <c r="B1005" i="13"/>
  <c r="C1004" i="13"/>
  <c r="B1004" i="13"/>
  <c r="C1003" i="13"/>
  <c r="B1003" i="13"/>
  <c r="C1002" i="13"/>
  <c r="B1002" i="13"/>
  <c r="C1001" i="13"/>
  <c r="C1000" i="13"/>
  <c r="B1000" i="13"/>
  <c r="C999" i="13"/>
  <c r="B999" i="13"/>
  <c r="C998" i="13"/>
  <c r="C997" i="13"/>
  <c r="B997" i="13"/>
  <c r="C996" i="13"/>
  <c r="B996" i="13"/>
  <c r="C995" i="13"/>
  <c r="C994" i="13"/>
  <c r="C993" i="13"/>
  <c r="C992" i="13"/>
  <c r="B992" i="13"/>
  <c r="C991" i="13"/>
  <c r="B991" i="13"/>
  <c r="C990" i="13"/>
  <c r="B990" i="13"/>
  <c r="C989" i="13"/>
  <c r="C988" i="13"/>
  <c r="C987" i="13"/>
  <c r="C986" i="13"/>
  <c r="C985" i="13"/>
  <c r="C984" i="13"/>
  <c r="B984" i="13"/>
  <c r="C983" i="13"/>
  <c r="B983" i="13"/>
  <c r="C982" i="13"/>
  <c r="B982" i="13"/>
  <c r="C981" i="13"/>
  <c r="B981" i="13"/>
  <c r="C980" i="13"/>
  <c r="B980" i="13"/>
  <c r="C979" i="13"/>
  <c r="B979" i="13"/>
  <c r="C978" i="13"/>
  <c r="B978" i="13"/>
  <c r="C977" i="13"/>
  <c r="C976" i="13"/>
  <c r="C975" i="13"/>
  <c r="C974" i="13"/>
  <c r="E973" i="13"/>
  <c r="E966" i="15" s="1"/>
  <c r="G966" i="15" s="1"/>
  <c r="C973" i="13"/>
  <c r="B973" i="13"/>
  <c r="C972" i="13"/>
  <c r="B972" i="13"/>
  <c r="E971" i="13"/>
  <c r="E964" i="15" s="1"/>
  <c r="G964" i="15" s="1"/>
  <c r="C971" i="13"/>
  <c r="B971" i="13"/>
  <c r="E970" i="13"/>
  <c r="E963" i="15" s="1"/>
  <c r="G963" i="15" s="1"/>
  <c r="C970" i="13"/>
  <c r="B970" i="13"/>
  <c r="E969" i="13"/>
  <c r="E962" i="15" s="1"/>
  <c r="G962" i="15" s="1"/>
  <c r="C969" i="13"/>
  <c r="B969" i="13"/>
  <c r="E968" i="13"/>
  <c r="E961" i="15" s="1"/>
  <c r="G961" i="15" s="1"/>
  <c r="C968" i="13"/>
  <c r="B968" i="13"/>
  <c r="E967" i="13"/>
  <c r="E960" i="15" s="1"/>
  <c r="G960" i="15" s="1"/>
  <c r="C967" i="13"/>
  <c r="B967" i="13"/>
  <c r="E966" i="13"/>
  <c r="E959" i="15" s="1"/>
  <c r="G959" i="15" s="1"/>
  <c r="C966" i="13"/>
  <c r="B966" i="13"/>
  <c r="E965" i="13"/>
  <c r="E958" i="15" s="1"/>
  <c r="G958" i="15" s="1"/>
  <c r="C965" i="13"/>
  <c r="B965" i="13"/>
  <c r="E964" i="13"/>
  <c r="E957" i="15" s="1"/>
  <c r="G957" i="15" s="1"/>
  <c r="C964" i="13"/>
  <c r="B964" i="13"/>
  <c r="C963" i="13"/>
  <c r="C962" i="13"/>
  <c r="B962" i="13"/>
  <c r="C961" i="13"/>
  <c r="C960" i="13"/>
  <c r="C959" i="13"/>
  <c r="C958" i="13"/>
  <c r="C957" i="13"/>
  <c r="C956" i="13"/>
  <c r="B956" i="13"/>
  <c r="C955" i="13"/>
  <c r="B955" i="13"/>
  <c r="C954" i="13"/>
  <c r="B954" i="13"/>
  <c r="C953" i="13"/>
  <c r="B953" i="13"/>
  <c r="C952" i="13"/>
  <c r="B952" i="13"/>
  <c r="C951" i="13"/>
  <c r="B951" i="13"/>
  <c r="C950" i="13"/>
  <c r="B950" i="13"/>
  <c r="C949" i="13"/>
  <c r="B949" i="13"/>
  <c r="C948" i="13"/>
  <c r="B948" i="13"/>
  <c r="C947" i="13"/>
  <c r="B947" i="13"/>
  <c r="C946" i="13"/>
  <c r="B946" i="13"/>
  <c r="C945" i="13"/>
  <c r="B945" i="13"/>
  <c r="C944" i="13"/>
  <c r="C943" i="13"/>
  <c r="B943" i="13"/>
  <c r="C942" i="13"/>
  <c r="B942" i="13"/>
  <c r="C941" i="13"/>
  <c r="C940" i="13"/>
  <c r="B940" i="13"/>
  <c r="C939" i="13"/>
  <c r="B939" i="13"/>
  <c r="C938" i="13"/>
  <c r="C937" i="13"/>
  <c r="C936" i="13"/>
  <c r="C935" i="13"/>
  <c r="B935" i="13"/>
  <c r="C934" i="13"/>
  <c r="B934" i="13"/>
  <c r="C933" i="13"/>
  <c r="B933" i="13"/>
  <c r="C932" i="13"/>
  <c r="C931" i="13"/>
  <c r="C930" i="13"/>
  <c r="C929" i="13"/>
  <c r="C928" i="13"/>
  <c r="C927" i="13"/>
  <c r="B927" i="13"/>
  <c r="C926" i="13"/>
  <c r="B926" i="13"/>
  <c r="C925" i="13"/>
  <c r="B925" i="13"/>
  <c r="C924" i="13"/>
  <c r="B924" i="13"/>
  <c r="C923" i="13"/>
  <c r="B923" i="13"/>
  <c r="C922" i="13"/>
  <c r="B922" i="13"/>
  <c r="C921" i="13"/>
  <c r="B921" i="13"/>
  <c r="C920" i="13"/>
  <c r="C919" i="13"/>
  <c r="C918" i="13"/>
  <c r="C917" i="13"/>
  <c r="E916" i="13"/>
  <c r="E909" i="15" s="1"/>
  <c r="G909" i="15" s="1"/>
  <c r="C916" i="13"/>
  <c r="B916" i="13"/>
  <c r="C915" i="13"/>
  <c r="B915" i="13"/>
  <c r="E914" i="13"/>
  <c r="E907" i="15" s="1"/>
  <c r="G907" i="15" s="1"/>
  <c r="C914" i="13"/>
  <c r="B914" i="13"/>
  <c r="E913" i="13"/>
  <c r="E906" i="15" s="1"/>
  <c r="G906" i="15" s="1"/>
  <c r="C913" i="13"/>
  <c r="B913" i="13"/>
  <c r="E912" i="13"/>
  <c r="E905" i="15" s="1"/>
  <c r="G905" i="15" s="1"/>
  <c r="C912" i="13"/>
  <c r="B912" i="13"/>
  <c r="E911" i="13"/>
  <c r="E904" i="15" s="1"/>
  <c r="G904" i="15" s="1"/>
  <c r="C911" i="13"/>
  <c r="B911" i="13"/>
  <c r="E910" i="13"/>
  <c r="E903" i="15" s="1"/>
  <c r="G903" i="15" s="1"/>
  <c r="C910" i="13"/>
  <c r="B910" i="13"/>
  <c r="E909" i="13"/>
  <c r="E902" i="15" s="1"/>
  <c r="G902" i="15" s="1"/>
  <c r="C909" i="13"/>
  <c r="B909" i="13"/>
  <c r="E908" i="13"/>
  <c r="E901" i="15" s="1"/>
  <c r="G901" i="15" s="1"/>
  <c r="C908" i="13"/>
  <c r="B908" i="13"/>
  <c r="E907" i="13"/>
  <c r="E900" i="15" s="1"/>
  <c r="G900" i="15" s="1"/>
  <c r="C907" i="13"/>
  <c r="B907" i="13"/>
  <c r="C906" i="13"/>
  <c r="C905" i="13"/>
  <c r="B905" i="13"/>
  <c r="H904" i="13"/>
  <c r="H903" i="13"/>
  <c r="B894" i="13"/>
  <c r="B893" i="13"/>
  <c r="K891" i="13"/>
  <c r="H866" i="13"/>
  <c r="H892" i="13" s="1"/>
  <c r="K854" i="13"/>
  <c r="H830" i="13"/>
  <c r="H829" i="13"/>
  <c r="H855" i="13" s="1"/>
  <c r="B820" i="13"/>
  <c r="K817" i="13"/>
  <c r="C800" i="13"/>
  <c r="C799" i="13"/>
  <c r="C798" i="13"/>
  <c r="C797" i="13"/>
  <c r="C796" i="13"/>
  <c r="C795" i="13"/>
  <c r="C794" i="13"/>
  <c r="H792" i="13"/>
  <c r="H818" i="13" s="1"/>
  <c r="B783" i="13"/>
  <c r="K780" i="13"/>
  <c r="H756" i="13"/>
  <c r="H755" i="13"/>
  <c r="H781" i="13" s="1"/>
  <c r="B746" i="13"/>
  <c r="B745" i="13"/>
  <c r="K743" i="13"/>
  <c r="C738" i="13"/>
  <c r="C737" i="13"/>
  <c r="C736" i="13"/>
  <c r="C735" i="13"/>
  <c r="C734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H718" i="13"/>
  <c r="H744" i="13" s="1"/>
  <c r="K708" i="13"/>
  <c r="C707" i="13"/>
  <c r="C706" i="13"/>
  <c r="C705" i="13"/>
  <c r="C670" i="13"/>
  <c r="C669" i="13"/>
  <c r="C668" i="13"/>
  <c r="I666" i="13"/>
  <c r="J659" i="15" s="1"/>
  <c r="H666" i="13"/>
  <c r="H667" i="13" s="1"/>
  <c r="K652" i="13"/>
  <c r="D614" i="13"/>
  <c r="H606" i="13"/>
  <c r="H607" i="13" s="1"/>
  <c r="C604" i="13"/>
  <c r="C603" i="13"/>
  <c r="C602" i="13"/>
  <c r="C601" i="13"/>
  <c r="C600" i="13"/>
  <c r="C599" i="13"/>
  <c r="C598" i="13"/>
  <c r="C597" i="13"/>
  <c r="C596" i="13"/>
  <c r="C595" i="13"/>
  <c r="C594" i="13"/>
  <c r="K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D554" i="13"/>
  <c r="C554" i="13"/>
  <c r="B554" i="13"/>
  <c r="C553" i="13"/>
  <c r="C552" i="13"/>
  <c r="C551" i="13"/>
  <c r="C550" i="13"/>
  <c r="C549" i="13"/>
  <c r="C548" i="13"/>
  <c r="C547" i="13"/>
  <c r="C546" i="13"/>
  <c r="C545" i="13"/>
  <c r="C544" i="13"/>
  <c r="C543" i="13"/>
  <c r="H541" i="13"/>
  <c r="K540" i="13"/>
  <c r="K512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H459" i="13"/>
  <c r="I459" i="13" s="1"/>
  <c r="H458" i="13"/>
  <c r="H513" i="13" s="1"/>
  <c r="K457" i="13"/>
  <c r="K429" i="13"/>
  <c r="H375" i="13"/>
  <c r="H376" i="13" s="1"/>
  <c r="I376" i="13" s="1"/>
  <c r="B373" i="13"/>
  <c r="B372" i="13"/>
  <c r="B360" i="13"/>
  <c r="K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B342" i="13"/>
  <c r="C341" i="13"/>
  <c r="C340" i="13"/>
  <c r="C339" i="13"/>
  <c r="C338" i="13"/>
  <c r="C337" i="13"/>
  <c r="C336" i="13"/>
  <c r="C335" i="13"/>
  <c r="C334" i="13"/>
  <c r="C333" i="13"/>
  <c r="H331" i="13"/>
  <c r="H359" i="13" s="1"/>
  <c r="K322" i="13"/>
  <c r="C321" i="13"/>
  <c r="C320" i="13"/>
  <c r="C319" i="13"/>
  <c r="C318" i="13"/>
  <c r="C317" i="13"/>
  <c r="B317" i="13"/>
  <c r="C316" i="13"/>
  <c r="B316" i="13"/>
  <c r="C315" i="13"/>
  <c r="B315" i="13"/>
  <c r="C314" i="13"/>
  <c r="B314" i="13"/>
  <c r="C313" i="13"/>
  <c r="B313" i="13"/>
  <c r="C312" i="13"/>
  <c r="B312" i="13"/>
  <c r="C311" i="13"/>
  <c r="B311" i="13"/>
  <c r="C310" i="13"/>
  <c r="B310" i="13"/>
  <c r="C309" i="13"/>
  <c r="C308" i="13"/>
  <c r="C307" i="13"/>
  <c r="C306" i="13"/>
  <c r="C305" i="13"/>
  <c r="B305" i="13"/>
  <c r="C304" i="13"/>
  <c r="H302" i="13"/>
  <c r="C300" i="13"/>
  <c r="C299" i="13"/>
  <c r="C298" i="13"/>
  <c r="C297" i="13"/>
  <c r="C296" i="13"/>
  <c r="C295" i="13"/>
  <c r="B295" i="13"/>
  <c r="C294" i="13"/>
  <c r="C293" i="13"/>
  <c r="C292" i="13"/>
  <c r="C291" i="13"/>
  <c r="C290" i="13"/>
  <c r="B290" i="13"/>
  <c r="C289" i="13"/>
  <c r="C288" i="13"/>
  <c r="C287" i="13"/>
  <c r="B287" i="13"/>
  <c r="C286" i="13"/>
  <c r="C285" i="13"/>
  <c r="C284" i="13"/>
  <c r="C283" i="13"/>
  <c r="K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H256" i="13"/>
  <c r="C254" i="13"/>
  <c r="B253" i="13"/>
  <c r="B252" i="13"/>
  <c r="B251" i="13"/>
  <c r="B250" i="13"/>
  <c r="B249" i="13"/>
  <c r="B248" i="13"/>
  <c r="B247" i="13"/>
  <c r="B246" i="13"/>
  <c r="B245" i="13"/>
  <c r="B244" i="13"/>
  <c r="B243" i="13"/>
  <c r="B242" i="13"/>
  <c r="B241" i="13"/>
  <c r="B240" i="13"/>
  <c r="K236" i="13"/>
  <c r="C235" i="13"/>
  <c r="C234" i="13"/>
  <c r="C218" i="13"/>
  <c r="C217" i="13"/>
  <c r="C216" i="13"/>
  <c r="H214" i="13"/>
  <c r="C212" i="13"/>
  <c r="B211" i="13"/>
  <c r="C210" i="13"/>
  <c r="B210" i="13"/>
  <c r="C209" i="13"/>
  <c r="B209" i="13"/>
  <c r="C208" i="13"/>
  <c r="B208" i="13"/>
  <c r="C207" i="13"/>
  <c r="B207" i="13"/>
  <c r="C206" i="13"/>
  <c r="B206" i="13"/>
  <c r="C205" i="13"/>
  <c r="B205" i="13"/>
  <c r="C204" i="13"/>
  <c r="B204" i="13"/>
  <c r="C203" i="13"/>
  <c r="B203" i="13"/>
  <c r="C202" i="13"/>
  <c r="B202" i="13"/>
  <c r="C201" i="13"/>
  <c r="B201" i="13"/>
  <c r="C200" i="13"/>
  <c r="B200" i="13"/>
  <c r="C199" i="13"/>
  <c r="B199" i="13"/>
  <c r="C198" i="13"/>
  <c r="B198" i="13"/>
  <c r="K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I177" i="13"/>
  <c r="J177" i="15" s="1"/>
  <c r="H177" i="13"/>
  <c r="D169" i="13"/>
  <c r="B168" i="13"/>
  <c r="K167" i="13"/>
  <c r="D152" i="13"/>
  <c r="D151" i="13"/>
  <c r="B150" i="13"/>
  <c r="K149" i="13"/>
  <c r="B139" i="13"/>
  <c r="B138" i="13"/>
  <c r="B137" i="13"/>
  <c r="B136" i="13"/>
  <c r="B135" i="13"/>
  <c r="B134" i="13"/>
  <c r="B133" i="13"/>
  <c r="K131" i="13"/>
  <c r="C129" i="13"/>
  <c r="C128" i="13"/>
  <c r="B128" i="13"/>
  <c r="C127" i="13"/>
  <c r="C126" i="13"/>
  <c r="C125" i="13"/>
  <c r="B125" i="13"/>
  <c r="H124" i="13"/>
  <c r="I123" i="13"/>
  <c r="J123" i="15" s="1"/>
  <c r="H123" i="13"/>
  <c r="B121" i="13"/>
  <c r="B120" i="13"/>
  <c r="B119" i="13"/>
  <c r="B118" i="13"/>
  <c r="B117" i="13"/>
  <c r="B116" i="13"/>
  <c r="B115" i="13"/>
  <c r="B114" i="13"/>
  <c r="K112" i="13"/>
  <c r="C111" i="13"/>
  <c r="C110" i="13"/>
  <c r="C109" i="13"/>
  <c r="C108" i="13"/>
  <c r="C107" i="13"/>
  <c r="C106" i="13"/>
  <c r="C105" i="13"/>
  <c r="C104" i="13"/>
  <c r="C103" i="13"/>
  <c r="C102" i="13"/>
  <c r="C101" i="13"/>
  <c r="B97" i="13"/>
  <c r="B96" i="13"/>
  <c r="B95" i="13"/>
  <c r="B93" i="13"/>
  <c r="B92" i="13"/>
  <c r="B90" i="13"/>
  <c r="B89" i="13"/>
  <c r="K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69" i="13"/>
  <c r="B69" i="13"/>
  <c r="C68" i="13"/>
  <c r="B68" i="13"/>
  <c r="C67" i="13"/>
  <c r="B67" i="13"/>
  <c r="C66" i="13"/>
  <c r="B66" i="13"/>
  <c r="C65" i="13"/>
  <c r="B65" i="13"/>
  <c r="C64" i="13"/>
  <c r="B64" i="13"/>
  <c r="C63" i="13"/>
  <c r="B63" i="13"/>
  <c r="C62" i="13"/>
  <c r="B62" i="13"/>
  <c r="C61" i="13"/>
  <c r="B61" i="13"/>
  <c r="C60" i="13"/>
  <c r="B60" i="13"/>
  <c r="C59" i="13"/>
  <c r="B59" i="13"/>
  <c r="C58" i="13"/>
  <c r="B58" i="13"/>
  <c r="C57" i="13"/>
  <c r="B57" i="13"/>
  <c r="C56" i="13"/>
  <c r="B56" i="13"/>
  <c r="K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2" i="13"/>
  <c r="B32" i="13"/>
  <c r="C31" i="13"/>
  <c r="B31" i="13"/>
  <c r="C30" i="13"/>
  <c r="B30" i="13"/>
  <c r="C29" i="13"/>
  <c r="B29" i="13"/>
  <c r="C28" i="13"/>
  <c r="B28" i="13"/>
  <c r="C27" i="13"/>
  <c r="B27" i="13"/>
  <c r="C26" i="13"/>
  <c r="B26" i="13"/>
  <c r="C25" i="13"/>
  <c r="B25" i="13"/>
  <c r="K23" i="13"/>
  <c r="C22" i="13"/>
  <c r="C21" i="13"/>
  <c r="C20" i="13"/>
  <c r="C19" i="13"/>
  <c r="C18" i="13"/>
  <c r="C17" i="13"/>
  <c r="C16" i="13"/>
  <c r="C15" i="13"/>
  <c r="C14" i="13"/>
  <c r="H3" i="13"/>
  <c r="H2" i="13"/>
  <c r="C494" i="12"/>
  <c r="D2324" i="13" s="1"/>
  <c r="C493" i="12"/>
  <c r="D2323" i="13" s="1"/>
  <c r="C492" i="12"/>
  <c r="D2322" i="13" s="1"/>
  <c r="C491" i="12"/>
  <c r="D2326" i="13" s="1"/>
  <c r="C490" i="12"/>
  <c r="D2325" i="13" s="1"/>
  <c r="G488" i="12"/>
  <c r="E488" i="12"/>
  <c r="D479" i="12"/>
  <c r="E2467" i="13" s="1"/>
  <c r="E2459" i="15" s="1"/>
  <c r="G2459" i="15" s="1"/>
  <c r="C479" i="12"/>
  <c r="D2467" i="13" s="1"/>
  <c r="B479" i="12"/>
  <c r="C2467" i="13" s="1"/>
  <c r="C2459" i="15" s="1"/>
  <c r="A479" i="12"/>
  <c r="B2467" i="13" s="1"/>
  <c r="B2459" i="15" s="1"/>
  <c r="C478" i="12"/>
  <c r="D2408" i="13" s="1"/>
  <c r="B478" i="12"/>
  <c r="A478" i="12"/>
  <c r="B2408" i="13" s="1"/>
  <c r="B2401" i="15" s="1"/>
  <c r="D477" i="12"/>
  <c r="E2407" i="13" s="1"/>
  <c r="E2400" i="15" s="1"/>
  <c r="G2400" i="15" s="1"/>
  <c r="C477" i="12"/>
  <c r="D2407" i="13" s="1"/>
  <c r="B477" i="12"/>
  <c r="A477" i="12"/>
  <c r="B2407" i="13" s="1"/>
  <c r="B2400" i="15" s="1"/>
  <c r="D476" i="12"/>
  <c r="E2309" i="13" s="1"/>
  <c r="B476" i="12"/>
  <c r="C2309" i="13" s="1"/>
  <c r="A476" i="12"/>
  <c r="B2309" i="13" s="1"/>
  <c r="B475" i="12"/>
  <c r="C2308" i="13" s="1"/>
  <c r="A475" i="12"/>
  <c r="B2308" i="13" s="1"/>
  <c r="B474" i="12"/>
  <c r="C2307" i="13" s="1"/>
  <c r="A474" i="12"/>
  <c r="B2307" i="13" s="1"/>
  <c r="B473" i="12"/>
  <c r="C2306" i="13" s="1"/>
  <c r="A473" i="12"/>
  <c r="B2306" i="13" s="1"/>
  <c r="D472" i="12"/>
  <c r="E2305" i="13" s="1"/>
  <c r="J470" i="12"/>
  <c r="E2318" i="13" s="1"/>
  <c r="I470" i="12"/>
  <c r="D2318" i="13" s="1"/>
  <c r="D470" i="12"/>
  <c r="E2303" i="13" s="1"/>
  <c r="J469" i="12"/>
  <c r="E2317" i="13" s="1"/>
  <c r="D469" i="12"/>
  <c r="E2302" i="13" s="1"/>
  <c r="A469" i="12"/>
  <c r="B2302" i="13" s="1"/>
  <c r="J468" i="12"/>
  <c r="E2316" i="13" s="1"/>
  <c r="D468" i="12"/>
  <c r="E2301" i="13" s="1"/>
  <c r="C468" i="12"/>
  <c r="D2301" i="13" s="1"/>
  <c r="B468" i="12"/>
  <c r="C2301" i="13" s="1"/>
  <c r="A468" i="12"/>
  <c r="B2301" i="13" s="1"/>
  <c r="J467" i="12"/>
  <c r="E2315" i="13" s="1"/>
  <c r="D467" i="12"/>
  <c r="E2300" i="13" s="1"/>
  <c r="A467" i="12"/>
  <c r="B2300" i="13" s="1"/>
  <c r="J466" i="12"/>
  <c r="E2314" i="13" s="1"/>
  <c r="A466" i="12"/>
  <c r="B2299" i="13" s="1"/>
  <c r="J465" i="12"/>
  <c r="E2313" i="13" s="1"/>
  <c r="A465" i="12"/>
  <c r="B2298" i="13" s="1"/>
  <c r="J464" i="12"/>
  <c r="E2312" i="13" s="1"/>
  <c r="A464" i="12"/>
  <c r="B2297" i="13" s="1"/>
  <c r="B460" i="12"/>
  <c r="A460" i="12"/>
  <c r="B459" i="12"/>
  <c r="A459" i="12"/>
  <c r="B458" i="12"/>
  <c r="A458" i="12"/>
  <c r="C457" i="12"/>
  <c r="C473" i="12" s="1"/>
  <c r="B457" i="12"/>
  <c r="A457" i="12"/>
  <c r="C456" i="12"/>
  <c r="C458" i="12" s="1"/>
  <c r="C474" i="12" s="1"/>
  <c r="C455" i="12"/>
  <c r="C470" i="12" s="1"/>
  <c r="C454" i="12"/>
  <c r="C469" i="12" s="1"/>
  <c r="C453" i="12"/>
  <c r="D471" i="12" s="1"/>
  <c r="C452" i="12"/>
  <c r="C467" i="12" s="1"/>
  <c r="C451" i="12"/>
  <c r="C466" i="12" s="1"/>
  <c r="C450" i="12"/>
  <c r="C465" i="12" s="1"/>
  <c r="C449" i="12"/>
  <c r="C464" i="12" s="1"/>
  <c r="E438" i="12"/>
  <c r="D438" i="12"/>
  <c r="E2444" i="13" s="1"/>
  <c r="E2436" i="15" s="1"/>
  <c r="G2436" i="15" s="1"/>
  <c r="C438" i="12"/>
  <c r="D2444" i="13" s="1"/>
  <c r="B438" i="12"/>
  <c r="C2444" i="13" s="1"/>
  <c r="C2436" i="15" s="1"/>
  <c r="A438" i="12"/>
  <c r="B2444" i="13" s="1"/>
  <c r="B2436" i="15" s="1"/>
  <c r="C437" i="12"/>
  <c r="D2414" i="13" s="1"/>
  <c r="B437" i="12"/>
  <c r="A437" i="12"/>
  <c r="B2414" i="13" s="1"/>
  <c r="B2407" i="15" s="1"/>
  <c r="D436" i="12"/>
  <c r="E2413" i="13" s="1"/>
  <c r="E2406" i="15" s="1"/>
  <c r="G2406" i="15" s="1"/>
  <c r="C436" i="12"/>
  <c r="D2413" i="13" s="1"/>
  <c r="B436" i="12"/>
  <c r="A436" i="12"/>
  <c r="B2413" i="13" s="1"/>
  <c r="B2406" i="15" s="1"/>
  <c r="D435" i="12"/>
  <c r="E2285" i="13" s="1"/>
  <c r="D434" i="12"/>
  <c r="E2284" i="13" s="1"/>
  <c r="K433" i="12"/>
  <c r="J433" i="12"/>
  <c r="D433" i="12"/>
  <c r="E2283" i="13" s="1"/>
  <c r="J432" i="12"/>
  <c r="E2293" i="13" s="1"/>
  <c r="I432" i="12"/>
  <c r="D2293" i="13" s="1"/>
  <c r="D432" i="12"/>
  <c r="E2282" i="13" s="1"/>
  <c r="J431" i="12"/>
  <c r="E2292" i="13" s="1"/>
  <c r="D431" i="12"/>
  <c r="E2281" i="13" s="1"/>
  <c r="C431" i="12"/>
  <c r="D2281" i="13" s="1"/>
  <c r="J430" i="12"/>
  <c r="E2291" i="13" s="1"/>
  <c r="I430" i="12"/>
  <c r="D2291" i="13" s="1"/>
  <c r="E430" i="12"/>
  <c r="D430" i="12"/>
  <c r="E2280" i="13" s="1"/>
  <c r="J429" i="12"/>
  <c r="E2290" i="13" s="1"/>
  <c r="I429" i="12"/>
  <c r="D2290" i="13" s="1"/>
  <c r="D429" i="12"/>
  <c r="E2279" i="13" s="1"/>
  <c r="J428" i="12"/>
  <c r="E2289" i="13" s="1"/>
  <c r="D428" i="12"/>
  <c r="E2278" i="13" s="1"/>
  <c r="J427" i="12"/>
  <c r="E2288" i="13" s="1"/>
  <c r="I427" i="12"/>
  <c r="D2288" i="13" s="1"/>
  <c r="D427" i="12"/>
  <c r="E2277" i="13" s="1"/>
  <c r="C425" i="12"/>
  <c r="C424" i="12"/>
  <c r="C428" i="12" s="1"/>
  <c r="C423" i="12"/>
  <c r="C435" i="12" s="1"/>
  <c r="C422" i="12"/>
  <c r="I428" i="12" s="1"/>
  <c r="C421" i="12"/>
  <c r="D412" i="12"/>
  <c r="E2445" i="13" s="1"/>
  <c r="E2437" i="15" s="1"/>
  <c r="G2437" i="15" s="1"/>
  <c r="C412" i="12"/>
  <c r="D2445" i="13" s="1"/>
  <c r="B412" i="12"/>
  <c r="C2445" i="13" s="1"/>
  <c r="C2437" i="15" s="1"/>
  <c r="A412" i="12"/>
  <c r="B2445" i="13" s="1"/>
  <c r="B2437" i="15" s="1"/>
  <c r="K411" i="12"/>
  <c r="D411" i="12"/>
  <c r="E2412" i="13" s="1"/>
  <c r="E2405" i="15" s="1"/>
  <c r="G2405" i="15" s="1"/>
  <c r="C411" i="12"/>
  <c r="D2412" i="13" s="1"/>
  <c r="B411" i="12"/>
  <c r="A411" i="12"/>
  <c r="B2412" i="13" s="1"/>
  <c r="B2405" i="15" s="1"/>
  <c r="K410" i="12"/>
  <c r="C410" i="12"/>
  <c r="D2411" i="13" s="1"/>
  <c r="B410" i="12"/>
  <c r="A410" i="12"/>
  <c r="B2411" i="13" s="1"/>
  <c r="B2404" i="15" s="1"/>
  <c r="K409" i="12"/>
  <c r="D409" i="12"/>
  <c r="E2268" i="13" s="1"/>
  <c r="K408" i="12"/>
  <c r="D408" i="12"/>
  <c r="E2267" i="13" s="1"/>
  <c r="K407" i="12"/>
  <c r="D407" i="12"/>
  <c r="E2266" i="13" s="1"/>
  <c r="K406" i="12"/>
  <c r="D406" i="12"/>
  <c r="E2265" i="13" s="1"/>
  <c r="C406" i="12"/>
  <c r="D2265" i="13" s="1"/>
  <c r="K405" i="12"/>
  <c r="D405" i="12"/>
  <c r="E2264" i="13" s="1"/>
  <c r="K404" i="12"/>
  <c r="D404" i="12"/>
  <c r="E2263" i="13" s="1"/>
  <c r="K403" i="12"/>
  <c r="D403" i="12"/>
  <c r="E2262" i="13" s="1"/>
  <c r="K402" i="12"/>
  <c r="D402" i="12"/>
  <c r="E2261" i="13" s="1"/>
  <c r="J401" i="12"/>
  <c r="E2273" i="13" s="1"/>
  <c r="I401" i="12"/>
  <c r="D2273" i="13" s="1"/>
  <c r="D401" i="12"/>
  <c r="E2260" i="13" s="1"/>
  <c r="J400" i="12"/>
  <c r="E2272" i="13" s="1"/>
  <c r="I400" i="12"/>
  <c r="D2272" i="13" s="1"/>
  <c r="D400" i="12"/>
  <c r="E2259" i="13" s="1"/>
  <c r="J399" i="12"/>
  <c r="E2271" i="13" s="1"/>
  <c r="D399" i="12"/>
  <c r="E2258" i="13" s="1"/>
  <c r="B397" i="12"/>
  <c r="B396" i="12"/>
  <c r="H394" i="12"/>
  <c r="G394" i="12"/>
  <c r="E385" i="12"/>
  <c r="D385" i="12"/>
  <c r="E2446" i="13" s="1"/>
  <c r="E2438" i="15" s="1"/>
  <c r="G2438" i="15" s="1"/>
  <c r="C385" i="12"/>
  <c r="D2446" i="13" s="1"/>
  <c r="B385" i="12"/>
  <c r="C2446" i="13" s="1"/>
  <c r="C2438" i="15" s="1"/>
  <c r="A385" i="12"/>
  <c r="B2446" i="13" s="1"/>
  <c r="B2438" i="15" s="1"/>
  <c r="C384" i="12"/>
  <c r="D2410" i="13" s="1"/>
  <c r="B384" i="12"/>
  <c r="A384" i="12"/>
  <c r="B2410" i="13" s="1"/>
  <c r="B2403" i="15" s="1"/>
  <c r="D383" i="12"/>
  <c r="E2409" i="13" s="1"/>
  <c r="E2402" i="15" s="1"/>
  <c r="G2402" i="15" s="1"/>
  <c r="C383" i="12"/>
  <c r="D2409" i="13" s="1"/>
  <c r="B383" i="12"/>
  <c r="A383" i="12"/>
  <c r="B2409" i="13" s="1"/>
  <c r="B2402" i="15" s="1"/>
  <c r="D382" i="12"/>
  <c r="E2244" i="13" s="1"/>
  <c r="A382" i="12"/>
  <c r="B2244" i="13" s="1"/>
  <c r="D381" i="12"/>
  <c r="E2243" i="13" s="1"/>
  <c r="A381" i="12"/>
  <c r="B2243" i="13" s="1"/>
  <c r="D380" i="12"/>
  <c r="E2242" i="13" s="1"/>
  <c r="A380" i="12"/>
  <c r="B2242" i="13" s="1"/>
  <c r="E379" i="12"/>
  <c r="D379" i="12"/>
  <c r="E2241" i="13" s="1"/>
  <c r="A379" i="12"/>
  <c r="B2241" i="13" s="1"/>
  <c r="D378" i="12"/>
  <c r="E2240" i="13" s="1"/>
  <c r="A378" i="12"/>
  <c r="B2240" i="13" s="1"/>
  <c r="D377" i="12"/>
  <c r="E2239" i="13" s="1"/>
  <c r="A377" i="12"/>
  <c r="B2239" i="13" s="1"/>
  <c r="D376" i="12"/>
  <c r="E2238" i="13" s="1"/>
  <c r="A376" i="12"/>
  <c r="B2238" i="13" s="1"/>
  <c r="D375" i="12"/>
  <c r="E2237" i="13" s="1"/>
  <c r="A375" i="12"/>
  <c r="B2237" i="13" s="1"/>
  <c r="D374" i="12"/>
  <c r="E2236" i="13" s="1"/>
  <c r="A374" i="12"/>
  <c r="B2236" i="13" s="1"/>
  <c r="J373" i="12"/>
  <c r="E2254" i="13" s="1"/>
  <c r="D373" i="12"/>
  <c r="E2235" i="13" s="1"/>
  <c r="A373" i="12"/>
  <c r="B2235" i="13" s="1"/>
  <c r="J372" i="12"/>
  <c r="E2253" i="13" s="1"/>
  <c r="D372" i="12"/>
  <c r="E2234" i="13" s="1"/>
  <c r="A372" i="12"/>
  <c r="B2234" i="13" s="1"/>
  <c r="J371" i="12"/>
  <c r="E2252" i="13" s="1"/>
  <c r="A371" i="12"/>
  <c r="B2233" i="13" s="1"/>
  <c r="J370" i="12"/>
  <c r="E2251" i="13" s="1"/>
  <c r="A370" i="12"/>
  <c r="B2232" i="13" s="1"/>
  <c r="J369" i="12"/>
  <c r="E2250" i="13" s="1"/>
  <c r="D369" i="12"/>
  <c r="E2231" i="13" s="1"/>
  <c r="A369" i="12"/>
  <c r="B2231" i="13" s="1"/>
  <c r="J368" i="12"/>
  <c r="E2249" i="13" s="1"/>
  <c r="D368" i="12"/>
  <c r="E2230" i="13" s="1"/>
  <c r="A368" i="12"/>
  <c r="B2230" i="13" s="1"/>
  <c r="J367" i="12"/>
  <c r="E2248" i="13" s="1"/>
  <c r="A367" i="12"/>
  <c r="B2229" i="13" s="1"/>
  <c r="J366" i="12"/>
  <c r="E2247" i="13" s="1"/>
  <c r="A366" i="12"/>
  <c r="B2228" i="13" s="1"/>
  <c r="B364" i="12"/>
  <c r="B363" i="12"/>
  <c r="C381" i="12" s="1"/>
  <c r="B362" i="12"/>
  <c r="C382" i="12" s="1"/>
  <c r="B361" i="12"/>
  <c r="C376" i="12" s="1"/>
  <c r="H359" i="12"/>
  <c r="G359" i="12"/>
  <c r="C375" i="12" s="1"/>
  <c r="L333" i="12"/>
  <c r="L332" i="12"/>
  <c r="L331" i="12"/>
  <c r="F331" i="12"/>
  <c r="F333" i="12" s="1"/>
  <c r="L328" i="12"/>
  <c r="F328" i="12"/>
  <c r="L327" i="12"/>
  <c r="F327" i="12"/>
  <c r="L326" i="12"/>
  <c r="F326" i="12"/>
  <c r="L325" i="12"/>
  <c r="L329" i="12" s="1"/>
  <c r="F325" i="12"/>
  <c r="F329" i="12" s="1"/>
  <c r="H312" i="12"/>
  <c r="F312" i="12"/>
  <c r="E312" i="12"/>
  <c r="D312" i="12"/>
  <c r="F311" i="12"/>
  <c r="E311" i="12"/>
  <c r="D311" i="12"/>
  <c r="G311" i="12" s="1"/>
  <c r="F310" i="12"/>
  <c r="E310" i="12"/>
  <c r="D310" i="12"/>
  <c r="F309" i="12"/>
  <c r="E309" i="12"/>
  <c r="D309" i="12"/>
  <c r="F308" i="12"/>
  <c r="E308" i="12"/>
  <c r="D308" i="12"/>
  <c r="F307" i="12"/>
  <c r="E307" i="12"/>
  <c r="D307" i="12"/>
  <c r="G307" i="12" s="1"/>
  <c r="E304" i="12"/>
  <c r="D304" i="12"/>
  <c r="E303" i="12"/>
  <c r="D303" i="12"/>
  <c r="F303" i="12" s="1"/>
  <c r="F302" i="12"/>
  <c r="E302" i="12"/>
  <c r="D302" i="12"/>
  <c r="E301" i="12"/>
  <c r="F301" i="12" s="1"/>
  <c r="D301" i="12"/>
  <c r="D296" i="12"/>
  <c r="D295" i="12"/>
  <c r="D294" i="12"/>
  <c r="D297" i="12" s="1"/>
  <c r="E293" i="12"/>
  <c r="E292" i="12"/>
  <c r="D292" i="12"/>
  <c r="E291" i="12"/>
  <c r="D291" i="12"/>
  <c r="F289" i="12"/>
  <c r="E277" i="12"/>
  <c r="C272" i="12"/>
  <c r="C271" i="12"/>
  <c r="C270" i="12"/>
  <c r="C269" i="12"/>
  <c r="C279" i="12" s="1"/>
  <c r="E268" i="12"/>
  <c r="C276" i="12" s="1"/>
  <c r="D268" i="12"/>
  <c r="E267" i="12"/>
  <c r="D267" i="12"/>
  <c r="E266" i="12"/>
  <c r="D266" i="12"/>
  <c r="C265" i="12"/>
  <c r="C264" i="12"/>
  <c r="D263" i="12"/>
  <c r="C244" i="12"/>
  <c r="C243" i="12"/>
  <c r="D241" i="12"/>
  <c r="E229" i="12"/>
  <c r="D225" i="12"/>
  <c r="D224" i="12"/>
  <c r="D221" i="12"/>
  <c r="D220" i="12"/>
  <c r="E219" i="12"/>
  <c r="E215" i="12"/>
  <c r="D215" i="12"/>
  <c r="C215" i="12"/>
  <c r="E214" i="12"/>
  <c r="D214" i="12"/>
  <c r="C214" i="12"/>
  <c r="E213" i="12"/>
  <c r="D213" i="12"/>
  <c r="F213" i="12" s="1"/>
  <c r="F212" i="12"/>
  <c r="E212" i="12"/>
  <c r="D212" i="12"/>
  <c r="F211" i="12"/>
  <c r="E211" i="12"/>
  <c r="D211" i="12"/>
  <c r="C211" i="12"/>
  <c r="C203" i="12"/>
  <c r="C230" i="12" s="1"/>
  <c r="E201" i="12"/>
  <c r="C201" i="12" s="1"/>
  <c r="D201" i="12"/>
  <c r="E200" i="12"/>
  <c r="C200" i="12" s="1"/>
  <c r="D200" i="12"/>
  <c r="E199" i="12"/>
  <c r="D199" i="12"/>
  <c r="C199" i="12"/>
  <c r="C231" i="12" s="1"/>
  <c r="K197" i="12"/>
  <c r="C197" i="12"/>
  <c r="K196" i="12"/>
  <c r="C196" i="12"/>
  <c r="K195" i="12"/>
  <c r="D195" i="12"/>
  <c r="K194" i="12"/>
  <c r="C192" i="12"/>
  <c r="C191" i="12"/>
  <c r="E190" i="12"/>
  <c r="F189" i="12"/>
  <c r="K186" i="12"/>
  <c r="K185" i="12"/>
  <c r="J184" i="12"/>
  <c r="K183" i="12"/>
  <c r="K182" i="12"/>
  <c r="D182" i="12"/>
  <c r="F174" i="12"/>
  <c r="F173" i="12"/>
  <c r="G172" i="12"/>
  <c r="G171" i="12"/>
  <c r="F171" i="12"/>
  <c r="D171" i="12"/>
  <c r="G170" i="12"/>
  <c r="F170" i="12"/>
  <c r="E170" i="12"/>
  <c r="D170" i="12"/>
  <c r="G169" i="12"/>
  <c r="F169" i="12"/>
  <c r="E169" i="12"/>
  <c r="D169" i="12"/>
  <c r="G168" i="12"/>
  <c r="F168" i="12"/>
  <c r="E168" i="12"/>
  <c r="D168" i="12"/>
  <c r="E165" i="12"/>
  <c r="D165" i="12"/>
  <c r="F165" i="12" s="1"/>
  <c r="G165" i="12" s="1"/>
  <c r="E164" i="12"/>
  <c r="D164" i="12"/>
  <c r="F164" i="12" s="1"/>
  <c r="G164" i="12" s="1"/>
  <c r="E163" i="12"/>
  <c r="D163" i="12"/>
  <c r="F163" i="12" s="1"/>
  <c r="G163" i="12" s="1"/>
  <c r="D160" i="12"/>
  <c r="D159" i="12"/>
  <c r="D158" i="12"/>
  <c r="D155" i="12"/>
  <c r="D180" i="12" s="1"/>
  <c r="D183" i="12" s="1"/>
  <c r="F149" i="12"/>
  <c r="E149" i="12"/>
  <c r="D149" i="12"/>
  <c r="F148" i="12"/>
  <c r="D148" i="12"/>
  <c r="F147" i="12"/>
  <c r="E147" i="12"/>
  <c r="E143" i="12"/>
  <c r="G175" i="12" s="1"/>
  <c r="E126" i="12"/>
  <c r="E124" i="12"/>
  <c r="E123" i="12"/>
  <c r="F122" i="12"/>
  <c r="F121" i="12"/>
  <c r="G119" i="12"/>
  <c r="E105" i="12"/>
  <c r="E104" i="12"/>
  <c r="E101" i="12"/>
  <c r="G96" i="12"/>
  <c r="E82" i="12"/>
  <c r="E81" i="12"/>
  <c r="G76" i="12"/>
  <c r="F71" i="12"/>
  <c r="F64" i="12"/>
  <c r="E64" i="12"/>
  <c r="D64" i="12"/>
  <c r="E63" i="12"/>
  <c r="D63" i="12"/>
  <c r="E62" i="12"/>
  <c r="D62" i="12"/>
  <c r="F62" i="12" s="1"/>
  <c r="F61" i="12"/>
  <c r="E61" i="12"/>
  <c r="D61" i="12"/>
  <c r="F60" i="12"/>
  <c r="E60" i="12"/>
  <c r="D60" i="12"/>
  <c r="E59" i="12"/>
  <c r="D59" i="12"/>
  <c r="E58" i="12"/>
  <c r="D58" i="12"/>
  <c r="F58" i="12" s="1"/>
  <c r="F57" i="12"/>
  <c r="E57" i="12"/>
  <c r="D57" i="12"/>
  <c r="F56" i="12"/>
  <c r="E56" i="12"/>
  <c r="D56" i="12"/>
  <c r="E55" i="12"/>
  <c r="D55" i="12"/>
  <c r="E54" i="12"/>
  <c r="D54" i="12"/>
  <c r="F54" i="12" s="1"/>
  <c r="F53" i="12"/>
  <c r="E53" i="12"/>
  <c r="D53" i="12"/>
  <c r="F52" i="12"/>
  <c r="E52" i="12"/>
  <c r="D52" i="12"/>
  <c r="E51" i="12"/>
  <c r="D51" i="12"/>
  <c r="E50" i="12"/>
  <c r="D50" i="12"/>
  <c r="F50" i="12" s="1"/>
  <c r="F49" i="12"/>
  <c r="E49" i="12"/>
  <c r="D49" i="12"/>
  <c r="F48" i="12"/>
  <c r="E48" i="12"/>
  <c r="D48" i="12"/>
  <c r="E47" i="12"/>
  <c r="D47" i="12"/>
  <c r="E46" i="12"/>
  <c r="D46" i="12"/>
  <c r="F46" i="12" s="1"/>
  <c r="F45" i="12"/>
  <c r="E45" i="12"/>
  <c r="D45" i="12"/>
  <c r="F44" i="12"/>
  <c r="E44" i="12"/>
  <c r="D44" i="12"/>
  <c r="E43" i="12"/>
  <c r="D43" i="12"/>
  <c r="E42" i="12"/>
  <c r="D42" i="12"/>
  <c r="F42" i="12" s="1"/>
  <c r="F41" i="12"/>
  <c r="E41" i="12"/>
  <c r="D41" i="12"/>
  <c r="F40" i="12"/>
  <c r="E40" i="12"/>
  <c r="D40" i="12"/>
  <c r="E39" i="12"/>
  <c r="D39" i="12"/>
  <c r="E38" i="12"/>
  <c r="D38" i="12"/>
  <c r="F38" i="12" s="1"/>
  <c r="F37" i="12"/>
  <c r="E37" i="12"/>
  <c r="D37" i="12"/>
  <c r="F36" i="12"/>
  <c r="E36" i="12"/>
  <c r="D36" i="12"/>
  <c r="E35" i="12"/>
  <c r="D35" i="12"/>
  <c r="E34" i="12"/>
  <c r="D34" i="12"/>
  <c r="F34" i="12" s="1"/>
  <c r="F33" i="12"/>
  <c r="E33" i="12"/>
  <c r="D33" i="12"/>
  <c r="F29" i="12"/>
  <c r="E29" i="12"/>
  <c r="D29" i="12"/>
  <c r="G29" i="12" s="1"/>
  <c r="F28" i="12"/>
  <c r="E28" i="12"/>
  <c r="D28" i="12"/>
  <c r="G28" i="12" s="1"/>
  <c r="F27" i="12"/>
  <c r="E27" i="12"/>
  <c r="D27" i="12"/>
  <c r="G27" i="12" s="1"/>
  <c r="G30" i="12" s="1"/>
  <c r="F24" i="12"/>
  <c r="E24" i="12"/>
  <c r="D24" i="12"/>
  <c r="F23" i="12"/>
  <c r="E23" i="12"/>
  <c r="D23" i="12"/>
  <c r="G23" i="12" s="1"/>
  <c r="F22" i="12"/>
  <c r="E22" i="12"/>
  <c r="D22" i="12"/>
  <c r="F21" i="12"/>
  <c r="E21" i="12"/>
  <c r="D21" i="12"/>
  <c r="G21" i="12" s="1"/>
  <c r="F18" i="12"/>
  <c r="E18" i="12"/>
  <c r="D18" i="12"/>
  <c r="F17" i="12"/>
  <c r="E17" i="12"/>
  <c r="D17" i="12"/>
  <c r="F16" i="12"/>
  <c r="E16" i="12"/>
  <c r="D16" i="12"/>
  <c r="G16" i="12" s="1"/>
  <c r="F15" i="12"/>
  <c r="E15" i="12"/>
  <c r="D15" i="12"/>
  <c r="G15" i="12" s="1"/>
  <c r="E7" i="12"/>
  <c r="E6" i="12"/>
  <c r="E5" i="12"/>
  <c r="E4" i="12"/>
  <c r="E98" i="12" s="1"/>
  <c r="E3" i="12"/>
  <c r="E99" i="12" s="1"/>
  <c r="E2" i="12"/>
  <c r="AI1069" i="11"/>
  <c r="AH1069" i="11"/>
  <c r="AJ1069" i="11" s="1"/>
  <c r="AJ1068" i="11"/>
  <c r="AI1068" i="11"/>
  <c r="AH1068" i="11"/>
  <c r="AJ1067" i="11"/>
  <c r="AI1067" i="11"/>
  <c r="AH1067" i="11"/>
  <c r="AH1066" i="11"/>
  <c r="AI1065" i="11"/>
  <c r="AH1065" i="11"/>
  <c r="AJ1065" i="11" s="1"/>
  <c r="AJ1064" i="11"/>
  <c r="AI1064" i="11"/>
  <c r="AH1064" i="11"/>
  <c r="AJ1063" i="11"/>
  <c r="AI1063" i="11"/>
  <c r="AH1063" i="11"/>
  <c r="AH1062" i="11"/>
  <c r="AI1061" i="11"/>
  <c r="AH1061" i="11"/>
  <c r="AJ1061" i="11" s="1"/>
  <c r="AJ1060" i="11"/>
  <c r="AI1060" i="11"/>
  <c r="AH1060" i="11"/>
  <c r="AJ1059" i="11"/>
  <c r="AH1059" i="11"/>
  <c r="AI1059" i="11" s="1"/>
  <c r="AH1058" i="11"/>
  <c r="AI1057" i="11"/>
  <c r="AH1057" i="11"/>
  <c r="AJ1057" i="11" s="1"/>
  <c r="AJ1056" i="11"/>
  <c r="AI1056" i="11"/>
  <c r="AH1056" i="11"/>
  <c r="AJ1055" i="11"/>
  <c r="AH1055" i="11"/>
  <c r="AI1055" i="11" s="1"/>
  <c r="AH1054" i="11"/>
  <c r="AI1053" i="11"/>
  <c r="AH1053" i="11"/>
  <c r="AJ1053" i="11" s="1"/>
  <c r="AJ1052" i="11"/>
  <c r="AI1052" i="11"/>
  <c r="AH1052" i="11"/>
  <c r="AJ1051" i="11"/>
  <c r="AH1051" i="11"/>
  <c r="AI1051" i="11" s="1"/>
  <c r="AH1050" i="11"/>
  <c r="AI1049" i="11"/>
  <c r="AH1049" i="11"/>
  <c r="AJ1049" i="11" s="1"/>
  <c r="AJ1048" i="11"/>
  <c r="AI1048" i="11"/>
  <c r="AH1048" i="11"/>
  <c r="AJ1047" i="11"/>
  <c r="AH1047" i="11"/>
  <c r="AI1047" i="11" s="1"/>
  <c r="AH1046" i="11"/>
  <c r="AI1045" i="11"/>
  <c r="AH1045" i="11"/>
  <c r="AJ1045" i="11" s="1"/>
  <c r="AJ1044" i="11"/>
  <c r="AI1044" i="11"/>
  <c r="AH1044" i="11"/>
  <c r="AJ1043" i="11"/>
  <c r="AH1043" i="11"/>
  <c r="AI1043" i="11" s="1"/>
  <c r="AH1042" i="11"/>
  <c r="AI1041" i="11"/>
  <c r="AH1041" i="11"/>
  <c r="AJ1041" i="11" s="1"/>
  <c r="AJ1040" i="11"/>
  <c r="AI1040" i="11"/>
  <c r="AH1040" i="11"/>
  <c r="AJ1039" i="11"/>
  <c r="AI1039" i="11"/>
  <c r="AH1039" i="11"/>
  <c r="AH1038" i="11"/>
  <c r="AI1037" i="11"/>
  <c r="AH1037" i="11"/>
  <c r="AJ1037" i="11" s="1"/>
  <c r="AJ1036" i="11"/>
  <c r="AI1036" i="11"/>
  <c r="AH1036" i="11"/>
  <c r="AJ1035" i="11"/>
  <c r="AH1035" i="11"/>
  <c r="AI1035" i="11" s="1"/>
  <c r="AH1034" i="11"/>
  <c r="AI1033" i="11"/>
  <c r="AH1033" i="11"/>
  <c r="AJ1033" i="11" s="1"/>
  <c r="AJ1032" i="11"/>
  <c r="AI1032" i="11"/>
  <c r="AH1032" i="11"/>
  <c r="AJ1031" i="11"/>
  <c r="AH1031" i="11"/>
  <c r="AI1031" i="11" s="1"/>
  <c r="AH1030" i="11"/>
  <c r="AI1029" i="11"/>
  <c r="AH1029" i="11"/>
  <c r="AJ1029" i="11" s="1"/>
  <c r="AJ1028" i="11"/>
  <c r="AI1028" i="11"/>
  <c r="AH1028" i="11"/>
  <c r="AJ1027" i="11"/>
  <c r="AH1027" i="11"/>
  <c r="AI1027" i="11" s="1"/>
  <c r="AH1026" i="11"/>
  <c r="AI1025" i="11"/>
  <c r="AH1025" i="11"/>
  <c r="AJ1025" i="11" s="1"/>
  <c r="AJ1024" i="11"/>
  <c r="AI1024" i="11"/>
  <c r="AH1024" i="11"/>
  <c r="AJ1023" i="11"/>
  <c r="AH1023" i="11"/>
  <c r="AI1023" i="11" s="1"/>
  <c r="AH1022" i="11"/>
  <c r="AI1021" i="11"/>
  <c r="AH1021" i="11"/>
  <c r="AJ1021" i="11" s="1"/>
  <c r="AJ1020" i="11"/>
  <c r="AI1020" i="11"/>
  <c r="AH1020" i="11"/>
  <c r="AJ1019" i="11"/>
  <c r="AH1019" i="11"/>
  <c r="AI1019" i="11" s="1"/>
  <c r="AH1018" i="11"/>
  <c r="AI1017" i="11"/>
  <c r="AH1017" i="11"/>
  <c r="AJ1017" i="11" s="1"/>
  <c r="AJ1016" i="11"/>
  <c r="AI1016" i="11"/>
  <c r="AH1016" i="11"/>
  <c r="AJ1015" i="11"/>
  <c r="AH1015" i="11"/>
  <c r="AI1015" i="11" s="1"/>
  <c r="AH1014" i="11"/>
  <c r="AI1013" i="11"/>
  <c r="AH1013" i="11"/>
  <c r="AJ1013" i="11" s="1"/>
  <c r="AJ1012" i="11"/>
  <c r="AI1012" i="11"/>
  <c r="AH1012" i="11"/>
  <c r="AJ1011" i="11"/>
  <c r="AH1011" i="11"/>
  <c r="AI1011" i="11" s="1"/>
  <c r="AH1010" i="11"/>
  <c r="AI1009" i="11"/>
  <c r="AH1009" i="11"/>
  <c r="AJ1009" i="11" s="1"/>
  <c r="AJ1008" i="11"/>
  <c r="AI1008" i="11"/>
  <c r="AH1008" i="11"/>
  <c r="AJ1007" i="11"/>
  <c r="AH1007" i="11"/>
  <c r="AI1007" i="11" s="1"/>
  <c r="AH1006" i="11"/>
  <c r="AI1005" i="11"/>
  <c r="AH1005" i="11"/>
  <c r="AJ1005" i="11" s="1"/>
  <c r="AJ1004" i="11"/>
  <c r="AI1004" i="11"/>
  <c r="AH1004" i="11"/>
  <c r="AJ1003" i="11"/>
  <c r="AI1003" i="11"/>
  <c r="AH1003" i="11"/>
  <c r="AH1002" i="11"/>
  <c r="AI1001" i="11"/>
  <c r="AH1001" i="11"/>
  <c r="AJ1001" i="11" s="1"/>
  <c r="AJ1000" i="11"/>
  <c r="AI1000" i="11"/>
  <c r="AH1000" i="11"/>
  <c r="AJ999" i="11"/>
  <c r="AI999" i="11"/>
  <c r="AH999" i="11"/>
  <c r="AH998" i="11"/>
  <c r="AI997" i="11"/>
  <c r="AH997" i="11"/>
  <c r="AJ997" i="11" s="1"/>
  <c r="AJ996" i="11"/>
  <c r="AI996" i="11"/>
  <c r="AH996" i="11"/>
  <c r="AJ995" i="11"/>
  <c r="AH995" i="11"/>
  <c r="AI995" i="11" s="1"/>
  <c r="AH994" i="11"/>
  <c r="AI993" i="11"/>
  <c r="AH993" i="11"/>
  <c r="AJ993" i="11" s="1"/>
  <c r="AJ992" i="11"/>
  <c r="AI992" i="11"/>
  <c r="AH992" i="11"/>
  <c r="AJ991" i="11"/>
  <c r="AH991" i="11"/>
  <c r="AI991" i="11" s="1"/>
  <c r="AH990" i="11"/>
  <c r="AI989" i="11"/>
  <c r="AH989" i="11"/>
  <c r="AJ989" i="11" s="1"/>
  <c r="AJ988" i="11"/>
  <c r="AI988" i="11"/>
  <c r="AH988" i="11"/>
  <c r="AJ987" i="11"/>
  <c r="AH987" i="11"/>
  <c r="AI987" i="11" s="1"/>
  <c r="AH986" i="11"/>
  <c r="AI985" i="11"/>
  <c r="AH985" i="11"/>
  <c r="AJ985" i="11" s="1"/>
  <c r="AJ984" i="11"/>
  <c r="AI984" i="11"/>
  <c r="AH984" i="11"/>
  <c r="AJ983" i="11"/>
  <c r="AH983" i="11"/>
  <c r="AI983" i="11" s="1"/>
  <c r="AH982" i="11"/>
  <c r="AI981" i="11"/>
  <c r="AH981" i="11"/>
  <c r="AJ981" i="11" s="1"/>
  <c r="AJ980" i="11"/>
  <c r="AI980" i="11"/>
  <c r="AH980" i="11"/>
  <c r="AJ979" i="11"/>
  <c r="AH979" i="11"/>
  <c r="AI979" i="11" s="1"/>
  <c r="AH978" i="11"/>
  <c r="AI977" i="11"/>
  <c r="AH977" i="11"/>
  <c r="AJ977" i="11" s="1"/>
  <c r="AJ976" i="11"/>
  <c r="AI976" i="11"/>
  <c r="AH976" i="11"/>
  <c r="AJ975" i="11"/>
  <c r="AI975" i="11"/>
  <c r="AH975" i="11"/>
  <c r="AH974" i="11"/>
  <c r="AI973" i="11"/>
  <c r="AH973" i="11"/>
  <c r="AJ973" i="11" s="1"/>
  <c r="AJ972" i="11"/>
  <c r="AI972" i="11"/>
  <c r="AH972" i="11"/>
  <c r="AJ971" i="11"/>
  <c r="AH971" i="11"/>
  <c r="AI971" i="11" s="1"/>
  <c r="AH970" i="11"/>
  <c r="AI969" i="11"/>
  <c r="AH969" i="11"/>
  <c r="AJ969" i="11" s="1"/>
  <c r="AJ968" i="11"/>
  <c r="AI968" i="11"/>
  <c r="AH968" i="11"/>
  <c r="AJ967" i="11"/>
  <c r="AH967" i="11"/>
  <c r="AI967" i="11" s="1"/>
  <c r="AH966" i="11"/>
  <c r="AI965" i="11"/>
  <c r="AH965" i="11"/>
  <c r="AJ965" i="11" s="1"/>
  <c r="AJ964" i="11"/>
  <c r="AI964" i="11"/>
  <c r="AH964" i="11"/>
  <c r="AJ963" i="11"/>
  <c r="AH963" i="11"/>
  <c r="AI963" i="11" s="1"/>
  <c r="AH962" i="11"/>
  <c r="AI961" i="11"/>
  <c r="AH961" i="11"/>
  <c r="AJ961" i="11" s="1"/>
  <c r="AJ960" i="11"/>
  <c r="AI960" i="11"/>
  <c r="AH960" i="11"/>
  <c r="AJ959" i="11"/>
  <c r="AH959" i="11"/>
  <c r="AI959" i="11" s="1"/>
  <c r="AH958" i="11"/>
  <c r="AI957" i="11"/>
  <c r="AH957" i="11"/>
  <c r="AJ957" i="11" s="1"/>
  <c r="AJ956" i="11"/>
  <c r="AI956" i="11"/>
  <c r="AH956" i="11"/>
  <c r="AJ955" i="11"/>
  <c r="AH955" i="11"/>
  <c r="AI955" i="11" s="1"/>
  <c r="AH954" i="11"/>
  <c r="AI953" i="11"/>
  <c r="AH953" i="11"/>
  <c r="AJ953" i="11" s="1"/>
  <c r="AJ952" i="11"/>
  <c r="AI952" i="11"/>
  <c r="AH952" i="11"/>
  <c r="AJ951" i="11"/>
  <c r="AH951" i="11"/>
  <c r="AI951" i="11" s="1"/>
  <c r="AH950" i="11"/>
  <c r="AI949" i="11"/>
  <c r="AH949" i="11"/>
  <c r="AJ949" i="11" s="1"/>
  <c r="AJ948" i="11"/>
  <c r="AI948" i="11"/>
  <c r="AH948" i="11"/>
  <c r="AJ947" i="11"/>
  <c r="AH947" i="11"/>
  <c r="AI947" i="11" s="1"/>
  <c r="AH946" i="11"/>
  <c r="AI945" i="11"/>
  <c r="AH945" i="11"/>
  <c r="AJ945" i="11" s="1"/>
  <c r="AJ944" i="11"/>
  <c r="AI944" i="11"/>
  <c r="AH944" i="11"/>
  <c r="AJ943" i="11"/>
  <c r="AI943" i="11"/>
  <c r="AH943" i="11"/>
  <c r="AH942" i="11"/>
  <c r="AI941" i="11"/>
  <c r="AH941" i="11"/>
  <c r="AJ941" i="11" s="1"/>
  <c r="AJ940" i="11"/>
  <c r="AI940" i="11"/>
  <c r="AH940" i="11"/>
  <c r="AJ939" i="11"/>
  <c r="AI939" i="11"/>
  <c r="AH939" i="11"/>
  <c r="AH938" i="11"/>
  <c r="AI937" i="11"/>
  <c r="AH937" i="11"/>
  <c r="AJ937" i="11" s="1"/>
  <c r="AJ936" i="11"/>
  <c r="AI936" i="11"/>
  <c r="AH936" i="11"/>
  <c r="AJ935" i="11"/>
  <c r="AI935" i="11"/>
  <c r="AH935" i="11"/>
  <c r="AH934" i="11"/>
  <c r="AI933" i="11"/>
  <c r="AH933" i="11"/>
  <c r="AJ933" i="11" s="1"/>
  <c r="AJ932" i="11"/>
  <c r="AI932" i="11"/>
  <c r="AH932" i="11"/>
  <c r="AJ931" i="11"/>
  <c r="AH931" i="11"/>
  <c r="AI931" i="11" s="1"/>
  <c r="AH930" i="11"/>
  <c r="AI929" i="11"/>
  <c r="AH929" i="11"/>
  <c r="AJ929" i="11" s="1"/>
  <c r="AJ928" i="11"/>
  <c r="AI928" i="11"/>
  <c r="AH928" i="11"/>
  <c r="AJ927" i="11"/>
  <c r="AH927" i="11"/>
  <c r="AI927" i="11" s="1"/>
  <c r="AH926" i="11"/>
  <c r="AI925" i="11"/>
  <c r="AH925" i="11"/>
  <c r="AJ925" i="11" s="1"/>
  <c r="AJ924" i="11"/>
  <c r="AI924" i="11"/>
  <c r="AH924" i="11"/>
  <c r="AJ923" i="11"/>
  <c r="AH923" i="11"/>
  <c r="AI923" i="11" s="1"/>
  <c r="AH922" i="11"/>
  <c r="AI921" i="11"/>
  <c r="AH921" i="11"/>
  <c r="AJ921" i="11" s="1"/>
  <c r="AJ920" i="11"/>
  <c r="AI920" i="11"/>
  <c r="AH920" i="11"/>
  <c r="AJ919" i="11"/>
  <c r="AH919" i="11"/>
  <c r="AI919" i="11" s="1"/>
  <c r="AH918" i="11"/>
  <c r="AI917" i="11"/>
  <c r="AH917" i="11"/>
  <c r="AJ917" i="11" s="1"/>
  <c r="AJ916" i="11"/>
  <c r="AI916" i="11"/>
  <c r="AH916" i="11"/>
  <c r="AJ915" i="11"/>
  <c r="AH915" i="11"/>
  <c r="AI915" i="11" s="1"/>
  <c r="AH914" i="11"/>
  <c r="AI913" i="11"/>
  <c r="AH913" i="11"/>
  <c r="AJ913" i="11" s="1"/>
  <c r="AJ912" i="11"/>
  <c r="AI912" i="11"/>
  <c r="AH912" i="11"/>
  <c r="AJ911" i="11"/>
  <c r="AH911" i="11"/>
  <c r="AI911" i="11" s="1"/>
  <c r="AH910" i="11"/>
  <c r="AI909" i="11"/>
  <c r="AH909" i="11"/>
  <c r="AJ909" i="11" s="1"/>
  <c r="AJ908" i="11"/>
  <c r="AI908" i="11"/>
  <c r="AH908" i="11"/>
  <c r="AJ907" i="11"/>
  <c r="AH907" i="11"/>
  <c r="AI907" i="11" s="1"/>
  <c r="AH906" i="11"/>
  <c r="AI905" i="11"/>
  <c r="AH905" i="11"/>
  <c r="AJ905" i="11" s="1"/>
  <c r="AJ904" i="11"/>
  <c r="AI904" i="11"/>
  <c r="AH904" i="11"/>
  <c r="AJ903" i="11"/>
  <c r="AH903" i="11"/>
  <c r="AI903" i="11" s="1"/>
  <c r="AH902" i="11"/>
  <c r="AI901" i="11"/>
  <c r="AH901" i="11"/>
  <c r="AJ901" i="11" s="1"/>
  <c r="AJ900" i="11"/>
  <c r="AI900" i="11"/>
  <c r="AH900" i="11"/>
  <c r="AJ899" i="11"/>
  <c r="AH899" i="11"/>
  <c r="AI899" i="11" s="1"/>
  <c r="AH898" i="11"/>
  <c r="AI897" i="11"/>
  <c r="AH897" i="11"/>
  <c r="AJ897" i="11" s="1"/>
  <c r="AJ896" i="11"/>
  <c r="AI896" i="11"/>
  <c r="AH896" i="11"/>
  <c r="AJ895" i="11"/>
  <c r="AH895" i="11"/>
  <c r="AI895" i="11" s="1"/>
  <c r="AH894" i="11"/>
  <c r="AI893" i="11"/>
  <c r="AH893" i="11"/>
  <c r="AJ893" i="11" s="1"/>
  <c r="AJ892" i="11"/>
  <c r="AI892" i="11"/>
  <c r="AH892" i="11"/>
  <c r="AJ891" i="11"/>
  <c r="AH891" i="11"/>
  <c r="AI891" i="11" s="1"/>
  <c r="AH890" i="11"/>
  <c r="AI889" i="11"/>
  <c r="AH889" i="11"/>
  <c r="AJ889" i="11" s="1"/>
  <c r="AJ888" i="11"/>
  <c r="AI888" i="11"/>
  <c r="AH888" i="11"/>
  <c r="AJ887" i="11"/>
  <c r="AH887" i="11"/>
  <c r="AI887" i="11" s="1"/>
  <c r="B887" i="11"/>
  <c r="AI886" i="11"/>
  <c r="AH886" i="11"/>
  <c r="AJ886" i="11" s="1"/>
  <c r="B886" i="11"/>
  <c r="AJ885" i="11"/>
  <c r="AH885" i="11"/>
  <c r="AI885" i="11" s="1"/>
  <c r="AH884" i="11"/>
  <c r="B884" i="11"/>
  <c r="AJ883" i="11"/>
  <c r="AI883" i="11"/>
  <c r="AH883" i="11"/>
  <c r="B883" i="11"/>
  <c r="AH882" i="11"/>
  <c r="B882" i="11"/>
  <c r="AJ881" i="11"/>
  <c r="AI881" i="11"/>
  <c r="AH881" i="11"/>
  <c r="AJ880" i="11"/>
  <c r="AH880" i="11"/>
  <c r="AI880" i="11" s="1"/>
  <c r="AH879" i="11"/>
  <c r="AI878" i="11"/>
  <c r="AH878" i="11"/>
  <c r="AJ878" i="11" s="1"/>
  <c r="AJ877" i="11"/>
  <c r="AI877" i="11"/>
  <c r="AH877" i="11"/>
  <c r="AJ876" i="11"/>
  <c r="AH876" i="11"/>
  <c r="AI876" i="11" s="1"/>
  <c r="AH875" i="11"/>
  <c r="B875" i="11"/>
  <c r="AJ874" i="11"/>
  <c r="AI874" i="11"/>
  <c r="AH874" i="11"/>
  <c r="AJ873" i="11"/>
  <c r="AH873" i="11"/>
  <c r="AI873" i="11" s="1"/>
  <c r="B873" i="11"/>
  <c r="AI872" i="11"/>
  <c r="AH872" i="11"/>
  <c r="AJ872" i="11" s="1"/>
  <c r="B872" i="11"/>
  <c r="AJ871" i="11"/>
  <c r="AH871" i="11"/>
  <c r="AI871" i="11" s="1"/>
  <c r="B871" i="11"/>
  <c r="AI870" i="11"/>
  <c r="AH870" i="11"/>
  <c r="AJ870" i="11" s="1"/>
  <c r="AJ869" i="11"/>
  <c r="AI869" i="11"/>
  <c r="AH869" i="11"/>
  <c r="AJ868" i="11"/>
  <c r="AH868" i="11"/>
  <c r="AI868" i="11" s="1"/>
  <c r="C868" i="11"/>
  <c r="AI867" i="11"/>
  <c r="AH867" i="11"/>
  <c r="AJ867" i="11" s="1"/>
  <c r="C867" i="11"/>
  <c r="AJ866" i="11"/>
  <c r="AH866" i="11"/>
  <c r="AI866" i="11" s="1"/>
  <c r="C866" i="11"/>
  <c r="AI865" i="11"/>
  <c r="AH865" i="11"/>
  <c r="AJ865" i="11" s="1"/>
  <c r="AJ864" i="11"/>
  <c r="AI864" i="11"/>
  <c r="AH864" i="11"/>
  <c r="B864" i="11"/>
  <c r="AH863" i="11"/>
  <c r="AI862" i="11"/>
  <c r="AH862" i="11"/>
  <c r="AJ862" i="11" s="1"/>
  <c r="AJ861" i="11"/>
  <c r="AI861" i="11"/>
  <c r="AH861" i="11"/>
  <c r="AJ860" i="11"/>
  <c r="AH860" i="11"/>
  <c r="AI860" i="11" s="1"/>
  <c r="AH859" i="11"/>
  <c r="AI858" i="11"/>
  <c r="AH858" i="11"/>
  <c r="AJ858" i="11" s="1"/>
  <c r="AJ857" i="11"/>
  <c r="AI857" i="11"/>
  <c r="AH857" i="11"/>
  <c r="AJ856" i="11"/>
  <c r="AH856" i="11"/>
  <c r="AI856" i="11" s="1"/>
  <c r="AH855" i="11"/>
  <c r="C855" i="11"/>
  <c r="AJ854" i="11"/>
  <c r="AI854" i="11"/>
  <c r="AH854" i="11"/>
  <c r="C854" i="11"/>
  <c r="AH853" i="11"/>
  <c r="C853" i="11"/>
  <c r="AJ852" i="11"/>
  <c r="AI852" i="11"/>
  <c r="AH852" i="11"/>
  <c r="AJ851" i="11"/>
  <c r="AH851" i="11"/>
  <c r="AI851" i="11" s="1"/>
  <c r="B851" i="11"/>
  <c r="AI850" i="11"/>
  <c r="AH850" i="11"/>
  <c r="AJ850" i="11" s="1"/>
  <c r="AJ849" i="11"/>
  <c r="AI849" i="11"/>
  <c r="AH849" i="11"/>
  <c r="C849" i="11"/>
  <c r="B849" i="11"/>
  <c r="AI848" i="11"/>
  <c r="AH848" i="11"/>
  <c r="AJ848" i="11" s="1"/>
  <c r="C848" i="11"/>
  <c r="B848" i="11"/>
  <c r="AH847" i="11"/>
  <c r="AI846" i="11"/>
  <c r="AH846" i="11"/>
  <c r="AJ846" i="11" s="1"/>
  <c r="AJ845" i="11"/>
  <c r="AI845" i="11"/>
  <c r="AH845" i="11"/>
  <c r="AJ844" i="11"/>
  <c r="AH844" i="11"/>
  <c r="AI844" i="11" s="1"/>
  <c r="B844" i="11"/>
  <c r="AI843" i="11"/>
  <c r="AH843" i="11"/>
  <c r="AJ843" i="11" s="1"/>
  <c r="B843" i="11"/>
  <c r="AJ842" i="11"/>
  <c r="AH842" i="11"/>
  <c r="AI842" i="11" s="1"/>
  <c r="B842" i="11"/>
  <c r="AI841" i="11"/>
  <c r="AH841" i="11"/>
  <c r="AJ841" i="11" s="1"/>
  <c r="AJ840" i="11"/>
  <c r="AI840" i="11"/>
  <c r="AH840" i="11"/>
  <c r="B838" i="11"/>
  <c r="AH835" i="11"/>
  <c r="AI834" i="11"/>
  <c r="AH834" i="11"/>
  <c r="AJ834" i="11" s="1"/>
  <c r="B834" i="11"/>
  <c r="AJ833" i="11"/>
  <c r="AH833" i="11"/>
  <c r="AI833" i="11" s="1"/>
  <c r="AH832" i="11"/>
  <c r="AI831" i="11"/>
  <c r="AH831" i="11"/>
  <c r="AJ831" i="11" s="1"/>
  <c r="AJ830" i="11"/>
  <c r="AI830" i="11"/>
  <c r="AH830" i="11"/>
  <c r="B830" i="11"/>
  <c r="AH829" i="11"/>
  <c r="AI828" i="11"/>
  <c r="AH828" i="11"/>
  <c r="AJ828" i="11" s="1"/>
  <c r="AJ827" i="11"/>
  <c r="AI827" i="11"/>
  <c r="AH827" i="11"/>
  <c r="AJ826" i="11"/>
  <c r="AH826" i="11"/>
  <c r="AI826" i="11" s="1"/>
  <c r="AH825" i="11"/>
  <c r="B825" i="11"/>
  <c r="AJ824" i="11"/>
  <c r="AI824" i="11"/>
  <c r="AH824" i="11"/>
  <c r="AJ823" i="11"/>
  <c r="AH823" i="11"/>
  <c r="AI823" i="11" s="1"/>
  <c r="AH822" i="11"/>
  <c r="AI821" i="11"/>
  <c r="AH821" i="11"/>
  <c r="AJ821" i="11" s="1"/>
  <c r="AJ820" i="11"/>
  <c r="AI820" i="11"/>
  <c r="AH820" i="11"/>
  <c r="AJ819" i="11"/>
  <c r="AH819" i="11"/>
  <c r="AI819" i="11" s="1"/>
  <c r="AH818" i="11"/>
  <c r="AI817" i="11"/>
  <c r="AH817" i="11"/>
  <c r="AJ817" i="11" s="1"/>
  <c r="AJ816" i="11"/>
  <c r="AI816" i="11"/>
  <c r="AH816" i="11"/>
  <c r="B816" i="11"/>
  <c r="AH815" i="11"/>
  <c r="B815" i="11"/>
  <c r="AJ814" i="11"/>
  <c r="AI814" i="11"/>
  <c r="AH814" i="11"/>
  <c r="B814" i="11"/>
  <c r="AH813" i="11"/>
  <c r="B813" i="11"/>
  <c r="AJ812" i="11"/>
  <c r="AI812" i="11"/>
  <c r="AH812" i="11"/>
  <c r="B812" i="11"/>
  <c r="AH811" i="11"/>
  <c r="B811" i="11"/>
  <c r="AJ810" i="11"/>
  <c r="AI810" i="11"/>
  <c r="AH810" i="11"/>
  <c r="B810" i="11"/>
  <c r="AH809" i="11"/>
  <c r="B809" i="11"/>
  <c r="AJ808" i="11"/>
  <c r="AI808" i="11"/>
  <c r="AH808" i="11"/>
  <c r="B808" i="11"/>
  <c r="AH807" i="11"/>
  <c r="B807" i="11"/>
  <c r="AJ806" i="11"/>
  <c r="AI806" i="11"/>
  <c r="AH806" i="11"/>
  <c r="AJ805" i="11"/>
  <c r="AH805" i="11"/>
  <c r="AI805" i="11" s="1"/>
  <c r="AH804" i="11"/>
  <c r="AI803" i="11"/>
  <c r="AH803" i="11"/>
  <c r="AJ803" i="11" s="1"/>
  <c r="B803" i="11"/>
  <c r="AJ802" i="11"/>
  <c r="AH802" i="11"/>
  <c r="AI802" i="11" s="1"/>
  <c r="B802" i="11"/>
  <c r="AI801" i="11"/>
  <c r="AH801" i="11"/>
  <c r="AJ801" i="11" s="1"/>
  <c r="B801" i="11"/>
  <c r="AJ800" i="11"/>
  <c r="AH800" i="11"/>
  <c r="AI800" i="11" s="1"/>
  <c r="AH799" i="11"/>
  <c r="AI798" i="11"/>
  <c r="AH798" i="11"/>
  <c r="AJ798" i="11" s="1"/>
  <c r="AJ797" i="11"/>
  <c r="AI797" i="11"/>
  <c r="AH797" i="11"/>
  <c r="AJ796" i="11"/>
  <c r="AH796" i="11"/>
  <c r="AI796" i="11" s="1"/>
  <c r="B796" i="11"/>
  <c r="AJ795" i="11"/>
  <c r="AI795" i="11"/>
  <c r="AH795" i="11"/>
  <c r="B795" i="11"/>
  <c r="AJ794" i="11"/>
  <c r="AH794" i="11"/>
  <c r="AI794" i="11" s="1"/>
  <c r="B794" i="11"/>
  <c r="C793" i="11"/>
  <c r="D793" i="11" s="1"/>
  <c r="B793" i="11"/>
  <c r="AJ792" i="11"/>
  <c r="AI792" i="11"/>
  <c r="AH792" i="11"/>
  <c r="C792" i="11"/>
  <c r="D792" i="11" s="1"/>
  <c r="B792" i="11"/>
  <c r="AJ791" i="11"/>
  <c r="AI791" i="11"/>
  <c r="AH791" i="11"/>
  <c r="C791" i="11"/>
  <c r="D791" i="11" s="1"/>
  <c r="B791" i="11"/>
  <c r="AJ790" i="11"/>
  <c r="AI790" i="11"/>
  <c r="AH790" i="11"/>
  <c r="B787" i="11"/>
  <c r="C786" i="11"/>
  <c r="B786" i="11"/>
  <c r="B785" i="11"/>
  <c r="C784" i="11"/>
  <c r="B784" i="11"/>
  <c r="AJ783" i="11"/>
  <c r="AH783" i="11"/>
  <c r="AI783" i="11" s="1"/>
  <c r="C783" i="11"/>
  <c r="B783" i="11"/>
  <c r="B782" i="11"/>
  <c r="C781" i="11"/>
  <c r="B781" i="11"/>
  <c r="B780" i="11"/>
  <c r="C779" i="11"/>
  <c r="B779" i="11"/>
  <c r="AJ778" i="11"/>
  <c r="AI778" i="11"/>
  <c r="AH778" i="11"/>
  <c r="B778" i="11"/>
  <c r="C777" i="11"/>
  <c r="B777" i="11"/>
  <c r="B776" i="11"/>
  <c r="C775" i="11"/>
  <c r="B775" i="11"/>
  <c r="B774" i="11"/>
  <c r="AI773" i="11"/>
  <c r="AH773" i="11"/>
  <c r="AJ773" i="11" s="1"/>
  <c r="B773" i="11"/>
  <c r="C772" i="11"/>
  <c r="B772" i="11"/>
  <c r="B771" i="11"/>
  <c r="C770" i="11"/>
  <c r="B770" i="11"/>
  <c r="B769" i="11"/>
  <c r="AH768" i="11"/>
  <c r="C768" i="11"/>
  <c r="B768" i="11"/>
  <c r="B767" i="11"/>
  <c r="C766" i="11"/>
  <c r="B766" i="11"/>
  <c r="B765" i="11"/>
  <c r="C764" i="11"/>
  <c r="B764" i="11"/>
  <c r="AJ763" i="11"/>
  <c r="AI763" i="11"/>
  <c r="AH763" i="11"/>
  <c r="C763" i="11"/>
  <c r="B763" i="11"/>
  <c r="B762" i="11"/>
  <c r="C761" i="11"/>
  <c r="B761" i="11"/>
  <c r="B760" i="11"/>
  <c r="C759" i="11"/>
  <c r="B759" i="11"/>
  <c r="AJ758" i="11"/>
  <c r="AI758" i="11"/>
  <c r="AH758" i="11"/>
  <c r="B758" i="11"/>
  <c r="C757" i="11"/>
  <c r="B757" i="11"/>
  <c r="H756" i="11"/>
  <c r="C756" i="11"/>
  <c r="B756" i="11"/>
  <c r="H755" i="11"/>
  <c r="B755" i="11"/>
  <c r="H754" i="11"/>
  <c r="B754" i="11"/>
  <c r="AH753" i="11"/>
  <c r="H753" i="11"/>
  <c r="B753" i="11"/>
  <c r="H752" i="11"/>
  <c r="C752" i="11"/>
  <c r="AJ751" i="11"/>
  <c r="AI751" i="11"/>
  <c r="AH751" i="11"/>
  <c r="H751" i="11"/>
  <c r="AH750" i="11"/>
  <c r="H750" i="11"/>
  <c r="C750" i="11"/>
  <c r="C796" i="11" s="1"/>
  <c r="D796" i="11" s="1"/>
  <c r="AJ749" i="11"/>
  <c r="AH749" i="11"/>
  <c r="AI749" i="11" s="1"/>
  <c r="AH748" i="11"/>
  <c r="AI747" i="11"/>
  <c r="AH747" i="11"/>
  <c r="AJ747" i="11" s="1"/>
  <c r="AJ746" i="11"/>
  <c r="AI746" i="11"/>
  <c r="AH746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J568" i="11"/>
  <c r="AH568" i="11"/>
  <c r="AI568" i="11" s="1"/>
  <c r="AH567" i="11"/>
  <c r="F567" i="11"/>
  <c r="E567" i="11"/>
  <c r="D567" i="11"/>
  <c r="C567" i="11"/>
  <c r="C558" i="11" s="1"/>
  <c r="AI566" i="11"/>
  <c r="AH566" i="11"/>
  <c r="AJ566" i="11" s="1"/>
  <c r="F566" i="11"/>
  <c r="E566" i="11"/>
  <c r="D566" i="11"/>
  <c r="D557" i="11" s="1"/>
  <c r="D161" i="12" s="1"/>
  <c r="F161" i="12" s="1"/>
  <c r="G161" i="12" s="1"/>
  <c r="C566" i="11"/>
  <c r="AJ565" i="11"/>
  <c r="AI565" i="11"/>
  <c r="AH565" i="11"/>
  <c r="AJ564" i="11"/>
  <c r="AI564" i="11"/>
  <c r="AH564" i="11"/>
  <c r="AH563" i="11"/>
  <c r="F563" i="11"/>
  <c r="E563" i="11"/>
  <c r="D563" i="11"/>
  <c r="C563" i="11"/>
  <c r="AI562" i="11"/>
  <c r="AH562" i="11"/>
  <c r="AJ562" i="11" s="1"/>
  <c r="F562" i="11"/>
  <c r="E562" i="11"/>
  <c r="D562" i="11"/>
  <c r="C562" i="11"/>
  <c r="AJ561" i="11"/>
  <c r="AI561" i="11"/>
  <c r="AH561" i="11"/>
  <c r="F561" i="11"/>
  <c r="E561" i="11"/>
  <c r="E174" i="12" s="1"/>
  <c r="D561" i="11"/>
  <c r="D174" i="12" s="1"/>
  <c r="G174" i="12" s="1"/>
  <c r="C561" i="11"/>
  <c r="AJ560" i="11"/>
  <c r="AH560" i="11"/>
  <c r="AI560" i="11" s="1"/>
  <c r="F560" i="11"/>
  <c r="E560" i="11"/>
  <c r="D560" i="11"/>
  <c r="C560" i="11"/>
  <c r="AH559" i="11"/>
  <c r="F559" i="11"/>
  <c r="E559" i="11"/>
  <c r="E173" i="12" s="1"/>
  <c r="D559" i="11"/>
  <c r="D173" i="12" s="1"/>
  <c r="G173" i="12" s="1"/>
  <c r="C559" i="11"/>
  <c r="D181" i="12" s="1"/>
  <c r="AI558" i="11"/>
  <c r="AH558" i="11"/>
  <c r="AJ558" i="11" s="1"/>
  <c r="F558" i="11"/>
  <c r="E558" i="11"/>
  <c r="E179" i="12" s="1"/>
  <c r="D558" i="11"/>
  <c r="D162" i="12" s="1"/>
  <c r="F162" i="12" s="1"/>
  <c r="G162" i="12" s="1"/>
  <c r="AJ557" i="11"/>
  <c r="AI557" i="11"/>
  <c r="AH557" i="11"/>
  <c r="F557" i="11"/>
  <c r="E557" i="11"/>
  <c r="E161" i="12" s="1"/>
  <c r="C557" i="11"/>
  <c r="AJ556" i="11"/>
  <c r="AH556" i="11"/>
  <c r="AI556" i="11" s="1"/>
  <c r="F556" i="11"/>
  <c r="E556" i="11"/>
  <c r="E160" i="12" s="1"/>
  <c r="D556" i="11"/>
  <c r="C556" i="11"/>
  <c r="AH555" i="11"/>
  <c r="F555" i="11"/>
  <c r="E555" i="11"/>
  <c r="D555" i="11"/>
  <c r="C555" i="11"/>
  <c r="AI554" i="11"/>
  <c r="AH554" i="11"/>
  <c r="AJ554" i="11" s="1"/>
  <c r="F554" i="11"/>
  <c r="E554" i="11"/>
  <c r="D554" i="11"/>
  <c r="C554" i="11"/>
  <c r="AJ553" i="11"/>
  <c r="AI553" i="11"/>
  <c r="AH553" i="11"/>
  <c r="F553" i="11"/>
  <c r="F188" i="12" s="1"/>
  <c r="E553" i="11"/>
  <c r="E159" i="12" s="1"/>
  <c r="D553" i="11"/>
  <c r="C553" i="11"/>
  <c r="AJ552" i="11"/>
  <c r="AH552" i="11"/>
  <c r="AI552" i="11" s="1"/>
  <c r="F552" i="11"/>
  <c r="F187" i="12" s="1"/>
  <c r="E552" i="11"/>
  <c r="E158" i="12" s="1"/>
  <c r="D552" i="11"/>
  <c r="C552" i="11"/>
  <c r="AH551" i="11"/>
  <c r="F551" i="11"/>
  <c r="F186" i="12" s="1"/>
  <c r="E551" i="11"/>
  <c r="D551" i="11"/>
  <c r="C551" i="11"/>
  <c r="AI550" i="11"/>
  <c r="AH550" i="11"/>
  <c r="AJ550" i="11" s="1"/>
  <c r="F550" i="11"/>
  <c r="E550" i="11"/>
  <c r="E148" i="12" s="1"/>
  <c r="D156" i="12" s="1"/>
  <c r="D550" i="11"/>
  <c r="C550" i="11"/>
  <c r="AJ549" i="11"/>
  <c r="AI549" i="11"/>
  <c r="AH549" i="11"/>
  <c r="AJ548" i="11"/>
  <c r="AH548" i="11"/>
  <c r="AI548" i="11" s="1"/>
  <c r="AH547" i="11"/>
  <c r="AI546" i="11"/>
  <c r="AH546" i="11"/>
  <c r="AJ546" i="11" s="1"/>
  <c r="AJ545" i="11"/>
  <c r="AI545" i="11"/>
  <c r="AH545" i="11"/>
  <c r="AJ544" i="11"/>
  <c r="AH544" i="11"/>
  <c r="AI544" i="11" s="1"/>
  <c r="AH543" i="11"/>
  <c r="AI542" i="11"/>
  <c r="AH542" i="11"/>
  <c r="AJ542" i="11" s="1"/>
  <c r="AJ541" i="11"/>
  <c r="AI541" i="11"/>
  <c r="AH541" i="11"/>
  <c r="AJ540" i="11"/>
  <c r="AH540" i="11"/>
  <c r="AI540" i="11" s="1"/>
  <c r="AH539" i="11"/>
  <c r="AI538" i="11"/>
  <c r="AH538" i="11"/>
  <c r="AJ538" i="11" s="1"/>
  <c r="AJ537" i="11"/>
  <c r="AI537" i="11"/>
  <c r="AH537" i="11"/>
  <c r="AJ536" i="11"/>
  <c r="AH536" i="11"/>
  <c r="AI536" i="11" s="1"/>
  <c r="AH535" i="11"/>
  <c r="AI534" i="11"/>
  <c r="AH534" i="11"/>
  <c r="AJ534" i="11" s="1"/>
  <c r="E534" i="11"/>
  <c r="D534" i="11"/>
  <c r="C534" i="11"/>
  <c r="B534" i="11"/>
  <c r="A534" i="11"/>
  <c r="AH533" i="11"/>
  <c r="E533" i="11"/>
  <c r="D533" i="11"/>
  <c r="C533" i="11"/>
  <c r="B533" i="11"/>
  <c r="F533" i="11" s="1"/>
  <c r="A533" i="11"/>
  <c r="AJ532" i="11"/>
  <c r="AH532" i="11"/>
  <c r="AI532" i="11" s="1"/>
  <c r="E532" i="11"/>
  <c r="D532" i="11"/>
  <c r="C532" i="11"/>
  <c r="B532" i="11"/>
  <c r="F532" i="11" s="1"/>
  <c r="A532" i="11"/>
  <c r="AJ531" i="11"/>
  <c r="AI531" i="11"/>
  <c r="AH531" i="11"/>
  <c r="E531" i="11"/>
  <c r="D531" i="11"/>
  <c r="C531" i="11"/>
  <c r="B531" i="11"/>
  <c r="F531" i="11" s="1"/>
  <c r="A531" i="11"/>
  <c r="AI530" i="11"/>
  <c r="AH530" i="11"/>
  <c r="AJ530" i="11" s="1"/>
  <c r="E530" i="11"/>
  <c r="D530" i="11"/>
  <c r="C530" i="11"/>
  <c r="B530" i="11"/>
  <c r="F530" i="11" s="1"/>
  <c r="A530" i="11"/>
  <c r="AH529" i="11"/>
  <c r="E529" i="11"/>
  <c r="D529" i="11"/>
  <c r="C529" i="11"/>
  <c r="B529" i="11"/>
  <c r="F529" i="11" s="1"/>
  <c r="A529" i="11"/>
  <c r="AJ528" i="11"/>
  <c r="AH528" i="11"/>
  <c r="AI528" i="11" s="1"/>
  <c r="E528" i="11"/>
  <c r="D528" i="11"/>
  <c r="C528" i="11"/>
  <c r="B528" i="11"/>
  <c r="F528" i="11" s="1"/>
  <c r="A528" i="11"/>
  <c r="AJ527" i="11"/>
  <c r="AI527" i="11"/>
  <c r="AH527" i="11"/>
  <c r="E527" i="11"/>
  <c r="D527" i="11"/>
  <c r="C527" i="11"/>
  <c r="B527" i="11"/>
  <c r="F527" i="11" s="1"/>
  <c r="A527" i="11"/>
  <c r="AI526" i="11"/>
  <c r="AH526" i="11"/>
  <c r="AJ526" i="11" s="1"/>
  <c r="E526" i="11"/>
  <c r="D526" i="11"/>
  <c r="C526" i="11"/>
  <c r="B526" i="11"/>
  <c r="F526" i="11" s="1"/>
  <c r="A526" i="11"/>
  <c r="AH525" i="11"/>
  <c r="E525" i="11"/>
  <c r="D525" i="11"/>
  <c r="C525" i="11"/>
  <c r="B525" i="11"/>
  <c r="F525" i="11" s="1"/>
  <c r="A525" i="11"/>
  <c r="AJ524" i="11"/>
  <c r="AI524" i="11"/>
  <c r="AH524" i="11"/>
  <c r="E524" i="11"/>
  <c r="D524" i="11"/>
  <c r="C524" i="11"/>
  <c r="B524" i="11"/>
  <c r="F524" i="11" s="1"/>
  <c r="A524" i="11"/>
  <c r="AJ523" i="11"/>
  <c r="AI523" i="11"/>
  <c r="AH523" i="11"/>
  <c r="E523" i="11"/>
  <c r="D523" i="11"/>
  <c r="C523" i="11"/>
  <c r="B523" i="11"/>
  <c r="F523" i="11" s="1"/>
  <c r="A523" i="11"/>
  <c r="AI522" i="11"/>
  <c r="AH522" i="11"/>
  <c r="AJ522" i="11" s="1"/>
  <c r="E522" i="11"/>
  <c r="D522" i="11"/>
  <c r="C522" i="11"/>
  <c r="B522" i="11"/>
  <c r="F522" i="11" s="1"/>
  <c r="A522" i="11"/>
  <c r="AH521" i="11"/>
  <c r="E521" i="11"/>
  <c r="D521" i="11"/>
  <c r="C521" i="11"/>
  <c r="B521" i="11"/>
  <c r="F521" i="11" s="1"/>
  <c r="A521" i="11"/>
  <c r="AJ520" i="11"/>
  <c r="AH520" i="11"/>
  <c r="AI520" i="11" s="1"/>
  <c r="E520" i="11"/>
  <c r="D520" i="11"/>
  <c r="C520" i="11"/>
  <c r="B520" i="11"/>
  <c r="F520" i="11" s="1"/>
  <c r="A520" i="11"/>
  <c r="AJ519" i="11"/>
  <c r="AI519" i="11"/>
  <c r="AH519" i="11"/>
  <c r="E519" i="11"/>
  <c r="D519" i="11"/>
  <c r="C519" i="11"/>
  <c r="B519" i="11"/>
  <c r="F519" i="11" s="1"/>
  <c r="A519" i="11"/>
  <c r="AI518" i="11"/>
  <c r="AH518" i="11"/>
  <c r="AJ518" i="11" s="1"/>
  <c r="E518" i="11"/>
  <c r="D518" i="11"/>
  <c r="C518" i="11"/>
  <c r="B518" i="11"/>
  <c r="A518" i="11"/>
  <c r="AH517" i="11"/>
  <c r="E517" i="11"/>
  <c r="D517" i="11"/>
  <c r="C517" i="11"/>
  <c r="B517" i="11"/>
  <c r="F517" i="11" s="1"/>
  <c r="A517" i="11"/>
  <c r="AJ516" i="11"/>
  <c r="AH516" i="11"/>
  <c r="AI516" i="11" s="1"/>
  <c r="E516" i="11"/>
  <c r="D516" i="11"/>
  <c r="C516" i="11"/>
  <c r="B516" i="11"/>
  <c r="F516" i="11" s="1"/>
  <c r="A516" i="11"/>
  <c r="AJ515" i="11"/>
  <c r="AI515" i="11"/>
  <c r="AH515" i="11"/>
  <c r="E515" i="11"/>
  <c r="D515" i="11"/>
  <c r="C515" i="11"/>
  <c r="B515" i="11"/>
  <c r="A515" i="11"/>
  <c r="AI514" i="11"/>
  <c r="AH514" i="11"/>
  <c r="AJ514" i="11" s="1"/>
  <c r="E514" i="11"/>
  <c r="D514" i="11"/>
  <c r="C514" i="11"/>
  <c r="B514" i="11"/>
  <c r="A514" i="11"/>
  <c r="AH513" i="11"/>
  <c r="E513" i="11"/>
  <c r="D513" i="11"/>
  <c r="C513" i="11"/>
  <c r="B513" i="11"/>
  <c r="F513" i="11" s="1"/>
  <c r="A513" i="11"/>
  <c r="AJ512" i="11"/>
  <c r="AH512" i="11"/>
  <c r="AI512" i="11" s="1"/>
  <c r="E512" i="11"/>
  <c r="D512" i="11"/>
  <c r="C512" i="11"/>
  <c r="B512" i="11"/>
  <c r="F512" i="11" s="1"/>
  <c r="A512" i="11"/>
  <c r="AJ511" i="11"/>
  <c r="AI511" i="11"/>
  <c r="AH511" i="11"/>
  <c r="E511" i="11"/>
  <c r="D511" i="11"/>
  <c r="C511" i="11"/>
  <c r="B511" i="11"/>
  <c r="F511" i="11" s="1"/>
  <c r="A511" i="11"/>
  <c r="AI510" i="11"/>
  <c r="AH510" i="11"/>
  <c r="AJ510" i="11" s="1"/>
  <c r="E510" i="11"/>
  <c r="D510" i="11"/>
  <c r="C510" i="11"/>
  <c r="B510" i="11"/>
  <c r="F510" i="11" s="1"/>
  <c r="A510" i="11"/>
  <c r="AH509" i="11"/>
  <c r="E509" i="11"/>
  <c r="D509" i="11"/>
  <c r="C509" i="11"/>
  <c r="B509" i="11"/>
  <c r="F509" i="11" s="1"/>
  <c r="A509" i="11"/>
  <c r="AJ508" i="11"/>
  <c r="AH508" i="11"/>
  <c r="AI508" i="11" s="1"/>
  <c r="E508" i="11"/>
  <c r="D508" i="11"/>
  <c r="C508" i="11"/>
  <c r="B508" i="11"/>
  <c r="F508" i="11" s="1"/>
  <c r="A508" i="11"/>
  <c r="AJ507" i="11"/>
  <c r="AI507" i="11"/>
  <c r="AH507" i="11"/>
  <c r="E507" i="11"/>
  <c r="D507" i="11"/>
  <c r="C507" i="11"/>
  <c r="B507" i="11"/>
  <c r="F507" i="11" s="1"/>
  <c r="A507" i="11"/>
  <c r="AI506" i="11"/>
  <c r="AH506" i="11"/>
  <c r="AJ506" i="11" s="1"/>
  <c r="E506" i="11"/>
  <c r="D506" i="11"/>
  <c r="C506" i="11"/>
  <c r="B506" i="11"/>
  <c r="F506" i="11" s="1"/>
  <c r="A506" i="11"/>
  <c r="AH505" i="11"/>
  <c r="E505" i="11"/>
  <c r="D505" i="11"/>
  <c r="C505" i="11"/>
  <c r="B505" i="11"/>
  <c r="F505" i="11" s="1"/>
  <c r="A505" i="11"/>
  <c r="AJ504" i="11"/>
  <c r="AH504" i="11"/>
  <c r="AI504" i="11" s="1"/>
  <c r="E504" i="11"/>
  <c r="D504" i="11"/>
  <c r="C504" i="11"/>
  <c r="B504" i="11"/>
  <c r="F504" i="11" s="1"/>
  <c r="A504" i="11"/>
  <c r="AJ503" i="11"/>
  <c r="AI503" i="11"/>
  <c r="AH503" i="11"/>
  <c r="E503" i="11"/>
  <c r="D503" i="11"/>
  <c r="C503" i="11"/>
  <c r="B503" i="11"/>
  <c r="F503" i="11" s="1"/>
  <c r="A503" i="11"/>
  <c r="AI502" i="11"/>
  <c r="AH502" i="11"/>
  <c r="AJ502" i="11" s="1"/>
  <c r="E502" i="11"/>
  <c r="D502" i="11"/>
  <c r="C502" i="11"/>
  <c r="B502" i="11"/>
  <c r="A502" i="11"/>
  <c r="AH501" i="11"/>
  <c r="E501" i="11"/>
  <c r="D501" i="11"/>
  <c r="C501" i="11"/>
  <c r="B501" i="11"/>
  <c r="F501" i="11" s="1"/>
  <c r="A501" i="11"/>
  <c r="AJ500" i="11"/>
  <c r="AH500" i="11"/>
  <c r="AI500" i="11" s="1"/>
  <c r="E500" i="11"/>
  <c r="D500" i="11"/>
  <c r="C500" i="11"/>
  <c r="B500" i="11"/>
  <c r="F500" i="11" s="1"/>
  <c r="A500" i="11"/>
  <c r="AJ499" i="11"/>
  <c r="AI499" i="11"/>
  <c r="AH499" i="11"/>
  <c r="E499" i="11"/>
  <c r="D499" i="11"/>
  <c r="C499" i="11"/>
  <c r="B499" i="11"/>
  <c r="A499" i="11"/>
  <c r="AI498" i="11"/>
  <c r="AH498" i="11"/>
  <c r="AJ498" i="11" s="1"/>
  <c r="E498" i="11"/>
  <c r="D498" i="11"/>
  <c r="C498" i="11"/>
  <c r="B498" i="11"/>
  <c r="A498" i="11"/>
  <c r="AH497" i="11"/>
  <c r="E497" i="11"/>
  <c r="D497" i="11"/>
  <c r="C497" i="11"/>
  <c r="B497" i="11"/>
  <c r="F497" i="11" s="1"/>
  <c r="A497" i="11"/>
  <c r="AJ496" i="11"/>
  <c r="AI496" i="11"/>
  <c r="AH496" i="11"/>
  <c r="E496" i="11"/>
  <c r="D496" i="11"/>
  <c r="C496" i="11"/>
  <c r="B496" i="11"/>
  <c r="F496" i="11" s="1"/>
  <c r="A496" i="11"/>
  <c r="AJ495" i="11"/>
  <c r="AI495" i="11"/>
  <c r="AH495" i="11"/>
  <c r="F495" i="11"/>
  <c r="E495" i="11"/>
  <c r="D495" i="11"/>
  <c r="C495" i="11"/>
  <c r="B495" i="11"/>
  <c r="A495" i="11"/>
  <c r="AI494" i="11"/>
  <c r="AH494" i="11"/>
  <c r="AJ494" i="11" s="1"/>
  <c r="AJ493" i="11"/>
  <c r="AI493" i="11"/>
  <c r="AH493" i="11"/>
  <c r="B493" i="11"/>
  <c r="A493" i="11"/>
  <c r="AI492" i="11"/>
  <c r="AH492" i="11"/>
  <c r="AJ492" i="11" s="1"/>
  <c r="B492" i="11"/>
  <c r="A492" i="11"/>
  <c r="AH491" i="11"/>
  <c r="B491" i="11"/>
  <c r="A491" i="11"/>
  <c r="AJ490" i="11"/>
  <c r="AH490" i="11"/>
  <c r="AI490" i="11" s="1"/>
  <c r="B490" i="11"/>
  <c r="A490" i="11"/>
  <c r="AJ489" i="11"/>
  <c r="AI489" i="11"/>
  <c r="AH489" i="11"/>
  <c r="B489" i="11"/>
  <c r="A489" i="11"/>
  <c r="AI488" i="11"/>
  <c r="AH488" i="11"/>
  <c r="AJ488" i="11" s="1"/>
  <c r="Z488" i="11"/>
  <c r="Y488" i="11"/>
  <c r="X488" i="11"/>
  <c r="W488" i="11"/>
  <c r="V488" i="11"/>
  <c r="U488" i="11"/>
  <c r="T488" i="11"/>
  <c r="S488" i="11"/>
  <c r="Q488" i="11"/>
  <c r="P488" i="11"/>
  <c r="M488" i="11"/>
  <c r="L488" i="11"/>
  <c r="K488" i="11"/>
  <c r="J488" i="11"/>
  <c r="I488" i="11"/>
  <c r="AI487" i="11"/>
  <c r="AH487" i="11"/>
  <c r="AJ487" i="11" s="1"/>
  <c r="Z487" i="11"/>
  <c r="Y487" i="11"/>
  <c r="X487" i="11"/>
  <c r="W487" i="11"/>
  <c r="V487" i="11"/>
  <c r="U487" i="11"/>
  <c r="T487" i="11"/>
  <c r="S487" i="11"/>
  <c r="Q487" i="11"/>
  <c r="P487" i="11"/>
  <c r="M487" i="11"/>
  <c r="L487" i="11"/>
  <c r="K487" i="11"/>
  <c r="J487" i="11"/>
  <c r="I487" i="11"/>
  <c r="AI486" i="11"/>
  <c r="AH486" i="11"/>
  <c r="AJ486" i="11" s="1"/>
  <c r="Z486" i="11"/>
  <c r="Y486" i="11"/>
  <c r="X486" i="11"/>
  <c r="W486" i="11"/>
  <c r="V486" i="11"/>
  <c r="U486" i="11"/>
  <c r="T486" i="11"/>
  <c r="S486" i="11"/>
  <c r="Q486" i="11"/>
  <c r="P486" i="11"/>
  <c r="M486" i="11"/>
  <c r="L486" i="11"/>
  <c r="K486" i="11"/>
  <c r="J486" i="11"/>
  <c r="I486" i="11"/>
  <c r="AI485" i="11"/>
  <c r="AH485" i="11"/>
  <c r="AJ485" i="11" s="1"/>
  <c r="Z485" i="11"/>
  <c r="Y485" i="11"/>
  <c r="X485" i="11"/>
  <c r="W485" i="11"/>
  <c r="V485" i="11"/>
  <c r="U485" i="11"/>
  <c r="T485" i="11"/>
  <c r="S485" i="11"/>
  <c r="Q485" i="11"/>
  <c r="P485" i="11"/>
  <c r="M485" i="11"/>
  <c r="L485" i="11"/>
  <c r="K485" i="11"/>
  <c r="J485" i="11"/>
  <c r="I485" i="11"/>
  <c r="AI484" i="11"/>
  <c r="AH484" i="11"/>
  <c r="AJ484" i="11" s="1"/>
  <c r="Z484" i="11"/>
  <c r="Y484" i="11"/>
  <c r="X484" i="11"/>
  <c r="W484" i="11"/>
  <c r="V484" i="11"/>
  <c r="U484" i="11"/>
  <c r="T484" i="11"/>
  <c r="S484" i="11"/>
  <c r="Q484" i="11"/>
  <c r="P484" i="11"/>
  <c r="M484" i="11"/>
  <c r="L484" i="11"/>
  <c r="K484" i="11"/>
  <c r="J484" i="11"/>
  <c r="I484" i="11"/>
  <c r="B484" i="11"/>
  <c r="A484" i="11"/>
  <c r="AJ483" i="11"/>
  <c r="AH483" i="11"/>
  <c r="AI483" i="11" s="1"/>
  <c r="Z483" i="11"/>
  <c r="Y483" i="11"/>
  <c r="X483" i="11"/>
  <c r="W483" i="11"/>
  <c r="V483" i="11"/>
  <c r="U483" i="11"/>
  <c r="T483" i="11"/>
  <c r="S483" i="11"/>
  <c r="Q483" i="11"/>
  <c r="P483" i="11"/>
  <c r="M483" i="11"/>
  <c r="K483" i="11"/>
  <c r="J483" i="11"/>
  <c r="I483" i="11"/>
  <c r="B483" i="11"/>
  <c r="A483" i="11"/>
  <c r="AI482" i="11"/>
  <c r="AH482" i="11"/>
  <c r="AJ482" i="11" s="1"/>
  <c r="Z482" i="11"/>
  <c r="Y482" i="11"/>
  <c r="X482" i="11"/>
  <c r="W482" i="11"/>
  <c r="V482" i="11"/>
  <c r="U482" i="11"/>
  <c r="T482" i="11"/>
  <c r="S482" i="11"/>
  <c r="Q482" i="11"/>
  <c r="P482" i="11"/>
  <c r="M482" i="11"/>
  <c r="L482" i="11"/>
  <c r="K482" i="11"/>
  <c r="J482" i="11"/>
  <c r="I482" i="11"/>
  <c r="AI481" i="11"/>
  <c r="AH481" i="11"/>
  <c r="AJ481" i="11" s="1"/>
  <c r="Z481" i="11"/>
  <c r="Y481" i="11"/>
  <c r="X481" i="11"/>
  <c r="W481" i="11"/>
  <c r="V481" i="11"/>
  <c r="U481" i="11"/>
  <c r="T481" i="11"/>
  <c r="S481" i="11"/>
  <c r="Q481" i="11"/>
  <c r="P481" i="11"/>
  <c r="M481" i="11"/>
  <c r="L481" i="11"/>
  <c r="K481" i="11"/>
  <c r="J481" i="11"/>
  <c r="I481" i="11"/>
  <c r="AI480" i="11"/>
  <c r="AH480" i="11"/>
  <c r="AJ480" i="11" s="1"/>
  <c r="Z480" i="11"/>
  <c r="Y480" i="11"/>
  <c r="X480" i="11"/>
  <c r="W480" i="11"/>
  <c r="V480" i="11"/>
  <c r="U480" i="11"/>
  <c r="T480" i="11"/>
  <c r="S480" i="11"/>
  <c r="Q480" i="11"/>
  <c r="P480" i="11"/>
  <c r="M480" i="11"/>
  <c r="L480" i="11"/>
  <c r="K480" i="11"/>
  <c r="J480" i="11"/>
  <c r="I480" i="11"/>
  <c r="AI479" i="11"/>
  <c r="AH479" i="11"/>
  <c r="AJ479" i="11" s="1"/>
  <c r="Z479" i="11"/>
  <c r="Y479" i="11"/>
  <c r="X479" i="11"/>
  <c r="W479" i="11"/>
  <c r="V479" i="11"/>
  <c r="U479" i="11"/>
  <c r="T479" i="11"/>
  <c r="S479" i="11"/>
  <c r="Q479" i="11"/>
  <c r="P479" i="11"/>
  <c r="M479" i="11"/>
  <c r="L479" i="11"/>
  <c r="K479" i="11"/>
  <c r="J479" i="11"/>
  <c r="I479" i="11"/>
  <c r="AI478" i="11"/>
  <c r="AH478" i="11"/>
  <c r="AJ478" i="11" s="1"/>
  <c r="Z478" i="11"/>
  <c r="Y478" i="11"/>
  <c r="X478" i="11"/>
  <c r="W478" i="11"/>
  <c r="V478" i="11"/>
  <c r="U478" i="11"/>
  <c r="T478" i="11"/>
  <c r="S478" i="11"/>
  <c r="Q478" i="11"/>
  <c r="P478" i="11"/>
  <c r="M478" i="11"/>
  <c r="L478" i="11"/>
  <c r="K478" i="11"/>
  <c r="J478" i="11"/>
  <c r="I478" i="11"/>
  <c r="AI477" i="11"/>
  <c r="AH477" i="11"/>
  <c r="AJ477" i="11" s="1"/>
  <c r="Z477" i="11"/>
  <c r="Y477" i="11"/>
  <c r="X477" i="11"/>
  <c r="W477" i="11"/>
  <c r="V477" i="11"/>
  <c r="U477" i="11"/>
  <c r="T477" i="11"/>
  <c r="S477" i="11"/>
  <c r="Q477" i="11"/>
  <c r="P477" i="11"/>
  <c r="M477" i="11"/>
  <c r="L477" i="11"/>
  <c r="K477" i="11"/>
  <c r="J477" i="11"/>
  <c r="I477" i="11"/>
  <c r="AI476" i="11"/>
  <c r="AH476" i="11"/>
  <c r="AJ476" i="11" s="1"/>
  <c r="Z476" i="11"/>
  <c r="Y476" i="11"/>
  <c r="X476" i="11"/>
  <c r="W476" i="11"/>
  <c r="V476" i="11"/>
  <c r="U476" i="11"/>
  <c r="T476" i="11"/>
  <c r="S476" i="11"/>
  <c r="Q476" i="11"/>
  <c r="P476" i="11"/>
  <c r="M476" i="11"/>
  <c r="L476" i="11"/>
  <c r="K476" i="11"/>
  <c r="J476" i="11"/>
  <c r="I476" i="11"/>
  <c r="AI475" i="11"/>
  <c r="AH475" i="11"/>
  <c r="AJ475" i="11" s="1"/>
  <c r="Z475" i="11"/>
  <c r="Y475" i="11"/>
  <c r="X475" i="11"/>
  <c r="W475" i="11"/>
  <c r="V475" i="11"/>
  <c r="U475" i="11"/>
  <c r="T475" i="11"/>
  <c r="S475" i="11"/>
  <c r="Q475" i="11"/>
  <c r="P475" i="11"/>
  <c r="M475" i="11"/>
  <c r="L475" i="11"/>
  <c r="K475" i="11"/>
  <c r="J475" i="11"/>
  <c r="I475" i="11"/>
  <c r="AI474" i="11"/>
  <c r="AH474" i="11"/>
  <c r="AJ474" i="11" s="1"/>
  <c r="Z474" i="11"/>
  <c r="Y474" i="11"/>
  <c r="X474" i="11"/>
  <c r="W474" i="11"/>
  <c r="V474" i="11"/>
  <c r="U474" i="11"/>
  <c r="T474" i="11"/>
  <c r="S474" i="11"/>
  <c r="Q474" i="11"/>
  <c r="P474" i="11"/>
  <c r="M474" i="11"/>
  <c r="L474" i="11"/>
  <c r="K474" i="11"/>
  <c r="J474" i="11"/>
  <c r="I474" i="11"/>
  <c r="AI473" i="11"/>
  <c r="AH473" i="11"/>
  <c r="AJ473" i="11" s="1"/>
  <c r="Z473" i="11"/>
  <c r="Y473" i="11"/>
  <c r="X473" i="11"/>
  <c r="W473" i="11"/>
  <c r="V473" i="11"/>
  <c r="U473" i="11"/>
  <c r="T473" i="11"/>
  <c r="S473" i="11"/>
  <c r="Q473" i="11"/>
  <c r="P473" i="11"/>
  <c r="M473" i="11"/>
  <c r="L473" i="11"/>
  <c r="K473" i="11"/>
  <c r="J473" i="11"/>
  <c r="I473" i="11"/>
  <c r="AI472" i="11"/>
  <c r="AH472" i="11"/>
  <c r="AJ472" i="11" s="1"/>
  <c r="Z472" i="11"/>
  <c r="Y472" i="11"/>
  <c r="X472" i="11"/>
  <c r="W472" i="11"/>
  <c r="V472" i="11"/>
  <c r="U472" i="11"/>
  <c r="T472" i="11"/>
  <c r="S472" i="11"/>
  <c r="Q472" i="11"/>
  <c r="P472" i="11"/>
  <c r="M472" i="11"/>
  <c r="L472" i="11"/>
  <c r="K472" i="11"/>
  <c r="J472" i="11"/>
  <c r="I472" i="11"/>
  <c r="AI471" i="11"/>
  <c r="AH471" i="11"/>
  <c r="AJ471" i="11" s="1"/>
  <c r="Z471" i="11"/>
  <c r="Y471" i="11"/>
  <c r="X471" i="11"/>
  <c r="W471" i="11"/>
  <c r="V471" i="11"/>
  <c r="U471" i="11"/>
  <c r="T471" i="11"/>
  <c r="S471" i="11"/>
  <c r="Q471" i="11"/>
  <c r="P471" i="11"/>
  <c r="M471" i="11"/>
  <c r="L471" i="11"/>
  <c r="K471" i="11"/>
  <c r="J471" i="11"/>
  <c r="I471" i="11"/>
  <c r="AI470" i="11"/>
  <c r="AH470" i="11"/>
  <c r="AJ470" i="11" s="1"/>
  <c r="Z470" i="11"/>
  <c r="Y470" i="11"/>
  <c r="X470" i="11"/>
  <c r="W470" i="11"/>
  <c r="V470" i="11"/>
  <c r="U470" i="11"/>
  <c r="T470" i="11"/>
  <c r="S470" i="11"/>
  <c r="Q470" i="11"/>
  <c r="P470" i="11"/>
  <c r="M470" i="11"/>
  <c r="L470" i="11"/>
  <c r="K470" i="11"/>
  <c r="J470" i="11"/>
  <c r="I470" i="11"/>
  <c r="AI469" i="11"/>
  <c r="AH469" i="11"/>
  <c r="AJ469" i="11" s="1"/>
  <c r="Z469" i="11"/>
  <c r="Y469" i="11"/>
  <c r="X469" i="11"/>
  <c r="W469" i="11"/>
  <c r="V469" i="11"/>
  <c r="U469" i="11"/>
  <c r="T469" i="11"/>
  <c r="S469" i="11"/>
  <c r="Q469" i="11"/>
  <c r="P469" i="11"/>
  <c r="M469" i="11"/>
  <c r="L469" i="11"/>
  <c r="K469" i="11"/>
  <c r="J469" i="11"/>
  <c r="I469" i="11"/>
  <c r="AI468" i="11"/>
  <c r="AH468" i="11"/>
  <c r="AJ468" i="11" s="1"/>
  <c r="Z468" i="11"/>
  <c r="Y468" i="11"/>
  <c r="X468" i="11"/>
  <c r="W468" i="11"/>
  <c r="V468" i="11"/>
  <c r="U468" i="11"/>
  <c r="T468" i="11"/>
  <c r="S468" i="11"/>
  <c r="Q468" i="11"/>
  <c r="P468" i="11"/>
  <c r="M468" i="11"/>
  <c r="L468" i="11"/>
  <c r="K468" i="11"/>
  <c r="J468" i="11"/>
  <c r="I468" i="11"/>
  <c r="AI467" i="11"/>
  <c r="AH467" i="11"/>
  <c r="AJ467" i="11" s="1"/>
  <c r="X467" i="11"/>
  <c r="W467" i="11"/>
  <c r="V467" i="11"/>
  <c r="U467" i="11"/>
  <c r="T467" i="11"/>
  <c r="S467" i="11"/>
  <c r="O467" i="11"/>
  <c r="N467" i="11"/>
  <c r="M467" i="11"/>
  <c r="I467" i="11"/>
  <c r="P467" i="11" s="1"/>
  <c r="AI466" i="11"/>
  <c r="AH466" i="11"/>
  <c r="AJ466" i="11" s="1"/>
  <c r="X466" i="11"/>
  <c r="W466" i="11"/>
  <c r="V466" i="11"/>
  <c r="U466" i="11"/>
  <c r="T466" i="11"/>
  <c r="S466" i="11"/>
  <c r="O466" i="11"/>
  <c r="N466" i="11"/>
  <c r="M466" i="11"/>
  <c r="I466" i="11"/>
  <c r="P466" i="11" s="1"/>
  <c r="AI465" i="11"/>
  <c r="AH465" i="11"/>
  <c r="AJ465" i="11" s="1"/>
  <c r="X465" i="11"/>
  <c r="W465" i="11"/>
  <c r="V465" i="11"/>
  <c r="U465" i="11"/>
  <c r="T465" i="11"/>
  <c r="S465" i="11"/>
  <c r="O465" i="11"/>
  <c r="N465" i="11"/>
  <c r="M465" i="11"/>
  <c r="I465" i="11"/>
  <c r="P465" i="11" s="1"/>
  <c r="X464" i="11"/>
  <c r="W464" i="11"/>
  <c r="V464" i="11"/>
  <c r="U464" i="11"/>
  <c r="T464" i="11"/>
  <c r="S464" i="11"/>
  <c r="P464" i="11"/>
  <c r="O464" i="11"/>
  <c r="N464" i="11"/>
  <c r="I464" i="11"/>
  <c r="AH463" i="11"/>
  <c r="X463" i="11"/>
  <c r="W463" i="11"/>
  <c r="V463" i="11"/>
  <c r="U463" i="11"/>
  <c r="T463" i="11"/>
  <c r="S463" i="11"/>
  <c r="P463" i="11"/>
  <c r="O463" i="11"/>
  <c r="N463" i="11"/>
  <c r="I463" i="11"/>
  <c r="AH462" i="11"/>
  <c r="X462" i="11"/>
  <c r="W462" i="11"/>
  <c r="V462" i="11"/>
  <c r="U462" i="11"/>
  <c r="T462" i="11"/>
  <c r="S462" i="11"/>
  <c r="P462" i="11"/>
  <c r="O462" i="11"/>
  <c r="N462" i="11"/>
  <c r="I462" i="11"/>
  <c r="AH461" i="11"/>
  <c r="X461" i="11"/>
  <c r="W461" i="11"/>
  <c r="V461" i="11"/>
  <c r="U461" i="11"/>
  <c r="T461" i="11"/>
  <c r="S461" i="11"/>
  <c r="P461" i="11"/>
  <c r="O461" i="11"/>
  <c r="N461" i="11"/>
  <c r="I461" i="11"/>
  <c r="B461" i="11"/>
  <c r="A461" i="11"/>
  <c r="X460" i="11"/>
  <c r="W460" i="11"/>
  <c r="V460" i="11"/>
  <c r="U460" i="11"/>
  <c r="T460" i="11"/>
  <c r="S460" i="11"/>
  <c r="O460" i="11"/>
  <c r="N460" i="11"/>
  <c r="M460" i="11"/>
  <c r="I460" i="11"/>
  <c r="B460" i="11"/>
  <c r="A460" i="11"/>
  <c r="AJ459" i="11"/>
  <c r="AH459" i="11"/>
  <c r="AI459" i="11" s="1"/>
  <c r="X459" i="11"/>
  <c r="W459" i="11"/>
  <c r="V459" i="11"/>
  <c r="U459" i="11"/>
  <c r="T459" i="11"/>
  <c r="S459" i="11"/>
  <c r="O459" i="11"/>
  <c r="N459" i="11"/>
  <c r="I459" i="11"/>
  <c r="P459" i="11" s="1"/>
  <c r="B459" i="11"/>
  <c r="A459" i="11"/>
  <c r="AI458" i="11"/>
  <c r="AH458" i="11"/>
  <c r="AJ458" i="11" s="1"/>
  <c r="O458" i="11"/>
  <c r="N458" i="11"/>
  <c r="M458" i="11"/>
  <c r="L458" i="11"/>
  <c r="K458" i="11"/>
  <c r="J458" i="11"/>
  <c r="I458" i="11"/>
  <c r="P458" i="11" s="1"/>
  <c r="AJ457" i="11"/>
  <c r="AI457" i="11"/>
  <c r="AH457" i="11"/>
  <c r="AJ456" i="11"/>
  <c r="AH456" i="11"/>
  <c r="AI456" i="11" s="1"/>
  <c r="AH455" i="11"/>
  <c r="AI454" i="11"/>
  <c r="AH454" i="11"/>
  <c r="AJ454" i="11" s="1"/>
  <c r="D454" i="11"/>
  <c r="A454" i="11"/>
  <c r="AH453" i="11"/>
  <c r="D453" i="11"/>
  <c r="A453" i="11"/>
  <c r="AJ452" i="11"/>
  <c r="AI452" i="11"/>
  <c r="AH452" i="11"/>
  <c r="O452" i="11"/>
  <c r="N452" i="11"/>
  <c r="I452" i="11"/>
  <c r="D452" i="11"/>
  <c r="A452" i="11"/>
  <c r="AI451" i="11"/>
  <c r="AH451" i="11"/>
  <c r="AJ451" i="11" s="1"/>
  <c r="O451" i="11"/>
  <c r="N451" i="11"/>
  <c r="I451" i="11"/>
  <c r="D451" i="11"/>
  <c r="A451" i="11"/>
  <c r="AJ450" i="11"/>
  <c r="AI450" i="11"/>
  <c r="AH450" i="11"/>
  <c r="O450" i="11"/>
  <c r="N450" i="11"/>
  <c r="I450" i="11"/>
  <c r="D450" i="11"/>
  <c r="A450" i="11"/>
  <c r="AI449" i="11"/>
  <c r="AH449" i="11"/>
  <c r="AJ449" i="11" s="1"/>
  <c r="O449" i="11"/>
  <c r="N449" i="11"/>
  <c r="I449" i="11"/>
  <c r="D449" i="11"/>
  <c r="A449" i="11"/>
  <c r="AJ448" i="11"/>
  <c r="AI448" i="11"/>
  <c r="AH448" i="11"/>
  <c r="O448" i="11"/>
  <c r="N448" i="11"/>
  <c r="I448" i="11"/>
  <c r="D448" i="11"/>
  <c r="A448" i="11"/>
  <c r="AI447" i="11"/>
  <c r="AH447" i="11"/>
  <c r="AJ447" i="11" s="1"/>
  <c r="O447" i="11"/>
  <c r="N447" i="11"/>
  <c r="I447" i="11"/>
  <c r="D447" i="11"/>
  <c r="A447" i="11"/>
  <c r="AJ446" i="11"/>
  <c r="AI446" i="11"/>
  <c r="AH446" i="11"/>
  <c r="O446" i="11"/>
  <c r="N446" i="11"/>
  <c r="I446" i="11"/>
  <c r="AH445" i="11"/>
  <c r="O445" i="11"/>
  <c r="N445" i="11"/>
  <c r="I445" i="11"/>
  <c r="D445" i="11"/>
  <c r="AI444" i="11"/>
  <c r="AH444" i="11"/>
  <c r="AJ444" i="11" s="1"/>
  <c r="O444" i="11"/>
  <c r="N444" i="11"/>
  <c r="I444" i="11"/>
  <c r="D444" i="11"/>
  <c r="B444" i="11"/>
  <c r="AJ443" i="11"/>
  <c r="AI443" i="11"/>
  <c r="AH443" i="11"/>
  <c r="O443" i="11"/>
  <c r="N443" i="11"/>
  <c r="I443" i="11"/>
  <c r="AJ442" i="11"/>
  <c r="AI442" i="11"/>
  <c r="AH442" i="11"/>
  <c r="O442" i="11"/>
  <c r="N442" i="11"/>
  <c r="I442" i="11"/>
  <c r="AJ441" i="11"/>
  <c r="AI441" i="11"/>
  <c r="AH441" i="11"/>
  <c r="O441" i="11"/>
  <c r="N441" i="11"/>
  <c r="I441" i="11"/>
  <c r="AJ440" i="11"/>
  <c r="AI440" i="11"/>
  <c r="AH440" i="11"/>
  <c r="O440" i="11"/>
  <c r="N440" i="11"/>
  <c r="M440" i="11"/>
  <c r="L440" i="11"/>
  <c r="K440" i="11"/>
  <c r="F440" i="11"/>
  <c r="E440" i="11"/>
  <c r="B440" i="11"/>
  <c r="J440" i="11" s="1"/>
  <c r="A440" i="11"/>
  <c r="I440" i="11" s="1"/>
  <c r="AJ439" i="11"/>
  <c r="AI439" i="11"/>
  <c r="AH439" i="11"/>
  <c r="O439" i="11"/>
  <c r="N439" i="11"/>
  <c r="M439" i="11"/>
  <c r="L439" i="11"/>
  <c r="K439" i="11"/>
  <c r="F439" i="11"/>
  <c r="E439" i="11"/>
  <c r="B439" i="11"/>
  <c r="J439" i="11" s="1"/>
  <c r="A439" i="11"/>
  <c r="I439" i="11" s="1"/>
  <c r="AJ438" i="11"/>
  <c r="AI438" i="11"/>
  <c r="AH438" i="11"/>
  <c r="O438" i="11"/>
  <c r="N438" i="11"/>
  <c r="M438" i="11"/>
  <c r="L438" i="11"/>
  <c r="K438" i="11"/>
  <c r="F438" i="11"/>
  <c r="E438" i="11"/>
  <c r="B438" i="11"/>
  <c r="J438" i="11" s="1"/>
  <c r="A438" i="11"/>
  <c r="I438" i="11" s="1"/>
  <c r="AJ437" i="11"/>
  <c r="AI437" i="11"/>
  <c r="AH437" i="11"/>
  <c r="O437" i="11"/>
  <c r="N437" i="11"/>
  <c r="M437" i="11"/>
  <c r="L437" i="11"/>
  <c r="K437" i="11"/>
  <c r="J437" i="11"/>
  <c r="F437" i="11"/>
  <c r="E437" i="11"/>
  <c r="B437" i="11"/>
  <c r="A437" i="11"/>
  <c r="I437" i="11" s="1"/>
  <c r="AJ436" i="11"/>
  <c r="AI436" i="11"/>
  <c r="AH436" i="11"/>
  <c r="O436" i="11"/>
  <c r="N436" i="11"/>
  <c r="K436" i="11"/>
  <c r="J436" i="11"/>
  <c r="I436" i="11"/>
  <c r="F436" i="11"/>
  <c r="D436" i="11"/>
  <c r="B436" i="11"/>
  <c r="A436" i="11"/>
  <c r="AJ435" i="11"/>
  <c r="AI435" i="11"/>
  <c r="AH435" i="11"/>
  <c r="O435" i="11"/>
  <c r="N435" i="11"/>
  <c r="K435" i="11"/>
  <c r="J435" i="11"/>
  <c r="F435" i="11"/>
  <c r="E435" i="11"/>
  <c r="M435" i="11" s="1"/>
  <c r="D435" i="11"/>
  <c r="L435" i="11" s="1"/>
  <c r="B435" i="11"/>
  <c r="A435" i="11"/>
  <c r="I435" i="11" s="1"/>
  <c r="AH434" i="11"/>
  <c r="O434" i="11"/>
  <c r="L434" i="11"/>
  <c r="K434" i="11"/>
  <c r="F434" i="11"/>
  <c r="N434" i="11" s="1"/>
  <c r="E434" i="11"/>
  <c r="M434" i="11" s="1"/>
  <c r="D434" i="11"/>
  <c r="B434" i="11"/>
  <c r="J434" i="11" s="1"/>
  <c r="A434" i="11"/>
  <c r="I434" i="11" s="1"/>
  <c r="AI433" i="11"/>
  <c r="AH433" i="11"/>
  <c r="AJ433" i="11" s="1"/>
  <c r="O433" i="11"/>
  <c r="M433" i="11"/>
  <c r="L433" i="11"/>
  <c r="K433" i="11"/>
  <c r="I433" i="11"/>
  <c r="F433" i="11"/>
  <c r="N433" i="11" s="1"/>
  <c r="E433" i="11"/>
  <c r="D433" i="11"/>
  <c r="B433" i="11"/>
  <c r="J433" i="11" s="1"/>
  <c r="A433" i="11"/>
  <c r="AJ432" i="11"/>
  <c r="AI432" i="11"/>
  <c r="AH432" i="11"/>
  <c r="I432" i="11"/>
  <c r="AH431" i="11"/>
  <c r="AI430" i="11"/>
  <c r="AH430" i="11"/>
  <c r="AJ430" i="11" s="1"/>
  <c r="F430" i="11"/>
  <c r="AJ429" i="11"/>
  <c r="AH429" i="11"/>
  <c r="AI429" i="11" s="1"/>
  <c r="F429" i="11"/>
  <c r="AI428" i="11"/>
  <c r="AH428" i="11"/>
  <c r="AJ428" i="11" s="1"/>
  <c r="F428" i="11"/>
  <c r="AJ427" i="11"/>
  <c r="AH427" i="11"/>
  <c r="AI427" i="11" s="1"/>
  <c r="F427" i="11"/>
  <c r="AI426" i="11"/>
  <c r="AH426" i="11"/>
  <c r="AJ426" i="11" s="1"/>
  <c r="F426" i="11"/>
  <c r="AJ425" i="11"/>
  <c r="AH425" i="11"/>
  <c r="AI425" i="11" s="1"/>
  <c r="F425" i="11"/>
  <c r="AI424" i="11"/>
  <c r="AH424" i="11"/>
  <c r="AJ424" i="11" s="1"/>
  <c r="F424" i="11"/>
  <c r="AJ423" i="11"/>
  <c r="AH423" i="11"/>
  <c r="AI423" i="11" s="1"/>
  <c r="AH422" i="11"/>
  <c r="AI421" i="11"/>
  <c r="AH421" i="11"/>
  <c r="AJ421" i="11" s="1"/>
  <c r="E421" i="11"/>
  <c r="E446" i="11" s="1"/>
  <c r="B421" i="11"/>
  <c r="B446" i="11" s="1"/>
  <c r="A421" i="11"/>
  <c r="A446" i="11" s="1"/>
  <c r="AJ420" i="11"/>
  <c r="AI420" i="11"/>
  <c r="AH420" i="11"/>
  <c r="E420" i="11"/>
  <c r="M391" i="11" s="1"/>
  <c r="D420" i="11"/>
  <c r="C420" i="11"/>
  <c r="C445" i="11" s="1"/>
  <c r="B420" i="11"/>
  <c r="B445" i="11" s="1"/>
  <c r="A420" i="11"/>
  <c r="I391" i="11" s="1"/>
  <c r="AI419" i="11"/>
  <c r="AH419" i="11"/>
  <c r="AJ419" i="11" s="1"/>
  <c r="E419" i="11"/>
  <c r="E444" i="11" s="1"/>
  <c r="C419" i="11"/>
  <c r="C421" i="11" s="1"/>
  <c r="B419" i="11"/>
  <c r="A419" i="11"/>
  <c r="A444" i="11" s="1"/>
  <c r="AJ417" i="11"/>
  <c r="AI417" i="11"/>
  <c r="AH417" i="11"/>
  <c r="AH416" i="11"/>
  <c r="E416" i="11"/>
  <c r="C416" i="11"/>
  <c r="K467" i="11" s="1"/>
  <c r="B416" i="11"/>
  <c r="AI415" i="11"/>
  <c r="AH415" i="11"/>
  <c r="AJ415" i="11" s="1"/>
  <c r="E415" i="11"/>
  <c r="C415" i="11"/>
  <c r="K466" i="11" s="1"/>
  <c r="B415" i="11"/>
  <c r="J466" i="11" s="1"/>
  <c r="AJ414" i="11"/>
  <c r="AI414" i="11"/>
  <c r="AH414" i="11"/>
  <c r="E414" i="11"/>
  <c r="D414" i="11"/>
  <c r="C414" i="11"/>
  <c r="K465" i="11" s="1"/>
  <c r="B414" i="11"/>
  <c r="J465" i="11" s="1"/>
  <c r="L465" i="11" s="1"/>
  <c r="Q465" i="11" s="1"/>
  <c r="AJ413" i="11"/>
  <c r="AH413" i="11"/>
  <c r="AI413" i="11" s="1"/>
  <c r="P413" i="11"/>
  <c r="O413" i="11"/>
  <c r="L413" i="11"/>
  <c r="J413" i="11"/>
  <c r="I413" i="11"/>
  <c r="E413" i="11"/>
  <c r="M464" i="11" s="1"/>
  <c r="C413" i="11"/>
  <c r="K464" i="11" s="1"/>
  <c r="B413" i="11"/>
  <c r="AI412" i="11"/>
  <c r="AH412" i="11"/>
  <c r="AJ412" i="11" s="1"/>
  <c r="P412" i="11"/>
  <c r="O412" i="11"/>
  <c r="L412" i="11"/>
  <c r="J412" i="11"/>
  <c r="I412" i="11"/>
  <c r="E412" i="11"/>
  <c r="M463" i="11" s="1"/>
  <c r="D412" i="11"/>
  <c r="C412" i="11"/>
  <c r="K463" i="11" s="1"/>
  <c r="L463" i="11" s="1"/>
  <c r="Q463" i="11" s="1"/>
  <c r="B412" i="11"/>
  <c r="J463" i="11" s="1"/>
  <c r="AJ411" i="11"/>
  <c r="AH411" i="11"/>
  <c r="AI411" i="11" s="1"/>
  <c r="P411" i="11"/>
  <c r="O411" i="11"/>
  <c r="L411" i="11"/>
  <c r="J411" i="11"/>
  <c r="I411" i="11"/>
  <c r="E411" i="11"/>
  <c r="M462" i="11" s="1"/>
  <c r="C411" i="11"/>
  <c r="K462" i="11" s="1"/>
  <c r="B411" i="11"/>
  <c r="P410" i="11"/>
  <c r="O410" i="11"/>
  <c r="L410" i="11"/>
  <c r="J410" i="11"/>
  <c r="I410" i="11"/>
  <c r="E410" i="11"/>
  <c r="M461" i="11" s="1"/>
  <c r="C410" i="11"/>
  <c r="K461" i="11" s="1"/>
  <c r="B410" i="11"/>
  <c r="J461" i="11" s="1"/>
  <c r="L461" i="11" s="1"/>
  <c r="Q461" i="11" s="1"/>
  <c r="AJ409" i="11"/>
  <c r="AI409" i="11"/>
  <c r="AH409" i="11"/>
  <c r="P409" i="11"/>
  <c r="O409" i="11"/>
  <c r="L409" i="11"/>
  <c r="J409" i="11"/>
  <c r="I409" i="11"/>
  <c r="E409" i="11"/>
  <c r="D409" i="11"/>
  <c r="C409" i="11"/>
  <c r="K460" i="11" s="1"/>
  <c r="B409" i="11"/>
  <c r="J460" i="11" s="1"/>
  <c r="AH408" i="11"/>
  <c r="P408" i="11"/>
  <c r="O408" i="11"/>
  <c r="L408" i="11"/>
  <c r="J408" i="11"/>
  <c r="I408" i="11"/>
  <c r="E408" i="11"/>
  <c r="M459" i="11" s="1"/>
  <c r="C408" i="11"/>
  <c r="K459" i="11" s="1"/>
  <c r="B408" i="11"/>
  <c r="J459" i="11" s="1"/>
  <c r="P407" i="11"/>
  <c r="O407" i="11"/>
  <c r="L407" i="11"/>
  <c r="J407" i="11"/>
  <c r="I407" i="11"/>
  <c r="AJ406" i="11"/>
  <c r="AH406" i="11"/>
  <c r="AI406" i="11" s="1"/>
  <c r="P406" i="11"/>
  <c r="O406" i="11"/>
  <c r="L406" i="11"/>
  <c r="J406" i="11"/>
  <c r="I406" i="11"/>
  <c r="AI405" i="11"/>
  <c r="AH405" i="11"/>
  <c r="AJ405" i="11" s="1"/>
  <c r="P405" i="11"/>
  <c r="O405" i="11"/>
  <c r="L405" i="11"/>
  <c r="J405" i="11"/>
  <c r="I405" i="11"/>
  <c r="AH404" i="11"/>
  <c r="P404" i="11"/>
  <c r="O404" i="11"/>
  <c r="L404" i="11"/>
  <c r="J404" i="11"/>
  <c r="I404" i="11"/>
  <c r="AJ403" i="11"/>
  <c r="AH403" i="11"/>
  <c r="AI403" i="11" s="1"/>
  <c r="P403" i="11"/>
  <c r="O403" i="11"/>
  <c r="L403" i="11"/>
  <c r="J403" i="11"/>
  <c r="I403" i="11"/>
  <c r="AJ402" i="11"/>
  <c r="AI402" i="11"/>
  <c r="AH402" i="11"/>
  <c r="P402" i="11"/>
  <c r="O402" i="11"/>
  <c r="L402" i="11"/>
  <c r="J402" i="11"/>
  <c r="I402" i="11"/>
  <c r="AI401" i="11"/>
  <c r="AH401" i="11"/>
  <c r="AJ401" i="11" s="1"/>
  <c r="P401" i="11"/>
  <c r="O401" i="11"/>
  <c r="L401" i="11"/>
  <c r="J401" i="11"/>
  <c r="I401" i="11"/>
  <c r="AH400" i="11"/>
  <c r="P400" i="11"/>
  <c r="O400" i="11"/>
  <c r="L400" i="11"/>
  <c r="J400" i="11"/>
  <c r="I400" i="11"/>
  <c r="AJ399" i="11"/>
  <c r="AH399" i="11"/>
  <c r="AI399" i="11" s="1"/>
  <c r="P399" i="11"/>
  <c r="O399" i="11"/>
  <c r="L399" i="11"/>
  <c r="J399" i="11"/>
  <c r="I399" i="11"/>
  <c r="AJ398" i="11"/>
  <c r="AI398" i="11"/>
  <c r="AH398" i="11"/>
  <c r="P398" i="11"/>
  <c r="O398" i="11"/>
  <c r="L398" i="11"/>
  <c r="J398" i="11"/>
  <c r="I398" i="11"/>
  <c r="AH397" i="11"/>
  <c r="P397" i="11"/>
  <c r="O397" i="11"/>
  <c r="L397" i="11"/>
  <c r="J397" i="11"/>
  <c r="I397" i="11"/>
  <c r="F397" i="11"/>
  <c r="E397" i="11"/>
  <c r="D397" i="11"/>
  <c r="C397" i="11"/>
  <c r="B397" i="11"/>
  <c r="A397" i="11"/>
  <c r="P396" i="11"/>
  <c r="O396" i="11"/>
  <c r="L396" i="11"/>
  <c r="J396" i="11"/>
  <c r="I396" i="11"/>
  <c r="F396" i="11"/>
  <c r="E396" i="11"/>
  <c r="D396" i="11"/>
  <c r="C396" i="11"/>
  <c r="B396" i="11"/>
  <c r="A396" i="11"/>
  <c r="P395" i="11"/>
  <c r="O395" i="11"/>
  <c r="L395" i="11"/>
  <c r="J395" i="11"/>
  <c r="I395" i="11"/>
  <c r="F395" i="11"/>
  <c r="E395" i="11"/>
  <c r="D395" i="11"/>
  <c r="C395" i="11"/>
  <c r="B395" i="11"/>
  <c r="A395" i="11"/>
  <c r="P394" i="11"/>
  <c r="O394" i="11"/>
  <c r="L394" i="11"/>
  <c r="J394" i="11"/>
  <c r="I394" i="11"/>
  <c r="F394" i="11"/>
  <c r="E394" i="11"/>
  <c r="D394" i="11"/>
  <c r="C394" i="11"/>
  <c r="B394" i="11"/>
  <c r="A394" i="11"/>
  <c r="AI393" i="11"/>
  <c r="AH393" i="11"/>
  <c r="AJ393" i="11" s="1"/>
  <c r="P393" i="11"/>
  <c r="O393" i="11"/>
  <c r="L393" i="11"/>
  <c r="J393" i="11"/>
  <c r="I393" i="11"/>
  <c r="F393" i="11"/>
  <c r="E393" i="11"/>
  <c r="D393" i="11"/>
  <c r="C393" i="11"/>
  <c r="B393" i="11"/>
  <c r="A393" i="11"/>
  <c r="AI392" i="11"/>
  <c r="AH392" i="11"/>
  <c r="AJ392" i="11" s="1"/>
  <c r="P392" i="11"/>
  <c r="O392" i="11"/>
  <c r="M392" i="11"/>
  <c r="J392" i="11"/>
  <c r="I392" i="11"/>
  <c r="F392" i="11"/>
  <c r="E392" i="11"/>
  <c r="D392" i="11"/>
  <c r="C392" i="11"/>
  <c r="B392" i="11"/>
  <c r="A392" i="11"/>
  <c r="AJ391" i="11"/>
  <c r="AH391" i="11"/>
  <c r="AI391" i="11" s="1"/>
  <c r="P391" i="11"/>
  <c r="O391" i="11"/>
  <c r="L391" i="11"/>
  <c r="K391" i="11"/>
  <c r="J391" i="11"/>
  <c r="F391" i="11"/>
  <c r="E391" i="11"/>
  <c r="D391" i="11"/>
  <c r="C391" i="11"/>
  <c r="B391" i="11"/>
  <c r="A391" i="11"/>
  <c r="AI390" i="11"/>
  <c r="AH390" i="11"/>
  <c r="AJ390" i="11" s="1"/>
  <c r="P390" i="11"/>
  <c r="O390" i="11"/>
  <c r="M390" i="11"/>
  <c r="J390" i="11"/>
  <c r="I390" i="11"/>
  <c r="F390" i="11"/>
  <c r="E390" i="11"/>
  <c r="D390" i="11"/>
  <c r="C390" i="11"/>
  <c r="B390" i="11"/>
  <c r="A390" i="11"/>
  <c r="F389" i="11"/>
  <c r="E389" i="11"/>
  <c r="D389" i="11"/>
  <c r="C389" i="11"/>
  <c r="B389" i="11"/>
  <c r="A389" i="11"/>
  <c r="F388" i="11"/>
  <c r="E388" i="11"/>
  <c r="D388" i="11"/>
  <c r="C388" i="11"/>
  <c r="B388" i="11"/>
  <c r="A388" i="11"/>
  <c r="F387" i="11"/>
  <c r="E387" i="11"/>
  <c r="D387" i="11"/>
  <c r="C387" i="11"/>
  <c r="B387" i="11"/>
  <c r="A387" i="11"/>
  <c r="F386" i="11"/>
  <c r="E386" i="11"/>
  <c r="D386" i="11"/>
  <c r="C386" i="11"/>
  <c r="B386" i="11"/>
  <c r="A386" i="11"/>
  <c r="F385" i="11"/>
  <c r="E385" i="11"/>
  <c r="D385" i="11"/>
  <c r="C385" i="11"/>
  <c r="B385" i="11"/>
  <c r="A385" i="11"/>
  <c r="F384" i="11"/>
  <c r="E384" i="11"/>
  <c r="D384" i="11"/>
  <c r="C384" i="11"/>
  <c r="B384" i="11"/>
  <c r="A384" i="11"/>
  <c r="AJ383" i="11"/>
  <c r="AH383" i="11"/>
  <c r="AI383" i="11" s="1"/>
  <c r="F383" i="11"/>
  <c r="E383" i="11"/>
  <c r="D383" i="11"/>
  <c r="C383" i="11"/>
  <c r="B383" i="11"/>
  <c r="A383" i="11"/>
  <c r="AJ382" i="11"/>
  <c r="AI382" i="11"/>
  <c r="AH382" i="11"/>
  <c r="AJ381" i="11"/>
  <c r="AH381" i="11"/>
  <c r="AI381" i="11" s="1"/>
  <c r="AH380" i="11"/>
  <c r="AI379" i="11"/>
  <c r="AH379" i="11"/>
  <c r="AJ379" i="11" s="1"/>
  <c r="AJ378" i="11"/>
  <c r="AH378" i="11"/>
  <c r="AI378" i="11" s="1"/>
  <c r="AI377" i="11"/>
  <c r="AH377" i="11"/>
  <c r="AJ377" i="11" s="1"/>
  <c r="AJ376" i="11"/>
  <c r="AH376" i="11"/>
  <c r="AI376" i="11" s="1"/>
  <c r="F376" i="11"/>
  <c r="AI375" i="11"/>
  <c r="AH375" i="11"/>
  <c r="AJ375" i="11" s="1"/>
  <c r="AJ374" i="11"/>
  <c r="AH374" i="11"/>
  <c r="AI374" i="11" s="1"/>
  <c r="F374" i="11"/>
  <c r="AI373" i="11"/>
  <c r="AH373" i="11"/>
  <c r="AJ373" i="11" s="1"/>
  <c r="AJ372" i="11"/>
  <c r="AI372" i="11"/>
  <c r="AH372" i="11"/>
  <c r="AH371" i="11"/>
  <c r="AJ370" i="11"/>
  <c r="AI370" i="11"/>
  <c r="AH370" i="11"/>
  <c r="AH369" i="11"/>
  <c r="AJ368" i="11"/>
  <c r="AI368" i="11"/>
  <c r="AH368" i="11"/>
  <c r="AH367" i="11"/>
  <c r="AJ366" i="11"/>
  <c r="AI366" i="11"/>
  <c r="AH366" i="11"/>
  <c r="AH365" i="11"/>
  <c r="F365" i="11"/>
  <c r="AJ364" i="11"/>
  <c r="AI364" i="11"/>
  <c r="AH364" i="11"/>
  <c r="AJ363" i="11"/>
  <c r="AH363" i="11"/>
  <c r="AI363" i="11" s="1"/>
  <c r="AJ362" i="11"/>
  <c r="AI362" i="11"/>
  <c r="AH362" i="11"/>
  <c r="AI361" i="11"/>
  <c r="AH361" i="11"/>
  <c r="AJ361" i="11" s="1"/>
  <c r="AH360" i="11"/>
  <c r="AJ359" i="11"/>
  <c r="AH359" i="11"/>
  <c r="AI359" i="11" s="1"/>
  <c r="AJ358" i="11"/>
  <c r="AI358" i="11"/>
  <c r="AH358" i="11"/>
  <c r="AI357" i="11"/>
  <c r="AH357" i="11"/>
  <c r="AJ357" i="11" s="1"/>
  <c r="AH356" i="11"/>
  <c r="O356" i="11"/>
  <c r="F356" i="11"/>
  <c r="F375" i="11" s="1"/>
  <c r="AJ355" i="11"/>
  <c r="AI355" i="11"/>
  <c r="AH355" i="11"/>
  <c r="AH354" i="11"/>
  <c r="AI353" i="11"/>
  <c r="AH353" i="11"/>
  <c r="AJ353" i="11" s="1"/>
  <c r="H353" i="11"/>
  <c r="G353" i="11"/>
  <c r="E353" i="11"/>
  <c r="D353" i="11"/>
  <c r="C353" i="11"/>
  <c r="F353" i="11" s="1"/>
  <c r="K353" i="11" s="1"/>
  <c r="AJ352" i="11"/>
  <c r="AI352" i="11"/>
  <c r="AH352" i="11"/>
  <c r="I352" i="11"/>
  <c r="H352" i="11"/>
  <c r="G352" i="11"/>
  <c r="E352" i="11"/>
  <c r="D352" i="11"/>
  <c r="C352" i="11"/>
  <c r="F352" i="11" s="1"/>
  <c r="K352" i="11" s="1"/>
  <c r="AJ351" i="11"/>
  <c r="AI351" i="11"/>
  <c r="AH351" i="11"/>
  <c r="H351" i="11"/>
  <c r="G351" i="11"/>
  <c r="F351" i="11"/>
  <c r="K351" i="11" s="1"/>
  <c r="E351" i="11"/>
  <c r="D351" i="11"/>
  <c r="C351" i="11"/>
  <c r="AH350" i="11"/>
  <c r="H350" i="11"/>
  <c r="G350" i="11"/>
  <c r="E350" i="11"/>
  <c r="D350" i="11"/>
  <c r="C350" i="11"/>
  <c r="F350" i="11" s="1"/>
  <c r="K350" i="11" s="1"/>
  <c r="AI349" i="11"/>
  <c r="AH349" i="11"/>
  <c r="AJ349" i="11" s="1"/>
  <c r="H349" i="11"/>
  <c r="G349" i="11"/>
  <c r="E349" i="11"/>
  <c r="I349" i="11" s="1"/>
  <c r="D349" i="11"/>
  <c r="C349" i="11"/>
  <c r="F349" i="11" s="1"/>
  <c r="K349" i="11" s="1"/>
  <c r="AJ348" i="11"/>
  <c r="AI348" i="11"/>
  <c r="AH348" i="11"/>
  <c r="H348" i="11"/>
  <c r="G348" i="11"/>
  <c r="E348" i="11"/>
  <c r="I348" i="11" s="1"/>
  <c r="D348" i="11"/>
  <c r="C348" i="11"/>
  <c r="F348" i="11" s="1"/>
  <c r="K348" i="11" s="1"/>
  <c r="AJ347" i="11"/>
  <c r="AI347" i="11"/>
  <c r="AH347" i="11"/>
  <c r="K347" i="11"/>
  <c r="H347" i="11"/>
  <c r="G347" i="11"/>
  <c r="F347" i="11"/>
  <c r="E347" i="11"/>
  <c r="I347" i="11" s="1"/>
  <c r="D347" i="11"/>
  <c r="C347" i="11"/>
  <c r="AH346" i="11"/>
  <c r="H346" i="11"/>
  <c r="G346" i="11"/>
  <c r="E346" i="11"/>
  <c r="D346" i="11"/>
  <c r="C346" i="11"/>
  <c r="F346" i="11" s="1"/>
  <c r="K346" i="11" s="1"/>
  <c r="AI345" i="11"/>
  <c r="AH345" i="11"/>
  <c r="AJ345" i="11" s="1"/>
  <c r="H345" i="11"/>
  <c r="G345" i="11"/>
  <c r="E345" i="11"/>
  <c r="D345" i="11"/>
  <c r="C345" i="11"/>
  <c r="F345" i="11" s="1"/>
  <c r="K345" i="11" s="1"/>
  <c r="AJ344" i="11"/>
  <c r="AI344" i="11"/>
  <c r="AH344" i="11"/>
  <c r="I344" i="11"/>
  <c r="H344" i="11"/>
  <c r="G344" i="11"/>
  <c r="E344" i="11"/>
  <c r="D344" i="11"/>
  <c r="C344" i="11"/>
  <c r="F344" i="11" s="1"/>
  <c r="K344" i="11" s="1"/>
  <c r="AJ343" i="11"/>
  <c r="AI343" i="11"/>
  <c r="AH343" i="11"/>
  <c r="H343" i="11"/>
  <c r="G343" i="11"/>
  <c r="F343" i="11"/>
  <c r="K343" i="11" s="1"/>
  <c r="E343" i="11"/>
  <c r="D343" i="11"/>
  <c r="C343" i="11"/>
  <c r="AH342" i="11"/>
  <c r="H342" i="11"/>
  <c r="G342" i="11"/>
  <c r="E342" i="11"/>
  <c r="D342" i="11"/>
  <c r="C342" i="11"/>
  <c r="F342" i="11" s="1"/>
  <c r="K342" i="11" s="1"/>
  <c r="AI341" i="11"/>
  <c r="AH341" i="11"/>
  <c r="AJ341" i="11" s="1"/>
  <c r="H341" i="11"/>
  <c r="G341" i="11"/>
  <c r="E341" i="11"/>
  <c r="I341" i="11" s="1"/>
  <c r="D341" i="11"/>
  <c r="C341" i="11"/>
  <c r="F341" i="11" s="1"/>
  <c r="K341" i="11" s="1"/>
  <c r="AJ340" i="11"/>
  <c r="AI340" i="11"/>
  <c r="AH340" i="11"/>
  <c r="H340" i="11"/>
  <c r="G340" i="11"/>
  <c r="E340" i="11"/>
  <c r="I340" i="11" s="1"/>
  <c r="D340" i="11"/>
  <c r="C340" i="11"/>
  <c r="F340" i="11" s="1"/>
  <c r="K340" i="11" s="1"/>
  <c r="AJ339" i="11"/>
  <c r="AI339" i="11"/>
  <c r="AH339" i="11"/>
  <c r="K339" i="11"/>
  <c r="H339" i="11"/>
  <c r="G339" i="11"/>
  <c r="F339" i="11"/>
  <c r="E339" i="11"/>
  <c r="I339" i="11" s="1"/>
  <c r="D339" i="11"/>
  <c r="C339" i="11"/>
  <c r="AH338" i="11"/>
  <c r="H338" i="11"/>
  <c r="G338" i="11"/>
  <c r="E338" i="11"/>
  <c r="D338" i="11"/>
  <c r="C338" i="11"/>
  <c r="F338" i="11" s="1"/>
  <c r="K338" i="11" s="1"/>
  <c r="AI337" i="11"/>
  <c r="AH337" i="11"/>
  <c r="AJ337" i="11" s="1"/>
  <c r="H337" i="11"/>
  <c r="G337" i="11"/>
  <c r="E337" i="11"/>
  <c r="D337" i="11"/>
  <c r="C337" i="11"/>
  <c r="F337" i="11" s="1"/>
  <c r="K337" i="11" s="1"/>
  <c r="AJ336" i="11"/>
  <c r="AI336" i="11"/>
  <c r="AH336" i="11"/>
  <c r="I336" i="11"/>
  <c r="H336" i="11"/>
  <c r="G336" i="11"/>
  <c r="E336" i="11"/>
  <c r="D336" i="11"/>
  <c r="C336" i="11"/>
  <c r="F336" i="11" s="1"/>
  <c r="K336" i="11" s="1"/>
  <c r="AJ335" i="11"/>
  <c r="AI335" i="11"/>
  <c r="AH335" i="11"/>
  <c r="H335" i="11"/>
  <c r="G335" i="11"/>
  <c r="F335" i="11"/>
  <c r="K335" i="11" s="1"/>
  <c r="E335" i="11"/>
  <c r="D335" i="11"/>
  <c r="C335" i="11"/>
  <c r="AH334" i="11"/>
  <c r="H334" i="11"/>
  <c r="G334" i="11"/>
  <c r="E334" i="11"/>
  <c r="D334" i="11"/>
  <c r="C334" i="11"/>
  <c r="F334" i="11" s="1"/>
  <c r="K334" i="11" s="1"/>
  <c r="AI333" i="11"/>
  <c r="AH333" i="11"/>
  <c r="AJ333" i="11" s="1"/>
  <c r="H333" i="11"/>
  <c r="G333" i="11"/>
  <c r="E333" i="11"/>
  <c r="I333" i="11" s="1"/>
  <c r="D333" i="11"/>
  <c r="C333" i="11"/>
  <c r="F333" i="11" s="1"/>
  <c r="K333" i="11" s="1"/>
  <c r="AJ332" i="11"/>
  <c r="AI332" i="11"/>
  <c r="AH332" i="11"/>
  <c r="H332" i="11"/>
  <c r="G332" i="11"/>
  <c r="E332" i="11"/>
  <c r="I332" i="11" s="1"/>
  <c r="D332" i="11"/>
  <c r="C332" i="11"/>
  <c r="F332" i="11" s="1"/>
  <c r="K332" i="11" s="1"/>
  <c r="AJ331" i="11"/>
  <c r="AI331" i="11"/>
  <c r="AH331" i="11"/>
  <c r="K331" i="11"/>
  <c r="H331" i="11"/>
  <c r="G331" i="11"/>
  <c r="F331" i="11"/>
  <c r="E331" i="11"/>
  <c r="I331" i="11" s="1"/>
  <c r="D331" i="11"/>
  <c r="C331" i="11"/>
  <c r="AH330" i="11"/>
  <c r="H330" i="11"/>
  <c r="G330" i="11"/>
  <c r="E330" i="11"/>
  <c r="D330" i="11"/>
  <c r="C330" i="11"/>
  <c r="F330" i="11" s="1"/>
  <c r="K330" i="11" s="1"/>
  <c r="AJ329" i="11"/>
  <c r="AI329" i="11"/>
  <c r="AH329" i="11"/>
  <c r="H329" i="11"/>
  <c r="G329" i="11"/>
  <c r="E329" i="11"/>
  <c r="D329" i="11"/>
  <c r="C329" i="11"/>
  <c r="F329" i="11" s="1"/>
  <c r="K329" i="11" s="1"/>
  <c r="AJ328" i="11"/>
  <c r="AI328" i="11"/>
  <c r="AH328" i="11"/>
  <c r="H328" i="11"/>
  <c r="G328" i="11"/>
  <c r="E328" i="11"/>
  <c r="I328" i="11" s="1"/>
  <c r="D328" i="11"/>
  <c r="C328" i="11"/>
  <c r="F328" i="11" s="1"/>
  <c r="K328" i="11" s="1"/>
  <c r="AJ327" i="11"/>
  <c r="AI327" i="11"/>
  <c r="AH327" i="11"/>
  <c r="H327" i="11"/>
  <c r="G327" i="11"/>
  <c r="F327" i="11"/>
  <c r="K327" i="11" s="1"/>
  <c r="E327" i="11"/>
  <c r="D327" i="11"/>
  <c r="C327" i="11"/>
  <c r="AH326" i="11"/>
  <c r="AI325" i="11"/>
  <c r="AH325" i="11"/>
  <c r="AJ325" i="11" s="1"/>
  <c r="AJ324" i="11"/>
  <c r="AH324" i="11"/>
  <c r="AI324" i="11" s="1"/>
  <c r="AJ323" i="11"/>
  <c r="AI323" i="11"/>
  <c r="AH323" i="11"/>
  <c r="AH322" i="11"/>
  <c r="AI321" i="11"/>
  <c r="AH321" i="11"/>
  <c r="AJ321" i="11" s="1"/>
  <c r="AJ320" i="11"/>
  <c r="AI320" i="11"/>
  <c r="AH320" i="11"/>
  <c r="AJ319" i="11"/>
  <c r="AI319" i="11"/>
  <c r="AH319" i="11"/>
  <c r="AH318" i="11"/>
  <c r="AI317" i="11"/>
  <c r="AH317" i="11"/>
  <c r="AJ317" i="11" s="1"/>
  <c r="AJ316" i="11"/>
  <c r="AI316" i="11"/>
  <c r="AH316" i="11"/>
  <c r="D316" i="11"/>
  <c r="AH315" i="11"/>
  <c r="D315" i="11"/>
  <c r="AJ314" i="11"/>
  <c r="AI314" i="11"/>
  <c r="AH314" i="11"/>
  <c r="AJ313" i="11"/>
  <c r="AI313" i="11"/>
  <c r="AH313" i="11"/>
  <c r="AH312" i="11"/>
  <c r="AI311" i="11"/>
  <c r="AH311" i="11"/>
  <c r="AJ311" i="11" s="1"/>
  <c r="AJ310" i="11"/>
  <c r="AI310" i="11"/>
  <c r="AH310" i="11"/>
  <c r="AJ309" i="11"/>
  <c r="AI309" i="11"/>
  <c r="AH309" i="11"/>
  <c r="H309" i="11"/>
  <c r="E309" i="11"/>
  <c r="B309" i="11"/>
  <c r="A309" i="11"/>
  <c r="G309" i="11" s="1"/>
  <c r="H308" i="11"/>
  <c r="E308" i="11"/>
  <c r="B308" i="11"/>
  <c r="A308" i="11"/>
  <c r="G308" i="11" s="1"/>
  <c r="H307" i="11"/>
  <c r="E307" i="11"/>
  <c r="B307" i="11"/>
  <c r="A307" i="11"/>
  <c r="G307" i="11" s="1"/>
  <c r="H306" i="11"/>
  <c r="G306" i="11"/>
  <c r="E306" i="11"/>
  <c r="B306" i="11"/>
  <c r="A306" i="11"/>
  <c r="H305" i="11"/>
  <c r="E305" i="11"/>
  <c r="B305" i="11"/>
  <c r="A305" i="11"/>
  <c r="G305" i="11" s="1"/>
  <c r="H304" i="11"/>
  <c r="E304" i="11"/>
  <c r="B304" i="11"/>
  <c r="A304" i="11"/>
  <c r="G304" i="11" s="1"/>
  <c r="H303" i="11"/>
  <c r="E303" i="11"/>
  <c r="B303" i="11"/>
  <c r="A303" i="11"/>
  <c r="G303" i="11" s="1"/>
  <c r="H302" i="11"/>
  <c r="G302" i="11"/>
  <c r="E302" i="11"/>
  <c r="B302" i="11"/>
  <c r="A302" i="11"/>
  <c r="H301" i="11"/>
  <c r="E301" i="11"/>
  <c r="B301" i="11"/>
  <c r="A301" i="11"/>
  <c r="H300" i="11"/>
  <c r="E300" i="11"/>
  <c r="B300" i="11"/>
  <c r="A300" i="11"/>
  <c r="G300" i="11" s="1"/>
  <c r="AJ299" i="11"/>
  <c r="AI299" i="11"/>
  <c r="AH299" i="11"/>
  <c r="H299" i="11"/>
  <c r="G299" i="11"/>
  <c r="E299" i="11"/>
  <c r="B299" i="11"/>
  <c r="A299" i="11"/>
  <c r="AH298" i="11"/>
  <c r="H298" i="11"/>
  <c r="E298" i="11"/>
  <c r="B298" i="11"/>
  <c r="A298" i="11"/>
  <c r="G298" i="11" s="1"/>
  <c r="AJ297" i="11"/>
  <c r="AI297" i="11"/>
  <c r="AH297" i="11"/>
  <c r="C297" i="11"/>
  <c r="B297" i="11"/>
  <c r="A297" i="11"/>
  <c r="G297" i="11" s="1"/>
  <c r="AJ296" i="11"/>
  <c r="AI296" i="11"/>
  <c r="AH296" i="11"/>
  <c r="T296" i="11"/>
  <c r="E296" i="11"/>
  <c r="AJ295" i="11"/>
  <c r="AI295" i="11"/>
  <c r="AH295" i="11"/>
  <c r="T295" i="11"/>
  <c r="E295" i="11"/>
  <c r="AI294" i="11"/>
  <c r="AH294" i="11"/>
  <c r="AJ294" i="11" s="1"/>
  <c r="T294" i="11"/>
  <c r="E294" i="11"/>
  <c r="AH293" i="11"/>
  <c r="T293" i="11"/>
  <c r="E293" i="11"/>
  <c r="T292" i="11"/>
  <c r="E292" i="11"/>
  <c r="AI291" i="11"/>
  <c r="AH291" i="11"/>
  <c r="AJ291" i="11" s="1"/>
  <c r="T291" i="11"/>
  <c r="E291" i="11"/>
  <c r="AH290" i="11"/>
  <c r="T290" i="11"/>
  <c r="E290" i="11"/>
  <c r="AJ289" i="11"/>
  <c r="AI289" i="11"/>
  <c r="AH289" i="11"/>
  <c r="T289" i="11"/>
  <c r="E289" i="11"/>
  <c r="AJ288" i="11"/>
  <c r="AI288" i="11"/>
  <c r="AH288" i="11"/>
  <c r="T288" i="11"/>
  <c r="E288" i="11"/>
  <c r="T287" i="11"/>
  <c r="E287" i="11"/>
  <c r="AJ286" i="11"/>
  <c r="AI286" i="11"/>
  <c r="AH286" i="11"/>
  <c r="T286" i="11"/>
  <c r="E286" i="11"/>
  <c r="AJ285" i="11"/>
  <c r="AI285" i="11"/>
  <c r="AH285" i="11"/>
  <c r="T285" i="11"/>
  <c r="E285" i="11"/>
  <c r="AI284" i="11"/>
  <c r="AH284" i="11"/>
  <c r="AJ284" i="11" s="1"/>
  <c r="T284" i="11"/>
  <c r="E284" i="11"/>
  <c r="AH283" i="11"/>
  <c r="T283" i="11"/>
  <c r="E283" i="11"/>
  <c r="T282" i="11"/>
  <c r="E282" i="11"/>
  <c r="AI281" i="11"/>
  <c r="AH281" i="11"/>
  <c r="AJ281" i="11" s="1"/>
  <c r="T281" i="11"/>
  <c r="E281" i="11"/>
  <c r="AH280" i="11"/>
  <c r="T280" i="11"/>
  <c r="E280" i="11"/>
  <c r="T279" i="11"/>
  <c r="E279" i="11"/>
  <c r="T278" i="11"/>
  <c r="E278" i="11"/>
  <c r="AJ277" i="11"/>
  <c r="AH277" i="11"/>
  <c r="AI277" i="11" s="1"/>
  <c r="T277" i="11"/>
  <c r="E277" i="11"/>
  <c r="AJ276" i="11"/>
  <c r="AI276" i="11"/>
  <c r="AH276" i="11"/>
  <c r="T276" i="11"/>
  <c r="E276" i="11"/>
  <c r="T275" i="11"/>
  <c r="E275" i="11"/>
  <c r="T274" i="11"/>
  <c r="E274" i="11"/>
  <c r="AI273" i="11"/>
  <c r="AH273" i="11"/>
  <c r="AJ273" i="11" s="1"/>
  <c r="T273" i="11"/>
  <c r="E273" i="11"/>
  <c r="AH272" i="11"/>
  <c r="T272" i="11"/>
  <c r="E272" i="11"/>
  <c r="T271" i="11"/>
  <c r="E271" i="11"/>
  <c r="T270" i="11"/>
  <c r="E270" i="11"/>
  <c r="AJ269" i="11"/>
  <c r="AH269" i="11"/>
  <c r="AI269" i="11" s="1"/>
  <c r="T269" i="11"/>
  <c r="E269" i="11"/>
  <c r="AJ268" i="11"/>
  <c r="AI268" i="11"/>
  <c r="AH268" i="11"/>
  <c r="T268" i="11"/>
  <c r="E268" i="11"/>
  <c r="T267" i="11"/>
  <c r="E267" i="11"/>
  <c r="T266" i="11"/>
  <c r="E266" i="11"/>
  <c r="AI265" i="11"/>
  <c r="AH265" i="11"/>
  <c r="AJ265" i="11" s="1"/>
  <c r="T265" i="11"/>
  <c r="E265" i="11"/>
  <c r="AH264" i="11"/>
  <c r="T264" i="11"/>
  <c r="E264" i="11"/>
  <c r="AJ263" i="11"/>
  <c r="AH263" i="11"/>
  <c r="AI263" i="11" s="1"/>
  <c r="T263" i="11"/>
  <c r="E263" i="11"/>
  <c r="AJ262" i="11"/>
  <c r="AI262" i="11"/>
  <c r="AH262" i="11"/>
  <c r="T262" i="11"/>
  <c r="E262" i="11"/>
  <c r="AI261" i="11"/>
  <c r="AH261" i="11"/>
  <c r="AJ261" i="11" s="1"/>
  <c r="T261" i="11"/>
  <c r="E261" i="11"/>
  <c r="AH260" i="11"/>
  <c r="T260" i="11"/>
  <c r="E260" i="11"/>
  <c r="AJ259" i="11"/>
  <c r="AH259" i="11"/>
  <c r="AI259" i="11" s="1"/>
  <c r="T259" i="11"/>
  <c r="E259" i="11"/>
  <c r="AJ258" i="11"/>
  <c r="AI258" i="11"/>
  <c r="AH258" i="11"/>
  <c r="T258" i="11"/>
  <c r="E258" i="11"/>
  <c r="AI257" i="11"/>
  <c r="AH257" i="11"/>
  <c r="AJ257" i="11" s="1"/>
  <c r="T257" i="11"/>
  <c r="E257" i="11"/>
  <c r="AH256" i="11"/>
  <c r="T256" i="11"/>
  <c r="E256" i="11"/>
  <c r="AJ255" i="11"/>
  <c r="AH255" i="11"/>
  <c r="AI255" i="11" s="1"/>
  <c r="T255" i="11"/>
  <c r="E255" i="11"/>
  <c r="AJ254" i="11"/>
  <c r="AI254" i="11"/>
  <c r="AH254" i="11"/>
  <c r="AJ253" i="11"/>
  <c r="AH253" i="11"/>
  <c r="AI253" i="11" s="1"/>
  <c r="D253" i="11"/>
  <c r="B253" i="11"/>
  <c r="A253" i="11"/>
  <c r="AJ252" i="11"/>
  <c r="AI252" i="11"/>
  <c r="AH252" i="11"/>
  <c r="K252" i="11"/>
  <c r="J252" i="11"/>
  <c r="D252" i="11"/>
  <c r="A252" i="11"/>
  <c r="B252" i="11" s="1"/>
  <c r="AI251" i="11"/>
  <c r="AH251" i="11"/>
  <c r="AJ251" i="11" s="1"/>
  <c r="K251" i="11"/>
  <c r="J251" i="11"/>
  <c r="D251" i="11"/>
  <c r="B251" i="11"/>
  <c r="A251" i="11"/>
  <c r="AJ250" i="11"/>
  <c r="AH250" i="11"/>
  <c r="AI250" i="11" s="1"/>
  <c r="K250" i="11"/>
  <c r="J250" i="11"/>
  <c r="D250" i="11"/>
  <c r="A250" i="11"/>
  <c r="B250" i="11" s="1"/>
  <c r="AI249" i="11"/>
  <c r="AH249" i="11"/>
  <c r="AJ249" i="11" s="1"/>
  <c r="K249" i="11"/>
  <c r="J249" i="11"/>
  <c r="D249" i="11"/>
  <c r="B249" i="11"/>
  <c r="A249" i="11"/>
  <c r="AJ248" i="11"/>
  <c r="AH248" i="11"/>
  <c r="AI248" i="11" s="1"/>
  <c r="K248" i="11"/>
  <c r="J248" i="11"/>
  <c r="D248" i="11"/>
  <c r="A248" i="11"/>
  <c r="B248" i="11" s="1"/>
  <c r="AI247" i="11"/>
  <c r="AH247" i="11"/>
  <c r="AJ247" i="11" s="1"/>
  <c r="K247" i="11"/>
  <c r="J247" i="11"/>
  <c r="D247" i="11"/>
  <c r="B247" i="11"/>
  <c r="A247" i="11"/>
  <c r="AJ246" i="11"/>
  <c r="AH246" i="11"/>
  <c r="AI246" i="11" s="1"/>
  <c r="K246" i="11"/>
  <c r="J246" i="11"/>
  <c r="D246" i="11"/>
  <c r="A246" i="11"/>
  <c r="B246" i="11" s="1"/>
  <c r="AI245" i="11"/>
  <c r="AH245" i="11"/>
  <c r="AJ245" i="11" s="1"/>
  <c r="K245" i="11"/>
  <c r="J245" i="11"/>
  <c r="D245" i="11"/>
  <c r="B245" i="11"/>
  <c r="A245" i="11"/>
  <c r="AJ244" i="11"/>
  <c r="AH244" i="11"/>
  <c r="AI244" i="11" s="1"/>
  <c r="K244" i="11"/>
  <c r="J244" i="11"/>
  <c r="D244" i="11"/>
  <c r="A244" i="11"/>
  <c r="B244" i="11" s="1"/>
  <c r="AI243" i="11"/>
  <c r="AH243" i="11"/>
  <c r="AJ243" i="11" s="1"/>
  <c r="K243" i="11"/>
  <c r="J243" i="11"/>
  <c r="D243" i="11"/>
  <c r="B243" i="11"/>
  <c r="A243" i="11"/>
  <c r="AJ242" i="11"/>
  <c r="AH242" i="11"/>
  <c r="AI242" i="11" s="1"/>
  <c r="K242" i="11"/>
  <c r="J242" i="11"/>
  <c r="D242" i="11"/>
  <c r="A242" i="11"/>
  <c r="B242" i="11" s="1"/>
  <c r="AI241" i="11"/>
  <c r="AH241" i="11"/>
  <c r="AJ241" i="11" s="1"/>
  <c r="K241" i="11"/>
  <c r="J241" i="11"/>
  <c r="D241" i="11"/>
  <c r="B241" i="11"/>
  <c r="A241" i="11"/>
  <c r="AJ240" i="11"/>
  <c r="AH240" i="11"/>
  <c r="AI240" i="11" s="1"/>
  <c r="K240" i="11"/>
  <c r="D240" i="11"/>
  <c r="A240" i="11"/>
  <c r="B240" i="11" s="1"/>
  <c r="AH239" i="11"/>
  <c r="K239" i="11"/>
  <c r="D239" i="11"/>
  <c r="A239" i="11"/>
  <c r="B239" i="11" s="1"/>
  <c r="AI238" i="11"/>
  <c r="AH238" i="11"/>
  <c r="AJ238" i="11" s="1"/>
  <c r="K238" i="11"/>
  <c r="D238" i="11"/>
  <c r="B238" i="11"/>
  <c r="A238" i="11"/>
  <c r="AJ237" i="11"/>
  <c r="AI237" i="11"/>
  <c r="AH237" i="11"/>
  <c r="D237" i="11"/>
  <c r="B237" i="11"/>
  <c r="A237" i="11"/>
  <c r="AJ236" i="11"/>
  <c r="AI236" i="11"/>
  <c r="AH236" i="11"/>
  <c r="D236" i="11"/>
  <c r="B236" i="11"/>
  <c r="A236" i="11"/>
  <c r="AJ235" i="11"/>
  <c r="AI235" i="11"/>
  <c r="AH235" i="11"/>
  <c r="D235" i="11"/>
  <c r="B235" i="11"/>
  <c r="A235" i="11"/>
  <c r="AJ234" i="11"/>
  <c r="AI234" i="11"/>
  <c r="AH234" i="11"/>
  <c r="G234" i="11"/>
  <c r="F234" i="11"/>
  <c r="D234" i="11"/>
  <c r="B234" i="11"/>
  <c r="AJ233" i="11"/>
  <c r="AH233" i="11"/>
  <c r="AI233" i="11" s="1"/>
  <c r="G233" i="11"/>
  <c r="F233" i="11"/>
  <c r="D233" i="11"/>
  <c r="B233" i="11"/>
  <c r="AH232" i="11"/>
  <c r="G232" i="11"/>
  <c r="F232" i="11"/>
  <c r="D232" i="11"/>
  <c r="B232" i="11"/>
  <c r="AI231" i="11"/>
  <c r="AH231" i="11"/>
  <c r="AJ231" i="11" s="1"/>
  <c r="G231" i="11"/>
  <c r="F231" i="11"/>
  <c r="D231" i="11"/>
  <c r="B231" i="11"/>
  <c r="AJ230" i="11"/>
  <c r="AI230" i="11"/>
  <c r="AH230" i="11"/>
  <c r="G230" i="11"/>
  <c r="F230" i="11"/>
  <c r="D230" i="11"/>
  <c r="B230" i="11"/>
  <c r="AJ229" i="11"/>
  <c r="AH229" i="11"/>
  <c r="AI229" i="11" s="1"/>
  <c r="G229" i="11"/>
  <c r="F229" i="11"/>
  <c r="D229" i="11"/>
  <c r="B229" i="11"/>
  <c r="AH228" i="11"/>
  <c r="G228" i="11"/>
  <c r="F228" i="11"/>
  <c r="D228" i="11"/>
  <c r="B228" i="11"/>
  <c r="AI227" i="11"/>
  <c r="AH227" i="11"/>
  <c r="AJ227" i="11" s="1"/>
  <c r="G227" i="11"/>
  <c r="F227" i="11"/>
  <c r="D227" i="11"/>
  <c r="B227" i="11"/>
  <c r="AJ226" i="11"/>
  <c r="AI226" i="11"/>
  <c r="AH226" i="11"/>
  <c r="G226" i="11"/>
  <c r="F226" i="11"/>
  <c r="D226" i="11"/>
  <c r="B226" i="11"/>
  <c r="AJ225" i="11"/>
  <c r="AH225" i="11"/>
  <c r="AI225" i="11" s="1"/>
  <c r="G225" i="11"/>
  <c r="F225" i="11"/>
  <c r="D225" i="11"/>
  <c r="B225" i="11"/>
  <c r="AH224" i="11"/>
  <c r="G224" i="11"/>
  <c r="F224" i="11"/>
  <c r="D224" i="11"/>
  <c r="B224" i="11"/>
  <c r="AI223" i="11"/>
  <c r="AH223" i="11"/>
  <c r="AJ223" i="11" s="1"/>
  <c r="G223" i="11"/>
  <c r="F223" i="11"/>
  <c r="D223" i="11"/>
  <c r="B223" i="11"/>
  <c r="AJ222" i="11"/>
  <c r="AI222" i="11"/>
  <c r="AH222" i="11"/>
  <c r="G222" i="11"/>
  <c r="F222" i="11"/>
  <c r="B222" i="11"/>
  <c r="AJ221" i="11"/>
  <c r="AI221" i="11"/>
  <c r="AH221" i="11"/>
  <c r="G221" i="11"/>
  <c r="F221" i="11"/>
  <c r="B221" i="11"/>
  <c r="AJ220" i="11"/>
  <c r="AI220" i="11"/>
  <c r="AH220" i="11"/>
  <c r="G220" i="11"/>
  <c r="F220" i="11"/>
  <c r="B220" i="11"/>
  <c r="AJ219" i="11"/>
  <c r="AI219" i="11"/>
  <c r="AH219" i="11"/>
  <c r="G219" i="11"/>
  <c r="F219" i="11"/>
  <c r="B219" i="11"/>
  <c r="AJ218" i="11"/>
  <c r="AI218" i="11"/>
  <c r="AH218" i="11"/>
  <c r="G218" i="11"/>
  <c r="F218" i="11"/>
  <c r="B218" i="11"/>
  <c r="AJ217" i="11"/>
  <c r="AI217" i="11"/>
  <c r="AH217" i="11"/>
  <c r="G217" i="11"/>
  <c r="F217" i="11"/>
  <c r="B217" i="11"/>
  <c r="AJ216" i="11"/>
  <c r="AI216" i="11"/>
  <c r="AH216" i="11"/>
  <c r="G216" i="11"/>
  <c r="F216" i="11"/>
  <c r="B216" i="11"/>
  <c r="AJ215" i="11"/>
  <c r="AI215" i="11"/>
  <c r="AH215" i="11"/>
  <c r="G215" i="11"/>
  <c r="F215" i="11"/>
  <c r="B215" i="11"/>
  <c r="AJ214" i="11"/>
  <c r="AI214" i="11"/>
  <c r="AH214" i="11"/>
  <c r="G214" i="11"/>
  <c r="F214" i="11"/>
  <c r="B214" i="11"/>
  <c r="AJ213" i="11"/>
  <c r="AI213" i="11"/>
  <c r="AH213" i="11"/>
  <c r="G213" i="11"/>
  <c r="E213" i="11"/>
  <c r="H213" i="11" s="1"/>
  <c r="D213" i="11"/>
  <c r="B213" i="11"/>
  <c r="AH212" i="11"/>
  <c r="H212" i="11"/>
  <c r="E212" i="11"/>
  <c r="D212" i="11"/>
  <c r="G212" i="11" s="1"/>
  <c r="B212" i="11"/>
  <c r="AJ211" i="11"/>
  <c r="AI211" i="11"/>
  <c r="AH211" i="11"/>
  <c r="G211" i="11"/>
  <c r="E211" i="11"/>
  <c r="H211" i="11" s="1"/>
  <c r="D211" i="11"/>
  <c r="B211" i="11"/>
  <c r="AH210" i="11"/>
  <c r="H210" i="11"/>
  <c r="E210" i="11"/>
  <c r="D210" i="11"/>
  <c r="G210" i="11" s="1"/>
  <c r="B210" i="11"/>
  <c r="AJ209" i="11"/>
  <c r="AI209" i="11"/>
  <c r="AH209" i="11"/>
  <c r="G209" i="11"/>
  <c r="E209" i="11"/>
  <c r="H209" i="11" s="1"/>
  <c r="D209" i="11"/>
  <c r="B209" i="11"/>
  <c r="AH208" i="11"/>
  <c r="H208" i="11"/>
  <c r="E208" i="11"/>
  <c r="D208" i="11"/>
  <c r="G208" i="11" s="1"/>
  <c r="B208" i="11"/>
  <c r="AJ207" i="11"/>
  <c r="AI207" i="11"/>
  <c r="AH207" i="11"/>
  <c r="K207" i="11"/>
  <c r="H207" i="11"/>
  <c r="G207" i="11"/>
  <c r="E207" i="11"/>
  <c r="D207" i="11"/>
  <c r="B207" i="11"/>
  <c r="AI206" i="11"/>
  <c r="AH206" i="11"/>
  <c r="AJ206" i="11" s="1"/>
  <c r="K206" i="11"/>
  <c r="E8" i="12" s="1"/>
  <c r="E100" i="12" s="1"/>
  <c r="G206" i="11"/>
  <c r="E206" i="11"/>
  <c r="H206" i="11" s="1"/>
  <c r="D206" i="11"/>
  <c r="B206" i="11"/>
  <c r="AH205" i="11"/>
  <c r="H205" i="11"/>
  <c r="E205" i="11"/>
  <c r="D205" i="11"/>
  <c r="G205" i="11" s="1"/>
  <c r="B205" i="11"/>
  <c r="AJ204" i="11"/>
  <c r="AI204" i="11"/>
  <c r="AH204" i="11"/>
  <c r="G204" i="11"/>
  <c r="E204" i="11"/>
  <c r="H204" i="11" s="1"/>
  <c r="D204" i="11"/>
  <c r="B204" i="11"/>
  <c r="AH203" i="11"/>
  <c r="D203" i="11"/>
  <c r="A203" i="11"/>
  <c r="B203" i="11" s="1"/>
  <c r="AH202" i="11"/>
  <c r="D202" i="11"/>
  <c r="A202" i="11"/>
  <c r="B202" i="11" s="1"/>
  <c r="AH201" i="11"/>
  <c r="D201" i="11"/>
  <c r="A201" i="11"/>
  <c r="B201" i="11" s="1"/>
  <c r="AH200" i="11"/>
  <c r="B200" i="11"/>
  <c r="AJ199" i="11"/>
  <c r="AI199" i="11"/>
  <c r="AH199" i="11"/>
  <c r="AJ198" i="11"/>
  <c r="AH198" i="11"/>
  <c r="AI198" i="11" s="1"/>
  <c r="AH197" i="11"/>
  <c r="AI196" i="11"/>
  <c r="AH196" i="11"/>
  <c r="AJ196" i="11" s="1"/>
  <c r="AJ195" i="11"/>
  <c r="AI195" i="11"/>
  <c r="AH195" i="11"/>
  <c r="AJ194" i="11"/>
  <c r="AH194" i="11"/>
  <c r="AI194" i="11" s="1"/>
  <c r="AH193" i="11"/>
  <c r="AI192" i="11"/>
  <c r="AH192" i="11"/>
  <c r="AJ192" i="11" s="1"/>
  <c r="AJ191" i="11"/>
  <c r="AH191" i="11"/>
  <c r="AI191" i="11" s="1"/>
  <c r="AI190" i="11"/>
  <c r="AH190" i="11"/>
  <c r="AJ190" i="11" s="1"/>
  <c r="AJ189" i="11"/>
  <c r="AH189" i="11"/>
  <c r="AI189" i="11" s="1"/>
  <c r="AI188" i="11"/>
  <c r="AH188" i="11"/>
  <c r="AJ188" i="11" s="1"/>
  <c r="AJ187" i="11"/>
  <c r="AH187" i="11"/>
  <c r="AI187" i="11" s="1"/>
  <c r="AI186" i="11"/>
  <c r="AH186" i="11"/>
  <c r="AJ186" i="11" s="1"/>
  <c r="AH185" i="11"/>
  <c r="K185" i="11"/>
  <c r="J185" i="11"/>
  <c r="I185" i="11"/>
  <c r="H185" i="11"/>
  <c r="G185" i="11"/>
  <c r="F185" i="11"/>
  <c r="AJ184" i="11"/>
  <c r="AI184" i="11"/>
  <c r="AH184" i="11"/>
  <c r="K184" i="11"/>
  <c r="J184" i="11"/>
  <c r="I184" i="11"/>
  <c r="H184" i="11"/>
  <c r="G184" i="11"/>
  <c r="F184" i="11"/>
  <c r="AJ183" i="11"/>
  <c r="AI183" i="11"/>
  <c r="AH183" i="11"/>
  <c r="K183" i="11"/>
  <c r="J183" i="11"/>
  <c r="I183" i="11"/>
  <c r="H183" i="11"/>
  <c r="G183" i="11"/>
  <c r="F183" i="11"/>
  <c r="AI182" i="11"/>
  <c r="AH182" i="11"/>
  <c r="AJ182" i="11" s="1"/>
  <c r="K182" i="11"/>
  <c r="J182" i="11"/>
  <c r="I182" i="11"/>
  <c r="H182" i="11"/>
  <c r="G182" i="11"/>
  <c r="F182" i="11"/>
  <c r="AH181" i="11"/>
  <c r="K181" i="11"/>
  <c r="J181" i="11"/>
  <c r="I181" i="11"/>
  <c r="H181" i="11"/>
  <c r="G181" i="11"/>
  <c r="F181" i="11"/>
  <c r="AJ180" i="11"/>
  <c r="AI180" i="11"/>
  <c r="AH180" i="11"/>
  <c r="K180" i="11"/>
  <c r="J180" i="11"/>
  <c r="I180" i="11"/>
  <c r="H180" i="11"/>
  <c r="G180" i="11"/>
  <c r="F180" i="11"/>
  <c r="AJ179" i="11"/>
  <c r="AI179" i="11"/>
  <c r="AH179" i="11"/>
  <c r="K179" i="11"/>
  <c r="J179" i="11"/>
  <c r="I179" i="11"/>
  <c r="H179" i="11"/>
  <c r="G179" i="11"/>
  <c r="F179" i="11"/>
  <c r="AI178" i="11"/>
  <c r="AH178" i="11"/>
  <c r="AJ178" i="11" s="1"/>
  <c r="K178" i="11"/>
  <c r="J178" i="11"/>
  <c r="I178" i="11"/>
  <c r="H178" i="11"/>
  <c r="G178" i="11"/>
  <c r="F178" i="11"/>
  <c r="AH177" i="11"/>
  <c r="K177" i="11"/>
  <c r="J177" i="11"/>
  <c r="I177" i="11"/>
  <c r="H177" i="11"/>
  <c r="G177" i="11"/>
  <c r="F177" i="11"/>
  <c r="AJ176" i="11"/>
  <c r="AI176" i="11"/>
  <c r="AH176" i="11"/>
  <c r="K176" i="11"/>
  <c r="J176" i="11"/>
  <c r="I176" i="11"/>
  <c r="H176" i="11"/>
  <c r="G176" i="11"/>
  <c r="F176" i="11"/>
  <c r="AJ175" i="11"/>
  <c r="AI175" i="11"/>
  <c r="AH175" i="11"/>
  <c r="K175" i="11"/>
  <c r="J175" i="11"/>
  <c r="I175" i="11"/>
  <c r="H175" i="11"/>
  <c r="G175" i="11"/>
  <c r="F175" i="11"/>
  <c r="AI174" i="11"/>
  <c r="AH174" i="11"/>
  <c r="AJ174" i="11" s="1"/>
  <c r="K174" i="11"/>
  <c r="J174" i="11"/>
  <c r="I174" i="11"/>
  <c r="H174" i="11"/>
  <c r="G174" i="11"/>
  <c r="F174" i="11"/>
  <c r="AH173" i="11"/>
  <c r="K173" i="11"/>
  <c r="J173" i="11"/>
  <c r="I173" i="11"/>
  <c r="H173" i="11"/>
  <c r="G173" i="11"/>
  <c r="F173" i="11"/>
  <c r="AJ172" i="11"/>
  <c r="AI172" i="11"/>
  <c r="AH172" i="11"/>
  <c r="K172" i="11"/>
  <c r="J172" i="11"/>
  <c r="I172" i="11"/>
  <c r="H172" i="11"/>
  <c r="G172" i="11"/>
  <c r="F172" i="11"/>
  <c r="E172" i="11"/>
  <c r="D172" i="11"/>
  <c r="C172" i="11"/>
  <c r="AI171" i="11"/>
  <c r="AH171" i="11"/>
  <c r="AJ171" i="11" s="1"/>
  <c r="K171" i="11"/>
  <c r="J171" i="11"/>
  <c r="I171" i="11"/>
  <c r="H171" i="11"/>
  <c r="G171" i="11"/>
  <c r="F171" i="11"/>
  <c r="E171" i="11"/>
  <c r="D171" i="11"/>
  <c r="C171" i="11"/>
  <c r="AJ170" i="11"/>
  <c r="AI170" i="11"/>
  <c r="AH170" i="11"/>
  <c r="K170" i="11"/>
  <c r="J170" i="11"/>
  <c r="I170" i="11"/>
  <c r="H170" i="11"/>
  <c r="G170" i="11"/>
  <c r="F170" i="11"/>
  <c r="E170" i="11"/>
  <c r="D170" i="11"/>
  <c r="C170" i="11"/>
  <c r="AJ169" i="11"/>
  <c r="AI169" i="11"/>
  <c r="AH169" i="11"/>
  <c r="K169" i="11"/>
  <c r="J169" i="11"/>
  <c r="I169" i="11"/>
  <c r="H169" i="11"/>
  <c r="G169" i="11"/>
  <c r="F169" i="11"/>
  <c r="E169" i="11"/>
  <c r="D169" i="11"/>
  <c r="C169" i="11"/>
  <c r="AJ168" i="11"/>
  <c r="AI168" i="11"/>
  <c r="AH168" i="11"/>
  <c r="K168" i="11"/>
  <c r="J168" i="11"/>
  <c r="I168" i="11"/>
  <c r="H168" i="11"/>
  <c r="G168" i="11"/>
  <c r="F168" i="11"/>
  <c r="C168" i="11"/>
  <c r="AI167" i="11"/>
  <c r="AH167" i="11"/>
  <c r="AJ167" i="11" s="1"/>
  <c r="K167" i="11"/>
  <c r="J167" i="11"/>
  <c r="I167" i="11"/>
  <c r="H167" i="11"/>
  <c r="G167" i="11"/>
  <c r="F167" i="11"/>
  <c r="E167" i="11"/>
  <c r="D167" i="11"/>
  <c r="C167" i="11"/>
  <c r="AJ166" i="11"/>
  <c r="AI166" i="11"/>
  <c r="AH166" i="11"/>
  <c r="K166" i="11"/>
  <c r="J166" i="11"/>
  <c r="I166" i="11"/>
  <c r="H166" i="11"/>
  <c r="G166" i="11"/>
  <c r="F166" i="11"/>
  <c r="E166" i="11"/>
  <c r="D166" i="11"/>
  <c r="C166" i="11"/>
  <c r="AI165" i="11"/>
  <c r="AH165" i="11"/>
  <c r="AJ165" i="11" s="1"/>
  <c r="K165" i="11"/>
  <c r="J165" i="11"/>
  <c r="I165" i="11"/>
  <c r="H165" i="11"/>
  <c r="G165" i="11"/>
  <c r="F165" i="11"/>
  <c r="E165" i="11"/>
  <c r="D165" i="11"/>
  <c r="C165" i="11"/>
  <c r="AJ164" i="11"/>
  <c r="AI164" i="11"/>
  <c r="AH164" i="11"/>
  <c r="K164" i="11"/>
  <c r="J164" i="11"/>
  <c r="I164" i="11"/>
  <c r="H164" i="11"/>
  <c r="G164" i="11"/>
  <c r="F164" i="11"/>
  <c r="E164" i="11"/>
  <c r="D164" i="11"/>
  <c r="C164" i="11"/>
  <c r="AI163" i="11"/>
  <c r="AH163" i="11"/>
  <c r="AJ163" i="11" s="1"/>
  <c r="K163" i="11"/>
  <c r="J163" i="11"/>
  <c r="I163" i="11"/>
  <c r="H163" i="11"/>
  <c r="G163" i="11"/>
  <c r="F163" i="11"/>
  <c r="AJ162" i="11"/>
  <c r="AI162" i="11"/>
  <c r="AH162" i="11"/>
  <c r="K162" i="11"/>
  <c r="J162" i="11"/>
  <c r="I162" i="11"/>
  <c r="H162" i="11"/>
  <c r="G162" i="11"/>
  <c r="F162" i="11"/>
  <c r="AJ161" i="11"/>
  <c r="AH161" i="11"/>
  <c r="AI161" i="11" s="1"/>
  <c r="K161" i="11"/>
  <c r="J161" i="11"/>
  <c r="I161" i="11"/>
  <c r="H161" i="11"/>
  <c r="G161" i="11"/>
  <c r="F161" i="11"/>
  <c r="E161" i="11"/>
  <c r="D161" i="11"/>
  <c r="C161" i="11"/>
  <c r="AI160" i="11"/>
  <c r="AH160" i="11"/>
  <c r="K160" i="11"/>
  <c r="J160" i="11"/>
  <c r="I160" i="11"/>
  <c r="H160" i="11"/>
  <c r="G160" i="11"/>
  <c r="F160" i="11"/>
  <c r="E160" i="11"/>
  <c r="D160" i="11"/>
  <c r="C160" i="11"/>
  <c r="K159" i="11"/>
  <c r="J159" i="11"/>
  <c r="I159" i="11"/>
  <c r="H159" i="11"/>
  <c r="G159" i="11"/>
  <c r="F159" i="11"/>
  <c r="E159" i="11"/>
  <c r="D159" i="11"/>
  <c r="C159" i="11"/>
  <c r="K158" i="11"/>
  <c r="J158" i="11"/>
  <c r="I158" i="11"/>
  <c r="H158" i="11"/>
  <c r="G158" i="11"/>
  <c r="F158" i="11"/>
  <c r="E158" i="11"/>
  <c r="D158" i="11"/>
  <c r="C158" i="11"/>
  <c r="C1870" i="5" s="1"/>
  <c r="C1893" i="5" s="1"/>
  <c r="K157" i="11"/>
  <c r="J157" i="11"/>
  <c r="I157" i="11"/>
  <c r="H157" i="11"/>
  <c r="G157" i="11"/>
  <c r="F157" i="11"/>
  <c r="E157" i="11"/>
  <c r="D157" i="11"/>
  <c r="C157" i="11"/>
  <c r="C1370" i="5" s="1"/>
  <c r="K156" i="11"/>
  <c r="J156" i="11"/>
  <c r="I156" i="11"/>
  <c r="H156" i="11"/>
  <c r="G156" i="11"/>
  <c r="F156" i="11"/>
  <c r="E156" i="11"/>
  <c r="D156" i="11"/>
  <c r="C156" i="11"/>
  <c r="C1774" i="5" s="1"/>
  <c r="C1775" i="5" s="1"/>
  <c r="K155" i="11"/>
  <c r="J155" i="11"/>
  <c r="H155" i="11"/>
  <c r="G155" i="11"/>
  <c r="K154" i="11"/>
  <c r="J154" i="11"/>
  <c r="I154" i="11"/>
  <c r="H154" i="11"/>
  <c r="G154" i="11"/>
  <c r="F154" i="11"/>
  <c r="E154" i="11"/>
  <c r="D154" i="11"/>
  <c r="C154" i="11"/>
  <c r="C1605" i="5" s="1"/>
  <c r="C1606" i="5" s="1"/>
  <c r="K153" i="11"/>
  <c r="J153" i="11"/>
  <c r="I153" i="11"/>
  <c r="H153" i="11"/>
  <c r="G153" i="11"/>
  <c r="F153" i="11"/>
  <c r="E153" i="11"/>
  <c r="D153" i="11"/>
  <c r="C153" i="11"/>
  <c r="C1519" i="5" s="1"/>
  <c r="C1580" i="5" s="1"/>
  <c r="K152" i="11"/>
  <c r="J152" i="11"/>
  <c r="I152" i="11"/>
  <c r="H152" i="11"/>
  <c r="G152" i="11"/>
  <c r="F152" i="11"/>
  <c r="E152" i="11"/>
  <c r="D152" i="11"/>
  <c r="C152" i="11"/>
  <c r="K151" i="11"/>
  <c r="J151" i="11"/>
  <c r="I151" i="11"/>
  <c r="H151" i="11"/>
  <c r="G151" i="11"/>
  <c r="F151" i="11"/>
  <c r="E151" i="11"/>
  <c r="D151" i="11"/>
  <c r="C151" i="11"/>
  <c r="K150" i="11"/>
  <c r="J150" i="11"/>
  <c r="I150" i="11"/>
  <c r="H150" i="11"/>
  <c r="H186" i="11" s="1"/>
  <c r="F189" i="11" s="1"/>
  <c r="G150" i="11"/>
  <c r="F150" i="11"/>
  <c r="E150" i="11"/>
  <c r="D150" i="11"/>
  <c r="C150" i="11"/>
  <c r="B91" i="11"/>
  <c r="A91" i="11"/>
  <c r="B90" i="11"/>
  <c r="A90" i="11"/>
  <c r="B88" i="11"/>
  <c r="A88" i="11"/>
  <c r="B87" i="11"/>
  <c r="A87" i="11"/>
  <c r="B86" i="11"/>
  <c r="A86" i="11"/>
  <c r="B85" i="11"/>
  <c r="A85" i="11"/>
  <c r="D466" i="12" s="1"/>
  <c r="E2299" i="13" s="1"/>
  <c r="B83" i="11"/>
  <c r="A83" i="11"/>
  <c r="B82" i="11"/>
  <c r="A82" i="11"/>
  <c r="B81" i="11"/>
  <c r="A81" i="11"/>
  <c r="B80" i="11"/>
  <c r="A80" i="11"/>
  <c r="D465" i="12" s="1"/>
  <c r="E2298" i="13" s="1"/>
  <c r="B78" i="11"/>
  <c r="A78" i="11"/>
  <c r="B77" i="11"/>
  <c r="A77" i="11"/>
  <c r="B76" i="11"/>
  <c r="A76" i="11"/>
  <c r="B75" i="11"/>
  <c r="A75" i="11"/>
  <c r="B859" i="10"/>
  <c r="B857" i="10"/>
  <c r="B855" i="10"/>
  <c r="B851" i="10"/>
  <c r="B849" i="10"/>
  <c r="B847" i="10"/>
  <c r="B843" i="10"/>
  <c r="B841" i="10"/>
  <c r="B839" i="10"/>
  <c r="B835" i="10"/>
  <c r="B833" i="10"/>
  <c r="B832" i="10"/>
  <c r="B831" i="10"/>
  <c r="B784" i="10"/>
  <c r="B822" i="10" s="1"/>
  <c r="B860" i="10" s="1"/>
  <c r="B783" i="10"/>
  <c r="B821" i="10" s="1"/>
  <c r="B782" i="10"/>
  <c r="B820" i="10" s="1"/>
  <c r="B858" i="10" s="1"/>
  <c r="B781" i="10"/>
  <c r="B819" i="10" s="1"/>
  <c r="B780" i="10"/>
  <c r="B818" i="10" s="1"/>
  <c r="B856" i="10" s="1"/>
  <c r="B779" i="10"/>
  <c r="B817" i="10" s="1"/>
  <c r="B778" i="10"/>
  <c r="B816" i="10" s="1"/>
  <c r="B854" i="10" s="1"/>
  <c r="B777" i="10"/>
  <c r="B815" i="10" s="1"/>
  <c r="B853" i="10" s="1"/>
  <c r="B776" i="10"/>
  <c r="B814" i="10" s="1"/>
  <c r="B852" i="10" s="1"/>
  <c r="B775" i="10"/>
  <c r="B813" i="10" s="1"/>
  <c r="B774" i="10"/>
  <c r="B812" i="10" s="1"/>
  <c r="B850" i="10" s="1"/>
  <c r="B773" i="10"/>
  <c r="B811" i="10" s="1"/>
  <c r="B772" i="10"/>
  <c r="B810" i="10" s="1"/>
  <c r="B848" i="10" s="1"/>
  <c r="B771" i="10"/>
  <c r="B809" i="10" s="1"/>
  <c r="B770" i="10"/>
  <c r="B808" i="10" s="1"/>
  <c r="B846" i="10" s="1"/>
  <c r="B769" i="10"/>
  <c r="B807" i="10" s="1"/>
  <c r="B845" i="10" s="1"/>
  <c r="B768" i="10"/>
  <c r="B806" i="10" s="1"/>
  <c r="B844" i="10" s="1"/>
  <c r="B767" i="10"/>
  <c r="B805" i="10" s="1"/>
  <c r="B766" i="10"/>
  <c r="B804" i="10" s="1"/>
  <c r="B842" i="10" s="1"/>
  <c r="B765" i="10"/>
  <c r="B803" i="10" s="1"/>
  <c r="B764" i="10"/>
  <c r="B802" i="10" s="1"/>
  <c r="B840" i="10" s="1"/>
  <c r="B763" i="10"/>
  <c r="B801" i="10" s="1"/>
  <c r="B762" i="10"/>
  <c r="B800" i="10" s="1"/>
  <c r="B838" i="10" s="1"/>
  <c r="B761" i="10"/>
  <c r="B799" i="10" s="1"/>
  <c r="B837" i="10" s="1"/>
  <c r="B760" i="10"/>
  <c r="B798" i="10" s="1"/>
  <c r="B836" i="10" s="1"/>
  <c r="B759" i="10"/>
  <c r="B797" i="10" s="1"/>
  <c r="B758" i="10"/>
  <c r="B796" i="10" s="1"/>
  <c r="B834" i="10" s="1"/>
  <c r="B757" i="10"/>
  <c r="B756" i="10"/>
  <c r="B755" i="10"/>
  <c r="B754" i="10"/>
  <c r="B753" i="10"/>
  <c r="B752" i="10"/>
  <c r="B751" i="10"/>
  <c r="B750" i="10"/>
  <c r="B739" i="10"/>
  <c r="A739" i="10"/>
  <c r="B738" i="10"/>
  <c r="A738" i="10"/>
  <c r="B737" i="10"/>
  <c r="A737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E701" i="10"/>
  <c r="A701" i="10"/>
  <c r="A700" i="10"/>
  <c r="A699" i="10"/>
  <c r="A698" i="10"/>
  <c r="A697" i="10"/>
  <c r="A696" i="10"/>
  <c r="G695" i="10"/>
  <c r="F660" i="10"/>
  <c r="E659" i="10"/>
  <c r="E658" i="10"/>
  <c r="G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E619" i="10"/>
  <c r="A619" i="10"/>
  <c r="A618" i="10"/>
  <c r="A617" i="10"/>
  <c r="A616" i="10"/>
  <c r="A615" i="10"/>
  <c r="A614" i="10"/>
  <c r="G613" i="10"/>
  <c r="G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E537" i="10"/>
  <c r="A537" i="10"/>
  <c r="A536" i="10"/>
  <c r="A535" i="10"/>
  <c r="A534" i="10"/>
  <c r="A533" i="10"/>
  <c r="A532" i="10"/>
  <c r="G531" i="10"/>
  <c r="F496" i="10"/>
  <c r="E495" i="10"/>
  <c r="E494" i="10"/>
  <c r="G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E455" i="10"/>
  <c r="A455" i="10"/>
  <c r="A454" i="10"/>
  <c r="A453" i="10"/>
  <c r="A452" i="10"/>
  <c r="A451" i="10"/>
  <c r="A450" i="10"/>
  <c r="G449" i="10"/>
  <c r="B448" i="10"/>
  <c r="A448" i="10"/>
  <c r="B447" i="10"/>
  <c r="A447" i="10"/>
  <c r="B446" i="10"/>
  <c r="A446" i="10"/>
  <c r="B445" i="10"/>
  <c r="A445" i="10"/>
  <c r="B444" i="10"/>
  <c r="A444" i="10"/>
  <c r="B443" i="10"/>
  <c r="A443" i="10"/>
  <c r="B442" i="10"/>
  <c r="A442" i="10"/>
  <c r="B441" i="10"/>
  <c r="A441" i="10"/>
  <c r="B440" i="10"/>
  <c r="A440" i="10"/>
  <c r="B439" i="10"/>
  <c r="A439" i="10"/>
  <c r="B438" i="10"/>
  <c r="A438" i="10"/>
  <c r="B437" i="10"/>
  <c r="A437" i="10"/>
  <c r="B436" i="10"/>
  <c r="A436" i="10"/>
  <c r="B435" i="10"/>
  <c r="A435" i="10"/>
  <c r="B434" i="10"/>
  <c r="A434" i="10"/>
  <c r="B433" i="10"/>
  <c r="A433" i="10"/>
  <c r="B432" i="10"/>
  <c r="A432" i="10"/>
  <c r="B431" i="10"/>
  <c r="A431" i="10"/>
  <c r="B430" i="10"/>
  <c r="A430" i="10"/>
  <c r="B429" i="10"/>
  <c r="A429" i="10"/>
  <c r="B428" i="10"/>
  <c r="A428" i="10"/>
  <c r="B427" i="10"/>
  <c r="A427" i="10"/>
  <c r="B426" i="10"/>
  <c r="A426" i="10"/>
  <c r="B425" i="10"/>
  <c r="A425" i="10"/>
  <c r="B424" i="10"/>
  <c r="A424" i="10"/>
  <c r="B423" i="10"/>
  <c r="A423" i="10"/>
  <c r="B422" i="10"/>
  <c r="A422" i="10"/>
  <c r="B421" i="10"/>
  <c r="A421" i="10"/>
  <c r="B420" i="10"/>
  <c r="A420" i="10"/>
  <c r="B419" i="10"/>
  <c r="A419" i="10"/>
  <c r="B418" i="10"/>
  <c r="A418" i="10"/>
  <c r="B417" i="10"/>
  <c r="A417" i="10"/>
  <c r="B416" i="10"/>
  <c r="A416" i="10"/>
  <c r="B415" i="10"/>
  <c r="A415" i="10"/>
  <c r="B414" i="10"/>
  <c r="A414" i="10"/>
  <c r="E413" i="10"/>
  <c r="B413" i="10"/>
  <c r="A413" i="10"/>
  <c r="E412" i="10"/>
  <c r="B412" i="10"/>
  <c r="A412" i="10"/>
  <c r="B411" i="10"/>
  <c r="A411" i="10"/>
  <c r="B410" i="10"/>
  <c r="A410" i="10"/>
  <c r="B409" i="10"/>
  <c r="A409" i="10"/>
  <c r="G408" i="10"/>
  <c r="F407" i="10"/>
  <c r="B407" i="10"/>
  <c r="A407" i="10"/>
  <c r="F406" i="10"/>
  <c r="B406" i="10"/>
  <c r="A406" i="10"/>
  <c r="F405" i="10"/>
  <c r="B405" i="10"/>
  <c r="A405" i="10"/>
  <c r="F404" i="10"/>
  <c r="B404" i="10"/>
  <c r="A404" i="10"/>
  <c r="F403" i="10"/>
  <c r="B403" i="10"/>
  <c r="A403" i="10"/>
  <c r="F402" i="10"/>
  <c r="B402" i="10"/>
  <c r="A402" i="10"/>
  <c r="F401" i="10"/>
  <c r="B401" i="10"/>
  <c r="A401" i="10"/>
  <c r="B400" i="10"/>
  <c r="A400" i="10"/>
  <c r="F399" i="10"/>
  <c r="B399" i="10"/>
  <c r="A399" i="10"/>
  <c r="F398" i="10"/>
  <c r="B398" i="10"/>
  <c r="A398" i="10"/>
  <c r="F397" i="10"/>
  <c r="B397" i="10"/>
  <c r="A397" i="10"/>
  <c r="F396" i="10"/>
  <c r="B396" i="10"/>
  <c r="A396" i="10"/>
  <c r="F395" i="10"/>
  <c r="B395" i="10"/>
  <c r="A395" i="10"/>
  <c r="F394" i="10"/>
  <c r="B394" i="10"/>
  <c r="A394" i="10"/>
  <c r="B393" i="10"/>
  <c r="A393" i="10"/>
  <c r="B392" i="10"/>
  <c r="A392" i="10"/>
  <c r="B391" i="10"/>
  <c r="A391" i="10"/>
  <c r="B390" i="10"/>
  <c r="A390" i="10"/>
  <c r="B389" i="10"/>
  <c r="A389" i="10"/>
  <c r="B388" i="10"/>
  <c r="A388" i="10"/>
  <c r="B387" i="10"/>
  <c r="A387" i="10"/>
  <c r="B386" i="10"/>
  <c r="A386" i="10"/>
  <c r="B385" i="10"/>
  <c r="A385" i="10"/>
  <c r="B384" i="10"/>
  <c r="A384" i="10"/>
  <c r="B383" i="10"/>
  <c r="A383" i="10"/>
  <c r="B382" i="10"/>
  <c r="A382" i="10"/>
  <c r="B381" i="10"/>
  <c r="A381" i="10"/>
  <c r="B380" i="10"/>
  <c r="A380" i="10"/>
  <c r="B379" i="10"/>
  <c r="A379" i="10"/>
  <c r="B378" i="10"/>
  <c r="A378" i="10"/>
  <c r="B377" i="10"/>
  <c r="A377" i="10"/>
  <c r="B376" i="10"/>
  <c r="A376" i="10"/>
  <c r="B375" i="10"/>
  <c r="A375" i="10"/>
  <c r="B374" i="10"/>
  <c r="A374" i="10"/>
  <c r="B373" i="10"/>
  <c r="A373" i="10"/>
  <c r="B372" i="10"/>
  <c r="A372" i="10"/>
  <c r="B371" i="10"/>
  <c r="A371" i="10"/>
  <c r="B370" i="10"/>
  <c r="A370" i="10"/>
  <c r="B369" i="10"/>
  <c r="A369" i="10"/>
  <c r="B368" i="10"/>
  <c r="A368" i="10"/>
  <c r="B367" i="10"/>
  <c r="A367" i="10"/>
  <c r="B366" i="10"/>
  <c r="A366" i="10"/>
  <c r="B365" i="10"/>
  <c r="A365" i="10"/>
  <c r="B364" i="10"/>
  <c r="A364" i="10"/>
  <c r="B363" i="10"/>
  <c r="A363" i="10"/>
  <c r="B362" i="10"/>
  <c r="A362" i="10"/>
  <c r="B361" i="10"/>
  <c r="A361" i="10"/>
  <c r="B360" i="10"/>
  <c r="A360" i="10"/>
  <c r="B359" i="10"/>
  <c r="A359" i="10"/>
  <c r="B358" i="10"/>
  <c r="A358" i="10"/>
  <c r="B357" i="10"/>
  <c r="A357" i="10"/>
  <c r="B356" i="10"/>
  <c r="A356" i="10"/>
  <c r="B355" i="10"/>
  <c r="A355" i="10"/>
  <c r="B354" i="10"/>
  <c r="A354" i="10"/>
  <c r="B353" i="10"/>
  <c r="A353" i="10"/>
  <c r="B352" i="10"/>
  <c r="A352" i="10"/>
  <c r="B351" i="10"/>
  <c r="A351" i="10"/>
  <c r="B350" i="10"/>
  <c r="A350" i="10"/>
  <c r="B349" i="10"/>
  <c r="A349" i="10"/>
  <c r="B348" i="10"/>
  <c r="A348" i="10"/>
  <c r="B347" i="10"/>
  <c r="A347" i="10"/>
  <c r="B346" i="10"/>
  <c r="A346" i="10"/>
  <c r="B345" i="10"/>
  <c r="A345" i="10"/>
  <c r="B344" i="10"/>
  <c r="A344" i="10"/>
  <c r="B343" i="10"/>
  <c r="A343" i="10"/>
  <c r="B342" i="10"/>
  <c r="A342" i="10"/>
  <c r="B341" i="10"/>
  <c r="A341" i="10"/>
  <c r="B340" i="10"/>
  <c r="A340" i="10"/>
  <c r="B339" i="10"/>
  <c r="A339" i="10"/>
  <c r="B338" i="10"/>
  <c r="A338" i="10"/>
  <c r="B337" i="10"/>
  <c r="A337" i="10"/>
  <c r="B336" i="10"/>
  <c r="A336" i="10"/>
  <c r="B335" i="10"/>
  <c r="A335" i="10"/>
  <c r="B334" i="10"/>
  <c r="A334" i="10"/>
  <c r="B333" i="10"/>
  <c r="A333" i="10"/>
  <c r="B332" i="10"/>
  <c r="A332" i="10"/>
  <c r="B331" i="10"/>
  <c r="A331" i="10"/>
  <c r="B330" i="10"/>
  <c r="A330" i="10"/>
  <c r="B329" i="10"/>
  <c r="A329" i="10"/>
  <c r="B328" i="10"/>
  <c r="A328" i="10"/>
  <c r="B327" i="10"/>
  <c r="A327" i="10"/>
  <c r="B326" i="10"/>
  <c r="A326" i="10"/>
  <c r="B325" i="10"/>
  <c r="A325" i="10"/>
  <c r="B324" i="10"/>
  <c r="A324" i="10"/>
  <c r="B323" i="10"/>
  <c r="A323" i="10"/>
  <c r="B322" i="10"/>
  <c r="A322" i="10"/>
  <c r="B321" i="10"/>
  <c r="A321" i="10"/>
  <c r="B320" i="10"/>
  <c r="A320" i="10"/>
  <c r="B319" i="10"/>
  <c r="A319" i="10"/>
  <c r="B318" i="10"/>
  <c r="A318" i="10"/>
  <c r="B317" i="10"/>
  <c r="A317" i="10"/>
  <c r="B316" i="10"/>
  <c r="A316" i="10"/>
  <c r="B315" i="10"/>
  <c r="A315" i="10"/>
  <c r="B314" i="10"/>
  <c r="A314" i="10"/>
  <c r="B313" i="10"/>
  <c r="A313" i="10"/>
  <c r="B312" i="10"/>
  <c r="A312" i="10"/>
  <c r="B311" i="10"/>
  <c r="A311" i="10"/>
  <c r="B310" i="10"/>
  <c r="A310" i="10"/>
  <c r="B309" i="10"/>
  <c r="A309" i="10"/>
  <c r="B308" i="10"/>
  <c r="A308" i="10"/>
  <c r="B307" i="10"/>
  <c r="A307" i="10"/>
  <c r="B306" i="10"/>
  <c r="A306" i="10"/>
  <c r="B305" i="10"/>
  <c r="A305" i="10"/>
  <c r="B304" i="10"/>
  <c r="A304" i="10"/>
  <c r="B303" i="10"/>
  <c r="A303" i="10"/>
  <c r="B302" i="10"/>
  <c r="A302" i="10"/>
  <c r="B301" i="10"/>
  <c r="A301" i="10"/>
  <c r="B300" i="10"/>
  <c r="A300" i="10"/>
  <c r="B299" i="10"/>
  <c r="A299" i="10"/>
  <c r="B298" i="10"/>
  <c r="A298" i="10"/>
  <c r="B297" i="10"/>
  <c r="A297" i="10"/>
  <c r="B296" i="10"/>
  <c r="A296" i="10"/>
  <c r="B295" i="10"/>
  <c r="A295" i="10"/>
  <c r="B294" i="10"/>
  <c r="A294" i="10"/>
  <c r="B293" i="10"/>
  <c r="A293" i="10"/>
  <c r="B292" i="10"/>
  <c r="A292" i="10"/>
  <c r="B291" i="10"/>
  <c r="A291" i="10"/>
  <c r="B290" i="10"/>
  <c r="A290" i="10"/>
  <c r="B289" i="10"/>
  <c r="A289" i="10"/>
  <c r="B288" i="10"/>
  <c r="A288" i="10"/>
  <c r="B287" i="10"/>
  <c r="A287" i="10"/>
  <c r="B286" i="10"/>
  <c r="A286" i="10"/>
  <c r="B285" i="10"/>
  <c r="A285" i="10"/>
  <c r="B284" i="10"/>
  <c r="A284" i="10"/>
  <c r="B283" i="10"/>
  <c r="A283" i="10"/>
  <c r="B282" i="10"/>
  <c r="A282" i="10"/>
  <c r="B281" i="10"/>
  <c r="A281" i="10"/>
  <c r="B280" i="10"/>
  <c r="A280" i="10"/>
  <c r="B279" i="10"/>
  <c r="A279" i="10"/>
  <c r="B278" i="10"/>
  <c r="A278" i="10"/>
  <c r="B277" i="10"/>
  <c r="A277" i="10"/>
  <c r="B276" i="10"/>
  <c r="A276" i="10"/>
  <c r="B275" i="10"/>
  <c r="A275" i="10"/>
  <c r="B274" i="10"/>
  <c r="A274" i="10"/>
  <c r="B273" i="10"/>
  <c r="A273" i="10"/>
  <c r="B272" i="10"/>
  <c r="A272" i="10"/>
  <c r="B271" i="10"/>
  <c r="A271" i="10"/>
  <c r="B270" i="10"/>
  <c r="A270" i="10"/>
  <c r="B269" i="10"/>
  <c r="A269" i="10"/>
  <c r="B268" i="10"/>
  <c r="A268" i="10"/>
  <c r="B267" i="10"/>
  <c r="A267" i="10"/>
  <c r="B266" i="10"/>
  <c r="A266" i="10"/>
  <c r="B265" i="10"/>
  <c r="A265" i="10"/>
  <c r="B264" i="10"/>
  <c r="A264" i="10"/>
  <c r="B263" i="10"/>
  <c r="A263" i="10"/>
  <c r="B262" i="10"/>
  <c r="A262" i="10"/>
  <c r="B261" i="10"/>
  <c r="A261" i="10"/>
  <c r="B260" i="10"/>
  <c r="A260" i="10"/>
  <c r="B259" i="10"/>
  <c r="A259" i="10"/>
  <c r="B258" i="10"/>
  <c r="A258" i="10"/>
  <c r="B257" i="10"/>
  <c r="A257" i="10"/>
  <c r="B256" i="10"/>
  <c r="A256" i="10"/>
  <c r="B255" i="10"/>
  <c r="A255" i="10"/>
  <c r="B254" i="10"/>
  <c r="A254" i="10"/>
  <c r="B253" i="10"/>
  <c r="A253" i="10"/>
  <c r="B252" i="10"/>
  <c r="A252" i="10"/>
  <c r="B251" i="10"/>
  <c r="A251" i="10"/>
  <c r="B250" i="10"/>
  <c r="A250" i="10"/>
  <c r="B249" i="10"/>
  <c r="A249" i="10"/>
  <c r="B248" i="10"/>
  <c r="A248" i="10"/>
  <c r="B247" i="10"/>
  <c r="A247" i="10"/>
  <c r="B246" i="10"/>
  <c r="A246" i="10"/>
  <c r="B245" i="10"/>
  <c r="A245" i="10"/>
  <c r="B244" i="10"/>
  <c r="A244" i="10"/>
  <c r="B243" i="10"/>
  <c r="A243" i="10"/>
  <c r="B242" i="10"/>
  <c r="A242" i="10"/>
  <c r="B241" i="10"/>
  <c r="A241" i="10"/>
  <c r="B240" i="10"/>
  <c r="A240" i="10"/>
  <c r="B239" i="10"/>
  <c r="A239" i="10"/>
  <c r="B238" i="10"/>
  <c r="A238" i="10"/>
  <c r="B237" i="10"/>
  <c r="A237" i="10"/>
  <c r="B236" i="10"/>
  <c r="A236" i="10"/>
  <c r="B235" i="10"/>
  <c r="A235" i="10"/>
  <c r="B234" i="10"/>
  <c r="A234" i="10"/>
  <c r="B233" i="10"/>
  <c r="A233" i="10"/>
  <c r="B232" i="10"/>
  <c r="A232" i="10"/>
  <c r="B231" i="10"/>
  <c r="A231" i="10"/>
  <c r="B230" i="10"/>
  <c r="A230" i="10"/>
  <c r="B229" i="10"/>
  <c r="A229" i="10"/>
  <c r="B228" i="10"/>
  <c r="A228" i="10"/>
  <c r="B227" i="10"/>
  <c r="A227" i="10"/>
  <c r="B226" i="10"/>
  <c r="A226" i="10"/>
  <c r="F225" i="10"/>
  <c r="B225" i="10"/>
  <c r="A225" i="10"/>
  <c r="B224" i="10"/>
  <c r="A224" i="10"/>
  <c r="F223" i="10"/>
  <c r="B223" i="10"/>
  <c r="A223" i="10"/>
  <c r="F222" i="10"/>
  <c r="B222" i="10"/>
  <c r="A222" i="10"/>
  <c r="B221" i="10"/>
  <c r="A221" i="10"/>
  <c r="B220" i="10"/>
  <c r="A220" i="10"/>
  <c r="B219" i="10"/>
  <c r="A219" i="10"/>
  <c r="B218" i="10"/>
  <c r="A218" i="10"/>
  <c r="B217" i="10"/>
  <c r="A217" i="10"/>
  <c r="B216" i="10"/>
  <c r="A216" i="10"/>
  <c r="B215" i="10"/>
  <c r="A215" i="10"/>
  <c r="B214" i="10"/>
  <c r="A214" i="10"/>
  <c r="B213" i="10"/>
  <c r="A213" i="10"/>
  <c r="B212" i="10"/>
  <c r="A212" i="10"/>
  <c r="B211" i="10"/>
  <c r="A211" i="10"/>
  <c r="G210" i="10"/>
  <c r="B209" i="10"/>
  <c r="A209" i="10"/>
  <c r="B208" i="10"/>
  <c r="A208" i="10"/>
  <c r="B207" i="10"/>
  <c r="A207" i="10"/>
  <c r="B206" i="10"/>
  <c r="A206" i="10"/>
  <c r="B205" i="10"/>
  <c r="A205" i="10"/>
  <c r="B204" i="10"/>
  <c r="A204" i="10"/>
  <c r="B203" i="10"/>
  <c r="A203" i="10"/>
  <c r="B202" i="10"/>
  <c r="A202" i="10"/>
  <c r="B201" i="10"/>
  <c r="A201" i="10"/>
  <c r="B200" i="10"/>
  <c r="A200" i="10"/>
  <c r="B199" i="10"/>
  <c r="A199" i="10"/>
  <c r="B198" i="10"/>
  <c r="A198" i="10"/>
  <c r="B197" i="10"/>
  <c r="A197" i="10"/>
  <c r="B196" i="10"/>
  <c r="A196" i="10"/>
  <c r="B195" i="10"/>
  <c r="A195" i="10"/>
  <c r="B194" i="10"/>
  <c r="A194" i="10"/>
  <c r="B193" i="10"/>
  <c r="A193" i="10"/>
  <c r="B192" i="10"/>
  <c r="A192" i="10"/>
  <c r="B191" i="10"/>
  <c r="A191" i="10"/>
  <c r="B190" i="10"/>
  <c r="A190" i="10"/>
  <c r="B189" i="10"/>
  <c r="A189" i="10"/>
  <c r="B188" i="10"/>
  <c r="A188" i="10"/>
  <c r="B187" i="10"/>
  <c r="A187" i="10"/>
  <c r="B186" i="10"/>
  <c r="A186" i="10"/>
  <c r="B185" i="10"/>
  <c r="A185" i="10"/>
  <c r="B184" i="10"/>
  <c r="A184" i="10"/>
  <c r="B183" i="10"/>
  <c r="A183" i="10"/>
  <c r="B182" i="10"/>
  <c r="A182" i="10"/>
  <c r="B181" i="10"/>
  <c r="A181" i="10"/>
  <c r="B180" i="10"/>
  <c r="A180" i="10"/>
  <c r="B179" i="10"/>
  <c r="A179" i="10"/>
  <c r="B178" i="10"/>
  <c r="A178" i="10"/>
  <c r="B177" i="10"/>
  <c r="A177" i="10"/>
  <c r="B176" i="10"/>
  <c r="A176" i="10"/>
  <c r="B175" i="10"/>
  <c r="A175" i="10"/>
  <c r="B174" i="10"/>
  <c r="A174" i="10"/>
  <c r="B173" i="10"/>
  <c r="A173" i="10"/>
  <c r="B172" i="10"/>
  <c r="A172" i="10"/>
  <c r="B171" i="10"/>
  <c r="A171" i="10"/>
  <c r="B170" i="10"/>
  <c r="A170" i="10"/>
  <c r="B169" i="10"/>
  <c r="A169" i="10"/>
  <c r="B168" i="10"/>
  <c r="A168" i="10"/>
  <c r="B167" i="10"/>
  <c r="A167" i="10"/>
  <c r="B166" i="10"/>
  <c r="A166" i="10"/>
  <c r="B165" i="10"/>
  <c r="A165" i="10"/>
  <c r="B164" i="10"/>
  <c r="A164" i="10"/>
  <c r="B163" i="10"/>
  <c r="A163" i="10"/>
  <c r="B162" i="10"/>
  <c r="A162" i="10"/>
  <c r="B161" i="10"/>
  <c r="A161" i="10"/>
  <c r="B160" i="10"/>
  <c r="A160" i="10"/>
  <c r="B159" i="10"/>
  <c r="A159" i="10"/>
  <c r="B158" i="10"/>
  <c r="A158" i="10"/>
  <c r="B157" i="10"/>
  <c r="A157" i="10"/>
  <c r="B156" i="10"/>
  <c r="A156" i="10"/>
  <c r="B155" i="10"/>
  <c r="A155" i="10"/>
  <c r="B154" i="10"/>
  <c r="A154" i="10"/>
  <c r="B153" i="10"/>
  <c r="A153" i="10"/>
  <c r="B152" i="10"/>
  <c r="A152" i="10"/>
  <c r="B151" i="10"/>
  <c r="A151" i="10"/>
  <c r="B150" i="10"/>
  <c r="A150" i="10"/>
  <c r="B149" i="10"/>
  <c r="A149" i="10"/>
  <c r="B148" i="10"/>
  <c r="A148" i="10"/>
  <c r="B147" i="10"/>
  <c r="A147" i="10"/>
  <c r="B146" i="10"/>
  <c r="A146" i="10"/>
  <c r="B145" i="10"/>
  <c r="A145" i="10"/>
  <c r="B144" i="10"/>
  <c r="A144" i="10"/>
  <c r="B143" i="10"/>
  <c r="A143" i="10"/>
  <c r="B142" i="10"/>
  <c r="A142" i="10"/>
  <c r="B141" i="10"/>
  <c r="A141" i="10"/>
  <c r="B140" i="10"/>
  <c r="A140" i="10"/>
  <c r="B139" i="10"/>
  <c r="A139" i="10"/>
  <c r="B138" i="10"/>
  <c r="A138" i="10"/>
  <c r="B137" i="10"/>
  <c r="A137" i="10"/>
  <c r="B136" i="10"/>
  <c r="A136" i="10"/>
  <c r="B135" i="10"/>
  <c r="A135" i="10"/>
  <c r="B134" i="10"/>
  <c r="A134" i="10"/>
  <c r="B133" i="10"/>
  <c r="A133" i="10"/>
  <c r="B132" i="10"/>
  <c r="A132" i="10"/>
  <c r="B131" i="10"/>
  <c r="A131" i="10"/>
  <c r="B130" i="10"/>
  <c r="A130" i="10"/>
  <c r="B129" i="10"/>
  <c r="A129" i="10"/>
  <c r="B128" i="10"/>
  <c r="A128" i="10"/>
  <c r="B127" i="10"/>
  <c r="A127" i="10"/>
  <c r="B126" i="10"/>
  <c r="A126" i="10"/>
  <c r="B125" i="10"/>
  <c r="A125" i="10"/>
  <c r="B124" i="10"/>
  <c r="A124" i="10"/>
  <c r="B123" i="10"/>
  <c r="A123" i="10"/>
  <c r="B122" i="10"/>
  <c r="A122" i="10"/>
  <c r="B121" i="10"/>
  <c r="A121" i="10"/>
  <c r="B120" i="10"/>
  <c r="A120" i="10"/>
  <c r="B119" i="10"/>
  <c r="A119" i="10"/>
  <c r="B118" i="10"/>
  <c r="A118" i="10"/>
  <c r="B117" i="10"/>
  <c r="A117" i="10"/>
  <c r="B116" i="10"/>
  <c r="A116" i="10"/>
  <c r="B115" i="10"/>
  <c r="A115" i="10"/>
  <c r="B114" i="10"/>
  <c r="A114" i="10"/>
  <c r="B113" i="10"/>
  <c r="A113" i="10"/>
  <c r="B112" i="10"/>
  <c r="A112" i="10"/>
  <c r="B111" i="10"/>
  <c r="A111" i="10"/>
  <c r="B110" i="10"/>
  <c r="A110" i="10"/>
  <c r="B109" i="10"/>
  <c r="A109" i="10"/>
  <c r="B108" i="10"/>
  <c r="A108" i="10"/>
  <c r="B107" i="10"/>
  <c r="A107" i="10"/>
  <c r="B106" i="10"/>
  <c r="A106" i="10"/>
  <c r="B105" i="10"/>
  <c r="A105" i="10"/>
  <c r="B104" i="10"/>
  <c r="A104" i="10"/>
  <c r="B103" i="10"/>
  <c r="A103" i="10"/>
  <c r="B102" i="10"/>
  <c r="A102" i="10"/>
  <c r="B101" i="10"/>
  <c r="A101" i="10"/>
  <c r="B100" i="10"/>
  <c r="A100" i="10"/>
  <c r="B99" i="10"/>
  <c r="A99" i="10"/>
  <c r="B98" i="10"/>
  <c r="A98" i="10"/>
  <c r="B97" i="10"/>
  <c r="A97" i="10"/>
  <c r="B96" i="10"/>
  <c r="A96" i="10"/>
  <c r="B95" i="10"/>
  <c r="A95" i="10"/>
  <c r="B94" i="10"/>
  <c r="A94" i="10"/>
  <c r="B93" i="10"/>
  <c r="A93" i="10"/>
  <c r="B92" i="10"/>
  <c r="A92" i="10"/>
  <c r="B91" i="10"/>
  <c r="A91" i="10"/>
  <c r="B90" i="10"/>
  <c r="A90" i="10"/>
  <c r="B89" i="10"/>
  <c r="A89" i="10"/>
  <c r="B88" i="10"/>
  <c r="A88" i="10"/>
  <c r="B87" i="10"/>
  <c r="A87" i="10"/>
  <c r="B86" i="10"/>
  <c r="A86" i="10"/>
  <c r="B85" i="10"/>
  <c r="A85" i="10"/>
  <c r="B84" i="10"/>
  <c r="A84" i="10"/>
  <c r="B83" i="10"/>
  <c r="A83" i="10"/>
  <c r="B82" i="10"/>
  <c r="A82" i="10"/>
  <c r="B81" i="10"/>
  <c r="A81" i="10"/>
  <c r="B80" i="10"/>
  <c r="A80" i="10"/>
  <c r="B79" i="10"/>
  <c r="A79" i="10"/>
  <c r="B78" i="10"/>
  <c r="A78" i="10"/>
  <c r="B77" i="10"/>
  <c r="A77" i="10"/>
  <c r="B76" i="10"/>
  <c r="A76" i="10"/>
  <c r="B75" i="10"/>
  <c r="A75" i="10"/>
  <c r="B74" i="10"/>
  <c r="A74" i="10"/>
  <c r="B73" i="10"/>
  <c r="A73" i="10"/>
  <c r="B72" i="10"/>
  <c r="A72" i="10"/>
  <c r="B71" i="10"/>
  <c r="A71" i="10"/>
  <c r="B70" i="10"/>
  <c r="A70" i="10"/>
  <c r="B69" i="10"/>
  <c r="A69" i="10"/>
  <c r="B68" i="10"/>
  <c r="A68" i="10"/>
  <c r="B67" i="10"/>
  <c r="A67" i="10"/>
  <c r="B66" i="10"/>
  <c r="A66" i="10"/>
  <c r="B65" i="10"/>
  <c r="A65" i="10"/>
  <c r="B64" i="10"/>
  <c r="A64" i="10"/>
  <c r="B63" i="10"/>
  <c r="A63" i="10"/>
  <c r="B62" i="10"/>
  <c r="A62" i="10"/>
  <c r="B61" i="10"/>
  <c r="A61" i="10"/>
  <c r="B60" i="10"/>
  <c r="A60" i="10"/>
  <c r="B59" i="10"/>
  <c r="A59" i="10"/>
  <c r="B58" i="10"/>
  <c r="A58" i="10"/>
  <c r="B57" i="10"/>
  <c r="A57" i="10"/>
  <c r="B56" i="10"/>
  <c r="A56" i="10"/>
  <c r="B55" i="10"/>
  <c r="A55" i="10"/>
  <c r="B54" i="10"/>
  <c r="A54" i="10"/>
  <c r="B53" i="10"/>
  <c r="A53" i="10"/>
  <c r="B52" i="10"/>
  <c r="A52" i="10"/>
  <c r="B51" i="10"/>
  <c r="A51" i="10"/>
  <c r="B50" i="10"/>
  <c r="A50" i="10"/>
  <c r="B49" i="10"/>
  <c r="A49" i="10"/>
  <c r="B48" i="10"/>
  <c r="A48" i="10"/>
  <c r="B47" i="10"/>
  <c r="A47" i="10"/>
  <c r="B46" i="10"/>
  <c r="A46" i="10"/>
  <c r="B45" i="10"/>
  <c r="A45" i="10"/>
  <c r="B44" i="10"/>
  <c r="A44" i="10"/>
  <c r="B43" i="10"/>
  <c r="A43" i="10"/>
  <c r="B42" i="10"/>
  <c r="A42" i="10"/>
  <c r="B41" i="10"/>
  <c r="A41" i="10"/>
  <c r="H40" i="10"/>
  <c r="B40" i="10"/>
  <c r="A40" i="10"/>
  <c r="H39" i="10"/>
  <c r="B39" i="10"/>
  <c r="A39" i="10"/>
  <c r="H38" i="10"/>
  <c r="B38" i="10"/>
  <c r="A38" i="10"/>
  <c r="H37" i="10"/>
  <c r="B37" i="10"/>
  <c r="A37" i="10"/>
  <c r="H36" i="10"/>
  <c r="B36" i="10"/>
  <c r="A36" i="10"/>
  <c r="H35" i="10"/>
  <c r="B35" i="10"/>
  <c r="A35" i="10"/>
  <c r="H34" i="10"/>
  <c r="B34" i="10"/>
  <c r="A34" i="10"/>
  <c r="H33" i="10"/>
  <c r="B33" i="10"/>
  <c r="A33" i="10"/>
  <c r="H32" i="10"/>
  <c r="B32" i="10"/>
  <c r="A32" i="10"/>
  <c r="H31" i="10"/>
  <c r="B31" i="10"/>
  <c r="A31" i="10"/>
  <c r="H30" i="10"/>
  <c r="B30" i="10"/>
  <c r="A30" i="10"/>
  <c r="H29" i="10"/>
  <c r="B29" i="10"/>
  <c r="A29" i="10"/>
  <c r="H28" i="10"/>
  <c r="B28" i="10"/>
  <c r="A28" i="10"/>
  <c r="H27" i="10"/>
  <c r="B27" i="10"/>
  <c r="A27" i="10"/>
  <c r="H26" i="10"/>
  <c r="B26" i="10"/>
  <c r="A26" i="10"/>
  <c r="H25" i="10"/>
  <c r="B25" i="10"/>
  <c r="A25" i="10"/>
  <c r="H24" i="10"/>
  <c r="B24" i="10"/>
  <c r="A24" i="10"/>
  <c r="H23" i="10"/>
  <c r="B23" i="10"/>
  <c r="A23" i="10"/>
  <c r="H22" i="10"/>
  <c r="B22" i="10"/>
  <c r="A22" i="10"/>
  <c r="H21" i="10"/>
  <c r="B21" i="10"/>
  <c r="A21" i="10"/>
  <c r="H20" i="10"/>
  <c r="B20" i="10"/>
  <c r="A20" i="10"/>
  <c r="H19" i="10"/>
  <c r="B19" i="10"/>
  <c r="A19" i="10"/>
  <c r="H18" i="10"/>
  <c r="B18" i="10"/>
  <c r="A18" i="10"/>
  <c r="H17" i="10"/>
  <c r="B17" i="10"/>
  <c r="A17" i="10"/>
  <c r="H16" i="10"/>
  <c r="B16" i="10"/>
  <c r="A16" i="10"/>
  <c r="H15" i="10"/>
  <c r="B15" i="10"/>
  <c r="A15" i="10"/>
  <c r="B14" i="10"/>
  <c r="A14" i="10"/>
  <c r="B13" i="10"/>
  <c r="A13" i="10"/>
  <c r="B12" i="10"/>
  <c r="A12" i="10"/>
  <c r="H11" i="10"/>
  <c r="B11" i="10"/>
  <c r="A11" i="10"/>
  <c r="B10" i="10"/>
  <c r="A10" i="10"/>
  <c r="B9" i="10"/>
  <c r="A9" i="10"/>
  <c r="B8" i="10"/>
  <c r="A8" i="10"/>
  <c r="B7" i="10"/>
  <c r="A7" i="10"/>
  <c r="B6" i="10"/>
  <c r="A6" i="10"/>
  <c r="B704" i="9"/>
  <c r="D701" i="9"/>
  <c r="E2468" i="13" s="1"/>
  <c r="E2460" i="15" s="1"/>
  <c r="G2460" i="15" s="1"/>
  <c r="C701" i="9"/>
  <c r="D2468" i="13" s="1"/>
  <c r="B701" i="9"/>
  <c r="C2468" i="13" s="1"/>
  <c r="C2460" i="15" s="1"/>
  <c r="A701" i="9"/>
  <c r="B2468" i="13" s="1"/>
  <c r="B2460" i="15" s="1"/>
  <c r="D700" i="9"/>
  <c r="E2419" i="13" s="1"/>
  <c r="E2411" i="15" s="1"/>
  <c r="G2411" i="15" s="1"/>
  <c r="C700" i="9"/>
  <c r="D2419" i="13" s="1"/>
  <c r="B700" i="9"/>
  <c r="A700" i="9"/>
  <c r="B2419" i="13" s="1"/>
  <c r="B2411" i="15" s="1"/>
  <c r="D699" i="9"/>
  <c r="E2418" i="13" s="1"/>
  <c r="E2410" i="15" s="1"/>
  <c r="G2410" i="15" s="1"/>
  <c r="C699" i="9"/>
  <c r="D2418" i="13" s="1"/>
  <c r="B699" i="9"/>
  <c r="A699" i="9"/>
  <c r="B2418" i="13" s="1"/>
  <c r="B2410" i="15" s="1"/>
  <c r="B698" i="9"/>
  <c r="C1388" i="13" s="1"/>
  <c r="B697" i="9"/>
  <c r="C1387" i="13" s="1"/>
  <c r="B696" i="9"/>
  <c r="C1386" i="13" s="1"/>
  <c r="D695" i="9"/>
  <c r="E1385" i="13" s="1"/>
  <c r="B695" i="9"/>
  <c r="C1385" i="13" s="1"/>
  <c r="D694" i="9"/>
  <c r="E1384" i="13" s="1"/>
  <c r="B694" i="9"/>
  <c r="C1384" i="13" s="1"/>
  <c r="B693" i="9"/>
  <c r="C1383" i="13" s="1"/>
  <c r="C692" i="9"/>
  <c r="D1382" i="13" s="1"/>
  <c r="B692" i="9"/>
  <c r="C1382" i="13" s="1"/>
  <c r="D691" i="9"/>
  <c r="E1381" i="13" s="1"/>
  <c r="C691" i="9"/>
  <c r="D1381" i="13" s="1"/>
  <c r="B691" i="9"/>
  <c r="C1381" i="13" s="1"/>
  <c r="D690" i="9"/>
  <c r="E1380" i="13" s="1"/>
  <c r="B690" i="9"/>
  <c r="C1380" i="13" s="1"/>
  <c r="B689" i="9"/>
  <c r="C1379" i="13" s="1"/>
  <c r="B688" i="9"/>
  <c r="C1378" i="13" s="1"/>
  <c r="D687" i="9"/>
  <c r="E1377" i="13" s="1"/>
  <c r="B687" i="9"/>
  <c r="C1377" i="13" s="1"/>
  <c r="D686" i="9"/>
  <c r="E1376" i="13" s="1"/>
  <c r="B686" i="9"/>
  <c r="C1376" i="13" s="1"/>
  <c r="C685" i="9"/>
  <c r="D1375" i="13" s="1"/>
  <c r="B685" i="9"/>
  <c r="C1375" i="13" s="1"/>
  <c r="A685" i="9"/>
  <c r="B1375" i="13" s="1"/>
  <c r="B684" i="9"/>
  <c r="C1374" i="13" s="1"/>
  <c r="B683" i="9"/>
  <c r="C1373" i="13" s="1"/>
  <c r="D682" i="9"/>
  <c r="E1372" i="13" s="1"/>
  <c r="B682" i="9"/>
  <c r="C1372" i="13" s="1"/>
  <c r="A682" i="9"/>
  <c r="B1372" i="13" s="1"/>
  <c r="B681" i="9"/>
  <c r="C1371" i="13" s="1"/>
  <c r="A681" i="9"/>
  <c r="B1371" i="13" s="1"/>
  <c r="B680" i="9"/>
  <c r="C1370" i="13" s="1"/>
  <c r="D679" i="9"/>
  <c r="E1369" i="13" s="1"/>
  <c r="D678" i="9"/>
  <c r="E1368" i="13" s="1"/>
  <c r="D677" i="9"/>
  <c r="E1367" i="13" s="1"/>
  <c r="A677" i="9"/>
  <c r="B1367" i="13" s="1"/>
  <c r="A676" i="9"/>
  <c r="B1366" i="13" s="1"/>
  <c r="B675" i="9"/>
  <c r="C1365" i="13" s="1"/>
  <c r="A675" i="9"/>
  <c r="B1365" i="13" s="1"/>
  <c r="B674" i="9"/>
  <c r="C1364" i="13" s="1"/>
  <c r="D673" i="9"/>
  <c r="E1363" i="13" s="1"/>
  <c r="D672" i="9"/>
  <c r="E1362" i="13" s="1"/>
  <c r="A672" i="9"/>
  <c r="B1362" i="13" s="1"/>
  <c r="B671" i="9"/>
  <c r="C1361" i="13" s="1"/>
  <c r="A671" i="9"/>
  <c r="B1361" i="13" s="1"/>
  <c r="B670" i="9"/>
  <c r="C1360" i="13" s="1"/>
  <c r="B669" i="9"/>
  <c r="C1359" i="13" s="1"/>
  <c r="D668" i="9"/>
  <c r="E1358" i="13" s="1"/>
  <c r="B668" i="9"/>
  <c r="C1358" i="13" s="1"/>
  <c r="D667" i="9"/>
  <c r="E1357" i="13" s="1"/>
  <c r="B667" i="9"/>
  <c r="C1357" i="13" s="1"/>
  <c r="H666" i="9"/>
  <c r="C1407" i="13" s="1"/>
  <c r="B666" i="9"/>
  <c r="C1356" i="13" s="1"/>
  <c r="A666" i="9"/>
  <c r="B1356" i="13" s="1"/>
  <c r="H665" i="9"/>
  <c r="C1406" i="13" s="1"/>
  <c r="G665" i="9"/>
  <c r="B1406" i="13" s="1"/>
  <c r="B665" i="9"/>
  <c r="C1355" i="13" s="1"/>
  <c r="H664" i="9"/>
  <c r="C1405" i="13" s="1"/>
  <c r="B664" i="9"/>
  <c r="C1354" i="13" s="1"/>
  <c r="A664" i="9"/>
  <c r="B1354" i="13" s="1"/>
  <c r="H663" i="9"/>
  <c r="C1404" i="13" s="1"/>
  <c r="G663" i="9"/>
  <c r="B1404" i="13" s="1"/>
  <c r="B663" i="9"/>
  <c r="C1353" i="13" s="1"/>
  <c r="A663" i="9"/>
  <c r="B1353" i="13" s="1"/>
  <c r="J662" i="9"/>
  <c r="E1403" i="13" s="1"/>
  <c r="H662" i="9"/>
  <c r="C1403" i="13" s="1"/>
  <c r="G662" i="9"/>
  <c r="B1403" i="13" s="1"/>
  <c r="D662" i="9"/>
  <c r="E1352" i="13" s="1"/>
  <c r="B662" i="9"/>
  <c r="C1352" i="13" s="1"/>
  <c r="H661" i="9"/>
  <c r="C1402" i="13" s="1"/>
  <c r="G661" i="9"/>
  <c r="B1402" i="13" s="1"/>
  <c r="B661" i="9"/>
  <c r="C1351" i="13" s="1"/>
  <c r="J660" i="9"/>
  <c r="E1401" i="13" s="1"/>
  <c r="H660" i="9"/>
  <c r="C1401" i="13" s="1"/>
  <c r="G660" i="9"/>
  <c r="B1401" i="13" s="1"/>
  <c r="B660" i="9"/>
  <c r="C1350" i="13" s="1"/>
  <c r="A660" i="9"/>
  <c r="B1350" i="13" s="1"/>
  <c r="H659" i="9"/>
  <c r="C1400" i="13" s="1"/>
  <c r="G659" i="9"/>
  <c r="B1400" i="13" s="1"/>
  <c r="B659" i="9"/>
  <c r="C1349" i="13" s="1"/>
  <c r="H658" i="9"/>
  <c r="C1399" i="13" s="1"/>
  <c r="G658" i="9"/>
  <c r="B1399" i="13" s="1"/>
  <c r="D658" i="9"/>
  <c r="E1348" i="13" s="1"/>
  <c r="B658" i="9"/>
  <c r="C1348" i="13" s="1"/>
  <c r="A658" i="9"/>
  <c r="B1348" i="13" s="1"/>
  <c r="H657" i="9"/>
  <c r="C1398" i="13" s="1"/>
  <c r="G657" i="9"/>
  <c r="B1398" i="13" s="1"/>
  <c r="B657" i="9"/>
  <c r="C1347" i="13" s="1"/>
  <c r="A657" i="9"/>
  <c r="B1347" i="13" s="1"/>
  <c r="J656" i="9"/>
  <c r="E1397" i="13" s="1"/>
  <c r="H656" i="9"/>
  <c r="C1397" i="13" s="1"/>
  <c r="G656" i="9"/>
  <c r="B1397" i="13" s="1"/>
  <c r="B656" i="9"/>
  <c r="C1346" i="13" s="1"/>
  <c r="A656" i="9"/>
  <c r="B1346" i="13" s="1"/>
  <c r="E655" i="9"/>
  <c r="D655" i="9"/>
  <c r="E1345" i="13" s="1"/>
  <c r="C655" i="9"/>
  <c r="D1345" i="13" s="1"/>
  <c r="A655" i="9"/>
  <c r="B1345" i="13" s="1"/>
  <c r="A654" i="9"/>
  <c r="B1344" i="13" s="1"/>
  <c r="H653" i="9"/>
  <c r="C1396" i="13" s="1"/>
  <c r="G653" i="9"/>
  <c r="B1396" i="13" s="1"/>
  <c r="A653" i="9"/>
  <c r="B1343" i="13" s="1"/>
  <c r="H652" i="9"/>
  <c r="C1395" i="13" s="1"/>
  <c r="D652" i="9"/>
  <c r="E1342" i="13" s="1"/>
  <c r="B652" i="9"/>
  <c r="C1342" i="13" s="1"/>
  <c r="A652" i="9"/>
  <c r="B1342" i="13" s="1"/>
  <c r="H651" i="9"/>
  <c r="C1394" i="13" s="1"/>
  <c r="G651" i="9"/>
  <c r="B1394" i="13" s="1"/>
  <c r="B651" i="9"/>
  <c r="C1341" i="13" s="1"/>
  <c r="A651" i="9"/>
  <c r="B1341" i="13" s="1"/>
  <c r="H650" i="9"/>
  <c r="C1393" i="13" s="1"/>
  <c r="G650" i="9"/>
  <c r="B1393" i="13" s="1"/>
  <c r="B650" i="9"/>
  <c r="C1340" i="13" s="1"/>
  <c r="A650" i="9"/>
  <c r="B1340" i="13" s="1"/>
  <c r="H649" i="9"/>
  <c r="C1392" i="13" s="1"/>
  <c r="G649" i="9"/>
  <c r="B1392" i="13" s="1"/>
  <c r="B649" i="9"/>
  <c r="C1339" i="13" s="1"/>
  <c r="A649" i="9"/>
  <c r="B1339" i="13" s="1"/>
  <c r="H648" i="9"/>
  <c r="C1391" i="13" s="1"/>
  <c r="G648" i="9"/>
  <c r="B1391" i="13" s="1"/>
  <c r="D648" i="9"/>
  <c r="E1338" i="13" s="1"/>
  <c r="B648" i="9"/>
  <c r="C1338" i="13" s="1"/>
  <c r="D647" i="9"/>
  <c r="E1337" i="13" s="1"/>
  <c r="B647" i="9"/>
  <c r="C1337" i="13" s="1"/>
  <c r="A647" i="9"/>
  <c r="B1337" i="13" s="1"/>
  <c r="C645" i="9"/>
  <c r="C693" i="9" s="1"/>
  <c r="C644" i="9"/>
  <c r="C643" i="9"/>
  <c r="C636" i="9"/>
  <c r="C635" i="9"/>
  <c r="C634" i="9"/>
  <c r="H632" i="9"/>
  <c r="G632" i="9"/>
  <c r="E623" i="9"/>
  <c r="D623" i="9"/>
  <c r="E2460" i="13" s="1"/>
  <c r="E2452" i="15" s="1"/>
  <c r="G2452" i="15" s="1"/>
  <c r="C623" i="9"/>
  <c r="D2460" i="13" s="1"/>
  <c r="B623" i="9"/>
  <c r="C2460" i="13" s="1"/>
  <c r="C2452" i="15" s="1"/>
  <c r="A623" i="9"/>
  <c r="B2460" i="13" s="1"/>
  <c r="B2452" i="15" s="1"/>
  <c r="C622" i="9"/>
  <c r="D2402" i="13" s="1"/>
  <c r="B622" i="9"/>
  <c r="A622" i="9"/>
  <c r="B2402" i="13" s="1"/>
  <c r="B2395" i="15" s="1"/>
  <c r="D621" i="9"/>
  <c r="E2401" i="13" s="1"/>
  <c r="E2394" i="15" s="1"/>
  <c r="G2394" i="15" s="1"/>
  <c r="C621" i="9"/>
  <c r="D2401" i="13" s="1"/>
  <c r="B621" i="9"/>
  <c r="A621" i="9"/>
  <c r="B2401" i="13" s="1"/>
  <c r="B2394" i="15" s="1"/>
  <c r="D620" i="9"/>
  <c r="E1796" i="13" s="1"/>
  <c r="A620" i="9"/>
  <c r="B1796" i="13" s="1"/>
  <c r="D619" i="9"/>
  <c r="E1795" i="13" s="1"/>
  <c r="A619" i="9"/>
  <c r="B1795" i="13" s="1"/>
  <c r="D618" i="9"/>
  <c r="E1794" i="13" s="1"/>
  <c r="A618" i="9"/>
  <c r="B1794" i="13" s="1"/>
  <c r="D617" i="9"/>
  <c r="E1793" i="13" s="1"/>
  <c r="A617" i="9"/>
  <c r="B1793" i="13" s="1"/>
  <c r="D616" i="9"/>
  <c r="E1792" i="13" s="1"/>
  <c r="A616" i="9"/>
  <c r="B1792" i="13" s="1"/>
  <c r="D615" i="9"/>
  <c r="E1791" i="13" s="1"/>
  <c r="A615" i="9"/>
  <c r="B1791" i="13" s="1"/>
  <c r="D614" i="9"/>
  <c r="E1790" i="13" s="1"/>
  <c r="A614" i="9"/>
  <c r="B1790" i="13" s="1"/>
  <c r="D613" i="9"/>
  <c r="E1789" i="13" s="1"/>
  <c r="C613" i="9"/>
  <c r="D1789" i="13" s="1"/>
  <c r="A613" i="9"/>
  <c r="B1789" i="13" s="1"/>
  <c r="D612" i="9"/>
  <c r="E1788" i="13" s="1"/>
  <c r="A612" i="9"/>
  <c r="B1788" i="13" s="1"/>
  <c r="D611" i="9"/>
  <c r="E1787" i="13" s="1"/>
  <c r="A611" i="9"/>
  <c r="B1787" i="13" s="1"/>
  <c r="D610" i="9"/>
  <c r="E1786" i="13" s="1"/>
  <c r="A610" i="9"/>
  <c r="B1786" i="13" s="1"/>
  <c r="D609" i="9"/>
  <c r="E1785" i="13" s="1"/>
  <c r="A609" i="9"/>
  <c r="B1785" i="13" s="1"/>
  <c r="D608" i="9"/>
  <c r="E1784" i="13" s="1"/>
  <c r="A608" i="9"/>
  <c r="B1784" i="13" s="1"/>
  <c r="D607" i="9"/>
  <c r="E1783" i="13" s="1"/>
  <c r="A607" i="9"/>
  <c r="B1783" i="13" s="1"/>
  <c r="D606" i="9"/>
  <c r="E1782" i="13" s="1"/>
  <c r="B606" i="9"/>
  <c r="C1782" i="13" s="1"/>
  <c r="A606" i="9"/>
  <c r="B1782" i="13" s="1"/>
  <c r="D605" i="9"/>
  <c r="E1781" i="13" s="1"/>
  <c r="B605" i="9"/>
  <c r="C1781" i="13" s="1"/>
  <c r="A605" i="9"/>
  <c r="B1781" i="13" s="1"/>
  <c r="D604" i="9"/>
  <c r="E1780" i="13" s="1"/>
  <c r="B604" i="9"/>
  <c r="C1780" i="13" s="1"/>
  <c r="A604" i="9"/>
  <c r="B1780" i="13" s="1"/>
  <c r="D603" i="9"/>
  <c r="E1779" i="13" s="1"/>
  <c r="B603" i="9"/>
  <c r="C1779" i="13" s="1"/>
  <c r="A603" i="9"/>
  <c r="B1779" i="13" s="1"/>
  <c r="D602" i="9"/>
  <c r="E1778" i="13" s="1"/>
  <c r="B602" i="9"/>
  <c r="C1778" i="13" s="1"/>
  <c r="A602" i="9"/>
  <c r="B1778" i="13" s="1"/>
  <c r="D601" i="9"/>
  <c r="E1777" i="13" s="1"/>
  <c r="B601" i="9"/>
  <c r="C1777" i="13" s="1"/>
  <c r="A601" i="9"/>
  <c r="B1777" i="13" s="1"/>
  <c r="D600" i="9"/>
  <c r="E1776" i="13" s="1"/>
  <c r="B600" i="9"/>
  <c r="C1776" i="13" s="1"/>
  <c r="A600" i="9"/>
  <c r="B1776" i="13" s="1"/>
  <c r="D599" i="9"/>
  <c r="E1775" i="13" s="1"/>
  <c r="B599" i="9"/>
  <c r="C1775" i="13" s="1"/>
  <c r="A599" i="9"/>
  <c r="B1775" i="13" s="1"/>
  <c r="D598" i="9"/>
  <c r="E1774" i="13" s="1"/>
  <c r="B598" i="9"/>
  <c r="C1774" i="13" s="1"/>
  <c r="A598" i="9"/>
  <c r="B1774" i="13" s="1"/>
  <c r="D597" i="9"/>
  <c r="E1773" i="13" s="1"/>
  <c r="B597" i="9"/>
  <c r="C1773" i="13" s="1"/>
  <c r="A597" i="9"/>
  <c r="B1773" i="13" s="1"/>
  <c r="D596" i="9"/>
  <c r="E1772" i="13" s="1"/>
  <c r="A596" i="9"/>
  <c r="B1772" i="13" s="1"/>
  <c r="D595" i="9"/>
  <c r="E1771" i="13" s="1"/>
  <c r="B595" i="9"/>
  <c r="C1771" i="13" s="1"/>
  <c r="A595" i="9"/>
  <c r="B1771" i="13" s="1"/>
  <c r="D594" i="9"/>
  <c r="E1770" i="13" s="1"/>
  <c r="B594" i="9"/>
  <c r="C1770" i="13" s="1"/>
  <c r="A594" i="9"/>
  <c r="B1770" i="13" s="1"/>
  <c r="E593" i="9"/>
  <c r="D593" i="9"/>
  <c r="E1769" i="13" s="1"/>
  <c r="B593" i="9"/>
  <c r="C1769" i="13" s="1"/>
  <c r="A593" i="9"/>
  <c r="B1769" i="13" s="1"/>
  <c r="D592" i="9"/>
  <c r="E1768" i="13" s="1"/>
  <c r="B592" i="9"/>
  <c r="C1768" i="13" s="1"/>
  <c r="A592" i="9"/>
  <c r="B1768" i="13" s="1"/>
  <c r="D591" i="9"/>
  <c r="E1767" i="13" s="1"/>
  <c r="B591" i="9"/>
  <c r="C1767" i="13" s="1"/>
  <c r="A591" i="9"/>
  <c r="B1767" i="13" s="1"/>
  <c r="K590" i="9"/>
  <c r="E1813" i="13" s="1"/>
  <c r="G590" i="9"/>
  <c r="B1813" i="13" s="1"/>
  <c r="D590" i="9"/>
  <c r="E1766" i="13" s="1"/>
  <c r="B590" i="9"/>
  <c r="C1766" i="13" s="1"/>
  <c r="A590" i="9"/>
  <c r="B1766" i="13" s="1"/>
  <c r="K589" i="9"/>
  <c r="E1812" i="13" s="1"/>
  <c r="G589" i="9"/>
  <c r="B1812" i="13" s="1"/>
  <c r="D589" i="9"/>
  <c r="E1765" i="13" s="1"/>
  <c r="B589" i="9"/>
  <c r="C1765" i="13" s="1"/>
  <c r="A589" i="9"/>
  <c r="B1765" i="13" s="1"/>
  <c r="K588" i="9"/>
  <c r="E1811" i="13" s="1"/>
  <c r="G588" i="9"/>
  <c r="B1811" i="13" s="1"/>
  <c r="D588" i="9"/>
  <c r="E1764" i="13" s="1"/>
  <c r="K587" i="9"/>
  <c r="E1810" i="13" s="1"/>
  <c r="G587" i="9"/>
  <c r="B1810" i="13" s="1"/>
  <c r="D587" i="9"/>
  <c r="E1763" i="13" s="1"/>
  <c r="A587" i="9"/>
  <c r="B1763" i="13" s="1"/>
  <c r="K586" i="9"/>
  <c r="E1809" i="13" s="1"/>
  <c r="G586" i="9"/>
  <c r="B1809" i="13" s="1"/>
  <c r="D586" i="9"/>
  <c r="E1762" i="13" s="1"/>
  <c r="A586" i="9"/>
  <c r="B1762" i="13" s="1"/>
  <c r="K585" i="9"/>
  <c r="E1808" i="13" s="1"/>
  <c r="G585" i="9"/>
  <c r="B1808" i="13" s="1"/>
  <c r="D585" i="9"/>
  <c r="E1761" i="13" s="1"/>
  <c r="A585" i="9"/>
  <c r="B1761" i="13" s="1"/>
  <c r="K584" i="9"/>
  <c r="E1807" i="13" s="1"/>
  <c r="G584" i="9"/>
  <c r="B1807" i="13" s="1"/>
  <c r="D584" i="9"/>
  <c r="E1760" i="13" s="1"/>
  <c r="A584" i="9"/>
  <c r="B1760" i="13" s="1"/>
  <c r="K583" i="9"/>
  <c r="E1806" i="13" s="1"/>
  <c r="G583" i="9"/>
  <c r="B1806" i="13" s="1"/>
  <c r="D583" i="9"/>
  <c r="E1759" i="13" s="1"/>
  <c r="K582" i="9"/>
  <c r="E1805" i="13" s="1"/>
  <c r="G582" i="9"/>
  <c r="B1805" i="13" s="1"/>
  <c r="A582" i="9"/>
  <c r="B1758" i="13" s="1"/>
  <c r="K581" i="9"/>
  <c r="E1804" i="13" s="1"/>
  <c r="G581" i="9"/>
  <c r="B1804" i="13" s="1"/>
  <c r="A581" i="9"/>
  <c r="B1757" i="13" s="1"/>
  <c r="K580" i="9"/>
  <c r="E1803" i="13" s="1"/>
  <c r="G580" i="9"/>
  <c r="B1803" i="13" s="1"/>
  <c r="A580" i="9"/>
  <c r="B1756" i="13" s="1"/>
  <c r="K579" i="9"/>
  <c r="E1802" i="13" s="1"/>
  <c r="G579" i="9"/>
  <c r="B1802" i="13" s="1"/>
  <c r="A579" i="9"/>
  <c r="B1755" i="13" s="1"/>
  <c r="K578" i="9"/>
  <c r="E1801" i="13" s="1"/>
  <c r="G578" i="9"/>
  <c r="B1801" i="13" s="1"/>
  <c r="A578" i="9"/>
  <c r="B1754" i="13" s="1"/>
  <c r="K577" i="9"/>
  <c r="E1800" i="13" s="1"/>
  <c r="G577" i="9"/>
  <c r="B1800" i="13" s="1"/>
  <c r="A577" i="9"/>
  <c r="B1753" i="13" s="1"/>
  <c r="K576" i="9"/>
  <c r="E1799" i="13" s="1"/>
  <c r="G576" i="9"/>
  <c r="B1799" i="13" s="1"/>
  <c r="D576" i="9"/>
  <c r="E1752" i="13" s="1"/>
  <c r="A576" i="9"/>
  <c r="B1752" i="13" s="1"/>
  <c r="A575" i="9"/>
  <c r="B1751" i="13" s="1"/>
  <c r="E565" i="9"/>
  <c r="E564" i="9"/>
  <c r="C564" i="9"/>
  <c r="C563" i="9"/>
  <c r="C562" i="9"/>
  <c r="H558" i="9"/>
  <c r="G558" i="9"/>
  <c r="E550" i="9"/>
  <c r="D550" i="9"/>
  <c r="E2464" i="13" s="1"/>
  <c r="E2456" i="15" s="1"/>
  <c r="G2456" i="15" s="1"/>
  <c r="C550" i="9"/>
  <c r="D2464" i="13" s="1"/>
  <c r="B550" i="9"/>
  <c r="C2464" i="13" s="1"/>
  <c r="C2456" i="15" s="1"/>
  <c r="A550" i="9"/>
  <c r="B2464" i="13" s="1"/>
  <c r="B2456" i="15" s="1"/>
  <c r="C549" i="9"/>
  <c r="D2398" i="13" s="1"/>
  <c r="B549" i="9"/>
  <c r="A549" i="9"/>
  <c r="B2398" i="13" s="1"/>
  <c r="B2391" i="15" s="1"/>
  <c r="D548" i="9"/>
  <c r="E2397" i="13" s="1"/>
  <c r="E2390" i="15" s="1"/>
  <c r="G2390" i="15" s="1"/>
  <c r="C548" i="9"/>
  <c r="D2397" i="13" s="1"/>
  <c r="B548" i="9"/>
  <c r="A548" i="9"/>
  <c r="B2397" i="13" s="1"/>
  <c r="B2390" i="15" s="1"/>
  <c r="D547" i="9"/>
  <c r="E1663" i="13" s="1"/>
  <c r="A547" i="9"/>
  <c r="B1663" i="13" s="1"/>
  <c r="D546" i="9"/>
  <c r="E1662" i="13" s="1"/>
  <c r="A546" i="9"/>
  <c r="B1662" i="13" s="1"/>
  <c r="D545" i="9"/>
  <c r="E1661" i="13" s="1"/>
  <c r="A545" i="9"/>
  <c r="B1661" i="13" s="1"/>
  <c r="D544" i="9"/>
  <c r="E1660" i="13" s="1"/>
  <c r="A544" i="9"/>
  <c r="B1660" i="13" s="1"/>
  <c r="D543" i="9"/>
  <c r="E1659" i="13" s="1"/>
  <c r="A543" i="9"/>
  <c r="B1659" i="13" s="1"/>
  <c r="D542" i="9"/>
  <c r="E1658" i="13" s="1"/>
  <c r="A542" i="9"/>
  <c r="B1658" i="13" s="1"/>
  <c r="D541" i="9"/>
  <c r="E1657" i="13" s="1"/>
  <c r="A541" i="9"/>
  <c r="B1657" i="13" s="1"/>
  <c r="D540" i="9"/>
  <c r="E1656" i="13" s="1"/>
  <c r="B540" i="9"/>
  <c r="C1656" i="13" s="1"/>
  <c r="A540" i="9"/>
  <c r="B1656" i="13" s="1"/>
  <c r="D539" i="9"/>
  <c r="E1655" i="13" s="1"/>
  <c r="B539" i="9"/>
  <c r="C1655" i="13" s="1"/>
  <c r="A539" i="9"/>
  <c r="B1655" i="13" s="1"/>
  <c r="D538" i="9"/>
  <c r="E1654" i="13" s="1"/>
  <c r="B538" i="9"/>
  <c r="C1654" i="13" s="1"/>
  <c r="A538" i="9"/>
  <c r="B1654" i="13" s="1"/>
  <c r="D537" i="9"/>
  <c r="E1653" i="13" s="1"/>
  <c r="B537" i="9"/>
  <c r="C1653" i="13" s="1"/>
  <c r="A537" i="9"/>
  <c r="B1653" i="13" s="1"/>
  <c r="D536" i="9"/>
  <c r="E1652" i="13" s="1"/>
  <c r="B536" i="9"/>
  <c r="C1652" i="13" s="1"/>
  <c r="A536" i="9"/>
  <c r="B1652" i="13" s="1"/>
  <c r="D535" i="9"/>
  <c r="E1651" i="13" s="1"/>
  <c r="B535" i="9"/>
  <c r="C1651" i="13" s="1"/>
  <c r="A535" i="9"/>
  <c r="B1651" i="13" s="1"/>
  <c r="E534" i="9"/>
  <c r="D534" i="9"/>
  <c r="E1650" i="13" s="1"/>
  <c r="B534" i="9"/>
  <c r="C1650" i="13" s="1"/>
  <c r="A534" i="9"/>
  <c r="B1650" i="13" s="1"/>
  <c r="D533" i="9"/>
  <c r="E1649" i="13" s="1"/>
  <c r="B533" i="9"/>
  <c r="C1649" i="13" s="1"/>
  <c r="A533" i="9"/>
  <c r="B1649" i="13" s="1"/>
  <c r="E532" i="9"/>
  <c r="D532" i="9"/>
  <c r="E1648" i="13" s="1"/>
  <c r="B532" i="9"/>
  <c r="C1648" i="13" s="1"/>
  <c r="A532" i="9"/>
  <c r="B1648" i="13" s="1"/>
  <c r="D531" i="9"/>
  <c r="E1647" i="13" s="1"/>
  <c r="B531" i="9"/>
  <c r="C1647" i="13" s="1"/>
  <c r="A531" i="9"/>
  <c r="B1647" i="13" s="1"/>
  <c r="A530" i="9"/>
  <c r="B1646" i="13" s="1"/>
  <c r="D529" i="9"/>
  <c r="E1645" i="13" s="1"/>
  <c r="B529" i="9"/>
  <c r="C1645" i="13" s="1"/>
  <c r="A529" i="9"/>
  <c r="B1645" i="13" s="1"/>
  <c r="D528" i="9"/>
  <c r="E1644" i="13" s="1"/>
  <c r="B528" i="9"/>
  <c r="C1644" i="13" s="1"/>
  <c r="A528" i="9"/>
  <c r="B1644" i="13" s="1"/>
  <c r="D527" i="9"/>
  <c r="E1643" i="13" s="1"/>
  <c r="B527" i="9"/>
  <c r="C1643" i="13" s="1"/>
  <c r="A527" i="9"/>
  <c r="B1643" i="13" s="1"/>
  <c r="D526" i="9"/>
  <c r="E1642" i="13" s="1"/>
  <c r="B526" i="9"/>
  <c r="C1642" i="13" s="1"/>
  <c r="A526" i="9"/>
  <c r="B1642" i="13" s="1"/>
  <c r="D525" i="9"/>
  <c r="E1641" i="13" s="1"/>
  <c r="B525" i="9"/>
  <c r="C1641" i="13" s="1"/>
  <c r="A525" i="9"/>
  <c r="B1641" i="13" s="1"/>
  <c r="D524" i="9"/>
  <c r="E1640" i="13" s="1"/>
  <c r="B524" i="9"/>
  <c r="C1640" i="13" s="1"/>
  <c r="A524" i="9"/>
  <c r="B1640" i="13" s="1"/>
  <c r="D523" i="9"/>
  <c r="E1639" i="13" s="1"/>
  <c r="B523" i="9"/>
  <c r="C1639" i="13" s="1"/>
  <c r="A523" i="9"/>
  <c r="B1639" i="13" s="1"/>
  <c r="D522" i="9"/>
  <c r="E1638" i="13" s="1"/>
  <c r="D521" i="9"/>
  <c r="E1637" i="13" s="1"/>
  <c r="A521" i="9"/>
  <c r="B1637" i="13" s="1"/>
  <c r="K520" i="9"/>
  <c r="E1678" i="13" s="1"/>
  <c r="G520" i="9"/>
  <c r="B1678" i="13" s="1"/>
  <c r="D520" i="9"/>
  <c r="E1636" i="13" s="1"/>
  <c r="A520" i="9"/>
  <c r="B1636" i="13" s="1"/>
  <c r="K519" i="9"/>
  <c r="E1677" i="13" s="1"/>
  <c r="G519" i="9"/>
  <c r="B1677" i="13" s="1"/>
  <c r="D519" i="9"/>
  <c r="E1635" i="13" s="1"/>
  <c r="A519" i="9"/>
  <c r="B1635" i="13" s="1"/>
  <c r="K518" i="9"/>
  <c r="E1676" i="13" s="1"/>
  <c r="G518" i="9"/>
  <c r="B1676" i="13" s="1"/>
  <c r="D518" i="9"/>
  <c r="E1634" i="13" s="1"/>
  <c r="A518" i="9"/>
  <c r="B1634" i="13" s="1"/>
  <c r="K517" i="9"/>
  <c r="E1675" i="13" s="1"/>
  <c r="G517" i="9"/>
  <c r="B1675" i="13" s="1"/>
  <c r="D517" i="9"/>
  <c r="E1633" i="13" s="1"/>
  <c r="A517" i="9"/>
  <c r="B1633" i="13" s="1"/>
  <c r="K516" i="9"/>
  <c r="E1674" i="13" s="1"/>
  <c r="G516" i="9"/>
  <c r="B1674" i="13" s="1"/>
  <c r="D516" i="9"/>
  <c r="E1632" i="13" s="1"/>
  <c r="A516" i="9"/>
  <c r="B1632" i="13" s="1"/>
  <c r="K515" i="9"/>
  <c r="E1673" i="13" s="1"/>
  <c r="G515" i="9"/>
  <c r="B1673" i="13" s="1"/>
  <c r="D515" i="9"/>
  <c r="E1631" i="13" s="1"/>
  <c r="A515" i="9"/>
  <c r="B1631" i="13" s="1"/>
  <c r="K514" i="9"/>
  <c r="E1672" i="13" s="1"/>
  <c r="G514" i="9"/>
  <c r="B1672" i="13" s="1"/>
  <c r="D514" i="9"/>
  <c r="E1630" i="13" s="1"/>
  <c r="A514" i="9"/>
  <c r="B1630" i="13" s="1"/>
  <c r="K513" i="9"/>
  <c r="E1671" i="13" s="1"/>
  <c r="G513" i="9"/>
  <c r="B1671" i="13" s="1"/>
  <c r="D513" i="9"/>
  <c r="E1629" i="13" s="1"/>
  <c r="A513" i="9"/>
  <c r="B1629" i="13" s="1"/>
  <c r="K512" i="9"/>
  <c r="E1670" i="13" s="1"/>
  <c r="G512" i="9"/>
  <c r="B1670" i="13" s="1"/>
  <c r="D512" i="9"/>
  <c r="E1628" i="13" s="1"/>
  <c r="A512" i="9"/>
  <c r="B1628" i="13" s="1"/>
  <c r="K511" i="9"/>
  <c r="E1669" i="13" s="1"/>
  <c r="G511" i="9"/>
  <c r="B1669" i="13" s="1"/>
  <c r="D511" i="9"/>
  <c r="E1627" i="13" s="1"/>
  <c r="A511" i="9"/>
  <c r="B1627" i="13" s="1"/>
  <c r="K510" i="9"/>
  <c r="E1668" i="13" s="1"/>
  <c r="G510" i="9"/>
  <c r="B1668" i="13" s="1"/>
  <c r="D510" i="9"/>
  <c r="E1626" i="13" s="1"/>
  <c r="K509" i="9"/>
  <c r="E1667" i="13" s="1"/>
  <c r="G509" i="9"/>
  <c r="B1667" i="13" s="1"/>
  <c r="K508" i="9"/>
  <c r="E1666" i="13" s="1"/>
  <c r="G508" i="9"/>
  <c r="B1666" i="13" s="1"/>
  <c r="A508" i="9"/>
  <c r="C501" i="9"/>
  <c r="C500" i="9"/>
  <c r="C496" i="9"/>
  <c r="C495" i="9"/>
  <c r="C494" i="9"/>
  <c r="H493" i="9"/>
  <c r="G492" i="9"/>
  <c r="D483" i="9"/>
  <c r="E2463" i="13" s="1"/>
  <c r="E2455" i="15" s="1"/>
  <c r="G2455" i="15" s="1"/>
  <c r="C483" i="9"/>
  <c r="D2463" i="13" s="1"/>
  <c r="B483" i="9"/>
  <c r="C2463" i="13" s="1"/>
  <c r="C2455" i="15" s="1"/>
  <c r="A483" i="9"/>
  <c r="B2463" i="13" s="1"/>
  <c r="B2455" i="15" s="1"/>
  <c r="D482" i="9"/>
  <c r="E2396" i="13" s="1"/>
  <c r="E2389" i="15" s="1"/>
  <c r="G2389" i="15" s="1"/>
  <c r="C482" i="9"/>
  <c r="B482" i="9"/>
  <c r="A482" i="9"/>
  <c r="B2396" i="13" s="1"/>
  <c r="B2389" i="15" s="1"/>
  <c r="D481" i="9"/>
  <c r="C481" i="9"/>
  <c r="D2395" i="13" s="1"/>
  <c r="B481" i="9"/>
  <c r="A481" i="9"/>
  <c r="B2395" i="13" s="1"/>
  <c r="B2388" i="15" s="1"/>
  <c r="D480" i="9"/>
  <c r="E1600" i="13" s="1"/>
  <c r="A480" i="9"/>
  <c r="B1600" i="13" s="1"/>
  <c r="D479" i="9"/>
  <c r="E1599" i="13" s="1"/>
  <c r="A479" i="9"/>
  <c r="B1599" i="13" s="1"/>
  <c r="D478" i="9"/>
  <c r="E1598" i="13" s="1"/>
  <c r="A478" i="9"/>
  <c r="B1598" i="13" s="1"/>
  <c r="D477" i="9"/>
  <c r="E1597" i="13" s="1"/>
  <c r="A477" i="9"/>
  <c r="B1597" i="13" s="1"/>
  <c r="D476" i="9"/>
  <c r="E1596" i="13" s="1"/>
  <c r="A476" i="9"/>
  <c r="B1596" i="13" s="1"/>
  <c r="D475" i="9"/>
  <c r="E1595" i="13" s="1"/>
  <c r="A475" i="9"/>
  <c r="B1595" i="13" s="1"/>
  <c r="D474" i="9"/>
  <c r="E1594" i="13" s="1"/>
  <c r="A474" i="9"/>
  <c r="B1594" i="13" s="1"/>
  <c r="D473" i="9"/>
  <c r="E1593" i="13" s="1"/>
  <c r="A473" i="9"/>
  <c r="B1593" i="13" s="1"/>
  <c r="D472" i="9"/>
  <c r="E1592" i="13" s="1"/>
  <c r="A472" i="9"/>
  <c r="B1592" i="13" s="1"/>
  <c r="E471" i="9"/>
  <c r="D471" i="9"/>
  <c r="E1591" i="13" s="1"/>
  <c r="A471" i="9"/>
  <c r="B1591" i="13" s="1"/>
  <c r="D470" i="9"/>
  <c r="A470" i="9"/>
  <c r="B1590" i="13" s="1"/>
  <c r="D469" i="9"/>
  <c r="E1589" i="13" s="1"/>
  <c r="A469" i="9"/>
  <c r="B1589" i="13" s="1"/>
  <c r="D468" i="9"/>
  <c r="E1588" i="13" s="1"/>
  <c r="A468" i="9"/>
  <c r="B1588" i="13" s="1"/>
  <c r="D467" i="9"/>
  <c r="E1587" i="13" s="1"/>
  <c r="A467" i="9"/>
  <c r="B1587" i="13" s="1"/>
  <c r="D466" i="9"/>
  <c r="E1586" i="13" s="1"/>
  <c r="A466" i="9"/>
  <c r="B1586" i="13" s="1"/>
  <c r="E465" i="9"/>
  <c r="D465" i="9"/>
  <c r="E1585" i="13" s="1"/>
  <c r="A465" i="9"/>
  <c r="B1585" i="13" s="1"/>
  <c r="D464" i="9"/>
  <c r="E1584" i="13" s="1"/>
  <c r="A464" i="9"/>
  <c r="B1584" i="13" s="1"/>
  <c r="D463" i="9"/>
  <c r="E1583" i="13" s="1"/>
  <c r="B463" i="9"/>
  <c r="C1583" i="13" s="1"/>
  <c r="A463" i="9"/>
  <c r="B1583" i="13" s="1"/>
  <c r="D462" i="9"/>
  <c r="E1582" i="13" s="1"/>
  <c r="B462" i="9"/>
  <c r="C1582" i="13" s="1"/>
  <c r="A462" i="9"/>
  <c r="B1582" i="13" s="1"/>
  <c r="D461" i="9"/>
  <c r="E1581" i="13" s="1"/>
  <c r="B461" i="9"/>
  <c r="C1581" i="13" s="1"/>
  <c r="A461" i="9"/>
  <c r="B1581" i="13" s="1"/>
  <c r="D460" i="9"/>
  <c r="B460" i="9"/>
  <c r="C1580" i="13" s="1"/>
  <c r="A460" i="9"/>
  <c r="B1580" i="13" s="1"/>
  <c r="D459" i="9"/>
  <c r="E1579" i="13" s="1"/>
  <c r="B459" i="9"/>
  <c r="C1579" i="13" s="1"/>
  <c r="A459" i="9"/>
  <c r="B1579" i="13" s="1"/>
  <c r="E458" i="9"/>
  <c r="D458" i="9"/>
  <c r="E1578" i="13" s="1"/>
  <c r="B458" i="9"/>
  <c r="C1578" i="13" s="1"/>
  <c r="A458" i="9"/>
  <c r="B1578" i="13" s="1"/>
  <c r="D457" i="9"/>
  <c r="E1577" i="13" s="1"/>
  <c r="B457" i="9"/>
  <c r="C1577" i="13" s="1"/>
  <c r="A457" i="9"/>
  <c r="B1577" i="13" s="1"/>
  <c r="D456" i="9"/>
  <c r="E1576" i="13" s="1"/>
  <c r="B456" i="9"/>
  <c r="C1576" i="13" s="1"/>
  <c r="A456" i="9"/>
  <c r="B1576" i="13" s="1"/>
  <c r="D455" i="9"/>
  <c r="E1575" i="13" s="1"/>
  <c r="B455" i="9"/>
  <c r="C1575" i="13" s="1"/>
  <c r="A455" i="9"/>
  <c r="B1575" i="13" s="1"/>
  <c r="D454" i="9"/>
  <c r="E1574" i="13" s="1"/>
  <c r="B454" i="9"/>
  <c r="C1574" i="13" s="1"/>
  <c r="A454" i="9"/>
  <c r="B1574" i="13" s="1"/>
  <c r="A453" i="9"/>
  <c r="B1573" i="13" s="1"/>
  <c r="D452" i="9"/>
  <c r="E1572" i="13" s="1"/>
  <c r="B452" i="9"/>
  <c r="C1572" i="13" s="1"/>
  <c r="A452" i="9"/>
  <c r="B1572" i="13" s="1"/>
  <c r="E451" i="9"/>
  <c r="D451" i="9"/>
  <c r="E1571" i="13" s="1"/>
  <c r="B451" i="9"/>
  <c r="C1571" i="13" s="1"/>
  <c r="A451" i="9"/>
  <c r="B1571" i="13" s="1"/>
  <c r="E450" i="9"/>
  <c r="D450" i="9"/>
  <c r="E1570" i="13" s="1"/>
  <c r="B450" i="9"/>
  <c r="C1570" i="13" s="1"/>
  <c r="A450" i="9"/>
  <c r="B1570" i="13" s="1"/>
  <c r="K449" i="9"/>
  <c r="E1620" i="13" s="1"/>
  <c r="G449" i="9"/>
  <c r="B1620" i="13" s="1"/>
  <c r="D449" i="9"/>
  <c r="E1569" i="13" s="1"/>
  <c r="B449" i="9"/>
  <c r="C1569" i="13" s="1"/>
  <c r="A449" i="9"/>
  <c r="B1569" i="13" s="1"/>
  <c r="K448" i="9"/>
  <c r="E1619" i="13" s="1"/>
  <c r="G448" i="9"/>
  <c r="B1619" i="13" s="1"/>
  <c r="D448" i="9"/>
  <c r="E1568" i="13" s="1"/>
  <c r="B448" i="9"/>
  <c r="C1568" i="13" s="1"/>
  <c r="A448" i="9"/>
  <c r="B1568" i="13" s="1"/>
  <c r="K447" i="9"/>
  <c r="E1618" i="13" s="1"/>
  <c r="G447" i="9"/>
  <c r="B1618" i="13" s="1"/>
  <c r="D447" i="9"/>
  <c r="E1567" i="13" s="1"/>
  <c r="B447" i="9"/>
  <c r="C1567" i="13" s="1"/>
  <c r="A447" i="9"/>
  <c r="B1567" i="13" s="1"/>
  <c r="K446" i="9"/>
  <c r="E1617" i="13" s="1"/>
  <c r="G446" i="9"/>
  <c r="B1617" i="13" s="1"/>
  <c r="D446" i="9"/>
  <c r="E1566" i="13" s="1"/>
  <c r="B446" i="9"/>
  <c r="C1566" i="13" s="1"/>
  <c r="A446" i="9"/>
  <c r="B1566" i="13" s="1"/>
  <c r="K445" i="9"/>
  <c r="E1616" i="13" s="1"/>
  <c r="D445" i="9"/>
  <c r="E1565" i="13" s="1"/>
  <c r="K444" i="9"/>
  <c r="E1615" i="13" s="1"/>
  <c r="D444" i="9"/>
  <c r="E1564" i="13" s="1"/>
  <c r="A444" i="9"/>
  <c r="B1564" i="13" s="1"/>
  <c r="K443" i="9"/>
  <c r="E1614" i="13" s="1"/>
  <c r="D443" i="9"/>
  <c r="E1563" i="13" s="1"/>
  <c r="A443" i="9"/>
  <c r="B1563" i="13" s="1"/>
  <c r="K442" i="9"/>
  <c r="E1613" i="13" s="1"/>
  <c r="D442" i="9"/>
  <c r="E1562" i="13" s="1"/>
  <c r="A442" i="9"/>
  <c r="B1562" i="13" s="1"/>
  <c r="K441" i="9"/>
  <c r="E1612" i="13" s="1"/>
  <c r="D441" i="9"/>
  <c r="E1561" i="13" s="1"/>
  <c r="K440" i="9"/>
  <c r="E1611" i="13" s="1"/>
  <c r="A440" i="9"/>
  <c r="B1560" i="13" s="1"/>
  <c r="K439" i="9"/>
  <c r="E1610" i="13" s="1"/>
  <c r="G439" i="9"/>
  <c r="B1610" i="13" s="1"/>
  <c r="A439" i="9"/>
  <c r="B1559" i="13" s="1"/>
  <c r="K438" i="9"/>
  <c r="E1609" i="13" s="1"/>
  <c r="A438" i="9"/>
  <c r="B1558" i="13" s="1"/>
  <c r="K437" i="9"/>
  <c r="E1608" i="13" s="1"/>
  <c r="D437" i="9"/>
  <c r="E1557" i="13" s="1"/>
  <c r="A437" i="9"/>
  <c r="B1557" i="13" s="1"/>
  <c r="K436" i="9"/>
  <c r="E1607" i="13" s="1"/>
  <c r="A436" i="9"/>
  <c r="K435" i="9"/>
  <c r="E1606" i="13" s="1"/>
  <c r="K434" i="9"/>
  <c r="E1605" i="13" s="1"/>
  <c r="K433" i="9"/>
  <c r="E1604" i="13" s="1"/>
  <c r="A433" i="9"/>
  <c r="B1553" i="13" s="1"/>
  <c r="K432" i="9"/>
  <c r="E1603" i="13" s="1"/>
  <c r="D432" i="9"/>
  <c r="E1552" i="13" s="1"/>
  <c r="A432" i="9"/>
  <c r="B1552" i="13" s="1"/>
  <c r="D431" i="9"/>
  <c r="E1551" i="13" s="1"/>
  <c r="A431" i="9"/>
  <c r="B1551" i="13" s="1"/>
  <c r="C429" i="9"/>
  <c r="C475" i="9" s="1"/>
  <c r="D1595" i="13" s="1"/>
  <c r="C428" i="9"/>
  <c r="C474" i="9" s="1"/>
  <c r="D1594" i="13" s="1"/>
  <c r="C427" i="9"/>
  <c r="C473" i="9" s="1"/>
  <c r="D1593" i="13" s="1"/>
  <c r="D426" i="9"/>
  <c r="C425" i="9"/>
  <c r="C413" i="9"/>
  <c r="C412" i="9"/>
  <c r="C411" i="9"/>
  <c r="C410" i="9"/>
  <c r="C409" i="9"/>
  <c r="C408" i="9"/>
  <c r="H406" i="9"/>
  <c r="G405" i="9"/>
  <c r="D394" i="9"/>
  <c r="E2462" i="13" s="1"/>
  <c r="E2454" i="15" s="1"/>
  <c r="G2454" i="15" s="1"/>
  <c r="C394" i="9"/>
  <c r="B394" i="9"/>
  <c r="C2462" i="13" s="1"/>
  <c r="C2454" i="15" s="1"/>
  <c r="A394" i="9"/>
  <c r="B2462" i="13" s="1"/>
  <c r="B2454" i="15" s="1"/>
  <c r="D393" i="9"/>
  <c r="C393" i="9"/>
  <c r="D2394" i="13" s="1"/>
  <c r="B393" i="9"/>
  <c r="A393" i="9"/>
  <c r="B2394" i="13" s="1"/>
  <c r="B2387" i="15" s="1"/>
  <c r="C392" i="9"/>
  <c r="D2393" i="13" s="1"/>
  <c r="B392" i="9"/>
  <c r="A392" i="9"/>
  <c r="D391" i="9"/>
  <c r="E1529" i="13" s="1"/>
  <c r="A391" i="9"/>
  <c r="B1529" i="13" s="1"/>
  <c r="D390" i="9"/>
  <c r="E1528" i="13" s="1"/>
  <c r="A390" i="9"/>
  <c r="B1528" i="13" s="1"/>
  <c r="D389" i="9"/>
  <c r="E1527" i="13" s="1"/>
  <c r="A389" i="9"/>
  <c r="B1527" i="13" s="1"/>
  <c r="D388" i="9"/>
  <c r="E1526" i="13" s="1"/>
  <c r="A388" i="9"/>
  <c r="B1526" i="13" s="1"/>
  <c r="D387" i="9"/>
  <c r="E1525" i="13" s="1"/>
  <c r="A387" i="9"/>
  <c r="B1525" i="13" s="1"/>
  <c r="D386" i="9"/>
  <c r="E1524" i="13" s="1"/>
  <c r="A386" i="9"/>
  <c r="B1524" i="13" s="1"/>
  <c r="D385" i="9"/>
  <c r="E1523" i="13" s="1"/>
  <c r="C385" i="9"/>
  <c r="D1523" i="13" s="1"/>
  <c r="A385" i="9"/>
  <c r="B1523" i="13" s="1"/>
  <c r="D384" i="9"/>
  <c r="E1522" i="13" s="1"/>
  <c r="C384" i="9"/>
  <c r="D1522" i="13" s="1"/>
  <c r="A384" i="9"/>
  <c r="B1522" i="13" s="1"/>
  <c r="D383" i="9"/>
  <c r="E1521" i="13" s="1"/>
  <c r="A383" i="9"/>
  <c r="B1521" i="13" s="1"/>
  <c r="D382" i="9"/>
  <c r="E1520" i="13" s="1"/>
  <c r="A382" i="9"/>
  <c r="B1520" i="13" s="1"/>
  <c r="E381" i="9"/>
  <c r="D381" i="9"/>
  <c r="E1519" i="13" s="1"/>
  <c r="A381" i="9"/>
  <c r="B1519" i="13" s="1"/>
  <c r="D380" i="9"/>
  <c r="E1518" i="13" s="1"/>
  <c r="A380" i="9"/>
  <c r="B1518" i="13" s="1"/>
  <c r="D379" i="9"/>
  <c r="E1517" i="13" s="1"/>
  <c r="A379" i="9"/>
  <c r="B1517" i="13" s="1"/>
  <c r="D378" i="9"/>
  <c r="C378" i="9"/>
  <c r="D1516" i="13" s="1"/>
  <c r="A378" i="9"/>
  <c r="B1516" i="13" s="1"/>
  <c r="D377" i="9"/>
  <c r="E1515" i="13" s="1"/>
  <c r="A377" i="9"/>
  <c r="B1515" i="13" s="1"/>
  <c r="D376" i="9"/>
  <c r="A376" i="9"/>
  <c r="B1514" i="13" s="1"/>
  <c r="D375" i="9"/>
  <c r="E1513" i="13" s="1"/>
  <c r="A375" i="9"/>
  <c r="B1513" i="13" s="1"/>
  <c r="D374" i="9"/>
  <c r="E1512" i="13" s="1"/>
  <c r="A374" i="9"/>
  <c r="B1512" i="13" s="1"/>
  <c r="D373" i="9"/>
  <c r="E1511" i="13" s="1"/>
  <c r="A373" i="9"/>
  <c r="B1511" i="13" s="1"/>
  <c r="D372" i="9"/>
  <c r="E1510" i="13" s="1"/>
  <c r="A372" i="9"/>
  <c r="B1510" i="13" s="1"/>
  <c r="D371" i="9"/>
  <c r="E1509" i="13" s="1"/>
  <c r="A371" i="9"/>
  <c r="B1509" i="13" s="1"/>
  <c r="D370" i="9"/>
  <c r="E1508" i="13" s="1"/>
  <c r="A370" i="9"/>
  <c r="B1508" i="13" s="1"/>
  <c r="D369" i="9"/>
  <c r="E1507" i="13" s="1"/>
  <c r="A369" i="9"/>
  <c r="B1507" i="13" s="1"/>
  <c r="D368" i="9"/>
  <c r="E1506" i="13" s="1"/>
  <c r="A368" i="9"/>
  <c r="B1506" i="13" s="1"/>
  <c r="D367" i="9"/>
  <c r="E1505" i="13" s="1"/>
  <c r="A367" i="9"/>
  <c r="B1505" i="13" s="1"/>
  <c r="D366" i="9"/>
  <c r="E1504" i="13" s="1"/>
  <c r="A366" i="9"/>
  <c r="B1504" i="13" s="1"/>
  <c r="D365" i="9"/>
  <c r="E1503" i="13" s="1"/>
  <c r="A365" i="9"/>
  <c r="B1503" i="13" s="1"/>
  <c r="A364" i="9"/>
  <c r="B1502" i="13" s="1"/>
  <c r="K363" i="9"/>
  <c r="E1547" i="13" s="1"/>
  <c r="G363" i="9"/>
  <c r="B1547" i="13" s="1"/>
  <c r="D363" i="9"/>
  <c r="E1501" i="13" s="1"/>
  <c r="A363" i="9"/>
  <c r="B1501" i="13" s="1"/>
  <c r="K362" i="9"/>
  <c r="E1546" i="13" s="1"/>
  <c r="G362" i="9"/>
  <c r="B1546" i="13" s="1"/>
  <c r="D362" i="9"/>
  <c r="E1500" i="13" s="1"/>
  <c r="A362" i="9"/>
  <c r="B1500" i="13" s="1"/>
  <c r="K361" i="9"/>
  <c r="E1545" i="13" s="1"/>
  <c r="G361" i="9"/>
  <c r="B1545" i="13" s="1"/>
  <c r="D361" i="9"/>
  <c r="E1499" i="13" s="1"/>
  <c r="A361" i="9"/>
  <c r="B1499" i="13" s="1"/>
  <c r="K360" i="9"/>
  <c r="E1544" i="13" s="1"/>
  <c r="D360" i="9"/>
  <c r="E1498" i="13" s="1"/>
  <c r="K359" i="9"/>
  <c r="E1543" i="13" s="1"/>
  <c r="D359" i="9"/>
  <c r="E1497" i="13" s="1"/>
  <c r="A359" i="9"/>
  <c r="B1497" i="13" s="1"/>
  <c r="K358" i="9"/>
  <c r="E1542" i="13" s="1"/>
  <c r="D358" i="9"/>
  <c r="E1496" i="13" s="1"/>
  <c r="A358" i="9"/>
  <c r="B1496" i="13" s="1"/>
  <c r="K357" i="9"/>
  <c r="E1541" i="13" s="1"/>
  <c r="D357" i="9"/>
  <c r="E1495" i="13" s="1"/>
  <c r="K356" i="9"/>
  <c r="E1540" i="13" s="1"/>
  <c r="G356" i="9"/>
  <c r="B1540" i="13" s="1"/>
  <c r="D356" i="9"/>
  <c r="E1494" i="13" s="1"/>
  <c r="A356" i="9"/>
  <c r="B1494" i="13" s="1"/>
  <c r="K355" i="9"/>
  <c r="E1539" i="13" s="1"/>
  <c r="G355" i="9"/>
  <c r="B1539" i="13" s="1"/>
  <c r="A355" i="9"/>
  <c r="B1493" i="13" s="1"/>
  <c r="K354" i="9"/>
  <c r="E1538" i="13" s="1"/>
  <c r="G354" i="9"/>
  <c r="B1538" i="13" s="1"/>
  <c r="A354" i="9"/>
  <c r="B1492" i="13" s="1"/>
  <c r="K353" i="9"/>
  <c r="E1537" i="13" s="1"/>
  <c r="G353" i="9"/>
  <c r="B1537" i="13" s="1"/>
  <c r="D353" i="9"/>
  <c r="E1491" i="13" s="1"/>
  <c r="A353" i="9"/>
  <c r="B1491" i="13" s="1"/>
  <c r="K352" i="9"/>
  <c r="E1536" i="13" s="1"/>
  <c r="G352" i="9"/>
  <c r="B1536" i="13" s="1"/>
  <c r="D352" i="9"/>
  <c r="E1490" i="13" s="1"/>
  <c r="A352" i="9"/>
  <c r="B1490" i="13" s="1"/>
  <c r="K351" i="9"/>
  <c r="E1535" i="13" s="1"/>
  <c r="G351" i="9"/>
  <c r="B1535" i="13" s="1"/>
  <c r="K350" i="9"/>
  <c r="E1534" i="13" s="1"/>
  <c r="G350" i="9"/>
  <c r="B1534" i="13" s="1"/>
  <c r="K349" i="9"/>
  <c r="E1533" i="13" s="1"/>
  <c r="G349" i="9"/>
  <c r="B1533" i="13" s="1"/>
  <c r="A349" i="9"/>
  <c r="B1487" i="13" s="1"/>
  <c r="L348" i="9"/>
  <c r="K348" i="9"/>
  <c r="E1532" i="13" s="1"/>
  <c r="J348" i="9"/>
  <c r="D1532" i="13" s="1"/>
  <c r="G348" i="9"/>
  <c r="B1532" i="13" s="1"/>
  <c r="D348" i="9"/>
  <c r="E1486" i="13" s="1"/>
  <c r="A348" i="9"/>
  <c r="B1486" i="13" s="1"/>
  <c r="A347" i="9"/>
  <c r="B1485" i="13" s="1"/>
  <c r="C345" i="9"/>
  <c r="C386" i="9" s="1"/>
  <c r="C344" i="9"/>
  <c r="C343" i="9"/>
  <c r="C337" i="9"/>
  <c r="C335" i="9"/>
  <c r="C334" i="9"/>
  <c r="C332" i="9"/>
  <c r="C330" i="9"/>
  <c r="C329" i="9"/>
  <c r="C328" i="9"/>
  <c r="C327" i="9"/>
  <c r="H326" i="9"/>
  <c r="G325" i="9"/>
  <c r="C348" i="9" s="1"/>
  <c r="D1486" i="13" s="1"/>
  <c r="D316" i="9"/>
  <c r="E2461" i="13" s="1"/>
  <c r="E2453" i="15" s="1"/>
  <c r="G2453" i="15" s="1"/>
  <c r="C316" i="9"/>
  <c r="D2461" i="13" s="1"/>
  <c r="A316" i="9"/>
  <c r="B2461" i="13" s="1"/>
  <c r="B2453" i="15" s="1"/>
  <c r="C315" i="9"/>
  <c r="D2392" i="13" s="1"/>
  <c r="A315" i="9"/>
  <c r="C314" i="9"/>
  <c r="D2391" i="13" s="1"/>
  <c r="A314" i="9"/>
  <c r="D313" i="9"/>
  <c r="E1462" i="13" s="1"/>
  <c r="A313" i="9"/>
  <c r="D312" i="9"/>
  <c r="E1461" i="13" s="1"/>
  <c r="A312" i="9"/>
  <c r="D311" i="9"/>
  <c r="E1460" i="13" s="1"/>
  <c r="A311" i="9"/>
  <c r="D310" i="9"/>
  <c r="E1459" i="13" s="1"/>
  <c r="A310" i="9"/>
  <c r="D309" i="9"/>
  <c r="E1458" i="13" s="1"/>
  <c r="A309" i="9"/>
  <c r="D308" i="9"/>
  <c r="E1457" i="13" s="1"/>
  <c r="C308" i="9"/>
  <c r="D1457" i="13" s="1"/>
  <c r="A308" i="9"/>
  <c r="D307" i="9"/>
  <c r="E1456" i="13" s="1"/>
  <c r="C307" i="9"/>
  <c r="D1456" i="13" s="1"/>
  <c r="A307" i="9"/>
  <c r="D306" i="9"/>
  <c r="E1455" i="13" s="1"/>
  <c r="A306" i="9"/>
  <c r="D305" i="9"/>
  <c r="E1454" i="13" s="1"/>
  <c r="A305" i="9"/>
  <c r="D304" i="9"/>
  <c r="E1453" i="13" s="1"/>
  <c r="A304" i="9"/>
  <c r="E303" i="9"/>
  <c r="D303" i="9"/>
  <c r="E1452" i="13" s="1"/>
  <c r="A303" i="9"/>
  <c r="B1452" i="13" s="1"/>
  <c r="D302" i="9"/>
  <c r="E1451" i="13" s="1"/>
  <c r="A302" i="9"/>
  <c r="B1451" i="13" s="1"/>
  <c r="D301" i="9"/>
  <c r="E1450" i="13" s="1"/>
  <c r="A301" i="9"/>
  <c r="B1450" i="13" s="1"/>
  <c r="E300" i="9"/>
  <c r="D300" i="9"/>
  <c r="E1449" i="13" s="1"/>
  <c r="A300" i="9"/>
  <c r="B1449" i="13" s="1"/>
  <c r="D299" i="9"/>
  <c r="A299" i="9"/>
  <c r="B1448" i="13" s="1"/>
  <c r="D298" i="9"/>
  <c r="A298" i="9"/>
  <c r="B1447" i="13" s="1"/>
  <c r="D297" i="9"/>
  <c r="E1446" i="13" s="1"/>
  <c r="A297" i="9"/>
  <c r="B1446" i="13" s="1"/>
  <c r="D296" i="9"/>
  <c r="E1445" i="13" s="1"/>
  <c r="B296" i="9"/>
  <c r="C1445" i="13" s="1"/>
  <c r="A296" i="9"/>
  <c r="B1445" i="13" s="1"/>
  <c r="D295" i="9"/>
  <c r="B295" i="9"/>
  <c r="C1444" i="13" s="1"/>
  <c r="A295" i="9"/>
  <c r="B1444" i="13" s="1"/>
  <c r="D294" i="9"/>
  <c r="E1443" i="13" s="1"/>
  <c r="B294" i="9"/>
  <c r="C1443" i="13" s="1"/>
  <c r="A294" i="9"/>
  <c r="E293" i="9"/>
  <c r="D293" i="9"/>
  <c r="E1442" i="13" s="1"/>
  <c r="B293" i="9"/>
  <c r="C1442" i="13" s="1"/>
  <c r="A293" i="9"/>
  <c r="D292" i="9"/>
  <c r="E1441" i="13" s="1"/>
  <c r="B292" i="9"/>
  <c r="A292" i="9"/>
  <c r="B1441" i="13" s="1"/>
  <c r="D291" i="9"/>
  <c r="E1440" i="13" s="1"/>
  <c r="B291" i="9"/>
  <c r="A291" i="9"/>
  <c r="B1440" i="13" s="1"/>
  <c r="D290" i="9"/>
  <c r="E1439" i="13" s="1"/>
  <c r="B290" i="9"/>
  <c r="C1439" i="13" s="1"/>
  <c r="A290" i="9"/>
  <c r="B1439" i="13" s="1"/>
  <c r="D289" i="9"/>
  <c r="B289" i="9"/>
  <c r="C1438" i="13" s="1"/>
  <c r="A289" i="9"/>
  <c r="B1438" i="13" s="1"/>
  <c r="D288" i="9"/>
  <c r="E1437" i="13" s="1"/>
  <c r="B288" i="9"/>
  <c r="C1437" i="13" s="1"/>
  <c r="A288" i="9"/>
  <c r="D287" i="9"/>
  <c r="E1436" i="13" s="1"/>
  <c r="B287" i="9"/>
  <c r="A287" i="9"/>
  <c r="B1436" i="13" s="1"/>
  <c r="A286" i="9"/>
  <c r="B1435" i="13" s="1"/>
  <c r="D285" i="9"/>
  <c r="E1434" i="13" s="1"/>
  <c r="A285" i="9"/>
  <c r="B1434" i="13" s="1"/>
  <c r="D284" i="9"/>
  <c r="E1433" i="13" s="1"/>
  <c r="A284" i="9"/>
  <c r="E283" i="9"/>
  <c r="D283" i="9"/>
  <c r="E1432" i="13" s="1"/>
  <c r="A283" i="9"/>
  <c r="B1432" i="13" s="1"/>
  <c r="E282" i="9"/>
  <c r="D282" i="9"/>
  <c r="E1431" i="13" s="1"/>
  <c r="A282" i="9"/>
  <c r="B1431" i="13" s="1"/>
  <c r="K281" i="9"/>
  <c r="J666" i="9" s="1"/>
  <c r="E1407" i="13" s="1"/>
  <c r="G281" i="9"/>
  <c r="B1481" i="13" s="1"/>
  <c r="D281" i="9"/>
  <c r="A281" i="9"/>
  <c r="B1430" i="13" s="1"/>
  <c r="K280" i="9"/>
  <c r="J665" i="9" s="1"/>
  <c r="E1406" i="13" s="1"/>
  <c r="G280" i="9"/>
  <c r="B1480" i="13" s="1"/>
  <c r="D280" i="9"/>
  <c r="A280" i="9"/>
  <c r="B1429" i="13" s="1"/>
  <c r="K279" i="9"/>
  <c r="G279" i="9"/>
  <c r="B1479" i="13" s="1"/>
  <c r="D279" i="9"/>
  <c r="A279" i="9"/>
  <c r="B1428" i="13" s="1"/>
  <c r="K278" i="9"/>
  <c r="D278" i="9"/>
  <c r="E1427" i="13" s="1"/>
  <c r="K277" i="9"/>
  <c r="E1477" i="13" s="1"/>
  <c r="D277" i="9"/>
  <c r="E1426" i="13" s="1"/>
  <c r="A277" i="9"/>
  <c r="B1426" i="13" s="1"/>
  <c r="K276" i="9"/>
  <c r="E1476" i="13" s="1"/>
  <c r="G276" i="9"/>
  <c r="B1476" i="13" s="1"/>
  <c r="D276" i="9"/>
  <c r="E1425" i="13" s="1"/>
  <c r="A276" i="9"/>
  <c r="B1425" i="13" s="1"/>
  <c r="K275" i="9"/>
  <c r="E1475" i="13" s="1"/>
  <c r="D275" i="9"/>
  <c r="A275" i="9"/>
  <c r="B1424" i="13" s="1"/>
  <c r="K274" i="9"/>
  <c r="D274" i="9"/>
  <c r="E1423" i="13" s="1"/>
  <c r="A274" i="9"/>
  <c r="B1423" i="13" s="1"/>
  <c r="K273" i="9"/>
  <c r="E1473" i="13" s="1"/>
  <c r="A273" i="9"/>
  <c r="K272" i="9"/>
  <c r="E1472" i="13" s="1"/>
  <c r="A272" i="9"/>
  <c r="B1421" i="13" s="1"/>
  <c r="K271" i="9"/>
  <c r="E1471" i="13" s="1"/>
  <c r="A271" i="9"/>
  <c r="B1420" i="13" s="1"/>
  <c r="D270" i="9"/>
  <c r="C270" i="9"/>
  <c r="D1419" i="13" s="1"/>
  <c r="A270" i="9"/>
  <c r="B1419" i="13" s="1"/>
  <c r="D269" i="9"/>
  <c r="E1418" i="13" s="1"/>
  <c r="A269" i="9"/>
  <c r="B1418" i="13" s="1"/>
  <c r="K268" i="9"/>
  <c r="G268" i="9"/>
  <c r="B1470" i="13" s="1"/>
  <c r="D268" i="9"/>
  <c r="E1417" i="13" s="1"/>
  <c r="A268" i="9"/>
  <c r="B1417" i="13" s="1"/>
  <c r="K267" i="9"/>
  <c r="G267" i="9"/>
  <c r="B1469" i="13" s="1"/>
  <c r="D267" i="9"/>
  <c r="E1416" i="13" s="1"/>
  <c r="A267" i="9"/>
  <c r="B1416" i="13" s="1"/>
  <c r="K266" i="9"/>
  <c r="D266" i="9"/>
  <c r="E1415" i="13" s="1"/>
  <c r="K265" i="9"/>
  <c r="E1467" i="13" s="1"/>
  <c r="K264" i="9"/>
  <c r="D264" i="9"/>
  <c r="E1413" i="13" s="1"/>
  <c r="A264" i="9"/>
  <c r="B1413" i="13" s="1"/>
  <c r="K263" i="9"/>
  <c r="E1465" i="13" s="1"/>
  <c r="D263" i="9"/>
  <c r="E1412" i="13" s="1"/>
  <c r="A263" i="9"/>
  <c r="A262" i="9"/>
  <c r="C260" i="9"/>
  <c r="C259" i="9"/>
  <c r="C258" i="9"/>
  <c r="C306" i="9" s="1"/>
  <c r="C256" i="9"/>
  <c r="C255" i="9"/>
  <c r="C254" i="9"/>
  <c r="C253" i="9"/>
  <c r="C252" i="9"/>
  <c r="C251" i="9"/>
  <c r="C250" i="9"/>
  <c r="C246" i="9"/>
  <c r="C245" i="9"/>
  <c r="C244" i="9"/>
  <c r="C243" i="9"/>
  <c r="C242" i="9"/>
  <c r="D241" i="9"/>
  <c r="H240" i="9"/>
  <c r="G240" i="9"/>
  <c r="E229" i="9"/>
  <c r="D225" i="9"/>
  <c r="D224" i="9"/>
  <c r="D221" i="9"/>
  <c r="D220" i="9"/>
  <c r="E219" i="9"/>
  <c r="C217" i="9"/>
  <c r="E215" i="9"/>
  <c r="D215" i="9"/>
  <c r="C215" i="9"/>
  <c r="F215" i="9" s="1"/>
  <c r="E214" i="9"/>
  <c r="D214" i="9"/>
  <c r="C214" i="9"/>
  <c r="E213" i="9"/>
  <c r="D213" i="9"/>
  <c r="F213" i="9" s="1"/>
  <c r="E212" i="9"/>
  <c r="D212" i="9"/>
  <c r="F212" i="9" s="1"/>
  <c r="F211" i="9"/>
  <c r="E211" i="9"/>
  <c r="D211" i="9"/>
  <c r="C211" i="9"/>
  <c r="C203" i="9"/>
  <c r="C230" i="9" s="1"/>
  <c r="E201" i="9"/>
  <c r="D201" i="9"/>
  <c r="C201" i="9"/>
  <c r="E200" i="9"/>
  <c r="C200" i="9" s="1"/>
  <c r="D200" i="9"/>
  <c r="E199" i="9"/>
  <c r="C199" i="9" s="1"/>
  <c r="D199" i="9"/>
  <c r="K197" i="9"/>
  <c r="C197" i="9"/>
  <c r="K196" i="9"/>
  <c r="C196" i="9"/>
  <c r="K195" i="9"/>
  <c r="D195" i="9"/>
  <c r="K194" i="9"/>
  <c r="K192" i="9"/>
  <c r="C191" i="9"/>
  <c r="E190" i="9"/>
  <c r="F189" i="9"/>
  <c r="F188" i="9"/>
  <c r="F187" i="9"/>
  <c r="K186" i="9"/>
  <c r="F186" i="9"/>
  <c r="K185" i="9"/>
  <c r="K187" i="9" s="1"/>
  <c r="J184" i="9"/>
  <c r="K183" i="9"/>
  <c r="K182" i="9"/>
  <c r="D182" i="9"/>
  <c r="D181" i="9"/>
  <c r="D180" i="9"/>
  <c r="D183" i="9" s="1"/>
  <c r="E179" i="9"/>
  <c r="F174" i="9"/>
  <c r="E174" i="9"/>
  <c r="D174" i="9"/>
  <c r="G174" i="9" s="1"/>
  <c r="F173" i="9"/>
  <c r="E173" i="9"/>
  <c r="D173" i="9"/>
  <c r="G173" i="9" s="1"/>
  <c r="G172" i="9"/>
  <c r="F171" i="9"/>
  <c r="D171" i="9"/>
  <c r="G171" i="9" s="1"/>
  <c r="F170" i="9"/>
  <c r="E170" i="9"/>
  <c r="D170" i="9"/>
  <c r="G170" i="9" s="1"/>
  <c r="F169" i="9"/>
  <c r="E169" i="9"/>
  <c r="D169" i="9"/>
  <c r="G169" i="9" s="1"/>
  <c r="F168" i="9"/>
  <c r="E168" i="9"/>
  <c r="D168" i="9"/>
  <c r="G168" i="9" s="1"/>
  <c r="G175" i="9" s="1"/>
  <c r="F165" i="9"/>
  <c r="G165" i="9" s="1"/>
  <c r="E165" i="9"/>
  <c r="D165" i="9"/>
  <c r="F164" i="9"/>
  <c r="G164" i="9" s="1"/>
  <c r="E164" i="9"/>
  <c r="D164" i="9"/>
  <c r="F163" i="9"/>
  <c r="G163" i="9" s="1"/>
  <c r="E163" i="9"/>
  <c r="D163" i="9"/>
  <c r="F162" i="9"/>
  <c r="D162" i="9"/>
  <c r="E161" i="9"/>
  <c r="F161" i="9" s="1"/>
  <c r="G161" i="9" s="1"/>
  <c r="D161" i="9"/>
  <c r="E160" i="9"/>
  <c r="F160" i="9" s="1"/>
  <c r="G160" i="9" s="1"/>
  <c r="D160" i="9"/>
  <c r="E159" i="9"/>
  <c r="F159" i="9" s="1"/>
  <c r="G159" i="9" s="1"/>
  <c r="D159" i="9"/>
  <c r="E158" i="9"/>
  <c r="F158" i="9" s="1"/>
  <c r="D158" i="9"/>
  <c r="F149" i="9"/>
  <c r="E149" i="9"/>
  <c r="F148" i="9"/>
  <c r="E148" i="9"/>
  <c r="F147" i="9"/>
  <c r="E147" i="9"/>
  <c r="D145" i="9"/>
  <c r="E143" i="9"/>
  <c r="E126" i="9"/>
  <c r="E124" i="9"/>
  <c r="E123" i="9"/>
  <c r="F122" i="9"/>
  <c r="F121" i="9"/>
  <c r="G119" i="9"/>
  <c r="E105" i="9"/>
  <c r="E104" i="9"/>
  <c r="C336" i="9" s="1"/>
  <c r="E101" i="9"/>
  <c r="G96" i="9"/>
  <c r="E82" i="9"/>
  <c r="E81" i="9"/>
  <c r="G76" i="9"/>
  <c r="F71" i="9"/>
  <c r="E64" i="9"/>
  <c r="D64" i="9"/>
  <c r="F64" i="9" s="1"/>
  <c r="F63" i="9"/>
  <c r="E63" i="9"/>
  <c r="D63" i="9"/>
  <c r="E62" i="9"/>
  <c r="F62" i="9" s="1"/>
  <c r="D62" i="9"/>
  <c r="E61" i="9"/>
  <c r="D61" i="9"/>
  <c r="F61" i="9" s="1"/>
  <c r="E60" i="9"/>
  <c r="D60" i="9"/>
  <c r="F60" i="9" s="1"/>
  <c r="F59" i="9"/>
  <c r="E59" i="9"/>
  <c r="D59" i="9"/>
  <c r="E58" i="9"/>
  <c r="F58" i="9" s="1"/>
  <c r="D58" i="9"/>
  <c r="E57" i="9"/>
  <c r="D57" i="9"/>
  <c r="F57" i="9" s="1"/>
  <c r="E56" i="9"/>
  <c r="D56" i="9"/>
  <c r="F56" i="9" s="1"/>
  <c r="F55" i="9"/>
  <c r="E55" i="9"/>
  <c r="D55" i="9"/>
  <c r="E54" i="9"/>
  <c r="F54" i="9" s="1"/>
  <c r="D54" i="9"/>
  <c r="E53" i="9"/>
  <c r="D53" i="9"/>
  <c r="F53" i="9" s="1"/>
  <c r="E52" i="9"/>
  <c r="D52" i="9"/>
  <c r="F52" i="9" s="1"/>
  <c r="F51" i="9"/>
  <c r="E51" i="9"/>
  <c r="D51" i="9"/>
  <c r="E50" i="9"/>
  <c r="F50" i="9" s="1"/>
  <c r="D50" i="9"/>
  <c r="E49" i="9"/>
  <c r="D49" i="9"/>
  <c r="F49" i="9" s="1"/>
  <c r="E48" i="9"/>
  <c r="D48" i="9"/>
  <c r="F48" i="9" s="1"/>
  <c r="F47" i="9"/>
  <c r="E47" i="9"/>
  <c r="D47" i="9"/>
  <c r="E46" i="9"/>
  <c r="F46" i="9" s="1"/>
  <c r="D46" i="9"/>
  <c r="E45" i="9"/>
  <c r="D45" i="9"/>
  <c r="F45" i="9" s="1"/>
  <c r="E44" i="9"/>
  <c r="D44" i="9"/>
  <c r="F44" i="9" s="1"/>
  <c r="F43" i="9"/>
  <c r="E43" i="9"/>
  <c r="D43" i="9"/>
  <c r="E42" i="9"/>
  <c r="F42" i="9" s="1"/>
  <c r="D42" i="9"/>
  <c r="E41" i="9"/>
  <c r="D41" i="9"/>
  <c r="F41" i="9" s="1"/>
  <c r="E40" i="9"/>
  <c r="D40" i="9"/>
  <c r="F40" i="9" s="1"/>
  <c r="F39" i="9"/>
  <c r="E39" i="9"/>
  <c r="D39" i="9"/>
  <c r="E38" i="9"/>
  <c r="F38" i="9" s="1"/>
  <c r="D38" i="9"/>
  <c r="E37" i="9"/>
  <c r="D37" i="9"/>
  <c r="F37" i="9" s="1"/>
  <c r="E36" i="9"/>
  <c r="D36" i="9"/>
  <c r="F36" i="9" s="1"/>
  <c r="F35" i="9"/>
  <c r="E35" i="9"/>
  <c r="D35" i="9"/>
  <c r="E34" i="9"/>
  <c r="F34" i="9" s="1"/>
  <c r="D34" i="9"/>
  <c r="E33" i="9"/>
  <c r="D33" i="9"/>
  <c r="F33" i="9" s="1"/>
  <c r="F29" i="9"/>
  <c r="E29" i="9"/>
  <c r="D29" i="9"/>
  <c r="G29" i="9" s="1"/>
  <c r="F28" i="9"/>
  <c r="E28" i="9"/>
  <c r="D28" i="9"/>
  <c r="F27" i="9"/>
  <c r="E27" i="9"/>
  <c r="D27" i="9"/>
  <c r="F24" i="9"/>
  <c r="G24" i="9" s="1"/>
  <c r="E24" i="9"/>
  <c r="D24" i="9"/>
  <c r="F23" i="9"/>
  <c r="G23" i="9" s="1"/>
  <c r="E23" i="9"/>
  <c r="D23" i="9"/>
  <c r="F22" i="9"/>
  <c r="G22" i="9" s="1"/>
  <c r="E22" i="9"/>
  <c r="D22" i="9"/>
  <c r="F21" i="9"/>
  <c r="G21" i="9" s="1"/>
  <c r="E21" i="9"/>
  <c r="D21" i="9"/>
  <c r="G18" i="9"/>
  <c r="F18" i="9"/>
  <c r="E18" i="9"/>
  <c r="D18" i="9"/>
  <c r="G17" i="9"/>
  <c r="F17" i="9"/>
  <c r="E17" i="9"/>
  <c r="D17" i="9"/>
  <c r="G16" i="9"/>
  <c r="F16" i="9"/>
  <c r="E16" i="9"/>
  <c r="D16" i="9"/>
  <c r="G15" i="9"/>
  <c r="G19" i="9" s="1"/>
  <c r="F15" i="9"/>
  <c r="E15" i="9"/>
  <c r="D15" i="9"/>
  <c r="E8" i="9"/>
  <c r="E100" i="9" s="1"/>
  <c r="E7" i="9"/>
  <c r="E6" i="9"/>
  <c r="E5" i="9"/>
  <c r="E4" i="9"/>
  <c r="E98" i="9" s="1"/>
  <c r="E3" i="9"/>
  <c r="E2" i="9"/>
  <c r="D682" i="8"/>
  <c r="E2476" i="13" s="1"/>
  <c r="E2468" i="15" s="1"/>
  <c r="G2468" i="15" s="1"/>
  <c r="B682" i="8"/>
  <c r="C2476" i="13" s="1"/>
  <c r="C2468" i="15" s="1"/>
  <c r="A682" i="8"/>
  <c r="B2476" i="13" s="1"/>
  <c r="B2468" i="15" s="1"/>
  <c r="D681" i="8"/>
  <c r="E2351" i="13" s="1"/>
  <c r="E2344" i="15" s="1"/>
  <c r="G2344" i="15" s="1"/>
  <c r="B681" i="8"/>
  <c r="A681" i="8"/>
  <c r="B2351" i="13" s="1"/>
  <c r="B2344" i="15" s="1"/>
  <c r="B680" i="8"/>
  <c r="A680" i="8"/>
  <c r="B679" i="8"/>
  <c r="A679" i="8"/>
  <c r="B2349" i="13" s="1"/>
  <c r="B2342" i="15" s="1"/>
  <c r="D678" i="8"/>
  <c r="E2348" i="13" s="1"/>
  <c r="E2341" i="15" s="1"/>
  <c r="G2341" i="15" s="1"/>
  <c r="B678" i="8"/>
  <c r="A678" i="8"/>
  <c r="B2348" i="13" s="1"/>
  <c r="B2341" i="15" s="1"/>
  <c r="D669" i="8"/>
  <c r="E111" i="13" s="1"/>
  <c r="A668" i="8"/>
  <c r="B110" i="13" s="1"/>
  <c r="D667" i="8"/>
  <c r="E109" i="13" s="1"/>
  <c r="D666" i="8"/>
  <c r="E108" i="13" s="1"/>
  <c r="A666" i="8"/>
  <c r="B108" i="13" s="1"/>
  <c r="K665" i="8"/>
  <c r="E120" i="13" s="1"/>
  <c r="D665" i="8"/>
  <c r="E107" i="13" s="1"/>
  <c r="A665" i="8"/>
  <c r="B107" i="13" s="1"/>
  <c r="K664" i="8"/>
  <c r="E119" i="13" s="1"/>
  <c r="A664" i="8"/>
  <c r="B106" i="13" s="1"/>
  <c r="D663" i="8"/>
  <c r="E105" i="13" s="1"/>
  <c r="A663" i="8"/>
  <c r="B105" i="13" s="1"/>
  <c r="K661" i="8"/>
  <c r="E116" i="13" s="1"/>
  <c r="D661" i="8"/>
  <c r="E103" i="13" s="1"/>
  <c r="K660" i="8"/>
  <c r="E115" i="13" s="1"/>
  <c r="A659" i="8"/>
  <c r="B101" i="13" s="1"/>
  <c r="D651" i="8"/>
  <c r="E86" i="13" s="1"/>
  <c r="A651" i="8"/>
  <c r="A650" i="8"/>
  <c r="D649" i="8"/>
  <c r="E84" i="13" s="1"/>
  <c r="A649" i="8"/>
  <c r="D648" i="8"/>
  <c r="E83" i="13" s="1"/>
  <c r="A648" i="8"/>
  <c r="B83" i="13" s="1"/>
  <c r="D647" i="8"/>
  <c r="E82" i="13" s="1"/>
  <c r="A647" i="8"/>
  <c r="B82" i="13" s="1"/>
  <c r="K646" i="8"/>
  <c r="E97" i="13" s="1"/>
  <c r="A646" i="8"/>
  <c r="B81" i="13" s="1"/>
  <c r="K645" i="8"/>
  <c r="E96" i="13" s="1"/>
  <c r="D645" i="8"/>
  <c r="E80" i="13" s="1"/>
  <c r="K644" i="8"/>
  <c r="D644" i="8"/>
  <c r="E79" i="13" s="1"/>
  <c r="A644" i="8"/>
  <c r="B79" i="13" s="1"/>
  <c r="K643" i="8"/>
  <c r="E94" i="13" s="1"/>
  <c r="G643" i="8"/>
  <c r="B94" i="13" s="1"/>
  <c r="D643" i="8"/>
  <c r="E78" i="13" s="1"/>
  <c r="A643" i="8"/>
  <c r="B78" i="13" s="1"/>
  <c r="K642" i="8"/>
  <c r="E93" i="13" s="1"/>
  <c r="D642" i="8"/>
  <c r="E77" i="13" s="1"/>
  <c r="A642" i="8"/>
  <c r="B77" i="13" s="1"/>
  <c r="K641" i="8"/>
  <c r="E92" i="13" s="1"/>
  <c r="D641" i="8"/>
  <c r="E76" i="13" s="1"/>
  <c r="A641" i="8"/>
  <c r="B76" i="13" s="1"/>
  <c r="K640" i="8"/>
  <c r="E91" i="13" s="1"/>
  <c r="G640" i="8"/>
  <c r="B91" i="13" s="1"/>
  <c r="D640" i="8"/>
  <c r="E75" i="13" s="1"/>
  <c r="A640" i="8"/>
  <c r="B75" i="13" s="1"/>
  <c r="K639" i="8"/>
  <c r="E90" i="13" s="1"/>
  <c r="D639" i="8"/>
  <c r="K638" i="8"/>
  <c r="D638" i="8"/>
  <c r="E73" i="13" s="1"/>
  <c r="A638" i="8"/>
  <c r="B73" i="13" s="1"/>
  <c r="D630" i="8"/>
  <c r="E53" i="13" s="1"/>
  <c r="A630" i="8"/>
  <c r="B53" i="13" s="1"/>
  <c r="D629" i="8"/>
  <c r="E52" i="13" s="1"/>
  <c r="A629" i="8"/>
  <c r="B52" i="13" s="1"/>
  <c r="A628" i="8"/>
  <c r="B51" i="13" s="1"/>
  <c r="A627" i="8"/>
  <c r="B50" i="13" s="1"/>
  <c r="K626" i="8"/>
  <c r="E69" i="13" s="1"/>
  <c r="D626" i="8"/>
  <c r="E49" i="13" s="1"/>
  <c r="A626" i="8"/>
  <c r="B49" i="13" s="1"/>
  <c r="K625" i="8"/>
  <c r="E68" i="13" s="1"/>
  <c r="A625" i="8"/>
  <c r="B48" i="13" s="1"/>
  <c r="K624" i="8"/>
  <c r="E67" i="13" s="1"/>
  <c r="A624" i="8"/>
  <c r="B47" i="13" s="1"/>
  <c r="K623" i="8"/>
  <c r="E66" i="13" s="1"/>
  <c r="A623" i="8"/>
  <c r="B46" i="13" s="1"/>
  <c r="K622" i="8"/>
  <c r="E65" i="13" s="1"/>
  <c r="D622" i="8"/>
  <c r="E45" i="13" s="1"/>
  <c r="A622" i="8"/>
  <c r="B45" i="13" s="1"/>
  <c r="K621" i="8"/>
  <c r="E64" i="13" s="1"/>
  <c r="A621" i="8"/>
  <c r="B44" i="13" s="1"/>
  <c r="K620" i="8"/>
  <c r="E63" i="13" s="1"/>
  <c r="D620" i="8"/>
  <c r="E43" i="13" s="1"/>
  <c r="A620" i="8"/>
  <c r="B43" i="13" s="1"/>
  <c r="K619" i="8"/>
  <c r="E62" i="13" s="1"/>
  <c r="D619" i="8"/>
  <c r="E42" i="13" s="1"/>
  <c r="A619" i="8"/>
  <c r="B42" i="13" s="1"/>
  <c r="K618" i="8"/>
  <c r="E61" i="13" s="1"/>
  <c r="K617" i="8"/>
  <c r="E60" i="13" s="1"/>
  <c r="A617" i="8"/>
  <c r="K616" i="8"/>
  <c r="E59" i="13" s="1"/>
  <c r="D616" i="8"/>
  <c r="E39" i="13" s="1"/>
  <c r="A616" i="8"/>
  <c r="B39" i="13" s="1"/>
  <c r="K615" i="8"/>
  <c r="E58" i="13" s="1"/>
  <c r="D615" i="8"/>
  <c r="E38" i="13" s="1"/>
  <c r="A615" i="8"/>
  <c r="B38" i="13" s="1"/>
  <c r="K614" i="8"/>
  <c r="E57" i="13" s="1"/>
  <c r="D614" i="8"/>
  <c r="E37" i="13" s="1"/>
  <c r="A614" i="8"/>
  <c r="B37" i="13" s="1"/>
  <c r="K613" i="8"/>
  <c r="E56" i="13" s="1"/>
  <c r="D613" i="8"/>
  <c r="E36" i="13" s="1"/>
  <c r="A613" i="8"/>
  <c r="B36" i="13" s="1"/>
  <c r="D605" i="8"/>
  <c r="E22" i="13" s="1"/>
  <c r="A605" i="8"/>
  <c r="B22" i="13" s="1"/>
  <c r="K604" i="8"/>
  <c r="E32" i="13" s="1"/>
  <c r="D604" i="8"/>
  <c r="E21" i="13" s="1"/>
  <c r="A604" i="8"/>
  <c r="B21" i="13" s="1"/>
  <c r="K603" i="8"/>
  <c r="E31" i="13" s="1"/>
  <c r="D603" i="8"/>
  <c r="E20" i="13" s="1"/>
  <c r="A603" i="8"/>
  <c r="B20" i="13" s="1"/>
  <c r="K602" i="8"/>
  <c r="E30" i="13" s="1"/>
  <c r="D602" i="8"/>
  <c r="A602" i="8"/>
  <c r="B19" i="13" s="1"/>
  <c r="K601" i="8"/>
  <c r="E29" i="13" s="1"/>
  <c r="D601" i="8"/>
  <c r="E18" i="13" s="1"/>
  <c r="A601" i="8"/>
  <c r="B18" i="13" s="1"/>
  <c r="K600" i="8"/>
  <c r="E28" i="13" s="1"/>
  <c r="A600" i="8"/>
  <c r="B17" i="13" s="1"/>
  <c r="K599" i="8"/>
  <c r="E27" i="13" s="1"/>
  <c r="D599" i="8"/>
  <c r="E16" i="13" s="1"/>
  <c r="A599" i="8"/>
  <c r="B16" i="13" s="1"/>
  <c r="K598" i="8"/>
  <c r="E26" i="13" s="1"/>
  <c r="D598" i="8"/>
  <c r="A598" i="8"/>
  <c r="B15" i="13" s="1"/>
  <c r="K597" i="8"/>
  <c r="E25" i="13" s="1"/>
  <c r="D597" i="8"/>
  <c r="E14" i="13" s="1"/>
  <c r="E14" i="15" s="1"/>
  <c r="G14" i="15" s="1"/>
  <c r="A597" i="8"/>
  <c r="B14" i="13" s="1"/>
  <c r="F596" i="8"/>
  <c r="F594" i="8"/>
  <c r="C591" i="8"/>
  <c r="C590" i="8"/>
  <c r="D589" i="8"/>
  <c r="D588" i="8"/>
  <c r="C586" i="8"/>
  <c r="C585" i="8"/>
  <c r="C583" i="8"/>
  <c r="C582" i="8"/>
  <c r="C581" i="8"/>
  <c r="C580" i="8"/>
  <c r="C579" i="8"/>
  <c r="C572" i="8"/>
  <c r="C570" i="8"/>
  <c r="C568" i="8"/>
  <c r="C567" i="8"/>
  <c r="C566" i="8"/>
  <c r="C565" i="8"/>
  <c r="C564" i="8"/>
  <c r="C563" i="8"/>
  <c r="D562" i="8"/>
  <c r="H12" i="13" s="1"/>
  <c r="F560" i="8"/>
  <c r="G560" i="8" s="1"/>
  <c r="E560" i="8"/>
  <c r="D560" i="8"/>
  <c r="F559" i="8"/>
  <c r="E559" i="8"/>
  <c r="D559" i="8"/>
  <c r="F558" i="8"/>
  <c r="E558" i="8"/>
  <c r="D558" i="8"/>
  <c r="F557" i="8"/>
  <c r="E557" i="8"/>
  <c r="D557" i="8"/>
  <c r="F556" i="8"/>
  <c r="G556" i="8" s="1"/>
  <c r="E556" i="8"/>
  <c r="D556" i="8"/>
  <c r="F555" i="8"/>
  <c r="E555" i="8"/>
  <c r="D555" i="8"/>
  <c r="E552" i="8"/>
  <c r="D552" i="8"/>
  <c r="F552" i="8" s="1"/>
  <c r="E551" i="8"/>
  <c r="D551" i="8"/>
  <c r="E550" i="8"/>
  <c r="D550" i="8"/>
  <c r="F550" i="8" s="1"/>
  <c r="E549" i="8"/>
  <c r="D549" i="8"/>
  <c r="D541" i="8"/>
  <c r="E537" i="8"/>
  <c r="D578" i="8" s="1"/>
  <c r="D536" i="8"/>
  <c r="D535" i="8"/>
  <c r="D534" i="8"/>
  <c r="D544" i="8" s="1"/>
  <c r="D525" i="8"/>
  <c r="D524" i="8"/>
  <c r="D523" i="8"/>
  <c r="E518" i="8"/>
  <c r="E526" i="8" s="1"/>
  <c r="D518" i="8"/>
  <c r="E517" i="8"/>
  <c r="D517" i="8"/>
  <c r="F515" i="8"/>
  <c r="F514" i="8"/>
  <c r="C682" i="8" s="1"/>
  <c r="D506" i="8"/>
  <c r="E2447" i="13" s="1"/>
  <c r="E2439" i="15" s="1"/>
  <c r="G2439" i="15" s="1"/>
  <c r="C506" i="8"/>
  <c r="A506" i="8"/>
  <c r="B2447" i="13" s="1"/>
  <c r="B2439" i="15" s="1"/>
  <c r="D505" i="8"/>
  <c r="E2366" i="13" s="1"/>
  <c r="E2359" i="15" s="1"/>
  <c r="G2359" i="15" s="1"/>
  <c r="C505" i="8"/>
  <c r="B505" i="8"/>
  <c r="A505" i="8"/>
  <c r="B2366" i="13" s="1"/>
  <c r="B2359" i="15" s="1"/>
  <c r="D504" i="8"/>
  <c r="C504" i="8"/>
  <c r="D2365" i="13" s="1"/>
  <c r="B504" i="8"/>
  <c r="A504" i="8"/>
  <c r="B2365" i="13" s="1"/>
  <c r="B2358" i="15" s="1"/>
  <c r="C503" i="8"/>
  <c r="D2364" i="13" s="1"/>
  <c r="B503" i="8"/>
  <c r="A503" i="8"/>
  <c r="C502" i="8"/>
  <c r="D2363" i="13" s="1"/>
  <c r="B502" i="8"/>
  <c r="A502" i="8"/>
  <c r="B2363" i="13" s="1"/>
  <c r="B2356" i="15" s="1"/>
  <c r="D501" i="8"/>
  <c r="E2362" i="13" s="1"/>
  <c r="E2355" i="15" s="1"/>
  <c r="G2355" i="15" s="1"/>
  <c r="C501" i="8"/>
  <c r="B501" i="8"/>
  <c r="A501" i="8"/>
  <c r="B2362" i="13" s="1"/>
  <c r="B2355" i="15" s="1"/>
  <c r="D500" i="8"/>
  <c r="E280" i="13" s="1"/>
  <c r="A500" i="8"/>
  <c r="B280" i="13" s="1"/>
  <c r="D499" i="8"/>
  <c r="E279" i="13" s="1"/>
  <c r="A499" i="8"/>
  <c r="B279" i="13" s="1"/>
  <c r="D498" i="8"/>
  <c r="E278" i="13" s="1"/>
  <c r="A498" i="8"/>
  <c r="B278" i="13" s="1"/>
  <c r="D497" i="8"/>
  <c r="E277" i="13" s="1"/>
  <c r="A497" i="8"/>
  <c r="B277" i="13" s="1"/>
  <c r="D496" i="8"/>
  <c r="E276" i="13" s="1"/>
  <c r="A496" i="8"/>
  <c r="B276" i="13" s="1"/>
  <c r="K495" i="8"/>
  <c r="G495" i="8"/>
  <c r="B300" i="13" s="1"/>
  <c r="D495" i="8"/>
  <c r="E275" i="13" s="1"/>
  <c r="A495" i="8"/>
  <c r="B275" i="13" s="1"/>
  <c r="K494" i="8"/>
  <c r="G494" i="8"/>
  <c r="B299" i="13" s="1"/>
  <c r="D494" i="8"/>
  <c r="E274" i="13" s="1"/>
  <c r="A494" i="8"/>
  <c r="B274" i="13" s="1"/>
  <c r="K493" i="8"/>
  <c r="G493" i="8"/>
  <c r="B298" i="13" s="1"/>
  <c r="D493" i="8"/>
  <c r="E273" i="13" s="1"/>
  <c r="A493" i="8"/>
  <c r="B273" i="13" s="1"/>
  <c r="K492" i="8"/>
  <c r="G492" i="8"/>
  <c r="B297" i="13" s="1"/>
  <c r="D492" i="8"/>
  <c r="E272" i="13" s="1"/>
  <c r="A492" i="8"/>
  <c r="B272" i="13" s="1"/>
  <c r="K491" i="8"/>
  <c r="G491" i="8"/>
  <c r="B296" i="13" s="1"/>
  <c r="D491" i="8"/>
  <c r="E271" i="13" s="1"/>
  <c r="A491" i="8"/>
  <c r="B271" i="13" s="1"/>
  <c r="K490" i="8"/>
  <c r="D490" i="8"/>
  <c r="E270" i="13" s="1"/>
  <c r="C490" i="8"/>
  <c r="A490" i="8"/>
  <c r="B270" i="13" s="1"/>
  <c r="K489" i="8"/>
  <c r="E294" i="13" s="1"/>
  <c r="G489" i="8"/>
  <c r="B294" i="13" s="1"/>
  <c r="D489" i="8"/>
  <c r="E269" i="13" s="1"/>
  <c r="A489" i="8"/>
  <c r="B269" i="13" s="1"/>
  <c r="K488" i="8"/>
  <c r="E293" i="13" s="1"/>
  <c r="G488" i="8"/>
  <c r="B293" i="13" s="1"/>
  <c r="D488" i="8"/>
  <c r="E268" i="13" s="1"/>
  <c r="A488" i="8"/>
  <c r="B268" i="13" s="1"/>
  <c r="K487" i="8"/>
  <c r="E292" i="13" s="1"/>
  <c r="G487" i="8"/>
  <c r="B292" i="13" s="1"/>
  <c r="D487" i="8"/>
  <c r="E267" i="13" s="1"/>
  <c r="A487" i="8"/>
  <c r="B267" i="13" s="1"/>
  <c r="K486" i="8"/>
  <c r="E291" i="13" s="1"/>
  <c r="G486" i="8"/>
  <c r="B291" i="13" s="1"/>
  <c r="D486" i="8"/>
  <c r="E266" i="13" s="1"/>
  <c r="A486" i="8"/>
  <c r="B266" i="13" s="1"/>
  <c r="K485" i="8"/>
  <c r="E290" i="13" s="1"/>
  <c r="D485" i="8"/>
  <c r="E265" i="13" s="1"/>
  <c r="A485" i="8"/>
  <c r="B265" i="13" s="1"/>
  <c r="K484" i="8"/>
  <c r="E289" i="13" s="1"/>
  <c r="G484" i="8"/>
  <c r="B289" i="13" s="1"/>
  <c r="D484" i="8"/>
  <c r="E264" i="13" s="1"/>
  <c r="A484" i="8"/>
  <c r="B264" i="13" s="1"/>
  <c r="K483" i="8"/>
  <c r="E288" i="13" s="1"/>
  <c r="G483" i="8"/>
  <c r="B288" i="13" s="1"/>
  <c r="A483" i="8"/>
  <c r="K482" i="8"/>
  <c r="E287" i="13" s="1"/>
  <c r="A482" i="8"/>
  <c r="B262" i="13" s="1"/>
  <c r="K481" i="8"/>
  <c r="E286" i="13" s="1"/>
  <c r="G481" i="8"/>
  <c r="B286" i="13" s="1"/>
  <c r="A481" i="8"/>
  <c r="B261" i="13" s="1"/>
  <c r="K480" i="8"/>
  <c r="E285" i="13" s="1"/>
  <c r="G480" i="8"/>
  <c r="B285" i="13" s="1"/>
  <c r="D480" i="8"/>
  <c r="E260" i="13" s="1"/>
  <c r="A480" i="8"/>
  <c r="B260" i="13" s="1"/>
  <c r="K479" i="8"/>
  <c r="E284" i="13" s="1"/>
  <c r="G479" i="8"/>
  <c r="B284" i="13" s="1"/>
  <c r="D479" i="8"/>
  <c r="E259" i="13" s="1"/>
  <c r="A479" i="8"/>
  <c r="B259" i="13" s="1"/>
  <c r="L478" i="8"/>
  <c r="K478" i="8"/>
  <c r="E283" i="13" s="1"/>
  <c r="G478" i="8"/>
  <c r="B283" i="13" s="1"/>
  <c r="D478" i="8"/>
  <c r="E258" i="13" s="1"/>
  <c r="A478" i="8"/>
  <c r="B258" i="13" s="1"/>
  <c r="C474" i="8"/>
  <c r="C473" i="8"/>
  <c r="C472" i="8"/>
  <c r="C471" i="8"/>
  <c r="D470" i="8"/>
  <c r="C470" i="8"/>
  <c r="C468" i="8"/>
  <c r="C467" i="8"/>
  <c r="C466" i="8"/>
  <c r="C499" i="8" s="1"/>
  <c r="D465" i="8"/>
  <c r="D464" i="8"/>
  <c r="D463" i="8"/>
  <c r="C461" i="8"/>
  <c r="C459" i="8"/>
  <c r="C458" i="8"/>
  <c r="C456" i="8"/>
  <c r="C455" i="8"/>
  <c r="C452" i="8"/>
  <c r="C451" i="8"/>
  <c r="C449" i="8"/>
  <c r="C448" i="8"/>
  <c r="C447" i="8"/>
  <c r="C446" i="8"/>
  <c r="D446" i="8" s="1"/>
  <c r="D445" i="8"/>
  <c r="C445" i="8"/>
  <c r="C444" i="8"/>
  <c r="D444" i="8" s="1"/>
  <c r="H442" i="8"/>
  <c r="J478" i="8" s="1"/>
  <c r="D283" i="13" s="1"/>
  <c r="G442" i="8"/>
  <c r="D433" i="8"/>
  <c r="E2361" i="13" s="1"/>
  <c r="E2354" i="15" s="1"/>
  <c r="G2354" i="15" s="1"/>
  <c r="B433" i="8"/>
  <c r="A433" i="8"/>
  <c r="B2361" i="13" s="1"/>
  <c r="B2354" i="15" s="1"/>
  <c r="B432" i="8"/>
  <c r="A432" i="8"/>
  <c r="B2360" i="13" s="1"/>
  <c r="B2353" i="15" s="1"/>
  <c r="B431" i="8"/>
  <c r="C430" i="8"/>
  <c r="D2358" i="13" s="1"/>
  <c r="B430" i="8"/>
  <c r="K429" i="8"/>
  <c r="E254" i="13" s="1"/>
  <c r="G429" i="8"/>
  <c r="B254" i="13" s="1"/>
  <c r="C429" i="8"/>
  <c r="D2357" i="13" s="1"/>
  <c r="B429" i="8"/>
  <c r="M428" i="8"/>
  <c r="K428" i="8"/>
  <c r="E235" i="13" s="1"/>
  <c r="G428" i="8"/>
  <c r="B235" i="13" s="1"/>
  <c r="D428" i="8"/>
  <c r="E2449" i="13" s="1"/>
  <c r="E2441" i="15" s="1"/>
  <c r="G2441" i="15" s="1"/>
  <c r="B428" i="8"/>
  <c r="M427" i="8"/>
  <c r="G427" i="8"/>
  <c r="B234" i="13" s="1"/>
  <c r="B427" i="8"/>
  <c r="C233" i="13" s="1"/>
  <c r="B426" i="8"/>
  <c r="C232" i="13" s="1"/>
  <c r="K425" i="8"/>
  <c r="E253" i="13" s="1"/>
  <c r="B425" i="8"/>
  <c r="C231" i="13" s="1"/>
  <c r="K424" i="8"/>
  <c r="E252" i="13" s="1"/>
  <c r="B424" i="8"/>
  <c r="C230" i="13" s="1"/>
  <c r="K423" i="8"/>
  <c r="E251" i="13" s="1"/>
  <c r="B423" i="8"/>
  <c r="C229" i="13" s="1"/>
  <c r="K422" i="8"/>
  <c r="E250" i="13" s="1"/>
  <c r="B422" i="8"/>
  <c r="C228" i="13" s="1"/>
  <c r="K421" i="8"/>
  <c r="E249" i="13" s="1"/>
  <c r="B421" i="8"/>
  <c r="C227" i="13" s="1"/>
  <c r="K420" i="8"/>
  <c r="E248" i="13" s="1"/>
  <c r="B420" i="8"/>
  <c r="C226" i="13" s="1"/>
  <c r="K419" i="8"/>
  <c r="E247" i="13" s="1"/>
  <c r="B419" i="8"/>
  <c r="C225" i="13" s="1"/>
  <c r="K418" i="8"/>
  <c r="E246" i="13" s="1"/>
  <c r="B418" i="8"/>
  <c r="C224" i="13" s="1"/>
  <c r="K417" i="8"/>
  <c r="E245" i="13" s="1"/>
  <c r="B417" i="8"/>
  <c r="C223" i="13" s="1"/>
  <c r="K416" i="8"/>
  <c r="E244" i="13" s="1"/>
  <c r="B416" i="8"/>
  <c r="C222" i="13" s="1"/>
  <c r="B415" i="8"/>
  <c r="C221" i="13" s="1"/>
  <c r="K414" i="8"/>
  <c r="E243" i="13" s="1"/>
  <c r="K413" i="8"/>
  <c r="E242" i="13" s="1"/>
  <c r="B413" i="8"/>
  <c r="C220" i="13" s="1"/>
  <c r="K412" i="8"/>
  <c r="E241" i="13" s="1"/>
  <c r="B412" i="8"/>
  <c r="C219" i="13" s="1"/>
  <c r="K411" i="8"/>
  <c r="E240" i="13" s="1"/>
  <c r="D411" i="8"/>
  <c r="E218" i="13" s="1"/>
  <c r="A411" i="8"/>
  <c r="B218" i="13" s="1"/>
  <c r="K410" i="8"/>
  <c r="E239" i="13" s="1"/>
  <c r="G410" i="8"/>
  <c r="B239" i="13" s="1"/>
  <c r="A410" i="8"/>
  <c r="K409" i="8"/>
  <c r="E238" i="13" s="1"/>
  <c r="G409" i="8"/>
  <c r="B238" i="13" s="1"/>
  <c r="D409" i="8"/>
  <c r="E216" i="13" s="1"/>
  <c r="A409" i="8"/>
  <c r="B216" i="13" s="1"/>
  <c r="C405" i="8"/>
  <c r="C404" i="8"/>
  <c r="C340" i="8" s="1"/>
  <c r="C403" i="8"/>
  <c r="C402" i="8"/>
  <c r="D400" i="8"/>
  <c r="C400" i="8"/>
  <c r="C336" i="8" s="1"/>
  <c r="C395" i="8"/>
  <c r="D392" i="8"/>
  <c r="C397" i="8" s="1"/>
  <c r="C391" i="8"/>
  <c r="C390" i="8"/>
  <c r="C389" i="8"/>
  <c r="D388" i="8"/>
  <c r="C385" i="8"/>
  <c r="C384" i="8"/>
  <c r="C383" i="8"/>
  <c r="C382" i="8"/>
  <c r="C381" i="8"/>
  <c r="C380" i="8"/>
  <c r="C379" i="8"/>
  <c r="C378" i="8"/>
  <c r="H375" i="8"/>
  <c r="G375" i="8"/>
  <c r="J428" i="8" s="1"/>
  <c r="D235" i="13" s="1"/>
  <c r="D366" i="8"/>
  <c r="E2356" i="13" s="1"/>
  <c r="E2349" i="15" s="1"/>
  <c r="G2349" i="15" s="1"/>
  <c r="C366" i="8"/>
  <c r="A366" i="8"/>
  <c r="B2356" i="13" s="1"/>
  <c r="B2349" i="15" s="1"/>
  <c r="D365" i="8"/>
  <c r="E2355" i="13" s="1"/>
  <c r="E2348" i="15" s="1"/>
  <c r="G2348" i="15" s="1"/>
  <c r="C365" i="8"/>
  <c r="A365" i="8"/>
  <c r="B2355" i="13" s="1"/>
  <c r="B2348" i="15" s="1"/>
  <c r="D364" i="8"/>
  <c r="E2354" i="13" s="1"/>
  <c r="E2347" i="15" s="1"/>
  <c r="G2347" i="15" s="1"/>
  <c r="C364" i="8"/>
  <c r="A364" i="8"/>
  <c r="B2354" i="13" s="1"/>
  <c r="B2347" i="15" s="1"/>
  <c r="K363" i="8"/>
  <c r="E212" i="13" s="1"/>
  <c r="G363" i="8"/>
  <c r="B212" i="13" s="1"/>
  <c r="C363" i="8"/>
  <c r="D2353" i="13" s="1"/>
  <c r="A363" i="8"/>
  <c r="M362" i="8"/>
  <c r="G362" i="8"/>
  <c r="C362" i="8"/>
  <c r="D2352" i="13" s="1"/>
  <c r="A362" i="8"/>
  <c r="M361" i="8"/>
  <c r="G361" i="8"/>
  <c r="D361" i="8"/>
  <c r="E2448" i="13" s="1"/>
  <c r="E2440" i="15" s="1"/>
  <c r="G2440" i="15" s="1"/>
  <c r="C361" i="8"/>
  <c r="D2448" i="13" s="1"/>
  <c r="A361" i="8"/>
  <c r="A360" i="8"/>
  <c r="A427" i="8" s="1"/>
  <c r="B233" i="13" s="1"/>
  <c r="K359" i="8"/>
  <c r="E211" i="13" s="1"/>
  <c r="D359" i="8"/>
  <c r="E192" i="13" s="1"/>
  <c r="A359" i="8"/>
  <c r="B192" i="13" s="1"/>
  <c r="K358" i="8"/>
  <c r="E210" i="13" s="1"/>
  <c r="D358" i="8"/>
  <c r="A358" i="8"/>
  <c r="B191" i="13" s="1"/>
  <c r="K357" i="8"/>
  <c r="E209" i="13" s="1"/>
  <c r="D357" i="8"/>
  <c r="E190" i="13" s="1"/>
  <c r="A357" i="8"/>
  <c r="B190" i="13" s="1"/>
  <c r="K356" i="8"/>
  <c r="E208" i="13" s="1"/>
  <c r="D356" i="8"/>
  <c r="E189" i="13" s="1"/>
  <c r="A356" i="8"/>
  <c r="K355" i="8"/>
  <c r="E207" i="13" s="1"/>
  <c r="A355" i="8"/>
  <c r="B188" i="13" s="1"/>
  <c r="K354" i="8"/>
  <c r="E206" i="13" s="1"/>
  <c r="D354" i="8"/>
  <c r="A354" i="8"/>
  <c r="B187" i="13" s="1"/>
  <c r="K353" i="8"/>
  <c r="E205" i="13" s="1"/>
  <c r="D353" i="8"/>
  <c r="E186" i="13" s="1"/>
  <c r="A353" i="8"/>
  <c r="B186" i="13" s="1"/>
  <c r="K352" i="8"/>
  <c r="E204" i="13" s="1"/>
  <c r="D352" i="8"/>
  <c r="E185" i="13" s="1"/>
  <c r="A352" i="8"/>
  <c r="K351" i="8"/>
  <c r="E203" i="13" s="1"/>
  <c r="D351" i="8"/>
  <c r="E184" i="13" s="1"/>
  <c r="A351" i="8"/>
  <c r="B184" i="13" s="1"/>
  <c r="K350" i="8"/>
  <c r="E202" i="13" s="1"/>
  <c r="D350" i="8"/>
  <c r="A350" i="8"/>
  <c r="B183" i="13" s="1"/>
  <c r="A349" i="8"/>
  <c r="B182" i="13" s="1"/>
  <c r="K348" i="8"/>
  <c r="E201" i="13" s="1"/>
  <c r="A348" i="8"/>
  <c r="B181" i="13" s="1"/>
  <c r="K347" i="8"/>
  <c r="E200" i="13" s="1"/>
  <c r="K346" i="8"/>
  <c r="E199" i="13" s="1"/>
  <c r="D346" i="8"/>
  <c r="E180" i="13" s="1"/>
  <c r="A346" i="8"/>
  <c r="B180" i="13" s="1"/>
  <c r="K345" i="8"/>
  <c r="E198" i="13" s="1"/>
  <c r="D345" i="8"/>
  <c r="A345" i="8"/>
  <c r="B179" i="13" s="1"/>
  <c r="C341" i="8"/>
  <c r="D339" i="8"/>
  <c r="C339" i="8"/>
  <c r="C338" i="8"/>
  <c r="D336" i="8"/>
  <c r="C334" i="8"/>
  <c r="D332" i="8"/>
  <c r="C329" i="8"/>
  <c r="C328" i="8"/>
  <c r="C327" i="8"/>
  <c r="C326" i="8"/>
  <c r="C325" i="8"/>
  <c r="C324" i="8"/>
  <c r="C323" i="8"/>
  <c r="C322" i="8"/>
  <c r="H319" i="8"/>
  <c r="J345" i="8" s="1"/>
  <c r="D198" i="13" s="1"/>
  <c r="G319" i="8"/>
  <c r="J362" i="8" s="1"/>
  <c r="D195" i="13" s="1"/>
  <c r="I310" i="8"/>
  <c r="C175" i="13" s="1"/>
  <c r="G310" i="8"/>
  <c r="B175" i="13" s="1"/>
  <c r="J309" i="8"/>
  <c r="I308" i="8"/>
  <c r="C173" i="13" s="1"/>
  <c r="G308" i="8"/>
  <c r="B173" i="13" s="1"/>
  <c r="A308" i="8"/>
  <c r="B164" i="13" s="1"/>
  <c r="J307" i="8"/>
  <c r="D307" i="8"/>
  <c r="E163" i="13" s="1"/>
  <c r="A307" i="8"/>
  <c r="B163" i="13" s="1"/>
  <c r="I306" i="8"/>
  <c r="C171" i="13" s="1"/>
  <c r="G306" i="8"/>
  <c r="B171" i="13" s="1"/>
  <c r="C306" i="8"/>
  <c r="D162" i="13" s="1"/>
  <c r="B306" i="8"/>
  <c r="C162" i="13" s="1"/>
  <c r="A306" i="8"/>
  <c r="B162" i="13" s="1"/>
  <c r="K305" i="8"/>
  <c r="E170" i="13" s="1"/>
  <c r="J305" i="8"/>
  <c r="G305" i="8"/>
  <c r="B170" i="13" s="1"/>
  <c r="A305" i="8"/>
  <c r="B161" i="13" s="1"/>
  <c r="B303" i="8"/>
  <c r="J308" i="8" s="1"/>
  <c r="D173" i="13" s="1"/>
  <c r="A303" i="8"/>
  <c r="B302" i="8"/>
  <c r="H159" i="13" s="1"/>
  <c r="A302" i="8"/>
  <c r="B301" i="8"/>
  <c r="C308" i="8" s="1"/>
  <c r="B299" i="8"/>
  <c r="C305" i="8" s="1"/>
  <c r="A299" i="8"/>
  <c r="B298" i="8"/>
  <c r="J310" i="8" s="1"/>
  <c r="D175" i="13" s="1"/>
  <c r="K296" i="8"/>
  <c r="I296" i="8"/>
  <c r="C157" i="13" s="1"/>
  <c r="G296" i="8"/>
  <c r="B157" i="13" s="1"/>
  <c r="I295" i="8"/>
  <c r="C156" i="13" s="1"/>
  <c r="G295" i="8"/>
  <c r="B295" i="8"/>
  <c r="B310" i="8" s="1"/>
  <c r="C166" i="13" s="1"/>
  <c r="K294" i="8"/>
  <c r="E155" i="13" s="1"/>
  <c r="I294" i="8"/>
  <c r="C155" i="13" s="1"/>
  <c r="G294" i="8"/>
  <c r="B155" i="13" s="1"/>
  <c r="B294" i="8"/>
  <c r="B309" i="8" s="1"/>
  <c r="C165" i="13" s="1"/>
  <c r="A294" i="8"/>
  <c r="B147" i="13" s="1"/>
  <c r="I293" i="8"/>
  <c r="C154" i="13" s="1"/>
  <c r="G293" i="8"/>
  <c r="D293" i="8"/>
  <c r="E146" i="13" s="1"/>
  <c r="B293" i="8"/>
  <c r="B308" i="8" s="1"/>
  <c r="C164" i="13" s="1"/>
  <c r="A293" i="8"/>
  <c r="B146" i="13" s="1"/>
  <c r="K292" i="8"/>
  <c r="E153" i="13" s="1"/>
  <c r="I292" i="8"/>
  <c r="C153" i="13" s="1"/>
  <c r="G292" i="8"/>
  <c r="B153" i="13" s="1"/>
  <c r="B292" i="8"/>
  <c r="B307" i="8" s="1"/>
  <c r="C163" i="13" s="1"/>
  <c r="A292" i="8"/>
  <c r="B145" i="13" s="1"/>
  <c r="I291" i="8"/>
  <c r="C152" i="13" s="1"/>
  <c r="G291" i="8"/>
  <c r="B152" i="13" s="1"/>
  <c r="B291" i="8"/>
  <c r="A291" i="8"/>
  <c r="I290" i="8"/>
  <c r="C151" i="13" s="1"/>
  <c r="G290" i="8"/>
  <c r="B290" i="8"/>
  <c r="B305" i="8" s="1"/>
  <c r="C161" i="13" s="1"/>
  <c r="A290" i="8"/>
  <c r="B143" i="13" s="1"/>
  <c r="B288" i="8"/>
  <c r="B287" i="8"/>
  <c r="H141" i="13" s="1"/>
  <c r="B286" i="8"/>
  <c r="A286" i="8"/>
  <c r="A301" i="8" s="1"/>
  <c r="B285" i="8"/>
  <c r="A285" i="8"/>
  <c r="A300" i="8" s="1"/>
  <c r="B284" i="8"/>
  <c r="C290" i="8" s="1"/>
  <c r="A284" i="8"/>
  <c r="B283" i="8"/>
  <c r="C291" i="8" s="1"/>
  <c r="A283" i="8"/>
  <c r="A298" i="8" s="1"/>
  <c r="D280" i="8"/>
  <c r="E2469" i="13" s="1"/>
  <c r="E2461" i="15" s="1"/>
  <c r="G2461" i="15" s="1"/>
  <c r="C280" i="8"/>
  <c r="D2469" i="13" s="1"/>
  <c r="B280" i="8"/>
  <c r="C2469" i="13" s="1"/>
  <c r="C2461" i="15" s="1"/>
  <c r="A280" i="8"/>
  <c r="B2469" i="13" s="1"/>
  <c r="B2461" i="15" s="1"/>
  <c r="D279" i="8"/>
  <c r="E2422" i="13" s="1"/>
  <c r="E2414" i="15" s="1"/>
  <c r="G2414" i="15" s="1"/>
  <c r="C279" i="8"/>
  <c r="B279" i="8"/>
  <c r="A279" i="8"/>
  <c r="B2422" i="13" s="1"/>
  <c r="B2414" i="15" s="1"/>
  <c r="D278" i="8"/>
  <c r="C278" i="8"/>
  <c r="D2421" i="13" s="1"/>
  <c r="B278" i="8"/>
  <c r="A278" i="8"/>
  <c r="B2421" i="13" s="1"/>
  <c r="B2413" i="15" s="1"/>
  <c r="K277" i="8"/>
  <c r="E139" i="13" s="1"/>
  <c r="D277" i="8"/>
  <c r="C277" i="8"/>
  <c r="D2420" i="13" s="1"/>
  <c r="B277" i="8"/>
  <c r="A277" i="8"/>
  <c r="B2420" i="13" s="1"/>
  <c r="B2412" i="15" s="1"/>
  <c r="K276" i="8"/>
  <c r="E138" i="13" s="1"/>
  <c r="D276" i="8"/>
  <c r="B276" i="8"/>
  <c r="C130" i="13" s="1"/>
  <c r="A276" i="8"/>
  <c r="B130" i="13" s="1"/>
  <c r="K275" i="8"/>
  <c r="E137" i="13" s="1"/>
  <c r="D275" i="8"/>
  <c r="E129" i="13" s="1"/>
  <c r="A275" i="8"/>
  <c r="B129" i="13" s="1"/>
  <c r="K274" i="8"/>
  <c r="D274" i="8"/>
  <c r="E128" i="13" s="1"/>
  <c r="K273" i="8"/>
  <c r="E135" i="13" s="1"/>
  <c r="A273" i="8"/>
  <c r="B127" i="13" s="1"/>
  <c r="D272" i="8"/>
  <c r="E126" i="13" s="1"/>
  <c r="A272" i="8"/>
  <c r="B126" i="13" s="1"/>
  <c r="K271" i="8"/>
  <c r="C271" i="8"/>
  <c r="D268" i="8"/>
  <c r="F267" i="8"/>
  <c r="D267" i="8"/>
  <c r="A267" i="8"/>
  <c r="E266" i="8"/>
  <c r="D266" i="8"/>
  <c r="K272" i="8" s="1"/>
  <c r="E134" i="13" s="1"/>
  <c r="A266" i="8"/>
  <c r="D265" i="8"/>
  <c r="H264" i="8"/>
  <c r="H260" i="8"/>
  <c r="J271" i="8" s="1"/>
  <c r="G260" i="8"/>
  <c r="D271" i="8" s="1"/>
  <c r="D253" i="8"/>
  <c r="B253" i="8"/>
  <c r="F250" i="8"/>
  <c r="L249" i="8"/>
  <c r="L250" i="8" s="1"/>
  <c r="L248" i="8"/>
  <c r="F248" i="8"/>
  <c r="L245" i="8"/>
  <c r="F245" i="8"/>
  <c r="L244" i="8"/>
  <c r="F244" i="8"/>
  <c r="L243" i="8"/>
  <c r="F243" i="8"/>
  <c r="L242" i="8"/>
  <c r="L246" i="8" s="1"/>
  <c r="F242" i="8"/>
  <c r="F246" i="8" s="1"/>
  <c r="E234" i="8"/>
  <c r="C229" i="8"/>
  <c r="C228" i="8"/>
  <c r="C227" i="8"/>
  <c r="C226" i="8"/>
  <c r="C231" i="8" s="1"/>
  <c r="E225" i="8"/>
  <c r="D225" i="8"/>
  <c r="E224" i="8"/>
  <c r="D224" i="8"/>
  <c r="E223" i="8"/>
  <c r="D223" i="8"/>
  <c r="C222" i="8"/>
  <c r="C221" i="8"/>
  <c r="C218" i="8"/>
  <c r="C217" i="8"/>
  <c r="C216" i="8"/>
  <c r="C215" i="8"/>
  <c r="D213" i="8"/>
  <c r="E209" i="8"/>
  <c r="D204" i="8"/>
  <c r="E199" i="8"/>
  <c r="F195" i="8"/>
  <c r="E195" i="8"/>
  <c r="D195" i="8"/>
  <c r="C195" i="8"/>
  <c r="F194" i="8"/>
  <c r="E194" i="8"/>
  <c r="D194" i="8"/>
  <c r="C194" i="8"/>
  <c r="F193" i="8"/>
  <c r="E193" i="8"/>
  <c r="D193" i="8"/>
  <c r="E192" i="8"/>
  <c r="F192" i="8" s="1"/>
  <c r="D192" i="8"/>
  <c r="E191" i="8"/>
  <c r="D191" i="8"/>
  <c r="F191" i="8" s="1"/>
  <c r="C196" i="8" s="1"/>
  <c r="C191" i="8"/>
  <c r="E177" i="8"/>
  <c r="D177" i="8"/>
  <c r="E176" i="8"/>
  <c r="D176" i="8"/>
  <c r="E175" i="8"/>
  <c r="D175" i="8"/>
  <c r="C174" i="8"/>
  <c r="C173" i="8"/>
  <c r="E168" i="8"/>
  <c r="D165" i="8"/>
  <c r="D164" i="8"/>
  <c r="E162" i="8"/>
  <c r="G160" i="8"/>
  <c r="F160" i="8"/>
  <c r="E160" i="8"/>
  <c r="D160" i="8"/>
  <c r="G159" i="8"/>
  <c r="F158" i="8"/>
  <c r="D158" i="8"/>
  <c r="G158" i="8" s="1"/>
  <c r="G157" i="8"/>
  <c r="F157" i="8"/>
  <c r="E157" i="8"/>
  <c r="D157" i="8"/>
  <c r="G156" i="8"/>
  <c r="F156" i="8"/>
  <c r="E156" i="8"/>
  <c r="D156" i="8"/>
  <c r="G155" i="8"/>
  <c r="F155" i="8"/>
  <c r="E155" i="8"/>
  <c r="D155" i="8"/>
  <c r="E152" i="8"/>
  <c r="D152" i="8"/>
  <c r="F152" i="8" s="1"/>
  <c r="F151" i="8"/>
  <c r="D151" i="8"/>
  <c r="E150" i="8"/>
  <c r="D150" i="8"/>
  <c r="F150" i="8" s="1"/>
  <c r="E149" i="8"/>
  <c r="D149" i="8"/>
  <c r="F149" i="8" s="1"/>
  <c r="F148" i="8"/>
  <c r="E148" i="8"/>
  <c r="D148" i="8"/>
  <c r="E147" i="8"/>
  <c r="F147" i="8" s="1"/>
  <c r="D147" i="8"/>
  <c r="D145" i="8"/>
  <c r="F138" i="8"/>
  <c r="E138" i="8"/>
  <c r="F137" i="8"/>
  <c r="E137" i="8"/>
  <c r="F136" i="8"/>
  <c r="E136" i="8"/>
  <c r="D134" i="8"/>
  <c r="F129" i="8"/>
  <c r="F128" i="8"/>
  <c r="F126" i="8"/>
  <c r="E120" i="8"/>
  <c r="E118" i="8"/>
  <c r="E117" i="8"/>
  <c r="F116" i="8"/>
  <c r="F115" i="8"/>
  <c r="G113" i="8"/>
  <c r="E102" i="8"/>
  <c r="E101" i="8"/>
  <c r="E98" i="8"/>
  <c r="G93" i="8"/>
  <c r="E81" i="8"/>
  <c r="E80" i="8"/>
  <c r="E77" i="8"/>
  <c r="G75" i="8"/>
  <c r="F71" i="8"/>
  <c r="D70" i="8"/>
  <c r="D66" i="8"/>
  <c r="D65" i="8"/>
  <c r="E64" i="8"/>
  <c r="F64" i="8" s="1"/>
  <c r="D64" i="8"/>
  <c r="E63" i="8"/>
  <c r="D63" i="8"/>
  <c r="F63" i="8" s="1"/>
  <c r="E62" i="8"/>
  <c r="D62" i="8"/>
  <c r="F62" i="8" s="1"/>
  <c r="F61" i="8"/>
  <c r="E61" i="8"/>
  <c r="D61" i="8"/>
  <c r="E60" i="8"/>
  <c r="F60" i="8" s="1"/>
  <c r="D60" i="8"/>
  <c r="E59" i="8"/>
  <c r="D59" i="8"/>
  <c r="F59" i="8" s="1"/>
  <c r="E58" i="8"/>
  <c r="D58" i="8"/>
  <c r="F58" i="8" s="1"/>
  <c r="F57" i="8"/>
  <c r="E57" i="8"/>
  <c r="D57" i="8"/>
  <c r="E56" i="8"/>
  <c r="F56" i="8" s="1"/>
  <c r="D56" i="8"/>
  <c r="E55" i="8"/>
  <c r="D55" i="8"/>
  <c r="F55" i="8" s="1"/>
  <c r="E54" i="8"/>
  <c r="D54" i="8"/>
  <c r="F54" i="8" s="1"/>
  <c r="F53" i="8"/>
  <c r="E53" i="8"/>
  <c r="D53" i="8"/>
  <c r="E52" i="8"/>
  <c r="F52" i="8" s="1"/>
  <c r="D52" i="8"/>
  <c r="E51" i="8"/>
  <c r="D51" i="8"/>
  <c r="F51" i="8" s="1"/>
  <c r="E50" i="8"/>
  <c r="D50" i="8"/>
  <c r="F50" i="8" s="1"/>
  <c r="F49" i="8"/>
  <c r="E49" i="8"/>
  <c r="D49" i="8"/>
  <c r="E48" i="8"/>
  <c r="F48" i="8" s="1"/>
  <c r="D48" i="8"/>
  <c r="E47" i="8"/>
  <c r="D47" i="8"/>
  <c r="F47" i="8" s="1"/>
  <c r="E46" i="8"/>
  <c r="D46" i="8"/>
  <c r="F46" i="8" s="1"/>
  <c r="F45" i="8"/>
  <c r="E45" i="8"/>
  <c r="D45" i="8"/>
  <c r="E44" i="8"/>
  <c r="F44" i="8" s="1"/>
  <c r="D44" i="8"/>
  <c r="E43" i="8"/>
  <c r="D43" i="8"/>
  <c r="F43" i="8" s="1"/>
  <c r="E42" i="8"/>
  <c r="D42" i="8"/>
  <c r="F42" i="8" s="1"/>
  <c r="F41" i="8"/>
  <c r="E41" i="8"/>
  <c r="D41" i="8"/>
  <c r="E40" i="8"/>
  <c r="F40" i="8" s="1"/>
  <c r="D40" i="8"/>
  <c r="E39" i="8"/>
  <c r="D39" i="8"/>
  <c r="F39" i="8" s="1"/>
  <c r="E38" i="8"/>
  <c r="D38" i="8"/>
  <c r="F38" i="8" s="1"/>
  <c r="F37" i="8"/>
  <c r="E37" i="8"/>
  <c r="D37" i="8"/>
  <c r="E36" i="8"/>
  <c r="F36" i="8" s="1"/>
  <c r="D36" i="8"/>
  <c r="E35" i="8"/>
  <c r="D35" i="8"/>
  <c r="F35" i="8" s="1"/>
  <c r="E34" i="8"/>
  <c r="D34" i="8"/>
  <c r="F34" i="8" s="1"/>
  <c r="F33" i="8"/>
  <c r="E33" i="8"/>
  <c r="D33" i="8"/>
  <c r="G29" i="8"/>
  <c r="F29" i="8"/>
  <c r="E29" i="8"/>
  <c r="D29" i="8"/>
  <c r="G28" i="8"/>
  <c r="F28" i="8"/>
  <c r="E28" i="8"/>
  <c r="D28" i="8"/>
  <c r="G27" i="8"/>
  <c r="G30" i="8" s="1"/>
  <c r="F27" i="8"/>
  <c r="E27" i="8"/>
  <c r="D27" i="8"/>
  <c r="F24" i="8"/>
  <c r="E24" i="8"/>
  <c r="D24" i="8"/>
  <c r="G24" i="8" s="1"/>
  <c r="F23" i="8"/>
  <c r="E23" i="8"/>
  <c r="D23" i="8"/>
  <c r="G23" i="8" s="1"/>
  <c r="F22" i="8"/>
  <c r="E22" i="8"/>
  <c r="D22" i="8"/>
  <c r="G22" i="8" s="1"/>
  <c r="F21" i="8"/>
  <c r="E21" i="8"/>
  <c r="D21" i="8"/>
  <c r="G21" i="8" s="1"/>
  <c r="G25" i="8" s="1"/>
  <c r="F18" i="8"/>
  <c r="E18" i="8"/>
  <c r="G18" i="8" s="1"/>
  <c r="D18" i="8"/>
  <c r="F17" i="8"/>
  <c r="E17" i="8"/>
  <c r="G17" i="8" s="1"/>
  <c r="D17" i="8"/>
  <c r="F16" i="8"/>
  <c r="E16" i="8"/>
  <c r="G16" i="8" s="1"/>
  <c r="D16" i="8"/>
  <c r="F15" i="8"/>
  <c r="E15" i="8"/>
  <c r="G15" i="8" s="1"/>
  <c r="D15" i="8"/>
  <c r="E8" i="8"/>
  <c r="E97" i="8" s="1"/>
  <c r="E7" i="8"/>
  <c r="E6" i="8"/>
  <c r="E5" i="8"/>
  <c r="E4" i="8"/>
  <c r="E78" i="8" s="1"/>
  <c r="E83" i="8" s="1"/>
  <c r="E3" i="8"/>
  <c r="E2" i="8"/>
  <c r="E367" i="7"/>
  <c r="E1247" i="13" s="1"/>
  <c r="A367" i="7"/>
  <c r="B1247" i="13" s="1"/>
  <c r="E366" i="7"/>
  <c r="E1246" i="13" s="1"/>
  <c r="A366" i="7"/>
  <c r="B1246" i="13" s="1"/>
  <c r="E365" i="7"/>
  <c r="E1245" i="13" s="1"/>
  <c r="A365" i="7"/>
  <c r="B1245" i="13" s="1"/>
  <c r="B336" i="7"/>
  <c r="C1177" i="13" s="1"/>
  <c r="B334" i="7"/>
  <c r="C1175" i="13" s="1"/>
  <c r="A334" i="7"/>
  <c r="B328" i="7"/>
  <c r="C1169" i="13" s="1"/>
  <c r="B326" i="7"/>
  <c r="C1167" i="13" s="1"/>
  <c r="A326" i="7"/>
  <c r="B324" i="7"/>
  <c r="C1165" i="13" s="1"/>
  <c r="B322" i="7"/>
  <c r="C1163" i="13" s="1"/>
  <c r="A322" i="7"/>
  <c r="E317" i="7"/>
  <c r="E1161" i="13" s="1"/>
  <c r="B317" i="7"/>
  <c r="C1161" i="13" s="1"/>
  <c r="A317" i="7"/>
  <c r="B1161" i="13" s="1"/>
  <c r="B316" i="7"/>
  <c r="B315" i="7"/>
  <c r="C1159" i="13" s="1"/>
  <c r="B314" i="7"/>
  <c r="E313" i="7"/>
  <c r="E1157" i="13" s="1"/>
  <c r="B313" i="7"/>
  <c r="C1157" i="13" s="1"/>
  <c r="A313" i="7"/>
  <c r="B1157" i="13" s="1"/>
  <c r="B312" i="7"/>
  <c r="B311" i="7"/>
  <c r="C1155" i="13" s="1"/>
  <c r="B310" i="7"/>
  <c r="E309" i="7"/>
  <c r="E1153" i="13" s="1"/>
  <c r="B309" i="7"/>
  <c r="C1153" i="13" s="1"/>
  <c r="A309" i="7"/>
  <c r="B1153" i="13" s="1"/>
  <c r="B308" i="7"/>
  <c r="B307" i="7"/>
  <c r="C1151" i="13" s="1"/>
  <c r="B306" i="7"/>
  <c r="E305" i="7"/>
  <c r="E1149" i="13" s="1"/>
  <c r="B305" i="7"/>
  <c r="C1149" i="13" s="1"/>
  <c r="A305" i="7"/>
  <c r="B1149" i="13" s="1"/>
  <c r="B304" i="7"/>
  <c r="B303" i="7"/>
  <c r="C1147" i="13" s="1"/>
  <c r="B302" i="7"/>
  <c r="E301" i="7"/>
  <c r="E1145" i="13" s="1"/>
  <c r="B301" i="7"/>
  <c r="C1145" i="13" s="1"/>
  <c r="A301" i="7"/>
  <c r="B1145" i="13" s="1"/>
  <c r="B300" i="7"/>
  <c r="B299" i="7"/>
  <c r="C1143" i="13" s="1"/>
  <c r="B298" i="7"/>
  <c r="E297" i="7"/>
  <c r="E1141" i="13" s="1"/>
  <c r="B297" i="7"/>
  <c r="C1141" i="13" s="1"/>
  <c r="A297" i="7"/>
  <c r="B1141" i="13" s="1"/>
  <c r="B296" i="7"/>
  <c r="B295" i="7"/>
  <c r="C1139" i="13" s="1"/>
  <c r="K294" i="7"/>
  <c r="J294" i="7"/>
  <c r="B294" i="7"/>
  <c r="C1138" i="13" s="1"/>
  <c r="B293" i="7"/>
  <c r="B292" i="7"/>
  <c r="C1136" i="13" s="1"/>
  <c r="A292" i="7"/>
  <c r="B1136" i="13" s="1"/>
  <c r="B291" i="7"/>
  <c r="J290" i="7"/>
  <c r="B290" i="7"/>
  <c r="C1134" i="13" s="1"/>
  <c r="J289" i="7"/>
  <c r="E289" i="7"/>
  <c r="E1133" i="13" s="1"/>
  <c r="B289" i="7"/>
  <c r="C1133" i="13" s="1"/>
  <c r="A289" i="7"/>
  <c r="B1133" i="13" s="1"/>
  <c r="B288" i="7"/>
  <c r="J287" i="7"/>
  <c r="B287" i="7"/>
  <c r="C1131" i="13" s="1"/>
  <c r="J286" i="7"/>
  <c r="B286" i="7"/>
  <c r="C1130" i="13" s="1"/>
  <c r="B285" i="7"/>
  <c r="B284" i="7"/>
  <c r="C1128" i="13" s="1"/>
  <c r="A284" i="7"/>
  <c r="B1128" i="13" s="1"/>
  <c r="B283" i="7"/>
  <c r="B282" i="7"/>
  <c r="C1126" i="13" s="1"/>
  <c r="B281" i="7"/>
  <c r="B280" i="7"/>
  <c r="C1124" i="13" s="1"/>
  <c r="A280" i="7"/>
  <c r="B1124" i="13" s="1"/>
  <c r="E276" i="7"/>
  <c r="E1123" i="13" s="1"/>
  <c r="A276" i="7"/>
  <c r="E275" i="7"/>
  <c r="E1122" i="13" s="1"/>
  <c r="A275" i="7"/>
  <c r="B1122" i="13" s="1"/>
  <c r="E274" i="7"/>
  <c r="E1121" i="13" s="1"/>
  <c r="A274" i="7"/>
  <c r="B1121" i="13" s="1"/>
  <c r="E273" i="7"/>
  <c r="A273" i="7"/>
  <c r="B1120" i="13" s="1"/>
  <c r="E272" i="7"/>
  <c r="E1119" i="13" s="1"/>
  <c r="A272" i="7"/>
  <c r="E271" i="7"/>
  <c r="E1118" i="13" s="1"/>
  <c r="A271" i="7"/>
  <c r="B1118" i="13" s="1"/>
  <c r="E270" i="7"/>
  <c r="E1117" i="13" s="1"/>
  <c r="A270" i="7"/>
  <c r="B1117" i="13" s="1"/>
  <c r="E269" i="7"/>
  <c r="A269" i="7"/>
  <c r="B1116" i="13" s="1"/>
  <c r="E268" i="7"/>
  <c r="E1115" i="13" s="1"/>
  <c r="A268" i="7"/>
  <c r="E267" i="7"/>
  <c r="E1114" i="13" s="1"/>
  <c r="A267" i="7"/>
  <c r="B1114" i="13" s="1"/>
  <c r="E266" i="7"/>
  <c r="E1113" i="13" s="1"/>
  <c r="A266" i="7"/>
  <c r="B1113" i="13" s="1"/>
  <c r="E265" i="7"/>
  <c r="A265" i="7"/>
  <c r="B1112" i="13" s="1"/>
  <c r="E264" i="7"/>
  <c r="E1111" i="13" s="1"/>
  <c r="A264" i="7"/>
  <c r="E263" i="7"/>
  <c r="E1110" i="13" s="1"/>
  <c r="A263" i="7"/>
  <c r="B1110" i="13" s="1"/>
  <c r="E262" i="7"/>
  <c r="E1109" i="13" s="1"/>
  <c r="A262" i="7"/>
  <c r="B1109" i="13" s="1"/>
  <c r="E261" i="7"/>
  <c r="A261" i="7"/>
  <c r="B1108" i="13" s="1"/>
  <c r="E260" i="7"/>
  <c r="E1107" i="13" s="1"/>
  <c r="A260" i="7"/>
  <c r="E259" i="7"/>
  <c r="E1106" i="13" s="1"/>
  <c r="A259" i="7"/>
  <c r="B1106" i="13" s="1"/>
  <c r="E258" i="7"/>
  <c r="E1105" i="13" s="1"/>
  <c r="A258" i="7"/>
  <c r="B1105" i="13" s="1"/>
  <c r="E257" i="7"/>
  <c r="A257" i="7"/>
  <c r="B1104" i="13" s="1"/>
  <c r="A256" i="7"/>
  <c r="E255" i="7"/>
  <c r="E1102" i="13" s="1"/>
  <c r="C255" i="7"/>
  <c r="C274" i="7" s="1"/>
  <c r="A255" i="7"/>
  <c r="B1102" i="13" s="1"/>
  <c r="E254" i="7"/>
  <c r="E1101" i="13" s="1"/>
  <c r="A254" i="7"/>
  <c r="B1101" i="13" s="1"/>
  <c r="E253" i="7"/>
  <c r="A253" i="7"/>
  <c r="B1100" i="13" s="1"/>
  <c r="A252" i="7"/>
  <c r="E251" i="7"/>
  <c r="E1098" i="13" s="1"/>
  <c r="C251" i="7"/>
  <c r="C270" i="7" s="1"/>
  <c r="A251" i="7"/>
  <c r="B1098" i="13" s="1"/>
  <c r="E250" i="7"/>
  <c r="E1097" i="13" s="1"/>
  <c r="A250" i="7"/>
  <c r="B1097" i="13" s="1"/>
  <c r="E249" i="7"/>
  <c r="A249" i="7"/>
  <c r="B1096" i="13" s="1"/>
  <c r="A248" i="7"/>
  <c r="A290" i="7" s="1"/>
  <c r="E247" i="7"/>
  <c r="E1094" i="13" s="1"/>
  <c r="C247" i="7"/>
  <c r="C266" i="7" s="1"/>
  <c r="A247" i="7"/>
  <c r="B1094" i="13" s="1"/>
  <c r="E246" i="7"/>
  <c r="E1093" i="13" s="1"/>
  <c r="A246" i="7"/>
  <c r="B1093" i="13" s="1"/>
  <c r="A245" i="7"/>
  <c r="A287" i="7" s="1"/>
  <c r="C244" i="7"/>
  <c r="C263" i="7" s="1"/>
  <c r="A244" i="7"/>
  <c r="E243" i="7"/>
  <c r="E1090" i="13" s="1"/>
  <c r="C243" i="7"/>
  <c r="C262" i="7" s="1"/>
  <c r="A243" i="7"/>
  <c r="B1090" i="13" s="1"/>
  <c r="E242" i="7"/>
  <c r="A242" i="7"/>
  <c r="B1089" i="13" s="1"/>
  <c r="E241" i="7"/>
  <c r="A241" i="7"/>
  <c r="A240" i="7"/>
  <c r="E239" i="7"/>
  <c r="E1086" i="13" s="1"/>
  <c r="C239" i="7"/>
  <c r="C258" i="7" s="1"/>
  <c r="A239" i="7"/>
  <c r="B1086" i="13" s="1"/>
  <c r="E238" i="7"/>
  <c r="A238" i="7"/>
  <c r="B1085" i="13" s="1"/>
  <c r="E231" i="7"/>
  <c r="E2390" i="13" s="1"/>
  <c r="E2383" i="15" s="1"/>
  <c r="G2383" i="15" s="1"/>
  <c r="C231" i="7"/>
  <c r="D231" i="7" s="1"/>
  <c r="D2390" i="13" s="1"/>
  <c r="B231" i="7"/>
  <c r="A231" i="7"/>
  <c r="B2390" i="13" s="1"/>
  <c r="B2383" i="15" s="1"/>
  <c r="E230" i="7"/>
  <c r="E2389" i="13" s="1"/>
  <c r="E2382" i="15" s="1"/>
  <c r="G2382" i="15" s="1"/>
  <c r="D230" i="7"/>
  <c r="C230" i="7"/>
  <c r="B230" i="7"/>
  <c r="A230" i="7"/>
  <c r="B2389" i="13" s="1"/>
  <c r="B2382" i="15" s="1"/>
  <c r="E229" i="7"/>
  <c r="E2388" i="13" s="1"/>
  <c r="E2381" i="15" s="1"/>
  <c r="G2381" i="15" s="1"/>
  <c r="C229" i="7"/>
  <c r="D229" i="7" s="1"/>
  <c r="D2388" i="13" s="1"/>
  <c r="B229" i="7"/>
  <c r="A229" i="7"/>
  <c r="B2388" i="13" s="1"/>
  <c r="B2381" i="15" s="1"/>
  <c r="E226" i="7"/>
  <c r="E2475" i="13" s="1"/>
  <c r="E2467" i="15" s="1"/>
  <c r="G2467" i="15" s="1"/>
  <c r="D226" i="7"/>
  <c r="C226" i="7"/>
  <c r="B226" i="7"/>
  <c r="C2475" i="13" s="1"/>
  <c r="C2467" i="15" s="1"/>
  <c r="A226" i="7"/>
  <c r="B2475" i="13" s="1"/>
  <c r="B2467" i="15" s="1"/>
  <c r="E225" i="7"/>
  <c r="E1084" i="13" s="1"/>
  <c r="A225" i="7"/>
  <c r="B1084" i="13" s="1"/>
  <c r="A224" i="7"/>
  <c r="B1083" i="13" s="1"/>
  <c r="A223" i="7"/>
  <c r="B1082" i="13" s="1"/>
  <c r="L222" i="7"/>
  <c r="A222" i="7"/>
  <c r="B1081" i="13" s="1"/>
  <c r="K221" i="7"/>
  <c r="E1243" i="13" s="1"/>
  <c r="A221" i="7"/>
  <c r="B1080" i="13" s="1"/>
  <c r="L220" i="7"/>
  <c r="E220" i="7"/>
  <c r="E1079" i="13" s="1"/>
  <c r="A220" i="7"/>
  <c r="B1079" i="13" s="1"/>
  <c r="K219" i="7"/>
  <c r="E1242" i="13" s="1"/>
  <c r="A219" i="7"/>
  <c r="B1078" i="13" s="1"/>
  <c r="A218" i="7"/>
  <c r="B1077" i="13" s="1"/>
  <c r="A217" i="7"/>
  <c r="A216" i="7"/>
  <c r="C216" i="7" s="1"/>
  <c r="E215" i="7"/>
  <c r="E1074" i="13" s="1"/>
  <c r="A215" i="7"/>
  <c r="B1074" i="13" s="1"/>
  <c r="E214" i="7"/>
  <c r="E1073" i="13" s="1"/>
  <c r="A214" i="7"/>
  <c r="B1073" i="13" s="1"/>
  <c r="E213" i="7"/>
  <c r="E1072" i="13" s="1"/>
  <c r="C213" i="7"/>
  <c r="E212" i="7"/>
  <c r="E1071" i="13" s="1"/>
  <c r="C212" i="7"/>
  <c r="E211" i="7"/>
  <c r="E1070" i="13" s="1"/>
  <c r="C211" i="7"/>
  <c r="E210" i="7"/>
  <c r="E1069" i="13" s="1"/>
  <c r="C210" i="7"/>
  <c r="E209" i="7"/>
  <c r="E1068" i="13" s="1"/>
  <c r="C209" i="7"/>
  <c r="E208" i="7"/>
  <c r="E1067" i="13" s="1"/>
  <c r="C208" i="7"/>
  <c r="E207" i="7"/>
  <c r="E1066" i="13" s="1"/>
  <c r="C207" i="7"/>
  <c r="E206" i="7"/>
  <c r="E1065" i="13" s="1"/>
  <c r="C206" i="7"/>
  <c r="E205" i="7"/>
  <c r="E1064" i="13" s="1"/>
  <c r="C205" i="7"/>
  <c r="E204" i="7"/>
  <c r="E1063" i="13" s="1"/>
  <c r="C204" i="7"/>
  <c r="E203" i="7"/>
  <c r="E1062" i="13" s="1"/>
  <c r="C203" i="7"/>
  <c r="E202" i="7"/>
  <c r="E1061" i="13" s="1"/>
  <c r="C202" i="7"/>
  <c r="E200" i="7"/>
  <c r="E1059" i="13" s="1"/>
  <c r="C200" i="7"/>
  <c r="E199" i="7"/>
  <c r="E1058" i="13" s="1"/>
  <c r="C199" i="7"/>
  <c r="E197" i="7"/>
  <c r="E1056" i="13" s="1"/>
  <c r="C197" i="7"/>
  <c r="E196" i="7"/>
  <c r="E1055" i="13" s="1"/>
  <c r="C196" i="7"/>
  <c r="E195" i="7"/>
  <c r="E1054" i="13" s="1"/>
  <c r="A195" i="7"/>
  <c r="A194" i="7"/>
  <c r="E189" i="7"/>
  <c r="E1048" i="13" s="1"/>
  <c r="C189" i="7"/>
  <c r="D189" i="7" s="1"/>
  <c r="A189" i="7"/>
  <c r="B1048" i="13" s="1"/>
  <c r="E188" i="7"/>
  <c r="E1047" i="13" s="1"/>
  <c r="C188" i="7"/>
  <c r="D188" i="7" s="1"/>
  <c r="A188" i="7"/>
  <c r="B1047" i="13" s="1"/>
  <c r="E187" i="7"/>
  <c r="E1046" i="13" s="1"/>
  <c r="C187" i="7"/>
  <c r="D187" i="7" s="1"/>
  <c r="A187" i="7"/>
  <c r="B1046" i="13" s="1"/>
  <c r="A184" i="7"/>
  <c r="B1043" i="13" s="1"/>
  <c r="E182" i="7"/>
  <c r="E1041" i="13" s="1"/>
  <c r="C182" i="7"/>
  <c r="E181" i="7"/>
  <c r="E1040" i="13" s="1"/>
  <c r="C181" i="7"/>
  <c r="E180" i="7"/>
  <c r="E1039" i="13" s="1"/>
  <c r="C180" i="7"/>
  <c r="E179" i="7"/>
  <c r="E1038" i="13" s="1"/>
  <c r="C179" i="7"/>
  <c r="E178" i="7"/>
  <c r="E1037" i="13" s="1"/>
  <c r="C178" i="7"/>
  <c r="E177" i="7"/>
  <c r="E1036" i="13" s="1"/>
  <c r="C177" i="7"/>
  <c r="E176" i="7"/>
  <c r="E1035" i="13" s="1"/>
  <c r="E174" i="7"/>
  <c r="E1033" i="13" s="1"/>
  <c r="A174" i="7"/>
  <c r="B1033" i="13" s="1"/>
  <c r="A173" i="7"/>
  <c r="A172" i="7"/>
  <c r="B1031" i="13" s="1"/>
  <c r="E170" i="7"/>
  <c r="E1029" i="13" s="1"/>
  <c r="C169" i="7"/>
  <c r="D169" i="7" s="1"/>
  <c r="F168" i="7"/>
  <c r="C168" i="7"/>
  <c r="D168" i="7" s="1"/>
  <c r="D1027" i="13" s="1"/>
  <c r="C167" i="7"/>
  <c r="D167" i="7" s="1"/>
  <c r="C166" i="7"/>
  <c r="D166" i="7" s="1"/>
  <c r="C165" i="7"/>
  <c r="D165" i="7" s="1"/>
  <c r="C164" i="7"/>
  <c r="D164" i="7" s="1"/>
  <c r="D1023" i="13" s="1"/>
  <c r="D163" i="7"/>
  <c r="D1022" i="13" s="1"/>
  <c r="C163" i="7"/>
  <c r="D162" i="7"/>
  <c r="C162" i="7"/>
  <c r="E161" i="7"/>
  <c r="E1020" i="13" s="1"/>
  <c r="E160" i="7"/>
  <c r="E1019" i="13" s="1"/>
  <c r="D160" i="7"/>
  <c r="J68" i="7" s="1"/>
  <c r="D1229" i="13" s="1"/>
  <c r="A157" i="7"/>
  <c r="C157" i="7" s="1"/>
  <c r="E156" i="7"/>
  <c r="E1017" i="13" s="1"/>
  <c r="C156" i="7"/>
  <c r="A156" i="7"/>
  <c r="B1017" i="13" s="1"/>
  <c r="E155" i="7"/>
  <c r="E1016" i="13" s="1"/>
  <c r="A155" i="7"/>
  <c r="B1016" i="13" s="1"/>
  <c r="E154" i="7"/>
  <c r="E1015" i="13" s="1"/>
  <c r="A154" i="7"/>
  <c r="B1015" i="13" s="1"/>
  <c r="E153" i="7"/>
  <c r="E1014" i="13" s="1"/>
  <c r="A153" i="7"/>
  <c r="B1014" i="13" s="1"/>
  <c r="E152" i="7"/>
  <c r="E1013" i="13" s="1"/>
  <c r="C152" i="7"/>
  <c r="E151" i="7"/>
  <c r="E1012" i="13" s="1"/>
  <c r="C151" i="7"/>
  <c r="E150" i="7"/>
  <c r="E1011" i="13" s="1"/>
  <c r="C150" i="7"/>
  <c r="E149" i="7"/>
  <c r="E1010" i="13" s="1"/>
  <c r="C149" i="7"/>
  <c r="E148" i="7"/>
  <c r="E1009" i="13" s="1"/>
  <c r="C148" i="7"/>
  <c r="E147" i="7"/>
  <c r="E1008" i="13" s="1"/>
  <c r="C147" i="7"/>
  <c r="E146" i="7"/>
  <c r="E1007" i="13" s="1"/>
  <c r="C146" i="7"/>
  <c r="E145" i="7"/>
  <c r="E1006" i="13" s="1"/>
  <c r="C145" i="7"/>
  <c r="E144" i="7"/>
  <c r="E1005" i="13" s="1"/>
  <c r="C144" i="7"/>
  <c r="E143" i="7"/>
  <c r="E1004" i="13" s="1"/>
  <c r="C143" i="7"/>
  <c r="E142" i="7"/>
  <c r="E1003" i="13" s="1"/>
  <c r="C142" i="7"/>
  <c r="E141" i="7"/>
  <c r="E1002" i="13" s="1"/>
  <c r="C141" i="7"/>
  <c r="E140" i="7"/>
  <c r="E1001" i="13" s="1"/>
  <c r="E139" i="7"/>
  <c r="E1000" i="13" s="1"/>
  <c r="C139" i="7"/>
  <c r="E138" i="7"/>
  <c r="E999" i="13" s="1"/>
  <c r="C138" i="7"/>
  <c r="E137" i="7"/>
  <c r="E998" i="13" s="1"/>
  <c r="E136" i="7"/>
  <c r="E997" i="13" s="1"/>
  <c r="C136" i="7"/>
  <c r="E135" i="7"/>
  <c r="E996" i="13" s="1"/>
  <c r="C135" i="7"/>
  <c r="E134" i="7"/>
  <c r="E995" i="13" s="1"/>
  <c r="E132" i="7"/>
  <c r="E993" i="13" s="1"/>
  <c r="E128" i="7"/>
  <c r="E989" i="13" s="1"/>
  <c r="C128" i="7"/>
  <c r="A128" i="7"/>
  <c r="B989" i="13" s="1"/>
  <c r="E127" i="7"/>
  <c r="E988" i="13" s="1"/>
  <c r="C127" i="7"/>
  <c r="A127" i="7"/>
  <c r="B988" i="13" s="1"/>
  <c r="E126" i="7"/>
  <c r="E987" i="13" s="1"/>
  <c r="C126" i="7"/>
  <c r="A126" i="7"/>
  <c r="B987" i="13" s="1"/>
  <c r="A125" i="7"/>
  <c r="B986" i="13" s="1"/>
  <c r="E124" i="7"/>
  <c r="E985" i="13" s="1"/>
  <c r="E123" i="7"/>
  <c r="E984" i="13" s="1"/>
  <c r="C123" i="7"/>
  <c r="E122" i="7"/>
  <c r="E983" i="13" s="1"/>
  <c r="C122" i="7"/>
  <c r="E121" i="7"/>
  <c r="E982" i="13" s="1"/>
  <c r="C121" i="7"/>
  <c r="E120" i="7"/>
  <c r="E981" i="13" s="1"/>
  <c r="C120" i="7"/>
  <c r="E119" i="7"/>
  <c r="E980" i="13" s="1"/>
  <c r="C119" i="7"/>
  <c r="E118" i="7"/>
  <c r="E979" i="13" s="1"/>
  <c r="C118" i="7"/>
  <c r="E117" i="7"/>
  <c r="E978" i="13" s="1"/>
  <c r="E116" i="7"/>
  <c r="E977" i="13" s="1"/>
  <c r="E115" i="7"/>
  <c r="E976" i="13" s="1"/>
  <c r="A114" i="7"/>
  <c r="B975" i="13" s="1"/>
  <c r="E111" i="7"/>
  <c r="E972" i="13" s="1"/>
  <c r="C110" i="7"/>
  <c r="C109" i="7"/>
  <c r="C108" i="7"/>
  <c r="C107" i="7"/>
  <c r="C106" i="7"/>
  <c r="C105" i="7"/>
  <c r="C104" i="7"/>
  <c r="C103" i="7"/>
  <c r="E102" i="7"/>
  <c r="E963" i="13" s="1"/>
  <c r="E101" i="7"/>
  <c r="E962" i="13" s="1"/>
  <c r="E100" i="7"/>
  <c r="E1045" i="13" s="1"/>
  <c r="A100" i="7"/>
  <c r="B1045" i="13" s="1"/>
  <c r="E99" i="7"/>
  <c r="E1044" i="13" s="1"/>
  <c r="A99" i="7"/>
  <c r="B1044" i="13" s="1"/>
  <c r="E98" i="7"/>
  <c r="E961" i="13" s="1"/>
  <c r="A98" i="7"/>
  <c r="B961" i="13" s="1"/>
  <c r="A97" i="7"/>
  <c r="E97" i="7" s="1"/>
  <c r="E960" i="13" s="1"/>
  <c r="C96" i="7"/>
  <c r="A96" i="7"/>
  <c r="E95" i="7"/>
  <c r="E958" i="13" s="1"/>
  <c r="A95" i="7"/>
  <c r="B958" i="13" s="1"/>
  <c r="E94" i="7"/>
  <c r="E957" i="13" s="1"/>
  <c r="A94" i="7"/>
  <c r="B957" i="13" s="1"/>
  <c r="E93" i="7"/>
  <c r="E956" i="13" s="1"/>
  <c r="C93" i="7"/>
  <c r="E92" i="7"/>
  <c r="E955" i="13" s="1"/>
  <c r="C92" i="7"/>
  <c r="E91" i="7"/>
  <c r="E954" i="13" s="1"/>
  <c r="C91" i="7"/>
  <c r="E90" i="7"/>
  <c r="E953" i="13" s="1"/>
  <c r="C90" i="7"/>
  <c r="E89" i="7"/>
  <c r="E952" i="13" s="1"/>
  <c r="C89" i="7"/>
  <c r="E88" i="7"/>
  <c r="E951" i="13" s="1"/>
  <c r="C88" i="7"/>
  <c r="E87" i="7"/>
  <c r="E950" i="13" s="1"/>
  <c r="C87" i="7"/>
  <c r="E86" i="7"/>
  <c r="E949" i="13" s="1"/>
  <c r="C86" i="7"/>
  <c r="E85" i="7"/>
  <c r="E948" i="13" s="1"/>
  <c r="C85" i="7"/>
  <c r="E84" i="7"/>
  <c r="E947" i="13" s="1"/>
  <c r="C84" i="7"/>
  <c r="E83" i="7"/>
  <c r="E946" i="13" s="1"/>
  <c r="C83" i="7"/>
  <c r="E82" i="7"/>
  <c r="E945" i="13" s="1"/>
  <c r="C82" i="7"/>
  <c r="K81" i="7"/>
  <c r="E1241" i="13" s="1"/>
  <c r="K80" i="7"/>
  <c r="E1240" i="13" s="1"/>
  <c r="H80" i="7"/>
  <c r="B1240" i="13" s="1"/>
  <c r="E80" i="7"/>
  <c r="E943" i="13" s="1"/>
  <c r="C80" i="7"/>
  <c r="K79" i="7"/>
  <c r="E1239" i="13" s="1"/>
  <c r="H79" i="7"/>
  <c r="B1239" i="13" s="1"/>
  <c r="E79" i="7"/>
  <c r="E942" i="13" s="1"/>
  <c r="C79" i="7"/>
  <c r="H78" i="7"/>
  <c r="B1238" i="13" s="1"/>
  <c r="E78" i="7"/>
  <c r="E941" i="13" s="1"/>
  <c r="A78" i="7"/>
  <c r="A201" i="7" s="1"/>
  <c r="B1060" i="13" s="1"/>
  <c r="E77" i="7"/>
  <c r="E940" i="13" s="1"/>
  <c r="C77" i="7"/>
  <c r="H76" i="7"/>
  <c r="B1237" i="13" s="1"/>
  <c r="E76" i="7"/>
  <c r="E939" i="13" s="1"/>
  <c r="C76" i="7"/>
  <c r="K75" i="7"/>
  <c r="E1236" i="13" s="1"/>
  <c r="H75" i="7"/>
  <c r="B1236" i="13" s="1"/>
  <c r="E75" i="7"/>
  <c r="E938" i="13" s="1"/>
  <c r="K74" i="7"/>
  <c r="E1235" i="13" s="1"/>
  <c r="H74" i="7"/>
  <c r="B1235" i="13" s="1"/>
  <c r="E74" i="7"/>
  <c r="K73" i="7"/>
  <c r="E1234" i="13" s="1"/>
  <c r="H73" i="7"/>
  <c r="B1234" i="13" s="1"/>
  <c r="E73" i="7"/>
  <c r="E936" i="13" s="1"/>
  <c r="A73" i="7"/>
  <c r="H72" i="7"/>
  <c r="B1233" i="13" s="1"/>
  <c r="K71" i="7"/>
  <c r="E1232" i="13" s="1"/>
  <c r="H71" i="7"/>
  <c r="B1232" i="13" s="1"/>
  <c r="H70" i="7"/>
  <c r="B1231" i="13" s="1"/>
  <c r="K69" i="7"/>
  <c r="E1230" i="13" s="1"/>
  <c r="H69" i="7"/>
  <c r="B1230" i="13" s="1"/>
  <c r="E69" i="7"/>
  <c r="E932" i="13" s="1"/>
  <c r="C69" i="7"/>
  <c r="A69" i="7"/>
  <c r="B932" i="13" s="1"/>
  <c r="K68" i="7"/>
  <c r="E1229" i="13" s="1"/>
  <c r="H68" i="7"/>
  <c r="B1229" i="13" s="1"/>
  <c r="E68" i="7"/>
  <c r="E931" i="13" s="1"/>
  <c r="C68" i="7"/>
  <c r="A68" i="7"/>
  <c r="B931" i="13" s="1"/>
  <c r="H67" i="7"/>
  <c r="B1228" i="13" s="1"/>
  <c r="E67" i="7"/>
  <c r="E930" i="13" s="1"/>
  <c r="C67" i="7"/>
  <c r="A67" i="7"/>
  <c r="B930" i="13" s="1"/>
  <c r="K66" i="7"/>
  <c r="E1227" i="13" s="1"/>
  <c r="H66" i="7"/>
  <c r="B1227" i="13" s="1"/>
  <c r="E66" i="7"/>
  <c r="A66" i="7"/>
  <c r="B929" i="13" s="1"/>
  <c r="H65" i="7"/>
  <c r="B1226" i="13" s="1"/>
  <c r="E65" i="7"/>
  <c r="E928" i="13" s="1"/>
  <c r="A65" i="7"/>
  <c r="A183" i="7" s="1"/>
  <c r="B1042" i="13" s="1"/>
  <c r="E64" i="7"/>
  <c r="E927" i="13" s="1"/>
  <c r="C64" i="7"/>
  <c r="H63" i="7"/>
  <c r="B1225" i="13" s="1"/>
  <c r="E63" i="7"/>
  <c r="E926" i="13" s="1"/>
  <c r="C63" i="7"/>
  <c r="K62" i="7"/>
  <c r="E1224" i="13" s="1"/>
  <c r="H62" i="7"/>
  <c r="B1224" i="13" s="1"/>
  <c r="E62" i="7"/>
  <c r="E925" i="13" s="1"/>
  <c r="C62" i="7"/>
  <c r="K61" i="7"/>
  <c r="E1223" i="13" s="1"/>
  <c r="H61" i="7"/>
  <c r="B1223" i="13" s="1"/>
  <c r="E61" i="7"/>
  <c r="E924" i="13" s="1"/>
  <c r="C61" i="7"/>
  <c r="K60" i="7"/>
  <c r="E1222" i="13" s="1"/>
  <c r="H60" i="7"/>
  <c r="B1222" i="13" s="1"/>
  <c r="E60" i="7"/>
  <c r="E923" i="13" s="1"/>
  <c r="C60" i="7"/>
  <c r="H59" i="7"/>
  <c r="B1221" i="13" s="1"/>
  <c r="E59" i="7"/>
  <c r="E922" i="13" s="1"/>
  <c r="C59" i="7"/>
  <c r="K58" i="7"/>
  <c r="E1220" i="13" s="1"/>
  <c r="H58" i="7"/>
  <c r="B1220" i="13" s="1"/>
  <c r="E58" i="7"/>
  <c r="E921" i="13" s="1"/>
  <c r="H57" i="7"/>
  <c r="B1219" i="13" s="1"/>
  <c r="E57" i="7"/>
  <c r="E920" i="13" s="1"/>
  <c r="A57" i="7"/>
  <c r="H56" i="7"/>
  <c r="B1218" i="13" s="1"/>
  <c r="E56" i="7"/>
  <c r="E919" i="13" s="1"/>
  <c r="A56" i="7"/>
  <c r="K55" i="7"/>
  <c r="E1217" i="13" s="1"/>
  <c r="H55" i="7"/>
  <c r="B1217" i="13" s="1"/>
  <c r="A55" i="7"/>
  <c r="B918" i="13" s="1"/>
  <c r="K54" i="7"/>
  <c r="E1216" i="13" s="1"/>
  <c r="H54" i="7"/>
  <c r="B1216" i="13" s="1"/>
  <c r="E54" i="7"/>
  <c r="A54" i="7"/>
  <c r="B917" i="13" s="1"/>
  <c r="K53" i="7"/>
  <c r="E1215" i="13" s="1"/>
  <c r="H53" i="7"/>
  <c r="B1215" i="13" s="1"/>
  <c r="K52" i="7"/>
  <c r="H52" i="7"/>
  <c r="B1214" i="13" s="1"/>
  <c r="E52" i="7"/>
  <c r="E915" i="13" s="1"/>
  <c r="K51" i="7"/>
  <c r="E1213" i="13" s="1"/>
  <c r="H51" i="7"/>
  <c r="B1213" i="13" s="1"/>
  <c r="C51" i="7"/>
  <c r="K50" i="7"/>
  <c r="H50" i="7"/>
  <c r="B1212" i="13" s="1"/>
  <c r="C50" i="7"/>
  <c r="K49" i="7"/>
  <c r="E1211" i="13" s="1"/>
  <c r="H49" i="7"/>
  <c r="B1211" i="13" s="1"/>
  <c r="C49" i="7"/>
  <c r="K48" i="7"/>
  <c r="E1210" i="13" s="1"/>
  <c r="H48" i="7"/>
  <c r="B1210" i="13" s="1"/>
  <c r="C48" i="7"/>
  <c r="K47" i="7"/>
  <c r="E1209" i="13" s="1"/>
  <c r="H47" i="7"/>
  <c r="B1209" i="13" s="1"/>
  <c r="C47" i="7"/>
  <c r="K46" i="7"/>
  <c r="H46" i="7"/>
  <c r="B1208" i="13" s="1"/>
  <c r="C46" i="7"/>
  <c r="K45" i="7"/>
  <c r="E1207" i="13" s="1"/>
  <c r="H45" i="7"/>
  <c r="B1207" i="13" s="1"/>
  <c r="C45" i="7"/>
  <c r="K44" i="7"/>
  <c r="H44" i="7"/>
  <c r="B1206" i="13" s="1"/>
  <c r="C44" i="7"/>
  <c r="K43" i="7"/>
  <c r="E1205" i="13" s="1"/>
  <c r="H43" i="7"/>
  <c r="B1205" i="13" s="1"/>
  <c r="E43" i="7"/>
  <c r="E906" i="13" s="1"/>
  <c r="A43" i="7"/>
  <c r="K42" i="7"/>
  <c r="E1204" i="13" s="1"/>
  <c r="H42" i="7"/>
  <c r="B1204" i="13" s="1"/>
  <c r="E42" i="7"/>
  <c r="E905" i="13" s="1"/>
  <c r="G39" i="7"/>
  <c r="F39" i="7"/>
  <c r="E39" i="7"/>
  <c r="I38" i="7"/>
  <c r="G38" i="7"/>
  <c r="F38" i="7"/>
  <c r="E38" i="7"/>
  <c r="J37" i="7"/>
  <c r="G37" i="7"/>
  <c r="F37" i="7"/>
  <c r="E37" i="7"/>
  <c r="I34" i="7"/>
  <c r="G34" i="7"/>
  <c r="J34" i="7" s="1"/>
  <c r="F34" i="7"/>
  <c r="E34" i="7"/>
  <c r="I33" i="7"/>
  <c r="G33" i="7"/>
  <c r="J33" i="7" s="1"/>
  <c r="F33" i="7"/>
  <c r="E33" i="7"/>
  <c r="I32" i="7"/>
  <c r="G32" i="7"/>
  <c r="J32" i="7" s="1"/>
  <c r="F32" i="7"/>
  <c r="E32" i="7"/>
  <c r="I29" i="7"/>
  <c r="G29" i="7"/>
  <c r="F29" i="7"/>
  <c r="E29" i="7"/>
  <c r="I28" i="7"/>
  <c r="H28" i="7"/>
  <c r="J28" i="7" s="1"/>
  <c r="G28" i="7"/>
  <c r="F28" i="7"/>
  <c r="E28" i="7"/>
  <c r="I27" i="7"/>
  <c r="G27" i="7"/>
  <c r="F27" i="7"/>
  <c r="E27" i="7"/>
  <c r="J24" i="7"/>
  <c r="I24" i="7"/>
  <c r="H24" i="7"/>
  <c r="H29" i="7" s="1"/>
  <c r="J29" i="7" s="1"/>
  <c r="G24" i="7"/>
  <c r="F24" i="7"/>
  <c r="E24" i="7"/>
  <c r="I23" i="7"/>
  <c r="H23" i="7"/>
  <c r="J23" i="7" s="1"/>
  <c r="G23" i="7"/>
  <c r="F23" i="7"/>
  <c r="E23" i="7"/>
  <c r="I22" i="7"/>
  <c r="H22" i="7"/>
  <c r="J22" i="7" s="1"/>
  <c r="G22" i="7"/>
  <c r="F22" i="7"/>
  <c r="E22" i="7"/>
  <c r="H19" i="7"/>
  <c r="G19" i="7"/>
  <c r="F19" i="7"/>
  <c r="E19" i="7"/>
  <c r="I16" i="7"/>
  <c r="H16" i="7"/>
  <c r="J16" i="7" s="1"/>
  <c r="G16" i="7"/>
  <c r="F16" i="7"/>
  <c r="E16" i="7"/>
  <c r="I15" i="7"/>
  <c r="H15" i="7"/>
  <c r="J15" i="7" s="1"/>
  <c r="G15" i="7"/>
  <c r="F15" i="7"/>
  <c r="E15" i="7"/>
  <c r="J14" i="7"/>
  <c r="I14" i="7"/>
  <c r="H14" i="7"/>
  <c r="G14" i="7"/>
  <c r="F14" i="7"/>
  <c r="E14" i="7"/>
  <c r="D12" i="7"/>
  <c r="I10" i="7"/>
  <c r="H10" i="7"/>
  <c r="G10" i="7"/>
  <c r="J10" i="7" s="1"/>
  <c r="F10" i="7"/>
  <c r="E10" i="7"/>
  <c r="I9" i="7"/>
  <c r="H9" i="7"/>
  <c r="G9" i="7"/>
  <c r="J9" i="7" s="1"/>
  <c r="F9" i="7"/>
  <c r="E9" i="7"/>
  <c r="I8" i="7"/>
  <c r="H8" i="7"/>
  <c r="G8" i="7"/>
  <c r="J8" i="7" s="1"/>
  <c r="F8" i="7"/>
  <c r="E8" i="7"/>
  <c r="D6" i="7"/>
  <c r="E5" i="7"/>
  <c r="D161" i="7" s="1"/>
  <c r="E4" i="7"/>
  <c r="E3" i="7"/>
  <c r="D43" i="7" s="1"/>
  <c r="G2" i="7"/>
  <c r="G3" i="7" s="1"/>
  <c r="C757" i="6"/>
  <c r="E1996" i="13" s="1"/>
  <c r="C756" i="6"/>
  <c r="E1993" i="13" s="1"/>
  <c r="B755" i="6"/>
  <c r="D755" i="6" s="1"/>
  <c r="D1992" i="13" s="1"/>
  <c r="A755" i="6"/>
  <c r="B1992" i="13" s="1"/>
  <c r="B754" i="6"/>
  <c r="D754" i="6" s="1"/>
  <c r="D1991" i="13" s="1"/>
  <c r="A754" i="6"/>
  <c r="B1991" i="13" s="1"/>
  <c r="A753" i="6"/>
  <c r="A752" i="6"/>
  <c r="B1989" i="13" s="1"/>
  <c r="A751" i="6"/>
  <c r="B1988" i="13" s="1"/>
  <c r="B750" i="6"/>
  <c r="D750" i="6" s="1"/>
  <c r="D1987" i="13" s="1"/>
  <c r="B749" i="6"/>
  <c r="A748" i="6"/>
  <c r="B1986" i="13" s="1"/>
  <c r="B747" i="6"/>
  <c r="B746" i="6"/>
  <c r="B745" i="6"/>
  <c r="B744" i="6"/>
  <c r="D745" i="6" s="1"/>
  <c r="B743" i="6"/>
  <c r="D747" i="6" s="1"/>
  <c r="E747" i="6" s="1"/>
  <c r="B742" i="6"/>
  <c r="D742" i="6" s="1"/>
  <c r="B741" i="6"/>
  <c r="B740" i="6"/>
  <c r="M717" i="6"/>
  <c r="K717" i="6"/>
  <c r="D2020" i="13" s="1"/>
  <c r="F717" i="6"/>
  <c r="D2014" i="13" s="1"/>
  <c r="E717" i="6"/>
  <c r="L717" i="6" s="1"/>
  <c r="E2020" i="13" s="1"/>
  <c r="D717" i="6"/>
  <c r="C717" i="6"/>
  <c r="H717" i="6" s="1"/>
  <c r="A717" i="6"/>
  <c r="F716" i="6"/>
  <c r="K716" i="6" s="1"/>
  <c r="E716" i="6"/>
  <c r="L716" i="6" s="1"/>
  <c r="E2019" i="13" s="1"/>
  <c r="A716" i="6"/>
  <c r="K715" i="6"/>
  <c r="D2018" i="13" s="1"/>
  <c r="F715" i="6"/>
  <c r="D2012" i="13" s="1"/>
  <c r="E715" i="6"/>
  <c r="L715" i="6" s="1"/>
  <c r="E2018" i="13" s="1"/>
  <c r="D715" i="6"/>
  <c r="C715" i="6"/>
  <c r="H715" i="6" s="1"/>
  <c r="A715" i="6"/>
  <c r="K714" i="6"/>
  <c r="F714" i="6"/>
  <c r="A714" i="6"/>
  <c r="E714" i="6" s="1"/>
  <c r="L714" i="6" s="1"/>
  <c r="E2017" i="13" s="1"/>
  <c r="D706" i="6"/>
  <c r="E2473" i="13" s="1"/>
  <c r="E2465" i="15" s="1"/>
  <c r="G2465" i="15" s="1"/>
  <c r="C706" i="6"/>
  <c r="B706" i="6"/>
  <c r="C2473" i="13" s="1"/>
  <c r="C2465" i="15" s="1"/>
  <c r="A706" i="6"/>
  <c r="B2473" i="13" s="1"/>
  <c r="B2465" i="15" s="1"/>
  <c r="L705" i="6"/>
  <c r="C705" i="6"/>
  <c r="D2430" i="13" s="1"/>
  <c r="B705" i="6"/>
  <c r="A705" i="6"/>
  <c r="B2430" i="13" s="1"/>
  <c r="B2422" i="15" s="1"/>
  <c r="L704" i="6"/>
  <c r="D704" i="6"/>
  <c r="E2429" i="13" s="1"/>
  <c r="E2421" i="15" s="1"/>
  <c r="G2421" i="15" s="1"/>
  <c r="C704" i="6"/>
  <c r="B704" i="6"/>
  <c r="A704" i="6"/>
  <c r="B2429" i="13" s="1"/>
  <c r="B2421" i="15" s="1"/>
  <c r="L703" i="6"/>
  <c r="D703" i="6"/>
  <c r="E2178" i="13" s="1"/>
  <c r="L702" i="6"/>
  <c r="D702" i="6"/>
  <c r="E2177" i="13" s="1"/>
  <c r="L701" i="6"/>
  <c r="D701" i="6"/>
  <c r="E2176" i="13" s="1"/>
  <c r="L700" i="6"/>
  <c r="D700" i="6"/>
  <c r="E2175" i="13" s="1"/>
  <c r="L699" i="6"/>
  <c r="D699" i="6"/>
  <c r="E2174" i="13" s="1"/>
  <c r="L698" i="6"/>
  <c r="D698" i="6"/>
  <c r="E2173" i="13" s="1"/>
  <c r="L697" i="6"/>
  <c r="E697" i="6"/>
  <c r="D697" i="6"/>
  <c r="L696" i="6"/>
  <c r="D696" i="6"/>
  <c r="E2171" i="13" s="1"/>
  <c r="L695" i="6"/>
  <c r="D695" i="6"/>
  <c r="E2170" i="13" s="1"/>
  <c r="L694" i="6"/>
  <c r="D694" i="6"/>
  <c r="E2169" i="13" s="1"/>
  <c r="L693" i="6"/>
  <c r="D693" i="6"/>
  <c r="E2168" i="13" s="1"/>
  <c r="L692" i="6"/>
  <c r="D692" i="6"/>
  <c r="E2167" i="13" s="1"/>
  <c r="L691" i="6"/>
  <c r="D691" i="6"/>
  <c r="E2166" i="13" s="1"/>
  <c r="L690" i="6"/>
  <c r="D690" i="6"/>
  <c r="E2165" i="13" s="1"/>
  <c r="L689" i="6"/>
  <c r="D689" i="6"/>
  <c r="E2164" i="13" s="1"/>
  <c r="L688" i="6"/>
  <c r="D688" i="6"/>
  <c r="E2163" i="13" s="1"/>
  <c r="L687" i="6"/>
  <c r="D687" i="6"/>
  <c r="E2162" i="13" s="1"/>
  <c r="L686" i="6"/>
  <c r="D686" i="6"/>
  <c r="E2161" i="13" s="1"/>
  <c r="L685" i="6"/>
  <c r="D685" i="6"/>
  <c r="E685" i="6" s="1"/>
  <c r="L684" i="6"/>
  <c r="D684" i="6"/>
  <c r="E2159" i="13" s="1"/>
  <c r="L683" i="6"/>
  <c r="D683" i="6"/>
  <c r="E2158" i="13" s="1"/>
  <c r="L682" i="6"/>
  <c r="D682" i="6"/>
  <c r="E2157" i="13" s="1"/>
  <c r="L681" i="6"/>
  <c r="D681" i="6"/>
  <c r="E2156" i="13" s="1"/>
  <c r="L680" i="6"/>
  <c r="D680" i="6"/>
  <c r="E2155" i="13" s="1"/>
  <c r="L679" i="6"/>
  <c r="D679" i="6"/>
  <c r="E2154" i="13" s="1"/>
  <c r="D678" i="6"/>
  <c r="E2153" i="13" s="1"/>
  <c r="D677" i="6"/>
  <c r="E2152" i="13" s="1"/>
  <c r="D676" i="6"/>
  <c r="E2151" i="13" s="1"/>
  <c r="D675" i="6"/>
  <c r="E2150" i="13" s="1"/>
  <c r="D674" i="6"/>
  <c r="E674" i="6" s="1"/>
  <c r="L673" i="6"/>
  <c r="D673" i="6"/>
  <c r="E2148" i="13" s="1"/>
  <c r="K672" i="6"/>
  <c r="E2224" i="13" s="1"/>
  <c r="D672" i="6"/>
  <c r="E2147" i="13" s="1"/>
  <c r="K671" i="6"/>
  <c r="E2223" i="13" s="1"/>
  <c r="D671" i="6"/>
  <c r="E2146" i="13" s="1"/>
  <c r="K670" i="6"/>
  <c r="E2222" i="13" s="1"/>
  <c r="D670" i="6"/>
  <c r="E2145" i="13" s="1"/>
  <c r="K669" i="6"/>
  <c r="E2221" i="13" s="1"/>
  <c r="D669" i="6"/>
  <c r="E2144" i="13" s="1"/>
  <c r="K668" i="6"/>
  <c r="E2220" i="13" s="1"/>
  <c r="D668" i="6"/>
  <c r="E2143" i="13" s="1"/>
  <c r="K667" i="6"/>
  <c r="L667" i="6" s="1"/>
  <c r="D667" i="6"/>
  <c r="E2142" i="13" s="1"/>
  <c r="K666" i="6"/>
  <c r="E2218" i="13" s="1"/>
  <c r="D666" i="6"/>
  <c r="E2141" i="13" s="1"/>
  <c r="K665" i="6"/>
  <c r="E2217" i="13" s="1"/>
  <c r="D665" i="6"/>
  <c r="E2140" i="13" s="1"/>
  <c r="K664" i="6"/>
  <c r="E2216" i="13" s="1"/>
  <c r="J664" i="6"/>
  <c r="D664" i="6"/>
  <c r="E2139" i="13" s="1"/>
  <c r="K663" i="6"/>
  <c r="E2215" i="13" s="1"/>
  <c r="D663" i="6"/>
  <c r="E2138" i="13" s="1"/>
  <c r="K662" i="6"/>
  <c r="E2214" i="13" s="1"/>
  <c r="D662" i="6"/>
  <c r="E2137" i="13" s="1"/>
  <c r="K661" i="6"/>
  <c r="E2213" i="13" s="1"/>
  <c r="D661" i="6"/>
  <c r="E2136" i="13" s="1"/>
  <c r="K660" i="6"/>
  <c r="L660" i="6" s="1"/>
  <c r="D660" i="6"/>
  <c r="E2135" i="13" s="1"/>
  <c r="K659" i="6"/>
  <c r="E2211" i="13" s="1"/>
  <c r="D659" i="6"/>
  <c r="E2134" i="13" s="1"/>
  <c r="K658" i="6"/>
  <c r="E2210" i="13" s="1"/>
  <c r="D658" i="6"/>
  <c r="E2133" i="13" s="1"/>
  <c r="K657" i="6"/>
  <c r="E2209" i="13" s="1"/>
  <c r="D657" i="6"/>
  <c r="E2132" i="13" s="1"/>
  <c r="K656" i="6"/>
  <c r="E2208" i="13" s="1"/>
  <c r="D656" i="6"/>
  <c r="E2131" i="13" s="1"/>
  <c r="K655" i="6"/>
  <c r="E2207" i="13" s="1"/>
  <c r="D655" i="6"/>
  <c r="E2130" i="13" s="1"/>
  <c r="K654" i="6"/>
  <c r="L654" i="6" s="1"/>
  <c r="D654" i="6"/>
  <c r="E2129" i="13" s="1"/>
  <c r="K653" i="6"/>
  <c r="E2205" i="13" s="1"/>
  <c r="D653" i="6"/>
  <c r="E2128" i="13" s="1"/>
  <c r="K652" i="6"/>
  <c r="E2204" i="13" s="1"/>
  <c r="D652" i="6"/>
  <c r="E2127" i="13" s="1"/>
  <c r="K651" i="6"/>
  <c r="E2203" i="13" s="1"/>
  <c r="D651" i="6"/>
  <c r="E2126" i="13" s="1"/>
  <c r="K650" i="6"/>
  <c r="E2202" i="13" s="1"/>
  <c r="E650" i="6"/>
  <c r="D650" i="6"/>
  <c r="K649" i="6"/>
  <c r="E2201" i="13" s="1"/>
  <c r="D649" i="6"/>
  <c r="E2120" i="13" s="1"/>
  <c r="K648" i="6"/>
  <c r="E2200" i="13" s="1"/>
  <c r="D648" i="6"/>
  <c r="E2119" i="13" s="1"/>
  <c r="K647" i="6"/>
  <c r="E2199" i="13" s="1"/>
  <c r="D647" i="6"/>
  <c r="E2118" i="13" s="1"/>
  <c r="K646" i="6"/>
  <c r="E2198" i="13" s="1"/>
  <c r="D646" i="6"/>
  <c r="E2117" i="13" s="1"/>
  <c r="K645" i="6"/>
  <c r="E2197" i="13" s="1"/>
  <c r="D645" i="6"/>
  <c r="E2116" i="13" s="1"/>
  <c r="K644" i="6"/>
  <c r="E2196" i="13" s="1"/>
  <c r="D644" i="6"/>
  <c r="E2115" i="13" s="1"/>
  <c r="K643" i="6"/>
  <c r="E2195" i="13" s="1"/>
  <c r="D643" i="6"/>
  <c r="E2114" i="13" s="1"/>
  <c r="K642" i="6"/>
  <c r="E2194" i="13" s="1"/>
  <c r="D642" i="6"/>
  <c r="E2113" i="13" s="1"/>
  <c r="K641" i="6"/>
  <c r="E2193" i="13" s="1"/>
  <c r="D641" i="6"/>
  <c r="E2112" i="13" s="1"/>
  <c r="K640" i="6"/>
  <c r="L640" i="6" s="1"/>
  <c r="D640" i="6"/>
  <c r="E2111" i="13" s="1"/>
  <c r="K639" i="6"/>
  <c r="E2191" i="13" s="1"/>
  <c r="D639" i="6"/>
  <c r="E2110" i="13" s="1"/>
  <c r="K638" i="6"/>
  <c r="E2190" i="13" s="1"/>
  <c r="D638" i="6"/>
  <c r="E2109" i="13" s="1"/>
  <c r="K637" i="6"/>
  <c r="E2189" i="13" s="1"/>
  <c r="D637" i="6"/>
  <c r="E2108" i="13" s="1"/>
  <c r="K636" i="6"/>
  <c r="E2188" i="13" s="1"/>
  <c r="D636" i="6"/>
  <c r="E2107" i="13" s="1"/>
  <c r="K635" i="6"/>
  <c r="E2187" i="13" s="1"/>
  <c r="D635" i="6"/>
  <c r="E2106" i="13" s="1"/>
  <c r="K634" i="6"/>
  <c r="E2186" i="13" s="1"/>
  <c r="D634" i="6"/>
  <c r="E2105" i="13" s="1"/>
  <c r="K633" i="6"/>
  <c r="E2185" i="13" s="1"/>
  <c r="D633" i="6"/>
  <c r="E2104" i="13" s="1"/>
  <c r="K632" i="6"/>
  <c r="E2184" i="13" s="1"/>
  <c r="D632" i="6"/>
  <c r="E2103" i="13" s="1"/>
  <c r="K631" i="6"/>
  <c r="E2183" i="13" s="1"/>
  <c r="D631" i="6"/>
  <c r="E2102" i="13" s="1"/>
  <c r="K630" i="6"/>
  <c r="E2182" i="13" s="1"/>
  <c r="D630" i="6"/>
  <c r="E2101" i="13" s="1"/>
  <c r="L629" i="6"/>
  <c r="E629" i="6"/>
  <c r="C627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C600" i="6"/>
  <c r="C599" i="6"/>
  <c r="C604" i="6" s="1"/>
  <c r="C598" i="6"/>
  <c r="C597" i="6"/>
  <c r="C603" i="6" s="1"/>
  <c r="C693" i="6" s="1"/>
  <c r="D596" i="6"/>
  <c r="D595" i="6"/>
  <c r="C594" i="6"/>
  <c r="D593" i="6"/>
  <c r="D592" i="6"/>
  <c r="D591" i="6"/>
  <c r="C680" i="6" s="1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H566" i="6"/>
  <c r="G566" i="6"/>
  <c r="L556" i="6"/>
  <c r="E556" i="6"/>
  <c r="D556" i="6"/>
  <c r="E2472" i="13" s="1"/>
  <c r="E2464" i="15" s="1"/>
  <c r="G2464" i="15" s="1"/>
  <c r="C556" i="6"/>
  <c r="D2472" i="13" s="1"/>
  <c r="B556" i="6"/>
  <c r="C2472" i="13" s="1"/>
  <c r="C2464" i="15" s="1"/>
  <c r="A556" i="6"/>
  <c r="B2472" i="13" s="1"/>
  <c r="B2464" i="15" s="1"/>
  <c r="L555" i="6"/>
  <c r="D555" i="6"/>
  <c r="E2428" i="13" s="1"/>
  <c r="E2420" i="15" s="1"/>
  <c r="G2420" i="15" s="1"/>
  <c r="C555" i="6"/>
  <c r="B555" i="6"/>
  <c r="A555" i="6"/>
  <c r="B2428" i="13" s="1"/>
  <c r="B2420" i="15" s="1"/>
  <c r="D554" i="6"/>
  <c r="E2427" i="13" s="1"/>
  <c r="E2419" i="15" s="1"/>
  <c r="G2419" i="15" s="1"/>
  <c r="C554" i="6"/>
  <c r="D2427" i="13" s="1"/>
  <c r="B554" i="6"/>
  <c r="A554" i="6"/>
  <c r="B2427" i="13" s="1"/>
  <c r="B2419" i="15" s="1"/>
  <c r="L553" i="6"/>
  <c r="D553" i="6"/>
  <c r="E2068" i="13" s="1"/>
  <c r="A553" i="6"/>
  <c r="B2068" i="13" s="1"/>
  <c r="L552" i="6"/>
  <c r="L551" i="6"/>
  <c r="D551" i="6"/>
  <c r="E2066" i="13" s="1"/>
  <c r="L550" i="6"/>
  <c r="D550" i="6"/>
  <c r="E2065" i="13" s="1"/>
  <c r="L549" i="6"/>
  <c r="L548" i="6"/>
  <c r="D548" i="6"/>
  <c r="E2063" i="13" s="1"/>
  <c r="A548" i="6"/>
  <c r="B2063" i="13" s="1"/>
  <c r="L547" i="6"/>
  <c r="D547" i="6"/>
  <c r="E2062" i="13" s="1"/>
  <c r="L546" i="6"/>
  <c r="E546" i="6"/>
  <c r="A545" i="6"/>
  <c r="L544" i="6"/>
  <c r="L543" i="6"/>
  <c r="D543" i="6"/>
  <c r="E2058" i="13" s="1"/>
  <c r="L542" i="6"/>
  <c r="A542" i="6"/>
  <c r="L541" i="6"/>
  <c r="A541" i="6"/>
  <c r="L540" i="6"/>
  <c r="L539" i="6"/>
  <c r="K537" i="6"/>
  <c r="E2124" i="13" s="1"/>
  <c r="G537" i="6"/>
  <c r="B2124" i="13" s="1"/>
  <c r="D537" i="6"/>
  <c r="E2052" i="13" s="1"/>
  <c r="K536" i="6"/>
  <c r="E2123" i="13" s="1"/>
  <c r="G536" i="6"/>
  <c r="B2123" i="13" s="1"/>
  <c r="K535" i="6"/>
  <c r="E2122" i="13" s="1"/>
  <c r="G535" i="6"/>
  <c r="B2122" i="13" s="1"/>
  <c r="D535" i="6"/>
  <c r="E2050" i="13" s="1"/>
  <c r="K534" i="6"/>
  <c r="E2121" i="13" s="1"/>
  <c r="G534" i="6"/>
  <c r="B2121" i="13" s="1"/>
  <c r="E534" i="6"/>
  <c r="K533" i="6"/>
  <c r="E2096" i="13" s="1"/>
  <c r="D533" i="6"/>
  <c r="E2048" i="13" s="1"/>
  <c r="A533" i="6"/>
  <c r="B2048" i="13" s="1"/>
  <c r="K532" i="6"/>
  <c r="E2095" i="13" s="1"/>
  <c r="D532" i="6"/>
  <c r="E2047" i="13" s="1"/>
  <c r="A532" i="6"/>
  <c r="B2047" i="13" s="1"/>
  <c r="K531" i="6"/>
  <c r="E2094" i="13" s="1"/>
  <c r="D531" i="6"/>
  <c r="E2046" i="13" s="1"/>
  <c r="A531" i="6"/>
  <c r="B2046" i="13" s="1"/>
  <c r="L530" i="6"/>
  <c r="K530" i="6"/>
  <c r="D530" i="6"/>
  <c r="E2045" i="13" s="1"/>
  <c r="A530" i="6"/>
  <c r="B2045" i="13" s="1"/>
  <c r="K529" i="6"/>
  <c r="E2092" i="13" s="1"/>
  <c r="A529" i="6"/>
  <c r="K528" i="6"/>
  <c r="E2091" i="13" s="1"/>
  <c r="A528" i="6"/>
  <c r="K527" i="6"/>
  <c r="E2090" i="13" s="1"/>
  <c r="D527" i="6"/>
  <c r="E2042" i="13" s="1"/>
  <c r="A527" i="6"/>
  <c r="B2042" i="13" s="1"/>
  <c r="K526" i="6"/>
  <c r="E2089" i="13" s="1"/>
  <c r="D526" i="6"/>
  <c r="E2041" i="13" s="1"/>
  <c r="K525" i="6"/>
  <c r="E2088" i="13" s="1"/>
  <c r="D525" i="6"/>
  <c r="E2040" i="13" s="1"/>
  <c r="A525" i="6"/>
  <c r="B2040" i="13" s="1"/>
  <c r="K524" i="6"/>
  <c r="E2087" i="13" s="1"/>
  <c r="D524" i="6"/>
  <c r="E2039" i="13" s="1"/>
  <c r="A524" i="6"/>
  <c r="B2039" i="13" s="1"/>
  <c r="K523" i="6"/>
  <c r="L523" i="6" s="1"/>
  <c r="D523" i="6"/>
  <c r="E2038" i="13" s="1"/>
  <c r="K522" i="6"/>
  <c r="E2085" i="13" s="1"/>
  <c r="G522" i="6"/>
  <c r="B2085" i="13" s="1"/>
  <c r="K521" i="6"/>
  <c r="E2084" i="13" s="1"/>
  <c r="G521" i="6"/>
  <c r="B2084" i="13" s="1"/>
  <c r="D521" i="6"/>
  <c r="E2037" i="13" s="1"/>
  <c r="A521" i="6"/>
  <c r="B2037" i="13" s="1"/>
  <c r="K520" i="6"/>
  <c r="E2083" i="13" s="1"/>
  <c r="G520" i="6"/>
  <c r="B2083" i="13" s="1"/>
  <c r="D520" i="6"/>
  <c r="E2036" i="13" s="1"/>
  <c r="K519" i="6"/>
  <c r="E2082" i="13" s="1"/>
  <c r="D519" i="6"/>
  <c r="K518" i="6"/>
  <c r="E2081" i="13" s="1"/>
  <c r="D518" i="6"/>
  <c r="E2034" i="13" s="1"/>
  <c r="K517" i="6"/>
  <c r="E2080" i="13" s="1"/>
  <c r="D517" i="6"/>
  <c r="E2033" i="13" s="1"/>
  <c r="K516" i="6"/>
  <c r="E2079" i="13" s="1"/>
  <c r="D516" i="6"/>
  <c r="E2032" i="13" s="1"/>
  <c r="A516" i="6"/>
  <c r="B2032" i="13" s="1"/>
  <c r="K515" i="6"/>
  <c r="E2078" i="13" s="1"/>
  <c r="D515" i="6"/>
  <c r="E2031" i="13" s="1"/>
  <c r="A515" i="6"/>
  <c r="B2031" i="13" s="1"/>
  <c r="K514" i="6"/>
  <c r="E2077" i="13" s="1"/>
  <c r="D514" i="6"/>
  <c r="E2030" i="13" s="1"/>
  <c r="A514" i="6"/>
  <c r="B2030" i="13" s="1"/>
  <c r="K513" i="6"/>
  <c r="E2076" i="13" s="1"/>
  <c r="A513" i="6"/>
  <c r="K512" i="6"/>
  <c r="E2075" i="13" s="1"/>
  <c r="D512" i="6"/>
  <c r="E2028" i="13" s="1"/>
  <c r="A512" i="6"/>
  <c r="K511" i="6"/>
  <c r="E2074" i="13" s="1"/>
  <c r="D511" i="6"/>
  <c r="E2027" i="13" s="1"/>
  <c r="A511" i="6"/>
  <c r="B2027" i="13" s="1"/>
  <c r="K510" i="6"/>
  <c r="E2073" i="13" s="1"/>
  <c r="D510" i="6"/>
  <c r="E2026" i="13" s="1"/>
  <c r="A510" i="6"/>
  <c r="B2026" i="13" s="1"/>
  <c r="K509" i="6"/>
  <c r="E2072" i="13" s="1"/>
  <c r="A509" i="6"/>
  <c r="K508" i="6"/>
  <c r="L508" i="6" s="1"/>
  <c r="E508" i="6"/>
  <c r="C500" i="6"/>
  <c r="D488" i="6"/>
  <c r="D487" i="6"/>
  <c r="D486" i="6"/>
  <c r="D483" i="6"/>
  <c r="D482" i="6"/>
  <c r="D481" i="6"/>
  <c r="D480" i="6"/>
  <c r="D479" i="6"/>
  <c r="D478" i="6"/>
  <c r="D477" i="6"/>
  <c r="C475" i="6"/>
  <c r="D474" i="6"/>
  <c r="D473" i="6"/>
  <c r="C465" i="6"/>
  <c r="D464" i="6"/>
  <c r="D469" i="6" s="1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H447" i="6"/>
  <c r="G447" i="6"/>
  <c r="E438" i="6"/>
  <c r="D438" i="6"/>
  <c r="E2471" i="13" s="1"/>
  <c r="E2463" i="15" s="1"/>
  <c r="G2463" i="15" s="1"/>
  <c r="C438" i="6"/>
  <c r="D2471" i="13" s="1"/>
  <c r="B438" i="6"/>
  <c r="C2471" i="13" s="1"/>
  <c r="C2463" i="15" s="1"/>
  <c r="A438" i="6"/>
  <c r="B2471" i="13" s="1"/>
  <c r="B2463" i="15" s="1"/>
  <c r="C437" i="6"/>
  <c r="D2426" i="13" s="1"/>
  <c r="B437" i="6"/>
  <c r="A437" i="6"/>
  <c r="D436" i="6"/>
  <c r="E2425" i="13" s="1"/>
  <c r="E2417" i="15" s="1"/>
  <c r="G2417" i="15" s="1"/>
  <c r="C436" i="6"/>
  <c r="B436" i="6"/>
  <c r="A436" i="6"/>
  <c r="B2425" i="13" s="1"/>
  <c r="B2417" i="15" s="1"/>
  <c r="D435" i="6"/>
  <c r="E1979" i="13" s="1"/>
  <c r="C435" i="6"/>
  <c r="D434" i="6"/>
  <c r="E1978" i="13" s="1"/>
  <c r="D433" i="6"/>
  <c r="E1977" i="13" s="1"/>
  <c r="D432" i="6"/>
  <c r="E1976" i="13" s="1"/>
  <c r="E431" i="6"/>
  <c r="D431" i="6"/>
  <c r="E1975" i="13" s="1"/>
  <c r="D430" i="6"/>
  <c r="E429" i="6"/>
  <c r="D429" i="6"/>
  <c r="E1973" i="13" s="1"/>
  <c r="D428" i="6"/>
  <c r="D427" i="6"/>
  <c r="E1971" i="13" s="1"/>
  <c r="J426" i="6"/>
  <c r="G426" i="6"/>
  <c r="D426" i="6"/>
  <c r="E1970" i="13" s="1"/>
  <c r="C424" i="6"/>
  <c r="C426" i="6" s="1"/>
  <c r="D415" i="6"/>
  <c r="E2470" i="13" s="1"/>
  <c r="E2462" i="15" s="1"/>
  <c r="G2462" i="15" s="1"/>
  <c r="C415" i="6"/>
  <c r="B415" i="6"/>
  <c r="C2470" i="13" s="1"/>
  <c r="C2462" i="15" s="1"/>
  <c r="A415" i="6"/>
  <c r="B2470" i="13" s="1"/>
  <c r="B2462" i="15" s="1"/>
  <c r="D414" i="6"/>
  <c r="E2424" i="13" s="1"/>
  <c r="E2416" i="15" s="1"/>
  <c r="G2416" i="15" s="1"/>
  <c r="C414" i="6"/>
  <c r="D2424" i="13" s="1"/>
  <c r="B414" i="6"/>
  <c r="A414" i="6"/>
  <c r="B2424" i="13" s="1"/>
  <c r="B2416" i="15" s="1"/>
  <c r="C413" i="6"/>
  <c r="D2423" i="13" s="1"/>
  <c r="B413" i="6"/>
  <c r="A413" i="6"/>
  <c r="D412" i="6"/>
  <c r="E1951" i="13" s="1"/>
  <c r="D411" i="6"/>
  <c r="E1950" i="13" s="1"/>
  <c r="D410" i="6"/>
  <c r="E1949" i="13" s="1"/>
  <c r="D409" i="6"/>
  <c r="E1948" i="13" s="1"/>
  <c r="A408" i="6"/>
  <c r="B1947" i="13" s="1"/>
  <c r="D407" i="6"/>
  <c r="E1946" i="13" s="1"/>
  <c r="D406" i="6"/>
  <c r="E1945" i="13" s="1"/>
  <c r="K405" i="6"/>
  <c r="E1966" i="13" s="1"/>
  <c r="D405" i="6"/>
  <c r="A405" i="6"/>
  <c r="B1944" i="13" s="1"/>
  <c r="K404" i="6"/>
  <c r="E1965" i="13" s="1"/>
  <c r="G404" i="6"/>
  <c r="D404" i="6"/>
  <c r="E1943" i="13" s="1"/>
  <c r="K403" i="6"/>
  <c r="E1964" i="13" s="1"/>
  <c r="D403" i="6"/>
  <c r="E1942" i="13" s="1"/>
  <c r="K402" i="6"/>
  <c r="E1963" i="13" s="1"/>
  <c r="D402" i="6"/>
  <c r="E1941" i="13" s="1"/>
  <c r="K401" i="6"/>
  <c r="E1962" i="13" s="1"/>
  <c r="D401" i="6"/>
  <c r="E1940" i="13" s="1"/>
  <c r="K400" i="6"/>
  <c r="E1961" i="13" s="1"/>
  <c r="D400" i="6"/>
  <c r="E1939" i="13" s="1"/>
  <c r="K399" i="6"/>
  <c r="E1960" i="13" s="1"/>
  <c r="D399" i="6"/>
  <c r="E1938" i="13" s="1"/>
  <c r="K398" i="6"/>
  <c r="E1959" i="13" s="1"/>
  <c r="D398" i="6"/>
  <c r="E1937" i="13" s="1"/>
  <c r="K397" i="6"/>
  <c r="E1958" i="13" s="1"/>
  <c r="D397" i="6"/>
  <c r="E1936" i="13" s="1"/>
  <c r="K396" i="6"/>
  <c r="E1957" i="13" s="1"/>
  <c r="D396" i="6"/>
  <c r="E1935" i="13" s="1"/>
  <c r="K395" i="6"/>
  <c r="E1956" i="13" s="1"/>
  <c r="D395" i="6"/>
  <c r="E1934" i="13" s="1"/>
  <c r="K394" i="6"/>
  <c r="E1955" i="13" s="1"/>
  <c r="D394" i="6"/>
  <c r="E1933" i="13" s="1"/>
  <c r="K393" i="6"/>
  <c r="E1954" i="13" s="1"/>
  <c r="D393" i="6"/>
  <c r="E1932" i="13" s="1"/>
  <c r="D391" i="6"/>
  <c r="D390" i="6"/>
  <c r="D389" i="6"/>
  <c r="D388" i="6"/>
  <c r="D387" i="6"/>
  <c r="D386" i="6"/>
  <c r="D385" i="6"/>
  <c r="C385" i="6"/>
  <c r="D384" i="6"/>
  <c r="H382" i="6"/>
  <c r="G382" i="6"/>
  <c r="C405" i="6" s="1"/>
  <c r="C372" i="6"/>
  <c r="C370" i="6"/>
  <c r="C368" i="6"/>
  <c r="C367" i="6"/>
  <c r="F336" i="6"/>
  <c r="F333" i="6"/>
  <c r="H312" i="6"/>
  <c r="F312" i="6"/>
  <c r="E312" i="6"/>
  <c r="D312" i="6"/>
  <c r="G312" i="6" s="1"/>
  <c r="F311" i="6"/>
  <c r="E311" i="6"/>
  <c r="D311" i="6"/>
  <c r="G311" i="6" s="1"/>
  <c r="F310" i="6"/>
  <c r="E310" i="6"/>
  <c r="D310" i="6"/>
  <c r="G310" i="6" s="1"/>
  <c r="F309" i="6"/>
  <c r="E309" i="6"/>
  <c r="D309" i="6"/>
  <c r="G309" i="6" s="1"/>
  <c r="F308" i="6"/>
  <c r="E308" i="6"/>
  <c r="D308" i="6"/>
  <c r="G308" i="6" s="1"/>
  <c r="F307" i="6"/>
  <c r="E307" i="6"/>
  <c r="D307" i="6"/>
  <c r="G307" i="6" s="1"/>
  <c r="D313" i="6" s="1"/>
  <c r="D314" i="6" s="1"/>
  <c r="E304" i="6"/>
  <c r="D304" i="6"/>
  <c r="F304" i="6" s="1"/>
  <c r="E303" i="6"/>
  <c r="D303" i="6"/>
  <c r="F303" i="6" s="1"/>
  <c r="E302" i="6"/>
  <c r="D302" i="6"/>
  <c r="E301" i="6"/>
  <c r="D301" i="6"/>
  <c r="F301" i="6" s="1"/>
  <c r="D296" i="6"/>
  <c r="D295" i="6"/>
  <c r="D294" i="6"/>
  <c r="E293" i="6"/>
  <c r="E292" i="6"/>
  <c r="D292" i="6"/>
  <c r="E291" i="6"/>
  <c r="D291" i="6"/>
  <c r="F289" i="6"/>
  <c r="E277" i="6"/>
  <c r="C272" i="6"/>
  <c r="C271" i="6"/>
  <c r="C270" i="6"/>
  <c r="C278" i="6" s="1"/>
  <c r="C269" i="6"/>
  <c r="C274" i="6" s="1"/>
  <c r="E268" i="6"/>
  <c r="D268" i="6"/>
  <c r="E267" i="6"/>
  <c r="D267" i="6"/>
  <c r="E266" i="6"/>
  <c r="D266" i="6"/>
  <c r="C265" i="6"/>
  <c r="C264" i="6"/>
  <c r="D263" i="6"/>
  <c r="C246" i="6"/>
  <c r="C245" i="6"/>
  <c r="C244" i="6"/>
  <c r="C243" i="6"/>
  <c r="D241" i="6"/>
  <c r="C231" i="6"/>
  <c r="E229" i="6"/>
  <c r="D224" i="6"/>
  <c r="D220" i="6"/>
  <c r="E219" i="6"/>
  <c r="F215" i="6"/>
  <c r="E215" i="6"/>
  <c r="D215" i="6"/>
  <c r="C215" i="6"/>
  <c r="F214" i="6"/>
  <c r="E214" i="6"/>
  <c r="D214" i="6"/>
  <c r="C214" i="6"/>
  <c r="F213" i="6"/>
  <c r="E213" i="6"/>
  <c r="D213" i="6"/>
  <c r="E212" i="6"/>
  <c r="F212" i="6" s="1"/>
  <c r="D212" i="6"/>
  <c r="E211" i="6"/>
  <c r="D211" i="6"/>
  <c r="F211" i="6" s="1"/>
  <c r="C216" i="6" s="1"/>
  <c r="C211" i="6"/>
  <c r="C203" i="6"/>
  <c r="E201" i="6"/>
  <c r="C201" i="6" s="1"/>
  <c r="D201" i="6"/>
  <c r="E200" i="6"/>
  <c r="D200" i="6"/>
  <c r="C200" i="6"/>
  <c r="E199" i="6"/>
  <c r="D199" i="6"/>
  <c r="C199" i="6"/>
  <c r="K197" i="6"/>
  <c r="C197" i="6"/>
  <c r="K196" i="6"/>
  <c r="C196" i="6"/>
  <c r="K195" i="6"/>
  <c r="D195" i="6"/>
  <c r="K194" i="6"/>
  <c r="C192" i="6"/>
  <c r="C191" i="6"/>
  <c r="E190" i="6"/>
  <c r="F189" i="6"/>
  <c r="F188" i="6"/>
  <c r="F187" i="6"/>
  <c r="K186" i="6"/>
  <c r="F186" i="6"/>
  <c r="K185" i="6"/>
  <c r="K187" i="6" s="1"/>
  <c r="J184" i="6"/>
  <c r="K183" i="6"/>
  <c r="K182" i="6"/>
  <c r="D182" i="6"/>
  <c r="D181" i="6"/>
  <c r="E179" i="6"/>
  <c r="F174" i="6"/>
  <c r="E174" i="6"/>
  <c r="G174" i="6" s="1"/>
  <c r="D174" i="6"/>
  <c r="F173" i="6"/>
  <c r="E173" i="6"/>
  <c r="D173" i="6"/>
  <c r="G172" i="6"/>
  <c r="G171" i="6"/>
  <c r="F171" i="6"/>
  <c r="D171" i="6"/>
  <c r="F170" i="6"/>
  <c r="E170" i="6"/>
  <c r="G170" i="6" s="1"/>
  <c r="D170" i="6"/>
  <c r="F169" i="6"/>
  <c r="E169" i="6"/>
  <c r="G169" i="6" s="1"/>
  <c r="D169" i="6"/>
  <c r="F168" i="6"/>
  <c r="E168" i="6"/>
  <c r="G168" i="6" s="1"/>
  <c r="D168" i="6"/>
  <c r="F166" i="6"/>
  <c r="E165" i="6"/>
  <c r="D165" i="6"/>
  <c r="F165" i="6" s="1"/>
  <c r="G165" i="6" s="1"/>
  <c r="G164" i="6"/>
  <c r="E164" i="6"/>
  <c r="D164" i="6"/>
  <c r="F164" i="6" s="1"/>
  <c r="G163" i="6"/>
  <c r="E163" i="6"/>
  <c r="D163" i="6"/>
  <c r="F163" i="6" s="1"/>
  <c r="D162" i="6"/>
  <c r="F162" i="6" s="1"/>
  <c r="G162" i="6" s="1"/>
  <c r="G161" i="6"/>
  <c r="F161" i="6"/>
  <c r="E161" i="6"/>
  <c r="D161" i="6"/>
  <c r="G160" i="6"/>
  <c r="F160" i="6"/>
  <c r="E160" i="6"/>
  <c r="D160" i="6"/>
  <c r="G159" i="6"/>
  <c r="F159" i="6"/>
  <c r="E159" i="6"/>
  <c r="D159" i="6"/>
  <c r="G158" i="6"/>
  <c r="F158" i="6"/>
  <c r="E158" i="6"/>
  <c r="D158" i="6"/>
  <c r="D155" i="6"/>
  <c r="D180" i="6" s="1"/>
  <c r="F149" i="6"/>
  <c r="E149" i="6"/>
  <c r="D149" i="6"/>
  <c r="F148" i="6"/>
  <c r="D148" i="6" s="1"/>
  <c r="E148" i="6"/>
  <c r="F147" i="6"/>
  <c r="D147" i="6" s="1"/>
  <c r="E147" i="6"/>
  <c r="D145" i="6"/>
  <c r="E143" i="6"/>
  <c r="G175" i="6" s="1"/>
  <c r="E126" i="6"/>
  <c r="E124" i="6"/>
  <c r="E123" i="6"/>
  <c r="F122" i="6"/>
  <c r="F121" i="6"/>
  <c r="G119" i="6"/>
  <c r="E105" i="6"/>
  <c r="E104" i="6"/>
  <c r="E101" i="6"/>
  <c r="E100" i="6"/>
  <c r="G96" i="6"/>
  <c r="E82" i="6"/>
  <c r="E81" i="6"/>
  <c r="E78" i="6"/>
  <c r="G76" i="6"/>
  <c r="F71" i="6"/>
  <c r="E64" i="6"/>
  <c r="F64" i="6" s="1"/>
  <c r="D64" i="6"/>
  <c r="E63" i="6"/>
  <c r="D63" i="6"/>
  <c r="F63" i="6" s="1"/>
  <c r="E62" i="6"/>
  <c r="D62" i="6"/>
  <c r="F62" i="6" s="1"/>
  <c r="F61" i="6"/>
  <c r="E61" i="6"/>
  <c r="D61" i="6"/>
  <c r="F60" i="6"/>
  <c r="E60" i="6"/>
  <c r="D60" i="6"/>
  <c r="E59" i="6"/>
  <c r="D59" i="6"/>
  <c r="F59" i="6" s="1"/>
  <c r="E58" i="6"/>
  <c r="D58" i="6"/>
  <c r="F58" i="6" s="1"/>
  <c r="F57" i="6"/>
  <c r="E57" i="6"/>
  <c r="D57" i="6"/>
  <c r="E56" i="6"/>
  <c r="F56" i="6" s="1"/>
  <c r="D56" i="6"/>
  <c r="E55" i="6"/>
  <c r="D55" i="6"/>
  <c r="F55" i="6" s="1"/>
  <c r="E54" i="6"/>
  <c r="D54" i="6"/>
  <c r="F54" i="6" s="1"/>
  <c r="F53" i="6"/>
  <c r="E53" i="6"/>
  <c r="D53" i="6"/>
  <c r="F52" i="6"/>
  <c r="E52" i="6"/>
  <c r="D52" i="6"/>
  <c r="E51" i="6"/>
  <c r="D51" i="6"/>
  <c r="F51" i="6" s="1"/>
  <c r="E50" i="6"/>
  <c r="D50" i="6"/>
  <c r="F50" i="6" s="1"/>
  <c r="F49" i="6"/>
  <c r="E49" i="6"/>
  <c r="D49" i="6"/>
  <c r="E48" i="6"/>
  <c r="F48" i="6" s="1"/>
  <c r="D48" i="6"/>
  <c r="E47" i="6"/>
  <c r="D47" i="6"/>
  <c r="F47" i="6" s="1"/>
  <c r="E46" i="6"/>
  <c r="D46" i="6"/>
  <c r="F46" i="6" s="1"/>
  <c r="F45" i="6"/>
  <c r="E45" i="6"/>
  <c r="D45" i="6"/>
  <c r="F44" i="6"/>
  <c r="E44" i="6"/>
  <c r="D44" i="6"/>
  <c r="E43" i="6"/>
  <c r="D43" i="6"/>
  <c r="F43" i="6" s="1"/>
  <c r="E42" i="6"/>
  <c r="D42" i="6"/>
  <c r="F42" i="6" s="1"/>
  <c r="F41" i="6"/>
  <c r="E41" i="6"/>
  <c r="D41" i="6"/>
  <c r="E40" i="6"/>
  <c r="F40" i="6" s="1"/>
  <c r="D40" i="6"/>
  <c r="E39" i="6"/>
  <c r="D39" i="6"/>
  <c r="F39" i="6" s="1"/>
  <c r="E38" i="6"/>
  <c r="D38" i="6"/>
  <c r="F38" i="6" s="1"/>
  <c r="D68" i="6" s="1"/>
  <c r="F37" i="6"/>
  <c r="E37" i="6"/>
  <c r="D37" i="6"/>
  <c r="F36" i="6"/>
  <c r="E36" i="6"/>
  <c r="D36" i="6"/>
  <c r="E35" i="6"/>
  <c r="D35" i="6"/>
  <c r="F35" i="6" s="1"/>
  <c r="E34" i="6"/>
  <c r="D34" i="6"/>
  <c r="F34" i="6" s="1"/>
  <c r="F33" i="6"/>
  <c r="E33" i="6"/>
  <c r="D33" i="6"/>
  <c r="G29" i="6"/>
  <c r="F29" i="6"/>
  <c r="E29" i="6"/>
  <c r="D29" i="6"/>
  <c r="G28" i="6"/>
  <c r="F28" i="6"/>
  <c r="E28" i="6"/>
  <c r="D28" i="6"/>
  <c r="G27" i="6"/>
  <c r="G30" i="6" s="1"/>
  <c r="F27" i="6"/>
  <c r="E27" i="6"/>
  <c r="D27" i="6"/>
  <c r="F24" i="6"/>
  <c r="E24" i="6"/>
  <c r="D24" i="6"/>
  <c r="G24" i="6" s="1"/>
  <c r="F23" i="6"/>
  <c r="E23" i="6"/>
  <c r="D23" i="6"/>
  <c r="F22" i="6"/>
  <c r="E22" i="6"/>
  <c r="D22" i="6"/>
  <c r="G22" i="6" s="1"/>
  <c r="F21" i="6"/>
  <c r="E21" i="6"/>
  <c r="D21" i="6"/>
  <c r="G21" i="6" s="1"/>
  <c r="F18" i="6"/>
  <c r="E18" i="6"/>
  <c r="D18" i="6"/>
  <c r="F17" i="6"/>
  <c r="E17" i="6"/>
  <c r="G17" i="6" s="1"/>
  <c r="D17" i="6"/>
  <c r="F16" i="6"/>
  <c r="E16" i="6"/>
  <c r="G16" i="6" s="1"/>
  <c r="D16" i="6"/>
  <c r="F15" i="6"/>
  <c r="E15" i="6"/>
  <c r="G15" i="6" s="1"/>
  <c r="D15" i="6"/>
  <c r="E8" i="6"/>
  <c r="E7" i="6"/>
  <c r="E6" i="6"/>
  <c r="E5" i="6"/>
  <c r="E4" i="6"/>
  <c r="E98" i="6" s="1"/>
  <c r="E3" i="6"/>
  <c r="E2" i="6"/>
  <c r="C2338" i="5"/>
  <c r="B2338" i="5"/>
  <c r="A2338" i="5"/>
  <c r="C2337" i="5"/>
  <c r="D1308" i="13" s="1"/>
  <c r="B2337" i="5"/>
  <c r="C1308" i="13" s="1"/>
  <c r="A2337" i="5"/>
  <c r="D2336" i="5"/>
  <c r="E1307" i="13" s="1"/>
  <c r="C2336" i="5"/>
  <c r="B2336" i="5"/>
  <c r="C1307" i="13" s="1"/>
  <c r="A2336" i="5"/>
  <c r="B1307" i="13" s="1"/>
  <c r="D2335" i="5"/>
  <c r="E1306" i="13" s="1"/>
  <c r="C2335" i="5"/>
  <c r="B2335" i="5"/>
  <c r="C1306" i="13" s="1"/>
  <c r="A2335" i="5"/>
  <c r="B1306" i="13" s="1"/>
  <c r="C2334" i="5"/>
  <c r="D1305" i="13" s="1"/>
  <c r="B2334" i="5"/>
  <c r="C1305" i="13" s="1"/>
  <c r="A2334" i="5"/>
  <c r="B1305" i="13" s="1"/>
  <c r="C2333" i="5"/>
  <c r="D1304" i="13" s="1"/>
  <c r="B2333" i="5"/>
  <c r="C1304" i="13" s="1"/>
  <c r="A2333" i="5"/>
  <c r="D2332" i="5"/>
  <c r="E1303" i="13" s="1"/>
  <c r="C2332" i="5"/>
  <c r="B2332" i="5"/>
  <c r="C1303" i="13" s="1"/>
  <c r="A2332" i="5"/>
  <c r="B1303" i="13" s="1"/>
  <c r="D2331" i="5"/>
  <c r="E1302" i="13" s="1"/>
  <c r="C2331" i="5"/>
  <c r="B2331" i="5"/>
  <c r="C1302" i="13" s="1"/>
  <c r="A2331" i="5"/>
  <c r="B1302" i="13" s="1"/>
  <c r="D2330" i="5"/>
  <c r="E1301" i="13" s="1"/>
  <c r="C2330" i="5"/>
  <c r="D1301" i="13" s="1"/>
  <c r="B2330" i="5"/>
  <c r="C1301" i="13" s="1"/>
  <c r="A2330" i="5"/>
  <c r="B1301" i="13" s="1"/>
  <c r="C2329" i="5"/>
  <c r="D1300" i="13" s="1"/>
  <c r="B2329" i="5"/>
  <c r="C1300" i="13" s="1"/>
  <c r="A2329" i="5"/>
  <c r="D2328" i="5"/>
  <c r="E1299" i="13" s="1"/>
  <c r="C2328" i="5"/>
  <c r="B2328" i="5"/>
  <c r="C1299" i="13" s="1"/>
  <c r="A2328" i="5"/>
  <c r="B1299" i="13" s="1"/>
  <c r="D2327" i="5"/>
  <c r="E1298" i="13" s="1"/>
  <c r="A2327" i="5"/>
  <c r="B1298" i="13" s="1"/>
  <c r="D2326" i="5"/>
  <c r="E1297" i="13" s="1"/>
  <c r="A2326" i="5"/>
  <c r="B1297" i="13" s="1"/>
  <c r="D2325" i="5"/>
  <c r="E1296" i="13" s="1"/>
  <c r="A2325" i="5"/>
  <c r="B1296" i="13" s="1"/>
  <c r="D2324" i="5"/>
  <c r="E1295" i="13" s="1"/>
  <c r="A2324" i="5"/>
  <c r="B1295" i="13" s="1"/>
  <c r="D2323" i="5"/>
  <c r="E1294" i="13" s="1"/>
  <c r="C2323" i="5"/>
  <c r="A2323" i="5"/>
  <c r="B1294" i="13" s="1"/>
  <c r="D2322" i="5"/>
  <c r="E1293" i="13" s="1"/>
  <c r="A2322" i="5"/>
  <c r="B1293" i="13" s="1"/>
  <c r="D2321" i="5"/>
  <c r="E1292" i="13" s="1"/>
  <c r="A2321" i="5"/>
  <c r="B1292" i="13" s="1"/>
  <c r="L2320" i="5"/>
  <c r="E1311" i="13" s="1"/>
  <c r="I2320" i="5"/>
  <c r="B1311" i="13" s="1"/>
  <c r="D2320" i="5"/>
  <c r="E1291" i="13" s="1"/>
  <c r="A2320" i="5"/>
  <c r="B1291" i="13" s="1"/>
  <c r="E2319" i="5"/>
  <c r="M2318" i="5"/>
  <c r="E2318" i="5"/>
  <c r="D2317" i="5"/>
  <c r="E2477" i="13" s="1"/>
  <c r="E2469" i="15" s="1"/>
  <c r="G2469" i="15" s="1"/>
  <c r="C2317" i="5"/>
  <c r="B2317" i="5"/>
  <c r="C2477" i="13" s="1"/>
  <c r="C2469" i="15" s="1"/>
  <c r="A2317" i="5"/>
  <c r="B2477" i="13" s="1"/>
  <c r="B2469" i="15" s="1"/>
  <c r="D2316" i="5"/>
  <c r="E2434" i="13" s="1"/>
  <c r="E2426" i="15" s="1"/>
  <c r="G2426" i="15" s="1"/>
  <c r="C2316" i="5"/>
  <c r="B2316" i="5"/>
  <c r="C2434" i="13" s="1"/>
  <c r="C2426" i="15" s="1"/>
  <c r="A2316" i="5"/>
  <c r="B2434" i="13" s="1"/>
  <c r="B2426" i="15" s="1"/>
  <c r="D2315" i="5"/>
  <c r="E2433" i="13" s="1"/>
  <c r="E2425" i="15" s="1"/>
  <c r="G2425" i="15" s="1"/>
  <c r="C2315" i="5"/>
  <c r="D2433" i="13" s="1"/>
  <c r="B2315" i="5"/>
  <c r="C2433" i="13" s="1"/>
  <c r="C2425" i="15" s="1"/>
  <c r="A2315" i="5"/>
  <c r="B2433" i="13" s="1"/>
  <c r="B2425" i="15" s="1"/>
  <c r="B2314" i="5"/>
  <c r="C1912" i="13" s="1"/>
  <c r="A2314" i="5"/>
  <c r="B1912" i="13" s="1"/>
  <c r="B2313" i="5"/>
  <c r="C1911" i="13" s="1"/>
  <c r="B2312" i="5"/>
  <c r="C1910" i="13" s="1"/>
  <c r="C2311" i="5"/>
  <c r="D1909" i="13" s="1"/>
  <c r="B2311" i="5"/>
  <c r="C1909" i="13" s="1"/>
  <c r="A2311" i="5"/>
  <c r="B1909" i="13" s="1"/>
  <c r="B2310" i="5"/>
  <c r="C1908" i="13" s="1"/>
  <c r="A2310" i="5"/>
  <c r="B1908" i="13" s="1"/>
  <c r="C2309" i="5"/>
  <c r="B2309" i="5"/>
  <c r="C1907" i="13" s="1"/>
  <c r="C2308" i="5"/>
  <c r="B2308" i="5"/>
  <c r="C1906" i="13" s="1"/>
  <c r="B2307" i="5"/>
  <c r="C1905" i="13" s="1"/>
  <c r="A2307" i="5"/>
  <c r="B1905" i="13" s="1"/>
  <c r="C2306" i="5"/>
  <c r="D1904" i="13" s="1"/>
  <c r="B2306" i="5"/>
  <c r="C1904" i="13" s="1"/>
  <c r="A2306" i="5"/>
  <c r="B1904" i="13" s="1"/>
  <c r="B2305" i="5"/>
  <c r="C1903" i="13" s="1"/>
  <c r="C2292" i="5"/>
  <c r="L2291" i="5"/>
  <c r="E1928" i="13" s="1"/>
  <c r="J2290" i="5"/>
  <c r="C1927" i="13" s="1"/>
  <c r="G2290" i="5"/>
  <c r="B1927" i="13" s="1"/>
  <c r="B2290" i="5"/>
  <c r="C1888" i="13" s="1"/>
  <c r="J2289" i="5"/>
  <c r="C1926" i="13" s="1"/>
  <c r="D2289" i="5"/>
  <c r="E1887" i="13" s="1"/>
  <c r="L2288" i="5"/>
  <c r="E1925" i="13" s="1"/>
  <c r="J2288" i="5"/>
  <c r="C1925" i="13" s="1"/>
  <c r="A2288" i="5"/>
  <c r="B1886" i="13" s="1"/>
  <c r="J2287" i="5"/>
  <c r="C1924" i="13" s="1"/>
  <c r="B2287" i="5"/>
  <c r="C1885" i="13" s="1"/>
  <c r="A2287" i="5"/>
  <c r="B1885" i="13" s="1"/>
  <c r="J2286" i="5"/>
  <c r="C1923" i="13" s="1"/>
  <c r="G2286" i="5"/>
  <c r="B1923" i="13" s="1"/>
  <c r="F2286" i="5"/>
  <c r="B2286" i="5"/>
  <c r="C1884" i="13" s="1"/>
  <c r="A2286" i="5"/>
  <c r="B1884" i="13" s="1"/>
  <c r="L2285" i="5"/>
  <c r="E1922" i="13" s="1"/>
  <c r="J2285" i="5"/>
  <c r="C1922" i="13" s="1"/>
  <c r="D2285" i="5"/>
  <c r="E1883" i="13" s="1"/>
  <c r="B2285" i="5"/>
  <c r="C1883" i="13" s="1"/>
  <c r="A2285" i="5"/>
  <c r="B1883" i="13" s="1"/>
  <c r="J2284" i="5"/>
  <c r="C1921" i="13" s="1"/>
  <c r="F2284" i="5"/>
  <c r="B2284" i="5"/>
  <c r="C1882" i="13" s="1"/>
  <c r="A2284" i="5"/>
  <c r="B1882" i="13" s="1"/>
  <c r="J2283" i="5"/>
  <c r="C1920" i="13" s="1"/>
  <c r="G2283" i="5"/>
  <c r="B1920" i="13" s="1"/>
  <c r="B2283" i="5"/>
  <c r="C1881" i="13" s="1"/>
  <c r="A2283" i="5"/>
  <c r="B1881" i="13" s="1"/>
  <c r="J2282" i="5"/>
  <c r="C1919" i="13" s="1"/>
  <c r="F2282" i="5"/>
  <c r="A2282" i="5"/>
  <c r="B1880" i="13" s="1"/>
  <c r="L2281" i="5"/>
  <c r="E1918" i="13" s="1"/>
  <c r="J2281" i="5"/>
  <c r="C1918" i="13" s="1"/>
  <c r="A2281" i="5"/>
  <c r="J2280" i="5"/>
  <c r="C1917" i="13" s="1"/>
  <c r="A2280" i="5"/>
  <c r="J2279" i="5"/>
  <c r="C1916" i="13" s="1"/>
  <c r="D2279" i="5"/>
  <c r="E1877" i="13" s="1"/>
  <c r="A2279" i="5"/>
  <c r="B1877" i="13" s="1"/>
  <c r="L2278" i="5"/>
  <c r="E1915" i="13" s="1"/>
  <c r="J2278" i="5"/>
  <c r="C1915" i="13" s="1"/>
  <c r="D2278" i="5"/>
  <c r="E1876" i="13" s="1"/>
  <c r="A2278" i="5"/>
  <c r="B1876" i="13" s="1"/>
  <c r="B2268" i="5"/>
  <c r="B2267" i="5"/>
  <c r="A2267" i="5"/>
  <c r="B2266" i="5"/>
  <c r="G2265" i="5"/>
  <c r="B2265" i="5"/>
  <c r="A2265" i="5"/>
  <c r="G2264" i="5"/>
  <c r="C2264" i="5"/>
  <c r="E2264" i="5" s="1"/>
  <c r="B2264" i="5"/>
  <c r="A2264" i="5"/>
  <c r="B2263" i="5"/>
  <c r="A2263" i="5"/>
  <c r="B2262" i="5"/>
  <c r="B2261" i="5"/>
  <c r="B2260" i="5"/>
  <c r="C2259" i="5"/>
  <c r="A2259" i="5"/>
  <c r="B2258" i="5"/>
  <c r="A2258" i="5"/>
  <c r="B2256" i="5"/>
  <c r="A2256" i="5"/>
  <c r="G2255" i="5"/>
  <c r="E2255" i="5"/>
  <c r="C2255" i="5"/>
  <c r="A2255" i="5"/>
  <c r="D2253" i="5"/>
  <c r="C2253" i="5"/>
  <c r="B2253" i="5"/>
  <c r="D2252" i="5"/>
  <c r="C2252" i="5"/>
  <c r="B2252" i="5"/>
  <c r="A2252" i="5"/>
  <c r="C2251" i="5"/>
  <c r="B2251" i="5"/>
  <c r="A2251" i="5"/>
  <c r="C2250" i="5"/>
  <c r="B2250" i="5"/>
  <c r="A2250" i="5"/>
  <c r="C2249" i="5"/>
  <c r="B2249" i="5"/>
  <c r="A2249" i="5"/>
  <c r="C2248" i="5"/>
  <c r="C2263" i="5" s="1"/>
  <c r="E2263" i="5" s="1"/>
  <c r="G2263" i="5" s="1"/>
  <c r="B2248" i="5"/>
  <c r="A2248" i="5"/>
  <c r="C2247" i="5"/>
  <c r="B2247" i="5"/>
  <c r="A2247" i="5"/>
  <c r="C2246" i="5"/>
  <c r="C2257" i="5" s="1"/>
  <c r="E2257" i="5" s="1"/>
  <c r="B2246" i="5"/>
  <c r="A2246" i="5"/>
  <c r="C2245" i="5"/>
  <c r="B2245" i="5"/>
  <c r="A2245" i="5"/>
  <c r="C2244" i="5"/>
  <c r="B2244" i="5"/>
  <c r="A2244" i="5"/>
  <c r="K2227" i="5"/>
  <c r="I2227" i="5"/>
  <c r="F2227" i="5"/>
  <c r="E2227" i="5"/>
  <c r="C2227" i="5"/>
  <c r="A2227" i="5"/>
  <c r="K2226" i="5"/>
  <c r="I2226" i="5"/>
  <c r="F2226" i="5"/>
  <c r="E2226" i="5"/>
  <c r="C2226" i="5"/>
  <c r="A2226" i="5"/>
  <c r="K2225" i="5"/>
  <c r="I2225" i="5"/>
  <c r="F2225" i="5"/>
  <c r="E2225" i="5"/>
  <c r="C2225" i="5"/>
  <c r="A2225" i="5"/>
  <c r="K2224" i="5"/>
  <c r="I2224" i="5"/>
  <c r="F2224" i="5"/>
  <c r="E2224" i="5"/>
  <c r="C2224" i="5"/>
  <c r="A2224" i="5"/>
  <c r="K2223" i="5"/>
  <c r="I2223" i="5"/>
  <c r="I2228" i="5" s="1"/>
  <c r="I2239" i="5" s="1"/>
  <c r="F2223" i="5"/>
  <c r="E2223" i="5"/>
  <c r="C2223" i="5"/>
  <c r="A2223" i="5"/>
  <c r="E2222" i="5"/>
  <c r="K2221" i="5"/>
  <c r="I2221" i="5"/>
  <c r="F2221" i="5"/>
  <c r="E2221" i="5"/>
  <c r="C2221" i="5"/>
  <c r="B2221" i="5"/>
  <c r="A2221" i="5"/>
  <c r="K2220" i="5"/>
  <c r="I2220" i="5"/>
  <c r="F2220" i="5"/>
  <c r="E2220" i="5"/>
  <c r="C2220" i="5"/>
  <c r="B2220" i="5"/>
  <c r="A2220" i="5"/>
  <c r="K2219" i="5"/>
  <c r="I2219" i="5"/>
  <c r="F2219" i="5"/>
  <c r="E2219" i="5"/>
  <c r="E2240" i="5" s="1"/>
  <c r="C2219" i="5"/>
  <c r="B2219" i="5"/>
  <c r="A2219" i="5"/>
  <c r="K2218" i="5"/>
  <c r="K2240" i="5" s="1"/>
  <c r="I2218" i="5"/>
  <c r="E2218" i="5"/>
  <c r="C2218" i="5"/>
  <c r="C2240" i="5" s="1"/>
  <c r="B2218" i="5"/>
  <c r="A2218" i="5"/>
  <c r="K2217" i="5"/>
  <c r="I2217" i="5"/>
  <c r="F2217" i="5"/>
  <c r="F2218" i="5" s="1"/>
  <c r="E2217" i="5"/>
  <c r="C2217" i="5"/>
  <c r="A2217" i="5"/>
  <c r="F2216" i="5"/>
  <c r="E2216" i="5"/>
  <c r="D2212" i="5"/>
  <c r="E2474" i="13" s="1"/>
  <c r="E2466" i="15" s="1"/>
  <c r="G2466" i="15" s="1"/>
  <c r="C2212" i="5"/>
  <c r="B2212" i="5"/>
  <c r="C2474" i="13" s="1"/>
  <c r="C2466" i="15" s="1"/>
  <c r="A2212" i="5"/>
  <c r="B2474" i="13" s="1"/>
  <c r="B2466" i="15" s="1"/>
  <c r="B2211" i="5"/>
  <c r="A2211" i="5"/>
  <c r="B2432" i="13" s="1"/>
  <c r="B2424" i="15" s="1"/>
  <c r="B2210" i="5"/>
  <c r="A2210" i="5"/>
  <c r="C2208" i="5"/>
  <c r="A2208" i="5"/>
  <c r="A2207" i="5"/>
  <c r="A2206" i="5"/>
  <c r="J2205" i="5"/>
  <c r="E1332" i="13" s="1"/>
  <c r="G2205" i="5"/>
  <c r="B1332" i="13" s="1"/>
  <c r="A2205" i="5"/>
  <c r="J2204" i="5"/>
  <c r="E1331" i="13" s="1"/>
  <c r="G2204" i="5"/>
  <c r="B1331" i="13" s="1"/>
  <c r="A2204" i="5"/>
  <c r="J2203" i="5"/>
  <c r="E1330" i="13" s="1"/>
  <c r="I2203" i="5"/>
  <c r="C2204" i="5" s="1"/>
  <c r="G2203" i="5"/>
  <c r="B1330" i="13" s="1"/>
  <c r="A2203" i="5"/>
  <c r="C2201" i="5"/>
  <c r="B2201" i="5"/>
  <c r="C1319" i="13" s="1"/>
  <c r="B2200" i="5"/>
  <c r="C1318" i="13" s="1"/>
  <c r="B2199" i="5"/>
  <c r="C1317" i="13" s="1"/>
  <c r="J2198" i="5"/>
  <c r="E1329" i="13" s="1"/>
  <c r="G2198" i="5"/>
  <c r="B1329" i="13" s="1"/>
  <c r="A2198" i="5"/>
  <c r="J2197" i="5"/>
  <c r="E1328" i="13" s="1"/>
  <c r="G2197" i="5"/>
  <c r="B1328" i="13" s="1"/>
  <c r="A2197" i="5"/>
  <c r="C2193" i="5"/>
  <c r="C2192" i="5"/>
  <c r="E2191" i="5"/>
  <c r="C2191" i="5"/>
  <c r="C2190" i="5"/>
  <c r="B2188" i="5"/>
  <c r="F2186" i="5"/>
  <c r="C2210" i="5" s="1"/>
  <c r="D2431" i="13" s="1"/>
  <c r="E2179" i="5"/>
  <c r="D2179" i="5"/>
  <c r="C2179" i="5"/>
  <c r="B2179" i="5"/>
  <c r="A2179" i="5"/>
  <c r="C2178" i="5"/>
  <c r="D2404" i="13" s="1"/>
  <c r="B2178" i="5"/>
  <c r="A2178" i="5"/>
  <c r="C2177" i="5"/>
  <c r="B2177" i="5"/>
  <c r="A2177" i="5"/>
  <c r="B2403" i="13" s="1"/>
  <c r="B2396" i="15" s="1"/>
  <c r="D2176" i="5"/>
  <c r="E1857" i="13" s="1"/>
  <c r="A2176" i="5"/>
  <c r="B1857" i="13" s="1"/>
  <c r="D2175" i="5"/>
  <c r="E1856" i="13" s="1"/>
  <c r="A2175" i="5"/>
  <c r="B1856" i="13" s="1"/>
  <c r="D2174" i="5"/>
  <c r="E1855" i="13" s="1"/>
  <c r="A2174" i="5"/>
  <c r="B1855" i="13" s="1"/>
  <c r="D2173" i="5"/>
  <c r="E1854" i="13" s="1"/>
  <c r="A2173" i="5"/>
  <c r="B1854" i="13" s="1"/>
  <c r="D2172" i="5"/>
  <c r="A2172" i="5"/>
  <c r="B1853" i="13" s="1"/>
  <c r="D2171" i="5"/>
  <c r="A2171" i="5"/>
  <c r="B1852" i="13" s="1"/>
  <c r="D2170" i="5"/>
  <c r="E1851" i="13" s="1"/>
  <c r="A2170" i="5"/>
  <c r="B1851" i="13" s="1"/>
  <c r="D2169" i="5"/>
  <c r="E1850" i="13" s="1"/>
  <c r="A2169" i="5"/>
  <c r="B1850" i="13" s="1"/>
  <c r="D2168" i="5"/>
  <c r="A2168" i="5"/>
  <c r="B1849" i="13" s="1"/>
  <c r="D2167" i="5"/>
  <c r="A2167" i="5"/>
  <c r="B1848" i="13" s="1"/>
  <c r="D2166" i="5"/>
  <c r="E1847" i="13" s="1"/>
  <c r="A2166" i="5"/>
  <c r="B1847" i="13" s="1"/>
  <c r="D2165" i="5"/>
  <c r="E1846" i="13" s="1"/>
  <c r="A2165" i="5"/>
  <c r="B1846" i="13" s="1"/>
  <c r="D2164" i="5"/>
  <c r="C2164" i="5"/>
  <c r="A2164" i="5"/>
  <c r="B1845" i="13" s="1"/>
  <c r="D2163" i="5"/>
  <c r="A2163" i="5"/>
  <c r="B1844" i="13" s="1"/>
  <c r="D2162" i="5"/>
  <c r="E1843" i="13" s="1"/>
  <c r="B2162" i="5"/>
  <c r="C1843" i="13" s="1"/>
  <c r="A2162" i="5"/>
  <c r="B1843" i="13" s="1"/>
  <c r="D2161" i="5"/>
  <c r="E1842" i="13" s="1"/>
  <c r="B2161" i="5"/>
  <c r="C1842" i="13" s="1"/>
  <c r="A2161" i="5"/>
  <c r="B1842" i="13" s="1"/>
  <c r="D2160" i="5"/>
  <c r="E1841" i="13" s="1"/>
  <c r="B2160" i="5"/>
  <c r="C1841" i="13" s="1"/>
  <c r="A2160" i="5"/>
  <c r="B1841" i="13" s="1"/>
  <c r="D2159" i="5"/>
  <c r="E1840" i="13" s="1"/>
  <c r="B2159" i="5"/>
  <c r="C1840" i="13" s="1"/>
  <c r="A2159" i="5"/>
  <c r="B1840" i="13" s="1"/>
  <c r="D2158" i="5"/>
  <c r="E1839" i="13" s="1"/>
  <c r="B2158" i="5"/>
  <c r="C1839" i="13" s="1"/>
  <c r="A2158" i="5"/>
  <c r="B1839" i="13" s="1"/>
  <c r="D2157" i="5"/>
  <c r="E1838" i="13" s="1"/>
  <c r="B2157" i="5"/>
  <c r="C1838" i="13" s="1"/>
  <c r="A2157" i="5"/>
  <c r="B1838" i="13" s="1"/>
  <c r="D2156" i="5"/>
  <c r="E1837" i="13" s="1"/>
  <c r="B2156" i="5"/>
  <c r="C1837" i="13" s="1"/>
  <c r="A2156" i="5"/>
  <c r="B1837" i="13" s="1"/>
  <c r="D2155" i="5"/>
  <c r="E1836" i="13" s="1"/>
  <c r="B2155" i="5"/>
  <c r="C1836" i="13" s="1"/>
  <c r="A2155" i="5"/>
  <c r="B1836" i="13" s="1"/>
  <c r="D2154" i="5"/>
  <c r="E1835" i="13" s="1"/>
  <c r="B2154" i="5"/>
  <c r="C1835" i="13" s="1"/>
  <c r="A2154" i="5"/>
  <c r="B1835" i="13" s="1"/>
  <c r="D2153" i="5"/>
  <c r="E1834" i="13" s="1"/>
  <c r="B2153" i="5"/>
  <c r="C1834" i="13" s="1"/>
  <c r="A2153" i="5"/>
  <c r="B1834" i="13" s="1"/>
  <c r="A2152" i="5"/>
  <c r="D2151" i="5"/>
  <c r="E1832" i="13" s="1"/>
  <c r="B2151" i="5"/>
  <c r="C1832" i="13" s="1"/>
  <c r="A2151" i="5"/>
  <c r="B1832" i="13" s="1"/>
  <c r="D2150" i="5"/>
  <c r="E1831" i="13" s="1"/>
  <c r="B2150" i="5"/>
  <c r="C1831" i="13" s="1"/>
  <c r="A2150" i="5"/>
  <c r="B1831" i="13" s="1"/>
  <c r="D2149" i="5"/>
  <c r="B2149" i="5"/>
  <c r="A2149" i="5"/>
  <c r="B1830" i="13" s="1"/>
  <c r="L2148" i="5"/>
  <c r="E1872" i="13" s="1"/>
  <c r="G2148" i="5"/>
  <c r="B1872" i="13" s="1"/>
  <c r="D2148" i="5"/>
  <c r="E1829" i="13" s="1"/>
  <c r="B2148" i="5"/>
  <c r="C1829" i="13" s="1"/>
  <c r="A2148" i="5"/>
  <c r="B1829" i="13" s="1"/>
  <c r="L2147" i="5"/>
  <c r="G2147" i="5"/>
  <c r="B1871" i="13" s="1"/>
  <c r="D2147" i="5"/>
  <c r="B2147" i="5"/>
  <c r="C1828" i="13" s="1"/>
  <c r="A2147" i="5"/>
  <c r="B1828" i="13" s="1"/>
  <c r="L2146" i="5"/>
  <c r="E1870" i="13" s="1"/>
  <c r="G2146" i="5"/>
  <c r="B1870" i="13" s="1"/>
  <c r="D2146" i="5"/>
  <c r="E1827" i="13" s="1"/>
  <c r="B2146" i="5"/>
  <c r="A2146" i="5"/>
  <c r="L2145" i="5"/>
  <c r="E1869" i="13" s="1"/>
  <c r="G2145" i="5"/>
  <c r="D2145" i="5"/>
  <c r="E1826" i="13" s="1"/>
  <c r="B2145" i="5"/>
  <c r="C1826" i="13" s="1"/>
  <c r="A2145" i="5"/>
  <c r="B1826" i="13" s="1"/>
  <c r="L2144" i="5"/>
  <c r="E1868" i="13" s="1"/>
  <c r="G2144" i="5"/>
  <c r="B1868" i="13" s="1"/>
  <c r="D2144" i="5"/>
  <c r="E1825" i="13" s="1"/>
  <c r="L2143" i="5"/>
  <c r="E1867" i="13" s="1"/>
  <c r="G2143" i="5"/>
  <c r="D2143" i="5"/>
  <c r="E1824" i="13" s="1"/>
  <c r="L2142" i="5"/>
  <c r="E1866" i="13" s="1"/>
  <c r="G2142" i="5"/>
  <c r="B1866" i="13" s="1"/>
  <c r="D2142" i="5"/>
  <c r="E1823" i="13" s="1"/>
  <c r="L2141" i="5"/>
  <c r="E1865" i="13" s="1"/>
  <c r="G2141" i="5"/>
  <c r="B1865" i="13" s="1"/>
  <c r="D2141" i="5"/>
  <c r="E1822" i="13" s="1"/>
  <c r="L2140" i="5"/>
  <c r="G2140" i="5"/>
  <c r="B1864" i="13" s="1"/>
  <c r="D2140" i="5"/>
  <c r="L2139" i="5"/>
  <c r="E1863" i="13" s="1"/>
  <c r="G2139" i="5"/>
  <c r="B1863" i="13" s="1"/>
  <c r="A2139" i="5"/>
  <c r="L2138" i="5"/>
  <c r="E1862" i="13" s="1"/>
  <c r="G2138" i="5"/>
  <c r="B1862" i="13" s="1"/>
  <c r="A2138" i="5"/>
  <c r="L2137" i="5"/>
  <c r="E1861" i="13" s="1"/>
  <c r="G2137" i="5"/>
  <c r="A2137" i="5"/>
  <c r="L2136" i="5"/>
  <c r="E1860" i="13" s="1"/>
  <c r="G2136" i="5"/>
  <c r="A2136" i="5"/>
  <c r="C2129" i="5"/>
  <c r="C2128" i="5"/>
  <c r="C2127" i="5"/>
  <c r="I2123" i="5"/>
  <c r="G2123" i="5"/>
  <c r="E2108" i="5"/>
  <c r="C2134" i="5" s="1"/>
  <c r="E2107" i="5"/>
  <c r="C2133" i="5" s="1"/>
  <c r="E2105" i="5"/>
  <c r="G2105" i="5" s="1"/>
  <c r="G2104" i="5"/>
  <c r="E2104" i="5"/>
  <c r="E2103" i="5"/>
  <c r="G2103" i="5" s="1"/>
  <c r="A2103" i="5"/>
  <c r="A2257" i="5" s="1"/>
  <c r="G2102" i="5"/>
  <c r="E2102" i="5"/>
  <c r="E2101" i="5"/>
  <c r="I2119" i="5" s="1"/>
  <c r="C2165" i="5" s="1"/>
  <c r="G2100" i="5"/>
  <c r="C2169" i="5" s="1"/>
  <c r="C2166" i="5" s="1"/>
  <c r="E2100" i="5"/>
  <c r="I2095" i="5"/>
  <c r="A2081" i="5"/>
  <c r="B1276" i="13" s="1"/>
  <c r="J2080" i="5"/>
  <c r="E1287" i="13" s="1"/>
  <c r="G2080" i="5"/>
  <c r="B1287" i="13" s="1"/>
  <c r="A2080" i="5"/>
  <c r="B1275" i="13" s="1"/>
  <c r="D2079" i="5"/>
  <c r="E1274" i="13" s="1"/>
  <c r="A2079" i="5"/>
  <c r="B1274" i="13" s="1"/>
  <c r="J2078" i="5"/>
  <c r="E1285" i="13" s="1"/>
  <c r="G2078" i="5"/>
  <c r="B1285" i="13" s="1"/>
  <c r="A2078" i="5"/>
  <c r="B1273" i="13" s="1"/>
  <c r="J2077" i="5"/>
  <c r="E1284" i="13" s="1"/>
  <c r="A2077" i="5"/>
  <c r="B1272" i="13" s="1"/>
  <c r="J2076" i="5"/>
  <c r="E1283" i="13" s="1"/>
  <c r="G2076" i="5"/>
  <c r="B1283" i="13" s="1"/>
  <c r="A2076" i="5"/>
  <c r="B1271" i="13" s="1"/>
  <c r="E2075" i="5"/>
  <c r="C2074" i="5"/>
  <c r="C2071" i="5"/>
  <c r="C2069" i="5"/>
  <c r="B2069" i="5"/>
  <c r="A2069" i="5"/>
  <c r="C2068" i="5"/>
  <c r="B2068" i="5"/>
  <c r="A2068" i="5"/>
  <c r="C2067" i="5"/>
  <c r="B2067" i="5"/>
  <c r="A2067" i="5"/>
  <c r="D2064" i="5"/>
  <c r="E2466" i="13" s="1"/>
  <c r="E2458" i="15" s="1"/>
  <c r="G2458" i="15" s="1"/>
  <c r="C2064" i="5"/>
  <c r="D2466" i="13" s="1"/>
  <c r="B2064" i="5"/>
  <c r="C2466" i="13" s="1"/>
  <c r="C2458" i="15" s="1"/>
  <c r="A2064" i="5"/>
  <c r="B2466" i="13" s="1"/>
  <c r="B2458" i="15" s="1"/>
  <c r="C2063" i="5"/>
  <c r="D2406" i="13" s="1"/>
  <c r="B2063" i="5"/>
  <c r="A2063" i="5"/>
  <c r="C2062" i="5"/>
  <c r="B2062" i="5"/>
  <c r="A2062" i="5"/>
  <c r="B2405" i="13" s="1"/>
  <c r="B2398" i="15" s="1"/>
  <c r="C2061" i="5"/>
  <c r="D1270" i="13" s="1"/>
  <c r="B2061" i="5"/>
  <c r="C1270" i="13" s="1"/>
  <c r="A2061" i="5"/>
  <c r="B1270" i="13" s="1"/>
  <c r="C2060" i="5"/>
  <c r="D1269" i="13" s="1"/>
  <c r="B2060" i="5"/>
  <c r="C1269" i="13" s="1"/>
  <c r="A2060" i="5"/>
  <c r="B1269" i="13" s="1"/>
  <c r="C2059" i="5"/>
  <c r="D1268" i="13" s="1"/>
  <c r="B2059" i="5"/>
  <c r="C1268" i="13" s="1"/>
  <c r="A2059" i="5"/>
  <c r="D2058" i="5"/>
  <c r="E1267" i="13" s="1"/>
  <c r="C2058" i="5"/>
  <c r="B2058" i="5"/>
  <c r="C1267" i="13" s="1"/>
  <c r="A2058" i="5"/>
  <c r="B1267" i="13" s="1"/>
  <c r="C2057" i="5"/>
  <c r="D1266" i="13" s="1"/>
  <c r="B2057" i="5"/>
  <c r="C1266" i="13" s="1"/>
  <c r="A2057" i="5"/>
  <c r="B1266" i="13" s="1"/>
  <c r="C2056" i="5"/>
  <c r="D1265" i="13" s="1"/>
  <c r="B2056" i="5"/>
  <c r="C1265" i="13" s="1"/>
  <c r="A2056" i="5"/>
  <c r="B1265" i="13" s="1"/>
  <c r="C2055" i="5"/>
  <c r="D1264" i="13" s="1"/>
  <c r="B2055" i="5"/>
  <c r="C1264" i="13" s="1"/>
  <c r="A2055" i="5"/>
  <c r="D2054" i="5"/>
  <c r="E1263" i="13" s="1"/>
  <c r="C2054" i="5"/>
  <c r="B2054" i="5"/>
  <c r="C1263" i="13" s="1"/>
  <c r="A2054" i="5"/>
  <c r="B1263" i="13" s="1"/>
  <c r="C2053" i="5"/>
  <c r="D1262" i="13" s="1"/>
  <c r="B2053" i="5"/>
  <c r="C1262" i="13" s="1"/>
  <c r="A2053" i="5"/>
  <c r="B1262" i="13" s="1"/>
  <c r="C2052" i="5"/>
  <c r="D1261" i="13" s="1"/>
  <c r="B2052" i="5"/>
  <c r="C1261" i="13" s="1"/>
  <c r="A2052" i="5"/>
  <c r="B1261" i="13" s="1"/>
  <c r="D2051" i="5"/>
  <c r="E1260" i="13" s="1"/>
  <c r="A2051" i="5"/>
  <c r="B1260" i="13" s="1"/>
  <c r="A2050" i="5"/>
  <c r="A2049" i="5"/>
  <c r="A2048" i="5"/>
  <c r="A2047" i="5"/>
  <c r="A2046" i="5"/>
  <c r="K2045" i="5"/>
  <c r="E1282" i="13" s="1"/>
  <c r="G2045" i="5"/>
  <c r="B1282" i="13" s="1"/>
  <c r="A2045" i="5"/>
  <c r="K2044" i="5"/>
  <c r="E1281" i="13" s="1"/>
  <c r="G2044" i="5"/>
  <c r="B1281" i="13" s="1"/>
  <c r="D2044" i="5"/>
  <c r="E1253" i="13" s="1"/>
  <c r="A2044" i="5"/>
  <c r="B1253" i="13" s="1"/>
  <c r="K2043" i="5"/>
  <c r="E1280" i="13" s="1"/>
  <c r="A2043" i="5"/>
  <c r="B1252" i="13" s="1"/>
  <c r="K2042" i="5"/>
  <c r="E1279" i="13" s="1"/>
  <c r="D2042" i="5"/>
  <c r="E1251" i="13" s="1"/>
  <c r="A2042" i="5"/>
  <c r="B1251" i="13" s="1"/>
  <c r="E2040" i="5"/>
  <c r="C2032" i="5"/>
  <c r="B2032" i="5"/>
  <c r="A2032" i="5"/>
  <c r="C2031" i="5"/>
  <c r="B2031" i="5"/>
  <c r="A2031" i="5"/>
  <c r="C2030" i="5"/>
  <c r="B2030" i="5"/>
  <c r="A2030" i="5"/>
  <c r="C2029" i="5"/>
  <c r="C2028" i="5"/>
  <c r="C2027" i="5"/>
  <c r="C2026" i="5"/>
  <c r="E2024" i="5"/>
  <c r="E2023" i="5"/>
  <c r="C2021" i="5"/>
  <c r="E2025" i="5" s="1"/>
  <c r="D2019" i="5"/>
  <c r="B2011" i="5"/>
  <c r="C2008" i="5"/>
  <c r="D2490" i="13" s="1"/>
  <c r="B2008" i="5"/>
  <c r="C2490" i="13" s="1"/>
  <c r="C2482" i="15" s="1"/>
  <c r="I1991" i="5"/>
  <c r="D1991" i="5"/>
  <c r="E763" i="13" s="1"/>
  <c r="B1991" i="5"/>
  <c r="C763" i="13" s="1"/>
  <c r="A1991" i="5"/>
  <c r="B763" i="13" s="1"/>
  <c r="B1990" i="5"/>
  <c r="C762" i="13" s="1"/>
  <c r="A1990" i="5"/>
  <c r="B762" i="13" s="1"/>
  <c r="D1989" i="5"/>
  <c r="E761" i="13" s="1"/>
  <c r="B1989" i="5"/>
  <c r="C761" i="13" s="1"/>
  <c r="A1989" i="5"/>
  <c r="B761" i="13" s="1"/>
  <c r="B1988" i="5"/>
  <c r="C760" i="13" s="1"/>
  <c r="L1987" i="5"/>
  <c r="I1987" i="5"/>
  <c r="B1987" i="5"/>
  <c r="C759" i="13" s="1"/>
  <c r="K1986" i="5"/>
  <c r="E783" i="13" s="1"/>
  <c r="B1986" i="5"/>
  <c r="C758" i="13" s="1"/>
  <c r="K1985" i="5"/>
  <c r="E782" i="13" s="1"/>
  <c r="G1985" i="5"/>
  <c r="B782" i="13" s="1"/>
  <c r="D1985" i="5"/>
  <c r="E757" i="13" s="1"/>
  <c r="B1985" i="5"/>
  <c r="C757" i="13" s="1"/>
  <c r="C1979" i="5"/>
  <c r="G1973" i="5"/>
  <c r="B1962" i="5"/>
  <c r="C2491" i="13" s="1"/>
  <c r="C2483" i="15" s="1"/>
  <c r="B1952" i="5"/>
  <c r="B1998" i="5" s="1"/>
  <c r="I1945" i="5"/>
  <c r="D1945" i="5"/>
  <c r="E800" i="13" s="1"/>
  <c r="A1945" i="5"/>
  <c r="B800" i="13" s="1"/>
  <c r="A1944" i="5"/>
  <c r="B799" i="13" s="1"/>
  <c r="D1943" i="5"/>
  <c r="E798" i="13" s="1"/>
  <c r="A1943" i="5"/>
  <c r="B798" i="13" s="1"/>
  <c r="A1942" i="5"/>
  <c r="B797" i="13" s="1"/>
  <c r="L1941" i="5"/>
  <c r="I1941" i="5"/>
  <c r="A1941" i="5"/>
  <c r="D1941" i="5" s="1"/>
  <c r="K1940" i="5"/>
  <c r="E820" i="13" s="1"/>
  <c r="A1940" i="5"/>
  <c r="K1939" i="5"/>
  <c r="E819" i="13" s="1"/>
  <c r="G1939" i="5"/>
  <c r="B819" i="13" s="1"/>
  <c r="D1939" i="5"/>
  <c r="E794" i="13" s="1"/>
  <c r="A1939" i="5"/>
  <c r="B794" i="13" s="1"/>
  <c r="C1916" i="5"/>
  <c r="C1915" i="5"/>
  <c r="C1914" i="5"/>
  <c r="G1912" i="5"/>
  <c r="B1902" i="5"/>
  <c r="B1963" i="5" s="1"/>
  <c r="B2009" i="5" s="1"/>
  <c r="B1901" i="5"/>
  <c r="C2493" i="13" s="1"/>
  <c r="C2485" i="15" s="1"/>
  <c r="B1895" i="5"/>
  <c r="C885" i="13" s="1"/>
  <c r="B1894" i="5"/>
  <c r="C884" i="13" s="1"/>
  <c r="B1893" i="5"/>
  <c r="B1891" i="5"/>
  <c r="I1888" i="5"/>
  <c r="I1947" i="5" s="1"/>
  <c r="I1993" i="5" s="1"/>
  <c r="B1887" i="5"/>
  <c r="C877" i="13" s="1"/>
  <c r="G1886" i="5"/>
  <c r="B900" i="13" s="1"/>
  <c r="I1885" i="5"/>
  <c r="B1884" i="5"/>
  <c r="C874" i="13" s="1"/>
  <c r="D1883" i="5"/>
  <c r="E873" i="13" s="1"/>
  <c r="A1883" i="5"/>
  <c r="B873" i="13" s="1"/>
  <c r="D1882" i="5"/>
  <c r="E872" i="13" s="1"/>
  <c r="B1882" i="5"/>
  <c r="C872" i="13" s="1"/>
  <c r="A1882" i="5"/>
  <c r="B872" i="13" s="1"/>
  <c r="K1880" i="5"/>
  <c r="E894" i="13" s="1"/>
  <c r="B1879" i="5"/>
  <c r="C869" i="13" s="1"/>
  <c r="K1878" i="5"/>
  <c r="E893" i="13" s="1"/>
  <c r="C1874" i="5"/>
  <c r="C1873" i="5"/>
  <c r="C1875" i="5" s="1"/>
  <c r="C1872" i="5"/>
  <c r="B1857" i="5"/>
  <c r="B1904" i="5" s="1"/>
  <c r="B1856" i="5"/>
  <c r="B1903" i="5" s="1"/>
  <c r="B1964" i="5" s="1"/>
  <c r="B2010" i="5" s="1"/>
  <c r="B1855" i="5"/>
  <c r="B1854" i="5"/>
  <c r="C2492" i="13" s="1"/>
  <c r="C2484" i="15" s="1"/>
  <c r="B1853" i="5"/>
  <c r="B1852" i="5"/>
  <c r="A1850" i="5"/>
  <c r="B851" i="13" s="1"/>
  <c r="A1849" i="5"/>
  <c r="B1848" i="5"/>
  <c r="B1847" i="5"/>
  <c r="C848" i="13" s="1"/>
  <c r="A1847" i="5"/>
  <c r="B848" i="13" s="1"/>
  <c r="B1846" i="5"/>
  <c r="C847" i="13" s="1"/>
  <c r="A1846" i="5"/>
  <c r="B847" i="13" s="1"/>
  <c r="B1845" i="5"/>
  <c r="C846" i="13" s="1"/>
  <c r="A1845" i="5"/>
  <c r="B1844" i="5"/>
  <c r="B1843" i="5"/>
  <c r="A1843" i="5"/>
  <c r="B844" i="13" s="1"/>
  <c r="B1842" i="5"/>
  <c r="C843" i="13" s="1"/>
  <c r="A1842" i="5"/>
  <c r="B843" i="13" s="1"/>
  <c r="B1841" i="5"/>
  <c r="C842" i="13" s="1"/>
  <c r="A1841" i="5"/>
  <c r="B1840" i="5"/>
  <c r="B1839" i="5"/>
  <c r="C840" i="13" s="1"/>
  <c r="A1839" i="5"/>
  <c r="B840" i="13" s="1"/>
  <c r="I1838" i="5"/>
  <c r="G1838" i="5"/>
  <c r="B1838" i="5"/>
  <c r="C839" i="13" s="1"/>
  <c r="A1838" i="5"/>
  <c r="B839" i="13" s="1"/>
  <c r="B1837" i="5"/>
  <c r="C838" i="13" s="1"/>
  <c r="I1836" i="5"/>
  <c r="B1836" i="5"/>
  <c r="C837" i="13" s="1"/>
  <c r="A1836" i="5"/>
  <c r="G1835" i="5"/>
  <c r="B861" i="13" s="1"/>
  <c r="D1835" i="5"/>
  <c r="E836" i="13" s="1"/>
  <c r="B1835" i="5"/>
  <c r="A1835" i="5"/>
  <c r="B836" i="13" s="1"/>
  <c r="D1834" i="5"/>
  <c r="E835" i="13" s="1"/>
  <c r="B1834" i="5"/>
  <c r="C835" i="13" s="1"/>
  <c r="B1833" i="5"/>
  <c r="L1832" i="5"/>
  <c r="L1881" i="5" s="1"/>
  <c r="I1832" i="5"/>
  <c r="I1881" i="5" s="1"/>
  <c r="B1832" i="5"/>
  <c r="K1831" i="5"/>
  <c r="E857" i="13" s="1"/>
  <c r="G1831" i="5"/>
  <c r="B857" i="13" s="1"/>
  <c r="B1831" i="5"/>
  <c r="C832" i="13" s="1"/>
  <c r="K1830" i="5"/>
  <c r="E856" i="13" s="1"/>
  <c r="G1830" i="5"/>
  <c r="B856" i="13" s="1"/>
  <c r="B1830" i="5"/>
  <c r="C831" i="13" s="1"/>
  <c r="C1826" i="5"/>
  <c r="G1826" i="5" s="1"/>
  <c r="C1825" i="5"/>
  <c r="C1822" i="5"/>
  <c r="J1834" i="5" s="1"/>
  <c r="D860" i="13" s="1"/>
  <c r="G1817" i="5"/>
  <c r="D1812" i="5"/>
  <c r="C1812" i="5"/>
  <c r="D2379" i="13" s="1"/>
  <c r="A1812" i="5"/>
  <c r="B2379" i="13" s="1"/>
  <c r="B2372" i="15" s="1"/>
  <c r="D1811" i="5"/>
  <c r="E2378" i="13" s="1"/>
  <c r="E2371" i="15" s="1"/>
  <c r="G2371" i="15" s="1"/>
  <c r="C1811" i="5"/>
  <c r="D2378" i="13" s="1"/>
  <c r="A1811" i="5"/>
  <c r="D1810" i="5"/>
  <c r="E2455" i="13" s="1"/>
  <c r="E2447" i="15" s="1"/>
  <c r="G2447" i="15" s="1"/>
  <c r="C1810" i="5"/>
  <c r="D2455" i="13" s="1"/>
  <c r="A1810" i="5"/>
  <c r="B2455" i="13" s="1"/>
  <c r="B2447" i="15" s="1"/>
  <c r="D1809" i="5"/>
  <c r="D2008" i="5" s="1"/>
  <c r="E2490" i="13" s="1"/>
  <c r="E2482" i="15" s="1"/>
  <c r="G2482" i="15" s="1"/>
  <c r="C1809" i="5"/>
  <c r="C1853" i="5" s="1"/>
  <c r="A1809" i="5"/>
  <c r="A1962" i="5" s="1"/>
  <c r="B2491" i="13" s="1"/>
  <c r="B2483" i="15" s="1"/>
  <c r="D1808" i="5"/>
  <c r="E742" i="13" s="1"/>
  <c r="C1808" i="5"/>
  <c r="D742" i="13" s="1"/>
  <c r="B1808" i="5"/>
  <c r="C742" i="13" s="1"/>
  <c r="A1808" i="5"/>
  <c r="C1807" i="5"/>
  <c r="D741" i="13" s="1"/>
  <c r="B1807" i="5"/>
  <c r="A1807" i="5"/>
  <c r="B741" i="13" s="1"/>
  <c r="D1806" i="5"/>
  <c r="E740" i="13" s="1"/>
  <c r="C1806" i="5"/>
  <c r="B1806" i="5"/>
  <c r="C740" i="13" s="1"/>
  <c r="A1806" i="5"/>
  <c r="B740" i="13" s="1"/>
  <c r="C1805" i="5"/>
  <c r="D739" i="13" s="1"/>
  <c r="B1805" i="5"/>
  <c r="C739" i="13" s="1"/>
  <c r="A1805" i="5"/>
  <c r="B739" i="13" s="1"/>
  <c r="D1804" i="5"/>
  <c r="E738" i="13" s="1"/>
  <c r="A1804" i="5"/>
  <c r="D1803" i="5"/>
  <c r="E737" i="13" s="1"/>
  <c r="A1803" i="5"/>
  <c r="B737" i="13" s="1"/>
  <c r="D1802" i="5"/>
  <c r="E736" i="13" s="1"/>
  <c r="A1802" i="5"/>
  <c r="B736" i="13" s="1"/>
  <c r="D1801" i="5"/>
  <c r="A1801" i="5"/>
  <c r="B735" i="13" s="1"/>
  <c r="D1800" i="5"/>
  <c r="E734" i="13" s="1"/>
  <c r="A1800" i="5"/>
  <c r="D1799" i="5"/>
  <c r="D1843" i="5" s="1"/>
  <c r="A1799" i="5"/>
  <c r="D1798" i="5"/>
  <c r="E732" i="13" s="1"/>
  <c r="A1798" i="5"/>
  <c r="D1797" i="5"/>
  <c r="D2199" i="5" s="1"/>
  <c r="E1317" i="13" s="1"/>
  <c r="A1797" i="5"/>
  <c r="B731" i="13" s="1"/>
  <c r="A1796" i="5"/>
  <c r="D1795" i="5"/>
  <c r="E729" i="13" s="1"/>
  <c r="A1795" i="5"/>
  <c r="K1794" i="5"/>
  <c r="E753" i="13" s="1"/>
  <c r="G1794" i="5"/>
  <c r="B753" i="13" s="1"/>
  <c r="D1794" i="5"/>
  <c r="E728" i="13" s="1"/>
  <c r="A1794" i="5"/>
  <c r="B728" i="13" s="1"/>
  <c r="K1793" i="5"/>
  <c r="E752" i="13" s="1"/>
  <c r="G1793" i="5"/>
  <c r="B752" i="13" s="1"/>
  <c r="D1793" i="5"/>
  <c r="E727" i="13" s="1"/>
  <c r="A1793" i="5"/>
  <c r="B727" i="13" s="1"/>
  <c r="K1792" i="5"/>
  <c r="E751" i="13" s="1"/>
  <c r="J1792" i="5"/>
  <c r="J1945" i="5" s="1"/>
  <c r="D825" i="13" s="1"/>
  <c r="G1792" i="5"/>
  <c r="G1885" i="5" s="1"/>
  <c r="B899" i="13" s="1"/>
  <c r="D1792" i="5"/>
  <c r="E726" i="13" s="1"/>
  <c r="A1792" i="5"/>
  <c r="B726" i="13" s="1"/>
  <c r="K1791" i="5"/>
  <c r="E750" i="13" s="1"/>
  <c r="G1791" i="5"/>
  <c r="B750" i="13" s="1"/>
  <c r="D1791" i="5"/>
  <c r="E725" i="13" s="1"/>
  <c r="A1791" i="5"/>
  <c r="B725" i="13" s="1"/>
  <c r="K1790" i="5"/>
  <c r="E749" i="13" s="1"/>
  <c r="G1790" i="5"/>
  <c r="B749" i="13" s="1"/>
  <c r="D1790" i="5"/>
  <c r="E724" i="13" s="1"/>
  <c r="A1790" i="5"/>
  <c r="B724" i="13" s="1"/>
  <c r="K1789" i="5"/>
  <c r="E748" i="13" s="1"/>
  <c r="G1789" i="5"/>
  <c r="B748" i="13" s="1"/>
  <c r="D1789" i="5"/>
  <c r="E723" i="13" s="1"/>
  <c r="A1789" i="5"/>
  <c r="B723" i="13" s="1"/>
  <c r="K1788" i="5"/>
  <c r="K1832" i="5" s="1"/>
  <c r="G1788" i="5"/>
  <c r="B747" i="13" s="1"/>
  <c r="D1788" i="5"/>
  <c r="E722" i="13" s="1"/>
  <c r="A1788" i="5"/>
  <c r="B722" i="13" s="1"/>
  <c r="K1787" i="5"/>
  <c r="E746" i="13" s="1"/>
  <c r="A1787" i="5"/>
  <c r="B721" i="13" s="1"/>
  <c r="K1786" i="5"/>
  <c r="E745" i="13" s="1"/>
  <c r="A1786" i="5"/>
  <c r="B720" i="13" s="1"/>
  <c r="C1777" i="5"/>
  <c r="C1876" i="5" s="1"/>
  <c r="C1776" i="5"/>
  <c r="D1772" i="5"/>
  <c r="E1768" i="5"/>
  <c r="D1766" i="5"/>
  <c r="D1765" i="5"/>
  <c r="C1765" i="5"/>
  <c r="B101" i="11" s="1"/>
  <c r="C1767" i="5" s="1"/>
  <c r="C1818" i="5" s="1"/>
  <c r="C1867" i="5" s="1"/>
  <c r="H1763" i="5"/>
  <c r="G1763" i="5"/>
  <c r="F1763" i="5"/>
  <c r="E1763" i="5"/>
  <c r="D1763" i="5"/>
  <c r="H1762" i="5"/>
  <c r="G1762" i="5"/>
  <c r="F1762" i="5"/>
  <c r="E1762" i="5"/>
  <c r="D1762" i="5"/>
  <c r="H1761" i="5"/>
  <c r="G1761" i="5"/>
  <c r="F1761" i="5"/>
  <c r="E1761" i="5"/>
  <c r="D1761" i="5"/>
  <c r="H1760" i="5"/>
  <c r="G1760" i="5"/>
  <c r="F1760" i="5"/>
  <c r="E1760" i="5"/>
  <c r="D1760" i="5"/>
  <c r="H1759" i="5"/>
  <c r="G1759" i="5"/>
  <c r="F1759" i="5"/>
  <c r="E1759" i="5"/>
  <c r="D1759" i="5"/>
  <c r="H1758" i="5"/>
  <c r="G1758" i="5"/>
  <c r="F1758" i="5"/>
  <c r="E1758" i="5"/>
  <c r="D1758" i="5"/>
  <c r="C1756" i="5"/>
  <c r="C1755" i="5"/>
  <c r="C1880" i="5" s="1"/>
  <c r="C1754" i="5"/>
  <c r="I1824" i="5" s="1"/>
  <c r="C1753" i="5"/>
  <c r="D1771" i="5" s="1"/>
  <c r="C1752" i="5"/>
  <c r="I1822" i="5" s="1"/>
  <c r="I1750" i="5"/>
  <c r="I1912" i="5" s="1"/>
  <c r="G1750" i="5"/>
  <c r="G1866" i="5" s="1"/>
  <c r="I1740" i="5"/>
  <c r="E2454" i="13" s="1"/>
  <c r="E2446" i="15" s="1"/>
  <c r="G2446" i="15" s="1"/>
  <c r="C1740" i="5"/>
  <c r="D2454" i="13" s="1"/>
  <c r="A1740" i="5"/>
  <c r="B2454" i="13" s="1"/>
  <c r="B2446" i="15" s="1"/>
  <c r="B1739" i="5"/>
  <c r="C2488" i="13" s="1"/>
  <c r="C2480" i="15" s="1"/>
  <c r="I1738" i="5"/>
  <c r="E707" i="13" s="1"/>
  <c r="A1738" i="5"/>
  <c r="B707" i="13" s="1"/>
  <c r="I1737" i="5"/>
  <c r="E706" i="13" s="1"/>
  <c r="A1737" i="5"/>
  <c r="B706" i="13" s="1"/>
  <c r="I1736" i="5"/>
  <c r="E705" i="13" s="1"/>
  <c r="A1736" i="5"/>
  <c r="B705" i="13" s="1"/>
  <c r="B1734" i="5"/>
  <c r="C703" i="13" s="1"/>
  <c r="C1732" i="5"/>
  <c r="D2377" i="13" s="1"/>
  <c r="B1732" i="5"/>
  <c r="C1731" i="5"/>
  <c r="D2376" i="13" s="1"/>
  <c r="B1730" i="5"/>
  <c r="C701" i="13" s="1"/>
  <c r="B1728" i="5"/>
  <c r="C699" i="13" s="1"/>
  <c r="B1726" i="5"/>
  <c r="C697" i="13" s="1"/>
  <c r="B1724" i="5"/>
  <c r="C695" i="13" s="1"/>
  <c r="D1723" i="5"/>
  <c r="D1722" i="5"/>
  <c r="B1722" i="5"/>
  <c r="C693" i="13" s="1"/>
  <c r="D1721" i="5"/>
  <c r="D1720" i="5"/>
  <c r="B1720" i="5"/>
  <c r="C691" i="13" s="1"/>
  <c r="D1719" i="5"/>
  <c r="D1718" i="5"/>
  <c r="B1718" i="5"/>
  <c r="C689" i="13" s="1"/>
  <c r="D1717" i="5"/>
  <c r="D1716" i="5"/>
  <c r="B1716" i="5"/>
  <c r="C687" i="13" s="1"/>
  <c r="D1715" i="5"/>
  <c r="D1714" i="5"/>
  <c r="B1714" i="5"/>
  <c r="C685" i="13" s="1"/>
  <c r="D1713" i="5"/>
  <c r="D1712" i="5"/>
  <c r="B1712" i="5"/>
  <c r="C683" i="13" s="1"/>
  <c r="D1711" i="5"/>
  <c r="D1710" i="5"/>
  <c r="B1710" i="5"/>
  <c r="C681" i="13" s="1"/>
  <c r="D1709" i="5"/>
  <c r="D1708" i="5"/>
  <c r="B1708" i="5"/>
  <c r="C679" i="13" s="1"/>
  <c r="L1707" i="5"/>
  <c r="D1707" i="5"/>
  <c r="O1706" i="5"/>
  <c r="L1706" i="5"/>
  <c r="D1706" i="5"/>
  <c r="B1706" i="5"/>
  <c r="C677" i="13" s="1"/>
  <c r="O1705" i="5"/>
  <c r="L1705" i="5"/>
  <c r="D1705" i="5"/>
  <c r="O1704" i="5"/>
  <c r="L1704" i="5"/>
  <c r="D1704" i="5"/>
  <c r="B1704" i="5"/>
  <c r="C675" i="13" s="1"/>
  <c r="O1703" i="5"/>
  <c r="E716" i="13" s="1"/>
  <c r="L1703" i="5"/>
  <c r="B716" i="13" s="1"/>
  <c r="D1703" i="5"/>
  <c r="O1702" i="5"/>
  <c r="E715" i="13" s="1"/>
  <c r="L1702" i="5"/>
  <c r="B715" i="13" s="1"/>
  <c r="D1702" i="5"/>
  <c r="D1726" i="5" s="1"/>
  <c r="B1702" i="5"/>
  <c r="C673" i="13" s="1"/>
  <c r="O1701" i="5"/>
  <c r="E714" i="13" s="1"/>
  <c r="L1701" i="5"/>
  <c r="B714" i="13" s="1"/>
  <c r="D1701" i="5"/>
  <c r="D1725" i="5" s="1"/>
  <c r="O1700" i="5"/>
  <c r="E713" i="13" s="1"/>
  <c r="L1700" i="5"/>
  <c r="B713" i="13" s="1"/>
  <c r="D1700" i="5"/>
  <c r="D1724" i="5" s="1"/>
  <c r="B1700" i="5"/>
  <c r="C671" i="13" s="1"/>
  <c r="O1699" i="5"/>
  <c r="E712" i="13" s="1"/>
  <c r="L1699" i="5"/>
  <c r="B712" i="13" s="1"/>
  <c r="E1699" i="5"/>
  <c r="D833" i="10" s="1"/>
  <c r="D864" i="10" s="1"/>
  <c r="A1699" i="5"/>
  <c r="I1699" i="5" s="1"/>
  <c r="E670" i="13" s="1"/>
  <c r="T1698" i="5"/>
  <c r="O1698" i="5"/>
  <c r="E711" i="13" s="1"/>
  <c r="L1698" i="5"/>
  <c r="B711" i="13" s="1"/>
  <c r="I1698" i="5"/>
  <c r="E669" i="13" s="1"/>
  <c r="D1698" i="5"/>
  <c r="C832" i="10" s="1"/>
  <c r="C863" i="10" s="1"/>
  <c r="A1698" i="5"/>
  <c r="E1698" i="5" s="1"/>
  <c r="D832" i="10" s="1"/>
  <c r="D863" i="10" s="1"/>
  <c r="O1697" i="5"/>
  <c r="E710" i="13" s="1"/>
  <c r="L1697" i="5"/>
  <c r="B710" i="13" s="1"/>
  <c r="I1697" i="5"/>
  <c r="E668" i="13" s="1"/>
  <c r="D1697" i="5"/>
  <c r="C831" i="10" s="1"/>
  <c r="C862" i="10" s="1"/>
  <c r="A1697" i="5"/>
  <c r="E1697" i="5" s="1"/>
  <c r="D831" i="10" s="1"/>
  <c r="D862" i="10" s="1"/>
  <c r="D1677" i="5"/>
  <c r="D1675" i="5"/>
  <c r="C1672" i="5"/>
  <c r="D1671" i="5"/>
  <c r="C1671" i="5"/>
  <c r="C1670" i="5"/>
  <c r="C1669" i="5"/>
  <c r="J1667" i="5"/>
  <c r="G1667" i="5"/>
  <c r="B1660" i="5"/>
  <c r="C1659" i="5"/>
  <c r="D2453" i="13" s="1"/>
  <c r="B1659" i="5"/>
  <c r="A1659" i="5"/>
  <c r="B2453" i="13" s="1"/>
  <c r="B2445" i="15" s="1"/>
  <c r="I1658" i="5"/>
  <c r="E2487" i="13" s="1"/>
  <c r="E2479" i="15" s="1"/>
  <c r="G2479" i="15" s="1"/>
  <c r="C1658" i="5"/>
  <c r="D2487" i="13" s="1"/>
  <c r="A1658" i="5"/>
  <c r="B2487" i="13" s="1"/>
  <c r="B2479" i="15" s="1"/>
  <c r="B1657" i="5"/>
  <c r="C651" i="13" s="1"/>
  <c r="B1656" i="5"/>
  <c r="C650" i="13" s="1"/>
  <c r="A1656" i="5"/>
  <c r="B650" i="13" s="1"/>
  <c r="B1655" i="5"/>
  <c r="C649" i="13" s="1"/>
  <c r="B1654" i="5"/>
  <c r="A1654" i="5"/>
  <c r="B2374" i="13" s="1"/>
  <c r="B2367" i="15" s="1"/>
  <c r="B1653" i="5"/>
  <c r="B1731" i="5" s="1"/>
  <c r="B1652" i="5"/>
  <c r="C648" i="13" s="1"/>
  <c r="A1652" i="5"/>
  <c r="B648" i="13" s="1"/>
  <c r="I1651" i="5"/>
  <c r="E647" i="13" s="1"/>
  <c r="B1651" i="5"/>
  <c r="C647" i="13" s="1"/>
  <c r="B1650" i="5"/>
  <c r="C646" i="13" s="1"/>
  <c r="B1649" i="5"/>
  <c r="C645" i="13" s="1"/>
  <c r="E1648" i="5"/>
  <c r="E1726" i="5" s="1"/>
  <c r="C1648" i="5"/>
  <c r="D644" i="13" s="1"/>
  <c r="B1648" i="5"/>
  <c r="C644" i="13" s="1"/>
  <c r="B1647" i="5"/>
  <c r="C643" i="13" s="1"/>
  <c r="E1646" i="5"/>
  <c r="E1724" i="5" s="1"/>
  <c r="C1646" i="5"/>
  <c r="D642" i="13" s="1"/>
  <c r="B1646" i="5"/>
  <c r="C642" i="13" s="1"/>
  <c r="B1645" i="5"/>
  <c r="C641" i="13" s="1"/>
  <c r="E1644" i="5"/>
  <c r="E1722" i="5" s="1"/>
  <c r="C1644" i="5"/>
  <c r="D640" i="13" s="1"/>
  <c r="B1644" i="5"/>
  <c r="C640" i="13" s="1"/>
  <c r="B1643" i="5"/>
  <c r="C639" i="13" s="1"/>
  <c r="E1642" i="5"/>
  <c r="E1720" i="5" s="1"/>
  <c r="C1642" i="5"/>
  <c r="D638" i="13" s="1"/>
  <c r="B1642" i="5"/>
  <c r="C638" i="13" s="1"/>
  <c r="B1641" i="5"/>
  <c r="C637" i="13" s="1"/>
  <c r="E1640" i="5"/>
  <c r="E1718" i="5" s="1"/>
  <c r="C1640" i="5"/>
  <c r="D636" i="13" s="1"/>
  <c r="B1640" i="5"/>
  <c r="C636" i="13" s="1"/>
  <c r="B1639" i="5"/>
  <c r="C635" i="13" s="1"/>
  <c r="E1638" i="5"/>
  <c r="E1716" i="5" s="1"/>
  <c r="C1638" i="5"/>
  <c r="D634" i="13" s="1"/>
  <c r="B1638" i="5"/>
  <c r="C634" i="13" s="1"/>
  <c r="B1637" i="5"/>
  <c r="C633" i="13" s="1"/>
  <c r="E1636" i="5"/>
  <c r="E1714" i="5" s="1"/>
  <c r="C1636" i="5"/>
  <c r="D632" i="13" s="1"/>
  <c r="B1636" i="5"/>
  <c r="C632" i="13" s="1"/>
  <c r="B1635" i="5"/>
  <c r="C631" i="13" s="1"/>
  <c r="E1634" i="5"/>
  <c r="E1712" i="5" s="1"/>
  <c r="C1634" i="5"/>
  <c r="D630" i="13" s="1"/>
  <c r="B1634" i="5"/>
  <c r="C630" i="13" s="1"/>
  <c r="B1633" i="5"/>
  <c r="C629" i="13" s="1"/>
  <c r="E1632" i="5"/>
  <c r="E1710" i="5" s="1"/>
  <c r="C1632" i="5"/>
  <c r="D628" i="13" s="1"/>
  <c r="B1632" i="5"/>
  <c r="C628" i="13" s="1"/>
  <c r="B1631" i="5"/>
  <c r="C627" i="13" s="1"/>
  <c r="E1630" i="5"/>
  <c r="E1708" i="5" s="1"/>
  <c r="C1630" i="5"/>
  <c r="D626" i="13" s="1"/>
  <c r="B1630" i="5"/>
  <c r="C626" i="13" s="1"/>
  <c r="B1629" i="5"/>
  <c r="C625" i="13" s="1"/>
  <c r="E1628" i="5"/>
  <c r="E1706" i="5" s="1"/>
  <c r="C1628" i="5"/>
  <c r="D624" i="13" s="1"/>
  <c r="B1628" i="5"/>
  <c r="C624" i="13" s="1"/>
  <c r="B1627" i="5"/>
  <c r="C623" i="13" s="1"/>
  <c r="E1626" i="5"/>
  <c r="E1704" i="5" s="1"/>
  <c r="C1626" i="5"/>
  <c r="D622" i="13" s="1"/>
  <c r="B1626" i="5"/>
  <c r="C622" i="13" s="1"/>
  <c r="B1625" i="5"/>
  <c r="C621" i="13" s="1"/>
  <c r="E1624" i="5"/>
  <c r="E1702" i="5" s="1"/>
  <c r="C1624" i="5"/>
  <c r="D620" i="13" s="1"/>
  <c r="B1624" i="5"/>
  <c r="C620" i="13" s="1"/>
  <c r="B1623" i="5"/>
  <c r="C619" i="13" s="1"/>
  <c r="P1622" i="5"/>
  <c r="E664" i="13" s="1"/>
  <c r="L1622" i="5"/>
  <c r="B664" i="13" s="1"/>
  <c r="E1622" i="5"/>
  <c r="E1700" i="5" s="1"/>
  <c r="C1622" i="5"/>
  <c r="D618" i="13" s="1"/>
  <c r="B1622" i="5"/>
  <c r="C618" i="13" s="1"/>
  <c r="P1621" i="5"/>
  <c r="E663" i="13" s="1"/>
  <c r="L1621" i="5"/>
  <c r="B663" i="13" s="1"/>
  <c r="I1621" i="5"/>
  <c r="E617" i="13" s="1"/>
  <c r="B1621" i="5"/>
  <c r="C617" i="13" s="1"/>
  <c r="P1620" i="5"/>
  <c r="E662" i="13" s="1"/>
  <c r="L1620" i="5"/>
  <c r="B662" i="13" s="1"/>
  <c r="B1620" i="5"/>
  <c r="C616" i="13" s="1"/>
  <c r="P1619" i="5"/>
  <c r="E661" i="13" s="1"/>
  <c r="L1619" i="5"/>
  <c r="B661" i="13" s="1"/>
  <c r="I1619" i="5"/>
  <c r="E615" i="13" s="1"/>
  <c r="B1619" i="5"/>
  <c r="C615" i="13" s="1"/>
  <c r="P1618" i="5"/>
  <c r="E660" i="13" s="1"/>
  <c r="L1618" i="5"/>
  <c r="B660" i="13" s="1"/>
  <c r="B1618" i="5"/>
  <c r="C614" i="13" s="1"/>
  <c r="A1618" i="5"/>
  <c r="B614" i="13" s="1"/>
  <c r="P1617" i="5"/>
  <c r="E659" i="13" s="1"/>
  <c r="L1617" i="5"/>
  <c r="B659" i="13" s="1"/>
  <c r="B1617" i="5"/>
  <c r="C613" i="13" s="1"/>
  <c r="P1616" i="5"/>
  <c r="E658" i="13" s="1"/>
  <c r="L1616" i="5"/>
  <c r="B658" i="13" s="1"/>
  <c r="B1616" i="5"/>
  <c r="C612" i="13" s="1"/>
  <c r="P1615" i="5"/>
  <c r="E657" i="13" s="1"/>
  <c r="L1615" i="5"/>
  <c r="B657" i="13" s="1"/>
  <c r="B1615" i="5"/>
  <c r="C611" i="13" s="1"/>
  <c r="A1615" i="5"/>
  <c r="B611" i="13" s="1"/>
  <c r="P1614" i="5"/>
  <c r="E656" i="13" s="1"/>
  <c r="L1614" i="5"/>
  <c r="B656" i="13" s="1"/>
  <c r="I1614" i="5"/>
  <c r="E610" i="13" s="1"/>
  <c r="F1614" i="5"/>
  <c r="E795" i="10" s="1"/>
  <c r="E826" i="10" s="1"/>
  <c r="D1614" i="5"/>
  <c r="C795" i="10" s="1"/>
  <c r="C826" i="10" s="1"/>
  <c r="B1614" i="5"/>
  <c r="A1614" i="5"/>
  <c r="P1613" i="5"/>
  <c r="E655" i="13" s="1"/>
  <c r="L1613" i="5"/>
  <c r="B655" i="13" s="1"/>
  <c r="I1613" i="5"/>
  <c r="E609" i="13" s="1"/>
  <c r="B1613" i="5"/>
  <c r="A1613" i="5"/>
  <c r="D1613" i="5" s="1"/>
  <c r="P1612" i="5"/>
  <c r="E654" i="13" s="1"/>
  <c r="L1612" i="5"/>
  <c r="B654" i="13" s="1"/>
  <c r="I1612" i="5"/>
  <c r="E608" i="13" s="1"/>
  <c r="F1612" i="5"/>
  <c r="E793" i="10" s="1"/>
  <c r="E824" i="10" s="1"/>
  <c r="D1612" i="5"/>
  <c r="C793" i="10" s="1"/>
  <c r="C824" i="10" s="1"/>
  <c r="B1612" i="5"/>
  <c r="A1612" i="5"/>
  <c r="D1608" i="5"/>
  <c r="C1608" i="5"/>
  <c r="C1614" i="5" s="1"/>
  <c r="D1607" i="5"/>
  <c r="C1607" i="5"/>
  <c r="D1605" i="5"/>
  <c r="D1597" i="5"/>
  <c r="D1595" i="5"/>
  <c r="D1594" i="5"/>
  <c r="C1594" i="5"/>
  <c r="D1593" i="5"/>
  <c r="D1590" i="5"/>
  <c r="J1589" i="5"/>
  <c r="G1589" i="5"/>
  <c r="J1585" i="5"/>
  <c r="C1584" i="5"/>
  <c r="D2369" i="13" s="1"/>
  <c r="A1584" i="5"/>
  <c r="B2369" i="13" s="1"/>
  <c r="B2362" i="15" s="1"/>
  <c r="I1583" i="5"/>
  <c r="E2452" i="13" s="1"/>
  <c r="E2444" i="15" s="1"/>
  <c r="G2444" i="15" s="1"/>
  <c r="C1583" i="5"/>
  <c r="D2452" i="13" s="1"/>
  <c r="A1583" i="5"/>
  <c r="B2452" i="13" s="1"/>
  <c r="B2444" i="15" s="1"/>
  <c r="I1582" i="5"/>
  <c r="E2486" i="13" s="1"/>
  <c r="E2478" i="15" s="1"/>
  <c r="G2478" i="15" s="1"/>
  <c r="C1582" i="5"/>
  <c r="D2486" i="13" s="1"/>
  <c r="B1582" i="5"/>
  <c r="C2486" i="13" s="1"/>
  <c r="C2478" i="15" s="1"/>
  <c r="A1581" i="5"/>
  <c r="B591" i="13" s="1"/>
  <c r="I1580" i="5"/>
  <c r="E590" i="13" s="1"/>
  <c r="A1580" i="5"/>
  <c r="B590" i="13" s="1"/>
  <c r="A1579" i="5"/>
  <c r="B589" i="13" s="1"/>
  <c r="C1578" i="5"/>
  <c r="D2371" i="13" s="1"/>
  <c r="A1578" i="5"/>
  <c r="B2371" i="13" s="1"/>
  <c r="B2364" i="15" s="1"/>
  <c r="C1577" i="5"/>
  <c r="D2370" i="13" s="1"/>
  <c r="A1577" i="5"/>
  <c r="B2370" i="13" s="1"/>
  <c r="B2363" i="15" s="1"/>
  <c r="I1576" i="5"/>
  <c r="E588" i="13" s="1"/>
  <c r="A1576" i="5"/>
  <c r="B588" i="13" s="1"/>
  <c r="I1575" i="5"/>
  <c r="E587" i="13" s="1"/>
  <c r="A1575" i="5"/>
  <c r="B587" i="13" s="1"/>
  <c r="A1574" i="5"/>
  <c r="B586" i="13" s="1"/>
  <c r="I1573" i="5"/>
  <c r="E585" i="13" s="1"/>
  <c r="A1573" i="5"/>
  <c r="B585" i="13" s="1"/>
  <c r="I1572" i="5"/>
  <c r="E584" i="13" s="1"/>
  <c r="E1572" i="5"/>
  <c r="C1572" i="5"/>
  <c r="A1572" i="5"/>
  <c r="K1571" i="5"/>
  <c r="I1571" i="5"/>
  <c r="E583" i="13" s="1"/>
  <c r="E1571" i="5"/>
  <c r="E1647" i="5" s="1"/>
  <c r="E1725" i="5" s="1"/>
  <c r="C1571" i="5"/>
  <c r="C1647" i="5" s="1"/>
  <c r="A1571" i="5"/>
  <c r="I1570" i="5"/>
  <c r="E582" i="13" s="1"/>
  <c r="E1570" i="5"/>
  <c r="C1570" i="5"/>
  <c r="A1570" i="5"/>
  <c r="A1646" i="5" s="1"/>
  <c r="I1569" i="5"/>
  <c r="E581" i="13" s="1"/>
  <c r="E1569" i="5"/>
  <c r="E1645" i="5" s="1"/>
  <c r="E1723" i="5" s="1"/>
  <c r="C1569" i="5"/>
  <c r="A1569" i="5"/>
  <c r="A1645" i="5" s="1"/>
  <c r="K1568" i="5"/>
  <c r="I1568" i="5"/>
  <c r="E580" i="13" s="1"/>
  <c r="E1568" i="5"/>
  <c r="C1568" i="5"/>
  <c r="A1568" i="5"/>
  <c r="K1567" i="5"/>
  <c r="I1567" i="5"/>
  <c r="E579" i="13" s="1"/>
  <c r="E1567" i="5"/>
  <c r="E1643" i="5" s="1"/>
  <c r="E1721" i="5" s="1"/>
  <c r="C1567" i="5"/>
  <c r="C1643" i="5" s="1"/>
  <c r="A1567" i="5"/>
  <c r="K1566" i="5"/>
  <c r="I1566" i="5"/>
  <c r="E578" i="13" s="1"/>
  <c r="E1566" i="5"/>
  <c r="C1566" i="5"/>
  <c r="A1566" i="5"/>
  <c r="A1642" i="5" s="1"/>
  <c r="I1565" i="5"/>
  <c r="E577" i="13" s="1"/>
  <c r="E1565" i="5"/>
  <c r="E1641" i="5" s="1"/>
  <c r="E1719" i="5" s="1"/>
  <c r="C1565" i="5"/>
  <c r="A1565" i="5"/>
  <c r="A1641" i="5" s="1"/>
  <c r="I1564" i="5"/>
  <c r="E576" i="13" s="1"/>
  <c r="E1564" i="5"/>
  <c r="C1564" i="5"/>
  <c r="A1564" i="5"/>
  <c r="K1563" i="5"/>
  <c r="I1563" i="5"/>
  <c r="E575" i="13" s="1"/>
  <c r="E1563" i="5"/>
  <c r="E1639" i="5" s="1"/>
  <c r="E1717" i="5" s="1"/>
  <c r="C1563" i="5"/>
  <c r="C1639" i="5" s="1"/>
  <c r="A1563" i="5"/>
  <c r="I1562" i="5"/>
  <c r="E574" i="13" s="1"/>
  <c r="E1562" i="5"/>
  <c r="C1562" i="5"/>
  <c r="A1562" i="5"/>
  <c r="A1638" i="5" s="1"/>
  <c r="I1561" i="5"/>
  <c r="E573" i="13" s="1"/>
  <c r="E1561" i="5"/>
  <c r="E1637" i="5" s="1"/>
  <c r="E1715" i="5" s="1"/>
  <c r="C1561" i="5"/>
  <c r="A1561" i="5"/>
  <c r="A1637" i="5" s="1"/>
  <c r="K1560" i="5"/>
  <c r="I1560" i="5"/>
  <c r="E572" i="13" s="1"/>
  <c r="E1560" i="5"/>
  <c r="C1560" i="5"/>
  <c r="A1560" i="5"/>
  <c r="K1559" i="5"/>
  <c r="I1559" i="5"/>
  <c r="E571" i="13" s="1"/>
  <c r="E1559" i="5"/>
  <c r="E1635" i="5" s="1"/>
  <c r="E1713" i="5" s="1"/>
  <c r="C1559" i="5"/>
  <c r="C1635" i="5" s="1"/>
  <c r="A1559" i="5"/>
  <c r="K1558" i="5"/>
  <c r="I1558" i="5"/>
  <c r="E570" i="13" s="1"/>
  <c r="E1558" i="5"/>
  <c r="C1558" i="5"/>
  <c r="A1558" i="5"/>
  <c r="A1634" i="5" s="1"/>
  <c r="I1557" i="5"/>
  <c r="E569" i="13" s="1"/>
  <c r="E1557" i="5"/>
  <c r="E1633" i="5" s="1"/>
  <c r="E1711" i="5" s="1"/>
  <c r="C1557" i="5"/>
  <c r="A1557" i="5"/>
  <c r="A1633" i="5" s="1"/>
  <c r="I1556" i="5"/>
  <c r="E568" i="13" s="1"/>
  <c r="E1556" i="5"/>
  <c r="C1556" i="5"/>
  <c r="A1556" i="5"/>
  <c r="K1555" i="5"/>
  <c r="I1555" i="5"/>
  <c r="E567" i="13" s="1"/>
  <c r="E1555" i="5"/>
  <c r="E1631" i="5" s="1"/>
  <c r="E1709" i="5" s="1"/>
  <c r="C1555" i="5"/>
  <c r="C1631" i="5" s="1"/>
  <c r="A1555" i="5"/>
  <c r="I1554" i="5"/>
  <c r="E566" i="13" s="1"/>
  <c r="E1554" i="5"/>
  <c r="C1554" i="5"/>
  <c r="A1554" i="5"/>
  <c r="A1630" i="5" s="1"/>
  <c r="I1553" i="5"/>
  <c r="E565" i="13" s="1"/>
  <c r="E1553" i="5"/>
  <c r="E1629" i="5" s="1"/>
  <c r="E1707" i="5" s="1"/>
  <c r="C1553" i="5"/>
  <c r="A1553" i="5"/>
  <c r="A1629" i="5" s="1"/>
  <c r="K1552" i="5"/>
  <c r="I1552" i="5"/>
  <c r="E564" i="13" s="1"/>
  <c r="E1552" i="5"/>
  <c r="C1552" i="5"/>
  <c r="A1552" i="5"/>
  <c r="T1551" i="5"/>
  <c r="E604" i="13" s="1"/>
  <c r="O1551" i="5"/>
  <c r="B604" i="13" s="1"/>
  <c r="K1551" i="5"/>
  <c r="I1551" i="5"/>
  <c r="E563" i="13" s="1"/>
  <c r="E1551" i="5"/>
  <c r="E1627" i="5" s="1"/>
  <c r="E1705" i="5" s="1"/>
  <c r="C1551" i="5"/>
  <c r="C1627" i="5" s="1"/>
  <c r="A1551" i="5"/>
  <c r="T1550" i="5"/>
  <c r="E603" i="13" s="1"/>
  <c r="O1550" i="5"/>
  <c r="B603" i="13" s="1"/>
  <c r="K1550" i="5"/>
  <c r="I1550" i="5"/>
  <c r="E562" i="13" s="1"/>
  <c r="E1550" i="5"/>
  <c r="C1550" i="5"/>
  <c r="A1550" i="5"/>
  <c r="A1626" i="5" s="1"/>
  <c r="T1549" i="5"/>
  <c r="E602" i="13" s="1"/>
  <c r="O1549" i="5"/>
  <c r="B602" i="13" s="1"/>
  <c r="I1549" i="5"/>
  <c r="E561" i="13" s="1"/>
  <c r="E1549" i="5"/>
  <c r="E1625" i="5" s="1"/>
  <c r="E1703" i="5" s="1"/>
  <c r="C1549" i="5"/>
  <c r="A1549" i="5"/>
  <c r="A1625" i="5" s="1"/>
  <c r="T1548" i="5"/>
  <c r="E601" i="13" s="1"/>
  <c r="O1548" i="5"/>
  <c r="B601" i="13" s="1"/>
  <c r="I1548" i="5"/>
  <c r="E560" i="13" s="1"/>
  <c r="E1548" i="5"/>
  <c r="C1548" i="5"/>
  <c r="A1548" i="5"/>
  <c r="T1547" i="5"/>
  <c r="E600" i="13" s="1"/>
  <c r="O1547" i="5"/>
  <c r="B600" i="13" s="1"/>
  <c r="K1547" i="5"/>
  <c r="I1547" i="5"/>
  <c r="E559" i="13" s="1"/>
  <c r="E1547" i="5"/>
  <c r="E1623" i="5" s="1"/>
  <c r="E1701" i="5" s="1"/>
  <c r="C1547" i="5"/>
  <c r="C1623" i="5" s="1"/>
  <c r="A1547" i="5"/>
  <c r="T1546" i="5"/>
  <c r="E599" i="13" s="1"/>
  <c r="O1546" i="5"/>
  <c r="B599" i="13" s="1"/>
  <c r="I1546" i="5"/>
  <c r="E558" i="13" s="1"/>
  <c r="E1546" i="5"/>
  <c r="C1546" i="5"/>
  <c r="A1546" i="5"/>
  <c r="A1622" i="5" s="1"/>
  <c r="T1545" i="5"/>
  <c r="E598" i="13" s="1"/>
  <c r="O1545" i="5"/>
  <c r="B598" i="13" s="1"/>
  <c r="I1545" i="5"/>
  <c r="E557" i="13" s="1"/>
  <c r="A1545" i="5"/>
  <c r="B557" i="13" s="1"/>
  <c r="T1544" i="5"/>
  <c r="E597" i="13" s="1"/>
  <c r="O1544" i="5"/>
  <c r="B597" i="13" s="1"/>
  <c r="I1544" i="5"/>
  <c r="E556" i="13" s="1"/>
  <c r="A1544" i="5"/>
  <c r="B556" i="13" s="1"/>
  <c r="T1543" i="5"/>
  <c r="E596" i="13" s="1"/>
  <c r="O1543" i="5"/>
  <c r="B596" i="13" s="1"/>
  <c r="I1543" i="5"/>
  <c r="E555" i="13" s="1"/>
  <c r="A1543" i="5"/>
  <c r="B555" i="13" s="1"/>
  <c r="T1542" i="5"/>
  <c r="E595" i="13" s="1"/>
  <c r="O1542" i="5"/>
  <c r="B595" i="13" s="1"/>
  <c r="I1542" i="5"/>
  <c r="E554" i="13" s="1"/>
  <c r="T1541" i="5"/>
  <c r="E594" i="13" s="1"/>
  <c r="O1541" i="5"/>
  <c r="B594" i="13" s="1"/>
  <c r="I1541" i="5"/>
  <c r="E553" i="13" s="1"/>
  <c r="A1541" i="5"/>
  <c r="B553" i="13" s="1"/>
  <c r="I1540" i="5"/>
  <c r="E552" i="13" s="1"/>
  <c r="A1540" i="5"/>
  <c r="B552" i="13" s="1"/>
  <c r="I1539" i="5"/>
  <c r="E551" i="13" s="1"/>
  <c r="A1539" i="5"/>
  <c r="B551" i="13" s="1"/>
  <c r="O1538" i="5"/>
  <c r="I1538" i="5"/>
  <c r="E550" i="13" s="1"/>
  <c r="F1538" i="5"/>
  <c r="E757" i="10" s="1"/>
  <c r="E1538" i="5"/>
  <c r="D757" i="10" s="1"/>
  <c r="D1538" i="5"/>
  <c r="C757" i="10" s="1"/>
  <c r="A1538" i="5"/>
  <c r="O1537" i="5"/>
  <c r="J1542" i="5" s="1"/>
  <c r="I1537" i="5"/>
  <c r="E549" i="13" s="1"/>
  <c r="F1537" i="5"/>
  <c r="E756" i="10" s="1"/>
  <c r="E1537" i="5"/>
  <c r="D756" i="10" s="1"/>
  <c r="D1537" i="5"/>
  <c r="C756" i="10" s="1"/>
  <c r="A1537" i="5"/>
  <c r="O1536" i="5"/>
  <c r="I1536" i="5"/>
  <c r="E548" i="13" s="1"/>
  <c r="F1536" i="5"/>
  <c r="E755" i="10" s="1"/>
  <c r="E1536" i="5"/>
  <c r="D755" i="10" s="1"/>
  <c r="D1536" i="5"/>
  <c r="C755" i="10" s="1"/>
  <c r="A1536" i="5"/>
  <c r="O1535" i="5"/>
  <c r="I1535" i="5"/>
  <c r="E547" i="13" s="1"/>
  <c r="F1535" i="5"/>
  <c r="E754" i="10" s="1"/>
  <c r="E1535" i="5"/>
  <c r="D754" i="10" s="1"/>
  <c r="D1535" i="5"/>
  <c r="C754" i="10" s="1"/>
  <c r="A1535" i="5"/>
  <c r="O1534" i="5"/>
  <c r="I1534" i="5"/>
  <c r="E546" i="13" s="1"/>
  <c r="F1534" i="5"/>
  <c r="E753" i="10" s="1"/>
  <c r="E1534" i="5"/>
  <c r="D753" i="10" s="1"/>
  <c r="D1534" i="5"/>
  <c r="C753" i="10" s="1"/>
  <c r="A1534" i="5"/>
  <c r="Q1533" i="5"/>
  <c r="O1533" i="5"/>
  <c r="I1533" i="5"/>
  <c r="E545" i="13" s="1"/>
  <c r="F1533" i="5"/>
  <c r="E752" i="10" s="1"/>
  <c r="E788" i="10" s="1"/>
  <c r="E1533" i="5"/>
  <c r="D752" i="10" s="1"/>
  <c r="D788" i="10" s="1"/>
  <c r="D1533" i="5"/>
  <c r="C752" i="10" s="1"/>
  <c r="C788" i="10" s="1"/>
  <c r="A1533" i="5"/>
  <c r="P1532" i="5"/>
  <c r="I1532" i="5"/>
  <c r="E544" i="13" s="1"/>
  <c r="F1532" i="5"/>
  <c r="E751" i="10" s="1"/>
  <c r="E787" i="10" s="1"/>
  <c r="E1532" i="5"/>
  <c r="D751" i="10" s="1"/>
  <c r="D787" i="10" s="1"/>
  <c r="D1532" i="5"/>
  <c r="C751" i="10" s="1"/>
  <c r="C787" i="10" s="1"/>
  <c r="A1532" i="5"/>
  <c r="I1531" i="5"/>
  <c r="E543" i="13" s="1"/>
  <c r="F1531" i="5"/>
  <c r="E750" i="10" s="1"/>
  <c r="E786" i="10" s="1"/>
  <c r="E1531" i="5"/>
  <c r="D750" i="10" s="1"/>
  <c r="D786" i="10" s="1"/>
  <c r="D1531" i="5"/>
  <c r="C750" i="10" s="1"/>
  <c r="C786" i="10" s="1"/>
  <c r="A1531" i="5"/>
  <c r="C1522" i="5"/>
  <c r="C1533" i="5" s="1"/>
  <c r="D1511" i="5"/>
  <c r="D1510" i="5"/>
  <c r="D1596" i="5" s="1"/>
  <c r="C1510" i="5"/>
  <c r="C1596" i="5" s="1"/>
  <c r="E1596" i="5" s="1"/>
  <c r="C1509" i="5"/>
  <c r="C1675" i="5" s="1"/>
  <c r="C1508" i="5"/>
  <c r="C1674" i="5" s="1"/>
  <c r="C1500" i="5"/>
  <c r="C1593" i="5" s="1"/>
  <c r="C1499" i="5"/>
  <c r="C1592" i="5" s="1"/>
  <c r="C1498" i="5"/>
  <c r="C1591" i="5" s="1"/>
  <c r="D1497" i="5"/>
  <c r="C1521" i="5" s="1"/>
  <c r="J1496" i="5"/>
  <c r="G1496" i="5"/>
  <c r="AQ1491" i="5"/>
  <c r="AC1491" i="5"/>
  <c r="AC1490" i="5"/>
  <c r="AQ1490" i="5" s="1"/>
  <c r="H1490" i="5"/>
  <c r="B472" i="13" s="1"/>
  <c r="AC1489" i="5"/>
  <c r="AQ1489" i="5" s="1"/>
  <c r="BI1488" i="5"/>
  <c r="C413" i="13" s="1"/>
  <c r="BG1488" i="5"/>
  <c r="J1488" i="5"/>
  <c r="BI1487" i="5"/>
  <c r="C412" i="13" s="1"/>
  <c r="BG1487" i="5"/>
  <c r="U1487" i="5"/>
  <c r="E495" i="13" s="1"/>
  <c r="R1487" i="5"/>
  <c r="B495" i="13" s="1"/>
  <c r="K1487" i="5"/>
  <c r="BC1472" i="5" s="1"/>
  <c r="E386" i="13" s="1"/>
  <c r="J1487" i="5"/>
  <c r="H1487" i="5"/>
  <c r="AZ1472" i="5" s="1"/>
  <c r="B386" i="13" s="1"/>
  <c r="BI1486" i="5"/>
  <c r="C411" i="13" s="1"/>
  <c r="BG1486" i="5"/>
  <c r="D1486" i="5"/>
  <c r="E2368" i="13" s="1"/>
  <c r="E2361" i="15" s="1"/>
  <c r="G2361" i="15" s="1"/>
  <c r="A1486" i="5"/>
  <c r="B2368" i="13" s="1"/>
  <c r="B2361" i="15" s="1"/>
  <c r="BI1485" i="5"/>
  <c r="C410" i="13" s="1"/>
  <c r="BH1485" i="5"/>
  <c r="B410" i="13" s="1"/>
  <c r="BG1485" i="5"/>
  <c r="R1485" i="5"/>
  <c r="B493" i="13" s="1"/>
  <c r="J1485" i="5"/>
  <c r="D1485" i="5"/>
  <c r="E2451" i="13" s="1"/>
  <c r="E2443" i="15" s="1"/>
  <c r="G2443" i="15" s="1"/>
  <c r="C1485" i="5"/>
  <c r="D2451" i="13" s="1"/>
  <c r="A1485" i="5"/>
  <c r="B2451" i="13" s="1"/>
  <c r="B2443" i="15" s="1"/>
  <c r="BI1484" i="5"/>
  <c r="C409" i="13" s="1"/>
  <c r="BH1484" i="5"/>
  <c r="B409" i="13" s="1"/>
  <c r="BG1484" i="5"/>
  <c r="U1484" i="5"/>
  <c r="E492" i="13" s="1"/>
  <c r="R1484" i="5"/>
  <c r="B492" i="13" s="1"/>
  <c r="J1484" i="5"/>
  <c r="E1484" i="5"/>
  <c r="AO1480" i="5" s="1"/>
  <c r="AU1484" i="5" s="1"/>
  <c r="D1484" i="5"/>
  <c r="E2485" i="13" s="1"/>
  <c r="E2477" i="15" s="1"/>
  <c r="G2477" i="15" s="1"/>
  <c r="C1484" i="5"/>
  <c r="D2485" i="13" s="1"/>
  <c r="A1484" i="5"/>
  <c r="B2485" i="13" s="1"/>
  <c r="B2477" i="15" s="1"/>
  <c r="BI1483" i="5"/>
  <c r="C408" i="13" s="1"/>
  <c r="BH1483" i="5"/>
  <c r="B408" i="13" s="1"/>
  <c r="BG1483" i="5"/>
  <c r="AF1483" i="5"/>
  <c r="E511" i="13" s="1"/>
  <c r="AD1483" i="5"/>
  <c r="C511" i="13" s="1"/>
  <c r="U1483" i="5"/>
  <c r="E491" i="13" s="1"/>
  <c r="R1483" i="5"/>
  <c r="B491" i="13" s="1"/>
  <c r="D1483" i="5"/>
  <c r="E357" i="13" s="1"/>
  <c r="A1483" i="5"/>
  <c r="B357" i="13" s="1"/>
  <c r="BK1482" i="5"/>
  <c r="E407" i="13" s="1"/>
  <c r="BI1482" i="5"/>
  <c r="C407" i="13" s="1"/>
  <c r="BH1482" i="5"/>
  <c r="B407" i="13" s="1"/>
  <c r="BG1482" i="5"/>
  <c r="AN1482" i="5"/>
  <c r="E539" i="13" s="1"/>
  <c r="AL1482" i="5"/>
  <c r="B539" i="13" s="1"/>
  <c r="AH1482" i="5"/>
  <c r="AV1482" i="5" s="1"/>
  <c r="AD1482" i="5"/>
  <c r="C510" i="13" s="1"/>
  <c r="U1482" i="5"/>
  <c r="E490" i="13" s="1"/>
  <c r="R1482" i="5"/>
  <c r="B490" i="13" s="1"/>
  <c r="A1482" i="5"/>
  <c r="B356" i="13" s="1"/>
  <c r="BI1481" i="5"/>
  <c r="C406" i="13" s="1"/>
  <c r="BG1481" i="5"/>
  <c r="AV1481" i="5"/>
  <c r="AR1481" i="5"/>
  <c r="C426" i="13" s="1"/>
  <c r="AN1481" i="5"/>
  <c r="E538" i="13" s="1"/>
  <c r="AM1481" i="5"/>
  <c r="D538" i="13" s="1"/>
  <c r="AL1481" i="5"/>
  <c r="B538" i="13" s="1"/>
  <c r="AH1481" i="5"/>
  <c r="AF1481" i="5"/>
  <c r="E509" i="13" s="1"/>
  <c r="AD1481" i="5"/>
  <c r="C509" i="13" s="1"/>
  <c r="U1481" i="5"/>
  <c r="E489" i="13" s="1"/>
  <c r="D1481" i="5"/>
  <c r="E355" i="13" s="1"/>
  <c r="A1481" i="5"/>
  <c r="B355" i="13" s="1"/>
  <c r="BI1480" i="5"/>
  <c r="C405" i="13" s="1"/>
  <c r="BH1480" i="5"/>
  <c r="B405" i="13" s="1"/>
  <c r="BG1480" i="5"/>
  <c r="AN1480" i="5"/>
  <c r="E537" i="13" s="1"/>
  <c r="AL1480" i="5"/>
  <c r="B537" i="13" s="1"/>
  <c r="AF1480" i="5"/>
  <c r="E508" i="13" s="1"/>
  <c r="AD1480" i="5"/>
  <c r="C508" i="13" s="1"/>
  <c r="U1480" i="5"/>
  <c r="E488" i="13" s="1"/>
  <c r="R1480" i="5"/>
  <c r="B488" i="13" s="1"/>
  <c r="D1480" i="5"/>
  <c r="E354" i="13" s="1"/>
  <c r="A1480" i="5"/>
  <c r="B354" i="13" s="1"/>
  <c r="BI1479" i="5"/>
  <c r="C404" i="13" s="1"/>
  <c r="BH1479" i="5"/>
  <c r="B404" i="13" s="1"/>
  <c r="BG1479" i="5"/>
  <c r="AN1479" i="5"/>
  <c r="E527" i="13" s="1"/>
  <c r="AL1479" i="5"/>
  <c r="B527" i="13" s="1"/>
  <c r="AD1479" i="5"/>
  <c r="C507" i="13" s="1"/>
  <c r="U1479" i="5"/>
  <c r="E487" i="13" s="1"/>
  <c r="R1479" i="5"/>
  <c r="B487" i="13" s="1"/>
  <c r="O1479" i="5"/>
  <c r="E373" i="13" s="1"/>
  <c r="D1479" i="5"/>
  <c r="E353" i="13" s="1"/>
  <c r="A1479" i="5"/>
  <c r="B353" i="13" s="1"/>
  <c r="BK1478" i="5"/>
  <c r="E403" i="13" s="1"/>
  <c r="BI1478" i="5"/>
  <c r="C403" i="13" s="1"/>
  <c r="BG1478" i="5"/>
  <c r="AV1478" i="5"/>
  <c r="AR1478" i="5"/>
  <c r="C423" i="13" s="1"/>
  <c r="AN1478" i="5"/>
  <c r="E526" i="13" s="1"/>
  <c r="AL1478" i="5"/>
  <c r="B526" i="13" s="1"/>
  <c r="AH1478" i="5"/>
  <c r="AD1478" i="5"/>
  <c r="C506" i="13" s="1"/>
  <c r="AC1478" i="5"/>
  <c r="B506" i="13" s="1"/>
  <c r="U1478" i="5"/>
  <c r="E486" i="13" s="1"/>
  <c r="R1478" i="5"/>
  <c r="B486" i="13" s="1"/>
  <c r="O1478" i="5"/>
  <c r="E372" i="13" s="1"/>
  <c r="D1478" i="5"/>
  <c r="E352" i="13" s="1"/>
  <c r="A1478" i="5"/>
  <c r="B352" i="13" s="1"/>
  <c r="BI1477" i="5"/>
  <c r="C402" i="13" s="1"/>
  <c r="BH1477" i="5"/>
  <c r="B402" i="13" s="1"/>
  <c r="BG1477" i="5"/>
  <c r="AN1477" i="5"/>
  <c r="E525" i="13" s="1"/>
  <c r="AH1477" i="5"/>
  <c r="AV1477" i="5" s="1"/>
  <c r="AD1477" i="5"/>
  <c r="C505" i="13" s="1"/>
  <c r="R1477" i="5"/>
  <c r="B485" i="13" s="1"/>
  <c r="O1477" i="5"/>
  <c r="E371" i="13" s="1"/>
  <c r="G1477" i="5"/>
  <c r="B371" i="13" s="1"/>
  <c r="A1477" i="5"/>
  <c r="B351" i="13" s="1"/>
  <c r="BI1476" i="5"/>
  <c r="C401" i="13" s="1"/>
  <c r="BH1476" i="5"/>
  <c r="B401" i="13" s="1"/>
  <c r="BG1476" i="5"/>
  <c r="BA1476" i="5"/>
  <c r="C390" i="13" s="1"/>
  <c r="AY1476" i="5"/>
  <c r="AN1476" i="5"/>
  <c r="E524" i="13" s="1"/>
  <c r="AH1476" i="5"/>
  <c r="AV1476" i="5" s="1"/>
  <c r="AD1476" i="5"/>
  <c r="C504" i="13" s="1"/>
  <c r="R1476" i="5"/>
  <c r="B484" i="13" s="1"/>
  <c r="O1476" i="5"/>
  <c r="E370" i="13" s="1"/>
  <c r="G1476" i="5"/>
  <c r="B370" i="13" s="1"/>
  <c r="A1476" i="5"/>
  <c r="B350" i="13" s="1"/>
  <c r="BI1475" i="5"/>
  <c r="C400" i="13" s="1"/>
  <c r="BH1475" i="5"/>
  <c r="B400" i="13" s="1"/>
  <c r="BG1475" i="5"/>
  <c r="BA1475" i="5"/>
  <c r="C389" i="13" s="1"/>
  <c r="AZ1475" i="5"/>
  <c r="B389" i="13" s="1"/>
  <c r="AY1475" i="5"/>
  <c r="AN1475" i="5"/>
  <c r="E523" i="13" s="1"/>
  <c r="AL1475" i="5"/>
  <c r="B523" i="13" s="1"/>
  <c r="AF1475" i="5"/>
  <c r="E503" i="13" s="1"/>
  <c r="AD1475" i="5"/>
  <c r="C503" i="13" s="1"/>
  <c r="U1475" i="5"/>
  <c r="E483" i="13" s="1"/>
  <c r="R1475" i="5"/>
  <c r="B483" i="13" s="1"/>
  <c r="O1475" i="5"/>
  <c r="E369" i="13" s="1"/>
  <c r="G1475" i="5"/>
  <c r="B369" i="13" s="1"/>
  <c r="D1475" i="5"/>
  <c r="E349" i="13" s="1"/>
  <c r="A1475" i="5"/>
  <c r="B349" i="13" s="1"/>
  <c r="BI1474" i="5"/>
  <c r="C399" i="13" s="1"/>
  <c r="BH1474" i="5"/>
  <c r="B399" i="13" s="1"/>
  <c r="BG1474" i="5"/>
  <c r="BA1474" i="5"/>
  <c r="C388" i="13" s="1"/>
  <c r="AY1474" i="5"/>
  <c r="AV1474" i="5"/>
  <c r="AR1474" i="5"/>
  <c r="C419" i="13" s="1"/>
  <c r="AL1474" i="5"/>
  <c r="B522" i="13" s="1"/>
  <c r="AH1474" i="5"/>
  <c r="AF1474" i="5"/>
  <c r="E502" i="13" s="1"/>
  <c r="AD1474" i="5"/>
  <c r="C502" i="13" s="1"/>
  <c r="U1474" i="5"/>
  <c r="E482" i="13" s="1"/>
  <c r="R1474" i="5"/>
  <c r="B482" i="13" s="1"/>
  <c r="O1474" i="5"/>
  <c r="E368" i="13" s="1"/>
  <c r="G1474" i="5"/>
  <c r="B368" i="13" s="1"/>
  <c r="D1474" i="5"/>
  <c r="E348" i="13" s="1"/>
  <c r="A1474" i="5"/>
  <c r="B348" i="13" s="1"/>
  <c r="BI1473" i="5"/>
  <c r="C398" i="13" s="1"/>
  <c r="BH1473" i="5"/>
  <c r="B398" i="13" s="1"/>
  <c r="BG1473" i="5"/>
  <c r="BB1473" i="5"/>
  <c r="D387" i="13" s="1"/>
  <c r="BA1473" i="5"/>
  <c r="C387" i="13" s="1"/>
  <c r="AY1473" i="5"/>
  <c r="AV1473" i="5"/>
  <c r="AR1473" i="5"/>
  <c r="C418" i="13" s="1"/>
  <c r="AL1473" i="5"/>
  <c r="B521" i="13" s="1"/>
  <c r="AH1473" i="5"/>
  <c r="AF1473" i="5"/>
  <c r="E501" i="13" s="1"/>
  <c r="AD1473" i="5"/>
  <c r="C501" i="13" s="1"/>
  <c r="U1473" i="5"/>
  <c r="E481" i="13" s="1"/>
  <c r="R1473" i="5"/>
  <c r="B481" i="13" s="1"/>
  <c r="O1473" i="5"/>
  <c r="E367" i="13" s="1"/>
  <c r="G1473" i="5"/>
  <c r="B367" i="13" s="1"/>
  <c r="D1473" i="5"/>
  <c r="E347" i="13" s="1"/>
  <c r="A1473" i="5"/>
  <c r="B347" i="13" s="1"/>
  <c r="BI1472" i="5"/>
  <c r="C397" i="13" s="1"/>
  <c r="BG1472" i="5"/>
  <c r="BB1472" i="5"/>
  <c r="D386" i="13" s="1"/>
  <c r="BA1472" i="5"/>
  <c r="C386" i="13" s="1"/>
  <c r="AY1472" i="5"/>
  <c r="AN1472" i="5"/>
  <c r="E520" i="13" s="1"/>
  <c r="AL1472" i="5"/>
  <c r="B520" i="13" s="1"/>
  <c r="AD1472" i="5"/>
  <c r="C500" i="13" s="1"/>
  <c r="AA1472" i="5"/>
  <c r="AT1454" i="5" s="1"/>
  <c r="Z1472" i="5"/>
  <c r="E534" i="13" s="1"/>
  <c r="X1472" i="5"/>
  <c r="B534" i="13" s="1"/>
  <c r="O1472" i="5"/>
  <c r="E366" i="13" s="1"/>
  <c r="G1472" i="5"/>
  <c r="B366" i="13" s="1"/>
  <c r="A1472" i="5"/>
  <c r="B346" i="13" s="1"/>
  <c r="BI1471" i="5"/>
  <c r="C396" i="13" s="1"/>
  <c r="BG1471" i="5"/>
  <c r="BA1471" i="5"/>
  <c r="C385" i="13" s="1"/>
  <c r="AY1471" i="5"/>
  <c r="AN1471" i="5"/>
  <c r="E519" i="13" s="1"/>
  <c r="AH1471" i="5"/>
  <c r="AV1471" i="5" s="1"/>
  <c r="AD1471" i="5"/>
  <c r="C499" i="13" s="1"/>
  <c r="Z1471" i="5"/>
  <c r="E533" i="13" s="1"/>
  <c r="X1471" i="5"/>
  <c r="B533" i="13" s="1"/>
  <c r="O1471" i="5"/>
  <c r="E365" i="13" s="1"/>
  <c r="G1471" i="5"/>
  <c r="B365" i="13" s="1"/>
  <c r="A1471" i="5"/>
  <c r="B345" i="13" s="1"/>
  <c r="BI1470" i="5"/>
  <c r="C395" i="13" s="1"/>
  <c r="BH1470" i="5"/>
  <c r="B395" i="13" s="1"/>
  <c r="BG1470" i="5"/>
  <c r="BA1470" i="5"/>
  <c r="C384" i="13" s="1"/>
  <c r="AY1470" i="5"/>
  <c r="AN1470" i="5"/>
  <c r="E518" i="13" s="1"/>
  <c r="AH1470" i="5"/>
  <c r="AV1470" i="5" s="1"/>
  <c r="AD1470" i="5"/>
  <c r="C498" i="13" s="1"/>
  <c r="Z1470" i="5"/>
  <c r="E532" i="13" s="1"/>
  <c r="X1470" i="5"/>
  <c r="B532" i="13" s="1"/>
  <c r="R1470" i="5"/>
  <c r="B478" i="13" s="1"/>
  <c r="O1470" i="5"/>
  <c r="E364" i="13" s="1"/>
  <c r="G1470" i="5"/>
  <c r="B364" i="13" s="1"/>
  <c r="A1470" i="5"/>
  <c r="B344" i="13" s="1"/>
  <c r="BI1469" i="5"/>
  <c r="C394" i="13" s="1"/>
  <c r="BH1469" i="5"/>
  <c r="B394" i="13" s="1"/>
  <c r="BG1469" i="5"/>
  <c r="BB1469" i="5"/>
  <c r="D383" i="13" s="1"/>
  <c r="BA1469" i="5"/>
  <c r="C383" i="13" s="1"/>
  <c r="AY1469" i="5"/>
  <c r="AN1469" i="5"/>
  <c r="E517" i="13" s="1"/>
  <c r="AH1469" i="5"/>
  <c r="AV1469" i="5" s="1"/>
  <c r="AD1469" i="5"/>
  <c r="C497" i="13" s="1"/>
  <c r="Z1469" i="5"/>
  <c r="E531" i="13" s="1"/>
  <c r="X1469" i="5"/>
  <c r="B531" i="13" s="1"/>
  <c r="R1469" i="5"/>
  <c r="B477" i="13" s="1"/>
  <c r="O1469" i="5"/>
  <c r="E363" i="13" s="1"/>
  <c r="G1469" i="5"/>
  <c r="B363" i="13" s="1"/>
  <c r="A1469" i="5"/>
  <c r="B343" i="13" s="1"/>
  <c r="BI1468" i="5"/>
  <c r="C393" i="13" s="1"/>
  <c r="BG1468" i="5"/>
  <c r="BA1468" i="5"/>
  <c r="C382" i="13" s="1"/>
  <c r="AY1468" i="5"/>
  <c r="AN1468" i="5"/>
  <c r="E516" i="13" s="1"/>
  <c r="AH1468" i="5"/>
  <c r="AV1468" i="5" s="1"/>
  <c r="AD1468" i="5"/>
  <c r="C462" i="13" s="1"/>
  <c r="Z1468" i="5"/>
  <c r="E530" i="13" s="1"/>
  <c r="X1468" i="5"/>
  <c r="B530" i="13" s="1"/>
  <c r="O1468" i="5"/>
  <c r="E362" i="13" s="1"/>
  <c r="G1468" i="5"/>
  <c r="B362" i="13" s="1"/>
  <c r="A1468" i="5"/>
  <c r="B335" i="13" s="1"/>
  <c r="BI1467" i="5"/>
  <c r="C392" i="13" s="1"/>
  <c r="BH1467" i="5"/>
  <c r="B392" i="13" s="1"/>
  <c r="BG1467" i="5"/>
  <c r="BA1467" i="5"/>
  <c r="C381" i="13" s="1"/>
  <c r="AY1467" i="5"/>
  <c r="AT1467" i="5"/>
  <c r="E378" i="13" s="1"/>
  <c r="AN1467" i="5"/>
  <c r="E515" i="13" s="1"/>
  <c r="AH1467" i="5"/>
  <c r="AV1467" i="5" s="1"/>
  <c r="AF1467" i="5"/>
  <c r="E461" i="13" s="1"/>
  <c r="AD1467" i="5"/>
  <c r="C461" i="13" s="1"/>
  <c r="Z1467" i="5"/>
  <c r="E529" i="13" s="1"/>
  <c r="X1467" i="5"/>
  <c r="B529" i="13" s="1"/>
  <c r="R1467" i="5"/>
  <c r="B475" i="13" s="1"/>
  <c r="O1467" i="5"/>
  <c r="E361" i="13" s="1"/>
  <c r="G1467" i="5"/>
  <c r="B361" i="13" s="1"/>
  <c r="D1467" i="5"/>
  <c r="E334" i="13" s="1"/>
  <c r="A1467" i="5"/>
  <c r="B334" i="13" s="1"/>
  <c r="BI1466" i="5"/>
  <c r="C391" i="13" s="1"/>
  <c r="BG1466" i="5"/>
  <c r="BA1466" i="5"/>
  <c r="C380" i="13" s="1"/>
  <c r="AY1466" i="5"/>
  <c r="AN1466" i="5"/>
  <c r="E514" i="13" s="1"/>
  <c r="AL1466" i="5"/>
  <c r="B514" i="13" s="1"/>
  <c r="AH1466" i="5"/>
  <c r="AV1466" i="5" s="1"/>
  <c r="AD1466" i="5"/>
  <c r="C460" i="13" s="1"/>
  <c r="Z1466" i="5"/>
  <c r="E528" i="13" s="1"/>
  <c r="X1466" i="5"/>
  <c r="B528" i="13" s="1"/>
  <c r="O1466" i="5"/>
  <c r="E360" i="13" s="1"/>
  <c r="A1466" i="5"/>
  <c r="B333" i="13" s="1"/>
  <c r="BL1465" i="5"/>
  <c r="BK1465" i="5"/>
  <c r="BJ1465" i="5"/>
  <c r="BI1465" i="5"/>
  <c r="BH1465" i="5"/>
  <c r="BG1465" i="5"/>
  <c r="BD1465" i="5"/>
  <c r="BC1465" i="5"/>
  <c r="BB1465" i="5"/>
  <c r="BA1465" i="5"/>
  <c r="AZ1465" i="5"/>
  <c r="AY1465" i="5"/>
  <c r="AV1465" i="5"/>
  <c r="AU1465" i="5"/>
  <c r="AS1465" i="5"/>
  <c r="AQ1465" i="5"/>
  <c r="AO1465" i="5"/>
  <c r="AN1465" i="5"/>
  <c r="AS1433" i="5" s="1"/>
  <c r="AM1465" i="5"/>
  <c r="AR1433" i="5" s="1"/>
  <c r="AL1465" i="5"/>
  <c r="AG1465" i="5"/>
  <c r="AF1465" i="5"/>
  <c r="AT1465" i="5" s="1"/>
  <c r="AE1465" i="5"/>
  <c r="AD1465" i="5"/>
  <c r="AR1465" i="5" s="1"/>
  <c r="AC1465" i="5"/>
  <c r="C1456" i="5"/>
  <c r="L1469" i="5" s="1"/>
  <c r="D363" i="13" s="1"/>
  <c r="C1455" i="5"/>
  <c r="L1468" i="5" s="1"/>
  <c r="AS1454" i="5"/>
  <c r="E451" i="13" s="1"/>
  <c r="AQ1454" i="5"/>
  <c r="B451" i="13" s="1"/>
  <c r="AS1453" i="5"/>
  <c r="E450" i="13" s="1"/>
  <c r="AQ1453" i="5"/>
  <c r="B450" i="13" s="1"/>
  <c r="C1453" i="5"/>
  <c r="C1454" i="5" s="1"/>
  <c r="AS1452" i="5"/>
  <c r="E449" i="13" s="1"/>
  <c r="AQ1452" i="5"/>
  <c r="B449" i="13" s="1"/>
  <c r="AS1451" i="5"/>
  <c r="E448" i="13" s="1"/>
  <c r="AQ1451" i="5"/>
  <c r="B448" i="13" s="1"/>
  <c r="AS1450" i="5"/>
  <c r="E447" i="13" s="1"/>
  <c r="AQ1450" i="5"/>
  <c r="B447" i="13" s="1"/>
  <c r="AS1449" i="5"/>
  <c r="E446" i="13" s="1"/>
  <c r="AQ1449" i="5"/>
  <c r="B446" i="13" s="1"/>
  <c r="D1449" i="5"/>
  <c r="E1449" i="5" s="1"/>
  <c r="AS1448" i="5"/>
  <c r="E445" i="13" s="1"/>
  <c r="AQ1448" i="5"/>
  <c r="B445" i="13" s="1"/>
  <c r="E1448" i="5"/>
  <c r="D1448" i="5"/>
  <c r="D1447" i="5"/>
  <c r="E1447" i="5" s="1"/>
  <c r="AS1446" i="5"/>
  <c r="E443" i="13" s="1"/>
  <c r="AQ1446" i="5"/>
  <c r="B443" i="13" s="1"/>
  <c r="AS1445" i="5"/>
  <c r="E442" i="13" s="1"/>
  <c r="AS1444" i="5"/>
  <c r="E441" i="13" s="1"/>
  <c r="AQ1442" i="5"/>
  <c r="B439" i="13" s="1"/>
  <c r="C1442" i="5"/>
  <c r="C1486" i="5" s="1"/>
  <c r="AQ1441" i="5"/>
  <c r="B438" i="13" s="1"/>
  <c r="D1441" i="5"/>
  <c r="D1440" i="5"/>
  <c r="AS1439" i="5"/>
  <c r="E436" i="13" s="1"/>
  <c r="D1439" i="5"/>
  <c r="C1439" i="5"/>
  <c r="AS1438" i="5"/>
  <c r="E435" i="13" s="1"/>
  <c r="D1438" i="5"/>
  <c r="C1438" i="5"/>
  <c r="AS1437" i="5"/>
  <c r="E434" i="13" s="1"/>
  <c r="D1437" i="5"/>
  <c r="AS1436" i="5"/>
  <c r="E433" i="13" s="1"/>
  <c r="D1436" i="5"/>
  <c r="AS1435" i="5"/>
  <c r="E432" i="13" s="1"/>
  <c r="D1435" i="5"/>
  <c r="AS1434" i="5"/>
  <c r="E431" i="13" s="1"/>
  <c r="AQ1434" i="5"/>
  <c r="B431" i="13" s="1"/>
  <c r="D1434" i="5"/>
  <c r="AT1433" i="5"/>
  <c r="AQ1433" i="5"/>
  <c r="D1433" i="5"/>
  <c r="D1432" i="5"/>
  <c r="I1425" i="5"/>
  <c r="G1425" i="5"/>
  <c r="C1483" i="5" s="1"/>
  <c r="P1416" i="5"/>
  <c r="C1416" i="5"/>
  <c r="D2367" i="13" s="1"/>
  <c r="A1416" i="5"/>
  <c r="B2367" i="13" s="1"/>
  <c r="B2360" i="15" s="1"/>
  <c r="P1415" i="5"/>
  <c r="D1415" i="5"/>
  <c r="E2450" i="13" s="1"/>
  <c r="E2442" i="15" s="1"/>
  <c r="G2442" i="15" s="1"/>
  <c r="C1415" i="5"/>
  <c r="D2450" i="13" s="1"/>
  <c r="A1415" i="5"/>
  <c r="B2450" i="13" s="1"/>
  <c r="B2442" i="15" s="1"/>
  <c r="D1412" i="5"/>
  <c r="E2484" i="13" s="1"/>
  <c r="E2476" i="15" s="1"/>
  <c r="G2476" i="15" s="1"/>
  <c r="C1412" i="5"/>
  <c r="D2484" i="13" s="1"/>
  <c r="A1412" i="5"/>
  <c r="B2484" i="13" s="1"/>
  <c r="B2476" i="15" s="1"/>
  <c r="P1411" i="5"/>
  <c r="D1411" i="5"/>
  <c r="E321" i="13" s="1"/>
  <c r="A1411" i="5"/>
  <c r="B321" i="13" s="1"/>
  <c r="P1410" i="5"/>
  <c r="D1410" i="5"/>
  <c r="E320" i="13" s="1"/>
  <c r="A1410" i="5"/>
  <c r="B320" i="13" s="1"/>
  <c r="P1409" i="5"/>
  <c r="D1409" i="5"/>
  <c r="E319" i="13" s="1"/>
  <c r="A1409" i="5"/>
  <c r="B319" i="13" s="1"/>
  <c r="P1408" i="5"/>
  <c r="J1408" i="5"/>
  <c r="D872" i="10" s="1"/>
  <c r="I1408" i="5"/>
  <c r="C872" i="10" s="1"/>
  <c r="D1408" i="5"/>
  <c r="E318" i="13" s="1"/>
  <c r="A1408" i="5"/>
  <c r="P1407" i="5"/>
  <c r="D1407" i="5"/>
  <c r="E317" i="13" s="1"/>
  <c r="P1406" i="5"/>
  <c r="D1406" i="5"/>
  <c r="E316" i="13" s="1"/>
  <c r="D1405" i="5"/>
  <c r="E315" i="13" s="1"/>
  <c r="P1404" i="5"/>
  <c r="P1403" i="5"/>
  <c r="D1403" i="5"/>
  <c r="E313" i="13" s="1"/>
  <c r="D1402" i="5"/>
  <c r="E312" i="13" s="1"/>
  <c r="P1401" i="5"/>
  <c r="D1401" i="5"/>
  <c r="E311" i="13" s="1"/>
  <c r="O1400" i="5"/>
  <c r="E329" i="13" s="1"/>
  <c r="M1400" i="5"/>
  <c r="L1400" i="5"/>
  <c r="B329" i="13" s="1"/>
  <c r="D1400" i="5"/>
  <c r="E310" i="13" s="1"/>
  <c r="O1399" i="5"/>
  <c r="E328" i="13" s="1"/>
  <c r="M1399" i="5"/>
  <c r="L1399" i="5"/>
  <c r="B328" i="13" s="1"/>
  <c r="D1399" i="5"/>
  <c r="E309" i="13" s="1"/>
  <c r="A1399" i="5"/>
  <c r="B309" i="13" s="1"/>
  <c r="J1398" i="5"/>
  <c r="D871" i="10" s="1"/>
  <c r="I1398" i="5"/>
  <c r="C871" i="10" s="1"/>
  <c r="D1398" i="5"/>
  <c r="E308" i="13" s="1"/>
  <c r="A1398" i="5"/>
  <c r="O1397" i="5"/>
  <c r="E327" i="13" s="1"/>
  <c r="M1397" i="5"/>
  <c r="L1397" i="5"/>
  <c r="B327" i="13" s="1"/>
  <c r="J1397" i="5"/>
  <c r="D870" i="10" s="1"/>
  <c r="A1397" i="5"/>
  <c r="I1397" i="5" s="1"/>
  <c r="C870" i="10" s="1"/>
  <c r="O1396" i="5"/>
  <c r="E326" i="13" s="1"/>
  <c r="M1396" i="5"/>
  <c r="L1396" i="5"/>
  <c r="B326" i="13" s="1"/>
  <c r="J1396" i="5"/>
  <c r="D869" i="10" s="1"/>
  <c r="I1396" i="5"/>
  <c r="C869" i="10" s="1"/>
  <c r="D1396" i="5"/>
  <c r="E306" i="13" s="1"/>
  <c r="A1396" i="5"/>
  <c r="O1395" i="5"/>
  <c r="E325" i="13" s="1"/>
  <c r="M1395" i="5"/>
  <c r="L1395" i="5"/>
  <c r="B325" i="13" s="1"/>
  <c r="D1395" i="5"/>
  <c r="E305" i="13" s="1"/>
  <c r="O1394" i="5"/>
  <c r="E324" i="13" s="1"/>
  <c r="M1394" i="5"/>
  <c r="L1394" i="5"/>
  <c r="B324" i="13" s="1"/>
  <c r="A1394" i="5"/>
  <c r="B304" i="13" s="1"/>
  <c r="C1377" i="5"/>
  <c r="C1365" i="5" s="1"/>
  <c r="C361" i="6" s="1"/>
  <c r="C1376" i="5"/>
  <c r="C1373" i="5"/>
  <c r="C498" i="6" s="1"/>
  <c r="C1372" i="5"/>
  <c r="N1397" i="5" s="1"/>
  <c r="O1363" i="5"/>
  <c r="P1363" i="5" s="1"/>
  <c r="P1362" i="5"/>
  <c r="O1362" i="5"/>
  <c r="C1362" i="5"/>
  <c r="P1361" i="5"/>
  <c r="O1361" i="5"/>
  <c r="C1361" i="5"/>
  <c r="C1360" i="5"/>
  <c r="C1356" i="5"/>
  <c r="O1353" i="5"/>
  <c r="P1353" i="5" s="1"/>
  <c r="O1352" i="5"/>
  <c r="P1352" i="5" s="1"/>
  <c r="C1350" i="5"/>
  <c r="O1348" i="5"/>
  <c r="P1348" i="5" s="1"/>
  <c r="O1347" i="5"/>
  <c r="P1347" i="5" s="1"/>
  <c r="C1347" i="5"/>
  <c r="C1346" i="5"/>
  <c r="O1345" i="5"/>
  <c r="P1345" i="5" s="1"/>
  <c r="I1345" i="5"/>
  <c r="G1345" i="5"/>
  <c r="R1336" i="5"/>
  <c r="Q1336" i="5"/>
  <c r="O1336" i="5"/>
  <c r="K354" i="12" s="1"/>
  <c r="N1336" i="5"/>
  <c r="G1336" i="5"/>
  <c r="F1336" i="5"/>
  <c r="D1336" i="5"/>
  <c r="E354" i="12" s="1"/>
  <c r="C1336" i="5"/>
  <c r="C354" i="12" s="1"/>
  <c r="R1335" i="5"/>
  <c r="Q1335" i="5"/>
  <c r="O1335" i="5"/>
  <c r="N1335" i="5"/>
  <c r="J353" i="12" s="1"/>
  <c r="G1335" i="5"/>
  <c r="F1335" i="5"/>
  <c r="D1335" i="5"/>
  <c r="C1335" i="5"/>
  <c r="R1334" i="5"/>
  <c r="Q1334" i="5"/>
  <c r="O1334" i="5"/>
  <c r="K352" i="12" s="1"/>
  <c r="N1334" i="5"/>
  <c r="G1334" i="5"/>
  <c r="F1334" i="5"/>
  <c r="D1334" i="5"/>
  <c r="E352" i="12" s="1"/>
  <c r="C1334" i="5"/>
  <c r="C352" i="12" s="1"/>
  <c r="R1333" i="5"/>
  <c r="Q1333" i="5"/>
  <c r="O1333" i="5"/>
  <c r="N1333" i="5"/>
  <c r="J351" i="12" s="1"/>
  <c r="G1333" i="5"/>
  <c r="F1333" i="5"/>
  <c r="D1333" i="5"/>
  <c r="C1333" i="5"/>
  <c r="R1332" i="5"/>
  <c r="Q1332" i="5"/>
  <c r="O1332" i="5"/>
  <c r="K350" i="12" s="1"/>
  <c r="N1332" i="5"/>
  <c r="G1332" i="5"/>
  <c r="F1332" i="5"/>
  <c r="D1332" i="5"/>
  <c r="E350" i="12" s="1"/>
  <c r="C1332" i="5"/>
  <c r="C350" i="12" s="1"/>
  <c r="R1331" i="5"/>
  <c r="Q1331" i="5"/>
  <c r="O1331" i="5"/>
  <c r="N1331" i="5"/>
  <c r="J349" i="12" s="1"/>
  <c r="G1331" i="5"/>
  <c r="F1331" i="5"/>
  <c r="D1331" i="5"/>
  <c r="C1331" i="5"/>
  <c r="R1330" i="5"/>
  <c r="Q1330" i="5"/>
  <c r="O1330" i="5"/>
  <c r="K348" i="12" s="1"/>
  <c r="N1330" i="5"/>
  <c r="G1330" i="5"/>
  <c r="F1330" i="5"/>
  <c r="D1330" i="5"/>
  <c r="E348" i="12" s="1"/>
  <c r="C1330" i="5"/>
  <c r="C348" i="12" s="1"/>
  <c r="R1329" i="5"/>
  <c r="Q1329" i="5"/>
  <c r="O1329" i="5"/>
  <c r="N1329" i="5"/>
  <c r="J347" i="12" s="1"/>
  <c r="G1329" i="5"/>
  <c r="F1329" i="5"/>
  <c r="D1329" i="5"/>
  <c r="C1329" i="5"/>
  <c r="O1350" i="5" s="1"/>
  <c r="P1350" i="5" s="1"/>
  <c r="T1328" i="5"/>
  <c r="P1328" i="5" s="1"/>
  <c r="R1328" i="5"/>
  <c r="Q1328" i="5"/>
  <c r="O1328" i="5"/>
  <c r="K346" i="12" s="1"/>
  <c r="N1328" i="5"/>
  <c r="G1328" i="5"/>
  <c r="F1328" i="5"/>
  <c r="D1328" i="5"/>
  <c r="E346" i="12" s="1"/>
  <c r="C1328" i="5"/>
  <c r="C346" i="12" s="1"/>
  <c r="T1327" i="5"/>
  <c r="P1327" i="5" s="1"/>
  <c r="R1327" i="5"/>
  <c r="Q1327" i="5"/>
  <c r="O1327" i="5"/>
  <c r="N1327" i="5"/>
  <c r="J345" i="12" s="1"/>
  <c r="G1327" i="5"/>
  <c r="F1327" i="5"/>
  <c r="D1327" i="5"/>
  <c r="J1327" i="5" s="1"/>
  <c r="E1327" i="5" s="1"/>
  <c r="C1327" i="5"/>
  <c r="T1326" i="5"/>
  <c r="P1326" i="5" s="1"/>
  <c r="R1326" i="5"/>
  <c r="Q1326" i="5"/>
  <c r="O1326" i="5"/>
  <c r="K344" i="12" s="1"/>
  <c r="N1326" i="5"/>
  <c r="G1326" i="5"/>
  <c r="F1326" i="5"/>
  <c r="D1326" i="5"/>
  <c r="E344" i="12" s="1"/>
  <c r="C1326" i="5"/>
  <c r="C344" i="12" s="1"/>
  <c r="T1325" i="5"/>
  <c r="P1325" i="5" s="1"/>
  <c r="R1325" i="5"/>
  <c r="Q1325" i="5"/>
  <c r="O1325" i="5"/>
  <c r="N1325" i="5"/>
  <c r="J343" i="12" s="1"/>
  <c r="G1325" i="5"/>
  <c r="F1325" i="5"/>
  <c r="D1325" i="5"/>
  <c r="C1325" i="5"/>
  <c r="T1324" i="5"/>
  <c r="P1324" i="5" s="1"/>
  <c r="R1324" i="5"/>
  <c r="Q1324" i="5"/>
  <c r="O1324" i="5"/>
  <c r="K342" i="12" s="1"/>
  <c r="N1324" i="5"/>
  <c r="G1324" i="5"/>
  <c r="F1324" i="5"/>
  <c r="D1324" i="5"/>
  <c r="E342" i="12" s="1"/>
  <c r="C1324" i="5"/>
  <c r="C342" i="12" s="1"/>
  <c r="T1323" i="5"/>
  <c r="P1323" i="5" s="1"/>
  <c r="R1323" i="5"/>
  <c r="Q1323" i="5"/>
  <c r="O1323" i="5"/>
  <c r="N1323" i="5"/>
  <c r="J341" i="12" s="1"/>
  <c r="G1323" i="5"/>
  <c r="F1323" i="5"/>
  <c r="D1323" i="5"/>
  <c r="J1323" i="5" s="1"/>
  <c r="E1323" i="5" s="1"/>
  <c r="C1323" i="5"/>
  <c r="T1322" i="5"/>
  <c r="P1322" i="5" s="1"/>
  <c r="R1322" i="5"/>
  <c r="Q1322" i="5"/>
  <c r="O1322" i="5"/>
  <c r="K340" i="12" s="1"/>
  <c r="N1322" i="5"/>
  <c r="G1322" i="5"/>
  <c r="F1322" i="5"/>
  <c r="D1322" i="5"/>
  <c r="E340" i="12" s="1"/>
  <c r="C1322" i="5"/>
  <c r="C340" i="12" s="1"/>
  <c r="T1321" i="5"/>
  <c r="P1321" i="5" s="1"/>
  <c r="R1321" i="5"/>
  <c r="Q1321" i="5"/>
  <c r="O1321" i="5"/>
  <c r="N1321" i="5"/>
  <c r="J339" i="12" s="1"/>
  <c r="G1321" i="5"/>
  <c r="F1321" i="5"/>
  <c r="D1321" i="5"/>
  <c r="C1321" i="5"/>
  <c r="R1320" i="5"/>
  <c r="Q1320" i="5"/>
  <c r="G1320" i="5"/>
  <c r="F1320" i="5"/>
  <c r="F1315" i="5"/>
  <c r="F1312" i="5"/>
  <c r="A1302" i="5"/>
  <c r="L1301" i="5"/>
  <c r="K1301" i="5"/>
  <c r="J1301" i="5"/>
  <c r="I1301" i="5"/>
  <c r="M1301" i="5" s="1"/>
  <c r="C119" i="5" s="1"/>
  <c r="H1301" i="5"/>
  <c r="G1301" i="5"/>
  <c r="A1301" i="5"/>
  <c r="L1300" i="5"/>
  <c r="K1300" i="5"/>
  <c r="J1300" i="5"/>
  <c r="I1300" i="5"/>
  <c r="M1300" i="5" s="1"/>
  <c r="H1300" i="5"/>
  <c r="G1300" i="5"/>
  <c r="A1300" i="5"/>
  <c r="L1299" i="5"/>
  <c r="I1310" i="5" s="1"/>
  <c r="C1763" i="5" s="1"/>
  <c r="K1299" i="5"/>
  <c r="J1299" i="5"/>
  <c r="I1299" i="5"/>
  <c r="M1299" i="5" s="1"/>
  <c r="H1299" i="5"/>
  <c r="G1299" i="5"/>
  <c r="A1299" i="5"/>
  <c r="L1298" i="5"/>
  <c r="K1298" i="5"/>
  <c r="J1298" i="5"/>
  <c r="I1298" i="5"/>
  <c r="M1298" i="5" s="1"/>
  <c r="H1298" i="5"/>
  <c r="G1298" i="5"/>
  <c r="A1298" i="5"/>
  <c r="L1297" i="5"/>
  <c r="K1297" i="5"/>
  <c r="J1297" i="5"/>
  <c r="I1297" i="5"/>
  <c r="M1297" i="5" s="1"/>
  <c r="H1297" i="5"/>
  <c r="G1297" i="5"/>
  <c r="A1297" i="5"/>
  <c r="K1296" i="5"/>
  <c r="J1296" i="5"/>
  <c r="I1296" i="5"/>
  <c r="M1296" i="5" s="1"/>
  <c r="H1296" i="5"/>
  <c r="G1296" i="5"/>
  <c r="A1296" i="5"/>
  <c r="K1295" i="5"/>
  <c r="J1295" i="5"/>
  <c r="P1295" i="5" s="1"/>
  <c r="I1295" i="5"/>
  <c r="M1295" i="5" s="1"/>
  <c r="C117" i="5" s="1"/>
  <c r="H1295" i="5"/>
  <c r="G1295" i="5"/>
  <c r="A1295" i="5"/>
  <c r="K1294" i="5"/>
  <c r="J1294" i="5"/>
  <c r="L1294" i="5" s="1"/>
  <c r="I1294" i="5"/>
  <c r="F1755" i="5" s="1"/>
  <c r="H1294" i="5"/>
  <c r="G1294" i="5"/>
  <c r="A1294" i="5"/>
  <c r="L1293" i="5"/>
  <c r="K1293" i="5"/>
  <c r="J328" i="6" s="1"/>
  <c r="J1293" i="5"/>
  <c r="I328" i="6" s="1"/>
  <c r="I1293" i="5"/>
  <c r="H328" i="6" s="1"/>
  <c r="H1293" i="5"/>
  <c r="G1293" i="5"/>
  <c r="A1293" i="5"/>
  <c r="K1292" i="5"/>
  <c r="J327" i="6" s="1"/>
  <c r="J1292" i="5"/>
  <c r="I327" i="6" s="1"/>
  <c r="I1292" i="5"/>
  <c r="H327" i="6" s="1"/>
  <c r="L327" i="6" s="1"/>
  <c r="H1292" i="5"/>
  <c r="G1292" i="5"/>
  <c r="A1292" i="5"/>
  <c r="K1291" i="5"/>
  <c r="J326" i="6" s="1"/>
  <c r="J1291" i="5"/>
  <c r="I326" i="6" s="1"/>
  <c r="I1291" i="5"/>
  <c r="H326" i="6" s="1"/>
  <c r="H1291" i="5"/>
  <c r="G1291" i="5"/>
  <c r="A1291" i="5"/>
  <c r="K1290" i="5"/>
  <c r="J325" i="6" s="1"/>
  <c r="J1290" i="5"/>
  <c r="I325" i="6" s="1"/>
  <c r="I1290" i="5"/>
  <c r="H325" i="6" s="1"/>
  <c r="L325" i="6" s="1"/>
  <c r="H1290" i="5"/>
  <c r="G1290" i="5"/>
  <c r="A1290" i="5"/>
  <c r="D1262" i="5"/>
  <c r="C1242" i="5"/>
  <c r="O1239" i="5"/>
  <c r="O1238" i="5"/>
  <c r="P1237" i="5"/>
  <c r="O1237" i="5"/>
  <c r="E1237" i="5"/>
  <c r="O1236" i="5"/>
  <c r="E1236" i="5"/>
  <c r="P1235" i="5"/>
  <c r="O1235" i="5"/>
  <c r="E1235" i="5"/>
  <c r="O1234" i="5"/>
  <c r="O1233" i="5"/>
  <c r="D1233" i="5"/>
  <c r="C1233" i="5"/>
  <c r="O1232" i="5"/>
  <c r="D1232" i="5"/>
  <c r="C1232" i="5"/>
  <c r="O1229" i="5"/>
  <c r="I1229" i="5"/>
  <c r="D1229" i="5"/>
  <c r="C1226" i="5"/>
  <c r="C1225" i="5"/>
  <c r="F1224" i="5"/>
  <c r="D1224" i="5"/>
  <c r="K1217" i="5" s="1"/>
  <c r="D1223" i="5"/>
  <c r="F1223" i="5" s="1"/>
  <c r="F1221" i="5"/>
  <c r="D1221" i="5"/>
  <c r="F1215" i="5"/>
  <c r="E1215" i="5"/>
  <c r="E1221" i="5" s="1"/>
  <c r="AJ23" i="5" s="1"/>
  <c r="D1212" i="5"/>
  <c r="C1212" i="5"/>
  <c r="E1211" i="5"/>
  <c r="D1211" i="5"/>
  <c r="D1215" i="5" s="1"/>
  <c r="C1211" i="5"/>
  <c r="F1210" i="5"/>
  <c r="E1210" i="5"/>
  <c r="C1210" i="5"/>
  <c r="F1209" i="5"/>
  <c r="E1209" i="5"/>
  <c r="E1208" i="5"/>
  <c r="C1208" i="5"/>
  <c r="C1223" i="5" s="1"/>
  <c r="E1207" i="5"/>
  <c r="C1207" i="5"/>
  <c r="F1206" i="5"/>
  <c r="E1206" i="5"/>
  <c r="D1206" i="5"/>
  <c r="C1206" i="5"/>
  <c r="F1204" i="5"/>
  <c r="E1204" i="5"/>
  <c r="D1204" i="5"/>
  <c r="C1204" i="5"/>
  <c r="G1202" i="5"/>
  <c r="H1622" i="13" s="1"/>
  <c r="J1164" i="5"/>
  <c r="G415" i="9" s="1"/>
  <c r="F1164" i="5"/>
  <c r="O1155" i="5"/>
  <c r="C1155" i="5"/>
  <c r="O1152" i="5"/>
  <c r="L1152" i="5"/>
  <c r="K1152" i="5"/>
  <c r="J1152" i="5"/>
  <c r="C418" i="9" s="1"/>
  <c r="F1152" i="5"/>
  <c r="C1152" i="5"/>
  <c r="O1151" i="5"/>
  <c r="O1150" i="5"/>
  <c r="C1150" i="5"/>
  <c r="O1149" i="5"/>
  <c r="O1148" i="5"/>
  <c r="K1148" i="5"/>
  <c r="J1148" i="5"/>
  <c r="F1148" i="5"/>
  <c r="C1148" i="5"/>
  <c r="J1139" i="5"/>
  <c r="C1139" i="5"/>
  <c r="O1139" i="5" s="1"/>
  <c r="J1138" i="5"/>
  <c r="F1134" i="5"/>
  <c r="C1134" i="5"/>
  <c r="C1135" i="5" s="1"/>
  <c r="Q1129" i="5"/>
  <c r="P1129" i="5"/>
  <c r="Q1115" i="5"/>
  <c r="L1115" i="5"/>
  <c r="H1549" i="13" s="1"/>
  <c r="I1115" i="5"/>
  <c r="H1483" i="13" s="1"/>
  <c r="D1115" i="5"/>
  <c r="E1115" i="5" s="1"/>
  <c r="B1115" i="5"/>
  <c r="H1409" i="13" s="1"/>
  <c r="Q1113" i="5"/>
  <c r="I1203" i="5" s="1"/>
  <c r="P1113" i="5"/>
  <c r="I1113" i="5"/>
  <c r="J1113" i="5" s="1"/>
  <c r="F1113" i="5"/>
  <c r="G1113" i="5" s="1"/>
  <c r="Q1112" i="5"/>
  <c r="P1112" i="5" s="1"/>
  <c r="G1112" i="5"/>
  <c r="F1112" i="5"/>
  <c r="I1112" i="5" s="1"/>
  <c r="J1112" i="5" s="1"/>
  <c r="F1051" i="5"/>
  <c r="F735" i="10" s="1"/>
  <c r="F1050" i="5"/>
  <c r="F734" i="10" s="1"/>
  <c r="F1049" i="5"/>
  <c r="F733" i="10" s="1"/>
  <c r="F1048" i="5"/>
  <c r="F732" i="10" s="1"/>
  <c r="F1047" i="5"/>
  <c r="F731" i="10" s="1"/>
  <c r="F1046" i="5"/>
  <c r="F730" i="10" s="1"/>
  <c r="F1045" i="5"/>
  <c r="F729" i="10" s="1"/>
  <c r="F1044" i="5"/>
  <c r="F728" i="10" s="1"/>
  <c r="F1043" i="5"/>
  <c r="F727" i="10" s="1"/>
  <c r="F1042" i="5"/>
  <c r="F726" i="10" s="1"/>
  <c r="F1041" i="5"/>
  <c r="F725" i="10" s="1"/>
  <c r="F1040" i="5"/>
  <c r="F724" i="10" s="1"/>
  <c r="F1039" i="5"/>
  <c r="F723" i="10" s="1"/>
  <c r="F1038" i="5"/>
  <c r="F722" i="10" s="1"/>
  <c r="F1037" i="5"/>
  <c r="F721" i="10" s="1"/>
  <c r="F1036" i="5"/>
  <c r="F720" i="10" s="1"/>
  <c r="F1035" i="5"/>
  <c r="F719" i="10" s="1"/>
  <c r="E1035" i="5"/>
  <c r="E719" i="10" s="1"/>
  <c r="G719" i="10" s="1"/>
  <c r="F1034" i="5"/>
  <c r="F718" i="10" s="1"/>
  <c r="F1033" i="5"/>
  <c r="F717" i="10" s="1"/>
  <c r="F1032" i="5"/>
  <c r="F716" i="10" s="1"/>
  <c r="F1031" i="5"/>
  <c r="F715" i="10" s="1"/>
  <c r="F1030" i="5"/>
  <c r="F714" i="10" s="1"/>
  <c r="F1029" i="5"/>
  <c r="F713" i="10" s="1"/>
  <c r="F1028" i="5"/>
  <c r="F712" i="10" s="1"/>
  <c r="F1027" i="5"/>
  <c r="F711" i="10" s="1"/>
  <c r="F1026" i="5"/>
  <c r="F710" i="10" s="1"/>
  <c r="F1025" i="5"/>
  <c r="F709" i="10" s="1"/>
  <c r="F1024" i="5"/>
  <c r="F708" i="10" s="1"/>
  <c r="F1023" i="5"/>
  <c r="F707" i="10" s="1"/>
  <c r="F1022" i="5"/>
  <c r="F706" i="10" s="1"/>
  <c r="F1021" i="5"/>
  <c r="F705" i="10" s="1"/>
  <c r="F1020" i="5"/>
  <c r="F704" i="10" s="1"/>
  <c r="F1019" i="5"/>
  <c r="F703" i="10" s="1"/>
  <c r="E1019" i="5"/>
  <c r="E703" i="10" s="1"/>
  <c r="G703" i="10" s="1"/>
  <c r="F1018" i="5"/>
  <c r="F702" i="10" s="1"/>
  <c r="E1018" i="5"/>
  <c r="E702" i="10" s="1"/>
  <c r="G702" i="10" s="1"/>
  <c r="F1017" i="5"/>
  <c r="F701" i="10" s="1"/>
  <c r="G701" i="10" s="1"/>
  <c r="E1016" i="5"/>
  <c r="E700" i="10" s="1"/>
  <c r="B1016" i="5"/>
  <c r="B700" i="10" s="1"/>
  <c r="E1015" i="5"/>
  <c r="E699" i="10" s="1"/>
  <c r="D1010" i="5"/>
  <c r="C1010" i="5"/>
  <c r="G1010" i="5" s="1"/>
  <c r="B1010" i="5"/>
  <c r="A1010" i="5"/>
  <c r="F1009" i="5"/>
  <c r="F653" i="10" s="1"/>
  <c r="F1008" i="5"/>
  <c r="F652" i="10" s="1"/>
  <c r="F1007" i="5"/>
  <c r="F651" i="10" s="1"/>
  <c r="F1006" i="5"/>
  <c r="F650" i="10" s="1"/>
  <c r="F1005" i="5"/>
  <c r="F649" i="10" s="1"/>
  <c r="F1004" i="5"/>
  <c r="F648" i="10" s="1"/>
  <c r="F1003" i="5"/>
  <c r="F647" i="10" s="1"/>
  <c r="F1002" i="5"/>
  <c r="F646" i="10" s="1"/>
  <c r="F1001" i="5"/>
  <c r="F645" i="10" s="1"/>
  <c r="F1000" i="5"/>
  <c r="F644" i="10" s="1"/>
  <c r="F999" i="5"/>
  <c r="F643" i="10" s="1"/>
  <c r="F998" i="5"/>
  <c r="F642" i="10" s="1"/>
  <c r="F997" i="5"/>
  <c r="F641" i="10" s="1"/>
  <c r="F996" i="5"/>
  <c r="F640" i="10" s="1"/>
  <c r="F995" i="5"/>
  <c r="F639" i="10" s="1"/>
  <c r="F994" i="5"/>
  <c r="F638" i="10" s="1"/>
  <c r="F993" i="5"/>
  <c r="F637" i="10" s="1"/>
  <c r="E993" i="5"/>
  <c r="E637" i="10" s="1"/>
  <c r="F992" i="5"/>
  <c r="F636" i="10" s="1"/>
  <c r="F991" i="5"/>
  <c r="F635" i="10" s="1"/>
  <c r="F990" i="5"/>
  <c r="F634" i="10" s="1"/>
  <c r="F989" i="5"/>
  <c r="F633" i="10" s="1"/>
  <c r="F988" i="5"/>
  <c r="F632" i="10" s="1"/>
  <c r="F987" i="5"/>
  <c r="F631" i="10" s="1"/>
  <c r="F986" i="5"/>
  <c r="F630" i="10" s="1"/>
  <c r="F985" i="5"/>
  <c r="F629" i="10" s="1"/>
  <c r="F984" i="5"/>
  <c r="F628" i="10" s="1"/>
  <c r="F983" i="5"/>
  <c r="F627" i="10" s="1"/>
  <c r="F982" i="5"/>
  <c r="F626" i="10" s="1"/>
  <c r="F981" i="5"/>
  <c r="F625" i="10" s="1"/>
  <c r="F980" i="5"/>
  <c r="F624" i="10" s="1"/>
  <c r="F979" i="5"/>
  <c r="F623" i="10" s="1"/>
  <c r="F978" i="5"/>
  <c r="F622" i="10" s="1"/>
  <c r="F977" i="5"/>
  <c r="F621" i="10" s="1"/>
  <c r="E977" i="5"/>
  <c r="E621" i="10" s="1"/>
  <c r="F976" i="5"/>
  <c r="F620" i="10" s="1"/>
  <c r="E976" i="5"/>
  <c r="E620" i="10" s="1"/>
  <c r="F975" i="5"/>
  <c r="F619" i="10" s="1"/>
  <c r="G619" i="10" s="1"/>
  <c r="E974" i="5"/>
  <c r="E618" i="10" s="1"/>
  <c r="E973" i="5"/>
  <c r="E617" i="10" s="1"/>
  <c r="E971" i="5"/>
  <c r="E615" i="10" s="1"/>
  <c r="D968" i="5"/>
  <c r="C968" i="5"/>
  <c r="G968" i="5" s="1"/>
  <c r="B968" i="5"/>
  <c r="A968" i="5"/>
  <c r="F967" i="5"/>
  <c r="F571" i="10" s="1"/>
  <c r="F966" i="5"/>
  <c r="F570" i="10" s="1"/>
  <c r="F965" i="5"/>
  <c r="F569" i="10" s="1"/>
  <c r="F964" i="5"/>
  <c r="F568" i="10" s="1"/>
  <c r="F963" i="5"/>
  <c r="F567" i="10" s="1"/>
  <c r="F962" i="5"/>
  <c r="F566" i="10" s="1"/>
  <c r="F961" i="5"/>
  <c r="F565" i="10" s="1"/>
  <c r="F960" i="5"/>
  <c r="F564" i="10" s="1"/>
  <c r="F959" i="5"/>
  <c r="F563" i="10" s="1"/>
  <c r="F958" i="5"/>
  <c r="F562" i="10" s="1"/>
  <c r="F957" i="5"/>
  <c r="F561" i="10" s="1"/>
  <c r="F956" i="5"/>
  <c r="F560" i="10" s="1"/>
  <c r="F955" i="5"/>
  <c r="F559" i="10" s="1"/>
  <c r="F954" i="5"/>
  <c r="F558" i="10" s="1"/>
  <c r="F953" i="5"/>
  <c r="F557" i="10" s="1"/>
  <c r="F952" i="5"/>
  <c r="F556" i="10" s="1"/>
  <c r="E952" i="5"/>
  <c r="E556" i="10" s="1"/>
  <c r="G556" i="10" s="1"/>
  <c r="F951" i="5"/>
  <c r="F555" i="10" s="1"/>
  <c r="E951" i="5"/>
  <c r="E555" i="10" s="1"/>
  <c r="G555" i="10" s="1"/>
  <c r="F950" i="5"/>
  <c r="F554" i="10" s="1"/>
  <c r="F949" i="5"/>
  <c r="F553" i="10" s="1"/>
  <c r="F948" i="5"/>
  <c r="F552" i="10" s="1"/>
  <c r="F947" i="5"/>
  <c r="F551" i="10" s="1"/>
  <c r="F946" i="5"/>
  <c r="F550" i="10" s="1"/>
  <c r="F945" i="5"/>
  <c r="F549" i="10" s="1"/>
  <c r="F944" i="5"/>
  <c r="F548" i="10" s="1"/>
  <c r="F943" i="5"/>
  <c r="F547" i="10" s="1"/>
  <c r="F942" i="5"/>
  <c r="F546" i="10" s="1"/>
  <c r="F941" i="5"/>
  <c r="F545" i="10" s="1"/>
  <c r="F940" i="5"/>
  <c r="F544" i="10" s="1"/>
  <c r="F939" i="5"/>
  <c r="F543" i="10" s="1"/>
  <c r="F938" i="5"/>
  <c r="F542" i="10" s="1"/>
  <c r="F937" i="5"/>
  <c r="F541" i="10" s="1"/>
  <c r="F936" i="5"/>
  <c r="F540" i="10" s="1"/>
  <c r="F935" i="5"/>
  <c r="F539" i="10" s="1"/>
  <c r="F934" i="5"/>
  <c r="F538" i="10" s="1"/>
  <c r="E934" i="5"/>
  <c r="E538" i="10" s="1"/>
  <c r="G538" i="10" s="1"/>
  <c r="F933" i="5"/>
  <c r="F537" i="10" s="1"/>
  <c r="G537" i="10" s="1"/>
  <c r="E932" i="5"/>
  <c r="E536" i="10" s="1"/>
  <c r="E931" i="5"/>
  <c r="E535" i="10" s="1"/>
  <c r="G926" i="5"/>
  <c r="D926" i="5"/>
  <c r="C926" i="5"/>
  <c r="B926" i="5"/>
  <c r="A926" i="5"/>
  <c r="F925" i="5"/>
  <c r="F489" i="10" s="1"/>
  <c r="B925" i="5"/>
  <c r="B489" i="10" s="1"/>
  <c r="F924" i="5"/>
  <c r="F488" i="10" s="1"/>
  <c r="B924" i="5"/>
  <c r="B488" i="10" s="1"/>
  <c r="F923" i="5"/>
  <c r="F487" i="10" s="1"/>
  <c r="B923" i="5"/>
  <c r="B487" i="10" s="1"/>
  <c r="F922" i="5"/>
  <c r="F486" i="10" s="1"/>
  <c r="B922" i="5"/>
  <c r="B486" i="10" s="1"/>
  <c r="F921" i="5"/>
  <c r="F485" i="10" s="1"/>
  <c r="B921" i="5"/>
  <c r="B485" i="10" s="1"/>
  <c r="F920" i="5"/>
  <c r="F484" i="10" s="1"/>
  <c r="B920" i="5"/>
  <c r="B484" i="10" s="1"/>
  <c r="F919" i="5"/>
  <c r="F483" i="10" s="1"/>
  <c r="B919" i="5"/>
  <c r="B483" i="10" s="1"/>
  <c r="F918" i="5"/>
  <c r="F482" i="10" s="1"/>
  <c r="B918" i="5"/>
  <c r="B482" i="10" s="1"/>
  <c r="F917" i="5"/>
  <c r="F481" i="10" s="1"/>
  <c r="B917" i="5"/>
  <c r="B481" i="10" s="1"/>
  <c r="F916" i="5"/>
  <c r="F480" i="10" s="1"/>
  <c r="B916" i="5"/>
  <c r="B480" i="10" s="1"/>
  <c r="F915" i="5"/>
  <c r="F479" i="10" s="1"/>
  <c r="B915" i="5"/>
  <c r="B479" i="10" s="1"/>
  <c r="F914" i="5"/>
  <c r="F478" i="10" s="1"/>
  <c r="B914" i="5"/>
  <c r="B478" i="10" s="1"/>
  <c r="F913" i="5"/>
  <c r="F477" i="10" s="1"/>
  <c r="B913" i="5"/>
  <c r="B477" i="10" s="1"/>
  <c r="F912" i="5"/>
  <c r="F476" i="10" s="1"/>
  <c r="B912" i="5"/>
  <c r="B476" i="10" s="1"/>
  <c r="F911" i="5"/>
  <c r="F475" i="10" s="1"/>
  <c r="B911" i="5"/>
  <c r="B475" i="10" s="1"/>
  <c r="F910" i="5"/>
  <c r="F474" i="10" s="1"/>
  <c r="E910" i="5"/>
  <c r="E474" i="10" s="1"/>
  <c r="B910" i="5"/>
  <c r="B474" i="10" s="1"/>
  <c r="F909" i="5"/>
  <c r="F473" i="10" s="1"/>
  <c r="E909" i="5"/>
  <c r="E473" i="10" s="1"/>
  <c r="B909" i="5"/>
  <c r="B473" i="10" s="1"/>
  <c r="F908" i="5"/>
  <c r="F472" i="10" s="1"/>
  <c r="B908" i="5"/>
  <c r="B472" i="10" s="1"/>
  <c r="F907" i="5"/>
  <c r="F471" i="10" s="1"/>
  <c r="B907" i="5"/>
  <c r="B471" i="10" s="1"/>
  <c r="F906" i="5"/>
  <c r="F470" i="10" s="1"/>
  <c r="B906" i="5"/>
  <c r="B470" i="10" s="1"/>
  <c r="F905" i="5"/>
  <c r="F469" i="10" s="1"/>
  <c r="B905" i="5"/>
  <c r="B469" i="10" s="1"/>
  <c r="F904" i="5"/>
  <c r="F468" i="10" s="1"/>
  <c r="B904" i="5"/>
  <c r="B468" i="10" s="1"/>
  <c r="F903" i="5"/>
  <c r="F467" i="10" s="1"/>
  <c r="B903" i="5"/>
  <c r="B467" i="10" s="1"/>
  <c r="F902" i="5"/>
  <c r="F466" i="10" s="1"/>
  <c r="B902" i="5"/>
  <c r="B466" i="10" s="1"/>
  <c r="F901" i="5"/>
  <c r="F465" i="10" s="1"/>
  <c r="B901" i="5"/>
  <c r="B465" i="10" s="1"/>
  <c r="F900" i="5"/>
  <c r="F464" i="10" s="1"/>
  <c r="B900" i="5"/>
  <c r="B464" i="10" s="1"/>
  <c r="F899" i="5"/>
  <c r="F463" i="10" s="1"/>
  <c r="B899" i="5"/>
  <c r="B463" i="10" s="1"/>
  <c r="F898" i="5"/>
  <c r="F462" i="10" s="1"/>
  <c r="B898" i="5"/>
  <c r="B462" i="10" s="1"/>
  <c r="F897" i="5"/>
  <c r="F461" i="10" s="1"/>
  <c r="B897" i="5"/>
  <c r="B461" i="10" s="1"/>
  <c r="F896" i="5"/>
  <c r="F460" i="10" s="1"/>
  <c r="B896" i="5"/>
  <c r="B460" i="10" s="1"/>
  <c r="F895" i="5"/>
  <c r="F459" i="10" s="1"/>
  <c r="B895" i="5"/>
  <c r="B459" i="10" s="1"/>
  <c r="F894" i="5"/>
  <c r="F458" i="10" s="1"/>
  <c r="B894" i="5"/>
  <c r="B458" i="10" s="1"/>
  <c r="F893" i="5"/>
  <c r="F457" i="10" s="1"/>
  <c r="B893" i="5"/>
  <c r="B457" i="10" s="1"/>
  <c r="F892" i="5"/>
  <c r="F456" i="10" s="1"/>
  <c r="E892" i="5"/>
  <c r="E456" i="10" s="1"/>
  <c r="B892" i="5"/>
  <c r="B456" i="10" s="1"/>
  <c r="F891" i="5"/>
  <c r="F455" i="10" s="1"/>
  <c r="G455" i="10" s="1"/>
  <c r="B891" i="5"/>
  <c r="B455" i="10" s="1"/>
  <c r="E890" i="5"/>
  <c r="E454" i="10" s="1"/>
  <c r="B890" i="5"/>
  <c r="B454" i="10" s="1"/>
  <c r="E889" i="5"/>
  <c r="E453" i="10" s="1"/>
  <c r="B889" i="5"/>
  <c r="B453" i="10" s="1"/>
  <c r="E888" i="5"/>
  <c r="E452" i="10" s="1"/>
  <c r="B888" i="5"/>
  <c r="B452" i="10" s="1"/>
  <c r="E887" i="5"/>
  <c r="E451" i="10" s="1"/>
  <c r="B887" i="5"/>
  <c r="B451" i="10" s="1"/>
  <c r="E886" i="5"/>
  <c r="E450" i="10" s="1"/>
  <c r="B886" i="5"/>
  <c r="B450" i="10" s="1"/>
  <c r="F885" i="5"/>
  <c r="E885" i="5"/>
  <c r="D885" i="5"/>
  <c r="C885" i="5"/>
  <c r="B885" i="5"/>
  <c r="B884" i="5"/>
  <c r="A884" i="5"/>
  <c r="B883" i="5"/>
  <c r="A883" i="5"/>
  <c r="B882" i="5"/>
  <c r="B881" i="5"/>
  <c r="B880" i="5"/>
  <c r="A880" i="5"/>
  <c r="F879" i="5"/>
  <c r="E879" i="5"/>
  <c r="D879" i="5"/>
  <c r="B879" i="5"/>
  <c r="A879" i="5"/>
  <c r="F878" i="5"/>
  <c r="B878" i="5"/>
  <c r="F877" i="5"/>
  <c r="E877" i="5"/>
  <c r="D877" i="5"/>
  <c r="B877" i="5"/>
  <c r="A877" i="5"/>
  <c r="E874" i="5"/>
  <c r="E1014" i="5" s="1"/>
  <c r="E698" i="10" s="1"/>
  <c r="E873" i="5"/>
  <c r="E1013" i="5" s="1"/>
  <c r="E697" i="10" s="1"/>
  <c r="E872" i="5"/>
  <c r="E1012" i="5" s="1"/>
  <c r="E696" i="10" s="1"/>
  <c r="E870" i="5"/>
  <c r="E972" i="5" s="1"/>
  <c r="E616" i="10" s="1"/>
  <c r="E869" i="5"/>
  <c r="E868" i="5"/>
  <c r="E866" i="5"/>
  <c r="E930" i="5" s="1"/>
  <c r="E534" i="10" s="1"/>
  <c r="E865" i="5"/>
  <c r="E929" i="5" s="1"/>
  <c r="E533" i="10" s="1"/>
  <c r="E864" i="5"/>
  <c r="E862" i="5"/>
  <c r="E861" i="5"/>
  <c r="E860" i="5"/>
  <c r="C856" i="5"/>
  <c r="P856" i="5" s="1"/>
  <c r="D854" i="5"/>
  <c r="D853" i="5"/>
  <c r="D852" i="5"/>
  <c r="D851" i="5"/>
  <c r="Q849" i="5"/>
  <c r="E849" i="5"/>
  <c r="D849" i="5"/>
  <c r="C849" i="5"/>
  <c r="P849" i="5" s="1"/>
  <c r="D848" i="5"/>
  <c r="W847" i="5"/>
  <c r="U847" i="5"/>
  <c r="D847" i="5"/>
  <c r="W846" i="5"/>
  <c r="U846" i="5"/>
  <c r="U848" i="5" s="1"/>
  <c r="E831" i="5" s="1"/>
  <c r="E405" i="10" s="1"/>
  <c r="G405" i="10" s="1"/>
  <c r="D846" i="5"/>
  <c r="D844" i="5"/>
  <c r="Q843" i="5"/>
  <c r="E843" i="5"/>
  <c r="D843" i="5"/>
  <c r="C843" i="5"/>
  <c r="P843" i="5" s="1"/>
  <c r="D842" i="5"/>
  <c r="E841" i="5"/>
  <c r="D841" i="5"/>
  <c r="C841" i="5"/>
  <c r="S841" i="5" s="1"/>
  <c r="E839" i="5"/>
  <c r="D839" i="5"/>
  <c r="C839" i="5"/>
  <c r="S839" i="5" s="1"/>
  <c r="W838" i="5"/>
  <c r="U838" i="5"/>
  <c r="Q838" i="5"/>
  <c r="E838" i="5"/>
  <c r="D838" i="5"/>
  <c r="C838" i="5"/>
  <c r="P838" i="5" s="1"/>
  <c r="W837" i="5"/>
  <c r="E828" i="5" s="1"/>
  <c r="U837" i="5"/>
  <c r="E837" i="5"/>
  <c r="D837" i="5"/>
  <c r="C837" i="5"/>
  <c r="S837" i="5" s="1"/>
  <c r="W836" i="5"/>
  <c r="U836" i="5"/>
  <c r="Q836" i="5"/>
  <c r="E836" i="5"/>
  <c r="D836" i="5"/>
  <c r="C836" i="5"/>
  <c r="P836" i="5" s="1"/>
  <c r="E834" i="5"/>
  <c r="C854" i="5" s="1"/>
  <c r="H833" i="5"/>
  <c r="E833" i="5"/>
  <c r="E407" i="10" s="1"/>
  <c r="G407" i="10" s="1"/>
  <c r="E832" i="5"/>
  <c r="E406" i="10" s="1"/>
  <c r="G406" i="10" s="1"/>
  <c r="D832" i="5"/>
  <c r="D406" i="10" s="1"/>
  <c r="D831" i="5"/>
  <c r="D405" i="10" s="1"/>
  <c r="E830" i="5"/>
  <c r="E404" i="10" s="1"/>
  <c r="G404" i="10" s="1"/>
  <c r="D827" i="5"/>
  <c r="D401" i="10" s="1"/>
  <c r="D823" i="5"/>
  <c r="D397" i="10" s="1"/>
  <c r="F819" i="5"/>
  <c r="F393" i="10" s="1"/>
  <c r="F818" i="5"/>
  <c r="F392" i="10" s="1"/>
  <c r="D818" i="5"/>
  <c r="D392" i="10" s="1"/>
  <c r="F817" i="5"/>
  <c r="F391" i="10" s="1"/>
  <c r="F816" i="5"/>
  <c r="F390" i="10" s="1"/>
  <c r="F815" i="5"/>
  <c r="F389" i="10" s="1"/>
  <c r="F814" i="5"/>
  <c r="F388" i="10" s="1"/>
  <c r="D814" i="5"/>
  <c r="D388" i="10" s="1"/>
  <c r="F813" i="5"/>
  <c r="F387" i="10" s="1"/>
  <c r="F812" i="5"/>
  <c r="F386" i="10" s="1"/>
  <c r="F811" i="5"/>
  <c r="F385" i="10" s="1"/>
  <c r="F810" i="5"/>
  <c r="F384" i="10" s="1"/>
  <c r="D810" i="5"/>
  <c r="D384" i="10" s="1"/>
  <c r="F809" i="5"/>
  <c r="F383" i="10" s="1"/>
  <c r="F808" i="5"/>
  <c r="F382" i="10" s="1"/>
  <c r="F807" i="5"/>
  <c r="F381" i="10" s="1"/>
  <c r="F806" i="5"/>
  <c r="F380" i="10" s="1"/>
  <c r="D806" i="5"/>
  <c r="D380" i="10" s="1"/>
  <c r="F805" i="5"/>
  <c r="F379" i="10" s="1"/>
  <c r="F804" i="5"/>
  <c r="F378" i="10" s="1"/>
  <c r="F803" i="5"/>
  <c r="F377" i="10" s="1"/>
  <c r="F802" i="5"/>
  <c r="F376" i="10" s="1"/>
  <c r="D802" i="5"/>
  <c r="D376" i="10" s="1"/>
  <c r="F801" i="5"/>
  <c r="F375" i="10" s="1"/>
  <c r="F800" i="5"/>
  <c r="F374" i="10" s="1"/>
  <c r="F799" i="5"/>
  <c r="F373" i="10" s="1"/>
  <c r="F798" i="5"/>
  <c r="F372" i="10" s="1"/>
  <c r="D798" i="5"/>
  <c r="D372" i="10" s="1"/>
  <c r="F797" i="5"/>
  <c r="F371" i="10" s="1"/>
  <c r="F796" i="5"/>
  <c r="F370" i="10" s="1"/>
  <c r="F795" i="5"/>
  <c r="F369" i="10" s="1"/>
  <c r="F794" i="5"/>
  <c r="F368" i="10" s="1"/>
  <c r="D794" i="5"/>
  <c r="D368" i="10" s="1"/>
  <c r="F793" i="5"/>
  <c r="F367" i="10" s="1"/>
  <c r="F792" i="5"/>
  <c r="F366" i="10" s="1"/>
  <c r="F791" i="5"/>
  <c r="F365" i="10" s="1"/>
  <c r="F790" i="5"/>
  <c r="F364" i="10" s="1"/>
  <c r="D790" i="5"/>
  <c r="D364" i="10" s="1"/>
  <c r="F789" i="5"/>
  <c r="F363" i="10" s="1"/>
  <c r="F788" i="5"/>
  <c r="F362" i="10" s="1"/>
  <c r="F787" i="5"/>
  <c r="F361" i="10" s="1"/>
  <c r="F786" i="5"/>
  <c r="F360" i="10" s="1"/>
  <c r="D786" i="5"/>
  <c r="D360" i="10" s="1"/>
  <c r="F785" i="5"/>
  <c r="F359" i="10" s="1"/>
  <c r="F784" i="5"/>
  <c r="F358" i="10" s="1"/>
  <c r="F783" i="5"/>
  <c r="F357" i="10" s="1"/>
  <c r="F782" i="5"/>
  <c r="F356" i="10" s="1"/>
  <c r="D782" i="5"/>
  <c r="D356" i="10" s="1"/>
  <c r="F781" i="5"/>
  <c r="F355" i="10" s="1"/>
  <c r="F780" i="5"/>
  <c r="F354" i="10" s="1"/>
  <c r="F779" i="5"/>
  <c r="F353" i="10" s="1"/>
  <c r="E779" i="5"/>
  <c r="E353" i="10" s="1"/>
  <c r="G353" i="10" s="1"/>
  <c r="F778" i="5"/>
  <c r="F352" i="10" s="1"/>
  <c r="E778" i="5"/>
  <c r="E352" i="10" s="1"/>
  <c r="D778" i="5"/>
  <c r="D352" i="10" s="1"/>
  <c r="E777" i="5"/>
  <c r="E351" i="10" s="1"/>
  <c r="E776" i="5"/>
  <c r="E350" i="10" s="1"/>
  <c r="E775" i="5"/>
  <c r="E349" i="10" s="1"/>
  <c r="D774" i="5"/>
  <c r="D348" i="10" s="1"/>
  <c r="F772" i="5"/>
  <c r="F346" i="10" s="1"/>
  <c r="F771" i="5"/>
  <c r="F345" i="10" s="1"/>
  <c r="F770" i="5"/>
  <c r="F344" i="10" s="1"/>
  <c r="D770" i="5"/>
  <c r="D344" i="10" s="1"/>
  <c r="F769" i="5"/>
  <c r="F343" i="10" s="1"/>
  <c r="F768" i="5"/>
  <c r="F342" i="10" s="1"/>
  <c r="F767" i="5"/>
  <c r="F341" i="10" s="1"/>
  <c r="F766" i="5"/>
  <c r="F340" i="10" s="1"/>
  <c r="D766" i="5"/>
  <c r="D340" i="10" s="1"/>
  <c r="F765" i="5"/>
  <c r="F339" i="10" s="1"/>
  <c r="F764" i="5"/>
  <c r="F338" i="10" s="1"/>
  <c r="F763" i="5"/>
  <c r="F337" i="10" s="1"/>
  <c r="F762" i="5"/>
  <c r="F336" i="10" s="1"/>
  <c r="D762" i="5"/>
  <c r="D336" i="10" s="1"/>
  <c r="F761" i="5"/>
  <c r="F335" i="10" s="1"/>
  <c r="F760" i="5"/>
  <c r="F334" i="10" s="1"/>
  <c r="F759" i="5"/>
  <c r="F333" i="10" s="1"/>
  <c r="F758" i="5"/>
  <c r="F332" i="10" s="1"/>
  <c r="D758" i="5"/>
  <c r="D332" i="10" s="1"/>
  <c r="F757" i="5"/>
  <c r="F331" i="10" s="1"/>
  <c r="F756" i="5"/>
  <c r="F330" i="10" s="1"/>
  <c r="F755" i="5"/>
  <c r="F329" i="10" s="1"/>
  <c r="F754" i="5"/>
  <c r="F328" i="10" s="1"/>
  <c r="D754" i="5"/>
  <c r="D328" i="10" s="1"/>
  <c r="F753" i="5"/>
  <c r="F327" i="10" s="1"/>
  <c r="F752" i="5"/>
  <c r="F326" i="10" s="1"/>
  <c r="F751" i="5"/>
  <c r="F325" i="10" s="1"/>
  <c r="F750" i="5"/>
  <c r="F324" i="10" s="1"/>
  <c r="D750" i="5"/>
  <c r="D324" i="10" s="1"/>
  <c r="F749" i="5"/>
  <c r="F323" i="10" s="1"/>
  <c r="F748" i="5"/>
  <c r="F322" i="10" s="1"/>
  <c r="F747" i="5"/>
  <c r="F321" i="10" s="1"/>
  <c r="F746" i="5"/>
  <c r="F320" i="10" s="1"/>
  <c r="D746" i="5"/>
  <c r="D320" i="10" s="1"/>
  <c r="F745" i="5"/>
  <c r="F319" i="10" s="1"/>
  <c r="F744" i="5"/>
  <c r="F318" i="10" s="1"/>
  <c r="F743" i="5"/>
  <c r="F317" i="10" s="1"/>
  <c r="F742" i="5"/>
  <c r="F316" i="10" s="1"/>
  <c r="D742" i="5"/>
  <c r="D316" i="10" s="1"/>
  <c r="F741" i="5"/>
  <c r="F315" i="10" s="1"/>
  <c r="F740" i="5"/>
  <c r="F314" i="10" s="1"/>
  <c r="F739" i="5"/>
  <c r="F313" i="10" s="1"/>
  <c r="F738" i="5"/>
  <c r="F312" i="10" s="1"/>
  <c r="D738" i="5"/>
  <c r="D312" i="10" s="1"/>
  <c r="F737" i="5"/>
  <c r="F311" i="10" s="1"/>
  <c r="F736" i="5"/>
  <c r="F310" i="10" s="1"/>
  <c r="F735" i="5"/>
  <c r="F309" i="10" s="1"/>
  <c r="F734" i="5"/>
  <c r="F308" i="10" s="1"/>
  <c r="D734" i="5"/>
  <c r="D308" i="10" s="1"/>
  <c r="F733" i="5"/>
  <c r="F307" i="10" s="1"/>
  <c r="F732" i="5"/>
  <c r="F306" i="10" s="1"/>
  <c r="F731" i="5"/>
  <c r="F305" i="10" s="1"/>
  <c r="E731" i="5"/>
  <c r="E305" i="10" s="1"/>
  <c r="G305" i="10" s="1"/>
  <c r="F730" i="5"/>
  <c r="F304" i="10" s="1"/>
  <c r="E730" i="5"/>
  <c r="E304" i="10" s="1"/>
  <c r="D730" i="5"/>
  <c r="D304" i="10" s="1"/>
  <c r="E729" i="5"/>
  <c r="E303" i="10" s="1"/>
  <c r="E728" i="5"/>
  <c r="E302" i="10" s="1"/>
  <c r="E727" i="5"/>
  <c r="E301" i="10" s="1"/>
  <c r="D726" i="5"/>
  <c r="D300" i="10" s="1"/>
  <c r="F724" i="5"/>
  <c r="F298" i="10" s="1"/>
  <c r="D722" i="5"/>
  <c r="D296" i="10" s="1"/>
  <c r="E719" i="5"/>
  <c r="E293" i="10" s="1"/>
  <c r="D718" i="5"/>
  <c r="D292" i="10" s="1"/>
  <c r="D714" i="5"/>
  <c r="D288" i="10" s="1"/>
  <c r="D710" i="5"/>
  <c r="D284" i="10" s="1"/>
  <c r="D706" i="5"/>
  <c r="D280" i="10" s="1"/>
  <c r="D702" i="5"/>
  <c r="D276" i="10" s="1"/>
  <c r="D698" i="5"/>
  <c r="D272" i="10" s="1"/>
  <c r="C695" i="5"/>
  <c r="C269" i="10" s="1"/>
  <c r="D694" i="5"/>
  <c r="D268" i="10" s="1"/>
  <c r="C691" i="5"/>
  <c r="C265" i="10" s="1"/>
  <c r="D690" i="5"/>
  <c r="D264" i="10" s="1"/>
  <c r="C687" i="5"/>
  <c r="C261" i="10" s="1"/>
  <c r="E686" i="5"/>
  <c r="E260" i="10" s="1"/>
  <c r="D686" i="5"/>
  <c r="D260" i="10" s="1"/>
  <c r="C683" i="5"/>
  <c r="C257" i="10" s="1"/>
  <c r="D682" i="5"/>
  <c r="D256" i="10" s="1"/>
  <c r="C679" i="5"/>
  <c r="C253" i="10" s="1"/>
  <c r="D678" i="5"/>
  <c r="D252" i="10" s="1"/>
  <c r="C675" i="5"/>
  <c r="C249" i="10" s="1"/>
  <c r="D674" i="5"/>
  <c r="D248" i="10" s="1"/>
  <c r="C671" i="5"/>
  <c r="C245" i="10" s="1"/>
  <c r="D670" i="5"/>
  <c r="D244" i="10" s="1"/>
  <c r="C667" i="5"/>
  <c r="C241" i="10" s="1"/>
  <c r="D666" i="5"/>
  <c r="D240" i="10" s="1"/>
  <c r="C663" i="5"/>
  <c r="C237" i="10" s="1"/>
  <c r="D662" i="5"/>
  <c r="D236" i="10" s="1"/>
  <c r="C659" i="5"/>
  <c r="C233" i="10" s="1"/>
  <c r="D658" i="5"/>
  <c r="D232" i="10" s="1"/>
  <c r="C655" i="5"/>
  <c r="C229" i="10" s="1"/>
  <c r="D654" i="5"/>
  <c r="D228" i="10" s="1"/>
  <c r="E652" i="5"/>
  <c r="E226" i="10" s="1"/>
  <c r="E650" i="5"/>
  <c r="E224" i="10" s="1"/>
  <c r="D647" i="5"/>
  <c r="D221" i="10" s="1"/>
  <c r="F646" i="5"/>
  <c r="F220" i="10" s="1"/>
  <c r="F645" i="5"/>
  <c r="F219" i="10" s="1"/>
  <c r="C644" i="5"/>
  <c r="C218" i="10" s="1"/>
  <c r="D643" i="5"/>
  <c r="D217" i="10" s="1"/>
  <c r="C640" i="5"/>
  <c r="C214" i="10" s="1"/>
  <c r="D639" i="5"/>
  <c r="D213" i="10" s="1"/>
  <c r="E637" i="5"/>
  <c r="E211" i="10" s="1"/>
  <c r="D635" i="5"/>
  <c r="F684" i="5" s="1"/>
  <c r="F258" i="10" s="1"/>
  <c r="E631" i="5"/>
  <c r="L629" i="5"/>
  <c r="L628" i="5"/>
  <c r="E627" i="5"/>
  <c r="K625" i="5"/>
  <c r="J625" i="5"/>
  <c r="J624" i="5"/>
  <c r="K623" i="5"/>
  <c r="J623" i="5"/>
  <c r="J622" i="5"/>
  <c r="D622" i="5"/>
  <c r="J621" i="5"/>
  <c r="D621" i="5"/>
  <c r="E638" i="5" s="1"/>
  <c r="E212" i="10" s="1"/>
  <c r="J620" i="5"/>
  <c r="D822" i="5" s="1"/>
  <c r="D396" i="10" s="1"/>
  <c r="F596" i="5"/>
  <c r="F743" i="10" s="1"/>
  <c r="B596" i="5"/>
  <c r="B743" i="10" s="1"/>
  <c r="A596" i="5"/>
  <c r="A743" i="10" s="1"/>
  <c r="F595" i="5"/>
  <c r="F742" i="10" s="1"/>
  <c r="B595" i="5"/>
  <c r="B742" i="10" s="1"/>
  <c r="A595" i="5"/>
  <c r="A742" i="10" s="1"/>
  <c r="B594" i="5"/>
  <c r="B741" i="10" s="1"/>
  <c r="A594" i="5"/>
  <c r="A741" i="10" s="1"/>
  <c r="F593" i="5"/>
  <c r="F739" i="10" s="1"/>
  <c r="F592" i="5"/>
  <c r="F738" i="10" s="1"/>
  <c r="B590" i="5"/>
  <c r="B589" i="5"/>
  <c r="B694" i="10" s="1"/>
  <c r="A589" i="5"/>
  <c r="A694" i="10" s="1"/>
  <c r="B588" i="5"/>
  <c r="B693" i="10" s="1"/>
  <c r="A588" i="5"/>
  <c r="A693" i="10" s="1"/>
  <c r="B587" i="5"/>
  <c r="B692" i="10" s="1"/>
  <c r="A587" i="5"/>
  <c r="A692" i="10" s="1"/>
  <c r="B586" i="5"/>
  <c r="B691" i="10" s="1"/>
  <c r="A586" i="5"/>
  <c r="A691" i="10" s="1"/>
  <c r="B585" i="5"/>
  <c r="B690" i="10" s="1"/>
  <c r="A585" i="5"/>
  <c r="A690" i="10" s="1"/>
  <c r="B584" i="5"/>
  <c r="B689" i="10" s="1"/>
  <c r="A584" i="5"/>
  <c r="A689" i="10" s="1"/>
  <c r="B583" i="5"/>
  <c r="B688" i="10" s="1"/>
  <c r="A583" i="5"/>
  <c r="A688" i="10" s="1"/>
  <c r="B582" i="5"/>
  <c r="B687" i="10" s="1"/>
  <c r="A582" i="5"/>
  <c r="A687" i="10" s="1"/>
  <c r="B581" i="5"/>
  <c r="B686" i="10" s="1"/>
  <c r="A581" i="5"/>
  <c r="A686" i="10" s="1"/>
  <c r="B580" i="5"/>
  <c r="B685" i="10" s="1"/>
  <c r="A580" i="5"/>
  <c r="A685" i="10" s="1"/>
  <c r="B579" i="5"/>
  <c r="B684" i="10" s="1"/>
  <c r="A579" i="5"/>
  <c r="A684" i="10" s="1"/>
  <c r="B578" i="5"/>
  <c r="B683" i="10" s="1"/>
  <c r="A578" i="5"/>
  <c r="A683" i="10" s="1"/>
  <c r="B577" i="5"/>
  <c r="B682" i="10" s="1"/>
  <c r="A577" i="5"/>
  <c r="A682" i="10" s="1"/>
  <c r="B576" i="5"/>
  <c r="B681" i="10" s="1"/>
  <c r="A576" i="5"/>
  <c r="A681" i="10" s="1"/>
  <c r="B575" i="5"/>
  <c r="B680" i="10" s="1"/>
  <c r="A575" i="5"/>
  <c r="A680" i="10" s="1"/>
  <c r="B574" i="5"/>
  <c r="B679" i="10" s="1"/>
  <c r="A574" i="5"/>
  <c r="A679" i="10" s="1"/>
  <c r="E573" i="5"/>
  <c r="E678" i="10" s="1"/>
  <c r="B573" i="5"/>
  <c r="B678" i="10" s="1"/>
  <c r="A573" i="5"/>
  <c r="A678" i="10" s="1"/>
  <c r="B572" i="5"/>
  <c r="B677" i="10" s="1"/>
  <c r="A572" i="5"/>
  <c r="A677" i="10" s="1"/>
  <c r="B571" i="5"/>
  <c r="B676" i="10" s="1"/>
  <c r="A571" i="5"/>
  <c r="A676" i="10" s="1"/>
  <c r="B570" i="5"/>
  <c r="B675" i="10" s="1"/>
  <c r="A570" i="5"/>
  <c r="A675" i="10" s="1"/>
  <c r="B569" i="5"/>
  <c r="B674" i="10" s="1"/>
  <c r="A569" i="5"/>
  <c r="A674" i="10" s="1"/>
  <c r="B568" i="5"/>
  <c r="B673" i="10" s="1"/>
  <c r="A568" i="5"/>
  <c r="A673" i="10" s="1"/>
  <c r="B567" i="5"/>
  <c r="B672" i="10" s="1"/>
  <c r="A567" i="5"/>
  <c r="A672" i="10" s="1"/>
  <c r="B566" i="5"/>
  <c r="B671" i="10" s="1"/>
  <c r="A566" i="5"/>
  <c r="A671" i="10" s="1"/>
  <c r="B565" i="5"/>
  <c r="B670" i="10" s="1"/>
  <c r="A565" i="5"/>
  <c r="A670" i="10" s="1"/>
  <c r="B564" i="5"/>
  <c r="B669" i="10" s="1"/>
  <c r="A564" i="5"/>
  <c r="A669" i="10" s="1"/>
  <c r="B563" i="5"/>
  <c r="B668" i="10" s="1"/>
  <c r="A563" i="5"/>
  <c r="A668" i="10" s="1"/>
  <c r="B562" i="5"/>
  <c r="B667" i="10" s="1"/>
  <c r="A562" i="5"/>
  <c r="A667" i="10" s="1"/>
  <c r="B561" i="5"/>
  <c r="B666" i="10" s="1"/>
  <c r="A561" i="5"/>
  <c r="A666" i="10" s="1"/>
  <c r="B560" i="5"/>
  <c r="B665" i="10" s="1"/>
  <c r="A560" i="5"/>
  <c r="A665" i="10" s="1"/>
  <c r="B559" i="5"/>
  <c r="B664" i="10" s="1"/>
  <c r="A559" i="5"/>
  <c r="A664" i="10" s="1"/>
  <c r="B558" i="5"/>
  <c r="B663" i="10" s="1"/>
  <c r="A558" i="5"/>
  <c r="A663" i="10" s="1"/>
  <c r="B557" i="5"/>
  <c r="B662" i="10" s="1"/>
  <c r="A557" i="5"/>
  <c r="A662" i="10" s="1"/>
  <c r="E556" i="5"/>
  <c r="E661" i="10" s="1"/>
  <c r="B556" i="5"/>
  <c r="B661" i="10" s="1"/>
  <c r="A556" i="5"/>
  <c r="A661" i="10" s="1"/>
  <c r="E555" i="5"/>
  <c r="E660" i="10" s="1"/>
  <c r="G660" i="10" s="1"/>
  <c r="B555" i="5"/>
  <c r="B660" i="10" s="1"/>
  <c r="A555" i="5"/>
  <c r="A660" i="10" s="1"/>
  <c r="B554" i="5"/>
  <c r="B659" i="10" s="1"/>
  <c r="A554" i="5"/>
  <c r="A659" i="10" s="1"/>
  <c r="B553" i="5"/>
  <c r="B658" i="10" s="1"/>
  <c r="A553" i="5"/>
  <c r="A658" i="10" s="1"/>
  <c r="B552" i="5"/>
  <c r="B657" i="10" s="1"/>
  <c r="A552" i="5"/>
  <c r="A657" i="10" s="1"/>
  <c r="B551" i="5"/>
  <c r="B656" i="10" s="1"/>
  <c r="A551" i="5"/>
  <c r="A656" i="10" s="1"/>
  <c r="E550" i="5"/>
  <c r="E655" i="10" s="1"/>
  <c r="B550" i="5"/>
  <c r="B655" i="10" s="1"/>
  <c r="A550" i="5"/>
  <c r="A655" i="10" s="1"/>
  <c r="D549" i="5"/>
  <c r="D1011" i="5" s="1"/>
  <c r="G548" i="5"/>
  <c r="F546" i="5"/>
  <c r="F611" i="10" s="1"/>
  <c r="B546" i="5"/>
  <c r="B611" i="10" s="1"/>
  <c r="B545" i="5"/>
  <c r="B610" i="10" s="1"/>
  <c r="A545" i="5"/>
  <c r="A610" i="10" s="1"/>
  <c r="A544" i="5"/>
  <c r="A609" i="10" s="1"/>
  <c r="F542" i="5"/>
  <c r="F607" i="10" s="1"/>
  <c r="B542" i="5"/>
  <c r="B607" i="10" s="1"/>
  <c r="B541" i="5"/>
  <c r="B606" i="10" s="1"/>
  <c r="A541" i="5"/>
  <c r="A606" i="10" s="1"/>
  <c r="A540" i="5"/>
  <c r="A605" i="10" s="1"/>
  <c r="F538" i="5"/>
  <c r="F603" i="10" s="1"/>
  <c r="B538" i="5"/>
  <c r="B603" i="10" s="1"/>
  <c r="B537" i="5"/>
  <c r="B602" i="10" s="1"/>
  <c r="A537" i="5"/>
  <c r="A602" i="10" s="1"/>
  <c r="A536" i="5"/>
  <c r="A601" i="10" s="1"/>
  <c r="F534" i="5"/>
  <c r="F599" i="10" s="1"/>
  <c r="B534" i="5"/>
  <c r="B599" i="10" s="1"/>
  <c r="B533" i="5"/>
  <c r="B598" i="10" s="1"/>
  <c r="A533" i="5"/>
  <c r="A598" i="10" s="1"/>
  <c r="A532" i="5"/>
  <c r="A597" i="10" s="1"/>
  <c r="E531" i="5"/>
  <c r="E596" i="10" s="1"/>
  <c r="F530" i="5"/>
  <c r="F595" i="10" s="1"/>
  <c r="B530" i="5"/>
  <c r="B595" i="10" s="1"/>
  <c r="B529" i="5"/>
  <c r="B594" i="10" s="1"/>
  <c r="A529" i="5"/>
  <c r="A594" i="10" s="1"/>
  <c r="A528" i="5"/>
  <c r="A593" i="10" s="1"/>
  <c r="F526" i="5"/>
  <c r="F591" i="10" s="1"/>
  <c r="B526" i="5"/>
  <c r="B591" i="10" s="1"/>
  <c r="B525" i="5"/>
  <c r="B590" i="10" s="1"/>
  <c r="A525" i="5"/>
  <c r="A590" i="10" s="1"/>
  <c r="A524" i="5"/>
  <c r="A589" i="10" s="1"/>
  <c r="F522" i="5"/>
  <c r="F587" i="10" s="1"/>
  <c r="B522" i="5"/>
  <c r="B587" i="10" s="1"/>
  <c r="B521" i="5"/>
  <c r="B586" i="10" s="1"/>
  <c r="A521" i="5"/>
  <c r="A586" i="10" s="1"/>
  <c r="A520" i="5"/>
  <c r="A585" i="10" s="1"/>
  <c r="F518" i="5"/>
  <c r="F583" i="10" s="1"/>
  <c r="B518" i="5"/>
  <c r="B583" i="10" s="1"/>
  <c r="B517" i="5"/>
  <c r="B582" i="10" s="1"/>
  <c r="A517" i="5"/>
  <c r="A582" i="10" s="1"/>
  <c r="A516" i="5"/>
  <c r="A581" i="10" s="1"/>
  <c r="E515" i="5"/>
  <c r="E580" i="10" s="1"/>
  <c r="F514" i="5"/>
  <c r="F579" i="10" s="1"/>
  <c r="E514" i="5"/>
  <c r="E579" i="10" s="1"/>
  <c r="B514" i="5"/>
  <c r="B579" i="10" s="1"/>
  <c r="F513" i="5"/>
  <c r="F578" i="10" s="1"/>
  <c r="E513" i="5"/>
  <c r="E578" i="10" s="1"/>
  <c r="G578" i="10" s="1"/>
  <c r="A513" i="5"/>
  <c r="A578" i="10" s="1"/>
  <c r="E512" i="5"/>
  <c r="E577" i="10" s="1"/>
  <c r="E511" i="5"/>
  <c r="E576" i="10" s="1"/>
  <c r="A511" i="5"/>
  <c r="A576" i="10" s="1"/>
  <c r="B510" i="5"/>
  <c r="B575" i="10" s="1"/>
  <c r="A509" i="5"/>
  <c r="A574" i="10" s="1"/>
  <c r="E508" i="5"/>
  <c r="E573" i="10" s="1"/>
  <c r="B508" i="5"/>
  <c r="B573" i="10" s="1"/>
  <c r="F507" i="5"/>
  <c r="F969" i="5" s="1"/>
  <c r="D507" i="5"/>
  <c r="D969" i="5" s="1"/>
  <c r="B507" i="5"/>
  <c r="B969" i="5" s="1"/>
  <c r="G506" i="5"/>
  <c r="B505" i="5"/>
  <c r="B530" i="10" s="1"/>
  <c r="A505" i="5"/>
  <c r="A530" i="10" s="1"/>
  <c r="F504" i="5"/>
  <c r="F529" i="10" s="1"/>
  <c r="B504" i="5"/>
  <c r="B529" i="10" s="1"/>
  <c r="A504" i="5"/>
  <c r="A529" i="10" s="1"/>
  <c r="B503" i="5"/>
  <c r="B528" i="10" s="1"/>
  <c r="A503" i="5"/>
  <c r="A528" i="10" s="1"/>
  <c r="F502" i="5"/>
  <c r="F527" i="10" s="1"/>
  <c r="B502" i="5"/>
  <c r="B527" i="10" s="1"/>
  <c r="A502" i="5"/>
  <c r="A527" i="10" s="1"/>
  <c r="B501" i="5"/>
  <c r="B526" i="10" s="1"/>
  <c r="A501" i="5"/>
  <c r="A526" i="10" s="1"/>
  <c r="F500" i="5"/>
  <c r="F525" i="10" s="1"/>
  <c r="B500" i="5"/>
  <c r="B525" i="10" s="1"/>
  <c r="A500" i="5"/>
  <c r="A525" i="10" s="1"/>
  <c r="B499" i="5"/>
  <c r="B524" i="10" s="1"/>
  <c r="A499" i="5"/>
  <c r="A524" i="10" s="1"/>
  <c r="F498" i="5"/>
  <c r="F523" i="10" s="1"/>
  <c r="B498" i="5"/>
  <c r="B523" i="10" s="1"/>
  <c r="A498" i="5"/>
  <c r="A523" i="10" s="1"/>
  <c r="B497" i="5"/>
  <c r="B522" i="10" s="1"/>
  <c r="A497" i="5"/>
  <c r="A522" i="10" s="1"/>
  <c r="F496" i="5"/>
  <c r="F521" i="10" s="1"/>
  <c r="B496" i="5"/>
  <c r="B521" i="10" s="1"/>
  <c r="A496" i="5"/>
  <c r="A521" i="10" s="1"/>
  <c r="B495" i="5"/>
  <c r="B520" i="10" s="1"/>
  <c r="A495" i="5"/>
  <c r="A520" i="10" s="1"/>
  <c r="F494" i="5"/>
  <c r="F519" i="10" s="1"/>
  <c r="B494" i="5"/>
  <c r="B519" i="10" s="1"/>
  <c r="A494" i="5"/>
  <c r="A519" i="10" s="1"/>
  <c r="B493" i="5"/>
  <c r="B518" i="10" s="1"/>
  <c r="A493" i="5"/>
  <c r="A518" i="10" s="1"/>
  <c r="F492" i="5"/>
  <c r="F517" i="10" s="1"/>
  <c r="B492" i="5"/>
  <c r="B517" i="10" s="1"/>
  <c r="A492" i="5"/>
  <c r="A517" i="10" s="1"/>
  <c r="B491" i="5"/>
  <c r="B516" i="10" s="1"/>
  <c r="A491" i="5"/>
  <c r="A516" i="10" s="1"/>
  <c r="F490" i="5"/>
  <c r="F515" i="10" s="1"/>
  <c r="B490" i="5"/>
  <c r="B515" i="10" s="1"/>
  <c r="A490" i="5"/>
  <c r="A515" i="10" s="1"/>
  <c r="E489" i="5"/>
  <c r="E514" i="10" s="1"/>
  <c r="B489" i="5"/>
  <c r="B514" i="10" s="1"/>
  <c r="A489" i="5"/>
  <c r="A514" i="10" s="1"/>
  <c r="F488" i="5"/>
  <c r="F513" i="10" s="1"/>
  <c r="B488" i="5"/>
  <c r="B513" i="10" s="1"/>
  <c r="A488" i="5"/>
  <c r="A513" i="10" s="1"/>
  <c r="B487" i="5"/>
  <c r="B512" i="10" s="1"/>
  <c r="A487" i="5"/>
  <c r="A512" i="10" s="1"/>
  <c r="F486" i="5"/>
  <c r="F511" i="10" s="1"/>
  <c r="B486" i="5"/>
  <c r="B511" i="10" s="1"/>
  <c r="A486" i="5"/>
  <c r="A511" i="10" s="1"/>
  <c r="B485" i="5"/>
  <c r="B510" i="10" s="1"/>
  <c r="A485" i="5"/>
  <c r="A510" i="10" s="1"/>
  <c r="F484" i="5"/>
  <c r="F509" i="10" s="1"/>
  <c r="B484" i="5"/>
  <c r="B509" i="10" s="1"/>
  <c r="A484" i="5"/>
  <c r="A509" i="10" s="1"/>
  <c r="B483" i="5"/>
  <c r="B508" i="10" s="1"/>
  <c r="A483" i="5"/>
  <c r="A508" i="10" s="1"/>
  <c r="F482" i="5"/>
  <c r="F507" i="10" s="1"/>
  <c r="B482" i="5"/>
  <c r="B507" i="10" s="1"/>
  <c r="A482" i="5"/>
  <c r="A507" i="10" s="1"/>
  <c r="B481" i="5"/>
  <c r="B506" i="10" s="1"/>
  <c r="A481" i="5"/>
  <c r="A506" i="10" s="1"/>
  <c r="F480" i="5"/>
  <c r="F505" i="10" s="1"/>
  <c r="B480" i="5"/>
  <c r="B505" i="10" s="1"/>
  <c r="A480" i="5"/>
  <c r="A505" i="10" s="1"/>
  <c r="B479" i="5"/>
  <c r="B504" i="10" s="1"/>
  <c r="A479" i="5"/>
  <c r="A504" i="10" s="1"/>
  <c r="F478" i="5"/>
  <c r="F503" i="10" s="1"/>
  <c r="B478" i="5"/>
  <c r="B503" i="10" s="1"/>
  <c r="A478" i="5"/>
  <c r="A503" i="10" s="1"/>
  <c r="B477" i="5"/>
  <c r="B502" i="10" s="1"/>
  <c r="A477" i="5"/>
  <c r="A502" i="10" s="1"/>
  <c r="F476" i="5"/>
  <c r="F501" i="10" s="1"/>
  <c r="B476" i="5"/>
  <c r="B501" i="10" s="1"/>
  <c r="A476" i="5"/>
  <c r="A501" i="10" s="1"/>
  <c r="B475" i="5"/>
  <c r="B500" i="10" s="1"/>
  <c r="A475" i="5"/>
  <c r="A500" i="10" s="1"/>
  <c r="F474" i="5"/>
  <c r="F499" i="10" s="1"/>
  <c r="B474" i="5"/>
  <c r="B499" i="10" s="1"/>
  <c r="A474" i="5"/>
  <c r="A499" i="10" s="1"/>
  <c r="E473" i="5"/>
  <c r="E498" i="10" s="1"/>
  <c r="B473" i="5"/>
  <c r="B498" i="10" s="1"/>
  <c r="A473" i="5"/>
  <c r="A498" i="10" s="1"/>
  <c r="F472" i="5"/>
  <c r="F497" i="10" s="1"/>
  <c r="E472" i="5"/>
  <c r="E497" i="10" s="1"/>
  <c r="B472" i="5"/>
  <c r="B497" i="10" s="1"/>
  <c r="A472" i="5"/>
  <c r="A497" i="10" s="1"/>
  <c r="E471" i="5"/>
  <c r="E496" i="10" s="1"/>
  <c r="G496" i="10" s="1"/>
  <c r="B471" i="5"/>
  <c r="B496" i="10" s="1"/>
  <c r="A471" i="5"/>
  <c r="A496" i="10" s="1"/>
  <c r="B470" i="5"/>
  <c r="B495" i="10" s="1"/>
  <c r="A470" i="5"/>
  <c r="A495" i="10" s="1"/>
  <c r="B469" i="5"/>
  <c r="B494" i="10" s="1"/>
  <c r="A469" i="5"/>
  <c r="A494" i="10" s="1"/>
  <c r="E468" i="5"/>
  <c r="E493" i="10" s="1"/>
  <c r="B468" i="5"/>
  <c r="B493" i="10" s="1"/>
  <c r="A468" i="5"/>
  <c r="A493" i="10" s="1"/>
  <c r="B467" i="5"/>
  <c r="B492" i="10" s="1"/>
  <c r="A467" i="5"/>
  <c r="A492" i="10" s="1"/>
  <c r="E466" i="5"/>
  <c r="E491" i="10" s="1"/>
  <c r="B466" i="5"/>
  <c r="B491" i="10" s="1"/>
  <c r="A466" i="5"/>
  <c r="A491" i="10" s="1"/>
  <c r="F465" i="5"/>
  <c r="F927" i="5" s="1"/>
  <c r="E465" i="5"/>
  <c r="E927" i="5" s="1"/>
  <c r="D465" i="5"/>
  <c r="D927" i="5" s="1"/>
  <c r="C465" i="5"/>
  <c r="C927" i="5" s="1"/>
  <c r="B465" i="5"/>
  <c r="B927" i="5" s="1"/>
  <c r="G464" i="5"/>
  <c r="F463" i="5"/>
  <c r="F448" i="10" s="1"/>
  <c r="F462" i="5"/>
  <c r="F447" i="10" s="1"/>
  <c r="F461" i="5"/>
  <c r="F446" i="10" s="1"/>
  <c r="F460" i="5"/>
  <c r="F445" i="10" s="1"/>
  <c r="F459" i="5"/>
  <c r="F444" i="10" s="1"/>
  <c r="F458" i="5"/>
  <c r="F443" i="10" s="1"/>
  <c r="F457" i="5"/>
  <c r="F442" i="10" s="1"/>
  <c r="F456" i="5"/>
  <c r="F441" i="10" s="1"/>
  <c r="F455" i="5"/>
  <c r="F440" i="10" s="1"/>
  <c r="F454" i="5"/>
  <c r="F439" i="10" s="1"/>
  <c r="F453" i="5"/>
  <c r="F438" i="10" s="1"/>
  <c r="F452" i="5"/>
  <c r="F437" i="10" s="1"/>
  <c r="F451" i="5"/>
  <c r="F436" i="10" s="1"/>
  <c r="F450" i="5"/>
  <c r="F435" i="10" s="1"/>
  <c r="F449" i="5"/>
  <c r="F434" i="10" s="1"/>
  <c r="F448" i="5"/>
  <c r="F433" i="10" s="1"/>
  <c r="F447" i="5"/>
  <c r="F432" i="10" s="1"/>
  <c r="E447" i="5"/>
  <c r="E432" i="10" s="1"/>
  <c r="F446" i="5"/>
  <c r="F431" i="10" s="1"/>
  <c r="E446" i="5"/>
  <c r="E431" i="10" s="1"/>
  <c r="G431" i="10" s="1"/>
  <c r="F445" i="5"/>
  <c r="F430" i="10" s="1"/>
  <c r="E445" i="5"/>
  <c r="E430" i="10" s="1"/>
  <c r="F444" i="5"/>
  <c r="F429" i="10" s="1"/>
  <c r="F443" i="5"/>
  <c r="F428" i="10" s="1"/>
  <c r="F442" i="5"/>
  <c r="F427" i="10" s="1"/>
  <c r="F441" i="5"/>
  <c r="F426" i="10" s="1"/>
  <c r="F440" i="5"/>
  <c r="F425" i="10" s="1"/>
  <c r="F439" i="5"/>
  <c r="F424" i="10" s="1"/>
  <c r="F438" i="5"/>
  <c r="F423" i="10" s="1"/>
  <c r="F437" i="5"/>
  <c r="F422" i="10" s="1"/>
  <c r="F436" i="5"/>
  <c r="F421" i="10" s="1"/>
  <c r="F435" i="5"/>
  <c r="F420" i="10" s="1"/>
  <c r="F434" i="5"/>
  <c r="F419" i="10" s="1"/>
  <c r="F433" i="5"/>
  <c r="F418" i="10" s="1"/>
  <c r="F432" i="5"/>
  <c r="F417" i="10" s="1"/>
  <c r="F431" i="5"/>
  <c r="F416" i="10" s="1"/>
  <c r="F430" i="5"/>
  <c r="F415" i="10" s="1"/>
  <c r="E430" i="5"/>
  <c r="E415" i="10" s="1"/>
  <c r="G415" i="10" s="1"/>
  <c r="F429" i="5"/>
  <c r="F414" i="10" s="1"/>
  <c r="E429" i="5"/>
  <c r="E414" i="10" s="1"/>
  <c r="E424" i="5"/>
  <c r="E409" i="10" s="1"/>
  <c r="E416" i="5"/>
  <c r="E878" i="5" s="1"/>
  <c r="D416" i="5"/>
  <c r="D878" i="5" s="1"/>
  <c r="C416" i="5"/>
  <c r="C878" i="5" s="1"/>
  <c r="C415" i="5"/>
  <c r="C877" i="5" s="1"/>
  <c r="E413" i="5"/>
  <c r="E412" i="5"/>
  <c r="E551" i="5" s="1"/>
  <c r="E656" i="10" s="1"/>
  <c r="K411" i="5"/>
  <c r="E411" i="5"/>
  <c r="E409" i="5"/>
  <c r="E408" i="5"/>
  <c r="E407" i="5"/>
  <c r="K406" i="5"/>
  <c r="K405" i="5"/>
  <c r="E405" i="5"/>
  <c r="E404" i="5"/>
  <c r="E467" i="5" s="1"/>
  <c r="E492" i="10" s="1"/>
  <c r="E403" i="5"/>
  <c r="E401" i="5"/>
  <c r="G400" i="5"/>
  <c r="G861" i="5" s="1"/>
  <c r="E400" i="5"/>
  <c r="E426" i="5" s="1"/>
  <c r="E411" i="10" s="1"/>
  <c r="K399" i="5"/>
  <c r="C591" i="5" s="1"/>
  <c r="E399" i="5"/>
  <c r="G397" i="5"/>
  <c r="G858" i="5" s="1"/>
  <c r="C396" i="5"/>
  <c r="S395" i="5"/>
  <c r="R395" i="5"/>
  <c r="Q395" i="5"/>
  <c r="C395" i="5"/>
  <c r="O394" i="5"/>
  <c r="G393" i="5"/>
  <c r="G854" i="5" s="1"/>
  <c r="D393" i="5"/>
  <c r="C393" i="5"/>
  <c r="Q392" i="5"/>
  <c r="P392" i="5"/>
  <c r="I392" i="5"/>
  <c r="G392" i="5"/>
  <c r="G853" i="5" s="1"/>
  <c r="D392" i="5"/>
  <c r="C392" i="5"/>
  <c r="Q391" i="5"/>
  <c r="J391" i="5"/>
  <c r="G391" i="5"/>
  <c r="G852" i="5" s="1"/>
  <c r="D391" i="5"/>
  <c r="C391" i="5"/>
  <c r="P391" i="5" s="1"/>
  <c r="S390" i="5"/>
  <c r="P390" i="5"/>
  <c r="K390" i="5"/>
  <c r="I390" i="5"/>
  <c r="G390" i="5"/>
  <c r="G851" i="5" s="1"/>
  <c r="D390" i="5"/>
  <c r="C390" i="5"/>
  <c r="Q390" i="5" s="1"/>
  <c r="Q388" i="5"/>
  <c r="J388" i="5"/>
  <c r="G388" i="5"/>
  <c r="G849" i="5" s="1"/>
  <c r="D388" i="5"/>
  <c r="C388" i="5"/>
  <c r="P388" i="5" s="1"/>
  <c r="R387" i="5"/>
  <c r="Q387" i="5"/>
  <c r="P387" i="5"/>
  <c r="I387" i="5"/>
  <c r="G387" i="5"/>
  <c r="G848" i="5" s="1"/>
  <c r="D387" i="5"/>
  <c r="C387" i="5"/>
  <c r="AB386" i="5"/>
  <c r="Z386" i="5"/>
  <c r="W386" i="5"/>
  <c r="U386" i="5"/>
  <c r="Q386" i="5"/>
  <c r="J386" i="5"/>
  <c r="G386" i="5"/>
  <c r="G847" i="5" s="1"/>
  <c r="D386" i="5"/>
  <c r="C386" i="5"/>
  <c r="P386" i="5" s="1"/>
  <c r="AB385" i="5"/>
  <c r="Z385" i="5"/>
  <c r="W385" i="5"/>
  <c r="U385" i="5"/>
  <c r="R385" i="5"/>
  <c r="K385" i="5"/>
  <c r="G385" i="5"/>
  <c r="G846" i="5" s="1"/>
  <c r="F385" i="5"/>
  <c r="D385" i="5"/>
  <c r="C385" i="5"/>
  <c r="Q385" i="5" s="1"/>
  <c r="Q389" i="5" s="1"/>
  <c r="O384" i="5"/>
  <c r="W383" i="5"/>
  <c r="U383" i="5"/>
  <c r="S383" i="5"/>
  <c r="Q383" i="5"/>
  <c r="P383" i="5"/>
  <c r="R383" i="5" s="1"/>
  <c r="I383" i="5"/>
  <c r="G383" i="5"/>
  <c r="G844" i="5" s="1"/>
  <c r="D383" i="5"/>
  <c r="C383" i="5"/>
  <c r="L383" i="5" s="1"/>
  <c r="W382" i="5"/>
  <c r="U382" i="5"/>
  <c r="L382" i="5"/>
  <c r="G382" i="5"/>
  <c r="G843" i="5" s="1"/>
  <c r="D382" i="5"/>
  <c r="C382" i="5"/>
  <c r="W381" i="5"/>
  <c r="U381" i="5"/>
  <c r="Q381" i="5"/>
  <c r="K381" i="5"/>
  <c r="I381" i="5"/>
  <c r="G381" i="5"/>
  <c r="G842" i="5" s="1"/>
  <c r="D381" i="5"/>
  <c r="S381" i="5" s="1"/>
  <c r="C381" i="5"/>
  <c r="P381" i="5" s="1"/>
  <c r="W380" i="5"/>
  <c r="U380" i="5"/>
  <c r="P380" i="5"/>
  <c r="J380" i="5"/>
  <c r="G380" i="5"/>
  <c r="G841" i="5" s="1"/>
  <c r="D380" i="5"/>
  <c r="C380" i="5"/>
  <c r="S380" i="5" s="1"/>
  <c r="W378" i="5"/>
  <c r="E825" i="5" s="1"/>
  <c r="U378" i="5"/>
  <c r="R378" i="5"/>
  <c r="J378" i="5"/>
  <c r="G378" i="5"/>
  <c r="G839" i="5" s="1"/>
  <c r="D378" i="5"/>
  <c r="C378" i="5"/>
  <c r="AB377" i="5"/>
  <c r="Z377" i="5"/>
  <c r="W377" i="5"/>
  <c r="U377" i="5"/>
  <c r="Q377" i="5"/>
  <c r="K377" i="5"/>
  <c r="J377" i="5"/>
  <c r="I377" i="5"/>
  <c r="G377" i="5"/>
  <c r="G838" i="5" s="1"/>
  <c r="D377" i="5"/>
  <c r="S377" i="5" s="1"/>
  <c r="C377" i="5"/>
  <c r="P377" i="5" s="1"/>
  <c r="AB376" i="5"/>
  <c r="Z376" i="5"/>
  <c r="W376" i="5"/>
  <c r="E823" i="5" s="1"/>
  <c r="U376" i="5"/>
  <c r="P376" i="5"/>
  <c r="J376" i="5"/>
  <c r="G376" i="5"/>
  <c r="G837" i="5" s="1"/>
  <c r="D376" i="5"/>
  <c r="C376" i="5"/>
  <c r="S376" i="5" s="1"/>
  <c r="AB375" i="5"/>
  <c r="Z375" i="5"/>
  <c r="W375" i="5"/>
  <c r="U375" i="5"/>
  <c r="Q375" i="5"/>
  <c r="P375" i="5"/>
  <c r="J375" i="5"/>
  <c r="J849" i="5" s="1"/>
  <c r="I375" i="5"/>
  <c r="G375" i="5"/>
  <c r="G836" i="5" s="1"/>
  <c r="D375" i="5"/>
  <c r="S375" i="5" s="1"/>
  <c r="C375" i="5"/>
  <c r="R375" i="5" s="1"/>
  <c r="W374" i="5"/>
  <c r="E821" i="5" s="1"/>
  <c r="U374" i="5"/>
  <c r="U379" i="5" s="1"/>
  <c r="E820" i="5" s="1"/>
  <c r="E394" i="10" s="1"/>
  <c r="G394" i="10" s="1"/>
  <c r="F373" i="5"/>
  <c r="F209" i="10" s="1"/>
  <c r="D373" i="5"/>
  <c r="D209" i="10" s="1"/>
  <c r="H372" i="5"/>
  <c r="F372" i="5"/>
  <c r="F208" i="10" s="1"/>
  <c r="E372" i="5"/>
  <c r="E208" i="10" s="1"/>
  <c r="D372" i="5"/>
  <c r="D208" i="10" s="1"/>
  <c r="F371" i="5"/>
  <c r="F207" i="10" s="1"/>
  <c r="F370" i="5"/>
  <c r="F206" i="10" s="1"/>
  <c r="E370" i="5"/>
  <c r="E206" i="10" s="1"/>
  <c r="G206" i="10" s="1"/>
  <c r="D370" i="5"/>
  <c r="D206" i="10" s="1"/>
  <c r="F369" i="5"/>
  <c r="F205" i="10" s="1"/>
  <c r="E369" i="5"/>
  <c r="F368" i="5"/>
  <c r="F204" i="10" s="1"/>
  <c r="E368" i="5"/>
  <c r="E204" i="10" s="1"/>
  <c r="G204" i="10" s="1"/>
  <c r="D368" i="5"/>
  <c r="D204" i="10" s="1"/>
  <c r="F367" i="5"/>
  <c r="F203" i="10" s="1"/>
  <c r="E367" i="5"/>
  <c r="F366" i="5"/>
  <c r="F365" i="5"/>
  <c r="F201" i="10" s="1"/>
  <c r="F364" i="5"/>
  <c r="F200" i="10" s="1"/>
  <c r="H363" i="5"/>
  <c r="F363" i="5"/>
  <c r="F199" i="10" s="1"/>
  <c r="E363" i="5"/>
  <c r="E199" i="10" s="1"/>
  <c r="F362" i="5"/>
  <c r="E362" i="5"/>
  <c r="E198" i="10" s="1"/>
  <c r="F361" i="5"/>
  <c r="F197" i="10" s="1"/>
  <c r="F359" i="5"/>
  <c r="F195" i="10" s="1"/>
  <c r="C359" i="5"/>
  <c r="C195" i="10" s="1"/>
  <c r="F358" i="5"/>
  <c r="F194" i="10" s="1"/>
  <c r="F357" i="5"/>
  <c r="F193" i="10" s="1"/>
  <c r="E357" i="5"/>
  <c r="E193" i="10" s="1"/>
  <c r="G193" i="10" s="1"/>
  <c r="C357" i="5"/>
  <c r="C193" i="10" s="1"/>
  <c r="F356" i="5"/>
  <c r="F192" i="10" s="1"/>
  <c r="E356" i="5"/>
  <c r="F355" i="5"/>
  <c r="F191" i="10" s="1"/>
  <c r="C355" i="5"/>
  <c r="C191" i="10" s="1"/>
  <c r="F353" i="5"/>
  <c r="F189" i="10" s="1"/>
  <c r="F352" i="5"/>
  <c r="F188" i="10" s="1"/>
  <c r="F351" i="5"/>
  <c r="F187" i="10" s="1"/>
  <c r="C351" i="5"/>
  <c r="C187" i="10" s="1"/>
  <c r="F350" i="5"/>
  <c r="F186" i="10" s="1"/>
  <c r="F349" i="5"/>
  <c r="F185" i="10" s="1"/>
  <c r="F348" i="5"/>
  <c r="F184" i="10" s="1"/>
  <c r="F347" i="5"/>
  <c r="F183" i="10" s="1"/>
  <c r="C347" i="5"/>
  <c r="C183" i="10" s="1"/>
  <c r="F346" i="5"/>
  <c r="F182" i="10" s="1"/>
  <c r="F345" i="5"/>
  <c r="F181" i="10" s="1"/>
  <c r="F344" i="5"/>
  <c r="F180" i="10" s="1"/>
  <c r="F343" i="5"/>
  <c r="F179" i="10" s="1"/>
  <c r="C343" i="5"/>
  <c r="C179" i="10" s="1"/>
  <c r="F342" i="5"/>
  <c r="F178" i="10" s="1"/>
  <c r="F341" i="5"/>
  <c r="F177" i="10" s="1"/>
  <c r="F340" i="5"/>
  <c r="F176" i="10" s="1"/>
  <c r="F339" i="5"/>
  <c r="F175" i="10" s="1"/>
  <c r="C339" i="5"/>
  <c r="C175" i="10" s="1"/>
  <c r="F338" i="5"/>
  <c r="F174" i="10" s="1"/>
  <c r="F337" i="5"/>
  <c r="F173" i="10" s="1"/>
  <c r="F336" i="5"/>
  <c r="F172" i="10" s="1"/>
  <c r="F335" i="5"/>
  <c r="F171" i="10" s="1"/>
  <c r="C335" i="5"/>
  <c r="C171" i="10" s="1"/>
  <c r="F334" i="5"/>
  <c r="F170" i="10" s="1"/>
  <c r="F333" i="5"/>
  <c r="F169" i="10" s="1"/>
  <c r="F332" i="5"/>
  <c r="F168" i="10" s="1"/>
  <c r="F331" i="5"/>
  <c r="F167" i="10" s="1"/>
  <c r="C331" i="5"/>
  <c r="C167" i="10" s="1"/>
  <c r="F330" i="5"/>
  <c r="F166" i="10" s="1"/>
  <c r="F329" i="5"/>
  <c r="F165" i="10" s="1"/>
  <c r="F328" i="5"/>
  <c r="F164" i="10" s="1"/>
  <c r="F327" i="5"/>
  <c r="F163" i="10" s="1"/>
  <c r="C327" i="5"/>
  <c r="C163" i="10" s="1"/>
  <c r="F326" i="5"/>
  <c r="F162" i="10" s="1"/>
  <c r="F325" i="5"/>
  <c r="F161" i="10" s="1"/>
  <c r="F324" i="5"/>
  <c r="F160" i="10" s="1"/>
  <c r="F323" i="5"/>
  <c r="F159" i="10" s="1"/>
  <c r="C323" i="5"/>
  <c r="C159" i="10" s="1"/>
  <c r="F322" i="5"/>
  <c r="F158" i="10" s="1"/>
  <c r="F321" i="5"/>
  <c r="F157" i="10" s="1"/>
  <c r="F320" i="5"/>
  <c r="F156" i="10" s="1"/>
  <c r="F319" i="5"/>
  <c r="F155" i="10" s="1"/>
  <c r="C319" i="5"/>
  <c r="C155" i="10" s="1"/>
  <c r="F318" i="5"/>
  <c r="F154" i="10" s="1"/>
  <c r="F317" i="5"/>
  <c r="F153" i="10" s="1"/>
  <c r="F316" i="5"/>
  <c r="F152" i="10" s="1"/>
  <c r="F315" i="5"/>
  <c r="F151" i="10" s="1"/>
  <c r="C315" i="5"/>
  <c r="C151" i="10" s="1"/>
  <c r="F314" i="5"/>
  <c r="F150" i="10" s="1"/>
  <c r="F313" i="5"/>
  <c r="F149" i="10" s="1"/>
  <c r="F312" i="5"/>
  <c r="F148" i="10" s="1"/>
  <c r="E312" i="5"/>
  <c r="E148" i="10" s="1"/>
  <c r="E311" i="5"/>
  <c r="E147" i="10" s="1"/>
  <c r="C311" i="5"/>
  <c r="C147" i="10" s="1"/>
  <c r="E310" i="5"/>
  <c r="E146" i="10" s="1"/>
  <c r="E309" i="5"/>
  <c r="E145" i="10" s="1"/>
  <c r="F308" i="5"/>
  <c r="F144" i="10" s="1"/>
  <c r="F307" i="5"/>
  <c r="F143" i="10" s="1"/>
  <c r="C307" i="5"/>
  <c r="C143" i="10" s="1"/>
  <c r="F306" i="5"/>
  <c r="F142" i="10" s="1"/>
  <c r="F305" i="5"/>
  <c r="F141" i="10" s="1"/>
  <c r="C305" i="5"/>
  <c r="C141" i="10" s="1"/>
  <c r="F304" i="5"/>
  <c r="F140" i="10" s="1"/>
  <c r="F303" i="5"/>
  <c r="F139" i="10" s="1"/>
  <c r="C303" i="5"/>
  <c r="C139" i="10" s="1"/>
  <c r="F302" i="5"/>
  <c r="F138" i="10" s="1"/>
  <c r="F301" i="5"/>
  <c r="F137" i="10" s="1"/>
  <c r="C301" i="5"/>
  <c r="C137" i="10" s="1"/>
  <c r="F300" i="5"/>
  <c r="F136" i="10" s="1"/>
  <c r="F299" i="5"/>
  <c r="F135" i="10" s="1"/>
  <c r="C299" i="5"/>
  <c r="C135" i="10" s="1"/>
  <c r="F298" i="5"/>
  <c r="F134" i="10" s="1"/>
  <c r="F297" i="5"/>
  <c r="F133" i="10" s="1"/>
  <c r="C297" i="5"/>
  <c r="C133" i="10" s="1"/>
  <c r="F296" i="5"/>
  <c r="F132" i="10" s="1"/>
  <c r="F295" i="5"/>
  <c r="F131" i="10" s="1"/>
  <c r="C295" i="5"/>
  <c r="C131" i="10" s="1"/>
  <c r="F294" i="5"/>
  <c r="F130" i="10" s="1"/>
  <c r="F293" i="5"/>
  <c r="F129" i="10" s="1"/>
  <c r="C293" i="5"/>
  <c r="C129" i="10" s="1"/>
  <c r="F292" i="5"/>
  <c r="F128" i="10" s="1"/>
  <c r="F291" i="5"/>
  <c r="F127" i="10" s="1"/>
  <c r="C291" i="5"/>
  <c r="C127" i="10" s="1"/>
  <c r="F290" i="5"/>
  <c r="F126" i="10" s="1"/>
  <c r="F289" i="5"/>
  <c r="F125" i="10" s="1"/>
  <c r="C289" i="5"/>
  <c r="C125" i="10" s="1"/>
  <c r="F288" i="5"/>
  <c r="F124" i="10" s="1"/>
  <c r="F287" i="5"/>
  <c r="F123" i="10" s="1"/>
  <c r="C287" i="5"/>
  <c r="C123" i="10" s="1"/>
  <c r="F286" i="5"/>
  <c r="F122" i="10" s="1"/>
  <c r="F285" i="5"/>
  <c r="F121" i="10" s="1"/>
  <c r="C285" i="5"/>
  <c r="C121" i="10" s="1"/>
  <c r="F284" i="5"/>
  <c r="F120" i="10" s="1"/>
  <c r="F283" i="5"/>
  <c r="F119" i="10" s="1"/>
  <c r="C283" i="5"/>
  <c r="C119" i="10" s="1"/>
  <c r="F282" i="5"/>
  <c r="F118" i="10" s="1"/>
  <c r="F281" i="5"/>
  <c r="F117" i="10" s="1"/>
  <c r="C281" i="5"/>
  <c r="C117" i="10" s="1"/>
  <c r="F280" i="5"/>
  <c r="F116" i="10" s="1"/>
  <c r="F279" i="5"/>
  <c r="F115" i="10" s="1"/>
  <c r="C279" i="5"/>
  <c r="C115" i="10" s="1"/>
  <c r="F278" i="5"/>
  <c r="F114" i="10" s="1"/>
  <c r="F277" i="5"/>
  <c r="F113" i="10" s="1"/>
  <c r="C277" i="5"/>
  <c r="C113" i="10" s="1"/>
  <c r="F276" i="5"/>
  <c r="F112" i="10" s="1"/>
  <c r="F275" i="5"/>
  <c r="F111" i="10" s="1"/>
  <c r="C275" i="5"/>
  <c r="C111" i="10" s="1"/>
  <c r="F274" i="5"/>
  <c r="F110" i="10" s="1"/>
  <c r="F273" i="5"/>
  <c r="F109" i="10" s="1"/>
  <c r="C273" i="5"/>
  <c r="C109" i="10" s="1"/>
  <c r="F272" i="5"/>
  <c r="F108" i="10" s="1"/>
  <c r="F271" i="5"/>
  <c r="F107" i="10" s="1"/>
  <c r="C271" i="5"/>
  <c r="C107" i="10" s="1"/>
  <c r="F270" i="5"/>
  <c r="F106" i="10" s="1"/>
  <c r="F269" i="5"/>
  <c r="F105" i="10" s="1"/>
  <c r="C269" i="5"/>
  <c r="C105" i="10" s="1"/>
  <c r="F268" i="5"/>
  <c r="F104" i="10" s="1"/>
  <c r="F267" i="5"/>
  <c r="F103" i="10" s="1"/>
  <c r="C267" i="5"/>
  <c r="C103" i="10" s="1"/>
  <c r="F266" i="5"/>
  <c r="F102" i="10" s="1"/>
  <c r="F265" i="5"/>
  <c r="F101" i="10" s="1"/>
  <c r="C265" i="5"/>
  <c r="C101" i="10" s="1"/>
  <c r="F264" i="5"/>
  <c r="F100" i="10" s="1"/>
  <c r="E264" i="5"/>
  <c r="E100" i="10" s="1"/>
  <c r="E263" i="5"/>
  <c r="E99" i="10" s="1"/>
  <c r="C263" i="5"/>
  <c r="C99" i="10" s="1"/>
  <c r="E262" i="5"/>
  <c r="E98" i="10" s="1"/>
  <c r="E261" i="5"/>
  <c r="E97" i="10" s="1"/>
  <c r="C261" i="5"/>
  <c r="C97" i="10" s="1"/>
  <c r="F260" i="5"/>
  <c r="F96" i="10" s="1"/>
  <c r="F259" i="5"/>
  <c r="F95" i="10" s="1"/>
  <c r="C259" i="5"/>
  <c r="C95" i="10" s="1"/>
  <c r="F258" i="5"/>
  <c r="F94" i="10" s="1"/>
  <c r="F257" i="5"/>
  <c r="F93" i="10" s="1"/>
  <c r="C257" i="5"/>
  <c r="C93" i="10" s="1"/>
  <c r="F256" i="5"/>
  <c r="F92" i="10" s="1"/>
  <c r="F255" i="5"/>
  <c r="F91" i="10" s="1"/>
  <c r="C255" i="5"/>
  <c r="C91" i="10" s="1"/>
  <c r="E254" i="5"/>
  <c r="E90" i="10" s="1"/>
  <c r="F253" i="5"/>
  <c r="F89" i="10" s="1"/>
  <c r="E253" i="5"/>
  <c r="E89" i="10" s="1"/>
  <c r="G89" i="10" s="1"/>
  <c r="C253" i="5"/>
  <c r="C89" i="10" s="1"/>
  <c r="E252" i="5"/>
  <c r="E88" i="10" s="1"/>
  <c r="C252" i="5"/>
  <c r="C88" i="10" s="1"/>
  <c r="E251" i="5"/>
  <c r="E87" i="10" s="1"/>
  <c r="C251" i="5"/>
  <c r="C87" i="10" s="1"/>
  <c r="C249" i="5"/>
  <c r="C85" i="10" s="1"/>
  <c r="C248" i="5"/>
  <c r="C84" i="10" s="1"/>
  <c r="C247" i="5"/>
  <c r="C83" i="10" s="1"/>
  <c r="C245" i="5"/>
  <c r="C81" i="10" s="1"/>
  <c r="C244" i="5"/>
  <c r="C80" i="10" s="1"/>
  <c r="C243" i="5"/>
  <c r="C79" i="10" s="1"/>
  <c r="C241" i="5"/>
  <c r="C77" i="10" s="1"/>
  <c r="C240" i="5"/>
  <c r="C76" i="10" s="1"/>
  <c r="C239" i="5"/>
  <c r="C75" i="10" s="1"/>
  <c r="C237" i="5"/>
  <c r="C73" i="10" s="1"/>
  <c r="C236" i="5"/>
  <c r="C72" i="10" s="1"/>
  <c r="C235" i="5"/>
  <c r="C71" i="10" s="1"/>
  <c r="C233" i="5"/>
  <c r="C69" i="10" s="1"/>
  <c r="C232" i="5"/>
  <c r="C68" i="10" s="1"/>
  <c r="C231" i="5"/>
  <c r="C67" i="10" s="1"/>
  <c r="C229" i="5"/>
  <c r="C65" i="10" s="1"/>
  <c r="C228" i="5"/>
  <c r="C64" i="10" s="1"/>
  <c r="C227" i="5"/>
  <c r="C63" i="10" s="1"/>
  <c r="C225" i="5"/>
  <c r="C61" i="10" s="1"/>
  <c r="C224" i="5"/>
  <c r="C60" i="10" s="1"/>
  <c r="C223" i="5"/>
  <c r="C59" i="10" s="1"/>
  <c r="C221" i="5"/>
  <c r="C57" i="10" s="1"/>
  <c r="C220" i="5"/>
  <c r="C56" i="10" s="1"/>
  <c r="C219" i="5"/>
  <c r="C55" i="10" s="1"/>
  <c r="C217" i="5"/>
  <c r="C53" i="10" s="1"/>
  <c r="C216" i="5"/>
  <c r="C52" i="10" s="1"/>
  <c r="C215" i="5"/>
  <c r="C51" i="10" s="1"/>
  <c r="C213" i="5"/>
  <c r="C49" i="10" s="1"/>
  <c r="C212" i="5"/>
  <c r="C48" i="10" s="1"/>
  <c r="C211" i="5"/>
  <c r="C47" i="10" s="1"/>
  <c r="C209" i="5"/>
  <c r="C45" i="10" s="1"/>
  <c r="C208" i="5"/>
  <c r="C44" i="10" s="1"/>
  <c r="C207" i="5"/>
  <c r="C43" i="10" s="1"/>
  <c r="C205" i="5"/>
  <c r="C41" i="10" s="1"/>
  <c r="C204" i="5"/>
  <c r="C40" i="10" s="1"/>
  <c r="C203" i="5"/>
  <c r="C39" i="10" s="1"/>
  <c r="C201" i="5"/>
  <c r="C37" i="10" s="1"/>
  <c r="C200" i="5"/>
  <c r="C36" i="10" s="1"/>
  <c r="C199" i="5"/>
  <c r="C35" i="10" s="1"/>
  <c r="C197" i="5"/>
  <c r="C33" i="10" s="1"/>
  <c r="C196" i="5"/>
  <c r="C32" i="10" s="1"/>
  <c r="C195" i="5"/>
  <c r="C31" i="10" s="1"/>
  <c r="C193" i="5"/>
  <c r="C29" i="10" s="1"/>
  <c r="C192" i="5"/>
  <c r="C28" i="10" s="1"/>
  <c r="C191" i="5"/>
  <c r="C27" i="10" s="1"/>
  <c r="C189" i="5"/>
  <c r="C25" i="10" s="1"/>
  <c r="C188" i="5"/>
  <c r="C24" i="10" s="1"/>
  <c r="C187" i="5"/>
  <c r="C23" i="10" s="1"/>
  <c r="C185" i="5"/>
  <c r="C21" i="10" s="1"/>
  <c r="C184" i="5"/>
  <c r="C20" i="10" s="1"/>
  <c r="C183" i="5"/>
  <c r="C19" i="10" s="1"/>
  <c r="E182" i="5"/>
  <c r="E18" i="10" s="1"/>
  <c r="F181" i="5"/>
  <c r="F17" i="10" s="1"/>
  <c r="C181" i="5"/>
  <c r="C17" i="10" s="1"/>
  <c r="D180" i="5"/>
  <c r="D16" i="10" s="1"/>
  <c r="D747" i="10" s="1"/>
  <c r="C180" i="5"/>
  <c r="C16" i="10" s="1"/>
  <c r="C747" i="10" s="1"/>
  <c r="F179" i="5"/>
  <c r="F15" i="10" s="1"/>
  <c r="D179" i="5"/>
  <c r="D15" i="10" s="1"/>
  <c r="C179" i="5"/>
  <c r="C15" i="10" s="1"/>
  <c r="F178" i="5"/>
  <c r="F14" i="10" s="1"/>
  <c r="D178" i="5"/>
  <c r="D14" i="10" s="1"/>
  <c r="D151" i="5"/>
  <c r="D13" i="10" s="1"/>
  <c r="D746" i="10" s="1"/>
  <c r="C151" i="5"/>
  <c r="C13" i="10" s="1"/>
  <c r="C746" i="10" s="1"/>
  <c r="F150" i="5"/>
  <c r="F12" i="10" s="1"/>
  <c r="C150" i="5"/>
  <c r="C12" i="10" s="1"/>
  <c r="F149" i="5"/>
  <c r="F11" i="10" s="1"/>
  <c r="C149" i="5"/>
  <c r="C11" i="10" s="1"/>
  <c r="C146" i="5"/>
  <c r="C9" i="10" s="1"/>
  <c r="C145" i="5"/>
  <c r="C8" i="10" s="1"/>
  <c r="C144" i="5"/>
  <c r="C7" i="10" s="1"/>
  <c r="D143" i="5"/>
  <c r="D361" i="5" s="1"/>
  <c r="D197" i="10" s="1"/>
  <c r="C143" i="5"/>
  <c r="C6" i="10" s="1"/>
  <c r="C745" i="10" s="1"/>
  <c r="D141" i="5"/>
  <c r="F182" i="5" s="1"/>
  <c r="F18" i="10" s="1"/>
  <c r="J139" i="5"/>
  <c r="J138" i="5"/>
  <c r="J137" i="5"/>
  <c r="G137" i="5"/>
  <c r="E137" i="5"/>
  <c r="J136" i="5"/>
  <c r="O135" i="5"/>
  <c r="J135" i="5"/>
  <c r="O134" i="5"/>
  <c r="J134" i="5"/>
  <c r="O133" i="5"/>
  <c r="J133" i="5"/>
  <c r="G133" i="5"/>
  <c r="E133" i="5"/>
  <c r="C131" i="5"/>
  <c r="D625" i="5" s="1"/>
  <c r="C130" i="5"/>
  <c r="E129" i="5" s="1"/>
  <c r="W129" i="5"/>
  <c r="K129" i="5"/>
  <c r="J129" i="5"/>
  <c r="G129" i="5"/>
  <c r="G625" i="5" s="1"/>
  <c r="AB128" i="5"/>
  <c r="E365" i="5" s="1"/>
  <c r="E201" i="10" s="1"/>
  <c r="G201" i="10" s="1"/>
  <c r="Z128" i="5"/>
  <c r="W128" i="5"/>
  <c r="E359" i="5" s="1"/>
  <c r="U128" i="5"/>
  <c r="K128" i="5"/>
  <c r="AD128" i="5" s="1"/>
  <c r="J128" i="5"/>
  <c r="G128" i="5"/>
  <c r="G624" i="5" s="1"/>
  <c r="AB127" i="5"/>
  <c r="Z127" i="5"/>
  <c r="W127" i="5"/>
  <c r="E358" i="5" s="1"/>
  <c r="U127" i="5"/>
  <c r="K127" i="5"/>
  <c r="J127" i="5"/>
  <c r="G127" i="5"/>
  <c r="G623" i="5" s="1"/>
  <c r="D127" i="5"/>
  <c r="U126" i="5"/>
  <c r="K126" i="5"/>
  <c r="AD126" i="5" s="1"/>
  <c r="J126" i="5"/>
  <c r="G126" i="5"/>
  <c r="G622" i="5" s="1"/>
  <c r="U125" i="5"/>
  <c r="U130" i="5" s="1"/>
  <c r="F354" i="5" s="1"/>
  <c r="F190" i="10" s="1"/>
  <c r="K125" i="5"/>
  <c r="AD125" i="5" s="1"/>
  <c r="J125" i="5"/>
  <c r="G125" i="5"/>
  <c r="G621" i="5" s="1"/>
  <c r="D125" i="5"/>
  <c r="AB124" i="5"/>
  <c r="Z124" i="5"/>
  <c r="W124" i="5"/>
  <c r="E355" i="5" s="1"/>
  <c r="U124" i="5"/>
  <c r="K124" i="5"/>
  <c r="J124" i="5"/>
  <c r="G124" i="5"/>
  <c r="G620" i="5" s="1"/>
  <c r="D124" i="5"/>
  <c r="C115" i="5"/>
  <c r="G100" i="5"/>
  <c r="D100" i="5"/>
  <c r="C100" i="5"/>
  <c r="E100" i="5" s="1"/>
  <c r="D99" i="5"/>
  <c r="C99" i="5"/>
  <c r="E99" i="5" s="1"/>
  <c r="D98" i="5"/>
  <c r="G97" i="5"/>
  <c r="D97" i="5"/>
  <c r="C97" i="5"/>
  <c r="E95" i="5"/>
  <c r="F94" i="5"/>
  <c r="D94" i="5"/>
  <c r="L93" i="5"/>
  <c r="F1104" i="5" s="1"/>
  <c r="J93" i="5"/>
  <c r="D93" i="5"/>
  <c r="K92" i="5"/>
  <c r="C1099" i="5" s="1"/>
  <c r="D92" i="5"/>
  <c r="C88" i="5"/>
  <c r="C79" i="5"/>
  <c r="O78" i="5"/>
  <c r="O76" i="5"/>
  <c r="D68" i="8" s="1"/>
  <c r="E76" i="5"/>
  <c r="D76" i="5"/>
  <c r="K1314" i="5" s="1"/>
  <c r="J335" i="6" s="1"/>
  <c r="C76" i="5"/>
  <c r="J1314" i="5" s="1"/>
  <c r="I335" i="6" s="1"/>
  <c r="B76" i="5"/>
  <c r="I1314" i="5" s="1"/>
  <c r="O75" i="5"/>
  <c r="D67" i="8" s="1"/>
  <c r="D75" i="5"/>
  <c r="K1313" i="5" s="1"/>
  <c r="J334" i="6" s="1"/>
  <c r="C75" i="5"/>
  <c r="J1313" i="5" s="1"/>
  <c r="I334" i="6" s="1"/>
  <c r="B75" i="5"/>
  <c r="D74" i="5"/>
  <c r="K1312" i="5" s="1"/>
  <c r="C74" i="5"/>
  <c r="J1312" i="5" s="1"/>
  <c r="I333" i="6" s="1"/>
  <c r="B74" i="5"/>
  <c r="I1312" i="5" s="1"/>
  <c r="D72" i="5"/>
  <c r="C72" i="5"/>
  <c r="B72" i="5"/>
  <c r="E72" i="5" s="1"/>
  <c r="AL71" i="5"/>
  <c r="AK71" i="5"/>
  <c r="D71" i="5"/>
  <c r="C71" i="5"/>
  <c r="B71" i="5"/>
  <c r="E71" i="5" s="1"/>
  <c r="D70" i="5"/>
  <c r="C70" i="5"/>
  <c r="B70" i="5"/>
  <c r="E70" i="5" s="1"/>
  <c r="D69" i="5"/>
  <c r="C69" i="5"/>
  <c r="B69" i="5"/>
  <c r="E69" i="5" s="1"/>
  <c r="D68" i="5"/>
  <c r="C68" i="5"/>
  <c r="B68" i="5"/>
  <c r="E68" i="5" s="1"/>
  <c r="AL67" i="5"/>
  <c r="D67" i="5"/>
  <c r="C67" i="5"/>
  <c r="E67" i="5" s="1"/>
  <c r="B67" i="5"/>
  <c r="E66" i="5"/>
  <c r="D66" i="5"/>
  <c r="C66" i="5"/>
  <c r="B66" i="5"/>
  <c r="E65" i="5"/>
  <c r="D65" i="5"/>
  <c r="C65" i="5"/>
  <c r="B65" i="5"/>
  <c r="D64" i="5"/>
  <c r="C64" i="5"/>
  <c r="E64" i="5" s="1"/>
  <c r="B64" i="5"/>
  <c r="E63" i="5"/>
  <c r="D63" i="5"/>
  <c r="C63" i="5"/>
  <c r="B63" i="5"/>
  <c r="AA62" i="5"/>
  <c r="Z62" i="5"/>
  <c r="D60" i="5"/>
  <c r="C60" i="5"/>
  <c r="C330" i="6" s="1"/>
  <c r="B60" i="5"/>
  <c r="B330" i="6" s="1"/>
  <c r="D59" i="5"/>
  <c r="C59" i="5"/>
  <c r="C329" i="6" s="1"/>
  <c r="B59" i="5"/>
  <c r="B329" i="6" s="1"/>
  <c r="D58" i="5"/>
  <c r="C58" i="5"/>
  <c r="E58" i="5" s="1"/>
  <c r="B58" i="5"/>
  <c r="D57" i="5"/>
  <c r="D1300" i="5" s="1"/>
  <c r="C57" i="5"/>
  <c r="C1300" i="5" s="1"/>
  <c r="B57" i="5"/>
  <c r="D56" i="5"/>
  <c r="D1299" i="5" s="1"/>
  <c r="C56" i="5"/>
  <c r="B56" i="5"/>
  <c r="B1299" i="5" s="1"/>
  <c r="D55" i="5"/>
  <c r="D1298" i="5" s="1"/>
  <c r="C55" i="5"/>
  <c r="C1298" i="5" s="1"/>
  <c r="B55" i="5"/>
  <c r="B1298" i="5" s="1"/>
  <c r="E54" i="5"/>
  <c r="D54" i="5"/>
  <c r="D1297" i="5" s="1"/>
  <c r="C54" i="5"/>
  <c r="C1297" i="5" s="1"/>
  <c r="B54" i="5"/>
  <c r="B1297" i="5" s="1"/>
  <c r="D53" i="5"/>
  <c r="D1296" i="5" s="1"/>
  <c r="C53" i="5"/>
  <c r="C1296" i="5" s="1"/>
  <c r="B53" i="5"/>
  <c r="AL52" i="5"/>
  <c r="D52" i="5"/>
  <c r="D1295" i="5" s="1"/>
  <c r="C52" i="5"/>
  <c r="B52" i="5"/>
  <c r="B1295" i="5" s="1"/>
  <c r="AL51" i="5"/>
  <c r="E51" i="5"/>
  <c r="D51" i="5"/>
  <c r="D1294" i="5" s="1"/>
  <c r="C51" i="5"/>
  <c r="C1294" i="5" s="1"/>
  <c r="B51" i="5"/>
  <c r="B1294" i="5" s="1"/>
  <c r="D50" i="5"/>
  <c r="D1293" i="5" s="1"/>
  <c r="D328" i="6" s="1"/>
  <c r="C50" i="5"/>
  <c r="C1293" i="5" s="1"/>
  <c r="C328" i="6" s="1"/>
  <c r="B50" i="5"/>
  <c r="B1293" i="5" s="1"/>
  <c r="D49" i="5"/>
  <c r="D1292" i="5" s="1"/>
  <c r="D327" i="6" s="1"/>
  <c r="C49" i="5"/>
  <c r="C1292" i="5" s="1"/>
  <c r="C327" i="6" s="1"/>
  <c r="B49" i="5"/>
  <c r="D48" i="5"/>
  <c r="D1291" i="5" s="1"/>
  <c r="D326" i="6" s="1"/>
  <c r="C48" i="5"/>
  <c r="B48" i="5"/>
  <c r="B1291" i="5" s="1"/>
  <c r="AK47" i="5"/>
  <c r="D47" i="5"/>
  <c r="D1290" i="5" s="1"/>
  <c r="D325" i="6" s="1"/>
  <c r="C47" i="5"/>
  <c r="C1290" i="5" s="1"/>
  <c r="C325" i="6" s="1"/>
  <c r="B47" i="5"/>
  <c r="B1290" i="5" s="1"/>
  <c r="AA45" i="5"/>
  <c r="Z45" i="5"/>
  <c r="K45" i="5"/>
  <c r="E45" i="5"/>
  <c r="Z44" i="5"/>
  <c r="AA44" i="5" s="1"/>
  <c r="E44" i="5"/>
  <c r="K44" i="5" s="1"/>
  <c r="AK43" i="5"/>
  <c r="AD43" i="5"/>
  <c r="AB43" i="5"/>
  <c r="E43" i="5"/>
  <c r="K43" i="5" s="1"/>
  <c r="K46" i="5" s="1"/>
  <c r="AL42" i="5"/>
  <c r="AK42" i="5"/>
  <c r="W37" i="5"/>
  <c r="T37" i="5"/>
  <c r="R37" i="5"/>
  <c r="AK36" i="5"/>
  <c r="AL36" i="5" s="1"/>
  <c r="W36" i="5"/>
  <c r="T36" i="5"/>
  <c r="R36" i="5"/>
  <c r="AL35" i="5"/>
  <c r="AK35" i="5"/>
  <c r="T35" i="5"/>
  <c r="T34" i="5"/>
  <c r="W33" i="5"/>
  <c r="T33" i="5"/>
  <c r="R33" i="5"/>
  <c r="W32" i="5"/>
  <c r="T32" i="5"/>
  <c r="R32" i="5"/>
  <c r="T31" i="5"/>
  <c r="AK30" i="5"/>
  <c r="AI30" i="5"/>
  <c r="T30" i="5"/>
  <c r="W29" i="5"/>
  <c r="T29" i="5"/>
  <c r="U29" i="5" s="1"/>
  <c r="R29" i="5"/>
  <c r="J29" i="5"/>
  <c r="K29" i="5" s="1"/>
  <c r="L29" i="5" s="1"/>
  <c r="P29" i="5" s="1"/>
  <c r="E29" i="5"/>
  <c r="D29" i="5"/>
  <c r="G29" i="5" s="1"/>
  <c r="T28" i="5"/>
  <c r="O28" i="5"/>
  <c r="I28" i="5"/>
  <c r="C28" i="5"/>
  <c r="D28" i="5" s="1"/>
  <c r="G28" i="5" s="1"/>
  <c r="T27" i="5"/>
  <c r="AK26" i="5"/>
  <c r="AI26" i="5"/>
  <c r="AH25" i="5"/>
  <c r="AA25" i="5"/>
  <c r="Z25" i="5"/>
  <c r="Z24" i="5"/>
  <c r="C24" i="5"/>
  <c r="AK23" i="5"/>
  <c r="AI23" i="5"/>
  <c r="G23" i="5"/>
  <c r="F23" i="5"/>
  <c r="C23" i="5"/>
  <c r="F1319" i="5" s="1"/>
  <c r="AI22" i="5"/>
  <c r="C22" i="5"/>
  <c r="AI21" i="5"/>
  <c r="F21" i="5"/>
  <c r="F24" i="5" s="1"/>
  <c r="C21" i="5"/>
  <c r="E720" i="5" s="1"/>
  <c r="E294" i="10" s="1"/>
  <c r="G20" i="5"/>
  <c r="F20" i="5"/>
  <c r="Z21" i="5" s="1"/>
  <c r="C20" i="5"/>
  <c r="C27" i="5" s="1"/>
  <c r="D27" i="5" s="1"/>
  <c r="C19" i="5"/>
  <c r="R18" i="5"/>
  <c r="F18" i="5"/>
  <c r="C18" i="5"/>
  <c r="E1319" i="5" s="1"/>
  <c r="AA17" i="5"/>
  <c r="D17" i="5"/>
  <c r="C17" i="5"/>
  <c r="F17" i="5" s="1"/>
  <c r="AJ16" i="5"/>
  <c r="AI16" i="5"/>
  <c r="Z16" i="5"/>
  <c r="Z19" i="5" s="1"/>
  <c r="Z56" i="5" s="1"/>
  <c r="G16" i="5"/>
  <c r="F16" i="5"/>
  <c r="Z17" i="5" s="1"/>
  <c r="Z51" i="5" s="1"/>
  <c r="D16" i="5"/>
  <c r="C16" i="5"/>
  <c r="AI15" i="5"/>
  <c r="AB15" i="5"/>
  <c r="D15" i="5"/>
  <c r="C15" i="5"/>
  <c r="H4" i="13" s="1"/>
  <c r="AJ14" i="5"/>
  <c r="AJ13" i="5"/>
  <c r="Y13" i="5"/>
  <c r="AJ11" i="5"/>
  <c r="AI11" i="5"/>
  <c r="X11" i="5"/>
  <c r="AJ10" i="5"/>
  <c r="AI10" i="5"/>
  <c r="Q10" i="5"/>
  <c r="AJ9" i="5"/>
  <c r="AI9" i="5"/>
  <c r="Q9" i="5"/>
  <c r="J9" i="5"/>
  <c r="Q8" i="5"/>
  <c r="J8" i="5"/>
  <c r="AJ7" i="5"/>
  <c r="Q7" i="5"/>
  <c r="J7" i="5"/>
  <c r="J6" i="5"/>
  <c r="Q5" i="5"/>
  <c r="R5" i="5" s="1"/>
  <c r="J5" i="5"/>
  <c r="AJ4" i="5"/>
  <c r="AI4" i="5"/>
  <c r="J1133" i="5" s="1"/>
  <c r="J4" i="5"/>
  <c r="AI3" i="5"/>
  <c r="J1132" i="5" s="1"/>
  <c r="C2" i="5"/>
  <c r="B276" i="4"/>
  <c r="B273" i="4"/>
  <c r="B274" i="4" s="1"/>
  <c r="D260" i="4"/>
  <c r="E2465" i="13" s="1"/>
  <c r="E2457" i="15" s="1"/>
  <c r="G2457" i="15" s="1"/>
  <c r="C260" i="4"/>
  <c r="D2465" i="13" s="1"/>
  <c r="B260" i="4"/>
  <c r="C2465" i="13" s="1"/>
  <c r="C2457" i="15" s="1"/>
  <c r="A260" i="4"/>
  <c r="B2465" i="13" s="1"/>
  <c r="B2457" i="15" s="1"/>
  <c r="D259" i="4"/>
  <c r="C259" i="4"/>
  <c r="D2400" i="13" s="1"/>
  <c r="B259" i="4"/>
  <c r="A259" i="4"/>
  <c r="B2400" i="13" s="1"/>
  <c r="B2393" i="15" s="1"/>
  <c r="C258" i="4"/>
  <c r="D2399" i="13" s="1"/>
  <c r="B258" i="4"/>
  <c r="A258" i="4"/>
  <c r="D257" i="4"/>
  <c r="E1728" i="13" s="1"/>
  <c r="A257" i="4"/>
  <c r="B1728" i="13" s="1"/>
  <c r="D256" i="4"/>
  <c r="E1727" i="13" s="1"/>
  <c r="A256" i="4"/>
  <c r="B1727" i="13" s="1"/>
  <c r="D255" i="4"/>
  <c r="E1726" i="13" s="1"/>
  <c r="A255" i="4"/>
  <c r="B1726" i="13" s="1"/>
  <c r="D254" i="4"/>
  <c r="E1725" i="13" s="1"/>
  <c r="A254" i="4"/>
  <c r="B1725" i="13" s="1"/>
  <c r="D253" i="4"/>
  <c r="E1724" i="13" s="1"/>
  <c r="A253" i="4"/>
  <c r="B1724" i="13" s="1"/>
  <c r="D252" i="4"/>
  <c r="E1723" i="13" s="1"/>
  <c r="A252" i="4"/>
  <c r="B1723" i="13" s="1"/>
  <c r="D251" i="4"/>
  <c r="E1722" i="13" s="1"/>
  <c r="A251" i="4"/>
  <c r="B1722" i="13" s="1"/>
  <c r="D250" i="4"/>
  <c r="E1721" i="13" s="1"/>
  <c r="A250" i="4"/>
  <c r="B1721" i="13" s="1"/>
  <c r="D249" i="4"/>
  <c r="E1720" i="13" s="1"/>
  <c r="A249" i="4"/>
  <c r="B1720" i="13" s="1"/>
  <c r="D248" i="4"/>
  <c r="E1719" i="13" s="1"/>
  <c r="A248" i="4"/>
  <c r="B1719" i="13" s="1"/>
  <c r="D247" i="4"/>
  <c r="E1718" i="13" s="1"/>
  <c r="A247" i="4"/>
  <c r="B1718" i="13" s="1"/>
  <c r="D246" i="4"/>
  <c r="E1717" i="13" s="1"/>
  <c r="A246" i="4"/>
  <c r="B1717" i="13" s="1"/>
  <c r="D245" i="4"/>
  <c r="E1716" i="13" s="1"/>
  <c r="A245" i="4"/>
  <c r="B1716" i="13" s="1"/>
  <c r="D244" i="4"/>
  <c r="E1715" i="13" s="1"/>
  <c r="B244" i="4"/>
  <c r="C1715" i="13" s="1"/>
  <c r="A244" i="4"/>
  <c r="B1715" i="13" s="1"/>
  <c r="D243" i="4"/>
  <c r="E1714" i="13" s="1"/>
  <c r="B243" i="4"/>
  <c r="C1714" i="13" s="1"/>
  <c r="A243" i="4"/>
  <c r="B1714" i="13" s="1"/>
  <c r="D242" i="4"/>
  <c r="E1713" i="13" s="1"/>
  <c r="B242" i="4"/>
  <c r="C1713" i="13" s="1"/>
  <c r="A242" i="4"/>
  <c r="B1713" i="13" s="1"/>
  <c r="D241" i="4"/>
  <c r="E1712" i="13" s="1"/>
  <c r="B241" i="4"/>
  <c r="C1712" i="13" s="1"/>
  <c r="A241" i="4"/>
  <c r="B1712" i="13" s="1"/>
  <c r="D240" i="4"/>
  <c r="E1711" i="13" s="1"/>
  <c r="B240" i="4"/>
  <c r="C1711" i="13" s="1"/>
  <c r="A240" i="4"/>
  <c r="B1711" i="13" s="1"/>
  <c r="D239" i="4"/>
  <c r="E1710" i="13" s="1"/>
  <c r="B239" i="4"/>
  <c r="C1710" i="13" s="1"/>
  <c r="A239" i="4"/>
  <c r="B1710" i="13" s="1"/>
  <c r="D238" i="4"/>
  <c r="E1709" i="13" s="1"/>
  <c r="B238" i="4"/>
  <c r="C1709" i="13" s="1"/>
  <c r="A238" i="4"/>
  <c r="B1709" i="13" s="1"/>
  <c r="D237" i="4"/>
  <c r="E1708" i="13" s="1"/>
  <c r="B237" i="4"/>
  <c r="C1708" i="13" s="1"/>
  <c r="A237" i="4"/>
  <c r="B1708" i="13" s="1"/>
  <c r="D236" i="4"/>
  <c r="E1707" i="13" s="1"/>
  <c r="B236" i="4"/>
  <c r="C1707" i="13" s="1"/>
  <c r="A236" i="4"/>
  <c r="B1707" i="13" s="1"/>
  <c r="D235" i="4"/>
  <c r="E1706" i="13" s="1"/>
  <c r="B235" i="4"/>
  <c r="C1706" i="13" s="1"/>
  <c r="A235" i="4"/>
  <c r="B1706" i="13" s="1"/>
  <c r="A234" i="4"/>
  <c r="B1705" i="13" s="1"/>
  <c r="D233" i="4"/>
  <c r="E1704" i="13" s="1"/>
  <c r="B233" i="4"/>
  <c r="C1704" i="13" s="1"/>
  <c r="A233" i="4"/>
  <c r="B1704" i="13" s="1"/>
  <c r="D232" i="4"/>
  <c r="E1703" i="13" s="1"/>
  <c r="B232" i="4"/>
  <c r="C1703" i="13" s="1"/>
  <c r="A232" i="4"/>
  <c r="B1703" i="13" s="1"/>
  <c r="D231" i="4"/>
  <c r="E1702" i="13" s="1"/>
  <c r="B231" i="4"/>
  <c r="C1702" i="13" s="1"/>
  <c r="A231" i="4"/>
  <c r="B1702" i="13" s="1"/>
  <c r="D230" i="4"/>
  <c r="E1701" i="13" s="1"/>
  <c r="B230" i="4"/>
  <c r="C1701" i="13" s="1"/>
  <c r="A230" i="4"/>
  <c r="B1701" i="13" s="1"/>
  <c r="D229" i="4"/>
  <c r="E1700" i="13" s="1"/>
  <c r="B229" i="4"/>
  <c r="C1700" i="13" s="1"/>
  <c r="A229" i="4"/>
  <c r="B1700" i="13" s="1"/>
  <c r="L228" i="4"/>
  <c r="D228" i="4"/>
  <c r="E1699" i="13" s="1"/>
  <c r="B228" i="4"/>
  <c r="C1699" i="13" s="1"/>
  <c r="A228" i="4"/>
  <c r="B1699" i="13" s="1"/>
  <c r="K227" i="4"/>
  <c r="E1747" i="13" s="1"/>
  <c r="H227" i="4"/>
  <c r="B1747" i="13" s="1"/>
  <c r="D227" i="4"/>
  <c r="E1698" i="13" s="1"/>
  <c r="B227" i="4"/>
  <c r="C1698" i="13" s="1"/>
  <c r="A227" i="4"/>
  <c r="B1698" i="13" s="1"/>
  <c r="K226" i="4"/>
  <c r="E1746" i="13" s="1"/>
  <c r="H226" i="4"/>
  <c r="B1746" i="13" s="1"/>
  <c r="D226" i="4"/>
  <c r="E1697" i="13" s="1"/>
  <c r="K225" i="4"/>
  <c r="E1745" i="13" s="1"/>
  <c r="H225" i="4"/>
  <c r="B1745" i="13" s="1"/>
  <c r="D225" i="4"/>
  <c r="E1696" i="13" s="1"/>
  <c r="A225" i="4"/>
  <c r="B1696" i="13" s="1"/>
  <c r="K223" i="4"/>
  <c r="E1744" i="13" s="1"/>
  <c r="H223" i="4"/>
  <c r="B1744" i="13" s="1"/>
  <c r="D223" i="4"/>
  <c r="A223" i="4"/>
  <c r="B1695" i="13" s="1"/>
  <c r="K222" i="4"/>
  <c r="E1743" i="13" s="1"/>
  <c r="H222" i="4"/>
  <c r="B1743" i="13" s="1"/>
  <c r="D222" i="4"/>
  <c r="E1694" i="13" s="1"/>
  <c r="A222" i="4"/>
  <c r="B1694" i="13" s="1"/>
  <c r="K221" i="4"/>
  <c r="E1742" i="13" s="1"/>
  <c r="H221" i="4"/>
  <c r="B1742" i="13" s="1"/>
  <c r="D221" i="4"/>
  <c r="E1693" i="13" s="1"/>
  <c r="A221" i="4"/>
  <c r="B1693" i="13" s="1"/>
  <c r="K220" i="4"/>
  <c r="E1741" i="13" s="1"/>
  <c r="H220" i="4"/>
  <c r="B1741" i="13" s="1"/>
  <c r="D220" i="4"/>
  <c r="E1692" i="13" s="1"/>
  <c r="A220" i="4"/>
  <c r="B1692" i="13" s="1"/>
  <c r="K219" i="4"/>
  <c r="E1740" i="13" s="1"/>
  <c r="H219" i="4"/>
  <c r="B1740" i="13" s="1"/>
  <c r="D219" i="4"/>
  <c r="E1691" i="13" s="1"/>
  <c r="K218" i="4"/>
  <c r="E1739" i="13" s="1"/>
  <c r="H218" i="4"/>
  <c r="B1739" i="13" s="1"/>
  <c r="A218" i="4"/>
  <c r="B1690" i="13" s="1"/>
  <c r="K217" i="4"/>
  <c r="E1738" i="13" s="1"/>
  <c r="H217" i="4"/>
  <c r="B1738" i="13" s="1"/>
  <c r="A217" i="4"/>
  <c r="B1689" i="13" s="1"/>
  <c r="K216" i="4"/>
  <c r="E1737" i="13" s="1"/>
  <c r="H216" i="4"/>
  <c r="B1737" i="13" s="1"/>
  <c r="A216" i="4"/>
  <c r="B1688" i="13" s="1"/>
  <c r="K215" i="4"/>
  <c r="E1736" i="13" s="1"/>
  <c r="H215" i="4"/>
  <c r="B1736" i="13" s="1"/>
  <c r="F215" i="4"/>
  <c r="A215" i="4"/>
  <c r="B1687" i="13" s="1"/>
  <c r="K214" i="4"/>
  <c r="E1735" i="13" s="1"/>
  <c r="H214" i="4"/>
  <c r="B1735" i="13" s="1"/>
  <c r="F214" i="4"/>
  <c r="D214" i="4"/>
  <c r="E1686" i="13" s="1"/>
  <c r="A214" i="4"/>
  <c r="B1686" i="13" s="1"/>
  <c r="K213" i="4"/>
  <c r="E1734" i="13" s="1"/>
  <c r="H213" i="4"/>
  <c r="B1734" i="13" s="1"/>
  <c r="F213" i="4"/>
  <c r="D213" i="4"/>
  <c r="E1685" i="13" s="1"/>
  <c r="K212" i="4"/>
  <c r="E1733" i="13" s="1"/>
  <c r="H212" i="4"/>
  <c r="B1733" i="13" s="1"/>
  <c r="D212" i="4"/>
  <c r="E1684" i="13" s="1"/>
  <c r="A212" i="4"/>
  <c r="B1684" i="13" s="1"/>
  <c r="K211" i="4"/>
  <c r="E1732" i="13" s="1"/>
  <c r="H211" i="4"/>
  <c r="B1732" i="13" s="1"/>
  <c r="D211" i="4"/>
  <c r="E1683" i="13" s="1"/>
  <c r="A211" i="4"/>
  <c r="B1683" i="13" s="1"/>
  <c r="K210" i="4"/>
  <c r="E1731" i="13" s="1"/>
  <c r="H210" i="4"/>
  <c r="B1731" i="13" s="1"/>
  <c r="D210" i="4"/>
  <c r="E1682" i="13" s="1"/>
  <c r="A210" i="4"/>
  <c r="B1682" i="13" s="1"/>
  <c r="Q207" i="4"/>
  <c r="Q198" i="4"/>
  <c r="Q197" i="4"/>
  <c r="F195" i="4"/>
  <c r="K195" i="4" s="1"/>
  <c r="P195" i="4" s="1"/>
  <c r="E195" i="4"/>
  <c r="J195" i="4" s="1"/>
  <c r="O195" i="4" s="1"/>
  <c r="D195" i="4"/>
  <c r="I195" i="4" s="1"/>
  <c r="N195" i="4" s="1"/>
  <c r="C195" i="4"/>
  <c r="H195" i="4" s="1"/>
  <c r="M195" i="4" s="1"/>
  <c r="F194" i="4"/>
  <c r="K194" i="4" s="1"/>
  <c r="P194" i="4" s="1"/>
  <c r="E194" i="4"/>
  <c r="J194" i="4" s="1"/>
  <c r="O194" i="4" s="1"/>
  <c r="D194" i="4"/>
  <c r="I194" i="4" s="1"/>
  <c r="N194" i="4" s="1"/>
  <c r="C194" i="4"/>
  <c r="H194" i="4" s="1"/>
  <c r="M194" i="4" s="1"/>
  <c r="F193" i="4"/>
  <c r="K193" i="4" s="1"/>
  <c r="P193" i="4" s="1"/>
  <c r="E193" i="4"/>
  <c r="J193" i="4" s="1"/>
  <c r="O193" i="4" s="1"/>
  <c r="D193" i="4"/>
  <c r="I193" i="4" s="1"/>
  <c r="N193" i="4" s="1"/>
  <c r="C193" i="4"/>
  <c r="H193" i="4" s="1"/>
  <c r="M193" i="4" s="1"/>
  <c r="F192" i="4"/>
  <c r="K192" i="4" s="1"/>
  <c r="P192" i="4" s="1"/>
  <c r="E192" i="4"/>
  <c r="J192" i="4" s="1"/>
  <c r="O192" i="4" s="1"/>
  <c r="D192" i="4"/>
  <c r="I192" i="4" s="1"/>
  <c r="N192" i="4" s="1"/>
  <c r="C192" i="4"/>
  <c r="H192" i="4" s="1"/>
  <c r="M192" i="4" s="1"/>
  <c r="P191" i="4"/>
  <c r="O191" i="4"/>
  <c r="N191" i="4"/>
  <c r="M191" i="4"/>
  <c r="K190" i="4"/>
  <c r="J190" i="4"/>
  <c r="I190" i="4"/>
  <c r="H190" i="4"/>
  <c r="F189" i="4"/>
  <c r="E189" i="4"/>
  <c r="D189" i="4"/>
  <c r="C189" i="4"/>
  <c r="AE187" i="4"/>
  <c r="AL53" i="5" s="1"/>
  <c r="L185" i="4"/>
  <c r="Q185" i="4" s="1"/>
  <c r="J185" i="4"/>
  <c r="O185" i="4" s="1"/>
  <c r="I185" i="4"/>
  <c r="N185" i="4" s="1"/>
  <c r="H185" i="4"/>
  <c r="M185" i="4" s="1"/>
  <c r="G184" i="4"/>
  <c r="G183" i="4"/>
  <c r="P180" i="4"/>
  <c r="N180" i="4"/>
  <c r="M180" i="4"/>
  <c r="K180" i="4"/>
  <c r="I180" i="4"/>
  <c r="H180" i="4"/>
  <c r="P179" i="4"/>
  <c r="O179" i="4"/>
  <c r="N179" i="4"/>
  <c r="M179" i="4"/>
  <c r="K179" i="4"/>
  <c r="J179" i="4"/>
  <c r="I179" i="4"/>
  <c r="H179" i="4"/>
  <c r="L179" i="4" s="1"/>
  <c r="O158" i="4"/>
  <c r="M158" i="4"/>
  <c r="K158" i="4"/>
  <c r="P158" i="4" s="1"/>
  <c r="J158" i="4"/>
  <c r="I158" i="4"/>
  <c r="N158" i="4" s="1"/>
  <c r="H158" i="4"/>
  <c r="L158" i="4" s="1"/>
  <c r="K151" i="4"/>
  <c r="J151" i="4"/>
  <c r="I151" i="4"/>
  <c r="H151" i="4"/>
  <c r="F151" i="4"/>
  <c r="E151" i="4"/>
  <c r="D151" i="4"/>
  <c r="C151" i="4"/>
  <c r="K150" i="4"/>
  <c r="J150" i="4"/>
  <c r="I150" i="4"/>
  <c r="H150" i="4"/>
  <c r="F150" i="4"/>
  <c r="E150" i="4"/>
  <c r="E156" i="4" s="1"/>
  <c r="D150" i="4"/>
  <c r="C150" i="4"/>
  <c r="C156" i="4" s="1"/>
  <c r="F132" i="4"/>
  <c r="D132" i="4"/>
  <c r="C132" i="4"/>
  <c r="E132" i="4" s="1"/>
  <c r="A132" i="4"/>
  <c r="C131" i="4"/>
  <c r="M131" i="4" s="1"/>
  <c r="A131" i="4"/>
  <c r="F130" i="4"/>
  <c r="D130" i="4"/>
  <c r="C130" i="4"/>
  <c r="M130" i="4" s="1"/>
  <c r="A130" i="4"/>
  <c r="E129" i="4"/>
  <c r="C129" i="4"/>
  <c r="D129" i="4" s="1"/>
  <c r="E128" i="4"/>
  <c r="C128" i="4"/>
  <c r="D128" i="4" s="1"/>
  <c r="E127" i="4"/>
  <c r="C127" i="4"/>
  <c r="D127" i="4" s="1"/>
  <c r="A127" i="4"/>
  <c r="C126" i="4"/>
  <c r="E126" i="4" s="1"/>
  <c r="F125" i="4"/>
  <c r="D125" i="4"/>
  <c r="C125" i="4"/>
  <c r="E125" i="4" s="1"/>
  <c r="F121" i="4"/>
  <c r="D121" i="4"/>
  <c r="C121" i="4"/>
  <c r="E121" i="4" s="1"/>
  <c r="F120" i="4"/>
  <c r="D120" i="4"/>
  <c r="C120" i="4"/>
  <c r="E120" i="4" s="1"/>
  <c r="F119" i="4"/>
  <c r="D119" i="4"/>
  <c r="C119" i="4"/>
  <c r="E119" i="4" s="1"/>
  <c r="F118" i="4"/>
  <c r="D118" i="4"/>
  <c r="C118" i="4"/>
  <c r="E118" i="4" s="1"/>
  <c r="Q115" i="4"/>
  <c r="Q114" i="4"/>
  <c r="Q111" i="4"/>
  <c r="R110" i="4" s="1"/>
  <c r="R107" i="4"/>
  <c r="F106" i="4"/>
  <c r="F109" i="4" s="1"/>
  <c r="Q88" i="4"/>
  <c r="Q87" i="4"/>
  <c r="N84" i="4"/>
  <c r="I84" i="4"/>
  <c r="D84" i="4"/>
  <c r="Q83" i="4"/>
  <c r="L83" i="4"/>
  <c r="Q82" i="4"/>
  <c r="L82" i="4"/>
  <c r="F82" i="4"/>
  <c r="K82" i="4" s="1"/>
  <c r="P82" i="4" s="1"/>
  <c r="E82" i="4"/>
  <c r="J82" i="4" s="1"/>
  <c r="O82" i="4" s="1"/>
  <c r="D82" i="4"/>
  <c r="I82" i="4" s="1"/>
  <c r="N82" i="4" s="1"/>
  <c r="C82" i="4"/>
  <c r="H82" i="4" s="1"/>
  <c r="M82" i="4" s="1"/>
  <c r="AF81" i="4"/>
  <c r="AL41" i="5" s="1"/>
  <c r="L81" i="4"/>
  <c r="Q81" i="4" s="1"/>
  <c r="H81" i="4"/>
  <c r="M81" i="4" s="1"/>
  <c r="F81" i="4"/>
  <c r="K81" i="4" s="1"/>
  <c r="P81" i="4" s="1"/>
  <c r="E81" i="4"/>
  <c r="J81" i="4" s="1"/>
  <c r="O81" i="4" s="1"/>
  <c r="D81" i="4"/>
  <c r="I81" i="4" s="1"/>
  <c r="N81" i="4" s="1"/>
  <c r="P57" i="4"/>
  <c r="O57" i="4"/>
  <c r="N57" i="4"/>
  <c r="M57" i="4"/>
  <c r="F55" i="4"/>
  <c r="K55" i="4" s="1"/>
  <c r="P55" i="4" s="1"/>
  <c r="E55" i="4"/>
  <c r="J55" i="4" s="1"/>
  <c r="O55" i="4" s="1"/>
  <c r="D55" i="4"/>
  <c r="I55" i="4" s="1"/>
  <c r="N55" i="4" s="1"/>
  <c r="C55" i="4"/>
  <c r="H55" i="4" s="1"/>
  <c r="M55" i="4" s="1"/>
  <c r="AN54" i="4"/>
  <c r="F54" i="4"/>
  <c r="K54" i="4" s="1"/>
  <c r="P54" i="4" s="1"/>
  <c r="E54" i="4"/>
  <c r="J54" i="4" s="1"/>
  <c r="O54" i="4" s="1"/>
  <c r="D54" i="4"/>
  <c r="I54" i="4" s="1"/>
  <c r="N54" i="4" s="1"/>
  <c r="C54" i="4"/>
  <c r="H54" i="4" s="1"/>
  <c r="M54" i="4" s="1"/>
  <c r="F53" i="4"/>
  <c r="K53" i="4" s="1"/>
  <c r="P53" i="4" s="1"/>
  <c r="E53" i="4"/>
  <c r="J53" i="4" s="1"/>
  <c r="O53" i="4" s="1"/>
  <c r="D53" i="4"/>
  <c r="I53" i="4" s="1"/>
  <c r="N53" i="4" s="1"/>
  <c r="C53" i="4"/>
  <c r="H53" i="4" s="1"/>
  <c r="M53" i="4" s="1"/>
  <c r="AN52" i="4"/>
  <c r="F52" i="4"/>
  <c r="K52" i="4" s="1"/>
  <c r="P52" i="4" s="1"/>
  <c r="E52" i="4"/>
  <c r="J52" i="4" s="1"/>
  <c r="O52" i="4" s="1"/>
  <c r="D52" i="4"/>
  <c r="I52" i="4" s="1"/>
  <c r="N52" i="4" s="1"/>
  <c r="C52" i="4"/>
  <c r="H52" i="4" s="1"/>
  <c r="M52" i="4" s="1"/>
  <c r="AN51" i="4"/>
  <c r="AN50" i="4"/>
  <c r="AO51" i="4" s="1"/>
  <c r="AO42" i="4"/>
  <c r="AN42" i="4"/>
  <c r="AN41" i="4"/>
  <c r="AN40" i="4"/>
  <c r="AN55" i="4" s="1"/>
  <c r="F40" i="4"/>
  <c r="F1080" i="5" s="1"/>
  <c r="E40" i="4"/>
  <c r="E1080" i="5" s="1"/>
  <c r="D40" i="4"/>
  <c r="D1080" i="5" s="1"/>
  <c r="C40" i="4"/>
  <c r="C1080" i="5" s="1"/>
  <c r="F39" i="4"/>
  <c r="E39" i="4"/>
  <c r="E140" i="4" s="1"/>
  <c r="D39" i="4"/>
  <c r="C39" i="4"/>
  <c r="C140" i="4" s="1"/>
  <c r="F38" i="4"/>
  <c r="K38" i="4" s="1"/>
  <c r="P38" i="4" s="1"/>
  <c r="E38" i="4"/>
  <c r="J38" i="4" s="1"/>
  <c r="O38" i="4" s="1"/>
  <c r="D38" i="4"/>
  <c r="I38" i="4" s="1"/>
  <c r="N38" i="4" s="1"/>
  <c r="C38" i="4"/>
  <c r="D141" i="8" s="1"/>
  <c r="F37" i="4"/>
  <c r="F1075" i="5" s="1"/>
  <c r="E37" i="4"/>
  <c r="E1075" i="5" s="1"/>
  <c r="D37" i="4"/>
  <c r="D1075" i="5" s="1"/>
  <c r="C37" i="4"/>
  <c r="C1075" i="5" s="1"/>
  <c r="F36" i="4"/>
  <c r="E36" i="4"/>
  <c r="D36" i="4"/>
  <c r="D107" i="4" s="1"/>
  <c r="C36" i="4"/>
  <c r="H36" i="4" s="1"/>
  <c r="K35" i="4"/>
  <c r="I35" i="4"/>
  <c r="F35" i="4"/>
  <c r="E35" i="4"/>
  <c r="J35" i="4" s="1"/>
  <c r="D35" i="4"/>
  <c r="C35" i="4"/>
  <c r="D142" i="8" s="1"/>
  <c r="AQ34" i="4"/>
  <c r="AM34" i="4"/>
  <c r="K34" i="4"/>
  <c r="F34" i="4"/>
  <c r="E34" i="4"/>
  <c r="D34" i="4"/>
  <c r="K33" i="4"/>
  <c r="I33" i="4"/>
  <c r="F33" i="4"/>
  <c r="E33" i="4"/>
  <c r="D33" i="4"/>
  <c r="AQ31" i="4"/>
  <c r="AM31" i="4"/>
  <c r="F27" i="4"/>
  <c r="K27" i="4" s="1"/>
  <c r="E27" i="4"/>
  <c r="J27" i="4" s="1"/>
  <c r="D27" i="4"/>
  <c r="C27" i="4"/>
  <c r="H27" i="4" s="1"/>
  <c r="M27" i="4" s="1"/>
  <c r="F26" i="4"/>
  <c r="K26" i="4" s="1"/>
  <c r="E26" i="4"/>
  <c r="J26" i="4" s="1"/>
  <c r="D26" i="4"/>
  <c r="C26" i="4"/>
  <c r="H26" i="4" s="1"/>
  <c r="M26" i="4" s="1"/>
  <c r="J25" i="4"/>
  <c r="H25" i="4"/>
  <c r="M25" i="4" s="1"/>
  <c r="F25" i="4"/>
  <c r="K25" i="4" s="1"/>
  <c r="E25" i="4"/>
  <c r="D25" i="4"/>
  <c r="C25" i="4"/>
  <c r="N23" i="4"/>
  <c r="I23" i="4"/>
  <c r="H23" i="4"/>
  <c r="N22" i="4"/>
  <c r="I22" i="4"/>
  <c r="H22" i="4"/>
  <c r="N21" i="4"/>
  <c r="I21" i="4"/>
  <c r="H21" i="4"/>
  <c r="P15" i="4"/>
  <c r="O15" i="4"/>
  <c r="M15" i="4"/>
  <c r="M14" i="4"/>
  <c r="AQ11" i="4"/>
  <c r="AM11" i="4"/>
  <c r="AN11" i="4" s="1"/>
  <c r="AQ10" i="4"/>
  <c r="AM10" i="4"/>
  <c r="AN10" i="4" s="1"/>
  <c r="AQ9" i="4"/>
  <c r="AM9" i="4"/>
  <c r="AN9" i="4" s="1"/>
  <c r="AQ8" i="4"/>
  <c r="AM8" i="4"/>
  <c r="AN8" i="4" s="1"/>
  <c r="AQ5" i="4"/>
  <c r="AM5" i="4"/>
  <c r="AM38" i="4" s="1"/>
  <c r="AD5" i="4"/>
  <c r="F5" i="4"/>
  <c r="K5" i="4" s="1"/>
  <c r="E5" i="4"/>
  <c r="J5" i="4" s="1"/>
  <c r="D5" i="4"/>
  <c r="I5" i="4" s="1"/>
  <c r="C5" i="4"/>
  <c r="H5" i="4" s="1"/>
  <c r="F4" i="4"/>
  <c r="P4" i="4" s="1"/>
  <c r="E4" i="4"/>
  <c r="O4" i="4" s="1"/>
  <c r="D4" i="4"/>
  <c r="N4" i="4" s="1"/>
  <c r="C4" i="4"/>
  <c r="M4" i="4" s="1"/>
  <c r="P3" i="4"/>
  <c r="O3" i="4"/>
  <c r="N3" i="4"/>
  <c r="M3" i="4"/>
  <c r="K3" i="4"/>
  <c r="J3" i="4"/>
  <c r="I3" i="4"/>
  <c r="H3" i="4"/>
  <c r="F3" i="4"/>
  <c r="E3" i="4"/>
  <c r="D3" i="4"/>
  <c r="C3" i="4"/>
  <c r="I2" i="4"/>
  <c r="AF191" i="4" s="1"/>
  <c r="E1285" i="5" s="1"/>
  <c r="I2187" i="5" s="1"/>
  <c r="H2" i="4"/>
  <c r="K1203" i="5" s="1"/>
  <c r="D2" i="4"/>
  <c r="H1" i="4"/>
  <c r="K1202" i="5" s="1"/>
  <c r="AV1372" i="3"/>
  <c r="AV1352" i="3"/>
  <c r="AV1325" i="3"/>
  <c r="AV1310" i="3"/>
  <c r="AV1294" i="3"/>
  <c r="AV1262" i="3"/>
  <c r="AV1216" i="3"/>
  <c r="AV1163" i="3"/>
  <c r="AV1150" i="3"/>
  <c r="AV1121" i="3"/>
  <c r="AV1067" i="3"/>
  <c r="AV1018" i="3"/>
  <c r="AV991" i="3"/>
  <c r="E942" i="3"/>
  <c r="E939" i="3"/>
  <c r="E920" i="3"/>
  <c r="E917" i="3"/>
  <c r="E904" i="3"/>
  <c r="E901" i="3"/>
  <c r="E896" i="3"/>
  <c r="AV890" i="3"/>
  <c r="A849" i="3"/>
  <c r="AV822" i="3"/>
  <c r="C798" i="3"/>
  <c r="AV764" i="3"/>
  <c r="AV714" i="3"/>
  <c r="AA699" i="3"/>
  <c r="AF697" i="3"/>
  <c r="BC529" i="3"/>
  <c r="AY529" i="3"/>
  <c r="J2101" i="5" s="1"/>
  <c r="E2098" i="5" s="1"/>
  <c r="G2098" i="5" s="1"/>
  <c r="BC528" i="3"/>
  <c r="AY528" i="3"/>
  <c r="J2099" i="5" s="1"/>
  <c r="BC527" i="3"/>
  <c r="AY527" i="3"/>
  <c r="J2097" i="5" s="1"/>
  <c r="E2096" i="5" s="1"/>
  <c r="BC526" i="3"/>
  <c r="AY526" i="3"/>
  <c r="J2095" i="5" s="1"/>
  <c r="E2095" i="5" s="1"/>
  <c r="BC525" i="3"/>
  <c r="AY524" i="3"/>
  <c r="J2096" i="5" s="1"/>
  <c r="AY523" i="3"/>
  <c r="AY522" i="3"/>
  <c r="AY521" i="3"/>
  <c r="AY520" i="3"/>
  <c r="BD469" i="3"/>
  <c r="BD468" i="3"/>
  <c r="BD467" i="3"/>
  <c r="BD444" i="3"/>
  <c r="P1261" i="5" s="1"/>
  <c r="J1274" i="5" s="1"/>
  <c r="BD443" i="3"/>
  <c r="P1260" i="5" s="1"/>
  <c r="J1271" i="5" s="1"/>
  <c r="BD442" i="3"/>
  <c r="P1259" i="5" s="1"/>
  <c r="BD441" i="3"/>
  <c r="P1258" i="5" s="1"/>
  <c r="BD440" i="3"/>
  <c r="P1246" i="5" s="1"/>
  <c r="BD439" i="3"/>
  <c r="P1245" i="5" s="1"/>
  <c r="BD438" i="3"/>
  <c r="P1244" i="5" s="1"/>
  <c r="BD437" i="3"/>
  <c r="P1243" i="5" s="1"/>
  <c r="BD436" i="3"/>
  <c r="P1241" i="5" s="1"/>
  <c r="BD434" i="3"/>
  <c r="P1239" i="5" s="1"/>
  <c r="C1240" i="5" s="1"/>
  <c r="BD433" i="3"/>
  <c r="P1238" i="5" s="1"/>
  <c r="BD431" i="3"/>
  <c r="P1236" i="5" s="1"/>
  <c r="BD429" i="3"/>
  <c r="P1234" i="5" s="1"/>
  <c r="C1246" i="5" s="1"/>
  <c r="BD428" i="3"/>
  <c r="P1233" i="5" s="1"/>
  <c r="C1241" i="5" s="1"/>
  <c r="E395" i="5" s="1"/>
  <c r="BD427" i="3"/>
  <c r="P1232" i="5" s="1"/>
  <c r="BD426" i="3"/>
  <c r="P1229" i="5" s="1"/>
  <c r="C1244" i="5" s="1"/>
  <c r="C183" i="8" s="1"/>
  <c r="BD425" i="3"/>
  <c r="BD424" i="3"/>
  <c r="BD423" i="3"/>
  <c r="BD422" i="3"/>
  <c r="BD376" i="3"/>
  <c r="AD41" i="4" s="1"/>
  <c r="BD375" i="3"/>
  <c r="AD40" i="4" s="1"/>
  <c r="BD374" i="3"/>
  <c r="AD39" i="4" s="1"/>
  <c r="BD373" i="3"/>
  <c r="AD38" i="4" s="1"/>
  <c r="BD372" i="3"/>
  <c r="BD371" i="3"/>
  <c r="AD34" i="4" s="1"/>
  <c r="BD370" i="3"/>
  <c r="AD31" i="4" s="1"/>
  <c r="BD368" i="3"/>
  <c r="AD10" i="4" s="1"/>
  <c r="BD367" i="3"/>
  <c r="AD8" i="4" s="1"/>
  <c r="BD366" i="3"/>
  <c r="BD365" i="3"/>
  <c r="AD3" i="4" s="1"/>
  <c r="BD364" i="3"/>
  <c r="AF55" i="4" s="1"/>
  <c r="BD363" i="3"/>
  <c r="AF54" i="4" s="1"/>
  <c r="AK50" i="5" s="1"/>
  <c r="BD362" i="3"/>
  <c r="AF52" i="4" s="1"/>
  <c r="BD361" i="3"/>
  <c r="AF51" i="4" s="1"/>
  <c r="BD360" i="3"/>
  <c r="AF50" i="4" s="1"/>
  <c r="C34" i="4" s="1"/>
  <c r="BD359" i="3"/>
  <c r="AF42" i="4" s="1"/>
  <c r="C329" i="3"/>
  <c r="BD328" i="3"/>
  <c r="F1212" i="5" s="1"/>
  <c r="F1213" i="5" s="1"/>
  <c r="BD327" i="3"/>
  <c r="E1212" i="5" s="1"/>
  <c r="E1213" i="5" s="1"/>
  <c r="E1214" i="5" s="1"/>
  <c r="BD326" i="3"/>
  <c r="BD324" i="3"/>
  <c r="BD323" i="3"/>
  <c r="BD321" i="3"/>
  <c r="BD320" i="3"/>
  <c r="BD318" i="3"/>
  <c r="BD292" i="3"/>
  <c r="K1127" i="5" s="1"/>
  <c r="K1128" i="5" s="1"/>
  <c r="BD291" i="3"/>
  <c r="K1125" i="5" s="1"/>
  <c r="K1126" i="5" s="1"/>
  <c r="BD290" i="3"/>
  <c r="K1123" i="5" s="1"/>
  <c r="K1124" i="5" s="1"/>
  <c r="BD289" i="3"/>
  <c r="K1122" i="5" s="1"/>
  <c r="AJ6" i="5" s="1"/>
  <c r="BD288" i="3"/>
  <c r="K1119" i="5" s="1"/>
  <c r="BD287" i="3"/>
  <c r="K1120" i="5" s="1"/>
  <c r="BD286" i="3"/>
  <c r="K1118" i="5" s="1"/>
  <c r="BD285" i="3"/>
  <c r="K1117" i="5" s="1"/>
  <c r="E256" i="3"/>
  <c r="AY254" i="3"/>
  <c r="G1125" i="5" s="1"/>
  <c r="G1126" i="5" s="1"/>
  <c r="AY253" i="3"/>
  <c r="G1123" i="5" s="1"/>
  <c r="G1124" i="5" s="1"/>
  <c r="AY252" i="3"/>
  <c r="G1122" i="5" s="1"/>
  <c r="AY251" i="3"/>
  <c r="G1121" i="5" s="1"/>
  <c r="AY250" i="3"/>
  <c r="G1120" i="5" s="1"/>
  <c r="AY249" i="3"/>
  <c r="G1119" i="5" s="1"/>
  <c r="F221" i="3"/>
  <c r="BD215" i="3"/>
  <c r="D1123" i="5" s="1"/>
  <c r="D1124" i="5" s="1"/>
  <c r="BD214" i="3"/>
  <c r="D1122" i="5" s="1"/>
  <c r="BD213" i="3"/>
  <c r="BD212" i="3"/>
  <c r="D1118" i="5" s="1"/>
  <c r="BD210" i="3"/>
  <c r="D1119" i="5" s="1"/>
  <c r="BD209" i="3"/>
  <c r="BD43" i="3"/>
  <c r="K9" i="5" s="1"/>
  <c r="BD39" i="3"/>
  <c r="C7" i="5" s="1"/>
  <c r="BD38" i="3"/>
  <c r="K7" i="5" s="1"/>
  <c r="BD33" i="3"/>
  <c r="C5" i="5" s="1"/>
  <c r="BD32" i="3"/>
  <c r="BD18" i="3"/>
  <c r="C3" i="5" s="1"/>
  <c r="B1718" i="2"/>
  <c r="B1717" i="2"/>
  <c r="G1078" i="2"/>
  <c r="G1077" i="2"/>
  <c r="G1076" i="2"/>
  <c r="D530" i="9" s="1"/>
  <c r="E1646" i="13" s="1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D2077" i="5" s="1"/>
  <c r="E1272" i="13" s="1"/>
  <c r="G1042" i="2"/>
  <c r="G1041" i="2"/>
  <c r="G1040" i="2"/>
  <c r="G1039" i="2"/>
  <c r="G1038" i="2"/>
  <c r="C751" i="6" s="1"/>
  <c r="E1988" i="13" s="1"/>
  <c r="G1037" i="2"/>
  <c r="G1036" i="2"/>
  <c r="D286" i="9" s="1"/>
  <c r="E1435" i="13" s="1"/>
  <c r="G1035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831" i="2"/>
  <c r="G830" i="2"/>
  <c r="G829" i="2"/>
  <c r="G828" i="2"/>
  <c r="G827" i="2"/>
  <c r="G826" i="2"/>
  <c r="G825" i="2"/>
  <c r="E218" i="7" s="1"/>
  <c r="E1077" i="13" s="1"/>
  <c r="G824" i="2"/>
  <c r="G823" i="2"/>
  <c r="D355" i="9" s="1"/>
  <c r="E1493" i="13" s="1"/>
  <c r="G822" i="2"/>
  <c r="G821" i="2"/>
  <c r="G819" i="2"/>
  <c r="G818" i="2"/>
  <c r="G817" i="2"/>
  <c r="G816" i="2"/>
  <c r="G815" i="2"/>
  <c r="G814" i="2"/>
  <c r="G813" i="2"/>
  <c r="G812" i="2"/>
  <c r="G811" i="2"/>
  <c r="G810" i="2"/>
  <c r="E217" i="7" s="1"/>
  <c r="E1076" i="13" s="1"/>
  <c r="G809" i="2"/>
  <c r="G808" i="2"/>
  <c r="G807" i="2"/>
  <c r="G806" i="2"/>
  <c r="G805" i="2"/>
  <c r="G804" i="2"/>
  <c r="G803" i="2"/>
  <c r="G802" i="2"/>
  <c r="G801" i="2"/>
  <c r="G800" i="2"/>
  <c r="D2282" i="5" s="1"/>
  <c r="E1880" i="13" s="1"/>
  <c r="G799" i="2"/>
  <c r="G798" i="2"/>
  <c r="D438" i="9" s="1"/>
  <c r="E1558" i="13" s="1"/>
  <c r="G797" i="2"/>
  <c r="G796" i="2"/>
  <c r="G795" i="2"/>
  <c r="D271" i="9" s="1"/>
  <c r="E1420" i="13" s="1"/>
  <c r="G794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419" i="2"/>
  <c r="C2049" i="5" s="1"/>
  <c r="F418" i="2"/>
  <c r="C2205" i="5" s="1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C2047" i="5" s="1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C269" i="9" s="1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C2327" i="5" s="1"/>
  <c r="F328" i="2"/>
  <c r="D446" i="11" s="1"/>
  <c r="F327" i="2"/>
  <c r="F326" i="2"/>
  <c r="F325" i="2"/>
  <c r="F324" i="2"/>
  <c r="F323" i="2"/>
  <c r="F322" i="2"/>
  <c r="F321" i="2"/>
  <c r="F320" i="2"/>
  <c r="F319" i="2"/>
  <c r="E70" i="7" s="1"/>
  <c r="F318" i="2"/>
  <c r="F317" i="2"/>
  <c r="F316" i="2"/>
  <c r="E72" i="7" s="1"/>
  <c r="G210" i="2"/>
  <c r="G209" i="2"/>
  <c r="G208" i="2"/>
  <c r="G207" i="2"/>
  <c r="G206" i="2"/>
  <c r="G205" i="2"/>
  <c r="G204" i="2"/>
  <c r="G203" i="2"/>
  <c r="D349" i="8" s="1"/>
  <c r="G202" i="2"/>
  <c r="G201" i="2"/>
  <c r="G200" i="2"/>
  <c r="C152" i="2"/>
  <c r="C151" i="2"/>
  <c r="C150" i="2"/>
  <c r="C149" i="2"/>
  <c r="C148" i="2"/>
  <c r="C147" i="2"/>
  <c r="C146" i="2"/>
  <c r="C145" i="2"/>
  <c r="C144" i="2"/>
  <c r="C143" i="2"/>
  <c r="F93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AC62" i="5" l="1"/>
  <c r="C2228" i="5"/>
  <c r="C2239" i="5" s="1"/>
  <c r="K2228" i="5"/>
  <c r="F652" i="5"/>
  <c r="F226" i="10" s="1"/>
  <c r="F686" i="5"/>
  <c r="F260" i="10" s="1"/>
  <c r="G260" i="10" s="1"/>
  <c r="E639" i="5"/>
  <c r="E213" i="10" s="1"/>
  <c r="E653" i="5"/>
  <c r="E227" i="10" s="1"/>
  <c r="E687" i="5"/>
  <c r="E261" i="10" s="1"/>
  <c r="F2228" i="5"/>
  <c r="F2239" i="5" s="1"/>
  <c r="Z26" i="5"/>
  <c r="Z27" i="5" s="1"/>
  <c r="Z38" i="5" s="1"/>
  <c r="E2228" i="5"/>
  <c r="E2239" i="5" s="1"/>
  <c r="C1871" i="5"/>
  <c r="J1883" i="5"/>
  <c r="D897" i="13" s="1"/>
  <c r="D890" i="15" s="1"/>
  <c r="E2000" i="15"/>
  <c r="G2000" i="15" s="1"/>
  <c r="G2007" i="13"/>
  <c r="D751" i="6"/>
  <c r="D1988" i="13" s="1"/>
  <c r="C755" i="6"/>
  <c r="E1992" i="13" s="1"/>
  <c r="G1992" i="13" s="1"/>
  <c r="H2007" i="13"/>
  <c r="D749" i="6"/>
  <c r="C754" i="6"/>
  <c r="E1991" i="13" s="1"/>
  <c r="K2004" i="13"/>
  <c r="D748" i="6"/>
  <c r="D1986" i="13" s="1"/>
  <c r="H1999" i="13"/>
  <c r="H2006" i="13"/>
  <c r="E222" i="7"/>
  <c r="E1081" i="13" s="1"/>
  <c r="E1074" i="15" s="1"/>
  <c r="G1074" i="15" s="1"/>
  <c r="O1622" i="5"/>
  <c r="S1622" i="5" s="1"/>
  <c r="C1613" i="5"/>
  <c r="AB16" i="5"/>
  <c r="S28" i="5"/>
  <c r="R28" i="5" s="1"/>
  <c r="L1472" i="5"/>
  <c r="AM1472" i="5" s="1"/>
  <c r="C1824" i="5"/>
  <c r="D327" i="13"/>
  <c r="P1397" i="5"/>
  <c r="E97" i="5"/>
  <c r="C1520" i="5"/>
  <c r="C1778" i="5"/>
  <c r="J1794" i="5" s="1"/>
  <c r="O1794" i="5" s="1"/>
  <c r="J1790" i="5"/>
  <c r="D749" i="13" s="1"/>
  <c r="H749" i="13" s="1"/>
  <c r="E79" i="6"/>
  <c r="E84" i="6" s="1"/>
  <c r="E97" i="6"/>
  <c r="D126" i="4"/>
  <c r="F99" i="5"/>
  <c r="N1399" i="5"/>
  <c r="D328" i="13" s="1"/>
  <c r="C1609" i="5"/>
  <c r="E94" i="8"/>
  <c r="E103" i="9"/>
  <c r="E79" i="9"/>
  <c r="E84" i="9" s="1"/>
  <c r="E97" i="12"/>
  <c r="F126" i="4"/>
  <c r="AJ3" i="5"/>
  <c r="Z18" i="5"/>
  <c r="Z55" i="5" s="1"/>
  <c r="C1397" i="5"/>
  <c r="F870" i="10" s="1"/>
  <c r="C1828" i="5"/>
  <c r="F164" i="7"/>
  <c r="E95" i="8"/>
  <c r="C1375" i="5"/>
  <c r="C371" i="6" s="1"/>
  <c r="T1470" i="5"/>
  <c r="D478" i="13" s="1"/>
  <c r="D471" i="15" s="1"/>
  <c r="D72" i="6"/>
  <c r="G100" i="8"/>
  <c r="C2050" i="5"/>
  <c r="D2056" i="5"/>
  <c r="E1265" i="13" s="1"/>
  <c r="D2062" i="5"/>
  <c r="E2405" i="13" s="1"/>
  <c r="E2398" i="15" s="1"/>
  <c r="G2398" i="15" s="1"/>
  <c r="E2106" i="5"/>
  <c r="C2148" i="5" s="1"/>
  <c r="D292" i="8"/>
  <c r="E145" i="13" s="1"/>
  <c r="C233" i="8"/>
  <c r="D2027" i="5"/>
  <c r="C235" i="8" s="1"/>
  <c r="C2051" i="5"/>
  <c r="D1260" i="13" s="1"/>
  <c r="D1253" i="15" s="1"/>
  <c r="C2072" i="5"/>
  <c r="D2081" i="5"/>
  <c r="E1276" i="13" s="1"/>
  <c r="E2110" i="5"/>
  <c r="C275" i="6"/>
  <c r="D2043" i="5"/>
  <c r="E1252" i="13" s="1"/>
  <c r="G2110" i="5"/>
  <c r="C293" i="8"/>
  <c r="D318" i="6"/>
  <c r="G558" i="8"/>
  <c r="F302" i="6"/>
  <c r="F305" i="6" s="1"/>
  <c r="F549" i="8"/>
  <c r="F551" i="8"/>
  <c r="G557" i="8"/>
  <c r="D623" i="8"/>
  <c r="E46" i="13" s="1"/>
  <c r="D628" i="8"/>
  <c r="E51" i="13" s="1"/>
  <c r="G310" i="12"/>
  <c r="D299" i="6"/>
  <c r="D526" i="8"/>
  <c r="F304" i="12"/>
  <c r="F305" i="12" s="1"/>
  <c r="D317" i="12" s="1"/>
  <c r="D319" i="12" s="1"/>
  <c r="D320" i="12" s="1"/>
  <c r="G309" i="12"/>
  <c r="G550" i="8"/>
  <c r="G552" i="8"/>
  <c r="G555" i="8"/>
  <c r="G559" i="8"/>
  <c r="D627" i="8"/>
  <c r="E50" i="13" s="1"/>
  <c r="G308" i="12"/>
  <c r="D313" i="12" s="1"/>
  <c r="D314" i="12" s="1"/>
  <c r="G312" i="12"/>
  <c r="C366" i="6"/>
  <c r="N1396" i="5"/>
  <c r="D326" i="13" s="1"/>
  <c r="D326" i="15" s="1"/>
  <c r="D906" i="13"/>
  <c r="F43" i="7"/>
  <c r="D1026" i="13"/>
  <c r="F167" i="7"/>
  <c r="Y1466" i="5"/>
  <c r="D528" i="13" s="1"/>
  <c r="D521" i="15" s="1"/>
  <c r="L1470" i="5"/>
  <c r="D364" i="13" s="1"/>
  <c r="D358" i="14" s="1"/>
  <c r="L1471" i="5"/>
  <c r="D365" i="13" s="1"/>
  <c r="D359" i="14" s="1"/>
  <c r="T1477" i="5"/>
  <c r="D485" i="13" s="1"/>
  <c r="D478" i="15" s="1"/>
  <c r="C1511" i="5"/>
  <c r="C1581" i="5" s="1"/>
  <c r="D591" i="13" s="1"/>
  <c r="J69" i="7"/>
  <c r="D1230" i="13" s="1"/>
  <c r="D1224" i="14" s="1"/>
  <c r="E221" i="7"/>
  <c r="E1080" i="13" s="1"/>
  <c r="E224" i="7"/>
  <c r="E1083" i="13" s="1"/>
  <c r="L1467" i="5"/>
  <c r="D361" i="13" s="1"/>
  <c r="G361" i="13" s="1"/>
  <c r="Y1467" i="5"/>
  <c r="C1802" i="5"/>
  <c r="E1802" i="5" s="1"/>
  <c r="E12" i="7"/>
  <c r="F231" i="7"/>
  <c r="H2390" i="13" s="1"/>
  <c r="T1469" i="5"/>
  <c r="D477" i="13" s="1"/>
  <c r="D470" i="15" s="1"/>
  <c r="C1801" i="5"/>
  <c r="D735" i="13" s="1"/>
  <c r="D729" i="14" s="1"/>
  <c r="E6" i="7"/>
  <c r="H27" i="7"/>
  <c r="J27" i="7" s="1"/>
  <c r="E219" i="7"/>
  <c r="E1078" i="13" s="1"/>
  <c r="E1071" i="15" s="1"/>
  <c r="G1071" i="15" s="1"/>
  <c r="E223" i="7"/>
  <c r="E1082" i="13" s="1"/>
  <c r="D139" i="8"/>
  <c r="Q1345" i="5"/>
  <c r="R1345" i="5" s="1"/>
  <c r="C1072" i="5"/>
  <c r="C1077" i="5" s="1"/>
  <c r="C399" i="5"/>
  <c r="H34" i="4"/>
  <c r="AE95" i="4"/>
  <c r="C47" i="4"/>
  <c r="AE85" i="4"/>
  <c r="AL48" i="5"/>
  <c r="P5" i="4"/>
  <c r="P25" i="4"/>
  <c r="I48" i="4"/>
  <c r="N130" i="4"/>
  <c r="P130" i="4"/>
  <c r="O130" i="4"/>
  <c r="P131" i="4"/>
  <c r="O131" i="4"/>
  <c r="N131" i="4"/>
  <c r="AL49" i="5"/>
  <c r="AD11" i="4"/>
  <c r="M5" i="4"/>
  <c r="I91" i="4"/>
  <c r="O26" i="4"/>
  <c r="O27" i="4"/>
  <c r="F103" i="4"/>
  <c r="F104" i="4" s="1"/>
  <c r="E27" i="5"/>
  <c r="J27" i="5" s="1"/>
  <c r="G27" i="5"/>
  <c r="E194" i="10"/>
  <c r="G194" i="10" s="1"/>
  <c r="H358" i="5"/>
  <c r="AE185" i="4"/>
  <c r="D143" i="8" s="1"/>
  <c r="E591" i="5"/>
  <c r="E856" i="5"/>
  <c r="F395" i="5"/>
  <c r="N5" i="4"/>
  <c r="P26" i="4"/>
  <c r="P27" i="4"/>
  <c r="O35" i="4"/>
  <c r="M36" i="4"/>
  <c r="D156" i="4"/>
  <c r="C33" i="4"/>
  <c r="AE50" i="4"/>
  <c r="AD9" i="4"/>
  <c r="AL50" i="5"/>
  <c r="O5" i="4"/>
  <c r="D1322" i="13"/>
  <c r="E1413" i="15"/>
  <c r="G1413" i="15" s="1"/>
  <c r="E1428" i="15"/>
  <c r="G1428" i="15" s="1"/>
  <c r="E1639" i="15"/>
  <c r="G1639" i="15" s="1"/>
  <c r="C9" i="5"/>
  <c r="G4" i="5" s="1"/>
  <c r="E1117" i="5"/>
  <c r="D1117" i="5"/>
  <c r="E1118" i="5" s="1"/>
  <c r="D1126" i="5" s="1"/>
  <c r="D1125" i="5" s="1"/>
  <c r="D1167" i="5"/>
  <c r="E1216" i="5"/>
  <c r="E1218" i="5"/>
  <c r="AJ22" i="5"/>
  <c r="AL72" i="5"/>
  <c r="I4" i="4"/>
  <c r="E6" i="4"/>
  <c r="J6" i="4"/>
  <c r="O6" i="4"/>
  <c r="E7" i="4"/>
  <c r="E32" i="4" s="1"/>
  <c r="J7" i="4"/>
  <c r="O7" i="4"/>
  <c r="E10" i="4"/>
  <c r="E13" i="4" s="1"/>
  <c r="M21" i="4"/>
  <c r="M22" i="4"/>
  <c r="M23" i="4"/>
  <c r="I25" i="4"/>
  <c r="I26" i="4"/>
  <c r="N26" i="4" s="1"/>
  <c r="I27" i="4"/>
  <c r="N27" i="4" s="1"/>
  <c r="Q1350" i="5"/>
  <c r="R1350" i="5" s="1"/>
  <c r="D1074" i="5"/>
  <c r="D1079" i="5" s="1"/>
  <c r="D1073" i="5"/>
  <c r="D1078" i="5" s="1"/>
  <c r="C404" i="5"/>
  <c r="Q1349" i="5"/>
  <c r="R1349" i="5" s="1"/>
  <c r="C405" i="5"/>
  <c r="P33" i="4"/>
  <c r="Q1348" i="5"/>
  <c r="R1348" i="5" s="1"/>
  <c r="D1072" i="5"/>
  <c r="D1077" i="5" s="1"/>
  <c r="I34" i="4"/>
  <c r="H35" i="4"/>
  <c r="P35" i="4"/>
  <c r="I36" i="4"/>
  <c r="I37" i="4"/>
  <c r="J39" i="4"/>
  <c r="I40" i="4"/>
  <c r="F41" i="4"/>
  <c r="E45" i="4"/>
  <c r="AF65" i="4"/>
  <c r="AF84" i="4"/>
  <c r="E89" i="4"/>
  <c r="E95" i="4" s="1"/>
  <c r="D97" i="4"/>
  <c r="E107" i="4"/>
  <c r="H118" i="4"/>
  <c r="M118" i="4"/>
  <c r="H119" i="4"/>
  <c r="M119" i="4"/>
  <c r="H120" i="4"/>
  <c r="M120" i="4"/>
  <c r="H121" i="4"/>
  <c r="M121" i="4"/>
  <c r="H125" i="4"/>
  <c r="M125" i="4"/>
  <c r="H126" i="4"/>
  <c r="M126" i="4"/>
  <c r="F127" i="4"/>
  <c r="F128" i="4"/>
  <c r="F129" i="4"/>
  <c r="F140" i="4" s="1"/>
  <c r="E130" i="4"/>
  <c r="D131" i="4"/>
  <c r="H132" i="4"/>
  <c r="M132" i="4"/>
  <c r="M150" i="4"/>
  <c r="M151" i="4"/>
  <c r="AE188" i="4"/>
  <c r="AL54" i="5" s="1"/>
  <c r="E203" i="4"/>
  <c r="E1678" i="15"/>
  <c r="G1678" i="15" s="1"/>
  <c r="E1728" i="15"/>
  <c r="G1728" i="15" s="1"/>
  <c r="B1685" i="15"/>
  <c r="B1686" i="14"/>
  <c r="B1686" i="15"/>
  <c r="B1687" i="14"/>
  <c r="B1687" i="15"/>
  <c r="B1688" i="14"/>
  <c r="B1688" i="15"/>
  <c r="B1689" i="14"/>
  <c r="E1739" i="15"/>
  <c r="G1739" i="15" s="1"/>
  <c r="E1692" i="15"/>
  <c r="G1692" i="15" s="1"/>
  <c r="E1693" i="15"/>
  <c r="G1693" i="15" s="1"/>
  <c r="E1695" i="15"/>
  <c r="G1695" i="15" s="1"/>
  <c r="E1697" i="15"/>
  <c r="G1697" i="15" s="1"/>
  <c r="E1709" i="15"/>
  <c r="G1709" i="15" s="1"/>
  <c r="E1711" i="15"/>
  <c r="G1711" i="15" s="1"/>
  <c r="E1713" i="15"/>
  <c r="G1713" i="15" s="1"/>
  <c r="E1715" i="15"/>
  <c r="G1715" i="15" s="1"/>
  <c r="E1717" i="15"/>
  <c r="G1717" i="15" s="1"/>
  <c r="E1719" i="15"/>
  <c r="G1719" i="15" s="1"/>
  <c r="E1721" i="15"/>
  <c r="G1721" i="15" s="1"/>
  <c r="E2400" i="13"/>
  <c r="E2393" i="15" s="1"/>
  <c r="G2393" i="15" s="1"/>
  <c r="E259" i="4"/>
  <c r="G410" i="9"/>
  <c r="J1197" i="5"/>
  <c r="K1132" i="5"/>
  <c r="J1172" i="5"/>
  <c r="K4" i="5"/>
  <c r="AA32" i="5"/>
  <c r="C404" i="6"/>
  <c r="C1291" i="5"/>
  <c r="C326" i="6" s="1"/>
  <c r="E48" i="5"/>
  <c r="B328" i="6"/>
  <c r="F328" i="6" s="1"/>
  <c r="F1293" i="5"/>
  <c r="F1294" i="5"/>
  <c r="F1297" i="5"/>
  <c r="AK61" i="5"/>
  <c r="AL61" i="5" s="1"/>
  <c r="C1104" i="5"/>
  <c r="D198" i="5"/>
  <c r="D34" i="10" s="1"/>
  <c r="D214" i="5"/>
  <c r="D50" i="10" s="1"/>
  <c r="D230" i="5"/>
  <c r="D66" i="10" s="1"/>
  <c r="D246" i="5"/>
  <c r="D82" i="10" s="1"/>
  <c r="D266" i="5"/>
  <c r="D102" i="10" s="1"/>
  <c r="D282" i="5"/>
  <c r="D118" i="10" s="1"/>
  <c r="D298" i="5"/>
  <c r="D134" i="10" s="1"/>
  <c r="D365" i="5"/>
  <c r="D201" i="10" s="1"/>
  <c r="E203" i="10"/>
  <c r="G203" i="10" s="1"/>
  <c r="H367" i="5"/>
  <c r="R381" i="5"/>
  <c r="Y386" i="5"/>
  <c r="S393" i="5"/>
  <c r="Q393" i="5"/>
  <c r="Q394" i="5" s="1"/>
  <c r="P393" i="5"/>
  <c r="I393" i="5"/>
  <c r="J402" i="5"/>
  <c r="E509" i="5"/>
  <c r="E574" i="10" s="1"/>
  <c r="E510" i="5"/>
  <c r="E575" i="10" s="1"/>
  <c r="E552" i="5"/>
  <c r="E657" i="10" s="1"/>
  <c r="K631" i="5"/>
  <c r="E402" i="10"/>
  <c r="G402" i="10" s="1"/>
  <c r="H828" i="5"/>
  <c r="K1210" i="5"/>
  <c r="O1135" i="5"/>
  <c r="F1135" i="5"/>
  <c r="C1124" i="5"/>
  <c r="C1243" i="5"/>
  <c r="B379" i="15"/>
  <c r="B380" i="14"/>
  <c r="D619" i="13"/>
  <c r="J1623" i="5"/>
  <c r="C1701" i="5"/>
  <c r="B621" i="13"/>
  <c r="A1703" i="5"/>
  <c r="B674" i="13" s="1"/>
  <c r="D631" i="13"/>
  <c r="C1713" i="5"/>
  <c r="D639" i="13"/>
  <c r="C1721" i="5"/>
  <c r="L1572" i="5"/>
  <c r="C794" i="10"/>
  <c r="C825" i="10" s="1"/>
  <c r="D1645" i="5"/>
  <c r="D1641" i="5"/>
  <c r="D1637" i="5"/>
  <c r="D1644" i="5"/>
  <c r="D1640" i="5"/>
  <c r="D1636" i="5"/>
  <c r="D1643" i="5"/>
  <c r="D1639" i="5"/>
  <c r="D1642" i="5"/>
  <c r="D1638" i="5"/>
  <c r="D870" i="13"/>
  <c r="C1918" i="5"/>
  <c r="E858" i="13"/>
  <c r="K1881" i="5"/>
  <c r="E895" i="13" s="1"/>
  <c r="B892" i="15"/>
  <c r="B893" i="14"/>
  <c r="C2207" i="5"/>
  <c r="E2014" i="13"/>
  <c r="I717" i="6"/>
  <c r="D1979" i="15"/>
  <c r="D1980" i="14"/>
  <c r="K1986" i="13"/>
  <c r="D1020" i="13"/>
  <c r="G1020" i="13" s="1"/>
  <c r="F161" i="7"/>
  <c r="B1035" i="15"/>
  <c r="B1036" i="14"/>
  <c r="E953" i="15"/>
  <c r="G953" i="15" s="1"/>
  <c r="B1134" i="13"/>
  <c r="C290" i="7"/>
  <c r="C309" i="7" s="1"/>
  <c r="A332" i="7"/>
  <c r="C166" i="15"/>
  <c r="C167" i="14"/>
  <c r="B233" i="15"/>
  <c r="B234" i="14"/>
  <c r="D1258" i="13"/>
  <c r="E1070" i="15"/>
  <c r="G1070" i="15" s="1"/>
  <c r="K1169" i="5"/>
  <c r="C1245" i="5"/>
  <c r="P1240" i="5"/>
  <c r="O1241" i="5" s="1"/>
  <c r="C1238" i="5"/>
  <c r="G1275" i="5"/>
  <c r="G1271" i="5"/>
  <c r="J2098" i="5"/>
  <c r="E2097" i="5"/>
  <c r="J4" i="4"/>
  <c r="F6" i="4"/>
  <c r="K6" i="4"/>
  <c r="P6" i="4"/>
  <c r="F7" i="4"/>
  <c r="K7" i="4"/>
  <c r="K32" i="4" s="1"/>
  <c r="P7" i="4"/>
  <c r="O25" i="4"/>
  <c r="AN31" i="4"/>
  <c r="AN38" i="4" s="1"/>
  <c r="Q1353" i="5"/>
  <c r="R1353" i="5" s="1"/>
  <c r="Q1352" i="5"/>
  <c r="R1352" i="5" s="1"/>
  <c r="E1074" i="5"/>
  <c r="E1079" i="5" s="1"/>
  <c r="E1073" i="5"/>
  <c r="E1078" i="5" s="1"/>
  <c r="C408" i="5"/>
  <c r="C409" i="5"/>
  <c r="Q1362" i="5"/>
  <c r="R1362" i="5" s="1"/>
  <c r="Q1361" i="5"/>
  <c r="R1361" i="5" s="1"/>
  <c r="J1074" i="5"/>
  <c r="J1079" i="5" s="1"/>
  <c r="J1073" i="5"/>
  <c r="J1078" i="5" s="1"/>
  <c r="E1072" i="5"/>
  <c r="E1077" i="5" s="1"/>
  <c r="Q1351" i="5"/>
  <c r="R1351" i="5" s="1"/>
  <c r="C407" i="5"/>
  <c r="J34" i="4"/>
  <c r="AN34" i="4"/>
  <c r="J36" i="4"/>
  <c r="J37" i="4"/>
  <c r="K39" i="4"/>
  <c r="J40" i="4"/>
  <c r="C41" i="4"/>
  <c r="D51" i="4"/>
  <c r="D98" i="4"/>
  <c r="D99" i="4"/>
  <c r="D103" i="4"/>
  <c r="D104" i="4" s="1"/>
  <c r="F107" i="4"/>
  <c r="H127" i="4"/>
  <c r="M127" i="4"/>
  <c r="H128" i="4"/>
  <c r="M128" i="4"/>
  <c r="H129" i="4"/>
  <c r="M129" i="4"/>
  <c r="E131" i="4"/>
  <c r="D140" i="4"/>
  <c r="N150" i="4"/>
  <c r="N151" i="4"/>
  <c r="B1680" i="15"/>
  <c r="B1681" i="14"/>
  <c r="E1684" i="15"/>
  <c r="G1684" i="15" s="1"/>
  <c r="E1685" i="15"/>
  <c r="G1685" i="15" s="1"/>
  <c r="E1686" i="15"/>
  <c r="G1686" i="15" s="1"/>
  <c r="E1687" i="15"/>
  <c r="G1687" i="15" s="1"/>
  <c r="E1695" i="13"/>
  <c r="D224" i="4"/>
  <c r="B1691" i="15"/>
  <c r="B1692" i="14"/>
  <c r="B1694" i="15"/>
  <c r="B1695" i="14"/>
  <c r="B1696" i="15"/>
  <c r="B1697" i="14"/>
  <c r="B1698" i="15"/>
  <c r="B1699" i="14"/>
  <c r="C1700" i="15"/>
  <c r="C1701" i="14"/>
  <c r="C1702" i="15"/>
  <c r="C1703" i="14"/>
  <c r="C1704" i="15"/>
  <c r="C1705" i="14"/>
  <c r="C1706" i="15"/>
  <c r="C1707" i="14"/>
  <c r="C1708" i="15"/>
  <c r="C1709" i="14"/>
  <c r="B1710" i="15"/>
  <c r="B1711" i="14"/>
  <c r="B1712" i="15"/>
  <c r="B1713" i="14"/>
  <c r="B1714" i="15"/>
  <c r="B1715" i="14"/>
  <c r="B1716" i="15"/>
  <c r="B1717" i="14"/>
  <c r="B1718" i="15"/>
  <c r="B1719" i="14"/>
  <c r="B1720" i="15"/>
  <c r="B1721" i="14"/>
  <c r="B2399" i="13"/>
  <c r="B2392" i="15" s="1"/>
  <c r="D258" i="4"/>
  <c r="E2399" i="13" s="1"/>
  <c r="E2392" i="15" s="1"/>
  <c r="G2392" i="15" s="1"/>
  <c r="E260" i="4"/>
  <c r="C6" i="5"/>
  <c r="D1134" i="5" s="1"/>
  <c r="K8" i="5"/>
  <c r="C12" i="5"/>
  <c r="O1140" i="5"/>
  <c r="F1133" i="5"/>
  <c r="C1114" i="5"/>
  <c r="D73" i="8" s="1"/>
  <c r="C1133" i="5"/>
  <c r="F1130" i="5"/>
  <c r="X7" i="5" s="1"/>
  <c r="C133" i="5"/>
  <c r="J91" i="5"/>
  <c r="AA15" i="5"/>
  <c r="F1362" i="5"/>
  <c r="C1140" i="5"/>
  <c r="C1319" i="5"/>
  <c r="C137" i="5"/>
  <c r="C124" i="5"/>
  <c r="J92" i="5"/>
  <c r="S27" i="5"/>
  <c r="O27" i="5"/>
  <c r="AC15" i="5"/>
  <c r="G87" i="5"/>
  <c r="Z23" i="5"/>
  <c r="F19" i="5"/>
  <c r="E87" i="5"/>
  <c r="C87" i="5" s="1"/>
  <c r="E79" i="5" s="1"/>
  <c r="AA36" i="5"/>
  <c r="Z36" i="5"/>
  <c r="Z32" i="5"/>
  <c r="I2229" i="5"/>
  <c r="I2230" i="5" s="1"/>
  <c r="K2229" i="5"/>
  <c r="K2230" i="5" s="1"/>
  <c r="C2229" i="5"/>
  <c r="C2230" i="5" s="1"/>
  <c r="F2229" i="5"/>
  <c r="E2229" i="5"/>
  <c r="E2230" i="5" s="1"/>
  <c r="I1319" i="5"/>
  <c r="G88" i="5"/>
  <c r="C1137" i="5"/>
  <c r="E88" i="5"/>
  <c r="AA24" i="5"/>
  <c r="AA51" i="5"/>
  <c r="AC51" i="5" s="1"/>
  <c r="AA21" i="5"/>
  <c r="AA34" i="5"/>
  <c r="Z20" i="5"/>
  <c r="AA20" i="5" s="1"/>
  <c r="U28" i="5"/>
  <c r="V28" i="5" s="1"/>
  <c r="W28" i="5" s="1"/>
  <c r="F1298" i="5"/>
  <c r="F1299" i="5"/>
  <c r="B1300" i="5"/>
  <c r="F1300" i="5" s="1"/>
  <c r="E57" i="5"/>
  <c r="C390" i="6"/>
  <c r="C410" i="6" s="1"/>
  <c r="J333" i="6"/>
  <c r="Y846" i="5"/>
  <c r="Y125" i="5"/>
  <c r="Y382" i="5"/>
  <c r="Y378" i="5"/>
  <c r="Y129" i="5"/>
  <c r="Y128" i="5"/>
  <c r="AD124" i="5"/>
  <c r="Y124" i="5"/>
  <c r="Y126" i="5"/>
  <c r="E191" i="10"/>
  <c r="G191" i="10" s="1"/>
  <c r="H355" i="5"/>
  <c r="C127" i="5"/>
  <c r="Y127" i="5"/>
  <c r="D194" i="5"/>
  <c r="D30" i="10" s="1"/>
  <c r="D210" i="5"/>
  <c r="D46" i="10" s="1"/>
  <c r="D226" i="5"/>
  <c r="D62" i="10" s="1"/>
  <c r="D242" i="5"/>
  <c r="D78" i="10" s="1"/>
  <c r="D254" i="5"/>
  <c r="D90" i="10" s="1"/>
  <c r="D270" i="5"/>
  <c r="D106" i="10" s="1"/>
  <c r="D286" i="5"/>
  <c r="D122" i="10" s="1"/>
  <c r="D302" i="5"/>
  <c r="D138" i="10" s="1"/>
  <c r="D310" i="5"/>
  <c r="D146" i="10" s="1"/>
  <c r="E397" i="10"/>
  <c r="G397" i="10" s="1"/>
  <c r="H823" i="5"/>
  <c r="AD377" i="5"/>
  <c r="Q382" i="5"/>
  <c r="P382" i="5"/>
  <c r="S382" i="5"/>
  <c r="S384" i="5" s="1"/>
  <c r="T384" i="5" s="1"/>
  <c r="I382" i="5"/>
  <c r="J395" i="5"/>
  <c r="D591" i="5" s="1"/>
  <c r="C857" i="5"/>
  <c r="S396" i="5"/>
  <c r="R396" i="5"/>
  <c r="Q396" i="5"/>
  <c r="C737" i="10"/>
  <c r="C594" i="5"/>
  <c r="C741" i="10" s="1"/>
  <c r="J401" i="5"/>
  <c r="J408" i="5"/>
  <c r="J413" i="5"/>
  <c r="K630" i="5"/>
  <c r="P854" i="5"/>
  <c r="I854" i="5"/>
  <c r="S854" i="5"/>
  <c r="Q854" i="5"/>
  <c r="F1214" i="5"/>
  <c r="E1397" i="5"/>
  <c r="D357" i="13"/>
  <c r="E1483" i="5"/>
  <c r="AG1483" i="5" s="1"/>
  <c r="AU1483" i="5" s="1"/>
  <c r="AE1483" i="5"/>
  <c r="D2368" i="13"/>
  <c r="E1486" i="5"/>
  <c r="AO1482" i="5" s="1"/>
  <c r="AU1486" i="5" s="1"/>
  <c r="AM1482" i="5"/>
  <c r="C1532" i="5"/>
  <c r="C1523" i="5"/>
  <c r="D545" i="13"/>
  <c r="F752" i="10"/>
  <c r="F788" i="10" s="1"/>
  <c r="J1533" i="5"/>
  <c r="G1533" i="5"/>
  <c r="B618" i="13"/>
  <c r="A1700" i="5"/>
  <c r="B671" i="13" s="1"/>
  <c r="B625" i="13"/>
  <c r="A1707" i="5"/>
  <c r="B678" i="13" s="1"/>
  <c r="B626" i="13"/>
  <c r="A1708" i="5"/>
  <c r="B679" i="13" s="1"/>
  <c r="B633" i="13"/>
  <c r="A1715" i="5"/>
  <c r="B686" i="13" s="1"/>
  <c r="B634" i="13"/>
  <c r="A1716" i="5"/>
  <c r="B687" i="13" s="1"/>
  <c r="B641" i="13"/>
  <c r="A1723" i="5"/>
  <c r="B694" i="13" s="1"/>
  <c r="B642" i="13"/>
  <c r="A1724" i="5"/>
  <c r="B695" i="13" s="1"/>
  <c r="D664" i="13"/>
  <c r="G664" i="13" s="1"/>
  <c r="D818" i="15"/>
  <c r="D819" i="14"/>
  <c r="C1983" i="5"/>
  <c r="J1888" i="5"/>
  <c r="D901" i="13" s="1"/>
  <c r="J1884" i="5"/>
  <c r="D898" i="13" s="1"/>
  <c r="C1894" i="5"/>
  <c r="I2080" i="5"/>
  <c r="I2076" i="5"/>
  <c r="C2077" i="5"/>
  <c r="I2077" i="5"/>
  <c r="C2076" i="5"/>
  <c r="C2078" i="5"/>
  <c r="D1846" i="13"/>
  <c r="G1846" i="13" s="1"/>
  <c r="E2165" i="5"/>
  <c r="K2144" i="5"/>
  <c r="D1847" i="13"/>
  <c r="E2166" i="5"/>
  <c r="C2167" i="5"/>
  <c r="C2325" i="5"/>
  <c r="D184" i="6"/>
  <c r="D183" i="6"/>
  <c r="D1944" i="13"/>
  <c r="E405" i="6"/>
  <c r="J393" i="6"/>
  <c r="D2168" i="13"/>
  <c r="E693" i="6"/>
  <c r="E2012" i="15"/>
  <c r="G2012" i="15" s="1"/>
  <c r="D2476" i="13"/>
  <c r="E682" i="8"/>
  <c r="H2476" i="13" s="1"/>
  <c r="O357" i="11"/>
  <c r="F357" i="11"/>
  <c r="D348" i="8"/>
  <c r="O361" i="11"/>
  <c r="F361" i="11"/>
  <c r="D1298" i="13"/>
  <c r="E2327" i="5"/>
  <c r="D1256" i="13"/>
  <c r="O358" i="11"/>
  <c r="F358" i="11"/>
  <c r="D646" i="8"/>
  <c r="E81" i="13" s="1"/>
  <c r="D624" i="8"/>
  <c r="E47" i="13" s="1"/>
  <c r="O362" i="11"/>
  <c r="F362" i="11"/>
  <c r="C750" i="6"/>
  <c r="E1987" i="13" s="1"/>
  <c r="E71" i="7"/>
  <c r="D1418" i="13"/>
  <c r="E269" i="9"/>
  <c r="D354" i="9"/>
  <c r="E1492" i="13" s="1"/>
  <c r="D656" i="9"/>
  <c r="E1346" i="13" s="1"/>
  <c r="E1873" i="15"/>
  <c r="G1873" i="15" s="1"/>
  <c r="F359" i="11"/>
  <c r="D664" i="8"/>
  <c r="E106" i="13" s="1"/>
  <c r="D600" i="8"/>
  <c r="E17" i="13" s="1"/>
  <c r="O359" i="11"/>
  <c r="F363" i="11"/>
  <c r="O363" i="11"/>
  <c r="E933" i="13"/>
  <c r="E129" i="7"/>
  <c r="E990" i="13" s="1"/>
  <c r="E190" i="7"/>
  <c r="E1049" i="13" s="1"/>
  <c r="E1981" i="15"/>
  <c r="G1981" i="15" s="1"/>
  <c r="G1988" i="13"/>
  <c r="G1167" i="5"/>
  <c r="G1159" i="5"/>
  <c r="G1135" i="5"/>
  <c r="Y6" i="5" s="1"/>
  <c r="L1160" i="5"/>
  <c r="K1159" i="5"/>
  <c r="K1167" i="5"/>
  <c r="E125" i="12"/>
  <c r="E127" i="12" s="1"/>
  <c r="E125" i="9"/>
  <c r="E119" i="8"/>
  <c r="E121" i="8" s="1"/>
  <c r="E125" i="6"/>
  <c r="E127" i="6" s="1"/>
  <c r="C1209" i="5"/>
  <c r="C1215" i="5" s="1"/>
  <c r="C181" i="8"/>
  <c r="C1247" i="5"/>
  <c r="C34" i="5" s="1"/>
  <c r="G1268" i="5"/>
  <c r="E397" i="5"/>
  <c r="O1359" i="5"/>
  <c r="P1359" i="5" s="1"/>
  <c r="C1249" i="5"/>
  <c r="C36" i="5" s="1"/>
  <c r="E396" i="5"/>
  <c r="F396" i="5" s="1"/>
  <c r="C180" i="8"/>
  <c r="E1240" i="5"/>
  <c r="C1237" i="5"/>
  <c r="C1236" i="5"/>
  <c r="C1235" i="5"/>
  <c r="C1279" i="5"/>
  <c r="AK64" i="5" s="1"/>
  <c r="AL64" i="5" s="1"/>
  <c r="O1358" i="5"/>
  <c r="P1358" i="5" s="1"/>
  <c r="I1" i="4"/>
  <c r="AF190" i="4" s="1"/>
  <c r="E1284" i="5" s="1"/>
  <c r="I2186" i="5" s="1"/>
  <c r="K4" i="4"/>
  <c r="C6" i="4"/>
  <c r="H6" i="4"/>
  <c r="M6" i="4"/>
  <c r="C7" i="4"/>
  <c r="C32" i="4" s="1"/>
  <c r="G25" i="4" s="1"/>
  <c r="H7" i="4"/>
  <c r="H32" i="4" s="1"/>
  <c r="H45" i="4" s="1"/>
  <c r="M7" i="4"/>
  <c r="K9" i="4"/>
  <c r="K12" i="4" s="1"/>
  <c r="H17" i="4"/>
  <c r="Q1356" i="5"/>
  <c r="R1356" i="5" s="1"/>
  <c r="C413" i="5"/>
  <c r="Q1355" i="5"/>
  <c r="R1355" i="5" s="1"/>
  <c r="F1074" i="5"/>
  <c r="F1079" i="5" s="1"/>
  <c r="F1073" i="5"/>
  <c r="F1078" i="5" s="1"/>
  <c r="J33" i="4"/>
  <c r="N33" i="4"/>
  <c r="Q1354" i="5"/>
  <c r="R1354" i="5" s="1"/>
  <c r="F1072" i="5"/>
  <c r="F1077" i="5" s="1"/>
  <c r="C411" i="5"/>
  <c r="Q1366" i="5"/>
  <c r="R1366" i="5" s="1"/>
  <c r="O1072" i="5"/>
  <c r="O1077" i="5" s="1"/>
  <c r="P34" i="4"/>
  <c r="N35" i="4"/>
  <c r="K36" i="4"/>
  <c r="K37" i="4"/>
  <c r="D144" i="8"/>
  <c r="AK48" i="5"/>
  <c r="H39" i="4"/>
  <c r="K40" i="4"/>
  <c r="K203" i="4" s="1"/>
  <c r="D41" i="4"/>
  <c r="K42" i="4"/>
  <c r="C43" i="4"/>
  <c r="C44" i="4"/>
  <c r="E51" i="4"/>
  <c r="D85" i="4"/>
  <c r="D186" i="4" s="1"/>
  <c r="D187" i="4" s="1"/>
  <c r="C92" i="4"/>
  <c r="E99" i="4"/>
  <c r="E100" i="4" s="1"/>
  <c r="C107" i="4"/>
  <c r="H130" i="4"/>
  <c r="F131" i="4"/>
  <c r="O150" i="4"/>
  <c r="O151" i="4"/>
  <c r="AE184" i="4"/>
  <c r="AE189" i="4"/>
  <c r="AL55" i="5" s="1"/>
  <c r="E1675" i="15"/>
  <c r="G1675" i="15" s="1"/>
  <c r="D215" i="4"/>
  <c r="E1687" i="13" s="1"/>
  <c r="B1733" i="15"/>
  <c r="B1734" i="14"/>
  <c r="B1734" i="15"/>
  <c r="B1735" i="14"/>
  <c r="B1735" i="15"/>
  <c r="B1736" i="14"/>
  <c r="B1736" i="15"/>
  <c r="B1737" i="14"/>
  <c r="B1737" i="15"/>
  <c r="B1738" i="14"/>
  <c r="E1690" i="15"/>
  <c r="G1690" i="15" s="1"/>
  <c r="D234" i="4"/>
  <c r="E1705" i="13" s="1"/>
  <c r="E1700" i="15"/>
  <c r="G1700" i="15" s="1"/>
  <c r="E1702" i="15"/>
  <c r="G1702" i="15" s="1"/>
  <c r="E1704" i="15"/>
  <c r="G1704" i="15" s="1"/>
  <c r="E1706" i="15"/>
  <c r="G1706" i="15" s="1"/>
  <c r="E1708" i="15"/>
  <c r="G1708" i="15" s="1"/>
  <c r="E1710" i="15"/>
  <c r="G1710" i="15" s="1"/>
  <c r="E1712" i="15"/>
  <c r="G1712" i="15" s="1"/>
  <c r="E1714" i="15"/>
  <c r="G1714" i="15" s="1"/>
  <c r="E1716" i="15"/>
  <c r="G1716" i="15" s="1"/>
  <c r="E1718" i="15"/>
  <c r="G1718" i="15" s="1"/>
  <c r="E1720" i="15"/>
  <c r="G1720" i="15" s="1"/>
  <c r="Z15" i="5"/>
  <c r="C1132" i="5"/>
  <c r="O1142" i="5"/>
  <c r="C624" i="5"/>
  <c r="AA16" i="5"/>
  <c r="AA19" i="5" s="1"/>
  <c r="AA56" i="5" s="1"/>
  <c r="AC56" i="5" s="1"/>
  <c r="D1319" i="5"/>
  <c r="C128" i="5"/>
  <c r="F1132" i="5"/>
  <c r="C625" i="5"/>
  <c r="AC16" i="5"/>
  <c r="F22" i="5"/>
  <c r="F337" i="12"/>
  <c r="F236" i="9"/>
  <c r="F340" i="6"/>
  <c r="AA23" i="5"/>
  <c r="C25" i="5"/>
  <c r="E28" i="5"/>
  <c r="J28" i="5" s="1"/>
  <c r="K28" i="5" s="1"/>
  <c r="L28" i="5" s="1"/>
  <c r="P28" i="5" s="1"/>
  <c r="B325" i="6"/>
  <c r="F325" i="6" s="1"/>
  <c r="F1290" i="5"/>
  <c r="C1299" i="5"/>
  <c r="E56" i="5"/>
  <c r="D330" i="6"/>
  <c r="F330" i="6" s="1"/>
  <c r="D1302" i="5"/>
  <c r="E75" i="5"/>
  <c r="I1313" i="5"/>
  <c r="H335" i="6"/>
  <c r="L335" i="6" s="1"/>
  <c r="P1314" i="5"/>
  <c r="D624" i="5"/>
  <c r="E620" i="5" s="1"/>
  <c r="E128" i="5"/>
  <c r="E124" i="5"/>
  <c r="C134" i="5" s="1"/>
  <c r="E214" i="5" s="1"/>
  <c r="E127" i="5"/>
  <c r="D147" i="5"/>
  <c r="D10" i="10" s="1"/>
  <c r="D190" i="5"/>
  <c r="D26" i="10" s="1"/>
  <c r="D206" i="5"/>
  <c r="D42" i="10" s="1"/>
  <c r="D222" i="5"/>
  <c r="D58" i="10" s="1"/>
  <c r="D238" i="5"/>
  <c r="D74" i="10" s="1"/>
  <c r="D258" i="5"/>
  <c r="D94" i="10" s="1"/>
  <c r="D262" i="5"/>
  <c r="D98" i="10" s="1"/>
  <c r="D274" i="5"/>
  <c r="D110" i="10" s="1"/>
  <c r="D290" i="5"/>
  <c r="D126" i="10" s="1"/>
  <c r="D306" i="5"/>
  <c r="D142" i="10" s="1"/>
  <c r="D314" i="5"/>
  <c r="D150" i="10" s="1"/>
  <c r="D318" i="5"/>
  <c r="D154" i="10" s="1"/>
  <c r="D322" i="5"/>
  <c r="D158" i="10" s="1"/>
  <c r="D326" i="5"/>
  <c r="D162" i="10" s="1"/>
  <c r="D330" i="5"/>
  <c r="D166" i="10" s="1"/>
  <c r="D334" i="5"/>
  <c r="D170" i="10" s="1"/>
  <c r="D338" i="5"/>
  <c r="D174" i="10" s="1"/>
  <c r="D342" i="5"/>
  <c r="D178" i="10" s="1"/>
  <c r="D346" i="5"/>
  <c r="D182" i="10" s="1"/>
  <c r="D350" i="5"/>
  <c r="D186" i="10" s="1"/>
  <c r="D354" i="5"/>
  <c r="D190" i="10" s="1"/>
  <c r="E192" i="10"/>
  <c r="G192" i="10" s="1"/>
  <c r="H356" i="5"/>
  <c r="F198" i="10"/>
  <c r="H362" i="5"/>
  <c r="H365" i="5"/>
  <c r="E822" i="5"/>
  <c r="Y375" i="5"/>
  <c r="P379" i="5"/>
  <c r="Y376" i="5"/>
  <c r="Q378" i="5"/>
  <c r="P378" i="5"/>
  <c r="S378" i="5"/>
  <c r="S379" i="5" s="1"/>
  <c r="I378" i="5"/>
  <c r="L378" i="5"/>
  <c r="E399" i="10"/>
  <c r="G399" i="10" s="1"/>
  <c r="H825" i="5"/>
  <c r="P394" i="5"/>
  <c r="I396" i="5"/>
  <c r="C403" i="5"/>
  <c r="I1305" i="5"/>
  <c r="C114" i="5" s="1"/>
  <c r="I1306" i="5"/>
  <c r="C118" i="5" s="1"/>
  <c r="C122" i="5" s="1"/>
  <c r="C1434" i="5"/>
  <c r="C1475" i="5"/>
  <c r="L1474" i="5"/>
  <c r="T1473" i="5"/>
  <c r="L1478" i="5"/>
  <c r="E379" i="15"/>
  <c r="G379" i="15" s="1"/>
  <c r="G386" i="13"/>
  <c r="B622" i="13"/>
  <c r="A1704" i="5"/>
  <c r="B675" i="13" s="1"/>
  <c r="D623" i="13"/>
  <c r="J1627" i="5"/>
  <c r="C1705" i="5"/>
  <c r="D627" i="13"/>
  <c r="C1709" i="5"/>
  <c r="B629" i="13"/>
  <c r="A1711" i="5"/>
  <c r="B682" i="13" s="1"/>
  <c r="B630" i="13"/>
  <c r="A1712" i="5"/>
  <c r="B683" i="13" s="1"/>
  <c r="D635" i="13"/>
  <c r="J1639" i="5"/>
  <c r="C1717" i="5"/>
  <c r="B637" i="13"/>
  <c r="A1719" i="5"/>
  <c r="B690" i="13" s="1"/>
  <c r="B638" i="13"/>
  <c r="A1720" i="5"/>
  <c r="B691" i="13" s="1"/>
  <c r="D643" i="13"/>
  <c r="J1647" i="5"/>
  <c r="C1725" i="5"/>
  <c r="O1621" i="5"/>
  <c r="F794" i="10"/>
  <c r="F825" i="10" s="1"/>
  <c r="D609" i="13"/>
  <c r="O1613" i="5"/>
  <c r="J1613" i="5"/>
  <c r="E663" i="15"/>
  <c r="G663" i="15" s="1"/>
  <c r="D177" i="6"/>
  <c r="D1970" i="13"/>
  <c r="E426" i="6"/>
  <c r="E427" i="6" s="1"/>
  <c r="C432" i="6"/>
  <c r="D2019" i="13"/>
  <c r="M716" i="6"/>
  <c r="B1053" i="15"/>
  <c r="B1054" i="14"/>
  <c r="B1131" i="13"/>
  <c r="A329" i="7"/>
  <c r="C287" i="7"/>
  <c r="C306" i="7" s="1"/>
  <c r="D306" i="7" s="1"/>
  <c r="E182" i="13"/>
  <c r="D416" i="8"/>
  <c r="E222" i="13" s="1"/>
  <c r="O360" i="11"/>
  <c r="F360" i="11"/>
  <c r="E935" i="13"/>
  <c r="E192" i="7"/>
  <c r="E1051" i="13" s="1"/>
  <c r="E131" i="7"/>
  <c r="E992" i="13" s="1"/>
  <c r="E1551" i="15"/>
  <c r="G1551" i="15" s="1"/>
  <c r="E1069" i="15"/>
  <c r="G1069" i="15" s="1"/>
  <c r="E1486" i="15"/>
  <c r="G1486" i="15" s="1"/>
  <c r="E1265" i="15"/>
  <c r="G1265" i="15" s="1"/>
  <c r="K5" i="5"/>
  <c r="C4" i="5"/>
  <c r="D18" i="5" s="1"/>
  <c r="D1121" i="5"/>
  <c r="D1135" i="5" s="1"/>
  <c r="D1185" i="5" s="1"/>
  <c r="C11" i="5"/>
  <c r="C185" i="8"/>
  <c r="C1248" i="5"/>
  <c r="C35" i="5" s="1"/>
  <c r="C1250" i="5"/>
  <c r="C37" i="5" s="1"/>
  <c r="AK72" i="5"/>
  <c r="H1680" i="13"/>
  <c r="E132" i="8"/>
  <c r="H4" i="4"/>
  <c r="D6" i="4"/>
  <c r="I6" i="4"/>
  <c r="N6" i="4"/>
  <c r="D7" i="4"/>
  <c r="D32" i="4" s="1"/>
  <c r="D92" i="4" s="1"/>
  <c r="I7" i="4"/>
  <c r="I32" i="4" s="1"/>
  <c r="I18" i="4" s="1"/>
  <c r="N7" i="4"/>
  <c r="D16" i="4"/>
  <c r="I16" i="4"/>
  <c r="Q1367" i="5"/>
  <c r="R1367" i="5" s="1"/>
  <c r="Q1368" i="5"/>
  <c r="R1368" i="5" s="1"/>
  <c r="O1074" i="5"/>
  <c r="O1079" i="5" s="1"/>
  <c r="O1073" i="5"/>
  <c r="O1078" i="5" s="1"/>
  <c r="H37" i="4"/>
  <c r="H38" i="4"/>
  <c r="M38" i="4" s="1"/>
  <c r="I39" i="4"/>
  <c r="H40" i="4"/>
  <c r="E41" i="4"/>
  <c r="F51" i="4"/>
  <c r="D86" i="4"/>
  <c r="D89" i="4"/>
  <c r="D95" i="4" s="1"/>
  <c r="C97" i="4"/>
  <c r="F99" i="4"/>
  <c r="H131" i="4"/>
  <c r="P150" i="4"/>
  <c r="P151" i="4"/>
  <c r="AE181" i="4"/>
  <c r="B1728" i="15"/>
  <c r="B1729" i="14"/>
  <c r="E1733" i="15"/>
  <c r="G1733" i="15" s="1"/>
  <c r="E1734" i="15"/>
  <c r="G1734" i="15" s="1"/>
  <c r="E1735" i="15"/>
  <c r="G1735" i="15" s="1"/>
  <c r="E1736" i="15"/>
  <c r="G1736" i="15" s="1"/>
  <c r="E1737" i="15"/>
  <c r="G1737" i="15" s="1"/>
  <c r="B1739" i="15"/>
  <c r="B1740" i="14"/>
  <c r="C1692" i="15"/>
  <c r="C1693" i="14"/>
  <c r="C1693" i="15"/>
  <c r="C1694" i="14"/>
  <c r="C1695" i="15"/>
  <c r="C1696" i="14"/>
  <c r="C1697" i="15"/>
  <c r="C1698" i="14"/>
  <c r="B1699" i="15"/>
  <c r="B1700" i="14"/>
  <c r="B1701" i="15"/>
  <c r="B1702" i="14"/>
  <c r="B1703" i="15"/>
  <c r="B1704" i="14"/>
  <c r="B1705" i="15"/>
  <c r="B1706" i="14"/>
  <c r="B1707" i="15"/>
  <c r="B1708" i="14"/>
  <c r="B1709" i="15"/>
  <c r="B1710" i="14"/>
  <c r="B1711" i="15"/>
  <c r="B1712" i="14"/>
  <c r="B1713" i="15"/>
  <c r="B1714" i="14"/>
  <c r="B1715" i="15"/>
  <c r="B1716" i="14"/>
  <c r="B1717" i="15"/>
  <c r="B1718" i="14"/>
  <c r="B1719" i="15"/>
  <c r="B1720" i="14"/>
  <c r="B1721" i="15"/>
  <c r="B1722" i="14"/>
  <c r="D2392" i="15"/>
  <c r="K2399" i="13"/>
  <c r="D2457" i="15"/>
  <c r="K2465" i="13"/>
  <c r="G411" i="9"/>
  <c r="J1158" i="5"/>
  <c r="K1133" i="5"/>
  <c r="K6" i="5"/>
  <c r="C8" i="5"/>
  <c r="C10" i="5"/>
  <c r="Z58" i="5"/>
  <c r="E337" i="12"/>
  <c r="F344" i="12" s="1"/>
  <c r="E236" i="9"/>
  <c r="E340" i="6"/>
  <c r="U27" i="5"/>
  <c r="V27" i="5" s="1"/>
  <c r="K27" i="5"/>
  <c r="L27" i="5" s="1"/>
  <c r="I27" i="5"/>
  <c r="AH21" i="5"/>
  <c r="B326" i="6"/>
  <c r="F326" i="6" s="1"/>
  <c r="F1291" i="5"/>
  <c r="E49" i="5"/>
  <c r="B1292" i="5"/>
  <c r="AK49" i="5"/>
  <c r="C1295" i="5"/>
  <c r="C1759" i="5" s="1"/>
  <c r="E52" i="5"/>
  <c r="E53" i="5"/>
  <c r="B1296" i="5"/>
  <c r="F1296" i="5" s="1"/>
  <c r="D329" i="6"/>
  <c r="C407" i="6" s="1"/>
  <c r="D1301" i="5"/>
  <c r="H333" i="6"/>
  <c r="L333" i="6" s="1"/>
  <c r="P1312" i="5"/>
  <c r="C78" i="5"/>
  <c r="E364" i="5"/>
  <c r="AD127" i="5"/>
  <c r="E195" i="10"/>
  <c r="G195" i="10" s="1"/>
  <c r="H359" i="5"/>
  <c r="E147" i="5"/>
  <c r="E10" i="10" s="1"/>
  <c r="D6" i="10"/>
  <c r="D745" i="10" s="1"/>
  <c r="J872" i="5"/>
  <c r="J868" i="5"/>
  <c r="J864" i="5"/>
  <c r="J861" i="5"/>
  <c r="J859" i="5"/>
  <c r="J411" i="5"/>
  <c r="J406" i="5"/>
  <c r="J405" i="5"/>
  <c r="J399" i="5"/>
  <c r="D360" i="5"/>
  <c r="D196" i="10" s="1"/>
  <c r="D358" i="5"/>
  <c r="D194" i="10" s="1"/>
  <c r="D356" i="5"/>
  <c r="D192" i="10" s="1"/>
  <c r="D353" i="5"/>
  <c r="D189" i="10" s="1"/>
  <c r="D349" i="5"/>
  <c r="D185" i="10" s="1"/>
  <c r="D345" i="5"/>
  <c r="D181" i="10" s="1"/>
  <c r="D341" i="5"/>
  <c r="D177" i="10" s="1"/>
  <c r="D337" i="5"/>
  <c r="D173" i="10" s="1"/>
  <c r="D333" i="5"/>
  <c r="D169" i="10" s="1"/>
  <c r="D329" i="5"/>
  <c r="D165" i="10" s="1"/>
  <c r="D325" i="5"/>
  <c r="D161" i="10" s="1"/>
  <c r="D321" i="5"/>
  <c r="D157" i="10" s="1"/>
  <c r="D317" i="5"/>
  <c r="D153" i="10" s="1"/>
  <c r="D313" i="5"/>
  <c r="D149" i="10" s="1"/>
  <c r="D309" i="5"/>
  <c r="D145" i="10" s="1"/>
  <c r="D305" i="5"/>
  <c r="D141" i="10" s="1"/>
  <c r="D301" i="5"/>
  <c r="D137" i="10" s="1"/>
  <c r="D297" i="5"/>
  <c r="D133" i="10" s="1"/>
  <c r="D293" i="5"/>
  <c r="D129" i="10" s="1"/>
  <c r="D289" i="5"/>
  <c r="D125" i="10" s="1"/>
  <c r="D285" i="5"/>
  <c r="D121" i="10" s="1"/>
  <c r="D281" i="5"/>
  <c r="D117" i="10" s="1"/>
  <c r="D277" i="5"/>
  <c r="D113" i="10" s="1"/>
  <c r="D273" i="5"/>
  <c r="D109" i="10" s="1"/>
  <c r="D269" i="5"/>
  <c r="D105" i="10" s="1"/>
  <c r="D265" i="5"/>
  <c r="D101" i="10" s="1"/>
  <c r="D261" i="5"/>
  <c r="D97" i="10" s="1"/>
  <c r="D257" i="5"/>
  <c r="D93" i="10" s="1"/>
  <c r="D253" i="5"/>
  <c r="D89" i="10" s="1"/>
  <c r="D249" i="5"/>
  <c r="D85" i="10" s="1"/>
  <c r="D245" i="5"/>
  <c r="D81" i="10" s="1"/>
  <c r="D241" i="5"/>
  <c r="D77" i="10" s="1"/>
  <c r="D237" i="5"/>
  <c r="D73" i="10" s="1"/>
  <c r="D233" i="5"/>
  <c r="D69" i="10" s="1"/>
  <c r="D229" i="5"/>
  <c r="D65" i="10" s="1"/>
  <c r="D225" i="5"/>
  <c r="D61" i="10" s="1"/>
  <c r="D221" i="5"/>
  <c r="D57" i="10" s="1"/>
  <c r="D217" i="5"/>
  <c r="D53" i="10" s="1"/>
  <c r="D213" i="5"/>
  <c r="D49" i="10" s="1"/>
  <c r="D209" i="5"/>
  <c r="D45" i="10" s="1"/>
  <c r="D205" i="5"/>
  <c r="D41" i="10" s="1"/>
  <c r="D201" i="5"/>
  <c r="D37" i="10" s="1"/>
  <c r="D197" i="5"/>
  <c r="D33" i="10" s="1"/>
  <c r="D193" i="5"/>
  <c r="D29" i="10" s="1"/>
  <c r="D189" i="5"/>
  <c r="D25" i="10" s="1"/>
  <c r="D185" i="5"/>
  <c r="D21" i="10" s="1"/>
  <c r="D146" i="5"/>
  <c r="D9" i="10" s="1"/>
  <c r="J874" i="5"/>
  <c r="J870" i="5"/>
  <c r="J866" i="5"/>
  <c r="J412" i="5"/>
  <c r="J410" i="5"/>
  <c r="J409" i="5"/>
  <c r="J403" i="5"/>
  <c r="J400" i="5"/>
  <c r="J397" i="5"/>
  <c r="D593" i="5" s="1"/>
  <c r="D366" i="5"/>
  <c r="D202" i="10" s="1"/>
  <c r="D364" i="5"/>
  <c r="D200" i="10" s="1"/>
  <c r="D362" i="5"/>
  <c r="D198" i="10" s="1"/>
  <c r="D352" i="5"/>
  <c r="D188" i="10" s="1"/>
  <c r="D348" i="5"/>
  <c r="D184" i="10" s="1"/>
  <c r="D344" i="5"/>
  <c r="D180" i="10" s="1"/>
  <c r="D340" i="5"/>
  <c r="D176" i="10" s="1"/>
  <c r="D336" i="5"/>
  <c r="D172" i="10" s="1"/>
  <c r="D332" i="5"/>
  <c r="D168" i="10" s="1"/>
  <c r="D328" i="5"/>
  <c r="D164" i="10" s="1"/>
  <c r="D324" i="5"/>
  <c r="D160" i="10" s="1"/>
  <c r="D320" i="5"/>
  <c r="D156" i="10" s="1"/>
  <c r="D316" i="5"/>
  <c r="D152" i="10" s="1"/>
  <c r="D312" i="5"/>
  <c r="D148" i="10" s="1"/>
  <c r="D308" i="5"/>
  <c r="D144" i="10" s="1"/>
  <c r="D304" i="5"/>
  <c r="D140" i="10" s="1"/>
  <c r="D300" i="5"/>
  <c r="D136" i="10" s="1"/>
  <c r="D296" i="5"/>
  <c r="D132" i="10" s="1"/>
  <c r="D292" i="5"/>
  <c r="D128" i="10" s="1"/>
  <c r="D288" i="5"/>
  <c r="D124" i="10" s="1"/>
  <c r="D284" i="5"/>
  <c r="D120" i="10" s="1"/>
  <c r="D280" i="5"/>
  <c r="D116" i="10" s="1"/>
  <c r="D276" i="5"/>
  <c r="D112" i="10" s="1"/>
  <c r="D272" i="5"/>
  <c r="D108" i="10" s="1"/>
  <c r="D268" i="5"/>
  <c r="D104" i="10" s="1"/>
  <c r="D264" i="5"/>
  <c r="D100" i="10" s="1"/>
  <c r="D260" i="5"/>
  <c r="D96" i="10" s="1"/>
  <c r="D256" i="5"/>
  <c r="D92" i="10" s="1"/>
  <c r="D252" i="5"/>
  <c r="D88" i="10" s="1"/>
  <c r="D248" i="5"/>
  <c r="D84" i="10" s="1"/>
  <c r="D244" i="5"/>
  <c r="D80" i="10" s="1"/>
  <c r="D240" i="5"/>
  <c r="D76" i="10" s="1"/>
  <c r="D236" i="5"/>
  <c r="D72" i="10" s="1"/>
  <c r="D232" i="5"/>
  <c r="D68" i="10" s="1"/>
  <c r="D228" i="5"/>
  <c r="D64" i="10" s="1"/>
  <c r="D224" i="5"/>
  <c r="D60" i="10" s="1"/>
  <c r="D220" i="5"/>
  <c r="D56" i="10" s="1"/>
  <c r="D216" i="5"/>
  <c r="D52" i="10" s="1"/>
  <c r="D212" i="5"/>
  <c r="D48" i="10" s="1"/>
  <c r="D208" i="5"/>
  <c r="D44" i="10" s="1"/>
  <c r="D204" i="5"/>
  <c r="D40" i="10" s="1"/>
  <c r="D200" i="5"/>
  <c r="D36" i="10" s="1"/>
  <c r="D196" i="5"/>
  <c r="D32" i="10" s="1"/>
  <c r="D192" i="5"/>
  <c r="D28" i="10" s="1"/>
  <c r="D188" i="5"/>
  <c r="D24" i="10" s="1"/>
  <c r="D184" i="5"/>
  <c r="D20" i="10" s="1"/>
  <c r="D150" i="5"/>
  <c r="D12" i="10" s="1"/>
  <c r="D145" i="5"/>
  <c r="D8" i="10" s="1"/>
  <c r="J873" i="5"/>
  <c r="J869" i="5"/>
  <c r="J865" i="5"/>
  <c r="J862" i="5"/>
  <c r="J860" i="5"/>
  <c r="J858" i="5"/>
  <c r="J857" i="5"/>
  <c r="J856" i="5"/>
  <c r="J407" i="5"/>
  <c r="J404" i="5"/>
  <c r="J398" i="5"/>
  <c r="J396" i="5"/>
  <c r="D592" i="5" s="1"/>
  <c r="D359" i="5"/>
  <c r="D357" i="5"/>
  <c r="D193" i="10" s="1"/>
  <c r="D355" i="5"/>
  <c r="D351" i="5"/>
  <c r="D187" i="10" s="1"/>
  <c r="D347" i="5"/>
  <c r="D183" i="10" s="1"/>
  <c r="D343" i="5"/>
  <c r="D179" i="10" s="1"/>
  <c r="D339" i="5"/>
  <c r="D175" i="10" s="1"/>
  <c r="D335" i="5"/>
  <c r="D171" i="10" s="1"/>
  <c r="D331" i="5"/>
  <c r="D167" i="10" s="1"/>
  <c r="D327" i="5"/>
  <c r="D163" i="10" s="1"/>
  <c r="D323" i="5"/>
  <c r="D159" i="10" s="1"/>
  <c r="D319" i="5"/>
  <c r="D155" i="10" s="1"/>
  <c r="D315" i="5"/>
  <c r="D151" i="10" s="1"/>
  <c r="D311" i="5"/>
  <c r="D147" i="10" s="1"/>
  <c r="D307" i="5"/>
  <c r="D143" i="10" s="1"/>
  <c r="D303" i="5"/>
  <c r="D139" i="10" s="1"/>
  <c r="D299" i="5"/>
  <c r="D295" i="5"/>
  <c r="D291" i="5"/>
  <c r="D127" i="10" s="1"/>
  <c r="D287" i="5"/>
  <c r="D123" i="10" s="1"/>
  <c r="D283" i="5"/>
  <c r="D279" i="5"/>
  <c r="D275" i="5"/>
  <c r="D111" i="10" s="1"/>
  <c r="D271" i="5"/>
  <c r="D107" i="10" s="1"/>
  <c r="D267" i="5"/>
  <c r="D263" i="5"/>
  <c r="D99" i="10" s="1"/>
  <c r="D259" i="5"/>
  <c r="D95" i="10" s="1"/>
  <c r="D255" i="5"/>
  <c r="D91" i="10" s="1"/>
  <c r="D251" i="5"/>
  <c r="D87" i="10" s="1"/>
  <c r="D247" i="5"/>
  <c r="D83" i="10" s="1"/>
  <c r="D243" i="5"/>
  <c r="D239" i="5"/>
  <c r="D75" i="10" s="1"/>
  <c r="D235" i="5"/>
  <c r="D71" i="10" s="1"/>
  <c r="D231" i="5"/>
  <c r="D67" i="10" s="1"/>
  <c r="D227" i="5"/>
  <c r="D223" i="5"/>
  <c r="D59" i="10" s="1"/>
  <c r="D219" i="5"/>
  <c r="D55" i="10" s="1"/>
  <c r="D215" i="5"/>
  <c r="D51" i="10" s="1"/>
  <c r="D211" i="5"/>
  <c r="D207" i="5"/>
  <c r="D43" i="10" s="1"/>
  <c r="D203" i="5"/>
  <c r="D39" i="10" s="1"/>
  <c r="D199" i="5"/>
  <c r="D35" i="10" s="1"/>
  <c r="D195" i="5"/>
  <c r="D191" i="5"/>
  <c r="D27" i="10" s="1"/>
  <c r="D187" i="5"/>
  <c r="D23" i="10" s="1"/>
  <c r="D183" i="5"/>
  <c r="D19" i="10" s="1"/>
  <c r="D149" i="5"/>
  <c r="D11" i="10" s="1"/>
  <c r="D144" i="5"/>
  <c r="D7" i="10" s="1"/>
  <c r="D182" i="5"/>
  <c r="D18" i="10" s="1"/>
  <c r="D186" i="5"/>
  <c r="D22" i="10" s="1"/>
  <c r="D202" i="5"/>
  <c r="D38" i="10" s="1"/>
  <c r="D218" i="5"/>
  <c r="D54" i="10" s="1"/>
  <c r="D234" i="5"/>
  <c r="D70" i="10" s="1"/>
  <c r="D250" i="5"/>
  <c r="D86" i="10" s="1"/>
  <c r="D278" i="5"/>
  <c r="D114" i="10" s="1"/>
  <c r="D294" i="5"/>
  <c r="D130" i="10" s="1"/>
  <c r="G357" i="5"/>
  <c r="D363" i="5"/>
  <c r="D199" i="10" s="1"/>
  <c r="F202" i="10"/>
  <c r="T1468" i="5"/>
  <c r="E205" i="10"/>
  <c r="G205" i="10" s="1"/>
  <c r="H369" i="5"/>
  <c r="E395" i="10"/>
  <c r="G395" i="10" s="1"/>
  <c r="H821" i="5"/>
  <c r="Y377" i="5"/>
  <c r="P384" i="5"/>
  <c r="Y380" i="5"/>
  <c r="U387" i="5"/>
  <c r="E371" i="5" s="1"/>
  <c r="E207" i="10" s="1"/>
  <c r="G207" i="10" s="1"/>
  <c r="S387" i="5"/>
  <c r="S392" i="5"/>
  <c r="P396" i="5"/>
  <c r="C412" i="5"/>
  <c r="E1223" i="5"/>
  <c r="AJ26" i="5" s="1"/>
  <c r="AH26" i="5"/>
  <c r="C1217" i="5"/>
  <c r="D1222" i="5"/>
  <c r="AI27" i="5" s="1"/>
  <c r="AK27" i="5" s="1"/>
  <c r="D1219" i="5"/>
  <c r="AI31" i="5" s="1"/>
  <c r="D1216" i="5"/>
  <c r="D1218" i="5"/>
  <c r="D1217" i="5"/>
  <c r="L326" i="6"/>
  <c r="L331" i="6" s="1"/>
  <c r="L328" i="6"/>
  <c r="D362" i="13"/>
  <c r="AM1468" i="5"/>
  <c r="P1468" i="5"/>
  <c r="AO1468" i="5" s="1"/>
  <c r="AT1436" i="5" s="1"/>
  <c r="D590" i="13"/>
  <c r="C1656" i="5"/>
  <c r="J1580" i="5"/>
  <c r="L1554" i="5"/>
  <c r="F795" i="10"/>
  <c r="F826" i="10" s="1"/>
  <c r="D610" i="13"/>
  <c r="J1614" i="5"/>
  <c r="O1614" i="5"/>
  <c r="E1310" i="15"/>
  <c r="G1310" i="15" s="1"/>
  <c r="E844" i="13"/>
  <c r="D1891" i="5"/>
  <c r="G1824" i="5"/>
  <c r="E796" i="13"/>
  <c r="D1987" i="5"/>
  <c r="E759" i="13" s="1"/>
  <c r="D1259" i="13"/>
  <c r="J2044" i="5"/>
  <c r="D1321" i="13"/>
  <c r="C2206" i="5"/>
  <c r="D315" i="6"/>
  <c r="D2155" i="13"/>
  <c r="E680" i="6"/>
  <c r="C683" i="6"/>
  <c r="C684" i="6"/>
  <c r="C681" i="6"/>
  <c r="C682" i="6"/>
  <c r="J665" i="6"/>
  <c r="C694" i="6"/>
  <c r="E2010" i="15"/>
  <c r="G2010" i="15" s="1"/>
  <c r="E2012" i="13"/>
  <c r="I715" i="6"/>
  <c r="E100" i="8"/>
  <c r="C164" i="15"/>
  <c r="C165" i="14"/>
  <c r="E1724" i="15"/>
  <c r="G1724" i="15" s="1"/>
  <c r="E1676" i="15"/>
  <c r="G1676" i="15" s="1"/>
  <c r="E1725" i="15"/>
  <c r="G1725" i="15" s="1"/>
  <c r="E1677" i="15"/>
  <c r="G1677" i="15" s="1"/>
  <c r="E1726" i="15"/>
  <c r="G1726" i="15" s="1"/>
  <c r="E1727" i="15"/>
  <c r="G1727" i="15" s="1"/>
  <c r="E1679" i="15"/>
  <c r="G1679" i="15" s="1"/>
  <c r="B1729" i="15"/>
  <c r="B1730" i="14"/>
  <c r="B1681" i="15"/>
  <c r="B1682" i="14"/>
  <c r="B1730" i="15"/>
  <c r="B1731" i="14"/>
  <c r="B1682" i="15"/>
  <c r="B1683" i="14"/>
  <c r="B1731" i="15"/>
  <c r="B1732" i="14"/>
  <c r="B1683" i="15"/>
  <c r="B1684" i="14"/>
  <c r="B1732" i="15"/>
  <c r="B1733" i="14"/>
  <c r="E1689" i="15"/>
  <c r="G1689" i="15" s="1"/>
  <c r="E1738" i="15"/>
  <c r="G1738" i="15" s="1"/>
  <c r="E1691" i="15"/>
  <c r="G1691" i="15" s="1"/>
  <c r="E1740" i="15"/>
  <c r="G1740" i="15" s="1"/>
  <c r="B1693" i="15"/>
  <c r="B1694" i="14"/>
  <c r="E1694" i="15"/>
  <c r="G1694" i="15" s="1"/>
  <c r="C1696" i="15"/>
  <c r="C1697" i="14"/>
  <c r="B1697" i="15"/>
  <c r="B1698" i="14"/>
  <c r="E1699" i="15"/>
  <c r="G1699" i="15" s="1"/>
  <c r="C1701" i="15"/>
  <c r="C1702" i="14"/>
  <c r="B1702" i="15"/>
  <c r="B1703" i="14"/>
  <c r="E1703" i="15"/>
  <c r="G1703" i="15" s="1"/>
  <c r="C1705" i="15"/>
  <c r="C1706" i="14"/>
  <c r="B1706" i="15"/>
  <c r="B1707" i="14"/>
  <c r="E1707" i="15"/>
  <c r="G1707" i="15" s="1"/>
  <c r="J4" i="15"/>
  <c r="F5" i="14"/>
  <c r="D260" i="7"/>
  <c r="D263" i="7"/>
  <c r="Z34" i="5"/>
  <c r="E47" i="5"/>
  <c r="E50" i="5"/>
  <c r="E55" i="5"/>
  <c r="E59" i="5"/>
  <c r="E60" i="5"/>
  <c r="E74" i="5"/>
  <c r="E77" i="5" s="1"/>
  <c r="G18" i="10"/>
  <c r="C256" i="5"/>
  <c r="C260" i="5"/>
  <c r="C264" i="5"/>
  <c r="C268" i="5"/>
  <c r="C272" i="5"/>
  <c r="C276" i="5"/>
  <c r="C280" i="5"/>
  <c r="C284" i="5"/>
  <c r="C288" i="5"/>
  <c r="C292" i="5"/>
  <c r="C296" i="5"/>
  <c r="C300" i="5"/>
  <c r="C304" i="5"/>
  <c r="C308" i="5"/>
  <c r="C312" i="5"/>
  <c r="C316" i="5"/>
  <c r="C320" i="5"/>
  <c r="C324" i="5"/>
  <c r="C328" i="5"/>
  <c r="C332" i="5"/>
  <c r="C336" i="5"/>
  <c r="C340" i="5"/>
  <c r="C344" i="5"/>
  <c r="C348" i="5"/>
  <c r="C352" i="5"/>
  <c r="H357" i="5"/>
  <c r="E361" i="5"/>
  <c r="C362" i="5"/>
  <c r="G199" i="10"/>
  <c r="C364" i="5"/>
  <c r="C366" i="5"/>
  <c r="H368" i="5"/>
  <c r="H370" i="5"/>
  <c r="G208" i="10"/>
  <c r="K376" i="5"/>
  <c r="AD376" i="5" s="1"/>
  <c r="Q376" i="5"/>
  <c r="L377" i="5"/>
  <c r="R377" i="5"/>
  <c r="T377" i="5" s="1"/>
  <c r="K380" i="5"/>
  <c r="Q380" i="5"/>
  <c r="L381" i="5"/>
  <c r="J383" i="5"/>
  <c r="Y383" i="5" s="1"/>
  <c r="T383" i="5"/>
  <c r="S385" i="5"/>
  <c r="K386" i="5"/>
  <c r="R386" i="5"/>
  <c r="R389" i="5" s="1"/>
  <c r="J387" i="5"/>
  <c r="T387" i="5" s="1"/>
  <c r="K388" i="5"/>
  <c r="R388" i="5"/>
  <c r="T388" i="5" s="1"/>
  <c r="K391" i="5"/>
  <c r="T391" i="5" s="1"/>
  <c r="S391" i="5"/>
  <c r="S394" i="5" s="1"/>
  <c r="T394" i="5" s="1"/>
  <c r="J392" i="5"/>
  <c r="K395" i="5"/>
  <c r="G399" i="5"/>
  <c r="K401" i="5"/>
  <c r="C593" i="5" s="1"/>
  <c r="K402" i="5"/>
  <c r="K408" i="5"/>
  <c r="K413" i="5"/>
  <c r="E425" i="5"/>
  <c r="E410" i="10" s="1"/>
  <c r="E431" i="5"/>
  <c r="G432" i="10"/>
  <c r="G497" i="10"/>
  <c r="F473" i="5"/>
  <c r="F477" i="5"/>
  <c r="F481" i="5"/>
  <c r="F485" i="5"/>
  <c r="F489" i="5"/>
  <c r="F493" i="5"/>
  <c r="F497" i="5"/>
  <c r="F501" i="5"/>
  <c r="F505" i="5"/>
  <c r="C507" i="5"/>
  <c r="A508" i="5"/>
  <c r="A573" i="10" s="1"/>
  <c r="B509" i="5"/>
  <c r="A512" i="5"/>
  <c r="A577" i="10" s="1"/>
  <c r="B513" i="5"/>
  <c r="E516" i="5"/>
  <c r="E532" i="5"/>
  <c r="E557" i="5"/>
  <c r="F558" i="5"/>
  <c r="F663" i="10" s="1"/>
  <c r="F562" i="5"/>
  <c r="F667" i="10" s="1"/>
  <c r="F566" i="5"/>
  <c r="F671" i="10" s="1"/>
  <c r="F570" i="5"/>
  <c r="F675" i="10" s="1"/>
  <c r="F574" i="5"/>
  <c r="F679" i="10" s="1"/>
  <c r="F578" i="5"/>
  <c r="F683" i="10" s="1"/>
  <c r="F582" i="5"/>
  <c r="F687" i="10" s="1"/>
  <c r="F586" i="5"/>
  <c r="F691" i="10" s="1"/>
  <c r="C620" i="5"/>
  <c r="K621" i="5"/>
  <c r="C637" i="5"/>
  <c r="D640" i="5"/>
  <c r="D214" i="10" s="1"/>
  <c r="C641" i="5"/>
  <c r="F642" i="5"/>
  <c r="F216" i="10" s="1"/>
  <c r="D644" i="5"/>
  <c r="D218" i="10" s="1"/>
  <c r="C645" i="5"/>
  <c r="E647" i="5"/>
  <c r="E221" i="10" s="1"/>
  <c r="D648" i="5"/>
  <c r="D222" i="10" s="1"/>
  <c r="D649" i="5"/>
  <c r="D223" i="10" s="1"/>
  <c r="D650" i="5"/>
  <c r="D224" i="10" s="1"/>
  <c r="C651" i="5"/>
  <c r="C652" i="5"/>
  <c r="F653" i="5"/>
  <c r="F227" i="10" s="1"/>
  <c r="E654" i="5"/>
  <c r="D655" i="5"/>
  <c r="D229" i="10" s="1"/>
  <c r="C656" i="5"/>
  <c r="D659" i="5"/>
  <c r="D233" i="10" s="1"/>
  <c r="C660" i="5"/>
  <c r="D663" i="5"/>
  <c r="D237" i="10" s="1"/>
  <c r="C664" i="5"/>
  <c r="D667" i="5"/>
  <c r="D241" i="10" s="1"/>
  <c r="C668" i="5"/>
  <c r="D671" i="5"/>
  <c r="D245" i="10" s="1"/>
  <c r="C672" i="5"/>
  <c r="D675" i="5"/>
  <c r="D249" i="10" s="1"/>
  <c r="C676" i="5"/>
  <c r="D679" i="5"/>
  <c r="D253" i="10" s="1"/>
  <c r="C680" i="5"/>
  <c r="D683" i="5"/>
  <c r="D257" i="10" s="1"/>
  <c r="C684" i="5"/>
  <c r="F685" i="5"/>
  <c r="F259" i="10" s="1"/>
  <c r="D687" i="5"/>
  <c r="D261" i="10" s="1"/>
  <c r="C688" i="5"/>
  <c r="D691" i="5"/>
  <c r="D265" i="10" s="1"/>
  <c r="C692" i="5"/>
  <c r="D695" i="5"/>
  <c r="D269" i="10" s="1"/>
  <c r="C696" i="5"/>
  <c r="D699" i="5"/>
  <c r="D273" i="10" s="1"/>
  <c r="C700" i="5"/>
  <c r="D703" i="5"/>
  <c r="D277" i="10" s="1"/>
  <c r="C704" i="5"/>
  <c r="D707" i="5"/>
  <c r="D281" i="10" s="1"/>
  <c r="C708" i="5"/>
  <c r="D711" i="5"/>
  <c r="D285" i="10" s="1"/>
  <c r="C712" i="5"/>
  <c r="D715" i="5"/>
  <c r="D289" i="10" s="1"/>
  <c r="C716" i="5"/>
  <c r="D719" i="5"/>
  <c r="D293" i="10" s="1"/>
  <c r="C720" i="5"/>
  <c r="F721" i="5"/>
  <c r="F295" i="10" s="1"/>
  <c r="D723" i="5"/>
  <c r="D297" i="10" s="1"/>
  <c r="C724" i="5"/>
  <c r="F725" i="5"/>
  <c r="F299" i="10" s="1"/>
  <c r="D727" i="5"/>
  <c r="D301" i="10" s="1"/>
  <c r="C728" i="5"/>
  <c r="G304" i="10"/>
  <c r="D731" i="5"/>
  <c r="D305" i="10" s="1"/>
  <c r="C732" i="5"/>
  <c r="D735" i="5"/>
  <c r="D309" i="10" s="1"/>
  <c r="C736" i="5"/>
  <c r="D739" i="5"/>
  <c r="D313" i="10" s="1"/>
  <c r="C740" i="5"/>
  <c r="D743" i="5"/>
  <c r="D317" i="10" s="1"/>
  <c r="C744" i="5"/>
  <c r="D747" i="5"/>
  <c r="D321" i="10" s="1"/>
  <c r="C748" i="5"/>
  <c r="D751" i="5"/>
  <c r="D325" i="10" s="1"/>
  <c r="C752" i="5"/>
  <c r="D755" i="5"/>
  <c r="D329" i="10" s="1"/>
  <c r="C756" i="5"/>
  <c r="D759" i="5"/>
  <c r="D333" i="10" s="1"/>
  <c r="C760" i="5"/>
  <c r="D763" i="5"/>
  <c r="D337" i="10" s="1"/>
  <c r="C764" i="5"/>
  <c r="D767" i="5"/>
  <c r="D341" i="10" s="1"/>
  <c r="C768" i="5"/>
  <c r="D771" i="5"/>
  <c r="D345" i="10" s="1"/>
  <c r="C772" i="5"/>
  <c r="F773" i="5"/>
  <c r="F347" i="10" s="1"/>
  <c r="D775" i="5"/>
  <c r="D349" i="10" s="1"/>
  <c r="C776" i="5"/>
  <c r="G352" i="10"/>
  <c r="D779" i="5"/>
  <c r="D353" i="10" s="1"/>
  <c r="C780" i="5"/>
  <c r="D783" i="5"/>
  <c r="D357" i="10" s="1"/>
  <c r="C784" i="5"/>
  <c r="D787" i="5"/>
  <c r="D361" i="10" s="1"/>
  <c r="C788" i="5"/>
  <c r="D791" i="5"/>
  <c r="D365" i="10" s="1"/>
  <c r="C792" i="5"/>
  <c r="D795" i="5"/>
  <c r="D369" i="10" s="1"/>
  <c r="C796" i="5"/>
  <c r="D799" i="5"/>
  <c r="D373" i="10" s="1"/>
  <c r="C800" i="5"/>
  <c r="D803" i="5"/>
  <c r="D377" i="10" s="1"/>
  <c r="C804" i="5"/>
  <c r="D807" i="5"/>
  <c r="D381" i="10" s="1"/>
  <c r="C808" i="5"/>
  <c r="D811" i="5"/>
  <c r="D385" i="10" s="1"/>
  <c r="C812" i="5"/>
  <c r="D815" i="5"/>
  <c r="D389" i="10" s="1"/>
  <c r="C816" i="5"/>
  <c r="D819" i="5"/>
  <c r="D393" i="10" s="1"/>
  <c r="C820" i="5"/>
  <c r="C821" i="5"/>
  <c r="D824" i="5"/>
  <c r="D398" i="10" s="1"/>
  <c r="C825" i="5"/>
  <c r="E827" i="5"/>
  <c r="D828" i="5"/>
  <c r="D402" i="10" s="1"/>
  <c r="D833" i="5"/>
  <c r="D407" i="10" s="1"/>
  <c r="F836" i="5"/>
  <c r="K836" i="5"/>
  <c r="R836" i="5"/>
  <c r="R840" i="5" s="1"/>
  <c r="I837" i="5"/>
  <c r="P837" i="5"/>
  <c r="Y837" i="5"/>
  <c r="F838" i="5"/>
  <c r="K838" i="5"/>
  <c r="R838" i="5"/>
  <c r="T838" i="5" s="1"/>
  <c r="I839" i="5"/>
  <c r="P839" i="5"/>
  <c r="I841" i="5"/>
  <c r="P841" i="5"/>
  <c r="C842" i="5"/>
  <c r="F843" i="5"/>
  <c r="K843" i="5"/>
  <c r="S843" i="5"/>
  <c r="E844" i="5"/>
  <c r="J844" i="5"/>
  <c r="E846" i="5"/>
  <c r="J846" i="5"/>
  <c r="C847" i="5"/>
  <c r="E848" i="5"/>
  <c r="J848" i="5"/>
  <c r="F849" i="5"/>
  <c r="K849" i="5"/>
  <c r="R849" i="5"/>
  <c r="T849" i="5" s="1"/>
  <c r="C851" i="5"/>
  <c r="E852" i="5"/>
  <c r="J852" i="5"/>
  <c r="C853" i="5"/>
  <c r="E854" i="5"/>
  <c r="F854" i="5" s="1"/>
  <c r="J854" i="5"/>
  <c r="Q856" i="5"/>
  <c r="K864" i="5"/>
  <c r="K868" i="5"/>
  <c r="K872" i="5"/>
  <c r="E893" i="5"/>
  <c r="G473" i="10"/>
  <c r="E911" i="5"/>
  <c r="E928" i="5"/>
  <c r="E532" i="10" s="1"/>
  <c r="B934" i="5"/>
  <c r="B538" i="10" s="1"/>
  <c r="B936" i="5"/>
  <c r="B540" i="10" s="1"/>
  <c r="B938" i="5"/>
  <c r="B542" i="10" s="1"/>
  <c r="B940" i="5"/>
  <c r="B544" i="10" s="1"/>
  <c r="B942" i="5"/>
  <c r="B546" i="10" s="1"/>
  <c r="B944" i="5"/>
  <c r="B548" i="10" s="1"/>
  <c r="B946" i="5"/>
  <c r="B550" i="10" s="1"/>
  <c r="B948" i="5"/>
  <c r="B552" i="10" s="1"/>
  <c r="B950" i="5"/>
  <c r="B554" i="10" s="1"/>
  <c r="B952" i="5"/>
  <c r="B556" i="10" s="1"/>
  <c r="B954" i="5"/>
  <c r="B558" i="10" s="1"/>
  <c r="B956" i="5"/>
  <c r="B560" i="10" s="1"/>
  <c r="B958" i="5"/>
  <c r="B562" i="10" s="1"/>
  <c r="B960" i="5"/>
  <c r="B564" i="10" s="1"/>
  <c r="B962" i="5"/>
  <c r="B566" i="10" s="1"/>
  <c r="B964" i="5"/>
  <c r="B568" i="10" s="1"/>
  <c r="B966" i="5"/>
  <c r="B570" i="10" s="1"/>
  <c r="G620" i="10"/>
  <c r="E978" i="5"/>
  <c r="B1019" i="5"/>
  <c r="B703" i="10" s="1"/>
  <c r="B1021" i="5"/>
  <c r="B705" i="10" s="1"/>
  <c r="B1023" i="5"/>
  <c r="B707" i="10" s="1"/>
  <c r="B1025" i="5"/>
  <c r="B709" i="10" s="1"/>
  <c r="B1027" i="5"/>
  <c r="B711" i="10" s="1"/>
  <c r="B1029" i="5"/>
  <c r="B713" i="10" s="1"/>
  <c r="B1031" i="5"/>
  <c r="B715" i="10" s="1"/>
  <c r="B1033" i="5"/>
  <c r="B717" i="10" s="1"/>
  <c r="B1035" i="5"/>
  <c r="B719" i="10" s="1"/>
  <c r="B1037" i="5"/>
  <c r="B721" i="10" s="1"/>
  <c r="B1039" i="5"/>
  <c r="B723" i="10" s="1"/>
  <c r="B1041" i="5"/>
  <c r="B725" i="10" s="1"/>
  <c r="B1043" i="5"/>
  <c r="B727" i="10" s="1"/>
  <c r="B1045" i="5"/>
  <c r="B729" i="10" s="1"/>
  <c r="B1047" i="5"/>
  <c r="B731" i="10" s="1"/>
  <c r="B1049" i="5"/>
  <c r="B733" i="10" s="1"/>
  <c r="B1051" i="5"/>
  <c r="B735" i="10" s="1"/>
  <c r="J1114" i="5"/>
  <c r="J1134" i="5"/>
  <c r="J1135" i="5" s="1"/>
  <c r="C417" i="9"/>
  <c r="G413" i="9"/>
  <c r="I1202" i="5"/>
  <c r="K1218" i="5" s="1"/>
  <c r="C523" i="9"/>
  <c r="C517" i="9"/>
  <c r="C1221" i="5"/>
  <c r="E1222" i="5"/>
  <c r="E1224" i="5"/>
  <c r="AJ30" i="5" s="1"/>
  <c r="H1749" i="13"/>
  <c r="C610" i="9"/>
  <c r="C609" i="9"/>
  <c r="D172" i="8"/>
  <c r="L1290" i="5"/>
  <c r="P1292" i="5"/>
  <c r="M1293" i="5"/>
  <c r="P1296" i="5"/>
  <c r="G1319" i="5"/>
  <c r="J1321" i="5"/>
  <c r="E1321" i="5" s="1"/>
  <c r="F342" i="12"/>
  <c r="J1325" i="5"/>
  <c r="E1325" i="5" s="1"/>
  <c r="J348" i="12"/>
  <c r="J351" i="6"/>
  <c r="J350" i="12"/>
  <c r="J353" i="6"/>
  <c r="J352" i="12"/>
  <c r="J355" i="6"/>
  <c r="J354" i="12"/>
  <c r="J357" i="6"/>
  <c r="O1346" i="5"/>
  <c r="P1346" i="5" s="1"/>
  <c r="O1351" i="5"/>
  <c r="P1351" i="5" s="1"/>
  <c r="C1352" i="5"/>
  <c r="B306" i="13"/>
  <c r="A869" i="10"/>
  <c r="F1396" i="5"/>
  <c r="K1396" i="5"/>
  <c r="E869" i="10" s="1"/>
  <c r="E326" i="15"/>
  <c r="G326" i="15" s="1"/>
  <c r="D1397" i="5"/>
  <c r="E307" i="13" s="1"/>
  <c r="A871" i="10"/>
  <c r="B308" i="13"/>
  <c r="F1398" i="5"/>
  <c r="K1398" i="5"/>
  <c r="E871" i="10" s="1"/>
  <c r="E328" i="15"/>
  <c r="G328" i="15" s="1"/>
  <c r="G328" i="13"/>
  <c r="E329" i="15"/>
  <c r="G329" i="15" s="1"/>
  <c r="B318" i="13"/>
  <c r="A872" i="10"/>
  <c r="F1408" i="5"/>
  <c r="K1408" i="5"/>
  <c r="E872" i="10" s="1"/>
  <c r="E319" i="15"/>
  <c r="G319" i="15" s="1"/>
  <c r="B321" i="15"/>
  <c r="B322" i="14"/>
  <c r="E1412" i="5"/>
  <c r="E1415" i="5"/>
  <c r="D1416" i="5"/>
  <c r="E2367" i="13" s="1"/>
  <c r="E2360" i="15" s="1"/>
  <c r="G2360" i="15" s="1"/>
  <c r="AQ1440" i="5"/>
  <c r="B437" i="13" s="1"/>
  <c r="AS1443" i="5"/>
  <c r="E440" i="13" s="1"/>
  <c r="AQ1447" i="5"/>
  <c r="B444" i="13" s="1"/>
  <c r="E439" i="15"/>
  <c r="G439" i="15" s="1"/>
  <c r="B441" i="15"/>
  <c r="B442" i="14"/>
  <c r="E443" i="15"/>
  <c r="G443" i="15" s="1"/>
  <c r="E353" i="15"/>
  <c r="G353" i="15" s="1"/>
  <c r="U1466" i="5"/>
  <c r="E521" i="15"/>
  <c r="G521" i="15" s="1"/>
  <c r="B507" i="15"/>
  <c r="B508" i="14"/>
  <c r="C373" i="15"/>
  <c r="C374" i="14"/>
  <c r="E334" i="15"/>
  <c r="G334" i="15" s="1"/>
  <c r="E354" i="15"/>
  <c r="G354" i="15" s="1"/>
  <c r="U1467" i="5"/>
  <c r="E522" i="15"/>
  <c r="G522" i="15" s="1"/>
  <c r="AL1467" i="5"/>
  <c r="C374" i="15"/>
  <c r="C375" i="14"/>
  <c r="D1468" i="5"/>
  <c r="E355" i="15"/>
  <c r="G355" i="15" s="1"/>
  <c r="G362" i="13"/>
  <c r="U1468" i="5"/>
  <c r="E523" i="15"/>
  <c r="G523" i="15" s="1"/>
  <c r="AL1468" i="5"/>
  <c r="C375" i="15"/>
  <c r="C376" i="14"/>
  <c r="D1469" i="5"/>
  <c r="E356" i="15"/>
  <c r="G356" i="15" s="1"/>
  <c r="G363" i="13"/>
  <c r="U1469" i="5"/>
  <c r="E524" i="15"/>
  <c r="G524" i="15" s="1"/>
  <c r="AL1469" i="5"/>
  <c r="C376" i="15"/>
  <c r="C377" i="14"/>
  <c r="D1470" i="5"/>
  <c r="E357" i="15"/>
  <c r="G357" i="15" s="1"/>
  <c r="U1470" i="5"/>
  <c r="E525" i="15"/>
  <c r="G525" i="15" s="1"/>
  <c r="AL1470" i="5"/>
  <c r="C377" i="15"/>
  <c r="C378" i="14"/>
  <c r="D1471" i="5"/>
  <c r="E358" i="15"/>
  <c r="G358" i="15" s="1"/>
  <c r="U1471" i="5"/>
  <c r="E526" i="15"/>
  <c r="G526" i="15" s="1"/>
  <c r="AL1471" i="5"/>
  <c r="C378" i="15"/>
  <c r="C379" i="14"/>
  <c r="D1472" i="5"/>
  <c r="E359" i="15"/>
  <c r="G359" i="15" s="1"/>
  <c r="U1472" i="5"/>
  <c r="E527" i="15"/>
  <c r="G527" i="15" s="1"/>
  <c r="AR1472" i="5"/>
  <c r="C417" i="13" s="1"/>
  <c r="C390" i="15"/>
  <c r="C391" i="14"/>
  <c r="B340" i="15"/>
  <c r="B341" i="14"/>
  <c r="B360" i="15"/>
  <c r="B361" i="14"/>
  <c r="B474" i="15"/>
  <c r="B475" i="14"/>
  <c r="AC1473" i="5"/>
  <c r="AN1473" i="5"/>
  <c r="C391" i="15"/>
  <c r="C392" i="14"/>
  <c r="B341" i="15"/>
  <c r="B342" i="14"/>
  <c r="B361" i="15"/>
  <c r="B362" i="14"/>
  <c r="B475" i="15"/>
  <c r="B476" i="14"/>
  <c r="AC1474" i="5"/>
  <c r="AN1474" i="5"/>
  <c r="C392" i="15"/>
  <c r="C393" i="14"/>
  <c r="B342" i="15"/>
  <c r="B343" i="14"/>
  <c r="B362" i="15"/>
  <c r="B363" i="14"/>
  <c r="B476" i="15"/>
  <c r="B477" i="14"/>
  <c r="AC1475" i="5"/>
  <c r="AT1475" i="5"/>
  <c r="E420" i="13" s="1"/>
  <c r="C382" i="15"/>
  <c r="C383" i="14"/>
  <c r="BK1475" i="5"/>
  <c r="E400" i="13" s="1"/>
  <c r="D1476" i="5"/>
  <c r="E363" i="15"/>
  <c r="G363" i="15" s="1"/>
  <c r="U1476" i="5"/>
  <c r="AL1476" i="5"/>
  <c r="C383" i="15"/>
  <c r="C384" i="14"/>
  <c r="D1477" i="5"/>
  <c r="E364" i="15"/>
  <c r="G364" i="15" s="1"/>
  <c r="U1477" i="5"/>
  <c r="AL1477" i="5"/>
  <c r="C395" i="15"/>
  <c r="C396" i="14"/>
  <c r="B345" i="15"/>
  <c r="B346" i="14"/>
  <c r="C499" i="15"/>
  <c r="C500" i="14"/>
  <c r="BH1478" i="5"/>
  <c r="B403" i="13" s="1"/>
  <c r="B480" i="15"/>
  <c r="B481" i="14"/>
  <c r="AC1479" i="5"/>
  <c r="C397" i="15"/>
  <c r="C398" i="14"/>
  <c r="B347" i="15"/>
  <c r="B348" i="14"/>
  <c r="B481" i="15"/>
  <c r="B482" i="14"/>
  <c r="AC1480" i="5"/>
  <c r="AT1480" i="5"/>
  <c r="E425" i="13" s="1"/>
  <c r="C398" i="15"/>
  <c r="C399" i="14"/>
  <c r="B348" i="15"/>
  <c r="B349" i="14"/>
  <c r="H1481" i="5"/>
  <c r="R1481" i="5"/>
  <c r="AC1481" i="5"/>
  <c r="E531" i="15"/>
  <c r="G531" i="15" s="1"/>
  <c r="E2479" i="13"/>
  <c r="E2471" i="15" s="1"/>
  <c r="G2471" i="15" s="1"/>
  <c r="G538" i="13"/>
  <c r="BK1481" i="5"/>
  <c r="E406" i="13" s="1"/>
  <c r="D1482" i="5"/>
  <c r="K1482" i="5"/>
  <c r="E483" i="15"/>
  <c r="G483" i="15" s="1"/>
  <c r="B532" i="15"/>
  <c r="B533" i="14"/>
  <c r="B2436" i="13"/>
  <c r="B2428" i="15" s="1"/>
  <c r="C400" i="15"/>
  <c r="C401" i="14"/>
  <c r="B350" i="15"/>
  <c r="B351" i="14"/>
  <c r="H1483" i="5"/>
  <c r="B484" i="15"/>
  <c r="B485" i="14"/>
  <c r="AC1483" i="5"/>
  <c r="AT1483" i="5"/>
  <c r="E428" i="13" s="1"/>
  <c r="C401" i="15"/>
  <c r="C402" i="14"/>
  <c r="H1484" i="5"/>
  <c r="B485" i="15"/>
  <c r="B486" i="14"/>
  <c r="AQ1484" i="5"/>
  <c r="B454" i="13" s="1"/>
  <c r="BK1484" i="5"/>
  <c r="E409" i="13" s="1"/>
  <c r="K1485" i="5"/>
  <c r="U1485" i="5"/>
  <c r="AT1485" i="5"/>
  <c r="E455" i="13" s="1"/>
  <c r="C403" i="15"/>
  <c r="C404" i="14"/>
  <c r="H1486" i="5"/>
  <c r="R1486" i="5"/>
  <c r="AQ1486" i="5"/>
  <c r="B456" i="13" s="1"/>
  <c r="D340" i="13"/>
  <c r="D469" i="13"/>
  <c r="BK1487" i="5"/>
  <c r="E412" i="13" s="1"/>
  <c r="K1488" i="5"/>
  <c r="K1489" i="5"/>
  <c r="H1491" i="5"/>
  <c r="C1507" i="5"/>
  <c r="C1673" i="5" s="1"/>
  <c r="P1531" i="5"/>
  <c r="Q1532" i="5"/>
  <c r="A752" i="10"/>
  <c r="B545" i="13"/>
  <c r="K1533" i="5"/>
  <c r="S1543" i="5"/>
  <c r="D558" i="13"/>
  <c r="H796" i="10"/>
  <c r="H834" i="10"/>
  <c r="E758" i="10"/>
  <c r="E796" i="10" s="1"/>
  <c r="E834" i="10" s="1"/>
  <c r="H758" i="10"/>
  <c r="G758" i="10" s="1"/>
  <c r="G1546" i="5"/>
  <c r="G1622" i="5" s="1"/>
  <c r="G1700" i="5" s="1"/>
  <c r="J1547" i="5"/>
  <c r="D560" i="13"/>
  <c r="H798" i="10"/>
  <c r="G798" i="10" s="1"/>
  <c r="H836" i="10"/>
  <c r="G836" i="10" s="1"/>
  <c r="E760" i="10"/>
  <c r="E798" i="10" s="1"/>
  <c r="E836" i="10" s="1"/>
  <c r="H760" i="10"/>
  <c r="G760" i="10" s="1"/>
  <c r="G1548" i="5"/>
  <c r="G1624" i="5" s="1"/>
  <c r="G1702" i="5" s="1"/>
  <c r="D562" i="13"/>
  <c r="H800" i="10"/>
  <c r="G800" i="10" s="1"/>
  <c r="H838" i="10"/>
  <c r="G838" i="10" s="1"/>
  <c r="E762" i="10"/>
  <c r="E800" i="10" s="1"/>
  <c r="E838" i="10" s="1"/>
  <c r="H762" i="10"/>
  <c r="G762" i="10" s="1"/>
  <c r="G1550" i="5"/>
  <c r="G1626" i="5" s="1"/>
  <c r="G1704" i="5" s="1"/>
  <c r="J1551" i="5"/>
  <c r="D564" i="13"/>
  <c r="H802" i="10"/>
  <c r="G802" i="10" s="1"/>
  <c r="H840" i="10"/>
  <c r="G840" i="10" s="1"/>
  <c r="E764" i="10"/>
  <c r="E802" i="10" s="1"/>
  <c r="E840" i="10" s="1"/>
  <c r="H764" i="10"/>
  <c r="G764" i="10" s="1"/>
  <c r="G1552" i="5"/>
  <c r="G1628" i="5" s="1"/>
  <c r="G1706" i="5" s="1"/>
  <c r="D566" i="13"/>
  <c r="H804" i="10"/>
  <c r="G804" i="10" s="1"/>
  <c r="H842" i="10"/>
  <c r="G842" i="10" s="1"/>
  <c r="E766" i="10"/>
  <c r="E804" i="10" s="1"/>
  <c r="E842" i="10" s="1"/>
  <c r="H766" i="10"/>
  <c r="G766" i="10" s="1"/>
  <c r="G1554" i="5"/>
  <c r="G1630" i="5" s="1"/>
  <c r="G1708" i="5" s="1"/>
  <c r="J1555" i="5"/>
  <c r="D568" i="13"/>
  <c r="H806" i="10"/>
  <c r="G806" i="10" s="1"/>
  <c r="H844" i="10"/>
  <c r="G844" i="10" s="1"/>
  <c r="E768" i="10"/>
  <c r="E806" i="10" s="1"/>
  <c r="E844" i="10" s="1"/>
  <c r="H768" i="10"/>
  <c r="G768" i="10" s="1"/>
  <c r="G1556" i="5"/>
  <c r="G1632" i="5" s="1"/>
  <c r="G1710" i="5" s="1"/>
  <c r="D570" i="13"/>
  <c r="H808" i="10"/>
  <c r="G808" i="10" s="1"/>
  <c r="H846" i="10"/>
  <c r="G846" i="10" s="1"/>
  <c r="E770" i="10"/>
  <c r="E808" i="10" s="1"/>
  <c r="E846" i="10" s="1"/>
  <c r="H770" i="10"/>
  <c r="G770" i="10" s="1"/>
  <c r="G1558" i="5"/>
  <c r="G1634" i="5" s="1"/>
  <c r="G1712" i="5" s="1"/>
  <c r="J1559" i="5"/>
  <c r="D572" i="13"/>
  <c r="H810" i="10"/>
  <c r="H848" i="10"/>
  <c r="E772" i="10"/>
  <c r="E810" i="10" s="1"/>
  <c r="E848" i="10" s="1"/>
  <c r="H772" i="10"/>
  <c r="G772" i="10" s="1"/>
  <c r="G1560" i="5"/>
  <c r="G1636" i="5" s="1"/>
  <c r="G1714" i="5" s="1"/>
  <c r="D574" i="13"/>
  <c r="H812" i="10"/>
  <c r="G812" i="10" s="1"/>
  <c r="H850" i="10"/>
  <c r="G850" i="10" s="1"/>
  <c r="E774" i="10"/>
  <c r="E812" i="10" s="1"/>
  <c r="E850" i="10" s="1"/>
  <c r="H774" i="10"/>
  <c r="G774" i="10" s="1"/>
  <c r="G1562" i="5"/>
  <c r="G1638" i="5" s="1"/>
  <c r="G1716" i="5" s="1"/>
  <c r="J1563" i="5"/>
  <c r="D576" i="13"/>
  <c r="H814" i="10"/>
  <c r="G814" i="10" s="1"/>
  <c r="H852" i="10"/>
  <c r="G852" i="10" s="1"/>
  <c r="E776" i="10"/>
  <c r="E814" i="10" s="1"/>
  <c r="E852" i="10" s="1"/>
  <c r="H776" i="10"/>
  <c r="G776" i="10" s="1"/>
  <c r="G1564" i="5"/>
  <c r="G1640" i="5" s="1"/>
  <c r="G1718" i="5" s="1"/>
  <c r="D578" i="13"/>
  <c r="H816" i="10"/>
  <c r="G816" i="10" s="1"/>
  <c r="H854" i="10"/>
  <c r="G854" i="10" s="1"/>
  <c r="E778" i="10"/>
  <c r="E816" i="10" s="1"/>
  <c r="E854" i="10" s="1"/>
  <c r="H778" i="10"/>
  <c r="G778" i="10" s="1"/>
  <c r="G1566" i="5"/>
  <c r="G1642" i="5" s="1"/>
  <c r="G1720" i="5" s="1"/>
  <c r="J1567" i="5"/>
  <c r="D580" i="13"/>
  <c r="H818" i="10"/>
  <c r="G818" i="10" s="1"/>
  <c r="H856" i="10"/>
  <c r="G856" i="10" s="1"/>
  <c r="E780" i="10"/>
  <c r="E818" i="10" s="1"/>
  <c r="E856" i="10" s="1"/>
  <c r="H780" i="10"/>
  <c r="G780" i="10" s="1"/>
  <c r="G1568" i="5"/>
  <c r="G1644" i="5" s="1"/>
  <c r="G1722" i="5" s="1"/>
  <c r="D582" i="13"/>
  <c r="H820" i="10"/>
  <c r="G820" i="10" s="1"/>
  <c r="H858" i="10"/>
  <c r="G858" i="10" s="1"/>
  <c r="E782" i="10"/>
  <c r="E820" i="10" s="1"/>
  <c r="E858" i="10" s="1"/>
  <c r="H782" i="10"/>
  <c r="G782" i="10" s="1"/>
  <c r="G1570" i="5"/>
  <c r="G1646" i="5" s="1"/>
  <c r="G1724" i="5" s="1"/>
  <c r="J1571" i="5"/>
  <c r="D584" i="13"/>
  <c r="H822" i="10"/>
  <c r="G822" i="10" s="1"/>
  <c r="H860" i="10"/>
  <c r="G860" i="10" s="1"/>
  <c r="E784" i="10"/>
  <c r="E822" i="10" s="1"/>
  <c r="E860" i="10" s="1"/>
  <c r="H784" i="10"/>
  <c r="G784" i="10" s="1"/>
  <c r="G1572" i="5"/>
  <c r="G1648" i="5" s="1"/>
  <c r="G1726" i="5" s="1"/>
  <c r="E580" i="15"/>
  <c r="G580" i="15" s="1"/>
  <c r="E581" i="15"/>
  <c r="G581" i="15" s="1"/>
  <c r="I1577" i="5"/>
  <c r="I1578" i="5"/>
  <c r="I1579" i="5"/>
  <c r="E583" i="15"/>
  <c r="G583" i="15" s="1"/>
  <c r="I1581" i="5"/>
  <c r="D2478" i="15"/>
  <c r="K2486" i="13"/>
  <c r="H2486" i="13"/>
  <c r="D2444" i="15"/>
  <c r="K2452" i="13"/>
  <c r="H2452" i="13"/>
  <c r="D2362" i="15"/>
  <c r="K2369" i="13"/>
  <c r="B608" i="13"/>
  <c r="A793" i="10"/>
  <c r="E1612" i="5"/>
  <c r="D793" i="10" s="1"/>
  <c r="D824" i="10" s="1"/>
  <c r="E602" i="15"/>
  <c r="G602" i="15" s="1"/>
  <c r="E648" i="15"/>
  <c r="G648" i="15" s="1"/>
  <c r="C604" i="15"/>
  <c r="C605" i="14"/>
  <c r="B650" i="15"/>
  <c r="B651" i="14"/>
  <c r="A1616" i="5"/>
  <c r="B612" i="13" s="1"/>
  <c r="I1617" i="5"/>
  <c r="E613" i="13" s="1"/>
  <c r="E652" i="15"/>
  <c r="G652" i="15" s="1"/>
  <c r="I1618" i="5"/>
  <c r="E653" i="15"/>
  <c r="G653" i="15" s="1"/>
  <c r="C609" i="15"/>
  <c r="C610" i="14"/>
  <c r="B655" i="15"/>
  <c r="B656" i="14"/>
  <c r="A1621" i="5"/>
  <c r="B617" i="13" s="1"/>
  <c r="D1622" i="5"/>
  <c r="I1622" i="5"/>
  <c r="E657" i="15"/>
  <c r="G657" i="15" s="1"/>
  <c r="C613" i="15"/>
  <c r="C614" i="14"/>
  <c r="D1626" i="5"/>
  <c r="I1626" i="5"/>
  <c r="C617" i="15"/>
  <c r="C618" i="14"/>
  <c r="D1630" i="5"/>
  <c r="I1630" i="5"/>
  <c r="C621" i="15"/>
  <c r="C622" i="14"/>
  <c r="D1634" i="5"/>
  <c r="I1634" i="5"/>
  <c r="C625" i="15"/>
  <c r="C626" i="14"/>
  <c r="I1638" i="5"/>
  <c r="C629" i="15"/>
  <c r="C630" i="14"/>
  <c r="I1642" i="5"/>
  <c r="C633" i="15"/>
  <c r="C634" i="14"/>
  <c r="D1646" i="5"/>
  <c r="I1646" i="5"/>
  <c r="C637" i="15"/>
  <c r="C638" i="14"/>
  <c r="A1649" i="5"/>
  <c r="C641" i="15"/>
  <c r="C642" i="14"/>
  <c r="A1653" i="5"/>
  <c r="C643" i="15"/>
  <c r="C644" i="14"/>
  <c r="A1657" i="5"/>
  <c r="J1658" i="5"/>
  <c r="J1739" i="5" s="1"/>
  <c r="I1659" i="5"/>
  <c r="E2372" i="13" s="1"/>
  <c r="E2365" i="15" s="1"/>
  <c r="G2365" i="15" s="1"/>
  <c r="C1660" i="5"/>
  <c r="C1676" i="5"/>
  <c r="D1699" i="5"/>
  <c r="C833" i="10" s="1"/>
  <c r="C864" i="10" s="1"/>
  <c r="E705" i="15"/>
  <c r="G705" i="15" s="1"/>
  <c r="C1700" i="5"/>
  <c r="B1701" i="5"/>
  <c r="C672" i="13" s="1"/>
  <c r="B707" i="15"/>
  <c r="B708" i="14"/>
  <c r="E709" i="15"/>
  <c r="G709" i="15" s="1"/>
  <c r="C1704" i="5"/>
  <c r="B1705" i="5"/>
  <c r="C676" i="13" s="1"/>
  <c r="O1707" i="5"/>
  <c r="C1708" i="5"/>
  <c r="B1709" i="5"/>
  <c r="C680" i="13" s="1"/>
  <c r="C1712" i="5"/>
  <c r="B1713" i="5"/>
  <c r="C684" i="13" s="1"/>
  <c r="C1716" i="5"/>
  <c r="B1717" i="5"/>
  <c r="C688" i="13" s="1"/>
  <c r="C1720" i="5"/>
  <c r="B1721" i="5"/>
  <c r="C692" i="13" s="1"/>
  <c r="C1724" i="5"/>
  <c r="B1725" i="5"/>
  <c r="C696" i="13" s="1"/>
  <c r="B1729" i="5"/>
  <c r="C700" i="13" s="1"/>
  <c r="A1730" i="5"/>
  <c r="B701" i="13" s="1"/>
  <c r="D2370" i="15"/>
  <c r="K2377" i="13"/>
  <c r="B1733" i="5"/>
  <c r="C702" i="13" s="1"/>
  <c r="A1734" i="5"/>
  <c r="B703" i="13" s="1"/>
  <c r="E698" i="15"/>
  <c r="G698" i="15" s="1"/>
  <c r="E699" i="15"/>
  <c r="G699" i="15" s="1"/>
  <c r="E700" i="15"/>
  <c r="G700" i="15" s="1"/>
  <c r="C1739" i="5"/>
  <c r="D2488" i="13" s="1"/>
  <c r="D2446" i="15"/>
  <c r="H2454" i="13"/>
  <c r="K2454" i="13"/>
  <c r="C1741" i="5"/>
  <c r="F1754" i="5"/>
  <c r="C1757" i="5"/>
  <c r="C1833" i="5" s="1"/>
  <c r="E738" i="15"/>
  <c r="G738" i="15" s="1"/>
  <c r="D1787" i="5"/>
  <c r="O1790" i="5"/>
  <c r="O1834" i="5" s="1"/>
  <c r="O1883" i="5" s="1"/>
  <c r="O1792" i="5"/>
  <c r="D1805" i="5"/>
  <c r="D740" i="13"/>
  <c r="C1850" i="5"/>
  <c r="C741" i="13"/>
  <c r="B1851" i="5"/>
  <c r="B742" i="13"/>
  <c r="A1852" i="5"/>
  <c r="E1808" i="5"/>
  <c r="E1809" i="5"/>
  <c r="E1810" i="5"/>
  <c r="E1811" i="5"/>
  <c r="E1812" i="5"/>
  <c r="I1817" i="5"/>
  <c r="C1823" i="5"/>
  <c r="C1827" i="5"/>
  <c r="J1835" i="5" s="1"/>
  <c r="D861" i="13" s="1"/>
  <c r="C824" i="15"/>
  <c r="C825" i="14"/>
  <c r="B849" i="15"/>
  <c r="B850" i="14"/>
  <c r="A1831" i="5"/>
  <c r="D1832" i="5"/>
  <c r="A1833" i="5"/>
  <c r="E828" i="15"/>
  <c r="G828" i="15" s="1"/>
  <c r="K1834" i="5"/>
  <c r="C1835" i="5"/>
  <c r="C830" i="15"/>
  <c r="C831" i="14"/>
  <c r="G1836" i="5"/>
  <c r="B862" i="13" s="1"/>
  <c r="A1837" i="5"/>
  <c r="C832" i="15"/>
  <c r="C833" i="14"/>
  <c r="C841" i="13"/>
  <c r="B1888" i="5"/>
  <c r="C835" i="15"/>
  <c r="C836" i="14"/>
  <c r="C836" i="15"/>
  <c r="C837" i="14"/>
  <c r="C845" i="13"/>
  <c r="B1892" i="5"/>
  <c r="C839" i="15"/>
  <c r="C840" i="14"/>
  <c r="C840" i="15"/>
  <c r="C841" i="14"/>
  <c r="C849" i="13"/>
  <c r="B1896" i="5"/>
  <c r="B1849" i="5"/>
  <c r="B1850" i="5"/>
  <c r="C1851" i="5"/>
  <c r="C1852" i="5"/>
  <c r="D1854" i="5"/>
  <c r="E2492" i="13" s="1"/>
  <c r="E2484" i="15" s="1"/>
  <c r="G2484" i="15" s="1"/>
  <c r="C1855" i="5"/>
  <c r="C1856" i="5"/>
  <c r="C1857" i="5"/>
  <c r="I1870" i="5"/>
  <c r="G1870" i="5" s="1"/>
  <c r="I1872" i="5"/>
  <c r="G1872" i="5" s="1"/>
  <c r="I1874" i="5"/>
  <c r="G1874" i="5" s="1"/>
  <c r="B1878" i="5"/>
  <c r="C868" i="13" s="1"/>
  <c r="B865" i="15"/>
  <c r="B866" i="14"/>
  <c r="B1886" i="5"/>
  <c r="K1886" i="5"/>
  <c r="E900" i="13" s="1"/>
  <c r="B1889" i="5"/>
  <c r="B1890" i="5"/>
  <c r="D883" i="13"/>
  <c r="D1942" i="5"/>
  <c r="B791" i="15"/>
  <c r="B792" i="14"/>
  <c r="D1944" i="5"/>
  <c r="K1946" i="5"/>
  <c r="E826" i="13" s="1"/>
  <c r="B1948" i="5"/>
  <c r="A1985" i="5"/>
  <c r="B757" i="13" s="1"/>
  <c r="B756" i="15"/>
  <c r="B757" i="14"/>
  <c r="E1272" i="15"/>
  <c r="G1272" i="15" s="1"/>
  <c r="B1246" i="15"/>
  <c r="B1247" i="14"/>
  <c r="B1274" i="15"/>
  <c r="B1275" i="14"/>
  <c r="B1254" i="13"/>
  <c r="D2045" i="5"/>
  <c r="E1254" i="13" s="1"/>
  <c r="C2046" i="5"/>
  <c r="B1258" i="13"/>
  <c r="D2049" i="5"/>
  <c r="E1258" i="13" s="1"/>
  <c r="B1264" i="13"/>
  <c r="D2055" i="5"/>
  <c r="B1258" i="15"/>
  <c r="B1259" i="14"/>
  <c r="E2056" i="5"/>
  <c r="D2057" i="5"/>
  <c r="E1266" i="13" s="1"/>
  <c r="D1267" i="13"/>
  <c r="G1267" i="13" s="1"/>
  <c r="E2058" i="5"/>
  <c r="D1261" i="15"/>
  <c r="D1262" i="14"/>
  <c r="K1268" i="13"/>
  <c r="B2406" i="13"/>
  <c r="B2399" i="15" s="1"/>
  <c r="D2063" i="5"/>
  <c r="E2064" i="5"/>
  <c r="C2073" i="5"/>
  <c r="E1276" i="15"/>
  <c r="G1276" i="15" s="1"/>
  <c r="G2077" i="5"/>
  <c r="B1284" i="13" s="1"/>
  <c r="E1278" i="15"/>
  <c r="G1278" i="15" s="1"/>
  <c r="E1280" i="15"/>
  <c r="G1280" i="15" s="1"/>
  <c r="G2101" i="5"/>
  <c r="B1861" i="13"/>
  <c r="G2279" i="5"/>
  <c r="B1916" i="13" s="1"/>
  <c r="B1819" i="13"/>
  <c r="D2138" i="5"/>
  <c r="E1819" i="13" s="1"/>
  <c r="C1819" i="15"/>
  <c r="C1820" i="14"/>
  <c r="C1830" i="13"/>
  <c r="B2292" i="5"/>
  <c r="C1890" i="13" s="1"/>
  <c r="B1827" i="15"/>
  <c r="B1828" i="14"/>
  <c r="B1830" i="15"/>
  <c r="B1831" i="14"/>
  <c r="B1831" i="15"/>
  <c r="B1832" i="14"/>
  <c r="B1834" i="15"/>
  <c r="B1835" i="14"/>
  <c r="B1835" i="15"/>
  <c r="B1836" i="14"/>
  <c r="D1845" i="13"/>
  <c r="E2164" i="5"/>
  <c r="E1839" i="15"/>
  <c r="G1839" i="15" s="1"/>
  <c r="E1843" i="15"/>
  <c r="G1843" i="15" s="1"/>
  <c r="E1847" i="15"/>
  <c r="G1847" i="15" s="1"/>
  <c r="D2403" i="13"/>
  <c r="D2423" i="15"/>
  <c r="K2431" i="13"/>
  <c r="B1322" i="15"/>
  <c r="B1323" i="14"/>
  <c r="B1320" i="13"/>
  <c r="D2203" i="5"/>
  <c r="E1320" i="13" s="1"/>
  <c r="I2204" i="5"/>
  <c r="B1325" i="15"/>
  <c r="B1326" i="14"/>
  <c r="D2211" i="5"/>
  <c r="E2432" i="13" s="1"/>
  <c r="E2424" i="15" s="1"/>
  <c r="G2424" i="15" s="1"/>
  <c r="D2474" i="13"/>
  <c r="E2212" i="5"/>
  <c r="I2240" i="5"/>
  <c r="G2257" i="5"/>
  <c r="E1869" i="15"/>
  <c r="G1869" i="15" s="1"/>
  <c r="E1908" i="15"/>
  <c r="G1908" i="15" s="1"/>
  <c r="C1909" i="15"/>
  <c r="C1910" i="14"/>
  <c r="G2280" i="5"/>
  <c r="B1917" i="13" s="1"/>
  <c r="C1874" i="15"/>
  <c r="C1875" i="14"/>
  <c r="L2283" i="5"/>
  <c r="E1920" i="13" s="1"/>
  <c r="C1914" i="15"/>
  <c r="C1915" i="14"/>
  <c r="E1876" i="15"/>
  <c r="G1876" i="15" s="1"/>
  <c r="E1915" i="15"/>
  <c r="G1915" i="15" s="1"/>
  <c r="D2287" i="5"/>
  <c r="E1885" i="13" s="1"/>
  <c r="B2288" i="5"/>
  <c r="C1886" i="13" s="1"/>
  <c r="E1918" i="15"/>
  <c r="G1918" i="15" s="1"/>
  <c r="C1919" i="15"/>
  <c r="C1920" i="14"/>
  <c r="A2295" i="5"/>
  <c r="B1893" i="13" s="1"/>
  <c r="D2296" i="5"/>
  <c r="E1894" i="13" s="1"/>
  <c r="B2298" i="5"/>
  <c r="C1896" i="13" s="1"/>
  <c r="A2303" i="5"/>
  <c r="B1901" i="13" s="1"/>
  <c r="D2304" i="5"/>
  <c r="E1902" i="13" s="1"/>
  <c r="C1897" i="15"/>
  <c r="C1898" i="14"/>
  <c r="D1906" i="13"/>
  <c r="E2308" i="5"/>
  <c r="B1901" i="15"/>
  <c r="B1902" i="14"/>
  <c r="E2315" i="5"/>
  <c r="K2320" i="5"/>
  <c r="E1285" i="15"/>
  <c r="G1285" i="15" s="1"/>
  <c r="C2324" i="5"/>
  <c r="E1289" i="15"/>
  <c r="G1289" i="15" s="1"/>
  <c r="C1292" i="15"/>
  <c r="C1293" i="14"/>
  <c r="C1293" i="15"/>
  <c r="C1294" i="14"/>
  <c r="B1304" i="13"/>
  <c r="D2333" i="5"/>
  <c r="B1298" i="15"/>
  <c r="B1299" i="14"/>
  <c r="E1299" i="15"/>
  <c r="G1299" i="15" s="1"/>
  <c r="G18" i="6"/>
  <c r="G23" i="6"/>
  <c r="G25" i="6" s="1"/>
  <c r="D67" i="6"/>
  <c r="D69" i="6" s="1"/>
  <c r="G173" i="6"/>
  <c r="C217" i="6"/>
  <c r="C218" i="6" s="1"/>
  <c r="D225" i="6"/>
  <c r="D221" i="6"/>
  <c r="C279" i="6"/>
  <c r="D317" i="6"/>
  <c r="D319" i="6" s="1"/>
  <c r="D297" i="6"/>
  <c r="F329" i="6"/>
  <c r="J342" i="6"/>
  <c r="E345" i="6"/>
  <c r="J346" i="6"/>
  <c r="E349" i="6"/>
  <c r="J350" i="6"/>
  <c r="E353" i="6"/>
  <c r="J354" i="6"/>
  <c r="E357" i="6"/>
  <c r="E1926" i="15"/>
  <c r="G1926" i="15" s="1"/>
  <c r="E1928" i="15"/>
  <c r="G1928" i="15" s="1"/>
  <c r="E1930" i="15"/>
  <c r="G1930" i="15" s="1"/>
  <c r="E1932" i="15"/>
  <c r="G1932" i="15" s="1"/>
  <c r="E1934" i="15"/>
  <c r="G1934" i="15" s="1"/>
  <c r="E1936" i="15"/>
  <c r="G1936" i="15" s="1"/>
  <c r="E1941" i="15"/>
  <c r="G1941" i="15" s="1"/>
  <c r="E1974" i="13"/>
  <c r="E430" i="6"/>
  <c r="D1979" i="13"/>
  <c r="E435" i="6"/>
  <c r="D2425" i="13"/>
  <c r="E436" i="6"/>
  <c r="B2025" i="13"/>
  <c r="E2073" i="15"/>
  <c r="G2073" i="15" s="1"/>
  <c r="E2075" i="15"/>
  <c r="G2075" i="15" s="1"/>
  <c r="B2076" i="15"/>
  <c r="B2077" i="14"/>
  <c r="E2082" i="15"/>
  <c r="G2082" i="15" s="1"/>
  <c r="B2039" i="15"/>
  <c r="B2040" i="14"/>
  <c r="E2041" i="15"/>
  <c r="G2041" i="15" s="1"/>
  <c r="B2057" i="13"/>
  <c r="D542" i="6"/>
  <c r="E2057" i="13" s="1"/>
  <c r="D549" i="6"/>
  <c r="E2064" i="13" s="1"/>
  <c r="B2061" i="15"/>
  <c r="B2062" i="14"/>
  <c r="E554" i="6"/>
  <c r="E2175" i="15"/>
  <c r="G2175" i="15" s="1"/>
  <c r="E2177" i="15"/>
  <c r="G2177" i="15" s="1"/>
  <c r="E2179" i="15"/>
  <c r="G2179" i="15" s="1"/>
  <c r="E2181" i="15"/>
  <c r="G2181" i="15" s="1"/>
  <c r="E2183" i="15"/>
  <c r="G2183" i="15" s="1"/>
  <c r="E2196" i="15"/>
  <c r="G2196" i="15" s="1"/>
  <c r="E2198" i="15"/>
  <c r="G2198" i="15" s="1"/>
  <c r="E2213" i="15"/>
  <c r="G2213" i="15" s="1"/>
  <c r="E2215" i="15"/>
  <c r="G2215" i="15" s="1"/>
  <c r="E2217" i="15"/>
  <c r="G2217" i="15" s="1"/>
  <c r="E2154" i="15"/>
  <c r="G2154" i="15" s="1"/>
  <c r="E2158" i="15"/>
  <c r="G2158" i="15" s="1"/>
  <c r="E2162" i="15"/>
  <c r="G2162" i="15" s="1"/>
  <c r="E2169" i="15"/>
  <c r="G2169" i="15" s="1"/>
  <c r="M715" i="6"/>
  <c r="E1984" i="15"/>
  <c r="G1984" i="15" s="1"/>
  <c r="E2437" i="13"/>
  <c r="E2429" i="15" s="1"/>
  <c r="G2429" i="15" s="1"/>
  <c r="G1991" i="13"/>
  <c r="J38" i="7"/>
  <c r="E1197" i="15"/>
  <c r="G1197" i="15" s="1"/>
  <c r="E1208" i="13"/>
  <c r="K72" i="7"/>
  <c r="E1233" i="13" s="1"/>
  <c r="K59" i="7"/>
  <c r="E1221" i="13" s="1"/>
  <c r="B1204" i="15"/>
  <c r="B1205" i="14"/>
  <c r="E908" i="15"/>
  <c r="G908" i="15" s="1"/>
  <c r="B1208" i="15"/>
  <c r="B1209" i="14"/>
  <c r="E1209" i="15"/>
  <c r="G1209" i="15" s="1"/>
  <c r="E918" i="15"/>
  <c r="G918" i="15" s="1"/>
  <c r="K67" i="7"/>
  <c r="E1228" i="13" s="1"/>
  <c r="E924" i="15"/>
  <c r="G924" i="15" s="1"/>
  <c r="B1224" i="15"/>
  <c r="B1225" i="14"/>
  <c r="B936" i="13"/>
  <c r="A132" i="7"/>
  <c r="B993" i="13" s="1"/>
  <c r="E1232" i="15"/>
  <c r="G1232" i="15" s="1"/>
  <c r="B959" i="13"/>
  <c r="E96" i="7"/>
  <c r="E959" i="13" s="1"/>
  <c r="E954" i="15"/>
  <c r="G954" i="15" s="1"/>
  <c r="E969" i="15"/>
  <c r="G969" i="15" s="1"/>
  <c r="E974" i="15"/>
  <c r="G974" i="15" s="1"/>
  <c r="B982" i="15"/>
  <c r="B983" i="14"/>
  <c r="E989" i="15"/>
  <c r="G989" i="15" s="1"/>
  <c r="E992" i="15"/>
  <c r="G992" i="15" s="1"/>
  <c r="E995" i="15"/>
  <c r="G995" i="15" s="1"/>
  <c r="E999" i="15"/>
  <c r="G999" i="15" s="1"/>
  <c r="E1003" i="15"/>
  <c r="G1003" i="15" s="1"/>
  <c r="E1007" i="15"/>
  <c r="G1007" i="15" s="1"/>
  <c r="B1018" i="13"/>
  <c r="E157" i="7"/>
  <c r="E1018" i="13" s="1"/>
  <c r="J70" i="7"/>
  <c r="D1231" i="13" s="1"/>
  <c r="F163" i="7"/>
  <c r="B1039" i="15"/>
  <c r="B1040" i="14"/>
  <c r="B1040" i="15"/>
  <c r="B1041" i="14"/>
  <c r="A193" i="7"/>
  <c r="B1052" i="13" s="1"/>
  <c r="B1054" i="13"/>
  <c r="A134" i="7"/>
  <c r="B995" i="13" s="1"/>
  <c r="A75" i="7"/>
  <c r="B938" i="13" s="1"/>
  <c r="B1076" i="13"/>
  <c r="C217" i="7"/>
  <c r="E1072" i="15"/>
  <c r="G1072" i="15" s="1"/>
  <c r="F229" i="7"/>
  <c r="H2388" i="13" s="1"/>
  <c r="D2389" i="13"/>
  <c r="F230" i="7"/>
  <c r="H2389" i="13" s="1"/>
  <c r="D2383" i="15"/>
  <c r="K2390" i="13"/>
  <c r="E1100" i="13"/>
  <c r="E295" i="7"/>
  <c r="D258" i="7"/>
  <c r="B1111" i="13"/>
  <c r="A306" i="7"/>
  <c r="E1112" i="13"/>
  <c r="E307" i="7"/>
  <c r="D274" i="7"/>
  <c r="C1129" i="13"/>
  <c r="B327" i="7"/>
  <c r="C1168" i="13" s="1"/>
  <c r="C1135" i="13"/>
  <c r="B333" i="7"/>
  <c r="C1174" i="13" s="1"/>
  <c r="B1175" i="13"/>
  <c r="C334" i="7"/>
  <c r="C353" i="7" s="1"/>
  <c r="D353" i="7" s="1"/>
  <c r="E134" i="15"/>
  <c r="G134" i="15" s="1"/>
  <c r="E133" i="13"/>
  <c r="K290" i="8"/>
  <c r="E130" i="13"/>
  <c r="D295" i="8"/>
  <c r="E2421" i="13"/>
  <c r="E2413" i="15" s="1"/>
  <c r="G2413" i="15" s="1"/>
  <c r="E278" i="8"/>
  <c r="B144" i="13"/>
  <c r="D291" i="8"/>
  <c r="E144" i="13" s="1"/>
  <c r="E145" i="15"/>
  <c r="G145" i="15" s="1"/>
  <c r="B154" i="13"/>
  <c r="G307" i="8"/>
  <c r="B172" i="13" s="1"/>
  <c r="C165" i="15"/>
  <c r="C166" i="14"/>
  <c r="J294" i="8"/>
  <c r="E157" i="13"/>
  <c r="K310" i="8"/>
  <c r="E175" i="13" s="1"/>
  <c r="D164" i="13"/>
  <c r="D173" i="15"/>
  <c r="D174" i="14"/>
  <c r="C162" i="15"/>
  <c r="C163" i="14"/>
  <c r="B175" i="15"/>
  <c r="B176" i="14"/>
  <c r="D198" i="15"/>
  <c r="D199" i="14"/>
  <c r="L345" i="8"/>
  <c r="B185" i="13"/>
  <c r="A419" i="8"/>
  <c r="B225" i="13" s="1"/>
  <c r="E191" i="13"/>
  <c r="D425" i="8"/>
  <c r="E231" i="13" s="1"/>
  <c r="B2448" i="13"/>
  <c r="B2440" i="15" s="1"/>
  <c r="A428" i="8"/>
  <c r="B2449" i="13" s="1"/>
  <c r="B2441" i="15" s="1"/>
  <c r="D2356" i="13"/>
  <c r="E366" i="8"/>
  <c r="E433" i="8" s="1"/>
  <c r="C433" i="8"/>
  <c r="D2361" i="13" s="1"/>
  <c r="B238" i="15"/>
  <c r="B239" i="14"/>
  <c r="C220" i="15"/>
  <c r="C221" i="14"/>
  <c r="C224" i="15"/>
  <c r="C225" i="14"/>
  <c r="C228" i="15"/>
  <c r="C229" i="14"/>
  <c r="C232" i="15"/>
  <c r="C233" i="14"/>
  <c r="D2350" i="15"/>
  <c r="K2357" i="13"/>
  <c r="E295" i="13"/>
  <c r="E296" i="13"/>
  <c r="E297" i="13"/>
  <c r="E298" i="13"/>
  <c r="E299" i="13"/>
  <c r="E300" i="13"/>
  <c r="E277" i="15"/>
  <c r="G277" i="15" s="1"/>
  <c r="E279" i="15"/>
  <c r="G279" i="15" s="1"/>
  <c r="D2366" i="13"/>
  <c r="E505" i="8"/>
  <c r="E519" i="8"/>
  <c r="J624" i="8"/>
  <c r="C628" i="8"/>
  <c r="E15" i="13"/>
  <c r="D618" i="8"/>
  <c r="E41" i="13" s="1"/>
  <c r="E42" i="15"/>
  <c r="G42" i="15" s="1"/>
  <c r="J621" i="8"/>
  <c r="E89" i="13"/>
  <c r="K659" i="8"/>
  <c r="E114" i="13" s="1"/>
  <c r="E80" i="15"/>
  <c r="G80" i="15" s="1"/>
  <c r="B83" i="15"/>
  <c r="B84" i="14"/>
  <c r="B85" i="13"/>
  <c r="D650" i="8"/>
  <c r="E85" i="13" s="1"/>
  <c r="E116" i="15"/>
  <c r="G116" i="15" s="1"/>
  <c r="E120" i="15"/>
  <c r="G120" i="15" s="1"/>
  <c r="E99" i="9"/>
  <c r="E80" i="9"/>
  <c r="E97" i="9"/>
  <c r="D72" i="9"/>
  <c r="D67" i="9"/>
  <c r="E1409" i="15"/>
  <c r="G1409" i="15" s="1"/>
  <c r="E1410" i="15"/>
  <c r="G1410" i="15" s="1"/>
  <c r="E1411" i="15"/>
  <c r="G1411" i="15" s="1"/>
  <c r="G1418" i="13"/>
  <c r="E1428" i="13"/>
  <c r="D664" i="9"/>
  <c r="E1354" i="13" s="1"/>
  <c r="E1429" i="13"/>
  <c r="D665" i="9"/>
  <c r="E1355" i="13" s="1"/>
  <c r="E1430" i="13"/>
  <c r="D666" i="9"/>
  <c r="E1356" i="13" s="1"/>
  <c r="B1442" i="13"/>
  <c r="A678" i="9"/>
  <c r="B1368" i="13" s="1"/>
  <c r="B1443" i="13"/>
  <c r="A679" i="9"/>
  <c r="B1369" i="13" s="1"/>
  <c r="B1454" i="13"/>
  <c r="A690" i="9"/>
  <c r="B1380" i="13" s="1"/>
  <c r="B1456" i="13"/>
  <c r="A692" i="9"/>
  <c r="B1382" i="13" s="1"/>
  <c r="B1459" i="13"/>
  <c r="A695" i="9"/>
  <c r="B1385" i="13" s="1"/>
  <c r="B1461" i="13"/>
  <c r="A697" i="9"/>
  <c r="B1387" i="13" s="1"/>
  <c r="B2391" i="13"/>
  <c r="B2384" i="15" s="1"/>
  <c r="D314" i="9"/>
  <c r="E2391" i="13" s="1"/>
  <c r="E2384" i="15" s="1"/>
  <c r="G2384" i="15" s="1"/>
  <c r="E348" i="9"/>
  <c r="E1488" i="15"/>
  <c r="G1488" i="15" s="1"/>
  <c r="B1501" i="15"/>
  <c r="B1502" i="14"/>
  <c r="E1510" i="15"/>
  <c r="G1510" i="15" s="1"/>
  <c r="B1514" i="15"/>
  <c r="B1515" i="14"/>
  <c r="B1517" i="15"/>
  <c r="B1518" i="14"/>
  <c r="B1519" i="15"/>
  <c r="B1520" i="14"/>
  <c r="B1521" i="15"/>
  <c r="B1522" i="14"/>
  <c r="B2393" i="13"/>
  <c r="B2386" i="15" s="1"/>
  <c r="D392" i="9"/>
  <c r="D1586" i="15"/>
  <c r="D1587" i="14"/>
  <c r="K1593" i="13"/>
  <c r="E1544" i="15"/>
  <c r="G1544" i="15" s="1"/>
  <c r="B1556" i="13"/>
  <c r="D436" i="9"/>
  <c r="E1556" i="13" s="1"/>
  <c r="B1612" i="15"/>
  <c r="B1613" i="14"/>
  <c r="E1580" i="13"/>
  <c r="E460" i="9"/>
  <c r="B1576" i="15"/>
  <c r="B1577" i="14"/>
  <c r="B1580" i="15"/>
  <c r="B1581" i="14"/>
  <c r="E475" i="9"/>
  <c r="C1634" i="15"/>
  <c r="C1635" i="14"/>
  <c r="Z130" i="5"/>
  <c r="F360" i="5" s="1"/>
  <c r="G253" i="5"/>
  <c r="H116" i="10" s="1"/>
  <c r="C309" i="5"/>
  <c r="C313" i="5"/>
  <c r="C317" i="5"/>
  <c r="C321" i="5"/>
  <c r="C325" i="5"/>
  <c r="C329" i="5"/>
  <c r="C333" i="5"/>
  <c r="C337" i="5"/>
  <c r="C341" i="5"/>
  <c r="C345" i="5"/>
  <c r="C349" i="5"/>
  <c r="C353" i="5"/>
  <c r="C356" i="5"/>
  <c r="C358" i="5"/>
  <c r="C360" i="5"/>
  <c r="K375" i="5"/>
  <c r="AD375" i="5" s="1"/>
  <c r="L376" i="5"/>
  <c r="R376" i="5"/>
  <c r="R379" i="5" s="1"/>
  <c r="E179" i="5" s="1"/>
  <c r="L380" i="5"/>
  <c r="J382" i="5"/>
  <c r="K383" i="5"/>
  <c r="I385" i="5"/>
  <c r="P385" i="5"/>
  <c r="S386" i="5"/>
  <c r="K387" i="5"/>
  <c r="S388" i="5"/>
  <c r="K392" i="5"/>
  <c r="T392" i="5" s="1"/>
  <c r="J393" i="5"/>
  <c r="G395" i="5"/>
  <c r="G856" i="5" s="1"/>
  <c r="K396" i="5"/>
  <c r="K398" i="5"/>
  <c r="G401" i="5"/>
  <c r="G862" i="5" s="1"/>
  <c r="K404" i="5"/>
  <c r="K407" i="5"/>
  <c r="B512" i="5"/>
  <c r="A515" i="5"/>
  <c r="A580" i="10" s="1"/>
  <c r="B516" i="5"/>
  <c r="F516" i="5"/>
  <c r="F581" i="10" s="1"/>
  <c r="A519" i="5"/>
  <c r="A584" i="10" s="1"/>
  <c r="B520" i="5"/>
  <c r="F520" i="5"/>
  <c r="F585" i="10" s="1"/>
  <c r="A523" i="5"/>
  <c r="A588" i="10" s="1"/>
  <c r="B524" i="5"/>
  <c r="F524" i="5"/>
  <c r="F589" i="10" s="1"/>
  <c r="A527" i="5"/>
  <c r="A592" i="10" s="1"/>
  <c r="B528" i="5"/>
  <c r="F528" i="5"/>
  <c r="F593" i="10" s="1"/>
  <c r="A531" i="5"/>
  <c r="A596" i="10" s="1"/>
  <c r="B532" i="5"/>
  <c r="F532" i="5"/>
  <c r="F597" i="10" s="1"/>
  <c r="A535" i="5"/>
  <c r="A600" i="10" s="1"/>
  <c r="B536" i="5"/>
  <c r="F536" i="5"/>
  <c r="F601" i="10" s="1"/>
  <c r="A539" i="5"/>
  <c r="A604" i="10" s="1"/>
  <c r="B540" i="5"/>
  <c r="F540" i="5"/>
  <c r="F605" i="10" s="1"/>
  <c r="A543" i="5"/>
  <c r="A608" i="10" s="1"/>
  <c r="B544" i="5"/>
  <c r="F544" i="5"/>
  <c r="F609" i="10" s="1"/>
  <c r="A547" i="5"/>
  <c r="A612" i="10" s="1"/>
  <c r="B549" i="5"/>
  <c r="B1011" i="5" s="1"/>
  <c r="F549" i="5"/>
  <c r="F1011" i="5" s="1"/>
  <c r="G661" i="10"/>
  <c r="F557" i="5"/>
  <c r="F662" i="10" s="1"/>
  <c r="F561" i="5"/>
  <c r="F666" i="10" s="1"/>
  <c r="F565" i="5"/>
  <c r="F670" i="10" s="1"/>
  <c r="F569" i="5"/>
  <c r="F674" i="10" s="1"/>
  <c r="F573" i="5"/>
  <c r="F678" i="10" s="1"/>
  <c r="G678" i="10" s="1"/>
  <c r="F577" i="5"/>
  <c r="F682" i="10" s="1"/>
  <c r="F581" i="5"/>
  <c r="F686" i="10" s="1"/>
  <c r="F585" i="5"/>
  <c r="F690" i="10" s="1"/>
  <c r="F589" i="5"/>
  <c r="F694" i="10" s="1"/>
  <c r="E622" i="5"/>
  <c r="C623" i="5"/>
  <c r="K624" i="5"/>
  <c r="D637" i="5"/>
  <c r="D211" i="10" s="1"/>
  <c r="C638" i="5"/>
  <c r="D641" i="5"/>
  <c r="D215" i="10" s="1"/>
  <c r="C642" i="5"/>
  <c r="F643" i="5"/>
  <c r="F217" i="10" s="1"/>
  <c r="D645" i="5"/>
  <c r="D219" i="10" s="1"/>
  <c r="C646" i="5"/>
  <c r="D651" i="5"/>
  <c r="D225" i="10" s="1"/>
  <c r="D652" i="5"/>
  <c r="D226" i="10" s="1"/>
  <c r="C653" i="5"/>
  <c r="D656" i="5"/>
  <c r="D230" i="10" s="1"/>
  <c r="C657" i="5"/>
  <c r="D660" i="5"/>
  <c r="D234" i="10" s="1"/>
  <c r="C661" i="5"/>
  <c r="D664" i="5"/>
  <c r="D238" i="10" s="1"/>
  <c r="C665" i="5"/>
  <c r="D668" i="5"/>
  <c r="D242" i="10" s="1"/>
  <c r="C669" i="5"/>
  <c r="D672" i="5"/>
  <c r="D246" i="10" s="1"/>
  <c r="C673" i="5"/>
  <c r="D676" i="5"/>
  <c r="D250" i="10" s="1"/>
  <c r="C677" i="5"/>
  <c r="D680" i="5"/>
  <c r="D254" i="10" s="1"/>
  <c r="C681" i="5"/>
  <c r="D684" i="5"/>
  <c r="D258" i="10" s="1"/>
  <c r="C685" i="5"/>
  <c r="D688" i="5"/>
  <c r="D262" i="10" s="1"/>
  <c r="C689" i="5"/>
  <c r="D692" i="5"/>
  <c r="D266" i="10" s="1"/>
  <c r="C693" i="5"/>
  <c r="D696" i="5"/>
  <c r="D270" i="10" s="1"/>
  <c r="C697" i="5"/>
  <c r="D700" i="5"/>
  <c r="D274" i="10" s="1"/>
  <c r="C701" i="5"/>
  <c r="D704" i="5"/>
  <c r="D278" i="10" s="1"/>
  <c r="C705" i="5"/>
  <c r="D708" i="5"/>
  <c r="D282" i="10" s="1"/>
  <c r="C709" i="5"/>
  <c r="D712" i="5"/>
  <c r="D286" i="10" s="1"/>
  <c r="C713" i="5"/>
  <c r="D716" i="5"/>
  <c r="D290" i="10" s="1"/>
  <c r="C717" i="5"/>
  <c r="D720" i="5"/>
  <c r="D294" i="10" s="1"/>
  <c r="C721" i="5"/>
  <c r="F722" i="5"/>
  <c r="F296" i="10" s="1"/>
  <c r="D724" i="5"/>
  <c r="D298" i="10" s="1"/>
  <c r="C725" i="5"/>
  <c r="F726" i="5"/>
  <c r="F300" i="10" s="1"/>
  <c r="D728" i="5"/>
  <c r="D302" i="10" s="1"/>
  <c r="C729" i="5"/>
  <c r="D732" i="5"/>
  <c r="D306" i="10" s="1"/>
  <c r="C733" i="5"/>
  <c r="D736" i="5"/>
  <c r="D310" i="10" s="1"/>
  <c r="C737" i="5"/>
  <c r="D740" i="5"/>
  <c r="D314" i="10" s="1"/>
  <c r="C741" i="5"/>
  <c r="D744" i="5"/>
  <c r="D318" i="10" s="1"/>
  <c r="C745" i="5"/>
  <c r="D748" i="5"/>
  <c r="D322" i="10" s="1"/>
  <c r="C749" i="5"/>
  <c r="D752" i="5"/>
  <c r="D326" i="10" s="1"/>
  <c r="C753" i="5"/>
  <c r="D756" i="5"/>
  <c r="D330" i="10" s="1"/>
  <c r="C757" i="5"/>
  <c r="D760" i="5"/>
  <c r="D334" i="10" s="1"/>
  <c r="C761" i="5"/>
  <c r="D764" i="5"/>
  <c r="D338" i="10" s="1"/>
  <c r="C765" i="5"/>
  <c r="D768" i="5"/>
  <c r="D342" i="10" s="1"/>
  <c r="C769" i="5"/>
  <c r="D772" i="5"/>
  <c r="D346" i="10" s="1"/>
  <c r="C773" i="5"/>
  <c r="F774" i="5"/>
  <c r="F348" i="10" s="1"/>
  <c r="D776" i="5"/>
  <c r="D350" i="10" s="1"/>
  <c r="C777" i="5"/>
  <c r="D780" i="5"/>
  <c r="D354" i="10" s="1"/>
  <c r="C781" i="5"/>
  <c r="D784" i="5"/>
  <c r="D358" i="10" s="1"/>
  <c r="C785" i="5"/>
  <c r="D788" i="5"/>
  <c r="D362" i="10" s="1"/>
  <c r="C789" i="5"/>
  <c r="D792" i="5"/>
  <c r="D366" i="10" s="1"/>
  <c r="C793" i="5"/>
  <c r="D796" i="5"/>
  <c r="D370" i="10" s="1"/>
  <c r="C797" i="5"/>
  <c r="D800" i="5"/>
  <c r="D374" i="10" s="1"/>
  <c r="C801" i="5"/>
  <c r="D804" i="5"/>
  <c r="D378" i="10" s="1"/>
  <c r="C805" i="5"/>
  <c r="D808" i="5"/>
  <c r="D382" i="10" s="1"/>
  <c r="C809" i="5"/>
  <c r="D812" i="5"/>
  <c r="D386" i="10" s="1"/>
  <c r="C813" i="5"/>
  <c r="D816" i="5"/>
  <c r="D390" i="10" s="1"/>
  <c r="C817" i="5"/>
  <c r="D820" i="5"/>
  <c r="D394" i="10" s="1"/>
  <c r="D821" i="5"/>
  <c r="D395" i="10" s="1"/>
  <c r="C822" i="5"/>
  <c r="E824" i="5"/>
  <c r="D825" i="5"/>
  <c r="D399" i="10" s="1"/>
  <c r="D829" i="5"/>
  <c r="D403" i="10" s="1"/>
  <c r="S836" i="5"/>
  <c r="J837" i="5"/>
  <c r="V837" i="5" s="1"/>
  <c r="Q837" i="5"/>
  <c r="Q840" i="5" s="1"/>
  <c r="S838" i="5"/>
  <c r="J839" i="5"/>
  <c r="Q839" i="5"/>
  <c r="U839" i="5"/>
  <c r="F826" i="5" s="1"/>
  <c r="F400" i="10" s="1"/>
  <c r="J841" i="5"/>
  <c r="Q841" i="5"/>
  <c r="K844" i="5"/>
  <c r="K846" i="5"/>
  <c r="K848" i="5"/>
  <c r="S849" i="5"/>
  <c r="K852" i="5"/>
  <c r="K854" i="5"/>
  <c r="F856" i="5"/>
  <c r="K856" i="5"/>
  <c r="R856" i="5"/>
  <c r="K857" i="5"/>
  <c r="K858" i="5"/>
  <c r="K860" i="5"/>
  <c r="K862" i="5"/>
  <c r="K865" i="5"/>
  <c r="K869" i="5"/>
  <c r="K873" i="5"/>
  <c r="B928" i="5"/>
  <c r="B532" i="10" s="1"/>
  <c r="B930" i="5"/>
  <c r="B534" i="10" s="1"/>
  <c r="B932" i="5"/>
  <c r="B536" i="10" s="1"/>
  <c r="E935" i="5"/>
  <c r="E953" i="5"/>
  <c r="E970" i="5"/>
  <c r="E614" i="10" s="1"/>
  <c r="B976" i="5"/>
  <c r="B620" i="10" s="1"/>
  <c r="B980" i="5"/>
  <c r="B624" i="10" s="1"/>
  <c r="B984" i="5"/>
  <c r="B628" i="10" s="1"/>
  <c r="B988" i="5"/>
  <c r="B632" i="10" s="1"/>
  <c r="B992" i="5"/>
  <c r="B636" i="10" s="1"/>
  <c r="B996" i="5"/>
  <c r="B640" i="10" s="1"/>
  <c r="B1000" i="5"/>
  <c r="B644" i="10" s="1"/>
  <c r="B1004" i="5"/>
  <c r="B648" i="10" s="1"/>
  <c r="B1008" i="5"/>
  <c r="B652" i="10" s="1"/>
  <c r="B1013" i="5"/>
  <c r="B697" i="10" s="1"/>
  <c r="B1015" i="5"/>
  <c r="B699" i="10" s="1"/>
  <c r="B1017" i="5"/>
  <c r="B701" i="10" s="1"/>
  <c r="E1020" i="5"/>
  <c r="E1036" i="5"/>
  <c r="I1402" i="15"/>
  <c r="F1403" i="14"/>
  <c r="H1464" i="13"/>
  <c r="H1410" i="13"/>
  <c r="I1409" i="13"/>
  <c r="J1402" i="15" s="1"/>
  <c r="I1476" i="15"/>
  <c r="F1477" i="14"/>
  <c r="H1531" i="13"/>
  <c r="H1484" i="13"/>
  <c r="I1483" i="13"/>
  <c r="J1476" i="15" s="1"/>
  <c r="O1134" i="5"/>
  <c r="F1136" i="5"/>
  <c r="C1216" i="5"/>
  <c r="K1221" i="5"/>
  <c r="M1290" i="5"/>
  <c r="L1291" i="5"/>
  <c r="P1293" i="5"/>
  <c r="M1294" i="5"/>
  <c r="L1295" i="5"/>
  <c r="I1308" i="5" s="1"/>
  <c r="C1761" i="5" s="1"/>
  <c r="K347" i="12"/>
  <c r="K350" i="6"/>
  <c r="T1329" i="5"/>
  <c r="P1329" i="5" s="1"/>
  <c r="R1337" i="5" s="1"/>
  <c r="E114" i="5" s="1"/>
  <c r="G114" i="5" s="1"/>
  <c r="T1330" i="5"/>
  <c r="P1330" i="5" s="1"/>
  <c r="K349" i="12"/>
  <c r="K352" i="6"/>
  <c r="T1331" i="5"/>
  <c r="P1331" i="5" s="1"/>
  <c r="T1332" i="5"/>
  <c r="P1332" i="5" s="1"/>
  <c r="K351" i="12"/>
  <c r="K354" i="6"/>
  <c r="T1333" i="5"/>
  <c r="P1333" i="5" s="1"/>
  <c r="R1338" i="5" s="1"/>
  <c r="E117" i="5" s="1"/>
  <c r="G117" i="5" s="1"/>
  <c r="T1334" i="5"/>
  <c r="P1334" i="5" s="1"/>
  <c r="K353" i="12"/>
  <c r="K356" i="6"/>
  <c r="T1335" i="5"/>
  <c r="P1335" i="5" s="1"/>
  <c r="T1336" i="5"/>
  <c r="P1336" i="5" s="1"/>
  <c r="D1367" i="5"/>
  <c r="D1394" i="5"/>
  <c r="E304" i="13" s="1"/>
  <c r="E305" i="15"/>
  <c r="G305" i="15" s="1"/>
  <c r="B326" i="15"/>
  <c r="B327" i="14"/>
  <c r="D327" i="15"/>
  <c r="D328" i="14"/>
  <c r="C1398" i="5"/>
  <c r="B309" i="15"/>
  <c r="B310" i="14"/>
  <c r="B328" i="15"/>
  <c r="B329" i="14"/>
  <c r="P1399" i="5"/>
  <c r="B329" i="15"/>
  <c r="B330" i="14"/>
  <c r="C1403" i="5"/>
  <c r="C1405" i="5"/>
  <c r="E316" i="15"/>
  <c r="G316" i="15" s="1"/>
  <c r="E317" i="15"/>
  <c r="G317" i="15" s="1"/>
  <c r="E320" i="15"/>
  <c r="G320" i="15" s="1"/>
  <c r="E1416" i="5"/>
  <c r="B424" i="15"/>
  <c r="B425" i="14"/>
  <c r="E425" i="15"/>
  <c r="G425" i="15" s="1"/>
  <c r="E427" i="15"/>
  <c r="G427" i="15" s="1"/>
  <c r="E429" i="15"/>
  <c r="G429" i="15" s="1"/>
  <c r="B431" i="15"/>
  <c r="B432" i="14"/>
  <c r="E434" i="15"/>
  <c r="G434" i="15" s="1"/>
  <c r="B436" i="15"/>
  <c r="B437" i="14"/>
  <c r="E438" i="15"/>
  <c r="G438" i="15" s="1"/>
  <c r="E440" i="15"/>
  <c r="G440" i="15" s="1"/>
  <c r="B442" i="15"/>
  <c r="B443" i="14"/>
  <c r="E444" i="15"/>
  <c r="G444" i="15" s="1"/>
  <c r="C1457" i="5"/>
  <c r="D1466" i="5"/>
  <c r="AR1466" i="5"/>
  <c r="C377" i="13" s="1"/>
  <c r="P1467" i="5"/>
  <c r="AO1467" i="5" s="1"/>
  <c r="AT1435" i="5" s="1"/>
  <c r="E454" i="15"/>
  <c r="G454" i="15" s="1"/>
  <c r="AR1467" i="5"/>
  <c r="C378" i="13" s="1"/>
  <c r="B385" i="15"/>
  <c r="B386" i="14"/>
  <c r="AR1468" i="5"/>
  <c r="C379" i="13" s="1"/>
  <c r="P1469" i="5"/>
  <c r="AO1469" i="5" s="1"/>
  <c r="AT1437" i="5" s="1"/>
  <c r="AM1469" i="5"/>
  <c r="AR1469" i="5"/>
  <c r="C414" i="13" s="1"/>
  <c r="D376" i="15"/>
  <c r="D377" i="14"/>
  <c r="K383" i="13"/>
  <c r="B387" i="15"/>
  <c r="B388" i="14"/>
  <c r="AR1470" i="5"/>
  <c r="C415" i="13" s="1"/>
  <c r="BB1470" i="5"/>
  <c r="D384" i="13" s="1"/>
  <c r="B388" i="15"/>
  <c r="B389" i="14"/>
  <c r="P1471" i="5"/>
  <c r="AO1471" i="5" s="1"/>
  <c r="AT1439" i="5" s="1"/>
  <c r="AR1471" i="5"/>
  <c r="C416" i="13" s="1"/>
  <c r="E513" i="15"/>
  <c r="G513" i="15" s="1"/>
  <c r="C1473" i="5"/>
  <c r="L1473" i="5"/>
  <c r="C494" i="15"/>
  <c r="C495" i="14"/>
  <c r="AT1473" i="5"/>
  <c r="E418" i="13" s="1"/>
  <c r="T1474" i="5"/>
  <c r="C495" i="15"/>
  <c r="C496" i="14"/>
  <c r="AT1474" i="5"/>
  <c r="E419" i="13" s="1"/>
  <c r="C496" i="15"/>
  <c r="C497" i="14"/>
  <c r="B516" i="15"/>
  <c r="B517" i="14"/>
  <c r="B393" i="15"/>
  <c r="B394" i="14"/>
  <c r="AR1476" i="5"/>
  <c r="C421" i="13" s="1"/>
  <c r="B394" i="15"/>
  <c r="B395" i="14"/>
  <c r="AR1477" i="5"/>
  <c r="C422" i="13" s="1"/>
  <c r="E365" i="15"/>
  <c r="G365" i="15" s="1"/>
  <c r="E479" i="15"/>
  <c r="G479" i="15" s="1"/>
  <c r="B519" i="15"/>
  <c r="B520" i="14"/>
  <c r="AQ1478" i="5"/>
  <c r="B423" i="13" s="1"/>
  <c r="C396" i="15"/>
  <c r="C397" i="14"/>
  <c r="B346" i="15"/>
  <c r="B347" i="14"/>
  <c r="C500" i="15"/>
  <c r="C501" i="14"/>
  <c r="B520" i="15"/>
  <c r="B521" i="14"/>
  <c r="C501" i="15"/>
  <c r="C502" i="14"/>
  <c r="B530" i="15"/>
  <c r="B531" i="14"/>
  <c r="B2495" i="13"/>
  <c r="B2487" i="15" s="1"/>
  <c r="C1481" i="5"/>
  <c r="J1481" i="5"/>
  <c r="C502" i="15"/>
  <c r="C503" i="14"/>
  <c r="AT1481" i="5"/>
  <c r="E426" i="13" s="1"/>
  <c r="AR1482" i="5"/>
  <c r="C427" i="13" s="1"/>
  <c r="C504" i="15"/>
  <c r="C505" i="14"/>
  <c r="D2477" i="15"/>
  <c r="K2485" i="13"/>
  <c r="D338" i="13"/>
  <c r="D466" i="13"/>
  <c r="B402" i="15"/>
  <c r="B403" i="14"/>
  <c r="E1485" i="5"/>
  <c r="AO1481" i="5" s="1"/>
  <c r="AU1485" i="5" s="1"/>
  <c r="E469" i="13"/>
  <c r="E340" i="13"/>
  <c r="G340" i="13" s="1"/>
  <c r="E488" i="15"/>
  <c r="G488" i="15" s="1"/>
  <c r="BH1487" i="5"/>
  <c r="B412" i="13" s="1"/>
  <c r="U1488" i="5"/>
  <c r="C406" i="15"/>
  <c r="C407" i="14"/>
  <c r="K1490" i="5"/>
  <c r="A750" i="10"/>
  <c r="B543" i="13"/>
  <c r="K1531" i="5"/>
  <c r="Q1531" i="5"/>
  <c r="A751" i="10"/>
  <c r="B544" i="13"/>
  <c r="K1532" i="5"/>
  <c r="E539" i="15"/>
  <c r="G539" i="15" s="1"/>
  <c r="A754" i="10"/>
  <c r="B547" i="13"/>
  <c r="K1535" i="5"/>
  <c r="E541" i="15"/>
  <c r="G541" i="15" s="1"/>
  <c r="A756" i="10"/>
  <c r="B549" i="13"/>
  <c r="K1537" i="5"/>
  <c r="E543" i="15"/>
  <c r="G543" i="15" s="1"/>
  <c r="B544" i="15"/>
  <c r="B545" i="14"/>
  <c r="B545" i="15"/>
  <c r="B546" i="14"/>
  <c r="B546" i="15"/>
  <c r="B547" i="14"/>
  <c r="B587" i="15"/>
  <c r="B588" i="14"/>
  <c r="E547" i="15"/>
  <c r="G547" i="15" s="1"/>
  <c r="G554" i="13"/>
  <c r="E588" i="15"/>
  <c r="G588" i="15" s="1"/>
  <c r="E548" i="15"/>
  <c r="G548" i="15" s="1"/>
  <c r="E589" i="15"/>
  <c r="G589" i="15" s="1"/>
  <c r="E549" i="15"/>
  <c r="G549" i="15" s="1"/>
  <c r="E590" i="15"/>
  <c r="G590" i="15" s="1"/>
  <c r="E550" i="15"/>
  <c r="G550" i="15" s="1"/>
  <c r="E591" i="15"/>
  <c r="G591" i="15" s="1"/>
  <c r="D1546" i="5"/>
  <c r="C758" i="10" s="1"/>
  <c r="C796" i="10" s="1"/>
  <c r="C834" i="10" s="1"/>
  <c r="E551" i="15"/>
  <c r="G551" i="15" s="1"/>
  <c r="G558" i="13"/>
  <c r="B592" i="15"/>
  <c r="B593" i="14"/>
  <c r="B559" i="13"/>
  <c r="A759" i="10"/>
  <c r="A797" i="10" s="1"/>
  <c r="A835" i="10" s="1"/>
  <c r="F1547" i="5"/>
  <c r="F1623" i="5" s="1"/>
  <c r="F1701" i="5" s="1"/>
  <c r="E593" i="15"/>
  <c r="G593" i="15" s="1"/>
  <c r="D1548" i="5"/>
  <c r="C760" i="10" s="1"/>
  <c r="C798" i="10" s="1"/>
  <c r="C836" i="10" s="1"/>
  <c r="E553" i="15"/>
  <c r="G553" i="15" s="1"/>
  <c r="B594" i="15"/>
  <c r="B595" i="14"/>
  <c r="B561" i="13"/>
  <c r="A761" i="10"/>
  <c r="A799" i="10" s="1"/>
  <c r="A837" i="10" s="1"/>
  <c r="F1549" i="5"/>
  <c r="F1625" i="5" s="1"/>
  <c r="F1703" i="5" s="1"/>
  <c r="E595" i="15"/>
  <c r="G595" i="15" s="1"/>
  <c r="D1550" i="5"/>
  <c r="C762" i="10" s="1"/>
  <c r="C800" i="10" s="1"/>
  <c r="C838" i="10" s="1"/>
  <c r="E555" i="15"/>
  <c r="G555" i="15" s="1"/>
  <c r="G562" i="13"/>
  <c r="B596" i="15"/>
  <c r="B597" i="14"/>
  <c r="B563" i="13"/>
  <c r="A763" i="10"/>
  <c r="A801" i="10" s="1"/>
  <c r="A839" i="10" s="1"/>
  <c r="F1551" i="5"/>
  <c r="F1627" i="5" s="1"/>
  <c r="F1705" i="5" s="1"/>
  <c r="E597" i="15"/>
  <c r="G597" i="15" s="1"/>
  <c r="D1552" i="5"/>
  <c r="C764" i="10" s="1"/>
  <c r="C802" i="10" s="1"/>
  <c r="C840" i="10" s="1"/>
  <c r="E557" i="15"/>
  <c r="G557" i="15" s="1"/>
  <c r="G564" i="13"/>
  <c r="B565" i="13"/>
  <c r="A765" i="10"/>
  <c r="A803" i="10" s="1"/>
  <c r="A841" i="10" s="1"/>
  <c r="F1553" i="5"/>
  <c r="F1629" i="5" s="1"/>
  <c r="F1707" i="5" s="1"/>
  <c r="D1554" i="5"/>
  <c r="C766" i="10" s="1"/>
  <c r="C804" i="10" s="1"/>
  <c r="C842" i="10" s="1"/>
  <c r="E559" i="15"/>
  <c r="G559" i="15" s="1"/>
  <c r="G566" i="13"/>
  <c r="B567" i="13"/>
  <c r="A767" i="10"/>
  <c r="A805" i="10" s="1"/>
  <c r="A843" i="10" s="1"/>
  <c r="F1555" i="5"/>
  <c r="F1631" i="5" s="1"/>
  <c r="F1709" i="5" s="1"/>
  <c r="D1556" i="5"/>
  <c r="C768" i="10" s="1"/>
  <c r="C806" i="10" s="1"/>
  <c r="C844" i="10" s="1"/>
  <c r="E561" i="15"/>
  <c r="G561" i="15" s="1"/>
  <c r="B569" i="13"/>
  <c r="A769" i="10"/>
  <c r="A807" i="10" s="1"/>
  <c r="A845" i="10" s="1"/>
  <c r="F1557" i="5"/>
  <c r="F1633" i="5" s="1"/>
  <c r="F1711" i="5" s="1"/>
  <c r="D1558" i="5"/>
  <c r="C770" i="10" s="1"/>
  <c r="C808" i="10" s="1"/>
  <c r="C846" i="10" s="1"/>
  <c r="E563" i="15"/>
  <c r="G563" i="15" s="1"/>
  <c r="G570" i="13"/>
  <c r="B571" i="13"/>
  <c r="A771" i="10"/>
  <c r="A809" i="10" s="1"/>
  <c r="A847" i="10" s="1"/>
  <c r="F1559" i="5"/>
  <c r="F1635" i="5" s="1"/>
  <c r="F1713" i="5" s="1"/>
  <c r="D1560" i="5"/>
  <c r="C772" i="10" s="1"/>
  <c r="C810" i="10" s="1"/>
  <c r="C848" i="10" s="1"/>
  <c r="E565" i="15"/>
  <c r="G565" i="15" s="1"/>
  <c r="G572" i="13"/>
  <c r="B573" i="13"/>
  <c r="A773" i="10"/>
  <c r="A811" i="10" s="1"/>
  <c r="A849" i="10" s="1"/>
  <c r="F1561" i="5"/>
  <c r="F1637" i="5" s="1"/>
  <c r="F1715" i="5" s="1"/>
  <c r="D1562" i="5"/>
  <c r="C774" i="10" s="1"/>
  <c r="C812" i="10" s="1"/>
  <c r="C850" i="10" s="1"/>
  <c r="E567" i="15"/>
  <c r="G567" i="15" s="1"/>
  <c r="G574" i="13"/>
  <c r="B575" i="13"/>
  <c r="A775" i="10"/>
  <c r="A813" i="10" s="1"/>
  <c r="A851" i="10" s="1"/>
  <c r="F1563" i="5"/>
  <c r="F1639" i="5" s="1"/>
  <c r="F1717" i="5" s="1"/>
  <c r="D1564" i="5"/>
  <c r="C776" i="10" s="1"/>
  <c r="C814" i="10" s="1"/>
  <c r="C852" i="10" s="1"/>
  <c r="E569" i="15"/>
  <c r="G569" i="15" s="1"/>
  <c r="B577" i="13"/>
  <c r="A777" i="10"/>
  <c r="A815" i="10" s="1"/>
  <c r="A853" i="10" s="1"/>
  <c r="F1565" i="5"/>
  <c r="F1641" i="5" s="1"/>
  <c r="F1719" i="5" s="1"/>
  <c r="D1566" i="5"/>
  <c r="C778" i="10" s="1"/>
  <c r="C816" i="10" s="1"/>
  <c r="C854" i="10" s="1"/>
  <c r="E571" i="15"/>
  <c r="G571" i="15" s="1"/>
  <c r="G578" i="13"/>
  <c r="B579" i="13"/>
  <c r="A779" i="10"/>
  <c r="A817" i="10" s="1"/>
  <c r="A855" i="10" s="1"/>
  <c r="F1567" i="5"/>
  <c r="F1643" i="5" s="1"/>
  <c r="F1721" i="5" s="1"/>
  <c r="D1568" i="5"/>
  <c r="C780" i="10" s="1"/>
  <c r="C818" i="10" s="1"/>
  <c r="C856" i="10" s="1"/>
  <c r="E573" i="15"/>
  <c r="G573" i="15" s="1"/>
  <c r="G580" i="13"/>
  <c r="B581" i="13"/>
  <c r="A781" i="10"/>
  <c r="A819" i="10" s="1"/>
  <c r="A857" i="10" s="1"/>
  <c r="F1569" i="5"/>
  <c r="F1645" i="5" s="1"/>
  <c r="F1723" i="5" s="1"/>
  <c r="D1570" i="5"/>
  <c r="C782" i="10" s="1"/>
  <c r="C820" i="10" s="1"/>
  <c r="C858" i="10" s="1"/>
  <c r="E575" i="15"/>
  <c r="G575" i="15" s="1"/>
  <c r="G582" i="13"/>
  <c r="B583" i="13"/>
  <c r="A783" i="10"/>
  <c r="A821" i="10" s="1"/>
  <c r="A859" i="10" s="1"/>
  <c r="F1571" i="5"/>
  <c r="F1647" i="5" s="1"/>
  <c r="F1725" i="5" s="1"/>
  <c r="D1572" i="5"/>
  <c r="C784" i="10" s="1"/>
  <c r="C822" i="10" s="1"/>
  <c r="C860" i="10" s="1"/>
  <c r="E577" i="15"/>
  <c r="G577" i="15" s="1"/>
  <c r="B578" i="15"/>
  <c r="B579" i="14"/>
  <c r="B579" i="15"/>
  <c r="B580" i="14"/>
  <c r="J1577" i="5"/>
  <c r="J1578" i="5"/>
  <c r="I1584" i="5"/>
  <c r="C1595" i="5"/>
  <c r="B793" i="10"/>
  <c r="C608" i="13"/>
  <c r="B647" i="15"/>
  <c r="B648" i="14"/>
  <c r="B609" i="13"/>
  <c r="A794" i="10"/>
  <c r="E1613" i="5"/>
  <c r="D794" i="10" s="1"/>
  <c r="D825" i="10" s="1"/>
  <c r="E603" i="15"/>
  <c r="G603" i="15" s="1"/>
  <c r="G610" i="13"/>
  <c r="E649" i="15"/>
  <c r="G649" i="15" s="1"/>
  <c r="C605" i="15"/>
  <c r="C606" i="14"/>
  <c r="B651" i="15"/>
  <c r="B652" i="14"/>
  <c r="A1617" i="5"/>
  <c r="B613" i="13" s="1"/>
  <c r="E608" i="15"/>
  <c r="G608" i="15" s="1"/>
  <c r="E654" i="15"/>
  <c r="G654" i="15" s="1"/>
  <c r="C610" i="15"/>
  <c r="C611" i="14"/>
  <c r="B656" i="15"/>
  <c r="B657" i="14"/>
  <c r="J1622" i="5"/>
  <c r="D1623" i="5"/>
  <c r="I1623" i="5"/>
  <c r="D613" i="15"/>
  <c r="D614" i="14"/>
  <c r="K620" i="13"/>
  <c r="C614" i="15"/>
  <c r="C615" i="14"/>
  <c r="J1626" i="5"/>
  <c r="D1627" i="5"/>
  <c r="I1627" i="5"/>
  <c r="D617" i="15"/>
  <c r="D618" i="14"/>
  <c r="K624" i="13"/>
  <c r="C618" i="15"/>
  <c r="C619" i="14"/>
  <c r="J1630" i="5"/>
  <c r="D1631" i="5"/>
  <c r="I1631" i="5"/>
  <c r="D621" i="15"/>
  <c r="D622" i="14"/>
  <c r="K628" i="13"/>
  <c r="C622" i="15"/>
  <c r="C623" i="14"/>
  <c r="J1634" i="5"/>
  <c r="D1635" i="5"/>
  <c r="I1635" i="5"/>
  <c r="D625" i="15"/>
  <c r="D626" i="14"/>
  <c r="K632" i="13"/>
  <c r="C626" i="15"/>
  <c r="C627" i="14"/>
  <c r="J1638" i="5"/>
  <c r="I1639" i="5"/>
  <c r="D629" i="15"/>
  <c r="D630" i="14"/>
  <c r="K636" i="13"/>
  <c r="C630" i="15"/>
  <c r="C631" i="14"/>
  <c r="J1642" i="5"/>
  <c r="I1643" i="5"/>
  <c r="J1643" i="5" s="1"/>
  <c r="D633" i="15"/>
  <c r="D634" i="14"/>
  <c r="K640" i="13"/>
  <c r="C634" i="15"/>
  <c r="C635" i="14"/>
  <c r="J1646" i="5"/>
  <c r="D1647" i="5"/>
  <c r="I1647" i="5"/>
  <c r="D637" i="15"/>
  <c r="D638" i="14"/>
  <c r="K644" i="13"/>
  <c r="C638" i="15"/>
  <c r="C639" i="14"/>
  <c r="A1650" i="5"/>
  <c r="E640" i="15"/>
  <c r="G640" i="15" s="1"/>
  <c r="C644" i="15"/>
  <c r="C645" i="14"/>
  <c r="B668" i="13"/>
  <c r="A831" i="10"/>
  <c r="F1697" i="5"/>
  <c r="E831" i="10" s="1"/>
  <c r="E862" i="10" s="1"/>
  <c r="B703" i="15"/>
  <c r="B704" i="14"/>
  <c r="B669" i="13"/>
  <c r="A832" i="10"/>
  <c r="F1698" i="5"/>
  <c r="E832" i="10" s="1"/>
  <c r="E863" i="10" s="1"/>
  <c r="B704" i="15"/>
  <c r="B705" i="14"/>
  <c r="E706" i="15"/>
  <c r="G706" i="15" s="1"/>
  <c r="C666" i="15"/>
  <c r="C667" i="14"/>
  <c r="B708" i="15"/>
  <c r="B709" i="14"/>
  <c r="C670" i="15"/>
  <c r="C671" i="14"/>
  <c r="C674" i="15"/>
  <c r="C675" i="14"/>
  <c r="C678" i="15"/>
  <c r="C679" i="14"/>
  <c r="C682" i="15"/>
  <c r="C683" i="14"/>
  <c r="C686" i="15"/>
  <c r="C687" i="14"/>
  <c r="C690" i="15"/>
  <c r="C691" i="14"/>
  <c r="C694" i="15"/>
  <c r="C695" i="14"/>
  <c r="C696" i="15"/>
  <c r="C697" i="14"/>
  <c r="I1739" i="5"/>
  <c r="E2488" i="13" s="1"/>
  <c r="E2480" i="15" s="1"/>
  <c r="G2480" i="15" s="1"/>
  <c r="I1973" i="5"/>
  <c r="I1866" i="5"/>
  <c r="D1786" i="5"/>
  <c r="B715" i="15"/>
  <c r="B716" i="14"/>
  <c r="B740" i="15"/>
  <c r="B741" i="14"/>
  <c r="B716" i="15"/>
  <c r="B717" i="14"/>
  <c r="B741" i="15"/>
  <c r="B742" i="14"/>
  <c r="B717" i="15"/>
  <c r="B718" i="14"/>
  <c r="B742" i="15"/>
  <c r="B743" i="14"/>
  <c r="B718" i="15"/>
  <c r="B719" i="14"/>
  <c r="B743" i="15"/>
  <c r="B744" i="14"/>
  <c r="B719" i="15"/>
  <c r="B720" i="14"/>
  <c r="B751" i="13"/>
  <c r="G1991" i="5"/>
  <c r="B788" i="13" s="1"/>
  <c r="G1945" i="5"/>
  <c r="B825" i="13" s="1"/>
  <c r="B720" i="15"/>
  <c r="B721" i="14"/>
  <c r="B745" i="15"/>
  <c r="B746" i="14"/>
  <c r="B721" i="15"/>
  <c r="B722" i="14"/>
  <c r="B746" i="15"/>
  <c r="B747" i="14"/>
  <c r="B729" i="13"/>
  <c r="B730" i="13"/>
  <c r="A1840" i="5"/>
  <c r="B724" i="15"/>
  <c r="B725" i="14"/>
  <c r="B732" i="13"/>
  <c r="A2200" i="5"/>
  <c r="B1318" i="13" s="1"/>
  <c r="B733" i="13"/>
  <c r="A2201" i="5"/>
  <c r="B1319" i="13" s="1"/>
  <c r="B734" i="13"/>
  <c r="A1844" i="5"/>
  <c r="B728" i="15"/>
  <c r="B729" i="14"/>
  <c r="B729" i="15"/>
  <c r="B730" i="14"/>
  <c r="B730" i="15"/>
  <c r="B731" i="14"/>
  <c r="B738" i="13"/>
  <c r="A1848" i="5"/>
  <c r="B732" i="15"/>
  <c r="B733" i="14"/>
  <c r="E733" i="15"/>
  <c r="G733" i="15" s="1"/>
  <c r="G740" i="13"/>
  <c r="D734" i="15"/>
  <c r="D735" i="14"/>
  <c r="K741" i="13"/>
  <c r="C735" i="15"/>
  <c r="C736" i="14"/>
  <c r="B2489" i="13"/>
  <c r="B2481" i="15" s="1"/>
  <c r="A1901" i="5"/>
  <c r="B2493" i="13" s="1"/>
  <c r="B2485" i="15" s="1"/>
  <c r="B2378" i="13"/>
  <c r="B2371" i="15" s="1"/>
  <c r="A1856" i="5"/>
  <c r="C1846" i="5"/>
  <c r="I1825" i="5"/>
  <c r="C825" i="15"/>
  <c r="C826" i="14"/>
  <c r="B850" i="15"/>
  <c r="B851" i="14"/>
  <c r="A1832" i="5"/>
  <c r="C834" i="13"/>
  <c r="B1881" i="5"/>
  <c r="C871" i="13" s="1"/>
  <c r="G1833" i="5"/>
  <c r="A1834" i="5"/>
  <c r="B835" i="13" s="1"/>
  <c r="E829" i="15"/>
  <c r="G829" i="15" s="1"/>
  <c r="K1835" i="5"/>
  <c r="C831" i="15"/>
  <c r="C832" i="14"/>
  <c r="G1837" i="5"/>
  <c r="B863" i="13" s="1"/>
  <c r="D1838" i="5"/>
  <c r="J1838" i="5"/>
  <c r="D864" i="13" s="1"/>
  <c r="D1842" i="5"/>
  <c r="C1845" i="5"/>
  <c r="D1846" i="5"/>
  <c r="C1849" i="5"/>
  <c r="D1850" i="5"/>
  <c r="D1852" i="5"/>
  <c r="D1855" i="5"/>
  <c r="D1856" i="5"/>
  <c r="C865" i="15"/>
  <c r="C866" i="14"/>
  <c r="E866" i="15"/>
  <c r="G866" i="15" s="1"/>
  <c r="G1884" i="5"/>
  <c r="B1885" i="5"/>
  <c r="A1887" i="5"/>
  <c r="A1898" i="5"/>
  <c r="C751" i="15"/>
  <c r="C752" i="14"/>
  <c r="E776" i="15"/>
  <c r="G776" i="15" s="1"/>
  <c r="E754" i="15"/>
  <c r="G754" i="15" s="1"/>
  <c r="B755" i="15"/>
  <c r="B756" i="14"/>
  <c r="K1992" i="5"/>
  <c r="E789" i="13" s="1"/>
  <c r="A2008" i="5"/>
  <c r="B2490" i="13" s="1"/>
  <c r="B2482" i="15" s="1"/>
  <c r="C2043" i="5"/>
  <c r="J2042" i="5"/>
  <c r="C236" i="8"/>
  <c r="C2042" i="5"/>
  <c r="C2044" i="5"/>
  <c r="C2045" i="5"/>
  <c r="B1257" i="13"/>
  <c r="D2048" i="5"/>
  <c r="E1257" i="13" s="1"/>
  <c r="D2052" i="5"/>
  <c r="D1255" i="15"/>
  <c r="D1256" i="14"/>
  <c r="K1262" i="13"/>
  <c r="C1256" i="15"/>
  <c r="C1257" i="14"/>
  <c r="C1257" i="15"/>
  <c r="C1258" i="14"/>
  <c r="C1258" i="15"/>
  <c r="C1259" i="14"/>
  <c r="B1259" i="15"/>
  <c r="B1260" i="14"/>
  <c r="E1260" i="15"/>
  <c r="G1260" i="15" s="1"/>
  <c r="D2060" i="5"/>
  <c r="D1263" i="15"/>
  <c r="D1264" i="14"/>
  <c r="K1270" i="13"/>
  <c r="D2076" i="5"/>
  <c r="E1271" i="13" s="1"/>
  <c r="B1265" i="15"/>
  <c r="B1266" i="14"/>
  <c r="D2078" i="5"/>
  <c r="E1273" i="13" s="1"/>
  <c r="B1267" i="15"/>
  <c r="B1268" i="14"/>
  <c r="D2080" i="5"/>
  <c r="E1275" i="13" s="1"/>
  <c r="B1269" i="15"/>
  <c r="B1270" i="14"/>
  <c r="B1860" i="13"/>
  <c r="G2278" i="5"/>
  <c r="B1915" i="13" s="1"/>
  <c r="B1818" i="13"/>
  <c r="D2137" i="5"/>
  <c r="E1818" i="13" s="1"/>
  <c r="B1821" i="15"/>
  <c r="B1822" i="14"/>
  <c r="E1830" i="13"/>
  <c r="E2149" i="5"/>
  <c r="C1829" i="15"/>
  <c r="C1830" i="14"/>
  <c r="C1830" i="15"/>
  <c r="C1831" i="14"/>
  <c r="C1833" i="15"/>
  <c r="C1834" i="14"/>
  <c r="C1834" i="15"/>
  <c r="C1835" i="14"/>
  <c r="E1845" i="13"/>
  <c r="D2306" i="5"/>
  <c r="E1849" i="13"/>
  <c r="D2310" i="5"/>
  <c r="E1908" i="13" s="1"/>
  <c r="E1853" i="13"/>
  <c r="D2314" i="5"/>
  <c r="E1912" i="13" s="1"/>
  <c r="E1850" i="15"/>
  <c r="G1850" i="15" s="1"/>
  <c r="B2404" i="13"/>
  <c r="B2397" i="15" s="1"/>
  <c r="D2178" i="5"/>
  <c r="C2197" i="5"/>
  <c r="F2191" i="5"/>
  <c r="I2198" i="5" s="1"/>
  <c r="B1315" i="13"/>
  <c r="D2197" i="5"/>
  <c r="E1315" i="13" s="1"/>
  <c r="D2200" i="5"/>
  <c r="E1318" i="13" s="1"/>
  <c r="C2203" i="5"/>
  <c r="B1321" i="13"/>
  <c r="D2204" i="5"/>
  <c r="E1321" i="13" s="1"/>
  <c r="I2205" i="5"/>
  <c r="G2206" i="5"/>
  <c r="B1325" i="13"/>
  <c r="D2208" i="5"/>
  <c r="E1325" i="13" s="1"/>
  <c r="C1910" i="15"/>
  <c r="C1911" i="14"/>
  <c r="G2281" i="5"/>
  <c r="B1918" i="13" s="1"/>
  <c r="C1912" i="15"/>
  <c r="C1913" i="14"/>
  <c r="D2284" i="5"/>
  <c r="E1882" i="13" s="1"/>
  <c r="B1916" i="15"/>
  <c r="B1917" i="14"/>
  <c r="C1917" i="15"/>
  <c r="C1918" i="14"/>
  <c r="B1920" i="15"/>
  <c r="B1921" i="14"/>
  <c r="D1890" i="13"/>
  <c r="A2294" i="5"/>
  <c r="B1892" i="13" s="1"/>
  <c r="D2295" i="5"/>
  <c r="E1893" i="13" s="1"/>
  <c r="B2297" i="5"/>
  <c r="C1895" i="13" s="1"/>
  <c r="A2302" i="5"/>
  <c r="B1900" i="13" s="1"/>
  <c r="D2303" i="5"/>
  <c r="E1901" i="13" s="1"/>
  <c r="C1896" i="15"/>
  <c r="C1897" i="14"/>
  <c r="D2307" i="5"/>
  <c r="E1905" i="13" s="1"/>
  <c r="D2308" i="5"/>
  <c r="E1906" i="13" s="1"/>
  <c r="C1901" i="15"/>
  <c r="C1902" i="14"/>
  <c r="B1905" i="15"/>
  <c r="B1906" i="14"/>
  <c r="C2320" i="5"/>
  <c r="E1304" i="15"/>
  <c r="G1304" i="15" s="1"/>
  <c r="D1294" i="13"/>
  <c r="E2323" i="5"/>
  <c r="E1288" i="15"/>
  <c r="G1288" i="15" s="1"/>
  <c r="D1299" i="13"/>
  <c r="C1296" i="15"/>
  <c r="C1297" i="14"/>
  <c r="C1297" i="15"/>
  <c r="C1298" i="14"/>
  <c r="B1308" i="13"/>
  <c r="D2337" i="5"/>
  <c r="D156" i="6"/>
  <c r="G166" i="6"/>
  <c r="D176" i="6" s="1"/>
  <c r="C343" i="6"/>
  <c r="F343" i="6" s="1"/>
  <c r="K345" i="6"/>
  <c r="C347" i="6"/>
  <c r="K349" i="6"/>
  <c r="C351" i="6"/>
  <c r="F351" i="6" s="1"/>
  <c r="K353" i="6"/>
  <c r="C355" i="6"/>
  <c r="K357" i="6"/>
  <c r="C369" i="6"/>
  <c r="E1948" i="15"/>
  <c r="G1948" i="15" s="1"/>
  <c r="E1950" i="15"/>
  <c r="G1950" i="15" s="1"/>
  <c r="E1952" i="15"/>
  <c r="G1952" i="15" s="1"/>
  <c r="E1954" i="15"/>
  <c r="G1954" i="15" s="1"/>
  <c r="E1956" i="15"/>
  <c r="G1956" i="15" s="1"/>
  <c r="B1940" i="15"/>
  <c r="B1941" i="14"/>
  <c r="E1942" i="15"/>
  <c r="G1942" i="15" s="1"/>
  <c r="E1972" i="13"/>
  <c r="E428" i="6"/>
  <c r="E1970" i="15"/>
  <c r="G1970" i="15" s="1"/>
  <c r="G1977" i="13"/>
  <c r="E1972" i="15"/>
  <c r="G1972" i="15" s="1"/>
  <c r="G1979" i="13"/>
  <c r="E2023" i="15"/>
  <c r="G2023" i="15" s="1"/>
  <c r="E2024" i="15"/>
  <c r="G2024" i="15" s="1"/>
  <c r="B2025" i="15"/>
  <c r="B2026" i="14"/>
  <c r="B2078" i="15"/>
  <c r="B2079" i="14"/>
  <c r="E2032" i="15"/>
  <c r="G2032" i="15" s="1"/>
  <c r="B2033" i="15"/>
  <c r="B2034" i="14"/>
  <c r="E2038" i="15"/>
  <c r="G2038" i="15" s="1"/>
  <c r="B2040" i="15"/>
  <c r="B2041" i="14"/>
  <c r="E2088" i="15"/>
  <c r="G2088" i="15" s="1"/>
  <c r="E2089" i="15"/>
  <c r="G2089" i="15" s="1"/>
  <c r="B2116" i="15"/>
  <c r="B2117" i="14"/>
  <c r="B2056" i="13"/>
  <c r="D541" i="6"/>
  <c r="E2056" i="13" s="1"/>
  <c r="B2060" i="13"/>
  <c r="D545" i="6"/>
  <c r="E2060" i="13" s="1"/>
  <c r="E2056" i="15"/>
  <c r="G2056" i="15" s="1"/>
  <c r="J659" i="6"/>
  <c r="E2095" i="15"/>
  <c r="G2095" i="15" s="1"/>
  <c r="E2097" i="15"/>
  <c r="G2097" i="15" s="1"/>
  <c r="E2099" i="15"/>
  <c r="G2099" i="15" s="1"/>
  <c r="E2101" i="15"/>
  <c r="G2101" i="15" s="1"/>
  <c r="E2103" i="15"/>
  <c r="G2103" i="15" s="1"/>
  <c r="E2120" i="15"/>
  <c r="G2120" i="15" s="1"/>
  <c r="E2122" i="15"/>
  <c r="G2122" i="15" s="1"/>
  <c r="E2123" i="15"/>
  <c r="G2123" i="15" s="1"/>
  <c r="E2125" i="15"/>
  <c r="G2125" i="15" s="1"/>
  <c r="E2127" i="15"/>
  <c r="G2127" i="15" s="1"/>
  <c r="D2216" i="13"/>
  <c r="L664" i="6"/>
  <c r="E2157" i="15"/>
  <c r="G2157" i="15" s="1"/>
  <c r="E2161" i="15"/>
  <c r="G2161" i="15" s="1"/>
  <c r="G2168" i="13"/>
  <c r="E2168" i="15"/>
  <c r="G2168" i="15" s="1"/>
  <c r="D705" i="6"/>
  <c r="D2011" i="13"/>
  <c r="B2019" i="13"/>
  <c r="B2013" i="13"/>
  <c r="C716" i="6"/>
  <c r="D716" i="6"/>
  <c r="E2013" i="15"/>
  <c r="G2013" i="15" s="1"/>
  <c r="G2020" i="13"/>
  <c r="B1990" i="13"/>
  <c r="C753" i="6"/>
  <c r="E1990" i="13" s="1"/>
  <c r="E1989" i="15"/>
  <c r="G1989" i="15" s="1"/>
  <c r="G1996" i="13"/>
  <c r="E898" i="15"/>
  <c r="G898" i="15" s="1"/>
  <c r="B906" i="13"/>
  <c r="A102" i="7"/>
  <c r="B963" i="13" s="1"/>
  <c r="B1198" i="15"/>
  <c r="B1199" i="14"/>
  <c r="E1203" i="15"/>
  <c r="G1203" i="15" s="1"/>
  <c r="B1206" i="15"/>
  <c r="B1207" i="14"/>
  <c r="E917" i="13"/>
  <c r="E172" i="7"/>
  <c r="E1031" i="13" s="1"/>
  <c r="E1210" i="15"/>
  <c r="G1210" i="15" s="1"/>
  <c r="B1211" i="15"/>
  <c r="B1212" i="14"/>
  <c r="B1212" i="15"/>
  <c r="B1213" i="14"/>
  <c r="E1220" i="15"/>
  <c r="G1220" i="15" s="1"/>
  <c r="E923" i="15"/>
  <c r="G923" i="15" s="1"/>
  <c r="D1223" i="15"/>
  <c r="E1225" i="15"/>
  <c r="G1225" i="15" s="1"/>
  <c r="B1231" i="15"/>
  <c r="B1232" i="14"/>
  <c r="E935" i="15"/>
  <c r="G935" i="15" s="1"/>
  <c r="E1233" i="15"/>
  <c r="G1233" i="15" s="1"/>
  <c r="B951" i="15"/>
  <c r="B952" i="14"/>
  <c r="E956" i="15"/>
  <c r="G956" i="15" s="1"/>
  <c r="E973" i="15"/>
  <c r="G973" i="15" s="1"/>
  <c r="E977" i="15"/>
  <c r="G977" i="15" s="1"/>
  <c r="E986" i="15"/>
  <c r="G986" i="15" s="1"/>
  <c r="E988" i="15"/>
  <c r="G988" i="15" s="1"/>
  <c r="E991" i="15"/>
  <c r="G991" i="15" s="1"/>
  <c r="E994" i="15"/>
  <c r="G994" i="15" s="1"/>
  <c r="E998" i="15"/>
  <c r="G998" i="15" s="1"/>
  <c r="E1002" i="15"/>
  <c r="G1002" i="15" s="1"/>
  <c r="E1006" i="15"/>
  <c r="G1006" i="15" s="1"/>
  <c r="A161" i="7"/>
  <c r="B1020" i="13" s="1"/>
  <c r="D1021" i="13"/>
  <c r="H1021" i="13" s="1"/>
  <c r="F162" i="7"/>
  <c r="D171" i="7"/>
  <c r="D1016" i="15"/>
  <c r="D1017" i="14"/>
  <c r="G1023" i="13"/>
  <c r="K1023" i="13"/>
  <c r="D1025" i="13"/>
  <c r="F166" i="7"/>
  <c r="D1020" i="15"/>
  <c r="D1021" i="14"/>
  <c r="G1027" i="13"/>
  <c r="K1027" i="13"/>
  <c r="H1027" i="13"/>
  <c r="E1022" i="15"/>
  <c r="G1022" i="15" s="1"/>
  <c r="B1032" i="13"/>
  <c r="D1046" i="13"/>
  <c r="G1046" i="13" s="1"/>
  <c r="D190" i="7"/>
  <c r="D1047" i="13"/>
  <c r="D191" i="7"/>
  <c r="D193" i="7"/>
  <c r="A198" i="7"/>
  <c r="B1057" i="13" s="1"/>
  <c r="B1075" i="13"/>
  <c r="E216" i="7"/>
  <c r="E1075" i="13" s="1"/>
  <c r="E1235" i="15"/>
  <c r="G1235" i="15" s="1"/>
  <c r="E1073" i="15"/>
  <c r="G1073" i="15" s="1"/>
  <c r="E1077" i="15"/>
  <c r="G1077" i="15" s="1"/>
  <c r="E1085" i="13"/>
  <c r="E280" i="7"/>
  <c r="B1088" i="13"/>
  <c r="C241" i="7"/>
  <c r="C260" i="7" s="1"/>
  <c r="A283" i="7"/>
  <c r="B1099" i="13"/>
  <c r="A294" i="7"/>
  <c r="C252" i="7"/>
  <c r="C271" i="7" s="1"/>
  <c r="D271" i="7" s="1"/>
  <c r="E252" i="7"/>
  <c r="B1107" i="13"/>
  <c r="A302" i="7"/>
  <c r="E1108" i="13"/>
  <c r="E303" i="7"/>
  <c r="D270" i="7"/>
  <c r="B1123" i="13"/>
  <c r="A318" i="7"/>
  <c r="C1132" i="13"/>
  <c r="B330" i="7"/>
  <c r="C1171" i="13" s="1"/>
  <c r="C1137" i="13"/>
  <c r="B335" i="7"/>
  <c r="C1176" i="13" s="1"/>
  <c r="C1140" i="13"/>
  <c r="B338" i="7"/>
  <c r="C1179" i="13" s="1"/>
  <c r="C1146" i="13"/>
  <c r="B344" i="7"/>
  <c r="C1185" i="13" s="1"/>
  <c r="C1148" i="13"/>
  <c r="B346" i="7"/>
  <c r="C1187" i="13" s="1"/>
  <c r="C1154" i="13"/>
  <c r="B352" i="7"/>
  <c r="C1193" i="13" s="1"/>
  <c r="C1156" i="13"/>
  <c r="B354" i="7"/>
  <c r="C1195" i="13" s="1"/>
  <c r="G19" i="8"/>
  <c r="E125" i="13"/>
  <c r="D290" i="8"/>
  <c r="E136" i="13"/>
  <c r="K293" i="8"/>
  <c r="D143" i="13"/>
  <c r="E290" i="8"/>
  <c r="D146" i="13"/>
  <c r="J293" i="8"/>
  <c r="E293" i="8"/>
  <c r="C161" i="15"/>
  <c r="C162" i="14"/>
  <c r="D294" i="8"/>
  <c r="D175" i="15"/>
  <c r="D176" i="14"/>
  <c r="D170" i="13"/>
  <c r="L305" i="8"/>
  <c r="E201" i="15"/>
  <c r="G201" i="15" s="1"/>
  <c r="E183" i="13"/>
  <c r="D417" i="8"/>
  <c r="E223" i="13" s="1"/>
  <c r="E187" i="13"/>
  <c r="D421" i="8"/>
  <c r="E227" i="13" s="1"/>
  <c r="B2352" i="13"/>
  <c r="B2345" i="15" s="1"/>
  <c r="A429" i="8"/>
  <c r="B2357" i="13" s="1"/>
  <c r="B2350" i="15" s="1"/>
  <c r="D362" i="8"/>
  <c r="B2353" i="13"/>
  <c r="B2346" i="15" s="1"/>
  <c r="A430" i="8"/>
  <c r="B2358" i="13" s="1"/>
  <c r="B2351" i="15" s="1"/>
  <c r="D363" i="8"/>
  <c r="D2355" i="13"/>
  <c r="C432" i="8"/>
  <c r="D2360" i="13" s="1"/>
  <c r="E365" i="8"/>
  <c r="E432" i="8" s="1"/>
  <c r="B218" i="15"/>
  <c r="B219" i="14"/>
  <c r="C219" i="15"/>
  <c r="C220" i="14"/>
  <c r="C223" i="15"/>
  <c r="C224" i="14"/>
  <c r="C227" i="15"/>
  <c r="C228" i="14"/>
  <c r="C231" i="15"/>
  <c r="C232" i="14"/>
  <c r="G235" i="13"/>
  <c r="D2351" i="15"/>
  <c r="K2358" i="13"/>
  <c r="B264" i="15"/>
  <c r="B265" i="14"/>
  <c r="B265" i="15"/>
  <c r="B266" i="14"/>
  <c r="D2362" i="13"/>
  <c r="E501" i="8"/>
  <c r="E2365" i="13"/>
  <c r="E2358" i="15" s="1"/>
  <c r="G2358" i="15" s="1"/>
  <c r="E504" i="8"/>
  <c r="C669" i="8"/>
  <c r="C668" i="8"/>
  <c r="C667" i="8"/>
  <c r="J666" i="8"/>
  <c r="J665" i="8"/>
  <c r="D519" i="8"/>
  <c r="E29" i="15"/>
  <c r="G29" i="15" s="1"/>
  <c r="E57" i="15"/>
  <c r="G57" i="15" s="1"/>
  <c r="E65" i="15"/>
  <c r="G65" i="15" s="1"/>
  <c r="B48" i="15"/>
  <c r="B49" i="14"/>
  <c r="E50" i="15"/>
  <c r="G50" i="15" s="1"/>
  <c r="E52" i="15"/>
  <c r="G52" i="15" s="1"/>
  <c r="E74" i="13"/>
  <c r="D660" i="8"/>
  <c r="E102" i="13" s="1"/>
  <c r="B86" i="13"/>
  <c r="A669" i="8"/>
  <c r="B111" i="13" s="1"/>
  <c r="D662" i="8"/>
  <c r="E104" i="13" s="1"/>
  <c r="C678" i="8"/>
  <c r="B2350" i="13"/>
  <c r="B2343" i="15" s="1"/>
  <c r="D680" i="8"/>
  <c r="E2350" i="13" s="1"/>
  <c r="E2343" i="15" s="1"/>
  <c r="G2343" i="15" s="1"/>
  <c r="G25" i="9"/>
  <c r="D68" i="9"/>
  <c r="D69" i="9" s="1"/>
  <c r="E102" i="9"/>
  <c r="E127" i="9"/>
  <c r="B1411" i="13"/>
  <c r="D262" i="9"/>
  <c r="E1411" i="13" s="1"/>
  <c r="E1466" i="13"/>
  <c r="J649" i="9"/>
  <c r="E1392" i="13" s="1"/>
  <c r="E1474" i="13"/>
  <c r="J659" i="9"/>
  <c r="E1400" i="13" s="1"/>
  <c r="B1433" i="13"/>
  <c r="A669" i="9"/>
  <c r="B1359" i="13" s="1"/>
  <c r="C1436" i="13"/>
  <c r="B672" i="9"/>
  <c r="C1362" i="13" s="1"/>
  <c r="E1438" i="13"/>
  <c r="D674" i="9"/>
  <c r="E1364" i="13" s="1"/>
  <c r="E1448" i="13"/>
  <c r="D684" i="9"/>
  <c r="E1374" i="13" s="1"/>
  <c r="D1479" i="15"/>
  <c r="D1480" i="14"/>
  <c r="H1486" i="13"/>
  <c r="K1486" i="13"/>
  <c r="C368" i="9"/>
  <c r="E1514" i="13"/>
  <c r="E376" i="9"/>
  <c r="B1516" i="15"/>
  <c r="B1517" i="14"/>
  <c r="D1587" i="15"/>
  <c r="D1588" i="14"/>
  <c r="K1594" i="13"/>
  <c r="E1598" i="15"/>
  <c r="G1598" i="15" s="1"/>
  <c r="E1605" i="15"/>
  <c r="G1605" i="15" s="1"/>
  <c r="E1610" i="15"/>
  <c r="G1610" i="15" s="1"/>
  <c r="B1613" i="15"/>
  <c r="B1614" i="14"/>
  <c r="C1569" i="15"/>
  <c r="C1570" i="14"/>
  <c r="E1572" i="15"/>
  <c r="G1572" i="15" s="1"/>
  <c r="E1590" i="13"/>
  <c r="E470" i="9"/>
  <c r="E474" i="9"/>
  <c r="E1619" i="15"/>
  <c r="G1619" i="15" s="1"/>
  <c r="E1620" i="15"/>
  <c r="G1620" i="15" s="1"/>
  <c r="E1621" i="15"/>
  <c r="G1621" i="15" s="1"/>
  <c r="E1622" i="15"/>
  <c r="G1622" i="15" s="1"/>
  <c r="E1623" i="15"/>
  <c r="G1623" i="15" s="1"/>
  <c r="E1624" i="15"/>
  <c r="G1624" i="15" s="1"/>
  <c r="E1625" i="15"/>
  <c r="G1625" i="15" s="1"/>
  <c r="E1626" i="15"/>
  <c r="G1626" i="15" s="1"/>
  <c r="E1627" i="15"/>
  <c r="G1627" i="15" s="1"/>
  <c r="E1628" i="15"/>
  <c r="G1628" i="15" s="1"/>
  <c r="E1629" i="15"/>
  <c r="G1629" i="15" s="1"/>
  <c r="E1630" i="15"/>
  <c r="G1630" i="15" s="1"/>
  <c r="B1675" i="15"/>
  <c r="B1676" i="14"/>
  <c r="B1724" i="15"/>
  <c r="B1725" i="14"/>
  <c r="B1676" i="15"/>
  <c r="B1677" i="14"/>
  <c r="B1725" i="15"/>
  <c r="B1726" i="14"/>
  <c r="B1677" i="15"/>
  <c r="B1678" i="14"/>
  <c r="B1726" i="15"/>
  <c r="B1727" i="14"/>
  <c r="B1727" i="15"/>
  <c r="B1728" i="14"/>
  <c r="B1679" i="15"/>
  <c r="B1680" i="14"/>
  <c r="E1729" i="15"/>
  <c r="G1729" i="15" s="1"/>
  <c r="D216" i="4"/>
  <c r="E1688" i="13" s="1"/>
  <c r="E1730" i="15"/>
  <c r="G1730" i="15" s="1"/>
  <c r="D217" i="4"/>
  <c r="E1689" i="13" s="1"/>
  <c r="E1731" i="15"/>
  <c r="G1731" i="15" s="1"/>
  <c r="D218" i="4"/>
  <c r="E1690" i="13" s="1"/>
  <c r="E1732" i="15"/>
  <c r="G1732" i="15" s="1"/>
  <c r="B1689" i="15"/>
  <c r="B1690" i="14"/>
  <c r="B1738" i="15"/>
  <c r="B1739" i="14"/>
  <c r="C1691" i="15"/>
  <c r="C1692" i="14"/>
  <c r="B1740" i="15"/>
  <c r="B1741" i="14"/>
  <c r="B1692" i="15"/>
  <c r="B1693" i="14"/>
  <c r="C1694" i="15"/>
  <c r="C1695" i="14"/>
  <c r="B1695" i="15"/>
  <c r="B1696" i="14"/>
  <c r="E1696" i="15"/>
  <c r="G1696" i="15" s="1"/>
  <c r="C1699" i="15"/>
  <c r="C1700" i="14"/>
  <c r="B1700" i="15"/>
  <c r="B1701" i="14"/>
  <c r="E1701" i="15"/>
  <c r="G1701" i="15" s="1"/>
  <c r="C1703" i="15"/>
  <c r="C1704" i="14"/>
  <c r="B1704" i="15"/>
  <c r="B1705" i="14"/>
  <c r="E1705" i="15"/>
  <c r="G1705" i="15" s="1"/>
  <c r="C1707" i="15"/>
  <c r="C1708" i="14"/>
  <c r="B1708" i="15"/>
  <c r="B1709" i="14"/>
  <c r="D2393" i="15"/>
  <c r="K2400" i="13"/>
  <c r="F15" i="5"/>
  <c r="C607" i="6"/>
  <c r="O77" i="5"/>
  <c r="D69" i="8" s="1"/>
  <c r="C147" i="5"/>
  <c r="C178" i="5"/>
  <c r="D181" i="5"/>
  <c r="D17" i="10" s="1"/>
  <c r="C182" i="5"/>
  <c r="C186" i="5"/>
  <c r="C190" i="5"/>
  <c r="C194" i="5"/>
  <c r="C198" i="5"/>
  <c r="C202" i="5"/>
  <c r="C206" i="5"/>
  <c r="C210" i="5"/>
  <c r="C214" i="5"/>
  <c r="C218" i="5"/>
  <c r="C222" i="5"/>
  <c r="C226" i="5"/>
  <c r="C230" i="5"/>
  <c r="C234" i="5"/>
  <c r="C238" i="5"/>
  <c r="C242" i="5"/>
  <c r="C246" i="5"/>
  <c r="C250" i="5"/>
  <c r="C254" i="5"/>
  <c r="C258" i="5"/>
  <c r="C262" i="5"/>
  <c r="G100" i="10"/>
  <c r="C266" i="5"/>
  <c r="C270" i="5"/>
  <c r="C274" i="5"/>
  <c r="C278" i="5"/>
  <c r="C282" i="5"/>
  <c r="C286" i="5"/>
  <c r="C290" i="5"/>
  <c r="C294" i="5"/>
  <c r="C298" i="5"/>
  <c r="C302" i="5"/>
  <c r="C306" i="5"/>
  <c r="C310" i="5"/>
  <c r="G148" i="10"/>
  <c r="C314" i="5"/>
  <c r="C318" i="5"/>
  <c r="C322" i="5"/>
  <c r="C326" i="5"/>
  <c r="C330" i="5"/>
  <c r="C334" i="5"/>
  <c r="C338" i="5"/>
  <c r="C342" i="5"/>
  <c r="C346" i="5"/>
  <c r="C350" i="5"/>
  <c r="C354" i="5"/>
  <c r="C361" i="5"/>
  <c r="G198" i="10"/>
  <c r="C363" i="5"/>
  <c r="C365" i="5"/>
  <c r="D367" i="5"/>
  <c r="D203" i="10" s="1"/>
  <c r="D369" i="5"/>
  <c r="D205" i="10" s="1"/>
  <c r="D371" i="5"/>
  <c r="D207" i="10" s="1"/>
  <c r="E373" i="5"/>
  <c r="L375" i="5"/>
  <c r="I376" i="5"/>
  <c r="I379" i="5" s="1"/>
  <c r="K378" i="5"/>
  <c r="I380" i="5"/>
  <c r="I384" i="5" s="1"/>
  <c r="J381" i="5"/>
  <c r="Y381" i="5" s="1"/>
  <c r="K382" i="5"/>
  <c r="J385" i="5"/>
  <c r="Y385" i="5" s="1"/>
  <c r="I386" i="5"/>
  <c r="I388" i="5"/>
  <c r="J390" i="5"/>
  <c r="T390" i="5" s="1"/>
  <c r="I391" i="5"/>
  <c r="I394" i="5" s="1"/>
  <c r="K393" i="5"/>
  <c r="I395" i="5"/>
  <c r="O395" i="5" s="1"/>
  <c r="P395" i="5"/>
  <c r="G396" i="5"/>
  <c r="G857" i="5" s="1"/>
  <c r="K397" i="5"/>
  <c r="K400" i="5"/>
  <c r="C592" i="5" s="1"/>
  <c r="K403" i="5"/>
  <c r="K409" i="5"/>
  <c r="K410" i="5"/>
  <c r="K412" i="5"/>
  <c r="G414" i="10"/>
  <c r="G430" i="10"/>
  <c r="E474" i="5"/>
  <c r="F475" i="5"/>
  <c r="F479" i="5"/>
  <c r="F483" i="5"/>
  <c r="F487" i="5"/>
  <c r="E490" i="5"/>
  <c r="F491" i="5"/>
  <c r="F495" i="5"/>
  <c r="F499" i="5"/>
  <c r="F503" i="5"/>
  <c r="E507" i="5"/>
  <c r="A510" i="5"/>
  <c r="A575" i="10" s="1"/>
  <c r="B511" i="5"/>
  <c r="A514" i="5"/>
  <c r="A579" i="10" s="1"/>
  <c r="G579" i="10"/>
  <c r="B515" i="5"/>
  <c r="A518" i="5"/>
  <c r="A583" i="10" s="1"/>
  <c r="B519" i="5"/>
  <c r="A522" i="5"/>
  <c r="A587" i="10" s="1"/>
  <c r="B523" i="5"/>
  <c r="A526" i="5"/>
  <c r="A591" i="10" s="1"/>
  <c r="B527" i="5"/>
  <c r="A530" i="5"/>
  <c r="A595" i="10" s="1"/>
  <c r="B531" i="5"/>
  <c r="A534" i="5"/>
  <c r="A599" i="10" s="1"/>
  <c r="B535" i="5"/>
  <c r="A538" i="5"/>
  <c r="A603" i="10" s="1"/>
  <c r="B539" i="5"/>
  <c r="A542" i="5"/>
  <c r="A607" i="10" s="1"/>
  <c r="B543" i="5"/>
  <c r="A546" i="5"/>
  <c r="A611" i="10" s="1"/>
  <c r="B547" i="5"/>
  <c r="F556" i="5"/>
  <c r="F661" i="10" s="1"/>
  <c r="F560" i="5"/>
  <c r="F665" i="10" s="1"/>
  <c r="F564" i="5"/>
  <c r="F669" i="10" s="1"/>
  <c r="F568" i="5"/>
  <c r="F673" i="10" s="1"/>
  <c r="F572" i="5"/>
  <c r="F677" i="10" s="1"/>
  <c r="F576" i="5"/>
  <c r="F681" i="10" s="1"/>
  <c r="F580" i="5"/>
  <c r="F685" i="10" s="1"/>
  <c r="F584" i="5"/>
  <c r="F689" i="10" s="1"/>
  <c r="F588" i="5"/>
  <c r="F693" i="10" s="1"/>
  <c r="K620" i="5"/>
  <c r="K622" i="5"/>
  <c r="D638" i="5"/>
  <c r="D212" i="10" s="1"/>
  <c r="C639" i="5"/>
  <c r="D642" i="5"/>
  <c r="D216" i="10" s="1"/>
  <c r="C643" i="5"/>
  <c r="F644" i="5"/>
  <c r="F218" i="10" s="1"/>
  <c r="D646" i="5"/>
  <c r="D220" i="10" s="1"/>
  <c r="C647" i="5"/>
  <c r="G226" i="10"/>
  <c r="D653" i="5"/>
  <c r="D227" i="10" s="1"/>
  <c r="C654" i="5"/>
  <c r="D657" i="5"/>
  <c r="D231" i="10" s="1"/>
  <c r="C658" i="5"/>
  <c r="D661" i="5"/>
  <c r="D235" i="10" s="1"/>
  <c r="C662" i="5"/>
  <c r="D665" i="5"/>
  <c r="D239" i="10" s="1"/>
  <c r="C666" i="5"/>
  <c r="D669" i="5"/>
  <c r="D243" i="10" s="1"/>
  <c r="C670" i="5"/>
  <c r="D673" i="5"/>
  <c r="D247" i="10" s="1"/>
  <c r="C674" i="5"/>
  <c r="D677" i="5"/>
  <c r="D251" i="10" s="1"/>
  <c r="C678" i="5"/>
  <c r="D681" i="5"/>
  <c r="D255" i="10" s="1"/>
  <c r="C682" i="5"/>
  <c r="F683" i="5"/>
  <c r="F257" i="10" s="1"/>
  <c r="D685" i="5"/>
  <c r="D259" i="10" s="1"/>
  <c r="C686" i="5"/>
  <c r="F687" i="5"/>
  <c r="F261" i="10" s="1"/>
  <c r="G261" i="10" s="1"/>
  <c r="D689" i="5"/>
  <c r="D263" i="10" s="1"/>
  <c r="C690" i="5"/>
  <c r="D693" i="5"/>
  <c r="D267" i="10" s="1"/>
  <c r="C694" i="5"/>
  <c r="D697" i="5"/>
  <c r="D271" i="10" s="1"/>
  <c r="C698" i="5"/>
  <c r="D701" i="5"/>
  <c r="D275" i="10" s="1"/>
  <c r="C702" i="5"/>
  <c r="D705" i="5"/>
  <c r="D279" i="10" s="1"/>
  <c r="C706" i="5"/>
  <c r="D709" i="5"/>
  <c r="D283" i="10" s="1"/>
  <c r="C710" i="5"/>
  <c r="D713" i="5"/>
  <c r="D287" i="10" s="1"/>
  <c r="C714" i="5"/>
  <c r="D717" i="5"/>
  <c r="D291" i="10" s="1"/>
  <c r="C718" i="5"/>
  <c r="F719" i="5"/>
  <c r="F293" i="10" s="1"/>
  <c r="G293" i="10" s="1"/>
  <c r="D721" i="5"/>
  <c r="D295" i="10" s="1"/>
  <c r="C722" i="5"/>
  <c r="F723" i="5"/>
  <c r="F297" i="10" s="1"/>
  <c r="D725" i="5"/>
  <c r="D299" i="10" s="1"/>
  <c r="C726" i="5"/>
  <c r="D729" i="5"/>
  <c r="D303" i="10" s="1"/>
  <c r="C730" i="5"/>
  <c r="E732" i="5"/>
  <c r="D733" i="5"/>
  <c r="D307" i="10" s="1"/>
  <c r="C734" i="5"/>
  <c r="D737" i="5"/>
  <c r="D311" i="10" s="1"/>
  <c r="C738" i="5"/>
  <c r="D741" i="5"/>
  <c r="D315" i="10" s="1"/>
  <c r="C742" i="5"/>
  <c r="D745" i="5"/>
  <c r="D319" i="10" s="1"/>
  <c r="C746" i="5"/>
  <c r="D749" i="5"/>
  <c r="D323" i="10" s="1"/>
  <c r="C750" i="5"/>
  <c r="D753" i="5"/>
  <c r="D327" i="10" s="1"/>
  <c r="C754" i="5"/>
  <c r="D757" i="5"/>
  <c r="D331" i="10" s="1"/>
  <c r="C758" i="5"/>
  <c r="D761" i="5"/>
  <c r="D335" i="10" s="1"/>
  <c r="C762" i="5"/>
  <c r="D765" i="5"/>
  <c r="D339" i="10" s="1"/>
  <c r="C766" i="5"/>
  <c r="D769" i="5"/>
  <c r="D343" i="10" s="1"/>
  <c r="C770" i="5"/>
  <c r="D773" i="5"/>
  <c r="D347" i="10" s="1"/>
  <c r="C774" i="5"/>
  <c r="D777" i="5"/>
  <c r="D351" i="10" s="1"/>
  <c r="C778" i="5"/>
  <c r="E780" i="5"/>
  <c r="D781" i="5"/>
  <c r="D355" i="10" s="1"/>
  <c r="C782" i="5"/>
  <c r="D785" i="5"/>
  <c r="D359" i="10" s="1"/>
  <c r="C786" i="5"/>
  <c r="D789" i="5"/>
  <c r="D363" i="10" s="1"/>
  <c r="C790" i="5"/>
  <c r="D793" i="5"/>
  <c r="D367" i="10" s="1"/>
  <c r="C794" i="5"/>
  <c r="D797" i="5"/>
  <c r="D371" i="10" s="1"/>
  <c r="C798" i="5"/>
  <c r="D801" i="5"/>
  <c r="D375" i="10" s="1"/>
  <c r="C802" i="5"/>
  <c r="D805" i="5"/>
  <c r="D379" i="10" s="1"/>
  <c r="C806" i="5"/>
  <c r="D809" i="5"/>
  <c r="D383" i="10" s="1"/>
  <c r="C810" i="5"/>
  <c r="D813" i="5"/>
  <c r="D387" i="10" s="1"/>
  <c r="C814" i="5"/>
  <c r="D817" i="5"/>
  <c r="D391" i="10" s="1"/>
  <c r="C818" i="5"/>
  <c r="C823" i="5"/>
  <c r="D826" i="5"/>
  <c r="D400" i="10" s="1"/>
  <c r="E829" i="5"/>
  <c r="D830" i="5"/>
  <c r="D404" i="10" s="1"/>
  <c r="H832" i="5"/>
  <c r="I836" i="5"/>
  <c r="F837" i="5"/>
  <c r="K837" i="5"/>
  <c r="R837" i="5"/>
  <c r="I838" i="5"/>
  <c r="F839" i="5"/>
  <c r="K839" i="5"/>
  <c r="R839" i="5"/>
  <c r="F841" i="5"/>
  <c r="K841" i="5"/>
  <c r="E842" i="5"/>
  <c r="J842" i="5"/>
  <c r="I843" i="5"/>
  <c r="O843" i="5" s="1"/>
  <c r="C844" i="5"/>
  <c r="C846" i="5"/>
  <c r="E847" i="5"/>
  <c r="J847" i="5"/>
  <c r="Y847" i="5" s="1"/>
  <c r="C848" i="5"/>
  <c r="I849" i="5"/>
  <c r="O849" i="5" s="1"/>
  <c r="E851" i="5"/>
  <c r="J851" i="5"/>
  <c r="C852" i="5"/>
  <c r="E853" i="5"/>
  <c r="J853" i="5"/>
  <c r="K866" i="5"/>
  <c r="K870" i="5"/>
  <c r="K874" i="5"/>
  <c r="G456" i="10"/>
  <c r="G474" i="10"/>
  <c r="B935" i="5"/>
  <c r="B539" i="10" s="1"/>
  <c r="B937" i="5"/>
  <c r="B541" i="10" s="1"/>
  <c r="B939" i="5"/>
  <c r="B543" i="10" s="1"/>
  <c r="B941" i="5"/>
  <c r="B545" i="10" s="1"/>
  <c r="B943" i="5"/>
  <c r="B547" i="10" s="1"/>
  <c r="B945" i="5"/>
  <c r="B549" i="10" s="1"/>
  <c r="B947" i="5"/>
  <c r="B551" i="10" s="1"/>
  <c r="B949" i="5"/>
  <c r="B553" i="10" s="1"/>
  <c r="B951" i="5"/>
  <c r="B555" i="10" s="1"/>
  <c r="B953" i="5"/>
  <c r="B557" i="10" s="1"/>
  <c r="B955" i="5"/>
  <c r="B559" i="10" s="1"/>
  <c r="B957" i="5"/>
  <c r="B561" i="10" s="1"/>
  <c r="B959" i="5"/>
  <c r="B563" i="10" s="1"/>
  <c r="B961" i="5"/>
  <c r="B565" i="10" s="1"/>
  <c r="B963" i="5"/>
  <c r="B567" i="10" s="1"/>
  <c r="B965" i="5"/>
  <c r="B569" i="10" s="1"/>
  <c r="B967" i="5"/>
  <c r="B571" i="10" s="1"/>
  <c r="B970" i="5"/>
  <c r="B614" i="10" s="1"/>
  <c r="B972" i="5"/>
  <c r="B616" i="10" s="1"/>
  <c r="G621" i="10"/>
  <c r="G637" i="10"/>
  <c r="B1018" i="5"/>
  <c r="B702" i="10" s="1"/>
  <c r="B1020" i="5"/>
  <c r="B704" i="10" s="1"/>
  <c r="B1022" i="5"/>
  <c r="B706" i="10" s="1"/>
  <c r="B1024" i="5"/>
  <c r="B708" i="10" s="1"/>
  <c r="B1026" i="5"/>
  <c r="B710" i="10" s="1"/>
  <c r="B1028" i="5"/>
  <c r="B712" i="10" s="1"/>
  <c r="B1030" i="5"/>
  <c r="B714" i="10" s="1"/>
  <c r="B1032" i="5"/>
  <c r="B716" i="10" s="1"/>
  <c r="B1034" i="5"/>
  <c r="B718" i="10" s="1"/>
  <c r="B1036" i="5"/>
  <c r="B720" i="10" s="1"/>
  <c r="B1038" i="5"/>
  <c r="B722" i="10" s="1"/>
  <c r="B1040" i="5"/>
  <c r="B724" i="10" s="1"/>
  <c r="B1042" i="5"/>
  <c r="B726" i="10" s="1"/>
  <c r="B1044" i="5"/>
  <c r="B728" i="10" s="1"/>
  <c r="B1046" i="5"/>
  <c r="B730" i="10" s="1"/>
  <c r="B1048" i="5"/>
  <c r="B732" i="10" s="1"/>
  <c r="B1050" i="5"/>
  <c r="B734" i="10" s="1"/>
  <c r="C1115" i="5"/>
  <c r="I1542" i="15"/>
  <c r="F1543" i="14"/>
  <c r="H1550" i="13"/>
  <c r="I1549" i="13"/>
  <c r="J1542" i="15" s="1"/>
  <c r="H1602" i="13"/>
  <c r="J1210" i="5"/>
  <c r="P1290" i="5"/>
  <c r="P1303" i="5" s="1"/>
  <c r="M1291" i="5"/>
  <c r="L1292" i="5"/>
  <c r="P1294" i="5"/>
  <c r="L1296" i="5"/>
  <c r="I1309" i="5" s="1"/>
  <c r="C1762" i="5" s="1"/>
  <c r="B1301" i="5"/>
  <c r="B1302" i="5"/>
  <c r="C339" i="12"/>
  <c r="C342" i="6"/>
  <c r="K339" i="12"/>
  <c r="K342" i="6"/>
  <c r="J1322" i="5"/>
  <c r="E1322" i="5" s="1"/>
  <c r="C341" i="12"/>
  <c r="F341" i="12" s="1"/>
  <c r="C344" i="6"/>
  <c r="K341" i="12"/>
  <c r="K344" i="6"/>
  <c r="J1324" i="5"/>
  <c r="E1324" i="5" s="1"/>
  <c r="C343" i="12"/>
  <c r="C346" i="6"/>
  <c r="K343" i="12"/>
  <c r="K346" i="6"/>
  <c r="J1326" i="5"/>
  <c r="E1326" i="5" s="1"/>
  <c r="C345" i="12"/>
  <c r="C348" i="6"/>
  <c r="K345" i="12"/>
  <c r="K348" i="6"/>
  <c r="J1328" i="5"/>
  <c r="E1328" i="5" s="1"/>
  <c r="C347" i="12"/>
  <c r="C350" i="6"/>
  <c r="C349" i="12"/>
  <c r="C352" i="6"/>
  <c r="F350" i="12"/>
  <c r="C351" i="12"/>
  <c r="C354" i="6"/>
  <c r="F352" i="12"/>
  <c r="C353" i="12"/>
  <c r="F353" i="12" s="1"/>
  <c r="C356" i="6"/>
  <c r="F354" i="12"/>
  <c r="C1369" i="5"/>
  <c r="D1370" i="5"/>
  <c r="E324" i="15"/>
  <c r="G324" i="15" s="1"/>
  <c r="E325" i="15"/>
  <c r="G325" i="15" s="1"/>
  <c r="E306" i="15"/>
  <c r="G306" i="15" s="1"/>
  <c r="A870" i="10"/>
  <c r="B307" i="13"/>
  <c r="F1397" i="5"/>
  <c r="K1397" i="5"/>
  <c r="E870" i="10" s="1"/>
  <c r="E327" i="15"/>
  <c r="G327" i="15" s="1"/>
  <c r="G327" i="13"/>
  <c r="E308" i="15"/>
  <c r="G308" i="15" s="1"/>
  <c r="E313" i="15"/>
  <c r="G313" i="15" s="1"/>
  <c r="D1404" i="5"/>
  <c r="E314" i="13" s="1"/>
  <c r="E315" i="15"/>
  <c r="G315" i="15" s="1"/>
  <c r="E318" i="15"/>
  <c r="G318" i="15" s="1"/>
  <c r="B319" i="15"/>
  <c r="B320" i="14"/>
  <c r="E321" i="15"/>
  <c r="G321" i="15" s="1"/>
  <c r="D2476" i="15"/>
  <c r="K2484" i="13"/>
  <c r="D2442" i="15"/>
  <c r="K2450" i="13"/>
  <c r="AS1440" i="5"/>
  <c r="E437" i="13" s="1"/>
  <c r="B432" i="15"/>
  <c r="B433" i="14"/>
  <c r="AQ1443" i="5"/>
  <c r="B440" i="13" s="1"/>
  <c r="E435" i="15"/>
  <c r="G435" i="15" s="1"/>
  <c r="AS1447" i="5"/>
  <c r="E444" i="13" s="1"/>
  <c r="F1448" i="5"/>
  <c r="B439" i="15"/>
  <c r="B440" i="14"/>
  <c r="E441" i="15"/>
  <c r="G441" i="15" s="1"/>
  <c r="B443" i="15"/>
  <c r="B444" i="14"/>
  <c r="R1466" i="5"/>
  <c r="B521" i="15"/>
  <c r="B522" i="14"/>
  <c r="AC1466" i="5"/>
  <c r="E507" i="15"/>
  <c r="G507" i="15" s="1"/>
  <c r="C384" i="15"/>
  <c r="C385" i="14"/>
  <c r="B334" i="15"/>
  <c r="B335" i="14"/>
  <c r="B354" i="15"/>
  <c r="B355" i="14"/>
  <c r="B468" i="15"/>
  <c r="B469" i="14"/>
  <c r="B522" i="15"/>
  <c r="B523" i="14"/>
  <c r="AC1467" i="5"/>
  <c r="E508" i="15"/>
  <c r="G508" i="15" s="1"/>
  <c r="C385" i="15"/>
  <c r="C386" i="14"/>
  <c r="B335" i="15"/>
  <c r="B336" i="14"/>
  <c r="B355" i="15"/>
  <c r="B356" i="14"/>
  <c r="R1468" i="5"/>
  <c r="B523" i="15"/>
  <c r="B524" i="14"/>
  <c r="AC1468" i="5"/>
  <c r="E509" i="15"/>
  <c r="G509" i="15" s="1"/>
  <c r="C386" i="15"/>
  <c r="C387" i="14"/>
  <c r="B336" i="15"/>
  <c r="B337" i="14"/>
  <c r="B356" i="15"/>
  <c r="B357" i="14"/>
  <c r="B470" i="15"/>
  <c r="B471" i="14"/>
  <c r="B524" i="15"/>
  <c r="B525" i="14"/>
  <c r="AC1469" i="5"/>
  <c r="E510" i="15"/>
  <c r="G510" i="15" s="1"/>
  <c r="C387" i="15"/>
  <c r="C388" i="14"/>
  <c r="B337" i="15"/>
  <c r="B338" i="14"/>
  <c r="B357" i="15"/>
  <c r="B358" i="14"/>
  <c r="B471" i="15"/>
  <c r="B472" i="14"/>
  <c r="B525" i="15"/>
  <c r="B526" i="14"/>
  <c r="AC1470" i="5"/>
  <c r="E511" i="15"/>
  <c r="G511" i="15" s="1"/>
  <c r="C388" i="15"/>
  <c r="C389" i="14"/>
  <c r="B338" i="15"/>
  <c r="B339" i="14"/>
  <c r="B358" i="15"/>
  <c r="B359" i="14"/>
  <c r="R1471" i="5"/>
  <c r="B526" i="15"/>
  <c r="B527" i="14"/>
  <c r="AC1471" i="5"/>
  <c r="E512" i="15"/>
  <c r="G512" i="15" s="1"/>
  <c r="C389" i="15"/>
  <c r="C390" i="14"/>
  <c r="B339" i="15"/>
  <c r="B340" i="14"/>
  <c r="B359" i="15"/>
  <c r="B360" i="14"/>
  <c r="R1472" i="5"/>
  <c r="B527" i="15"/>
  <c r="B528" i="14"/>
  <c r="AC1472" i="5"/>
  <c r="C379" i="15"/>
  <c r="C380" i="14"/>
  <c r="E340" i="15"/>
  <c r="G340" i="15" s="1"/>
  <c r="E360" i="15"/>
  <c r="G360" i="15" s="1"/>
  <c r="E474" i="15"/>
  <c r="G474" i="15" s="1"/>
  <c r="B514" i="15"/>
  <c r="B515" i="14"/>
  <c r="C380" i="15"/>
  <c r="C381" i="14"/>
  <c r="BK1473" i="5"/>
  <c r="E398" i="13" s="1"/>
  <c r="E341" i="15"/>
  <c r="G341" i="15" s="1"/>
  <c r="E361" i="15"/>
  <c r="G361" i="15" s="1"/>
  <c r="E475" i="15"/>
  <c r="G475" i="15" s="1"/>
  <c r="B515" i="15"/>
  <c r="B516" i="14"/>
  <c r="C381" i="15"/>
  <c r="C382" i="14"/>
  <c r="BK1474" i="5"/>
  <c r="E399" i="13" s="1"/>
  <c r="E342" i="15"/>
  <c r="G342" i="15" s="1"/>
  <c r="E362" i="15"/>
  <c r="G362" i="15" s="1"/>
  <c r="E476" i="15"/>
  <c r="G476" i="15" s="1"/>
  <c r="AR1475" i="5"/>
  <c r="C420" i="13" s="1"/>
  <c r="C393" i="15"/>
  <c r="C394" i="14"/>
  <c r="B343" i="15"/>
  <c r="B344" i="14"/>
  <c r="B363" i="15"/>
  <c r="B364" i="14"/>
  <c r="B477" i="15"/>
  <c r="B478" i="14"/>
  <c r="AC1476" i="5"/>
  <c r="E517" i="15"/>
  <c r="G517" i="15" s="1"/>
  <c r="C394" i="15"/>
  <c r="C395" i="14"/>
  <c r="B344" i="15"/>
  <c r="B345" i="14"/>
  <c r="B364" i="15"/>
  <c r="B365" i="14"/>
  <c r="B478" i="15"/>
  <c r="B479" i="14"/>
  <c r="AC1477" i="5"/>
  <c r="E518" i="15"/>
  <c r="G518" i="15" s="1"/>
  <c r="E345" i="15"/>
  <c r="G345" i="15" s="1"/>
  <c r="AF1478" i="5"/>
  <c r="C416" i="15"/>
  <c r="C417" i="14"/>
  <c r="E366" i="15"/>
  <c r="G366" i="15" s="1"/>
  <c r="E480" i="15"/>
  <c r="G480" i="15" s="1"/>
  <c r="AR1479" i="5"/>
  <c r="C424" i="13" s="1"/>
  <c r="BK1479" i="5"/>
  <c r="E404" i="13" s="1"/>
  <c r="E347" i="15"/>
  <c r="G347" i="15" s="1"/>
  <c r="E481" i="15"/>
  <c r="G481" i="15" s="1"/>
  <c r="AM1480" i="5"/>
  <c r="AR1480" i="5"/>
  <c r="C425" i="13" s="1"/>
  <c r="BK1480" i="5"/>
  <c r="E405" i="13" s="1"/>
  <c r="E348" i="15"/>
  <c r="G348" i="15" s="1"/>
  <c r="K1481" i="5"/>
  <c r="E482" i="15"/>
  <c r="G482" i="15" s="1"/>
  <c r="B531" i="15"/>
  <c r="B532" i="14"/>
  <c r="B2479" i="13"/>
  <c r="B2471" i="15" s="1"/>
  <c r="C399" i="15"/>
  <c r="C400" i="14"/>
  <c r="B349" i="15"/>
  <c r="B350" i="14"/>
  <c r="H1482" i="5"/>
  <c r="B483" i="15"/>
  <c r="B484" i="14"/>
  <c r="AC1482" i="5"/>
  <c r="E532" i="15"/>
  <c r="G532" i="15" s="1"/>
  <c r="E2436" i="13"/>
  <c r="E2428" i="15" s="1"/>
  <c r="G2428" i="15" s="1"/>
  <c r="E400" i="15"/>
  <c r="G400" i="15" s="1"/>
  <c r="E350" i="15"/>
  <c r="G350" i="15" s="1"/>
  <c r="G357" i="13"/>
  <c r="K1483" i="5"/>
  <c r="E484" i="15"/>
  <c r="G484" i="15" s="1"/>
  <c r="AR1483" i="5"/>
  <c r="C428" i="13" s="1"/>
  <c r="BK1483" i="5"/>
  <c r="E408" i="13" s="1"/>
  <c r="K1484" i="5"/>
  <c r="E485" i="15"/>
  <c r="G485" i="15" s="1"/>
  <c r="AT1484" i="5"/>
  <c r="E454" i="13" s="1"/>
  <c r="C402" i="15"/>
  <c r="C403" i="14"/>
  <c r="H1485" i="5"/>
  <c r="B486" i="15"/>
  <c r="B487" i="14"/>
  <c r="AQ1485" i="5"/>
  <c r="B455" i="13" s="1"/>
  <c r="K1486" i="5"/>
  <c r="U1486" i="5"/>
  <c r="AT1486" i="5"/>
  <c r="E456" i="13" s="1"/>
  <c r="C404" i="15"/>
  <c r="C405" i="14"/>
  <c r="L1487" i="5"/>
  <c r="BD1472" i="5" s="1"/>
  <c r="C405" i="15"/>
  <c r="C406" i="14"/>
  <c r="H1488" i="5"/>
  <c r="H1489" i="5"/>
  <c r="K1491" i="5"/>
  <c r="D1508" i="5"/>
  <c r="E1508" i="5" s="1"/>
  <c r="G1517" i="5"/>
  <c r="G1603" i="5" s="1"/>
  <c r="L1531" i="5"/>
  <c r="O1532" i="5"/>
  <c r="E538" i="15"/>
  <c r="G538" i="15" s="1"/>
  <c r="G545" i="13"/>
  <c r="P1533" i="5"/>
  <c r="R1533" i="5" s="1"/>
  <c r="D559" i="13"/>
  <c r="H759" i="10"/>
  <c r="G759" i="10" s="1"/>
  <c r="H797" i="10"/>
  <c r="G797" i="10" s="1"/>
  <c r="H835" i="10"/>
  <c r="G835" i="10" s="1"/>
  <c r="E759" i="10"/>
  <c r="E797" i="10" s="1"/>
  <c r="E835" i="10" s="1"/>
  <c r="G1547" i="5"/>
  <c r="D561" i="13"/>
  <c r="H761" i="10"/>
  <c r="G761" i="10" s="1"/>
  <c r="H799" i="10"/>
  <c r="G799" i="10" s="1"/>
  <c r="H837" i="10"/>
  <c r="G837" i="10" s="1"/>
  <c r="E761" i="10"/>
  <c r="E799" i="10" s="1"/>
  <c r="E837" i="10" s="1"/>
  <c r="G1549" i="5"/>
  <c r="J1550" i="5"/>
  <c r="S1550" i="5"/>
  <c r="D563" i="13"/>
  <c r="H763" i="10"/>
  <c r="G763" i="10" s="1"/>
  <c r="H801" i="10"/>
  <c r="G801" i="10" s="1"/>
  <c r="H839" i="10"/>
  <c r="G839" i="10" s="1"/>
  <c r="E763" i="10"/>
  <c r="E801" i="10" s="1"/>
  <c r="E839" i="10" s="1"/>
  <c r="G1551" i="5"/>
  <c r="J1552" i="5"/>
  <c r="D565" i="13"/>
  <c r="H765" i="10"/>
  <c r="G765" i="10" s="1"/>
  <c r="H803" i="10"/>
  <c r="G803" i="10" s="1"/>
  <c r="H841" i="10"/>
  <c r="G841" i="10" s="1"/>
  <c r="E765" i="10"/>
  <c r="E803" i="10" s="1"/>
  <c r="E841" i="10" s="1"/>
  <c r="G1553" i="5"/>
  <c r="D567" i="13"/>
  <c r="H767" i="10"/>
  <c r="G767" i="10" s="1"/>
  <c r="H805" i="10"/>
  <c r="G805" i="10" s="1"/>
  <c r="H843" i="10"/>
  <c r="G843" i="10" s="1"/>
  <c r="E767" i="10"/>
  <c r="E805" i="10" s="1"/>
  <c r="E843" i="10" s="1"/>
  <c r="G1555" i="5"/>
  <c r="D569" i="13"/>
  <c r="H769" i="10"/>
  <c r="G769" i="10" s="1"/>
  <c r="H807" i="10"/>
  <c r="G807" i="10" s="1"/>
  <c r="H845" i="10"/>
  <c r="G845" i="10" s="1"/>
  <c r="E769" i="10"/>
  <c r="E807" i="10" s="1"/>
  <c r="E845" i="10" s="1"/>
  <c r="G1557" i="5"/>
  <c r="J1558" i="5"/>
  <c r="D571" i="13"/>
  <c r="H771" i="10"/>
  <c r="G771" i="10" s="1"/>
  <c r="H809" i="10"/>
  <c r="G809" i="10" s="1"/>
  <c r="H847" i="10"/>
  <c r="G847" i="10" s="1"/>
  <c r="E771" i="10"/>
  <c r="E809" i="10" s="1"/>
  <c r="E847" i="10" s="1"/>
  <c r="G1559" i="5"/>
  <c r="J1560" i="5"/>
  <c r="D573" i="13"/>
  <c r="H773" i="10"/>
  <c r="G773" i="10" s="1"/>
  <c r="H811" i="10"/>
  <c r="G811" i="10" s="1"/>
  <c r="H849" i="10"/>
  <c r="G849" i="10" s="1"/>
  <c r="E773" i="10"/>
  <c r="E811" i="10" s="1"/>
  <c r="E849" i="10" s="1"/>
  <c r="G1561" i="5"/>
  <c r="D575" i="13"/>
  <c r="H775" i="10"/>
  <c r="G775" i="10" s="1"/>
  <c r="H813" i="10"/>
  <c r="G813" i="10" s="1"/>
  <c r="H851" i="10"/>
  <c r="G851" i="10" s="1"/>
  <c r="E775" i="10"/>
  <c r="E813" i="10" s="1"/>
  <c r="E851" i="10" s="1"/>
  <c r="G1563" i="5"/>
  <c r="D577" i="13"/>
  <c r="H777" i="10"/>
  <c r="G777" i="10" s="1"/>
  <c r="H815" i="10"/>
  <c r="G815" i="10" s="1"/>
  <c r="H853" i="10"/>
  <c r="G853" i="10" s="1"/>
  <c r="E777" i="10"/>
  <c r="E815" i="10" s="1"/>
  <c r="E853" i="10" s="1"/>
  <c r="G1565" i="5"/>
  <c r="J1566" i="5"/>
  <c r="D579" i="13"/>
  <c r="H779" i="10"/>
  <c r="G779" i="10" s="1"/>
  <c r="H817" i="10"/>
  <c r="G817" i="10" s="1"/>
  <c r="H855" i="10"/>
  <c r="G855" i="10" s="1"/>
  <c r="E779" i="10"/>
  <c r="E817" i="10" s="1"/>
  <c r="E855" i="10" s="1"/>
  <c r="G1567" i="5"/>
  <c r="J1568" i="5"/>
  <c r="D581" i="13"/>
  <c r="H781" i="10"/>
  <c r="G781" i="10" s="1"/>
  <c r="H819" i="10"/>
  <c r="G819" i="10" s="1"/>
  <c r="H857" i="10"/>
  <c r="G857" i="10" s="1"/>
  <c r="E781" i="10"/>
  <c r="E819" i="10" s="1"/>
  <c r="E857" i="10" s="1"/>
  <c r="G1569" i="5"/>
  <c r="D583" i="13"/>
  <c r="H783" i="10"/>
  <c r="G783" i="10" s="1"/>
  <c r="H821" i="10"/>
  <c r="G821" i="10" s="1"/>
  <c r="H859" i="10"/>
  <c r="G859" i="10" s="1"/>
  <c r="E783" i="10"/>
  <c r="E821" i="10" s="1"/>
  <c r="E859" i="10" s="1"/>
  <c r="G1571" i="5"/>
  <c r="B580" i="15"/>
  <c r="B581" i="14"/>
  <c r="B581" i="15"/>
  <c r="B582" i="14"/>
  <c r="B582" i="15"/>
  <c r="B583" i="14"/>
  <c r="B583" i="15"/>
  <c r="B584" i="14"/>
  <c r="B584" i="15"/>
  <c r="B585" i="14"/>
  <c r="A1582" i="5"/>
  <c r="B2486" i="13" s="1"/>
  <c r="B2478" i="15" s="1"/>
  <c r="J1582" i="5"/>
  <c r="J1583" i="5"/>
  <c r="C1597" i="5"/>
  <c r="C1612" i="5"/>
  <c r="B794" i="10"/>
  <c r="C609" i="13"/>
  <c r="F1613" i="5"/>
  <c r="E794" i="10" s="1"/>
  <c r="E825" i="10" s="1"/>
  <c r="B648" i="15"/>
  <c r="B649" i="14"/>
  <c r="B610" i="13"/>
  <c r="A795" i="10"/>
  <c r="E1614" i="5"/>
  <c r="D795" i="10" s="1"/>
  <c r="D826" i="10" s="1"/>
  <c r="I1615" i="5"/>
  <c r="E611" i="13" s="1"/>
  <c r="E650" i="15"/>
  <c r="G650" i="15" s="1"/>
  <c r="C606" i="15"/>
  <c r="C607" i="14"/>
  <c r="B652" i="15"/>
  <c r="B653" i="14"/>
  <c r="B607" i="15"/>
  <c r="B608" i="14"/>
  <c r="B653" i="15"/>
  <c r="B654" i="14"/>
  <c r="A1619" i="5"/>
  <c r="B615" i="13" s="1"/>
  <c r="I1620" i="5"/>
  <c r="E616" i="13" s="1"/>
  <c r="E655" i="15"/>
  <c r="G655" i="15" s="1"/>
  <c r="C611" i="15"/>
  <c r="C612" i="14"/>
  <c r="B657" i="15"/>
  <c r="B658" i="14"/>
  <c r="A1623" i="5"/>
  <c r="D1624" i="5"/>
  <c r="I1624" i="5"/>
  <c r="C1625" i="5"/>
  <c r="C615" i="15"/>
  <c r="C616" i="14"/>
  <c r="A1627" i="5"/>
  <c r="D1628" i="5"/>
  <c r="I1628" i="5"/>
  <c r="C1629" i="5"/>
  <c r="C619" i="15"/>
  <c r="C620" i="14"/>
  <c r="A1631" i="5"/>
  <c r="D1632" i="5"/>
  <c r="I1632" i="5"/>
  <c r="C1633" i="5"/>
  <c r="C623" i="15"/>
  <c r="C624" i="14"/>
  <c r="A1635" i="5"/>
  <c r="I1636" i="5"/>
  <c r="C1637" i="5"/>
  <c r="C627" i="15"/>
  <c r="C628" i="14"/>
  <c r="A1639" i="5"/>
  <c r="I1640" i="5"/>
  <c r="C1641" i="5"/>
  <c r="C631" i="15"/>
  <c r="C632" i="14"/>
  <c r="A1643" i="5"/>
  <c r="I1644" i="5"/>
  <c r="C1645" i="5"/>
  <c r="C635" i="15"/>
  <c r="C636" i="14"/>
  <c r="A1647" i="5"/>
  <c r="D1648" i="5"/>
  <c r="I1648" i="5"/>
  <c r="C639" i="15"/>
  <c r="C640" i="14"/>
  <c r="A1651" i="5"/>
  <c r="I1652" i="5"/>
  <c r="C1653" i="5"/>
  <c r="A1655" i="5"/>
  <c r="I1656" i="5"/>
  <c r="D2479" i="15"/>
  <c r="K2487" i="13"/>
  <c r="H2487" i="13"/>
  <c r="A1660" i="5"/>
  <c r="B670" i="13"/>
  <c r="A833" i="10"/>
  <c r="F1699" i="5"/>
  <c r="E833" i="10" s="1"/>
  <c r="E864" i="10" s="1"/>
  <c r="B705" i="15"/>
  <c r="B706" i="14"/>
  <c r="E707" i="15"/>
  <c r="G707" i="15" s="1"/>
  <c r="C1702" i="5"/>
  <c r="B1703" i="5"/>
  <c r="C674" i="13" s="1"/>
  <c r="B709" i="15"/>
  <c r="B710" i="14"/>
  <c r="C1706" i="5"/>
  <c r="B1707" i="5"/>
  <c r="C678" i="13" s="1"/>
  <c r="C1710" i="5"/>
  <c r="B1711" i="5"/>
  <c r="C682" i="13" s="1"/>
  <c r="C1714" i="5"/>
  <c r="B1715" i="5"/>
  <c r="C686" i="13" s="1"/>
  <c r="C1718" i="5"/>
  <c r="B1719" i="5"/>
  <c r="C690" i="13" s="1"/>
  <c r="C1722" i="5"/>
  <c r="B1723" i="5"/>
  <c r="C694" i="13" s="1"/>
  <c r="C1726" i="5"/>
  <c r="B1727" i="5"/>
  <c r="C698" i="13" s="1"/>
  <c r="I1729" i="5"/>
  <c r="E700" i="13" s="1"/>
  <c r="A1732" i="5"/>
  <c r="B2377" i="13" s="1"/>
  <c r="B2370" i="15" s="1"/>
  <c r="B1735" i="5"/>
  <c r="C704" i="13" s="1"/>
  <c r="B698" i="15"/>
  <c r="B699" i="14"/>
  <c r="B699" i="15"/>
  <c r="B700" i="14"/>
  <c r="B700" i="15"/>
  <c r="B701" i="14"/>
  <c r="A1739" i="5"/>
  <c r="B2488" i="13" s="1"/>
  <c r="B2480" i="15" s="1"/>
  <c r="J1740" i="5"/>
  <c r="C1772" i="5"/>
  <c r="G1776" i="5"/>
  <c r="B714" i="15"/>
  <c r="B715" i="14"/>
  <c r="C1788" i="5"/>
  <c r="D743" i="14"/>
  <c r="C1791" i="5"/>
  <c r="J1791" i="5"/>
  <c r="C1792" i="5"/>
  <c r="D751" i="13"/>
  <c r="J1885" i="5"/>
  <c r="D899" i="13" s="1"/>
  <c r="K735" i="13"/>
  <c r="C732" i="15"/>
  <c r="C733" i="14"/>
  <c r="B733" i="15"/>
  <c r="B734" i="14"/>
  <c r="E1806" i="5"/>
  <c r="D1807" i="5"/>
  <c r="D735" i="15"/>
  <c r="D736" i="14"/>
  <c r="K742" i="13"/>
  <c r="H742" i="13"/>
  <c r="D2489" i="13"/>
  <c r="C1854" i="5"/>
  <c r="D2447" i="15"/>
  <c r="K2455" i="13"/>
  <c r="H2455" i="13"/>
  <c r="D2371" i="15"/>
  <c r="H2378" i="13"/>
  <c r="K2378" i="13"/>
  <c r="D2372" i="15"/>
  <c r="K2379" i="13"/>
  <c r="H2379" i="13"/>
  <c r="G1822" i="5"/>
  <c r="G1827" i="5" s="1"/>
  <c r="C1844" i="5" s="1"/>
  <c r="E849" i="15"/>
  <c r="G849" i="15" s="1"/>
  <c r="C833" i="13"/>
  <c r="B1880" i="5"/>
  <c r="C870" i="13" s="1"/>
  <c r="G1832" i="5"/>
  <c r="C828" i="15"/>
  <c r="C829" i="14"/>
  <c r="G1834" i="5"/>
  <c r="B829" i="15"/>
  <c r="B830" i="14"/>
  <c r="D1836" i="5"/>
  <c r="J1836" i="5"/>
  <c r="D862" i="13" s="1"/>
  <c r="K1837" i="5"/>
  <c r="E863" i="13" s="1"/>
  <c r="K1838" i="5"/>
  <c r="D1839" i="5"/>
  <c r="D1844" i="5"/>
  <c r="D1847" i="5"/>
  <c r="D1848" i="5"/>
  <c r="A1853" i="5"/>
  <c r="A1854" i="5"/>
  <c r="B2492" i="13" s="1"/>
  <c r="B2484" i="15" s="1"/>
  <c r="A1855" i="5"/>
  <c r="A1857" i="5"/>
  <c r="E887" i="15"/>
  <c r="G887" i="15" s="1"/>
  <c r="E865" i="15"/>
  <c r="G865" i="15" s="1"/>
  <c r="C867" i="15"/>
  <c r="C868" i="14"/>
  <c r="K1885" i="5"/>
  <c r="E899" i="13" s="1"/>
  <c r="C870" i="15"/>
  <c r="C871" i="14"/>
  <c r="A1894" i="5"/>
  <c r="A1895" i="5"/>
  <c r="C1901" i="5"/>
  <c r="D1930" i="5"/>
  <c r="B787" i="15"/>
  <c r="B788" i="14"/>
  <c r="B812" i="15"/>
  <c r="B813" i="14"/>
  <c r="B795" i="13"/>
  <c r="A1986" i="5"/>
  <c r="D1940" i="5"/>
  <c r="D1925" i="5"/>
  <c r="E813" i="15"/>
  <c r="G813" i="15" s="1"/>
  <c r="G1941" i="5"/>
  <c r="B821" i="13" s="1"/>
  <c r="B792" i="15"/>
  <c r="B793" i="14"/>
  <c r="E793" i="15"/>
  <c r="G793" i="15" s="1"/>
  <c r="K1945" i="5"/>
  <c r="E825" i="13" s="1"/>
  <c r="G1946" i="5"/>
  <c r="B826" i="13" s="1"/>
  <c r="B1955" i="5"/>
  <c r="B1956" i="5"/>
  <c r="C1962" i="5"/>
  <c r="D2491" i="13" s="1"/>
  <c r="G1987" i="5"/>
  <c r="B784" i="13" s="1"/>
  <c r="B754" i="15"/>
  <c r="B755" i="14"/>
  <c r="J1991" i="5"/>
  <c r="D788" i="13" s="1"/>
  <c r="E1244" i="15"/>
  <c r="G1244" i="15" s="1"/>
  <c r="B1245" i="15"/>
  <c r="B1246" i="14"/>
  <c r="B1256" i="13"/>
  <c r="D2047" i="5"/>
  <c r="E1256" i="13" s="1"/>
  <c r="C2048" i="5"/>
  <c r="B1253" i="15"/>
  <c r="B1254" i="14"/>
  <c r="B1254" i="15"/>
  <c r="B1255" i="14"/>
  <c r="D2053" i="5"/>
  <c r="D1263" i="13"/>
  <c r="E2054" i="5"/>
  <c r="D1257" i="15"/>
  <c r="D1258" i="14"/>
  <c r="K1264" i="13"/>
  <c r="B1268" i="13"/>
  <c r="D2059" i="5"/>
  <c r="B1262" i="15"/>
  <c r="B1263" i="14"/>
  <c r="D2061" i="5"/>
  <c r="D2405" i="13"/>
  <c r="E2062" i="5"/>
  <c r="D2399" i="15"/>
  <c r="K2406" i="13"/>
  <c r="B1276" i="15"/>
  <c r="B1277" i="14"/>
  <c r="E1277" i="15"/>
  <c r="G1277" i="15" s="1"/>
  <c r="B1278" i="15"/>
  <c r="B1279" i="14"/>
  <c r="B1280" i="15"/>
  <c r="B1281" i="14"/>
  <c r="I2117" i="5"/>
  <c r="I2110" i="5"/>
  <c r="C2131" i="5" s="1"/>
  <c r="C2124" i="5"/>
  <c r="B1817" i="13"/>
  <c r="D2136" i="5"/>
  <c r="E1817" i="13" s="1"/>
  <c r="B1856" i="15"/>
  <c r="B1857" i="14"/>
  <c r="E1864" i="13"/>
  <c r="L2282" i="5"/>
  <c r="E1919" i="13" s="1"/>
  <c r="E1858" i="15"/>
  <c r="G1858" i="15" s="1"/>
  <c r="B1859" i="15"/>
  <c r="B1860" i="14"/>
  <c r="E1861" i="15"/>
  <c r="G1861" i="15" s="1"/>
  <c r="B1827" i="13"/>
  <c r="A2289" i="5"/>
  <c r="B1887" i="13" s="1"/>
  <c r="B1863" i="15"/>
  <c r="B1864" i="14"/>
  <c r="E1871" i="13"/>
  <c r="L2289" i="5"/>
  <c r="E1926" i="13" s="1"/>
  <c r="E1865" i="15"/>
  <c r="G1865" i="15" s="1"/>
  <c r="B1825" i="15"/>
  <c r="B1826" i="14"/>
  <c r="B1833" i="13"/>
  <c r="D2152" i="5"/>
  <c r="E1833" i="13" s="1"/>
  <c r="E1827" i="15"/>
  <c r="G1827" i="15" s="1"/>
  <c r="E1831" i="15"/>
  <c r="G1831" i="15" s="1"/>
  <c r="C2158" i="5"/>
  <c r="E1835" i="15"/>
  <c r="G1835" i="15" s="1"/>
  <c r="E1844" i="13"/>
  <c r="D2305" i="5"/>
  <c r="E1903" i="13" s="1"/>
  <c r="E1848" i="13"/>
  <c r="D2309" i="5"/>
  <c r="E1907" i="13" s="1"/>
  <c r="E1852" i="13"/>
  <c r="D2313" i="5"/>
  <c r="E1911" i="13" s="1"/>
  <c r="E1849" i="15"/>
  <c r="G1849" i="15" s="1"/>
  <c r="B1316" i="13"/>
  <c r="C2198" i="5"/>
  <c r="D2198" i="5"/>
  <c r="E1316" i="13" s="1"/>
  <c r="C1312" i="15"/>
  <c r="C1313" i="14"/>
  <c r="B1323" i="15"/>
  <c r="B1324" i="14"/>
  <c r="B1322" i="13"/>
  <c r="D2205" i="5"/>
  <c r="E1322" i="13" s="1"/>
  <c r="D1325" i="13"/>
  <c r="E2208" i="5"/>
  <c r="F2240" i="5"/>
  <c r="L2240" i="5" s="1"/>
  <c r="E2231" i="5"/>
  <c r="E2232" i="5"/>
  <c r="G2259" i="5"/>
  <c r="C2265" i="5"/>
  <c r="C2276" i="5" s="1"/>
  <c r="B1878" i="13"/>
  <c r="D2280" i="5"/>
  <c r="E1878" i="13" s="1"/>
  <c r="B1913" i="15"/>
  <c r="B1914" i="14"/>
  <c r="B1876" i="15"/>
  <c r="B1877" i="14"/>
  <c r="C1877" i="15"/>
  <c r="C1878" i="14"/>
  <c r="G2288" i="5"/>
  <c r="B1925" i="13" s="1"/>
  <c r="A2290" i="5"/>
  <c r="B1888" i="13" s="1"/>
  <c r="D2291" i="5"/>
  <c r="E1889" i="13" s="1"/>
  <c r="D2292" i="5"/>
  <c r="E1890" i="13" s="1"/>
  <c r="B2294" i="5"/>
  <c r="C1892" i="13" s="1"/>
  <c r="A2299" i="5"/>
  <c r="B1897" i="13" s="1"/>
  <c r="D2300" i="5"/>
  <c r="E1898" i="13" s="1"/>
  <c r="B2302" i="5"/>
  <c r="C1900" i="13" s="1"/>
  <c r="C1900" i="15"/>
  <c r="C1901" i="14"/>
  <c r="D2311" i="5"/>
  <c r="D2312" i="5"/>
  <c r="E1910" i="13" s="1"/>
  <c r="C1905" i="15"/>
  <c r="C1906" i="14"/>
  <c r="E1284" i="15"/>
  <c r="G1284" i="15" s="1"/>
  <c r="C2322" i="5"/>
  <c r="E1287" i="15"/>
  <c r="G1287" i="15" s="1"/>
  <c r="G1294" i="13"/>
  <c r="C2326" i="5"/>
  <c r="E1291" i="15"/>
  <c r="G1291" i="15" s="1"/>
  <c r="G1298" i="13"/>
  <c r="E1294" i="15"/>
  <c r="G1294" i="15" s="1"/>
  <c r="G1301" i="13"/>
  <c r="D1302" i="13"/>
  <c r="D1303" i="13"/>
  <c r="C1300" i="15"/>
  <c r="C1301" i="14"/>
  <c r="C1301" i="15"/>
  <c r="C1302" i="14"/>
  <c r="D73" i="6"/>
  <c r="E128" i="6"/>
  <c r="E129" i="6"/>
  <c r="E132" i="6" s="1"/>
  <c r="C276" i="6"/>
  <c r="E343" i="6"/>
  <c r="J344" i="6"/>
  <c r="E347" i="6"/>
  <c r="J348" i="6"/>
  <c r="E351" i="6"/>
  <c r="J352" i="6"/>
  <c r="E355" i="6"/>
  <c r="J356" i="6"/>
  <c r="E1944" i="13"/>
  <c r="D408" i="6"/>
  <c r="E1947" i="13" s="1"/>
  <c r="D2470" i="13"/>
  <c r="E415" i="6"/>
  <c r="E1982" i="13"/>
  <c r="K426" i="6"/>
  <c r="K439" i="6" s="1"/>
  <c r="B441" i="6" s="1"/>
  <c r="E433" i="6"/>
  <c r="B2426" i="13"/>
  <c r="B2418" i="15" s="1"/>
  <c r="D437" i="6"/>
  <c r="E2019" i="15"/>
  <c r="G2019" i="15" s="1"/>
  <c r="E2020" i="15"/>
  <c r="G2020" i="15" s="1"/>
  <c r="B2028" i="13"/>
  <c r="A543" i="6"/>
  <c r="B2058" i="13" s="1"/>
  <c r="E2069" i="15"/>
  <c r="G2069" i="15" s="1"/>
  <c r="E2070" i="15"/>
  <c r="G2070" i="15" s="1"/>
  <c r="B2077" i="15"/>
  <c r="B2078" i="14"/>
  <c r="E2085" i="15"/>
  <c r="G2085" i="15" s="1"/>
  <c r="E2114" i="15"/>
  <c r="G2114" i="15" s="1"/>
  <c r="E2115" i="15"/>
  <c r="G2115" i="15" s="1"/>
  <c r="B2117" i="15"/>
  <c r="B2118" i="14"/>
  <c r="D538" i="6"/>
  <c r="E2053" i="13" s="1"/>
  <c r="E2059" i="15"/>
  <c r="G2059" i="15" s="1"/>
  <c r="C605" i="6"/>
  <c r="C601" i="6"/>
  <c r="C602" i="6"/>
  <c r="E2106" i="15"/>
  <c r="G2106" i="15" s="1"/>
  <c r="E2108" i="15"/>
  <c r="G2108" i="15" s="1"/>
  <c r="E2110" i="15"/>
  <c r="G2110" i="15" s="1"/>
  <c r="E2112" i="15"/>
  <c r="G2112" i="15" s="1"/>
  <c r="E2200" i="15"/>
  <c r="G2200" i="15" s="1"/>
  <c r="E2202" i="15"/>
  <c r="G2202" i="15" s="1"/>
  <c r="E2204" i="15"/>
  <c r="G2204" i="15" s="1"/>
  <c r="E2207" i="15"/>
  <c r="G2207" i="15" s="1"/>
  <c r="E2209" i="15"/>
  <c r="G2209" i="15" s="1"/>
  <c r="G2216" i="13"/>
  <c r="E2211" i="15"/>
  <c r="G2211" i="15" s="1"/>
  <c r="E2156" i="15"/>
  <c r="G2156" i="15" s="1"/>
  <c r="E2160" i="15"/>
  <c r="G2160" i="15" s="1"/>
  <c r="E2164" i="15"/>
  <c r="G2164" i="15" s="1"/>
  <c r="E2167" i="15"/>
  <c r="G2167" i="15" s="1"/>
  <c r="E2171" i="15"/>
  <c r="G2171" i="15" s="1"/>
  <c r="D2473" i="13"/>
  <c r="E706" i="6"/>
  <c r="D2017" i="13"/>
  <c r="M714" i="6"/>
  <c r="D1980" i="15"/>
  <c r="D1981" i="14"/>
  <c r="K1987" i="13"/>
  <c r="H1987" i="13"/>
  <c r="H1980" i="15" s="1"/>
  <c r="D1981" i="15"/>
  <c r="D1982" i="14"/>
  <c r="K1988" i="13"/>
  <c r="H1988" i="13"/>
  <c r="H1981" i="15" s="1"/>
  <c r="D1985" i="15"/>
  <c r="D1986" i="14"/>
  <c r="K1992" i="13"/>
  <c r="D2438" i="13"/>
  <c r="B1200" i="15"/>
  <c r="B1201" i="14"/>
  <c r="E1212" i="13"/>
  <c r="K76" i="7"/>
  <c r="E1237" i="13" s="1"/>
  <c r="K63" i="7"/>
  <c r="E1225" i="13" s="1"/>
  <c r="B919" i="13"/>
  <c r="A115" i="7"/>
  <c r="B976" i="13" s="1"/>
  <c r="B920" i="13"/>
  <c r="A116" i="7"/>
  <c r="B977" i="13" s="1"/>
  <c r="E1213" i="15"/>
  <c r="G1213" i="15" s="1"/>
  <c r="B1214" i="15"/>
  <c r="B1215" i="14"/>
  <c r="B1215" i="15"/>
  <c r="B1216" i="14"/>
  <c r="E1216" i="15"/>
  <c r="G1216" i="15" s="1"/>
  <c r="B1219" i="15"/>
  <c r="B1220" i="14"/>
  <c r="E929" i="13"/>
  <c r="E184" i="7"/>
  <c r="E1043" i="13" s="1"/>
  <c r="D1222" i="15"/>
  <c r="D1223" i="14"/>
  <c r="H1229" i="13"/>
  <c r="E1223" i="15"/>
  <c r="G1223" i="15" s="1"/>
  <c r="E1228" i="15"/>
  <c r="G1228" i="15" s="1"/>
  <c r="E1229" i="15"/>
  <c r="G1229" i="15" s="1"/>
  <c r="B1230" i="15"/>
  <c r="B1231" i="14"/>
  <c r="B941" i="13"/>
  <c r="A140" i="7"/>
  <c r="B1001" i="13" s="1"/>
  <c r="A137" i="7"/>
  <c r="B998" i="13" s="1"/>
  <c r="E936" i="15"/>
  <c r="G936" i="15" s="1"/>
  <c r="A81" i="7"/>
  <c r="B944" i="13" s="1"/>
  <c r="B950" i="15"/>
  <c r="B951" i="14"/>
  <c r="E1038" i="15"/>
  <c r="G1038" i="15" s="1"/>
  <c r="E970" i="15"/>
  <c r="G970" i="15" s="1"/>
  <c r="E972" i="15"/>
  <c r="G972" i="15" s="1"/>
  <c r="E976" i="15"/>
  <c r="G976" i="15" s="1"/>
  <c r="E125" i="7"/>
  <c r="E986" i="13" s="1"/>
  <c r="E997" i="15"/>
  <c r="G997" i="15" s="1"/>
  <c r="E1001" i="15"/>
  <c r="G1001" i="15" s="1"/>
  <c r="E1005" i="15"/>
  <c r="G1005" i="15" s="1"/>
  <c r="A175" i="7"/>
  <c r="B1034" i="13" s="1"/>
  <c r="B1036" i="15"/>
  <c r="B1037" i="14"/>
  <c r="E1040" i="15"/>
  <c r="G1040" i="15" s="1"/>
  <c r="G1047" i="13"/>
  <c r="H1047" i="13"/>
  <c r="D1048" i="13"/>
  <c r="F189" i="7"/>
  <c r="B1053" i="13"/>
  <c r="A74" i="7"/>
  <c r="B1067" i="15"/>
  <c r="B1068" i="14"/>
  <c r="E1236" i="15"/>
  <c r="G1236" i="15" s="1"/>
  <c r="E1075" i="15"/>
  <c r="G1075" i="15" s="1"/>
  <c r="E1076" i="15"/>
  <c r="G1076" i="15" s="1"/>
  <c r="D2475" i="13"/>
  <c r="F226" i="7"/>
  <c r="H2475" i="13" s="1"/>
  <c r="D2381" i="15"/>
  <c r="K2388" i="13"/>
  <c r="I2383" i="15"/>
  <c r="G2390" i="13"/>
  <c r="B1087" i="13"/>
  <c r="A282" i="7"/>
  <c r="E240" i="7"/>
  <c r="E1088" i="13"/>
  <c r="E283" i="7"/>
  <c r="E1089" i="13"/>
  <c r="E284" i="7"/>
  <c r="B1092" i="13"/>
  <c r="C245" i="7"/>
  <c r="C264" i="7" s="1"/>
  <c r="D264" i="7" s="1"/>
  <c r="E1096" i="13"/>
  <c r="E291" i="7"/>
  <c r="E1104" i="13"/>
  <c r="E299" i="7"/>
  <c r="D266" i="7"/>
  <c r="B1119" i="13"/>
  <c r="A314" i="7"/>
  <c r="E1120" i="13"/>
  <c r="E315" i="7"/>
  <c r="B1163" i="13"/>
  <c r="C322" i="7"/>
  <c r="C341" i="7" s="1"/>
  <c r="B1167" i="13"/>
  <c r="C326" i="7"/>
  <c r="C345" i="7" s="1"/>
  <c r="D345" i="7" s="1"/>
  <c r="D133" i="13"/>
  <c r="L271" i="8"/>
  <c r="E126" i="15"/>
  <c r="G126" i="15" s="1"/>
  <c r="E2420" i="13"/>
  <c r="E2412" i="15" s="1"/>
  <c r="G2412" i="15" s="1"/>
  <c r="E277" i="8"/>
  <c r="B151" i="13"/>
  <c r="G304" i="8"/>
  <c r="B169" i="13" s="1"/>
  <c r="B171" i="15"/>
  <c r="B172" i="14"/>
  <c r="E163" i="15"/>
  <c r="G163" i="15" s="1"/>
  <c r="B173" i="15"/>
  <c r="B174" i="14"/>
  <c r="D174" i="13"/>
  <c r="L310" i="8"/>
  <c r="E179" i="13"/>
  <c r="D412" i="8"/>
  <c r="E219" i="13" s="1"/>
  <c r="E209" i="15"/>
  <c r="G209" i="15" s="1"/>
  <c r="D2354" i="13"/>
  <c r="E364" i="8"/>
  <c r="E431" i="8" s="1"/>
  <c r="C431" i="8"/>
  <c r="D2359" i="13" s="1"/>
  <c r="B216" i="15"/>
  <c r="B217" i="14"/>
  <c r="B217" i="13"/>
  <c r="D410" i="8"/>
  <c r="E217" i="13" s="1"/>
  <c r="C222" i="15"/>
  <c r="C223" i="14"/>
  <c r="C226" i="15"/>
  <c r="C227" i="14"/>
  <c r="C230" i="15"/>
  <c r="C231" i="14"/>
  <c r="D279" i="13"/>
  <c r="E499" i="8"/>
  <c r="B263" i="13"/>
  <c r="D483" i="8"/>
  <c r="E263" i="13" s="1"/>
  <c r="D270" i="13"/>
  <c r="E490" i="8"/>
  <c r="E271" i="15"/>
  <c r="G271" i="15" s="1"/>
  <c r="E272" i="15"/>
  <c r="G272" i="15" s="1"/>
  <c r="E273" i="15"/>
  <c r="G273" i="15" s="1"/>
  <c r="E274" i="15"/>
  <c r="G274" i="15" s="1"/>
  <c r="E275" i="15"/>
  <c r="G275" i="15" s="1"/>
  <c r="E276" i="15"/>
  <c r="G276" i="15" s="1"/>
  <c r="E278" i="15"/>
  <c r="G278" i="15" s="1"/>
  <c r="E280" i="15"/>
  <c r="G280" i="15" s="1"/>
  <c r="B2364" i="13"/>
  <c r="B2357" i="15" s="1"/>
  <c r="D503" i="8"/>
  <c r="H71" i="13"/>
  <c r="H99" i="13"/>
  <c r="H34" i="13"/>
  <c r="C680" i="8"/>
  <c r="G515" i="8"/>
  <c r="C679" i="8"/>
  <c r="C681" i="8"/>
  <c r="D542" i="8"/>
  <c r="G561" i="8"/>
  <c r="I12" i="15"/>
  <c r="F13" i="14"/>
  <c r="H24" i="13"/>
  <c r="H13" i="13"/>
  <c r="I12" i="13"/>
  <c r="J12" i="15" s="1"/>
  <c r="C623" i="8"/>
  <c r="E25" i="15"/>
  <c r="G25" i="15" s="1"/>
  <c r="B21" i="15"/>
  <c r="B22" i="14"/>
  <c r="B36" i="15"/>
  <c r="B37" i="14"/>
  <c r="B40" i="13"/>
  <c r="D617" i="8"/>
  <c r="E40" i="13" s="1"/>
  <c r="E61" i="15"/>
  <c r="G61" i="15" s="1"/>
  <c r="B77" i="15"/>
  <c r="B78" i="14"/>
  <c r="B82" i="15"/>
  <c r="B83" i="14"/>
  <c r="B84" i="13"/>
  <c r="A667" i="8"/>
  <c r="B109" i="13" s="1"/>
  <c r="B106" i="15"/>
  <c r="B107" i="14"/>
  <c r="E108" i="15"/>
  <c r="G108" i="15" s="1"/>
  <c r="G28" i="9"/>
  <c r="C192" i="9"/>
  <c r="D177" i="9"/>
  <c r="F166" i="9"/>
  <c r="G158" i="9"/>
  <c r="G166" i="9" s="1"/>
  <c r="D176" i="9" s="1"/>
  <c r="D178" i="9" s="1"/>
  <c r="G162" i="9"/>
  <c r="F214" i="9"/>
  <c r="C216" i="9" s="1"/>
  <c r="C218" i="9" s="1"/>
  <c r="D223" i="9"/>
  <c r="D228" i="9" s="1"/>
  <c r="D1455" i="13"/>
  <c r="E306" i="9"/>
  <c r="B1412" i="13"/>
  <c r="A648" i="9"/>
  <c r="B1338" i="13" s="1"/>
  <c r="E1468" i="13"/>
  <c r="J651" i="9"/>
  <c r="E1394" i="13" s="1"/>
  <c r="E1469" i="13"/>
  <c r="J652" i="9"/>
  <c r="E1395" i="13" s="1"/>
  <c r="E1470" i="13"/>
  <c r="J653" i="9"/>
  <c r="E1396" i="13" s="1"/>
  <c r="E1478" i="13"/>
  <c r="J663" i="9"/>
  <c r="E1404" i="13" s="1"/>
  <c r="E1479" i="13"/>
  <c r="J664" i="9"/>
  <c r="E1405" i="13" s="1"/>
  <c r="E1399" i="15"/>
  <c r="G1399" i="15" s="1"/>
  <c r="E1400" i="15"/>
  <c r="G1400" i="15" s="1"/>
  <c r="C1441" i="13"/>
  <c r="B677" i="9"/>
  <c r="C1367" i="13" s="1"/>
  <c r="E1444" i="13"/>
  <c r="D680" i="9"/>
  <c r="E1370" i="13" s="1"/>
  <c r="B1453" i="13"/>
  <c r="A689" i="9"/>
  <c r="B1379" i="13" s="1"/>
  <c r="B1455" i="13"/>
  <c r="A691" i="9"/>
  <c r="B1381" i="13" s="1"/>
  <c r="B1458" i="13"/>
  <c r="A694" i="9"/>
  <c r="B1384" i="13" s="1"/>
  <c r="B1460" i="13"/>
  <c r="A696" i="9"/>
  <c r="B1386" i="13" s="1"/>
  <c r="B1462" i="13"/>
  <c r="A698" i="9"/>
  <c r="B1388" i="13" s="1"/>
  <c r="B2392" i="13"/>
  <c r="B2385" i="15" s="1"/>
  <c r="D315" i="9"/>
  <c r="E2392" i="13" s="1"/>
  <c r="E2385" i="15" s="1"/>
  <c r="G2385" i="15" s="1"/>
  <c r="B1527" i="15"/>
  <c r="B1528" i="14"/>
  <c r="B1502" i="15"/>
  <c r="B1503" i="14"/>
  <c r="E1516" i="13"/>
  <c r="E378" i="9"/>
  <c r="E1511" i="15"/>
  <c r="G1511" i="15" s="1"/>
  <c r="B1515" i="15"/>
  <c r="B1516" i="14"/>
  <c r="B1518" i="15"/>
  <c r="B1519" i="14"/>
  <c r="B1520" i="15"/>
  <c r="B1521" i="14"/>
  <c r="B1522" i="15"/>
  <c r="B1523" i="14"/>
  <c r="D2462" i="13"/>
  <c r="E394" i="9"/>
  <c r="D1588" i="15"/>
  <c r="D1589" i="14"/>
  <c r="K1595" i="13"/>
  <c r="H1595" i="13"/>
  <c r="E1545" i="15"/>
  <c r="G1545" i="15" s="1"/>
  <c r="E1601" i="15"/>
  <c r="G1601" i="15" s="1"/>
  <c r="B1557" i="15"/>
  <c r="B1558" i="14"/>
  <c r="E1558" i="15"/>
  <c r="G1558" i="15" s="1"/>
  <c r="C1561" i="15"/>
  <c r="C1562" i="14"/>
  <c r="B1562" i="15"/>
  <c r="B1563" i="14"/>
  <c r="C1575" i="15"/>
  <c r="C1576" i="14"/>
  <c r="B1579" i="15"/>
  <c r="B1580" i="14"/>
  <c r="E473" i="9"/>
  <c r="D2396" i="13"/>
  <c r="E482" i="9"/>
  <c r="B1624" i="13"/>
  <c r="D508" i="9"/>
  <c r="E1624" i="13" s="1"/>
  <c r="D509" i="9"/>
  <c r="E1625" i="13" s="1"/>
  <c r="E1632" i="15"/>
  <c r="G1632" i="15" s="1"/>
  <c r="B1635" i="15"/>
  <c r="B1636" i="14"/>
  <c r="F559" i="5"/>
  <c r="F664" i="10" s="1"/>
  <c r="F563" i="5"/>
  <c r="F668" i="10" s="1"/>
  <c r="F567" i="5"/>
  <c r="F672" i="10" s="1"/>
  <c r="F571" i="5"/>
  <c r="F676" i="10" s="1"/>
  <c r="F575" i="5"/>
  <c r="F680" i="10" s="1"/>
  <c r="F579" i="5"/>
  <c r="F684" i="10" s="1"/>
  <c r="F583" i="5"/>
  <c r="F688" i="10" s="1"/>
  <c r="F587" i="5"/>
  <c r="F692" i="10" s="1"/>
  <c r="E621" i="5"/>
  <c r="C648" i="5"/>
  <c r="C649" i="5"/>
  <c r="C650" i="5"/>
  <c r="G227" i="10"/>
  <c r="C699" i="5"/>
  <c r="C703" i="5"/>
  <c r="C707" i="5"/>
  <c r="C711" i="5"/>
  <c r="C715" i="5"/>
  <c r="C719" i="5"/>
  <c r="C723" i="5"/>
  <c r="C727" i="5"/>
  <c r="C731" i="5"/>
  <c r="C735" i="5"/>
  <c r="C739" i="5"/>
  <c r="C743" i="5"/>
  <c r="C747" i="5"/>
  <c r="C751" i="5"/>
  <c r="C755" i="5"/>
  <c r="C759" i="5"/>
  <c r="C763" i="5"/>
  <c r="C767" i="5"/>
  <c r="C771" i="5"/>
  <c r="C775" i="5"/>
  <c r="C779" i="5"/>
  <c r="C783" i="5"/>
  <c r="C787" i="5"/>
  <c r="C791" i="5"/>
  <c r="C795" i="5"/>
  <c r="C799" i="5"/>
  <c r="C803" i="5"/>
  <c r="C807" i="5"/>
  <c r="C811" i="5"/>
  <c r="C815" i="5"/>
  <c r="C819" i="5"/>
  <c r="C824" i="5"/>
  <c r="J836" i="5"/>
  <c r="V836" i="5" s="1"/>
  <c r="J838" i="5"/>
  <c r="V838" i="5" s="1"/>
  <c r="K842" i="5"/>
  <c r="J843" i="5"/>
  <c r="T843" i="5" s="1"/>
  <c r="K847" i="5"/>
  <c r="K851" i="5"/>
  <c r="K853" i="5"/>
  <c r="I856" i="5"/>
  <c r="K859" i="5"/>
  <c r="K861" i="5"/>
  <c r="B929" i="5"/>
  <c r="B533" i="10" s="1"/>
  <c r="B931" i="5"/>
  <c r="B535" i="10" s="1"/>
  <c r="B933" i="5"/>
  <c r="B537" i="10" s="1"/>
  <c r="B979" i="5"/>
  <c r="B623" i="10" s="1"/>
  <c r="B983" i="5"/>
  <c r="B627" i="10" s="1"/>
  <c r="B987" i="5"/>
  <c r="B631" i="10" s="1"/>
  <c r="B991" i="5"/>
  <c r="B635" i="10" s="1"/>
  <c r="B995" i="5"/>
  <c r="B639" i="10" s="1"/>
  <c r="B999" i="5"/>
  <c r="B643" i="10" s="1"/>
  <c r="B1003" i="5"/>
  <c r="B647" i="10" s="1"/>
  <c r="B1007" i="5"/>
  <c r="B651" i="10" s="1"/>
  <c r="B1012" i="5"/>
  <c r="B696" i="10" s="1"/>
  <c r="B1014" i="5"/>
  <c r="B698" i="10" s="1"/>
  <c r="I1615" i="15"/>
  <c r="F1616" i="14"/>
  <c r="H1665" i="13"/>
  <c r="H1623" i="13"/>
  <c r="I1622" i="13"/>
  <c r="J1615" i="15" s="1"/>
  <c r="P1291" i="5"/>
  <c r="M1292" i="5"/>
  <c r="C113" i="5" s="1"/>
  <c r="C1301" i="5"/>
  <c r="C1302" i="5"/>
  <c r="B1319" i="5"/>
  <c r="F1449" i="5" s="1"/>
  <c r="E339" i="12"/>
  <c r="E342" i="6"/>
  <c r="J340" i="12"/>
  <c r="J343" i="6"/>
  <c r="E341" i="12"/>
  <c r="E344" i="6"/>
  <c r="J342" i="12"/>
  <c r="J345" i="6"/>
  <c r="E343" i="12"/>
  <c r="E346" i="6"/>
  <c r="J344" i="12"/>
  <c r="J347" i="6"/>
  <c r="E345" i="12"/>
  <c r="E348" i="6"/>
  <c r="J346" i="12"/>
  <c r="J349" i="6"/>
  <c r="E347" i="12"/>
  <c r="E350" i="6"/>
  <c r="J1329" i="5"/>
  <c r="E1329" i="5" s="1"/>
  <c r="J1330" i="5"/>
  <c r="E1330" i="5" s="1"/>
  <c r="E349" i="12"/>
  <c r="E352" i="6"/>
  <c r="J1331" i="5"/>
  <c r="E1331" i="5" s="1"/>
  <c r="J1332" i="5"/>
  <c r="E1332" i="5" s="1"/>
  <c r="E351" i="12"/>
  <c r="E354" i="6"/>
  <c r="J1333" i="5"/>
  <c r="E1333" i="5" s="1"/>
  <c r="J1334" i="5"/>
  <c r="E1334" i="5" s="1"/>
  <c r="E353" i="12"/>
  <c r="E356" i="6"/>
  <c r="J1335" i="5"/>
  <c r="E1335" i="5" s="1"/>
  <c r="J1336" i="5"/>
  <c r="E1336" i="5" s="1"/>
  <c r="B304" i="15"/>
  <c r="B305" i="14"/>
  <c r="B324" i="15"/>
  <c r="B325" i="14"/>
  <c r="B325" i="15"/>
  <c r="B326" i="14"/>
  <c r="D307" i="13"/>
  <c r="B327" i="15"/>
  <c r="B328" i="14"/>
  <c r="E309" i="15"/>
  <c r="G309" i="15" s="1"/>
  <c r="D328" i="15"/>
  <c r="D329" i="14"/>
  <c r="E310" i="15"/>
  <c r="G310" i="15" s="1"/>
  <c r="E311" i="15"/>
  <c r="G311" i="15" s="1"/>
  <c r="E312" i="15"/>
  <c r="G312" i="15" s="1"/>
  <c r="B320" i="15"/>
  <c r="B321" i="14"/>
  <c r="D2360" i="15"/>
  <c r="K2367" i="13"/>
  <c r="H2367" i="13"/>
  <c r="E424" i="15"/>
  <c r="G424" i="15" s="1"/>
  <c r="E426" i="15"/>
  <c r="G426" i="15" s="1"/>
  <c r="E428" i="15"/>
  <c r="G428" i="15" s="1"/>
  <c r="E436" i="15"/>
  <c r="G436" i="15" s="1"/>
  <c r="B438" i="15"/>
  <c r="B439" i="14"/>
  <c r="B440" i="15"/>
  <c r="B441" i="14"/>
  <c r="E442" i="15"/>
  <c r="G442" i="15" s="1"/>
  <c r="B444" i="15"/>
  <c r="B445" i="14"/>
  <c r="B333" i="15"/>
  <c r="B334" i="14"/>
  <c r="C453" i="15"/>
  <c r="C454" i="14"/>
  <c r="C454" i="15"/>
  <c r="C455" i="14"/>
  <c r="E371" i="15"/>
  <c r="G371" i="15" s="1"/>
  <c r="C455" i="15"/>
  <c r="C456" i="14"/>
  <c r="D356" i="15"/>
  <c r="D357" i="14"/>
  <c r="C490" i="15"/>
  <c r="C491" i="14"/>
  <c r="C491" i="15"/>
  <c r="C492" i="14"/>
  <c r="C492" i="15"/>
  <c r="C493" i="14"/>
  <c r="C493" i="15"/>
  <c r="C494" i="14"/>
  <c r="B513" i="15"/>
  <c r="B514" i="14"/>
  <c r="D379" i="15"/>
  <c r="D380" i="14"/>
  <c r="H386" i="13"/>
  <c r="H379" i="15" s="1"/>
  <c r="K386" i="13"/>
  <c r="E494" i="15"/>
  <c r="G494" i="15" s="1"/>
  <c r="C411" i="15"/>
  <c r="C412" i="14"/>
  <c r="D380" i="15"/>
  <c r="D381" i="14"/>
  <c r="K387" i="13"/>
  <c r="B391" i="15"/>
  <c r="B392" i="14"/>
  <c r="E495" i="15"/>
  <c r="G495" i="15" s="1"/>
  <c r="C412" i="15"/>
  <c r="C413" i="14"/>
  <c r="B392" i="15"/>
  <c r="B393" i="14"/>
  <c r="E496" i="15"/>
  <c r="G496" i="15" s="1"/>
  <c r="E516" i="15"/>
  <c r="G516" i="15" s="1"/>
  <c r="B382" i="15"/>
  <c r="B383" i="14"/>
  <c r="C497" i="15"/>
  <c r="C498" i="14"/>
  <c r="C498" i="15"/>
  <c r="C499" i="14"/>
  <c r="B395" i="15"/>
  <c r="B396" i="14"/>
  <c r="B479" i="15"/>
  <c r="B480" i="14"/>
  <c r="B499" i="15"/>
  <c r="B500" i="14"/>
  <c r="E519" i="15"/>
  <c r="G519" i="15" s="1"/>
  <c r="E396" i="15"/>
  <c r="G396" i="15" s="1"/>
  <c r="E346" i="15"/>
  <c r="G346" i="15" s="1"/>
  <c r="AF1479" i="5"/>
  <c r="E520" i="15"/>
  <c r="G520" i="15" s="1"/>
  <c r="B397" i="15"/>
  <c r="B398" i="14"/>
  <c r="E501" i="15"/>
  <c r="G501" i="15" s="1"/>
  <c r="E530" i="15"/>
  <c r="G530" i="15" s="1"/>
  <c r="E2495" i="13"/>
  <c r="E2487" i="15" s="1"/>
  <c r="G2487" i="15" s="1"/>
  <c r="B398" i="15"/>
  <c r="B399" i="14"/>
  <c r="E502" i="15"/>
  <c r="G502" i="15" s="1"/>
  <c r="D531" i="15"/>
  <c r="D532" i="14"/>
  <c r="D2479" i="13"/>
  <c r="H538" i="13"/>
  <c r="H531" i="15" s="1"/>
  <c r="K538" i="13"/>
  <c r="C419" i="15"/>
  <c r="C420" i="14"/>
  <c r="C503" i="15"/>
  <c r="C504" i="14"/>
  <c r="B400" i="15"/>
  <c r="B401" i="14"/>
  <c r="E504" i="15"/>
  <c r="G504" i="15" s="1"/>
  <c r="B401" i="15"/>
  <c r="B402" i="14"/>
  <c r="D2443" i="15"/>
  <c r="K2451" i="13"/>
  <c r="D339" i="13"/>
  <c r="D467" i="13"/>
  <c r="AS1485" i="5"/>
  <c r="D455" i="13" s="1"/>
  <c r="B403" i="15"/>
  <c r="B404" i="14"/>
  <c r="B469" i="13"/>
  <c r="B340" i="13"/>
  <c r="B488" i="15"/>
  <c r="B489" i="14"/>
  <c r="D341" i="13"/>
  <c r="D470" i="13"/>
  <c r="R1488" i="5"/>
  <c r="B465" i="15"/>
  <c r="B466" i="14"/>
  <c r="C1518" i="5"/>
  <c r="E536" i="15"/>
  <c r="G536" i="15" s="1"/>
  <c r="O1531" i="5"/>
  <c r="R1531" i="5" s="1"/>
  <c r="E537" i="15"/>
  <c r="G537" i="15" s="1"/>
  <c r="A753" i="10"/>
  <c r="B546" i="13"/>
  <c r="K1534" i="5"/>
  <c r="E540" i="15"/>
  <c r="G540" i="15" s="1"/>
  <c r="A755" i="10"/>
  <c r="B548" i="13"/>
  <c r="K1536" i="5"/>
  <c r="E542" i="15"/>
  <c r="G542" i="15" s="1"/>
  <c r="A757" i="10"/>
  <c r="B550" i="13"/>
  <c r="K1538" i="5"/>
  <c r="E544" i="15"/>
  <c r="G544" i="15" s="1"/>
  <c r="E545" i="15"/>
  <c r="G545" i="15" s="1"/>
  <c r="E546" i="15"/>
  <c r="G546" i="15" s="1"/>
  <c r="E587" i="15"/>
  <c r="G587" i="15" s="1"/>
  <c r="B588" i="15"/>
  <c r="B589" i="14"/>
  <c r="B548" i="15"/>
  <c r="B549" i="14"/>
  <c r="B589" i="15"/>
  <c r="B590" i="14"/>
  <c r="B549" i="15"/>
  <c r="B550" i="14"/>
  <c r="B590" i="15"/>
  <c r="B591" i="14"/>
  <c r="B550" i="15"/>
  <c r="B551" i="14"/>
  <c r="B591" i="15"/>
  <c r="B592" i="14"/>
  <c r="A758" i="10"/>
  <c r="A796" i="10" s="1"/>
  <c r="A834" i="10" s="1"/>
  <c r="B558" i="13"/>
  <c r="F1546" i="5"/>
  <c r="F1622" i="5" s="1"/>
  <c r="F1700" i="5" s="1"/>
  <c r="E592" i="15"/>
  <c r="G592" i="15" s="1"/>
  <c r="D1547" i="5"/>
  <c r="C759" i="10" s="1"/>
  <c r="C797" i="10" s="1"/>
  <c r="C835" i="10" s="1"/>
  <c r="E552" i="15"/>
  <c r="G552" i="15" s="1"/>
  <c r="G559" i="13"/>
  <c r="B593" i="15"/>
  <c r="B594" i="14"/>
  <c r="A760" i="10"/>
  <c r="A798" i="10" s="1"/>
  <c r="A836" i="10" s="1"/>
  <c r="B560" i="13"/>
  <c r="F1548" i="5"/>
  <c r="F1624" i="5" s="1"/>
  <c r="F1702" i="5" s="1"/>
  <c r="E594" i="15"/>
  <c r="G594" i="15" s="1"/>
  <c r="D1549" i="5"/>
  <c r="C761" i="10" s="1"/>
  <c r="C799" i="10" s="1"/>
  <c r="C837" i="10" s="1"/>
  <c r="E554" i="15"/>
  <c r="G554" i="15" s="1"/>
  <c r="G561" i="13"/>
  <c r="B595" i="15"/>
  <c r="B596" i="14"/>
  <c r="A762" i="10"/>
  <c r="A800" i="10" s="1"/>
  <c r="A838" i="10" s="1"/>
  <c r="B562" i="13"/>
  <c r="F1550" i="5"/>
  <c r="F1626" i="5" s="1"/>
  <c r="F1704" i="5" s="1"/>
  <c r="E596" i="15"/>
  <c r="G596" i="15" s="1"/>
  <c r="D1551" i="5"/>
  <c r="C763" i="10" s="1"/>
  <c r="C801" i="10" s="1"/>
  <c r="C839" i="10" s="1"/>
  <c r="E556" i="15"/>
  <c r="G556" i="15" s="1"/>
  <c r="G563" i="13"/>
  <c r="B597" i="15"/>
  <c r="B598" i="14"/>
  <c r="A764" i="10"/>
  <c r="A802" i="10" s="1"/>
  <c r="A840" i="10" s="1"/>
  <c r="B564" i="13"/>
  <c r="F1552" i="5"/>
  <c r="F1628" i="5" s="1"/>
  <c r="F1706" i="5" s="1"/>
  <c r="D1553" i="5"/>
  <c r="C765" i="10" s="1"/>
  <c r="C803" i="10" s="1"/>
  <c r="C841" i="10" s="1"/>
  <c r="E558" i="15"/>
  <c r="G558" i="15" s="1"/>
  <c r="G565" i="13"/>
  <c r="A766" i="10"/>
  <c r="A804" i="10" s="1"/>
  <c r="A842" i="10" s="1"/>
  <c r="B566" i="13"/>
  <c r="F1554" i="5"/>
  <c r="F1630" i="5" s="1"/>
  <c r="F1708" i="5" s="1"/>
  <c r="D1555" i="5"/>
  <c r="C767" i="10" s="1"/>
  <c r="C805" i="10" s="1"/>
  <c r="C843" i="10" s="1"/>
  <c r="E560" i="15"/>
  <c r="G560" i="15" s="1"/>
  <c r="A768" i="10"/>
  <c r="A806" i="10" s="1"/>
  <c r="A844" i="10" s="1"/>
  <c r="B568" i="13"/>
  <c r="F1556" i="5"/>
  <c r="F1632" i="5" s="1"/>
  <c r="F1710" i="5" s="1"/>
  <c r="D1557" i="5"/>
  <c r="C769" i="10" s="1"/>
  <c r="C807" i="10" s="1"/>
  <c r="C845" i="10" s="1"/>
  <c r="E562" i="15"/>
  <c r="G562" i="15" s="1"/>
  <c r="G569" i="13"/>
  <c r="A770" i="10"/>
  <c r="A808" i="10" s="1"/>
  <c r="A846" i="10" s="1"/>
  <c r="B570" i="13"/>
  <c r="F1558" i="5"/>
  <c r="F1634" i="5" s="1"/>
  <c r="F1712" i="5" s="1"/>
  <c r="D1559" i="5"/>
  <c r="C771" i="10" s="1"/>
  <c r="C809" i="10" s="1"/>
  <c r="C847" i="10" s="1"/>
  <c r="E564" i="15"/>
  <c r="G564" i="15" s="1"/>
  <c r="G571" i="13"/>
  <c r="A772" i="10"/>
  <c r="A810" i="10" s="1"/>
  <c r="A848" i="10" s="1"/>
  <c r="B572" i="13"/>
  <c r="F1560" i="5"/>
  <c r="F1636" i="5" s="1"/>
  <c r="F1714" i="5" s="1"/>
  <c r="D1561" i="5"/>
  <c r="C773" i="10" s="1"/>
  <c r="C811" i="10" s="1"/>
  <c r="C849" i="10" s="1"/>
  <c r="E566" i="15"/>
  <c r="G566" i="15" s="1"/>
  <c r="G573" i="13"/>
  <c r="A774" i="10"/>
  <c r="A812" i="10" s="1"/>
  <c r="A850" i="10" s="1"/>
  <c r="B574" i="13"/>
  <c r="F1562" i="5"/>
  <c r="F1638" i="5" s="1"/>
  <c r="F1716" i="5" s="1"/>
  <c r="D1563" i="5"/>
  <c r="C775" i="10" s="1"/>
  <c r="C813" i="10" s="1"/>
  <c r="C851" i="10" s="1"/>
  <c r="E568" i="15"/>
  <c r="G568" i="15" s="1"/>
  <c r="A776" i="10"/>
  <c r="A814" i="10" s="1"/>
  <c r="A852" i="10" s="1"/>
  <c r="B576" i="13"/>
  <c r="F1564" i="5"/>
  <c r="F1640" i="5" s="1"/>
  <c r="F1718" i="5" s="1"/>
  <c r="D1565" i="5"/>
  <c r="C777" i="10" s="1"/>
  <c r="C815" i="10" s="1"/>
  <c r="C853" i="10" s="1"/>
  <c r="E570" i="15"/>
  <c r="G570" i="15" s="1"/>
  <c r="G577" i="13"/>
  <c r="A778" i="10"/>
  <c r="A816" i="10" s="1"/>
  <c r="A854" i="10" s="1"/>
  <c r="B578" i="13"/>
  <c r="F1566" i="5"/>
  <c r="F1642" i="5" s="1"/>
  <c r="F1720" i="5" s="1"/>
  <c r="D1567" i="5"/>
  <c r="C779" i="10" s="1"/>
  <c r="C817" i="10" s="1"/>
  <c r="C855" i="10" s="1"/>
  <c r="E572" i="15"/>
  <c r="G572" i="15" s="1"/>
  <c r="G579" i="13"/>
  <c r="A780" i="10"/>
  <c r="A818" i="10" s="1"/>
  <c r="A856" i="10" s="1"/>
  <c r="B580" i="13"/>
  <c r="F1568" i="5"/>
  <c r="F1644" i="5" s="1"/>
  <c r="F1722" i="5" s="1"/>
  <c r="D1569" i="5"/>
  <c r="C781" i="10" s="1"/>
  <c r="C819" i="10" s="1"/>
  <c r="C857" i="10" s="1"/>
  <c r="E574" i="15"/>
  <c r="G574" i="15" s="1"/>
  <c r="G581" i="13"/>
  <c r="A782" i="10"/>
  <c r="A820" i="10" s="1"/>
  <c r="A858" i="10" s="1"/>
  <c r="B582" i="13"/>
  <c r="F1570" i="5"/>
  <c r="F1646" i="5" s="1"/>
  <c r="F1724" i="5" s="1"/>
  <c r="D1571" i="5"/>
  <c r="C783" i="10" s="1"/>
  <c r="C821" i="10" s="1"/>
  <c r="C859" i="10" s="1"/>
  <c r="E576" i="15"/>
  <c r="G576" i="15" s="1"/>
  <c r="A784" i="10"/>
  <c r="A822" i="10" s="1"/>
  <c r="A860" i="10" s="1"/>
  <c r="B584" i="13"/>
  <c r="F1572" i="5"/>
  <c r="F1648" i="5" s="1"/>
  <c r="F1726" i="5" s="1"/>
  <c r="E578" i="15"/>
  <c r="G578" i="15" s="1"/>
  <c r="D2363" i="15"/>
  <c r="K2370" i="13"/>
  <c r="D2364" i="15"/>
  <c r="K2371" i="13"/>
  <c r="C1579" i="5"/>
  <c r="E601" i="15"/>
  <c r="G601" i="15" s="1"/>
  <c r="E647" i="15"/>
  <c r="G647" i="15" s="1"/>
  <c r="B795" i="10"/>
  <c r="C610" i="13"/>
  <c r="B649" i="15"/>
  <c r="B650" i="14"/>
  <c r="B604" i="15"/>
  <c r="B605" i="14"/>
  <c r="I1616" i="5"/>
  <c r="E612" i="13" s="1"/>
  <c r="E651" i="15"/>
  <c r="G651" i="15" s="1"/>
  <c r="C607" i="15"/>
  <c r="C608" i="14"/>
  <c r="C608" i="15"/>
  <c r="C609" i="14"/>
  <c r="B654" i="15"/>
  <c r="B655" i="14"/>
  <c r="A1620" i="5"/>
  <c r="B616" i="13" s="1"/>
  <c r="E610" i="15"/>
  <c r="G610" i="15" s="1"/>
  <c r="E656" i="15"/>
  <c r="G656" i="15" s="1"/>
  <c r="D611" i="15"/>
  <c r="D612" i="14"/>
  <c r="K618" i="13"/>
  <c r="C612" i="15"/>
  <c r="C613" i="14"/>
  <c r="A1624" i="5"/>
  <c r="D1625" i="5"/>
  <c r="I1625" i="5"/>
  <c r="D615" i="15"/>
  <c r="D616" i="14"/>
  <c r="K622" i="13"/>
  <c r="C616" i="15"/>
  <c r="C617" i="14"/>
  <c r="A1628" i="5"/>
  <c r="D1629" i="5"/>
  <c r="I1629" i="5"/>
  <c r="D619" i="15"/>
  <c r="D620" i="14"/>
  <c r="K626" i="13"/>
  <c r="C620" i="15"/>
  <c r="C621" i="14"/>
  <c r="A1632" i="5"/>
  <c r="D1633" i="5"/>
  <c r="I1633" i="5"/>
  <c r="D623" i="15"/>
  <c r="D624" i="14"/>
  <c r="K630" i="13"/>
  <c r="C624" i="15"/>
  <c r="C625" i="14"/>
  <c r="A1636" i="5"/>
  <c r="I1637" i="5"/>
  <c r="D627" i="15"/>
  <c r="D628" i="14"/>
  <c r="K634" i="13"/>
  <c r="C628" i="15"/>
  <c r="C629" i="14"/>
  <c r="A1640" i="5"/>
  <c r="I1641" i="5"/>
  <c r="D631" i="15"/>
  <c r="D632" i="14"/>
  <c r="K638" i="13"/>
  <c r="C632" i="15"/>
  <c r="C633" i="14"/>
  <c r="A1644" i="5"/>
  <c r="I1645" i="5"/>
  <c r="D635" i="15"/>
  <c r="D636" i="14"/>
  <c r="K642" i="13"/>
  <c r="C636" i="15"/>
  <c r="C637" i="14"/>
  <c r="A1648" i="5"/>
  <c r="I1649" i="5"/>
  <c r="C640" i="15"/>
  <c r="C641" i="14"/>
  <c r="B641" i="15"/>
  <c r="B642" i="14"/>
  <c r="C1654" i="5"/>
  <c r="C642" i="15"/>
  <c r="C643" i="14"/>
  <c r="B643" i="15"/>
  <c r="B644" i="14"/>
  <c r="D2445" i="15"/>
  <c r="K2453" i="13"/>
  <c r="C1684" i="5"/>
  <c r="E661" i="15"/>
  <c r="G661" i="15" s="1"/>
  <c r="E703" i="15"/>
  <c r="G703" i="15" s="1"/>
  <c r="E662" i="15"/>
  <c r="G662" i="15" s="1"/>
  <c r="E704" i="15"/>
  <c r="G704" i="15" s="1"/>
  <c r="C664" i="15"/>
  <c r="C665" i="14"/>
  <c r="B706" i="15"/>
  <c r="B707" i="14"/>
  <c r="E708" i="15"/>
  <c r="G708" i="15" s="1"/>
  <c r="C668" i="15"/>
  <c r="C669" i="14"/>
  <c r="C672" i="15"/>
  <c r="C673" i="14"/>
  <c r="C676" i="15"/>
  <c r="C677" i="14"/>
  <c r="C680" i="15"/>
  <c r="C681" i="14"/>
  <c r="C684" i="15"/>
  <c r="C685" i="14"/>
  <c r="C688" i="15"/>
  <c r="C689" i="14"/>
  <c r="C692" i="15"/>
  <c r="C693" i="14"/>
  <c r="D2369" i="15"/>
  <c r="K2376" i="13"/>
  <c r="I1774" i="5"/>
  <c r="G1774" i="5" s="1"/>
  <c r="I1776" i="5"/>
  <c r="B713" i="15"/>
  <c r="B714" i="14"/>
  <c r="E739" i="15"/>
  <c r="G739" i="15" s="1"/>
  <c r="E715" i="15"/>
  <c r="G715" i="15" s="1"/>
  <c r="E747" i="13"/>
  <c r="K1987" i="5"/>
  <c r="E784" i="13" s="1"/>
  <c r="K1941" i="5"/>
  <c r="E821" i="13" s="1"/>
  <c r="E716" i="15"/>
  <c r="G716" i="15" s="1"/>
  <c r="E741" i="15"/>
  <c r="G741" i="15" s="1"/>
  <c r="E717" i="15"/>
  <c r="G717" i="15" s="1"/>
  <c r="E742" i="15"/>
  <c r="G742" i="15" s="1"/>
  <c r="E718" i="15"/>
  <c r="G718" i="15" s="1"/>
  <c r="E743" i="15"/>
  <c r="G743" i="15" s="1"/>
  <c r="E719" i="15"/>
  <c r="G719" i="15" s="1"/>
  <c r="E744" i="15"/>
  <c r="G744" i="15" s="1"/>
  <c r="G751" i="13"/>
  <c r="E720" i="15"/>
  <c r="G720" i="15" s="1"/>
  <c r="E745" i="15"/>
  <c r="G745" i="15" s="1"/>
  <c r="E721" i="15"/>
  <c r="G721" i="15" s="1"/>
  <c r="E746" i="15"/>
  <c r="G746" i="15" s="1"/>
  <c r="E722" i="15"/>
  <c r="G722" i="15" s="1"/>
  <c r="E731" i="13"/>
  <c r="D1841" i="5"/>
  <c r="E725" i="15"/>
  <c r="G725" i="15" s="1"/>
  <c r="E733" i="13"/>
  <c r="D2201" i="5"/>
  <c r="E1319" i="13" s="1"/>
  <c r="E727" i="15"/>
  <c r="G727" i="15" s="1"/>
  <c r="E735" i="13"/>
  <c r="D1845" i="5"/>
  <c r="E729" i="15"/>
  <c r="G729" i="15" s="1"/>
  <c r="E730" i="15"/>
  <c r="G730" i="15" s="1"/>
  <c r="E731" i="15"/>
  <c r="G731" i="15" s="1"/>
  <c r="D732" i="15"/>
  <c r="D733" i="14"/>
  <c r="K739" i="13"/>
  <c r="C733" i="15"/>
  <c r="C734" i="14"/>
  <c r="B734" i="15"/>
  <c r="B735" i="14"/>
  <c r="E735" i="15"/>
  <c r="G735" i="15" s="1"/>
  <c r="G742" i="13"/>
  <c r="E2489" i="13"/>
  <c r="E2481" i="15" s="1"/>
  <c r="G2481" i="15" s="1"/>
  <c r="D1853" i="5"/>
  <c r="E1853" i="5" s="1"/>
  <c r="E2379" i="13"/>
  <c r="E2372" i="15" s="1"/>
  <c r="G2372" i="15" s="1"/>
  <c r="D1857" i="5"/>
  <c r="A1830" i="5"/>
  <c r="E850" i="15"/>
  <c r="G850" i="15" s="1"/>
  <c r="C1832" i="5"/>
  <c r="D1833" i="5"/>
  <c r="K1833" i="5"/>
  <c r="D853" i="15"/>
  <c r="D854" i="14"/>
  <c r="C836" i="13"/>
  <c r="B1883" i="5"/>
  <c r="C873" i="13" s="1"/>
  <c r="B854" i="15"/>
  <c r="B855" i="14"/>
  <c r="B837" i="13"/>
  <c r="A1884" i="5"/>
  <c r="B874" i="13" s="1"/>
  <c r="K1836" i="5"/>
  <c r="E862" i="13" s="1"/>
  <c r="D1837" i="5"/>
  <c r="B832" i="15"/>
  <c r="B833" i="14"/>
  <c r="B864" i="13"/>
  <c r="G1888" i="5"/>
  <c r="B833" i="15"/>
  <c r="B834" i="14"/>
  <c r="B842" i="13"/>
  <c r="A1889" i="5"/>
  <c r="B836" i="15"/>
  <c r="B837" i="14"/>
  <c r="B837" i="15"/>
  <c r="B838" i="14"/>
  <c r="B846" i="13"/>
  <c r="A1893" i="5"/>
  <c r="B840" i="15"/>
  <c r="B841" i="14"/>
  <c r="B841" i="15"/>
  <c r="B842" i="14"/>
  <c r="B850" i="13"/>
  <c r="A1897" i="5"/>
  <c r="B844" i="15"/>
  <c r="B845" i="14"/>
  <c r="A1851" i="5"/>
  <c r="C853" i="13"/>
  <c r="B1900" i="5"/>
  <c r="C862" i="15"/>
  <c r="C863" i="14"/>
  <c r="B866" i="15"/>
  <c r="B867" i="14"/>
  <c r="A1886" i="5"/>
  <c r="B893" i="15"/>
  <c r="B894" i="14"/>
  <c r="A1890" i="5"/>
  <c r="A1891" i="5"/>
  <c r="C883" i="13"/>
  <c r="B1954" i="5"/>
  <c r="C877" i="15"/>
  <c r="C878" i="14"/>
  <c r="C878" i="15"/>
  <c r="C879" i="14"/>
  <c r="D1901" i="5"/>
  <c r="E2493" i="13" s="1"/>
  <c r="E2485" i="15" s="1"/>
  <c r="G2485" i="15" s="1"/>
  <c r="B796" i="13"/>
  <c r="A1987" i="5"/>
  <c r="D1927" i="5"/>
  <c r="B790" i="15"/>
  <c r="B791" i="14"/>
  <c r="D1962" i="5"/>
  <c r="E2491" i="13" s="1"/>
  <c r="E2483" i="15" s="1"/>
  <c r="G2483" i="15" s="1"/>
  <c r="E750" i="15"/>
  <c r="G750" i="15" s="1"/>
  <c r="E775" i="15"/>
  <c r="G775" i="15" s="1"/>
  <c r="C752" i="15"/>
  <c r="C753" i="14"/>
  <c r="A1988" i="5"/>
  <c r="E756" i="15"/>
  <c r="G756" i="15" s="1"/>
  <c r="K1991" i="5"/>
  <c r="E788" i="13" s="1"/>
  <c r="G1992" i="5"/>
  <c r="B789" i="13" s="1"/>
  <c r="D2482" i="15"/>
  <c r="K2490" i="13"/>
  <c r="H2490" i="13"/>
  <c r="E1245" i="15"/>
  <c r="G1245" i="15" s="1"/>
  <c r="B1275" i="15"/>
  <c r="B1276" i="14"/>
  <c r="B1255" i="13"/>
  <c r="D2046" i="5"/>
  <c r="E1255" i="13" s="1"/>
  <c r="B1259" i="13"/>
  <c r="D2050" i="5"/>
  <c r="E1259" i="13" s="1"/>
  <c r="K1260" i="13"/>
  <c r="C1254" i="15"/>
  <c r="C1255" i="14"/>
  <c r="B1255" i="15"/>
  <c r="B1256" i="14"/>
  <c r="E1256" i="15"/>
  <c r="G1256" i="15" s="1"/>
  <c r="G1263" i="13"/>
  <c r="E1258" i="15"/>
  <c r="G1258" i="15" s="1"/>
  <c r="G1265" i="13"/>
  <c r="D1259" i="15"/>
  <c r="D1260" i="14"/>
  <c r="K1266" i="13"/>
  <c r="C1260" i="15"/>
  <c r="C1261" i="14"/>
  <c r="C1261" i="15"/>
  <c r="C1262" i="14"/>
  <c r="C1262" i="15"/>
  <c r="C1263" i="14"/>
  <c r="B1263" i="15"/>
  <c r="B1264" i="14"/>
  <c r="B1264" i="15"/>
  <c r="B1265" i="14"/>
  <c r="B1266" i="15"/>
  <c r="B1267" i="14"/>
  <c r="E1267" i="15"/>
  <c r="G1267" i="15" s="1"/>
  <c r="B1268" i="15"/>
  <c r="B1269" i="14"/>
  <c r="E1269" i="15"/>
  <c r="G1269" i="15" s="1"/>
  <c r="G2106" i="5"/>
  <c r="I2118" i="5" s="1"/>
  <c r="B1855" i="15"/>
  <c r="B1856" i="14"/>
  <c r="B1820" i="13"/>
  <c r="D2139" i="5"/>
  <c r="E1820" i="13" s="1"/>
  <c r="E1821" i="13"/>
  <c r="D2283" i="5"/>
  <c r="E1881" i="13" s="1"/>
  <c r="E1815" i="15"/>
  <c r="G1815" i="15" s="1"/>
  <c r="B1867" i="13"/>
  <c r="G2285" i="5"/>
  <c r="B1922" i="13" s="1"/>
  <c r="E1818" i="15"/>
  <c r="G1818" i="15" s="1"/>
  <c r="B1869" i="13"/>
  <c r="G2287" i="5"/>
  <c r="B1924" i="13" s="1"/>
  <c r="C1827" i="13"/>
  <c r="B2289" i="5"/>
  <c r="C1887" i="13" s="1"/>
  <c r="E1828" i="13"/>
  <c r="D2290" i="5"/>
  <c r="E1888" i="13" s="1"/>
  <c r="E1822" i="15"/>
  <c r="G1822" i="15" s="1"/>
  <c r="C1824" i="15"/>
  <c r="C1825" i="14"/>
  <c r="C1825" i="15"/>
  <c r="C1826" i="14"/>
  <c r="E1828" i="15"/>
  <c r="G1828" i="15" s="1"/>
  <c r="E1832" i="15"/>
  <c r="G1832" i="15" s="1"/>
  <c r="E1836" i="15"/>
  <c r="G1836" i="15" s="1"/>
  <c r="E1840" i="15"/>
  <c r="G1840" i="15" s="1"/>
  <c r="G1847" i="13"/>
  <c r="D1850" i="13"/>
  <c r="E2169" i="5"/>
  <c r="E1844" i="15"/>
  <c r="G1844" i="15" s="1"/>
  <c r="E1848" i="15"/>
  <c r="G1848" i="15" s="1"/>
  <c r="B1321" i="15"/>
  <c r="B1322" i="14"/>
  <c r="A2199" i="5"/>
  <c r="B1317" i="13" s="1"/>
  <c r="D1319" i="13"/>
  <c r="D1330" i="13"/>
  <c r="K2203" i="5"/>
  <c r="B1324" i="15"/>
  <c r="B1325" i="14"/>
  <c r="B1323" i="13"/>
  <c r="D2206" i="5"/>
  <c r="E1323" i="13" s="1"/>
  <c r="B1324" i="13"/>
  <c r="D2207" i="5"/>
  <c r="E1324" i="13" s="1"/>
  <c r="B2431" i="13"/>
  <c r="B2423" i="15" s="1"/>
  <c r="D2210" i="5"/>
  <c r="K2239" i="5"/>
  <c r="L2239" i="5" s="1"/>
  <c r="C2273" i="5"/>
  <c r="C2256" i="5"/>
  <c r="C2258" i="5"/>
  <c r="E2259" i="5"/>
  <c r="C2270" i="5"/>
  <c r="C2272" i="5" s="1"/>
  <c r="E1870" i="15"/>
  <c r="G1870" i="15" s="1"/>
  <c r="B1879" i="13"/>
  <c r="D2281" i="5"/>
  <c r="E1879" i="13" s="1"/>
  <c r="E1911" i="15"/>
  <c r="G1911" i="15" s="1"/>
  <c r="B1874" i="15"/>
  <c r="B1875" i="14"/>
  <c r="G2284" i="5"/>
  <c r="B1921" i="13" s="1"/>
  <c r="L2286" i="5"/>
  <c r="E1923" i="13" s="1"/>
  <c r="B1879" i="15"/>
  <c r="B1880" i="14"/>
  <c r="E1880" i="15"/>
  <c r="G1880" i="15" s="1"/>
  <c r="C1881" i="15"/>
  <c r="C1882" i="14"/>
  <c r="L2290" i="5"/>
  <c r="E1927" i="13" s="1"/>
  <c r="E1921" i="15"/>
  <c r="G1921" i="15" s="1"/>
  <c r="B2293" i="5"/>
  <c r="C1891" i="13" s="1"/>
  <c r="A2298" i="5"/>
  <c r="B1896" i="13" s="1"/>
  <c r="D2299" i="5"/>
  <c r="E1897" i="13" s="1"/>
  <c r="B2301" i="5"/>
  <c r="C1899" i="13" s="1"/>
  <c r="B1897" i="15"/>
  <c r="B1898" i="14"/>
  <c r="B1898" i="15"/>
  <c r="B1899" i="14"/>
  <c r="D1907" i="13"/>
  <c r="E2309" i="5"/>
  <c r="B1902" i="15"/>
  <c r="B1903" i="14"/>
  <c r="C1904" i="15"/>
  <c r="C1905" i="14"/>
  <c r="D2434" i="13"/>
  <c r="E2316" i="5"/>
  <c r="D2477" i="13"/>
  <c r="E2317" i="5"/>
  <c r="E1286" i="15"/>
  <c r="G1286" i="15" s="1"/>
  <c r="E1290" i="15"/>
  <c r="G1290" i="15" s="1"/>
  <c r="B1300" i="13"/>
  <c r="D2329" i="5"/>
  <c r="B1294" i="15"/>
  <c r="B1295" i="14"/>
  <c r="E1295" i="15"/>
  <c r="G1295" i="15" s="1"/>
  <c r="G1302" i="13"/>
  <c r="D2334" i="5"/>
  <c r="D1306" i="13"/>
  <c r="G1306" i="13" s="1"/>
  <c r="D1307" i="13"/>
  <c r="G19" i="6"/>
  <c r="E103" i="6"/>
  <c r="K343" i="6"/>
  <c r="C345" i="6"/>
  <c r="F345" i="6" s="1"/>
  <c r="K347" i="6"/>
  <c r="C349" i="6"/>
  <c r="F349" i="6" s="1"/>
  <c r="K351" i="6"/>
  <c r="C353" i="6"/>
  <c r="F353" i="6" s="1"/>
  <c r="K355" i="6"/>
  <c r="C357" i="6"/>
  <c r="F357" i="6" s="1"/>
  <c r="E1958" i="15"/>
  <c r="G1958" i="15" s="1"/>
  <c r="E1959" i="15"/>
  <c r="G1959" i="15" s="1"/>
  <c r="B2423" i="13"/>
  <c r="B2415" i="15" s="1"/>
  <c r="D413" i="6"/>
  <c r="E414" i="6"/>
  <c r="E2065" i="15"/>
  <c r="G2065" i="15" s="1"/>
  <c r="E2066" i="15"/>
  <c r="G2066" i="15" s="1"/>
  <c r="B2029" i="13"/>
  <c r="D513" i="6"/>
  <c r="E2029" i="13" s="1"/>
  <c r="E2026" i="15"/>
  <c r="G2026" i="15" s="1"/>
  <c r="E2035" i="13"/>
  <c r="D536" i="6"/>
  <c r="E2051" i="13" s="1"/>
  <c r="B2030" i="15"/>
  <c r="B2031" i="14"/>
  <c r="E2034" i="15"/>
  <c r="G2034" i="15" s="1"/>
  <c r="E2035" i="15"/>
  <c r="G2035" i="15" s="1"/>
  <c r="B2043" i="13"/>
  <c r="D528" i="6"/>
  <c r="E2043" i="13" s="1"/>
  <c r="B2044" i="13"/>
  <c r="D529" i="6"/>
  <c r="E2044" i="13" s="1"/>
  <c r="E2043" i="15"/>
  <c r="G2043" i="15" s="1"/>
  <c r="D539" i="6"/>
  <c r="E2054" i="13" s="1"/>
  <c r="D540" i="6"/>
  <c r="E2055" i="13" s="1"/>
  <c r="E2051" i="15"/>
  <c r="G2051" i="15" s="1"/>
  <c r="D544" i="6"/>
  <c r="E2058" i="15"/>
  <c r="G2058" i="15" s="1"/>
  <c r="D2428" i="13"/>
  <c r="E555" i="6"/>
  <c r="J661" i="6"/>
  <c r="E2187" i="15"/>
  <c r="G2187" i="15" s="1"/>
  <c r="E2189" i="15"/>
  <c r="G2189" i="15" s="1"/>
  <c r="E2191" i="15"/>
  <c r="G2191" i="15" s="1"/>
  <c r="E2193" i="15"/>
  <c r="G2193" i="15" s="1"/>
  <c r="E2129" i="15"/>
  <c r="G2129" i="15" s="1"/>
  <c r="E2131" i="15"/>
  <c r="G2131" i="15" s="1"/>
  <c r="E2133" i="15"/>
  <c r="G2133" i="15" s="1"/>
  <c r="E2135" i="15"/>
  <c r="G2135" i="15" s="1"/>
  <c r="E2136" i="15"/>
  <c r="G2136" i="15" s="1"/>
  <c r="E2138" i="15"/>
  <c r="G2138" i="15" s="1"/>
  <c r="E2140" i="15"/>
  <c r="G2140" i="15" s="1"/>
  <c r="C686" i="6"/>
  <c r="E2155" i="15"/>
  <c r="G2155" i="15" s="1"/>
  <c r="E2159" i="15"/>
  <c r="G2159" i="15" s="1"/>
  <c r="E2163" i="15"/>
  <c r="G2163" i="15" s="1"/>
  <c r="E2166" i="15"/>
  <c r="G2166" i="15" s="1"/>
  <c r="E2170" i="15"/>
  <c r="G2170" i="15" s="1"/>
  <c r="D2429" i="13"/>
  <c r="E704" i="6"/>
  <c r="B2011" i="13"/>
  <c r="B2017" i="13"/>
  <c r="C714" i="6"/>
  <c r="D714" i="6"/>
  <c r="E2011" i="15"/>
  <c r="G2011" i="15" s="1"/>
  <c r="G2018" i="13"/>
  <c r="D2013" i="13"/>
  <c r="D741" i="6"/>
  <c r="D752" i="6" s="1"/>
  <c r="D1989" i="13" s="1"/>
  <c r="D1984" i="15"/>
  <c r="D1985" i="14"/>
  <c r="K1991" i="13"/>
  <c r="D2437" i="13"/>
  <c r="H1991" i="13"/>
  <c r="H1984" i="15" s="1"/>
  <c r="E1206" i="13"/>
  <c r="K57" i="7"/>
  <c r="E1219" i="13" s="1"/>
  <c r="K70" i="7"/>
  <c r="E1231" i="13" s="1"/>
  <c r="B1202" i="15"/>
  <c r="B1203" i="14"/>
  <c r="E1214" i="13"/>
  <c r="K78" i="7"/>
  <c r="E1238" i="13" s="1"/>
  <c r="K65" i="7"/>
  <c r="E1226" i="13" s="1"/>
  <c r="E914" i="15"/>
  <c r="G914" i="15" s="1"/>
  <c r="E917" i="15"/>
  <c r="G917" i="15" s="1"/>
  <c r="E1217" i="15"/>
  <c r="G1217" i="15" s="1"/>
  <c r="B1218" i="15"/>
  <c r="B1219" i="14"/>
  <c r="B928" i="13"/>
  <c r="A124" i="7"/>
  <c r="B985" i="13" s="1"/>
  <c r="E1222" i="15"/>
  <c r="G1222" i="15" s="1"/>
  <c r="G1229" i="13"/>
  <c r="E925" i="15"/>
  <c r="G925" i="15" s="1"/>
  <c r="B1226" i="15"/>
  <c r="B1227" i="14"/>
  <c r="B1227" i="15"/>
  <c r="B1228" i="14"/>
  <c r="E937" i="13"/>
  <c r="E194" i="7"/>
  <c r="E1053" i="13" s="1"/>
  <c r="E931" i="15"/>
  <c r="G931" i="15" s="1"/>
  <c r="B960" i="13"/>
  <c r="C97" i="7"/>
  <c r="E1037" i="15"/>
  <c r="G1037" i="15" s="1"/>
  <c r="E955" i="15"/>
  <c r="G955" i="15" s="1"/>
  <c r="E113" i="7"/>
  <c r="E974" i="13" s="1"/>
  <c r="E971" i="15"/>
  <c r="G971" i="15" s="1"/>
  <c r="E975" i="15"/>
  <c r="G975" i="15" s="1"/>
  <c r="E978" i="15"/>
  <c r="G978" i="15" s="1"/>
  <c r="E980" i="15"/>
  <c r="G980" i="15" s="1"/>
  <c r="E133" i="7"/>
  <c r="E994" i="13" s="1"/>
  <c r="E990" i="15"/>
  <c r="G990" i="15" s="1"/>
  <c r="E993" i="15"/>
  <c r="G993" i="15" s="1"/>
  <c r="E996" i="15"/>
  <c r="G996" i="15" s="1"/>
  <c r="E1000" i="15"/>
  <c r="G1000" i="15" s="1"/>
  <c r="E1004" i="15"/>
  <c r="G1004" i="15" s="1"/>
  <c r="E1008" i="15"/>
  <c r="G1008" i="15" s="1"/>
  <c r="E1009" i="15"/>
  <c r="G1009" i="15" s="1"/>
  <c r="D1019" i="13"/>
  <c r="H1019" i="13" s="1"/>
  <c r="F160" i="7"/>
  <c r="D1015" i="15"/>
  <c r="D1016" i="14"/>
  <c r="G1022" i="13"/>
  <c r="K1022" i="13"/>
  <c r="D1024" i="13"/>
  <c r="F165" i="7"/>
  <c r="D1019" i="15"/>
  <c r="D1020" i="14"/>
  <c r="G1026" i="13"/>
  <c r="K1026" i="13"/>
  <c r="H1026" i="13"/>
  <c r="D1028" i="13"/>
  <c r="F169" i="7"/>
  <c r="B1024" i="15"/>
  <c r="B1025" i="14"/>
  <c r="B1026" i="15"/>
  <c r="B1027" i="14"/>
  <c r="F187" i="7"/>
  <c r="F188" i="7"/>
  <c r="E1041" i="15"/>
  <c r="G1041" i="15" s="1"/>
  <c r="D192" i="7"/>
  <c r="B1066" i="15"/>
  <c r="B1067" i="14"/>
  <c r="K223" i="7"/>
  <c r="E1244" i="13" s="1"/>
  <c r="C240" i="7"/>
  <c r="C259" i="7" s="1"/>
  <c r="D259" i="7" s="1"/>
  <c r="B1091" i="13"/>
  <c r="A286" i="7"/>
  <c r="E244" i="7"/>
  <c r="E245" i="7"/>
  <c r="E1086" i="15"/>
  <c r="G1086" i="15" s="1"/>
  <c r="B1095" i="13"/>
  <c r="C248" i="7"/>
  <c r="C267" i="7" s="1"/>
  <c r="D267" i="7" s="1"/>
  <c r="E248" i="7"/>
  <c r="B1103" i="13"/>
  <c r="C256" i="7"/>
  <c r="C275" i="7" s="1"/>
  <c r="D275" i="7" s="1"/>
  <c r="A298" i="7"/>
  <c r="E256" i="7"/>
  <c r="D262" i="7"/>
  <c r="B1115" i="13"/>
  <c r="A310" i="7"/>
  <c r="E1116" i="13"/>
  <c r="E311" i="7"/>
  <c r="C1125" i="13"/>
  <c r="B323" i="7"/>
  <c r="C1164" i="13" s="1"/>
  <c r="C1127" i="13"/>
  <c r="B325" i="7"/>
  <c r="C1166" i="13" s="1"/>
  <c r="C1142" i="13"/>
  <c r="B340" i="7"/>
  <c r="C1181" i="13" s="1"/>
  <c r="C1144" i="13"/>
  <c r="B342" i="7"/>
  <c r="C1183" i="13" s="1"/>
  <c r="C1150" i="13"/>
  <c r="B348" i="7"/>
  <c r="C1189" i="13" s="1"/>
  <c r="C1152" i="13"/>
  <c r="B350" i="7"/>
  <c r="C1191" i="13" s="1"/>
  <c r="D309" i="7"/>
  <c r="C1158" i="13"/>
  <c r="B356" i="7"/>
  <c r="C1197" i="13" s="1"/>
  <c r="C1160" i="13"/>
  <c r="B358" i="7"/>
  <c r="C1199" i="13" s="1"/>
  <c r="D125" i="13"/>
  <c r="E271" i="8"/>
  <c r="E129" i="15"/>
  <c r="G129" i="15" s="1"/>
  <c r="D2422" i="13"/>
  <c r="E279" i="8"/>
  <c r="D144" i="13"/>
  <c r="J295" i="8"/>
  <c r="C295" i="8"/>
  <c r="C294" i="8"/>
  <c r="C292" i="8"/>
  <c r="C163" i="15"/>
  <c r="C164" i="14"/>
  <c r="B156" i="13"/>
  <c r="G309" i="8"/>
  <c r="B174" i="13" s="1"/>
  <c r="D161" i="13"/>
  <c r="D172" i="13"/>
  <c r="D195" i="15"/>
  <c r="D196" i="14"/>
  <c r="K195" i="13"/>
  <c r="E205" i="15"/>
  <c r="G205" i="15" s="1"/>
  <c r="B189" i="13"/>
  <c r="A423" i="8"/>
  <c r="B229" i="13" s="1"/>
  <c r="B193" i="13"/>
  <c r="D360" i="8"/>
  <c r="B194" i="13"/>
  <c r="K361" i="8"/>
  <c r="E194" i="13" s="1"/>
  <c r="B195" i="13"/>
  <c r="K362" i="8"/>
  <c r="E195" i="13" s="1"/>
  <c r="G195" i="13" s="1"/>
  <c r="B212" i="15"/>
  <c r="B213" i="14"/>
  <c r="D235" i="15"/>
  <c r="D236" i="14"/>
  <c r="K235" i="13"/>
  <c r="B239" i="15"/>
  <c r="B240" i="14"/>
  <c r="J411" i="8"/>
  <c r="E243" i="15"/>
  <c r="G243" i="15" s="1"/>
  <c r="C225" i="15"/>
  <c r="C226" i="14"/>
  <c r="C229" i="15"/>
  <c r="C230" i="14"/>
  <c r="D283" i="15"/>
  <c r="D284" i="14"/>
  <c r="C500" i="8"/>
  <c r="J492" i="8"/>
  <c r="D297" i="13" s="1"/>
  <c r="B288" i="15"/>
  <c r="B289" i="14"/>
  <c r="B289" i="15"/>
  <c r="B290" i="14"/>
  <c r="D2447" i="13"/>
  <c r="E506" i="8"/>
  <c r="G549" i="8"/>
  <c r="F553" i="8"/>
  <c r="F561" i="8" s="1"/>
  <c r="J623" i="8"/>
  <c r="B17" i="15"/>
  <c r="B18" i="14"/>
  <c r="E19" i="13"/>
  <c r="D625" i="8"/>
  <c r="E48" i="13" s="1"/>
  <c r="E38" i="15"/>
  <c r="G38" i="15" s="1"/>
  <c r="B44" i="15"/>
  <c r="B45" i="14"/>
  <c r="E46" i="15"/>
  <c r="G46" i="15" s="1"/>
  <c r="E69" i="15"/>
  <c r="G69" i="15" s="1"/>
  <c r="E51" i="15"/>
  <c r="G51" i="15" s="1"/>
  <c r="E53" i="15"/>
  <c r="G53" i="15" s="1"/>
  <c r="E95" i="13"/>
  <c r="K662" i="8"/>
  <c r="E117" i="13" s="1"/>
  <c r="G27" i="9"/>
  <c r="G30" i="9" s="1"/>
  <c r="D73" i="9"/>
  <c r="C231" i="9"/>
  <c r="D226" i="9"/>
  <c r="D222" i="9"/>
  <c r="D227" i="9" s="1"/>
  <c r="E1419" i="13"/>
  <c r="E270" i="9"/>
  <c r="B1422" i="13"/>
  <c r="D273" i="9"/>
  <c r="E1422" i="13" s="1"/>
  <c r="E1424" i="13"/>
  <c r="D660" i="9"/>
  <c r="E1350" i="13" s="1"/>
  <c r="B1437" i="13"/>
  <c r="A673" i="9"/>
  <c r="B1363" i="13" s="1"/>
  <c r="C1440" i="13"/>
  <c r="B676" i="9"/>
  <c r="C1366" i="13" s="1"/>
  <c r="E1447" i="13"/>
  <c r="D683" i="9"/>
  <c r="E1373" i="13" s="1"/>
  <c r="E298" i="9"/>
  <c r="B1457" i="13"/>
  <c r="A693" i="9"/>
  <c r="B1383" i="13" s="1"/>
  <c r="D1524" i="13"/>
  <c r="G1524" i="13" s="1"/>
  <c r="E386" i="9"/>
  <c r="B1490" i="15"/>
  <c r="B1491" i="14"/>
  <c r="E1491" i="15"/>
  <c r="G1491" i="15" s="1"/>
  <c r="E1508" i="15"/>
  <c r="G1508" i="15" s="1"/>
  <c r="E2394" i="13"/>
  <c r="E2387" i="15" s="1"/>
  <c r="G2387" i="15" s="1"/>
  <c r="E393" i="9"/>
  <c r="E1555" i="15"/>
  <c r="G1555" i="15" s="1"/>
  <c r="E1559" i="15"/>
  <c r="G1559" i="15" s="1"/>
  <c r="B1563" i="15"/>
  <c r="B1564" i="14"/>
  <c r="B1564" i="15"/>
  <c r="B1565" i="14"/>
  <c r="B1565" i="15"/>
  <c r="B1566" i="14"/>
  <c r="E1567" i="15"/>
  <c r="G1567" i="15" s="1"/>
  <c r="B1570" i="15"/>
  <c r="B1571" i="14"/>
  <c r="E2395" i="13"/>
  <c r="E2388" i="15" s="1"/>
  <c r="G2388" i="15" s="1"/>
  <c r="E481" i="9"/>
  <c r="B1659" i="15"/>
  <c r="B1660" i="14"/>
  <c r="E1661" i="15"/>
  <c r="G1661" i="15" s="1"/>
  <c r="E1662" i="15"/>
  <c r="G1662" i="15" s="1"/>
  <c r="E1663" i="15"/>
  <c r="G1663" i="15" s="1"/>
  <c r="E1664" i="15"/>
  <c r="G1664" i="15" s="1"/>
  <c r="E1665" i="15"/>
  <c r="G1665" i="15" s="1"/>
  <c r="E1666" i="15"/>
  <c r="G1666" i="15" s="1"/>
  <c r="E1667" i="15"/>
  <c r="G1667" i="15" s="1"/>
  <c r="E1668" i="15"/>
  <c r="G1668" i="15" s="1"/>
  <c r="E1669" i="15"/>
  <c r="G1669" i="15" s="1"/>
  <c r="E1670" i="15"/>
  <c r="G1670" i="15" s="1"/>
  <c r="E1671" i="15"/>
  <c r="G1671" i="15" s="1"/>
  <c r="D1383" i="13"/>
  <c r="C446" i="11"/>
  <c r="K392" i="11"/>
  <c r="B1857" i="15"/>
  <c r="B1858" i="14"/>
  <c r="E1816" i="15"/>
  <c r="G1816" i="15" s="1"/>
  <c r="E1859" i="15"/>
  <c r="G1859" i="15" s="1"/>
  <c r="B1861" i="15"/>
  <c r="B1862" i="14"/>
  <c r="B1819" i="15"/>
  <c r="B1820" i="14"/>
  <c r="E1820" i="15"/>
  <c r="G1820" i="15" s="1"/>
  <c r="E1863" i="15"/>
  <c r="G1863" i="15" s="1"/>
  <c r="C1822" i="15"/>
  <c r="C1823" i="14"/>
  <c r="B1865" i="15"/>
  <c r="B1866" i="14"/>
  <c r="B1823" i="15"/>
  <c r="B1824" i="14"/>
  <c r="B1824" i="15"/>
  <c r="B1825" i="14"/>
  <c r="E1825" i="15"/>
  <c r="G1825" i="15" s="1"/>
  <c r="C1828" i="15"/>
  <c r="C1829" i="14"/>
  <c r="B1829" i="15"/>
  <c r="B1830" i="14"/>
  <c r="E1830" i="15"/>
  <c r="G1830" i="15" s="1"/>
  <c r="C1832" i="15"/>
  <c r="C1833" i="14"/>
  <c r="B1833" i="15"/>
  <c r="B1834" i="14"/>
  <c r="E1834" i="15"/>
  <c r="G1834" i="15" s="1"/>
  <c r="C1836" i="15"/>
  <c r="C1837" i="14"/>
  <c r="B1837" i="15"/>
  <c r="B1838" i="14"/>
  <c r="B1838" i="15"/>
  <c r="B1839" i="14"/>
  <c r="B1839" i="15"/>
  <c r="B1840" i="14"/>
  <c r="B1840" i="15"/>
  <c r="B1841" i="14"/>
  <c r="B1841" i="15"/>
  <c r="B1842" i="14"/>
  <c r="B1842" i="15"/>
  <c r="B1843" i="14"/>
  <c r="B1843" i="15"/>
  <c r="B1844" i="14"/>
  <c r="B1844" i="15"/>
  <c r="B1845" i="14"/>
  <c r="B1845" i="15"/>
  <c r="B1846" i="14"/>
  <c r="B1846" i="15"/>
  <c r="B1847" i="14"/>
  <c r="B1847" i="15"/>
  <c r="B1848" i="14"/>
  <c r="B1848" i="15"/>
  <c r="B1849" i="14"/>
  <c r="B1849" i="15"/>
  <c r="B1850" i="14"/>
  <c r="B1850" i="15"/>
  <c r="B1851" i="14"/>
  <c r="E1321" i="15"/>
  <c r="G1321" i="15" s="1"/>
  <c r="E1322" i="15"/>
  <c r="G1322" i="15" s="1"/>
  <c r="C1311" i="15"/>
  <c r="C1312" i="14"/>
  <c r="C2211" i="5"/>
  <c r="C1908" i="15"/>
  <c r="C1909" i="14"/>
  <c r="B1870" i="15"/>
  <c r="B1871" i="14"/>
  <c r="L2280" i="5"/>
  <c r="E1917" i="13" s="1"/>
  <c r="G2282" i="5"/>
  <c r="B1919" i="13" s="1"/>
  <c r="C1875" i="15"/>
  <c r="C1876" i="14"/>
  <c r="L2284" i="5"/>
  <c r="E1921" i="13" s="1"/>
  <c r="C1915" i="15"/>
  <c r="C1916" i="14"/>
  <c r="B1877" i="15"/>
  <c r="B1878" i="14"/>
  <c r="C1878" i="15"/>
  <c r="C1879" i="14"/>
  <c r="D2288" i="5"/>
  <c r="E1886" i="13" s="1"/>
  <c r="G2289" i="5"/>
  <c r="B1926" i="13" s="1"/>
  <c r="B2291" i="5"/>
  <c r="C1889" i="13" s="1"/>
  <c r="A2293" i="5"/>
  <c r="B1891" i="13" s="1"/>
  <c r="D2294" i="5"/>
  <c r="E1892" i="13" s="1"/>
  <c r="B2296" i="5"/>
  <c r="C1894" i="13" s="1"/>
  <c r="A2297" i="5"/>
  <c r="B1895" i="13" s="1"/>
  <c r="D2298" i="5"/>
  <c r="E1896" i="13" s="1"/>
  <c r="B2300" i="5"/>
  <c r="C1898" i="13" s="1"/>
  <c r="A2301" i="5"/>
  <c r="B1899" i="13" s="1"/>
  <c r="D2302" i="5"/>
  <c r="E1900" i="13" s="1"/>
  <c r="B2304" i="5"/>
  <c r="C1902" i="13" s="1"/>
  <c r="A2305" i="5"/>
  <c r="B1903" i="13" s="1"/>
  <c r="C1899" i="15"/>
  <c r="C1900" i="14"/>
  <c r="A2309" i="5"/>
  <c r="B1907" i="13" s="1"/>
  <c r="D1902" i="15"/>
  <c r="D1903" i="14"/>
  <c r="K1909" i="13"/>
  <c r="C1903" i="15"/>
  <c r="C1904" i="14"/>
  <c r="A2313" i="5"/>
  <c r="B1911" i="13" s="1"/>
  <c r="D2425" i="15"/>
  <c r="H2433" i="13"/>
  <c r="K2433" i="13"/>
  <c r="B1284" i="15"/>
  <c r="B1285" i="14"/>
  <c r="B1304" i="15"/>
  <c r="B1305" i="14"/>
  <c r="B1285" i="15"/>
  <c r="B1286" i="14"/>
  <c r="B1286" i="15"/>
  <c r="B1287" i="14"/>
  <c r="B1287" i="15"/>
  <c r="B1288" i="14"/>
  <c r="B1288" i="15"/>
  <c r="B1289" i="14"/>
  <c r="B1289" i="15"/>
  <c r="B1290" i="14"/>
  <c r="B1290" i="15"/>
  <c r="B1291" i="14"/>
  <c r="B1291" i="15"/>
  <c r="B1292" i="14"/>
  <c r="B1292" i="15"/>
  <c r="B1293" i="14"/>
  <c r="D1294" i="15"/>
  <c r="D1295" i="14"/>
  <c r="H1301" i="13"/>
  <c r="K1301" i="13"/>
  <c r="C1295" i="15"/>
  <c r="C1296" i="14"/>
  <c r="B1296" i="15"/>
  <c r="B1297" i="14"/>
  <c r="D1298" i="15"/>
  <c r="D1299" i="14"/>
  <c r="K1305" i="13"/>
  <c r="C1299" i="15"/>
  <c r="C1300" i="14"/>
  <c r="B1300" i="15"/>
  <c r="B1301" i="14"/>
  <c r="E80" i="6"/>
  <c r="E99" i="6"/>
  <c r="C230" i="6"/>
  <c r="D298" i="6"/>
  <c r="E1925" i="15"/>
  <c r="G1925" i="15" s="1"/>
  <c r="E1927" i="15"/>
  <c r="G1927" i="15" s="1"/>
  <c r="E1929" i="15"/>
  <c r="G1929" i="15" s="1"/>
  <c r="E1931" i="15"/>
  <c r="G1931" i="15" s="1"/>
  <c r="E1933" i="15"/>
  <c r="G1933" i="15" s="1"/>
  <c r="E1935" i="15"/>
  <c r="G1935" i="15" s="1"/>
  <c r="B1937" i="15"/>
  <c r="B1938" i="14"/>
  <c r="E1938" i="15"/>
  <c r="G1938" i="15" s="1"/>
  <c r="E1943" i="15"/>
  <c r="G1943" i="15" s="1"/>
  <c r="D2416" i="15"/>
  <c r="H2424" i="13"/>
  <c r="K2424" i="13"/>
  <c r="E1964" i="15"/>
  <c r="G1964" i="15" s="1"/>
  <c r="G1971" i="13"/>
  <c r="E1966" i="15"/>
  <c r="G1966" i="15" s="1"/>
  <c r="G1973" i="13"/>
  <c r="E1968" i="15"/>
  <c r="G1968" i="15" s="1"/>
  <c r="G1975" i="13"/>
  <c r="E434" i="6"/>
  <c r="D2463" i="15"/>
  <c r="K2471" i="13"/>
  <c r="H2471" i="13"/>
  <c r="B2019" i="15"/>
  <c r="B2020" i="14"/>
  <c r="E2067" i="15"/>
  <c r="G2067" i="15" s="1"/>
  <c r="E2021" i="15"/>
  <c r="G2021" i="15" s="1"/>
  <c r="B2023" i="15"/>
  <c r="B2024" i="14"/>
  <c r="E2071" i="15"/>
  <c r="G2071" i="15" s="1"/>
  <c r="E2025" i="15"/>
  <c r="G2025" i="15" s="1"/>
  <c r="E2027" i="15"/>
  <c r="G2027" i="15" s="1"/>
  <c r="E2029" i="15"/>
  <c r="G2029" i="15" s="1"/>
  <c r="E2076" i="15"/>
  <c r="G2076" i="15" s="1"/>
  <c r="E2030" i="15"/>
  <c r="G2030" i="15" s="1"/>
  <c r="E2077" i="15"/>
  <c r="G2077" i="15" s="1"/>
  <c r="E2078" i="15"/>
  <c r="G2078" i="15" s="1"/>
  <c r="E2080" i="15"/>
  <c r="G2080" i="15" s="1"/>
  <c r="E2033" i="15"/>
  <c r="G2033" i="15" s="1"/>
  <c r="E2083" i="15"/>
  <c r="G2083" i="15" s="1"/>
  <c r="B2038" i="15"/>
  <c r="B2039" i="14"/>
  <c r="E2039" i="15"/>
  <c r="G2039" i="15" s="1"/>
  <c r="B2041" i="15"/>
  <c r="B2042" i="14"/>
  <c r="B2114" i="15"/>
  <c r="B2115" i="14"/>
  <c r="E2116" i="15"/>
  <c r="G2116" i="15" s="1"/>
  <c r="A540" i="6"/>
  <c r="B2055" i="13" s="1"/>
  <c r="A544" i="6"/>
  <c r="E2055" i="15"/>
  <c r="G2055" i="15" s="1"/>
  <c r="D2419" i="15"/>
  <c r="H2427" i="13"/>
  <c r="K2427" i="13"/>
  <c r="E2176" i="15"/>
  <c r="G2176" i="15" s="1"/>
  <c r="E2178" i="15"/>
  <c r="G2178" i="15" s="1"/>
  <c r="E2180" i="15"/>
  <c r="G2180" i="15" s="1"/>
  <c r="E2182" i="15"/>
  <c r="G2182" i="15" s="1"/>
  <c r="E2184" i="15"/>
  <c r="G2184" i="15" s="1"/>
  <c r="E2105" i="15"/>
  <c r="G2105" i="15" s="1"/>
  <c r="E2107" i="15"/>
  <c r="G2107" i="15" s="1"/>
  <c r="E2109" i="15"/>
  <c r="G2109" i="15" s="1"/>
  <c r="E2111" i="15"/>
  <c r="G2111" i="15" s="1"/>
  <c r="E2113" i="15"/>
  <c r="G2113" i="15" s="1"/>
  <c r="E2195" i="15"/>
  <c r="G2195" i="15" s="1"/>
  <c r="E2197" i="15"/>
  <c r="G2197" i="15" s="1"/>
  <c r="E2124" i="15"/>
  <c r="G2124" i="15" s="1"/>
  <c r="E2126" i="15"/>
  <c r="G2126" i="15" s="1"/>
  <c r="E2128" i="15"/>
  <c r="G2128" i="15" s="1"/>
  <c r="E2206" i="15"/>
  <c r="G2206" i="15" s="1"/>
  <c r="E2208" i="15"/>
  <c r="G2208" i="15" s="1"/>
  <c r="E2210" i="15"/>
  <c r="G2210" i="15" s="1"/>
  <c r="E2137" i="15"/>
  <c r="G2137" i="15" s="1"/>
  <c r="E2139" i="15"/>
  <c r="G2139" i="15" s="1"/>
  <c r="E2141" i="15"/>
  <c r="G2141" i="15" s="1"/>
  <c r="D2422" i="15"/>
  <c r="K2430" i="13"/>
  <c r="B2018" i="13"/>
  <c r="B2012" i="13"/>
  <c r="D2005" i="15"/>
  <c r="D2006" i="14"/>
  <c r="K2012" i="13"/>
  <c r="H2012" i="13"/>
  <c r="B2014" i="13"/>
  <c r="B2020" i="13"/>
  <c r="D2007" i="15"/>
  <c r="D2008" i="14"/>
  <c r="H2014" i="13"/>
  <c r="K2014" i="13"/>
  <c r="C748" i="6"/>
  <c r="B1981" i="15"/>
  <c r="B1982" i="14"/>
  <c r="C752" i="6"/>
  <c r="E1989" i="13" s="1"/>
  <c r="B1984" i="15"/>
  <c r="B1985" i="14"/>
  <c r="B2437" i="13"/>
  <c r="B2429" i="15" s="1"/>
  <c r="B1985" i="15"/>
  <c r="B1986" i="14"/>
  <c r="B2438" i="13"/>
  <c r="B2430" i="15" s="1"/>
  <c r="E1986" i="15"/>
  <c r="G1986" i="15" s="1"/>
  <c r="H1993" i="13"/>
  <c r="H1986" i="15" s="1"/>
  <c r="E2480" i="13"/>
  <c r="E2472" i="15" s="1"/>
  <c r="G2472" i="15" s="1"/>
  <c r="G1993" i="13"/>
  <c r="E899" i="15"/>
  <c r="G899" i="15" s="1"/>
  <c r="H906" i="13"/>
  <c r="G906" i="13"/>
  <c r="E1198" i="15"/>
  <c r="G1198" i="15" s="1"/>
  <c r="B1199" i="15"/>
  <c r="B1200" i="14"/>
  <c r="E1200" i="15"/>
  <c r="G1200" i="15" s="1"/>
  <c r="B1201" i="15"/>
  <c r="B1202" i="14"/>
  <c r="E1202" i="15"/>
  <c r="G1202" i="15" s="1"/>
  <c r="B1203" i="15"/>
  <c r="B1204" i="14"/>
  <c r="E1204" i="15"/>
  <c r="G1204" i="15" s="1"/>
  <c r="B1205" i="15"/>
  <c r="B1206" i="14"/>
  <c r="E1206" i="15"/>
  <c r="G1206" i="15" s="1"/>
  <c r="B1207" i="15"/>
  <c r="B1208" i="14"/>
  <c r="B910" i="15"/>
  <c r="B911" i="14"/>
  <c r="B1209" i="15"/>
  <c r="B1210" i="14"/>
  <c r="E912" i="15"/>
  <c r="G912" i="15" s="1"/>
  <c r="K56" i="7"/>
  <c r="E1218" i="13" s="1"/>
  <c r="E915" i="15"/>
  <c r="G915" i="15" s="1"/>
  <c r="B1216" i="15"/>
  <c r="B1217" i="14"/>
  <c r="E919" i="15"/>
  <c r="G919" i="15" s="1"/>
  <c r="B922" i="15"/>
  <c r="B923" i="14"/>
  <c r="B1220" i="15"/>
  <c r="B1221" i="14"/>
  <c r="B1221" i="15"/>
  <c r="B1222" i="14"/>
  <c r="B1222" i="15"/>
  <c r="B1223" i="14"/>
  <c r="B1223" i="15"/>
  <c r="B1224" i="14"/>
  <c r="B1225" i="15"/>
  <c r="B1226" i="14"/>
  <c r="B1228" i="15"/>
  <c r="B1229" i="14"/>
  <c r="E932" i="15"/>
  <c r="G932" i="15" s="1"/>
  <c r="B1232" i="15"/>
  <c r="B1233" i="14"/>
  <c r="E81" i="7"/>
  <c r="E944" i="13" s="1"/>
  <c r="C98" i="7"/>
  <c r="B1037" i="15"/>
  <c r="B1038" i="14"/>
  <c r="B1038" i="15"/>
  <c r="B1039" i="14"/>
  <c r="D102" i="7"/>
  <c r="E965" i="15"/>
  <c r="G965" i="15" s="1"/>
  <c r="A113" i="7"/>
  <c r="B974" i="13" s="1"/>
  <c r="B968" i="15"/>
  <c r="B969" i="14"/>
  <c r="B981" i="15"/>
  <c r="B982" i="14"/>
  <c r="E982" i="15"/>
  <c r="G982" i="15" s="1"/>
  <c r="C155" i="7"/>
  <c r="B1010" i="15"/>
  <c r="B1011" i="14"/>
  <c r="E1026" i="15"/>
  <c r="G1026" i="15" s="1"/>
  <c r="E175" i="7"/>
  <c r="E1034" i="13" s="1"/>
  <c r="E1039" i="15"/>
  <c r="G1039" i="15" s="1"/>
  <c r="H1046" i="13"/>
  <c r="C218" i="7"/>
  <c r="B1071" i="15"/>
  <c r="B1072" i="14"/>
  <c r="B1073" i="15"/>
  <c r="B1074" i="14"/>
  <c r="B1075" i="15"/>
  <c r="B1076" i="14"/>
  <c r="C238" i="7"/>
  <c r="C257" i="7" s="1"/>
  <c r="B1079" i="15"/>
  <c r="B1080" i="14"/>
  <c r="C242" i="7"/>
  <c r="C261" i="7" s="1"/>
  <c r="D261" i="7" s="1"/>
  <c r="B1083" i="15"/>
  <c r="B1084" i="14"/>
  <c r="C246" i="7"/>
  <c r="C265" i="7" s="1"/>
  <c r="D265" i="7" s="1"/>
  <c r="B1087" i="15"/>
  <c r="B1088" i="14"/>
  <c r="C250" i="7"/>
  <c r="C269" i="7" s="1"/>
  <c r="D269" i="7" s="1"/>
  <c r="B1091" i="15"/>
  <c r="B1092" i="14"/>
  <c r="C254" i="7"/>
  <c r="C273" i="7" s="1"/>
  <c r="D273" i="7" s="1"/>
  <c r="B1095" i="15"/>
  <c r="B1096" i="14"/>
  <c r="B1099" i="15"/>
  <c r="B1100" i="14"/>
  <c r="E1100" i="15"/>
  <c r="G1100" i="15" s="1"/>
  <c r="B1103" i="15"/>
  <c r="B1104" i="14"/>
  <c r="E1104" i="15"/>
  <c r="G1104" i="15" s="1"/>
  <c r="B1107" i="15"/>
  <c r="B1108" i="14"/>
  <c r="E1108" i="15"/>
  <c r="G1108" i="15" s="1"/>
  <c r="B1111" i="15"/>
  <c r="B1112" i="14"/>
  <c r="E1112" i="15"/>
  <c r="G1112" i="15" s="1"/>
  <c r="B1115" i="15"/>
  <c r="B1116" i="14"/>
  <c r="E1116" i="15"/>
  <c r="G1116" i="15" s="1"/>
  <c r="C280" i="7"/>
  <c r="C299" i="7" s="1"/>
  <c r="D299" i="7" s="1"/>
  <c r="A281" i="7"/>
  <c r="E281" i="7"/>
  <c r="C284" i="7"/>
  <c r="C303" i="7" s="1"/>
  <c r="D303" i="7" s="1"/>
  <c r="A285" i="7"/>
  <c r="E285" i="7"/>
  <c r="A288" i="7"/>
  <c r="E288" i="7"/>
  <c r="C289" i="7"/>
  <c r="C308" i="7" s="1"/>
  <c r="D308" i="7" s="1"/>
  <c r="A291" i="7"/>
  <c r="C292" i="7"/>
  <c r="C311" i="7" s="1"/>
  <c r="D311" i="7" s="1"/>
  <c r="A293" i="7"/>
  <c r="E293" i="7"/>
  <c r="A296" i="7"/>
  <c r="E296" i="7"/>
  <c r="C297" i="7"/>
  <c r="C316" i="7" s="1"/>
  <c r="D316" i="7" s="1"/>
  <c r="A300" i="7"/>
  <c r="E300" i="7"/>
  <c r="E302" i="7"/>
  <c r="A304" i="7"/>
  <c r="E304" i="7"/>
  <c r="E306" i="7"/>
  <c r="A308" i="7"/>
  <c r="E308" i="7"/>
  <c r="E310" i="7"/>
  <c r="A312" i="7"/>
  <c r="E312" i="7"/>
  <c r="E314" i="7"/>
  <c r="A316" i="7"/>
  <c r="E316" i="7"/>
  <c r="B329" i="7"/>
  <c r="C1170" i="13" s="1"/>
  <c r="B331" i="7"/>
  <c r="C1172" i="13" s="1"/>
  <c r="B337" i="7"/>
  <c r="C1178" i="13" s="1"/>
  <c r="B339" i="7"/>
  <c r="C1180" i="13" s="1"/>
  <c r="B341" i="7"/>
  <c r="C1182" i="13" s="1"/>
  <c r="B343" i="7"/>
  <c r="C1184" i="13" s="1"/>
  <c r="B345" i="7"/>
  <c r="C1186" i="13" s="1"/>
  <c r="B347" i="7"/>
  <c r="C1188" i="13" s="1"/>
  <c r="B349" i="7"/>
  <c r="C1190" i="13" s="1"/>
  <c r="B351" i="7"/>
  <c r="C1192" i="13" s="1"/>
  <c r="B353" i="7"/>
  <c r="C1194" i="13" s="1"/>
  <c r="B355" i="7"/>
  <c r="C1196" i="13" s="1"/>
  <c r="B357" i="7"/>
  <c r="C1198" i="13" s="1"/>
  <c r="B359" i="7"/>
  <c r="C1200" i="13" s="1"/>
  <c r="E1238" i="15"/>
  <c r="G1238" i="15" s="1"/>
  <c r="E1239" i="15"/>
  <c r="G1239" i="15" s="1"/>
  <c r="E1240" i="15"/>
  <c r="G1240" i="15" s="1"/>
  <c r="E79" i="8"/>
  <c r="C232" i="8"/>
  <c r="D273" i="8"/>
  <c r="E127" i="13" s="1"/>
  <c r="E137" i="15"/>
  <c r="G137" i="15" s="1"/>
  <c r="E138" i="15"/>
  <c r="G138" i="15" s="1"/>
  <c r="D2412" i="15"/>
  <c r="H2420" i="13"/>
  <c r="K2420" i="13"/>
  <c r="E139" i="15"/>
  <c r="G139" i="15" s="1"/>
  <c r="D2413" i="15"/>
  <c r="K2421" i="13"/>
  <c r="H2421" i="13"/>
  <c r="E280" i="8"/>
  <c r="B143" i="15"/>
  <c r="B144" i="14"/>
  <c r="K291" i="8"/>
  <c r="C153" i="15"/>
  <c r="C154" i="14"/>
  <c r="B146" i="15"/>
  <c r="B147" i="14"/>
  <c r="C155" i="15"/>
  <c r="C156" i="14"/>
  <c r="A295" i="8"/>
  <c r="K295" i="8"/>
  <c r="I305" i="8"/>
  <c r="C170" i="13" s="1"/>
  <c r="B162" i="15"/>
  <c r="B163" i="14"/>
  <c r="K306" i="8"/>
  <c r="E171" i="13" s="1"/>
  <c r="C307" i="8"/>
  <c r="I307" i="8"/>
  <c r="C172" i="13" s="1"/>
  <c r="B164" i="15"/>
  <c r="B165" i="14"/>
  <c r="K308" i="8"/>
  <c r="E173" i="13" s="1"/>
  <c r="C309" i="8"/>
  <c r="I309" i="8"/>
  <c r="C174" i="13" s="1"/>
  <c r="C333" i="8"/>
  <c r="E198" i="15"/>
  <c r="G198" i="15" s="1"/>
  <c r="G198" i="13"/>
  <c r="E180" i="15"/>
  <c r="G180" i="15" s="1"/>
  <c r="B181" i="15"/>
  <c r="B182" i="14"/>
  <c r="E202" i="15"/>
  <c r="G202" i="15" s="1"/>
  <c r="E184" i="15"/>
  <c r="G184" i="15" s="1"/>
  <c r="B186" i="15"/>
  <c r="B187" i="14"/>
  <c r="E206" i="15"/>
  <c r="G206" i="15" s="1"/>
  <c r="D355" i="8"/>
  <c r="B190" i="15"/>
  <c r="B191" i="14"/>
  <c r="E210" i="15"/>
  <c r="G210" i="15" s="1"/>
  <c r="E192" i="15"/>
  <c r="G192" i="15" s="1"/>
  <c r="E361" i="8"/>
  <c r="E428" i="8" s="1"/>
  <c r="E362" i="8"/>
  <c r="E429" i="8" s="1"/>
  <c r="E363" i="8"/>
  <c r="E430" i="8" s="1"/>
  <c r="C394" i="8"/>
  <c r="C398" i="8"/>
  <c r="A412" i="8"/>
  <c r="B219" i="13" s="1"/>
  <c r="A413" i="8"/>
  <c r="B220" i="13" s="1"/>
  <c r="C221" i="15"/>
  <c r="C222" i="14"/>
  <c r="A416" i="8"/>
  <c r="B222" i="13" s="1"/>
  <c r="A417" i="8"/>
  <c r="B223" i="13" s="1"/>
  <c r="A418" i="8"/>
  <c r="B224" i="13" s="1"/>
  <c r="A420" i="8"/>
  <c r="B226" i="13" s="1"/>
  <c r="A421" i="8"/>
  <c r="B227" i="13" s="1"/>
  <c r="A422" i="8"/>
  <c r="B228" i="13" s="1"/>
  <c r="A424" i="8"/>
  <c r="B230" i="13" s="1"/>
  <c r="A425" i="8"/>
  <c r="B231" i="13" s="1"/>
  <c r="A426" i="8"/>
  <c r="B232" i="13" s="1"/>
  <c r="K427" i="8"/>
  <c r="E234" i="13" s="1"/>
  <c r="C428" i="8"/>
  <c r="D2449" i="13" s="1"/>
  <c r="B254" i="15"/>
  <c r="B255" i="14"/>
  <c r="A431" i="8"/>
  <c r="B2359" i="13" s="1"/>
  <c r="B2352" i="15" s="1"/>
  <c r="D432" i="8"/>
  <c r="E2360" i="13" s="1"/>
  <c r="E2353" i="15" s="1"/>
  <c r="G2353" i="15" s="1"/>
  <c r="E258" i="15"/>
  <c r="G258" i="15" s="1"/>
  <c r="E283" i="15"/>
  <c r="G283" i="15" s="1"/>
  <c r="G283" i="13"/>
  <c r="E259" i="15"/>
  <c r="G259" i="15" s="1"/>
  <c r="E284" i="15"/>
  <c r="G284" i="15" s="1"/>
  <c r="E260" i="15"/>
  <c r="G260" i="15" s="1"/>
  <c r="E285" i="15"/>
  <c r="G285" i="15" s="1"/>
  <c r="D481" i="8"/>
  <c r="E261" i="13" s="1"/>
  <c r="E286" i="15"/>
  <c r="G286" i="15" s="1"/>
  <c r="D482" i="8"/>
  <c r="E262" i="13" s="1"/>
  <c r="B266" i="15"/>
  <c r="B267" i="14"/>
  <c r="B291" i="15"/>
  <c r="B292" i="14"/>
  <c r="B267" i="15"/>
  <c r="B268" i="14"/>
  <c r="B292" i="15"/>
  <c r="B293" i="14"/>
  <c r="B268" i="15"/>
  <c r="B269" i="14"/>
  <c r="B293" i="15"/>
  <c r="B294" i="14"/>
  <c r="B269" i="15"/>
  <c r="B270" i="14"/>
  <c r="B294" i="15"/>
  <c r="B295" i="14"/>
  <c r="B270" i="15"/>
  <c r="B271" i="14"/>
  <c r="J495" i="8"/>
  <c r="D300" i="13" s="1"/>
  <c r="E502" i="8"/>
  <c r="D2358" i="15"/>
  <c r="K2365" i="13"/>
  <c r="G551" i="8"/>
  <c r="B14" i="15"/>
  <c r="B15" i="14"/>
  <c r="E26" i="15"/>
  <c r="G26" i="15" s="1"/>
  <c r="E16" i="15"/>
  <c r="G16" i="15" s="1"/>
  <c r="B18" i="15"/>
  <c r="B19" i="14"/>
  <c r="E30" i="15"/>
  <c r="G30" i="15" s="1"/>
  <c r="E20" i="15"/>
  <c r="G20" i="15" s="1"/>
  <c r="B22" i="15"/>
  <c r="B23" i="14"/>
  <c r="B37" i="15"/>
  <c r="B38" i="14"/>
  <c r="E58" i="15"/>
  <c r="G58" i="15" s="1"/>
  <c r="E39" i="15"/>
  <c r="G39" i="15" s="1"/>
  <c r="A618" i="8"/>
  <c r="B41" i="13" s="1"/>
  <c r="E62" i="15"/>
  <c r="G62" i="15" s="1"/>
  <c r="E43" i="15"/>
  <c r="G43" i="15" s="1"/>
  <c r="B45" i="15"/>
  <c r="B46" i="14"/>
  <c r="E66" i="15"/>
  <c r="G66" i="15" s="1"/>
  <c r="B49" i="15"/>
  <c r="B50" i="14"/>
  <c r="C627" i="8"/>
  <c r="B73" i="15"/>
  <c r="B74" i="14"/>
  <c r="E90" i="15"/>
  <c r="G90" i="15" s="1"/>
  <c r="E75" i="15"/>
  <c r="G75" i="15" s="1"/>
  <c r="E91" i="15"/>
  <c r="G91" i="15" s="1"/>
  <c r="E76" i="15"/>
  <c r="G76" i="15" s="1"/>
  <c r="B78" i="15"/>
  <c r="B79" i="14"/>
  <c r="B94" i="15"/>
  <c r="B95" i="14"/>
  <c r="B79" i="15"/>
  <c r="B80" i="14"/>
  <c r="E96" i="15"/>
  <c r="G96" i="15" s="1"/>
  <c r="D659" i="8"/>
  <c r="E101" i="13" s="1"/>
  <c r="A661" i="8"/>
  <c r="B103" i="13" s="1"/>
  <c r="E105" i="15"/>
  <c r="G105" i="15" s="1"/>
  <c r="B107" i="15"/>
  <c r="B108" i="14"/>
  <c r="K666" i="8"/>
  <c r="E121" i="13" s="1"/>
  <c r="E109" i="15"/>
  <c r="G109" i="15" s="1"/>
  <c r="D668" i="8"/>
  <c r="E110" i="13" s="1"/>
  <c r="E111" i="15"/>
  <c r="G111" i="15" s="1"/>
  <c r="E78" i="9"/>
  <c r="D184" i="9"/>
  <c r="B1406" i="15"/>
  <c r="B1407" i="14"/>
  <c r="D265" i="9"/>
  <c r="E1414" i="13" s="1"/>
  <c r="D1412" i="15"/>
  <c r="D1413" i="14"/>
  <c r="H1419" i="13"/>
  <c r="K1419" i="13"/>
  <c r="E1464" i="15"/>
  <c r="G1464" i="15" s="1"/>
  <c r="D272" i="9"/>
  <c r="E1421" i="13" s="1"/>
  <c r="B1416" i="15"/>
  <c r="B1417" i="14"/>
  <c r="E1468" i="15"/>
  <c r="G1468" i="15" s="1"/>
  <c r="E1418" i="15"/>
  <c r="G1418" i="15" s="1"/>
  <c r="E1469" i="15"/>
  <c r="G1469" i="15" s="1"/>
  <c r="E1419" i="15"/>
  <c r="G1419" i="15" s="1"/>
  <c r="E1424" i="15"/>
  <c r="G1424" i="15" s="1"/>
  <c r="G1431" i="13"/>
  <c r="B1427" i="15"/>
  <c r="B1428" i="14"/>
  <c r="B1428" i="15"/>
  <c r="B1429" i="14"/>
  <c r="B1429" i="15"/>
  <c r="B1430" i="14"/>
  <c r="E1430" i="15"/>
  <c r="G1430" i="15" s="1"/>
  <c r="C1432" i="15"/>
  <c r="C1433" i="14"/>
  <c r="B1433" i="15"/>
  <c r="B1434" i="14"/>
  <c r="B1434" i="15"/>
  <c r="B1435" i="14"/>
  <c r="E1436" i="15"/>
  <c r="G1436" i="15" s="1"/>
  <c r="C1438" i="15"/>
  <c r="C1439" i="14"/>
  <c r="B1439" i="15"/>
  <c r="B1440" i="14"/>
  <c r="B1440" i="15"/>
  <c r="B1441" i="14"/>
  <c r="E1442" i="15"/>
  <c r="G1442" i="15" s="1"/>
  <c r="H1449" i="13"/>
  <c r="G1449" i="13"/>
  <c r="E1443" i="15"/>
  <c r="G1443" i="15" s="1"/>
  <c r="E1444" i="15"/>
  <c r="G1444" i="15" s="1"/>
  <c r="E307" i="9"/>
  <c r="E308" i="9"/>
  <c r="E314" i="9"/>
  <c r="E315" i="9"/>
  <c r="E316" i="9"/>
  <c r="D347" i="9"/>
  <c r="E1485" i="13" s="1"/>
  <c r="E1479" i="15"/>
  <c r="G1479" i="15" s="1"/>
  <c r="G1486" i="13"/>
  <c r="E1525" i="15"/>
  <c r="G1525" i="15" s="1"/>
  <c r="G1532" i="13"/>
  <c r="D349" i="9"/>
  <c r="E1487" i="13" s="1"/>
  <c r="E1526" i="15"/>
  <c r="G1526" i="15" s="1"/>
  <c r="B1528" i="15"/>
  <c r="B1529" i="14"/>
  <c r="B1483" i="15"/>
  <c r="B1484" i="14"/>
  <c r="B1529" i="15"/>
  <c r="B1530" i="14"/>
  <c r="B1484" i="15"/>
  <c r="B1485" i="14"/>
  <c r="B1530" i="15"/>
  <c r="B1531" i="14"/>
  <c r="B1485" i="15"/>
  <c r="B1486" i="14"/>
  <c r="B1531" i="15"/>
  <c r="B1532" i="14"/>
  <c r="B1486" i="15"/>
  <c r="B1487" i="14"/>
  <c r="B1532" i="15"/>
  <c r="B1533" i="14"/>
  <c r="B1487" i="15"/>
  <c r="B1488" i="14"/>
  <c r="B1533" i="15"/>
  <c r="B1534" i="14"/>
  <c r="E1534" i="15"/>
  <c r="G1534" i="15" s="1"/>
  <c r="E1489" i="15"/>
  <c r="G1489" i="15" s="1"/>
  <c r="E1537" i="15"/>
  <c r="G1537" i="15" s="1"/>
  <c r="E1492" i="15"/>
  <c r="G1492" i="15" s="1"/>
  <c r="E1538" i="15"/>
  <c r="G1538" i="15" s="1"/>
  <c r="E1493" i="15"/>
  <c r="G1493" i="15" s="1"/>
  <c r="E1539" i="15"/>
  <c r="G1539" i="15" s="1"/>
  <c r="E1494" i="15"/>
  <c r="G1494" i="15" s="1"/>
  <c r="E1540" i="15"/>
  <c r="G1540" i="15" s="1"/>
  <c r="D364" i="9"/>
  <c r="E1502" i="13" s="1"/>
  <c r="E1496" i="15"/>
  <c r="G1496" i="15" s="1"/>
  <c r="E1497" i="15"/>
  <c r="G1497" i="15" s="1"/>
  <c r="E1498" i="15"/>
  <c r="G1498" i="15" s="1"/>
  <c r="E1499" i="15"/>
  <c r="G1499" i="15" s="1"/>
  <c r="E369" i="9"/>
  <c r="B1503" i="15"/>
  <c r="B1504" i="14"/>
  <c r="B1504" i="15"/>
  <c r="B1505" i="14"/>
  <c r="B1505" i="15"/>
  <c r="B1506" i="14"/>
  <c r="B1506" i="15"/>
  <c r="B1507" i="14"/>
  <c r="B1507" i="15"/>
  <c r="B1508" i="14"/>
  <c r="D1509" i="15"/>
  <c r="D1510" i="14"/>
  <c r="K1516" i="13"/>
  <c r="H1516" i="13"/>
  <c r="E1512" i="15"/>
  <c r="G1512" i="15" s="1"/>
  <c r="G1519" i="13"/>
  <c r="H1519" i="13"/>
  <c r="E382" i="9"/>
  <c r="E384" i="9"/>
  <c r="E385" i="9"/>
  <c r="D2387" i="15"/>
  <c r="H2394" i="13"/>
  <c r="K2394" i="13"/>
  <c r="E1596" i="15"/>
  <c r="G1596" i="15" s="1"/>
  <c r="D433" i="9"/>
  <c r="E1553" i="13" s="1"/>
  <c r="D435" i="9"/>
  <c r="E1555" i="13" s="1"/>
  <c r="B1550" i="15"/>
  <c r="B1551" i="14"/>
  <c r="E1602" i="15"/>
  <c r="G1602" i="15" s="1"/>
  <c r="D439" i="9"/>
  <c r="E1559" i="13" s="1"/>
  <c r="E1603" i="15"/>
  <c r="G1603" i="15" s="1"/>
  <c r="D440" i="9"/>
  <c r="E1560" i="13" s="1"/>
  <c r="E1606" i="15"/>
  <c r="G1606" i="15" s="1"/>
  <c r="E1556" i="15"/>
  <c r="G1556" i="15" s="1"/>
  <c r="E1609" i="15"/>
  <c r="G1609" i="15" s="1"/>
  <c r="C1560" i="15"/>
  <c r="C1561" i="14"/>
  <c r="B1611" i="15"/>
  <c r="B1612" i="14"/>
  <c r="B1561" i="15"/>
  <c r="B1562" i="14"/>
  <c r="E449" i="9"/>
  <c r="E1565" i="15"/>
  <c r="G1565" i="15" s="1"/>
  <c r="D453" i="9"/>
  <c r="E1573" i="13" s="1"/>
  <c r="C1568" i="15"/>
  <c r="C1569" i="14"/>
  <c r="B1569" i="15"/>
  <c r="B1570" i="14"/>
  <c r="E1570" i="15"/>
  <c r="G1570" i="15" s="1"/>
  <c r="E1571" i="15"/>
  <c r="G1571" i="15" s="1"/>
  <c r="G1578" i="13"/>
  <c r="C1573" i="15"/>
  <c r="C1574" i="14"/>
  <c r="C1574" i="15"/>
  <c r="C1575" i="14"/>
  <c r="B1575" i="15"/>
  <c r="B1576" i="14"/>
  <c r="E1576" i="15"/>
  <c r="G1576" i="15" s="1"/>
  <c r="E1577" i="15"/>
  <c r="G1577" i="15" s="1"/>
  <c r="B1581" i="15"/>
  <c r="B1582" i="14"/>
  <c r="B1582" i="15"/>
  <c r="B1583" i="14"/>
  <c r="B1583" i="15"/>
  <c r="B1584" i="14"/>
  <c r="E1584" i="15"/>
  <c r="G1584" i="15" s="1"/>
  <c r="H1591" i="13"/>
  <c r="G1591" i="13"/>
  <c r="E1585" i="15"/>
  <c r="G1585" i="15" s="1"/>
  <c r="E1586" i="15"/>
  <c r="G1586" i="15" s="1"/>
  <c r="G1593" i="13"/>
  <c r="E1587" i="15"/>
  <c r="G1587" i="15" s="1"/>
  <c r="G1594" i="13"/>
  <c r="E1588" i="15"/>
  <c r="G1588" i="15" s="1"/>
  <c r="G1595" i="13"/>
  <c r="E1589" i="15"/>
  <c r="G1589" i="15" s="1"/>
  <c r="E1590" i="15"/>
  <c r="G1590" i="15" s="1"/>
  <c r="E1591" i="15"/>
  <c r="G1591" i="15" s="1"/>
  <c r="E1592" i="15"/>
  <c r="G1592" i="15" s="1"/>
  <c r="E1593" i="15"/>
  <c r="G1593" i="15" s="1"/>
  <c r="D2388" i="15"/>
  <c r="K2395" i="13"/>
  <c r="E483" i="9"/>
  <c r="B1660" i="15"/>
  <c r="B1661" i="14"/>
  <c r="E1631" i="15"/>
  <c r="G1631" i="15" s="1"/>
  <c r="C1633" i="15"/>
  <c r="C1634" i="14"/>
  <c r="B1634" i="15"/>
  <c r="B1635" i="14"/>
  <c r="E1635" i="15"/>
  <c r="G1635" i="15" s="1"/>
  <c r="C1637" i="15"/>
  <c r="C1638" i="14"/>
  <c r="C1638" i="15"/>
  <c r="C1639" i="14"/>
  <c r="B1639" i="15"/>
  <c r="B1640" i="14"/>
  <c r="B1640" i="15"/>
  <c r="B1641" i="14"/>
  <c r="E1642" i="15"/>
  <c r="G1642" i="15" s="1"/>
  <c r="E1643" i="15"/>
  <c r="G1643" i="15" s="1"/>
  <c r="G1650" i="13"/>
  <c r="C1645" i="15"/>
  <c r="C1646" i="14"/>
  <c r="B1646" i="15"/>
  <c r="B1647" i="14"/>
  <c r="B1647" i="15"/>
  <c r="B1648" i="14"/>
  <c r="E1648" i="15"/>
  <c r="G1648" i="15" s="1"/>
  <c r="B1799" i="15"/>
  <c r="B1800" i="14"/>
  <c r="B1753" i="15"/>
  <c r="B1754" i="14"/>
  <c r="B1800" i="15"/>
  <c r="B1801" i="14"/>
  <c r="B1754" i="15"/>
  <c r="B1755" i="14"/>
  <c r="B1801" i="15"/>
  <c r="B1802" i="14"/>
  <c r="B1755" i="15"/>
  <c r="B1756" i="14"/>
  <c r="B1802" i="15"/>
  <c r="B1803" i="14"/>
  <c r="B1756" i="15"/>
  <c r="B1757" i="14"/>
  <c r="B1803" i="15"/>
  <c r="B1804" i="14"/>
  <c r="C1758" i="15"/>
  <c r="C1759" i="14"/>
  <c r="B1805" i="15"/>
  <c r="B1806" i="14"/>
  <c r="B1759" i="15"/>
  <c r="B1760" i="14"/>
  <c r="B1806" i="15"/>
  <c r="B1807" i="14"/>
  <c r="B1760" i="15"/>
  <c r="B1761" i="14"/>
  <c r="E1761" i="15"/>
  <c r="G1761" i="15" s="1"/>
  <c r="E1762" i="15"/>
  <c r="G1762" i="15" s="1"/>
  <c r="G1769" i="13"/>
  <c r="C1764" i="15"/>
  <c r="C1765" i="14"/>
  <c r="C1766" i="15"/>
  <c r="C1767" i="14"/>
  <c r="B1767" i="15"/>
  <c r="B1768" i="14"/>
  <c r="E1768" i="15"/>
  <c r="G1768" i="15" s="1"/>
  <c r="C1770" i="15"/>
  <c r="C1771" i="14"/>
  <c r="B1771" i="15"/>
  <c r="B1772" i="14"/>
  <c r="E1772" i="15"/>
  <c r="G1772" i="15" s="1"/>
  <c r="C1774" i="15"/>
  <c r="C1775" i="14"/>
  <c r="B1775" i="15"/>
  <c r="B1776" i="14"/>
  <c r="B1776" i="15"/>
  <c r="B1777" i="14"/>
  <c r="B1777" i="15"/>
  <c r="B1778" i="14"/>
  <c r="D1782" i="15"/>
  <c r="D1783" i="14"/>
  <c r="H1789" i="13"/>
  <c r="K1789" i="13"/>
  <c r="C1331" i="15"/>
  <c r="C1332" i="14"/>
  <c r="B1384" i="15"/>
  <c r="B1385" i="14"/>
  <c r="D649" i="9"/>
  <c r="E1339" i="13" s="1"/>
  <c r="C1333" i="15"/>
  <c r="C1334" i="14"/>
  <c r="B1386" i="15"/>
  <c r="B1387" i="14"/>
  <c r="D651" i="9"/>
  <c r="E1341" i="13" s="1"/>
  <c r="C1335" i="15"/>
  <c r="C1336" i="14"/>
  <c r="G652" i="9"/>
  <c r="B1395" i="13" s="1"/>
  <c r="D654" i="9"/>
  <c r="E1344" i="13" s="1"/>
  <c r="E1338" i="15"/>
  <c r="G1338" i="15" s="1"/>
  <c r="G1345" i="13"/>
  <c r="C1390" i="15"/>
  <c r="C1391" i="14"/>
  <c r="B1340" i="15"/>
  <c r="B1341" i="14"/>
  <c r="J657" i="9"/>
  <c r="E1398" i="13" s="1"/>
  <c r="C1392" i="15"/>
  <c r="C1393" i="14"/>
  <c r="A659" i="9"/>
  <c r="B1349" i="13" s="1"/>
  <c r="C1394" i="15"/>
  <c r="C1395" i="14"/>
  <c r="A661" i="9"/>
  <c r="B1351" i="13" s="1"/>
  <c r="J661" i="9"/>
  <c r="E1402" i="13" s="1"/>
  <c r="C1396" i="15"/>
  <c r="C1397" i="14"/>
  <c r="B1346" i="15"/>
  <c r="B1347" i="14"/>
  <c r="C1398" i="15"/>
  <c r="C1399" i="14"/>
  <c r="A665" i="9"/>
  <c r="B1355" i="13" s="1"/>
  <c r="C1400" i="15"/>
  <c r="C1401" i="14"/>
  <c r="A667" i="9"/>
  <c r="B1357" i="13" s="1"/>
  <c r="A668" i="9"/>
  <c r="B1358" i="13" s="1"/>
  <c r="A670" i="9"/>
  <c r="B1360" i="13" s="1"/>
  <c r="D671" i="9"/>
  <c r="E1361" i="13" s="1"/>
  <c r="B673" i="9"/>
  <c r="C1363" i="13" s="1"/>
  <c r="A674" i="9"/>
  <c r="B1364" i="13" s="1"/>
  <c r="D675" i="9"/>
  <c r="E1365" i="13" s="1"/>
  <c r="D676" i="9"/>
  <c r="B678" i="9"/>
  <c r="C1368" i="13" s="1"/>
  <c r="B679" i="9"/>
  <c r="C1369" i="13" s="1"/>
  <c r="A680" i="9"/>
  <c r="B1370" i="13" s="1"/>
  <c r="D681" i="9"/>
  <c r="E1371" i="13" s="1"/>
  <c r="C1366" i="15"/>
  <c r="C1367" i="14"/>
  <c r="A684" i="9"/>
  <c r="B1374" i="13" s="1"/>
  <c r="D685" i="9"/>
  <c r="C1370" i="15"/>
  <c r="C1371" i="14"/>
  <c r="A688" i="9"/>
  <c r="B1378" i="13" s="1"/>
  <c r="D689" i="9"/>
  <c r="E1379" i="13" s="1"/>
  <c r="C1374" i="15"/>
  <c r="C1375" i="14"/>
  <c r="D693" i="9"/>
  <c r="E1383" i="13" s="1"/>
  <c r="C1378" i="15"/>
  <c r="C1379" i="14"/>
  <c r="D698" i="9"/>
  <c r="E1388" i="13" s="1"/>
  <c r="D2410" i="15"/>
  <c r="K2418" i="13"/>
  <c r="H2418" i="13"/>
  <c r="E701" i="9"/>
  <c r="D473" i="12"/>
  <c r="E2306" i="13" s="1"/>
  <c r="D464" i="12"/>
  <c r="E2297" i="13" s="1"/>
  <c r="E2291" i="15"/>
  <c r="G2291" i="15" s="1"/>
  <c r="G2298" i="13"/>
  <c r="E2292" i="15"/>
  <c r="G2292" i="15" s="1"/>
  <c r="G2299" i="13"/>
  <c r="F186" i="11"/>
  <c r="F187" i="11" s="1"/>
  <c r="J186" i="11"/>
  <c r="F191" i="11" s="1"/>
  <c r="E163" i="11"/>
  <c r="AJ185" i="11"/>
  <c r="AI185" i="11"/>
  <c r="AJ224" i="11"/>
  <c r="AI224" i="11"/>
  <c r="AJ232" i="11"/>
  <c r="AI232" i="11"/>
  <c r="AJ256" i="11"/>
  <c r="AI256" i="11"/>
  <c r="AJ264" i="11"/>
  <c r="AI264" i="11"/>
  <c r="AJ280" i="11"/>
  <c r="AI280" i="11"/>
  <c r="AJ293" i="11"/>
  <c r="AI293" i="11"/>
  <c r="AJ312" i="11"/>
  <c r="AI312" i="11"/>
  <c r="AJ334" i="11"/>
  <c r="AI334" i="11"/>
  <c r="I335" i="11"/>
  <c r="K1554" i="5" s="1"/>
  <c r="J1554" i="5" s="1"/>
  <c r="I337" i="11"/>
  <c r="K1556" i="5" s="1"/>
  <c r="J1556" i="5" s="1"/>
  <c r="AJ342" i="11"/>
  <c r="AI342" i="11"/>
  <c r="I343" i="11"/>
  <c r="K1562" i="5" s="1"/>
  <c r="J1562" i="5" s="1"/>
  <c r="I345" i="11"/>
  <c r="K1564" i="5" s="1"/>
  <c r="J1564" i="5" s="1"/>
  <c r="AJ350" i="11"/>
  <c r="AI350" i="11"/>
  <c r="I351" i="11"/>
  <c r="K1570" i="5" s="1"/>
  <c r="J1570" i="5" s="1"/>
  <c r="I353" i="11"/>
  <c r="K1572" i="5" s="1"/>
  <c r="J1572" i="5" s="1"/>
  <c r="AJ371" i="11"/>
  <c r="AI371" i="11"/>
  <c r="D419" i="11"/>
  <c r="AJ422" i="11"/>
  <c r="AI422" i="11"/>
  <c r="L436" i="11"/>
  <c r="E436" i="11"/>
  <c r="M436" i="11" s="1"/>
  <c r="AJ491" i="11"/>
  <c r="AI491" i="11"/>
  <c r="F498" i="11"/>
  <c r="AJ501" i="11"/>
  <c r="AI501" i="11"/>
  <c r="F514" i="11"/>
  <c r="AJ517" i="11"/>
  <c r="AI517" i="11"/>
  <c r="F534" i="11"/>
  <c r="AJ539" i="11"/>
  <c r="AI539" i="11"/>
  <c r="AJ547" i="11"/>
  <c r="AI547" i="11"/>
  <c r="AJ555" i="11"/>
  <c r="AI555" i="11"/>
  <c r="AJ559" i="11"/>
  <c r="AI559" i="11"/>
  <c r="AJ753" i="11"/>
  <c r="AI753" i="11"/>
  <c r="AJ804" i="11"/>
  <c r="AI804" i="11"/>
  <c r="AJ809" i="11"/>
  <c r="AI809" i="11"/>
  <c r="AJ825" i="11"/>
  <c r="AI825" i="11"/>
  <c r="AJ859" i="11"/>
  <c r="AI859" i="11"/>
  <c r="AJ882" i="11"/>
  <c r="AI882" i="11"/>
  <c r="AJ890" i="11"/>
  <c r="AI890" i="11"/>
  <c r="AJ898" i="11"/>
  <c r="AI898" i="11"/>
  <c r="AJ906" i="11"/>
  <c r="AI906" i="11"/>
  <c r="AJ914" i="11"/>
  <c r="AI914" i="11"/>
  <c r="AJ922" i="11"/>
  <c r="AI922" i="11"/>
  <c r="AJ930" i="11"/>
  <c r="AI930" i="11"/>
  <c r="AJ942" i="11"/>
  <c r="AI942" i="11"/>
  <c r="AJ978" i="11"/>
  <c r="AI978" i="11"/>
  <c r="AJ986" i="11"/>
  <c r="AI986" i="11"/>
  <c r="AJ994" i="11"/>
  <c r="AI994" i="11"/>
  <c r="AJ1006" i="11"/>
  <c r="AI1006" i="11"/>
  <c r="AJ1014" i="11"/>
  <c r="AI1014" i="11"/>
  <c r="AJ1022" i="11"/>
  <c r="AI1022" i="11"/>
  <c r="AJ1030" i="11"/>
  <c r="AI1030" i="11"/>
  <c r="AJ1038" i="11"/>
  <c r="AI1038" i="11"/>
  <c r="AJ1066" i="11"/>
  <c r="AI1066" i="11"/>
  <c r="E107" i="12"/>
  <c r="E106" i="12"/>
  <c r="G17" i="12"/>
  <c r="E78" i="12"/>
  <c r="D177" i="12"/>
  <c r="F159" i="12"/>
  <c r="G159" i="12" s="1"/>
  <c r="D226" i="12"/>
  <c r="D222" i="12"/>
  <c r="D227" i="12" s="1"/>
  <c r="D2285" i="13"/>
  <c r="E435" i="12"/>
  <c r="D2299" i="13"/>
  <c r="E466" i="12"/>
  <c r="D2303" i="13"/>
  <c r="E470" i="12"/>
  <c r="D2306" i="13"/>
  <c r="E473" i="12"/>
  <c r="I513" i="13"/>
  <c r="H554" i="13"/>
  <c r="I774" i="15"/>
  <c r="F775" i="14"/>
  <c r="I781" i="13"/>
  <c r="J774" i="15" s="1"/>
  <c r="I811" i="15"/>
  <c r="F812" i="14"/>
  <c r="I818" i="13"/>
  <c r="J811" i="15" s="1"/>
  <c r="E1636" i="15"/>
  <c r="G1636" i="15" s="1"/>
  <c r="E1637" i="15"/>
  <c r="G1637" i="15" s="1"/>
  <c r="G1644" i="13"/>
  <c r="C1640" i="15"/>
  <c r="C1641" i="14"/>
  <c r="B1641" i="15"/>
  <c r="B1642" i="14"/>
  <c r="B1642" i="15"/>
  <c r="B1643" i="14"/>
  <c r="E1644" i="15"/>
  <c r="G1644" i="15" s="1"/>
  <c r="C1646" i="15"/>
  <c r="C1647" i="14"/>
  <c r="C1647" i="15"/>
  <c r="C1648" i="14"/>
  <c r="B1648" i="15"/>
  <c r="B1649" i="14"/>
  <c r="E1649" i="15"/>
  <c r="G1649" i="15" s="1"/>
  <c r="E1650" i="15"/>
  <c r="G1650" i="15" s="1"/>
  <c r="E1651" i="15"/>
  <c r="G1651" i="15" s="1"/>
  <c r="E1652" i="15"/>
  <c r="G1652" i="15" s="1"/>
  <c r="E1653" i="15"/>
  <c r="G1653" i="15" s="1"/>
  <c r="E1654" i="15"/>
  <c r="G1654" i="15" s="1"/>
  <c r="E1655" i="15"/>
  <c r="G1655" i="15" s="1"/>
  <c r="E1656" i="15"/>
  <c r="G1656" i="15" s="1"/>
  <c r="D2390" i="15"/>
  <c r="K2397" i="13"/>
  <c r="B1744" i="15"/>
  <c r="B1745" i="14"/>
  <c r="B1745" i="15"/>
  <c r="B1746" i="14"/>
  <c r="B1792" i="15"/>
  <c r="B1793" i="14"/>
  <c r="B1746" i="15"/>
  <c r="B1747" i="14"/>
  <c r="B1793" i="15"/>
  <c r="B1794" i="14"/>
  <c r="B1747" i="15"/>
  <c r="B1748" i="14"/>
  <c r="B1794" i="15"/>
  <c r="B1795" i="14"/>
  <c r="B1748" i="15"/>
  <c r="B1749" i="14"/>
  <c r="B1795" i="15"/>
  <c r="B1796" i="14"/>
  <c r="B1749" i="15"/>
  <c r="B1750" i="14"/>
  <c r="B1796" i="15"/>
  <c r="B1797" i="14"/>
  <c r="B1750" i="15"/>
  <c r="B1751" i="14"/>
  <c r="B1797" i="15"/>
  <c r="B1798" i="14"/>
  <c r="B1751" i="15"/>
  <c r="B1752" i="14"/>
  <c r="B1798" i="15"/>
  <c r="B1799" i="14"/>
  <c r="E1757" i="15"/>
  <c r="G1757" i="15" s="1"/>
  <c r="E1804" i="15"/>
  <c r="G1804" i="15" s="1"/>
  <c r="C1759" i="15"/>
  <c r="C1760" i="14"/>
  <c r="C1760" i="15"/>
  <c r="C1761" i="14"/>
  <c r="B1761" i="15"/>
  <c r="B1762" i="14"/>
  <c r="E1763" i="15"/>
  <c r="G1763" i="15" s="1"/>
  <c r="E1764" i="15"/>
  <c r="G1764" i="15" s="1"/>
  <c r="G1771" i="13"/>
  <c r="E1765" i="15"/>
  <c r="G1765" i="15" s="1"/>
  <c r="C1767" i="15"/>
  <c r="C1768" i="14"/>
  <c r="B1768" i="15"/>
  <c r="B1769" i="14"/>
  <c r="E1769" i="15"/>
  <c r="G1769" i="15" s="1"/>
  <c r="C1771" i="15"/>
  <c r="C1772" i="14"/>
  <c r="B1772" i="15"/>
  <c r="B1773" i="14"/>
  <c r="E1773" i="15"/>
  <c r="G1773" i="15" s="1"/>
  <c r="C1775" i="15"/>
  <c r="C1776" i="14"/>
  <c r="E1777" i="15"/>
  <c r="G1777" i="15" s="1"/>
  <c r="G1784" i="13"/>
  <c r="E1778" i="15"/>
  <c r="G1778" i="15" s="1"/>
  <c r="E1779" i="15"/>
  <c r="G1779" i="15" s="1"/>
  <c r="E1780" i="15"/>
  <c r="G1780" i="15" s="1"/>
  <c r="E1781" i="15"/>
  <c r="G1781" i="15" s="1"/>
  <c r="E1782" i="15"/>
  <c r="G1782" i="15" s="1"/>
  <c r="G1789" i="13"/>
  <c r="E1783" i="15"/>
  <c r="G1783" i="15" s="1"/>
  <c r="E1784" i="15"/>
  <c r="G1784" i="15" s="1"/>
  <c r="E1785" i="15"/>
  <c r="G1785" i="15" s="1"/>
  <c r="E1786" i="15"/>
  <c r="G1786" i="15" s="1"/>
  <c r="E1787" i="15"/>
  <c r="G1787" i="15" s="1"/>
  <c r="E1788" i="15"/>
  <c r="G1788" i="15" s="1"/>
  <c r="E1789" i="15"/>
  <c r="G1789" i="15" s="1"/>
  <c r="D2394" i="15"/>
  <c r="H2401" i="13"/>
  <c r="K2401" i="13"/>
  <c r="E1330" i="15"/>
  <c r="G1330" i="15" s="1"/>
  <c r="C1384" i="15"/>
  <c r="C1385" i="14"/>
  <c r="B1332" i="15"/>
  <c r="B1333" i="14"/>
  <c r="C1386" i="15"/>
  <c r="C1387" i="14"/>
  <c r="B1334" i="15"/>
  <c r="B1335" i="14"/>
  <c r="C1388" i="15"/>
  <c r="C1389" i="14"/>
  <c r="B1336" i="15"/>
  <c r="B1337" i="14"/>
  <c r="B1389" i="15"/>
  <c r="B1390" i="14"/>
  <c r="C1340" i="15"/>
  <c r="C1341" i="14"/>
  <c r="B1391" i="15"/>
  <c r="B1392" i="14"/>
  <c r="E1341" i="15"/>
  <c r="G1341" i="15" s="1"/>
  <c r="C1342" i="15"/>
  <c r="C1343" i="14"/>
  <c r="B1393" i="15"/>
  <c r="B1394" i="14"/>
  <c r="C1344" i="15"/>
  <c r="C1345" i="14"/>
  <c r="B1395" i="15"/>
  <c r="B1396" i="14"/>
  <c r="E1345" i="15"/>
  <c r="G1345" i="15" s="1"/>
  <c r="C1346" i="15"/>
  <c r="C1347" i="14"/>
  <c r="B1397" i="15"/>
  <c r="B1398" i="14"/>
  <c r="C1348" i="15"/>
  <c r="C1349" i="14"/>
  <c r="B1399" i="15"/>
  <c r="B1400" i="14"/>
  <c r="C1350" i="15"/>
  <c r="C1351" i="14"/>
  <c r="C1351" i="15"/>
  <c r="C1352" i="14"/>
  <c r="C1352" i="15"/>
  <c r="C1353" i="14"/>
  <c r="C1353" i="15"/>
  <c r="C1354" i="14"/>
  <c r="B1354" i="15"/>
  <c r="B1355" i="14"/>
  <c r="E1355" i="15"/>
  <c r="G1355" i="15" s="1"/>
  <c r="C1357" i="15"/>
  <c r="C1358" i="14"/>
  <c r="B1358" i="15"/>
  <c r="B1359" i="14"/>
  <c r="E1360" i="15"/>
  <c r="G1360" i="15" s="1"/>
  <c r="E1361" i="15"/>
  <c r="G1361" i="15" s="1"/>
  <c r="G1368" i="13"/>
  <c r="C1363" i="15"/>
  <c r="C1364" i="14"/>
  <c r="B1364" i="15"/>
  <c r="B1365" i="14"/>
  <c r="E1365" i="15"/>
  <c r="G1365" i="15" s="1"/>
  <c r="C1367" i="15"/>
  <c r="C1368" i="14"/>
  <c r="B1368" i="15"/>
  <c r="B1369" i="14"/>
  <c r="E1369" i="15"/>
  <c r="G1369" i="15" s="1"/>
  <c r="C1371" i="15"/>
  <c r="C1372" i="14"/>
  <c r="E1373" i="15"/>
  <c r="G1373" i="15" s="1"/>
  <c r="D1374" i="15"/>
  <c r="D1375" i="14"/>
  <c r="K1381" i="13"/>
  <c r="H1381" i="13"/>
  <c r="C1375" i="15"/>
  <c r="C1376" i="14"/>
  <c r="E1377" i="15"/>
  <c r="G1377" i="15" s="1"/>
  <c r="C1379" i="15"/>
  <c r="C1380" i="14"/>
  <c r="D2411" i="15"/>
  <c r="H2419" i="13"/>
  <c r="K2419" i="13"/>
  <c r="G186" i="11"/>
  <c r="F188" i="11" s="1"/>
  <c r="K186" i="11"/>
  <c r="F192" i="11" s="1"/>
  <c r="F155" i="11"/>
  <c r="I155" i="11"/>
  <c r="I186" i="11" s="1"/>
  <c r="F190" i="11" s="1"/>
  <c r="AJ181" i="11"/>
  <c r="AI181" i="11"/>
  <c r="AJ197" i="11"/>
  <c r="AI197" i="11"/>
  <c r="E103" i="12"/>
  <c r="E108" i="12" s="1"/>
  <c r="E109" i="12" s="1"/>
  <c r="E102" i="12"/>
  <c r="AJ208" i="11"/>
  <c r="AI208" i="11"/>
  <c r="G301" i="11"/>
  <c r="E168" i="11"/>
  <c r="D168" i="11"/>
  <c r="AJ322" i="11"/>
  <c r="AI322" i="11"/>
  <c r="I334" i="11"/>
  <c r="K1553" i="5" s="1"/>
  <c r="J1553" i="5" s="1"/>
  <c r="I342" i="11"/>
  <c r="K1561" i="5" s="1"/>
  <c r="J1561" i="5" s="1"/>
  <c r="I350" i="11"/>
  <c r="K1569" i="5" s="1"/>
  <c r="J1569" i="5" s="1"/>
  <c r="AJ354" i="11"/>
  <c r="AI354" i="11"/>
  <c r="AJ356" i="11"/>
  <c r="AI356" i="11"/>
  <c r="AJ360" i="11"/>
  <c r="AI360" i="11"/>
  <c r="AJ365" i="11"/>
  <c r="AI365" i="11"/>
  <c r="AJ380" i="11"/>
  <c r="AI380" i="11"/>
  <c r="AJ404" i="11"/>
  <c r="AI404" i="11"/>
  <c r="L460" i="11"/>
  <c r="Q460" i="11" s="1"/>
  <c r="J462" i="11"/>
  <c r="L462" i="11" s="1"/>
  <c r="Q462" i="11" s="1"/>
  <c r="D411" i="11"/>
  <c r="L466" i="11"/>
  <c r="Q466" i="11" s="1"/>
  <c r="AJ416" i="11"/>
  <c r="AI416" i="11"/>
  <c r="K390" i="11"/>
  <c r="C444" i="11"/>
  <c r="AJ431" i="11"/>
  <c r="AI431" i="11"/>
  <c r="E445" i="11"/>
  <c r="AJ445" i="11"/>
  <c r="AI445" i="11"/>
  <c r="AJ453" i="11"/>
  <c r="AI453" i="11"/>
  <c r="P460" i="11"/>
  <c r="D163" i="11"/>
  <c r="C163" i="11"/>
  <c r="AJ461" i="11"/>
  <c r="AI461" i="11"/>
  <c r="L483" i="11"/>
  <c r="AJ497" i="11"/>
  <c r="AI497" i="11"/>
  <c r="AJ513" i="11"/>
  <c r="AI513" i="11"/>
  <c r="AJ533" i="11"/>
  <c r="AI533" i="11"/>
  <c r="AJ567" i="11"/>
  <c r="AI567" i="11"/>
  <c r="AJ799" i="11"/>
  <c r="AI799" i="11"/>
  <c r="AJ807" i="11"/>
  <c r="AI807" i="11"/>
  <c r="AJ815" i="11"/>
  <c r="AI815" i="11"/>
  <c r="AJ818" i="11"/>
  <c r="AI818" i="11"/>
  <c r="AJ875" i="11"/>
  <c r="AI875" i="11"/>
  <c r="AJ938" i="11"/>
  <c r="AI938" i="11"/>
  <c r="AJ950" i="11"/>
  <c r="AI950" i="11"/>
  <c r="AJ958" i="11"/>
  <c r="AI958" i="11"/>
  <c r="AJ966" i="11"/>
  <c r="AI966" i="11"/>
  <c r="AJ974" i="11"/>
  <c r="AI974" i="11"/>
  <c r="AJ1002" i="11"/>
  <c r="AI1002" i="11"/>
  <c r="AJ1046" i="11"/>
  <c r="AI1046" i="11"/>
  <c r="AJ1054" i="11"/>
  <c r="AI1054" i="11"/>
  <c r="AJ1062" i="11"/>
  <c r="AI1062" i="11"/>
  <c r="G22" i="12"/>
  <c r="F35" i="12"/>
  <c r="F43" i="12"/>
  <c r="F51" i="12"/>
  <c r="D67" i="12" s="1"/>
  <c r="F59" i="12"/>
  <c r="F160" i="12"/>
  <c r="G160" i="12" s="1"/>
  <c r="K187" i="12"/>
  <c r="C217" i="12"/>
  <c r="C246" i="12"/>
  <c r="C245" i="12"/>
  <c r="C278" i="12"/>
  <c r="D2238" i="13"/>
  <c r="E376" i="12"/>
  <c r="I371" i="12"/>
  <c r="D2278" i="13"/>
  <c r="C429" i="12"/>
  <c r="E428" i="12"/>
  <c r="C433" i="12"/>
  <c r="D2300" i="13"/>
  <c r="E467" i="12"/>
  <c r="D2307" i="13"/>
  <c r="E474" i="12"/>
  <c r="I660" i="15"/>
  <c r="F661" i="14"/>
  <c r="I667" i="13"/>
  <c r="J660" i="15" s="1"/>
  <c r="I885" i="15"/>
  <c r="F886" i="14"/>
  <c r="I892" i="13"/>
  <c r="J885" i="15" s="1"/>
  <c r="B1089" i="15"/>
  <c r="B1090" i="14"/>
  <c r="E1090" i="15"/>
  <c r="G1090" i="15" s="1"/>
  <c r="B1093" i="15"/>
  <c r="B1094" i="14"/>
  <c r="E1094" i="15"/>
  <c r="G1094" i="15" s="1"/>
  <c r="B1097" i="15"/>
  <c r="B1098" i="14"/>
  <c r="E1098" i="15"/>
  <c r="G1098" i="15" s="1"/>
  <c r="B1101" i="15"/>
  <c r="B1102" i="14"/>
  <c r="E1102" i="15"/>
  <c r="G1102" i="15" s="1"/>
  <c r="B1105" i="15"/>
  <c r="B1106" i="14"/>
  <c r="E1106" i="15"/>
  <c r="G1106" i="15" s="1"/>
  <c r="B1109" i="15"/>
  <c r="B1110" i="14"/>
  <c r="E1110" i="15"/>
  <c r="G1110" i="15" s="1"/>
  <c r="B1113" i="15"/>
  <c r="B1114" i="14"/>
  <c r="E1114" i="15"/>
  <c r="G1114" i="15" s="1"/>
  <c r="B1117" i="15"/>
  <c r="B1118" i="14"/>
  <c r="B1121" i="15"/>
  <c r="B1122" i="14"/>
  <c r="C1124" i="15"/>
  <c r="C1125" i="14"/>
  <c r="B1126" i="15"/>
  <c r="B1127" i="14"/>
  <c r="E1126" i="15"/>
  <c r="G1126" i="15" s="1"/>
  <c r="C1127" i="15"/>
  <c r="C1128" i="14"/>
  <c r="B1129" i="15"/>
  <c r="B1130" i="14"/>
  <c r="E292" i="7"/>
  <c r="A295" i="7"/>
  <c r="B1134" i="15"/>
  <c r="B1135" i="14"/>
  <c r="E1134" i="15"/>
  <c r="G1134" i="15" s="1"/>
  <c r="A299" i="7"/>
  <c r="B1138" i="15"/>
  <c r="B1139" i="14"/>
  <c r="E1138" i="15"/>
  <c r="G1138" i="15" s="1"/>
  <c r="A303" i="7"/>
  <c r="B1142" i="15"/>
  <c r="B1143" i="14"/>
  <c r="E1142" i="15"/>
  <c r="G1142" i="15" s="1"/>
  <c r="A307" i="7"/>
  <c r="B1146" i="15"/>
  <c r="B1147" i="14"/>
  <c r="E1146" i="15"/>
  <c r="G1146" i="15" s="1"/>
  <c r="A311" i="7"/>
  <c r="B1150" i="15"/>
  <c r="B1151" i="14"/>
  <c r="E1150" i="15"/>
  <c r="G1150" i="15" s="1"/>
  <c r="A315" i="7"/>
  <c r="B1154" i="15"/>
  <c r="B1155" i="14"/>
  <c r="E1154" i="15"/>
  <c r="G1154" i="15" s="1"/>
  <c r="C1156" i="15"/>
  <c r="C1157" i="14"/>
  <c r="C1158" i="15"/>
  <c r="C1159" i="14"/>
  <c r="C1160" i="15"/>
  <c r="C1161" i="14"/>
  <c r="C1162" i="15"/>
  <c r="C1163" i="14"/>
  <c r="B332" i="7"/>
  <c r="C1173" i="13" s="1"/>
  <c r="C1168" i="15"/>
  <c r="C1169" i="14"/>
  <c r="C1170" i="15"/>
  <c r="C1171" i="14"/>
  <c r="B1238" i="15"/>
  <c r="B1239" i="14"/>
  <c r="B1239" i="15"/>
  <c r="B1240" i="14"/>
  <c r="B1240" i="15"/>
  <c r="B1241" i="14"/>
  <c r="B127" i="15"/>
  <c r="B128" i="14"/>
  <c r="E128" i="15"/>
  <c r="G128" i="15" s="1"/>
  <c r="B130" i="15"/>
  <c r="B131" i="14"/>
  <c r="D2461" i="15"/>
  <c r="K2469" i="13"/>
  <c r="H2469" i="13"/>
  <c r="I141" i="15"/>
  <c r="F142" i="14"/>
  <c r="H150" i="13"/>
  <c r="I141" i="13"/>
  <c r="J141" i="15" s="1"/>
  <c r="H142" i="13"/>
  <c r="C151" i="15"/>
  <c r="C152" i="14"/>
  <c r="B152" i="15"/>
  <c r="B153" i="14"/>
  <c r="B145" i="15"/>
  <c r="B146" i="14"/>
  <c r="E153" i="15"/>
  <c r="G153" i="15" s="1"/>
  <c r="C154" i="15"/>
  <c r="C155" i="14"/>
  <c r="B147" i="15"/>
  <c r="B148" i="14"/>
  <c r="E155" i="15"/>
  <c r="G155" i="15" s="1"/>
  <c r="C156" i="15"/>
  <c r="C157" i="14"/>
  <c r="B157" i="15"/>
  <c r="B158" i="14"/>
  <c r="B161" i="15"/>
  <c r="B162" i="14"/>
  <c r="E170" i="15"/>
  <c r="G170" i="15" s="1"/>
  <c r="G170" i="13"/>
  <c r="D162" i="15"/>
  <c r="D163" i="14"/>
  <c r="K162" i="13"/>
  <c r="C171" i="15"/>
  <c r="C172" i="14"/>
  <c r="B163" i="15"/>
  <c r="B164" i="14"/>
  <c r="C173" i="15"/>
  <c r="C174" i="14"/>
  <c r="A309" i="8"/>
  <c r="B165" i="13" s="1"/>
  <c r="C310" i="8"/>
  <c r="C175" i="15"/>
  <c r="C176" i="14"/>
  <c r="B180" i="15"/>
  <c r="B181" i="14"/>
  <c r="E200" i="15"/>
  <c r="G200" i="15" s="1"/>
  <c r="B184" i="15"/>
  <c r="B185" i="14"/>
  <c r="E204" i="15"/>
  <c r="G204" i="15" s="1"/>
  <c r="E186" i="15"/>
  <c r="G186" i="15" s="1"/>
  <c r="B188" i="15"/>
  <c r="B189" i="14"/>
  <c r="E208" i="15"/>
  <c r="G208" i="15" s="1"/>
  <c r="E190" i="15"/>
  <c r="G190" i="15" s="1"/>
  <c r="B192" i="15"/>
  <c r="B193" i="14"/>
  <c r="D2440" i="15"/>
  <c r="K2448" i="13"/>
  <c r="D2345" i="15"/>
  <c r="K2352" i="13"/>
  <c r="D2346" i="15"/>
  <c r="K2353" i="13"/>
  <c r="E240" i="15"/>
  <c r="G240" i="15" s="1"/>
  <c r="E241" i="15"/>
  <c r="G241" i="15" s="1"/>
  <c r="E242" i="15"/>
  <c r="G242" i="15" s="1"/>
  <c r="E244" i="15"/>
  <c r="G244" i="15" s="1"/>
  <c r="E245" i="15"/>
  <c r="G245" i="15" s="1"/>
  <c r="E246" i="15"/>
  <c r="G246" i="15" s="1"/>
  <c r="E247" i="15"/>
  <c r="G247" i="15" s="1"/>
  <c r="E248" i="15"/>
  <c r="G248" i="15" s="1"/>
  <c r="E249" i="15"/>
  <c r="G249" i="15" s="1"/>
  <c r="E250" i="15"/>
  <c r="G250" i="15" s="1"/>
  <c r="E251" i="15"/>
  <c r="G251" i="15" s="1"/>
  <c r="E252" i="15"/>
  <c r="G252" i="15" s="1"/>
  <c r="E253" i="15"/>
  <c r="G253" i="15" s="1"/>
  <c r="C233" i="15"/>
  <c r="C234" i="14"/>
  <c r="B234" i="15"/>
  <c r="B235" i="14"/>
  <c r="B258" i="15"/>
  <c r="B259" i="14"/>
  <c r="B283" i="15"/>
  <c r="B284" i="14"/>
  <c r="B259" i="15"/>
  <c r="B260" i="14"/>
  <c r="B284" i="15"/>
  <c r="B285" i="14"/>
  <c r="B260" i="15"/>
  <c r="B261" i="14"/>
  <c r="B285" i="15"/>
  <c r="B286" i="14"/>
  <c r="B261" i="15"/>
  <c r="B262" i="14"/>
  <c r="B286" i="15"/>
  <c r="B287" i="14"/>
  <c r="B262" i="15"/>
  <c r="B263" i="14"/>
  <c r="E290" i="15"/>
  <c r="G290" i="15" s="1"/>
  <c r="E266" i="15"/>
  <c r="G266" i="15" s="1"/>
  <c r="E291" i="15"/>
  <c r="G291" i="15" s="1"/>
  <c r="E267" i="15"/>
  <c r="G267" i="15" s="1"/>
  <c r="E292" i="15"/>
  <c r="G292" i="15" s="1"/>
  <c r="E268" i="15"/>
  <c r="G268" i="15" s="1"/>
  <c r="E293" i="15"/>
  <c r="G293" i="15" s="1"/>
  <c r="E269" i="15"/>
  <c r="G269" i="15" s="1"/>
  <c r="E294" i="15"/>
  <c r="G294" i="15" s="1"/>
  <c r="E270" i="15"/>
  <c r="G270" i="15" s="1"/>
  <c r="D2356" i="15"/>
  <c r="K2363" i="13"/>
  <c r="H2363" i="13"/>
  <c r="B16" i="15"/>
  <c r="B17" i="14"/>
  <c r="E28" i="15"/>
  <c r="G28" i="15" s="1"/>
  <c r="E18" i="15"/>
  <c r="G18" i="15" s="1"/>
  <c r="B20" i="15"/>
  <c r="B21" i="14"/>
  <c r="E32" i="15"/>
  <c r="G32" i="15" s="1"/>
  <c r="E22" i="15"/>
  <c r="G22" i="15" s="1"/>
  <c r="E56" i="15"/>
  <c r="G56" i="15" s="1"/>
  <c r="E37" i="15"/>
  <c r="G37" i="15" s="1"/>
  <c r="B39" i="15"/>
  <c r="B40" i="14"/>
  <c r="E60" i="15"/>
  <c r="G60" i="15" s="1"/>
  <c r="B43" i="15"/>
  <c r="B44" i="14"/>
  <c r="E64" i="15"/>
  <c r="G64" i="15" s="1"/>
  <c r="E45" i="15"/>
  <c r="G45" i="15" s="1"/>
  <c r="B47" i="15"/>
  <c r="B48" i="14"/>
  <c r="E68" i="15"/>
  <c r="G68" i="15" s="1"/>
  <c r="E49" i="15"/>
  <c r="G49" i="15" s="1"/>
  <c r="E73" i="15"/>
  <c r="G73" i="15" s="1"/>
  <c r="B75" i="15"/>
  <c r="B76" i="14"/>
  <c r="B91" i="15"/>
  <c r="B92" i="14"/>
  <c r="B76" i="15"/>
  <c r="B77" i="14"/>
  <c r="E93" i="15"/>
  <c r="G93" i="15" s="1"/>
  <c r="E78" i="15"/>
  <c r="G78" i="15" s="1"/>
  <c r="E94" i="15"/>
  <c r="G94" i="15" s="1"/>
  <c r="E79" i="15"/>
  <c r="G79" i="15" s="1"/>
  <c r="B81" i="15"/>
  <c r="B82" i="14"/>
  <c r="B101" i="15"/>
  <c r="B102" i="14"/>
  <c r="E115" i="15"/>
  <c r="G115" i="15" s="1"/>
  <c r="E103" i="15"/>
  <c r="G103" i="15" s="1"/>
  <c r="B105" i="15"/>
  <c r="B106" i="14"/>
  <c r="E119" i="15"/>
  <c r="G119" i="15" s="1"/>
  <c r="E107" i="15"/>
  <c r="G107" i="15" s="1"/>
  <c r="B110" i="15"/>
  <c r="B111" i="14"/>
  <c r="E1458" i="15"/>
  <c r="G1458" i="15" s="1"/>
  <c r="E1406" i="15"/>
  <c r="G1406" i="15" s="1"/>
  <c r="E1408" i="15"/>
  <c r="G1408" i="15" s="1"/>
  <c r="B1414" i="15"/>
  <c r="B1415" i="14"/>
  <c r="E1466" i="15"/>
  <c r="G1466" i="15" s="1"/>
  <c r="E1416" i="15"/>
  <c r="G1416" i="15" s="1"/>
  <c r="B1418" i="15"/>
  <c r="B1419" i="14"/>
  <c r="B1469" i="15"/>
  <c r="B1470" i="14"/>
  <c r="B1419" i="15"/>
  <c r="B1420" i="14"/>
  <c r="E1420" i="15"/>
  <c r="G1420" i="15" s="1"/>
  <c r="B1425" i="15"/>
  <c r="B1426" i="14"/>
  <c r="E1426" i="15"/>
  <c r="G1426" i="15" s="1"/>
  <c r="G1433" i="13"/>
  <c r="E1427" i="15"/>
  <c r="G1427" i="15" s="1"/>
  <c r="C1430" i="15"/>
  <c r="C1431" i="14"/>
  <c r="B1431" i="15"/>
  <c r="B1432" i="14"/>
  <c r="E1432" i="15"/>
  <c r="G1432" i="15" s="1"/>
  <c r="E1433" i="15"/>
  <c r="G1433" i="15" s="1"/>
  <c r="H1440" i="13"/>
  <c r="G1440" i="13"/>
  <c r="C1435" i="15"/>
  <c r="C1436" i="14"/>
  <c r="C1436" i="15"/>
  <c r="C1437" i="14"/>
  <c r="B1437" i="15"/>
  <c r="B1438" i="14"/>
  <c r="E1438" i="15"/>
  <c r="G1438" i="15" s="1"/>
  <c r="E1439" i="15"/>
  <c r="G1439" i="15" s="1"/>
  <c r="B1443" i="15"/>
  <c r="B1444" i="14"/>
  <c r="B1444" i="15"/>
  <c r="B1445" i="14"/>
  <c r="B1445" i="15"/>
  <c r="B1446" i="14"/>
  <c r="D1449" i="15"/>
  <c r="D1450" i="14"/>
  <c r="H1456" i="13"/>
  <c r="K1456" i="13"/>
  <c r="D1450" i="15"/>
  <c r="D1451" i="14"/>
  <c r="H1457" i="13"/>
  <c r="K1457" i="13"/>
  <c r="D2384" i="15"/>
  <c r="K2391" i="13"/>
  <c r="H2391" i="13"/>
  <c r="D2385" i="15"/>
  <c r="K2392" i="13"/>
  <c r="H2392" i="13"/>
  <c r="D2453" i="15"/>
  <c r="K2461" i="13"/>
  <c r="H2461" i="13"/>
  <c r="B1478" i="15"/>
  <c r="B1479" i="14"/>
  <c r="B1479" i="15"/>
  <c r="B1480" i="14"/>
  <c r="B1525" i="15"/>
  <c r="B1526" i="14"/>
  <c r="B1480" i="15"/>
  <c r="B1481" i="14"/>
  <c r="B1526" i="15"/>
  <c r="B1527" i="14"/>
  <c r="C350" i="9"/>
  <c r="D351" i="9"/>
  <c r="E1489" i="13" s="1"/>
  <c r="E1528" i="15"/>
  <c r="G1528" i="15" s="1"/>
  <c r="E1483" i="15"/>
  <c r="G1483" i="15" s="1"/>
  <c r="E1529" i="15"/>
  <c r="G1529" i="15" s="1"/>
  <c r="E1484" i="15"/>
  <c r="G1484" i="15" s="1"/>
  <c r="E1530" i="15"/>
  <c r="G1530" i="15" s="1"/>
  <c r="E1531" i="15"/>
  <c r="G1531" i="15" s="1"/>
  <c r="E1532" i="15"/>
  <c r="G1532" i="15" s="1"/>
  <c r="E1487" i="15"/>
  <c r="G1487" i="15" s="1"/>
  <c r="E1533" i="15"/>
  <c r="G1533" i="15" s="1"/>
  <c r="B1489" i="15"/>
  <c r="B1490" i="14"/>
  <c r="E1536" i="15"/>
  <c r="G1536" i="15" s="1"/>
  <c r="B1492" i="15"/>
  <c r="B1493" i="14"/>
  <c r="B1538" i="15"/>
  <c r="B1539" i="14"/>
  <c r="B1493" i="15"/>
  <c r="B1494" i="14"/>
  <c r="B1539" i="15"/>
  <c r="B1540" i="14"/>
  <c r="B1494" i="15"/>
  <c r="B1495" i="14"/>
  <c r="B1540" i="15"/>
  <c r="B1541" i="14"/>
  <c r="B1495" i="15"/>
  <c r="B1496" i="14"/>
  <c r="B1496" i="15"/>
  <c r="B1497" i="14"/>
  <c r="B1497" i="15"/>
  <c r="B1498" i="14"/>
  <c r="B1498" i="15"/>
  <c r="B1499" i="14"/>
  <c r="B1499" i="15"/>
  <c r="B1500" i="14"/>
  <c r="B1500" i="15"/>
  <c r="B1501" i="14"/>
  <c r="E1502" i="15"/>
  <c r="G1502" i="15" s="1"/>
  <c r="G1509" i="13"/>
  <c r="H1509" i="13"/>
  <c r="E1503" i="15"/>
  <c r="G1503" i="15" s="1"/>
  <c r="E1504" i="15"/>
  <c r="G1504" i="15" s="1"/>
  <c r="E1505" i="15"/>
  <c r="G1505" i="15" s="1"/>
  <c r="E1506" i="15"/>
  <c r="G1506" i="15" s="1"/>
  <c r="B1513" i="15"/>
  <c r="B1514" i="14"/>
  <c r="D1515" i="15"/>
  <c r="D1516" i="14"/>
  <c r="K1522" i="13"/>
  <c r="H1522" i="13"/>
  <c r="D1516" i="15"/>
  <c r="D1517" i="14"/>
  <c r="K1523" i="13"/>
  <c r="H1523" i="13"/>
  <c r="B1546" i="15"/>
  <c r="B1547" i="14"/>
  <c r="D434" i="9"/>
  <c r="E1554" i="13" s="1"/>
  <c r="E1600" i="15"/>
  <c r="G1600" i="15" s="1"/>
  <c r="E1550" i="15"/>
  <c r="G1550" i="15" s="1"/>
  <c r="B1552" i="15"/>
  <c r="B1553" i="14"/>
  <c r="B1603" i="15"/>
  <c r="B1604" i="14"/>
  <c r="B1553" i="15"/>
  <c r="B1554" i="14"/>
  <c r="E1554" i="15"/>
  <c r="G1554" i="15" s="1"/>
  <c r="B1556" i="15"/>
  <c r="B1557" i="14"/>
  <c r="E1608" i="15"/>
  <c r="G1608" i="15" s="1"/>
  <c r="B1559" i="15"/>
  <c r="B1560" i="14"/>
  <c r="E1560" i="15"/>
  <c r="G1560" i="15" s="1"/>
  <c r="E1611" i="15"/>
  <c r="G1611" i="15" s="1"/>
  <c r="C1562" i="15"/>
  <c r="C1563" i="14"/>
  <c r="C1563" i="15"/>
  <c r="C1564" i="14"/>
  <c r="C1564" i="15"/>
  <c r="C1565" i="14"/>
  <c r="C1565" i="15"/>
  <c r="C1566" i="14"/>
  <c r="B1566" i="15"/>
  <c r="B1567" i="14"/>
  <c r="B1567" i="15"/>
  <c r="B1568" i="14"/>
  <c r="E1568" i="15"/>
  <c r="G1568" i="15" s="1"/>
  <c r="C1570" i="15"/>
  <c r="C1571" i="14"/>
  <c r="B1571" i="15"/>
  <c r="B1572" i="14"/>
  <c r="B1572" i="15"/>
  <c r="B1573" i="14"/>
  <c r="E1574" i="15"/>
  <c r="G1574" i="15" s="1"/>
  <c r="C1576" i="15"/>
  <c r="C1577" i="14"/>
  <c r="B1577" i="15"/>
  <c r="B1578" i="14"/>
  <c r="B1578" i="15"/>
  <c r="B1579" i="14"/>
  <c r="E1580" i="15"/>
  <c r="G1580" i="15" s="1"/>
  <c r="H1587" i="13"/>
  <c r="G1587" i="13"/>
  <c r="E1581" i="15"/>
  <c r="G1581" i="15" s="1"/>
  <c r="E1582" i="15"/>
  <c r="G1582" i="15" s="1"/>
  <c r="B1585" i="15"/>
  <c r="B1586" i="14"/>
  <c r="B1586" i="15"/>
  <c r="B1587" i="14"/>
  <c r="B1587" i="15"/>
  <c r="B1588" i="14"/>
  <c r="B1588" i="15"/>
  <c r="B1589" i="14"/>
  <c r="B1589" i="15"/>
  <c r="B1590" i="14"/>
  <c r="B1590" i="15"/>
  <c r="B1591" i="14"/>
  <c r="B1591" i="15"/>
  <c r="B1592" i="14"/>
  <c r="B1592" i="15"/>
  <c r="B1593" i="14"/>
  <c r="B1593" i="15"/>
  <c r="B1594" i="14"/>
  <c r="D2455" i="15"/>
  <c r="K2463" i="13"/>
  <c r="H2463" i="13"/>
  <c r="E1660" i="15"/>
  <c r="G1660" i="15" s="1"/>
  <c r="B1632" i="15"/>
  <c r="B1633" i="14"/>
  <c r="E1633" i="15"/>
  <c r="G1633" i="15" s="1"/>
  <c r="C1635" i="15"/>
  <c r="C1636" i="14"/>
  <c r="B1636" i="15"/>
  <c r="B1637" i="14"/>
  <c r="E528" i="9"/>
  <c r="E1638" i="15"/>
  <c r="G1638" i="15" s="1"/>
  <c r="C1641" i="15"/>
  <c r="C1642" i="14"/>
  <c r="C1642" i="15"/>
  <c r="C1643" i="14"/>
  <c r="B1643" i="15"/>
  <c r="B1644" i="14"/>
  <c r="B1644" i="15"/>
  <c r="B1645" i="14"/>
  <c r="E1645" i="15"/>
  <c r="G1645" i="15" s="1"/>
  <c r="E1646" i="15"/>
  <c r="G1646" i="15" s="1"/>
  <c r="G1653" i="13"/>
  <c r="C1648" i="15"/>
  <c r="C1649" i="14"/>
  <c r="B1649" i="15"/>
  <c r="B1650" i="14"/>
  <c r="D2391" i="15"/>
  <c r="K2398" i="13"/>
  <c r="E1752" i="15"/>
  <c r="G1752" i="15" s="1"/>
  <c r="E1799" i="15"/>
  <c r="G1799" i="15" s="1"/>
  <c r="E1753" i="15"/>
  <c r="G1753" i="15" s="1"/>
  <c r="E1800" i="15"/>
  <c r="G1800" i="15" s="1"/>
  <c r="E1754" i="15"/>
  <c r="G1754" i="15" s="1"/>
  <c r="E1801" i="15"/>
  <c r="G1801" i="15" s="1"/>
  <c r="E1755" i="15"/>
  <c r="G1755" i="15" s="1"/>
  <c r="E1802" i="15"/>
  <c r="G1802" i="15" s="1"/>
  <c r="E1756" i="15"/>
  <c r="G1756" i="15" s="1"/>
  <c r="E1803" i="15"/>
  <c r="G1803" i="15" s="1"/>
  <c r="E1758" i="15"/>
  <c r="G1758" i="15" s="1"/>
  <c r="E1805" i="15"/>
  <c r="G1805" i="15" s="1"/>
  <c r="E1759" i="15"/>
  <c r="G1759" i="15" s="1"/>
  <c r="G1766" i="13"/>
  <c r="E1806" i="15"/>
  <c r="G1806" i="15" s="1"/>
  <c r="C1761" i="15"/>
  <c r="C1762" i="14"/>
  <c r="B1762" i="15"/>
  <c r="B1763" i="14"/>
  <c r="B1763" i="15"/>
  <c r="B1764" i="14"/>
  <c r="E595" i="9"/>
  <c r="E1766" i="15"/>
  <c r="G1766" i="15" s="1"/>
  <c r="C1768" i="15"/>
  <c r="C1769" i="14"/>
  <c r="B1769" i="15"/>
  <c r="B1770" i="14"/>
  <c r="E1770" i="15"/>
  <c r="G1770" i="15" s="1"/>
  <c r="C1772" i="15"/>
  <c r="C1773" i="14"/>
  <c r="B1773" i="15"/>
  <c r="B1774" i="14"/>
  <c r="E1774" i="15"/>
  <c r="G1774" i="15" s="1"/>
  <c r="E1775" i="15"/>
  <c r="G1775" i="15" s="1"/>
  <c r="G1782" i="13"/>
  <c r="E1776" i="15"/>
  <c r="G1776" i="15" s="1"/>
  <c r="E608" i="9"/>
  <c r="E613" i="9"/>
  <c r="D2395" i="15"/>
  <c r="K2402" i="13"/>
  <c r="B1330" i="15"/>
  <c r="B1331" i="14"/>
  <c r="E1331" i="15"/>
  <c r="G1331" i="15" s="1"/>
  <c r="C1332" i="15"/>
  <c r="C1333" i="14"/>
  <c r="B1385" i="15"/>
  <c r="B1386" i="14"/>
  <c r="D650" i="9"/>
  <c r="E1340" i="13" s="1"/>
  <c r="C1334" i="15"/>
  <c r="C1335" i="14"/>
  <c r="B1387" i="15"/>
  <c r="B1388" i="14"/>
  <c r="E1335" i="15"/>
  <c r="G1335" i="15" s="1"/>
  <c r="C1389" i="15"/>
  <c r="C1390" i="14"/>
  <c r="B1337" i="15"/>
  <c r="B1338" i="14"/>
  <c r="B1338" i="15"/>
  <c r="B1339" i="14"/>
  <c r="B1339" i="15"/>
  <c r="B1340" i="14"/>
  <c r="E1390" i="15"/>
  <c r="G1390" i="15" s="1"/>
  <c r="C1391" i="15"/>
  <c r="C1392" i="14"/>
  <c r="B1341" i="15"/>
  <c r="B1342" i="14"/>
  <c r="J658" i="9"/>
  <c r="E1399" i="13" s="1"/>
  <c r="C1393" i="15"/>
  <c r="C1394" i="14"/>
  <c r="B1343" i="15"/>
  <c r="B1344" i="14"/>
  <c r="E1394" i="15"/>
  <c r="G1394" i="15" s="1"/>
  <c r="C1395" i="15"/>
  <c r="C1396" i="14"/>
  <c r="A662" i="9"/>
  <c r="B1352" i="13" s="1"/>
  <c r="E1396" i="15"/>
  <c r="G1396" i="15" s="1"/>
  <c r="C1397" i="15"/>
  <c r="C1398" i="14"/>
  <c r="B1347" i="15"/>
  <c r="B1348" i="14"/>
  <c r="C1399" i="15"/>
  <c r="C1400" i="14"/>
  <c r="B1349" i="15"/>
  <c r="B1350" i="14"/>
  <c r="E1350" i="15"/>
  <c r="G1350" i="15" s="1"/>
  <c r="G1357" i="13"/>
  <c r="E1351" i="15"/>
  <c r="G1351" i="15" s="1"/>
  <c r="G1358" i="13"/>
  <c r="D669" i="9"/>
  <c r="C1354" i="15"/>
  <c r="C1355" i="14"/>
  <c r="B1355" i="15"/>
  <c r="B1356" i="14"/>
  <c r="E1356" i="15"/>
  <c r="G1356" i="15" s="1"/>
  <c r="C1358" i="15"/>
  <c r="C1359" i="14"/>
  <c r="B1359" i="15"/>
  <c r="B1360" i="14"/>
  <c r="B1360" i="15"/>
  <c r="B1361" i="14"/>
  <c r="E678" i="9"/>
  <c r="E1362" i="15"/>
  <c r="G1362" i="15" s="1"/>
  <c r="C1364" i="15"/>
  <c r="C1365" i="14"/>
  <c r="B1365" i="15"/>
  <c r="B1366" i="14"/>
  <c r="C1368" i="15"/>
  <c r="C1369" i="14"/>
  <c r="A686" i="9"/>
  <c r="B1376" i="13" s="1"/>
  <c r="E1370" i="15"/>
  <c r="G1370" i="15" s="1"/>
  <c r="C1372" i="15"/>
  <c r="C1373" i="14"/>
  <c r="E1374" i="15"/>
  <c r="G1374" i="15" s="1"/>
  <c r="G1381" i="13"/>
  <c r="D1375" i="15"/>
  <c r="D1376" i="14"/>
  <c r="K1382" i="13"/>
  <c r="H1382" i="13"/>
  <c r="C1376" i="15"/>
  <c r="C1377" i="14"/>
  <c r="E1378" i="15"/>
  <c r="G1378" i="15" s="1"/>
  <c r="C1380" i="15"/>
  <c r="C1381" i="14"/>
  <c r="C1381" i="15"/>
  <c r="C1382" i="14"/>
  <c r="E699" i="9"/>
  <c r="D2460" i="15"/>
  <c r="K2468" i="13"/>
  <c r="H2468" i="13"/>
  <c r="AJ177" i="11"/>
  <c r="AI177" i="11"/>
  <c r="AJ200" i="11"/>
  <c r="AI200" i="11"/>
  <c r="AJ201" i="11"/>
  <c r="AI201" i="11"/>
  <c r="AJ202" i="11"/>
  <c r="AI202" i="11"/>
  <c r="AJ203" i="11"/>
  <c r="AI203" i="11"/>
  <c r="AJ210" i="11"/>
  <c r="AI210" i="11"/>
  <c r="AJ228" i="11"/>
  <c r="AI228" i="11"/>
  <c r="AJ260" i="11"/>
  <c r="AI260" i="11"/>
  <c r="AJ272" i="11"/>
  <c r="AI272" i="11"/>
  <c r="AJ283" i="11"/>
  <c r="AI283" i="11"/>
  <c r="AJ290" i="11"/>
  <c r="AI290" i="11"/>
  <c r="AJ315" i="11"/>
  <c r="AI315" i="11"/>
  <c r="AJ318" i="11"/>
  <c r="AI318" i="11"/>
  <c r="AJ330" i="11"/>
  <c r="AI330" i="11"/>
  <c r="AJ338" i="11"/>
  <c r="AI338" i="11"/>
  <c r="AJ346" i="11"/>
  <c r="AI346" i="11"/>
  <c r="AJ367" i="11"/>
  <c r="AI367" i="11"/>
  <c r="AJ400" i="11"/>
  <c r="AI400" i="11"/>
  <c r="D416" i="11"/>
  <c r="J467" i="11"/>
  <c r="L467" i="11" s="1"/>
  <c r="Q467" i="11" s="1"/>
  <c r="AJ462" i="11"/>
  <c r="AI462" i="11"/>
  <c r="AJ509" i="11"/>
  <c r="AI509" i="11"/>
  <c r="AJ529" i="11"/>
  <c r="AI529" i="11"/>
  <c r="AJ535" i="11"/>
  <c r="AI535" i="11"/>
  <c r="AJ543" i="11"/>
  <c r="AI543" i="11"/>
  <c r="AJ551" i="11"/>
  <c r="AI551" i="11"/>
  <c r="AJ563" i="11"/>
  <c r="AI563" i="11"/>
  <c r="AJ750" i="11"/>
  <c r="AI750" i="11"/>
  <c r="AJ813" i="11"/>
  <c r="AI813" i="11"/>
  <c r="AJ829" i="11"/>
  <c r="AI829" i="11"/>
  <c r="AJ832" i="11"/>
  <c r="AI832" i="11"/>
  <c r="AJ835" i="11"/>
  <c r="AI835" i="11"/>
  <c r="AJ847" i="11"/>
  <c r="AI847" i="11"/>
  <c r="AJ855" i="11"/>
  <c r="AI855" i="11"/>
  <c r="AJ863" i="11"/>
  <c r="AI863" i="11"/>
  <c r="AJ894" i="11"/>
  <c r="AI894" i="11"/>
  <c r="AJ902" i="11"/>
  <c r="AI902" i="11"/>
  <c r="AJ910" i="11"/>
  <c r="AI910" i="11"/>
  <c r="AJ918" i="11"/>
  <c r="AI918" i="11"/>
  <c r="AJ926" i="11"/>
  <c r="AI926" i="11"/>
  <c r="AJ934" i="11"/>
  <c r="AI934" i="11"/>
  <c r="AJ982" i="11"/>
  <c r="AI982" i="11"/>
  <c r="AJ990" i="11"/>
  <c r="AI990" i="11"/>
  <c r="AJ998" i="11"/>
  <c r="AI998" i="11"/>
  <c r="AJ1010" i="11"/>
  <c r="AI1010" i="11"/>
  <c r="AJ1018" i="11"/>
  <c r="AI1018" i="11"/>
  <c r="AJ1026" i="11"/>
  <c r="AI1026" i="11"/>
  <c r="AJ1034" i="11"/>
  <c r="AI1034" i="11"/>
  <c r="G19" i="12"/>
  <c r="G25" i="12"/>
  <c r="F215" i="12"/>
  <c r="D2244" i="13"/>
  <c r="E382" i="12"/>
  <c r="I370" i="12"/>
  <c r="D2297" i="13"/>
  <c r="I464" i="12"/>
  <c r="E464" i="12"/>
  <c r="E2304" i="13"/>
  <c r="E471" i="12"/>
  <c r="I352" i="15"/>
  <c r="F353" i="14"/>
  <c r="I359" i="13"/>
  <c r="J352" i="15" s="1"/>
  <c r="I600" i="15"/>
  <c r="F601" i="14"/>
  <c r="I607" i="13"/>
  <c r="J600" i="15" s="1"/>
  <c r="I737" i="15"/>
  <c r="F738" i="14"/>
  <c r="I744" i="13"/>
  <c r="J737" i="15" s="1"/>
  <c r="I848" i="15"/>
  <c r="F849" i="14"/>
  <c r="I855" i="13"/>
  <c r="J848" i="15" s="1"/>
  <c r="C833" i="15"/>
  <c r="C834" i="14"/>
  <c r="C841" i="15"/>
  <c r="C842" i="14"/>
  <c r="E886" i="15"/>
  <c r="G886" i="15" s="1"/>
  <c r="E787" i="15"/>
  <c r="G787" i="15" s="1"/>
  <c r="E812" i="15"/>
  <c r="G812" i="15" s="1"/>
  <c r="E791" i="15"/>
  <c r="G791" i="15" s="1"/>
  <c r="B793" i="15"/>
  <c r="B794" i="14"/>
  <c r="C750" i="15"/>
  <c r="C751" i="14"/>
  <c r="B775" i="15"/>
  <c r="B776" i="14"/>
  <c r="C753" i="15"/>
  <c r="C754" i="14"/>
  <c r="C754" i="15"/>
  <c r="C755" i="14"/>
  <c r="C755" i="15"/>
  <c r="C756" i="14"/>
  <c r="C756" i="15"/>
  <c r="C757" i="14"/>
  <c r="H1815" i="13"/>
  <c r="H1249" i="13"/>
  <c r="B1244" i="15"/>
  <c r="B1245" i="14"/>
  <c r="E1273" i="15"/>
  <c r="G1273" i="15" s="1"/>
  <c r="E1246" i="15"/>
  <c r="G1246" i="15" s="1"/>
  <c r="E1274" i="15"/>
  <c r="G1274" i="15" s="1"/>
  <c r="E1275" i="15"/>
  <c r="G1275" i="15" s="1"/>
  <c r="E1253" i="15"/>
  <c r="G1253" i="15" s="1"/>
  <c r="D1254" i="15"/>
  <c r="D1255" i="14"/>
  <c r="K1261" i="13"/>
  <c r="C1255" i="15"/>
  <c r="C1256" i="14"/>
  <c r="B1256" i="15"/>
  <c r="B1257" i="14"/>
  <c r="D1258" i="15"/>
  <c r="D1259" i="14"/>
  <c r="K1265" i="13"/>
  <c r="C1259" i="15"/>
  <c r="C1260" i="14"/>
  <c r="B1260" i="15"/>
  <c r="B1261" i="14"/>
  <c r="D1262" i="15"/>
  <c r="D1263" i="14"/>
  <c r="K1269" i="13"/>
  <c r="C1263" i="15"/>
  <c r="C1264" i="14"/>
  <c r="D2458" i="15"/>
  <c r="K2466" i="13"/>
  <c r="E1853" i="15"/>
  <c r="G1853" i="15" s="1"/>
  <c r="E1854" i="15"/>
  <c r="G1854" i="15" s="1"/>
  <c r="E1855" i="15"/>
  <c r="G1855" i="15" s="1"/>
  <c r="E1856" i="15"/>
  <c r="G1856" i="15" s="1"/>
  <c r="B1858" i="15"/>
  <c r="B1859" i="14"/>
  <c r="E1817" i="15"/>
  <c r="G1817" i="15" s="1"/>
  <c r="E1860" i="15"/>
  <c r="G1860" i="15" s="1"/>
  <c r="E1819" i="15"/>
  <c r="G1819" i="15" s="1"/>
  <c r="E1862" i="15"/>
  <c r="G1862" i="15" s="1"/>
  <c r="C1821" i="15"/>
  <c r="C1822" i="14"/>
  <c r="B1864" i="15"/>
  <c r="B1865" i="14"/>
  <c r="B1822" i="15"/>
  <c r="B1823" i="14"/>
  <c r="E1824" i="15"/>
  <c r="G1824" i="15" s="1"/>
  <c r="C1827" i="15"/>
  <c r="C1828" i="14"/>
  <c r="B1828" i="15"/>
  <c r="B1829" i="14"/>
  <c r="E1829" i="15"/>
  <c r="G1829" i="15" s="1"/>
  <c r="C1831" i="15"/>
  <c r="C1832" i="14"/>
  <c r="B1832" i="15"/>
  <c r="B1833" i="14"/>
  <c r="E1833" i="15"/>
  <c r="G1833" i="15" s="1"/>
  <c r="C1835" i="15"/>
  <c r="C1836" i="14"/>
  <c r="B1836" i="15"/>
  <c r="B1837" i="14"/>
  <c r="D2177" i="5"/>
  <c r="E2403" i="13" s="1"/>
  <c r="E2396" i="15" s="1"/>
  <c r="G2396" i="15" s="1"/>
  <c r="D2397" i="15"/>
  <c r="K2404" i="13"/>
  <c r="C1310" i="15"/>
  <c r="C1311" i="14"/>
  <c r="E1323" i="15"/>
  <c r="G1323" i="15" s="1"/>
  <c r="E1324" i="15"/>
  <c r="G1324" i="15" s="1"/>
  <c r="E1325" i="15"/>
  <c r="G1325" i="15" s="1"/>
  <c r="J2206" i="5"/>
  <c r="B1869" i="15"/>
  <c r="B1870" i="14"/>
  <c r="L2279" i="5"/>
  <c r="E1916" i="13" s="1"/>
  <c r="C1911" i="15"/>
  <c r="C1912" i="14"/>
  <c r="B1873" i="15"/>
  <c r="B1874" i="14"/>
  <c r="C1913" i="15"/>
  <c r="C1914" i="14"/>
  <c r="B1875" i="15"/>
  <c r="B1876" i="14"/>
  <c r="C1876" i="15"/>
  <c r="C1877" i="14"/>
  <c r="D2286" i="5"/>
  <c r="E1884" i="13" s="1"/>
  <c r="C1916" i="15"/>
  <c r="C1917" i="14"/>
  <c r="B1878" i="15"/>
  <c r="B1879" i="14"/>
  <c r="L2287" i="5"/>
  <c r="E1924" i="13" s="1"/>
  <c r="C1918" i="15"/>
  <c r="C1919" i="14"/>
  <c r="C1920" i="15"/>
  <c r="C1921" i="14"/>
  <c r="A2291" i="5"/>
  <c r="B1889" i="13" s="1"/>
  <c r="A2292" i="5"/>
  <c r="B1890" i="13" s="1"/>
  <c r="D2293" i="5"/>
  <c r="E1891" i="13" s="1"/>
  <c r="B2295" i="5"/>
  <c r="C1893" i="13" s="1"/>
  <c r="A2296" i="5"/>
  <c r="B1894" i="13" s="1"/>
  <c r="D2297" i="5"/>
  <c r="E1895" i="13" s="1"/>
  <c r="B2299" i="5"/>
  <c r="C1897" i="13" s="1"/>
  <c r="A2300" i="5"/>
  <c r="B1898" i="13" s="1"/>
  <c r="D2301" i="5"/>
  <c r="E1899" i="13" s="1"/>
  <c r="B2303" i="5"/>
  <c r="C1901" i="13" s="1"/>
  <c r="A2304" i="5"/>
  <c r="B1902" i="13" s="1"/>
  <c r="D1897" i="15"/>
  <c r="D1898" i="14"/>
  <c r="K1904" i="13"/>
  <c r="C1898" i="15"/>
  <c r="C1899" i="14"/>
  <c r="A2308" i="5"/>
  <c r="B1906" i="13" s="1"/>
  <c r="C1902" i="15"/>
  <c r="C1903" i="14"/>
  <c r="A2312" i="5"/>
  <c r="B1910" i="13" s="1"/>
  <c r="E1292" i="15"/>
  <c r="G1292" i="15" s="1"/>
  <c r="G1299" i="13"/>
  <c r="D1293" i="15"/>
  <c r="D1294" i="14"/>
  <c r="K1300" i="13"/>
  <c r="C1294" i="15"/>
  <c r="C1295" i="14"/>
  <c r="B1295" i="15"/>
  <c r="B1296" i="14"/>
  <c r="E1296" i="15"/>
  <c r="G1296" i="15" s="1"/>
  <c r="G1303" i="13"/>
  <c r="D1297" i="15"/>
  <c r="D1298" i="14"/>
  <c r="K1304" i="13"/>
  <c r="C1298" i="15"/>
  <c r="C1299" i="14"/>
  <c r="B1299" i="15"/>
  <c r="B1300" i="14"/>
  <c r="E1300" i="15"/>
  <c r="G1300" i="15" s="1"/>
  <c r="G1307" i="13"/>
  <c r="D1301" i="15"/>
  <c r="D1302" i="14"/>
  <c r="K1308" i="13"/>
  <c r="E1947" i="15"/>
  <c r="G1947" i="15" s="1"/>
  <c r="E1949" i="15"/>
  <c r="G1949" i="15" s="1"/>
  <c r="E1951" i="15"/>
  <c r="G1951" i="15" s="1"/>
  <c r="E1953" i="15"/>
  <c r="G1953" i="15" s="1"/>
  <c r="E1955" i="15"/>
  <c r="G1955" i="15" s="1"/>
  <c r="E1957" i="15"/>
  <c r="G1957" i="15" s="1"/>
  <c r="E1939" i="15"/>
  <c r="G1939" i="15" s="1"/>
  <c r="E1944" i="15"/>
  <c r="G1944" i="15" s="1"/>
  <c r="D2415" i="15"/>
  <c r="K2423" i="13"/>
  <c r="E1963" i="15"/>
  <c r="G1963" i="15" s="1"/>
  <c r="G1970" i="13"/>
  <c r="E1969" i="15"/>
  <c r="G1969" i="15" s="1"/>
  <c r="E1971" i="15"/>
  <c r="G1971" i="15" s="1"/>
  <c r="G1978" i="13"/>
  <c r="D2418" i="15"/>
  <c r="K2426" i="13"/>
  <c r="B2020" i="15"/>
  <c r="B2021" i="14"/>
  <c r="E2068" i="15"/>
  <c r="G2068" i="15" s="1"/>
  <c r="B2024" i="15"/>
  <c r="B2025" i="14"/>
  <c r="E2072" i="15"/>
  <c r="G2072" i="15" s="1"/>
  <c r="E2074" i="15"/>
  <c r="G2074" i="15" s="1"/>
  <c r="E2031" i="15"/>
  <c r="G2031" i="15" s="1"/>
  <c r="B2032" i="15"/>
  <c r="B2033" i="14"/>
  <c r="E2081" i="15"/>
  <c r="G2081" i="15" s="1"/>
  <c r="B2035" i="15"/>
  <c r="B2036" i="14"/>
  <c r="E2084" i="15"/>
  <c r="G2084" i="15" s="1"/>
  <c r="E2087" i="15"/>
  <c r="G2087" i="15" s="1"/>
  <c r="E2040" i="15"/>
  <c r="G2040" i="15" s="1"/>
  <c r="B2115" i="15"/>
  <c r="B2116" i="14"/>
  <c r="E2045" i="15"/>
  <c r="G2045" i="15" s="1"/>
  <c r="E2117" i="15"/>
  <c r="G2117" i="15" s="1"/>
  <c r="B2056" i="15"/>
  <c r="B2057" i="14"/>
  <c r="E2061" i="15"/>
  <c r="G2061" i="15" s="1"/>
  <c r="D2464" i="15"/>
  <c r="K2472" i="13"/>
  <c r="H2472" i="13"/>
  <c r="E2094" i="15"/>
  <c r="G2094" i="15" s="1"/>
  <c r="E2096" i="15"/>
  <c r="G2096" i="15" s="1"/>
  <c r="E2098" i="15"/>
  <c r="G2098" i="15" s="1"/>
  <c r="E2100" i="15"/>
  <c r="G2100" i="15" s="1"/>
  <c r="E2102" i="15"/>
  <c r="G2102" i="15" s="1"/>
  <c r="E2104" i="15"/>
  <c r="G2104" i="15" s="1"/>
  <c r="E2186" i="15"/>
  <c r="G2186" i="15" s="1"/>
  <c r="E2188" i="15"/>
  <c r="G2188" i="15" s="1"/>
  <c r="E2190" i="15"/>
  <c r="G2190" i="15" s="1"/>
  <c r="E2192" i="15"/>
  <c r="G2192" i="15" s="1"/>
  <c r="E2194" i="15"/>
  <c r="G2194" i="15" s="1"/>
  <c r="E2119" i="15"/>
  <c r="G2119" i="15" s="1"/>
  <c r="E2121" i="15"/>
  <c r="G2121" i="15" s="1"/>
  <c r="E2201" i="15"/>
  <c r="G2201" i="15" s="1"/>
  <c r="E2203" i="15"/>
  <c r="G2203" i="15" s="1"/>
  <c r="E2130" i="15"/>
  <c r="G2130" i="15" s="1"/>
  <c r="E2132" i="15"/>
  <c r="G2132" i="15" s="1"/>
  <c r="E2134" i="15"/>
  <c r="G2134" i="15" s="1"/>
  <c r="E2214" i="15"/>
  <c r="G2214" i="15" s="1"/>
  <c r="E2216" i="15"/>
  <c r="G2216" i="15" s="1"/>
  <c r="E2143" i="15"/>
  <c r="G2143" i="15" s="1"/>
  <c r="E2144" i="15"/>
  <c r="G2144" i="15" s="1"/>
  <c r="E2145" i="15"/>
  <c r="G2145" i="15" s="1"/>
  <c r="E2146" i="15"/>
  <c r="G2146" i="15" s="1"/>
  <c r="E2147" i="15"/>
  <c r="G2147" i="15" s="1"/>
  <c r="E2148" i="15"/>
  <c r="G2148" i="15" s="1"/>
  <c r="G2155" i="13"/>
  <c r="E2149" i="15"/>
  <c r="G2149" i="15" s="1"/>
  <c r="E2150" i="15"/>
  <c r="G2150" i="15" s="1"/>
  <c r="E2151" i="15"/>
  <c r="G2151" i="15" s="1"/>
  <c r="E2152" i="15"/>
  <c r="G2152" i="15" s="1"/>
  <c r="D2011" i="15"/>
  <c r="D2012" i="14"/>
  <c r="H2018" i="13"/>
  <c r="D2013" i="15"/>
  <c r="D2014" i="14"/>
  <c r="H2020" i="13"/>
  <c r="B1979" i="15"/>
  <c r="B1980" i="14"/>
  <c r="B1982" i="15"/>
  <c r="B1983" i="14"/>
  <c r="B1197" i="15"/>
  <c r="B1198" i="14"/>
  <c r="D899" i="15"/>
  <c r="D900" i="14"/>
  <c r="K906" i="13"/>
  <c r="E1208" i="15"/>
  <c r="G1208" i="15" s="1"/>
  <c r="B911" i="15"/>
  <c r="B912" i="14"/>
  <c r="B1210" i="15"/>
  <c r="B1211" i="14"/>
  <c r="E913" i="15"/>
  <c r="G913" i="15" s="1"/>
  <c r="B1213" i="15"/>
  <c r="B1214" i="14"/>
  <c r="E916" i="15"/>
  <c r="G916" i="15" s="1"/>
  <c r="E1215" i="15"/>
  <c r="G1215" i="15" s="1"/>
  <c r="B1217" i="15"/>
  <c r="B1218" i="14"/>
  <c r="E920" i="15"/>
  <c r="G920" i="15" s="1"/>
  <c r="E921" i="15"/>
  <c r="G921" i="15" s="1"/>
  <c r="B923" i="15"/>
  <c r="B924" i="14"/>
  <c r="B924" i="15"/>
  <c r="B925" i="14"/>
  <c r="B925" i="15"/>
  <c r="B926" i="14"/>
  <c r="E929" i="15"/>
  <c r="G929" i="15" s="1"/>
  <c r="E1227" i="15"/>
  <c r="G1227" i="15" s="1"/>
  <c r="B1229" i="15"/>
  <c r="B1230" i="14"/>
  <c r="E933" i="15"/>
  <c r="G933" i="15" s="1"/>
  <c r="E934" i="15"/>
  <c r="G934" i="15" s="1"/>
  <c r="B1233" i="15"/>
  <c r="B1234" i="14"/>
  <c r="E1234" i="15"/>
  <c r="G1234" i="15" s="1"/>
  <c r="E938" i="15"/>
  <c r="G938" i="15" s="1"/>
  <c r="E939" i="15"/>
  <c r="G939" i="15" s="1"/>
  <c r="E940" i="15"/>
  <c r="G940" i="15" s="1"/>
  <c r="E941" i="15"/>
  <c r="G941" i="15" s="1"/>
  <c r="E942" i="15"/>
  <c r="G942" i="15" s="1"/>
  <c r="E943" i="15"/>
  <c r="G943" i="15" s="1"/>
  <c r="E944" i="15"/>
  <c r="G944" i="15" s="1"/>
  <c r="E945" i="15"/>
  <c r="G945" i="15" s="1"/>
  <c r="E946" i="15"/>
  <c r="G946" i="15" s="1"/>
  <c r="E947" i="15"/>
  <c r="G947" i="15" s="1"/>
  <c r="E948" i="15"/>
  <c r="G948" i="15" s="1"/>
  <c r="E949" i="15"/>
  <c r="G949" i="15" s="1"/>
  <c r="E950" i="15"/>
  <c r="G950" i="15" s="1"/>
  <c r="E951" i="15"/>
  <c r="G951" i="15" s="1"/>
  <c r="B954" i="15"/>
  <c r="B955" i="14"/>
  <c r="B979" i="15"/>
  <c r="B980" i="14"/>
  <c r="B980" i="15"/>
  <c r="B981" i="14"/>
  <c r="E981" i="15"/>
  <c r="G981" i="15" s="1"/>
  <c r="B1007" i="15"/>
  <c r="B1008" i="14"/>
  <c r="B1008" i="15"/>
  <c r="B1009" i="14"/>
  <c r="B1009" i="15"/>
  <c r="B1010" i="14"/>
  <c r="E1010" i="15"/>
  <c r="G1010" i="15" s="1"/>
  <c r="E1012" i="15"/>
  <c r="G1012" i="15" s="1"/>
  <c r="E1013" i="15"/>
  <c r="G1013" i="15" s="1"/>
  <c r="E1028" i="15"/>
  <c r="G1028" i="15" s="1"/>
  <c r="E1029" i="15"/>
  <c r="G1029" i="15" s="1"/>
  <c r="E1030" i="15"/>
  <c r="G1030" i="15" s="1"/>
  <c r="E1031" i="15"/>
  <c r="G1031" i="15" s="1"/>
  <c r="E1032" i="15"/>
  <c r="G1032" i="15" s="1"/>
  <c r="E1033" i="15"/>
  <c r="G1033" i="15" s="1"/>
  <c r="E1034" i="15"/>
  <c r="G1034" i="15" s="1"/>
  <c r="E183" i="7"/>
  <c r="E1042" i="13" s="1"/>
  <c r="B1041" i="15"/>
  <c r="B1042" i="14"/>
  <c r="E193" i="7"/>
  <c r="E1052" i="13" s="1"/>
  <c r="E1047" i="15"/>
  <c r="G1047" i="15" s="1"/>
  <c r="E1048" i="15"/>
  <c r="G1048" i="15" s="1"/>
  <c r="E1049" i="15"/>
  <c r="G1049" i="15" s="1"/>
  <c r="E198" i="7"/>
  <c r="E1057" i="13" s="1"/>
  <c r="E1051" i="15"/>
  <c r="G1051" i="15" s="1"/>
  <c r="E1052" i="15"/>
  <c r="G1052" i="15" s="1"/>
  <c r="E201" i="7"/>
  <c r="E1060" i="13" s="1"/>
  <c r="E1054" i="15"/>
  <c r="G1054" i="15" s="1"/>
  <c r="E1055" i="15"/>
  <c r="G1055" i="15" s="1"/>
  <c r="E1056" i="15"/>
  <c r="G1056" i="15" s="1"/>
  <c r="E1057" i="15"/>
  <c r="G1057" i="15" s="1"/>
  <c r="E1058" i="15"/>
  <c r="G1058" i="15" s="1"/>
  <c r="E1059" i="15"/>
  <c r="G1059" i="15" s="1"/>
  <c r="E1060" i="15"/>
  <c r="G1060" i="15" s="1"/>
  <c r="E1061" i="15"/>
  <c r="G1061" i="15" s="1"/>
  <c r="E1062" i="15"/>
  <c r="G1062" i="15" s="1"/>
  <c r="E1063" i="15"/>
  <c r="G1063" i="15" s="1"/>
  <c r="E1064" i="15"/>
  <c r="G1064" i="15" s="1"/>
  <c r="E1065" i="15"/>
  <c r="G1065" i="15" s="1"/>
  <c r="E1066" i="15"/>
  <c r="G1066" i="15" s="1"/>
  <c r="E1067" i="15"/>
  <c r="G1067" i="15" s="1"/>
  <c r="B1070" i="15"/>
  <c r="B1071" i="14"/>
  <c r="B1072" i="15"/>
  <c r="B1073" i="14"/>
  <c r="B1074" i="15"/>
  <c r="B1075" i="14"/>
  <c r="B1076" i="15"/>
  <c r="B1077" i="14"/>
  <c r="B1077" i="15"/>
  <c r="B1078" i="14"/>
  <c r="B1078" i="15"/>
  <c r="B1079" i="14"/>
  <c r="E1079" i="15"/>
  <c r="G1079" i="15" s="1"/>
  <c r="B1082" i="15"/>
  <c r="B1083" i="14"/>
  <c r="E1083" i="15"/>
  <c r="G1083" i="15" s="1"/>
  <c r="B1086" i="15"/>
  <c r="B1087" i="14"/>
  <c r="E1087" i="15"/>
  <c r="G1087" i="15" s="1"/>
  <c r="C249" i="7"/>
  <c r="C268" i="7" s="1"/>
  <c r="D268" i="7" s="1"/>
  <c r="B1090" i="15"/>
  <c r="B1091" i="14"/>
  <c r="E1091" i="15"/>
  <c r="G1091" i="15" s="1"/>
  <c r="C253" i="7"/>
  <c r="C272" i="7" s="1"/>
  <c r="D272" i="7" s="1"/>
  <c r="B1094" i="15"/>
  <c r="B1095" i="14"/>
  <c r="E1095" i="15"/>
  <c r="G1095" i="15" s="1"/>
  <c r="B1098" i="15"/>
  <c r="B1099" i="14"/>
  <c r="E1099" i="15"/>
  <c r="G1099" i="15" s="1"/>
  <c r="B1102" i="15"/>
  <c r="B1103" i="14"/>
  <c r="E1103" i="15"/>
  <c r="G1103" i="15" s="1"/>
  <c r="B1106" i="15"/>
  <c r="B1107" i="14"/>
  <c r="E1107" i="15"/>
  <c r="G1107" i="15" s="1"/>
  <c r="B1110" i="15"/>
  <c r="B1111" i="14"/>
  <c r="E1111" i="15"/>
  <c r="G1111" i="15" s="1"/>
  <c r="B1114" i="15"/>
  <c r="B1115" i="14"/>
  <c r="E1115" i="15"/>
  <c r="G1115" i="15" s="1"/>
  <c r="C1117" i="15"/>
  <c r="C1118" i="14"/>
  <c r="C1119" i="15"/>
  <c r="C1120" i="14"/>
  <c r="C1121" i="15"/>
  <c r="C1122" i="14"/>
  <c r="C1123" i="15"/>
  <c r="C1124" i="14"/>
  <c r="C1126" i="15"/>
  <c r="C1127" i="14"/>
  <c r="C1129" i="15"/>
  <c r="C1130" i="14"/>
  <c r="C1131" i="15"/>
  <c r="C1132" i="14"/>
  <c r="C1132" i="15"/>
  <c r="C1133" i="14"/>
  <c r="C1134" i="15"/>
  <c r="C1135" i="14"/>
  <c r="C1136" i="15"/>
  <c r="C1137" i="14"/>
  <c r="C1138" i="15"/>
  <c r="C1139" i="14"/>
  <c r="C1140" i="15"/>
  <c r="C1141" i="14"/>
  <c r="C1142" i="15"/>
  <c r="C1143" i="14"/>
  <c r="C1144" i="15"/>
  <c r="C1145" i="14"/>
  <c r="C1146" i="15"/>
  <c r="C1147" i="14"/>
  <c r="C1148" i="15"/>
  <c r="C1149" i="14"/>
  <c r="C1150" i="15"/>
  <c r="C1151" i="14"/>
  <c r="C1152" i="15"/>
  <c r="C1153" i="14"/>
  <c r="C1154" i="15"/>
  <c r="C1155" i="14"/>
  <c r="E318" i="7"/>
  <c r="A331" i="7"/>
  <c r="E331" i="7"/>
  <c r="E1172" i="13" s="1"/>
  <c r="A339" i="7"/>
  <c r="E339" i="7"/>
  <c r="E1180" i="13" s="1"/>
  <c r="A343" i="7"/>
  <c r="B1184" i="13" s="1"/>
  <c r="E343" i="7"/>
  <c r="E1184" i="13" s="1"/>
  <c r="A347" i="7"/>
  <c r="B1188" i="13" s="1"/>
  <c r="E347" i="7"/>
  <c r="E1188" i="13" s="1"/>
  <c r="A351" i="7"/>
  <c r="B1192" i="13" s="1"/>
  <c r="E351" i="7"/>
  <c r="E1192" i="13" s="1"/>
  <c r="A355" i="7"/>
  <c r="B1196" i="13" s="1"/>
  <c r="E355" i="7"/>
  <c r="E1196" i="13" s="1"/>
  <c r="A359" i="7"/>
  <c r="B1200" i="13" s="1"/>
  <c r="E359" i="7"/>
  <c r="E1200" i="13" s="1"/>
  <c r="E96" i="8"/>
  <c r="G103" i="8" s="1"/>
  <c r="E103" i="8" s="1"/>
  <c r="B126" i="15"/>
  <c r="B127" i="14"/>
  <c r="E135" i="15"/>
  <c r="G135" i="15" s="1"/>
  <c r="B129" i="15"/>
  <c r="B130" i="14"/>
  <c r="C130" i="15"/>
  <c r="C131" i="14"/>
  <c r="C148" i="13"/>
  <c r="C152" i="15"/>
  <c r="C153" i="14"/>
  <c r="B153" i="15"/>
  <c r="B154" i="14"/>
  <c r="E146" i="15"/>
  <c r="G146" i="15" s="1"/>
  <c r="G146" i="13"/>
  <c r="B155" i="15"/>
  <c r="B156" i="14"/>
  <c r="C157" i="15"/>
  <c r="C158" i="14"/>
  <c r="I159" i="15"/>
  <c r="F160" i="14"/>
  <c r="H160" i="13"/>
  <c r="I159" i="13"/>
  <c r="J159" i="15" s="1"/>
  <c r="I304" i="8"/>
  <c r="C169" i="13" s="1"/>
  <c r="B170" i="15"/>
  <c r="B171" i="14"/>
  <c r="D306" i="8"/>
  <c r="E162" i="13" s="1"/>
  <c r="D308" i="8"/>
  <c r="E164" i="13" s="1"/>
  <c r="B179" i="15"/>
  <c r="B180" i="14"/>
  <c r="E199" i="15"/>
  <c r="G199" i="15" s="1"/>
  <c r="B182" i="15"/>
  <c r="B183" i="14"/>
  <c r="B183" i="15"/>
  <c r="B184" i="14"/>
  <c r="E203" i="15"/>
  <c r="G203" i="15" s="1"/>
  <c r="E185" i="15"/>
  <c r="G185" i="15" s="1"/>
  <c r="B187" i="15"/>
  <c r="B188" i="14"/>
  <c r="E207" i="15"/>
  <c r="G207" i="15" s="1"/>
  <c r="E189" i="15"/>
  <c r="G189" i="15" s="1"/>
  <c r="B191" i="15"/>
  <c r="B192" i="14"/>
  <c r="E211" i="15"/>
  <c r="G211" i="15" s="1"/>
  <c r="E216" i="15"/>
  <c r="G216" i="15" s="1"/>
  <c r="E238" i="15"/>
  <c r="G238" i="15" s="1"/>
  <c r="E239" i="15"/>
  <c r="G239" i="15" s="1"/>
  <c r="E218" i="15"/>
  <c r="G218" i="15" s="1"/>
  <c r="D413" i="8"/>
  <c r="E220" i="13" s="1"/>
  <c r="A415" i="8"/>
  <c r="B221" i="13" s="1"/>
  <c r="D418" i="8"/>
  <c r="E224" i="13" s="1"/>
  <c r="D419" i="8"/>
  <c r="E225" i="13" s="1"/>
  <c r="D420" i="8"/>
  <c r="E226" i="13" s="1"/>
  <c r="D423" i="8"/>
  <c r="E229" i="13" s="1"/>
  <c r="D424" i="8"/>
  <c r="E230" i="13" s="1"/>
  <c r="D426" i="8"/>
  <c r="E232" i="13" s="1"/>
  <c r="B235" i="15"/>
  <c r="B236" i="14"/>
  <c r="D431" i="8"/>
  <c r="E2359" i="13" s="1"/>
  <c r="E2352" i="15" s="1"/>
  <c r="G2352" i="15" s="1"/>
  <c r="C450" i="8"/>
  <c r="E287" i="15"/>
  <c r="G287" i="15" s="1"/>
  <c r="E288" i="15"/>
  <c r="G288" i="15" s="1"/>
  <c r="E264" i="15"/>
  <c r="G264" i="15" s="1"/>
  <c r="E289" i="15"/>
  <c r="G289" i="15" s="1"/>
  <c r="E265" i="15"/>
  <c r="G265" i="15" s="1"/>
  <c r="B271" i="15"/>
  <c r="B272" i="14"/>
  <c r="B296" i="15"/>
  <c r="B297" i="14"/>
  <c r="B272" i="15"/>
  <c r="B273" i="14"/>
  <c r="B297" i="15"/>
  <c r="B298" i="14"/>
  <c r="B273" i="15"/>
  <c r="B274" i="14"/>
  <c r="B298" i="15"/>
  <c r="B299" i="14"/>
  <c r="B274" i="15"/>
  <c r="B275" i="14"/>
  <c r="B299" i="15"/>
  <c r="B300" i="14"/>
  <c r="B275" i="15"/>
  <c r="B276" i="14"/>
  <c r="B300" i="15"/>
  <c r="B301" i="14"/>
  <c r="B276" i="15"/>
  <c r="B277" i="14"/>
  <c r="B277" i="15"/>
  <c r="B278" i="14"/>
  <c r="B278" i="15"/>
  <c r="B279" i="14"/>
  <c r="B279" i="15"/>
  <c r="B280" i="14"/>
  <c r="B280" i="15"/>
  <c r="B281" i="14"/>
  <c r="D502" i="8"/>
  <c r="E2363" i="13" s="1"/>
  <c r="E2356" i="15" s="1"/>
  <c r="G2356" i="15" s="1"/>
  <c r="D2357" i="15"/>
  <c r="K2364" i="13"/>
  <c r="B15" i="15"/>
  <c r="B16" i="14"/>
  <c r="E27" i="15"/>
  <c r="G27" i="15" s="1"/>
  <c r="B19" i="15"/>
  <c r="B20" i="14"/>
  <c r="E31" i="15"/>
  <c r="G31" i="15" s="1"/>
  <c r="E21" i="15"/>
  <c r="G21" i="15" s="1"/>
  <c r="E36" i="15"/>
  <c r="G36" i="15" s="1"/>
  <c r="B38" i="15"/>
  <c r="B39" i="14"/>
  <c r="E59" i="15"/>
  <c r="G59" i="15" s="1"/>
  <c r="B42" i="15"/>
  <c r="B43" i="14"/>
  <c r="E63" i="15"/>
  <c r="G63" i="15" s="1"/>
  <c r="D621" i="8"/>
  <c r="E44" i="13" s="1"/>
  <c r="B46" i="15"/>
  <c r="B47" i="14"/>
  <c r="E67" i="15"/>
  <c r="G67" i="15" s="1"/>
  <c r="B50" i="15"/>
  <c r="B51" i="14"/>
  <c r="B51" i="15"/>
  <c r="B52" i="14"/>
  <c r="B52" i="15"/>
  <c r="B53" i="14"/>
  <c r="B53" i="15"/>
  <c r="B54" i="14"/>
  <c r="A639" i="8"/>
  <c r="E92" i="15"/>
  <c r="G92" i="15" s="1"/>
  <c r="E77" i="15"/>
  <c r="G77" i="15" s="1"/>
  <c r="A645" i="8"/>
  <c r="E97" i="15"/>
  <c r="G97" i="15" s="1"/>
  <c r="E82" i="15"/>
  <c r="G82" i="15" s="1"/>
  <c r="E83" i="15"/>
  <c r="G83" i="15" s="1"/>
  <c r="E84" i="15"/>
  <c r="G84" i="15" s="1"/>
  <c r="E86" i="15"/>
  <c r="G86" i="15" s="1"/>
  <c r="K663" i="8"/>
  <c r="E118" i="13" s="1"/>
  <c r="B108" i="15"/>
  <c r="B109" i="14"/>
  <c r="D679" i="8"/>
  <c r="E2349" i="13" s="1"/>
  <c r="E2342" i="15" s="1"/>
  <c r="G2342" i="15" s="1"/>
  <c r="E1405" i="15"/>
  <c r="G1405" i="15" s="1"/>
  <c r="E1460" i="15"/>
  <c r="G1460" i="15" s="1"/>
  <c r="B1409" i="15"/>
  <c r="B1410" i="14"/>
  <c r="B1462" i="15"/>
  <c r="B1463" i="14"/>
  <c r="B1410" i="15"/>
  <c r="B1411" i="14"/>
  <c r="B1463" i="15"/>
  <c r="B1464" i="14"/>
  <c r="B1411" i="15"/>
  <c r="B1412" i="14"/>
  <c r="B1412" i="15"/>
  <c r="B1413" i="14"/>
  <c r="B1413" i="15"/>
  <c r="B1414" i="14"/>
  <c r="E1465" i="15"/>
  <c r="G1465" i="15" s="1"/>
  <c r="B1417" i="15"/>
  <c r="B1418" i="14"/>
  <c r="E1470" i="15"/>
  <c r="G1470" i="15" s="1"/>
  <c r="B1421" i="15"/>
  <c r="B1422" i="14"/>
  <c r="B1472" i="15"/>
  <c r="B1473" i="14"/>
  <c r="B1422" i="15"/>
  <c r="B1423" i="14"/>
  <c r="B1473" i="15"/>
  <c r="B1474" i="14"/>
  <c r="B1423" i="15"/>
  <c r="B1424" i="14"/>
  <c r="B1474" i="15"/>
  <c r="B1475" i="14"/>
  <c r="B1424" i="15"/>
  <c r="B1425" i="14"/>
  <c r="E1425" i="15"/>
  <c r="G1425" i="15" s="1"/>
  <c r="G1432" i="13"/>
  <c r="E284" i="9"/>
  <c r="E1429" i="15"/>
  <c r="G1429" i="15" s="1"/>
  <c r="C1431" i="15"/>
  <c r="C1432" i="14"/>
  <c r="B1432" i="15"/>
  <c r="B1433" i="14"/>
  <c r="E291" i="9"/>
  <c r="E1434" i="15"/>
  <c r="G1434" i="15" s="1"/>
  <c r="E1435" i="15"/>
  <c r="G1435" i="15" s="1"/>
  <c r="H1442" i="13"/>
  <c r="G1442" i="13"/>
  <c r="C1437" i="15"/>
  <c r="C1438" i="14"/>
  <c r="B1438" i="15"/>
  <c r="B1439" i="14"/>
  <c r="B1441" i="15"/>
  <c r="B1442" i="14"/>
  <c r="B1442" i="15"/>
  <c r="B1443" i="14"/>
  <c r="E1445" i="15"/>
  <c r="G1445" i="15" s="1"/>
  <c r="H1452" i="13"/>
  <c r="G1452" i="13"/>
  <c r="E1446" i="15"/>
  <c r="G1446" i="15" s="1"/>
  <c r="E1447" i="15"/>
  <c r="G1447" i="15" s="1"/>
  <c r="E1448" i="15"/>
  <c r="G1448" i="15" s="1"/>
  <c r="E1449" i="15"/>
  <c r="G1449" i="15" s="1"/>
  <c r="G1456" i="13"/>
  <c r="E1450" i="15"/>
  <c r="G1450" i="15" s="1"/>
  <c r="G1457" i="13"/>
  <c r="E1451" i="15"/>
  <c r="G1451" i="15" s="1"/>
  <c r="E1452" i="15"/>
  <c r="G1452" i="15" s="1"/>
  <c r="E1453" i="15"/>
  <c r="G1453" i="15" s="1"/>
  <c r="E1454" i="15"/>
  <c r="G1454" i="15" s="1"/>
  <c r="E1455" i="15"/>
  <c r="G1455" i="15" s="1"/>
  <c r="C347" i="9"/>
  <c r="D1525" i="15"/>
  <c r="D1526" i="14"/>
  <c r="H1532" i="13"/>
  <c r="D350" i="9"/>
  <c r="E1488" i="13" s="1"/>
  <c r="E1527" i="15"/>
  <c r="G1527" i="15" s="1"/>
  <c r="E1535" i="15"/>
  <c r="G1535" i="15" s="1"/>
  <c r="E1490" i="15"/>
  <c r="G1490" i="15" s="1"/>
  <c r="C366" i="9"/>
  <c r="E1500" i="15"/>
  <c r="G1500" i="15" s="1"/>
  <c r="G1507" i="13"/>
  <c r="E1501" i="15"/>
  <c r="G1501" i="15" s="1"/>
  <c r="E371" i="9"/>
  <c r="B1508" i="15"/>
  <c r="B1509" i="14"/>
  <c r="B1509" i="15"/>
  <c r="B1510" i="14"/>
  <c r="B1510" i="15"/>
  <c r="B1511" i="14"/>
  <c r="B1511" i="15"/>
  <c r="B1512" i="14"/>
  <c r="B1512" i="15"/>
  <c r="B1513" i="14"/>
  <c r="E1513" i="15"/>
  <c r="G1513" i="15" s="1"/>
  <c r="G1520" i="13"/>
  <c r="H1520" i="13"/>
  <c r="E1514" i="15"/>
  <c r="G1514" i="15" s="1"/>
  <c r="E1515" i="15"/>
  <c r="G1515" i="15" s="1"/>
  <c r="G1522" i="13"/>
  <c r="E1516" i="15"/>
  <c r="G1516" i="15" s="1"/>
  <c r="G1523" i="13"/>
  <c r="E1517" i="15"/>
  <c r="G1517" i="15" s="1"/>
  <c r="E1518" i="15"/>
  <c r="G1518" i="15" s="1"/>
  <c r="E1519" i="15"/>
  <c r="G1519" i="15" s="1"/>
  <c r="E1520" i="15"/>
  <c r="G1520" i="15" s="1"/>
  <c r="E1521" i="15"/>
  <c r="G1521" i="15" s="1"/>
  <c r="E1522" i="15"/>
  <c r="G1522" i="15" s="1"/>
  <c r="D2386" i="15"/>
  <c r="K2393" i="13"/>
  <c r="B1544" i="15"/>
  <c r="B1545" i="14"/>
  <c r="B1545" i="15"/>
  <c r="B1546" i="14"/>
  <c r="E1597" i="15"/>
  <c r="G1597" i="15" s="1"/>
  <c r="E1599" i="15"/>
  <c r="G1599" i="15" s="1"/>
  <c r="B1551" i="15"/>
  <c r="B1552" i="14"/>
  <c r="E1604" i="15"/>
  <c r="G1604" i="15" s="1"/>
  <c r="B1555" i="15"/>
  <c r="B1556" i="14"/>
  <c r="E1607" i="15"/>
  <c r="G1607" i="15" s="1"/>
  <c r="E1557" i="15"/>
  <c r="G1557" i="15" s="1"/>
  <c r="C1559" i="15"/>
  <c r="C1560" i="14"/>
  <c r="B1610" i="15"/>
  <c r="B1611" i="14"/>
  <c r="B1560" i="15"/>
  <c r="B1561" i="14"/>
  <c r="E1561" i="15"/>
  <c r="G1561" i="15" s="1"/>
  <c r="E1612" i="15"/>
  <c r="G1612" i="15" s="1"/>
  <c r="E1562" i="15"/>
  <c r="G1562" i="15" s="1"/>
  <c r="H1569" i="13"/>
  <c r="G1569" i="13"/>
  <c r="E1613" i="15"/>
  <c r="G1613" i="15" s="1"/>
  <c r="E1563" i="15"/>
  <c r="G1563" i="15" s="1"/>
  <c r="H1570" i="13"/>
  <c r="G1570" i="13"/>
  <c r="E1564" i="15"/>
  <c r="G1564" i="15" s="1"/>
  <c r="H1571" i="13"/>
  <c r="G1571" i="13"/>
  <c r="C1567" i="15"/>
  <c r="C1568" i="14"/>
  <c r="B1568" i="15"/>
  <c r="B1569" i="14"/>
  <c r="E1569" i="15"/>
  <c r="G1569" i="15" s="1"/>
  <c r="C1571" i="15"/>
  <c r="C1572" i="14"/>
  <c r="C1572" i="15"/>
  <c r="C1573" i="14"/>
  <c r="B1573" i="15"/>
  <c r="B1574" i="14"/>
  <c r="B1574" i="15"/>
  <c r="B1575" i="14"/>
  <c r="E1575" i="15"/>
  <c r="G1575" i="15" s="1"/>
  <c r="E1578" i="15"/>
  <c r="G1578" i="15" s="1"/>
  <c r="H1585" i="13"/>
  <c r="G1585" i="13"/>
  <c r="E1579" i="15"/>
  <c r="G1579" i="15" s="1"/>
  <c r="E467" i="9"/>
  <c r="B1584" i="15"/>
  <c r="B1585" i="14"/>
  <c r="E1659" i="15"/>
  <c r="G1659" i="15" s="1"/>
  <c r="B1661" i="15"/>
  <c r="B1662" i="14"/>
  <c r="B1620" i="15"/>
  <c r="B1621" i="14"/>
  <c r="B1662" i="15"/>
  <c r="B1663" i="14"/>
  <c r="B1621" i="15"/>
  <c r="B1622" i="14"/>
  <c r="B1663" i="15"/>
  <c r="B1664" i="14"/>
  <c r="B1622" i="15"/>
  <c r="B1623" i="14"/>
  <c r="B1664" i="15"/>
  <c r="B1665" i="14"/>
  <c r="B1623" i="15"/>
  <c r="B1624" i="14"/>
  <c r="B1665" i="15"/>
  <c r="B1666" i="14"/>
  <c r="B1624" i="15"/>
  <c r="B1625" i="14"/>
  <c r="B1666" i="15"/>
  <c r="B1667" i="14"/>
  <c r="B1625" i="15"/>
  <c r="B1626" i="14"/>
  <c r="B1667" i="15"/>
  <c r="B1668" i="14"/>
  <c r="B1626" i="15"/>
  <c r="B1627" i="14"/>
  <c r="B1668" i="15"/>
  <c r="B1669" i="14"/>
  <c r="B1627" i="15"/>
  <c r="B1628" i="14"/>
  <c r="B1669" i="15"/>
  <c r="B1670" i="14"/>
  <c r="B1628" i="15"/>
  <c r="B1629" i="14"/>
  <c r="B1670" i="15"/>
  <c r="B1671" i="14"/>
  <c r="B1629" i="15"/>
  <c r="B1630" i="14"/>
  <c r="B1671" i="15"/>
  <c r="B1672" i="14"/>
  <c r="B1630" i="15"/>
  <c r="B1631" i="14"/>
  <c r="C1632" i="15"/>
  <c r="C1633" i="14"/>
  <c r="B1633" i="15"/>
  <c r="B1634" i="14"/>
  <c r="E1634" i="15"/>
  <c r="G1634" i="15" s="1"/>
  <c r="C1636" i="15"/>
  <c r="C1637" i="14"/>
  <c r="B1637" i="15"/>
  <c r="B1638" i="14"/>
  <c r="B1638" i="15"/>
  <c r="B1639" i="14"/>
  <c r="E1640" i="15"/>
  <c r="G1640" i="15" s="1"/>
  <c r="E1641" i="15"/>
  <c r="G1641" i="15" s="1"/>
  <c r="G1648" i="13"/>
  <c r="C1643" i="15"/>
  <c r="C1644" i="14"/>
  <c r="C1644" i="15"/>
  <c r="C1645" i="14"/>
  <c r="B1645" i="15"/>
  <c r="B1646" i="14"/>
  <c r="E537" i="9"/>
  <c r="E1647" i="15"/>
  <c r="G1647" i="15" s="1"/>
  <c r="C1649" i="15"/>
  <c r="C1650" i="14"/>
  <c r="B1650" i="15"/>
  <c r="B1651" i="14"/>
  <c r="B1651" i="15"/>
  <c r="B1652" i="14"/>
  <c r="B1652" i="15"/>
  <c r="B1653" i="14"/>
  <c r="B1653" i="15"/>
  <c r="B1654" i="14"/>
  <c r="B1654" i="15"/>
  <c r="B1655" i="14"/>
  <c r="B1655" i="15"/>
  <c r="B1656" i="14"/>
  <c r="B1656" i="15"/>
  <c r="B1657" i="14"/>
  <c r="E548" i="9"/>
  <c r="D549" i="9"/>
  <c r="E2398" i="13" s="1"/>
  <c r="E2391" i="15" s="1"/>
  <c r="G2391" i="15" s="1"/>
  <c r="D2456" i="15"/>
  <c r="K2464" i="13"/>
  <c r="D575" i="9"/>
  <c r="E1751" i="13" s="1"/>
  <c r="E1745" i="15"/>
  <c r="G1745" i="15" s="1"/>
  <c r="E1792" i="15"/>
  <c r="G1792" i="15" s="1"/>
  <c r="D577" i="9"/>
  <c r="E1753" i="13" s="1"/>
  <c r="E1793" i="15"/>
  <c r="G1793" i="15" s="1"/>
  <c r="D578" i="9"/>
  <c r="E1754" i="13" s="1"/>
  <c r="E1794" i="15"/>
  <c r="G1794" i="15" s="1"/>
  <c r="D579" i="9"/>
  <c r="E1755" i="13" s="1"/>
  <c r="E1795" i="15"/>
  <c r="G1795" i="15" s="1"/>
  <c r="D580" i="9"/>
  <c r="E1756" i="13" s="1"/>
  <c r="E1796" i="15"/>
  <c r="G1796" i="15" s="1"/>
  <c r="D581" i="9"/>
  <c r="E1757" i="13" s="1"/>
  <c r="E1797" i="15"/>
  <c r="G1797" i="15" s="1"/>
  <c r="D582" i="9"/>
  <c r="E1758" i="13" s="1"/>
  <c r="E1798" i="15"/>
  <c r="G1798" i="15" s="1"/>
  <c r="B1804" i="15"/>
  <c r="B1805" i="14"/>
  <c r="B1758" i="15"/>
  <c r="B1759" i="14"/>
  <c r="E590" i="9"/>
  <c r="E1760" i="15"/>
  <c r="G1760" i="15" s="1"/>
  <c r="C1762" i="15"/>
  <c r="C1763" i="14"/>
  <c r="C1763" i="15"/>
  <c r="C1764" i="14"/>
  <c r="B1764" i="15"/>
  <c r="B1765" i="14"/>
  <c r="B1765" i="15"/>
  <c r="B1766" i="14"/>
  <c r="B1766" i="15"/>
  <c r="B1767" i="14"/>
  <c r="E1767" i="15"/>
  <c r="G1767" i="15" s="1"/>
  <c r="C1769" i="15"/>
  <c r="C1770" i="14"/>
  <c r="B1770" i="15"/>
  <c r="B1771" i="14"/>
  <c r="E1771" i="15"/>
  <c r="G1771" i="15" s="1"/>
  <c r="C1773" i="15"/>
  <c r="C1774" i="14"/>
  <c r="B1774" i="15"/>
  <c r="B1775" i="14"/>
  <c r="E606" i="9"/>
  <c r="B1778" i="15"/>
  <c r="B1779" i="14"/>
  <c r="B1779" i="15"/>
  <c r="B1780" i="14"/>
  <c r="B1780" i="15"/>
  <c r="B1781" i="14"/>
  <c r="B1781" i="15"/>
  <c r="B1782" i="14"/>
  <c r="B1782" i="15"/>
  <c r="B1783" i="14"/>
  <c r="B1783" i="15"/>
  <c r="B1784" i="14"/>
  <c r="B1784" i="15"/>
  <c r="B1785" i="14"/>
  <c r="B1785" i="15"/>
  <c r="B1786" i="14"/>
  <c r="B1786" i="15"/>
  <c r="B1787" i="14"/>
  <c r="B1787" i="15"/>
  <c r="B1788" i="14"/>
  <c r="B1788" i="15"/>
  <c r="B1789" i="14"/>
  <c r="B1789" i="15"/>
  <c r="B1790" i="14"/>
  <c r="E621" i="9"/>
  <c r="D622" i="9"/>
  <c r="E2402" i="13" s="1"/>
  <c r="E2395" i="15" s="1"/>
  <c r="G2395" i="15" s="1"/>
  <c r="D2452" i="15"/>
  <c r="K2460" i="13"/>
  <c r="H2460" i="13"/>
  <c r="C1330" i="15"/>
  <c r="C1331" i="14"/>
  <c r="J648" i="9"/>
  <c r="E1391" i="13" s="1"/>
  <c r="C1385" i="15"/>
  <c r="C1386" i="14"/>
  <c r="B1333" i="15"/>
  <c r="B1334" i="14"/>
  <c r="J650" i="9"/>
  <c r="E1393" i="13" s="1"/>
  <c r="C1387" i="15"/>
  <c r="C1388" i="14"/>
  <c r="B1335" i="15"/>
  <c r="B1336" i="14"/>
  <c r="D653" i="9"/>
  <c r="E1343" i="13" s="1"/>
  <c r="C654" i="9"/>
  <c r="D1338" i="15"/>
  <c r="D1339" i="14"/>
  <c r="K1345" i="13"/>
  <c r="H1345" i="13"/>
  <c r="C1339" i="15"/>
  <c r="C1340" i="14"/>
  <c r="B1390" i="15"/>
  <c r="B1391" i="14"/>
  <c r="D657" i="9"/>
  <c r="E1347" i="13" s="1"/>
  <c r="C1341" i="15"/>
  <c r="C1342" i="14"/>
  <c r="B1392" i="15"/>
  <c r="B1393" i="14"/>
  <c r="D659" i="9"/>
  <c r="E1349" i="13" s="1"/>
  <c r="C1343" i="15"/>
  <c r="C1344" i="14"/>
  <c r="B1394" i="15"/>
  <c r="B1395" i="14"/>
  <c r="D661" i="9"/>
  <c r="E1351" i="13" s="1"/>
  <c r="C1345" i="15"/>
  <c r="C1346" i="14"/>
  <c r="B1396" i="15"/>
  <c r="B1397" i="14"/>
  <c r="D663" i="9"/>
  <c r="E1353" i="13" s="1"/>
  <c r="C1347" i="15"/>
  <c r="C1348" i="14"/>
  <c r="G664" i="9"/>
  <c r="B1405" i="13" s="1"/>
  <c r="C1349" i="15"/>
  <c r="C1350" i="14"/>
  <c r="G666" i="9"/>
  <c r="B1407" i="13" s="1"/>
  <c r="E667" i="9"/>
  <c r="E668" i="9"/>
  <c r="D670" i="9"/>
  <c r="E1360" i="13" s="1"/>
  <c r="C1365" i="15"/>
  <c r="C1366" i="14"/>
  <c r="A683" i="9"/>
  <c r="B1373" i="13" s="1"/>
  <c r="D1368" i="15"/>
  <c r="D1369" i="14"/>
  <c r="K1375" i="13"/>
  <c r="C1369" i="15"/>
  <c r="C1370" i="14"/>
  <c r="A687" i="9"/>
  <c r="B1377" i="13" s="1"/>
  <c r="D688" i="9"/>
  <c r="E1378" i="13" s="1"/>
  <c r="C1373" i="15"/>
  <c r="C1374" i="14"/>
  <c r="E691" i="9"/>
  <c r="D692" i="9"/>
  <c r="E1382" i="13" s="1"/>
  <c r="C1377" i="15"/>
  <c r="C1378" i="14"/>
  <c r="D696" i="9"/>
  <c r="E1386" i="13" s="1"/>
  <c r="D697" i="9"/>
  <c r="E700" i="9"/>
  <c r="AJ173" i="11"/>
  <c r="AI173" i="11"/>
  <c r="AJ193" i="11"/>
  <c r="AI193" i="11"/>
  <c r="AJ205" i="11"/>
  <c r="AI205" i="11"/>
  <c r="AJ212" i="11"/>
  <c r="AI212" i="11"/>
  <c r="AJ239" i="11"/>
  <c r="AI239" i="11"/>
  <c r="AJ298" i="11"/>
  <c r="AI298" i="11"/>
  <c r="AJ326" i="11"/>
  <c r="AI326" i="11"/>
  <c r="I327" i="11"/>
  <c r="K1546" i="5" s="1"/>
  <c r="J1546" i="5" s="1"/>
  <c r="I329" i="11"/>
  <c r="K1548" i="5" s="1"/>
  <c r="J1548" i="5" s="1"/>
  <c r="I330" i="11"/>
  <c r="K1549" i="5" s="1"/>
  <c r="J1549" i="5" s="1"/>
  <c r="I338" i="11"/>
  <c r="K1557" i="5" s="1"/>
  <c r="J1557" i="5" s="1"/>
  <c r="I346" i="11"/>
  <c r="K1565" i="5" s="1"/>
  <c r="J1565" i="5" s="1"/>
  <c r="AJ369" i="11"/>
  <c r="AI369" i="11"/>
  <c r="AJ397" i="11"/>
  <c r="AI397" i="11"/>
  <c r="L459" i="11"/>
  <c r="Q459" i="11" s="1"/>
  <c r="AJ408" i="11"/>
  <c r="AI408" i="11"/>
  <c r="J464" i="11"/>
  <c r="L464" i="11" s="1"/>
  <c r="Q464" i="11" s="1"/>
  <c r="D413" i="11"/>
  <c r="AJ434" i="11"/>
  <c r="AI434" i="11"/>
  <c r="A445" i="11"/>
  <c r="D509" i="6" s="1"/>
  <c r="E2025" i="13" s="1"/>
  <c r="AJ455" i="11"/>
  <c r="AI455" i="11"/>
  <c r="AJ463" i="11"/>
  <c r="AI463" i="11"/>
  <c r="F499" i="11"/>
  <c r="F502" i="11"/>
  <c r="AJ505" i="11"/>
  <c r="AI505" i="11"/>
  <c r="F515" i="11"/>
  <c r="F518" i="11"/>
  <c r="AJ521" i="11"/>
  <c r="AI521" i="11"/>
  <c r="AJ525" i="11"/>
  <c r="AI525" i="11"/>
  <c r="AJ748" i="11"/>
  <c r="AI748" i="11"/>
  <c r="AJ768" i="11"/>
  <c r="AI768" i="11"/>
  <c r="AJ811" i="11"/>
  <c r="AI811" i="11"/>
  <c r="AJ822" i="11"/>
  <c r="AI822" i="11"/>
  <c r="AJ853" i="11"/>
  <c r="AI853" i="11"/>
  <c r="AJ879" i="11"/>
  <c r="AI879" i="11"/>
  <c r="AJ884" i="11"/>
  <c r="AI884" i="11"/>
  <c r="AJ946" i="11"/>
  <c r="AI946" i="11"/>
  <c r="AJ954" i="11"/>
  <c r="AI954" i="11"/>
  <c r="AJ962" i="11"/>
  <c r="AI962" i="11"/>
  <c r="AJ970" i="11"/>
  <c r="AI970" i="11"/>
  <c r="AJ1042" i="11"/>
  <c r="AI1042" i="11"/>
  <c r="AJ1050" i="11"/>
  <c r="AI1050" i="11"/>
  <c r="AJ1058" i="11"/>
  <c r="AI1058" i="11"/>
  <c r="G18" i="12"/>
  <c r="G24" i="12"/>
  <c r="F39" i="12"/>
  <c r="D68" i="12" s="1"/>
  <c r="D69" i="12" s="1"/>
  <c r="F47" i="12"/>
  <c r="F55" i="12"/>
  <c r="F63" i="12"/>
  <c r="E129" i="12"/>
  <c r="E132" i="12" s="1"/>
  <c r="F158" i="12"/>
  <c r="D184" i="12"/>
  <c r="F214" i="12"/>
  <c r="C216" i="12" s="1"/>
  <c r="D223" i="12"/>
  <c r="D228" i="12" s="1"/>
  <c r="D2237" i="13"/>
  <c r="E375" i="12"/>
  <c r="D2243" i="13"/>
  <c r="C380" i="12"/>
  <c r="I369" i="12"/>
  <c r="E381" i="12"/>
  <c r="D2289" i="13"/>
  <c r="K428" i="12"/>
  <c r="D2298" i="13"/>
  <c r="I465" i="12"/>
  <c r="E465" i="12"/>
  <c r="D2302" i="13"/>
  <c r="I469" i="12"/>
  <c r="E469" i="12"/>
  <c r="D408" i="11"/>
  <c r="D410" i="11"/>
  <c r="D415" i="11"/>
  <c r="D421" i="11"/>
  <c r="L392" i="11" s="1"/>
  <c r="C755" i="11"/>
  <c r="C758" i="11"/>
  <c r="C765" i="11"/>
  <c r="C767" i="11"/>
  <c r="C774" i="11"/>
  <c r="C776" i="11"/>
  <c r="C778" i="11"/>
  <c r="C785" i="11"/>
  <c r="C787" i="11"/>
  <c r="D73" i="12"/>
  <c r="E79" i="12"/>
  <c r="E84" i="12" s="1"/>
  <c r="E128" i="12"/>
  <c r="D147" i="12"/>
  <c r="C274" i="12"/>
  <c r="D298" i="12"/>
  <c r="D318" i="12"/>
  <c r="B2222" i="15"/>
  <c r="B2223" i="14"/>
  <c r="E2242" i="15"/>
  <c r="G2242" i="15" s="1"/>
  <c r="E2224" i="15"/>
  <c r="G2224" i="15" s="1"/>
  <c r="B2226" i="15"/>
  <c r="B2227" i="14"/>
  <c r="E2246" i="15"/>
  <c r="G2246" i="15" s="1"/>
  <c r="E2228" i="15"/>
  <c r="G2228" i="15" s="1"/>
  <c r="B2233" i="15"/>
  <c r="B2234" i="14"/>
  <c r="E2234" i="15"/>
  <c r="G2234" i="15" s="1"/>
  <c r="H2241" i="13"/>
  <c r="G2241" i="13"/>
  <c r="E2235" i="15"/>
  <c r="G2235" i="15" s="1"/>
  <c r="E2236" i="15"/>
  <c r="G2236" i="15" s="1"/>
  <c r="E2237" i="15"/>
  <c r="G2237" i="15" s="1"/>
  <c r="G2244" i="13"/>
  <c r="D2402" i="15"/>
  <c r="H2409" i="13"/>
  <c r="K2409" i="13"/>
  <c r="E2265" i="15"/>
  <c r="G2265" i="15" s="1"/>
  <c r="G2272" i="13"/>
  <c r="D2258" i="15"/>
  <c r="D2259" i="14"/>
  <c r="K2265" i="13"/>
  <c r="H2265" i="13"/>
  <c r="E2259" i="15"/>
  <c r="G2259" i="15" s="1"/>
  <c r="G2266" i="13"/>
  <c r="E2260" i="15"/>
  <c r="G2260" i="15" s="1"/>
  <c r="E2261" i="15"/>
  <c r="G2261" i="15" s="1"/>
  <c r="D2281" i="15"/>
  <c r="D2282" i="14"/>
  <c r="E2271" i="15"/>
  <c r="G2271" i="15" s="1"/>
  <c r="G2278" i="13"/>
  <c r="D2283" i="15"/>
  <c r="D2284" i="14"/>
  <c r="H2290" i="13"/>
  <c r="D2274" i="15"/>
  <c r="D2275" i="14"/>
  <c r="K2281" i="13"/>
  <c r="H2281" i="13"/>
  <c r="E2285" i="15"/>
  <c r="G2285" i="15" s="1"/>
  <c r="E2278" i="15"/>
  <c r="G2278" i="15" s="1"/>
  <c r="G2285" i="13"/>
  <c r="D2406" i="15"/>
  <c r="H2413" i="13"/>
  <c r="K2413" i="13"/>
  <c r="B2292" i="15"/>
  <c r="B2293" i="14"/>
  <c r="E2308" i="15"/>
  <c r="G2308" i="15" s="1"/>
  <c r="D2294" i="15"/>
  <c r="D2295" i="14"/>
  <c r="H2301" i="13"/>
  <c r="K2301" i="13"/>
  <c r="E2309" i="15"/>
  <c r="G2309" i="15" s="1"/>
  <c r="E2295" i="15"/>
  <c r="G2295" i="15" s="1"/>
  <c r="G2302" i="13"/>
  <c r="D2311" i="15"/>
  <c r="D2312" i="14"/>
  <c r="C2299" i="15"/>
  <c r="C2300" i="14"/>
  <c r="B2300" i="15"/>
  <c r="B2301" i="14"/>
  <c r="D475" i="12"/>
  <c r="E2308" i="13" s="1"/>
  <c r="D2316" i="15"/>
  <c r="D2317" i="14"/>
  <c r="G2323" i="13"/>
  <c r="D2339" i="13"/>
  <c r="K2323" i="13"/>
  <c r="C14" i="15"/>
  <c r="C15" i="14"/>
  <c r="C15" i="15"/>
  <c r="C16" i="14"/>
  <c r="C16" i="15"/>
  <c r="C17" i="14"/>
  <c r="C17" i="15"/>
  <c r="C18" i="14"/>
  <c r="C18" i="15"/>
  <c r="C19" i="14"/>
  <c r="C19" i="15"/>
  <c r="C20" i="14"/>
  <c r="C20" i="15"/>
  <c r="C21" i="14"/>
  <c r="C21" i="15"/>
  <c r="C22" i="14"/>
  <c r="C22" i="15"/>
  <c r="C23" i="14"/>
  <c r="B26" i="15"/>
  <c r="B27" i="14"/>
  <c r="C27" i="15"/>
  <c r="C28" i="14"/>
  <c r="B30" i="15"/>
  <c r="B31" i="14"/>
  <c r="C31" i="15"/>
  <c r="C32" i="14"/>
  <c r="B58" i="15"/>
  <c r="B59" i="14"/>
  <c r="C59" i="15"/>
  <c r="C60" i="14"/>
  <c r="B62" i="15"/>
  <c r="B63" i="14"/>
  <c r="C63" i="15"/>
  <c r="C64" i="14"/>
  <c r="B66" i="15"/>
  <c r="B67" i="14"/>
  <c r="C67" i="15"/>
  <c r="C68" i="14"/>
  <c r="C73" i="15"/>
  <c r="C74" i="14"/>
  <c r="C74" i="15"/>
  <c r="C75" i="14"/>
  <c r="C75" i="15"/>
  <c r="C76" i="14"/>
  <c r="C76" i="15"/>
  <c r="C77" i="14"/>
  <c r="C77" i="15"/>
  <c r="C78" i="14"/>
  <c r="C78" i="15"/>
  <c r="C79" i="14"/>
  <c r="C79" i="15"/>
  <c r="C80" i="14"/>
  <c r="C80" i="15"/>
  <c r="C81" i="14"/>
  <c r="C81" i="15"/>
  <c r="C82" i="14"/>
  <c r="C82" i="15"/>
  <c r="C83" i="14"/>
  <c r="C83" i="15"/>
  <c r="C84" i="14"/>
  <c r="C84" i="15"/>
  <c r="C85" i="14"/>
  <c r="C85" i="15"/>
  <c r="C86" i="14"/>
  <c r="C86" i="15"/>
  <c r="C87" i="14"/>
  <c r="B114" i="15"/>
  <c r="B115" i="14"/>
  <c r="B116" i="15"/>
  <c r="B117" i="14"/>
  <c r="B118" i="15"/>
  <c r="B119" i="14"/>
  <c r="B120" i="15"/>
  <c r="B121" i="14"/>
  <c r="C125" i="15"/>
  <c r="C126" i="14"/>
  <c r="C126" i="15"/>
  <c r="C127" i="14"/>
  <c r="C127" i="15"/>
  <c r="C128" i="14"/>
  <c r="C128" i="15"/>
  <c r="C129" i="14"/>
  <c r="C129" i="15"/>
  <c r="C130" i="14"/>
  <c r="I177" i="15"/>
  <c r="F178" i="14"/>
  <c r="H197" i="13"/>
  <c r="B200" i="15"/>
  <c r="B201" i="14"/>
  <c r="C201" i="15"/>
  <c r="C202" i="14"/>
  <c r="B204" i="15"/>
  <c r="B205" i="14"/>
  <c r="C205" i="15"/>
  <c r="C206" i="14"/>
  <c r="B208" i="15"/>
  <c r="B209" i="14"/>
  <c r="C209" i="15"/>
  <c r="C210" i="14"/>
  <c r="C212" i="15"/>
  <c r="C213" i="14"/>
  <c r="C254" i="15"/>
  <c r="C255" i="14"/>
  <c r="C283" i="15"/>
  <c r="C284" i="14"/>
  <c r="C287" i="15"/>
  <c r="C288" i="14"/>
  <c r="B290" i="15"/>
  <c r="B291" i="14"/>
  <c r="C291" i="15"/>
  <c r="C292" i="14"/>
  <c r="C295" i="15"/>
  <c r="C296" i="14"/>
  <c r="C299" i="15"/>
  <c r="C300" i="14"/>
  <c r="I302" i="15"/>
  <c r="F303" i="14"/>
  <c r="B305" i="15"/>
  <c r="B306" i="14"/>
  <c r="B310" i="15"/>
  <c r="B311" i="14"/>
  <c r="B311" i="15"/>
  <c r="B312" i="14"/>
  <c r="B312" i="15"/>
  <c r="B313" i="14"/>
  <c r="B313" i="15"/>
  <c r="B314" i="14"/>
  <c r="B314" i="15"/>
  <c r="B315" i="14"/>
  <c r="B315" i="15"/>
  <c r="B316" i="14"/>
  <c r="B316" i="15"/>
  <c r="B317" i="14"/>
  <c r="B317" i="15"/>
  <c r="B318" i="14"/>
  <c r="H323" i="13"/>
  <c r="B366" i="15"/>
  <c r="B367" i="14"/>
  <c r="H453" i="13"/>
  <c r="I458" i="13"/>
  <c r="C456" i="15"/>
  <c r="C457" i="14"/>
  <c r="C457" i="15"/>
  <c r="C458" i="14"/>
  <c r="C458" i="15"/>
  <c r="C459" i="14"/>
  <c r="C459" i="15"/>
  <c r="C460" i="14"/>
  <c r="C460" i="15"/>
  <c r="C461" i="14"/>
  <c r="C461" i="15"/>
  <c r="C462" i="14"/>
  <c r="C462" i="15"/>
  <c r="C463" i="14"/>
  <c r="C463" i="15"/>
  <c r="C464" i="14"/>
  <c r="C464" i="15"/>
  <c r="C465" i="14"/>
  <c r="C465" i="15"/>
  <c r="C466" i="14"/>
  <c r="C466" i="15"/>
  <c r="C467" i="14"/>
  <c r="C467" i="15"/>
  <c r="C468" i="14"/>
  <c r="C468" i="15"/>
  <c r="C469" i="14"/>
  <c r="C469" i="15"/>
  <c r="C470" i="14"/>
  <c r="C470" i="15"/>
  <c r="C471" i="14"/>
  <c r="C471" i="15"/>
  <c r="C472" i="14"/>
  <c r="C472" i="15"/>
  <c r="C473" i="14"/>
  <c r="C473" i="15"/>
  <c r="C474" i="14"/>
  <c r="C474" i="15"/>
  <c r="C475" i="14"/>
  <c r="C475" i="15"/>
  <c r="C476" i="14"/>
  <c r="C476" i="15"/>
  <c r="C477" i="14"/>
  <c r="C477" i="15"/>
  <c r="C478" i="14"/>
  <c r="C478" i="15"/>
  <c r="C479" i="14"/>
  <c r="C479" i="15"/>
  <c r="C480" i="14"/>
  <c r="C480" i="15"/>
  <c r="C481" i="14"/>
  <c r="C481" i="15"/>
  <c r="C482" i="14"/>
  <c r="C482" i="15"/>
  <c r="C483" i="14"/>
  <c r="C483" i="15"/>
  <c r="C484" i="14"/>
  <c r="C484" i="15"/>
  <c r="C485" i="14"/>
  <c r="C485" i="15"/>
  <c r="C486" i="14"/>
  <c r="C486" i="15"/>
  <c r="C487" i="14"/>
  <c r="C487" i="15"/>
  <c r="C488" i="14"/>
  <c r="C488" i="15"/>
  <c r="C489" i="14"/>
  <c r="C489" i="15"/>
  <c r="C490" i="14"/>
  <c r="K554" i="13"/>
  <c r="C587" i="15"/>
  <c r="C588" i="14"/>
  <c r="C591" i="15"/>
  <c r="C592" i="14"/>
  <c r="C595" i="15"/>
  <c r="C596" i="14"/>
  <c r="I606" i="13"/>
  <c r="J599" i="15" s="1"/>
  <c r="B739" i="15"/>
  <c r="B740" i="14"/>
  <c r="I755" i="13"/>
  <c r="J748" i="15" s="1"/>
  <c r="B813" i="15"/>
  <c r="B814" i="14"/>
  <c r="I829" i="13"/>
  <c r="J822" i="15" s="1"/>
  <c r="B887" i="15"/>
  <c r="B888" i="14"/>
  <c r="I897" i="15"/>
  <c r="F898" i="14"/>
  <c r="C968" i="15"/>
  <c r="C969" i="14"/>
  <c r="C970" i="15"/>
  <c r="C971" i="14"/>
  <c r="B985" i="15"/>
  <c r="B986" i="14"/>
  <c r="B989" i="15"/>
  <c r="B990" i="14"/>
  <c r="B993" i="15"/>
  <c r="B994" i="14"/>
  <c r="B997" i="15"/>
  <c r="B998" i="14"/>
  <c r="H1481" i="13"/>
  <c r="H1507" i="13"/>
  <c r="H1644" i="13"/>
  <c r="I1907" i="15"/>
  <c r="F1908" i="14"/>
  <c r="I1914" i="13"/>
  <c r="J1907" i="15" s="1"/>
  <c r="C753" i="11"/>
  <c r="C754" i="11"/>
  <c r="C760" i="11"/>
  <c r="C762" i="11"/>
  <c r="C769" i="11"/>
  <c r="C771" i="11"/>
  <c r="C773" i="11"/>
  <c r="C780" i="11"/>
  <c r="C782" i="11"/>
  <c r="E80" i="12"/>
  <c r="C275" i="12"/>
  <c r="D299" i="12"/>
  <c r="B2221" i="15"/>
  <c r="B2222" i="14"/>
  <c r="E2241" i="15"/>
  <c r="G2241" i="15" s="1"/>
  <c r="E2223" i="15"/>
  <c r="G2223" i="15" s="1"/>
  <c r="B2225" i="15"/>
  <c r="B2226" i="14"/>
  <c r="E2245" i="15"/>
  <c r="G2245" i="15" s="1"/>
  <c r="E2227" i="15"/>
  <c r="G2227" i="15" s="1"/>
  <c r="B2229" i="15"/>
  <c r="B2230" i="14"/>
  <c r="B2230" i="15"/>
  <c r="B2231" i="14"/>
  <c r="B2231" i="15"/>
  <c r="B2232" i="14"/>
  <c r="B2232" i="15"/>
  <c r="B2233" i="14"/>
  <c r="E2233" i="15"/>
  <c r="G2233" i="15" s="1"/>
  <c r="H2240" i="13"/>
  <c r="G2240" i="13"/>
  <c r="D2403" i="15"/>
  <c r="K2410" i="13"/>
  <c r="E2252" i="15"/>
  <c r="G2252" i="15" s="1"/>
  <c r="K400" i="12"/>
  <c r="D2266" i="15"/>
  <c r="D2267" i="14"/>
  <c r="E2254" i="15"/>
  <c r="G2254" i="15" s="1"/>
  <c r="E2255" i="15"/>
  <c r="G2255" i="15" s="1"/>
  <c r="E2256" i="15"/>
  <c r="G2256" i="15" s="1"/>
  <c r="E2257" i="15"/>
  <c r="G2257" i="15" s="1"/>
  <c r="E2258" i="15"/>
  <c r="G2258" i="15" s="1"/>
  <c r="G2265" i="13"/>
  <c r="E407" i="12"/>
  <c r="D2404" i="15"/>
  <c r="K2411" i="13"/>
  <c r="E411" i="12"/>
  <c r="D2437" i="15"/>
  <c r="K2445" i="13"/>
  <c r="H2445" i="13"/>
  <c r="E2281" i="15"/>
  <c r="G2281" i="15" s="1"/>
  <c r="G2288" i="13"/>
  <c r="E2283" i="15"/>
  <c r="G2283" i="15" s="1"/>
  <c r="G2290" i="13"/>
  <c r="D2284" i="15"/>
  <c r="D2285" i="14"/>
  <c r="E2274" i="15"/>
  <c r="G2274" i="15" s="1"/>
  <c r="G2281" i="13"/>
  <c r="D2286" i="15"/>
  <c r="D2287" i="14"/>
  <c r="H2293" i="13"/>
  <c r="E2276" i="15"/>
  <c r="G2276" i="15" s="1"/>
  <c r="E2277" i="15"/>
  <c r="G2277" i="15" s="1"/>
  <c r="G2284" i="13"/>
  <c r="D2407" i="15"/>
  <c r="K2414" i="13"/>
  <c r="C460" i="12"/>
  <c r="C476" i="12" s="1"/>
  <c r="B2291" i="15"/>
  <c r="B2292" i="14"/>
  <c r="E2307" i="15"/>
  <c r="G2307" i="15" s="1"/>
  <c r="E2293" i="15"/>
  <c r="G2293" i="15" s="1"/>
  <c r="E2294" i="15"/>
  <c r="G2294" i="15" s="1"/>
  <c r="G2301" i="13"/>
  <c r="E2311" i="15"/>
  <c r="G2311" i="15" s="1"/>
  <c r="G2318" i="13"/>
  <c r="E2298" i="15"/>
  <c r="G2298" i="15" s="1"/>
  <c r="G2305" i="13"/>
  <c r="C2300" i="15"/>
  <c r="C2301" i="14"/>
  <c r="B2301" i="15"/>
  <c r="B2302" i="14"/>
  <c r="E2302" i="15"/>
  <c r="G2302" i="15" s="1"/>
  <c r="D2400" i="15"/>
  <c r="K2407" i="13"/>
  <c r="H2407" i="13"/>
  <c r="E479" i="12"/>
  <c r="D2318" i="15"/>
  <c r="D2319" i="14"/>
  <c r="D2341" i="13"/>
  <c r="G2325" i="13"/>
  <c r="K2325" i="13"/>
  <c r="D2317" i="15"/>
  <c r="D2318" i="14"/>
  <c r="K2324" i="13"/>
  <c r="D2340" i="13"/>
  <c r="H2324" i="13"/>
  <c r="B25" i="15"/>
  <c r="B26" i="14"/>
  <c r="C26" i="15"/>
  <c r="C27" i="14"/>
  <c r="B29" i="15"/>
  <c r="B30" i="14"/>
  <c r="C30" i="15"/>
  <c r="C31" i="14"/>
  <c r="C36" i="15"/>
  <c r="C37" i="14"/>
  <c r="C37" i="15"/>
  <c r="C38" i="14"/>
  <c r="C38" i="15"/>
  <c r="C39" i="14"/>
  <c r="C39" i="15"/>
  <c r="C40" i="14"/>
  <c r="C40" i="15"/>
  <c r="C41" i="14"/>
  <c r="C41" i="15"/>
  <c r="C42" i="14"/>
  <c r="C42" i="15"/>
  <c r="C43" i="14"/>
  <c r="C43" i="15"/>
  <c r="C44" i="14"/>
  <c r="C44" i="15"/>
  <c r="C45" i="14"/>
  <c r="C45" i="15"/>
  <c r="C46" i="14"/>
  <c r="C46" i="15"/>
  <c r="C47" i="14"/>
  <c r="C47" i="15"/>
  <c r="C48" i="14"/>
  <c r="C48" i="15"/>
  <c r="C49" i="14"/>
  <c r="C49" i="15"/>
  <c r="C50" i="14"/>
  <c r="C50" i="15"/>
  <c r="C51" i="14"/>
  <c r="C51" i="15"/>
  <c r="C52" i="14"/>
  <c r="C52" i="15"/>
  <c r="C53" i="14"/>
  <c r="C53" i="15"/>
  <c r="C54" i="14"/>
  <c r="B57" i="15"/>
  <c r="B58" i="14"/>
  <c r="C58" i="15"/>
  <c r="C59" i="14"/>
  <c r="B61" i="15"/>
  <c r="B62" i="14"/>
  <c r="C62" i="15"/>
  <c r="C63" i="14"/>
  <c r="B65" i="15"/>
  <c r="B66" i="14"/>
  <c r="C66" i="15"/>
  <c r="C67" i="14"/>
  <c r="B69" i="15"/>
  <c r="B70" i="14"/>
  <c r="B89" i="15"/>
  <c r="B90" i="14"/>
  <c r="B93" i="15"/>
  <c r="B94" i="14"/>
  <c r="B95" i="15"/>
  <c r="B96" i="14"/>
  <c r="B97" i="15"/>
  <c r="B98" i="14"/>
  <c r="I124" i="15"/>
  <c r="F125" i="14"/>
  <c r="B133" i="15"/>
  <c r="B134" i="14"/>
  <c r="B135" i="15"/>
  <c r="B136" i="14"/>
  <c r="B137" i="15"/>
  <c r="B138" i="14"/>
  <c r="B139" i="15"/>
  <c r="B140" i="14"/>
  <c r="B168" i="15"/>
  <c r="B169" i="14"/>
  <c r="C179" i="15"/>
  <c r="C180" i="14"/>
  <c r="C180" i="15"/>
  <c r="C181" i="14"/>
  <c r="C181" i="15"/>
  <c r="C182" i="14"/>
  <c r="C182" i="15"/>
  <c r="C183" i="14"/>
  <c r="C183" i="15"/>
  <c r="C184" i="14"/>
  <c r="C184" i="15"/>
  <c r="C185" i="14"/>
  <c r="C185" i="15"/>
  <c r="C186" i="14"/>
  <c r="C186" i="15"/>
  <c r="C187" i="14"/>
  <c r="C187" i="15"/>
  <c r="C188" i="14"/>
  <c r="C188" i="15"/>
  <c r="C189" i="14"/>
  <c r="C189" i="15"/>
  <c r="C190" i="14"/>
  <c r="C190" i="15"/>
  <c r="C191" i="14"/>
  <c r="C191" i="15"/>
  <c r="C192" i="14"/>
  <c r="C192" i="15"/>
  <c r="C193" i="14"/>
  <c r="C193" i="15"/>
  <c r="C194" i="14"/>
  <c r="C194" i="15"/>
  <c r="C195" i="14"/>
  <c r="C195" i="15"/>
  <c r="C196" i="14"/>
  <c r="B199" i="15"/>
  <c r="B200" i="14"/>
  <c r="C200" i="15"/>
  <c r="C201" i="14"/>
  <c r="B203" i="15"/>
  <c r="B204" i="14"/>
  <c r="C204" i="15"/>
  <c r="C205" i="14"/>
  <c r="B207" i="15"/>
  <c r="B208" i="14"/>
  <c r="C208" i="15"/>
  <c r="C209" i="14"/>
  <c r="B211" i="15"/>
  <c r="B212" i="14"/>
  <c r="I214" i="15"/>
  <c r="F215" i="14"/>
  <c r="H237" i="13"/>
  <c r="B241" i="15"/>
  <c r="B242" i="14"/>
  <c r="B243" i="15"/>
  <c r="B244" i="14"/>
  <c r="B245" i="15"/>
  <c r="B246" i="14"/>
  <c r="B247" i="15"/>
  <c r="B248" i="14"/>
  <c r="B249" i="15"/>
  <c r="B250" i="14"/>
  <c r="B251" i="15"/>
  <c r="B252" i="14"/>
  <c r="B253" i="15"/>
  <c r="B254" i="14"/>
  <c r="I256" i="15"/>
  <c r="F257" i="14"/>
  <c r="H282" i="13"/>
  <c r="C286" i="15"/>
  <c r="C287" i="14"/>
  <c r="C290" i="15"/>
  <c r="C291" i="14"/>
  <c r="C294" i="15"/>
  <c r="C295" i="14"/>
  <c r="C298" i="15"/>
  <c r="C299" i="14"/>
  <c r="I302" i="13"/>
  <c r="J302" i="15" s="1"/>
  <c r="C304" i="15"/>
  <c r="C305" i="14"/>
  <c r="C305" i="15"/>
  <c r="C306" i="14"/>
  <c r="C306" i="15"/>
  <c r="C307" i="14"/>
  <c r="C307" i="15"/>
  <c r="C308" i="14"/>
  <c r="C308" i="15"/>
  <c r="C309" i="14"/>
  <c r="C309" i="15"/>
  <c r="C310" i="14"/>
  <c r="C310" i="15"/>
  <c r="C311" i="14"/>
  <c r="C311" i="15"/>
  <c r="C312" i="14"/>
  <c r="C312" i="15"/>
  <c r="C313" i="14"/>
  <c r="C313" i="15"/>
  <c r="C314" i="14"/>
  <c r="C314" i="15"/>
  <c r="C315" i="14"/>
  <c r="C315" i="15"/>
  <c r="C316" i="14"/>
  <c r="C316" i="15"/>
  <c r="C317" i="14"/>
  <c r="C317" i="15"/>
  <c r="C318" i="14"/>
  <c r="C318" i="15"/>
  <c r="C319" i="14"/>
  <c r="C319" i="15"/>
  <c r="C320" i="14"/>
  <c r="C320" i="15"/>
  <c r="C321" i="14"/>
  <c r="C321" i="15"/>
  <c r="C322" i="14"/>
  <c r="I331" i="15"/>
  <c r="F332" i="14"/>
  <c r="C336" i="15"/>
  <c r="C337" i="14"/>
  <c r="C337" i="15"/>
  <c r="C338" i="14"/>
  <c r="C338" i="15"/>
  <c r="C339" i="14"/>
  <c r="C339" i="15"/>
  <c r="C340" i="14"/>
  <c r="C340" i="15"/>
  <c r="C341" i="14"/>
  <c r="C341" i="15"/>
  <c r="C342" i="14"/>
  <c r="C342" i="15"/>
  <c r="C343" i="14"/>
  <c r="C343" i="15"/>
  <c r="C344" i="14"/>
  <c r="C344" i="15"/>
  <c r="C345" i="14"/>
  <c r="C345" i="15"/>
  <c r="C346" i="14"/>
  <c r="C346" i="15"/>
  <c r="C347" i="14"/>
  <c r="C347" i="15"/>
  <c r="C348" i="14"/>
  <c r="C348" i="15"/>
  <c r="C349" i="14"/>
  <c r="C349" i="15"/>
  <c r="C350" i="14"/>
  <c r="C350" i="15"/>
  <c r="C351" i="14"/>
  <c r="H430" i="13"/>
  <c r="I534" i="15"/>
  <c r="F535" i="14"/>
  <c r="B547" i="15"/>
  <c r="B548" i="14"/>
  <c r="H593" i="13"/>
  <c r="C590" i="15"/>
  <c r="C591" i="14"/>
  <c r="C594" i="15"/>
  <c r="C595" i="14"/>
  <c r="D607" i="15"/>
  <c r="D608" i="14"/>
  <c r="I711" i="15"/>
  <c r="F712" i="14"/>
  <c r="C727" i="15"/>
  <c r="C728" i="14"/>
  <c r="C728" i="15"/>
  <c r="C729" i="14"/>
  <c r="C729" i="15"/>
  <c r="C730" i="14"/>
  <c r="C730" i="15"/>
  <c r="C731" i="14"/>
  <c r="C731" i="15"/>
  <c r="C732" i="14"/>
  <c r="I749" i="15"/>
  <c r="F750" i="14"/>
  <c r="I785" i="15"/>
  <c r="F786" i="14"/>
  <c r="I823" i="15"/>
  <c r="F824" i="14"/>
  <c r="I859" i="15"/>
  <c r="F860" i="14"/>
  <c r="B898" i="15"/>
  <c r="B899" i="14"/>
  <c r="B900" i="15"/>
  <c r="B901" i="14"/>
  <c r="B901" i="15"/>
  <c r="B902" i="14"/>
  <c r="B902" i="15"/>
  <c r="B903" i="14"/>
  <c r="B903" i="15"/>
  <c r="B904" i="14"/>
  <c r="B904" i="15"/>
  <c r="B905" i="14"/>
  <c r="B905" i="15"/>
  <c r="B906" i="14"/>
  <c r="B906" i="15"/>
  <c r="B907" i="14"/>
  <c r="B907" i="15"/>
  <c r="B908" i="14"/>
  <c r="B908" i="15"/>
  <c r="B909" i="14"/>
  <c r="B909" i="15"/>
  <c r="B910" i="14"/>
  <c r="B914" i="15"/>
  <c r="B915" i="14"/>
  <c r="B915" i="15"/>
  <c r="B916" i="14"/>
  <c r="B916" i="15"/>
  <c r="B917" i="14"/>
  <c r="B917" i="15"/>
  <c r="B918" i="14"/>
  <c r="B918" i="15"/>
  <c r="B919" i="14"/>
  <c r="B919" i="15"/>
  <c r="B920" i="14"/>
  <c r="B920" i="15"/>
  <c r="B921" i="14"/>
  <c r="B926" i="15"/>
  <c r="B927" i="14"/>
  <c r="B927" i="15"/>
  <c r="B928" i="14"/>
  <c r="B928" i="15"/>
  <c r="B929" i="14"/>
  <c r="B932" i="15"/>
  <c r="B933" i="14"/>
  <c r="B933" i="15"/>
  <c r="B934" i="14"/>
  <c r="B935" i="15"/>
  <c r="B936" i="14"/>
  <c r="B936" i="15"/>
  <c r="B937" i="14"/>
  <c r="B938" i="15"/>
  <c r="B939" i="14"/>
  <c r="B939" i="15"/>
  <c r="B940" i="14"/>
  <c r="B940" i="15"/>
  <c r="B941" i="14"/>
  <c r="B941" i="15"/>
  <c r="B942" i="14"/>
  <c r="B942" i="15"/>
  <c r="B943" i="14"/>
  <c r="B943" i="15"/>
  <c r="B944" i="14"/>
  <c r="B944" i="15"/>
  <c r="B945" i="14"/>
  <c r="B945" i="15"/>
  <c r="B946" i="14"/>
  <c r="B946" i="15"/>
  <c r="B947" i="14"/>
  <c r="B947" i="15"/>
  <c r="B948" i="14"/>
  <c r="B948" i="15"/>
  <c r="B949" i="14"/>
  <c r="B949" i="15"/>
  <c r="B950" i="14"/>
  <c r="B955" i="15"/>
  <c r="B956" i="14"/>
  <c r="B957" i="15"/>
  <c r="B958" i="14"/>
  <c r="B958" i="15"/>
  <c r="B959" i="14"/>
  <c r="B959" i="15"/>
  <c r="B960" i="14"/>
  <c r="B960" i="15"/>
  <c r="B961" i="14"/>
  <c r="B961" i="15"/>
  <c r="B962" i="14"/>
  <c r="B962" i="15"/>
  <c r="B963" i="14"/>
  <c r="B963" i="15"/>
  <c r="B964" i="14"/>
  <c r="B964" i="15"/>
  <c r="B965" i="14"/>
  <c r="B965" i="15"/>
  <c r="B966" i="14"/>
  <c r="B966" i="15"/>
  <c r="B967" i="14"/>
  <c r="B971" i="15"/>
  <c r="B972" i="14"/>
  <c r="B984" i="15"/>
  <c r="B985" i="14"/>
  <c r="B992" i="15"/>
  <c r="B993" i="14"/>
  <c r="B996" i="15"/>
  <c r="B997" i="14"/>
  <c r="B1000" i="15"/>
  <c r="B1001" i="14"/>
  <c r="C794" i="11"/>
  <c r="D794" i="11" s="1"/>
  <c r="C795" i="11"/>
  <c r="D795" i="11" s="1"/>
  <c r="E2240" i="15"/>
  <c r="G2240" i="15" s="1"/>
  <c r="D367" i="12"/>
  <c r="E2229" i="13" s="1"/>
  <c r="B2224" i="15"/>
  <c r="B2225" i="14"/>
  <c r="E2244" i="15"/>
  <c r="G2244" i="15" s="1"/>
  <c r="D371" i="12"/>
  <c r="E2233" i="13" s="1"/>
  <c r="B2228" i="15"/>
  <c r="B2229" i="14"/>
  <c r="E2232" i="15"/>
  <c r="G2232" i="15" s="1"/>
  <c r="H2239" i="13"/>
  <c r="G2239" i="13"/>
  <c r="E378" i="12"/>
  <c r="B2235" i="15"/>
  <c r="B2236" i="14"/>
  <c r="B2236" i="15"/>
  <c r="B2237" i="14"/>
  <c r="B2237" i="15"/>
  <c r="B2238" i="14"/>
  <c r="E383" i="12"/>
  <c r="D384" i="12"/>
  <c r="E2410" i="13" s="1"/>
  <c r="E2403" i="15" s="1"/>
  <c r="G2403" i="15" s="1"/>
  <c r="D2438" i="15"/>
  <c r="K2446" i="13"/>
  <c r="H2446" i="13"/>
  <c r="E2264" i="15"/>
  <c r="G2264" i="15" s="1"/>
  <c r="E2266" i="15"/>
  <c r="G2266" i="15" s="1"/>
  <c r="G2273" i="13"/>
  <c r="E406" i="12"/>
  <c r="D410" i="12"/>
  <c r="E2411" i="13" s="1"/>
  <c r="E2404" i="15" s="1"/>
  <c r="G2404" i="15" s="1"/>
  <c r="E2270" i="15"/>
  <c r="G2270" i="15" s="1"/>
  <c r="G2277" i="13"/>
  <c r="K427" i="12"/>
  <c r="E2272" i="15"/>
  <c r="G2272" i="15" s="1"/>
  <c r="K429" i="12"/>
  <c r="E2284" i="15"/>
  <c r="G2284" i="15" s="1"/>
  <c r="G2291" i="13"/>
  <c r="E431" i="12"/>
  <c r="C432" i="12"/>
  <c r="E2286" i="15"/>
  <c r="G2286" i="15" s="1"/>
  <c r="G2293" i="13"/>
  <c r="E434" i="12"/>
  <c r="E436" i="12"/>
  <c r="D437" i="12"/>
  <c r="E2414" i="13" s="1"/>
  <c r="E2407" i="15" s="1"/>
  <c r="G2407" i="15" s="1"/>
  <c r="D2436" i="15"/>
  <c r="K2444" i="13"/>
  <c r="H2444" i="13"/>
  <c r="C459" i="12"/>
  <c r="C475" i="12" s="1"/>
  <c r="I466" i="12" s="1"/>
  <c r="B2290" i="15"/>
  <c r="B2291" i="14"/>
  <c r="E2306" i="15"/>
  <c r="G2306" i="15" s="1"/>
  <c r="B2294" i="15"/>
  <c r="B2295" i="14"/>
  <c r="E468" i="12"/>
  <c r="B2295" i="15"/>
  <c r="B2296" i="14"/>
  <c r="E2296" i="15"/>
  <c r="G2296" i="15" s="1"/>
  <c r="K470" i="12"/>
  <c r="E472" i="12"/>
  <c r="C2301" i="15"/>
  <c r="C2302" i="14"/>
  <c r="B2302" i="15"/>
  <c r="B2303" i="14"/>
  <c r="D2401" i="15"/>
  <c r="K2408" i="13"/>
  <c r="D2319" i="15"/>
  <c r="D2320" i="14"/>
  <c r="D2342" i="13"/>
  <c r="K2326" i="13"/>
  <c r="H2326" i="13"/>
  <c r="J2" i="15"/>
  <c r="F3" i="14"/>
  <c r="C25" i="15"/>
  <c r="C26" i="14"/>
  <c r="B28" i="15"/>
  <c r="B29" i="14"/>
  <c r="C29" i="15"/>
  <c r="C30" i="14"/>
  <c r="B32" i="15"/>
  <c r="B33" i="14"/>
  <c r="B56" i="15"/>
  <c r="B57" i="14"/>
  <c r="C57" i="15"/>
  <c r="C58" i="14"/>
  <c r="B60" i="15"/>
  <c r="B61" i="14"/>
  <c r="C61" i="15"/>
  <c r="C62" i="14"/>
  <c r="B64" i="15"/>
  <c r="B65" i="14"/>
  <c r="C65" i="15"/>
  <c r="C66" i="14"/>
  <c r="B68" i="15"/>
  <c r="B69" i="14"/>
  <c r="C69" i="15"/>
  <c r="C70" i="14"/>
  <c r="B115" i="15"/>
  <c r="B116" i="14"/>
  <c r="B117" i="15"/>
  <c r="B118" i="14"/>
  <c r="B119" i="15"/>
  <c r="B120" i="14"/>
  <c r="B121" i="15"/>
  <c r="B122" i="14"/>
  <c r="I124" i="13"/>
  <c r="J124" i="15" s="1"/>
  <c r="B150" i="15"/>
  <c r="B151" i="14"/>
  <c r="D152" i="15"/>
  <c r="D153" i="14"/>
  <c r="D169" i="15"/>
  <c r="D170" i="14"/>
  <c r="H178" i="13"/>
  <c r="B198" i="15"/>
  <c r="B199" i="14"/>
  <c r="C199" i="15"/>
  <c r="C200" i="14"/>
  <c r="B202" i="15"/>
  <c r="B203" i="14"/>
  <c r="C203" i="15"/>
  <c r="C204" i="14"/>
  <c r="B206" i="15"/>
  <c r="B207" i="14"/>
  <c r="C207" i="15"/>
  <c r="C208" i="14"/>
  <c r="B210" i="15"/>
  <c r="B211" i="14"/>
  <c r="I214" i="13"/>
  <c r="J214" i="15" s="1"/>
  <c r="C216" i="15"/>
  <c r="C217" i="14"/>
  <c r="C217" i="15"/>
  <c r="C218" i="14"/>
  <c r="C218" i="15"/>
  <c r="C219" i="14"/>
  <c r="C234" i="15"/>
  <c r="C235" i="14"/>
  <c r="C235" i="15"/>
  <c r="C236" i="14"/>
  <c r="I256" i="13"/>
  <c r="J256" i="15" s="1"/>
  <c r="C258" i="15"/>
  <c r="C259" i="14"/>
  <c r="C259" i="15"/>
  <c r="C260" i="14"/>
  <c r="C260" i="15"/>
  <c r="C261" i="14"/>
  <c r="C261" i="15"/>
  <c r="C262" i="14"/>
  <c r="C262" i="15"/>
  <c r="C263" i="14"/>
  <c r="C263" i="15"/>
  <c r="C264" i="14"/>
  <c r="C264" i="15"/>
  <c r="C265" i="14"/>
  <c r="C265" i="15"/>
  <c r="C266" i="14"/>
  <c r="C266" i="15"/>
  <c r="C267" i="14"/>
  <c r="C267" i="15"/>
  <c r="C268" i="14"/>
  <c r="C268" i="15"/>
  <c r="C269" i="14"/>
  <c r="C269" i="15"/>
  <c r="C270" i="14"/>
  <c r="C270" i="15"/>
  <c r="C271" i="14"/>
  <c r="C271" i="15"/>
  <c r="C272" i="14"/>
  <c r="C272" i="15"/>
  <c r="C273" i="14"/>
  <c r="C273" i="15"/>
  <c r="C274" i="14"/>
  <c r="C274" i="15"/>
  <c r="C275" i="14"/>
  <c r="C275" i="15"/>
  <c r="C276" i="14"/>
  <c r="C276" i="15"/>
  <c r="C277" i="14"/>
  <c r="C277" i="15"/>
  <c r="C278" i="14"/>
  <c r="C278" i="15"/>
  <c r="C279" i="14"/>
  <c r="C279" i="15"/>
  <c r="C280" i="14"/>
  <c r="C280" i="15"/>
  <c r="C281" i="14"/>
  <c r="C285" i="15"/>
  <c r="C286" i="14"/>
  <c r="C289" i="15"/>
  <c r="C290" i="14"/>
  <c r="C293" i="15"/>
  <c r="C294" i="14"/>
  <c r="C297" i="15"/>
  <c r="C298" i="14"/>
  <c r="H303" i="13"/>
  <c r="I331" i="13"/>
  <c r="J331" i="15" s="1"/>
  <c r="C333" i="15"/>
  <c r="C334" i="14"/>
  <c r="C334" i="15"/>
  <c r="C335" i="14"/>
  <c r="C335" i="15"/>
  <c r="C336" i="14"/>
  <c r="B353" i="15"/>
  <c r="B354" i="14"/>
  <c r="B365" i="15"/>
  <c r="B366" i="14"/>
  <c r="I375" i="13"/>
  <c r="H429" i="13"/>
  <c r="H536" i="13"/>
  <c r="I536" i="13" s="1"/>
  <c r="I541" i="13"/>
  <c r="J534" i="15" s="1"/>
  <c r="C536" i="15"/>
  <c r="C537" i="14"/>
  <c r="C537" i="15"/>
  <c r="C538" i="14"/>
  <c r="C538" i="15"/>
  <c r="C539" i="14"/>
  <c r="C539" i="15"/>
  <c r="C540" i="14"/>
  <c r="C540" i="15"/>
  <c r="C541" i="14"/>
  <c r="C541" i="15"/>
  <c r="C542" i="14"/>
  <c r="C542" i="15"/>
  <c r="C543" i="14"/>
  <c r="C543" i="15"/>
  <c r="C544" i="14"/>
  <c r="C544" i="15"/>
  <c r="C545" i="14"/>
  <c r="C545" i="15"/>
  <c r="C546" i="14"/>
  <c r="C546" i="15"/>
  <c r="C547" i="14"/>
  <c r="C547" i="15"/>
  <c r="C548" i="14"/>
  <c r="C548" i="15"/>
  <c r="C549" i="14"/>
  <c r="C549" i="15"/>
  <c r="C550" i="14"/>
  <c r="C550" i="15"/>
  <c r="C551" i="14"/>
  <c r="C551" i="15"/>
  <c r="C552" i="14"/>
  <c r="C552" i="15"/>
  <c r="C553" i="14"/>
  <c r="C553" i="15"/>
  <c r="C554" i="14"/>
  <c r="C554" i="15"/>
  <c r="C555" i="14"/>
  <c r="C555" i="15"/>
  <c r="C556" i="14"/>
  <c r="C556" i="15"/>
  <c r="C557" i="14"/>
  <c r="C557" i="15"/>
  <c r="C558" i="14"/>
  <c r="C558" i="15"/>
  <c r="C559" i="14"/>
  <c r="C559" i="15"/>
  <c r="C560" i="14"/>
  <c r="C560" i="15"/>
  <c r="C561" i="14"/>
  <c r="C561" i="15"/>
  <c r="C562" i="14"/>
  <c r="C562" i="15"/>
  <c r="C563" i="14"/>
  <c r="C563" i="15"/>
  <c r="C564" i="14"/>
  <c r="C564" i="15"/>
  <c r="C565" i="14"/>
  <c r="C565" i="15"/>
  <c r="C566" i="14"/>
  <c r="C566" i="15"/>
  <c r="C567" i="14"/>
  <c r="C567" i="15"/>
  <c r="C568" i="14"/>
  <c r="C568" i="15"/>
  <c r="C569" i="14"/>
  <c r="C569" i="15"/>
  <c r="C570" i="14"/>
  <c r="C570" i="15"/>
  <c r="C571" i="14"/>
  <c r="C571" i="15"/>
  <c r="C572" i="14"/>
  <c r="C572" i="15"/>
  <c r="C573" i="14"/>
  <c r="C573" i="15"/>
  <c r="C574" i="14"/>
  <c r="C574" i="15"/>
  <c r="C575" i="14"/>
  <c r="C575" i="15"/>
  <c r="C576" i="14"/>
  <c r="C576" i="15"/>
  <c r="C577" i="14"/>
  <c r="C577" i="15"/>
  <c r="C578" i="14"/>
  <c r="C578" i="15"/>
  <c r="C579" i="14"/>
  <c r="C579" i="15"/>
  <c r="C580" i="14"/>
  <c r="C580" i="15"/>
  <c r="C581" i="14"/>
  <c r="C581" i="15"/>
  <c r="C582" i="14"/>
  <c r="C582" i="15"/>
  <c r="C583" i="14"/>
  <c r="C583" i="15"/>
  <c r="C584" i="14"/>
  <c r="C584" i="15"/>
  <c r="C585" i="14"/>
  <c r="C589" i="15"/>
  <c r="C590" i="14"/>
  <c r="C593" i="15"/>
  <c r="C594" i="14"/>
  <c r="C597" i="15"/>
  <c r="C598" i="14"/>
  <c r="K614" i="13"/>
  <c r="I659" i="15"/>
  <c r="F660" i="14"/>
  <c r="H709" i="13"/>
  <c r="I718" i="13"/>
  <c r="J711" i="15" s="1"/>
  <c r="C713" i="15"/>
  <c r="C714" i="14"/>
  <c r="C714" i="15"/>
  <c r="C715" i="14"/>
  <c r="C715" i="15"/>
  <c r="C716" i="14"/>
  <c r="C716" i="15"/>
  <c r="C717" i="14"/>
  <c r="C717" i="15"/>
  <c r="C718" i="14"/>
  <c r="C718" i="15"/>
  <c r="C719" i="14"/>
  <c r="C719" i="15"/>
  <c r="C720" i="14"/>
  <c r="C720" i="15"/>
  <c r="C721" i="14"/>
  <c r="C721" i="15"/>
  <c r="C722" i="14"/>
  <c r="C722" i="15"/>
  <c r="C723" i="14"/>
  <c r="C723" i="15"/>
  <c r="C724" i="14"/>
  <c r="C724" i="15"/>
  <c r="C725" i="14"/>
  <c r="C725" i="15"/>
  <c r="C726" i="14"/>
  <c r="B738" i="15"/>
  <c r="B739" i="14"/>
  <c r="I756" i="13"/>
  <c r="J749" i="15" s="1"/>
  <c r="B776" i="15"/>
  <c r="B777" i="14"/>
  <c r="I792" i="13"/>
  <c r="J785" i="15" s="1"/>
  <c r="C787" i="15"/>
  <c r="C788" i="14"/>
  <c r="C788" i="15"/>
  <c r="C789" i="14"/>
  <c r="C789" i="15"/>
  <c r="C790" i="14"/>
  <c r="C790" i="15"/>
  <c r="C791" i="14"/>
  <c r="C791" i="15"/>
  <c r="C792" i="14"/>
  <c r="C792" i="15"/>
  <c r="C793" i="14"/>
  <c r="C793" i="15"/>
  <c r="C794" i="14"/>
  <c r="I830" i="13"/>
  <c r="J823" i="15" s="1"/>
  <c r="I866" i="13"/>
  <c r="J859" i="15" s="1"/>
  <c r="B886" i="15"/>
  <c r="B887" i="14"/>
  <c r="C898" i="15"/>
  <c r="C899" i="14"/>
  <c r="C899" i="15"/>
  <c r="C900" i="14"/>
  <c r="C900" i="15"/>
  <c r="C901" i="14"/>
  <c r="C901" i="15"/>
  <c r="C902" i="14"/>
  <c r="C902" i="15"/>
  <c r="C903" i="14"/>
  <c r="C903" i="15"/>
  <c r="C904" i="14"/>
  <c r="C904" i="15"/>
  <c r="C905" i="14"/>
  <c r="C905" i="15"/>
  <c r="C906" i="14"/>
  <c r="C906" i="15"/>
  <c r="C907" i="14"/>
  <c r="C907" i="15"/>
  <c r="C908" i="14"/>
  <c r="C908" i="15"/>
  <c r="C909" i="14"/>
  <c r="C909" i="15"/>
  <c r="C910" i="14"/>
  <c r="C910" i="15"/>
  <c r="C911" i="14"/>
  <c r="C911" i="15"/>
  <c r="C912" i="14"/>
  <c r="C912" i="15"/>
  <c r="C913" i="14"/>
  <c r="C913" i="15"/>
  <c r="C914" i="14"/>
  <c r="C914" i="15"/>
  <c r="C915" i="14"/>
  <c r="C915" i="15"/>
  <c r="C916" i="14"/>
  <c r="C916" i="15"/>
  <c r="C917" i="14"/>
  <c r="C917" i="15"/>
  <c r="C918" i="14"/>
  <c r="C918" i="15"/>
  <c r="C919" i="14"/>
  <c r="C919" i="15"/>
  <c r="C920" i="14"/>
  <c r="C920" i="15"/>
  <c r="C921" i="14"/>
  <c r="C921" i="15"/>
  <c r="C922" i="14"/>
  <c r="C922" i="15"/>
  <c r="C923" i="14"/>
  <c r="C923" i="15"/>
  <c r="C924" i="14"/>
  <c r="C924" i="15"/>
  <c r="C925" i="14"/>
  <c r="C925" i="15"/>
  <c r="C926" i="14"/>
  <c r="C926" i="15"/>
  <c r="C927" i="14"/>
  <c r="C927" i="15"/>
  <c r="C928" i="14"/>
  <c r="C928" i="15"/>
  <c r="C929" i="14"/>
  <c r="C929" i="15"/>
  <c r="C930" i="14"/>
  <c r="C930" i="15"/>
  <c r="C931" i="14"/>
  <c r="C931" i="15"/>
  <c r="C932" i="14"/>
  <c r="C932" i="15"/>
  <c r="C933" i="14"/>
  <c r="C933" i="15"/>
  <c r="C934" i="14"/>
  <c r="C934" i="15"/>
  <c r="C935" i="14"/>
  <c r="C935" i="15"/>
  <c r="C936" i="14"/>
  <c r="C936" i="15"/>
  <c r="C937" i="14"/>
  <c r="C937" i="15"/>
  <c r="C938" i="14"/>
  <c r="C938" i="15"/>
  <c r="C939" i="14"/>
  <c r="C939" i="15"/>
  <c r="C940" i="14"/>
  <c r="C940" i="15"/>
  <c r="C941" i="14"/>
  <c r="C941" i="15"/>
  <c r="C942" i="14"/>
  <c r="C942" i="15"/>
  <c r="C943" i="14"/>
  <c r="C943" i="15"/>
  <c r="C944" i="14"/>
  <c r="C944" i="15"/>
  <c r="C945" i="14"/>
  <c r="C945" i="15"/>
  <c r="C946" i="14"/>
  <c r="C946" i="15"/>
  <c r="C947" i="14"/>
  <c r="C947" i="15"/>
  <c r="C948" i="14"/>
  <c r="C948" i="15"/>
  <c r="C949" i="14"/>
  <c r="C949" i="15"/>
  <c r="C950" i="14"/>
  <c r="C950" i="15"/>
  <c r="C951" i="14"/>
  <c r="C951" i="15"/>
  <c r="C952" i="14"/>
  <c r="C952" i="15"/>
  <c r="C953" i="14"/>
  <c r="C953" i="15"/>
  <c r="C954" i="14"/>
  <c r="C954" i="15"/>
  <c r="C955" i="14"/>
  <c r="C955" i="15"/>
  <c r="C956" i="14"/>
  <c r="C956" i="15"/>
  <c r="C957" i="14"/>
  <c r="C957" i="15"/>
  <c r="C958" i="14"/>
  <c r="C958" i="15"/>
  <c r="C959" i="14"/>
  <c r="C959" i="15"/>
  <c r="C960" i="14"/>
  <c r="C960" i="15"/>
  <c r="C961" i="14"/>
  <c r="C961" i="15"/>
  <c r="C962" i="14"/>
  <c r="C962" i="15"/>
  <c r="C963" i="14"/>
  <c r="C963" i="15"/>
  <c r="C964" i="14"/>
  <c r="C964" i="15"/>
  <c r="C965" i="14"/>
  <c r="C965" i="15"/>
  <c r="C966" i="14"/>
  <c r="C966" i="15"/>
  <c r="C967" i="14"/>
  <c r="C967" i="15"/>
  <c r="C968" i="14"/>
  <c r="C969" i="15"/>
  <c r="C970" i="14"/>
  <c r="C971" i="15"/>
  <c r="C972" i="14"/>
  <c r="B972" i="15"/>
  <c r="B973" i="14"/>
  <c r="B973" i="15"/>
  <c r="B974" i="14"/>
  <c r="B974" i="15"/>
  <c r="B975" i="14"/>
  <c r="B975" i="15"/>
  <c r="B976" i="14"/>
  <c r="B976" i="15"/>
  <c r="B977" i="14"/>
  <c r="B977" i="15"/>
  <c r="B978" i="14"/>
  <c r="B983" i="15"/>
  <c r="B984" i="14"/>
  <c r="B995" i="15"/>
  <c r="B996" i="14"/>
  <c r="B999" i="15"/>
  <c r="B1000" i="14"/>
  <c r="I1329" i="15"/>
  <c r="F1330" i="14"/>
  <c r="I1336" i="13"/>
  <c r="J1329" i="15" s="1"/>
  <c r="H1357" i="13"/>
  <c r="H1368" i="13"/>
  <c r="D366" i="12"/>
  <c r="E2228" i="13" s="1"/>
  <c r="B2223" i="15"/>
  <c r="B2224" i="14"/>
  <c r="E2243" i="15"/>
  <c r="G2243" i="15" s="1"/>
  <c r="D370" i="12"/>
  <c r="E2232" i="13" s="1"/>
  <c r="B2227" i="15"/>
  <c r="B2228" i="14"/>
  <c r="E2247" i="15"/>
  <c r="G2247" i="15" s="1"/>
  <c r="E2229" i="15"/>
  <c r="G2229" i="15" s="1"/>
  <c r="E2230" i="15"/>
  <c r="G2230" i="15" s="1"/>
  <c r="G2237" i="13"/>
  <c r="E2231" i="15"/>
  <c r="G2231" i="15" s="1"/>
  <c r="G2238" i="13"/>
  <c r="E377" i="12"/>
  <c r="B2234" i="15"/>
  <c r="B2235" i="14"/>
  <c r="E2251" i="15"/>
  <c r="G2251" i="15" s="1"/>
  <c r="D2265" i="15"/>
  <c r="D2266" i="14"/>
  <c r="E2253" i="15"/>
  <c r="G2253" i="15" s="1"/>
  <c r="K401" i="12"/>
  <c r="C408" i="12"/>
  <c r="C409" i="12"/>
  <c r="D2405" i="15"/>
  <c r="K2412" i="13"/>
  <c r="H2412" i="13"/>
  <c r="E412" i="12"/>
  <c r="E427" i="12"/>
  <c r="E2282" i="15"/>
  <c r="G2282" i="15" s="1"/>
  <c r="G2289" i="13"/>
  <c r="E2273" i="15"/>
  <c r="G2273" i="15" s="1"/>
  <c r="G2280" i="13"/>
  <c r="K430" i="12"/>
  <c r="E2275" i="15"/>
  <c r="G2275" i="15" s="1"/>
  <c r="K432" i="12"/>
  <c r="E437" i="12"/>
  <c r="E2305" i="15"/>
  <c r="G2305" i="15" s="1"/>
  <c r="B2293" i="15"/>
  <c r="B2294" i="14"/>
  <c r="C2294" i="15"/>
  <c r="C2295" i="14"/>
  <c r="I468" i="12"/>
  <c r="E2310" i="15"/>
  <c r="G2310" i="15" s="1"/>
  <c r="B2299" i="15"/>
  <c r="B2300" i="14"/>
  <c r="D474" i="12"/>
  <c r="E2307" i="13" s="1"/>
  <c r="C2302" i="15"/>
  <c r="C2303" i="14"/>
  <c r="E477" i="12"/>
  <c r="D478" i="12"/>
  <c r="D2459" i="15"/>
  <c r="K2467" i="13"/>
  <c r="H2467" i="13"/>
  <c r="D2332" i="13"/>
  <c r="D2330" i="13"/>
  <c r="D2333" i="13"/>
  <c r="D2331" i="13"/>
  <c r="D2329" i="13"/>
  <c r="D2315" i="15"/>
  <c r="D2316" i="14"/>
  <c r="D2338" i="13"/>
  <c r="K2322" i="13"/>
  <c r="H2322" i="13"/>
  <c r="J3" i="15"/>
  <c r="F4" i="14"/>
  <c r="B27" i="15"/>
  <c r="B28" i="14"/>
  <c r="C28" i="15"/>
  <c r="C29" i="14"/>
  <c r="B31" i="15"/>
  <c r="B32" i="14"/>
  <c r="C32" i="15"/>
  <c r="C33" i="14"/>
  <c r="C56" i="15"/>
  <c r="C57" i="14"/>
  <c r="B59" i="15"/>
  <c r="B60" i="14"/>
  <c r="C60" i="15"/>
  <c r="C61" i="14"/>
  <c r="B63" i="15"/>
  <c r="B64" i="14"/>
  <c r="C64" i="15"/>
  <c r="C65" i="14"/>
  <c r="B67" i="15"/>
  <c r="B68" i="14"/>
  <c r="C68" i="15"/>
  <c r="C69" i="14"/>
  <c r="B90" i="15"/>
  <c r="B91" i="14"/>
  <c r="B92" i="15"/>
  <c r="B93" i="14"/>
  <c r="B96" i="15"/>
  <c r="B97" i="14"/>
  <c r="C101" i="15"/>
  <c r="C102" i="14"/>
  <c r="C102" i="15"/>
  <c r="C103" i="14"/>
  <c r="C103" i="15"/>
  <c r="C104" i="14"/>
  <c r="C104" i="15"/>
  <c r="C105" i="14"/>
  <c r="C105" i="15"/>
  <c r="C106" i="14"/>
  <c r="C106" i="15"/>
  <c r="C107" i="14"/>
  <c r="C107" i="15"/>
  <c r="C108" i="14"/>
  <c r="C108" i="15"/>
  <c r="C109" i="14"/>
  <c r="C109" i="15"/>
  <c r="C110" i="14"/>
  <c r="C110" i="15"/>
  <c r="C111" i="14"/>
  <c r="C111" i="15"/>
  <c r="C112" i="14"/>
  <c r="I123" i="15"/>
  <c r="F124" i="14"/>
  <c r="B125" i="15"/>
  <c r="B126" i="14"/>
  <c r="B128" i="15"/>
  <c r="B129" i="14"/>
  <c r="H132" i="13"/>
  <c r="B134" i="15"/>
  <c r="B135" i="14"/>
  <c r="B136" i="15"/>
  <c r="B137" i="14"/>
  <c r="B138" i="15"/>
  <c r="B139" i="14"/>
  <c r="C143" i="13"/>
  <c r="C144" i="13"/>
  <c r="C145" i="13"/>
  <c r="C146" i="13"/>
  <c r="C147" i="13"/>
  <c r="D151" i="15"/>
  <c r="D152" i="14"/>
  <c r="C198" i="15"/>
  <c r="C199" i="14"/>
  <c r="B201" i="15"/>
  <c r="B202" i="14"/>
  <c r="C202" i="15"/>
  <c r="C203" i="14"/>
  <c r="B205" i="15"/>
  <c r="B206" i="14"/>
  <c r="C206" i="15"/>
  <c r="C207" i="14"/>
  <c r="B209" i="15"/>
  <c r="B210" i="14"/>
  <c r="C210" i="15"/>
  <c r="C211" i="14"/>
  <c r="H215" i="13"/>
  <c r="H235" i="13" s="1"/>
  <c r="B240" i="15"/>
  <c r="B241" i="14"/>
  <c r="B242" i="15"/>
  <c r="B243" i="14"/>
  <c r="B244" i="15"/>
  <c r="B245" i="14"/>
  <c r="B246" i="15"/>
  <c r="B247" i="14"/>
  <c r="B248" i="15"/>
  <c r="B249" i="14"/>
  <c r="B250" i="15"/>
  <c r="B251" i="14"/>
  <c r="B252" i="15"/>
  <c r="B253" i="14"/>
  <c r="H257" i="13"/>
  <c r="C284" i="15"/>
  <c r="C285" i="14"/>
  <c r="B287" i="15"/>
  <c r="B288" i="14"/>
  <c r="C288" i="15"/>
  <c r="C289" i="14"/>
  <c r="C292" i="15"/>
  <c r="C293" i="14"/>
  <c r="B295" i="15"/>
  <c r="B296" i="14"/>
  <c r="C296" i="15"/>
  <c r="C297" i="14"/>
  <c r="C300" i="15"/>
  <c r="C301" i="14"/>
  <c r="H332" i="13"/>
  <c r="H2485" i="13" s="1"/>
  <c r="H542" i="13"/>
  <c r="D547" i="15"/>
  <c r="D548" i="14"/>
  <c r="C588" i="15"/>
  <c r="C589" i="14"/>
  <c r="C592" i="15"/>
  <c r="C593" i="14"/>
  <c r="C596" i="15"/>
  <c r="C597" i="14"/>
  <c r="I599" i="15"/>
  <c r="F600" i="14"/>
  <c r="H653" i="13"/>
  <c r="C661" i="15"/>
  <c r="C662" i="14"/>
  <c r="C662" i="15"/>
  <c r="C663" i="14"/>
  <c r="C663" i="15"/>
  <c r="C664" i="14"/>
  <c r="C698" i="15"/>
  <c r="C699" i="14"/>
  <c r="C699" i="15"/>
  <c r="C700" i="14"/>
  <c r="C700" i="15"/>
  <c r="C701" i="14"/>
  <c r="H719" i="13"/>
  <c r="I748" i="15"/>
  <c r="F749" i="14"/>
  <c r="H793" i="13"/>
  <c r="I822" i="15"/>
  <c r="F823" i="14"/>
  <c r="H867" i="13"/>
  <c r="I896" i="15"/>
  <c r="J896" i="15"/>
  <c r="F897" i="14"/>
  <c r="H1203" i="13"/>
  <c r="C972" i="15"/>
  <c r="C973" i="14"/>
  <c r="C973" i="15"/>
  <c r="C974" i="14"/>
  <c r="C974" i="15"/>
  <c r="C975" i="14"/>
  <c r="C975" i="15"/>
  <c r="C976" i="14"/>
  <c r="C976" i="15"/>
  <c r="C977" i="14"/>
  <c r="C977" i="15"/>
  <c r="C978" i="14"/>
  <c r="C978" i="15"/>
  <c r="C979" i="14"/>
  <c r="C979" i="15"/>
  <c r="C980" i="14"/>
  <c r="C980" i="15"/>
  <c r="C981" i="14"/>
  <c r="C981" i="15"/>
  <c r="C982" i="14"/>
  <c r="C982" i="15"/>
  <c r="C983" i="14"/>
  <c r="C983" i="15"/>
  <c r="C984" i="14"/>
  <c r="B990" i="15"/>
  <c r="B991" i="14"/>
  <c r="B998" i="15"/>
  <c r="B999" i="14"/>
  <c r="I1283" i="15"/>
  <c r="F1284" i="14"/>
  <c r="I1290" i="13"/>
  <c r="J1283" i="15" s="1"/>
  <c r="I1307" i="15"/>
  <c r="F1308" i="14"/>
  <c r="I1314" i="13"/>
  <c r="J1307" i="15" s="1"/>
  <c r="H1358" i="13"/>
  <c r="C984" i="15"/>
  <c r="C985" i="14"/>
  <c r="C985" i="15"/>
  <c r="C986" i="14"/>
  <c r="C986" i="15"/>
  <c r="C987" i="14"/>
  <c r="C987" i="15"/>
  <c r="C988" i="14"/>
  <c r="C988" i="15"/>
  <c r="C989" i="14"/>
  <c r="C989" i="15"/>
  <c r="C990" i="14"/>
  <c r="C990" i="15"/>
  <c r="C991" i="14"/>
  <c r="C991" i="15"/>
  <c r="C992" i="14"/>
  <c r="C992" i="15"/>
  <c r="C993" i="14"/>
  <c r="C993" i="15"/>
  <c r="C994" i="14"/>
  <c r="C994" i="15"/>
  <c r="C995" i="14"/>
  <c r="C995" i="15"/>
  <c r="C996" i="14"/>
  <c r="C996" i="15"/>
  <c r="C997" i="14"/>
  <c r="C997" i="15"/>
  <c r="C998" i="14"/>
  <c r="C998" i="15"/>
  <c r="C999" i="14"/>
  <c r="C999" i="15"/>
  <c r="C1000" i="14"/>
  <c r="C1000" i="15"/>
  <c r="C1001" i="14"/>
  <c r="C1001" i="15"/>
  <c r="C1002" i="14"/>
  <c r="C1002" i="15"/>
  <c r="C1003" i="14"/>
  <c r="C1003" i="15"/>
  <c r="C1004" i="14"/>
  <c r="C1004" i="15"/>
  <c r="C1005" i="14"/>
  <c r="C1005" i="15"/>
  <c r="C1006" i="14"/>
  <c r="C1006" i="15"/>
  <c r="C1007" i="14"/>
  <c r="C1007" i="15"/>
  <c r="C1008" i="14"/>
  <c r="C1008" i="15"/>
  <c r="C1009" i="14"/>
  <c r="C1009" i="15"/>
  <c r="C1010" i="14"/>
  <c r="C1010" i="15"/>
  <c r="C1011" i="14"/>
  <c r="C1011" i="15"/>
  <c r="C1012" i="14"/>
  <c r="C1012" i="15"/>
  <c r="C1013" i="14"/>
  <c r="C1013" i="15"/>
  <c r="C1014" i="14"/>
  <c r="C1014" i="15"/>
  <c r="C1015" i="14"/>
  <c r="C1015" i="15"/>
  <c r="C1016" i="14"/>
  <c r="H1022" i="13"/>
  <c r="C1016" i="15"/>
  <c r="C1017" i="14"/>
  <c r="H1023" i="13"/>
  <c r="C1017" i="15"/>
  <c r="C1018" i="14"/>
  <c r="H1024" i="13"/>
  <c r="C1018" i="15"/>
  <c r="C1019" i="14"/>
  <c r="H1025" i="13"/>
  <c r="C1019" i="15"/>
  <c r="C1020" i="14"/>
  <c r="C1020" i="15"/>
  <c r="C1021" i="14"/>
  <c r="C1021" i="15"/>
  <c r="C1022" i="14"/>
  <c r="C1022" i="15"/>
  <c r="C1023" i="14"/>
  <c r="C1023" i="15"/>
  <c r="C1024" i="14"/>
  <c r="C1024" i="15"/>
  <c r="C1025" i="14"/>
  <c r="C1025" i="15"/>
  <c r="C1026" i="14"/>
  <c r="C1026" i="15"/>
  <c r="C1027" i="14"/>
  <c r="C1027" i="15"/>
  <c r="C1028" i="14"/>
  <c r="C1028" i="15"/>
  <c r="C1029" i="14"/>
  <c r="C1029" i="15"/>
  <c r="C1030" i="14"/>
  <c r="C1030" i="15"/>
  <c r="C1031" i="14"/>
  <c r="C1031" i="15"/>
  <c r="C1032" i="14"/>
  <c r="C1032" i="15"/>
  <c r="C1033" i="14"/>
  <c r="C1033" i="15"/>
  <c r="C1034" i="14"/>
  <c r="C1034" i="15"/>
  <c r="C1035" i="14"/>
  <c r="C1035" i="15"/>
  <c r="C1036" i="14"/>
  <c r="C1036" i="15"/>
  <c r="C1037" i="14"/>
  <c r="C1037" i="15"/>
  <c r="C1038" i="14"/>
  <c r="C1038" i="15"/>
  <c r="C1039" i="14"/>
  <c r="C1039" i="15"/>
  <c r="C1040" i="14"/>
  <c r="C1040" i="15"/>
  <c r="C1041" i="14"/>
  <c r="C1041" i="15"/>
  <c r="C1042" i="14"/>
  <c r="C1042" i="15"/>
  <c r="C1043" i="14"/>
  <c r="C1043" i="15"/>
  <c r="C1044" i="14"/>
  <c r="C1044" i="15"/>
  <c r="C1045" i="14"/>
  <c r="C1045" i="15"/>
  <c r="C1046" i="14"/>
  <c r="C1046" i="15"/>
  <c r="C1047" i="14"/>
  <c r="C1047" i="15"/>
  <c r="C1048" i="14"/>
  <c r="C1048" i="15"/>
  <c r="C1049" i="14"/>
  <c r="C1049" i="15"/>
  <c r="C1050" i="14"/>
  <c r="C1050" i="15"/>
  <c r="C1051" i="14"/>
  <c r="C1051" i="15"/>
  <c r="C1052" i="14"/>
  <c r="C1052" i="15"/>
  <c r="C1053" i="14"/>
  <c r="C1053" i="15"/>
  <c r="C1054" i="14"/>
  <c r="C1054" i="15"/>
  <c r="C1055" i="14"/>
  <c r="C1055" i="15"/>
  <c r="C1056" i="14"/>
  <c r="C1056" i="15"/>
  <c r="C1057" i="14"/>
  <c r="C1057" i="15"/>
  <c r="C1058" i="14"/>
  <c r="C1058" i="15"/>
  <c r="C1059" i="14"/>
  <c r="C1059" i="15"/>
  <c r="C1060" i="14"/>
  <c r="C1060" i="15"/>
  <c r="C1061" i="14"/>
  <c r="C1061" i="15"/>
  <c r="C1062" i="14"/>
  <c r="C1062" i="15"/>
  <c r="C1063" i="14"/>
  <c r="C1063" i="15"/>
  <c r="C1064" i="14"/>
  <c r="C1064" i="15"/>
  <c r="C1065" i="14"/>
  <c r="C1065" i="15"/>
  <c r="C1066" i="14"/>
  <c r="C1066" i="15"/>
  <c r="C1067" i="14"/>
  <c r="C1067" i="15"/>
  <c r="C1068" i="14"/>
  <c r="C1068" i="15"/>
  <c r="C1069" i="14"/>
  <c r="C1069" i="15"/>
  <c r="C1070" i="14"/>
  <c r="C1070" i="15"/>
  <c r="C1071" i="14"/>
  <c r="C1071" i="15"/>
  <c r="C1072" i="14"/>
  <c r="C1072" i="15"/>
  <c r="C1073" i="14"/>
  <c r="C1073" i="15"/>
  <c r="C1074" i="14"/>
  <c r="C1074" i="15"/>
  <c r="C1075" i="14"/>
  <c r="C1075" i="15"/>
  <c r="C1076" i="14"/>
  <c r="C1076" i="15"/>
  <c r="C1077" i="14"/>
  <c r="C1077" i="15"/>
  <c r="C1078" i="14"/>
  <c r="C1078" i="15"/>
  <c r="C1079" i="14"/>
  <c r="C1082" i="15"/>
  <c r="C1083" i="14"/>
  <c r="C1086" i="15"/>
  <c r="C1087" i="14"/>
  <c r="C1090" i="15"/>
  <c r="C1091" i="14"/>
  <c r="C1094" i="15"/>
  <c r="C1095" i="14"/>
  <c r="C1098" i="15"/>
  <c r="C1099" i="14"/>
  <c r="C1102" i="15"/>
  <c r="C1103" i="14"/>
  <c r="C1106" i="15"/>
  <c r="C1107" i="14"/>
  <c r="C1110" i="15"/>
  <c r="C1111" i="14"/>
  <c r="C1114" i="15"/>
  <c r="C1115" i="14"/>
  <c r="C1244" i="15"/>
  <c r="C1245" i="14"/>
  <c r="C1245" i="15"/>
  <c r="C1246" i="14"/>
  <c r="C1246" i="15"/>
  <c r="C1247" i="14"/>
  <c r="C1247" i="15"/>
  <c r="C1248" i="14"/>
  <c r="C1248" i="15"/>
  <c r="C1249" i="14"/>
  <c r="C1249" i="15"/>
  <c r="C1250" i="14"/>
  <c r="C1250" i="15"/>
  <c r="C1251" i="14"/>
  <c r="C1251" i="15"/>
  <c r="C1252" i="14"/>
  <c r="C1252" i="15"/>
  <c r="C1253" i="14"/>
  <c r="C1253" i="15"/>
  <c r="C1254" i="14"/>
  <c r="C1264" i="15"/>
  <c r="C1265" i="14"/>
  <c r="C1265" i="15"/>
  <c r="C1266" i="14"/>
  <c r="C1266" i="15"/>
  <c r="C1267" i="14"/>
  <c r="C1267" i="15"/>
  <c r="C1268" i="14"/>
  <c r="C1268" i="15"/>
  <c r="C1269" i="14"/>
  <c r="C1269" i="15"/>
  <c r="C1270" i="14"/>
  <c r="I1335" i="13"/>
  <c r="J1328" i="15" s="1"/>
  <c r="C1336" i="15"/>
  <c r="C1337" i="14"/>
  <c r="C1337" i="15"/>
  <c r="C1338" i="14"/>
  <c r="C1338" i="15"/>
  <c r="C1339" i="14"/>
  <c r="C1404" i="15"/>
  <c r="C1405" i="14"/>
  <c r="C1405" i="15"/>
  <c r="C1406" i="14"/>
  <c r="C1406" i="15"/>
  <c r="C1407" i="14"/>
  <c r="C1407" i="15"/>
  <c r="C1408" i="14"/>
  <c r="C1408" i="15"/>
  <c r="C1409" i="14"/>
  <c r="C1409" i="15"/>
  <c r="C1410" i="14"/>
  <c r="C1410" i="15"/>
  <c r="C1411" i="14"/>
  <c r="C1411" i="15"/>
  <c r="C1412" i="14"/>
  <c r="D1424" i="15"/>
  <c r="D1425" i="14"/>
  <c r="D1425" i="15"/>
  <c r="D1426" i="14"/>
  <c r="D1426" i="15"/>
  <c r="D1427" i="14"/>
  <c r="D1433" i="15"/>
  <c r="D1434" i="14"/>
  <c r="D1435" i="15"/>
  <c r="D1436" i="14"/>
  <c r="D1440" i="15"/>
  <c r="D1441" i="14"/>
  <c r="D1442" i="15"/>
  <c r="D1443" i="14"/>
  <c r="D1445" i="15"/>
  <c r="D1446" i="14"/>
  <c r="B1458" i="15"/>
  <c r="B1459" i="14"/>
  <c r="B1460" i="15"/>
  <c r="B1461" i="14"/>
  <c r="B1464" i="15"/>
  <c r="B1465" i="14"/>
  <c r="B1466" i="15"/>
  <c r="B1467" i="14"/>
  <c r="B1468" i="15"/>
  <c r="B1469" i="14"/>
  <c r="B1470" i="15"/>
  <c r="B1471" i="14"/>
  <c r="C1503" i="15"/>
  <c r="C1504" i="14"/>
  <c r="C1504" i="15"/>
  <c r="C1505" i="14"/>
  <c r="C1505" i="15"/>
  <c r="C1506" i="14"/>
  <c r="C1506" i="15"/>
  <c r="C1507" i="14"/>
  <c r="C1507" i="15"/>
  <c r="C1508" i="14"/>
  <c r="C1508" i="15"/>
  <c r="C1509" i="14"/>
  <c r="C1509" i="15"/>
  <c r="C1510" i="14"/>
  <c r="C1510" i="15"/>
  <c r="C1511" i="14"/>
  <c r="C1511" i="15"/>
  <c r="C1512" i="14"/>
  <c r="C1512" i="15"/>
  <c r="C1513" i="14"/>
  <c r="C1513" i="15"/>
  <c r="C1514" i="14"/>
  <c r="C1514" i="15"/>
  <c r="C1515" i="14"/>
  <c r="C1515" i="15"/>
  <c r="C1516" i="14"/>
  <c r="C1516" i="15"/>
  <c r="C1517" i="14"/>
  <c r="C1517" i="15"/>
  <c r="C1518" i="14"/>
  <c r="C1518" i="15"/>
  <c r="C1519" i="14"/>
  <c r="C1519" i="15"/>
  <c r="C1520" i="14"/>
  <c r="C1520" i="15"/>
  <c r="C1521" i="14"/>
  <c r="C1521" i="15"/>
  <c r="C1522" i="14"/>
  <c r="C1522" i="15"/>
  <c r="C1523" i="14"/>
  <c r="C1527" i="15"/>
  <c r="C1528" i="14"/>
  <c r="C1531" i="15"/>
  <c r="C1532" i="14"/>
  <c r="B1534" i="15"/>
  <c r="B1535" i="14"/>
  <c r="C1535" i="15"/>
  <c r="C1536" i="14"/>
  <c r="C1539" i="15"/>
  <c r="C1540" i="14"/>
  <c r="B1547" i="15"/>
  <c r="B1548" i="14"/>
  <c r="B1548" i="15"/>
  <c r="B1549" i="14"/>
  <c r="B1554" i="15"/>
  <c r="B1555" i="14"/>
  <c r="B1558" i="15"/>
  <c r="B1559" i="14"/>
  <c r="B1598" i="15"/>
  <c r="B1599" i="14"/>
  <c r="C1599" i="15"/>
  <c r="C1600" i="14"/>
  <c r="B1602" i="15"/>
  <c r="B1603" i="14"/>
  <c r="C1603" i="15"/>
  <c r="C1604" i="14"/>
  <c r="B1606" i="15"/>
  <c r="B1607" i="14"/>
  <c r="C1607" i="15"/>
  <c r="C1608" i="14"/>
  <c r="C1611" i="15"/>
  <c r="C1612" i="14"/>
  <c r="C1617" i="15"/>
  <c r="C1618" i="14"/>
  <c r="C1618" i="15"/>
  <c r="C1619" i="14"/>
  <c r="C1619" i="15"/>
  <c r="C1620" i="14"/>
  <c r="C1620" i="15"/>
  <c r="C1621" i="14"/>
  <c r="C1621" i="15"/>
  <c r="C1622" i="14"/>
  <c r="C1622" i="15"/>
  <c r="C1623" i="14"/>
  <c r="C1623" i="15"/>
  <c r="C1624" i="14"/>
  <c r="C1624" i="15"/>
  <c r="C1625" i="14"/>
  <c r="C1625" i="15"/>
  <c r="C1626" i="14"/>
  <c r="C1626" i="15"/>
  <c r="C1627" i="14"/>
  <c r="C1627" i="15"/>
  <c r="C1628" i="14"/>
  <c r="C1628" i="15"/>
  <c r="C1629" i="14"/>
  <c r="C1629" i="15"/>
  <c r="C1630" i="14"/>
  <c r="C1630" i="15"/>
  <c r="C1631" i="14"/>
  <c r="C1631" i="15"/>
  <c r="C1632" i="14"/>
  <c r="C1639" i="15"/>
  <c r="C1640" i="14"/>
  <c r="C1650" i="15"/>
  <c r="C1651" i="14"/>
  <c r="C1651" i="15"/>
  <c r="C1652" i="14"/>
  <c r="C1652" i="15"/>
  <c r="C1653" i="14"/>
  <c r="C1653" i="15"/>
  <c r="C1654" i="14"/>
  <c r="C1654" i="15"/>
  <c r="C1655" i="14"/>
  <c r="C1655" i="15"/>
  <c r="C1656" i="14"/>
  <c r="C1656" i="15"/>
  <c r="C1657" i="14"/>
  <c r="C1725" i="15"/>
  <c r="C1726" i="14"/>
  <c r="C1729" i="15"/>
  <c r="C1730" i="14"/>
  <c r="C1733" i="15"/>
  <c r="C1734" i="14"/>
  <c r="C1737" i="15"/>
  <c r="C1738" i="14"/>
  <c r="D1762" i="15"/>
  <c r="D1763" i="14"/>
  <c r="H1769" i="13"/>
  <c r="K1769" i="13"/>
  <c r="D1764" i="15"/>
  <c r="D1765" i="14"/>
  <c r="H1771" i="13"/>
  <c r="K1771" i="13"/>
  <c r="C1793" i="15"/>
  <c r="C1794" i="14"/>
  <c r="C1801" i="15"/>
  <c r="C1802" i="14"/>
  <c r="B1814" i="15"/>
  <c r="B1815" i="14"/>
  <c r="B1818" i="15"/>
  <c r="B1819" i="14"/>
  <c r="C1860" i="15"/>
  <c r="C1861" i="14"/>
  <c r="C1925" i="15"/>
  <c r="C1926" i="14"/>
  <c r="C1929" i="15"/>
  <c r="C1930" i="14"/>
  <c r="C1933" i="15"/>
  <c r="C1934" i="14"/>
  <c r="C1943" i="15"/>
  <c r="C1944" i="14"/>
  <c r="D1964" i="15"/>
  <c r="D1965" i="14"/>
  <c r="H1971" i="13"/>
  <c r="K1971" i="13"/>
  <c r="D1966" i="15"/>
  <c r="D1967" i="14"/>
  <c r="H1973" i="13"/>
  <c r="K1973" i="13"/>
  <c r="D1968" i="15"/>
  <c r="D1969" i="14"/>
  <c r="H1975" i="13"/>
  <c r="K1975" i="13"/>
  <c r="D1996" i="15"/>
  <c r="D1997" i="14"/>
  <c r="H2003" i="13"/>
  <c r="H1996" i="15" s="1"/>
  <c r="D2439" i="13"/>
  <c r="K2003" i="13"/>
  <c r="E1997" i="15"/>
  <c r="G1997" i="15" s="1"/>
  <c r="E2440" i="13"/>
  <c r="E2432" i="15" s="1"/>
  <c r="G2432" i="15" s="1"/>
  <c r="H2004" i="13"/>
  <c r="H1997" i="15" s="1"/>
  <c r="G2004" i="13"/>
  <c r="I2004" i="13" s="1"/>
  <c r="B2058" i="15"/>
  <c r="B2059" i="14"/>
  <c r="B2066" i="15"/>
  <c r="B2067" i="14"/>
  <c r="C2067" i="15"/>
  <c r="C2068" i="14"/>
  <c r="H2280" i="13"/>
  <c r="C1081" i="15"/>
  <c r="C1082" i="14"/>
  <c r="C1085" i="15"/>
  <c r="C1086" i="14"/>
  <c r="C1089" i="15"/>
  <c r="C1090" i="14"/>
  <c r="C1093" i="15"/>
  <c r="C1094" i="14"/>
  <c r="C1097" i="15"/>
  <c r="C1098" i="14"/>
  <c r="C1101" i="15"/>
  <c r="C1102" i="14"/>
  <c r="C1105" i="15"/>
  <c r="C1106" i="14"/>
  <c r="C1109" i="15"/>
  <c r="C1110" i="14"/>
  <c r="C1113" i="15"/>
  <c r="C1114" i="14"/>
  <c r="B1234" i="15"/>
  <c r="B1235" i="14"/>
  <c r="B1236" i="15"/>
  <c r="B1237" i="14"/>
  <c r="B1272" i="15"/>
  <c r="B1273" i="14"/>
  <c r="C1304" i="15"/>
  <c r="C1305" i="14"/>
  <c r="D1350" i="15"/>
  <c r="D1351" i="14"/>
  <c r="D1351" i="15"/>
  <c r="D1352" i="14"/>
  <c r="D1352" i="15"/>
  <c r="D1353" i="14"/>
  <c r="D1359" i="15"/>
  <c r="D1360" i="14"/>
  <c r="D1361" i="15"/>
  <c r="D1362" i="14"/>
  <c r="D1380" i="15"/>
  <c r="D1381" i="14"/>
  <c r="K1431" i="13"/>
  <c r="K1432" i="13"/>
  <c r="K1433" i="13"/>
  <c r="K1440" i="13"/>
  <c r="K1442" i="13"/>
  <c r="K1447" i="13"/>
  <c r="K1449" i="13"/>
  <c r="K1452" i="13"/>
  <c r="D1474" i="15"/>
  <c r="D1475" i="14"/>
  <c r="B1481" i="15"/>
  <c r="B1482" i="14"/>
  <c r="B1482" i="15"/>
  <c r="B1483" i="14"/>
  <c r="B1488" i="15"/>
  <c r="B1489" i="14"/>
  <c r="B1491" i="15"/>
  <c r="B1492" i="14"/>
  <c r="C1496" i="15"/>
  <c r="C1497" i="14"/>
  <c r="C1497" i="15"/>
  <c r="C1498" i="14"/>
  <c r="C1498" i="15"/>
  <c r="C1499" i="14"/>
  <c r="C1499" i="15"/>
  <c r="C1500" i="14"/>
  <c r="C1500" i="15"/>
  <c r="C1501" i="14"/>
  <c r="C1501" i="15"/>
  <c r="C1502" i="14"/>
  <c r="D1502" i="15"/>
  <c r="D1503" i="14"/>
  <c r="D1507" i="15"/>
  <c r="D1508" i="14"/>
  <c r="D1512" i="15"/>
  <c r="D1513" i="14"/>
  <c r="D1513" i="15"/>
  <c r="D1514" i="14"/>
  <c r="C1526" i="15"/>
  <c r="C1527" i="14"/>
  <c r="C1530" i="15"/>
  <c r="C1531" i="14"/>
  <c r="C1534" i="15"/>
  <c r="C1535" i="14"/>
  <c r="B1537" i="15"/>
  <c r="B1538" i="14"/>
  <c r="C1538" i="15"/>
  <c r="C1539" i="14"/>
  <c r="C1544" i="15"/>
  <c r="C1545" i="14"/>
  <c r="C1545" i="15"/>
  <c r="C1546" i="14"/>
  <c r="C1546" i="15"/>
  <c r="C1547" i="14"/>
  <c r="C1547" i="15"/>
  <c r="C1548" i="14"/>
  <c r="C1548" i="15"/>
  <c r="C1549" i="14"/>
  <c r="C1549" i="15"/>
  <c r="C1550" i="14"/>
  <c r="C1550" i="15"/>
  <c r="C1551" i="14"/>
  <c r="C1551" i="15"/>
  <c r="C1552" i="14"/>
  <c r="C1552" i="15"/>
  <c r="C1553" i="14"/>
  <c r="C1553" i="15"/>
  <c r="C1554" i="14"/>
  <c r="C1554" i="15"/>
  <c r="C1555" i="14"/>
  <c r="C1555" i="15"/>
  <c r="C1556" i="14"/>
  <c r="C1556" i="15"/>
  <c r="C1557" i="14"/>
  <c r="C1557" i="15"/>
  <c r="C1558" i="14"/>
  <c r="C1558" i="15"/>
  <c r="C1559" i="14"/>
  <c r="C1566" i="15"/>
  <c r="C1567" i="14"/>
  <c r="C1577" i="15"/>
  <c r="C1578" i="14"/>
  <c r="C1578" i="15"/>
  <c r="C1579" i="14"/>
  <c r="C1579" i="15"/>
  <c r="C1580" i="14"/>
  <c r="C1580" i="15"/>
  <c r="C1581" i="14"/>
  <c r="C1581" i="15"/>
  <c r="C1582" i="14"/>
  <c r="C1582" i="15"/>
  <c r="C1583" i="14"/>
  <c r="C1583" i="15"/>
  <c r="C1584" i="14"/>
  <c r="C1584" i="15"/>
  <c r="C1585" i="14"/>
  <c r="C1585" i="15"/>
  <c r="C1586" i="14"/>
  <c r="C1586" i="15"/>
  <c r="C1587" i="14"/>
  <c r="C1587" i="15"/>
  <c r="C1588" i="14"/>
  <c r="C1588" i="15"/>
  <c r="C1589" i="14"/>
  <c r="C1589" i="15"/>
  <c r="C1590" i="14"/>
  <c r="C1590" i="15"/>
  <c r="C1591" i="14"/>
  <c r="C1591" i="15"/>
  <c r="C1592" i="14"/>
  <c r="C1592" i="15"/>
  <c r="C1593" i="14"/>
  <c r="C1593" i="15"/>
  <c r="C1594" i="14"/>
  <c r="B1597" i="15"/>
  <c r="B1598" i="14"/>
  <c r="C1598" i="15"/>
  <c r="C1599" i="14"/>
  <c r="B1601" i="15"/>
  <c r="B1602" i="14"/>
  <c r="C1602" i="15"/>
  <c r="C1603" i="14"/>
  <c r="B1605" i="15"/>
  <c r="B1606" i="14"/>
  <c r="C1606" i="15"/>
  <c r="C1607" i="14"/>
  <c r="B1609" i="15"/>
  <c r="B1610" i="14"/>
  <c r="C1610" i="15"/>
  <c r="C1611" i="14"/>
  <c r="D1637" i="15"/>
  <c r="D1638" i="14"/>
  <c r="D1641" i="15"/>
  <c r="D1642" i="14"/>
  <c r="D1643" i="15"/>
  <c r="D1644" i="14"/>
  <c r="D1646" i="15"/>
  <c r="D1647" i="14"/>
  <c r="C1724" i="15"/>
  <c r="C1725" i="14"/>
  <c r="C1728" i="15"/>
  <c r="C1729" i="14"/>
  <c r="C1732" i="15"/>
  <c r="C1733" i="14"/>
  <c r="C1736" i="15"/>
  <c r="C1737" i="14"/>
  <c r="C1740" i="15"/>
  <c r="C1741" i="14"/>
  <c r="C1748" i="15"/>
  <c r="C1749" i="14"/>
  <c r="D1759" i="15"/>
  <c r="D1760" i="14"/>
  <c r="H1766" i="13"/>
  <c r="K1766" i="13"/>
  <c r="D1777" i="15"/>
  <c r="D1778" i="14"/>
  <c r="H1784" i="13"/>
  <c r="K1784" i="13"/>
  <c r="B1817" i="15"/>
  <c r="B1818" i="14"/>
  <c r="I1924" i="15"/>
  <c r="F1925" i="14"/>
  <c r="I1931" i="13"/>
  <c r="J1924" i="15" s="1"/>
  <c r="C1928" i="15"/>
  <c r="C1929" i="14"/>
  <c r="C1932" i="15"/>
  <c r="C1933" i="14"/>
  <c r="C1936" i="15"/>
  <c r="C1937" i="14"/>
  <c r="C1939" i="15"/>
  <c r="C1940" i="14"/>
  <c r="C1942" i="15"/>
  <c r="C1943" i="14"/>
  <c r="B1958" i="15"/>
  <c r="B1959" i="14"/>
  <c r="H1978" i="13"/>
  <c r="E1993" i="15"/>
  <c r="G1993" i="15" s="1"/>
  <c r="G2000" i="13"/>
  <c r="I2003" i="15"/>
  <c r="F2004" i="14"/>
  <c r="H2016" i="13"/>
  <c r="I2010" i="13"/>
  <c r="J2003" i="15" s="1"/>
  <c r="H2054" i="15"/>
  <c r="B2057" i="15"/>
  <c r="B2058" i="14"/>
  <c r="B2070" i="15"/>
  <c r="B2071" i="14"/>
  <c r="C2071" i="15"/>
  <c r="C2072" i="14"/>
  <c r="C2078" i="15"/>
  <c r="C2079" i="14"/>
  <c r="H2277" i="13"/>
  <c r="H2284" i="13"/>
  <c r="I2289" i="15"/>
  <c r="F2290" i="14"/>
  <c r="I2296" i="13"/>
  <c r="J2289" i="15" s="1"/>
  <c r="C1080" i="15"/>
  <c r="C1081" i="14"/>
  <c r="C1084" i="15"/>
  <c r="C1085" i="14"/>
  <c r="C1088" i="15"/>
  <c r="C1089" i="14"/>
  <c r="C1092" i="15"/>
  <c r="C1093" i="14"/>
  <c r="C1096" i="15"/>
  <c r="C1097" i="14"/>
  <c r="C1100" i="15"/>
  <c r="C1101" i="14"/>
  <c r="C1104" i="15"/>
  <c r="C1105" i="14"/>
  <c r="C1108" i="15"/>
  <c r="C1109" i="14"/>
  <c r="C1112" i="15"/>
  <c r="C1113" i="14"/>
  <c r="I1282" i="15"/>
  <c r="F1283" i="14"/>
  <c r="H1310" i="13"/>
  <c r="I1306" i="15"/>
  <c r="F1307" i="14"/>
  <c r="H1327" i="13"/>
  <c r="K1357" i="13"/>
  <c r="K1358" i="13"/>
  <c r="K1359" i="13"/>
  <c r="K1366" i="13"/>
  <c r="K1368" i="13"/>
  <c r="K1387" i="13"/>
  <c r="B1420" i="15"/>
  <c r="B1421" i="14"/>
  <c r="B1459" i="15"/>
  <c r="B1460" i="14"/>
  <c r="B1461" i="15"/>
  <c r="B1462" i="14"/>
  <c r="B1465" i="15"/>
  <c r="B1466" i="14"/>
  <c r="B1467" i="15"/>
  <c r="B1468" i="14"/>
  <c r="B1471" i="15"/>
  <c r="B1472" i="14"/>
  <c r="C1478" i="15"/>
  <c r="C1479" i="14"/>
  <c r="C1479" i="15"/>
  <c r="C1480" i="14"/>
  <c r="C1480" i="15"/>
  <c r="C1481" i="14"/>
  <c r="C1481" i="15"/>
  <c r="C1482" i="14"/>
  <c r="C1482" i="15"/>
  <c r="C1483" i="14"/>
  <c r="C1483" i="15"/>
  <c r="C1484" i="14"/>
  <c r="C1484" i="15"/>
  <c r="C1485" i="14"/>
  <c r="C1485" i="15"/>
  <c r="C1486" i="14"/>
  <c r="C1486" i="15"/>
  <c r="C1487" i="14"/>
  <c r="C1487" i="15"/>
  <c r="C1488" i="14"/>
  <c r="C1488" i="15"/>
  <c r="C1489" i="14"/>
  <c r="C1489" i="15"/>
  <c r="C1490" i="14"/>
  <c r="C1490" i="15"/>
  <c r="C1491" i="14"/>
  <c r="C1491" i="15"/>
  <c r="C1492" i="14"/>
  <c r="C1492" i="15"/>
  <c r="C1493" i="14"/>
  <c r="C1493" i="15"/>
  <c r="C1494" i="14"/>
  <c r="C1494" i="15"/>
  <c r="C1495" i="14"/>
  <c r="D1500" i="15"/>
  <c r="D1501" i="14"/>
  <c r="K1509" i="13"/>
  <c r="K1514" i="13"/>
  <c r="K1519" i="13"/>
  <c r="K1520" i="13"/>
  <c r="C1525" i="15"/>
  <c r="C1526" i="14"/>
  <c r="C1529" i="15"/>
  <c r="C1530" i="14"/>
  <c r="C1533" i="15"/>
  <c r="C1534" i="14"/>
  <c r="B1536" i="15"/>
  <c r="B1537" i="14"/>
  <c r="C1537" i="15"/>
  <c r="C1538" i="14"/>
  <c r="D1562" i="15"/>
  <c r="D1563" i="14"/>
  <c r="D1563" i="15"/>
  <c r="D1564" i="14"/>
  <c r="D1564" i="15"/>
  <c r="D1565" i="14"/>
  <c r="D1571" i="15"/>
  <c r="D1572" i="14"/>
  <c r="D1573" i="15"/>
  <c r="D1574" i="14"/>
  <c r="D1578" i="15"/>
  <c r="D1579" i="14"/>
  <c r="D1580" i="15"/>
  <c r="D1581" i="14"/>
  <c r="D1583" i="15"/>
  <c r="D1584" i="14"/>
  <c r="D1584" i="15"/>
  <c r="D1585" i="14"/>
  <c r="B1596" i="15"/>
  <c r="B1597" i="14"/>
  <c r="C1597" i="15"/>
  <c r="C1598" i="14"/>
  <c r="B1600" i="15"/>
  <c r="B1601" i="14"/>
  <c r="C1601" i="15"/>
  <c r="C1602" i="14"/>
  <c r="B1604" i="15"/>
  <c r="B1605" i="14"/>
  <c r="C1605" i="15"/>
  <c r="C1606" i="14"/>
  <c r="B1608" i="15"/>
  <c r="B1609" i="14"/>
  <c r="C1609" i="15"/>
  <c r="C1610" i="14"/>
  <c r="C1613" i="15"/>
  <c r="C1614" i="14"/>
  <c r="K1644" i="13"/>
  <c r="K1648" i="13"/>
  <c r="K1650" i="13"/>
  <c r="K1653" i="13"/>
  <c r="B1678" i="15"/>
  <c r="B1679" i="14"/>
  <c r="B1684" i="15"/>
  <c r="B1685" i="14"/>
  <c r="B1690" i="15"/>
  <c r="B1691" i="14"/>
  <c r="C1727" i="15"/>
  <c r="C1728" i="14"/>
  <c r="C1731" i="15"/>
  <c r="C1732" i="14"/>
  <c r="C1735" i="15"/>
  <c r="C1736" i="14"/>
  <c r="C1739" i="15"/>
  <c r="C1740" i="14"/>
  <c r="B1752" i="15"/>
  <c r="B1753" i="14"/>
  <c r="C1797" i="15"/>
  <c r="C1798" i="14"/>
  <c r="C1805" i="15"/>
  <c r="C1806" i="14"/>
  <c r="B1816" i="15"/>
  <c r="B1817" i="14"/>
  <c r="C1856" i="15"/>
  <c r="C1857" i="14"/>
  <c r="C1864" i="15"/>
  <c r="C1865" i="14"/>
  <c r="C1927" i="15"/>
  <c r="C1928" i="14"/>
  <c r="C1931" i="15"/>
  <c r="C1932" i="14"/>
  <c r="C1935" i="15"/>
  <c r="C1936" i="14"/>
  <c r="C1938" i="15"/>
  <c r="C1939" i="14"/>
  <c r="C1941" i="15"/>
  <c r="C1942" i="14"/>
  <c r="I1962" i="15"/>
  <c r="F1963" i="14"/>
  <c r="I1969" i="13"/>
  <c r="J1962" i="15" s="1"/>
  <c r="H1972" i="13"/>
  <c r="H1974" i="13"/>
  <c r="D1993" i="15"/>
  <c r="D1994" i="14"/>
  <c r="H2000" i="13"/>
  <c r="K2000" i="13"/>
  <c r="E1994" i="15"/>
  <c r="G1994" i="15" s="1"/>
  <c r="H2001" i="13"/>
  <c r="H1994" i="15" s="1"/>
  <c r="G2001" i="13"/>
  <c r="I2001" i="13" s="1"/>
  <c r="G2008" i="13"/>
  <c r="I2007" i="13"/>
  <c r="I2016" i="15"/>
  <c r="F2017" i="14"/>
  <c r="I2023" i="13"/>
  <c r="J2016" i="15" s="1"/>
  <c r="I2063" i="15"/>
  <c r="F2064" i="14"/>
  <c r="I2070" i="13"/>
  <c r="J2063" i="15" s="1"/>
  <c r="B2074" i="15"/>
  <c r="B2075" i="14"/>
  <c r="I2220" i="15"/>
  <c r="F2221" i="14"/>
  <c r="I2227" i="13"/>
  <c r="J2220" i="15" s="1"/>
  <c r="B1001" i="15"/>
  <c r="B1002" i="14"/>
  <c r="B1002" i="15"/>
  <c r="B1003" i="14"/>
  <c r="B1003" i="15"/>
  <c r="B1004" i="14"/>
  <c r="B1004" i="15"/>
  <c r="B1005" i="14"/>
  <c r="B1005" i="15"/>
  <c r="B1006" i="14"/>
  <c r="B1006" i="15"/>
  <c r="B1007" i="14"/>
  <c r="B1012" i="15"/>
  <c r="B1013" i="14"/>
  <c r="B1014" i="15"/>
  <c r="B1015" i="14"/>
  <c r="B1015" i="15"/>
  <c r="B1016" i="14"/>
  <c r="B1016" i="15"/>
  <c r="B1017" i="14"/>
  <c r="B1017" i="15"/>
  <c r="B1018" i="14"/>
  <c r="B1018" i="15"/>
  <c r="B1019" i="14"/>
  <c r="B1019" i="15"/>
  <c r="B1020" i="14"/>
  <c r="B1020" i="15"/>
  <c r="B1021" i="14"/>
  <c r="B1021" i="15"/>
  <c r="B1022" i="14"/>
  <c r="B1022" i="15"/>
  <c r="B1023" i="14"/>
  <c r="B1023" i="15"/>
  <c r="B1024" i="14"/>
  <c r="B1028" i="15"/>
  <c r="B1029" i="14"/>
  <c r="B1029" i="15"/>
  <c r="B1030" i="14"/>
  <c r="B1030" i="15"/>
  <c r="B1031" i="14"/>
  <c r="B1031" i="15"/>
  <c r="B1032" i="14"/>
  <c r="B1032" i="15"/>
  <c r="B1033" i="14"/>
  <c r="B1033" i="15"/>
  <c r="B1034" i="14"/>
  <c r="B1034" i="15"/>
  <c r="B1035" i="14"/>
  <c r="B1042" i="15"/>
  <c r="B1043" i="14"/>
  <c r="B1043" i="15"/>
  <c r="B1044" i="14"/>
  <c r="B1044" i="15"/>
  <c r="B1045" i="14"/>
  <c r="B1048" i="15"/>
  <c r="B1049" i="14"/>
  <c r="B1049" i="15"/>
  <c r="B1050" i="14"/>
  <c r="B1051" i="15"/>
  <c r="B1052" i="14"/>
  <c r="B1052" i="15"/>
  <c r="B1053" i="14"/>
  <c r="B1054" i="15"/>
  <c r="B1055" i="14"/>
  <c r="B1055" i="15"/>
  <c r="B1056" i="14"/>
  <c r="B1056" i="15"/>
  <c r="B1057" i="14"/>
  <c r="B1057" i="15"/>
  <c r="B1058" i="14"/>
  <c r="B1058" i="15"/>
  <c r="B1059" i="14"/>
  <c r="B1059" i="15"/>
  <c r="B1060" i="14"/>
  <c r="B1060" i="15"/>
  <c r="B1061" i="14"/>
  <c r="B1061" i="15"/>
  <c r="B1062" i="14"/>
  <c r="B1062" i="15"/>
  <c r="B1063" i="14"/>
  <c r="B1063" i="15"/>
  <c r="B1064" i="14"/>
  <c r="B1064" i="15"/>
  <c r="B1065" i="14"/>
  <c r="B1065" i="15"/>
  <c r="B1066" i="14"/>
  <c r="C1079" i="15"/>
  <c r="C1080" i="14"/>
  <c r="C1083" i="15"/>
  <c r="C1084" i="14"/>
  <c r="C1087" i="15"/>
  <c r="C1088" i="14"/>
  <c r="C1091" i="15"/>
  <c r="C1092" i="14"/>
  <c r="C1095" i="15"/>
  <c r="C1096" i="14"/>
  <c r="C1099" i="15"/>
  <c r="C1100" i="14"/>
  <c r="C1103" i="15"/>
  <c r="C1104" i="14"/>
  <c r="C1107" i="15"/>
  <c r="C1108" i="14"/>
  <c r="C1111" i="15"/>
  <c r="C1112" i="14"/>
  <c r="C1115" i="15"/>
  <c r="C1116" i="14"/>
  <c r="B1235" i="15"/>
  <c r="B1236" i="14"/>
  <c r="B1237" i="15"/>
  <c r="B1238" i="14"/>
  <c r="B1273" i="15"/>
  <c r="B1274" i="14"/>
  <c r="C1284" i="15"/>
  <c r="C1285" i="14"/>
  <c r="C1285" i="15"/>
  <c r="C1286" i="14"/>
  <c r="C1286" i="15"/>
  <c r="C1287" i="14"/>
  <c r="C1287" i="15"/>
  <c r="C1288" i="14"/>
  <c r="C1288" i="15"/>
  <c r="C1289" i="14"/>
  <c r="C1289" i="15"/>
  <c r="C1290" i="14"/>
  <c r="C1290" i="15"/>
  <c r="C1291" i="14"/>
  <c r="C1291" i="15"/>
  <c r="C1292" i="14"/>
  <c r="C1308" i="15"/>
  <c r="C1309" i="14"/>
  <c r="C1309" i="15"/>
  <c r="C1310" i="14"/>
  <c r="C1313" i="15"/>
  <c r="C1314" i="14"/>
  <c r="C1314" i="15"/>
  <c r="C1315" i="14"/>
  <c r="C1315" i="15"/>
  <c r="C1316" i="14"/>
  <c r="C1316" i="15"/>
  <c r="C1317" i="14"/>
  <c r="C1317" i="15"/>
  <c r="C1318" i="14"/>
  <c r="C1318" i="15"/>
  <c r="C1319" i="14"/>
  <c r="I1328" i="15"/>
  <c r="F1329" i="14"/>
  <c r="H1390" i="13"/>
  <c r="B1407" i="15"/>
  <c r="B1408" i="14"/>
  <c r="B1408" i="15"/>
  <c r="B1409" i="14"/>
  <c r="C1413" i="15"/>
  <c r="C1414" i="14"/>
  <c r="C1414" i="15"/>
  <c r="C1415" i="14"/>
  <c r="C1415" i="15"/>
  <c r="C1416" i="14"/>
  <c r="C1416" i="15"/>
  <c r="C1417" i="14"/>
  <c r="C1417" i="15"/>
  <c r="C1418" i="14"/>
  <c r="C1418" i="15"/>
  <c r="C1419" i="14"/>
  <c r="C1419" i="15"/>
  <c r="C1420" i="14"/>
  <c r="C1420" i="15"/>
  <c r="C1421" i="14"/>
  <c r="C1421" i="15"/>
  <c r="C1422" i="14"/>
  <c r="C1422" i="15"/>
  <c r="C1423" i="14"/>
  <c r="C1423" i="15"/>
  <c r="C1424" i="14"/>
  <c r="C1424" i="15"/>
  <c r="C1425" i="14"/>
  <c r="H1431" i="13"/>
  <c r="C1425" i="15"/>
  <c r="C1426" i="14"/>
  <c r="H1432" i="13"/>
  <c r="C1426" i="15"/>
  <c r="C1427" i="14"/>
  <c r="H1433" i="13"/>
  <c r="C1427" i="15"/>
  <c r="C1428" i="14"/>
  <c r="C1428" i="15"/>
  <c r="C1429" i="14"/>
  <c r="C1439" i="15"/>
  <c r="C1440" i="14"/>
  <c r="C1440" i="15"/>
  <c r="C1441" i="14"/>
  <c r="C1441" i="15"/>
  <c r="C1442" i="14"/>
  <c r="C1442" i="15"/>
  <c r="C1443" i="14"/>
  <c r="C1443" i="15"/>
  <c r="C1444" i="14"/>
  <c r="C1444" i="15"/>
  <c r="C1445" i="14"/>
  <c r="C1445" i="15"/>
  <c r="C1446" i="14"/>
  <c r="C1446" i="15"/>
  <c r="C1447" i="14"/>
  <c r="C1447" i="15"/>
  <c r="C1448" i="14"/>
  <c r="C1448" i="15"/>
  <c r="C1449" i="14"/>
  <c r="C1449" i="15"/>
  <c r="C1450" i="14"/>
  <c r="C1450" i="15"/>
  <c r="C1451" i="14"/>
  <c r="C1451" i="15"/>
  <c r="C1452" i="14"/>
  <c r="C1452" i="15"/>
  <c r="C1453" i="14"/>
  <c r="C1453" i="15"/>
  <c r="C1454" i="14"/>
  <c r="C1454" i="15"/>
  <c r="C1455" i="14"/>
  <c r="C1455" i="15"/>
  <c r="C1456" i="14"/>
  <c r="D1473" i="15"/>
  <c r="D1474" i="14"/>
  <c r="G1481" i="13"/>
  <c r="K1507" i="13"/>
  <c r="C1528" i="15"/>
  <c r="C1529" i="14"/>
  <c r="C1532" i="15"/>
  <c r="C1533" i="14"/>
  <c r="B1535" i="15"/>
  <c r="B1536" i="14"/>
  <c r="C1536" i="15"/>
  <c r="C1537" i="14"/>
  <c r="C1540" i="15"/>
  <c r="C1541" i="14"/>
  <c r="C1596" i="15"/>
  <c r="C1597" i="14"/>
  <c r="B1599" i="15"/>
  <c r="B1600" i="14"/>
  <c r="C1600" i="15"/>
  <c r="C1601" i="14"/>
  <c r="C1604" i="15"/>
  <c r="C1605" i="14"/>
  <c r="B1607" i="15"/>
  <c r="B1608" i="14"/>
  <c r="C1608" i="15"/>
  <c r="C1609" i="14"/>
  <c r="C1612" i="15"/>
  <c r="C1613" i="14"/>
  <c r="B1618" i="15"/>
  <c r="B1619" i="14"/>
  <c r="B1619" i="15"/>
  <c r="B1620" i="14"/>
  <c r="B1631" i="15"/>
  <c r="B1632" i="14"/>
  <c r="C1675" i="15"/>
  <c r="C1676" i="14"/>
  <c r="C1676" i="15"/>
  <c r="C1677" i="14"/>
  <c r="C1677" i="15"/>
  <c r="C1678" i="14"/>
  <c r="C1678" i="15"/>
  <c r="C1679" i="14"/>
  <c r="C1679" i="15"/>
  <c r="C1680" i="14"/>
  <c r="C1680" i="15"/>
  <c r="C1681" i="14"/>
  <c r="C1681" i="15"/>
  <c r="C1682" i="14"/>
  <c r="C1682" i="15"/>
  <c r="C1683" i="14"/>
  <c r="C1683" i="15"/>
  <c r="C1684" i="14"/>
  <c r="C1684" i="15"/>
  <c r="C1685" i="14"/>
  <c r="C1685" i="15"/>
  <c r="C1686" i="14"/>
  <c r="C1686" i="15"/>
  <c r="C1687" i="14"/>
  <c r="C1687" i="15"/>
  <c r="C1688" i="14"/>
  <c r="C1688" i="15"/>
  <c r="C1689" i="14"/>
  <c r="C1689" i="15"/>
  <c r="C1690" i="14"/>
  <c r="C1690" i="15"/>
  <c r="C1691" i="14"/>
  <c r="C1698" i="15"/>
  <c r="C1699" i="14"/>
  <c r="C1709" i="15"/>
  <c r="C1710" i="14"/>
  <c r="C1710" i="15"/>
  <c r="C1711" i="14"/>
  <c r="C1711" i="15"/>
  <c r="C1712" i="14"/>
  <c r="C1712" i="15"/>
  <c r="C1713" i="14"/>
  <c r="C1713" i="15"/>
  <c r="C1714" i="14"/>
  <c r="C1714" i="15"/>
  <c r="C1715" i="14"/>
  <c r="C1715" i="15"/>
  <c r="C1716" i="14"/>
  <c r="C1716" i="15"/>
  <c r="C1717" i="14"/>
  <c r="C1717" i="15"/>
  <c r="C1718" i="14"/>
  <c r="C1718" i="15"/>
  <c r="C1719" i="14"/>
  <c r="C1719" i="15"/>
  <c r="C1720" i="14"/>
  <c r="C1720" i="15"/>
  <c r="C1721" i="14"/>
  <c r="C1721" i="15"/>
  <c r="C1722" i="14"/>
  <c r="C1726" i="15"/>
  <c r="C1727" i="14"/>
  <c r="C1730" i="15"/>
  <c r="C1731" i="14"/>
  <c r="C1734" i="15"/>
  <c r="C1735" i="14"/>
  <c r="C1738" i="15"/>
  <c r="C1739" i="14"/>
  <c r="C1744" i="15"/>
  <c r="C1745" i="14"/>
  <c r="C1745" i="15"/>
  <c r="C1746" i="14"/>
  <c r="C1746" i="15"/>
  <c r="C1747" i="14"/>
  <c r="C1747" i="15"/>
  <c r="C1748" i="14"/>
  <c r="C1749" i="15"/>
  <c r="C1750" i="14"/>
  <c r="B1757" i="15"/>
  <c r="B1758" i="14"/>
  <c r="D1775" i="15"/>
  <c r="D1776" i="14"/>
  <c r="H1782" i="13"/>
  <c r="K1782" i="13"/>
  <c r="B1815" i="15"/>
  <c r="B1816" i="14"/>
  <c r="I1867" i="15"/>
  <c r="F1868" i="14"/>
  <c r="H1875" i="13"/>
  <c r="I1874" i="13"/>
  <c r="J1867" i="15" s="1"/>
  <c r="C1926" i="15"/>
  <c r="C1927" i="14"/>
  <c r="C1930" i="15"/>
  <c r="C1931" i="14"/>
  <c r="C1934" i="15"/>
  <c r="C1935" i="14"/>
  <c r="C1937" i="15"/>
  <c r="C1938" i="14"/>
  <c r="C1940" i="15"/>
  <c r="C1941" i="14"/>
  <c r="C1944" i="15"/>
  <c r="C1945" i="14"/>
  <c r="D1970" i="15"/>
  <c r="D1971" i="14"/>
  <c r="H1977" i="13"/>
  <c r="K1977" i="13"/>
  <c r="D1975" i="15"/>
  <c r="D1976" i="14"/>
  <c r="H1982" i="13"/>
  <c r="H1995" i="13"/>
  <c r="H1996" i="13" s="1"/>
  <c r="E1996" i="15"/>
  <c r="G1996" i="15" s="1"/>
  <c r="E2439" i="13"/>
  <c r="E2431" i="15" s="1"/>
  <c r="G2431" i="15" s="1"/>
  <c r="G2003" i="13"/>
  <c r="I2003" i="13" s="1"/>
  <c r="D2432" i="15"/>
  <c r="K2440" i="13"/>
  <c r="H2440" i="13"/>
  <c r="B2055" i="15"/>
  <c r="B2056" i="14"/>
  <c r="B2059" i="15"/>
  <c r="B2060" i="14"/>
  <c r="H2266" i="13"/>
  <c r="I2091" i="15"/>
  <c r="F2092" i="14"/>
  <c r="D2232" i="15"/>
  <c r="D2233" i="14"/>
  <c r="D2233" i="15"/>
  <c r="D2234" i="14"/>
  <c r="D2234" i="15"/>
  <c r="D2235" i="14"/>
  <c r="B2240" i="15"/>
  <c r="B2241" i="14"/>
  <c r="B2242" i="15"/>
  <c r="B2243" i="14"/>
  <c r="B2244" i="15"/>
  <c r="B2245" i="14"/>
  <c r="B2246" i="15"/>
  <c r="B2247" i="14"/>
  <c r="C2251" i="15"/>
  <c r="C2252" i="14"/>
  <c r="C2252" i="15"/>
  <c r="C2253" i="14"/>
  <c r="C2253" i="15"/>
  <c r="C2254" i="14"/>
  <c r="C2254" i="15"/>
  <c r="C2255" i="14"/>
  <c r="C2255" i="15"/>
  <c r="C2256" i="14"/>
  <c r="C2256" i="15"/>
  <c r="C2257" i="14"/>
  <c r="C2257" i="15"/>
  <c r="C2258" i="14"/>
  <c r="C2258" i="15"/>
  <c r="C2259" i="14"/>
  <c r="C2259" i="15"/>
  <c r="C2260" i="14"/>
  <c r="C2260" i="15"/>
  <c r="C2261" i="14"/>
  <c r="C2261" i="15"/>
  <c r="C2262" i="14"/>
  <c r="C2270" i="15"/>
  <c r="C2271" i="14"/>
  <c r="C2271" i="15"/>
  <c r="C2272" i="14"/>
  <c r="C2272" i="15"/>
  <c r="C2273" i="14"/>
  <c r="C2273" i="15"/>
  <c r="C2274" i="14"/>
  <c r="C2274" i="15"/>
  <c r="C2275" i="14"/>
  <c r="C2275" i="15"/>
  <c r="C2276" i="14"/>
  <c r="C2276" i="15"/>
  <c r="C2277" i="14"/>
  <c r="C2277" i="15"/>
  <c r="C2278" i="14"/>
  <c r="C2278" i="15"/>
  <c r="C2279" i="14"/>
  <c r="D2297" i="15"/>
  <c r="D2298" i="14"/>
  <c r="D2298" i="15"/>
  <c r="D2299" i="14"/>
  <c r="B2305" i="15"/>
  <c r="B2306" i="14"/>
  <c r="B2307" i="15"/>
  <c r="B2308" i="14"/>
  <c r="B2309" i="15"/>
  <c r="B2310" i="14"/>
  <c r="B2311" i="15"/>
  <c r="B2312" i="14"/>
  <c r="D2336" i="15"/>
  <c r="D2337" i="14"/>
  <c r="C1792" i="15"/>
  <c r="C1793" i="14"/>
  <c r="C1796" i="15"/>
  <c r="C1797" i="14"/>
  <c r="C1800" i="15"/>
  <c r="C1801" i="14"/>
  <c r="C1804" i="15"/>
  <c r="C1805" i="14"/>
  <c r="C1810" i="15"/>
  <c r="C1811" i="14"/>
  <c r="C1811" i="15"/>
  <c r="C1812" i="14"/>
  <c r="C1812" i="15"/>
  <c r="C1813" i="14"/>
  <c r="C1813" i="15"/>
  <c r="C1814" i="14"/>
  <c r="C1814" i="15"/>
  <c r="C1815" i="14"/>
  <c r="C1815" i="15"/>
  <c r="C1816" i="14"/>
  <c r="C1816" i="15"/>
  <c r="C1817" i="14"/>
  <c r="C1817" i="15"/>
  <c r="C1818" i="14"/>
  <c r="C1818" i="15"/>
  <c r="C1819" i="14"/>
  <c r="C1826" i="15"/>
  <c r="C1827" i="14"/>
  <c r="C1837" i="15"/>
  <c r="C1838" i="14"/>
  <c r="C1838" i="15"/>
  <c r="C1839" i="14"/>
  <c r="C1839" i="15"/>
  <c r="C1840" i="14"/>
  <c r="C1840" i="15"/>
  <c r="C1841" i="14"/>
  <c r="C1841" i="15"/>
  <c r="C1842" i="14"/>
  <c r="C1842" i="15"/>
  <c r="C1843" i="14"/>
  <c r="C1843" i="15"/>
  <c r="C1844" i="14"/>
  <c r="C1844" i="15"/>
  <c r="C1845" i="14"/>
  <c r="C1845" i="15"/>
  <c r="C1846" i="14"/>
  <c r="C1846" i="15"/>
  <c r="C1847" i="14"/>
  <c r="C1847" i="15"/>
  <c r="C1848" i="14"/>
  <c r="C1848" i="15"/>
  <c r="C1849" i="14"/>
  <c r="C1849" i="15"/>
  <c r="C1850" i="14"/>
  <c r="C1850" i="15"/>
  <c r="C1851" i="14"/>
  <c r="C1855" i="15"/>
  <c r="C1856" i="14"/>
  <c r="C1859" i="15"/>
  <c r="C1860" i="14"/>
  <c r="C1863" i="15"/>
  <c r="C1864" i="14"/>
  <c r="C1869" i="15"/>
  <c r="C1870" i="14"/>
  <c r="C1870" i="15"/>
  <c r="C1871" i="14"/>
  <c r="C1871" i="15"/>
  <c r="C1872" i="14"/>
  <c r="C1872" i="15"/>
  <c r="C1873" i="14"/>
  <c r="C1873" i="15"/>
  <c r="C1874" i="14"/>
  <c r="B1921" i="15"/>
  <c r="B1922" i="14"/>
  <c r="B1980" i="15"/>
  <c r="B1981" i="14"/>
  <c r="B1989" i="15"/>
  <c r="B1990" i="14"/>
  <c r="B1995" i="15"/>
  <c r="B1996" i="14"/>
  <c r="B2000" i="15"/>
  <c r="B2001" i="14"/>
  <c r="B2043" i="15"/>
  <c r="B2044" i="14"/>
  <c r="B2044" i="15"/>
  <c r="B2045" i="14"/>
  <c r="B2045" i="15"/>
  <c r="B2046" i="14"/>
  <c r="B2046" i="15"/>
  <c r="B2047" i="14"/>
  <c r="B2047" i="15"/>
  <c r="B2048" i="14"/>
  <c r="C2053" i="15"/>
  <c r="C2054" i="14"/>
  <c r="C2055" i="15"/>
  <c r="C2056" i="14"/>
  <c r="C2056" i="15"/>
  <c r="C2057" i="14"/>
  <c r="C2057" i="15"/>
  <c r="C2058" i="14"/>
  <c r="C2058" i="15"/>
  <c r="C2059" i="14"/>
  <c r="C2059" i="15"/>
  <c r="C2060" i="14"/>
  <c r="C2060" i="15"/>
  <c r="C2061" i="14"/>
  <c r="C2061" i="15"/>
  <c r="C2062" i="14"/>
  <c r="B2065" i="15"/>
  <c r="B2066" i="14"/>
  <c r="C2066" i="15"/>
  <c r="C2067" i="14"/>
  <c r="B2069" i="15"/>
  <c r="B2070" i="14"/>
  <c r="C2070" i="15"/>
  <c r="C2071" i="14"/>
  <c r="B2073" i="15"/>
  <c r="B2074" i="14"/>
  <c r="C2077" i="15"/>
  <c r="C2078" i="14"/>
  <c r="I2098" i="13"/>
  <c r="J2091" i="15" s="1"/>
  <c r="C2114" i="15"/>
  <c r="C2115" i="14"/>
  <c r="C2115" i="15"/>
  <c r="C2116" i="14"/>
  <c r="C2116" i="15"/>
  <c r="C2117" i="14"/>
  <c r="C2117" i="15"/>
  <c r="C2118" i="14"/>
  <c r="I2250" i="15"/>
  <c r="F2251" i="14"/>
  <c r="D2259" i="15"/>
  <c r="D2260" i="14"/>
  <c r="I2269" i="15"/>
  <c r="F2270" i="14"/>
  <c r="D2270" i="15"/>
  <c r="D2271" i="14"/>
  <c r="D2273" i="15"/>
  <c r="D2274" i="14"/>
  <c r="D2277" i="15"/>
  <c r="D2278" i="14"/>
  <c r="I2313" i="15"/>
  <c r="F2314" i="14"/>
  <c r="H2337" i="13"/>
  <c r="D2337" i="15"/>
  <c r="D2338" i="14"/>
  <c r="E2481" i="13"/>
  <c r="E2473" i="15" s="1"/>
  <c r="G2473" i="15" s="1"/>
  <c r="C1795" i="15"/>
  <c r="C1796" i="14"/>
  <c r="C1799" i="15"/>
  <c r="C1800" i="14"/>
  <c r="C1803" i="15"/>
  <c r="C1804" i="14"/>
  <c r="D1823" i="15"/>
  <c r="D1824" i="14"/>
  <c r="C1854" i="15"/>
  <c r="C1855" i="14"/>
  <c r="C1858" i="15"/>
  <c r="C1859" i="14"/>
  <c r="C1862" i="15"/>
  <c r="C1863" i="14"/>
  <c r="C1921" i="15"/>
  <c r="C1922" i="14"/>
  <c r="I1961" i="15"/>
  <c r="F1962" i="14"/>
  <c r="D1965" i="15"/>
  <c r="D1966" i="14"/>
  <c r="D1967" i="15"/>
  <c r="D1968" i="14"/>
  <c r="D1971" i="15"/>
  <c r="D1972" i="14"/>
  <c r="H1981" i="13"/>
  <c r="B1994" i="15"/>
  <c r="B1995" i="14"/>
  <c r="K2002" i="13"/>
  <c r="B1997" i="15"/>
  <c r="B1998" i="14"/>
  <c r="D2000" i="15"/>
  <c r="D2001" i="14"/>
  <c r="I2002" i="15"/>
  <c r="F2003" i="14"/>
  <c r="B2026" i="15"/>
  <c r="B2027" i="14"/>
  <c r="B2027" i="15"/>
  <c r="B2028" i="14"/>
  <c r="B2028" i="15"/>
  <c r="B2029" i="14"/>
  <c r="B2029" i="15"/>
  <c r="B2030" i="14"/>
  <c r="B2031" i="15"/>
  <c r="B2032" i="14"/>
  <c r="B2034" i="15"/>
  <c r="B2035" i="14"/>
  <c r="C2043" i="15"/>
  <c r="C2044" i="14"/>
  <c r="C2044" i="15"/>
  <c r="C2045" i="14"/>
  <c r="C2045" i="15"/>
  <c r="C2046" i="14"/>
  <c r="C2046" i="15"/>
  <c r="C2047" i="14"/>
  <c r="C2047" i="15"/>
  <c r="C2048" i="14"/>
  <c r="C2048" i="15"/>
  <c r="C2049" i="14"/>
  <c r="C2049" i="15"/>
  <c r="C2050" i="14"/>
  <c r="C2050" i="15"/>
  <c r="C2051" i="14"/>
  <c r="C2051" i="15"/>
  <c r="C2052" i="14"/>
  <c r="C2065" i="15"/>
  <c r="C2066" i="14"/>
  <c r="B2068" i="15"/>
  <c r="B2069" i="14"/>
  <c r="C2069" i="15"/>
  <c r="C2070" i="14"/>
  <c r="B2072" i="15"/>
  <c r="B2073" i="14"/>
  <c r="C2073" i="15"/>
  <c r="C2074" i="14"/>
  <c r="B2075" i="15"/>
  <c r="B2076" i="14"/>
  <c r="C2076" i="15"/>
  <c r="C2077" i="14"/>
  <c r="H2099" i="13"/>
  <c r="I2219" i="15"/>
  <c r="F2220" i="14"/>
  <c r="H2246" i="13"/>
  <c r="B2241" i="15"/>
  <c r="B2242" i="14"/>
  <c r="B2243" i="15"/>
  <c r="B2244" i="14"/>
  <c r="B2245" i="15"/>
  <c r="B2246" i="14"/>
  <c r="B2247" i="15"/>
  <c r="B2248" i="14"/>
  <c r="I2257" i="13"/>
  <c r="J2250" i="15" s="1"/>
  <c r="K2266" i="13"/>
  <c r="I2276" i="13"/>
  <c r="J2269" i="15" s="1"/>
  <c r="K2277" i="13"/>
  <c r="K2280" i="13"/>
  <c r="K2284" i="13"/>
  <c r="I2288" i="15"/>
  <c r="F2289" i="14"/>
  <c r="B2296" i="15"/>
  <c r="B2297" i="14"/>
  <c r="B2297" i="15"/>
  <c r="B2298" i="14"/>
  <c r="B2298" i="15"/>
  <c r="B2299" i="14"/>
  <c r="H2311" i="13"/>
  <c r="B2306" i="15"/>
  <c r="B2307" i="14"/>
  <c r="B2308" i="15"/>
  <c r="B2309" i="14"/>
  <c r="B2310" i="15"/>
  <c r="B2311" i="14"/>
  <c r="I2320" i="13"/>
  <c r="J2313" i="15" s="1"/>
  <c r="G2339" i="13"/>
  <c r="G2343" i="13"/>
  <c r="B2481" i="13"/>
  <c r="B2473" i="15" s="1"/>
  <c r="C1750" i="15"/>
  <c r="C1751" i="14"/>
  <c r="C1751" i="15"/>
  <c r="C1752" i="14"/>
  <c r="C1752" i="15"/>
  <c r="C1753" i="14"/>
  <c r="C1753" i="15"/>
  <c r="C1754" i="14"/>
  <c r="C1754" i="15"/>
  <c r="C1755" i="14"/>
  <c r="C1755" i="15"/>
  <c r="C1756" i="14"/>
  <c r="C1756" i="15"/>
  <c r="C1757" i="14"/>
  <c r="C1757" i="15"/>
  <c r="C1758" i="14"/>
  <c r="C1765" i="15"/>
  <c r="C1766" i="14"/>
  <c r="C1776" i="15"/>
  <c r="C1777" i="14"/>
  <c r="C1777" i="15"/>
  <c r="C1778" i="14"/>
  <c r="C1778" i="15"/>
  <c r="C1779" i="14"/>
  <c r="C1779" i="15"/>
  <c r="C1780" i="14"/>
  <c r="C1780" i="15"/>
  <c r="C1781" i="14"/>
  <c r="C1781" i="15"/>
  <c r="C1782" i="14"/>
  <c r="C1782" i="15"/>
  <c r="C1783" i="14"/>
  <c r="C1783" i="15"/>
  <c r="C1784" i="14"/>
  <c r="C1784" i="15"/>
  <c r="C1785" i="14"/>
  <c r="C1785" i="15"/>
  <c r="C1786" i="14"/>
  <c r="C1786" i="15"/>
  <c r="C1787" i="14"/>
  <c r="C1787" i="15"/>
  <c r="C1788" i="14"/>
  <c r="C1788" i="15"/>
  <c r="C1789" i="14"/>
  <c r="C1789" i="15"/>
  <c r="C1790" i="14"/>
  <c r="C1794" i="15"/>
  <c r="C1795" i="14"/>
  <c r="C1798" i="15"/>
  <c r="C1799" i="14"/>
  <c r="C1802" i="15"/>
  <c r="C1803" i="14"/>
  <c r="C1806" i="15"/>
  <c r="C1807" i="14"/>
  <c r="K1830" i="13"/>
  <c r="C1853" i="15"/>
  <c r="C1854" i="14"/>
  <c r="C1857" i="15"/>
  <c r="C1858" i="14"/>
  <c r="C1861" i="15"/>
  <c r="C1862" i="14"/>
  <c r="C1865" i="15"/>
  <c r="C1866" i="14"/>
  <c r="I1923" i="15"/>
  <c r="F1924" i="14"/>
  <c r="B1925" i="15"/>
  <c r="B1926" i="14"/>
  <c r="B1926" i="15"/>
  <c r="B1927" i="14"/>
  <c r="B1927" i="15"/>
  <c r="B1928" i="14"/>
  <c r="B1928" i="15"/>
  <c r="B1929" i="14"/>
  <c r="B1929" i="15"/>
  <c r="B1930" i="14"/>
  <c r="B1930" i="15"/>
  <c r="B1931" i="14"/>
  <c r="B1931" i="15"/>
  <c r="B1932" i="14"/>
  <c r="B1932" i="15"/>
  <c r="B1933" i="14"/>
  <c r="B1933" i="15"/>
  <c r="B1934" i="14"/>
  <c r="B1934" i="15"/>
  <c r="B1935" i="14"/>
  <c r="B1935" i="15"/>
  <c r="B1936" i="14"/>
  <c r="B1936" i="15"/>
  <c r="B1937" i="14"/>
  <c r="B1938" i="15"/>
  <c r="B1939" i="14"/>
  <c r="B1939" i="15"/>
  <c r="B1940" i="14"/>
  <c r="B1941" i="15"/>
  <c r="B1942" i="14"/>
  <c r="B1942" i="15"/>
  <c r="B1943" i="14"/>
  <c r="B1943" i="15"/>
  <c r="B1944" i="14"/>
  <c r="B1944" i="15"/>
  <c r="B1945" i="14"/>
  <c r="H1953" i="13"/>
  <c r="I1968" i="13"/>
  <c r="J1961" i="15" s="1"/>
  <c r="K1972" i="13"/>
  <c r="K1974" i="13"/>
  <c r="K1978" i="13"/>
  <c r="D1983" i="15"/>
  <c r="D1984" i="14"/>
  <c r="B1986" i="15"/>
  <c r="B1987" i="14"/>
  <c r="B1993" i="15"/>
  <c r="B1994" i="14"/>
  <c r="D1994" i="15"/>
  <c r="D1995" i="14"/>
  <c r="G2002" i="13"/>
  <c r="I2002" i="13" s="1"/>
  <c r="B1996" i="15"/>
  <c r="B1997" i="14"/>
  <c r="D1997" i="15"/>
  <c r="D1998" i="14"/>
  <c r="I2009" i="13"/>
  <c r="J2002" i="15" s="1"/>
  <c r="I2015" i="15"/>
  <c r="F2016" i="14"/>
  <c r="C2018" i="15"/>
  <c r="C2019" i="14"/>
  <c r="C2019" i="15"/>
  <c r="C2020" i="14"/>
  <c r="C2020" i="15"/>
  <c r="C2021" i="14"/>
  <c r="C2021" i="15"/>
  <c r="C2022" i="14"/>
  <c r="C2022" i="15"/>
  <c r="C2023" i="14"/>
  <c r="C2023" i="15"/>
  <c r="C2024" i="14"/>
  <c r="C2024" i="15"/>
  <c r="C2025" i="14"/>
  <c r="C2025" i="15"/>
  <c r="C2026" i="14"/>
  <c r="C2026" i="15"/>
  <c r="C2027" i="14"/>
  <c r="C2027" i="15"/>
  <c r="C2028" i="14"/>
  <c r="C2028" i="15"/>
  <c r="C2029" i="14"/>
  <c r="C2029" i="15"/>
  <c r="C2030" i="14"/>
  <c r="C2030" i="15"/>
  <c r="C2031" i="14"/>
  <c r="C2031" i="15"/>
  <c r="C2032" i="14"/>
  <c r="C2032" i="15"/>
  <c r="C2033" i="14"/>
  <c r="C2033" i="15"/>
  <c r="C2034" i="14"/>
  <c r="C2034" i="15"/>
  <c r="C2035" i="14"/>
  <c r="C2035" i="15"/>
  <c r="C2036" i="14"/>
  <c r="C2036" i="15"/>
  <c r="C2037" i="14"/>
  <c r="C2037" i="15"/>
  <c r="C2038" i="14"/>
  <c r="C2038" i="15"/>
  <c r="C2039" i="14"/>
  <c r="C2039" i="15"/>
  <c r="C2040" i="14"/>
  <c r="C2040" i="15"/>
  <c r="C2041" i="14"/>
  <c r="B2067" i="15"/>
  <c r="B2068" i="14"/>
  <c r="C2068" i="15"/>
  <c r="C2069" i="14"/>
  <c r="B2071" i="15"/>
  <c r="B2072" i="14"/>
  <c r="C2072" i="15"/>
  <c r="C2073" i="14"/>
  <c r="C2075" i="15"/>
  <c r="C2076" i="14"/>
  <c r="H2180" i="13"/>
  <c r="I2226" i="13"/>
  <c r="J2219" i="15" s="1"/>
  <c r="C2221" i="15"/>
  <c r="C2222" i="14"/>
  <c r="C2222" i="15"/>
  <c r="C2223" i="14"/>
  <c r="C2223" i="15"/>
  <c r="C2224" i="14"/>
  <c r="C2224" i="15"/>
  <c r="C2225" i="14"/>
  <c r="C2225" i="15"/>
  <c r="C2226" i="14"/>
  <c r="C2226" i="15"/>
  <c r="C2227" i="14"/>
  <c r="C2227" i="15"/>
  <c r="C2228" i="14"/>
  <c r="C2228" i="15"/>
  <c r="C2229" i="14"/>
  <c r="C2229" i="15"/>
  <c r="C2230" i="14"/>
  <c r="C2230" i="15"/>
  <c r="C2231" i="14"/>
  <c r="C2231" i="15"/>
  <c r="C2232" i="14"/>
  <c r="C2232" i="15"/>
  <c r="C2233" i="14"/>
  <c r="C2233" i="15"/>
  <c r="C2234" i="14"/>
  <c r="C2234" i="15"/>
  <c r="C2235" i="14"/>
  <c r="C2235" i="15"/>
  <c r="C2236" i="14"/>
  <c r="C2236" i="15"/>
  <c r="C2237" i="14"/>
  <c r="C2237" i="15"/>
  <c r="C2238" i="14"/>
  <c r="I2249" i="15"/>
  <c r="F2250" i="14"/>
  <c r="B2251" i="15"/>
  <c r="B2252" i="14"/>
  <c r="B2252" i="15"/>
  <c r="B2253" i="14"/>
  <c r="B2253" i="15"/>
  <c r="B2254" i="14"/>
  <c r="B2254" i="15"/>
  <c r="B2255" i="14"/>
  <c r="B2255" i="15"/>
  <c r="B2256" i="14"/>
  <c r="B2256" i="15"/>
  <c r="B2257" i="14"/>
  <c r="B2257" i="15"/>
  <c r="B2258" i="14"/>
  <c r="B2258" i="15"/>
  <c r="B2259" i="14"/>
  <c r="B2259" i="15"/>
  <c r="B2260" i="14"/>
  <c r="B2260" i="15"/>
  <c r="B2261" i="14"/>
  <c r="B2261" i="15"/>
  <c r="B2262" i="14"/>
  <c r="H2270" i="13"/>
  <c r="I2268" i="15"/>
  <c r="F2269" i="14"/>
  <c r="B2270" i="15"/>
  <c r="B2271" i="14"/>
  <c r="B2271" i="15"/>
  <c r="B2272" i="14"/>
  <c r="B2272" i="15"/>
  <c r="B2273" i="14"/>
  <c r="B2273" i="15"/>
  <c r="B2274" i="14"/>
  <c r="B2274" i="15"/>
  <c r="B2275" i="14"/>
  <c r="B2275" i="15"/>
  <c r="B2276" i="14"/>
  <c r="B2276" i="15"/>
  <c r="B2277" i="14"/>
  <c r="B2277" i="15"/>
  <c r="B2278" i="14"/>
  <c r="B2278" i="15"/>
  <c r="B2279" i="14"/>
  <c r="H2287" i="13"/>
  <c r="I2295" i="13"/>
  <c r="J2288" i="15" s="1"/>
  <c r="C2290" i="15"/>
  <c r="C2291" i="14"/>
  <c r="C2291" i="15"/>
  <c r="C2292" i="14"/>
  <c r="C2292" i="15"/>
  <c r="C2293" i="14"/>
  <c r="C2293" i="15"/>
  <c r="C2294" i="14"/>
  <c r="C2295" i="15"/>
  <c r="C2296" i="14"/>
  <c r="C2296" i="15"/>
  <c r="C2297" i="14"/>
  <c r="C2297" i="15"/>
  <c r="C2298" i="14"/>
  <c r="H2304" i="13"/>
  <c r="C2298" i="15"/>
  <c r="C2299" i="14"/>
  <c r="H2305" i="13"/>
  <c r="H2321" i="13"/>
  <c r="G2322" i="13"/>
  <c r="G2324" i="13"/>
  <c r="G2326" i="13"/>
  <c r="G2329" i="13"/>
  <c r="G2331" i="13"/>
  <c r="G2333" i="13"/>
  <c r="G2340" i="13"/>
  <c r="H2343" i="13"/>
  <c r="G2344" i="13"/>
  <c r="E2415" i="13"/>
  <c r="K2415" i="13"/>
  <c r="E2417" i="13"/>
  <c r="K2417" i="13"/>
  <c r="B2439" i="13"/>
  <c r="B2431" i="15" s="1"/>
  <c r="B2440" i="13"/>
  <c r="B2432" i="15" s="1"/>
  <c r="K2443" i="13"/>
  <c r="H2480" i="13"/>
  <c r="K478" i="13" l="1"/>
  <c r="D355" i="14"/>
  <c r="H528" i="13"/>
  <c r="H521" i="15" s="1"/>
  <c r="V1470" i="5"/>
  <c r="BL1470" i="5" s="1"/>
  <c r="G528" i="13"/>
  <c r="AR1448" i="5"/>
  <c r="D445" i="13" s="1"/>
  <c r="G445" i="13" s="1"/>
  <c r="BJ1470" i="5"/>
  <c r="D395" i="13" s="1"/>
  <c r="D472" i="14"/>
  <c r="D354" i="15"/>
  <c r="D522" i="14"/>
  <c r="G687" i="5"/>
  <c r="H261" i="10" s="1"/>
  <c r="C1677" i="5"/>
  <c r="AM1467" i="5"/>
  <c r="AA1466" i="5"/>
  <c r="AT1448" i="5" s="1"/>
  <c r="T1472" i="5"/>
  <c r="E688" i="5"/>
  <c r="C1657" i="5"/>
  <c r="D753" i="13"/>
  <c r="G753" i="13" s="1"/>
  <c r="K477" i="13"/>
  <c r="D742" i="15"/>
  <c r="D891" i="14"/>
  <c r="D357" i="15"/>
  <c r="F2230" i="5"/>
  <c r="G749" i="13"/>
  <c r="D358" i="15"/>
  <c r="D728" i="15"/>
  <c r="D736" i="13"/>
  <c r="G736" i="13" s="1"/>
  <c r="P1472" i="5"/>
  <c r="AO1472" i="5" s="1"/>
  <c r="AT1440" i="5" s="1"/>
  <c r="AM1471" i="5"/>
  <c r="G365" i="13"/>
  <c r="D366" i="13"/>
  <c r="G366" i="13" s="1"/>
  <c r="E1801" i="5"/>
  <c r="Z29" i="5"/>
  <c r="V1477" i="5"/>
  <c r="BL1477" i="5" s="1"/>
  <c r="G326" i="13"/>
  <c r="E1985" i="15"/>
  <c r="G1985" i="15" s="1"/>
  <c r="H1992" i="13"/>
  <c r="H1985" i="15" s="1"/>
  <c r="E2438" i="13"/>
  <c r="E2430" i="15" s="1"/>
  <c r="G2430" i="15" s="1"/>
  <c r="H2000" i="15"/>
  <c r="H2008" i="13"/>
  <c r="K485" i="13"/>
  <c r="D327" i="14"/>
  <c r="T1478" i="5"/>
  <c r="BJ1478" i="5" s="1"/>
  <c r="D403" i="13" s="1"/>
  <c r="H326" i="13"/>
  <c r="I326" i="15" s="1"/>
  <c r="C499" i="6"/>
  <c r="D479" i="14"/>
  <c r="G1397" i="5"/>
  <c r="G870" i="10" s="1"/>
  <c r="H870" i="10" s="1"/>
  <c r="BJ1477" i="5"/>
  <c r="D402" i="13" s="1"/>
  <c r="K402" i="13" s="1"/>
  <c r="P27" i="5"/>
  <c r="E2233" i="5"/>
  <c r="P1396" i="5"/>
  <c r="AA18" i="5"/>
  <c r="AA55" i="5" s="1"/>
  <c r="AC55" i="5" s="1"/>
  <c r="G1260" i="13"/>
  <c r="D1254" i="14"/>
  <c r="E2051" i="5"/>
  <c r="I2116" i="5"/>
  <c r="C2163" i="5" s="1"/>
  <c r="E2111" i="5"/>
  <c r="E2113" i="5" s="1"/>
  <c r="D315" i="12"/>
  <c r="D529" i="13"/>
  <c r="AR1449" i="5"/>
  <c r="D446" i="13" s="1"/>
  <c r="H446" i="13" s="1"/>
  <c r="H439" i="15" s="1"/>
  <c r="BJ1469" i="5"/>
  <c r="D394" i="13" s="1"/>
  <c r="D471" i="14"/>
  <c r="G1230" i="13"/>
  <c r="AM1470" i="5"/>
  <c r="D518" i="13" s="1"/>
  <c r="G364" i="13"/>
  <c r="D21" i="5"/>
  <c r="R7" i="5" s="1"/>
  <c r="H1020" i="13"/>
  <c r="T1471" i="5"/>
  <c r="D479" i="13" s="1"/>
  <c r="P1470" i="5"/>
  <c r="AO1470" i="5" s="1"/>
  <c r="AT1438" i="5" s="1"/>
  <c r="V1469" i="5"/>
  <c r="BL1469" i="5" s="1"/>
  <c r="AA1467" i="5"/>
  <c r="AT1449" i="5" s="1"/>
  <c r="H1989" i="15"/>
  <c r="H1997" i="13"/>
  <c r="D1122" i="13"/>
  <c r="F275" i="7"/>
  <c r="E124" i="8"/>
  <c r="E123" i="8"/>
  <c r="E130" i="8" s="1"/>
  <c r="E125" i="8"/>
  <c r="E122" i="8"/>
  <c r="D1160" i="13"/>
  <c r="F316" i="7"/>
  <c r="D1147" i="13"/>
  <c r="F303" i="7"/>
  <c r="D1116" i="13"/>
  <c r="H1116" i="13" s="1"/>
  <c r="I1109" i="15" s="1"/>
  <c r="F269" i="7"/>
  <c r="D1106" i="13"/>
  <c r="F259" i="7"/>
  <c r="D1186" i="13"/>
  <c r="C1887" i="5"/>
  <c r="C1795" i="5"/>
  <c r="C1994" i="5"/>
  <c r="C1839" i="5"/>
  <c r="C1948" i="5"/>
  <c r="H1517" i="15"/>
  <c r="D2314" i="13"/>
  <c r="K466" i="12"/>
  <c r="D1155" i="13"/>
  <c r="F311" i="7"/>
  <c r="D1120" i="13"/>
  <c r="F273" i="7"/>
  <c r="D1114" i="13"/>
  <c r="F267" i="7"/>
  <c r="H1299" i="15"/>
  <c r="D1111" i="13"/>
  <c r="F264" i="7"/>
  <c r="K117" i="5"/>
  <c r="D1108" i="13"/>
  <c r="F261" i="7"/>
  <c r="C2146" i="5"/>
  <c r="C2142" i="5"/>
  <c r="I2477" i="15"/>
  <c r="G2485" i="13"/>
  <c r="E2018" i="15"/>
  <c r="G2018" i="15" s="1"/>
  <c r="D1119" i="13"/>
  <c r="F272" i="7"/>
  <c r="D1115" i="13"/>
  <c r="F268" i="7"/>
  <c r="D1152" i="13"/>
  <c r="F308" i="7"/>
  <c r="D1143" i="13"/>
  <c r="F299" i="7"/>
  <c r="D1112" i="13"/>
  <c r="G1112" i="13" s="1"/>
  <c r="H1105" i="15" s="1"/>
  <c r="F265" i="7"/>
  <c r="E15" i="10"/>
  <c r="G15" i="10" s="1"/>
  <c r="G179" i="5"/>
  <c r="H42" i="10" s="1"/>
  <c r="D854" i="15"/>
  <c r="D855" i="14"/>
  <c r="D834" i="13"/>
  <c r="E1833" i="5"/>
  <c r="D1946" i="13"/>
  <c r="E407" i="6"/>
  <c r="C409" i="6"/>
  <c r="I2336" i="15"/>
  <c r="F2337" i="14"/>
  <c r="I1970" i="15"/>
  <c r="F1971" i="14"/>
  <c r="H1993" i="15"/>
  <c r="H2005" i="13"/>
  <c r="I1303" i="15"/>
  <c r="F1304" i="14"/>
  <c r="I1310" i="13"/>
  <c r="J1303" i="15" s="1"/>
  <c r="J1196" i="15"/>
  <c r="J897" i="15"/>
  <c r="C144" i="15"/>
  <c r="C145" i="14"/>
  <c r="I2315" i="15"/>
  <c r="F2316" i="14"/>
  <c r="E2225" i="15"/>
  <c r="G2225" i="15" s="1"/>
  <c r="H2286" i="15"/>
  <c r="I2293" i="13"/>
  <c r="J2286" i="15" s="1"/>
  <c r="D2334" i="15"/>
  <c r="D2335" i="14"/>
  <c r="H2341" i="13"/>
  <c r="G2341" i="13"/>
  <c r="I1637" i="15"/>
  <c r="F1638" i="14"/>
  <c r="H2237" i="15"/>
  <c r="D2282" i="15"/>
  <c r="D2283" i="14"/>
  <c r="H2289" i="13"/>
  <c r="D2236" i="15"/>
  <c r="D2237" i="14"/>
  <c r="H2243" i="13"/>
  <c r="K2243" i="13"/>
  <c r="E1340" i="15"/>
  <c r="G1340" i="15" s="1"/>
  <c r="E1751" i="15"/>
  <c r="G1751" i="15" s="1"/>
  <c r="E1744" i="15"/>
  <c r="G1744" i="15" s="1"/>
  <c r="H1563" i="15"/>
  <c r="I1570" i="13"/>
  <c r="J1563" i="15" s="1"/>
  <c r="E226" i="15"/>
  <c r="G226" i="15" s="1"/>
  <c r="B1193" i="15"/>
  <c r="B1194" i="14"/>
  <c r="B1172" i="13"/>
  <c r="C331" i="7"/>
  <c r="C350" i="7" s="1"/>
  <c r="D350" i="7" s="1"/>
  <c r="I2013" i="15"/>
  <c r="F2014" i="14"/>
  <c r="H1300" i="15"/>
  <c r="E1884" i="15"/>
  <c r="G1884" i="15" s="1"/>
  <c r="E1392" i="15"/>
  <c r="G1392" i="15" s="1"/>
  <c r="I2455" i="15"/>
  <c r="G2463" i="13"/>
  <c r="I142" i="15"/>
  <c r="F143" i="14"/>
  <c r="I142" i="13"/>
  <c r="J142" i="15" s="1"/>
  <c r="O855" i="5"/>
  <c r="O845" i="5"/>
  <c r="E1354" i="15"/>
  <c r="G1354" i="15" s="1"/>
  <c r="E1334" i="15"/>
  <c r="G1334" i="15" s="1"/>
  <c r="I1584" i="15"/>
  <c r="F1585" i="14"/>
  <c r="I2387" i="15"/>
  <c r="G2394" i="13"/>
  <c r="E110" i="15"/>
  <c r="G110" i="15" s="1"/>
  <c r="B224" i="15"/>
  <c r="B225" i="14"/>
  <c r="C172" i="15"/>
  <c r="C173" i="14"/>
  <c r="B148" i="13"/>
  <c r="A310" i="8"/>
  <c r="B166" i="13" s="1"/>
  <c r="C1193" i="15"/>
  <c r="C1194" i="14"/>
  <c r="C1165" i="15"/>
  <c r="C1166" i="14"/>
  <c r="I1039" i="15"/>
  <c r="F1040" i="14"/>
  <c r="B2013" i="15"/>
  <c r="B2014" i="14"/>
  <c r="I2463" i="15"/>
  <c r="G2471" i="13"/>
  <c r="C1891" i="15"/>
  <c r="C1892" i="14"/>
  <c r="E1092" i="13"/>
  <c r="E287" i="7"/>
  <c r="E1046" i="15"/>
  <c r="G1046" i="15" s="1"/>
  <c r="E1231" i="15"/>
  <c r="G1231" i="15" s="1"/>
  <c r="B2004" i="15"/>
  <c r="B2005" i="14"/>
  <c r="E2037" i="15"/>
  <c r="G2037" i="15" s="1"/>
  <c r="E2431" i="13"/>
  <c r="E2210" i="5"/>
  <c r="D1843" i="15"/>
  <c r="D1844" i="14"/>
  <c r="K1850" i="13"/>
  <c r="B1862" i="15"/>
  <c r="B1863" i="14"/>
  <c r="E1814" i="15"/>
  <c r="G1814" i="15" s="1"/>
  <c r="H1258" i="15"/>
  <c r="I2482" i="15"/>
  <c r="G2490" i="13"/>
  <c r="B879" i="13"/>
  <c r="A1950" i="5"/>
  <c r="E838" i="13"/>
  <c r="D1885" i="5"/>
  <c r="E834" i="13"/>
  <c r="D1881" i="5"/>
  <c r="E871" i="13" s="1"/>
  <c r="E645" i="13"/>
  <c r="I1727" i="5"/>
  <c r="E698" i="13" s="1"/>
  <c r="E641" i="13"/>
  <c r="I1723" i="5"/>
  <c r="E694" i="13" s="1"/>
  <c r="D2471" i="15"/>
  <c r="H2479" i="13"/>
  <c r="K2479" i="13"/>
  <c r="I1616" i="15"/>
  <c r="F1617" i="14"/>
  <c r="I1623" i="13"/>
  <c r="J1616" i="15" s="1"/>
  <c r="C369" i="10"/>
  <c r="C341" i="10"/>
  <c r="C309" i="10"/>
  <c r="E1617" i="15"/>
  <c r="G1617" i="15" s="1"/>
  <c r="B1453" i="15"/>
  <c r="B1454" i="14"/>
  <c r="E1437" i="15"/>
  <c r="G1437" i="15" s="1"/>
  <c r="E1472" i="15"/>
  <c r="G1472" i="15" s="1"/>
  <c r="E1463" i="15"/>
  <c r="G1463" i="15" s="1"/>
  <c r="E1461" i="15"/>
  <c r="G1461" i="15" s="1"/>
  <c r="D1448" i="15"/>
  <c r="D1449" i="14"/>
  <c r="H1455" i="13"/>
  <c r="K1455" i="13"/>
  <c r="I24" i="15"/>
  <c r="F25" i="14"/>
  <c r="I24" i="13"/>
  <c r="J24" i="15" s="1"/>
  <c r="D270" i="15"/>
  <c r="D271" i="14"/>
  <c r="H270" i="13"/>
  <c r="K270" i="13"/>
  <c r="E1127" i="13"/>
  <c r="E325" i="7"/>
  <c r="E1166" i="13" s="1"/>
  <c r="D1041" i="15"/>
  <c r="D1042" i="14"/>
  <c r="K1048" i="13"/>
  <c r="B913" i="15"/>
  <c r="B914" i="14"/>
  <c r="J663" i="6"/>
  <c r="C688" i="6"/>
  <c r="B2051" i="15"/>
  <c r="B2052" i="14"/>
  <c r="E1845" i="15"/>
  <c r="G1845" i="15" s="1"/>
  <c r="E1270" i="13"/>
  <c r="E2061" i="5"/>
  <c r="B1261" i="15"/>
  <c r="B1262" i="14"/>
  <c r="D781" i="15"/>
  <c r="D782" i="14"/>
  <c r="H788" i="13"/>
  <c r="I1925" i="5"/>
  <c r="G1925" i="5"/>
  <c r="E1925" i="5"/>
  <c r="D1926" i="5" s="1"/>
  <c r="C1926" i="5" s="1"/>
  <c r="E840" i="13"/>
  <c r="D1887" i="5"/>
  <c r="E837" i="13"/>
  <c r="D1884" i="5"/>
  <c r="E874" i="13" s="1"/>
  <c r="D845" i="13"/>
  <c r="E1844" i="5"/>
  <c r="I735" i="15"/>
  <c r="F736" i="14"/>
  <c r="D722" i="13"/>
  <c r="E1788" i="5"/>
  <c r="D685" i="13"/>
  <c r="D673" i="13"/>
  <c r="E632" i="13"/>
  <c r="I1714" i="5"/>
  <c r="E685" i="13" s="1"/>
  <c r="J1636" i="5"/>
  <c r="H538" i="15"/>
  <c r="E401" i="15"/>
  <c r="G401" i="15" s="1"/>
  <c r="C417" i="15"/>
  <c r="C418" i="14"/>
  <c r="B433" i="15"/>
  <c r="B434" i="14"/>
  <c r="H2322" i="15"/>
  <c r="I2329" i="13"/>
  <c r="J2322" i="15" s="1"/>
  <c r="I1868" i="15"/>
  <c r="F1869" i="14"/>
  <c r="I1875" i="13"/>
  <c r="J1868" i="15" s="1"/>
  <c r="I1196" i="15"/>
  <c r="F1197" i="14"/>
  <c r="I646" i="15"/>
  <c r="F647" i="14"/>
  <c r="I653" i="13"/>
  <c r="J646" i="15" s="1"/>
  <c r="I535" i="15"/>
  <c r="F536" i="14"/>
  <c r="I542" i="13"/>
  <c r="J535" i="15" s="1"/>
  <c r="D2322" i="15"/>
  <c r="D2323" i="14"/>
  <c r="D2345" i="13"/>
  <c r="K2329" i="13"/>
  <c r="H2329" i="13"/>
  <c r="D2325" i="15"/>
  <c r="D2326" i="14"/>
  <c r="H2332" i="13"/>
  <c r="G2332" i="13"/>
  <c r="K2332" i="13"/>
  <c r="I702" i="15"/>
  <c r="F703" i="14"/>
  <c r="I709" i="13"/>
  <c r="J702" i="15" s="1"/>
  <c r="I303" i="15"/>
  <c r="F304" i="14"/>
  <c r="I303" i="13"/>
  <c r="J303" i="15" s="1"/>
  <c r="D2309" i="13"/>
  <c r="E476" i="12"/>
  <c r="I2286" i="15"/>
  <c r="F2287" i="14"/>
  <c r="I2437" i="15"/>
  <c r="G2445" i="13"/>
  <c r="I2233" i="15"/>
  <c r="F2234" i="14"/>
  <c r="I1500" i="15"/>
  <c r="F1501" i="14"/>
  <c r="D2332" i="15"/>
  <c r="D2333" i="14"/>
  <c r="H2339" i="13"/>
  <c r="I2274" i="15"/>
  <c r="F2275" i="14"/>
  <c r="E1387" i="13"/>
  <c r="E697" i="9"/>
  <c r="B1366" i="15"/>
  <c r="B1367" i="14"/>
  <c r="E1346" i="15"/>
  <c r="G1346" i="15" s="1"/>
  <c r="D1344" i="13"/>
  <c r="E654" i="9"/>
  <c r="E1748" i="15"/>
  <c r="G1748" i="15" s="1"/>
  <c r="H2464" i="13"/>
  <c r="H1564" i="15"/>
  <c r="I1571" i="13"/>
  <c r="J1564" i="15" s="1"/>
  <c r="I1563" i="15"/>
  <c r="F1564" i="14"/>
  <c r="H1562" i="15"/>
  <c r="I1569" i="13"/>
  <c r="J1562" i="15" s="1"/>
  <c r="H1515" i="15"/>
  <c r="I1522" i="13"/>
  <c r="J1515" i="15" s="1"/>
  <c r="I1513" i="15"/>
  <c r="F1514" i="14"/>
  <c r="H1500" i="15"/>
  <c r="I1507" i="13"/>
  <c r="J1500" i="15" s="1"/>
  <c r="H1450" i="15"/>
  <c r="I1457" i="13"/>
  <c r="J1450" i="15" s="1"/>
  <c r="G1455" i="13"/>
  <c r="B80" i="13"/>
  <c r="A662" i="8"/>
  <c r="B104" i="13" s="1"/>
  <c r="E232" i="15"/>
  <c r="G232" i="15" s="1"/>
  <c r="E225" i="15"/>
  <c r="G225" i="15" s="1"/>
  <c r="E164" i="15"/>
  <c r="G164" i="15" s="1"/>
  <c r="G164" i="13"/>
  <c r="C169" i="15"/>
  <c r="C170" i="14"/>
  <c r="C148" i="15"/>
  <c r="C149" i="14"/>
  <c r="E1189" i="15"/>
  <c r="G1189" i="15" s="1"/>
  <c r="E1181" i="15"/>
  <c r="G1181" i="15" s="1"/>
  <c r="E1173" i="15"/>
  <c r="G1173" i="15" s="1"/>
  <c r="E1162" i="13"/>
  <c r="E360" i="7"/>
  <c r="E1201" i="13" s="1"/>
  <c r="E1045" i="15"/>
  <c r="G1045" i="15" s="1"/>
  <c r="I1012" i="15"/>
  <c r="F1013" i="14"/>
  <c r="B1899" i="15"/>
  <c r="B1900" i="14"/>
  <c r="C1894" i="15"/>
  <c r="C1895" i="14"/>
  <c r="E1888" i="15"/>
  <c r="G1888" i="15" s="1"/>
  <c r="B1883" i="15"/>
  <c r="B1884" i="14"/>
  <c r="D2290" i="15"/>
  <c r="D2291" i="14"/>
  <c r="H2297" i="13"/>
  <c r="K2297" i="13"/>
  <c r="H1351" i="15"/>
  <c r="I1358" i="13"/>
  <c r="J1351" i="15" s="1"/>
  <c r="E1333" i="15"/>
  <c r="G1333" i="15" s="1"/>
  <c r="H1775" i="15"/>
  <c r="I1782" i="13"/>
  <c r="J1775" i="15" s="1"/>
  <c r="H2398" i="13"/>
  <c r="H1580" i="15"/>
  <c r="I1587" i="13"/>
  <c r="J1580" i="15" s="1"/>
  <c r="I1516" i="15"/>
  <c r="F1517" i="14"/>
  <c r="I1515" i="15"/>
  <c r="F1516" i="14"/>
  <c r="D1488" i="13"/>
  <c r="E350" i="9"/>
  <c r="H1433" i="15"/>
  <c r="I1440" i="13"/>
  <c r="J1433" i="15" s="1"/>
  <c r="C1166" i="15"/>
  <c r="C1167" i="14"/>
  <c r="B1155" i="13"/>
  <c r="A353" i="7"/>
  <c r="B1194" i="13" s="1"/>
  <c r="B1147" i="13"/>
  <c r="A345" i="7"/>
  <c r="B1186" i="13" s="1"/>
  <c r="B1139" i="13"/>
  <c r="A337" i="7"/>
  <c r="C295" i="7"/>
  <c r="C314" i="7" s="1"/>
  <c r="D314" i="7" s="1"/>
  <c r="D2300" i="15"/>
  <c r="D2301" i="14"/>
  <c r="H2307" i="13"/>
  <c r="K2307" i="13"/>
  <c r="D2283" i="13"/>
  <c r="E433" i="12"/>
  <c r="D2252" i="13"/>
  <c r="K371" i="12"/>
  <c r="O389" i="5"/>
  <c r="O379" i="5"/>
  <c r="H2397" i="13"/>
  <c r="H1637" i="15"/>
  <c r="I1644" i="13"/>
  <c r="J1637" i="15" s="1"/>
  <c r="I547" i="15"/>
  <c r="F548" i="14"/>
  <c r="D2278" i="15"/>
  <c r="D2279" i="14"/>
  <c r="K2285" i="13"/>
  <c r="H2285" i="13"/>
  <c r="B398" i="5"/>
  <c r="B402" i="5"/>
  <c r="R131" i="5"/>
  <c r="E1381" i="15"/>
  <c r="G1381" i="15" s="1"/>
  <c r="E692" i="9"/>
  <c r="B1371" i="15"/>
  <c r="B1372" i="14"/>
  <c r="B1367" i="15"/>
  <c r="B1368" i="14"/>
  <c r="B1363" i="15"/>
  <c r="B1364" i="14"/>
  <c r="E1358" i="15"/>
  <c r="G1358" i="15" s="1"/>
  <c r="B1353" i="15"/>
  <c r="B1354" i="14"/>
  <c r="E1395" i="15"/>
  <c r="G1395" i="15" s="1"/>
  <c r="B1342" i="15"/>
  <c r="B1343" i="14"/>
  <c r="E1391" i="15"/>
  <c r="G1391" i="15" s="1"/>
  <c r="B1388" i="15"/>
  <c r="B1389" i="14"/>
  <c r="E1332" i="15"/>
  <c r="G1332" i="15" s="1"/>
  <c r="I1782" i="15"/>
  <c r="F1783" i="14"/>
  <c r="H1587" i="15"/>
  <c r="I1512" i="15"/>
  <c r="F1513" i="14"/>
  <c r="H1479" i="15"/>
  <c r="I1486" i="13"/>
  <c r="J1479" i="15" s="1"/>
  <c r="H1442" i="15"/>
  <c r="I1449" i="13"/>
  <c r="J1442" i="15" s="1"/>
  <c r="E1407" i="15"/>
  <c r="G1407" i="15" s="1"/>
  <c r="E101" i="15"/>
  <c r="G101" i="15" s="1"/>
  <c r="B228" i="15"/>
  <c r="B229" i="14"/>
  <c r="B223" i="15"/>
  <c r="B224" i="14"/>
  <c r="B220" i="15"/>
  <c r="B221" i="14"/>
  <c r="E173" i="15"/>
  <c r="G173" i="15" s="1"/>
  <c r="G173" i="13"/>
  <c r="D163" i="13"/>
  <c r="J306" i="8"/>
  <c r="E307" i="8"/>
  <c r="I2412" i="15"/>
  <c r="G2420" i="13"/>
  <c r="E82" i="8"/>
  <c r="E85" i="8"/>
  <c r="E84" i="8"/>
  <c r="E86" i="8" s="1"/>
  <c r="E76" i="8"/>
  <c r="C1191" i="15"/>
  <c r="C1192" i="14"/>
  <c r="C1183" i="15"/>
  <c r="C1184" i="14"/>
  <c r="C1175" i="15"/>
  <c r="C1176" i="14"/>
  <c r="C1163" i="15"/>
  <c r="C1164" i="14"/>
  <c r="E1156" i="13"/>
  <c r="E354" i="7"/>
  <c r="E1195" i="13" s="1"/>
  <c r="B1152" i="13"/>
  <c r="A350" i="7"/>
  <c r="B1191" i="13" s="1"/>
  <c r="E1146" i="13"/>
  <c r="E344" i="7"/>
  <c r="E1185" i="13" s="1"/>
  <c r="E1140" i="13"/>
  <c r="E338" i="7"/>
  <c r="E1179" i="13" s="1"/>
  <c r="B1132" i="13"/>
  <c r="C288" i="7"/>
  <c r="C307" i="7" s="1"/>
  <c r="D307" i="7" s="1"/>
  <c r="A330" i="7"/>
  <c r="E1125" i="13"/>
  <c r="E323" i="7"/>
  <c r="E1164" i="13" s="1"/>
  <c r="H1039" i="15"/>
  <c r="I1046" i="13"/>
  <c r="J1039" i="15" s="1"/>
  <c r="B967" i="15"/>
  <c r="B968" i="14"/>
  <c r="D963" i="13"/>
  <c r="F102" i="7"/>
  <c r="I2007" i="15"/>
  <c r="F2008" i="14"/>
  <c r="B2007" i="15"/>
  <c r="B2008" i="14"/>
  <c r="E106" i="6"/>
  <c r="E107" i="6"/>
  <c r="B1900" i="15"/>
  <c r="B1901" i="14"/>
  <c r="C1895" i="15"/>
  <c r="C1896" i="14"/>
  <c r="E1889" i="15"/>
  <c r="G1889" i="15" s="1"/>
  <c r="B1884" i="15"/>
  <c r="B1885" i="14"/>
  <c r="E693" i="9"/>
  <c r="B1376" i="15"/>
  <c r="B1377" i="14"/>
  <c r="E1440" i="15"/>
  <c r="G1440" i="15" s="1"/>
  <c r="H1447" i="13"/>
  <c r="G1447" i="13"/>
  <c r="B1430" i="15"/>
  <c r="B1431" i="14"/>
  <c r="B1415" i="15"/>
  <c r="B1416" i="14"/>
  <c r="E117" i="15"/>
  <c r="G117" i="15" s="1"/>
  <c r="G553" i="8"/>
  <c r="D2439" i="15"/>
  <c r="K2447" i="13"/>
  <c r="H2447" i="13"/>
  <c r="E193" i="13"/>
  <c r="D427" i="8"/>
  <c r="E233" i="13" s="1"/>
  <c r="D148" i="13"/>
  <c r="E295" i="8"/>
  <c r="D2414" i="15"/>
  <c r="K2422" i="13"/>
  <c r="H2422" i="13"/>
  <c r="D125" i="15"/>
  <c r="D126" i="14"/>
  <c r="K125" i="13"/>
  <c r="H125" i="13"/>
  <c r="C1190" i="15"/>
  <c r="C1191" i="14"/>
  <c r="C1145" i="15"/>
  <c r="C1146" i="14"/>
  <c r="C1176" i="15"/>
  <c r="C1177" i="14"/>
  <c r="C1159" i="15"/>
  <c r="C1160" i="14"/>
  <c r="E1155" i="13"/>
  <c r="E353" i="7"/>
  <c r="E1194" i="13" s="1"/>
  <c r="D1109" i="13"/>
  <c r="F262" i="7"/>
  <c r="B1096" i="15"/>
  <c r="B1097" i="14"/>
  <c r="E1091" i="13"/>
  <c r="E286" i="7"/>
  <c r="E1237" i="15"/>
  <c r="G1237" i="15" s="1"/>
  <c r="H1048" i="13"/>
  <c r="I1019" i="15"/>
  <c r="F1020" i="14"/>
  <c r="H1015" i="15"/>
  <c r="I1022" i="13"/>
  <c r="J1015" i="15" s="1"/>
  <c r="D1012" i="15"/>
  <c r="D1013" i="14"/>
  <c r="K1019" i="13"/>
  <c r="E930" i="15"/>
  <c r="G930" i="15" s="1"/>
  <c r="H1222" i="15"/>
  <c r="I1229" i="13"/>
  <c r="J1222" i="15" s="1"/>
  <c r="E1207" i="15"/>
  <c r="G1207" i="15" s="1"/>
  <c r="E1212" i="15"/>
  <c r="G1212" i="15" s="1"/>
  <c r="D2161" i="13"/>
  <c r="E686" i="6"/>
  <c r="E2059" i="13"/>
  <c r="D552" i="6"/>
  <c r="E2067" i="13" s="1"/>
  <c r="E2047" i="15"/>
  <c r="G2047" i="15" s="1"/>
  <c r="B2037" i="15"/>
  <c r="B2038" i="14"/>
  <c r="D1300" i="15"/>
  <c r="D1301" i="14"/>
  <c r="H1307" i="13"/>
  <c r="K1307" i="13"/>
  <c r="H1295" i="15"/>
  <c r="D2469" i="15"/>
  <c r="K2477" i="13"/>
  <c r="H2477" i="13"/>
  <c r="D1900" i="15"/>
  <c r="D1901" i="14"/>
  <c r="K1907" i="13"/>
  <c r="H1907" i="13"/>
  <c r="C1884" i="15"/>
  <c r="C1885" i="14"/>
  <c r="E1872" i="15"/>
  <c r="G1872" i="15" s="1"/>
  <c r="G2273" i="5"/>
  <c r="I2273" i="5" s="1"/>
  <c r="E2273" i="5"/>
  <c r="B1316" i="15"/>
  <c r="B1317" i="14"/>
  <c r="D1323" i="15"/>
  <c r="D1324" i="14"/>
  <c r="H1330" i="13"/>
  <c r="H1840" i="15"/>
  <c r="C1880" i="15"/>
  <c r="C1881" i="14"/>
  <c r="E1813" i="15"/>
  <c r="G1813" i="15" s="1"/>
  <c r="B1252" i="15"/>
  <c r="B1253" i="14"/>
  <c r="E1927" i="5"/>
  <c r="D1928" i="5" s="1"/>
  <c r="C1928" i="5" s="1"/>
  <c r="C809" i="13"/>
  <c r="B2000" i="5"/>
  <c r="C772" i="13" s="1"/>
  <c r="B852" i="13"/>
  <c r="A1899" i="5"/>
  <c r="B843" i="15"/>
  <c r="B844" i="14"/>
  <c r="B835" i="15"/>
  <c r="B836" i="14"/>
  <c r="B857" i="15"/>
  <c r="B858" i="14"/>
  <c r="E855" i="15"/>
  <c r="G855" i="15" s="1"/>
  <c r="G862" i="13"/>
  <c r="D833" i="13"/>
  <c r="E1832" i="5"/>
  <c r="E2385" i="13"/>
  <c r="E2378" i="15" s="1"/>
  <c r="G2378" i="15" s="1"/>
  <c r="D1904" i="5"/>
  <c r="H735" i="15"/>
  <c r="I742" i="13"/>
  <c r="J735" i="15" s="1"/>
  <c r="E846" i="13"/>
  <c r="D1893" i="5"/>
  <c r="E1312" i="15"/>
  <c r="G1312" i="15" s="1"/>
  <c r="G1319" i="13"/>
  <c r="E842" i="13"/>
  <c r="D1889" i="5"/>
  <c r="H746" i="15"/>
  <c r="H744" i="15"/>
  <c r="H742" i="15"/>
  <c r="I749" i="13"/>
  <c r="J742" i="15" s="1"/>
  <c r="E814" i="15"/>
  <c r="G814" i="15" s="1"/>
  <c r="B644" i="13"/>
  <c r="A1726" i="5"/>
  <c r="B697" i="13" s="1"/>
  <c r="B640" i="13"/>
  <c r="A1722" i="5"/>
  <c r="B693" i="13" s="1"/>
  <c r="B636" i="13"/>
  <c r="A1718" i="5"/>
  <c r="B689" i="13" s="1"/>
  <c r="B632" i="13"/>
  <c r="A1714" i="5"/>
  <c r="B685" i="13" s="1"/>
  <c r="E625" i="13"/>
  <c r="I1707" i="5"/>
  <c r="E678" i="13" s="1"/>
  <c r="C603" i="15"/>
  <c r="C604" i="14"/>
  <c r="B577" i="15"/>
  <c r="B578" i="14"/>
  <c r="H574" i="15"/>
  <c r="B573" i="15"/>
  <c r="B574" i="14"/>
  <c r="H570" i="15"/>
  <c r="B569" i="15"/>
  <c r="B570" i="14"/>
  <c r="H566" i="15"/>
  <c r="B565" i="15"/>
  <c r="B566" i="14"/>
  <c r="H562" i="15"/>
  <c r="B561" i="15"/>
  <c r="B562" i="14"/>
  <c r="H558" i="15"/>
  <c r="B557" i="15"/>
  <c r="B558" i="14"/>
  <c r="H556" i="15"/>
  <c r="B553" i="15"/>
  <c r="B554" i="14"/>
  <c r="H552" i="15"/>
  <c r="B541" i="15"/>
  <c r="B542" i="14"/>
  <c r="C1604" i="5"/>
  <c r="E1604" i="5" s="1"/>
  <c r="D1518" i="5"/>
  <c r="D1684" i="5" s="1"/>
  <c r="B496" i="13"/>
  <c r="BH1488" i="5"/>
  <c r="B413" i="13" s="1"/>
  <c r="H2451" i="13"/>
  <c r="H364" i="13"/>
  <c r="C398" i="10"/>
  <c r="G824" i="5"/>
  <c r="H398" i="10" s="1"/>
  <c r="C381" i="10"/>
  <c r="C365" i="10"/>
  <c r="C337" i="10"/>
  <c r="C321" i="10"/>
  <c r="C305" i="10"/>
  <c r="G731" i="5"/>
  <c r="H305" i="10" s="1"/>
  <c r="C293" i="10"/>
  <c r="G719" i="5"/>
  <c r="H293" i="10" s="1"/>
  <c r="C277" i="10"/>
  <c r="C222" i="10"/>
  <c r="E850" i="5"/>
  <c r="E845" i="5"/>
  <c r="I621" i="5"/>
  <c r="F638" i="5" s="1"/>
  <c r="F212" i="10" s="1"/>
  <c r="G212" i="10" s="1"/>
  <c r="B1617" i="15"/>
  <c r="B1618" i="14"/>
  <c r="I1588" i="15"/>
  <c r="F1589" i="14"/>
  <c r="B1381" i="15"/>
  <c r="B1382" i="14"/>
  <c r="B1377" i="15"/>
  <c r="B1378" i="14"/>
  <c r="B1372" i="15"/>
  <c r="B1373" i="14"/>
  <c r="C1360" i="15"/>
  <c r="C1361" i="14"/>
  <c r="E1397" i="15"/>
  <c r="G1397" i="15" s="1"/>
  <c r="E1388" i="15"/>
  <c r="G1388" i="15" s="1"/>
  <c r="B1331" i="15"/>
  <c r="B1332" i="14"/>
  <c r="B109" i="15"/>
  <c r="B110" i="14"/>
  <c r="E40" i="15"/>
  <c r="G40" i="15" s="1"/>
  <c r="D46" i="13"/>
  <c r="E623" i="8"/>
  <c r="D2350" i="13"/>
  <c r="E680" i="8"/>
  <c r="H2350" i="13" s="1"/>
  <c r="E2364" i="13"/>
  <c r="E503" i="8"/>
  <c r="E263" i="15"/>
  <c r="G263" i="15" s="1"/>
  <c r="D2347" i="15"/>
  <c r="H2354" i="13"/>
  <c r="K2354" i="13"/>
  <c r="E179" i="15"/>
  <c r="G179" i="15" s="1"/>
  <c r="B1160" i="15"/>
  <c r="B1161" i="14"/>
  <c r="B1158" i="13"/>
  <c r="A356" i="7"/>
  <c r="B1197" i="13" s="1"/>
  <c r="E1097" i="15"/>
  <c r="G1097" i="15" s="1"/>
  <c r="B1085" i="15"/>
  <c r="B1086" i="14"/>
  <c r="E1081" i="15"/>
  <c r="G1081" i="15" s="1"/>
  <c r="H2383" i="15"/>
  <c r="I2390" i="13"/>
  <c r="J2383" i="15" s="1"/>
  <c r="I2467" i="15"/>
  <c r="G2475" i="13"/>
  <c r="B937" i="13"/>
  <c r="A133" i="7"/>
  <c r="B994" i="13" s="1"/>
  <c r="I1040" i="15"/>
  <c r="F1041" i="14"/>
  <c r="B937" i="15"/>
  <c r="B938" i="14"/>
  <c r="B991" i="15"/>
  <c r="B992" i="14"/>
  <c r="B969" i="15"/>
  <c r="B970" i="14"/>
  <c r="E1205" i="15"/>
  <c r="G1205" i="15" s="1"/>
  <c r="D2465" i="15"/>
  <c r="K2473" i="13"/>
  <c r="H2473" i="13"/>
  <c r="C687" i="6"/>
  <c r="C692" i="6" s="1"/>
  <c r="J662" i="6"/>
  <c r="E2046" i="15"/>
  <c r="G2046" i="15" s="1"/>
  <c r="B2021" i="15"/>
  <c r="B2022" i="14"/>
  <c r="D2462" i="15"/>
  <c r="K2470" i="13"/>
  <c r="H2470" i="13"/>
  <c r="D1296" i="15"/>
  <c r="D1297" i="14"/>
  <c r="H1303" i="13"/>
  <c r="K1303" i="13"/>
  <c r="H1287" i="15"/>
  <c r="E1909" i="13"/>
  <c r="E2311" i="5"/>
  <c r="E1891" i="15"/>
  <c r="G1891" i="15" s="1"/>
  <c r="E1882" i="15"/>
  <c r="G1882" i="15" s="1"/>
  <c r="B1315" i="15"/>
  <c r="B1316" i="14"/>
  <c r="E1900" i="15"/>
  <c r="G1900" i="15" s="1"/>
  <c r="G1907" i="13"/>
  <c r="B1826" i="15"/>
  <c r="B1827" i="14"/>
  <c r="C2147" i="5"/>
  <c r="C2154" i="5"/>
  <c r="C2175" i="5"/>
  <c r="C2143" i="5"/>
  <c r="C2176" i="5"/>
  <c r="E1249" i="15"/>
  <c r="G1249" i="15" s="1"/>
  <c r="G1256" i="13"/>
  <c r="C811" i="13"/>
  <c r="B2002" i="5"/>
  <c r="C774" i="13" s="1"/>
  <c r="B814" i="15"/>
  <c r="B815" i="14"/>
  <c r="E795" i="13"/>
  <c r="D1986" i="5"/>
  <c r="E758" i="13" s="1"/>
  <c r="D2493" i="13"/>
  <c r="E1901" i="5"/>
  <c r="B2385" i="13"/>
  <c r="B2378" i="15" s="1"/>
  <c r="A1904" i="5"/>
  <c r="E849" i="13"/>
  <c r="D1896" i="5"/>
  <c r="E864" i="13"/>
  <c r="K1888" i="5"/>
  <c r="I2372" i="15"/>
  <c r="G2379" i="13"/>
  <c r="I2371" i="15"/>
  <c r="G2378" i="13"/>
  <c r="D744" i="15"/>
  <c r="D745" i="14"/>
  <c r="H751" i="13"/>
  <c r="I742" i="15"/>
  <c r="F743" i="14"/>
  <c r="C1924" i="5"/>
  <c r="E1772" i="5"/>
  <c r="C691" i="15"/>
  <c r="C692" i="14"/>
  <c r="C683" i="15"/>
  <c r="C684" i="14"/>
  <c r="C675" i="15"/>
  <c r="C676" i="14"/>
  <c r="B2372" i="13"/>
  <c r="B2365" i="15" s="1"/>
  <c r="A1741" i="5"/>
  <c r="B2375" i="13" s="1"/>
  <c r="B2368" i="15" s="1"/>
  <c r="E650" i="13"/>
  <c r="I1734" i="5"/>
  <c r="E703" i="13" s="1"/>
  <c r="B647" i="13"/>
  <c r="A1729" i="5"/>
  <c r="B700" i="13" s="1"/>
  <c r="D641" i="13"/>
  <c r="C1723" i="5"/>
  <c r="J1645" i="5"/>
  <c r="B631" i="13"/>
  <c r="A1713" i="5"/>
  <c r="B684" i="13" s="1"/>
  <c r="E628" i="13"/>
  <c r="I1710" i="5"/>
  <c r="E681" i="13" s="1"/>
  <c r="J1632" i="5"/>
  <c r="B623" i="13"/>
  <c r="A1705" i="5"/>
  <c r="B676" i="13" s="1"/>
  <c r="E620" i="13"/>
  <c r="I1702" i="5"/>
  <c r="E673" i="13" s="1"/>
  <c r="J1624" i="5"/>
  <c r="B603" i="15"/>
  <c r="B604" i="14"/>
  <c r="C602" i="15"/>
  <c r="C603" i="14"/>
  <c r="L1567" i="5"/>
  <c r="G1643" i="5"/>
  <c r="G1721" i="5" s="1"/>
  <c r="D570" i="15"/>
  <c r="D571" i="14"/>
  <c r="H577" i="13"/>
  <c r="I577" i="13" s="1"/>
  <c r="J570" i="15" s="1"/>
  <c r="K577" i="13"/>
  <c r="L1559" i="5"/>
  <c r="G1635" i="5"/>
  <c r="G1713" i="5" s="1"/>
  <c r="D562" i="15"/>
  <c r="D563" i="14"/>
  <c r="H569" i="13"/>
  <c r="K569" i="13"/>
  <c r="L1551" i="5"/>
  <c r="G1627" i="5"/>
  <c r="G1705" i="5" s="1"/>
  <c r="G1625" i="5"/>
  <c r="G1703" i="5" s="1"/>
  <c r="L1549" i="5"/>
  <c r="D552" i="15"/>
  <c r="D553" i="14"/>
  <c r="H559" i="13"/>
  <c r="K559" i="13"/>
  <c r="B470" i="13"/>
  <c r="B341" i="13"/>
  <c r="AZ1473" i="5"/>
  <c r="B387" i="13" s="1"/>
  <c r="E468" i="13"/>
  <c r="BC1471" i="5"/>
  <c r="E385" i="13" s="1"/>
  <c r="B467" i="13"/>
  <c r="B339" i="13"/>
  <c r="AZ1470" i="5"/>
  <c r="B384" i="13" s="1"/>
  <c r="C421" i="15"/>
  <c r="C422" i="14"/>
  <c r="H350" i="15"/>
  <c r="E463" i="13"/>
  <c r="E336" i="13"/>
  <c r="BC1466" i="5"/>
  <c r="E380" i="13" s="1"/>
  <c r="C418" i="15"/>
  <c r="C419" i="14"/>
  <c r="B462" i="13"/>
  <c r="AQ1468" i="5"/>
  <c r="B379" i="13" s="1"/>
  <c r="B461" i="13"/>
  <c r="AQ1467" i="5"/>
  <c r="B378" i="13" s="1"/>
  <c r="B474" i="13"/>
  <c r="BH1466" i="5"/>
  <c r="B391" i="13" s="1"/>
  <c r="E437" i="15"/>
  <c r="G437" i="15" s="1"/>
  <c r="H2450" i="13"/>
  <c r="C365" i="6"/>
  <c r="C1402" i="5"/>
  <c r="C620" i="6"/>
  <c r="E620" i="6" s="1"/>
  <c r="C495" i="6"/>
  <c r="F352" i="6"/>
  <c r="F347" i="12"/>
  <c r="F348" i="6"/>
  <c r="F339" i="12"/>
  <c r="I1543" i="15"/>
  <c r="F1544" i="14"/>
  <c r="I1550" i="13"/>
  <c r="J1543" i="15" s="1"/>
  <c r="P852" i="5"/>
  <c r="I852" i="5"/>
  <c r="S852" i="5"/>
  <c r="F852" i="5"/>
  <c r="Q852" i="5"/>
  <c r="P848" i="5"/>
  <c r="I848" i="5"/>
  <c r="S848" i="5"/>
  <c r="R848" i="5"/>
  <c r="F848" i="5"/>
  <c r="Q848" i="5"/>
  <c r="P844" i="5"/>
  <c r="I844" i="5"/>
  <c r="O844" i="5" s="1"/>
  <c r="S844" i="5"/>
  <c r="F844" i="5"/>
  <c r="Q844" i="5"/>
  <c r="C392" i="10"/>
  <c r="C384" i="10"/>
  <c r="C376" i="10"/>
  <c r="C368" i="10"/>
  <c r="C360" i="10"/>
  <c r="E354" i="10"/>
  <c r="G354" i="10" s="1"/>
  <c r="E781" i="5"/>
  <c r="C348" i="10"/>
  <c r="C340" i="10"/>
  <c r="C332" i="10"/>
  <c r="C324" i="10"/>
  <c r="C316" i="10"/>
  <c r="C308" i="10"/>
  <c r="C292" i="10"/>
  <c r="C284" i="10"/>
  <c r="C276" i="10"/>
  <c r="C268" i="10"/>
  <c r="E262" i="10"/>
  <c r="F688" i="5"/>
  <c r="F262" i="10" s="1"/>
  <c r="E969" i="5"/>
  <c r="E549" i="5"/>
  <c r="E1011" i="5" s="1"/>
  <c r="F516" i="10"/>
  <c r="F533" i="5"/>
  <c r="F598" i="10" s="1"/>
  <c r="F504" i="10"/>
  <c r="F521" i="5"/>
  <c r="F586" i="10" s="1"/>
  <c r="T395" i="5"/>
  <c r="C182" i="10"/>
  <c r="C166" i="10"/>
  <c r="C150" i="10"/>
  <c r="C138" i="10"/>
  <c r="C122" i="10"/>
  <c r="C106" i="10"/>
  <c r="C94" i="10"/>
  <c r="C82" i="10"/>
  <c r="C66" i="10"/>
  <c r="C50" i="10"/>
  <c r="C34" i="10"/>
  <c r="C18" i="10"/>
  <c r="G182" i="5"/>
  <c r="H45" i="10" s="1"/>
  <c r="E1682" i="15"/>
  <c r="G1682" i="15" s="1"/>
  <c r="I1479" i="15"/>
  <c r="F1480" i="14"/>
  <c r="E1441" i="15"/>
  <c r="G1441" i="15" s="1"/>
  <c r="C1429" i="15"/>
  <c r="C1430" i="14"/>
  <c r="E1467" i="15"/>
  <c r="G1467" i="15" s="1"/>
  <c r="B1404" i="15"/>
  <c r="B1405" i="14"/>
  <c r="D2348" i="13"/>
  <c r="E678" i="8"/>
  <c r="H2348" i="13" s="1"/>
  <c r="E102" i="15"/>
  <c r="G102" i="15" s="1"/>
  <c r="D109" i="13"/>
  <c r="E667" i="8"/>
  <c r="E2353" i="13"/>
  <c r="D430" i="8"/>
  <c r="E2358" i="13" s="1"/>
  <c r="E223" i="15"/>
  <c r="G223" i="15" s="1"/>
  <c r="D143" i="15"/>
  <c r="D144" i="14"/>
  <c r="K143" i="13"/>
  <c r="E125" i="15"/>
  <c r="G125" i="15" s="1"/>
  <c r="G125" i="13"/>
  <c r="C1188" i="15"/>
  <c r="C1189" i="14"/>
  <c r="C1139" i="15"/>
  <c r="C1140" i="14"/>
  <c r="C1130" i="15"/>
  <c r="C1131" i="14"/>
  <c r="B1116" i="15"/>
  <c r="B1117" i="14"/>
  <c r="B1146" i="13"/>
  <c r="A344" i="7"/>
  <c r="B1185" i="13" s="1"/>
  <c r="B1138" i="13"/>
  <c r="C294" i="7"/>
  <c r="C313" i="7" s="1"/>
  <c r="D313" i="7" s="1"/>
  <c r="A336" i="7"/>
  <c r="B1081" i="15"/>
  <c r="B1082" i="14"/>
  <c r="B1050" i="15"/>
  <c r="B1051" i="14"/>
  <c r="D1049" i="13"/>
  <c r="G1049" i="13" s="1"/>
  <c r="D194" i="7"/>
  <c r="D195" i="7"/>
  <c r="F190" i="7"/>
  <c r="B1025" i="15"/>
  <c r="B1026" i="14"/>
  <c r="I1020" i="15"/>
  <c r="F1021" i="14"/>
  <c r="H1016" i="15"/>
  <c r="I1023" i="13"/>
  <c r="J1016" i="15" s="1"/>
  <c r="E910" i="15"/>
  <c r="G910" i="15" s="1"/>
  <c r="B899" i="15"/>
  <c r="B900" i="14"/>
  <c r="E1983" i="15"/>
  <c r="G1983" i="15" s="1"/>
  <c r="H1990" i="13"/>
  <c r="H1983" i="15" s="1"/>
  <c r="G1990" i="13"/>
  <c r="I1990" i="13" s="1"/>
  <c r="E2049" i="15"/>
  <c r="G2049" i="15" s="1"/>
  <c r="H1972" i="15"/>
  <c r="B1301" i="15"/>
  <c r="B1302" i="14"/>
  <c r="C1888" i="15"/>
  <c r="C1889" i="14"/>
  <c r="D1883" i="15"/>
  <c r="D1884" i="14"/>
  <c r="K1890" i="13"/>
  <c r="H1890" i="13"/>
  <c r="D1332" i="13"/>
  <c r="K2205" i="5"/>
  <c r="I2206" i="5"/>
  <c r="E1311" i="15"/>
  <c r="G1311" i="15" s="1"/>
  <c r="D1315" i="13"/>
  <c r="I2197" i="5"/>
  <c r="C2199" i="5"/>
  <c r="E2197" i="5"/>
  <c r="E1842" i="15"/>
  <c r="G1842" i="15" s="1"/>
  <c r="E1823" i="15"/>
  <c r="G1823" i="15" s="1"/>
  <c r="G1830" i="13"/>
  <c r="B1811" i="15"/>
  <c r="B1812" i="14"/>
  <c r="E1266" i="15"/>
  <c r="G1266" i="15" s="1"/>
  <c r="E1269" i="13"/>
  <c r="E2060" i="5"/>
  <c r="E1261" i="13"/>
  <c r="E2052" i="5"/>
  <c r="D1254" i="13"/>
  <c r="E2045" i="5"/>
  <c r="D1279" i="13"/>
  <c r="J2043" i="5"/>
  <c r="L2042" i="5"/>
  <c r="B898" i="13"/>
  <c r="G1944" i="5"/>
  <c r="E851" i="13"/>
  <c r="D1898" i="5"/>
  <c r="E843" i="13"/>
  <c r="D1890" i="5"/>
  <c r="B856" i="15"/>
  <c r="B857" i="14"/>
  <c r="C864" i="15"/>
  <c r="C865" i="14"/>
  <c r="D847" i="13"/>
  <c r="E1846" i="5"/>
  <c r="B849" i="13"/>
  <c r="A1896" i="5"/>
  <c r="B845" i="13"/>
  <c r="A1892" i="5"/>
  <c r="B1311" i="15"/>
  <c r="B1312" i="14"/>
  <c r="B841" i="13"/>
  <c r="A1888" i="5"/>
  <c r="B818" i="15"/>
  <c r="B819" i="14"/>
  <c r="B662" i="15"/>
  <c r="B663" i="14"/>
  <c r="E627" i="13"/>
  <c r="I1709" i="5"/>
  <c r="E680" i="13" s="1"/>
  <c r="H603" i="15"/>
  <c r="B602" i="15"/>
  <c r="B603" i="14"/>
  <c r="B574" i="15"/>
  <c r="B575" i="14"/>
  <c r="B570" i="15"/>
  <c r="B571" i="14"/>
  <c r="B566" i="15"/>
  <c r="B567" i="14"/>
  <c r="B562" i="15"/>
  <c r="B563" i="14"/>
  <c r="B558" i="15"/>
  <c r="B559" i="14"/>
  <c r="B556" i="15"/>
  <c r="B557" i="14"/>
  <c r="B552" i="15"/>
  <c r="B553" i="14"/>
  <c r="H547" i="15"/>
  <c r="I554" i="13"/>
  <c r="J547" i="15" s="1"/>
  <c r="B416" i="15"/>
  <c r="B417" i="14"/>
  <c r="C415" i="15"/>
  <c r="C416" i="14"/>
  <c r="C414" i="15"/>
  <c r="C415" i="14"/>
  <c r="C408" i="15"/>
  <c r="C409" i="14"/>
  <c r="D315" i="13"/>
  <c r="E1405" i="5"/>
  <c r="E720" i="10"/>
  <c r="G720" i="10" s="1"/>
  <c r="E1037" i="5"/>
  <c r="E557" i="10"/>
  <c r="G557" i="10" s="1"/>
  <c r="E954" i="5"/>
  <c r="C387" i="10"/>
  <c r="C379" i="10"/>
  <c r="C371" i="10"/>
  <c r="C363" i="10"/>
  <c r="C355" i="10"/>
  <c r="G781" i="5"/>
  <c r="H355" i="10" s="1"/>
  <c r="C343" i="10"/>
  <c r="C335" i="10"/>
  <c r="C327" i="10"/>
  <c r="C319" i="10"/>
  <c r="C311" i="10"/>
  <c r="C303" i="10"/>
  <c r="C299" i="10"/>
  <c r="C287" i="10"/>
  <c r="C279" i="10"/>
  <c r="C271" i="10"/>
  <c r="C263" i="10"/>
  <c r="C212" i="10"/>
  <c r="R623" i="5"/>
  <c r="Q623" i="5"/>
  <c r="P623" i="5"/>
  <c r="S623" i="5"/>
  <c r="B605" i="10"/>
  <c r="B1002" i="5"/>
  <c r="B646" i="10" s="1"/>
  <c r="B585" i="10"/>
  <c r="B982" i="5"/>
  <c r="B626" i="10" s="1"/>
  <c r="P389" i="5"/>
  <c r="T385" i="5"/>
  <c r="C196" i="10"/>
  <c r="C185" i="10"/>
  <c r="C169" i="10"/>
  <c r="C153" i="10"/>
  <c r="F196" i="10"/>
  <c r="E1573" i="15"/>
  <c r="G1573" i="15" s="1"/>
  <c r="H1580" i="13"/>
  <c r="G1580" i="13"/>
  <c r="B1549" i="15"/>
  <c r="B1550" i="14"/>
  <c r="B1378" i="15"/>
  <c r="B1379" i="14"/>
  <c r="B1373" i="15"/>
  <c r="B1374" i="14"/>
  <c r="B1361" i="15"/>
  <c r="B1362" i="14"/>
  <c r="E1348" i="15"/>
  <c r="G1348" i="15" s="1"/>
  <c r="H1411" i="15"/>
  <c r="E85" i="9"/>
  <c r="E77" i="9"/>
  <c r="E86" i="9"/>
  <c r="E83" i="9"/>
  <c r="E114" i="15"/>
  <c r="G114" i="15" s="1"/>
  <c r="D67" i="13"/>
  <c r="L624" i="8"/>
  <c r="L492" i="8"/>
  <c r="E231" i="15"/>
  <c r="G231" i="15" s="1"/>
  <c r="E308" i="8"/>
  <c r="D155" i="13"/>
  <c r="L294" i="8"/>
  <c r="B154" i="15"/>
  <c r="B155" i="14"/>
  <c r="B144" i="15"/>
  <c r="B145" i="14"/>
  <c r="E130" i="15"/>
  <c r="G130" i="15" s="1"/>
  <c r="C1161" i="15"/>
  <c r="C1162" i="14"/>
  <c r="E1105" i="15"/>
  <c r="G1105" i="15" s="1"/>
  <c r="H1112" i="13"/>
  <c r="I1105" i="15" s="1"/>
  <c r="E1139" i="13"/>
  <c r="E337" i="7"/>
  <c r="E1178" i="13" s="1"/>
  <c r="I2382" i="15"/>
  <c r="G2389" i="13"/>
  <c r="B1045" i="15"/>
  <c r="B1046" i="14"/>
  <c r="E1011" i="15"/>
  <c r="G1011" i="15" s="1"/>
  <c r="B952" i="15"/>
  <c r="B953" i="14"/>
  <c r="B929" i="15"/>
  <c r="B930" i="14"/>
  <c r="E1226" i="15"/>
  <c r="G1226" i="15" s="1"/>
  <c r="D1311" i="13"/>
  <c r="M2320" i="5"/>
  <c r="E1895" i="15"/>
  <c r="G1895" i="15" s="1"/>
  <c r="B1886" i="15"/>
  <c r="B1887" i="14"/>
  <c r="B1910" i="15"/>
  <c r="B1911" i="14"/>
  <c r="B1313" i="15"/>
  <c r="B1314" i="14"/>
  <c r="H1839" i="15"/>
  <c r="B1909" i="15"/>
  <c r="B1910" i="14"/>
  <c r="E2406" i="13"/>
  <c r="E2063" i="5"/>
  <c r="E1259" i="15"/>
  <c r="G1259" i="15" s="1"/>
  <c r="G1266" i="13"/>
  <c r="E1264" i="13"/>
  <c r="E2055" i="5"/>
  <c r="D1255" i="13"/>
  <c r="E2046" i="5"/>
  <c r="C803" i="13"/>
  <c r="B1994" i="5"/>
  <c r="C766" i="13" s="1"/>
  <c r="C880" i="13"/>
  <c r="B1951" i="5"/>
  <c r="D2384" i="13"/>
  <c r="C1903" i="5"/>
  <c r="E1856" i="5"/>
  <c r="D852" i="13"/>
  <c r="C1899" i="5"/>
  <c r="C842" i="15"/>
  <c r="C843" i="14"/>
  <c r="C834" i="15"/>
  <c r="C835" i="14"/>
  <c r="B855" i="15"/>
  <c r="B856" i="14"/>
  <c r="E860" i="13"/>
  <c r="K1883" i="5"/>
  <c r="E833" i="13"/>
  <c r="D1880" i="5"/>
  <c r="E2008" i="5"/>
  <c r="E1962" i="5"/>
  <c r="C852" i="13"/>
  <c r="B1899" i="5"/>
  <c r="E739" i="13"/>
  <c r="D1849" i="5"/>
  <c r="E721" i="13"/>
  <c r="D1831" i="5"/>
  <c r="B696" i="15"/>
  <c r="B697" i="14"/>
  <c r="D695" i="13"/>
  <c r="D687" i="13"/>
  <c r="D679" i="13"/>
  <c r="C665" i="15"/>
  <c r="C666" i="14"/>
  <c r="B645" i="13"/>
  <c r="A1727" i="5"/>
  <c r="B698" i="13" s="1"/>
  <c r="E614" i="13"/>
  <c r="J1618" i="5"/>
  <c r="B605" i="15"/>
  <c r="B606" i="14"/>
  <c r="E589" i="13"/>
  <c r="I1655" i="5"/>
  <c r="D577" i="15"/>
  <c r="D578" i="14"/>
  <c r="H584" i="13"/>
  <c r="K584" i="13"/>
  <c r="D569" i="15"/>
  <c r="D570" i="14"/>
  <c r="H576" i="13"/>
  <c r="K576" i="13"/>
  <c r="G848" i="10"/>
  <c r="F866" i="10"/>
  <c r="H866" i="10" s="1"/>
  <c r="D561" i="15"/>
  <c r="D562" i="14"/>
  <c r="H568" i="13"/>
  <c r="K568" i="13"/>
  <c r="D553" i="15"/>
  <c r="D554" i="14"/>
  <c r="H560" i="13"/>
  <c r="K560" i="13"/>
  <c r="D596" i="13"/>
  <c r="U1543" i="5"/>
  <c r="F1508" i="5"/>
  <c r="E470" i="13"/>
  <c r="E341" i="13"/>
  <c r="G341" i="13" s="1"/>
  <c r="BC1473" i="5"/>
  <c r="E387" i="13" s="1"/>
  <c r="B449" i="15"/>
  <c r="B450" i="14"/>
  <c r="B2435" i="13"/>
  <c r="B2427" i="15" s="1"/>
  <c r="E402" i="15"/>
  <c r="G402" i="15" s="1"/>
  <c r="B466" i="13"/>
  <c r="B338" i="13"/>
  <c r="AZ1469" i="5"/>
  <c r="B383" i="13" s="1"/>
  <c r="B511" i="13"/>
  <c r="AQ1483" i="5"/>
  <c r="B428" i="13" s="1"/>
  <c r="I538" i="13"/>
  <c r="B489" i="13"/>
  <c r="BH1481" i="5"/>
  <c r="B406" i="13" s="1"/>
  <c r="D486" i="13"/>
  <c r="B524" i="13"/>
  <c r="AQ1444" i="5"/>
  <c r="B441" i="13" s="1"/>
  <c r="E350" i="13"/>
  <c r="AF1476" i="5"/>
  <c r="E413" i="15"/>
  <c r="G413" i="15" s="1"/>
  <c r="E521" i="13"/>
  <c r="AS1441" i="5"/>
  <c r="E438" i="13" s="1"/>
  <c r="E346" i="13"/>
  <c r="AF1472" i="5"/>
  <c r="B518" i="13"/>
  <c r="AQ1438" i="5"/>
  <c r="B435" i="13" s="1"/>
  <c r="H357" i="15"/>
  <c r="I364" i="13"/>
  <c r="J357" i="15" s="1"/>
  <c r="E477" i="13"/>
  <c r="BK1469" i="5"/>
  <c r="E394" i="13" s="1"/>
  <c r="E335" i="13"/>
  <c r="AF1468" i="5"/>
  <c r="E433" i="15"/>
  <c r="G433" i="15" s="1"/>
  <c r="B318" i="15"/>
  <c r="B319" i="14"/>
  <c r="R1339" i="5"/>
  <c r="D1090" i="5" s="1"/>
  <c r="D1639" i="13"/>
  <c r="E523" i="9"/>
  <c r="G414" i="9"/>
  <c r="J1140" i="5"/>
  <c r="J1167" i="5"/>
  <c r="J1124" i="5" s="1"/>
  <c r="C137" i="4" s="1"/>
  <c r="E457" i="10"/>
  <c r="G457" i="10" s="1"/>
  <c r="E894" i="5"/>
  <c r="R847" i="5"/>
  <c r="F847" i="5"/>
  <c r="Q847" i="5"/>
  <c r="P847" i="5"/>
  <c r="T847" i="5" s="1"/>
  <c r="I847" i="5"/>
  <c r="S847" i="5"/>
  <c r="S842" i="5"/>
  <c r="S845" i="5" s="1"/>
  <c r="F842" i="5"/>
  <c r="F1063" i="5" s="1"/>
  <c r="Q842" i="5"/>
  <c r="P842" i="5"/>
  <c r="I842" i="5"/>
  <c r="O839" i="5"/>
  <c r="C395" i="10"/>
  <c r="G821" i="5"/>
  <c r="H395" i="10" s="1"/>
  <c r="C350" i="10"/>
  <c r="C294" i="10"/>
  <c r="C286" i="10"/>
  <c r="C278" i="10"/>
  <c r="C270" i="10"/>
  <c r="C262" i="10"/>
  <c r="C258" i="10"/>
  <c r="C250" i="10"/>
  <c r="C242" i="10"/>
  <c r="C234" i="10"/>
  <c r="E228" i="10"/>
  <c r="E689" i="5"/>
  <c r="E655" i="5"/>
  <c r="F654" i="5"/>
  <c r="F228" i="10" s="1"/>
  <c r="C219" i="10"/>
  <c r="E662" i="10"/>
  <c r="G662" i="10" s="1"/>
  <c r="E558" i="5"/>
  <c r="F522" i="10"/>
  <c r="F539" i="5"/>
  <c r="F604" i="10" s="1"/>
  <c r="F506" i="10"/>
  <c r="F523" i="5"/>
  <c r="F588" i="10" s="1"/>
  <c r="C200" i="10"/>
  <c r="G364" i="5"/>
  <c r="C176" i="10"/>
  <c r="C160" i="10"/>
  <c r="C132" i="10"/>
  <c r="C116" i="10"/>
  <c r="C100" i="10"/>
  <c r="D1118" i="13"/>
  <c r="F271" i="7"/>
  <c r="D1194" i="13"/>
  <c r="F353" i="7"/>
  <c r="D1107" i="13"/>
  <c r="F260" i="7"/>
  <c r="D2169" i="13"/>
  <c r="E694" i="6"/>
  <c r="D2159" i="13"/>
  <c r="E684" i="6"/>
  <c r="D1314" i="15"/>
  <c r="D1315" i="14"/>
  <c r="H1321" i="13"/>
  <c r="K1321" i="13"/>
  <c r="D1829" i="13"/>
  <c r="E2148" i="5"/>
  <c r="C2150" i="5"/>
  <c r="E2050" i="5"/>
  <c r="D603" i="15"/>
  <c r="D604" i="14"/>
  <c r="K610" i="13"/>
  <c r="H610" i="13"/>
  <c r="D583" i="15"/>
  <c r="D584" i="14"/>
  <c r="H590" i="13"/>
  <c r="K590" i="13"/>
  <c r="C1683" i="5"/>
  <c r="D1220" i="5"/>
  <c r="O838" i="5"/>
  <c r="D476" i="13"/>
  <c r="BJ1468" i="5"/>
  <c r="D393" i="13" s="1"/>
  <c r="V1468" i="5"/>
  <c r="BL1468" i="5" s="1"/>
  <c r="D738" i="10"/>
  <c r="D595" i="5"/>
  <c r="D742" i="10" s="1"/>
  <c r="D739" i="10"/>
  <c r="D596" i="5"/>
  <c r="D743" i="10" s="1"/>
  <c r="D463" i="5"/>
  <c r="D459" i="5"/>
  <c r="D455" i="5"/>
  <c r="D451" i="5"/>
  <c r="D447" i="5"/>
  <c r="D443" i="5"/>
  <c r="D439" i="5"/>
  <c r="D435" i="5"/>
  <c r="D431" i="5"/>
  <c r="D425" i="5"/>
  <c r="D462" i="5"/>
  <c r="D458" i="5"/>
  <c r="D454" i="5"/>
  <c r="D450" i="5"/>
  <c r="D446" i="5"/>
  <c r="D442" i="5"/>
  <c r="D438" i="5"/>
  <c r="D434" i="5"/>
  <c r="D430" i="5"/>
  <c r="D424" i="5"/>
  <c r="D461" i="5"/>
  <c r="D457" i="5"/>
  <c r="D453" i="5"/>
  <c r="D449" i="5"/>
  <c r="D445" i="5"/>
  <c r="D441" i="5"/>
  <c r="D437" i="5"/>
  <c r="D433" i="5"/>
  <c r="D429" i="5"/>
  <c r="D428" i="5"/>
  <c r="D427" i="5"/>
  <c r="D460" i="5"/>
  <c r="D456" i="5"/>
  <c r="D452" i="5"/>
  <c r="D448" i="5"/>
  <c r="D444" i="5"/>
  <c r="D440" i="5"/>
  <c r="D436" i="5"/>
  <c r="D432" i="5"/>
  <c r="D426" i="5"/>
  <c r="E200" i="10"/>
  <c r="G200" i="10" s="1"/>
  <c r="H364" i="5"/>
  <c r="B327" i="6"/>
  <c r="F327" i="6" s="1"/>
  <c r="F1292" i="5"/>
  <c r="AK1066" i="11"/>
  <c r="AK1062" i="11"/>
  <c r="AK1058" i="11"/>
  <c r="AK1054" i="11"/>
  <c r="AK1050" i="11"/>
  <c r="AK1046" i="11"/>
  <c r="AK1042" i="11"/>
  <c r="AK1038" i="11"/>
  <c r="AK1034" i="11"/>
  <c r="AK1030" i="11"/>
  <c r="AK1026" i="11"/>
  <c r="AK1022" i="11"/>
  <c r="AK1018" i="11"/>
  <c r="AK1014" i="11"/>
  <c r="AK1010" i="11"/>
  <c r="AK1006" i="11"/>
  <c r="AK1002" i="11"/>
  <c r="AK998" i="11"/>
  <c r="AK994" i="11"/>
  <c r="AK990" i="11"/>
  <c r="AK986" i="11"/>
  <c r="AK982" i="11"/>
  <c r="AK978" i="11"/>
  <c r="AK974" i="11"/>
  <c r="AK970" i="11"/>
  <c r="AK966" i="11"/>
  <c r="AK962" i="11"/>
  <c r="AK958" i="11"/>
  <c r="AK954" i="11"/>
  <c r="AK950" i="11"/>
  <c r="AK946" i="11"/>
  <c r="AK942" i="11"/>
  <c r="AK938" i="11"/>
  <c r="AK934" i="11"/>
  <c r="AK930" i="11"/>
  <c r="AK926" i="11"/>
  <c r="AK922" i="11"/>
  <c r="AK918" i="11"/>
  <c r="AK914" i="11"/>
  <c r="AK910" i="11"/>
  <c r="AK906" i="11"/>
  <c r="AK902" i="11"/>
  <c r="AK898" i="11"/>
  <c r="AK894" i="11"/>
  <c r="AK890" i="11"/>
  <c r="AK884" i="11"/>
  <c r="AK882" i="11"/>
  <c r="AK879" i="11"/>
  <c r="AK875" i="11"/>
  <c r="AK863" i="11"/>
  <c r="AK859" i="11"/>
  <c r="AK855" i="11"/>
  <c r="AK853" i="11"/>
  <c r="AK847" i="11"/>
  <c r="AK835" i="11"/>
  <c r="AK832" i="11"/>
  <c r="AK829" i="11"/>
  <c r="AK825" i="11"/>
  <c r="AK822" i="11"/>
  <c r="AK818" i="11"/>
  <c r="AK815" i="11"/>
  <c r="AK813" i="11"/>
  <c r="AK811" i="11"/>
  <c r="AK809" i="11"/>
  <c r="AK807" i="11"/>
  <c r="AK804" i="11"/>
  <c r="AK799" i="11"/>
  <c r="AK768" i="11"/>
  <c r="AK753" i="11"/>
  <c r="AK750" i="11"/>
  <c r="AK748" i="11"/>
  <c r="AK567" i="11"/>
  <c r="AK563" i="11"/>
  <c r="AK559" i="11"/>
  <c r="AK555" i="11"/>
  <c r="AK551" i="11"/>
  <c r="AK547" i="11"/>
  <c r="AK543" i="11"/>
  <c r="AK539" i="11"/>
  <c r="AK535" i="11"/>
  <c r="AK533" i="11"/>
  <c r="AK529" i="11"/>
  <c r="AK525" i="11"/>
  <c r="AK521" i="11"/>
  <c r="AK517" i="11"/>
  <c r="AK513" i="11"/>
  <c r="AK509" i="11"/>
  <c r="AK505" i="11"/>
  <c r="AK501" i="11"/>
  <c r="AK497" i="11"/>
  <c r="AK491" i="11"/>
  <c r="AK463" i="11"/>
  <c r="AK462" i="11"/>
  <c r="AK461" i="11"/>
  <c r="AK455" i="11"/>
  <c r="AK453" i="11"/>
  <c r="AK445" i="11"/>
  <c r="AK434" i="11"/>
  <c r="AK431" i="11"/>
  <c r="AK422" i="11"/>
  <c r="AK416" i="11"/>
  <c r="AK408" i="11"/>
  <c r="AK404" i="11"/>
  <c r="AK400" i="11"/>
  <c r="AK397" i="11"/>
  <c r="AK380" i="11"/>
  <c r="AK371" i="11"/>
  <c r="AK369" i="11"/>
  <c r="AK367" i="11"/>
  <c r="AK365" i="11"/>
  <c r="AK360" i="11"/>
  <c r="AK356" i="11"/>
  <c r="AK354" i="11"/>
  <c r="AK350" i="11"/>
  <c r="AK346" i="11"/>
  <c r="AK342" i="11"/>
  <c r="AK338" i="11"/>
  <c r="AK334" i="11"/>
  <c r="AK330" i="11"/>
  <c r="AK326" i="11"/>
  <c r="AK322" i="11"/>
  <c r="AK318" i="11"/>
  <c r="AK315" i="11"/>
  <c r="AK312" i="11"/>
  <c r="AK298" i="11"/>
  <c r="AK293" i="11"/>
  <c r="AK290" i="11"/>
  <c r="AK283" i="11"/>
  <c r="AK280" i="11"/>
  <c r="AK272" i="11"/>
  <c r="AK264" i="11"/>
  <c r="AK260" i="11"/>
  <c r="AK256" i="11"/>
  <c r="AK239" i="11"/>
  <c r="AK232" i="11"/>
  <c r="AK228" i="11"/>
  <c r="AK224" i="11"/>
  <c r="AK212" i="11"/>
  <c r="AK210" i="11"/>
  <c r="AK208" i="11"/>
  <c r="AK205" i="11"/>
  <c r="AK203" i="11"/>
  <c r="AK202" i="11"/>
  <c r="AK201" i="11"/>
  <c r="AK200" i="11"/>
  <c r="AK197" i="11"/>
  <c r="AK193" i="11"/>
  <c r="AK185" i="11"/>
  <c r="AK181" i="11"/>
  <c r="AK177" i="11"/>
  <c r="AK173" i="11"/>
  <c r="AK160" i="11"/>
  <c r="AK1069" i="11"/>
  <c r="AK1065" i="11"/>
  <c r="AK1061" i="11"/>
  <c r="AK1057" i="11"/>
  <c r="AK1053" i="11"/>
  <c r="AK1049" i="11"/>
  <c r="AK1045" i="11"/>
  <c r="AK1041" i="11"/>
  <c r="AK1037" i="11"/>
  <c r="AK1033" i="11"/>
  <c r="AK1029" i="11"/>
  <c r="AK1025" i="11"/>
  <c r="AK1021" i="11"/>
  <c r="AK1017" i="11"/>
  <c r="AK1013" i="11"/>
  <c r="AK1009" i="11"/>
  <c r="AK1005" i="11"/>
  <c r="AK1001" i="11"/>
  <c r="AK997" i="11"/>
  <c r="AK993" i="11"/>
  <c r="AK989" i="11"/>
  <c r="AK985" i="11"/>
  <c r="AK981" i="11"/>
  <c r="AK977" i="11"/>
  <c r="AK973" i="11"/>
  <c r="AK969" i="11"/>
  <c r="AK965" i="11"/>
  <c r="AK961" i="11"/>
  <c r="AK957" i="11"/>
  <c r="AK953" i="11"/>
  <c r="AK949" i="11"/>
  <c r="AK945" i="11"/>
  <c r="AK941" i="11"/>
  <c r="AK937" i="11"/>
  <c r="AK933" i="11"/>
  <c r="AK929" i="11"/>
  <c r="AK925" i="11"/>
  <c r="AK921" i="11"/>
  <c r="AK917" i="11"/>
  <c r="AK913" i="11"/>
  <c r="AK909" i="11"/>
  <c r="AK905" i="11"/>
  <c r="AK901" i="11"/>
  <c r="AK897" i="11"/>
  <c r="AK893" i="11"/>
  <c r="AK889" i="11"/>
  <c r="AK886" i="11"/>
  <c r="AK878" i="11"/>
  <c r="AK872" i="11"/>
  <c r="AK870" i="11"/>
  <c r="AK867" i="11"/>
  <c r="AK865" i="11"/>
  <c r="AK862" i="11"/>
  <c r="AK858" i="11"/>
  <c r="AK850" i="11"/>
  <c r="AK848" i="11"/>
  <c r="AK846" i="11"/>
  <c r="AK843" i="11"/>
  <c r="AK841" i="11"/>
  <c r="AK834" i="11"/>
  <c r="AK831" i="11"/>
  <c r="AK828" i="11"/>
  <c r="AK821" i="11"/>
  <c r="AK817" i="11"/>
  <c r="AK803" i="11"/>
  <c r="AK801" i="11"/>
  <c r="AK798" i="11"/>
  <c r="AK773" i="11"/>
  <c r="AK747" i="11"/>
  <c r="AK566" i="11"/>
  <c r="AK562" i="11"/>
  <c r="AK558" i="11"/>
  <c r="AK554" i="11"/>
  <c r="AK550" i="11"/>
  <c r="AK546" i="11"/>
  <c r="AK542" i="11"/>
  <c r="AK538" i="11"/>
  <c r="AK534" i="11"/>
  <c r="AK530" i="11"/>
  <c r="AK526" i="11"/>
  <c r="AK522" i="11"/>
  <c r="AK518" i="11"/>
  <c r="AK514" i="11"/>
  <c r="AK510" i="11"/>
  <c r="AK506" i="11"/>
  <c r="AK502" i="11"/>
  <c r="AK498" i="11"/>
  <c r="AK494" i="11"/>
  <c r="AK492" i="11"/>
  <c r="AK488" i="11"/>
  <c r="AK487" i="11"/>
  <c r="AK486" i="11"/>
  <c r="AK485" i="11"/>
  <c r="AK484" i="11"/>
  <c r="AK482" i="11"/>
  <c r="AK481" i="11"/>
  <c r="AK480" i="11"/>
  <c r="AK479" i="11"/>
  <c r="AK478" i="11"/>
  <c r="AK477" i="11"/>
  <c r="AK476" i="11"/>
  <c r="AK475" i="11"/>
  <c r="AK474" i="11"/>
  <c r="AK473" i="11"/>
  <c r="AK472" i="11"/>
  <c r="AK471" i="11"/>
  <c r="AK470" i="11"/>
  <c r="AK469" i="11"/>
  <c r="AK468" i="11"/>
  <c r="AK467" i="11"/>
  <c r="AK466" i="11"/>
  <c r="AK465" i="11"/>
  <c r="AK458" i="11"/>
  <c r="AK454" i="11"/>
  <c r="AK451" i="11"/>
  <c r="AK449" i="11"/>
  <c r="AK447" i="11"/>
  <c r="AK444" i="11"/>
  <c r="AK433" i="11"/>
  <c r="AK430" i="11"/>
  <c r="AK428" i="11"/>
  <c r="AK426" i="11"/>
  <c r="AK424" i="11"/>
  <c r="AK421" i="11"/>
  <c r="AK419" i="11"/>
  <c r="AK415" i="11"/>
  <c r="AK412" i="11"/>
  <c r="AK405" i="11"/>
  <c r="AK401" i="11"/>
  <c r="AK393" i="11"/>
  <c r="AK392" i="11"/>
  <c r="AK390" i="11"/>
  <c r="AK379" i="11"/>
  <c r="AK377" i="11"/>
  <c r="AK375" i="11"/>
  <c r="AK373" i="11"/>
  <c r="AK361" i="11"/>
  <c r="AK357" i="11"/>
  <c r="AK353" i="11"/>
  <c r="AK349" i="11"/>
  <c r="AK345" i="11"/>
  <c r="AK341" i="11"/>
  <c r="AK337" i="11"/>
  <c r="AK333" i="11"/>
  <c r="AK329" i="11"/>
  <c r="AK325" i="11"/>
  <c r="AK321" i="11"/>
  <c r="AK317" i="11"/>
  <c r="AK311" i="11"/>
  <c r="AK294" i="11"/>
  <c r="AK291" i="11"/>
  <c r="AK284" i="11"/>
  <c r="AK281" i="11"/>
  <c r="AK273" i="11"/>
  <c r="AK265" i="11"/>
  <c r="AK261" i="11"/>
  <c r="AK257" i="11"/>
  <c r="AK251" i="11"/>
  <c r="AK249" i="11"/>
  <c r="AK247" i="11"/>
  <c r="AK245" i="11"/>
  <c r="AK243" i="11"/>
  <c r="AK241" i="11"/>
  <c r="AK238" i="11"/>
  <c r="AK231" i="11"/>
  <c r="AK227" i="11"/>
  <c r="AK223" i="11"/>
  <c r="AK206" i="11"/>
  <c r="AK196" i="11"/>
  <c r="AK192" i="11"/>
  <c r="AK190" i="11"/>
  <c r="AK188" i="11"/>
  <c r="AK186" i="11"/>
  <c r="AK182" i="11"/>
  <c r="AK178" i="11"/>
  <c r="AK174" i="11"/>
  <c r="AK171" i="11"/>
  <c r="AK169" i="11"/>
  <c r="AK167" i="11"/>
  <c r="AK165" i="11"/>
  <c r="AK163" i="11"/>
  <c r="AK1068" i="11"/>
  <c r="AK1064" i="11"/>
  <c r="AK1060" i="11"/>
  <c r="AK1056" i="11"/>
  <c r="AK1052" i="11"/>
  <c r="AK1048" i="11"/>
  <c r="AK1044" i="11"/>
  <c r="AK1040" i="11"/>
  <c r="AK1036" i="11"/>
  <c r="AK1032" i="11"/>
  <c r="AK1028" i="11"/>
  <c r="AK1024" i="11"/>
  <c r="AK1020" i="11"/>
  <c r="AK1016" i="11"/>
  <c r="AK1012" i="11"/>
  <c r="AK1008" i="11"/>
  <c r="AK1004" i="11"/>
  <c r="AK1000" i="11"/>
  <c r="AK996" i="11"/>
  <c r="AK992" i="11"/>
  <c r="AK988" i="11"/>
  <c r="AK984" i="11"/>
  <c r="AK980" i="11"/>
  <c r="AK976" i="11"/>
  <c r="AK972" i="11"/>
  <c r="AK968" i="11"/>
  <c r="AK964" i="11"/>
  <c r="AK960" i="11"/>
  <c r="AK956" i="11"/>
  <c r="AK952" i="11"/>
  <c r="AK948" i="11"/>
  <c r="AK944" i="11"/>
  <c r="AK940" i="11"/>
  <c r="AK936" i="11"/>
  <c r="AK932" i="11"/>
  <c r="AK928" i="11"/>
  <c r="AK924" i="11"/>
  <c r="AK920" i="11"/>
  <c r="AK916" i="11"/>
  <c r="AK912" i="11"/>
  <c r="AK908" i="11"/>
  <c r="AK904" i="11"/>
  <c r="AK900" i="11"/>
  <c r="AK896" i="11"/>
  <c r="AK892" i="11"/>
  <c r="AK888" i="11"/>
  <c r="AK883" i="11"/>
  <c r="AK881" i="11"/>
  <c r="AK877" i="11"/>
  <c r="AK874" i="11"/>
  <c r="AK869" i="11"/>
  <c r="AK864" i="11"/>
  <c r="AK861" i="11"/>
  <c r="AK857" i="11"/>
  <c r="AK854" i="11"/>
  <c r="AK852" i="11"/>
  <c r="AK849" i="11"/>
  <c r="AK845" i="11"/>
  <c r="AK840" i="11"/>
  <c r="AK830" i="11"/>
  <c r="AK827" i="11"/>
  <c r="AK824" i="11"/>
  <c r="AK820" i="11"/>
  <c r="AK816" i="11"/>
  <c r="AK814" i="11"/>
  <c r="AK812" i="11"/>
  <c r="AK810" i="11"/>
  <c r="AK808" i="11"/>
  <c r="AK806" i="11"/>
  <c r="AK797" i="11"/>
  <c r="AK792" i="11"/>
  <c r="AK791" i="11"/>
  <c r="AK790" i="11"/>
  <c r="AK778" i="11"/>
  <c r="AK758" i="11"/>
  <c r="AK751" i="11"/>
  <c r="AK746" i="11"/>
  <c r="AK565" i="11"/>
  <c r="AK561" i="11"/>
  <c r="AK557" i="11"/>
  <c r="AK553" i="11"/>
  <c r="AK549" i="11"/>
  <c r="AK545" i="11"/>
  <c r="AK541" i="11"/>
  <c r="AK537" i="11"/>
  <c r="AK531" i="11"/>
  <c r="AK527" i="11"/>
  <c r="AK523" i="11"/>
  <c r="AK519" i="11"/>
  <c r="AK515" i="11"/>
  <c r="AK511" i="11"/>
  <c r="AK507" i="11"/>
  <c r="AK503" i="11"/>
  <c r="AK499" i="11"/>
  <c r="AK495" i="11"/>
  <c r="AK493" i="11"/>
  <c r="AK489" i="11"/>
  <c r="AK457" i="11"/>
  <c r="AK443" i="11"/>
  <c r="AK442" i="11"/>
  <c r="AK441" i="11"/>
  <c r="AK440" i="11"/>
  <c r="AK439" i="11"/>
  <c r="AK438" i="11"/>
  <c r="AK437" i="11"/>
  <c r="AK436" i="11"/>
  <c r="AK432" i="11"/>
  <c r="AK414" i="11"/>
  <c r="AK409" i="11"/>
  <c r="AK402" i="11"/>
  <c r="AK398" i="11"/>
  <c r="AK382" i="11"/>
  <c r="AK372" i="11"/>
  <c r="AK370" i="11"/>
  <c r="AK368" i="11"/>
  <c r="AK366" i="11"/>
  <c r="AK364" i="11"/>
  <c r="AK362" i="11"/>
  <c r="AK358" i="11"/>
  <c r="AK352" i="11"/>
  <c r="AK348" i="11"/>
  <c r="AK344" i="11"/>
  <c r="AK340" i="11"/>
  <c r="AK336" i="11"/>
  <c r="AK332" i="11"/>
  <c r="AK328" i="11"/>
  <c r="AK324" i="11"/>
  <c r="AK320" i="11"/>
  <c r="AK316" i="11"/>
  <c r="AK314" i="11"/>
  <c r="AK310" i="11"/>
  <c r="AK299" i="11"/>
  <c r="AK297" i="11"/>
  <c r="AK295" i="11"/>
  <c r="AK288" i="11"/>
  <c r="AK285" i="11"/>
  <c r="AK276" i="11"/>
  <c r="AK268" i="11"/>
  <c r="AK262" i="11"/>
  <c r="AK258" i="11"/>
  <c r="AK254" i="11"/>
  <c r="AK237" i="11"/>
  <c r="AK236" i="11"/>
  <c r="AK235" i="11"/>
  <c r="AK234" i="11"/>
  <c r="AK230" i="11"/>
  <c r="AK226" i="11"/>
  <c r="AK222" i="11"/>
  <c r="AK221" i="11"/>
  <c r="AK220" i="11"/>
  <c r="AK219" i="11"/>
  <c r="AK218" i="11"/>
  <c r="AK217" i="11"/>
  <c r="AK216" i="11"/>
  <c r="AK215" i="11"/>
  <c r="AK214" i="11"/>
  <c r="AK213" i="11"/>
  <c r="AK211" i="11"/>
  <c r="AK209" i="11"/>
  <c r="AK207" i="11"/>
  <c r="AK204" i="11"/>
  <c r="AK199" i="11"/>
  <c r="AK195" i="11"/>
  <c r="AK183" i="11"/>
  <c r="AK179" i="11"/>
  <c r="AK175" i="11"/>
  <c r="AK161" i="11"/>
  <c r="AK1059" i="11"/>
  <c r="AK1051" i="11"/>
  <c r="AK1043" i="11"/>
  <c r="AK999" i="11"/>
  <c r="AK971" i="11"/>
  <c r="AK963" i="11"/>
  <c r="AK955" i="11"/>
  <c r="AK947" i="11"/>
  <c r="AK935" i="11"/>
  <c r="AK885" i="11"/>
  <c r="AK880" i="11"/>
  <c r="AK823" i="11"/>
  <c r="AK796" i="11"/>
  <c r="AK749" i="11"/>
  <c r="AK564" i="11"/>
  <c r="AK532" i="11"/>
  <c r="AK512" i="11"/>
  <c r="AK496" i="11"/>
  <c r="AK456" i="11"/>
  <c r="AK425" i="11"/>
  <c r="AK411" i="11"/>
  <c r="AK403" i="11"/>
  <c r="AK327" i="11"/>
  <c r="AK319" i="11"/>
  <c r="AK289" i="11"/>
  <c r="AK269" i="11"/>
  <c r="AK259" i="11"/>
  <c r="AK252" i="11"/>
  <c r="AK194" i="11"/>
  <c r="AK176" i="11"/>
  <c r="AK168" i="11"/>
  <c r="AK162" i="11"/>
  <c r="AK1063" i="11"/>
  <c r="AK1035" i="11"/>
  <c r="AK1027" i="11"/>
  <c r="AK1019" i="11"/>
  <c r="AK1011" i="11"/>
  <c r="AK1003" i="11"/>
  <c r="AK991" i="11"/>
  <c r="AK983" i="11"/>
  <c r="AK975" i="11"/>
  <c r="AK939" i="11"/>
  <c r="AK927" i="11"/>
  <c r="AK919" i="11"/>
  <c r="AK911" i="11"/>
  <c r="AK903" i="11"/>
  <c r="AK895" i="11"/>
  <c r="AK887" i="11"/>
  <c r="AK856" i="11"/>
  <c r="AK851" i="11"/>
  <c r="AK833" i="11"/>
  <c r="AK795" i="11"/>
  <c r="AK783" i="11"/>
  <c r="AK763" i="11"/>
  <c r="AK552" i="11"/>
  <c r="AK544" i="11"/>
  <c r="AK536" i="11"/>
  <c r="AK516" i="11"/>
  <c r="AK500" i="11"/>
  <c r="AK459" i="11"/>
  <c r="AK452" i="11"/>
  <c r="AK450" i="11"/>
  <c r="AK448" i="11"/>
  <c r="AK446" i="11"/>
  <c r="AK427" i="11"/>
  <c r="AK417" i="11"/>
  <c r="AK378" i="11"/>
  <c r="AK374" i="11"/>
  <c r="AK355" i="11"/>
  <c r="AK347" i="11"/>
  <c r="AK339" i="11"/>
  <c r="AK331" i="11"/>
  <c r="AK323" i="11"/>
  <c r="AK309" i="11"/>
  <c r="AK286" i="11"/>
  <c r="AK248" i="11"/>
  <c r="AK244" i="11"/>
  <c r="AK240" i="11"/>
  <c r="AK229" i="11"/>
  <c r="AK189" i="11"/>
  <c r="AK180" i="11"/>
  <c r="AK1067" i="11"/>
  <c r="AK1055" i="11"/>
  <c r="AK1047" i="11"/>
  <c r="AK1039" i="11"/>
  <c r="AK967" i="11"/>
  <c r="AK959" i="11"/>
  <c r="AK951" i="11"/>
  <c r="AK943" i="11"/>
  <c r="AK876" i="11"/>
  <c r="AK871" i="11"/>
  <c r="AK866" i="11"/>
  <c r="AK842" i="11"/>
  <c r="AK819" i="11"/>
  <c r="AK800" i="11"/>
  <c r="AK568" i="11"/>
  <c r="AK524" i="11"/>
  <c r="AK520" i="11"/>
  <c r="AK504" i="11"/>
  <c r="AK490" i="11"/>
  <c r="AK435" i="11"/>
  <c r="AK429" i="11"/>
  <c r="AK420" i="11"/>
  <c r="AK413" i="11"/>
  <c r="AK406" i="11"/>
  <c r="AK383" i="11"/>
  <c r="AK381" i="11"/>
  <c r="AK313" i="11"/>
  <c r="AK277" i="11"/>
  <c r="AK263" i="11"/>
  <c r="AK255" i="11"/>
  <c r="AK253" i="11"/>
  <c r="AK198" i="11"/>
  <c r="AK184" i="11"/>
  <c r="AK166" i="11"/>
  <c r="AK164" i="11"/>
  <c r="AK1031" i="11"/>
  <c r="AK1023" i="11"/>
  <c r="AK1015" i="11"/>
  <c r="AK1007" i="11"/>
  <c r="AK995" i="11"/>
  <c r="AK987" i="11"/>
  <c r="AK979" i="11"/>
  <c r="AK931" i="11"/>
  <c r="AK923" i="11"/>
  <c r="AK915" i="11"/>
  <c r="AK907" i="11"/>
  <c r="AK899" i="11"/>
  <c r="AK891" i="11"/>
  <c r="AK873" i="11"/>
  <c r="AK868" i="11"/>
  <c r="AK860" i="11"/>
  <c r="AK844" i="11"/>
  <c r="AK826" i="11"/>
  <c r="AK805" i="11"/>
  <c r="AK802" i="11"/>
  <c r="AK794" i="11"/>
  <c r="AK560" i="11"/>
  <c r="AK556" i="11"/>
  <c r="AK548" i="11"/>
  <c r="AK540" i="11"/>
  <c r="AK528" i="11"/>
  <c r="AK508" i="11"/>
  <c r="AK483" i="11"/>
  <c r="AK423" i="11"/>
  <c r="AK399" i="11"/>
  <c r="AK391" i="11"/>
  <c r="AK376" i="11"/>
  <c r="AK363" i="11"/>
  <c r="AK359" i="11"/>
  <c r="AK351" i="11"/>
  <c r="AK343" i="11"/>
  <c r="AK335" i="11"/>
  <c r="AK296" i="11"/>
  <c r="AK250" i="11"/>
  <c r="AK246" i="11"/>
  <c r="AK242" i="11"/>
  <c r="AK233" i="11"/>
  <c r="AK225" i="11"/>
  <c r="AK191" i="11"/>
  <c r="AK187" i="11"/>
  <c r="AK172" i="11"/>
  <c r="AK170" i="11"/>
  <c r="Z30" i="5"/>
  <c r="AC43" i="5" s="1"/>
  <c r="Z43" i="5" s="1"/>
  <c r="Z46" i="5" s="1"/>
  <c r="J41" i="4"/>
  <c r="E88" i="4"/>
  <c r="E87" i="4"/>
  <c r="I1075" i="5"/>
  <c r="H43" i="4"/>
  <c r="M37" i="4"/>
  <c r="H97" i="4"/>
  <c r="N149" i="4"/>
  <c r="N141" i="4"/>
  <c r="N32" i="4"/>
  <c r="D37" i="5"/>
  <c r="U37" i="5"/>
  <c r="E985" i="15"/>
  <c r="G985" i="15" s="1"/>
  <c r="D2012" i="15"/>
  <c r="D2013" i="14"/>
  <c r="H2019" i="13"/>
  <c r="D602" i="15"/>
  <c r="D603" i="14"/>
  <c r="K609" i="13"/>
  <c r="H609" i="13"/>
  <c r="B631" i="15"/>
  <c r="B632" i="14"/>
  <c r="B623" i="15"/>
  <c r="B624" i="14"/>
  <c r="J1631" i="5"/>
  <c r="D481" i="13"/>
  <c r="V1473" i="5"/>
  <c r="BL1473" i="5" s="1"/>
  <c r="BJ1473" i="5"/>
  <c r="D398" i="13" s="1"/>
  <c r="G398" i="13" s="1"/>
  <c r="D520" i="13"/>
  <c r="AR1440" i="5"/>
  <c r="D437" i="13" s="1"/>
  <c r="G437" i="13" s="1"/>
  <c r="T836" i="5"/>
  <c r="J50" i="5"/>
  <c r="E50" i="10"/>
  <c r="E216" i="5"/>
  <c r="F214" i="5"/>
  <c r="F50" i="10" s="1"/>
  <c r="H334" i="6"/>
  <c r="L334" i="6" s="1"/>
  <c r="L336" i="6" s="1"/>
  <c r="P1313" i="5"/>
  <c r="F1753" i="5"/>
  <c r="C387" i="6" s="1"/>
  <c r="F1172" i="5"/>
  <c r="G1132" i="5"/>
  <c r="F1197" i="5"/>
  <c r="X4" i="5"/>
  <c r="Y4" i="5" s="1"/>
  <c r="F776" i="5"/>
  <c r="F350" i="10" s="1"/>
  <c r="G350" i="10" s="1"/>
  <c r="P624" i="5"/>
  <c r="I624" i="5"/>
  <c r="F640" i="5" s="1"/>
  <c r="F214" i="10" s="1"/>
  <c r="F775" i="5"/>
  <c r="F349" i="10" s="1"/>
  <c r="G349" i="10" s="1"/>
  <c r="S624" i="5"/>
  <c r="F718" i="5"/>
  <c r="F292" i="10" s="1"/>
  <c r="R624" i="5"/>
  <c r="F729" i="5"/>
  <c r="F303" i="10" s="1"/>
  <c r="G303" i="10" s="1"/>
  <c r="F717" i="5"/>
  <c r="F291" i="10" s="1"/>
  <c r="Q624" i="5"/>
  <c r="H46" i="4"/>
  <c r="M39" i="4"/>
  <c r="H140" i="4"/>
  <c r="O1075" i="5"/>
  <c r="K97" i="4"/>
  <c r="K89" i="4"/>
  <c r="K95" i="4" s="1"/>
  <c r="K43" i="4"/>
  <c r="P37" i="4"/>
  <c r="T1072" i="5"/>
  <c r="T1077" i="5" s="1"/>
  <c r="P10" i="4"/>
  <c r="P9" i="4"/>
  <c r="P42" i="4"/>
  <c r="M32" i="4"/>
  <c r="M149" i="4"/>
  <c r="M141" i="4"/>
  <c r="M11" i="4"/>
  <c r="J103" i="5"/>
  <c r="AL68" i="5"/>
  <c r="AK68" i="5"/>
  <c r="D36" i="5"/>
  <c r="U36" i="5"/>
  <c r="U34" i="5"/>
  <c r="V34" i="5" s="1"/>
  <c r="D34" i="5"/>
  <c r="I34" i="5"/>
  <c r="K1170" i="5"/>
  <c r="AJ8" i="5"/>
  <c r="G1171" i="5"/>
  <c r="Y8" i="5"/>
  <c r="E983" i="15"/>
  <c r="G983" i="15" s="1"/>
  <c r="F371" i="11"/>
  <c r="B404" i="11"/>
  <c r="F367" i="11"/>
  <c r="I1574" i="5" s="1"/>
  <c r="B400" i="11"/>
  <c r="E181" i="13"/>
  <c r="D415" i="8"/>
  <c r="E221" i="13" s="1"/>
  <c r="D2468" i="15"/>
  <c r="K2476" i="13"/>
  <c r="G2019" i="13"/>
  <c r="D2161" i="15"/>
  <c r="D2162" i="14"/>
  <c r="H2168" i="13"/>
  <c r="K2168" i="13"/>
  <c r="D1868" i="13"/>
  <c r="O2144" i="5"/>
  <c r="D1271" i="13"/>
  <c r="E2076" i="5"/>
  <c r="D1283" i="13"/>
  <c r="K2076" i="5"/>
  <c r="D894" i="15"/>
  <c r="D895" i="14"/>
  <c r="B687" i="15"/>
  <c r="B688" i="14"/>
  <c r="B679" i="15"/>
  <c r="B680" i="14"/>
  <c r="B671" i="15"/>
  <c r="B672" i="14"/>
  <c r="H752" i="10"/>
  <c r="G752" i="10" s="1"/>
  <c r="G788" i="10" s="1"/>
  <c r="H788" i="10" s="1"/>
  <c r="S1533" i="5"/>
  <c r="T1533" i="5" s="1"/>
  <c r="D538" i="15"/>
  <c r="D539" i="14"/>
  <c r="H545" i="13"/>
  <c r="K545" i="13"/>
  <c r="D2361" i="15"/>
  <c r="K2368" i="13"/>
  <c r="H2368" i="13"/>
  <c r="T854" i="5"/>
  <c r="R854" i="5"/>
  <c r="D1949" i="13"/>
  <c r="C411" i="6"/>
  <c r="E410" i="6"/>
  <c r="J404" i="6"/>
  <c r="C412" i="6"/>
  <c r="AA26" i="5"/>
  <c r="AA22" i="5"/>
  <c r="C1187" i="5"/>
  <c r="C1188" i="5" s="1"/>
  <c r="O1137" i="5"/>
  <c r="C1191" i="5"/>
  <c r="C1194" i="5" s="1"/>
  <c r="C1189" i="5"/>
  <c r="J1137" i="5"/>
  <c r="F1137" i="5"/>
  <c r="F311" i="5"/>
  <c r="F147" i="10" s="1"/>
  <c r="G147" i="10" s="1"/>
  <c r="Q124" i="5"/>
  <c r="F262" i="5"/>
  <c r="F98" i="10" s="1"/>
  <c r="G98" i="10" s="1"/>
  <c r="F254" i="5"/>
  <c r="F90" i="10" s="1"/>
  <c r="G90" i="10" s="1"/>
  <c r="P124" i="5"/>
  <c r="I124" i="5"/>
  <c r="F261" i="5"/>
  <c r="S124" i="5"/>
  <c r="R124" i="5"/>
  <c r="F124" i="5"/>
  <c r="J129" i="4"/>
  <c r="J156" i="4" s="1"/>
  <c r="I129" i="4"/>
  <c r="I156" i="4" s="1"/>
  <c r="K129" i="4"/>
  <c r="K156" i="4" s="1"/>
  <c r="J127" i="4"/>
  <c r="I127" i="4"/>
  <c r="K127" i="4"/>
  <c r="D68" i="4"/>
  <c r="D66" i="4"/>
  <c r="D65" i="4"/>
  <c r="D208" i="4" s="1"/>
  <c r="D56" i="4"/>
  <c r="K1075" i="5"/>
  <c r="O37" i="4"/>
  <c r="C868" i="5"/>
  <c r="R407" i="5"/>
  <c r="Q407" i="5"/>
  <c r="F407" i="5"/>
  <c r="P407" i="5"/>
  <c r="S407" i="5"/>
  <c r="I407" i="5"/>
  <c r="O407" i="5" s="1"/>
  <c r="C410" i="5"/>
  <c r="C869" i="5"/>
  <c r="S408" i="5"/>
  <c r="I408" i="5"/>
  <c r="O408" i="5" s="1"/>
  <c r="R408" i="5"/>
  <c r="Q408" i="5"/>
  <c r="F408" i="5"/>
  <c r="P408" i="5"/>
  <c r="K152" i="4"/>
  <c r="K153" i="4" s="1"/>
  <c r="K154" i="4" s="1"/>
  <c r="K155" i="4" s="1"/>
  <c r="K30" i="4"/>
  <c r="K29" i="4"/>
  <c r="K28" i="4"/>
  <c r="K204" i="4"/>
  <c r="K116" i="4"/>
  <c r="K115" i="4"/>
  <c r="F145" i="4"/>
  <c r="F141" i="4"/>
  <c r="F149" i="4" s="1"/>
  <c r="F144" i="4"/>
  <c r="F146" i="4"/>
  <c r="F142" i="4"/>
  <c r="G1277" i="5"/>
  <c r="G1274" i="5"/>
  <c r="G1278" i="5" s="1"/>
  <c r="K1199" i="5"/>
  <c r="B1173" i="13"/>
  <c r="C332" i="7"/>
  <c r="C351" i="7" s="1"/>
  <c r="D351" i="7" s="1"/>
  <c r="D746" i="15"/>
  <c r="D747" i="14"/>
  <c r="H753" i="13"/>
  <c r="D863" i="15"/>
  <c r="D864" i="14"/>
  <c r="K870" i="13"/>
  <c r="L1566" i="5"/>
  <c r="D624" i="15"/>
  <c r="D625" i="14"/>
  <c r="K631" i="13"/>
  <c r="B667" i="15"/>
  <c r="B668" i="14"/>
  <c r="C1151" i="5"/>
  <c r="C1179" i="5" s="1"/>
  <c r="Q15" i="5" s="1"/>
  <c r="C1149" i="5"/>
  <c r="C1123" i="5"/>
  <c r="F133" i="4"/>
  <c r="E133" i="4"/>
  <c r="D133" i="4"/>
  <c r="C134" i="4"/>
  <c r="C133" i="4"/>
  <c r="K633" i="5"/>
  <c r="L139" i="5" s="1"/>
  <c r="E313" i="5" s="1"/>
  <c r="L137" i="5"/>
  <c r="T381" i="5"/>
  <c r="D1943" i="13"/>
  <c r="E404" i="6"/>
  <c r="C457" i="9"/>
  <c r="C446" i="9"/>
  <c r="C442" i="9"/>
  <c r="C455" i="9"/>
  <c r="K125" i="4"/>
  <c r="J125" i="4"/>
  <c r="I125" i="4"/>
  <c r="K120" i="4"/>
  <c r="J120" i="4"/>
  <c r="I120" i="4"/>
  <c r="K118" i="4"/>
  <c r="J118" i="4"/>
  <c r="I118" i="4"/>
  <c r="J1080" i="5"/>
  <c r="I98" i="4"/>
  <c r="I90" i="4"/>
  <c r="I96" i="4" s="1"/>
  <c r="I44" i="4"/>
  <c r="N40" i="4"/>
  <c r="C865" i="5"/>
  <c r="R404" i="5"/>
  <c r="Q404" i="5"/>
  <c r="F404" i="5"/>
  <c r="C417" i="5"/>
  <c r="C879" i="5" s="1"/>
  <c r="P404" i="5"/>
  <c r="S404" i="5"/>
  <c r="I404" i="5"/>
  <c r="O404" i="5" s="1"/>
  <c r="E152" i="4"/>
  <c r="E153" i="4" s="1"/>
  <c r="E154" i="4" s="1"/>
  <c r="E155" i="4" s="1"/>
  <c r="E157" i="4" s="1"/>
  <c r="E116" i="4"/>
  <c r="E115" i="4"/>
  <c r="E30" i="4"/>
  <c r="E29" i="4"/>
  <c r="E28" i="4"/>
  <c r="E204" i="4"/>
  <c r="E17" i="4"/>
  <c r="E14" i="4"/>
  <c r="E1219" i="5"/>
  <c r="AJ31" i="5" s="1"/>
  <c r="AJ24" i="5"/>
  <c r="E86" i="4"/>
  <c r="C170" i="8"/>
  <c r="D140" i="8"/>
  <c r="Q1347" i="5"/>
  <c r="R1347" i="5" s="1"/>
  <c r="Q1346" i="5"/>
  <c r="R1346" i="5" s="1"/>
  <c r="C401" i="5"/>
  <c r="O30" i="5"/>
  <c r="C1074" i="5"/>
  <c r="C1079" i="5" s="1"/>
  <c r="C1073" i="5"/>
  <c r="C1078" i="5" s="1"/>
  <c r="C400" i="5"/>
  <c r="AE97" i="4"/>
  <c r="C48" i="4"/>
  <c r="C99" i="4"/>
  <c r="C51" i="4"/>
  <c r="H33" i="4"/>
  <c r="H89" i="4" s="1"/>
  <c r="M45" i="4"/>
  <c r="N19" i="4"/>
  <c r="N18" i="4"/>
  <c r="O856" i="5"/>
  <c r="K48" i="4"/>
  <c r="M18" i="4"/>
  <c r="K19" i="4"/>
  <c r="C85" i="4"/>
  <c r="C29" i="4"/>
  <c r="H2324" i="15"/>
  <c r="I2331" i="13"/>
  <c r="J2324" i="15" s="1"/>
  <c r="I2263" i="15"/>
  <c r="F2264" i="14"/>
  <c r="I2270" i="13"/>
  <c r="J2263" i="15" s="1"/>
  <c r="H2332" i="15"/>
  <c r="I2339" i="13"/>
  <c r="J2332" i="15" s="1"/>
  <c r="I2304" i="15"/>
  <c r="F2305" i="14"/>
  <c r="I2311" i="13"/>
  <c r="J2304" i="15" s="1"/>
  <c r="I2239" i="15"/>
  <c r="F2240" i="14"/>
  <c r="I2246" i="13"/>
  <c r="J2239" i="15" s="1"/>
  <c r="I1996" i="15"/>
  <c r="J1996" i="15"/>
  <c r="I1965" i="15"/>
  <c r="F1966" i="14"/>
  <c r="H2282" i="15"/>
  <c r="I2289" i="13"/>
  <c r="J2282" i="15" s="1"/>
  <c r="D2268" i="13"/>
  <c r="E409" i="12"/>
  <c r="H2230" i="15"/>
  <c r="I2237" i="13"/>
  <c r="J2230" i="15" s="1"/>
  <c r="E2222" i="15"/>
  <c r="G2222" i="15" s="1"/>
  <c r="I2400" i="15"/>
  <c r="G2407" i="13"/>
  <c r="I197" i="15"/>
  <c r="F198" i="14"/>
  <c r="I197" i="13"/>
  <c r="J197" i="15" s="1"/>
  <c r="E1384" i="15"/>
  <c r="G1384" i="15" s="1"/>
  <c r="E1747" i="15"/>
  <c r="G1747" i="15" s="1"/>
  <c r="I160" i="15"/>
  <c r="F161" i="14"/>
  <c r="H168" i="13"/>
  <c r="I160" i="13"/>
  <c r="J160" i="15" s="1"/>
  <c r="B1177" i="15"/>
  <c r="B1178" i="14"/>
  <c r="E1053" i="15"/>
  <c r="G1053" i="15" s="1"/>
  <c r="B1895" i="15"/>
  <c r="B1896" i="14"/>
  <c r="D2237" i="15"/>
  <c r="D2238" i="14"/>
  <c r="H2244" i="13"/>
  <c r="I2244" i="13" s="1"/>
  <c r="J2237" i="15" s="1"/>
  <c r="K2244" i="13"/>
  <c r="H1374" i="15"/>
  <c r="I1381" i="13"/>
  <c r="J1374" i="15" s="1"/>
  <c r="E1359" i="13"/>
  <c r="E669" i="9"/>
  <c r="E1482" i="15"/>
  <c r="G1482" i="15" s="1"/>
  <c r="I2453" i="15"/>
  <c r="G2461" i="13"/>
  <c r="H1426" i="15"/>
  <c r="I1433" i="13"/>
  <c r="J1426" i="15" s="1"/>
  <c r="D2293" i="15"/>
  <c r="D2294" i="14"/>
  <c r="H2300" i="13"/>
  <c r="K2300" i="13"/>
  <c r="D2271" i="15"/>
  <c r="D2272" i="14"/>
  <c r="K2278" i="13"/>
  <c r="H2278" i="13"/>
  <c r="I2394" i="15"/>
  <c r="G2401" i="13"/>
  <c r="D2296" i="15"/>
  <c r="D2297" i="14"/>
  <c r="H2303" i="13"/>
  <c r="K2303" i="13"/>
  <c r="O850" i="5"/>
  <c r="O840" i="5"/>
  <c r="E1372" i="15"/>
  <c r="G1372" i="15" s="1"/>
  <c r="E1375" i="13"/>
  <c r="E685" i="9"/>
  <c r="E1546" i="15"/>
  <c r="G1546" i="15" s="1"/>
  <c r="I1509" i="15"/>
  <c r="F1510" i="14"/>
  <c r="B103" i="15"/>
  <c r="B104" i="14"/>
  <c r="D50" i="13"/>
  <c r="E627" i="8"/>
  <c r="E262" i="15"/>
  <c r="G262" i="15" s="1"/>
  <c r="D2441" i="15"/>
  <c r="H2449" i="13"/>
  <c r="K2449" i="13"/>
  <c r="D165" i="13"/>
  <c r="C1177" i="15"/>
  <c r="C1178" i="14"/>
  <c r="E1158" i="13"/>
  <c r="E356" i="7"/>
  <c r="E1197" i="13" s="1"/>
  <c r="E1152" i="13"/>
  <c r="E350" i="7"/>
  <c r="E1191" i="13" s="1"/>
  <c r="B1148" i="13"/>
  <c r="A346" i="7"/>
  <c r="B1187" i="13" s="1"/>
  <c r="B1137" i="13"/>
  <c r="A335" i="7"/>
  <c r="C293" i="7"/>
  <c r="C312" i="7" s="1"/>
  <c r="D312" i="7" s="1"/>
  <c r="E1982" i="15"/>
  <c r="G1982" i="15" s="1"/>
  <c r="G1989" i="13"/>
  <c r="H1968" i="15"/>
  <c r="I1975" i="13"/>
  <c r="J1968" i="15" s="1"/>
  <c r="I1294" i="15"/>
  <c r="F1295" i="14"/>
  <c r="B1896" i="15"/>
  <c r="B1897" i="14"/>
  <c r="E1879" i="15"/>
  <c r="G1879" i="15" s="1"/>
  <c r="D2432" i="13"/>
  <c r="E2211" i="5"/>
  <c r="D1517" i="15"/>
  <c r="D1518" i="14"/>
  <c r="K1524" i="13"/>
  <c r="H1524" i="13"/>
  <c r="E1366" i="15"/>
  <c r="G1366" i="15" s="1"/>
  <c r="E1415" i="15"/>
  <c r="G1415" i="15" s="1"/>
  <c r="E19" i="15"/>
  <c r="G19" i="15" s="1"/>
  <c r="B194" i="15"/>
  <c r="B195" i="14"/>
  <c r="B156" i="15"/>
  <c r="B157" i="14"/>
  <c r="C1153" i="15"/>
  <c r="C1154" i="14"/>
  <c r="C1118" i="15"/>
  <c r="C1119" i="14"/>
  <c r="B1088" i="15"/>
  <c r="B1089" i="14"/>
  <c r="D1051" i="13"/>
  <c r="G1051" i="13" s="1"/>
  <c r="F192" i="7"/>
  <c r="D1021" i="15"/>
  <c r="D1022" i="14"/>
  <c r="G1028" i="13"/>
  <c r="K1028" i="13"/>
  <c r="H1028" i="13"/>
  <c r="B921" i="15"/>
  <c r="B922" i="14"/>
  <c r="D1982" i="15"/>
  <c r="D1983" i="14"/>
  <c r="H1989" i="13"/>
  <c r="H1982" i="15" s="1"/>
  <c r="K1989" i="13"/>
  <c r="E1920" i="15"/>
  <c r="G1920" i="15" s="1"/>
  <c r="E1316" i="15"/>
  <c r="G1316" i="15" s="1"/>
  <c r="E1252" i="15"/>
  <c r="G1252" i="15" s="1"/>
  <c r="G1259" i="13"/>
  <c r="E781" i="15"/>
  <c r="G781" i="15" s="1"/>
  <c r="G788" i="13"/>
  <c r="B880" i="13"/>
  <c r="A1951" i="5"/>
  <c r="C846" i="15"/>
  <c r="C847" i="14"/>
  <c r="B901" i="13"/>
  <c r="G1947" i="5"/>
  <c r="E633" i="13"/>
  <c r="I1715" i="5"/>
  <c r="E686" i="13" s="1"/>
  <c r="B543" i="15"/>
  <c r="B544" i="14"/>
  <c r="I2360" i="15"/>
  <c r="G2367" i="13"/>
  <c r="D307" i="15"/>
  <c r="D308" i="14"/>
  <c r="K307" i="13"/>
  <c r="H307" i="13"/>
  <c r="C385" i="10"/>
  <c r="C353" i="10"/>
  <c r="G779" i="5"/>
  <c r="H353" i="10" s="1"/>
  <c r="C325" i="10"/>
  <c r="C297" i="10"/>
  <c r="C281" i="10"/>
  <c r="C223" i="10"/>
  <c r="B1448" i="15"/>
  <c r="B1449" i="14"/>
  <c r="I71" i="15"/>
  <c r="F72" i="14"/>
  <c r="H88" i="13"/>
  <c r="H72" i="13"/>
  <c r="I71" i="13"/>
  <c r="J71" i="15" s="1"/>
  <c r="D279" i="15"/>
  <c r="D280" i="14"/>
  <c r="H279" i="13"/>
  <c r="K279" i="13"/>
  <c r="B217" i="15"/>
  <c r="B218" i="14"/>
  <c r="E219" i="15"/>
  <c r="G219" i="15" s="1"/>
  <c r="D174" i="15"/>
  <c r="D175" i="14"/>
  <c r="B151" i="15"/>
  <c r="B152" i="14"/>
  <c r="E1113" i="15"/>
  <c r="G1113" i="15" s="1"/>
  <c r="H1120" i="13"/>
  <c r="I1113" i="15" s="1"/>
  <c r="G1120" i="13"/>
  <c r="H1113" i="15" s="1"/>
  <c r="E1143" i="13"/>
  <c r="E341" i="7"/>
  <c r="E1182" i="13" s="1"/>
  <c r="B1080" i="15"/>
  <c r="B1081" i="14"/>
  <c r="B1027" i="15"/>
  <c r="B1028" i="14"/>
  <c r="I1222" i="15"/>
  <c r="F1223" i="14"/>
  <c r="E922" i="15"/>
  <c r="G922" i="15" s="1"/>
  <c r="E1230" i="15"/>
  <c r="G1230" i="15" s="1"/>
  <c r="H1294" i="15"/>
  <c r="I1301" i="13"/>
  <c r="J1294" i="15" s="1"/>
  <c r="D1297" i="13"/>
  <c r="E2326" i="5"/>
  <c r="E2335" i="5" s="1"/>
  <c r="E1903" i="15"/>
  <c r="G1903" i="15" s="1"/>
  <c r="C1893" i="15"/>
  <c r="C1894" i="14"/>
  <c r="E1883" i="15"/>
  <c r="G1883" i="15" s="1"/>
  <c r="G1890" i="13"/>
  <c r="C2277" i="5"/>
  <c r="E1826" i="15"/>
  <c r="G1826" i="15" s="1"/>
  <c r="D725" i="13"/>
  <c r="E1791" i="5"/>
  <c r="E693" i="15"/>
  <c r="G693" i="15" s="1"/>
  <c r="D677" i="13"/>
  <c r="E644" i="13"/>
  <c r="I1726" i="5"/>
  <c r="E697" i="13" s="1"/>
  <c r="J1648" i="5"/>
  <c r="B635" i="13"/>
  <c r="A1717" i="5"/>
  <c r="B688" i="13" s="1"/>
  <c r="D629" i="13"/>
  <c r="C1711" i="5"/>
  <c r="J1633" i="5"/>
  <c r="D621" i="13"/>
  <c r="C1703" i="5"/>
  <c r="J1625" i="5"/>
  <c r="D576" i="15"/>
  <c r="D577" i="14"/>
  <c r="H583" i="13"/>
  <c r="K583" i="13"/>
  <c r="G1641" i="5"/>
  <c r="G1719" i="5" s="1"/>
  <c r="L1565" i="5"/>
  <c r="G1633" i="5"/>
  <c r="G1711" i="5" s="1"/>
  <c r="L1557" i="5"/>
  <c r="B471" i="13"/>
  <c r="AZ1474" i="5"/>
  <c r="B388" i="13" s="1"/>
  <c r="E494" i="13"/>
  <c r="BK1486" i="5"/>
  <c r="E411" i="13" s="1"/>
  <c r="E447" i="15"/>
  <c r="G447" i="15" s="1"/>
  <c r="E2494" i="13"/>
  <c r="E2486" i="15" s="1"/>
  <c r="G2486" i="15" s="1"/>
  <c r="E398" i="15"/>
  <c r="G398" i="15" s="1"/>
  <c r="B505" i="13"/>
  <c r="AQ1477" i="5"/>
  <c r="B422" i="13" s="1"/>
  <c r="C413" i="15"/>
  <c r="C414" i="14"/>
  <c r="B497" i="13"/>
  <c r="AQ1469" i="5"/>
  <c r="B414" i="13" s="1"/>
  <c r="F342" i="6"/>
  <c r="H2333" i="15"/>
  <c r="I2173" i="15"/>
  <c r="F2174" i="14"/>
  <c r="I2180" i="13"/>
  <c r="J2173" i="15" s="1"/>
  <c r="I2432" i="15"/>
  <c r="G2440" i="13"/>
  <c r="H1474" i="15"/>
  <c r="I1481" i="13"/>
  <c r="J1474" i="15" s="1"/>
  <c r="J1997" i="15"/>
  <c r="I1997" i="15"/>
  <c r="I1351" i="15"/>
  <c r="F1352" i="14"/>
  <c r="I257" i="15"/>
  <c r="F258" i="14"/>
  <c r="I257" i="13"/>
  <c r="J257" i="15" s="1"/>
  <c r="C147" i="15"/>
  <c r="C148" i="14"/>
  <c r="E2408" i="13"/>
  <c r="E478" i="12"/>
  <c r="D2267" i="13"/>
  <c r="E408" i="12"/>
  <c r="H2272" i="13"/>
  <c r="H2298" i="15"/>
  <c r="I2305" i="13"/>
  <c r="J2298" i="15" s="1"/>
  <c r="H2277" i="15"/>
  <c r="I2284" i="13"/>
  <c r="J2277" i="15" s="1"/>
  <c r="H2283" i="15"/>
  <c r="I2290" i="13"/>
  <c r="J2283" i="15" s="1"/>
  <c r="H2258" i="15"/>
  <c r="I2265" i="13"/>
  <c r="J2258" i="15" s="1"/>
  <c r="D2313" i="13"/>
  <c r="K465" i="12"/>
  <c r="E2408" i="15"/>
  <c r="G2408" i="15" s="1"/>
  <c r="H2415" i="13"/>
  <c r="I2314" i="15"/>
  <c r="F2315" i="14"/>
  <c r="H2335" i="13"/>
  <c r="H2328" i="13"/>
  <c r="H2443" i="13"/>
  <c r="H2334" i="13"/>
  <c r="H2327" i="13"/>
  <c r="I2321" i="13"/>
  <c r="J2314" i="15" s="1"/>
  <c r="I2297" i="15"/>
  <c r="F2298" i="14"/>
  <c r="I2280" i="15"/>
  <c r="F2281" i="14"/>
  <c r="I2287" i="13"/>
  <c r="J2280" i="15" s="1"/>
  <c r="J1995" i="15"/>
  <c r="I1995" i="15"/>
  <c r="I1425" i="15"/>
  <c r="F1426" i="14"/>
  <c r="I1383" i="15"/>
  <c r="F1384" i="14"/>
  <c r="I1390" i="13"/>
  <c r="J1383" i="15" s="1"/>
  <c r="J2000" i="15"/>
  <c r="I2000" i="15"/>
  <c r="I2270" i="15"/>
  <c r="F2271" i="14"/>
  <c r="I2009" i="15"/>
  <c r="F2010" i="14"/>
  <c r="I2016" i="13"/>
  <c r="J2009" i="15" s="1"/>
  <c r="I1777" i="15"/>
  <c r="F1778" i="14"/>
  <c r="I1759" i="15"/>
  <c r="F1760" i="14"/>
  <c r="I2273" i="15"/>
  <c r="F2274" i="14"/>
  <c r="D2431" i="15"/>
  <c r="K2439" i="13"/>
  <c r="H2439" i="13"/>
  <c r="I1764" i="15"/>
  <c r="F1765" i="14"/>
  <c r="I1762" i="15"/>
  <c r="F1763" i="14"/>
  <c r="I1016" i="15"/>
  <c r="F1017" i="14"/>
  <c r="I860" i="15"/>
  <c r="F861" i="14"/>
  <c r="I867" i="13"/>
  <c r="J860" i="15" s="1"/>
  <c r="I332" i="15"/>
  <c r="F333" i="14"/>
  <c r="I332" i="13"/>
  <c r="J332" i="15" s="1"/>
  <c r="C146" i="15"/>
  <c r="C147" i="14"/>
  <c r="D2331" i="15"/>
  <c r="D2332" i="14"/>
  <c r="H2338" i="13"/>
  <c r="G2338" i="13"/>
  <c r="D2324" i="15"/>
  <c r="D2325" i="14"/>
  <c r="K2331" i="13"/>
  <c r="H2331" i="13"/>
  <c r="I2459" i="15"/>
  <c r="G2467" i="13"/>
  <c r="D2316" i="13"/>
  <c r="K468" i="12"/>
  <c r="H2273" i="15"/>
  <c r="I2280" i="13"/>
  <c r="J2273" i="15" s="1"/>
  <c r="E384" i="12"/>
  <c r="H2231" i="15"/>
  <c r="H1648" i="13"/>
  <c r="I178" i="15"/>
  <c r="F179" i="14"/>
  <c r="I178" i="13"/>
  <c r="J178" i="15" s="1"/>
  <c r="D2335" i="15"/>
  <c r="D2336" i="14"/>
  <c r="H2342" i="13"/>
  <c r="G2342" i="13"/>
  <c r="G2303" i="13"/>
  <c r="I2436" i="15"/>
  <c r="G2444" i="13"/>
  <c r="D2282" i="13"/>
  <c r="I431" i="12"/>
  <c r="E432" i="12"/>
  <c r="H2270" i="15"/>
  <c r="I2277" i="13"/>
  <c r="J2270" i="15" s="1"/>
  <c r="H2266" i="15"/>
  <c r="I2438" i="15"/>
  <c r="G2446" i="13"/>
  <c r="H2232" i="15"/>
  <c r="I2239" i="13"/>
  <c r="J2232" i="15" s="1"/>
  <c r="I237" i="15"/>
  <c r="F238" i="14"/>
  <c r="I237" i="13"/>
  <c r="J237" i="15" s="1"/>
  <c r="H2318" i="15"/>
  <c r="I2325" i="13"/>
  <c r="J2318" i="15" s="1"/>
  <c r="H2291" i="13"/>
  <c r="H2410" i="13"/>
  <c r="I1474" i="15"/>
  <c r="F1475" i="14"/>
  <c r="I453" i="13"/>
  <c r="I323" i="15"/>
  <c r="F324" i="14"/>
  <c r="I323" i="13"/>
  <c r="J323" i="15" s="1"/>
  <c r="H2316" i="15"/>
  <c r="I2323" i="13"/>
  <c r="J2316" i="15" s="1"/>
  <c r="E2301" i="15"/>
  <c r="G2301" i="15" s="1"/>
  <c r="H2295" i="15"/>
  <c r="I2302" i="13"/>
  <c r="J2295" i="15" s="1"/>
  <c r="H2288" i="13"/>
  <c r="I2402" i="15"/>
  <c r="G2409" i="13"/>
  <c r="G2243" i="13"/>
  <c r="H2234" i="15"/>
  <c r="I2241" i="13"/>
  <c r="J2234" i="15" s="1"/>
  <c r="D2317" i="13"/>
  <c r="K469" i="12"/>
  <c r="D2291" i="15"/>
  <c r="D2292" i="14"/>
  <c r="H2298" i="13"/>
  <c r="K2298" i="13"/>
  <c r="D2250" i="13"/>
  <c r="I372" i="12"/>
  <c r="K369" i="12"/>
  <c r="D2230" i="15"/>
  <c r="D2231" i="14"/>
  <c r="H2237" i="13"/>
  <c r="K2237" i="13"/>
  <c r="E1379" i="15"/>
  <c r="G1379" i="15" s="1"/>
  <c r="B1370" i="15"/>
  <c r="B1371" i="14"/>
  <c r="B1398" i="15"/>
  <c r="B1399" i="14"/>
  <c r="E1344" i="15"/>
  <c r="G1344" i="15" s="1"/>
  <c r="E1336" i="15"/>
  <c r="G1336" i="15" s="1"/>
  <c r="E1749" i="15"/>
  <c r="G1749" i="15" s="1"/>
  <c r="H1578" i="15"/>
  <c r="I1585" i="13"/>
  <c r="J1578" i="15" s="1"/>
  <c r="I1564" i="15"/>
  <c r="F1565" i="14"/>
  <c r="I1562" i="15"/>
  <c r="F1563" i="14"/>
  <c r="H1513" i="15"/>
  <c r="I1520" i="13"/>
  <c r="J1513" i="15" s="1"/>
  <c r="E1481" i="15"/>
  <c r="G1481" i="15" s="1"/>
  <c r="G1488" i="13"/>
  <c r="D1485" i="13"/>
  <c r="G1485" i="13" s="1"/>
  <c r="E347" i="9"/>
  <c r="H1435" i="15"/>
  <c r="I1442" i="13"/>
  <c r="J1435" i="15" s="1"/>
  <c r="E118" i="15"/>
  <c r="G118" i="15" s="1"/>
  <c r="B74" i="13"/>
  <c r="A660" i="8"/>
  <c r="B102" i="13" s="1"/>
  <c r="E230" i="15"/>
  <c r="G230" i="15" s="1"/>
  <c r="E224" i="15"/>
  <c r="G224" i="15" s="1"/>
  <c r="E162" i="15"/>
  <c r="G162" i="15" s="1"/>
  <c r="G162" i="13"/>
  <c r="E104" i="8"/>
  <c r="B1189" i="15"/>
  <c r="B1190" i="14"/>
  <c r="B1181" i="15"/>
  <c r="B1182" i="14"/>
  <c r="B1180" i="13"/>
  <c r="C339" i="7"/>
  <c r="C358" i="7" s="1"/>
  <c r="D358" i="7" s="1"/>
  <c r="I1013" i="15"/>
  <c r="F1014" i="14"/>
  <c r="G1019" i="13"/>
  <c r="H2148" i="15"/>
  <c r="I2155" i="13"/>
  <c r="J2148" i="15" s="1"/>
  <c r="I2464" i="15"/>
  <c r="G2472" i="13"/>
  <c r="H1971" i="15"/>
  <c r="I1978" i="13"/>
  <c r="J1971" i="15" s="1"/>
  <c r="H1963" i="15"/>
  <c r="H1296" i="15"/>
  <c r="I1303" i="13"/>
  <c r="J1296" i="15" s="1"/>
  <c r="B1903" i="15"/>
  <c r="B1904" i="14"/>
  <c r="E1892" i="15"/>
  <c r="G1892" i="15" s="1"/>
  <c r="B1887" i="15"/>
  <c r="B1888" i="14"/>
  <c r="B1882" i="15"/>
  <c r="B1883" i="14"/>
  <c r="E1333" i="13"/>
  <c r="J2079" i="5"/>
  <c r="E1286" i="13" s="1"/>
  <c r="H1253" i="15"/>
  <c r="I1242" i="15"/>
  <c r="F1243" i="14"/>
  <c r="H1278" i="13"/>
  <c r="H1250" i="13"/>
  <c r="I1249" i="13"/>
  <c r="J1242" i="15" s="1"/>
  <c r="E2297" i="15"/>
  <c r="G2297" i="15" s="1"/>
  <c r="G2304" i="13"/>
  <c r="D2251" i="13"/>
  <c r="K370" i="12"/>
  <c r="I373" i="12"/>
  <c r="B1369" i="15"/>
  <c r="B1370" i="14"/>
  <c r="H1759" i="15"/>
  <c r="I1766" i="13"/>
  <c r="J1759" i="15" s="1"/>
  <c r="I1580" i="15"/>
  <c r="F1581" i="14"/>
  <c r="E1547" i="15"/>
  <c r="G1547" i="15" s="1"/>
  <c r="I2384" i="15"/>
  <c r="G2391" i="13"/>
  <c r="I1450" i="15"/>
  <c r="F1451" i="14"/>
  <c r="I1449" i="15"/>
  <c r="F1450" i="14"/>
  <c r="I1433" i="15"/>
  <c r="F1434" i="14"/>
  <c r="D166" i="13"/>
  <c r="H170" i="15"/>
  <c r="I2461" i="15"/>
  <c r="G2469" i="13"/>
  <c r="E1136" i="13"/>
  <c r="E334" i="7"/>
  <c r="E1175" i="13" s="1"/>
  <c r="B859" i="5"/>
  <c r="R834" i="5"/>
  <c r="B863" i="5"/>
  <c r="H1777" i="15"/>
  <c r="I1784" i="13"/>
  <c r="J1777" i="15" s="1"/>
  <c r="D2299" i="15"/>
  <c r="D2300" i="14"/>
  <c r="H2306" i="13"/>
  <c r="K2306" i="13"/>
  <c r="H2292" i="15"/>
  <c r="E2290" i="15"/>
  <c r="G2290" i="15" s="1"/>
  <c r="G2297" i="13"/>
  <c r="I2410" i="15"/>
  <c r="G2418" i="13"/>
  <c r="C1362" i="15"/>
  <c r="C1363" i="14"/>
  <c r="B1357" i="15"/>
  <c r="B1358" i="14"/>
  <c r="B1351" i="15"/>
  <c r="B1352" i="14"/>
  <c r="B1348" i="15"/>
  <c r="B1349" i="14"/>
  <c r="B1344" i="15"/>
  <c r="B1345" i="14"/>
  <c r="H1338" i="15"/>
  <c r="I1345" i="13"/>
  <c r="J1338" i="15" s="1"/>
  <c r="H1762" i="15"/>
  <c r="I1769" i="13"/>
  <c r="J1762" i="15" s="1"/>
  <c r="E549" i="9"/>
  <c r="H2395" i="13"/>
  <c r="H1571" i="15"/>
  <c r="I1578" i="13"/>
  <c r="J1571" i="15" s="1"/>
  <c r="E1552" i="15"/>
  <c r="G1552" i="15" s="1"/>
  <c r="H1512" i="15"/>
  <c r="I1519" i="13"/>
  <c r="J1512" i="15" s="1"/>
  <c r="E1480" i="15"/>
  <c r="G1480" i="15" s="1"/>
  <c r="I1442" i="15"/>
  <c r="F1443" i="14"/>
  <c r="H1424" i="15"/>
  <c r="I1431" i="13"/>
  <c r="J1424" i="15" s="1"/>
  <c r="E1414" i="15"/>
  <c r="G1414" i="15" s="1"/>
  <c r="I1412" i="15"/>
  <c r="F1413" i="14"/>
  <c r="H2365" i="13"/>
  <c r="D300" i="15"/>
  <c r="D301" i="14"/>
  <c r="B232" i="15"/>
  <c r="B233" i="14"/>
  <c r="B227" i="15"/>
  <c r="B228" i="14"/>
  <c r="B222" i="15"/>
  <c r="B223" i="14"/>
  <c r="B219" i="15"/>
  <c r="B220" i="14"/>
  <c r="E171" i="15"/>
  <c r="G171" i="15" s="1"/>
  <c r="C170" i="15"/>
  <c r="C171" i="14"/>
  <c r="C1189" i="15"/>
  <c r="C1190" i="14"/>
  <c r="C1181" i="15"/>
  <c r="C1182" i="14"/>
  <c r="C1173" i="15"/>
  <c r="C1174" i="14"/>
  <c r="E1160" i="13"/>
  <c r="E358" i="7"/>
  <c r="E1199" i="13" s="1"/>
  <c r="B1156" i="13"/>
  <c r="A354" i="7"/>
  <c r="B1195" i="13" s="1"/>
  <c r="E1150" i="13"/>
  <c r="E348" i="7"/>
  <c r="E1189" i="13" s="1"/>
  <c r="E1144" i="13"/>
  <c r="E342" i="7"/>
  <c r="E1183" i="13" s="1"/>
  <c r="B1140" i="13"/>
  <c r="C296" i="7"/>
  <c r="C315" i="7" s="1"/>
  <c r="D315" i="7" s="1"/>
  <c r="A338" i="7"/>
  <c r="B1135" i="13"/>
  <c r="A333" i="7"/>
  <c r="C291" i="7"/>
  <c r="C310" i="7" s="1"/>
  <c r="D310" i="7" s="1"/>
  <c r="E1129" i="13"/>
  <c r="E327" i="7"/>
  <c r="E1168" i="13" s="1"/>
  <c r="B1125" i="13"/>
  <c r="A323" i="7"/>
  <c r="C281" i="7"/>
  <c r="C300" i="7" s="1"/>
  <c r="D300" i="7" s="1"/>
  <c r="I1993" i="13"/>
  <c r="I2005" i="15"/>
  <c r="F2006" i="14"/>
  <c r="B2005" i="15"/>
  <c r="B2006" i="14"/>
  <c r="I2419" i="15"/>
  <c r="G2427" i="13"/>
  <c r="B2059" i="13"/>
  <c r="A552" i="6"/>
  <c r="B2067" i="13" s="1"/>
  <c r="H1966" i="15"/>
  <c r="I1973" i="13"/>
  <c r="J1966" i="15" s="1"/>
  <c r="E83" i="6"/>
  <c r="E86" i="6"/>
  <c r="E85" i="6"/>
  <c r="E77" i="6"/>
  <c r="B1904" i="15"/>
  <c r="B1905" i="14"/>
  <c r="E1893" i="15"/>
  <c r="G1893" i="15" s="1"/>
  <c r="B1888" i="15"/>
  <c r="B1889" i="14"/>
  <c r="C1882" i="15"/>
  <c r="C1883" i="14"/>
  <c r="B1912" i="15"/>
  <c r="B1913" i="14"/>
  <c r="D1376" i="15"/>
  <c r="D1377" i="14"/>
  <c r="K1383" i="13"/>
  <c r="H1383" i="13"/>
  <c r="B1450" i="15"/>
  <c r="B1451" i="14"/>
  <c r="C1359" i="15"/>
  <c r="C1360" i="14"/>
  <c r="E1343" i="15"/>
  <c r="G1343" i="15" s="1"/>
  <c r="E95" i="15"/>
  <c r="G95" i="15" s="1"/>
  <c r="D297" i="15"/>
  <c r="D298" i="14"/>
  <c r="B195" i="15"/>
  <c r="B196" i="14"/>
  <c r="B193" i="15"/>
  <c r="B194" i="14"/>
  <c r="D161" i="15"/>
  <c r="D162" i="14"/>
  <c r="K161" i="13"/>
  <c r="D156" i="13"/>
  <c r="L295" i="8"/>
  <c r="C1151" i="15"/>
  <c r="C1152" i="14"/>
  <c r="C1182" i="15"/>
  <c r="C1183" i="14"/>
  <c r="C1137" i="15"/>
  <c r="C1138" i="14"/>
  <c r="C1120" i="15"/>
  <c r="C1121" i="14"/>
  <c r="E1109" i="15"/>
  <c r="G1109" i="15" s="1"/>
  <c r="G1116" i="13"/>
  <c r="H1109" i="15" s="1"/>
  <c r="E1103" i="13"/>
  <c r="E298" i="7"/>
  <c r="E1095" i="13"/>
  <c r="E290" i="7"/>
  <c r="B1130" i="13"/>
  <c r="C286" i="7"/>
  <c r="C305" i="7" s="1"/>
  <c r="D305" i="7" s="1"/>
  <c r="A328" i="7"/>
  <c r="G1048" i="13"/>
  <c r="E987" i="15"/>
  <c r="G987" i="15" s="1"/>
  <c r="E1199" i="15"/>
  <c r="G1199" i="15" s="1"/>
  <c r="D2006" i="15"/>
  <c r="D2007" i="14"/>
  <c r="K2013" i="13"/>
  <c r="H714" i="6"/>
  <c r="D2421" i="15"/>
  <c r="K2429" i="13"/>
  <c r="H2429" i="13"/>
  <c r="D2420" i="15"/>
  <c r="H2428" i="13"/>
  <c r="K2428" i="13"/>
  <c r="E2036" i="15"/>
  <c r="G2036" i="15" s="1"/>
  <c r="E2044" i="15"/>
  <c r="G2044" i="15" s="1"/>
  <c r="E2022" i="15"/>
  <c r="G2022" i="15" s="1"/>
  <c r="E102" i="6"/>
  <c r="E108" i="6" s="1"/>
  <c r="E109" i="6" s="1"/>
  <c r="E1300" i="13"/>
  <c r="C1892" i="15"/>
  <c r="C1893" i="14"/>
  <c r="B1872" i="15"/>
  <c r="B1873" i="14"/>
  <c r="E1317" i="15"/>
  <c r="G1317" i="15" s="1"/>
  <c r="E2201" i="5"/>
  <c r="C1820" i="15"/>
  <c r="C1821" i="14"/>
  <c r="B1813" i="15"/>
  <c r="B1814" i="14"/>
  <c r="H1256" i="15"/>
  <c r="E1248" i="15"/>
  <c r="G1248" i="15" s="1"/>
  <c r="G1255" i="13"/>
  <c r="B759" i="13"/>
  <c r="E1977" i="5"/>
  <c r="C876" i="15"/>
  <c r="C877" i="14"/>
  <c r="B883" i="13"/>
  <c r="A1954" i="5"/>
  <c r="B867" i="15"/>
  <c r="B868" i="14"/>
  <c r="C866" i="15"/>
  <c r="C867" i="14"/>
  <c r="E728" i="15"/>
  <c r="G728" i="15" s="1"/>
  <c r="G735" i="13"/>
  <c r="E726" i="15"/>
  <c r="G726" i="15" s="1"/>
  <c r="E724" i="15"/>
  <c r="G724" i="15" s="1"/>
  <c r="E777" i="15"/>
  <c r="G777" i="15" s="1"/>
  <c r="B628" i="13"/>
  <c r="A1710" i="5"/>
  <c r="B681" i="13" s="1"/>
  <c r="E621" i="13"/>
  <c r="I1703" i="5"/>
  <c r="E674" i="13" s="1"/>
  <c r="B539" i="15"/>
  <c r="B540" i="14"/>
  <c r="D463" i="15"/>
  <c r="D464" i="14"/>
  <c r="K470" i="13"/>
  <c r="H470" i="13"/>
  <c r="H463" i="15" s="1"/>
  <c r="D448" i="15"/>
  <c r="D449" i="14"/>
  <c r="D2478" i="13"/>
  <c r="K455" i="13"/>
  <c r="H455" i="13"/>
  <c r="H448" i="15" s="1"/>
  <c r="D388" i="15"/>
  <c r="D389" i="14"/>
  <c r="K395" i="13"/>
  <c r="L347" i="6"/>
  <c r="B337" i="12"/>
  <c r="C374" i="12" s="1"/>
  <c r="B236" i="9"/>
  <c r="B340" i="6"/>
  <c r="I1658" i="15"/>
  <c r="F1659" i="14"/>
  <c r="I1665" i="13"/>
  <c r="J1658" i="15" s="1"/>
  <c r="C393" i="10"/>
  <c r="C377" i="10"/>
  <c r="C361" i="10"/>
  <c r="C349" i="10"/>
  <c r="C333" i="10"/>
  <c r="C317" i="10"/>
  <c r="C289" i="10"/>
  <c r="C273" i="10"/>
  <c r="D2454" i="15"/>
  <c r="K2462" i="13"/>
  <c r="H2462" i="13"/>
  <c r="E1509" i="15"/>
  <c r="G1509" i="15" s="1"/>
  <c r="G1516" i="13"/>
  <c r="B1455" i="15"/>
  <c r="B1456" i="14"/>
  <c r="B1451" i="15"/>
  <c r="B1452" i="14"/>
  <c r="B1446" i="15"/>
  <c r="B1447" i="14"/>
  <c r="C1434" i="15"/>
  <c r="C1435" i="14"/>
  <c r="E1471" i="15"/>
  <c r="G1471" i="15" s="1"/>
  <c r="E1462" i="15"/>
  <c r="G1462" i="15" s="1"/>
  <c r="B1405" i="15"/>
  <c r="B1406" i="14"/>
  <c r="B84" i="15"/>
  <c r="B85" i="14"/>
  <c r="B40" i="15"/>
  <c r="B41" i="14"/>
  <c r="I13" i="15"/>
  <c r="F14" i="14"/>
  <c r="I13" i="13"/>
  <c r="J13" i="15" s="1"/>
  <c r="D2351" i="13"/>
  <c r="E681" i="8"/>
  <c r="H2351" i="13" s="1"/>
  <c r="I34" i="15"/>
  <c r="F35" i="14"/>
  <c r="H35" i="13"/>
  <c r="I34" i="13"/>
  <c r="J34" i="15" s="1"/>
  <c r="H55" i="13"/>
  <c r="B263" i="15"/>
  <c r="B264" i="14"/>
  <c r="D133" i="15"/>
  <c r="D134" i="14"/>
  <c r="H133" i="13"/>
  <c r="B1112" i="15"/>
  <c r="B1113" i="14"/>
  <c r="E1135" i="13"/>
  <c r="E333" i="7"/>
  <c r="E1174" i="13" s="1"/>
  <c r="E1128" i="13"/>
  <c r="E326" i="7"/>
  <c r="E1167" i="13" s="1"/>
  <c r="E1087" i="13"/>
  <c r="E282" i="7"/>
  <c r="D2467" i="15"/>
  <c r="K2475" i="13"/>
  <c r="B1046" i="15"/>
  <c r="B1047" i="14"/>
  <c r="H1040" i="15"/>
  <c r="I1047" i="13"/>
  <c r="J1040" i="15" s="1"/>
  <c r="E979" i="15"/>
  <c r="G979" i="15" s="1"/>
  <c r="B994" i="15"/>
  <c r="B995" i="14"/>
  <c r="H1223" i="15"/>
  <c r="B912" i="15"/>
  <c r="B913" i="14"/>
  <c r="D2430" i="15"/>
  <c r="K2438" i="13"/>
  <c r="H2438" i="13"/>
  <c r="H2209" i="15"/>
  <c r="C696" i="6"/>
  <c r="J666" i="6"/>
  <c r="E1940" i="15"/>
  <c r="G1940" i="15" s="1"/>
  <c r="L352" i="6"/>
  <c r="H1291" i="15"/>
  <c r="B1890" i="15"/>
  <c r="B1891" i="14"/>
  <c r="B1881" i="15"/>
  <c r="B1882" i="14"/>
  <c r="E1871" i="15"/>
  <c r="G1871" i="15" s="1"/>
  <c r="E1309" i="15"/>
  <c r="G1309" i="15" s="1"/>
  <c r="E1841" i="15"/>
  <c r="G1841" i="15" s="1"/>
  <c r="E1919" i="15"/>
  <c r="G1919" i="15" s="1"/>
  <c r="B1880" i="15"/>
  <c r="B1881" i="14"/>
  <c r="E1912" i="15"/>
  <c r="G1912" i="15" s="1"/>
  <c r="E1810" i="15"/>
  <c r="G1810" i="15" s="1"/>
  <c r="C2141" i="5"/>
  <c r="C2145" i="5"/>
  <c r="D1256" i="15"/>
  <c r="D1257" i="14"/>
  <c r="K1263" i="13"/>
  <c r="B1249" i="15"/>
  <c r="B1250" i="14"/>
  <c r="C810" i="13"/>
  <c r="B2001" i="5"/>
  <c r="C773" i="13" s="1"/>
  <c r="B758" i="13"/>
  <c r="E1975" i="5"/>
  <c r="B885" i="13"/>
  <c r="A1956" i="5"/>
  <c r="E892" i="15"/>
  <c r="G892" i="15" s="1"/>
  <c r="G899" i="13"/>
  <c r="B2458" i="13"/>
  <c r="B2450" i="15" s="1"/>
  <c r="A1902" i="5"/>
  <c r="E848" i="13"/>
  <c r="D1895" i="5"/>
  <c r="E856" i="15"/>
  <c r="G856" i="15" s="1"/>
  <c r="B858" i="13"/>
  <c r="G1881" i="5"/>
  <c r="B895" i="13" s="1"/>
  <c r="D2492" i="13"/>
  <c r="E1854" i="5"/>
  <c r="H735" i="13"/>
  <c r="D726" i="13"/>
  <c r="C1836" i="5"/>
  <c r="E1792" i="5"/>
  <c r="C697" i="15"/>
  <c r="C698" i="14"/>
  <c r="D697" i="13"/>
  <c r="J1726" i="5"/>
  <c r="D689" i="13"/>
  <c r="D681" i="13"/>
  <c r="J1710" i="5"/>
  <c r="I2479" i="15"/>
  <c r="G2487" i="13"/>
  <c r="B649" i="13"/>
  <c r="A1733" i="5"/>
  <c r="B643" i="13"/>
  <c r="A1725" i="5"/>
  <c r="B696" i="13" s="1"/>
  <c r="E640" i="13"/>
  <c r="I1722" i="5"/>
  <c r="E693" i="13" s="1"/>
  <c r="J1644" i="5"/>
  <c r="D637" i="13"/>
  <c r="C1719" i="5"/>
  <c r="J1641" i="5"/>
  <c r="D625" i="13"/>
  <c r="C1707" i="5"/>
  <c r="J1629" i="5"/>
  <c r="E609" i="15"/>
  <c r="G609" i="15" s="1"/>
  <c r="E604" i="15"/>
  <c r="G604" i="15" s="1"/>
  <c r="G1645" i="5"/>
  <c r="G1723" i="5" s="1"/>
  <c r="L1569" i="5"/>
  <c r="D572" i="15"/>
  <c r="D573" i="14"/>
  <c r="H579" i="13"/>
  <c r="K579" i="13"/>
  <c r="G1637" i="5"/>
  <c r="G1715" i="5" s="1"/>
  <c r="L1561" i="5"/>
  <c r="D564" i="15"/>
  <c r="D565" i="14"/>
  <c r="H571" i="13"/>
  <c r="K571" i="13"/>
  <c r="G1629" i="5"/>
  <c r="G1707" i="5" s="1"/>
  <c r="L1553" i="5"/>
  <c r="D556" i="15"/>
  <c r="D557" i="14"/>
  <c r="H563" i="13"/>
  <c r="K563" i="13"/>
  <c r="D554" i="15"/>
  <c r="D555" i="14"/>
  <c r="H561" i="13"/>
  <c r="K561" i="13"/>
  <c r="R1532" i="5"/>
  <c r="B448" i="15"/>
  <c r="B449" i="14"/>
  <c r="B2478" i="13"/>
  <c r="B2470" i="15" s="1"/>
  <c r="D537" i="13"/>
  <c r="AS1484" i="5"/>
  <c r="D454" i="13" s="1"/>
  <c r="G454" i="13" s="1"/>
  <c r="E391" i="15"/>
  <c r="G391" i="15" s="1"/>
  <c r="B480" i="13"/>
  <c r="BH1472" i="5"/>
  <c r="B397" i="13" s="1"/>
  <c r="B479" i="13"/>
  <c r="BH1471" i="5"/>
  <c r="B396" i="13" s="1"/>
  <c r="B460" i="13"/>
  <c r="AQ1466" i="5"/>
  <c r="B377" i="13" s="1"/>
  <c r="E314" i="15"/>
  <c r="G314" i="15" s="1"/>
  <c r="F354" i="6"/>
  <c r="F349" i="12"/>
  <c r="F345" i="12"/>
  <c r="F346" i="6"/>
  <c r="F1302" i="5"/>
  <c r="E403" i="10"/>
  <c r="G403" i="10" s="1"/>
  <c r="H830" i="5"/>
  <c r="H829" i="5"/>
  <c r="C352" i="10"/>
  <c r="G778" i="5"/>
  <c r="H352" i="10" s="1"/>
  <c r="C296" i="10"/>
  <c r="C256" i="10"/>
  <c r="C248" i="10"/>
  <c r="C240" i="10"/>
  <c r="C232" i="10"/>
  <c r="C217" i="10"/>
  <c r="B608" i="10"/>
  <c r="B1005" i="5"/>
  <c r="B649" i="10" s="1"/>
  <c r="B600" i="10"/>
  <c r="B997" i="5"/>
  <c r="B641" i="10" s="1"/>
  <c r="B592" i="10"/>
  <c r="B989" i="5"/>
  <c r="B633" i="10" s="1"/>
  <c r="B584" i="10"/>
  <c r="B981" i="5"/>
  <c r="B625" i="10" s="1"/>
  <c r="F528" i="10"/>
  <c r="F545" i="5"/>
  <c r="F610" i="10" s="1"/>
  <c r="E515" i="10"/>
  <c r="G515" i="10" s="1"/>
  <c r="E491" i="5"/>
  <c r="F500" i="10"/>
  <c r="F517" i="5"/>
  <c r="F582" i="10" s="1"/>
  <c r="C738" i="10"/>
  <c r="C595" i="5"/>
  <c r="C742" i="10" s="1"/>
  <c r="C197" i="10"/>
  <c r="G361" i="5"/>
  <c r="C178" i="10"/>
  <c r="C162" i="10"/>
  <c r="C134" i="10"/>
  <c r="C118" i="10"/>
  <c r="C102" i="10"/>
  <c r="C90" i="10"/>
  <c r="C78" i="10"/>
  <c r="C62" i="10"/>
  <c r="C46" i="10"/>
  <c r="C30" i="10"/>
  <c r="E1683" i="15"/>
  <c r="G1683" i="15" s="1"/>
  <c r="E1583" i="15"/>
  <c r="G1583" i="15" s="1"/>
  <c r="H1590" i="13"/>
  <c r="G1590" i="13"/>
  <c r="E1507" i="15"/>
  <c r="G1507" i="15" s="1"/>
  <c r="G1514" i="13"/>
  <c r="H1514" i="13"/>
  <c r="E1357" i="15"/>
  <c r="G1357" i="15" s="1"/>
  <c r="B1352" i="15"/>
  <c r="B1353" i="14"/>
  <c r="E1385" i="15"/>
  <c r="G1385" i="15" s="1"/>
  <c r="E104" i="15"/>
  <c r="G104" i="15" s="1"/>
  <c r="E74" i="15"/>
  <c r="G74" i="15" s="1"/>
  <c r="D120" i="13"/>
  <c r="L665" i="8"/>
  <c r="D110" i="13"/>
  <c r="E668" i="8"/>
  <c r="E183" i="15"/>
  <c r="G183" i="15" s="1"/>
  <c r="D170" i="15"/>
  <c r="D171" i="14"/>
  <c r="H170" i="13"/>
  <c r="E147" i="13"/>
  <c r="D309" i="8"/>
  <c r="E165" i="13" s="1"/>
  <c r="D154" i="13"/>
  <c r="L293" i="8"/>
  <c r="E154" i="13"/>
  <c r="K307" i="8"/>
  <c r="C1149" i="15"/>
  <c r="C1150" i="14"/>
  <c r="C1180" i="15"/>
  <c r="C1181" i="14"/>
  <c r="C1172" i="15"/>
  <c r="C1173" i="14"/>
  <c r="C1164" i="15"/>
  <c r="C1165" i="14"/>
  <c r="D1117" i="13"/>
  <c r="F270" i="7"/>
  <c r="B1100" i="15"/>
  <c r="B1101" i="14"/>
  <c r="B1092" i="15"/>
  <c r="B1093" i="14"/>
  <c r="E1124" i="13"/>
  <c r="E322" i="7"/>
  <c r="E1163" i="13" s="1"/>
  <c r="D1052" i="13"/>
  <c r="H1052" i="13" s="1"/>
  <c r="F193" i="7"/>
  <c r="D1039" i="15"/>
  <c r="D1040" i="14"/>
  <c r="K1046" i="13"/>
  <c r="D1014" i="15"/>
  <c r="D1015" i="14"/>
  <c r="G1021" i="13"/>
  <c r="K1021" i="13"/>
  <c r="H1230" i="13"/>
  <c r="I1230" i="13" s="1"/>
  <c r="J1223" i="15" s="1"/>
  <c r="B1983" i="15"/>
  <c r="B1984" i="14"/>
  <c r="H716" i="6"/>
  <c r="D2004" i="15"/>
  <c r="D2005" i="14"/>
  <c r="K2011" i="13"/>
  <c r="H2161" i="15"/>
  <c r="B2049" i="15"/>
  <c r="B2050" i="14"/>
  <c r="E1965" i="15"/>
  <c r="G1965" i="15" s="1"/>
  <c r="G1972" i="13"/>
  <c r="D178" i="6"/>
  <c r="D1291" i="13"/>
  <c r="E2320" i="5"/>
  <c r="E2328" i="5" s="1"/>
  <c r="E2336" i="5" s="1"/>
  <c r="E1886" i="15"/>
  <c r="G1886" i="15" s="1"/>
  <c r="E1318" i="15"/>
  <c r="G1318" i="15" s="1"/>
  <c r="G1325" i="13"/>
  <c r="E1314" i="15"/>
  <c r="G1314" i="15" s="1"/>
  <c r="G1321" i="13"/>
  <c r="E1308" i="15"/>
  <c r="G1308" i="15" s="1"/>
  <c r="G1315" i="13"/>
  <c r="E2404" i="13"/>
  <c r="E2178" i="5"/>
  <c r="E1905" i="15"/>
  <c r="G1905" i="15" s="1"/>
  <c r="E1904" i="13"/>
  <c r="E2306" i="5"/>
  <c r="B1908" i="15"/>
  <c r="B1909" i="14"/>
  <c r="E1268" i="15"/>
  <c r="G1268" i="15" s="1"/>
  <c r="H1260" i="15"/>
  <c r="D1253" i="13"/>
  <c r="E2044" i="5"/>
  <c r="D1252" i="13"/>
  <c r="E2043" i="5"/>
  <c r="B888" i="13"/>
  <c r="A1959" i="5"/>
  <c r="E2384" i="13"/>
  <c r="E2377" i="15" s="1"/>
  <c r="G2377" i="15" s="1"/>
  <c r="D1903" i="5"/>
  <c r="D850" i="13"/>
  <c r="C1897" i="5"/>
  <c r="E1849" i="5"/>
  <c r="C827" i="15"/>
  <c r="C828" i="14"/>
  <c r="B2384" i="13"/>
  <c r="B2377" i="15" s="1"/>
  <c r="A1903" i="5"/>
  <c r="E1805" i="5"/>
  <c r="B731" i="15"/>
  <c r="B732" i="14"/>
  <c r="B727" i="15"/>
  <c r="B728" i="14"/>
  <c r="B725" i="15"/>
  <c r="B726" i="14"/>
  <c r="B723" i="15"/>
  <c r="B724" i="14"/>
  <c r="B781" i="15"/>
  <c r="B782" i="14"/>
  <c r="E720" i="13"/>
  <c r="D1830" i="5"/>
  <c r="B661" i="15"/>
  <c r="B662" i="14"/>
  <c r="E623" i="13"/>
  <c r="I1705" i="5"/>
  <c r="E676" i="13" s="1"/>
  <c r="B606" i="15"/>
  <c r="B607" i="14"/>
  <c r="G584" i="13"/>
  <c r="H573" i="15"/>
  <c r="G576" i="13"/>
  <c r="H565" i="15"/>
  <c r="G568" i="13"/>
  <c r="H557" i="15"/>
  <c r="G560" i="13"/>
  <c r="B542" i="15"/>
  <c r="B543" i="14"/>
  <c r="G1508" i="5"/>
  <c r="E496" i="13"/>
  <c r="BK1488" i="5"/>
  <c r="E413" i="13" s="1"/>
  <c r="C420" i="15"/>
  <c r="C421" i="14"/>
  <c r="D336" i="13"/>
  <c r="D463" i="13"/>
  <c r="J1482" i="5"/>
  <c r="L1481" i="5"/>
  <c r="BD1466" i="5" s="1"/>
  <c r="BB1466" i="5"/>
  <c r="D380" i="13" s="1"/>
  <c r="C371" i="15"/>
  <c r="C372" i="14"/>
  <c r="E333" i="13"/>
  <c r="AF1466" i="5"/>
  <c r="D313" i="13"/>
  <c r="E1403" i="5"/>
  <c r="D308" i="13"/>
  <c r="F871" i="10"/>
  <c r="E1398" i="5"/>
  <c r="G1398" i="5"/>
  <c r="G871" i="10" s="1"/>
  <c r="H871" i="10" s="1"/>
  <c r="C503" i="9"/>
  <c r="J1214" i="5"/>
  <c r="AH24" i="5"/>
  <c r="I1477" i="15"/>
  <c r="F1478" i="14"/>
  <c r="I1484" i="13"/>
  <c r="J1477" i="15" s="1"/>
  <c r="I1457" i="15"/>
  <c r="F1458" i="14"/>
  <c r="I1464" i="13"/>
  <c r="J1457" i="15" s="1"/>
  <c r="H1480" i="13"/>
  <c r="E704" i="10"/>
  <c r="G704" i="10" s="1"/>
  <c r="E1021" i="5"/>
  <c r="E539" i="10"/>
  <c r="G539" i="10" s="1"/>
  <c r="E936" i="5"/>
  <c r="C255" i="10"/>
  <c r="C247" i="10"/>
  <c r="C239" i="10"/>
  <c r="C231" i="10"/>
  <c r="I622" i="5"/>
  <c r="F639" i="5" s="1"/>
  <c r="F213" i="10" s="1"/>
  <c r="G213" i="10" s="1"/>
  <c r="B609" i="10"/>
  <c r="B1006" i="5"/>
  <c r="B650" i="10" s="1"/>
  <c r="B589" i="10"/>
  <c r="B986" i="5"/>
  <c r="B630" i="10" s="1"/>
  <c r="I389" i="5"/>
  <c r="F151" i="5" s="1"/>
  <c r="O385" i="5"/>
  <c r="C194" i="10"/>
  <c r="G358" i="5"/>
  <c r="C181" i="10"/>
  <c r="C165" i="10"/>
  <c r="C149" i="10"/>
  <c r="B1452" i="15"/>
  <c r="B1453" i="14"/>
  <c r="B1447" i="15"/>
  <c r="B1448" i="14"/>
  <c r="B1435" i="15"/>
  <c r="B1436" i="14"/>
  <c r="E1422" i="15"/>
  <c r="G1422" i="15" s="1"/>
  <c r="E108" i="9"/>
  <c r="E109" i="9" s="1"/>
  <c r="E107" i="9"/>
  <c r="E106" i="9"/>
  <c r="E89" i="15"/>
  <c r="G89" i="15" s="1"/>
  <c r="E41" i="15"/>
  <c r="G41" i="15" s="1"/>
  <c r="D2359" i="15"/>
  <c r="H2366" i="13"/>
  <c r="K2366" i="13"/>
  <c r="E299" i="15"/>
  <c r="G299" i="15" s="1"/>
  <c r="E297" i="15"/>
  <c r="G297" i="15" s="1"/>
  <c r="H297" i="13"/>
  <c r="G297" i="13"/>
  <c r="E295" i="15"/>
  <c r="G295" i="15" s="1"/>
  <c r="D2349" i="15"/>
  <c r="K2356" i="13"/>
  <c r="H2356" i="13"/>
  <c r="E191" i="15"/>
  <c r="G191" i="15" s="1"/>
  <c r="H198" i="13"/>
  <c r="D164" i="15"/>
  <c r="D165" i="14"/>
  <c r="H164" i="13"/>
  <c r="K164" i="13"/>
  <c r="E151" i="13"/>
  <c r="K304" i="8"/>
  <c r="L290" i="8"/>
  <c r="C1122" i="15"/>
  <c r="C1123" i="14"/>
  <c r="B1150" i="13"/>
  <c r="A348" i="7"/>
  <c r="B1189" i="13" s="1"/>
  <c r="E1093" i="15"/>
  <c r="G1093" i="15" s="1"/>
  <c r="D2382" i="15"/>
  <c r="K2389" i="13"/>
  <c r="B931" i="15"/>
  <c r="B932" i="14"/>
  <c r="B1011" i="15"/>
  <c r="B1012" i="14"/>
  <c r="E1201" i="15"/>
  <c r="G1201" i="15" s="1"/>
  <c r="E2057" i="15"/>
  <c r="G2057" i="15" s="1"/>
  <c r="B2018" i="15"/>
  <c r="B2019" i="14"/>
  <c r="D1972" i="15"/>
  <c r="D1973" i="14"/>
  <c r="H1979" i="13"/>
  <c r="I1979" i="13" s="1"/>
  <c r="J1972" i="15" s="1"/>
  <c r="K1979" i="13"/>
  <c r="L350" i="6"/>
  <c r="E1304" i="13"/>
  <c r="E2333" i="5"/>
  <c r="D1295" i="13"/>
  <c r="E2324" i="5"/>
  <c r="E2332" i="5" s="1"/>
  <c r="D1899" i="15"/>
  <c r="D1900" i="14"/>
  <c r="K1906" i="13"/>
  <c r="H1906" i="13"/>
  <c r="B1894" i="15"/>
  <c r="B1895" i="14"/>
  <c r="C1879" i="15"/>
  <c r="C1880" i="14"/>
  <c r="E1913" i="15"/>
  <c r="G1913" i="15" s="1"/>
  <c r="B1854" i="15"/>
  <c r="B1855" i="14"/>
  <c r="B1257" i="15"/>
  <c r="B1258" i="14"/>
  <c r="E1247" i="15"/>
  <c r="G1247" i="15" s="1"/>
  <c r="G1254" i="13"/>
  <c r="E819" i="15"/>
  <c r="G819" i="15" s="1"/>
  <c r="E797" i="13"/>
  <c r="D1988" i="5"/>
  <c r="E760" i="13" s="1"/>
  <c r="C879" i="13"/>
  <c r="B1950" i="5"/>
  <c r="D2458" i="13"/>
  <c r="C1902" i="5"/>
  <c r="E1855" i="5"/>
  <c r="C851" i="13"/>
  <c r="B1898" i="5"/>
  <c r="C882" i="13"/>
  <c r="B1953" i="5"/>
  <c r="B832" i="13"/>
  <c r="A1879" i="5"/>
  <c r="C734" i="15"/>
  <c r="C735" i="14"/>
  <c r="D2375" i="13"/>
  <c r="J1741" i="5"/>
  <c r="D2480" i="15"/>
  <c r="K2488" i="13"/>
  <c r="H2488" i="13"/>
  <c r="C695" i="15"/>
  <c r="C696" i="14"/>
  <c r="B694" i="15"/>
  <c r="B695" i="14"/>
  <c r="C685" i="15"/>
  <c r="C686" i="14"/>
  <c r="C677" i="15"/>
  <c r="C678" i="14"/>
  <c r="D671" i="13"/>
  <c r="B2373" i="13"/>
  <c r="B2366" i="15" s="1"/>
  <c r="A1731" i="5"/>
  <c r="B2376" i="13" s="1"/>
  <c r="B2369" i="15" s="1"/>
  <c r="E630" i="13"/>
  <c r="I1712" i="5"/>
  <c r="E683" i="13" s="1"/>
  <c r="E626" i="13"/>
  <c r="I1708" i="5"/>
  <c r="E679" i="13" s="1"/>
  <c r="E622" i="13"/>
  <c r="I1704" i="5"/>
  <c r="E675" i="13" s="1"/>
  <c r="H657" i="15"/>
  <c r="B610" i="15"/>
  <c r="B611" i="14"/>
  <c r="E591" i="13"/>
  <c r="H591" i="13" s="1"/>
  <c r="I1657" i="5"/>
  <c r="E2371" i="13"/>
  <c r="I1654" i="5"/>
  <c r="I1732" i="5" s="1"/>
  <c r="D571" i="15"/>
  <c r="D572" i="14"/>
  <c r="H578" i="13"/>
  <c r="K578" i="13"/>
  <c r="G810" i="10"/>
  <c r="F828" i="10"/>
  <c r="H828" i="10" s="1"/>
  <c r="D563" i="15"/>
  <c r="D564" i="14"/>
  <c r="H570" i="13"/>
  <c r="K570" i="13"/>
  <c r="D555" i="15"/>
  <c r="D556" i="14"/>
  <c r="H562" i="13"/>
  <c r="K562" i="13"/>
  <c r="F865" i="10"/>
  <c r="H865" i="10" s="1"/>
  <c r="G834" i="10"/>
  <c r="E405" i="15"/>
  <c r="G405" i="15" s="1"/>
  <c r="B494" i="13"/>
  <c r="BH1486" i="5"/>
  <c r="B411" i="13" s="1"/>
  <c r="E448" i="15"/>
  <c r="G448" i="15" s="1"/>
  <c r="E2478" i="13"/>
  <c r="E2470" i="15" s="1"/>
  <c r="G2470" i="15" s="1"/>
  <c r="G455" i="13"/>
  <c r="I455" i="13" s="1"/>
  <c r="B447" i="15"/>
  <c r="B448" i="14"/>
  <c r="B2494" i="13"/>
  <c r="B2486" i="15" s="1"/>
  <c r="E464" i="13"/>
  <c r="E337" i="13"/>
  <c r="BC1467" i="5"/>
  <c r="E381" i="13" s="1"/>
  <c r="B463" i="13"/>
  <c r="B336" i="13"/>
  <c r="AZ1466" i="5"/>
  <c r="B380" i="13" s="1"/>
  <c r="B396" i="15"/>
  <c r="B397" i="14"/>
  <c r="B525" i="13"/>
  <c r="AQ1445" i="5"/>
  <c r="B442" i="13" s="1"/>
  <c r="E351" i="13"/>
  <c r="AF1477" i="5"/>
  <c r="E484" i="13"/>
  <c r="BK1476" i="5"/>
  <c r="E401" i="13" s="1"/>
  <c r="E393" i="15"/>
  <c r="G393" i="15" s="1"/>
  <c r="B503" i="13"/>
  <c r="AQ1475" i="5"/>
  <c r="B420" i="13" s="1"/>
  <c r="B501" i="13"/>
  <c r="AQ1473" i="5"/>
  <c r="B418" i="13" s="1"/>
  <c r="E480" i="13"/>
  <c r="BK1472" i="5"/>
  <c r="E397" i="13" s="1"/>
  <c r="E345" i="13"/>
  <c r="AF1471" i="5"/>
  <c r="B517" i="13"/>
  <c r="AQ1437" i="5"/>
  <c r="B434" i="13" s="1"/>
  <c r="H356" i="15"/>
  <c r="E476" i="13"/>
  <c r="E469" i="15" s="1"/>
  <c r="G469" i="15" s="1"/>
  <c r="BK1468" i="5"/>
  <c r="E393" i="13" s="1"/>
  <c r="E474" i="13"/>
  <c r="E342" i="13"/>
  <c r="BK1466" i="5"/>
  <c r="E391" i="13" s="1"/>
  <c r="B430" i="15"/>
  <c r="B431" i="14"/>
  <c r="E307" i="15"/>
  <c r="G307" i="15" s="1"/>
  <c r="G307" i="13"/>
  <c r="D1369" i="5"/>
  <c r="E1369" i="5" s="1"/>
  <c r="D1368" i="5"/>
  <c r="C1404" i="5"/>
  <c r="F346" i="12"/>
  <c r="F340" i="12"/>
  <c r="I1304" i="5"/>
  <c r="C116" i="5" s="1"/>
  <c r="D1785" i="13"/>
  <c r="E609" i="9"/>
  <c r="J586" i="9"/>
  <c r="J1222" i="5"/>
  <c r="AJ25" i="5"/>
  <c r="E622" i="10"/>
  <c r="G622" i="10" s="1"/>
  <c r="E979" i="5"/>
  <c r="O852" i="5"/>
  <c r="T841" i="5"/>
  <c r="P845" i="5"/>
  <c r="T837" i="5"/>
  <c r="E401" i="10"/>
  <c r="G401" i="10" s="1"/>
  <c r="H827" i="5"/>
  <c r="C394" i="10"/>
  <c r="G820" i="5"/>
  <c r="H394" i="10" s="1"/>
  <c r="C386" i="10"/>
  <c r="C378" i="10"/>
  <c r="C370" i="10"/>
  <c r="C362" i="10"/>
  <c r="C354" i="10"/>
  <c r="G780" i="5"/>
  <c r="H354" i="10" s="1"/>
  <c r="C342" i="10"/>
  <c r="C334" i="10"/>
  <c r="C326" i="10"/>
  <c r="C318" i="10"/>
  <c r="C310" i="10"/>
  <c r="C298" i="10"/>
  <c r="E597" i="10"/>
  <c r="G597" i="10" s="1"/>
  <c r="E533" i="5"/>
  <c r="C969" i="5"/>
  <c r="C549" i="5"/>
  <c r="C1011" i="5" s="1"/>
  <c r="F518" i="10"/>
  <c r="F535" i="5"/>
  <c r="F600" i="10" s="1"/>
  <c r="F502" i="10"/>
  <c r="F519" i="5"/>
  <c r="F584" i="10" s="1"/>
  <c r="E416" i="10"/>
  <c r="G416" i="10" s="1"/>
  <c r="E432" i="5"/>
  <c r="G860" i="5"/>
  <c r="G407" i="5"/>
  <c r="G868" i="5" s="1"/>
  <c r="G404" i="5"/>
  <c r="G865" i="5" s="1"/>
  <c r="G413" i="5"/>
  <c r="G874" i="5" s="1"/>
  <c r="G408" i="5"/>
  <c r="G869" i="5" s="1"/>
  <c r="G411" i="5"/>
  <c r="G872" i="5" s="1"/>
  <c r="G405" i="5"/>
  <c r="G866" i="5" s="1"/>
  <c r="G412" i="5"/>
  <c r="G873" i="5" s="1"/>
  <c r="G409" i="5"/>
  <c r="G870" i="5" s="1"/>
  <c r="G403" i="5"/>
  <c r="G864" i="5" s="1"/>
  <c r="T376" i="5"/>
  <c r="C188" i="10"/>
  <c r="C172" i="10"/>
  <c r="C156" i="10"/>
  <c r="C144" i="10"/>
  <c r="C128" i="10"/>
  <c r="C112" i="10"/>
  <c r="C391" i="6"/>
  <c r="C406" i="6" s="1"/>
  <c r="D78" i="5"/>
  <c r="E61" i="5"/>
  <c r="C384" i="6" s="1"/>
  <c r="C393" i="6" s="1"/>
  <c r="E2005" i="15"/>
  <c r="G2005" i="15" s="1"/>
  <c r="G2012" i="13"/>
  <c r="D2217" i="13"/>
  <c r="L665" i="6"/>
  <c r="D2158" i="13"/>
  <c r="E683" i="6"/>
  <c r="C2136" i="5"/>
  <c r="D1252" i="15"/>
  <c r="D1253" i="14"/>
  <c r="K1259" i="13"/>
  <c r="E881" i="13"/>
  <c r="D1952" i="5"/>
  <c r="G1614" i="5"/>
  <c r="H795" i="10" s="1"/>
  <c r="G795" i="10" s="1"/>
  <c r="G826" i="10" s="1"/>
  <c r="H826" i="10" s="1"/>
  <c r="L1546" i="5"/>
  <c r="D516" i="13"/>
  <c r="AR1436" i="5"/>
  <c r="D433" i="13" s="1"/>
  <c r="K1213" i="5"/>
  <c r="T396" i="5"/>
  <c r="D31" i="10"/>
  <c r="D47" i="10"/>
  <c r="D63" i="10"/>
  <c r="D79" i="10"/>
  <c r="D191" i="10"/>
  <c r="G355" i="5"/>
  <c r="D79" i="5"/>
  <c r="P156" i="4"/>
  <c r="E85" i="4"/>
  <c r="E186" i="4" s="1"/>
  <c r="I1080" i="5"/>
  <c r="H90" i="4"/>
  <c r="H44" i="4"/>
  <c r="M40" i="4"/>
  <c r="H98" i="4"/>
  <c r="D19" i="4"/>
  <c r="I149" i="4"/>
  <c r="I141" i="4"/>
  <c r="I14" i="4"/>
  <c r="C484" i="8"/>
  <c r="J483" i="8"/>
  <c r="G161" i="8"/>
  <c r="J487" i="8"/>
  <c r="J429" i="8"/>
  <c r="D254" i="13" s="1"/>
  <c r="F153" i="8"/>
  <c r="I35" i="5"/>
  <c r="U35" i="5"/>
  <c r="V35" i="5" s="1"/>
  <c r="D35" i="5"/>
  <c r="E1044" i="15"/>
  <c r="G1044" i="15" s="1"/>
  <c r="E222" i="15"/>
  <c r="G222" i="15" s="1"/>
  <c r="D1976" i="13"/>
  <c r="E432" i="6"/>
  <c r="D636" i="15"/>
  <c r="D637" i="14"/>
  <c r="K643" i="13"/>
  <c r="B683" i="15"/>
  <c r="B684" i="14"/>
  <c r="D628" i="15"/>
  <c r="D629" i="14"/>
  <c r="K635" i="13"/>
  <c r="B675" i="15"/>
  <c r="B676" i="14"/>
  <c r="D620" i="15"/>
  <c r="D621" i="14"/>
  <c r="K627" i="13"/>
  <c r="H627" i="13"/>
  <c r="D616" i="15"/>
  <c r="D617" i="14"/>
  <c r="K623" i="13"/>
  <c r="I386" i="13"/>
  <c r="D368" i="13"/>
  <c r="AM1474" i="5"/>
  <c r="P1474" i="5"/>
  <c r="AO1474" i="5" s="1"/>
  <c r="AT1442" i="5" s="1"/>
  <c r="T856" i="5"/>
  <c r="Y838" i="5"/>
  <c r="C864" i="5"/>
  <c r="Q403" i="5"/>
  <c r="F403" i="5"/>
  <c r="P403" i="5"/>
  <c r="C406" i="5"/>
  <c r="S403" i="5"/>
  <c r="I403" i="5"/>
  <c r="O403" i="5" s="1"/>
  <c r="R403" i="5"/>
  <c r="F134" i="5"/>
  <c r="I128" i="5"/>
  <c r="F146" i="5" s="1"/>
  <c r="F9" i="10" s="1"/>
  <c r="E146" i="5"/>
  <c r="F1752" i="5"/>
  <c r="C386" i="6" s="1"/>
  <c r="F331" i="6"/>
  <c r="F263" i="5"/>
  <c r="F251" i="5"/>
  <c r="C129" i="5"/>
  <c r="E255" i="5" s="1"/>
  <c r="Q128" i="5"/>
  <c r="F310" i="5"/>
  <c r="F146" i="10" s="1"/>
  <c r="G146" i="10" s="1"/>
  <c r="P128" i="5"/>
  <c r="F309" i="5"/>
  <c r="F145" i="10" s="1"/>
  <c r="G145" i="10" s="1"/>
  <c r="S128" i="5"/>
  <c r="R128" i="5"/>
  <c r="F128" i="5"/>
  <c r="K629" i="5"/>
  <c r="L135" i="5" s="1"/>
  <c r="E98" i="4"/>
  <c r="C90" i="4"/>
  <c r="I76" i="4"/>
  <c r="C46" i="4"/>
  <c r="K45" i="4"/>
  <c r="P36" i="4"/>
  <c r="K107" i="4"/>
  <c r="C19" i="4"/>
  <c r="H16" i="4"/>
  <c r="H15" i="4"/>
  <c r="H11" i="4"/>
  <c r="H149" i="4"/>
  <c r="H141" i="4"/>
  <c r="I1988" i="13"/>
  <c r="E926" i="15"/>
  <c r="G926" i="15" s="1"/>
  <c r="E17" i="15"/>
  <c r="G17" i="15" s="1"/>
  <c r="D1411" i="15"/>
  <c r="D1412" i="14"/>
  <c r="K1418" i="13"/>
  <c r="H1418" i="13"/>
  <c r="D1291" i="15"/>
  <c r="D1292" i="14"/>
  <c r="H1298" i="13"/>
  <c r="I1298" i="13" s="1"/>
  <c r="J1291" i="15" s="1"/>
  <c r="K1298" i="13"/>
  <c r="B399" i="11"/>
  <c r="F379" i="11"/>
  <c r="F377" i="11"/>
  <c r="F366" i="11"/>
  <c r="F378" i="11"/>
  <c r="D1954" i="13"/>
  <c r="L393" i="6"/>
  <c r="D1848" i="13"/>
  <c r="G1848" i="13" s="1"/>
  <c r="E2167" i="5"/>
  <c r="D1284" i="13"/>
  <c r="K2077" i="5"/>
  <c r="D1287" i="13"/>
  <c r="K2080" i="5"/>
  <c r="D657" i="15"/>
  <c r="D658" i="14"/>
  <c r="H664" i="13"/>
  <c r="B634" i="15"/>
  <c r="B635" i="14"/>
  <c r="B626" i="15"/>
  <c r="B627" i="14"/>
  <c r="B618" i="15"/>
  <c r="B619" i="14"/>
  <c r="J1581" i="5"/>
  <c r="D544" i="13"/>
  <c r="F751" i="10"/>
  <c r="F787" i="10" s="1"/>
  <c r="G1532" i="5"/>
  <c r="S1542" i="5"/>
  <c r="J1532" i="5"/>
  <c r="D511" i="13"/>
  <c r="AS1483" i="5"/>
  <c r="D428" i="13" s="1"/>
  <c r="R1340" i="5"/>
  <c r="K1216" i="5"/>
  <c r="K632" i="5"/>
  <c r="L138" i="5" s="1"/>
  <c r="E265" i="5" s="1"/>
  <c r="L136" i="5"/>
  <c r="P857" i="5"/>
  <c r="I857" i="5"/>
  <c r="R857" i="5"/>
  <c r="F857" i="5"/>
  <c r="Q857" i="5"/>
  <c r="T386" i="5"/>
  <c r="R382" i="5"/>
  <c r="T382" i="5" s="1"/>
  <c r="F13" i="12"/>
  <c r="F13" i="8"/>
  <c r="F13" i="6"/>
  <c r="F13" i="9"/>
  <c r="AA58" i="5"/>
  <c r="AC58" i="5" s="1"/>
  <c r="Q100" i="5" s="1"/>
  <c r="Z37" i="5"/>
  <c r="Z47" i="5" s="1"/>
  <c r="Q126" i="5"/>
  <c r="F138" i="5"/>
  <c r="E248" i="5" s="1"/>
  <c r="P126" i="5"/>
  <c r="F139" i="5"/>
  <c r="G139" i="5" s="1"/>
  <c r="E249" i="5"/>
  <c r="R126" i="5"/>
  <c r="C1167" i="5"/>
  <c r="C1169" i="5"/>
  <c r="Q27" i="5"/>
  <c r="Q28" i="5" s="1"/>
  <c r="Q29" i="5" s="1"/>
  <c r="C1130" i="5"/>
  <c r="C1177" i="5"/>
  <c r="Q11" i="5"/>
  <c r="J94" i="5"/>
  <c r="F1179" i="5"/>
  <c r="X12" i="5" s="1"/>
  <c r="Y12" i="5" s="1"/>
  <c r="F1158" i="5"/>
  <c r="F1171" i="5" s="1"/>
  <c r="F1189" i="5"/>
  <c r="G1133" i="5"/>
  <c r="X5" i="5"/>
  <c r="Y5" i="5" s="1"/>
  <c r="O128" i="4"/>
  <c r="N128" i="4"/>
  <c r="P128" i="4"/>
  <c r="F108" i="4"/>
  <c r="E97" i="4"/>
  <c r="E48" i="4"/>
  <c r="C88" i="4"/>
  <c r="C87" i="4"/>
  <c r="H41" i="4"/>
  <c r="O36" i="4"/>
  <c r="J107" i="4"/>
  <c r="K16" i="4"/>
  <c r="F32" i="4"/>
  <c r="G1279" i="5"/>
  <c r="G1276" i="5"/>
  <c r="D1275" i="5"/>
  <c r="E2049" i="5"/>
  <c r="D1013" i="15"/>
  <c r="D1014" i="14"/>
  <c r="K1020" i="13"/>
  <c r="E888" i="15"/>
  <c r="G888" i="15" s="1"/>
  <c r="C1974" i="5"/>
  <c r="D692" i="13"/>
  <c r="L1564" i="5"/>
  <c r="L1558" i="5"/>
  <c r="B614" i="15"/>
  <c r="B615" i="14"/>
  <c r="D612" i="15"/>
  <c r="D613" i="14"/>
  <c r="K619" i="13"/>
  <c r="C1368" i="5"/>
  <c r="C333" i="9"/>
  <c r="C351" i="9" s="1"/>
  <c r="X6" i="5"/>
  <c r="C122" i="4"/>
  <c r="J1159" i="5"/>
  <c r="J1126" i="5" s="1"/>
  <c r="C138" i="4" s="1"/>
  <c r="M156" i="4"/>
  <c r="P126" i="4"/>
  <c r="O126" i="4"/>
  <c r="N126" i="4"/>
  <c r="P121" i="4"/>
  <c r="O121" i="4"/>
  <c r="N121" i="4"/>
  <c r="P119" i="4"/>
  <c r="O119" i="4"/>
  <c r="N119" i="4"/>
  <c r="E93" i="4"/>
  <c r="D48" i="4"/>
  <c r="E44" i="4"/>
  <c r="O39" i="4"/>
  <c r="H203" i="4"/>
  <c r="M35" i="4"/>
  <c r="M203" i="4" s="1"/>
  <c r="T1074" i="5"/>
  <c r="T1079" i="5" s="1"/>
  <c r="T1073" i="5"/>
  <c r="T1078" i="5" s="1"/>
  <c r="E9" i="4"/>
  <c r="E12" i="4" s="1"/>
  <c r="O141" i="4"/>
  <c r="O11" i="4"/>
  <c r="O116" i="4" s="1"/>
  <c r="O32" i="4"/>
  <c r="O18" i="4" s="1"/>
  <c r="O149" i="4"/>
  <c r="E2205" i="5"/>
  <c r="AE78" i="4"/>
  <c r="O19" i="4"/>
  <c r="K93" i="4"/>
  <c r="D91" i="4"/>
  <c r="H156" i="4"/>
  <c r="F156" i="4"/>
  <c r="E103" i="4"/>
  <c r="E104" i="4" s="1"/>
  <c r="D93" i="4"/>
  <c r="K91" i="4"/>
  <c r="C86" i="4"/>
  <c r="C30" i="4"/>
  <c r="C860" i="5"/>
  <c r="F591" i="5"/>
  <c r="F737" i="10" s="1"/>
  <c r="P399" i="5"/>
  <c r="C418" i="5"/>
  <c r="C419" i="5" s="1"/>
  <c r="E448" i="5" s="1"/>
  <c r="C402" i="5"/>
  <c r="S399" i="5"/>
  <c r="I399" i="5"/>
  <c r="O399" i="5" s="1"/>
  <c r="F594" i="5"/>
  <c r="F741" i="10" s="1"/>
  <c r="R399" i="5"/>
  <c r="L399" i="5"/>
  <c r="F424" i="5" s="1"/>
  <c r="F409" i="10" s="1"/>
  <c r="G409" i="10" s="1"/>
  <c r="Q399" i="5"/>
  <c r="F399" i="5"/>
  <c r="AK39" i="5"/>
  <c r="AL39" i="5" s="1"/>
  <c r="E2409" i="15"/>
  <c r="G2409" i="15" s="1"/>
  <c r="H2417" i="13"/>
  <c r="H2317" i="15"/>
  <c r="I2324" i="13"/>
  <c r="J2317" i="15" s="1"/>
  <c r="I2092" i="15"/>
  <c r="F2093" i="14"/>
  <c r="I2099" i="13"/>
  <c r="J2092" i="15" s="1"/>
  <c r="I2330" i="15"/>
  <c r="F2331" i="14"/>
  <c r="I2337" i="13"/>
  <c r="J2330" i="15" s="1"/>
  <c r="I2259" i="15"/>
  <c r="F2260" i="14"/>
  <c r="I1975" i="15"/>
  <c r="F1976" i="14"/>
  <c r="H1983" i="13"/>
  <c r="I1976" i="15" s="1"/>
  <c r="J1994" i="15"/>
  <c r="I1994" i="15"/>
  <c r="I1320" i="15"/>
  <c r="F1321" i="14"/>
  <c r="I1327" i="13"/>
  <c r="J1320" i="15" s="1"/>
  <c r="I1018" i="15"/>
  <c r="F1019" i="14"/>
  <c r="I1014" i="15"/>
  <c r="F1015" i="14"/>
  <c r="I712" i="15"/>
  <c r="F713" i="14"/>
  <c r="I719" i="13"/>
  <c r="J712" i="15" s="1"/>
  <c r="I215" i="15"/>
  <c r="F216" i="14"/>
  <c r="I215" i="13"/>
  <c r="J215" i="15" s="1"/>
  <c r="I132" i="15"/>
  <c r="F133" i="14"/>
  <c r="I132" i="13"/>
  <c r="J132" i="15" s="1"/>
  <c r="D2323" i="15"/>
  <c r="D2324" i="14"/>
  <c r="H2330" i="13"/>
  <c r="G2330" i="13"/>
  <c r="K2330" i="13"/>
  <c r="I2405" i="15"/>
  <c r="G2412" i="13"/>
  <c r="I1350" i="15"/>
  <c r="F1351" i="14"/>
  <c r="I2319" i="15"/>
  <c r="F2320" i="14"/>
  <c r="H2284" i="15"/>
  <c r="I282" i="15"/>
  <c r="F283" i="14"/>
  <c r="I282" i="13"/>
  <c r="J282" i="15" s="1"/>
  <c r="I2317" i="15"/>
  <c r="F2318" i="14"/>
  <c r="H2274" i="15"/>
  <c r="I2281" i="13"/>
  <c r="J2274" i="15" s="1"/>
  <c r="H2233" i="15"/>
  <c r="I2240" i="13"/>
  <c r="J2233" i="15" s="1"/>
  <c r="H2271" i="15"/>
  <c r="I2278" i="13"/>
  <c r="J2271" i="15" s="1"/>
  <c r="E1353" i="15"/>
  <c r="G1353" i="15" s="1"/>
  <c r="I1445" i="15"/>
  <c r="F1446" i="14"/>
  <c r="E220" i="15"/>
  <c r="G220" i="15" s="1"/>
  <c r="B1185" i="15"/>
  <c r="B1186" i="14"/>
  <c r="E1035" i="15"/>
  <c r="G1035" i="15" s="1"/>
  <c r="H1292" i="15"/>
  <c r="I1299" i="13"/>
  <c r="J1292" i="15" s="1"/>
  <c r="C1890" i="15"/>
  <c r="C1891" i="14"/>
  <c r="E1877" i="15"/>
  <c r="G1877" i="15" s="1"/>
  <c r="D2312" i="13"/>
  <c r="K464" i="12"/>
  <c r="I2460" i="15"/>
  <c r="G2468" i="13"/>
  <c r="I1375" i="15"/>
  <c r="F1376" i="14"/>
  <c r="H1502" i="15"/>
  <c r="I1509" i="13"/>
  <c r="J1502" i="15" s="1"/>
  <c r="I2356" i="15"/>
  <c r="G2363" i="13"/>
  <c r="C218" i="12"/>
  <c r="H1782" i="15"/>
  <c r="I1789" i="13"/>
  <c r="J1782" i="15" s="1"/>
  <c r="H1764" i="15"/>
  <c r="I1771" i="13"/>
  <c r="J1764" i="15" s="1"/>
  <c r="L390" i="11"/>
  <c r="D1796" i="5"/>
  <c r="H2291" i="15"/>
  <c r="I2298" i="13"/>
  <c r="J2291" i="15" s="1"/>
  <c r="E1376" i="15"/>
  <c r="G1376" i="15" s="1"/>
  <c r="G1383" i="13"/>
  <c r="E1364" i="15"/>
  <c r="G1364" i="15" s="1"/>
  <c r="E1366" i="13"/>
  <c r="E676" i="9"/>
  <c r="E1337" i="15"/>
  <c r="G1337" i="15" s="1"/>
  <c r="G1344" i="13"/>
  <c r="E261" i="15"/>
  <c r="G261" i="15" s="1"/>
  <c r="H283" i="15"/>
  <c r="B230" i="15"/>
  <c r="B231" i="14"/>
  <c r="H198" i="15"/>
  <c r="C1185" i="15"/>
  <c r="C1186" i="14"/>
  <c r="E1132" i="13"/>
  <c r="E330" i="7"/>
  <c r="E1171" i="13" s="1"/>
  <c r="I899" i="15"/>
  <c r="F900" i="14"/>
  <c r="H1964" i="15"/>
  <c r="I1971" i="13"/>
  <c r="J1964" i="15" s="1"/>
  <c r="I2425" i="15"/>
  <c r="G2433" i="13"/>
  <c r="E1885" i="15"/>
  <c r="G1885" i="15" s="1"/>
  <c r="B1356" i="15"/>
  <c r="B1357" i="14"/>
  <c r="D527" i="8"/>
  <c r="D520" i="8"/>
  <c r="D240" i="13"/>
  <c r="L411" i="8"/>
  <c r="B189" i="15"/>
  <c r="B190" i="14"/>
  <c r="D172" i="15"/>
  <c r="D173" i="14"/>
  <c r="D147" i="13"/>
  <c r="E294" i="8"/>
  <c r="C1184" i="15"/>
  <c r="C1185" i="14"/>
  <c r="C1135" i="15"/>
  <c r="C1136" i="14"/>
  <c r="B1108" i="15"/>
  <c r="B1109" i="14"/>
  <c r="E1224" i="15"/>
  <c r="G1224" i="15" s="1"/>
  <c r="G1231" i="13"/>
  <c r="D2429" i="15"/>
  <c r="K2437" i="13"/>
  <c r="H2437" i="13"/>
  <c r="D2213" i="13"/>
  <c r="L661" i="6"/>
  <c r="E2048" i="15"/>
  <c r="G2048" i="15" s="1"/>
  <c r="E1305" i="13"/>
  <c r="E2334" i="5"/>
  <c r="B1889" i="15"/>
  <c r="B1890" i="14"/>
  <c r="B1914" i="15"/>
  <c r="B1915" i="14"/>
  <c r="G2256" i="5"/>
  <c r="G2261" i="5" s="1"/>
  <c r="G2262" i="5" s="1"/>
  <c r="G2276" i="5" s="1"/>
  <c r="I2276" i="5" s="1"/>
  <c r="E2256" i="5"/>
  <c r="E2260" i="5" s="1"/>
  <c r="E2271" i="5" s="1"/>
  <c r="B1310" i="15"/>
  <c r="B1311" i="14"/>
  <c r="E1821" i="15"/>
  <c r="G1821" i="15" s="1"/>
  <c r="B1860" i="15"/>
  <c r="B1861" i="14"/>
  <c r="B887" i="13"/>
  <c r="A1958" i="5"/>
  <c r="B831" i="13"/>
  <c r="A1878" i="5"/>
  <c r="B868" i="13" s="1"/>
  <c r="E637" i="13"/>
  <c r="I1719" i="5"/>
  <c r="E690" i="13" s="1"/>
  <c r="E629" i="13"/>
  <c r="I1711" i="5"/>
  <c r="E682" i="13" s="1"/>
  <c r="B620" i="13"/>
  <c r="A1702" i="5"/>
  <c r="B673" i="13" s="1"/>
  <c r="E605" i="15"/>
  <c r="G605" i="15" s="1"/>
  <c r="K339" i="13"/>
  <c r="E507" i="13"/>
  <c r="AT1479" i="5"/>
  <c r="E424" i="13" s="1"/>
  <c r="D387" i="15"/>
  <c r="D388" i="14"/>
  <c r="H394" i="13"/>
  <c r="H387" i="15" s="1"/>
  <c r="K394" i="13"/>
  <c r="E1315" i="15"/>
  <c r="G1315" i="15" s="1"/>
  <c r="G1322" i="13"/>
  <c r="B1309" i="15"/>
  <c r="B1310" i="14"/>
  <c r="E1837" i="15"/>
  <c r="G1837" i="15" s="1"/>
  <c r="D1257" i="13"/>
  <c r="E2048" i="5"/>
  <c r="D2483" i="15"/>
  <c r="K2491" i="13"/>
  <c r="H2491" i="13"/>
  <c r="E818" i="15"/>
  <c r="G818" i="15" s="1"/>
  <c r="G825" i="13"/>
  <c r="E1930" i="5"/>
  <c r="D1929" i="5"/>
  <c r="C1930" i="5" s="1"/>
  <c r="G1930" i="5"/>
  <c r="C826" i="15"/>
  <c r="C827" i="14"/>
  <c r="E741" i="13"/>
  <c r="E1807" i="5"/>
  <c r="D1851" i="5"/>
  <c r="E1851" i="5" s="1"/>
  <c r="D892" i="15"/>
  <c r="D893" i="14"/>
  <c r="H899" i="13"/>
  <c r="D693" i="13"/>
  <c r="J1722" i="5"/>
  <c r="E2373" i="13"/>
  <c r="E2366" i="15" s="1"/>
  <c r="G2366" i="15" s="1"/>
  <c r="E648" i="13"/>
  <c r="I1730" i="5"/>
  <c r="E701" i="13" s="1"/>
  <c r="D568" i="15"/>
  <c r="D569" i="14"/>
  <c r="H575" i="13"/>
  <c r="K575" i="13"/>
  <c r="D560" i="15"/>
  <c r="D561" i="14"/>
  <c r="H567" i="13"/>
  <c r="K567" i="13"/>
  <c r="L1547" i="5"/>
  <c r="G1623" i="5"/>
  <c r="G1701" i="5" s="1"/>
  <c r="E465" i="13"/>
  <c r="BC1468" i="5"/>
  <c r="E382" i="13" s="1"/>
  <c r="B510" i="13"/>
  <c r="AQ1482" i="5"/>
  <c r="B427" i="13" s="1"/>
  <c r="B476" i="13"/>
  <c r="BH1468" i="5"/>
  <c r="B393" i="13" s="1"/>
  <c r="F350" i="6"/>
  <c r="H2315" i="15"/>
  <c r="I2322" i="13"/>
  <c r="J2315" i="15" s="1"/>
  <c r="I1424" i="15"/>
  <c r="F1425" i="14"/>
  <c r="I2277" i="15"/>
  <c r="F2278" i="14"/>
  <c r="G2005" i="13"/>
  <c r="I2000" i="13"/>
  <c r="H2344" i="13"/>
  <c r="I1015" i="15"/>
  <c r="F1016" i="14"/>
  <c r="I786" i="15"/>
  <c r="F787" i="14"/>
  <c r="I793" i="13"/>
  <c r="J786" i="15" s="1"/>
  <c r="C143" i="15"/>
  <c r="C144" i="14"/>
  <c r="E2300" i="15"/>
  <c r="G2300" i="15" s="1"/>
  <c r="G2307" i="13"/>
  <c r="E2221" i="15"/>
  <c r="G2221" i="15" s="1"/>
  <c r="D2308" i="13"/>
  <c r="E475" i="12"/>
  <c r="H452" i="13"/>
  <c r="I430" i="13"/>
  <c r="D2333" i="15"/>
  <c r="D2334" i="14"/>
  <c r="H2340" i="13"/>
  <c r="H2294" i="15"/>
  <c r="I2301" i="13"/>
  <c r="J2294" i="15" s="1"/>
  <c r="H2411" i="13"/>
  <c r="E85" i="12"/>
  <c r="E77" i="12"/>
  <c r="E83" i="12"/>
  <c r="E86" i="12"/>
  <c r="H2278" i="15"/>
  <c r="I2285" i="13"/>
  <c r="J2278" i="15" s="1"/>
  <c r="I2283" i="15"/>
  <c r="F2284" i="14"/>
  <c r="H2259" i="15"/>
  <c r="I2266" i="13"/>
  <c r="J2259" i="15" s="1"/>
  <c r="E1375" i="15"/>
  <c r="G1375" i="15" s="1"/>
  <c r="G1382" i="13"/>
  <c r="E1371" i="15"/>
  <c r="G1371" i="15" s="1"/>
  <c r="I1338" i="15"/>
  <c r="F1339" i="14"/>
  <c r="H2481" i="13"/>
  <c r="I2472" i="15"/>
  <c r="G2480" i="13"/>
  <c r="H2337" i="15"/>
  <c r="I2344" i="13"/>
  <c r="J2337" i="15" s="1"/>
  <c r="H2326" i="15"/>
  <c r="H2319" i="15"/>
  <c r="I2326" i="13"/>
  <c r="J2319" i="15" s="1"/>
  <c r="I2298" i="15"/>
  <c r="F2299" i="14"/>
  <c r="I1946" i="15"/>
  <c r="F1947" i="14"/>
  <c r="I1953" i="13"/>
  <c r="J1946" i="15" s="1"/>
  <c r="H2336" i="15"/>
  <c r="I2343" i="13"/>
  <c r="J2336" i="15" s="1"/>
  <c r="I1974" i="15"/>
  <c r="F1975" i="14"/>
  <c r="I1981" i="13"/>
  <c r="J1974" i="15" s="1"/>
  <c r="G1983" i="13"/>
  <c r="I1775" i="15"/>
  <c r="F1776" i="14"/>
  <c r="I1426" i="15"/>
  <c r="F1427" i="14"/>
  <c r="F2002" i="14"/>
  <c r="I2008" i="13"/>
  <c r="J2001" i="15" s="1"/>
  <c r="I1967" i="15"/>
  <c r="F1968" i="14"/>
  <c r="I1971" i="15"/>
  <c r="F1972" i="14"/>
  <c r="I1968" i="15"/>
  <c r="F1969" i="14"/>
  <c r="I1966" i="15"/>
  <c r="F1967" i="14"/>
  <c r="I1964" i="15"/>
  <c r="F1965" i="14"/>
  <c r="I1017" i="15"/>
  <c r="F1018" i="14"/>
  <c r="H1650" i="13"/>
  <c r="I1650" i="13" s="1"/>
  <c r="J1643" i="15" s="1"/>
  <c r="C145" i="15"/>
  <c r="C146" i="14"/>
  <c r="D2326" i="15"/>
  <c r="D2327" i="14"/>
  <c r="K2333" i="13"/>
  <c r="H2333" i="13"/>
  <c r="E410" i="12"/>
  <c r="I1361" i="15"/>
  <c r="F1362" i="14"/>
  <c r="I2232" i="15"/>
  <c r="F2233" i="14"/>
  <c r="E2226" i="15"/>
  <c r="G2226" i="15" s="1"/>
  <c r="I586" i="15"/>
  <c r="F587" i="14"/>
  <c r="I593" i="13"/>
  <c r="J586" i="15" s="1"/>
  <c r="H2325" i="13"/>
  <c r="H2311" i="15"/>
  <c r="G2300" i="13"/>
  <c r="H2414" i="13"/>
  <c r="H2281" i="15"/>
  <c r="I2288" i="13"/>
  <c r="J2281" i="15" s="1"/>
  <c r="H2273" i="13"/>
  <c r="H1653" i="13"/>
  <c r="H2323" i="13"/>
  <c r="H2336" i="13" s="1"/>
  <c r="I2329" i="15" s="1"/>
  <c r="H2318" i="13"/>
  <c r="I2294" i="15"/>
  <c r="F2295" i="14"/>
  <c r="I2406" i="15"/>
  <c r="G2413" i="13"/>
  <c r="I2258" i="15"/>
  <c r="F2259" i="14"/>
  <c r="H2265" i="15"/>
  <c r="I2272" i="13"/>
  <c r="J2265" i="15" s="1"/>
  <c r="I2234" i="15"/>
  <c r="F2235" i="14"/>
  <c r="D2295" i="15"/>
  <c r="D2296" i="14"/>
  <c r="H2302" i="13"/>
  <c r="K2302" i="13"/>
  <c r="D2242" i="13"/>
  <c r="E380" i="12"/>
  <c r="F166" i="12"/>
  <c r="G158" i="12"/>
  <c r="G166" i="12" s="1"/>
  <c r="D176" i="12" s="1"/>
  <c r="D178" i="12" s="1"/>
  <c r="B1400" i="15"/>
  <c r="B1401" i="14"/>
  <c r="E1342" i="15"/>
  <c r="G1342" i="15" s="1"/>
  <c r="E1386" i="15"/>
  <c r="G1386" i="15" s="1"/>
  <c r="I2452" i="15"/>
  <c r="G2460" i="13"/>
  <c r="E1750" i="15"/>
  <c r="G1750" i="15" s="1"/>
  <c r="E1746" i="15"/>
  <c r="G1746" i="15" s="1"/>
  <c r="H1641" i="15"/>
  <c r="I1648" i="13"/>
  <c r="J1641" i="15" s="1"/>
  <c r="I1578" i="15"/>
  <c r="F1579" i="14"/>
  <c r="H1516" i="15"/>
  <c r="I1523" i="13"/>
  <c r="J1516" i="15" s="1"/>
  <c r="D1504" i="13"/>
  <c r="E366" i="9"/>
  <c r="I1525" i="15"/>
  <c r="F1526" i="14"/>
  <c r="H1449" i="15"/>
  <c r="I1456" i="13"/>
  <c r="J1449" i="15" s="1"/>
  <c r="H1445" i="15"/>
  <c r="I1452" i="13"/>
  <c r="J1445" i="15" s="1"/>
  <c r="I1435" i="15"/>
  <c r="F1436" i="14"/>
  <c r="H1425" i="15"/>
  <c r="I1432" i="13"/>
  <c r="J1425" i="15" s="1"/>
  <c r="E44" i="15"/>
  <c r="G44" i="15" s="1"/>
  <c r="E229" i="15"/>
  <c r="G229" i="15" s="1"/>
  <c r="B221" i="15"/>
  <c r="B222" i="14"/>
  <c r="H146" i="15"/>
  <c r="E1193" i="15"/>
  <c r="G1193" i="15" s="1"/>
  <c r="E1185" i="15"/>
  <c r="G1185" i="15" s="1"/>
  <c r="E1177" i="15"/>
  <c r="G1177" i="15" s="1"/>
  <c r="E1165" i="15"/>
  <c r="G1165" i="15" s="1"/>
  <c r="E1050" i="15"/>
  <c r="G1050" i="15" s="1"/>
  <c r="H1013" i="15"/>
  <c r="I1020" i="13"/>
  <c r="J1013" i="15" s="1"/>
  <c r="I2011" i="15"/>
  <c r="F2012" i="14"/>
  <c r="B1891" i="15"/>
  <c r="B1892" i="14"/>
  <c r="C1886" i="15"/>
  <c r="C1887" i="14"/>
  <c r="E1917" i="15"/>
  <c r="G1917" i="15" s="1"/>
  <c r="E1909" i="15"/>
  <c r="G1909" i="15" s="1"/>
  <c r="G1330" i="13"/>
  <c r="I1808" i="15"/>
  <c r="F1809" i="14"/>
  <c r="H1816" i="13"/>
  <c r="H1847" i="13" s="1"/>
  <c r="I1815" i="13"/>
  <c r="J1808" i="15" s="1"/>
  <c r="H1859" i="13"/>
  <c r="E480" i="12"/>
  <c r="B481" i="12" s="1"/>
  <c r="H1350" i="15"/>
  <c r="I1357" i="13"/>
  <c r="J1350" i="15" s="1"/>
  <c r="B1345" i="15"/>
  <c r="B1346" i="14"/>
  <c r="H2402" i="13"/>
  <c r="H1646" i="15"/>
  <c r="I1653" i="13"/>
  <c r="J1646" i="15" s="1"/>
  <c r="I1502" i="15"/>
  <c r="F1503" i="14"/>
  <c r="I2385" i="15"/>
  <c r="G2392" i="13"/>
  <c r="G270" i="13"/>
  <c r="H2448" i="13"/>
  <c r="B165" i="15"/>
  <c r="B166" i="14"/>
  <c r="H162" i="13"/>
  <c r="I150" i="15"/>
  <c r="F151" i="14"/>
  <c r="I150" i="13"/>
  <c r="J150" i="15" s="1"/>
  <c r="B1159" i="13"/>
  <c r="A357" i="7"/>
  <c r="B1198" i="13" s="1"/>
  <c r="B1151" i="13"/>
  <c r="A349" i="7"/>
  <c r="B1190" i="13" s="1"/>
  <c r="B1143" i="13"/>
  <c r="A341" i="7"/>
  <c r="B1182" i="13" s="1"/>
  <c r="I467" i="12"/>
  <c r="D2279" i="13"/>
  <c r="E429" i="12"/>
  <c r="E441" i="12" s="1"/>
  <c r="B442" i="12" s="1"/>
  <c r="D2231" i="15"/>
  <c r="D2232" i="14"/>
  <c r="H2238" i="13"/>
  <c r="K2238" i="13"/>
  <c r="D72" i="12"/>
  <c r="I2411" i="15"/>
  <c r="G2419" i="13"/>
  <c r="I1374" i="15"/>
  <c r="F1375" i="14"/>
  <c r="H1361" i="15"/>
  <c r="I1368" i="13"/>
  <c r="J1361" i="15" s="1"/>
  <c r="D2292" i="15"/>
  <c r="D2293" i="14"/>
  <c r="H2299" i="13"/>
  <c r="K2299" i="13"/>
  <c r="E2299" i="15"/>
  <c r="G2299" i="15" s="1"/>
  <c r="G2306" i="13"/>
  <c r="C1361" i="15"/>
  <c r="C1362" i="14"/>
  <c r="C1356" i="15"/>
  <c r="C1357" i="14"/>
  <c r="B1350" i="15"/>
  <c r="B1351" i="14"/>
  <c r="E622" i="9"/>
  <c r="H1643" i="15"/>
  <c r="H1588" i="15"/>
  <c r="I1595" i="13"/>
  <c r="J1588" i="15" s="1"/>
  <c r="H1586" i="15"/>
  <c r="H1584" i="15"/>
  <c r="I1591" i="13"/>
  <c r="J1584" i="15" s="1"/>
  <c r="H1578" i="13"/>
  <c r="E1566" i="15"/>
  <c r="G1566" i="15" s="1"/>
  <c r="E1553" i="15"/>
  <c r="G1553" i="15" s="1"/>
  <c r="E1548" i="15"/>
  <c r="G1548" i="15" s="1"/>
  <c r="E1495" i="15"/>
  <c r="G1495" i="15" s="1"/>
  <c r="H1525" i="15"/>
  <c r="I1532" i="13"/>
  <c r="J1525" i="15" s="1"/>
  <c r="E1478" i="15"/>
  <c r="G1478" i="15" s="1"/>
  <c r="E121" i="15"/>
  <c r="G121" i="15" s="1"/>
  <c r="B41" i="15"/>
  <c r="B42" i="14"/>
  <c r="H283" i="13"/>
  <c r="B231" i="15"/>
  <c r="B232" i="14"/>
  <c r="B226" i="15"/>
  <c r="B227" i="14"/>
  <c r="E188" i="13"/>
  <c r="D422" i="8"/>
  <c r="E228" i="13" s="1"/>
  <c r="C174" i="15"/>
  <c r="C175" i="14"/>
  <c r="E306" i="8"/>
  <c r="E156" i="13"/>
  <c r="K309" i="8"/>
  <c r="E152" i="13"/>
  <c r="L291" i="8"/>
  <c r="I2413" i="15"/>
  <c r="G2421" i="13"/>
  <c r="E127" i="15"/>
  <c r="G127" i="15" s="1"/>
  <c r="C1187" i="15"/>
  <c r="C1188" i="14"/>
  <c r="C1179" i="15"/>
  <c r="C1180" i="14"/>
  <c r="C1171" i="15"/>
  <c r="C1172" i="14"/>
  <c r="B1160" i="13"/>
  <c r="A358" i="7"/>
  <c r="B1199" i="13" s="1"/>
  <c r="E1154" i="13"/>
  <c r="E352" i="7"/>
  <c r="E1193" i="13" s="1"/>
  <c r="E1148" i="13"/>
  <c r="E346" i="7"/>
  <c r="E1187" i="13" s="1"/>
  <c r="B1144" i="13"/>
  <c r="A342" i="7"/>
  <c r="B1183" i="13" s="1"/>
  <c r="E1137" i="13"/>
  <c r="E335" i="7"/>
  <c r="E1176" i="13" s="1"/>
  <c r="B1129" i="13"/>
  <c r="A327" i="7"/>
  <c r="C285" i="7"/>
  <c r="C304" i="7" s="1"/>
  <c r="D304" i="7" s="1"/>
  <c r="C276" i="7"/>
  <c r="E1027" i="15"/>
  <c r="G1027" i="15" s="1"/>
  <c r="E937" i="15"/>
  <c r="G937" i="15" s="1"/>
  <c r="E1211" i="15"/>
  <c r="G1211" i="15" s="1"/>
  <c r="H899" i="15"/>
  <c r="I906" i="13"/>
  <c r="J899" i="15" s="1"/>
  <c r="E1986" i="13"/>
  <c r="C749" i="6"/>
  <c r="B2011" i="15"/>
  <c r="B2012" i="14"/>
  <c r="B2048" i="15"/>
  <c r="B2049" i="14"/>
  <c r="I2416" i="15"/>
  <c r="G2424" i="13"/>
  <c r="B1892" i="15"/>
  <c r="B1893" i="14"/>
  <c r="C1887" i="15"/>
  <c r="C1888" i="14"/>
  <c r="B1919" i="15"/>
  <c r="B1920" i="14"/>
  <c r="E1914" i="15"/>
  <c r="G1914" i="15" s="1"/>
  <c r="E1910" i="15"/>
  <c r="G1910" i="15" s="1"/>
  <c r="C1433" i="15"/>
  <c r="C1434" i="14"/>
  <c r="E1417" i="15"/>
  <c r="G1417" i="15" s="1"/>
  <c r="E1412" i="15"/>
  <c r="G1412" i="15" s="1"/>
  <c r="G1419" i="13"/>
  <c r="E48" i="15"/>
  <c r="G48" i="15" s="1"/>
  <c r="D66" i="13"/>
  <c r="L623" i="8"/>
  <c r="D280" i="13"/>
  <c r="E500" i="8"/>
  <c r="B229" i="15"/>
  <c r="B230" i="14"/>
  <c r="H195" i="13"/>
  <c r="I195" i="13" s="1"/>
  <c r="J195" i="15" s="1"/>
  <c r="B174" i="15"/>
  <c r="B175" i="14"/>
  <c r="D145" i="13"/>
  <c r="E292" i="8"/>
  <c r="J296" i="8"/>
  <c r="J292" i="8"/>
  <c r="D144" i="15"/>
  <c r="D145" i="14"/>
  <c r="H144" i="13"/>
  <c r="K144" i="13"/>
  <c r="C1192" i="15"/>
  <c r="C1193" i="14"/>
  <c r="D1153" i="13"/>
  <c r="F309" i="7"/>
  <c r="C1143" i="15"/>
  <c r="C1144" i="14"/>
  <c r="C1174" i="15"/>
  <c r="C1175" i="14"/>
  <c r="C1157" i="15"/>
  <c r="C1158" i="14"/>
  <c r="B1154" i="13"/>
  <c r="A352" i="7"/>
  <c r="B1193" i="13" s="1"/>
  <c r="B1142" i="13"/>
  <c r="C298" i="7"/>
  <c r="C317" i="7" s="1"/>
  <c r="D317" i="7" s="1"/>
  <c r="A340" i="7"/>
  <c r="B1084" i="15"/>
  <c r="B1085" i="14"/>
  <c r="H1019" i="15"/>
  <c r="I1026" i="13"/>
  <c r="J1019" i="15" s="1"/>
  <c r="D1017" i="15"/>
  <c r="D1018" i="14"/>
  <c r="G1024" i="13"/>
  <c r="K1024" i="13"/>
  <c r="E967" i="15"/>
  <c r="G967" i="15" s="1"/>
  <c r="B953" i="15"/>
  <c r="B954" i="14"/>
  <c r="B978" i="15"/>
  <c r="B979" i="14"/>
  <c r="E1219" i="15"/>
  <c r="G1219" i="15" s="1"/>
  <c r="H2011" i="15"/>
  <c r="I2018" i="13"/>
  <c r="J2011" i="15" s="1"/>
  <c r="B2010" i="15"/>
  <c r="B2011" i="14"/>
  <c r="B2036" i="15"/>
  <c r="B2037" i="14"/>
  <c r="E2028" i="15"/>
  <c r="G2028" i="15" s="1"/>
  <c r="B2022" i="15"/>
  <c r="B2023" i="14"/>
  <c r="E2423" i="13"/>
  <c r="E413" i="6"/>
  <c r="D1299" i="15"/>
  <c r="D1300" i="14"/>
  <c r="H1306" i="13"/>
  <c r="I1306" i="13" s="1"/>
  <c r="J1299" i="15" s="1"/>
  <c r="K1306" i="13"/>
  <c r="B1293" i="15"/>
  <c r="B1294" i="14"/>
  <c r="D2426" i="15"/>
  <c r="H2434" i="13"/>
  <c r="K2434" i="13"/>
  <c r="E1890" i="15"/>
  <c r="G1890" i="15" s="1"/>
  <c r="E1916" i="15"/>
  <c r="G1916" i="15" s="1"/>
  <c r="G2258" i="5"/>
  <c r="C2321" i="5"/>
  <c r="C2260" i="5"/>
  <c r="E2258" i="5"/>
  <c r="B1317" i="15"/>
  <c r="B1318" i="14"/>
  <c r="D1312" i="15"/>
  <c r="D1313" i="14"/>
  <c r="H1319" i="13"/>
  <c r="K1319" i="13"/>
  <c r="E1881" i="15"/>
  <c r="G1881" i="15" s="1"/>
  <c r="B1917" i="15"/>
  <c r="B1918" i="14"/>
  <c r="B1915" i="15"/>
  <c r="B1916" i="14"/>
  <c r="E1874" i="15"/>
  <c r="G1874" i="15" s="1"/>
  <c r="B1248" i="15"/>
  <c r="B1249" i="14"/>
  <c r="B782" i="15"/>
  <c r="B783" i="14"/>
  <c r="B760" i="13"/>
  <c r="E1979" i="5"/>
  <c r="B789" i="15"/>
  <c r="B790" i="14"/>
  <c r="B881" i="13"/>
  <c r="A1952" i="5"/>
  <c r="B876" i="13"/>
  <c r="A1947" i="5"/>
  <c r="C890" i="13"/>
  <c r="B1961" i="5"/>
  <c r="B839" i="15"/>
  <c r="B840" i="14"/>
  <c r="B830" i="15"/>
  <c r="B831" i="14"/>
  <c r="C829" i="15"/>
  <c r="C830" i="14"/>
  <c r="E859" i="13"/>
  <c r="K1882" i="5"/>
  <c r="H729" i="15"/>
  <c r="E740" i="15"/>
  <c r="G740" i="15" s="1"/>
  <c r="D2374" i="13"/>
  <c r="J1654" i="5"/>
  <c r="B624" i="13"/>
  <c r="A1706" i="5"/>
  <c r="B677" i="13" s="1"/>
  <c r="B609" i="15"/>
  <c r="B610" i="14"/>
  <c r="D589" i="13"/>
  <c r="J1579" i="5"/>
  <c r="C1655" i="5"/>
  <c r="G583" i="13"/>
  <c r="B575" i="15"/>
  <c r="B576" i="14"/>
  <c r="H572" i="15"/>
  <c r="I579" i="13"/>
  <c r="J572" i="15" s="1"/>
  <c r="B571" i="15"/>
  <c r="B572" i="14"/>
  <c r="G575" i="13"/>
  <c r="B567" i="15"/>
  <c r="B568" i="14"/>
  <c r="H564" i="15"/>
  <c r="B563" i="15"/>
  <c r="B564" i="14"/>
  <c r="G567" i="13"/>
  <c r="B559" i="15"/>
  <c r="B560" i="14"/>
  <c r="B555" i="15"/>
  <c r="B556" i="14"/>
  <c r="H554" i="15"/>
  <c r="I561" i="13"/>
  <c r="J554" i="15" s="1"/>
  <c r="B551" i="15"/>
  <c r="B552" i="14"/>
  <c r="H341" i="13"/>
  <c r="K341" i="13"/>
  <c r="B462" i="15"/>
  <c r="B463" i="14"/>
  <c r="D460" i="15"/>
  <c r="D461" i="14"/>
  <c r="K467" i="13"/>
  <c r="D480" i="13"/>
  <c r="BJ1472" i="5"/>
  <c r="D397" i="13" s="1"/>
  <c r="V1472" i="5"/>
  <c r="BL1472" i="5" s="1"/>
  <c r="H365" i="13"/>
  <c r="H363" i="13"/>
  <c r="I363" i="13" s="1"/>
  <c r="J356" i="15" s="1"/>
  <c r="H361" i="13"/>
  <c r="I361" i="13" s="1"/>
  <c r="J354" i="15" s="1"/>
  <c r="H328" i="13"/>
  <c r="C389" i="10"/>
  <c r="C373" i="10"/>
  <c r="C357" i="10"/>
  <c r="C345" i="10"/>
  <c r="C329" i="10"/>
  <c r="C313" i="10"/>
  <c r="C301" i="10"/>
  <c r="C285" i="10"/>
  <c r="C224" i="10"/>
  <c r="E1618" i="15"/>
  <c r="G1618" i="15" s="1"/>
  <c r="D2389" i="15"/>
  <c r="K2396" i="13"/>
  <c r="H2396" i="13"/>
  <c r="B1379" i="15"/>
  <c r="B1380" i="14"/>
  <c r="B1374" i="15"/>
  <c r="B1375" i="14"/>
  <c r="E1363" i="15"/>
  <c r="G1363" i="15" s="1"/>
  <c r="E1398" i="15"/>
  <c r="G1398" i="15" s="1"/>
  <c r="E1389" i="15"/>
  <c r="G1389" i="15" s="1"/>
  <c r="E1387" i="15"/>
  <c r="G1387" i="15" s="1"/>
  <c r="D2349" i="13"/>
  <c r="E679" i="8"/>
  <c r="H2349" i="13" s="1"/>
  <c r="I99" i="15"/>
  <c r="F100" i="14"/>
  <c r="I99" i="13"/>
  <c r="J99" i="15" s="1"/>
  <c r="H113" i="13"/>
  <c r="H100" i="13"/>
  <c r="E217" i="15"/>
  <c r="G217" i="15" s="1"/>
  <c r="D2352" i="15"/>
  <c r="K2359" i="13"/>
  <c r="H2359" i="13"/>
  <c r="B169" i="15"/>
  <c r="B170" i="14"/>
  <c r="G99" i="8"/>
  <c r="E99" i="8" s="1"/>
  <c r="E105" i="8" s="1"/>
  <c r="E106" i="8" s="1"/>
  <c r="B1156" i="15"/>
  <c r="B1157" i="14"/>
  <c r="E1159" i="13"/>
  <c r="E357" i="7"/>
  <c r="E1198" i="13" s="1"/>
  <c r="D1113" i="13"/>
  <c r="F266" i="7"/>
  <c r="E1089" i="15"/>
  <c r="G1089" i="15" s="1"/>
  <c r="E1082" i="15"/>
  <c r="G1082" i="15" s="1"/>
  <c r="B1126" i="13"/>
  <c r="C282" i="7"/>
  <c r="C301" i="7" s="1"/>
  <c r="D301" i="7" s="1"/>
  <c r="A324" i="7"/>
  <c r="B934" i="15"/>
  <c r="B935" i="14"/>
  <c r="E1036" i="15"/>
  <c r="G1036" i="15" s="1"/>
  <c r="B970" i="15"/>
  <c r="B971" i="14"/>
  <c r="E1218" i="15"/>
  <c r="G1218" i="15" s="1"/>
  <c r="D2010" i="15"/>
  <c r="D2011" i="14"/>
  <c r="H2017" i="13"/>
  <c r="E2426" i="13"/>
  <c r="E437" i="6"/>
  <c r="E1975" i="15"/>
  <c r="G1975" i="15" s="1"/>
  <c r="G1982" i="13"/>
  <c r="E1937" i="15"/>
  <c r="G1937" i="15" s="1"/>
  <c r="G1944" i="13"/>
  <c r="D1295" i="15"/>
  <c r="D1296" i="14"/>
  <c r="H1302" i="13"/>
  <c r="K1302" i="13"/>
  <c r="D1293" i="13"/>
  <c r="E2322" i="5"/>
  <c r="C1885" i="15"/>
  <c r="C1886" i="14"/>
  <c r="B1918" i="15"/>
  <c r="B1919" i="14"/>
  <c r="B1871" i="15"/>
  <c r="B1872" i="14"/>
  <c r="D1318" i="15"/>
  <c r="D1319" i="14"/>
  <c r="H1325" i="13"/>
  <c r="K1325" i="13"/>
  <c r="D1316" i="13"/>
  <c r="G1316" i="13" s="1"/>
  <c r="E2198" i="5"/>
  <c r="E1904" i="15"/>
  <c r="G1904" i="15" s="1"/>
  <c r="E1896" i="15"/>
  <c r="G1896" i="15" s="1"/>
  <c r="D1839" i="13"/>
  <c r="E2158" i="5"/>
  <c r="E1864" i="15"/>
  <c r="G1864" i="15" s="1"/>
  <c r="B1820" i="15"/>
  <c r="B1821" i="14"/>
  <c r="E1857" i="15"/>
  <c r="G1857" i="15" s="1"/>
  <c r="B1810" i="15"/>
  <c r="B1811" i="14"/>
  <c r="D2398" i="15"/>
  <c r="K2405" i="13"/>
  <c r="E1268" i="13"/>
  <c r="E2059" i="5"/>
  <c r="E1262" i="13"/>
  <c r="E2053" i="5"/>
  <c r="B777" i="15"/>
  <c r="B778" i="14"/>
  <c r="B819" i="15"/>
  <c r="B820" i="14"/>
  <c r="B788" i="15"/>
  <c r="B789" i="14"/>
  <c r="B884" i="13"/>
  <c r="A1955" i="5"/>
  <c r="E845" i="13"/>
  <c r="D1892" i="5"/>
  <c r="D855" i="15"/>
  <c r="D856" i="14"/>
  <c r="H862" i="13"/>
  <c r="B860" i="13"/>
  <c r="G1883" i="5"/>
  <c r="C863" i="15"/>
  <c r="C864" i="14"/>
  <c r="I2447" i="15"/>
  <c r="G2455" i="13"/>
  <c r="D2481" i="15"/>
  <c r="K2489" i="13"/>
  <c r="H2489" i="13"/>
  <c r="D750" i="13"/>
  <c r="O1791" i="5"/>
  <c r="O1835" i="5" s="1"/>
  <c r="O1884" i="5" s="1"/>
  <c r="C687" i="15"/>
  <c r="C688" i="14"/>
  <c r="C679" i="15"/>
  <c r="C680" i="14"/>
  <c r="C671" i="15"/>
  <c r="C672" i="14"/>
  <c r="C667" i="15"/>
  <c r="C668" i="14"/>
  <c r="B663" i="15"/>
  <c r="B664" i="14"/>
  <c r="D2373" i="13"/>
  <c r="B639" i="13"/>
  <c r="A1721" i="5"/>
  <c r="B692" i="13" s="1"/>
  <c r="E636" i="13"/>
  <c r="I1718" i="5"/>
  <c r="E689" i="13" s="1"/>
  <c r="J1640" i="5"/>
  <c r="D633" i="13"/>
  <c r="C1715" i="5"/>
  <c r="J1637" i="5"/>
  <c r="B627" i="13"/>
  <c r="A1709" i="5"/>
  <c r="B680" i="13" s="1"/>
  <c r="E624" i="13"/>
  <c r="I1706" i="5"/>
  <c r="E677" i="13" s="1"/>
  <c r="J1628" i="5"/>
  <c r="B619" i="13"/>
  <c r="A1701" i="5"/>
  <c r="B672" i="13" s="1"/>
  <c r="B608" i="15"/>
  <c r="B609" i="14"/>
  <c r="F793" i="10"/>
  <c r="F824" i="10" s="1"/>
  <c r="D608" i="13"/>
  <c r="C1617" i="5"/>
  <c r="O1612" i="5"/>
  <c r="G1612" i="5"/>
  <c r="H793" i="10" s="1"/>
  <c r="C1615" i="5"/>
  <c r="J1612" i="5"/>
  <c r="L1571" i="5"/>
  <c r="G1647" i="5"/>
  <c r="G1725" i="5" s="1"/>
  <c r="D574" i="15"/>
  <c r="D575" i="14"/>
  <c r="H581" i="13"/>
  <c r="K581" i="13"/>
  <c r="L1563" i="5"/>
  <c r="G1639" i="5"/>
  <c r="G1717" i="5" s="1"/>
  <c r="D566" i="15"/>
  <c r="D567" i="14"/>
  <c r="H573" i="13"/>
  <c r="K573" i="13"/>
  <c r="L1555" i="5"/>
  <c r="G1631" i="5"/>
  <c r="G1709" i="5" s="1"/>
  <c r="D558" i="15"/>
  <c r="D559" i="14"/>
  <c r="H565" i="13"/>
  <c r="K565" i="13"/>
  <c r="D603" i="13"/>
  <c r="S1551" i="5"/>
  <c r="U1550" i="5"/>
  <c r="E473" i="13"/>
  <c r="BC1476" i="5"/>
  <c r="E390" i="13" s="1"/>
  <c r="E449" i="15"/>
  <c r="G449" i="15" s="1"/>
  <c r="E2435" i="13"/>
  <c r="E2427" i="15" s="1"/>
  <c r="G2427" i="15" s="1"/>
  <c r="E466" i="13"/>
  <c r="E338" i="13"/>
  <c r="G338" i="13" s="1"/>
  <c r="L1484" i="5"/>
  <c r="BD1469" i="5" s="1"/>
  <c r="BC1469" i="5"/>
  <c r="E383" i="13" s="1"/>
  <c r="B464" i="13"/>
  <c r="B337" i="13"/>
  <c r="AZ1467" i="5"/>
  <c r="B381" i="13" s="1"/>
  <c r="E397" i="15"/>
  <c r="G397" i="15" s="1"/>
  <c r="E506" i="13"/>
  <c r="AT1478" i="5"/>
  <c r="E423" i="13" s="1"/>
  <c r="B504" i="13"/>
  <c r="AQ1476" i="5"/>
  <c r="B421" i="13" s="1"/>
  <c r="E392" i="15"/>
  <c r="G392" i="15" s="1"/>
  <c r="B500" i="13"/>
  <c r="AQ1472" i="5"/>
  <c r="B417" i="13" s="1"/>
  <c r="B499" i="13"/>
  <c r="AQ1471" i="5"/>
  <c r="B416" i="13" s="1"/>
  <c r="B498" i="13"/>
  <c r="AQ1470" i="5"/>
  <c r="B415" i="13" s="1"/>
  <c r="E430" i="15"/>
  <c r="G430" i="15" s="1"/>
  <c r="H2484" i="13"/>
  <c r="H327" i="15"/>
  <c r="B307" i="15"/>
  <c r="B308" i="14"/>
  <c r="F356" i="6"/>
  <c r="F351" i="12"/>
  <c r="F348" i="12"/>
  <c r="F343" i="12"/>
  <c r="F344" i="6"/>
  <c r="F1301" i="5"/>
  <c r="F1303" i="5" s="1"/>
  <c r="I1595" i="15"/>
  <c r="F1596" i="14"/>
  <c r="I1602" i="13"/>
  <c r="J1595" i="15" s="1"/>
  <c r="O851" i="5"/>
  <c r="V847" i="5"/>
  <c r="O847" i="5"/>
  <c r="E840" i="5"/>
  <c r="I840" i="5"/>
  <c r="C388" i="10"/>
  <c r="C380" i="10"/>
  <c r="C372" i="10"/>
  <c r="C364" i="10"/>
  <c r="C356" i="10"/>
  <c r="C344" i="10"/>
  <c r="C336" i="10"/>
  <c r="C328" i="10"/>
  <c r="C320" i="10"/>
  <c r="C312" i="10"/>
  <c r="E306" i="10"/>
  <c r="G306" i="10" s="1"/>
  <c r="E733" i="5"/>
  <c r="G733" i="5" s="1"/>
  <c r="H307" i="10" s="1"/>
  <c r="C300" i="10"/>
  <c r="C288" i="10"/>
  <c r="C280" i="10"/>
  <c r="C272" i="10"/>
  <c r="C264" i="10"/>
  <c r="C260" i="10"/>
  <c r="G686" i="5"/>
  <c r="H260" i="10" s="1"/>
  <c r="C221" i="10"/>
  <c r="B576" i="10"/>
  <c r="B973" i="5"/>
  <c r="B617" i="10" s="1"/>
  <c r="F524" i="10"/>
  <c r="F541" i="5"/>
  <c r="F606" i="10" s="1"/>
  <c r="F512" i="10"/>
  <c r="F529" i="5"/>
  <c r="F594" i="10" s="1"/>
  <c r="E499" i="10"/>
  <c r="G499" i="10" s="1"/>
  <c r="E475" i="5"/>
  <c r="F180" i="5"/>
  <c r="E209" i="10"/>
  <c r="G209" i="10" s="1"/>
  <c r="H373" i="5"/>
  <c r="T1467" i="5" s="1"/>
  <c r="C201" i="10"/>
  <c r="G365" i="5"/>
  <c r="C190" i="10"/>
  <c r="C174" i="10"/>
  <c r="C158" i="10"/>
  <c r="C146" i="10"/>
  <c r="G310" i="5"/>
  <c r="H173" i="10" s="1"/>
  <c r="C130" i="10"/>
  <c r="C114" i="10"/>
  <c r="C74" i="10"/>
  <c r="C58" i="10"/>
  <c r="C42" i="10"/>
  <c r="C26" i="10"/>
  <c r="C14" i="10"/>
  <c r="C611" i="6"/>
  <c r="C609" i="6"/>
  <c r="C698" i="6"/>
  <c r="J668" i="6"/>
  <c r="C608" i="6"/>
  <c r="C610" i="6"/>
  <c r="H1594" i="13"/>
  <c r="I1594" i="13" s="1"/>
  <c r="J1587" i="15" s="1"/>
  <c r="D1506" i="13"/>
  <c r="E368" i="9"/>
  <c r="E1431" i="15"/>
  <c r="G1431" i="15" s="1"/>
  <c r="B1426" i="15"/>
  <c r="B1427" i="14"/>
  <c r="E1459" i="15"/>
  <c r="G1459" i="15" s="1"/>
  <c r="E130" i="9"/>
  <c r="E133" i="9" s="1"/>
  <c r="E129" i="9"/>
  <c r="E132" i="9" s="1"/>
  <c r="E131" i="9"/>
  <c r="E134" i="9" s="1"/>
  <c r="E128" i="9"/>
  <c r="B111" i="15"/>
  <c r="B112" i="14"/>
  <c r="D111" i="13"/>
  <c r="E669" i="8"/>
  <c r="D2355" i="15"/>
  <c r="H2362" i="13"/>
  <c r="K2362" i="13"/>
  <c r="I235" i="13"/>
  <c r="J235" i="15" s="1"/>
  <c r="D2353" i="15"/>
  <c r="K2360" i="13"/>
  <c r="H2360" i="13"/>
  <c r="E227" i="15"/>
  <c r="G227" i="15" s="1"/>
  <c r="D146" i="15"/>
  <c r="D147" i="14"/>
  <c r="H146" i="13"/>
  <c r="I146" i="13" s="1"/>
  <c r="J146" i="15" s="1"/>
  <c r="K146" i="13"/>
  <c r="E136" i="15"/>
  <c r="G136" i="15" s="1"/>
  <c r="C1186" i="15"/>
  <c r="C1187" i="14"/>
  <c r="C1141" i="15"/>
  <c r="C1142" i="14"/>
  <c r="C1133" i="15"/>
  <c r="C1134" i="14"/>
  <c r="C1125" i="15"/>
  <c r="C1126" i="14"/>
  <c r="E1147" i="13"/>
  <c r="E345" i="7"/>
  <c r="E1186" i="13" s="1"/>
  <c r="E1099" i="13"/>
  <c r="E294" i="7"/>
  <c r="B1127" i="13"/>
  <c r="A325" i="7"/>
  <c r="C283" i="7"/>
  <c r="C302" i="7" s="1"/>
  <c r="D302" i="7" s="1"/>
  <c r="E1078" i="15"/>
  <c r="G1078" i="15" s="1"/>
  <c r="E1068" i="15"/>
  <c r="G1068" i="15" s="1"/>
  <c r="D1050" i="13"/>
  <c r="F191" i="7"/>
  <c r="H1020" i="15"/>
  <c r="I1027" i="13"/>
  <c r="J1020" i="15" s="1"/>
  <c r="D1018" i="15"/>
  <c r="D1019" i="14"/>
  <c r="G1025" i="13"/>
  <c r="K1025" i="13"/>
  <c r="B1013" i="15"/>
  <c r="B1014" i="14"/>
  <c r="G1997" i="13"/>
  <c r="I1996" i="13"/>
  <c r="H2013" i="15"/>
  <c r="I2020" i="13"/>
  <c r="J2013" i="15" s="1"/>
  <c r="B2006" i="15"/>
  <c r="B2007" i="14"/>
  <c r="E2430" i="13"/>
  <c r="E705" i="6"/>
  <c r="D2209" i="15"/>
  <c r="D2210" i="14"/>
  <c r="H2216" i="13"/>
  <c r="I2216" i="13" s="1"/>
  <c r="J2209" i="15" s="1"/>
  <c r="E2053" i="15"/>
  <c r="G2053" i="15" s="1"/>
  <c r="H1970" i="15"/>
  <c r="I1977" i="13"/>
  <c r="J1970" i="15" s="1"/>
  <c r="F355" i="6"/>
  <c r="F347" i="6"/>
  <c r="D1292" i="15"/>
  <c r="D1293" i="14"/>
  <c r="H1299" i="13"/>
  <c r="K1299" i="13"/>
  <c r="D1287" i="15"/>
  <c r="D1288" i="14"/>
  <c r="H1294" i="13"/>
  <c r="K1294" i="13"/>
  <c r="E1899" i="15"/>
  <c r="G1899" i="15" s="1"/>
  <c r="G1906" i="13"/>
  <c r="E1894" i="15"/>
  <c r="G1894" i="15" s="1"/>
  <c r="B1885" i="15"/>
  <c r="B1886" i="14"/>
  <c r="B1911" i="15"/>
  <c r="B1912" i="14"/>
  <c r="B1318" i="15"/>
  <c r="B1319" i="14"/>
  <c r="B1314" i="15"/>
  <c r="B1315" i="14"/>
  <c r="B1308" i="15"/>
  <c r="B1309" i="14"/>
  <c r="E1846" i="15"/>
  <c r="G1846" i="15" s="1"/>
  <c r="E1838" i="15"/>
  <c r="G1838" i="15" s="1"/>
  <c r="G1845" i="13"/>
  <c r="B1853" i="15"/>
  <c r="B1854" i="14"/>
  <c r="E1250" i="15"/>
  <c r="G1250" i="15" s="1"/>
  <c r="G1257" i="13"/>
  <c r="D1251" i="13"/>
  <c r="E2042" i="5"/>
  <c r="B877" i="13"/>
  <c r="A1948" i="5"/>
  <c r="E2458" i="13"/>
  <c r="E2450" i="15" s="1"/>
  <c r="G2450" i="15" s="1"/>
  <c r="D1902" i="5"/>
  <c r="E847" i="13"/>
  <c r="D1894" i="5"/>
  <c r="D857" i="15"/>
  <c r="D858" i="14"/>
  <c r="H864" i="13"/>
  <c r="B828" i="15"/>
  <c r="B829" i="14"/>
  <c r="B833" i="13"/>
  <c r="A1880" i="5"/>
  <c r="B870" i="13" s="1"/>
  <c r="B1312" i="15"/>
  <c r="B1313" i="14"/>
  <c r="B744" i="15"/>
  <c r="B745" i="14"/>
  <c r="J1659" i="5"/>
  <c r="E643" i="13"/>
  <c r="I1725" i="5"/>
  <c r="E696" i="13" s="1"/>
  <c r="E619" i="13"/>
  <c r="I1701" i="5"/>
  <c r="E672" i="13" s="1"/>
  <c r="E2369" i="13"/>
  <c r="J1584" i="5"/>
  <c r="I1660" i="5"/>
  <c r="I1741" i="5" s="1"/>
  <c r="E2375" i="13" s="1"/>
  <c r="E2368" i="15" s="1"/>
  <c r="G2368" i="15" s="1"/>
  <c r="B576" i="15"/>
  <c r="B577" i="14"/>
  <c r="B572" i="15"/>
  <c r="B573" i="14"/>
  <c r="B568" i="15"/>
  <c r="B569" i="14"/>
  <c r="B564" i="15"/>
  <c r="B565" i="14"/>
  <c r="B560" i="15"/>
  <c r="B561" i="14"/>
  <c r="B554" i="15"/>
  <c r="B555" i="14"/>
  <c r="B540" i="15"/>
  <c r="B541" i="14"/>
  <c r="E472" i="13"/>
  <c r="BC1475" i="5"/>
  <c r="E389" i="13" s="1"/>
  <c r="B405" i="15"/>
  <c r="B406" i="14"/>
  <c r="E462" i="15"/>
  <c r="G462" i="15" s="1"/>
  <c r="G469" i="13"/>
  <c r="D459" i="15"/>
  <c r="D460" i="14"/>
  <c r="K466" i="13"/>
  <c r="H466" i="13"/>
  <c r="H459" i="15" s="1"/>
  <c r="E419" i="15"/>
  <c r="G419" i="15" s="1"/>
  <c r="D355" i="13"/>
  <c r="C1482" i="5"/>
  <c r="E1481" i="5"/>
  <c r="AG1481" i="5" s="1"/>
  <c r="AU1481" i="5" s="1"/>
  <c r="AE1481" i="5"/>
  <c r="D482" i="13"/>
  <c r="V1474" i="5"/>
  <c r="BL1474" i="5" s="1"/>
  <c r="BJ1474" i="5"/>
  <c r="D399" i="13" s="1"/>
  <c r="G399" i="13" s="1"/>
  <c r="D367" i="13"/>
  <c r="AM1473" i="5"/>
  <c r="P1473" i="5"/>
  <c r="AO1473" i="5" s="1"/>
  <c r="AT1441" i="5" s="1"/>
  <c r="C409" i="15"/>
  <c r="C410" i="14"/>
  <c r="C407" i="15"/>
  <c r="C408" i="14"/>
  <c r="C372" i="15"/>
  <c r="C373" i="14"/>
  <c r="D515" i="13"/>
  <c r="AR1435" i="5"/>
  <c r="D432" i="13" s="1"/>
  <c r="L1476" i="5"/>
  <c r="L1479" i="5"/>
  <c r="C1474" i="5"/>
  <c r="C1435" i="5"/>
  <c r="C1477" i="5" s="1"/>
  <c r="H327" i="13"/>
  <c r="J1136" i="5"/>
  <c r="C1136" i="5"/>
  <c r="E398" i="10"/>
  <c r="G398" i="10" s="1"/>
  <c r="H824" i="5"/>
  <c r="C391" i="10"/>
  <c r="C383" i="10"/>
  <c r="C375" i="10"/>
  <c r="C367" i="10"/>
  <c r="C359" i="10"/>
  <c r="C351" i="10"/>
  <c r="C347" i="10"/>
  <c r="C339" i="10"/>
  <c r="C331" i="10"/>
  <c r="C323" i="10"/>
  <c r="C315" i="10"/>
  <c r="C307" i="10"/>
  <c r="C291" i="10"/>
  <c r="C283" i="10"/>
  <c r="C275" i="10"/>
  <c r="C267" i="10"/>
  <c r="C216" i="10"/>
  <c r="C622" i="5"/>
  <c r="E623" i="5"/>
  <c r="F623" i="5" s="1"/>
  <c r="G1068" i="5"/>
  <c r="I1068" i="5" s="1"/>
  <c r="J1068" i="5" s="1"/>
  <c r="C621" i="5"/>
  <c r="I620" i="5"/>
  <c r="B597" i="10"/>
  <c r="B994" i="5"/>
  <c r="B638" i="10" s="1"/>
  <c r="B593" i="10"/>
  <c r="B990" i="5"/>
  <c r="B634" i="10" s="1"/>
  <c r="B577" i="10"/>
  <c r="B974" i="5"/>
  <c r="B618" i="10" s="1"/>
  <c r="C192" i="10"/>
  <c r="G356" i="5"/>
  <c r="C177" i="10"/>
  <c r="C161" i="10"/>
  <c r="B1380" i="15"/>
  <c r="B1381" i="14"/>
  <c r="B1375" i="15"/>
  <c r="B1376" i="14"/>
  <c r="B1362" i="15"/>
  <c r="B1363" i="14"/>
  <c r="E1349" i="15"/>
  <c r="G1349" i="15" s="1"/>
  <c r="E1347" i="15"/>
  <c r="G1347" i="15" s="1"/>
  <c r="E85" i="15"/>
  <c r="G85" i="15" s="1"/>
  <c r="D64" i="13"/>
  <c r="L621" i="8"/>
  <c r="E15" i="15"/>
  <c r="G15" i="15" s="1"/>
  <c r="G279" i="13"/>
  <c r="L495" i="8"/>
  <c r="B225" i="15"/>
  <c r="B226" i="14"/>
  <c r="L308" i="8"/>
  <c r="E175" i="15"/>
  <c r="G175" i="15" s="1"/>
  <c r="G175" i="13"/>
  <c r="E133" i="15"/>
  <c r="G133" i="15" s="1"/>
  <c r="G133" i="13"/>
  <c r="C1167" i="15"/>
  <c r="C1168" i="14"/>
  <c r="D1121" i="13"/>
  <c r="F274" i="7"/>
  <c r="B1104" i="15"/>
  <c r="B1105" i="14"/>
  <c r="I2381" i="15"/>
  <c r="G2388" i="13"/>
  <c r="B1069" i="15"/>
  <c r="B1070" i="14"/>
  <c r="B988" i="15"/>
  <c r="B989" i="14"/>
  <c r="E1221" i="15"/>
  <c r="G1221" i="15" s="1"/>
  <c r="I1991" i="13"/>
  <c r="E2050" i="15"/>
  <c r="G2050" i="15" s="1"/>
  <c r="D226" i="6"/>
  <c r="D222" i="6"/>
  <c r="D227" i="6" s="1"/>
  <c r="D223" i="6"/>
  <c r="D228" i="6" s="1"/>
  <c r="B1297" i="15"/>
  <c r="B1298" i="14"/>
  <c r="C1889" i="15"/>
  <c r="C1890" i="14"/>
  <c r="E1878" i="15"/>
  <c r="G1878" i="15" s="1"/>
  <c r="D2466" i="15"/>
  <c r="K2474" i="13"/>
  <c r="H2474" i="13"/>
  <c r="D1331" i="13"/>
  <c r="K2204" i="5"/>
  <c r="E2177" i="5"/>
  <c r="G1850" i="13"/>
  <c r="C1883" i="15"/>
  <c r="C1884" i="14"/>
  <c r="E1812" i="15"/>
  <c r="G1812" i="15" s="1"/>
  <c r="I2078" i="5"/>
  <c r="C2081" i="5"/>
  <c r="C2079" i="5"/>
  <c r="I2079" i="5"/>
  <c r="C2080" i="5"/>
  <c r="E1251" i="15"/>
  <c r="G1251" i="15" s="1"/>
  <c r="G1258" i="13"/>
  <c r="B1247" i="15"/>
  <c r="B1248" i="14"/>
  <c r="E799" i="13"/>
  <c r="D1990" i="5"/>
  <c r="E762" i="13" s="1"/>
  <c r="E893" i="15"/>
  <c r="G893" i="15" s="1"/>
  <c r="G1875" i="5"/>
  <c r="C1892" i="5" s="1"/>
  <c r="C850" i="13"/>
  <c r="B1897" i="5"/>
  <c r="C838" i="15"/>
  <c r="C839" i="14"/>
  <c r="B853" i="13"/>
  <c r="A1900" i="5"/>
  <c r="D851" i="13"/>
  <c r="C1898" i="5"/>
  <c r="E1850" i="5"/>
  <c r="C693" i="15"/>
  <c r="C694" i="14"/>
  <c r="D691" i="13"/>
  <c r="D683" i="13"/>
  <c r="J1712" i="5"/>
  <c r="C669" i="15"/>
  <c r="C670" i="14"/>
  <c r="B651" i="13"/>
  <c r="A1735" i="5"/>
  <c r="B704" i="13" s="1"/>
  <c r="E634" i="13"/>
  <c r="I1716" i="5"/>
  <c r="E687" i="13" s="1"/>
  <c r="I2478" i="15"/>
  <c r="G2486" i="13"/>
  <c r="G590" i="13"/>
  <c r="E2370" i="13"/>
  <c r="I1653" i="5"/>
  <c r="D573" i="15"/>
  <c r="D574" i="14"/>
  <c r="H580" i="13"/>
  <c r="K580" i="13"/>
  <c r="F790" i="10"/>
  <c r="H790" i="10" s="1"/>
  <c r="D565" i="15"/>
  <c r="D566" i="14"/>
  <c r="H572" i="13"/>
  <c r="I572" i="13" s="1"/>
  <c r="J565" i="15" s="1"/>
  <c r="K572" i="13"/>
  <c r="D557" i="15"/>
  <c r="D558" i="14"/>
  <c r="H564" i="13"/>
  <c r="K564" i="13"/>
  <c r="F827" i="10"/>
  <c r="H827" i="10" s="1"/>
  <c r="G796" i="10"/>
  <c r="B538" i="15"/>
  <c r="B539" i="14"/>
  <c r="B473" i="13"/>
  <c r="AZ1476" i="5"/>
  <c r="B390" i="13" s="1"/>
  <c r="D462" i="15"/>
  <c r="D463" i="14"/>
  <c r="K469" i="13"/>
  <c r="H469" i="13"/>
  <c r="H462" i="15" s="1"/>
  <c r="B468" i="13"/>
  <c r="AZ1471" i="5"/>
  <c r="B385" i="13" s="1"/>
  <c r="E493" i="13"/>
  <c r="BK1485" i="5"/>
  <c r="E410" i="13" s="1"/>
  <c r="E356" i="13"/>
  <c r="AF1482" i="5"/>
  <c r="E418" i="15"/>
  <c r="G418" i="15" s="1"/>
  <c r="B507" i="13"/>
  <c r="AQ1479" i="5"/>
  <c r="B424" i="13" s="1"/>
  <c r="E485" i="13"/>
  <c r="BK1477" i="5"/>
  <c r="E402" i="13" s="1"/>
  <c r="E522" i="13"/>
  <c r="AS1442" i="5"/>
  <c r="E439" i="13" s="1"/>
  <c r="C410" i="15"/>
  <c r="C411" i="14"/>
  <c r="H359" i="15"/>
  <c r="E479" i="13"/>
  <c r="BK1471" i="5"/>
  <c r="E396" i="13" s="1"/>
  <c r="E344" i="13"/>
  <c r="AF1470" i="5"/>
  <c r="B516" i="13"/>
  <c r="AQ1436" i="5"/>
  <c r="B433" i="13" s="1"/>
  <c r="H355" i="15"/>
  <c r="E475" i="13"/>
  <c r="BK1467" i="5"/>
  <c r="E392" i="13" s="1"/>
  <c r="D438" i="15"/>
  <c r="D439" i="14"/>
  <c r="H445" i="13"/>
  <c r="H438" i="15" s="1"/>
  <c r="H326" i="15"/>
  <c r="F1339" i="5"/>
  <c r="F1337" i="5"/>
  <c r="E112" i="5" s="1"/>
  <c r="D1786" i="13"/>
  <c r="E610" i="9"/>
  <c r="J1216" i="5"/>
  <c r="C498" i="9" s="1"/>
  <c r="AH23" i="5"/>
  <c r="E475" i="10"/>
  <c r="G475" i="10" s="1"/>
  <c r="E912" i="5"/>
  <c r="O854" i="5"/>
  <c r="F851" i="5"/>
  <c r="Q851" i="5"/>
  <c r="Q855" i="5" s="1"/>
  <c r="P851" i="5"/>
  <c r="I851" i="5"/>
  <c r="S851" i="5"/>
  <c r="S855" i="5" s="1"/>
  <c r="V846" i="5"/>
  <c r="V1052" i="5" s="1"/>
  <c r="O841" i="5"/>
  <c r="I845" i="5"/>
  <c r="O837" i="5"/>
  <c r="C399" i="10"/>
  <c r="G825" i="5"/>
  <c r="H399" i="10" s="1"/>
  <c r="C302" i="10"/>
  <c r="C290" i="10"/>
  <c r="C282" i="10"/>
  <c r="C274" i="10"/>
  <c r="C266" i="10"/>
  <c r="C254" i="10"/>
  <c r="C246" i="10"/>
  <c r="C238" i="10"/>
  <c r="C230" i="10"/>
  <c r="C226" i="10"/>
  <c r="G652" i="5"/>
  <c r="H226" i="10" s="1"/>
  <c r="C211" i="10"/>
  <c r="F728" i="5"/>
  <c r="F302" i="10" s="1"/>
  <c r="G302" i="10" s="1"/>
  <c r="E721" i="5"/>
  <c r="E295" i="10" s="1"/>
  <c r="G295" i="10" s="1"/>
  <c r="F720" i="5"/>
  <c r="F294" i="10" s="1"/>
  <c r="G294" i="10" s="1"/>
  <c r="S620" i="5"/>
  <c r="E772" i="5"/>
  <c r="E346" i="10" s="1"/>
  <c r="G346" i="10" s="1"/>
  <c r="F727" i="5"/>
  <c r="F301" i="10" s="1"/>
  <c r="G301" i="10" s="1"/>
  <c r="E724" i="5"/>
  <c r="E298" i="10" s="1"/>
  <c r="G298" i="10" s="1"/>
  <c r="R620" i="5"/>
  <c r="F620" i="5"/>
  <c r="Q620" i="5"/>
  <c r="F777" i="5"/>
  <c r="F351" i="10" s="1"/>
  <c r="G351" i="10" s="1"/>
  <c r="P620" i="5"/>
  <c r="E581" i="10"/>
  <c r="G581" i="10" s="1"/>
  <c r="E517" i="5"/>
  <c r="B574" i="10"/>
  <c r="B971" i="5"/>
  <c r="B615" i="10" s="1"/>
  <c r="F530" i="10"/>
  <c r="F547" i="5"/>
  <c r="F612" i="10" s="1"/>
  <c r="F514" i="10"/>
  <c r="G514" i="10" s="1"/>
  <c r="F531" i="5"/>
  <c r="F596" i="10" s="1"/>
  <c r="G596" i="10" s="1"/>
  <c r="F498" i="10"/>
  <c r="G498" i="10" s="1"/>
  <c r="F515" i="5"/>
  <c r="F580" i="10" s="1"/>
  <c r="G580" i="10" s="1"/>
  <c r="C198" i="10"/>
  <c r="G362" i="5"/>
  <c r="C184" i="10"/>
  <c r="C168" i="10"/>
  <c r="C152" i="10"/>
  <c r="C140" i="10"/>
  <c r="C124" i="10"/>
  <c r="C108" i="10"/>
  <c r="C96" i="10"/>
  <c r="D1110" i="13"/>
  <c r="F263" i="7"/>
  <c r="D341" i="7"/>
  <c r="G2017" i="13"/>
  <c r="D2157" i="13"/>
  <c r="E682" i="6"/>
  <c r="D1323" i="13"/>
  <c r="E2206" i="5"/>
  <c r="C2132" i="5"/>
  <c r="C2157" i="5"/>
  <c r="E752" i="15"/>
  <c r="G752" i="15" s="1"/>
  <c r="E837" i="15"/>
  <c r="G837" i="15" s="1"/>
  <c r="D656" i="13"/>
  <c r="S1614" i="5"/>
  <c r="L1570" i="5"/>
  <c r="L1488" i="5"/>
  <c r="BD1473" i="5" s="1"/>
  <c r="D355" i="15"/>
  <c r="D356" i="14"/>
  <c r="H362" i="13"/>
  <c r="I362" i="13" s="1"/>
  <c r="J355" i="15" s="1"/>
  <c r="AI24" i="5"/>
  <c r="Y836" i="5"/>
  <c r="Q379" i="5"/>
  <c r="E178" i="5" s="1"/>
  <c r="D115" i="10"/>
  <c r="D131" i="10"/>
  <c r="J405" i="6"/>
  <c r="C408" i="6"/>
  <c r="C466" i="6"/>
  <c r="C467" i="6" s="1"/>
  <c r="C469" i="6" s="1"/>
  <c r="J1189" i="5"/>
  <c r="J1185" i="5"/>
  <c r="J1171" i="5"/>
  <c r="J1130" i="5"/>
  <c r="AI5" i="5" s="1"/>
  <c r="E722" i="5"/>
  <c r="K131" i="4"/>
  <c r="J131" i="4"/>
  <c r="I131" i="4"/>
  <c r="D90" i="4"/>
  <c r="D96" i="4" s="1"/>
  <c r="N39" i="4"/>
  <c r="I46" i="4"/>
  <c r="I204" i="4"/>
  <c r="I115" i="4"/>
  <c r="I152" i="4"/>
  <c r="I153" i="4" s="1"/>
  <c r="I154" i="4" s="1"/>
  <c r="I155" i="4" s="1"/>
  <c r="I157" i="4" s="1"/>
  <c r="D147" i="4"/>
  <c r="D143" i="4"/>
  <c r="D10" i="4"/>
  <c r="D13" i="4" s="1"/>
  <c r="D9" i="4"/>
  <c r="D12" i="4" s="1"/>
  <c r="D146" i="4"/>
  <c r="D142" i="4"/>
  <c r="D149" i="4"/>
  <c r="D145" i="4"/>
  <c r="D141" i="4"/>
  <c r="D144" i="4"/>
  <c r="I1673" i="15"/>
  <c r="F1674" i="14"/>
  <c r="I1680" i="13"/>
  <c r="J1673" i="15" s="1"/>
  <c r="H1730" i="13"/>
  <c r="H1681" i="13"/>
  <c r="E928" i="15"/>
  <c r="G928" i="15" s="1"/>
  <c r="E182" i="15"/>
  <c r="G182" i="15" s="1"/>
  <c r="B1170" i="13"/>
  <c r="C329" i="7"/>
  <c r="C348" i="7" s="1"/>
  <c r="D348" i="7" s="1"/>
  <c r="G2111" i="5"/>
  <c r="G2113" i="5" s="1"/>
  <c r="I2114" i="5" s="1"/>
  <c r="D729" i="15"/>
  <c r="D730" i="14"/>
  <c r="K736" i="13"/>
  <c r="H736" i="13"/>
  <c r="G1613" i="5"/>
  <c r="H794" i="10" s="1"/>
  <c r="G794" i="10" s="1"/>
  <c r="G825" i="10" s="1"/>
  <c r="H825" i="10" s="1"/>
  <c r="D663" i="13"/>
  <c r="S1621" i="5"/>
  <c r="L1568" i="5"/>
  <c r="B630" i="15"/>
  <c r="B631" i="14"/>
  <c r="L1560" i="5"/>
  <c r="B622" i="15"/>
  <c r="B623" i="14"/>
  <c r="L1552" i="5"/>
  <c r="B668" i="15"/>
  <c r="B669" i="14"/>
  <c r="D349" i="13"/>
  <c r="E1475" i="5"/>
  <c r="AG1475" i="5" s="1"/>
  <c r="AU1475" i="5" s="1"/>
  <c r="AE1475" i="5"/>
  <c r="D359" i="15"/>
  <c r="D360" i="14"/>
  <c r="H366" i="13"/>
  <c r="I366" i="13" s="1"/>
  <c r="J359" i="15" s="1"/>
  <c r="T378" i="5"/>
  <c r="E396" i="10"/>
  <c r="G396" i="10" s="1"/>
  <c r="H822" i="5"/>
  <c r="F1295" i="5"/>
  <c r="C1758" i="5"/>
  <c r="D337" i="12"/>
  <c r="D76" i="7"/>
  <c r="D63" i="7"/>
  <c r="D59" i="7"/>
  <c r="D236" i="9"/>
  <c r="D152" i="7"/>
  <c r="D149" i="7"/>
  <c r="D148" i="7"/>
  <c r="D145" i="7"/>
  <c r="D144" i="7"/>
  <c r="D141" i="7"/>
  <c r="D139" i="7"/>
  <c r="D138" i="7"/>
  <c r="D136" i="7"/>
  <c r="D135" i="7"/>
  <c r="D123" i="7"/>
  <c r="D122" i="7"/>
  <c r="D121" i="7"/>
  <c r="D120" i="7"/>
  <c r="D119" i="7"/>
  <c r="D118" i="7"/>
  <c r="D80" i="7"/>
  <c r="D62" i="7"/>
  <c r="D90" i="7"/>
  <c r="D91" i="7"/>
  <c r="D61" i="7"/>
  <c r="D92" i="7"/>
  <c r="D64" i="7"/>
  <c r="D1507" i="5"/>
  <c r="D85" i="7"/>
  <c r="D79" i="7"/>
  <c r="D77" i="7"/>
  <c r="D60" i="7"/>
  <c r="D340" i="6"/>
  <c r="C503" i="6" s="1"/>
  <c r="C1195" i="5"/>
  <c r="Q4" i="5"/>
  <c r="R4" i="5" s="1"/>
  <c r="D1164" i="5"/>
  <c r="R13" i="5" s="1"/>
  <c r="C1164" i="5"/>
  <c r="O1132" i="5"/>
  <c r="E1698" i="15"/>
  <c r="G1698" i="15" s="1"/>
  <c r="C203" i="4"/>
  <c r="I130" i="4"/>
  <c r="K130" i="4"/>
  <c r="J130" i="4"/>
  <c r="C89" i="4"/>
  <c r="E76" i="4"/>
  <c r="C45" i="4"/>
  <c r="D88" i="4"/>
  <c r="D87" i="4"/>
  <c r="D94" i="4" s="1"/>
  <c r="I41" i="4"/>
  <c r="AK56" i="5"/>
  <c r="N203" i="4"/>
  <c r="R1074" i="5"/>
  <c r="R1079" i="5" s="1"/>
  <c r="R1073" i="5"/>
  <c r="R1078" i="5" s="1"/>
  <c r="N76" i="4"/>
  <c r="N48" i="4"/>
  <c r="C18" i="4"/>
  <c r="C16" i="4"/>
  <c r="H204" i="4"/>
  <c r="H116" i="4"/>
  <c r="H115" i="4"/>
  <c r="H152" i="4"/>
  <c r="H153" i="4" s="1"/>
  <c r="H154" i="4" s="1"/>
  <c r="H155" i="4" s="1"/>
  <c r="H157" i="4" s="1"/>
  <c r="C144" i="4"/>
  <c r="G144" i="4" s="1"/>
  <c r="C143" i="4"/>
  <c r="C11" i="4"/>
  <c r="C146" i="4"/>
  <c r="G146" i="4" s="1"/>
  <c r="C142" i="4"/>
  <c r="C145" i="4"/>
  <c r="C141" i="4"/>
  <c r="G141" i="4" s="1"/>
  <c r="C115" i="4"/>
  <c r="C211" i="8"/>
  <c r="J363" i="8" s="1"/>
  <c r="D212" i="13" s="1"/>
  <c r="C1277" i="5"/>
  <c r="J101" i="5"/>
  <c r="E858" i="5"/>
  <c r="C1222" i="5"/>
  <c r="AH27" i="5" s="1"/>
  <c r="AJ27" i="5" s="1"/>
  <c r="C1219" i="5"/>
  <c r="AH31" i="5" s="1"/>
  <c r="AH22" i="5"/>
  <c r="J1213" i="5"/>
  <c r="C499" i="9" s="1"/>
  <c r="C1218" i="5"/>
  <c r="E130" i="12"/>
  <c r="E133" i="12" s="1"/>
  <c r="E131" i="12"/>
  <c r="E134" i="12" s="1"/>
  <c r="E106" i="15"/>
  <c r="G106" i="15" s="1"/>
  <c r="E1339" i="15"/>
  <c r="G1339" i="15" s="1"/>
  <c r="E934" i="13"/>
  <c r="E191" i="7"/>
  <c r="E1050" i="13" s="1"/>
  <c r="E130" i="7"/>
  <c r="E991" i="13" s="1"/>
  <c r="E47" i="15"/>
  <c r="G47" i="15" s="1"/>
  <c r="E2047" i="5"/>
  <c r="B403" i="11"/>
  <c r="F370" i="11"/>
  <c r="C695" i="6"/>
  <c r="D1839" i="15"/>
  <c r="D1840" i="14"/>
  <c r="K1846" i="13"/>
  <c r="H1846" i="13"/>
  <c r="D884" i="13"/>
  <c r="B688" i="15"/>
  <c r="B689" i="14"/>
  <c r="B680" i="15"/>
  <c r="B681" i="14"/>
  <c r="B672" i="15"/>
  <c r="B673" i="14"/>
  <c r="B664" i="15"/>
  <c r="B665" i="14"/>
  <c r="D651" i="13"/>
  <c r="C1735" i="5"/>
  <c r="D539" i="13"/>
  <c r="AS1486" i="5"/>
  <c r="D456" i="13" s="1"/>
  <c r="F1218" i="5"/>
  <c r="F1216" i="5"/>
  <c r="K1214" i="5" s="1"/>
  <c r="AK22" i="5"/>
  <c r="D737" i="10"/>
  <c r="D594" i="5"/>
  <c r="D741" i="10" s="1"/>
  <c r="H337" i="12"/>
  <c r="H236" i="9"/>
  <c r="H340" i="6"/>
  <c r="G45" i="5"/>
  <c r="G44" i="5"/>
  <c r="W27" i="5"/>
  <c r="R27" i="5"/>
  <c r="G43" i="5"/>
  <c r="E215" i="5"/>
  <c r="R125" i="5"/>
  <c r="C135" i="5"/>
  <c r="D135" i="5" s="1"/>
  <c r="Q125" i="5"/>
  <c r="P125" i="5"/>
  <c r="O1133" i="5"/>
  <c r="C1192" i="5"/>
  <c r="C1193" i="5" s="1"/>
  <c r="K628" i="5"/>
  <c r="L134" i="5" s="1"/>
  <c r="E1688" i="15"/>
  <c r="G1688" i="15" s="1"/>
  <c r="J128" i="4"/>
  <c r="I128" i="4"/>
  <c r="K128" i="4"/>
  <c r="R81" i="4"/>
  <c r="K47" i="4"/>
  <c r="K1080" i="5"/>
  <c r="O40" i="4"/>
  <c r="P11" i="4"/>
  <c r="P116" i="4" s="1"/>
  <c r="P32" i="4"/>
  <c r="P86" i="4" s="1"/>
  <c r="P149" i="4"/>
  <c r="P141" i="4"/>
  <c r="D1251" i="15"/>
  <c r="D1252" i="14"/>
  <c r="K1258" i="13"/>
  <c r="H1258" i="13"/>
  <c r="B1127" i="15"/>
  <c r="B1128" i="14"/>
  <c r="D1324" i="13"/>
  <c r="E2207" i="5"/>
  <c r="E851" i="15"/>
  <c r="G851" i="15" s="1"/>
  <c r="D684" i="13"/>
  <c r="L1556" i="5"/>
  <c r="L1548" i="5"/>
  <c r="C182" i="8"/>
  <c r="C1185" i="5"/>
  <c r="T393" i="5"/>
  <c r="K1164" i="5"/>
  <c r="L1164" i="5" s="1"/>
  <c r="C415" i="9" s="1"/>
  <c r="K1195" i="5"/>
  <c r="P132" i="4"/>
  <c r="O132" i="4"/>
  <c r="N132" i="4"/>
  <c r="K126" i="4"/>
  <c r="J126" i="4"/>
  <c r="I126" i="4"/>
  <c r="K121" i="4"/>
  <c r="J121" i="4"/>
  <c r="I121" i="4"/>
  <c r="K119" i="4"/>
  <c r="J119" i="4"/>
  <c r="I119" i="4"/>
  <c r="E92" i="4"/>
  <c r="AL43" i="5"/>
  <c r="E47" i="4"/>
  <c r="E43" i="4"/>
  <c r="J1075" i="5"/>
  <c r="I97" i="4"/>
  <c r="I89" i="4"/>
  <c r="I95" i="4" s="1"/>
  <c r="I43" i="4"/>
  <c r="N37" i="4"/>
  <c r="J1072" i="5"/>
  <c r="J1077" i="5" s="1"/>
  <c r="Q1360" i="5"/>
  <c r="R1360" i="5" s="1"/>
  <c r="I85" i="4"/>
  <c r="I186" i="4" s="1"/>
  <c r="I187" i="4" s="1"/>
  <c r="I47" i="4"/>
  <c r="I51" i="4"/>
  <c r="I30" i="4"/>
  <c r="I29" i="4"/>
  <c r="I28" i="4"/>
  <c r="I86" i="4"/>
  <c r="I42" i="4"/>
  <c r="N34" i="4"/>
  <c r="I10" i="4"/>
  <c r="I13" i="4" s="1"/>
  <c r="I9" i="4"/>
  <c r="I12" i="4" s="1"/>
  <c r="C866" i="5"/>
  <c r="P405" i="5"/>
  <c r="T405" i="5" s="1"/>
  <c r="S405" i="5"/>
  <c r="I405" i="5"/>
  <c r="O405" i="5" s="1"/>
  <c r="R405" i="5"/>
  <c r="L405" i="5"/>
  <c r="F468" i="5" s="1"/>
  <c r="F493" i="10" s="1"/>
  <c r="G493" i="10" s="1"/>
  <c r="Q405" i="5"/>
  <c r="F405" i="5"/>
  <c r="I17" i="4"/>
  <c r="N25" i="4"/>
  <c r="E19" i="4"/>
  <c r="J149" i="4"/>
  <c r="J141" i="4"/>
  <c r="J11" i="4"/>
  <c r="D1181" i="5"/>
  <c r="D1179" i="5"/>
  <c r="R15" i="5" s="1"/>
  <c r="D1177" i="5"/>
  <c r="R11" i="5"/>
  <c r="R12" i="5"/>
  <c r="D1315" i="15"/>
  <c r="D1316" i="14"/>
  <c r="H1322" i="13"/>
  <c r="K1322" i="13"/>
  <c r="D46" i="4"/>
  <c r="E91" i="4"/>
  <c r="AE77" i="4"/>
  <c r="AE79" i="4" s="1"/>
  <c r="AL44" i="5" s="1"/>
  <c r="AF80" i="4"/>
  <c r="I19" i="4"/>
  <c r="E737" i="10"/>
  <c r="G737" i="10" s="1"/>
  <c r="E594" i="5"/>
  <c r="E741" i="10" s="1"/>
  <c r="G741" i="10" s="1"/>
  <c r="D203" i="4"/>
  <c r="C91" i="4"/>
  <c r="H18" i="4"/>
  <c r="I203" i="4"/>
  <c r="AL56" i="5"/>
  <c r="C9" i="4"/>
  <c r="C1364" i="5" s="1"/>
  <c r="G33" i="4"/>
  <c r="P846" i="5"/>
  <c r="I846" i="5"/>
  <c r="I850" i="5" s="1"/>
  <c r="S846" i="5"/>
  <c r="S850" i="5" s="1"/>
  <c r="R846" i="5"/>
  <c r="R850" i="5" s="1"/>
  <c r="E649" i="5" s="1"/>
  <c r="F846" i="5"/>
  <c r="F1062" i="5" s="1"/>
  <c r="Q846" i="5"/>
  <c r="Q850" i="5" s="1"/>
  <c r="O842" i="5"/>
  <c r="C397" i="10"/>
  <c r="G823" i="5"/>
  <c r="H397" i="10" s="1"/>
  <c r="C304" i="10"/>
  <c r="G730" i="5"/>
  <c r="H304" i="10" s="1"/>
  <c r="C252" i="10"/>
  <c r="C244" i="10"/>
  <c r="C236" i="10"/>
  <c r="C228" i="10"/>
  <c r="G654" i="5"/>
  <c r="H228" i="10" s="1"/>
  <c r="C213" i="10"/>
  <c r="B612" i="10"/>
  <c r="B1009" i="5"/>
  <c r="B653" i="10" s="1"/>
  <c r="B604" i="10"/>
  <c r="B1001" i="5"/>
  <c r="B645" i="10" s="1"/>
  <c r="B596" i="10"/>
  <c r="B993" i="5"/>
  <c r="B637" i="10" s="1"/>
  <c r="B588" i="10"/>
  <c r="B985" i="5"/>
  <c r="B629" i="10" s="1"/>
  <c r="B580" i="10"/>
  <c r="B977" i="5"/>
  <c r="B621" i="10" s="1"/>
  <c r="F520" i="10"/>
  <c r="F537" i="5"/>
  <c r="F602" i="10" s="1"/>
  <c r="F508" i="10"/>
  <c r="F525" i="5"/>
  <c r="F590" i="10" s="1"/>
  <c r="AA385" i="5"/>
  <c r="V385" i="5"/>
  <c r="C199" i="10"/>
  <c r="G363" i="5"/>
  <c r="C186" i="10"/>
  <c r="C170" i="10"/>
  <c r="C154" i="10"/>
  <c r="C142" i="10"/>
  <c r="C126" i="10"/>
  <c r="C110" i="10"/>
  <c r="C98" i="10"/>
  <c r="G262" i="5"/>
  <c r="H125" i="10" s="1"/>
  <c r="C86" i="10"/>
  <c r="C70" i="10"/>
  <c r="C54" i="10"/>
  <c r="C38" i="10"/>
  <c r="C22" i="10"/>
  <c r="C10" i="10"/>
  <c r="E1681" i="15"/>
  <c r="G1681" i="15" s="1"/>
  <c r="E1367" i="15"/>
  <c r="G1367" i="15" s="1"/>
  <c r="C1355" i="15"/>
  <c r="C1356" i="14"/>
  <c r="E1393" i="15"/>
  <c r="G1393" i="15" s="1"/>
  <c r="E1404" i="15"/>
  <c r="G1404" i="15" s="1"/>
  <c r="B86" i="15"/>
  <c r="B87" i="14"/>
  <c r="E520" i="8"/>
  <c r="C651" i="8"/>
  <c r="C650" i="8"/>
  <c r="C649" i="8"/>
  <c r="D522" i="8"/>
  <c r="C629" i="8"/>
  <c r="D521" i="8"/>
  <c r="E521" i="8" s="1"/>
  <c r="J642" i="8"/>
  <c r="D121" i="13"/>
  <c r="G121" i="13" s="1"/>
  <c r="L666" i="8"/>
  <c r="D2348" i="15"/>
  <c r="K2355" i="13"/>
  <c r="H2355" i="13"/>
  <c r="E2352" i="13"/>
  <c r="D429" i="8"/>
  <c r="E2357" i="13" s="1"/>
  <c r="E187" i="15"/>
  <c r="G187" i="15" s="1"/>
  <c r="E143" i="13"/>
  <c r="D305" i="8"/>
  <c r="C1147" i="15"/>
  <c r="C1148" i="14"/>
  <c r="C1178" i="15"/>
  <c r="C1179" i="14"/>
  <c r="C1169" i="15"/>
  <c r="C1170" i="14"/>
  <c r="B1162" i="13"/>
  <c r="A360" i="7"/>
  <c r="B1201" i="13" s="1"/>
  <c r="E1101" i="15"/>
  <c r="G1101" i="15" s="1"/>
  <c r="H1108" i="13"/>
  <c r="I1101" i="15" s="1"/>
  <c r="G1108" i="13"/>
  <c r="H1101" i="15" s="1"/>
  <c r="B1068" i="15"/>
  <c r="B1069" i="14"/>
  <c r="D1040" i="15"/>
  <c r="D1041" i="14"/>
  <c r="K1047" i="13"/>
  <c r="D1030" i="13"/>
  <c r="F171" i="7"/>
  <c r="E1024" i="15"/>
  <c r="G1024" i="15" s="1"/>
  <c r="B956" i="15"/>
  <c r="B957" i="14"/>
  <c r="B2012" i="15"/>
  <c r="B2013" i="14"/>
  <c r="D2211" i="13"/>
  <c r="L659" i="6"/>
  <c r="B2053" i="15"/>
  <c r="B2054" i="14"/>
  <c r="E1308" i="13"/>
  <c r="E1898" i="15"/>
  <c r="G1898" i="15" s="1"/>
  <c r="B1893" i="15"/>
  <c r="B1894" i="14"/>
  <c r="E2292" i="5"/>
  <c r="E1875" i="15"/>
  <c r="G1875" i="15" s="1"/>
  <c r="B1333" i="13"/>
  <c r="G2079" i="5"/>
  <c r="B1286" i="13" s="1"/>
  <c r="D1320" i="13"/>
  <c r="E2203" i="5"/>
  <c r="D1329" i="13"/>
  <c r="K2198" i="5"/>
  <c r="E1901" i="15"/>
  <c r="G1901" i="15" s="1"/>
  <c r="E1811" i="15"/>
  <c r="G1811" i="15" s="1"/>
  <c r="E1264" i="15"/>
  <c r="G1264" i="15" s="1"/>
  <c r="G1271" i="13"/>
  <c r="E2057" i="5"/>
  <c r="B1250" i="15"/>
  <c r="B1251" i="14"/>
  <c r="E782" i="15"/>
  <c r="G782" i="15" s="1"/>
  <c r="C875" i="13"/>
  <c r="B1946" i="5"/>
  <c r="E853" i="13"/>
  <c r="D1900" i="5"/>
  <c r="D846" i="13"/>
  <c r="E1845" i="5"/>
  <c r="E839" i="13"/>
  <c r="D1886" i="5"/>
  <c r="E861" i="13"/>
  <c r="H861" i="13" s="1"/>
  <c r="K1884" i="5"/>
  <c r="B859" i="13"/>
  <c r="G1882" i="5"/>
  <c r="H733" i="15"/>
  <c r="B726" i="15"/>
  <c r="B727" i="14"/>
  <c r="B722" i="15"/>
  <c r="B723" i="14"/>
  <c r="B646" i="13"/>
  <c r="A1728" i="5"/>
  <c r="B699" i="13" s="1"/>
  <c r="E639" i="13"/>
  <c r="I1721" i="5"/>
  <c r="E692" i="13" s="1"/>
  <c r="E635" i="13"/>
  <c r="I1717" i="5"/>
  <c r="E688" i="13" s="1"/>
  <c r="E631" i="13"/>
  <c r="I1713" i="5"/>
  <c r="E684" i="13" s="1"/>
  <c r="C601" i="15"/>
  <c r="C602" i="14"/>
  <c r="H575" i="15"/>
  <c r="H571" i="15"/>
  <c r="I578" i="13"/>
  <c r="J571" i="15" s="1"/>
  <c r="H567" i="15"/>
  <c r="H563" i="15"/>
  <c r="I570" i="13"/>
  <c r="J563" i="15" s="1"/>
  <c r="H559" i="15"/>
  <c r="H555" i="15"/>
  <c r="I562" i="13"/>
  <c r="J555" i="15" s="1"/>
  <c r="H551" i="15"/>
  <c r="B537" i="15"/>
  <c r="B538" i="14"/>
  <c r="B536" i="15"/>
  <c r="B537" i="14"/>
  <c r="H338" i="13"/>
  <c r="K338" i="13"/>
  <c r="E412" i="15"/>
  <c r="G412" i="15" s="1"/>
  <c r="E411" i="15"/>
  <c r="G411" i="15" s="1"/>
  <c r="D347" i="13"/>
  <c r="E1473" i="5"/>
  <c r="AG1473" i="5" s="1"/>
  <c r="AU1473" i="5" s="1"/>
  <c r="AE1473" i="5"/>
  <c r="D519" i="13"/>
  <c r="AR1439" i="5"/>
  <c r="D436" i="13" s="1"/>
  <c r="D377" i="15"/>
  <c r="D378" i="14"/>
  <c r="H384" i="13"/>
  <c r="H377" i="15" s="1"/>
  <c r="K384" i="13"/>
  <c r="D517" i="13"/>
  <c r="AR1437" i="5"/>
  <c r="D434" i="13" s="1"/>
  <c r="C370" i="15"/>
  <c r="C371" i="14"/>
  <c r="E304" i="15"/>
  <c r="G304" i="15" s="1"/>
  <c r="I1303" i="5"/>
  <c r="C112" i="5" s="1"/>
  <c r="I1524" i="15"/>
  <c r="F1525" i="14"/>
  <c r="I1531" i="13"/>
  <c r="J1524" i="15" s="1"/>
  <c r="I1403" i="15"/>
  <c r="F1404" i="14"/>
  <c r="I1410" i="13"/>
  <c r="J1403" i="15" s="1"/>
  <c r="Q845" i="5"/>
  <c r="S840" i="5"/>
  <c r="C396" i="10"/>
  <c r="G822" i="5"/>
  <c r="H396" i="10" s="1"/>
  <c r="C295" i="10"/>
  <c r="C259" i="10"/>
  <c r="C251" i="10"/>
  <c r="C243" i="10"/>
  <c r="C235" i="10"/>
  <c r="C227" i="10"/>
  <c r="G653" i="5"/>
  <c r="H227" i="10" s="1"/>
  <c r="C220" i="10"/>
  <c r="B601" i="10"/>
  <c r="B998" i="5"/>
  <c r="B642" i="10" s="1"/>
  <c r="B581" i="10"/>
  <c r="B978" i="5"/>
  <c r="B622" i="10" s="1"/>
  <c r="C833" i="5"/>
  <c r="C828" i="5"/>
  <c r="C832" i="5"/>
  <c r="C831" i="5"/>
  <c r="C827" i="5"/>
  <c r="C372" i="5"/>
  <c r="C830" i="5"/>
  <c r="C826" i="5"/>
  <c r="C371" i="5"/>
  <c r="C369" i="5"/>
  <c r="C367" i="5"/>
  <c r="C829" i="5"/>
  <c r="C373" i="5"/>
  <c r="C368" i="5"/>
  <c r="C370" i="5"/>
  <c r="C189" i="10"/>
  <c r="C173" i="10"/>
  <c r="C157" i="10"/>
  <c r="C145" i="10"/>
  <c r="E1549" i="15"/>
  <c r="G1549" i="15" s="1"/>
  <c r="H1593" i="13"/>
  <c r="E2393" i="13"/>
  <c r="E392" i="9"/>
  <c r="B1454" i="15"/>
  <c r="B1455" i="14"/>
  <c r="B1449" i="15"/>
  <c r="B1450" i="14"/>
  <c r="B1436" i="15"/>
  <c r="B1437" i="14"/>
  <c r="E1423" i="15"/>
  <c r="G1423" i="15" s="1"/>
  <c r="E1421" i="15"/>
  <c r="G1421" i="15" s="1"/>
  <c r="B85" i="15"/>
  <c r="B86" i="14"/>
  <c r="D51" i="13"/>
  <c r="E628" i="8"/>
  <c r="E300" i="15"/>
  <c r="G300" i="15" s="1"/>
  <c r="H300" i="13"/>
  <c r="G300" i="13"/>
  <c r="E298" i="15"/>
  <c r="G298" i="15" s="1"/>
  <c r="E296" i="15"/>
  <c r="G296" i="15" s="1"/>
  <c r="D2354" i="15"/>
  <c r="H2361" i="13"/>
  <c r="K2361" i="13"/>
  <c r="B185" i="15"/>
  <c r="B186" i="14"/>
  <c r="E157" i="15"/>
  <c r="G157" i="15" s="1"/>
  <c r="B172" i="15"/>
  <c r="B173" i="14"/>
  <c r="E144" i="15"/>
  <c r="G144" i="15" s="1"/>
  <c r="G144" i="13"/>
  <c r="E148" i="13"/>
  <c r="D310" i="8"/>
  <c r="E166" i="13" s="1"/>
  <c r="B1168" i="15"/>
  <c r="B1169" i="14"/>
  <c r="C1128" i="15"/>
  <c r="C1129" i="14"/>
  <c r="E1151" i="13"/>
  <c r="E349" i="7"/>
  <c r="E1190" i="13" s="1"/>
  <c r="D1105" i="13"/>
  <c r="F258" i="7"/>
  <c r="B1047" i="15"/>
  <c r="B1048" i="14"/>
  <c r="D1224" i="15"/>
  <c r="D1225" i="14"/>
  <c r="H1231" i="13"/>
  <c r="E952" i="15"/>
  <c r="G952" i="15" s="1"/>
  <c r="B986" i="15"/>
  <c r="B987" i="14"/>
  <c r="E1214" i="15"/>
  <c r="G1214" i="15" s="1"/>
  <c r="B2050" i="15"/>
  <c r="B2051" i="14"/>
  <c r="D2417" i="15"/>
  <c r="K2425" i="13"/>
  <c r="H2425" i="13"/>
  <c r="E1967" i="15"/>
  <c r="G1967" i="15" s="1"/>
  <c r="G1974" i="13"/>
  <c r="L354" i="6"/>
  <c r="L346" i="6"/>
  <c r="D320" i="6"/>
  <c r="E1887" i="15"/>
  <c r="G1887" i="15" s="1"/>
  <c r="G2260" i="5"/>
  <c r="E1313" i="15"/>
  <c r="G1313" i="15" s="1"/>
  <c r="G1320" i="13"/>
  <c r="D2396" i="15"/>
  <c r="K2403" i="13"/>
  <c r="D1838" i="15"/>
  <c r="D1839" i="14"/>
  <c r="K1845" i="13"/>
  <c r="C1823" i="15"/>
  <c r="C1824" i="14"/>
  <c r="B1812" i="15"/>
  <c r="B1813" i="14"/>
  <c r="B1277" i="15"/>
  <c r="B1278" i="14"/>
  <c r="D1260" i="15"/>
  <c r="D1261" i="14"/>
  <c r="K1267" i="13"/>
  <c r="H1267" i="13"/>
  <c r="I1267" i="13" s="1"/>
  <c r="J1260" i="15" s="1"/>
  <c r="B1251" i="15"/>
  <c r="B1252" i="14"/>
  <c r="B750" i="15"/>
  <c r="B751" i="14"/>
  <c r="D876" i="15"/>
  <c r="D877" i="14"/>
  <c r="K883" i="13"/>
  <c r="C876" i="13"/>
  <c r="B1947" i="5"/>
  <c r="C861" i="15"/>
  <c r="C862" i="14"/>
  <c r="D2385" i="13"/>
  <c r="C1904" i="5"/>
  <c r="E1857" i="5"/>
  <c r="D853" i="13"/>
  <c r="E1852" i="5"/>
  <c r="C1900" i="5"/>
  <c r="C886" i="13"/>
  <c r="B1957" i="5"/>
  <c r="C878" i="13"/>
  <c r="B1949" i="5"/>
  <c r="B838" i="13"/>
  <c r="A1885" i="5"/>
  <c r="D836" i="13"/>
  <c r="E1835" i="5"/>
  <c r="B834" i="13"/>
  <c r="A1881" i="5"/>
  <c r="B871" i="13" s="1"/>
  <c r="B735" i="15"/>
  <c r="B736" i="14"/>
  <c r="D733" i="15"/>
  <c r="D734" i="14"/>
  <c r="K740" i="13"/>
  <c r="H740" i="13"/>
  <c r="I740" i="13" s="1"/>
  <c r="J733" i="15" s="1"/>
  <c r="C1789" i="5"/>
  <c r="D1773" i="5"/>
  <c r="C1881" i="5"/>
  <c r="I2446" i="15"/>
  <c r="G2454" i="13"/>
  <c r="C689" i="15"/>
  <c r="C690" i="14"/>
  <c r="C681" i="15"/>
  <c r="C682" i="14"/>
  <c r="C673" i="15"/>
  <c r="C674" i="14"/>
  <c r="D675" i="13"/>
  <c r="J1704" i="5"/>
  <c r="D2372" i="13"/>
  <c r="J1660" i="5"/>
  <c r="E642" i="13"/>
  <c r="I1724" i="5"/>
  <c r="E695" i="13" s="1"/>
  <c r="E638" i="13"/>
  <c r="I1720" i="5"/>
  <c r="E691" i="13" s="1"/>
  <c r="E618" i="13"/>
  <c r="I1700" i="5"/>
  <c r="E671" i="13" s="1"/>
  <c r="E606" i="15"/>
  <c r="G606" i="15" s="1"/>
  <c r="G609" i="13"/>
  <c r="B601" i="15"/>
  <c r="B602" i="14"/>
  <c r="I2444" i="15"/>
  <c r="G2452" i="13"/>
  <c r="D575" i="15"/>
  <c r="D576" i="14"/>
  <c r="H582" i="13"/>
  <c r="K582" i="13"/>
  <c r="D567" i="15"/>
  <c r="D568" i="14"/>
  <c r="H574" i="13"/>
  <c r="K574" i="13"/>
  <c r="D559" i="15"/>
  <c r="D560" i="14"/>
  <c r="H566" i="13"/>
  <c r="I566" i="13" s="1"/>
  <c r="J559" i="15" s="1"/>
  <c r="K566" i="13"/>
  <c r="F789" i="10"/>
  <c r="H789" i="10" s="1"/>
  <c r="D551" i="15"/>
  <c r="D552" i="14"/>
  <c r="H558" i="13"/>
  <c r="I558" i="13" s="1"/>
  <c r="J551" i="15" s="1"/>
  <c r="K558" i="13"/>
  <c r="C1517" i="5"/>
  <c r="E471" i="13"/>
  <c r="BC1474" i="5"/>
  <c r="E388" i="13" s="1"/>
  <c r="H340" i="13"/>
  <c r="I340" i="13" s="1"/>
  <c r="K340" i="13"/>
  <c r="E467" i="13"/>
  <c r="H467" i="13" s="1"/>
  <c r="H460" i="15" s="1"/>
  <c r="E339" i="13"/>
  <c r="G339" i="13" s="1"/>
  <c r="BC1470" i="5"/>
  <c r="E384" i="13" s="1"/>
  <c r="E421" i="15"/>
  <c r="G421" i="15" s="1"/>
  <c r="G428" i="13"/>
  <c r="B465" i="13"/>
  <c r="AZ1468" i="5"/>
  <c r="B382" i="13" s="1"/>
  <c r="E399" i="15"/>
  <c r="G399" i="15" s="1"/>
  <c r="B509" i="13"/>
  <c r="AQ1481" i="5"/>
  <c r="B426" i="13" s="1"/>
  <c r="B508" i="13"/>
  <c r="AQ1480" i="5"/>
  <c r="B425" i="13" s="1"/>
  <c r="B502" i="13"/>
  <c r="AQ1474" i="5"/>
  <c r="B419" i="13" s="1"/>
  <c r="B519" i="13"/>
  <c r="AQ1439" i="5"/>
  <c r="B436" i="13" s="1"/>
  <c r="H358" i="15"/>
  <c r="E478" i="13"/>
  <c r="BK1470" i="5"/>
  <c r="E395" i="13" s="1"/>
  <c r="H395" i="13" s="1"/>
  <c r="H388" i="15" s="1"/>
  <c r="E343" i="13"/>
  <c r="AF1469" i="5"/>
  <c r="B515" i="13"/>
  <c r="AQ1435" i="5"/>
  <c r="B432" i="13" s="1"/>
  <c r="H354" i="15"/>
  <c r="I528" i="13"/>
  <c r="B437" i="15"/>
  <c r="B438" i="14"/>
  <c r="H328" i="15"/>
  <c r="I328" i="13"/>
  <c r="J328" i="15" s="1"/>
  <c r="B308" i="15"/>
  <c r="B309" i="14"/>
  <c r="B306" i="15"/>
  <c r="B307" i="14"/>
  <c r="L353" i="6"/>
  <c r="F1340" i="5"/>
  <c r="E1087" i="5" s="1"/>
  <c r="F1338" i="5"/>
  <c r="E116" i="5" s="1"/>
  <c r="G116" i="5" s="1"/>
  <c r="K114" i="5" s="1"/>
  <c r="E155" i="11" s="1"/>
  <c r="C1688" i="5" s="1"/>
  <c r="G337" i="12"/>
  <c r="L347" i="12" s="1"/>
  <c r="G340" i="6"/>
  <c r="L356" i="6" s="1"/>
  <c r="G236" i="9"/>
  <c r="I1307" i="5"/>
  <c r="C1760" i="5" s="1"/>
  <c r="I1742" i="15"/>
  <c r="F1743" i="14"/>
  <c r="H1798" i="13"/>
  <c r="I1749" i="13"/>
  <c r="J1742" i="15" s="1"/>
  <c r="H1750" i="13"/>
  <c r="D1633" i="13"/>
  <c r="E517" i="9"/>
  <c r="J515" i="9"/>
  <c r="F853" i="5"/>
  <c r="Q853" i="5"/>
  <c r="P853" i="5"/>
  <c r="I853" i="5"/>
  <c r="O853" i="5" s="1"/>
  <c r="S853" i="5"/>
  <c r="O848" i="5"/>
  <c r="T839" i="5"/>
  <c r="C390" i="10"/>
  <c r="C382" i="10"/>
  <c r="C374" i="10"/>
  <c r="C366" i="10"/>
  <c r="C358" i="10"/>
  <c r="C346" i="10"/>
  <c r="G772" i="5"/>
  <c r="H346" i="10" s="1"/>
  <c r="C338" i="10"/>
  <c r="C330" i="10"/>
  <c r="C322" i="10"/>
  <c r="C314" i="10"/>
  <c r="C306" i="10"/>
  <c r="G732" i="5"/>
  <c r="H306" i="10" s="1"/>
  <c r="C225" i="10"/>
  <c r="C215" i="10"/>
  <c r="B578" i="10"/>
  <c r="B975" i="5"/>
  <c r="B619" i="10" s="1"/>
  <c r="F526" i="10"/>
  <c r="F543" i="5"/>
  <c r="F608" i="10" s="1"/>
  <c r="F510" i="10"/>
  <c r="F527" i="5"/>
  <c r="F592" i="10" s="1"/>
  <c r="C739" i="10"/>
  <c r="C596" i="5"/>
  <c r="C743" i="10" s="1"/>
  <c r="S389" i="5"/>
  <c r="F616" i="5" s="1"/>
  <c r="Q384" i="5"/>
  <c r="R384" i="5" s="1"/>
  <c r="C202" i="10"/>
  <c r="E197" i="10"/>
  <c r="G197" i="10" s="1"/>
  <c r="H361" i="5"/>
  <c r="T1466" i="5" s="1"/>
  <c r="C180" i="10"/>
  <c r="C164" i="10"/>
  <c r="C148" i="10"/>
  <c r="G312" i="5"/>
  <c r="H175" i="10" s="1"/>
  <c r="C136" i="10"/>
  <c r="C120" i="10"/>
  <c r="C104" i="10"/>
  <c r="C92" i="10"/>
  <c r="D257" i="7"/>
  <c r="D1150" i="13"/>
  <c r="F306" i="7"/>
  <c r="E291" i="8"/>
  <c r="D2156" i="13"/>
  <c r="E681" i="6"/>
  <c r="D2148" i="15"/>
  <c r="D2149" i="14"/>
  <c r="H2155" i="13"/>
  <c r="K2155" i="13"/>
  <c r="E2204" i="5"/>
  <c r="D1281" i="13"/>
  <c r="L2044" i="5"/>
  <c r="J2045" i="5"/>
  <c r="E789" i="15"/>
  <c r="G789" i="15" s="1"/>
  <c r="L1562" i="5"/>
  <c r="D650" i="13"/>
  <c r="J1656" i="5"/>
  <c r="C1734" i="5"/>
  <c r="L1485" i="5"/>
  <c r="BD1470" i="5" s="1"/>
  <c r="C1773" i="5"/>
  <c r="J1218" i="5"/>
  <c r="C873" i="5"/>
  <c r="Q412" i="5"/>
  <c r="F412" i="5"/>
  <c r="P412" i="5"/>
  <c r="T412" i="5" s="1"/>
  <c r="S412" i="5"/>
  <c r="I412" i="5"/>
  <c r="O412" i="5" s="1"/>
  <c r="R412" i="5"/>
  <c r="L412" i="5"/>
  <c r="F551" i="5" s="1"/>
  <c r="F656" i="10" s="1"/>
  <c r="G656" i="10" s="1"/>
  <c r="R380" i="5"/>
  <c r="T380" i="5" s="1"/>
  <c r="D103" i="10"/>
  <c r="D119" i="10"/>
  <c r="D135" i="10"/>
  <c r="D195" i="10"/>
  <c r="G359" i="5"/>
  <c r="P1315" i="5"/>
  <c r="C377" i="9"/>
  <c r="C299" i="9"/>
  <c r="D23" i="5"/>
  <c r="D24" i="5"/>
  <c r="R8" i="5" s="1"/>
  <c r="F100" i="4"/>
  <c r="F68" i="4"/>
  <c r="F66" i="4"/>
  <c r="F147" i="4" s="1"/>
  <c r="F65" i="4"/>
  <c r="F56" i="4"/>
  <c r="F111" i="4" s="1"/>
  <c r="D204" i="4"/>
  <c r="D47" i="4"/>
  <c r="D45" i="4"/>
  <c r="D44" i="4"/>
  <c r="D43" i="4"/>
  <c r="D18" i="4"/>
  <c r="D865" i="5" s="1"/>
  <c r="D17" i="4"/>
  <c r="D152" i="4"/>
  <c r="D153" i="4" s="1"/>
  <c r="D154" i="4" s="1"/>
  <c r="D155" i="4" s="1"/>
  <c r="D157" i="4" s="1"/>
  <c r="D115" i="4"/>
  <c r="D114" i="4"/>
  <c r="D30" i="4"/>
  <c r="D29" i="4"/>
  <c r="D28" i="4"/>
  <c r="D22" i="5"/>
  <c r="R9" i="5" s="1"/>
  <c r="F369" i="11"/>
  <c r="B402" i="11"/>
  <c r="B1124" i="15"/>
  <c r="B1125" i="14"/>
  <c r="D1963" i="15"/>
  <c r="D1964" i="14"/>
  <c r="K1970" i="13"/>
  <c r="H1970" i="13"/>
  <c r="D655" i="13"/>
  <c r="S1613" i="5"/>
  <c r="D696" i="13"/>
  <c r="J1725" i="5"/>
  <c r="B684" i="15"/>
  <c r="B685" i="14"/>
  <c r="D688" i="13"/>
  <c r="B676" i="15"/>
  <c r="B677" i="14"/>
  <c r="D680" i="13"/>
  <c r="J1709" i="5"/>
  <c r="D676" i="13"/>
  <c r="J1705" i="5"/>
  <c r="B615" i="15"/>
  <c r="B616" i="14"/>
  <c r="D372" i="13"/>
  <c r="AM1478" i="5"/>
  <c r="P1478" i="5"/>
  <c r="AO1478" i="5" s="1"/>
  <c r="AT1446" i="5" s="1"/>
  <c r="C1374" i="5"/>
  <c r="C1396" i="5" s="1"/>
  <c r="P840" i="5"/>
  <c r="T375" i="5"/>
  <c r="C125" i="5"/>
  <c r="E125" i="5" s="1"/>
  <c r="V127" i="5" s="1"/>
  <c r="C126" i="5"/>
  <c r="E126" i="5" s="1"/>
  <c r="I126" i="5" s="1"/>
  <c r="F145" i="5" s="1"/>
  <c r="F8" i="10" s="1"/>
  <c r="E143" i="5"/>
  <c r="O124" i="5"/>
  <c r="Z22" i="5"/>
  <c r="R625" i="5"/>
  <c r="Q625" i="5"/>
  <c r="P625" i="5"/>
  <c r="I625" i="5"/>
  <c r="F641" i="5" s="1"/>
  <c r="F215" i="10" s="1"/>
  <c r="S625" i="5"/>
  <c r="E1680" i="15"/>
  <c r="G1680" i="15" s="1"/>
  <c r="C93" i="4"/>
  <c r="K86" i="4"/>
  <c r="E68" i="4"/>
  <c r="E66" i="4"/>
  <c r="E65" i="4"/>
  <c r="E208" i="4" s="1"/>
  <c r="E56" i="4"/>
  <c r="O1080" i="5"/>
  <c r="K90" i="4"/>
  <c r="K96" i="4" s="1"/>
  <c r="K44" i="4"/>
  <c r="P40" i="4"/>
  <c r="P203" i="4" s="1"/>
  <c r="K98" i="4"/>
  <c r="C872" i="5"/>
  <c r="P411" i="5"/>
  <c r="C414" i="5"/>
  <c r="S411" i="5"/>
  <c r="I411" i="5"/>
  <c r="O411" i="5" s="1"/>
  <c r="F418" i="5"/>
  <c r="F419" i="5" s="1"/>
  <c r="E574" i="5" s="1"/>
  <c r="R411" i="5"/>
  <c r="R414" i="5" s="1"/>
  <c r="F554" i="5" s="1"/>
  <c r="F659" i="10" s="1"/>
  <c r="G659" i="10" s="1"/>
  <c r="Q411" i="5"/>
  <c r="F411" i="5"/>
  <c r="Q1365" i="5"/>
  <c r="R1365" i="5" s="1"/>
  <c r="K1074" i="5"/>
  <c r="K1079" i="5" s="1"/>
  <c r="K1073" i="5"/>
  <c r="K1078" i="5" s="1"/>
  <c r="Q1364" i="5"/>
  <c r="R1364" i="5" s="1"/>
  <c r="O33" i="4"/>
  <c r="C874" i="5"/>
  <c r="S413" i="5"/>
  <c r="I413" i="5"/>
  <c r="O413" i="5" s="1"/>
  <c r="R413" i="5"/>
  <c r="L413" i="5"/>
  <c r="F552" i="5" s="1"/>
  <c r="F657" i="10" s="1"/>
  <c r="G657" i="10" s="1"/>
  <c r="Q413" i="5"/>
  <c r="F413" i="5"/>
  <c r="P413" i="5"/>
  <c r="K10" i="4"/>
  <c r="K13" i="4" s="1"/>
  <c r="C204" i="4"/>
  <c r="C17" i="4"/>
  <c r="C15" i="4"/>
  <c r="C152" i="4"/>
  <c r="C153" i="4" s="1"/>
  <c r="C154" i="4" s="1"/>
  <c r="C155" i="4" s="1"/>
  <c r="C157" i="4" s="1"/>
  <c r="C116" i="4"/>
  <c r="J102" i="5"/>
  <c r="O396" i="5"/>
  <c r="E857" i="5"/>
  <c r="O857" i="5" s="1"/>
  <c r="E131" i="6"/>
  <c r="E134" i="6" s="1"/>
  <c r="E130" i="6"/>
  <c r="E133" i="6" s="1"/>
  <c r="L1167" i="5"/>
  <c r="K1171" i="5"/>
  <c r="G1172" i="5"/>
  <c r="G1170" i="5"/>
  <c r="Y10" i="5" s="1"/>
  <c r="Y9" i="5"/>
  <c r="E1042" i="15"/>
  <c r="G1042" i="15" s="1"/>
  <c r="B405" i="11"/>
  <c r="F372" i="11"/>
  <c r="B401" i="11"/>
  <c r="E173" i="7" s="1"/>
  <c r="E1032" i="13" s="1"/>
  <c r="F368" i="11"/>
  <c r="E1485" i="15"/>
  <c r="G1485" i="15" s="1"/>
  <c r="E1980" i="15"/>
  <c r="G1980" i="15" s="1"/>
  <c r="G1987" i="13"/>
  <c r="I1987" i="13" s="1"/>
  <c r="E81" i="15"/>
  <c r="G81" i="15" s="1"/>
  <c r="D1249" i="15"/>
  <c r="D1250" i="14"/>
  <c r="K1256" i="13"/>
  <c r="H1256" i="13"/>
  <c r="I2468" i="15"/>
  <c r="G2476" i="13"/>
  <c r="D1937" i="15"/>
  <c r="D1938" i="14"/>
  <c r="K1944" i="13"/>
  <c r="H1944" i="13"/>
  <c r="D1296" i="13"/>
  <c r="E2325" i="5"/>
  <c r="D1840" i="15"/>
  <c r="D1841" i="14"/>
  <c r="K1847" i="13"/>
  <c r="D1273" i="13"/>
  <c r="E2078" i="5"/>
  <c r="D1272" i="13"/>
  <c r="E2077" i="5"/>
  <c r="D891" i="15"/>
  <c r="D892" i="14"/>
  <c r="H825" i="13"/>
  <c r="I1777" i="5"/>
  <c r="G1777" i="5" s="1"/>
  <c r="G1779" i="5" s="1"/>
  <c r="C1800" i="5" s="1"/>
  <c r="B635" i="15"/>
  <c r="B636" i="14"/>
  <c r="B627" i="15"/>
  <c r="B628" i="14"/>
  <c r="B619" i="15"/>
  <c r="B620" i="14"/>
  <c r="B611" i="15"/>
  <c r="B612" i="14"/>
  <c r="D584" i="15"/>
  <c r="D585" i="14"/>
  <c r="K591" i="13"/>
  <c r="D350" i="15"/>
  <c r="D351" i="14"/>
  <c r="K357" i="13"/>
  <c r="H357" i="13"/>
  <c r="I357" i="13" s="1"/>
  <c r="J350" i="15" s="1"/>
  <c r="R127" i="5"/>
  <c r="F127" i="5"/>
  <c r="Q127" i="5"/>
  <c r="P127" i="5"/>
  <c r="I127" i="5"/>
  <c r="O127" i="5" s="1"/>
  <c r="S127" i="5"/>
  <c r="Y598" i="5"/>
  <c r="E2234" i="5"/>
  <c r="E2235" i="5" s="1"/>
  <c r="C1103" i="5"/>
  <c r="C337" i="12"/>
  <c r="C236" i="9"/>
  <c r="C340" i="6"/>
  <c r="C1781" i="5"/>
  <c r="C1736" i="5"/>
  <c r="C1389" i="5"/>
  <c r="C376" i="6" s="1"/>
  <c r="O129" i="4"/>
  <c r="O156" i="4" s="1"/>
  <c r="N129" i="4"/>
  <c r="N156" i="4" s="1"/>
  <c r="P129" i="4"/>
  <c r="O127" i="4"/>
  <c r="N127" i="4"/>
  <c r="P127" i="4"/>
  <c r="D100" i="4"/>
  <c r="D76" i="4"/>
  <c r="K140" i="4"/>
  <c r="K51" i="4"/>
  <c r="K46" i="4"/>
  <c r="P39" i="4"/>
  <c r="K1072" i="5"/>
  <c r="K1077" i="5" s="1"/>
  <c r="Q1363" i="5"/>
  <c r="R1363" i="5" s="1"/>
  <c r="J51" i="4"/>
  <c r="J42" i="4"/>
  <c r="O34" i="4"/>
  <c r="O91" i="4" s="1"/>
  <c r="C870" i="5"/>
  <c r="Q409" i="5"/>
  <c r="F409" i="5"/>
  <c r="P409" i="5"/>
  <c r="T409" i="5" s="1"/>
  <c r="S409" i="5"/>
  <c r="I409" i="5"/>
  <c r="O409" i="5" s="1"/>
  <c r="R409" i="5"/>
  <c r="L409" i="5"/>
  <c r="F510" i="5" s="1"/>
  <c r="F575" i="10" s="1"/>
  <c r="G575" i="10" s="1"/>
  <c r="K15" i="4"/>
  <c r="K11" i="4"/>
  <c r="K141" i="4"/>
  <c r="K149" i="4" s="1"/>
  <c r="O1355" i="5"/>
  <c r="P1355" i="5" s="1"/>
  <c r="D1238" i="5"/>
  <c r="C178" i="8"/>
  <c r="C184" i="8"/>
  <c r="D200" i="8" s="1"/>
  <c r="C1252" i="5"/>
  <c r="I607" i="5" s="1"/>
  <c r="C1239" i="5"/>
  <c r="C1254" i="5"/>
  <c r="I1059" i="5" s="1"/>
  <c r="AK60" i="5"/>
  <c r="AL60" i="5" s="1"/>
  <c r="D1261" i="5"/>
  <c r="D538" i="8"/>
  <c r="D539" i="8" s="1"/>
  <c r="D540" i="8" s="1"/>
  <c r="E2007" i="15"/>
  <c r="G2007" i="15" s="1"/>
  <c r="G2014" i="13"/>
  <c r="D632" i="15"/>
  <c r="D633" i="14"/>
  <c r="K639" i="13"/>
  <c r="H639" i="13"/>
  <c r="J1635" i="5"/>
  <c r="L1550" i="5"/>
  <c r="D672" i="13"/>
  <c r="J1701" i="5"/>
  <c r="C1224" i="5"/>
  <c r="C642" i="9"/>
  <c r="P1124" i="5"/>
  <c r="O1124" i="5"/>
  <c r="P1140" i="5"/>
  <c r="O836" i="5"/>
  <c r="J1195" i="5"/>
  <c r="E258" i="4"/>
  <c r="K132" i="4"/>
  <c r="J132" i="4"/>
  <c r="J140" i="4" s="1"/>
  <c r="I132" i="4"/>
  <c r="I140" i="4" s="1"/>
  <c r="P125" i="4"/>
  <c r="O125" i="4"/>
  <c r="N125" i="4"/>
  <c r="P120" i="4"/>
  <c r="O120" i="4"/>
  <c r="N120" i="4"/>
  <c r="P118" i="4"/>
  <c r="O118" i="4"/>
  <c r="N118" i="4"/>
  <c r="C98" i="4"/>
  <c r="E90" i="4"/>
  <c r="E96" i="4" s="1"/>
  <c r="K76" i="4"/>
  <c r="E46" i="4"/>
  <c r="F87" i="4"/>
  <c r="K41" i="4"/>
  <c r="I107" i="4"/>
  <c r="I45" i="4"/>
  <c r="N36" i="4"/>
  <c r="E18" i="4"/>
  <c r="E16" i="4"/>
  <c r="J32" i="4"/>
  <c r="J93" i="4" s="1"/>
  <c r="E146" i="4"/>
  <c r="E142" i="4"/>
  <c r="E149" i="4"/>
  <c r="E145" i="4"/>
  <c r="E141" i="4"/>
  <c r="E144" i="4"/>
  <c r="E147" i="4"/>
  <c r="E143" i="4"/>
  <c r="E11" i="4"/>
  <c r="E1220" i="5"/>
  <c r="AJ29" i="5" s="1"/>
  <c r="AJ28" i="5"/>
  <c r="D108" i="4"/>
  <c r="I93" i="4"/>
  <c r="H107" i="4"/>
  <c r="K92" i="4"/>
  <c r="K85" i="4"/>
  <c r="K186" i="4" s="1"/>
  <c r="K187" i="4" s="1"/>
  <c r="H19" i="4"/>
  <c r="K17" i="4"/>
  <c r="I92" i="4"/>
  <c r="K18" i="4"/>
  <c r="C76" i="4"/>
  <c r="C10" i="4"/>
  <c r="C28" i="4"/>
  <c r="Q1357" i="5"/>
  <c r="R1357" i="5" s="1"/>
  <c r="I1072" i="5"/>
  <c r="I1077" i="5" s="1"/>
  <c r="H86" i="4"/>
  <c r="H42" i="4"/>
  <c r="M34" i="4"/>
  <c r="H10" i="4"/>
  <c r="H9" i="4"/>
  <c r="H85" i="4"/>
  <c r="H47" i="4"/>
  <c r="H51" i="4"/>
  <c r="H30" i="4"/>
  <c r="H29" i="4"/>
  <c r="H28" i="4"/>
  <c r="AK38" i="5"/>
  <c r="AL38" i="5" s="1"/>
  <c r="E145" i="5" l="1"/>
  <c r="E8" i="10" s="1"/>
  <c r="V126" i="5"/>
  <c r="V128" i="5"/>
  <c r="E375" i="5"/>
  <c r="V125" i="5"/>
  <c r="E381" i="5"/>
  <c r="F381" i="5" s="1"/>
  <c r="V124" i="5"/>
  <c r="AA125" i="5"/>
  <c r="E389" i="5"/>
  <c r="E376" i="5"/>
  <c r="F376" i="5" s="1"/>
  <c r="E354" i="5"/>
  <c r="E190" i="10" s="1"/>
  <c r="G190" i="10" s="1"/>
  <c r="E392" i="5"/>
  <c r="E378" i="5"/>
  <c r="O378" i="5" s="1"/>
  <c r="G616" i="5"/>
  <c r="I616" i="5" s="1"/>
  <c r="J616" i="5" s="1"/>
  <c r="K616" i="5" s="1"/>
  <c r="E379" i="5"/>
  <c r="I125" i="5"/>
  <c r="F144" i="5" s="1"/>
  <c r="F7" i="10" s="1"/>
  <c r="AA128" i="5"/>
  <c r="V129" i="5"/>
  <c r="E360" i="5"/>
  <c r="E196" i="10" s="1"/>
  <c r="G196" i="10" s="1"/>
  <c r="E391" i="5"/>
  <c r="F391" i="5" s="1"/>
  <c r="E383" i="5"/>
  <c r="E384" i="5"/>
  <c r="AA129" i="5"/>
  <c r="E390" i="5"/>
  <c r="O390" i="5" s="1"/>
  <c r="E144" i="5"/>
  <c r="E7" i="10" s="1"/>
  <c r="V1478" i="5"/>
  <c r="BL1478" i="5" s="1"/>
  <c r="E386" i="5"/>
  <c r="F386" i="5" s="1"/>
  <c r="E382" i="5"/>
  <c r="O382" i="5" s="1"/>
  <c r="F125" i="5"/>
  <c r="AA127" i="5"/>
  <c r="E380" i="5"/>
  <c r="E180" i="5" s="1"/>
  <c r="E388" i="5"/>
  <c r="O388" i="5" s="1"/>
  <c r="AA124" i="5"/>
  <c r="E387" i="5"/>
  <c r="F387" i="5" s="1"/>
  <c r="AA126" i="5"/>
  <c r="E393" i="5"/>
  <c r="O393" i="5" s="1"/>
  <c r="E377" i="5"/>
  <c r="G688" i="5"/>
  <c r="H262" i="10" s="1"/>
  <c r="G311" i="5"/>
  <c r="H174" i="10" s="1"/>
  <c r="G228" i="10"/>
  <c r="T623" i="5"/>
  <c r="G262" i="10"/>
  <c r="E439" i="6"/>
  <c r="B440" i="6" s="1"/>
  <c r="B442" i="6" s="1"/>
  <c r="I1992" i="13"/>
  <c r="H402" i="13"/>
  <c r="H395" i="15" s="1"/>
  <c r="H1051" i="13"/>
  <c r="AR1438" i="5"/>
  <c r="D435" i="13" s="1"/>
  <c r="D428" i="15" s="1"/>
  <c r="E87" i="6"/>
  <c r="E88" i="6" s="1"/>
  <c r="H1049" i="13"/>
  <c r="D396" i="14"/>
  <c r="V1471" i="5"/>
  <c r="BL1471" i="5" s="1"/>
  <c r="G8" i="10"/>
  <c r="F327" i="14"/>
  <c r="G721" i="5"/>
  <c r="H295" i="10" s="1"/>
  <c r="D395" i="15"/>
  <c r="G145" i="5"/>
  <c r="H8" i="10" s="1"/>
  <c r="S834" i="5"/>
  <c r="F1067" i="5" s="1"/>
  <c r="I326" i="13"/>
  <c r="J326" i="15" s="1"/>
  <c r="E87" i="12"/>
  <c r="E88" i="12" s="1"/>
  <c r="G775" i="5"/>
  <c r="H349" i="10" s="1"/>
  <c r="BJ1471" i="5"/>
  <c r="D396" i="13" s="1"/>
  <c r="D390" i="14" s="1"/>
  <c r="T624" i="5"/>
  <c r="G1174" i="5"/>
  <c r="C2168" i="5"/>
  <c r="K2143" i="5"/>
  <c r="E2163" i="5"/>
  <c r="D1844" i="13"/>
  <c r="I445" i="13"/>
  <c r="I438" i="15" s="1"/>
  <c r="D440" i="14"/>
  <c r="G446" i="13"/>
  <c r="I446" i="13" s="1"/>
  <c r="D439" i="15"/>
  <c r="C318" i="7"/>
  <c r="G529" i="13"/>
  <c r="D523" i="14"/>
  <c r="H529" i="13"/>
  <c r="H522" i="15" s="1"/>
  <c r="D522" i="15"/>
  <c r="E2237" i="5"/>
  <c r="E2238" i="5"/>
  <c r="I854" i="15"/>
  <c r="F855" i="14"/>
  <c r="C490" i="6"/>
  <c r="C360" i="6"/>
  <c r="C1409" i="5"/>
  <c r="C2137" i="5"/>
  <c r="C2130" i="5"/>
  <c r="C2138" i="5"/>
  <c r="C2139" i="5"/>
  <c r="I2115" i="5"/>
  <c r="H1309" i="15"/>
  <c r="C2290" i="5"/>
  <c r="C2286" i="5"/>
  <c r="C2300" i="5"/>
  <c r="E91" i="10"/>
  <c r="G91" i="10" s="1"/>
  <c r="G255" i="5"/>
  <c r="H118" i="10" s="1"/>
  <c r="I584" i="15"/>
  <c r="F585" i="14"/>
  <c r="I1045" i="15"/>
  <c r="F1046" i="14"/>
  <c r="C1929" i="5"/>
  <c r="J1929" i="5" s="1"/>
  <c r="J1928" i="5"/>
  <c r="C1941" i="5"/>
  <c r="D342" i="13"/>
  <c r="D474" i="13"/>
  <c r="BJ1466" i="5"/>
  <c r="D391" i="13" s="1"/>
  <c r="V1466" i="5"/>
  <c r="BL1466" i="5" s="1"/>
  <c r="H121" i="15"/>
  <c r="C1944" i="5"/>
  <c r="C1927" i="5"/>
  <c r="J1926" i="5"/>
  <c r="D212" i="15"/>
  <c r="D213" i="14"/>
  <c r="H212" i="13"/>
  <c r="G212" i="13"/>
  <c r="I1840" i="15"/>
  <c r="F1841" i="14"/>
  <c r="I1847" i="13"/>
  <c r="J1840" i="15" s="1"/>
  <c r="H95" i="4"/>
  <c r="F137" i="4"/>
  <c r="E137" i="4"/>
  <c r="D137" i="4"/>
  <c r="M137" i="4"/>
  <c r="H137" i="4"/>
  <c r="D2167" i="13"/>
  <c r="E692" i="6"/>
  <c r="D734" i="13"/>
  <c r="E1800" i="5"/>
  <c r="E223" i="10"/>
  <c r="G223" i="10" s="1"/>
  <c r="G649" i="5"/>
  <c r="H223" i="10" s="1"/>
  <c r="E14" i="10"/>
  <c r="G14" i="10" s="1"/>
  <c r="G178" i="5"/>
  <c r="H41" i="10" s="1"/>
  <c r="F138" i="4"/>
  <c r="E138" i="4"/>
  <c r="D138" i="4"/>
  <c r="M138" i="4"/>
  <c r="H138" i="4"/>
  <c r="F13" i="10"/>
  <c r="C13" i="4"/>
  <c r="N107" i="4"/>
  <c r="N45" i="4"/>
  <c r="O1156" i="5"/>
  <c r="O1153" i="5"/>
  <c r="I632" i="15"/>
  <c r="F633" i="14"/>
  <c r="H2007" i="15"/>
  <c r="I2014" i="13"/>
  <c r="J2007" i="15" s="1"/>
  <c r="D205" i="8"/>
  <c r="D201" i="8"/>
  <c r="R870" i="5"/>
  <c r="L870" i="5"/>
  <c r="F972" i="5" s="1"/>
  <c r="F616" i="10" s="1"/>
  <c r="G616" i="10" s="1"/>
  <c r="Q870" i="5"/>
  <c r="F870" i="5"/>
  <c r="P870" i="5"/>
  <c r="I870" i="5"/>
  <c r="O870" i="5" s="1"/>
  <c r="J28" i="4"/>
  <c r="F77" i="4"/>
  <c r="F79" i="4" s="1"/>
  <c r="F78" i="4"/>
  <c r="I873" i="5"/>
  <c r="O873" i="5" s="1"/>
  <c r="R873" i="5"/>
  <c r="L873" i="5"/>
  <c r="F1013" i="5" s="1"/>
  <c r="F697" i="10" s="1"/>
  <c r="G697" i="10" s="1"/>
  <c r="Q873" i="5"/>
  <c r="F873" i="5"/>
  <c r="P873" i="5"/>
  <c r="D1673" i="13"/>
  <c r="L515" i="9"/>
  <c r="B418" i="15"/>
  <c r="B419" i="14"/>
  <c r="I575" i="15"/>
  <c r="F576" i="14"/>
  <c r="E684" i="15"/>
  <c r="G684" i="15" s="1"/>
  <c r="G691" i="13"/>
  <c r="D871" i="13"/>
  <c r="G871" i="13" s="1"/>
  <c r="E1881" i="5"/>
  <c r="C871" i="15"/>
  <c r="C872" i="14"/>
  <c r="C869" i="15"/>
  <c r="C870" i="14"/>
  <c r="G2266" i="5"/>
  <c r="G2274" i="5"/>
  <c r="I2417" i="15"/>
  <c r="G2425" i="13"/>
  <c r="I1224" i="15"/>
  <c r="F1225" i="14"/>
  <c r="E1144" i="15"/>
  <c r="G1144" i="15" s="1"/>
  <c r="I2354" i="15"/>
  <c r="G2361" i="13"/>
  <c r="H300" i="15"/>
  <c r="I300" i="13"/>
  <c r="J300" i="15" s="1"/>
  <c r="I1586" i="15"/>
  <c r="F1587" i="14"/>
  <c r="C204" i="10"/>
  <c r="G368" i="5"/>
  <c r="C205" i="10"/>
  <c r="G369" i="5"/>
  <c r="C208" i="10"/>
  <c r="G372" i="5"/>
  <c r="C402" i="10"/>
  <c r="G828" i="5"/>
  <c r="H402" i="10" s="1"/>
  <c r="D512" i="15"/>
  <c r="D513" i="14"/>
  <c r="H519" i="13"/>
  <c r="H512" i="15" s="1"/>
  <c r="G519" i="13"/>
  <c r="E681" i="15"/>
  <c r="G681" i="15" s="1"/>
  <c r="G688" i="13"/>
  <c r="B692" i="15"/>
  <c r="B693" i="14"/>
  <c r="B896" i="13"/>
  <c r="G1942" i="5"/>
  <c r="E876" i="13"/>
  <c r="D1947" i="5"/>
  <c r="E890" i="13"/>
  <c r="D1961" i="5"/>
  <c r="D1322" i="15"/>
  <c r="D1323" i="14"/>
  <c r="H1329" i="13"/>
  <c r="G1329" i="13"/>
  <c r="B1326" i="15"/>
  <c r="B1327" i="14"/>
  <c r="B1155" i="15"/>
  <c r="B1156" i="14"/>
  <c r="E143" i="15"/>
  <c r="G143" i="15" s="1"/>
  <c r="G143" i="13"/>
  <c r="E2345" i="15"/>
  <c r="G2345" i="15" s="1"/>
  <c r="H2352" i="13"/>
  <c r="D52" i="13"/>
  <c r="E629" i="8"/>
  <c r="J626" i="8"/>
  <c r="D86" i="13"/>
  <c r="E651" i="8"/>
  <c r="N17" i="4"/>
  <c r="N91" i="4"/>
  <c r="N16" i="4"/>
  <c r="D403" i="5" s="1"/>
  <c r="R1072" i="5"/>
  <c r="R1077" i="5" s="1"/>
  <c r="N47" i="4"/>
  <c r="N59" i="4"/>
  <c r="N30" i="4"/>
  <c r="N29" i="4"/>
  <c r="N28" i="4"/>
  <c r="N86" i="4"/>
  <c r="N10" i="4"/>
  <c r="N9" i="4"/>
  <c r="N12" i="4" s="1"/>
  <c r="N85" i="4"/>
  <c r="N186" i="4" s="1"/>
  <c r="N187" i="4" s="1"/>
  <c r="N78" i="4"/>
  <c r="N42" i="4"/>
  <c r="D677" i="15"/>
  <c r="D678" i="14"/>
  <c r="H684" i="13"/>
  <c r="K684" i="13"/>
  <c r="D1317" i="15"/>
  <c r="D1318" i="14"/>
  <c r="H1324" i="13"/>
  <c r="K1324" i="13"/>
  <c r="J98" i="4"/>
  <c r="G46" i="5"/>
  <c r="F1220" i="5"/>
  <c r="AK29" i="5" s="1"/>
  <c r="AK28" i="5"/>
  <c r="D704" i="13"/>
  <c r="I1839" i="15"/>
  <c r="F1840" i="14"/>
  <c r="D2170" i="13"/>
  <c r="E695" i="6"/>
  <c r="E927" i="15"/>
  <c r="G927" i="15" s="1"/>
  <c r="C518" i="9"/>
  <c r="C511" i="9"/>
  <c r="C524" i="9"/>
  <c r="N41" i="4"/>
  <c r="N58" i="4" s="1"/>
  <c r="N60" i="4" s="1"/>
  <c r="N74" i="4" s="1"/>
  <c r="I88" i="4"/>
  <c r="I87" i="4"/>
  <c r="I94" i="4" s="1"/>
  <c r="E200" i="4"/>
  <c r="E199" i="4"/>
  <c r="E207" i="4"/>
  <c r="E205" i="4"/>
  <c r="E202" i="4"/>
  <c r="O1163" i="5"/>
  <c r="P1132" i="5"/>
  <c r="O1131" i="5"/>
  <c r="Q1131" i="5" s="1"/>
  <c r="E1195" i="5"/>
  <c r="C1197" i="5"/>
  <c r="E1197" i="5" s="1"/>
  <c r="D942" i="13"/>
  <c r="D81" i="7"/>
  <c r="F79" i="7"/>
  <c r="F1507" i="5"/>
  <c r="E1507" i="5"/>
  <c r="G1507" i="5"/>
  <c r="D955" i="13"/>
  <c r="F92" i="7"/>
  <c r="D954" i="13"/>
  <c r="F91" i="7"/>
  <c r="D953" i="13"/>
  <c r="F90" i="7"/>
  <c r="D980" i="13"/>
  <c r="F119" i="7"/>
  <c r="D984" i="13"/>
  <c r="F123" i="7"/>
  <c r="D1000" i="13"/>
  <c r="F139" i="7"/>
  <c r="D1005" i="13"/>
  <c r="F144" i="7"/>
  <c r="D1009" i="13"/>
  <c r="F148" i="7"/>
  <c r="D1013" i="13"/>
  <c r="F152" i="7"/>
  <c r="D939" i="13"/>
  <c r="D78" i="7"/>
  <c r="F76" i="7"/>
  <c r="I729" i="15"/>
  <c r="F730" i="14"/>
  <c r="I1674" i="15"/>
  <c r="F1675" i="14"/>
  <c r="I1681" i="13"/>
  <c r="J1674" i="15" s="1"/>
  <c r="H2465" i="13"/>
  <c r="H2399" i="13"/>
  <c r="H2400" i="13"/>
  <c r="E296" i="10"/>
  <c r="G296" i="10" s="1"/>
  <c r="E723" i="5"/>
  <c r="H2010" i="15"/>
  <c r="I2017" i="13"/>
  <c r="J2010" i="15" s="1"/>
  <c r="T620" i="5"/>
  <c r="O846" i="5"/>
  <c r="D1779" i="15"/>
  <c r="D1780" i="14"/>
  <c r="H1786" i="13"/>
  <c r="K1786" i="13"/>
  <c r="G1786" i="13"/>
  <c r="L354" i="12"/>
  <c r="E498" i="13"/>
  <c r="AT1470" i="5"/>
  <c r="E415" i="13" s="1"/>
  <c r="E432" i="15"/>
  <c r="G432" i="15" s="1"/>
  <c r="B417" i="15"/>
  <c r="B418" i="14"/>
  <c r="E510" i="13"/>
  <c r="AT1482" i="5"/>
  <c r="E427" i="13" s="1"/>
  <c r="B378" i="15"/>
  <c r="B379" i="14"/>
  <c r="H2478" i="15"/>
  <c r="I2486" i="13"/>
  <c r="J2478" i="15" s="1"/>
  <c r="B697" i="15"/>
  <c r="B698" i="14"/>
  <c r="D844" i="15"/>
  <c r="D845" i="14"/>
  <c r="H851" i="13"/>
  <c r="K851" i="13"/>
  <c r="D1275" i="13"/>
  <c r="E2080" i="5"/>
  <c r="D1285" i="13"/>
  <c r="K2078" i="5"/>
  <c r="D1324" i="15"/>
  <c r="D1325" i="14"/>
  <c r="H1331" i="13"/>
  <c r="G1331" i="13"/>
  <c r="H175" i="15"/>
  <c r="E717" i="5"/>
  <c r="E624" i="5"/>
  <c r="F621" i="5"/>
  <c r="E625" i="5"/>
  <c r="F622" i="5"/>
  <c r="E718" i="5"/>
  <c r="G777" i="5"/>
  <c r="H351" i="10" s="1"/>
  <c r="J1143" i="5"/>
  <c r="J1128" i="5"/>
  <c r="C139" i="4" s="1"/>
  <c r="D373" i="13"/>
  <c r="P1479" i="5"/>
  <c r="AO1479" i="5" s="1"/>
  <c r="AT1447" i="5" s="1"/>
  <c r="AM1479" i="5"/>
  <c r="D360" i="15"/>
  <c r="D361" i="14"/>
  <c r="H367" i="13"/>
  <c r="G367" i="13"/>
  <c r="D509" i="13"/>
  <c r="AS1481" i="5"/>
  <c r="D426" i="13" s="1"/>
  <c r="E2362" i="15"/>
  <c r="G2362" i="15" s="1"/>
  <c r="H2369" i="13"/>
  <c r="E636" i="15"/>
  <c r="G636" i="15" s="1"/>
  <c r="G643" i="13"/>
  <c r="D1244" i="15"/>
  <c r="D1245" i="14"/>
  <c r="K1251" i="13"/>
  <c r="H1251" i="13"/>
  <c r="G1251" i="13"/>
  <c r="I1287" i="15"/>
  <c r="F1288" i="14"/>
  <c r="I1292" i="15"/>
  <c r="F1293" i="14"/>
  <c r="D1146" i="13"/>
  <c r="F302" i="7"/>
  <c r="E1092" i="15"/>
  <c r="G1092" i="15" s="1"/>
  <c r="I2355" i="15"/>
  <c r="G2362" i="13"/>
  <c r="C703" i="6"/>
  <c r="J670" i="6"/>
  <c r="C701" i="6"/>
  <c r="J672" i="6"/>
  <c r="E500" i="10"/>
  <c r="G500" i="10" s="1"/>
  <c r="E476" i="5"/>
  <c r="F647" i="5"/>
  <c r="J1486" i="5" s="1"/>
  <c r="B409" i="15"/>
  <c r="B410" i="14"/>
  <c r="E416" i="15"/>
  <c r="G416" i="15" s="1"/>
  <c r="B374" i="15"/>
  <c r="B375" i="14"/>
  <c r="I558" i="15"/>
  <c r="F559" i="14"/>
  <c r="I574" i="15"/>
  <c r="F575" i="14"/>
  <c r="D654" i="13"/>
  <c r="S1612" i="5"/>
  <c r="B620" i="15"/>
  <c r="B621" i="14"/>
  <c r="B632" i="15"/>
  <c r="B633" i="14"/>
  <c r="I855" i="15"/>
  <c r="F856" i="14"/>
  <c r="E838" i="15"/>
  <c r="G838" i="15" s="1"/>
  <c r="G845" i="13"/>
  <c r="E1261" i="15"/>
  <c r="G1261" i="15" s="1"/>
  <c r="G1268" i="13"/>
  <c r="H1268" i="13"/>
  <c r="H1937" i="15"/>
  <c r="I1944" i="13"/>
  <c r="J1937" i="15" s="1"/>
  <c r="B1119" i="15"/>
  <c r="B1120" i="14"/>
  <c r="D1106" i="15"/>
  <c r="D1107" i="14"/>
  <c r="K1113" i="13"/>
  <c r="H1113" i="13"/>
  <c r="I1106" i="15" s="1"/>
  <c r="G1113" i="13"/>
  <c r="H1106" i="15" s="1"/>
  <c r="I2352" i="15"/>
  <c r="G2359" i="13"/>
  <c r="D2342" i="15"/>
  <c r="K2349" i="13"/>
  <c r="L340" i="12"/>
  <c r="I328" i="15"/>
  <c r="F329" i="14"/>
  <c r="I358" i="15"/>
  <c r="F359" i="14"/>
  <c r="H560" i="15"/>
  <c r="I567" i="13"/>
  <c r="J560" i="15" s="1"/>
  <c r="B670" i="15"/>
  <c r="B671" i="14"/>
  <c r="B869" i="15"/>
  <c r="B870" i="14"/>
  <c r="I1312" i="15"/>
  <c r="F1313" i="14"/>
  <c r="G2270" i="5"/>
  <c r="G2267" i="5"/>
  <c r="H1017" i="15"/>
  <c r="I1024" i="13"/>
  <c r="J1017" i="15" s="1"/>
  <c r="D1161" i="13"/>
  <c r="F317" i="7"/>
  <c r="B1122" i="15"/>
  <c r="B1123" i="14"/>
  <c r="B1137" i="15"/>
  <c r="B1138" i="14"/>
  <c r="E1147" i="15"/>
  <c r="G1147" i="15" s="1"/>
  <c r="E156" i="15"/>
  <c r="G156" i="15" s="1"/>
  <c r="G156" i="13"/>
  <c r="E228" i="15"/>
  <c r="G228" i="15" s="1"/>
  <c r="B1136" i="15"/>
  <c r="B1137" i="14"/>
  <c r="B1152" i="15"/>
  <c r="B1153" i="14"/>
  <c r="I2440" i="15"/>
  <c r="G2448" i="13"/>
  <c r="I2395" i="15"/>
  <c r="G2402" i="13"/>
  <c r="H1323" i="15"/>
  <c r="I1330" i="13"/>
  <c r="J1323" i="15" s="1"/>
  <c r="D1497" i="15"/>
  <c r="D1498" i="14"/>
  <c r="K1504" i="13"/>
  <c r="H1504" i="13"/>
  <c r="G1504" i="13"/>
  <c r="I2295" i="15"/>
  <c r="F2296" i="14"/>
  <c r="I2266" i="15"/>
  <c r="F2267" i="14"/>
  <c r="H2293" i="15"/>
  <c r="I2300" i="13"/>
  <c r="J2293" i="15" s="1"/>
  <c r="H1976" i="15"/>
  <c r="F1977" i="14"/>
  <c r="I1983" i="13"/>
  <c r="J1976" i="15" s="1"/>
  <c r="H2300" i="15"/>
  <c r="I2307" i="13"/>
  <c r="J2300" i="15" s="1"/>
  <c r="B469" i="15"/>
  <c r="B470" i="14"/>
  <c r="E458" i="15"/>
  <c r="G458" i="15" s="1"/>
  <c r="I560" i="15"/>
  <c r="F561" i="14"/>
  <c r="I568" i="15"/>
  <c r="F569" i="14"/>
  <c r="E641" i="15"/>
  <c r="G641" i="15" s="1"/>
  <c r="I892" i="15"/>
  <c r="F893" i="14"/>
  <c r="E417" i="15"/>
  <c r="G417" i="15" s="1"/>
  <c r="E675" i="15"/>
  <c r="G675" i="15" s="1"/>
  <c r="B861" i="15"/>
  <c r="B862" i="14"/>
  <c r="H2425" i="15"/>
  <c r="I2433" i="13"/>
  <c r="J2425" i="15" s="1"/>
  <c r="H1376" i="15"/>
  <c r="I1383" i="13"/>
  <c r="J1376" i="15" s="1"/>
  <c r="E730" i="13"/>
  <c r="D1840" i="5"/>
  <c r="D2305" i="15"/>
  <c r="D2306" i="14"/>
  <c r="H2312" i="13"/>
  <c r="G2312" i="13"/>
  <c r="H2405" i="15"/>
  <c r="I2412" i="13"/>
  <c r="J2405" i="15" s="1"/>
  <c r="I2323" i="15"/>
  <c r="F2324" i="14"/>
  <c r="T399" i="5"/>
  <c r="J46" i="4"/>
  <c r="D1489" i="13"/>
  <c r="E351" i="9"/>
  <c r="D685" i="15"/>
  <c r="D686" i="14"/>
  <c r="H692" i="13"/>
  <c r="K692" i="13"/>
  <c r="F204" i="4"/>
  <c r="F152" i="4"/>
  <c r="F153" i="4" s="1"/>
  <c r="F154" i="4" s="1"/>
  <c r="F155" i="4" s="1"/>
  <c r="F157" i="4" s="1"/>
  <c r="F116" i="4"/>
  <c r="F115" i="4"/>
  <c r="F114" i="4"/>
  <c r="F30" i="4"/>
  <c r="F29" i="4"/>
  <c r="F28" i="4"/>
  <c r="F45" i="4"/>
  <c r="F44" i="4"/>
  <c r="G44" i="4" s="1"/>
  <c r="F43" i="4"/>
  <c r="G43" i="4" s="1"/>
  <c r="F18" i="4"/>
  <c r="F17" i="4"/>
  <c r="F86" i="4"/>
  <c r="G86" i="4" s="1"/>
  <c r="F19" i="4"/>
  <c r="F47" i="4"/>
  <c r="R47" i="4" s="1"/>
  <c r="F92" i="4"/>
  <c r="G92" i="4" s="1"/>
  <c r="F203" i="4"/>
  <c r="F16" i="4"/>
  <c r="F93" i="4"/>
  <c r="F97" i="4"/>
  <c r="G97" i="4" s="1"/>
  <c r="F76" i="4"/>
  <c r="F90" i="4"/>
  <c r="F96" i="4" s="1"/>
  <c r="F85" i="4"/>
  <c r="F186" i="4" s="1"/>
  <c r="F187" i="4" s="1"/>
  <c r="F89" i="4"/>
  <c r="F95" i="4" s="1"/>
  <c r="F46" i="4"/>
  <c r="F91" i="4"/>
  <c r="F48" i="4"/>
  <c r="F98" i="4"/>
  <c r="J45" i="4"/>
  <c r="L45" i="4" s="1"/>
  <c r="Q14" i="5"/>
  <c r="C1181" i="5"/>
  <c r="Z48" i="5"/>
  <c r="Z49" i="5"/>
  <c r="G144" i="5"/>
  <c r="H7" i="10" s="1"/>
  <c r="T857" i="5"/>
  <c r="G1340" i="5"/>
  <c r="E1090" i="5"/>
  <c r="D595" i="13"/>
  <c r="U1542" i="5"/>
  <c r="D537" i="15"/>
  <c r="D538" i="14"/>
  <c r="H544" i="13"/>
  <c r="K544" i="13"/>
  <c r="G544" i="13"/>
  <c r="I657" i="15"/>
  <c r="F658" i="14"/>
  <c r="D1280" i="15"/>
  <c r="D1281" i="14"/>
  <c r="H1287" i="13"/>
  <c r="G1287" i="13"/>
  <c r="D1947" i="15"/>
  <c r="D1948" i="14"/>
  <c r="H1954" i="13"/>
  <c r="G1954" i="13"/>
  <c r="P45" i="4"/>
  <c r="P107" i="4"/>
  <c r="I202" i="4"/>
  <c r="I201" i="4"/>
  <c r="R406" i="5"/>
  <c r="P406" i="5"/>
  <c r="T403" i="5"/>
  <c r="P864" i="5"/>
  <c r="D880" i="5"/>
  <c r="D881" i="5" s="1"/>
  <c r="I864" i="5"/>
  <c r="O864" i="5" s="1"/>
  <c r="C867" i="5"/>
  <c r="R864" i="5"/>
  <c r="L864" i="5"/>
  <c r="F928" i="5" s="1"/>
  <c r="F532" i="10" s="1"/>
  <c r="G532" i="10" s="1"/>
  <c r="Q864" i="5"/>
  <c r="F864" i="5"/>
  <c r="D522" i="13"/>
  <c r="AR1442" i="5"/>
  <c r="D439" i="13" s="1"/>
  <c r="G439" i="13" s="1"/>
  <c r="D1969" i="15"/>
  <c r="D1970" i="14"/>
  <c r="K1976" i="13"/>
  <c r="H1976" i="13"/>
  <c r="G1976" i="13"/>
  <c r="H1044" i="15"/>
  <c r="I1051" i="13"/>
  <c r="J1044" i="15" s="1"/>
  <c r="D292" i="13"/>
  <c r="L487" i="8"/>
  <c r="D288" i="13"/>
  <c r="L483" i="8"/>
  <c r="D866" i="5"/>
  <c r="H96" i="4"/>
  <c r="D426" i="15"/>
  <c r="D427" i="14"/>
  <c r="H433" i="13"/>
  <c r="H426" i="15" s="1"/>
  <c r="G433" i="13"/>
  <c r="I433" i="13" s="1"/>
  <c r="E807" i="13"/>
  <c r="D1998" i="5"/>
  <c r="E770" i="13" s="1"/>
  <c r="H2005" i="15"/>
  <c r="I2012" i="13"/>
  <c r="J2005" i="15" s="1"/>
  <c r="D1945" i="13"/>
  <c r="E406" i="6"/>
  <c r="E623" i="10"/>
  <c r="G623" i="10" s="1"/>
  <c r="E980" i="5"/>
  <c r="D1809" i="13"/>
  <c r="L586" i="9"/>
  <c r="D314" i="13"/>
  <c r="E1404" i="5"/>
  <c r="G342" i="13"/>
  <c r="E499" i="13"/>
  <c r="AT1471" i="5"/>
  <c r="E416" i="13" s="1"/>
  <c r="B411" i="15"/>
  <c r="B412" i="14"/>
  <c r="E505" i="13"/>
  <c r="AT1477" i="5"/>
  <c r="E422" i="13" s="1"/>
  <c r="B456" i="15"/>
  <c r="B457" i="14"/>
  <c r="E2453" i="13"/>
  <c r="E651" i="13"/>
  <c r="I1735" i="5"/>
  <c r="E704" i="13" s="1"/>
  <c r="I664" i="13"/>
  <c r="J657" i="15" s="1"/>
  <c r="E672" i="15"/>
  <c r="G672" i="15" s="1"/>
  <c r="G679" i="13"/>
  <c r="D664" i="15"/>
  <c r="D665" i="14"/>
  <c r="H671" i="13"/>
  <c r="K671" i="13"/>
  <c r="B869" i="13"/>
  <c r="C1883" i="5"/>
  <c r="C888" i="13"/>
  <c r="B1959" i="5"/>
  <c r="D2450" i="15"/>
  <c r="H2458" i="13"/>
  <c r="K2458" i="13"/>
  <c r="E790" i="15"/>
  <c r="G790" i="15" s="1"/>
  <c r="D1288" i="15"/>
  <c r="D1289" i="14"/>
  <c r="H1295" i="13"/>
  <c r="K1295" i="13"/>
  <c r="G1295" i="13"/>
  <c r="B1182" i="15"/>
  <c r="B1183" i="14"/>
  <c r="I164" i="15"/>
  <c r="F165" i="14"/>
  <c r="I198" i="15"/>
  <c r="F199" i="14"/>
  <c r="I2359" i="15"/>
  <c r="G2366" i="13"/>
  <c r="J438" i="15"/>
  <c r="E489" i="15"/>
  <c r="G489" i="15" s="1"/>
  <c r="H553" i="15"/>
  <c r="I560" i="13"/>
  <c r="J553" i="15" s="1"/>
  <c r="E669" i="15"/>
  <c r="G669" i="15" s="1"/>
  <c r="G676" i="13"/>
  <c r="E831" i="13"/>
  <c r="D1878" i="5"/>
  <c r="E868" i="13" s="1"/>
  <c r="E2386" i="13"/>
  <c r="E2379" i="15" s="1"/>
  <c r="G2379" i="15" s="1"/>
  <c r="D1964" i="5"/>
  <c r="H1308" i="15"/>
  <c r="H1318" i="15"/>
  <c r="I1325" i="13"/>
  <c r="J1318" i="15" s="1"/>
  <c r="I1223" i="15"/>
  <c r="F1224" i="14"/>
  <c r="I170" i="15"/>
  <c r="F171" i="14"/>
  <c r="D120" i="15"/>
  <c r="D121" i="14"/>
  <c r="H120" i="13"/>
  <c r="G120" i="13"/>
  <c r="H1507" i="15"/>
  <c r="I1514" i="13"/>
  <c r="J1507" i="15" s="1"/>
  <c r="G722" i="5"/>
  <c r="H296" i="10" s="1"/>
  <c r="B453" i="15"/>
  <c r="B454" i="14"/>
  <c r="B473" i="15"/>
  <c r="B474" i="14"/>
  <c r="D530" i="15"/>
  <c r="D531" i="14"/>
  <c r="D2495" i="13"/>
  <c r="K537" i="13"/>
  <c r="H537" i="13"/>
  <c r="G537" i="13"/>
  <c r="I564" i="15"/>
  <c r="F565" i="14"/>
  <c r="D678" i="13"/>
  <c r="J1707" i="5"/>
  <c r="D630" i="15"/>
  <c r="D631" i="14"/>
  <c r="K637" i="13"/>
  <c r="H637" i="13"/>
  <c r="B689" i="15"/>
  <c r="B690" i="14"/>
  <c r="H2479" i="15"/>
  <c r="I2487" i="13"/>
  <c r="J2479" i="15" s="1"/>
  <c r="J1718" i="5"/>
  <c r="D719" i="15"/>
  <c r="D720" i="14"/>
  <c r="H726" i="13"/>
  <c r="K726" i="13"/>
  <c r="G726" i="13"/>
  <c r="B888" i="15"/>
  <c r="B889" i="14"/>
  <c r="E885" i="13"/>
  <c r="D1956" i="5"/>
  <c r="H892" i="15"/>
  <c r="I899" i="13"/>
  <c r="J892" i="15" s="1"/>
  <c r="G1975" i="5"/>
  <c r="F1975" i="5"/>
  <c r="E1976" i="5"/>
  <c r="H1841" i="15"/>
  <c r="L344" i="6"/>
  <c r="D2218" i="13"/>
  <c r="L666" i="6"/>
  <c r="I2430" i="15"/>
  <c r="G2438" i="13"/>
  <c r="E1160" i="15"/>
  <c r="G1160" i="15" s="1"/>
  <c r="C1444" i="5"/>
  <c r="L345" i="6"/>
  <c r="D389" i="15"/>
  <c r="D2470" i="15"/>
  <c r="K2478" i="13"/>
  <c r="H2478" i="13"/>
  <c r="B621" i="15"/>
  <c r="B622" i="14"/>
  <c r="G1324" i="13"/>
  <c r="I2420" i="15"/>
  <c r="G2428" i="13"/>
  <c r="B1169" i="13"/>
  <c r="C328" i="7"/>
  <c r="C347" i="7" s="1"/>
  <c r="D347" i="7" s="1"/>
  <c r="E1088" i="15"/>
  <c r="G1088" i="15" s="1"/>
  <c r="H2419" i="15"/>
  <c r="I2427" i="13"/>
  <c r="J2419" i="15" s="1"/>
  <c r="B1164" i="13"/>
  <c r="C323" i="7"/>
  <c r="C342" i="7" s="1"/>
  <c r="D1154" i="13"/>
  <c r="F310" i="7"/>
  <c r="D1159" i="13"/>
  <c r="F315" i="7"/>
  <c r="E1182" i="15"/>
  <c r="G1182" i="15" s="1"/>
  <c r="E1192" i="15"/>
  <c r="G1192" i="15" s="1"/>
  <c r="Y840" i="5"/>
  <c r="Y1052" i="5" s="1"/>
  <c r="H2461" i="15"/>
  <c r="I2469" i="13"/>
  <c r="J2461" i="15" s="1"/>
  <c r="E310" i="8"/>
  <c r="H2384" i="15"/>
  <c r="I2391" i="13"/>
  <c r="J2384" i="15" s="1"/>
  <c r="D2244" i="15"/>
  <c r="D2245" i="14"/>
  <c r="H2251" i="13"/>
  <c r="G2251" i="13"/>
  <c r="I1243" i="15"/>
  <c r="F1244" i="14"/>
  <c r="I1250" i="13"/>
  <c r="J1243" i="15" s="1"/>
  <c r="H1266" i="13"/>
  <c r="H1265" i="13"/>
  <c r="H2466" i="13"/>
  <c r="H1260" i="13"/>
  <c r="E1326" i="15"/>
  <c r="G1326" i="15" s="1"/>
  <c r="B102" i="15"/>
  <c r="B103" i="14"/>
  <c r="H1481" i="15"/>
  <c r="D2243" i="15"/>
  <c r="D2244" i="14"/>
  <c r="H2250" i="13"/>
  <c r="G2250" i="13"/>
  <c r="I2281" i="15"/>
  <c r="F2282" i="14"/>
  <c r="I2284" i="15"/>
  <c r="F2285" i="14"/>
  <c r="D2292" i="13"/>
  <c r="K431" i="12"/>
  <c r="K441" i="12" s="1"/>
  <c r="B443" i="12" s="1"/>
  <c r="B444" i="12" s="1"/>
  <c r="H2296" i="15"/>
  <c r="I2303" i="13"/>
  <c r="J2296" i="15" s="1"/>
  <c r="I1641" i="15"/>
  <c r="F1642" i="14"/>
  <c r="D2309" i="15"/>
  <c r="D2310" i="14"/>
  <c r="H2316" i="13"/>
  <c r="G2316" i="13"/>
  <c r="I2331" i="15"/>
  <c r="F2332" i="14"/>
  <c r="I2435" i="15"/>
  <c r="G2443" i="13"/>
  <c r="D2306" i="15"/>
  <c r="D2307" i="14"/>
  <c r="H2313" i="13"/>
  <c r="G2313" i="13"/>
  <c r="B464" i="15"/>
  <c r="B465" i="14"/>
  <c r="B628" i="15"/>
  <c r="B629" i="14"/>
  <c r="J1706" i="5"/>
  <c r="D1290" i="15"/>
  <c r="D1291" i="14"/>
  <c r="H1297" i="13"/>
  <c r="K1297" i="13"/>
  <c r="G1297" i="13"/>
  <c r="E1136" i="15"/>
  <c r="G1136" i="15" s="1"/>
  <c r="H1143" i="13"/>
  <c r="I1136" i="15" s="1"/>
  <c r="G1143" i="13"/>
  <c r="H1136" i="15" s="1"/>
  <c r="I88" i="15"/>
  <c r="F89" i="14"/>
  <c r="I88" i="13"/>
  <c r="J88" i="15" s="1"/>
  <c r="B827" i="13"/>
  <c r="G1993" i="5"/>
  <c r="B790" i="13" s="1"/>
  <c r="B806" i="13"/>
  <c r="A1997" i="5"/>
  <c r="B769" i="13" s="1"/>
  <c r="H1252" i="15"/>
  <c r="I1021" i="15"/>
  <c r="F1022" i="14"/>
  <c r="I1517" i="15"/>
  <c r="F1518" i="14"/>
  <c r="D1156" i="13"/>
  <c r="F312" i="7"/>
  <c r="B1141" i="15"/>
  <c r="B1142" i="14"/>
  <c r="E1151" i="15"/>
  <c r="G1151" i="15" s="1"/>
  <c r="D165" i="15"/>
  <c r="D166" i="14"/>
  <c r="H165" i="13"/>
  <c r="K165" i="13"/>
  <c r="D50" i="15"/>
  <c r="D51" i="14"/>
  <c r="K50" i="13"/>
  <c r="H50" i="13"/>
  <c r="G50" i="13"/>
  <c r="E1368" i="15"/>
  <c r="G1368" i="15" s="1"/>
  <c r="G1375" i="13"/>
  <c r="H1375" i="13"/>
  <c r="T850" i="5"/>
  <c r="I2293" i="15"/>
  <c r="F2294" i="14"/>
  <c r="H2400" i="15"/>
  <c r="I2407" i="13"/>
  <c r="J2400" i="15" s="1"/>
  <c r="P91" i="4"/>
  <c r="C68" i="4"/>
  <c r="C66" i="4"/>
  <c r="C147" i="4" s="1"/>
  <c r="G147" i="4" s="1"/>
  <c r="C65" i="4"/>
  <c r="C56" i="4"/>
  <c r="E15" i="4"/>
  <c r="D1575" i="13"/>
  <c r="E455" i="9"/>
  <c r="E149" i="10"/>
  <c r="G149" i="10" s="1"/>
  <c r="E314" i="5"/>
  <c r="I746" i="15"/>
  <c r="F747" i="14"/>
  <c r="B1166" i="15"/>
  <c r="B1167" i="14"/>
  <c r="F9" i="4"/>
  <c r="F12" i="4" s="1"/>
  <c r="F15" i="4"/>
  <c r="Q410" i="5"/>
  <c r="E418" i="5"/>
  <c r="E419" i="5" s="1"/>
  <c r="J97" i="4"/>
  <c r="E258" i="5"/>
  <c r="T124" i="5"/>
  <c r="E308" i="5"/>
  <c r="F1167" i="5"/>
  <c r="AA27" i="5"/>
  <c r="AA38" i="5" s="1"/>
  <c r="J1490" i="5"/>
  <c r="D1276" i="15"/>
  <c r="D1277" i="14"/>
  <c r="H1283" i="13"/>
  <c r="G1283" i="13"/>
  <c r="D1861" i="15"/>
  <c r="D1862" i="14"/>
  <c r="H1868" i="13"/>
  <c r="G1868" i="13"/>
  <c r="I2161" i="15"/>
  <c r="F2162" i="14"/>
  <c r="E114" i="7"/>
  <c r="E975" i="13" s="1"/>
  <c r="E55" i="7"/>
  <c r="E918" i="13" s="1"/>
  <c r="G1130" i="5"/>
  <c r="G1173" i="5"/>
  <c r="G1181" i="5" s="1"/>
  <c r="G1183" i="5" s="1"/>
  <c r="Y14" i="5" s="1"/>
  <c r="Q149" i="4"/>
  <c r="P30" i="4"/>
  <c r="P14" i="4"/>
  <c r="P13" i="4"/>
  <c r="G1164" i="5"/>
  <c r="Z42" i="5"/>
  <c r="D513" i="15"/>
  <c r="D514" i="14"/>
  <c r="H520" i="13"/>
  <c r="H513" i="15" s="1"/>
  <c r="G520" i="13"/>
  <c r="G37" i="5"/>
  <c r="E37" i="5"/>
  <c r="J37" i="5" s="1"/>
  <c r="K37" i="5" s="1"/>
  <c r="L37" i="5" s="1"/>
  <c r="Q1075" i="5"/>
  <c r="M97" i="4"/>
  <c r="M43" i="4"/>
  <c r="E94" i="4"/>
  <c r="D421" i="10"/>
  <c r="D562" i="5"/>
  <c r="D898" i="5"/>
  <c r="D462" i="10" s="1"/>
  <c r="D478" i="5"/>
  <c r="D437" i="10"/>
  <c r="D578" i="5"/>
  <c r="D914" i="5"/>
  <c r="D478" i="10" s="1"/>
  <c r="D494" i="5"/>
  <c r="D413" i="10"/>
  <c r="D470" i="5"/>
  <c r="D890" i="5"/>
  <c r="D454" i="10" s="1"/>
  <c r="D554" i="5"/>
  <c r="D426" i="10"/>
  <c r="D903" i="5"/>
  <c r="D467" i="10" s="1"/>
  <c r="D567" i="5"/>
  <c r="D483" i="5"/>
  <c r="D442" i="10"/>
  <c r="D919" i="5"/>
  <c r="D483" i="10" s="1"/>
  <c r="D583" i="5"/>
  <c r="D499" i="5"/>
  <c r="D419" i="10"/>
  <c r="D476" i="5"/>
  <c r="D896" i="5"/>
  <c r="D460" i="10" s="1"/>
  <c r="D560" i="5"/>
  <c r="D435" i="10"/>
  <c r="D492" i="5"/>
  <c r="D912" i="5"/>
  <c r="D476" i="10" s="1"/>
  <c r="D576" i="5"/>
  <c r="D410" i="10"/>
  <c r="D467" i="5"/>
  <c r="D887" i="5"/>
  <c r="D451" i="10" s="1"/>
  <c r="D551" i="5"/>
  <c r="D428" i="10"/>
  <c r="D905" i="5"/>
  <c r="D469" i="10" s="1"/>
  <c r="D569" i="5"/>
  <c r="D485" i="5"/>
  <c r="D444" i="10"/>
  <c r="D921" i="5"/>
  <c r="D485" i="10" s="1"/>
  <c r="D585" i="5"/>
  <c r="D501" i="5"/>
  <c r="D469" i="15"/>
  <c r="D470" i="14"/>
  <c r="G476" i="13"/>
  <c r="I476" i="13" s="1"/>
  <c r="K476" i="13"/>
  <c r="H476" i="13"/>
  <c r="H469" i="15" s="1"/>
  <c r="D1822" i="15"/>
  <c r="D1823" i="14"/>
  <c r="K1829" i="13"/>
  <c r="H1829" i="13"/>
  <c r="G1829" i="13"/>
  <c r="D2162" i="15"/>
  <c r="D2163" i="14"/>
  <c r="K2169" i="13"/>
  <c r="H2169" i="13"/>
  <c r="G2169" i="13"/>
  <c r="D1187" i="15"/>
  <c r="D1188" i="14"/>
  <c r="K1194" i="13"/>
  <c r="L355" i="6"/>
  <c r="E462" i="13"/>
  <c r="AT1468" i="5"/>
  <c r="E379" i="13" s="1"/>
  <c r="E500" i="13"/>
  <c r="AT1472" i="5"/>
  <c r="E417" i="13" s="1"/>
  <c r="B434" i="15"/>
  <c r="B435" i="14"/>
  <c r="D479" i="15"/>
  <c r="D480" i="14"/>
  <c r="K486" i="13"/>
  <c r="H486" i="13"/>
  <c r="H479" i="15" s="1"/>
  <c r="G486" i="13"/>
  <c r="I486" i="13" s="1"/>
  <c r="B421" i="15"/>
  <c r="B422" i="14"/>
  <c r="B459" i="15"/>
  <c r="B460" i="14"/>
  <c r="E463" i="15"/>
  <c r="G463" i="15" s="1"/>
  <c r="G470" i="13"/>
  <c r="I470" i="13" s="1"/>
  <c r="B691" i="15"/>
  <c r="B692" i="14"/>
  <c r="J1708" i="5"/>
  <c r="J1724" i="5"/>
  <c r="E832" i="13"/>
  <c r="D1879" i="5"/>
  <c r="E869" i="13" s="1"/>
  <c r="C889" i="13"/>
  <c r="B1960" i="5"/>
  <c r="E870" i="13"/>
  <c r="E1880" i="5"/>
  <c r="D845" i="15"/>
  <c r="D846" i="14"/>
  <c r="K852" i="13"/>
  <c r="C806" i="13"/>
  <c r="B1997" i="5"/>
  <c r="C769" i="13" s="1"/>
  <c r="H1259" i="15"/>
  <c r="I1266" i="13"/>
  <c r="J1259" i="15" s="1"/>
  <c r="E1132" i="15"/>
  <c r="G1132" i="15" s="1"/>
  <c r="D67" i="15"/>
  <c r="D68" i="14"/>
  <c r="H67" i="13"/>
  <c r="G67" i="13"/>
  <c r="I1573" i="15"/>
  <c r="F1574" i="14"/>
  <c r="E620" i="15"/>
  <c r="G620" i="15" s="1"/>
  <c r="G627" i="13"/>
  <c r="B886" i="13"/>
  <c r="A1957" i="5"/>
  <c r="E880" i="13"/>
  <c r="D1951" i="5"/>
  <c r="B824" i="13"/>
  <c r="G1990" i="5"/>
  <c r="B787" i="13" s="1"/>
  <c r="D1272" i="15"/>
  <c r="D1273" i="14"/>
  <c r="H1279" i="13"/>
  <c r="G1279" i="13"/>
  <c r="E1254" i="15"/>
  <c r="G1254" i="15" s="1"/>
  <c r="G1261" i="13"/>
  <c r="H1261" i="13"/>
  <c r="D1317" i="13"/>
  <c r="E2199" i="5"/>
  <c r="C2200" i="5"/>
  <c r="I1883" i="15"/>
  <c r="F1884" i="14"/>
  <c r="D1054" i="13"/>
  <c r="F195" i="7"/>
  <c r="D1157" i="13"/>
  <c r="F313" i="7"/>
  <c r="H125" i="15"/>
  <c r="I125" i="13"/>
  <c r="J125" i="15" s="1"/>
  <c r="E2351" i="15"/>
  <c r="G2351" i="15" s="1"/>
  <c r="H2358" i="13"/>
  <c r="G214" i="5"/>
  <c r="H77" i="10" s="1"/>
  <c r="T848" i="5"/>
  <c r="D312" i="13"/>
  <c r="E1402" i="5"/>
  <c r="B454" i="15"/>
  <c r="B455" i="14"/>
  <c r="B377" i="15"/>
  <c r="B378" i="14"/>
  <c r="E461" i="15"/>
  <c r="G461" i="15" s="1"/>
  <c r="B616" i="15"/>
  <c r="B617" i="14"/>
  <c r="B677" i="15"/>
  <c r="B678" i="14"/>
  <c r="D634" i="15"/>
  <c r="D635" i="14"/>
  <c r="K641" i="13"/>
  <c r="H641" i="13"/>
  <c r="E643" i="15"/>
  <c r="G643" i="15" s="1"/>
  <c r="G650" i="13"/>
  <c r="H2371" i="15"/>
  <c r="I2378" i="13"/>
  <c r="J2371" i="15" s="1"/>
  <c r="E901" i="13"/>
  <c r="K1947" i="5"/>
  <c r="B2387" i="13"/>
  <c r="B2380" i="15" s="1"/>
  <c r="A1965" i="5"/>
  <c r="E751" i="15"/>
  <c r="G751" i="15" s="1"/>
  <c r="C767" i="15"/>
  <c r="C768" i="14"/>
  <c r="D1857" i="13"/>
  <c r="E2176" i="5"/>
  <c r="D1828" i="13"/>
  <c r="E2147" i="5"/>
  <c r="G2277" i="5"/>
  <c r="D2214" i="13"/>
  <c r="L662" i="6"/>
  <c r="B930" i="15"/>
  <c r="B931" i="14"/>
  <c r="I2347" i="15"/>
  <c r="G2354" i="13"/>
  <c r="O621" i="5"/>
  <c r="B406" i="15"/>
  <c r="B407" i="14"/>
  <c r="E671" i="15"/>
  <c r="G671" i="15" s="1"/>
  <c r="G678" i="13"/>
  <c r="B682" i="15"/>
  <c r="B683" i="14"/>
  <c r="B690" i="15"/>
  <c r="B691" i="14"/>
  <c r="I753" i="13"/>
  <c r="J746" i="15" s="1"/>
  <c r="H1312" i="15"/>
  <c r="I1319" i="13"/>
  <c r="J1312" i="15" s="1"/>
  <c r="C765" i="15"/>
  <c r="C766" i="14"/>
  <c r="G1927" i="5"/>
  <c r="C1955" i="5" s="1"/>
  <c r="I1900" i="15"/>
  <c r="F1901" i="14"/>
  <c r="I2469" i="15"/>
  <c r="G2477" i="13"/>
  <c r="D2154" i="15"/>
  <c r="D2155" i="14"/>
  <c r="K2161" i="13"/>
  <c r="H2161" i="13"/>
  <c r="G2161" i="13"/>
  <c r="E1187" i="15"/>
  <c r="G1187" i="15" s="1"/>
  <c r="H1194" i="13"/>
  <c r="I1187" i="15" s="1"/>
  <c r="G1194" i="13"/>
  <c r="H1187" i="15" s="1"/>
  <c r="E193" i="15"/>
  <c r="G193" i="15" s="1"/>
  <c r="H1440" i="15"/>
  <c r="I1447" i="13"/>
  <c r="J1440" i="15" s="1"/>
  <c r="E1118" i="15"/>
  <c r="G1118" i="15" s="1"/>
  <c r="E1172" i="15"/>
  <c r="G1172" i="15" s="1"/>
  <c r="B1184" i="15"/>
  <c r="B1185" i="14"/>
  <c r="H2412" i="15"/>
  <c r="I2420" i="13"/>
  <c r="J2412" i="15" s="1"/>
  <c r="D163" i="15"/>
  <c r="D164" i="14"/>
  <c r="H163" i="13"/>
  <c r="K163" i="13"/>
  <c r="G163" i="13"/>
  <c r="C460" i="5"/>
  <c r="C456" i="5"/>
  <c r="C452" i="5"/>
  <c r="C448" i="5"/>
  <c r="C444" i="5"/>
  <c r="C440" i="5"/>
  <c r="C436" i="5"/>
  <c r="C432" i="5"/>
  <c r="C426" i="5"/>
  <c r="C463" i="5"/>
  <c r="C459" i="5"/>
  <c r="C455" i="5"/>
  <c r="C451" i="5"/>
  <c r="C447" i="5"/>
  <c r="C443" i="5"/>
  <c r="C439" i="5"/>
  <c r="C435" i="5"/>
  <c r="C431" i="5"/>
  <c r="C425" i="5"/>
  <c r="B410" i="5"/>
  <c r="D410" i="5" s="1"/>
  <c r="D402" i="5"/>
  <c r="C462" i="5"/>
  <c r="C458" i="5"/>
  <c r="C454" i="5"/>
  <c r="C450" i="5"/>
  <c r="C446" i="5"/>
  <c r="C442" i="5"/>
  <c r="C438" i="5"/>
  <c r="C434" i="5"/>
  <c r="C430" i="5"/>
  <c r="C424" i="5"/>
  <c r="C461" i="5"/>
  <c r="C457" i="5"/>
  <c r="C453" i="5"/>
  <c r="C449" i="5"/>
  <c r="C445" i="5"/>
  <c r="C441" i="5"/>
  <c r="C437" i="5"/>
  <c r="C433" i="5"/>
  <c r="C429" i="5"/>
  <c r="C428" i="5"/>
  <c r="C427" i="5"/>
  <c r="B414" i="5"/>
  <c r="D414" i="5" s="1"/>
  <c r="B406" i="5"/>
  <c r="D406" i="5" s="1"/>
  <c r="T389" i="5"/>
  <c r="D2276" i="15"/>
  <c r="D2277" i="14"/>
  <c r="K2283" i="13"/>
  <c r="H2283" i="13"/>
  <c r="G2283" i="13"/>
  <c r="B1179" i="15"/>
  <c r="B1180" i="14"/>
  <c r="I2391" i="15"/>
  <c r="G2398" i="13"/>
  <c r="I2290" i="15"/>
  <c r="F2291" i="14"/>
  <c r="E1194" i="15"/>
  <c r="G1194" i="15" s="1"/>
  <c r="E1380" i="15"/>
  <c r="G1380" i="15" s="1"/>
  <c r="G1387" i="13"/>
  <c r="H1387" i="13"/>
  <c r="H2325" i="15"/>
  <c r="I2332" i="13"/>
  <c r="J2325" i="15" s="1"/>
  <c r="I2322" i="15"/>
  <c r="F2323" i="14"/>
  <c r="E678" i="15"/>
  <c r="G678" i="15" s="1"/>
  <c r="G685" i="13"/>
  <c r="J1714" i="5"/>
  <c r="E867" i="15"/>
  <c r="G867" i="15" s="1"/>
  <c r="I781" i="15"/>
  <c r="F782" i="14"/>
  <c r="D2163" i="13"/>
  <c r="E688" i="6"/>
  <c r="E1120" i="15"/>
  <c r="G1120" i="15" s="1"/>
  <c r="E638" i="15"/>
  <c r="G638" i="15" s="1"/>
  <c r="E831" i="15"/>
  <c r="G831" i="15" s="1"/>
  <c r="E2423" i="15"/>
  <c r="G2423" i="15" s="1"/>
  <c r="H2431" i="13"/>
  <c r="B166" i="15"/>
  <c r="B167" i="14"/>
  <c r="H2387" i="15"/>
  <c r="I2394" i="13"/>
  <c r="J2387" i="15" s="1"/>
  <c r="T845" i="5"/>
  <c r="B1165" i="15"/>
  <c r="B1166" i="14"/>
  <c r="H2334" i="15"/>
  <c r="I2341" i="13"/>
  <c r="J2334" i="15" s="1"/>
  <c r="L345" i="12"/>
  <c r="D1136" i="15"/>
  <c r="D1137" i="14"/>
  <c r="K1143" i="13"/>
  <c r="D1108" i="15"/>
  <c r="D1109" i="14"/>
  <c r="K1115" i="13"/>
  <c r="H1115" i="13"/>
  <c r="I1108" i="15" s="1"/>
  <c r="G1115" i="13"/>
  <c r="H1108" i="15" s="1"/>
  <c r="D1101" i="15"/>
  <c r="D1102" i="14"/>
  <c r="K1108" i="13"/>
  <c r="L339" i="12"/>
  <c r="D803" i="13"/>
  <c r="D877" i="13"/>
  <c r="E1887" i="5"/>
  <c r="D1109" i="15"/>
  <c r="D1110" i="14"/>
  <c r="K1116" i="13"/>
  <c r="D1153" i="15"/>
  <c r="D1154" i="14"/>
  <c r="K1160" i="13"/>
  <c r="D1115" i="15"/>
  <c r="D1116" i="14"/>
  <c r="K1122" i="13"/>
  <c r="G1122" i="13"/>
  <c r="H1115" i="15" s="1"/>
  <c r="H1122" i="13"/>
  <c r="I1115" i="15" s="1"/>
  <c r="I2321" i="15"/>
  <c r="F2322" i="14"/>
  <c r="I2328" i="13"/>
  <c r="J2321" i="15" s="1"/>
  <c r="I2408" i="15"/>
  <c r="G2415" i="13"/>
  <c r="I2265" i="15"/>
  <c r="F2266" i="14"/>
  <c r="E2401" i="15"/>
  <c r="G2401" i="15" s="1"/>
  <c r="H2408" i="13"/>
  <c r="H2432" i="15"/>
  <c r="I2440" i="13"/>
  <c r="J2432" i="15" s="1"/>
  <c r="F358" i="6"/>
  <c r="E404" i="15"/>
  <c r="G404" i="15" s="1"/>
  <c r="D682" i="13"/>
  <c r="G682" i="13" s="1"/>
  <c r="J1711" i="5"/>
  <c r="D670" i="15"/>
  <c r="D671" i="14"/>
  <c r="H677" i="13"/>
  <c r="K677" i="13"/>
  <c r="D718" i="15"/>
  <c r="D719" i="14"/>
  <c r="H725" i="13"/>
  <c r="K725" i="13"/>
  <c r="G725" i="13"/>
  <c r="H1883" i="15"/>
  <c r="I1890" i="13"/>
  <c r="J1883" i="15" s="1"/>
  <c r="B894" i="15"/>
  <c r="B895" i="14"/>
  <c r="B873" i="15"/>
  <c r="B874" i="14"/>
  <c r="D2424" i="15"/>
  <c r="H2432" i="13"/>
  <c r="K2432" i="13"/>
  <c r="B1176" i="13"/>
  <c r="C335" i="7"/>
  <c r="C354" i="7" s="1"/>
  <c r="D354" i="7" s="1"/>
  <c r="E1184" i="15"/>
  <c r="G1184" i="15" s="1"/>
  <c r="H2394" i="15"/>
  <c r="I2401" i="13"/>
  <c r="J2394" i="15" s="1"/>
  <c r="H2453" i="15"/>
  <c r="I2461" i="13"/>
  <c r="J2453" i="15" s="1"/>
  <c r="I168" i="15"/>
  <c r="F169" i="14"/>
  <c r="I168" i="13"/>
  <c r="J168" i="15" s="1"/>
  <c r="H175" i="13"/>
  <c r="I175" i="13" s="1"/>
  <c r="J175" i="15" s="1"/>
  <c r="C169" i="8"/>
  <c r="G85" i="4"/>
  <c r="C186" i="4"/>
  <c r="C187" i="4" s="1"/>
  <c r="G1362" i="5"/>
  <c r="C100" i="4"/>
  <c r="G100" i="4" s="1"/>
  <c r="C103" i="4"/>
  <c r="Q400" i="5"/>
  <c r="Q402" i="5" s="1"/>
  <c r="F400" i="5"/>
  <c r="P400" i="5"/>
  <c r="C861" i="5"/>
  <c r="S400" i="5"/>
  <c r="I400" i="5"/>
  <c r="O400" i="5" s="1"/>
  <c r="R400" i="5"/>
  <c r="L400" i="5"/>
  <c r="F425" i="5" s="1"/>
  <c r="F410" i="10" s="1"/>
  <c r="G410" i="10" s="1"/>
  <c r="T404" i="5"/>
  <c r="L404" i="5"/>
  <c r="F467" i="5" s="1"/>
  <c r="F492" i="10" s="1"/>
  <c r="G492" i="10" s="1"/>
  <c r="R1080" i="5"/>
  <c r="N98" i="4"/>
  <c r="N90" i="4"/>
  <c r="N96" i="4" s="1"/>
  <c r="N44" i="4"/>
  <c r="D1562" i="13"/>
  <c r="C464" i="9"/>
  <c r="C466" i="9"/>
  <c r="E442" i="9"/>
  <c r="J441" i="9"/>
  <c r="D1936" i="15"/>
  <c r="D1937" i="14"/>
  <c r="K1943" i="13"/>
  <c r="H1943" i="13"/>
  <c r="G1943" i="13"/>
  <c r="M133" i="4"/>
  <c r="H133" i="4"/>
  <c r="K1181" i="5"/>
  <c r="F10" i="4"/>
  <c r="F13" i="4" s="1"/>
  <c r="F143" i="4"/>
  <c r="S410" i="5"/>
  <c r="L407" i="5"/>
  <c r="F508" i="5" s="1"/>
  <c r="F573" i="10" s="1"/>
  <c r="G573" i="10" s="1"/>
  <c r="S1075" i="5"/>
  <c r="O97" i="4"/>
  <c r="O89" i="4"/>
  <c r="O43" i="4"/>
  <c r="D78" i="4"/>
  <c r="D77" i="4"/>
  <c r="D79" i="4" s="1"/>
  <c r="F97" i="10"/>
  <c r="G97" i="10" s="1"/>
  <c r="G261" i="5"/>
  <c r="H124" i="10" s="1"/>
  <c r="E307" i="5"/>
  <c r="C416" i="9"/>
  <c r="J1160" i="5"/>
  <c r="J1161" i="5" s="1"/>
  <c r="P1191" i="5"/>
  <c r="O1191" i="5"/>
  <c r="D1950" i="13"/>
  <c r="E411" i="6"/>
  <c r="J1491" i="5"/>
  <c r="I2361" i="15"/>
  <c r="G2368" i="13"/>
  <c r="I538" i="15"/>
  <c r="F539" i="14"/>
  <c r="E586" i="13"/>
  <c r="I1650" i="5"/>
  <c r="E34" i="5"/>
  <c r="J34" i="5" s="1"/>
  <c r="K34" i="5" s="1"/>
  <c r="L34" i="5" s="1"/>
  <c r="G34" i="5"/>
  <c r="E36" i="5"/>
  <c r="J36" i="5" s="1"/>
  <c r="K36" i="5" s="1"/>
  <c r="L36" i="5" s="1"/>
  <c r="G36" i="5"/>
  <c r="Q65" i="4"/>
  <c r="M152" i="4"/>
  <c r="M153" i="4" s="1"/>
  <c r="M154" i="4" s="1"/>
  <c r="M155" i="4" s="1"/>
  <c r="M157" i="4" s="1"/>
  <c r="M17" i="4"/>
  <c r="M208" i="4"/>
  <c r="M16" i="4"/>
  <c r="P78" i="4"/>
  <c r="M140" i="4"/>
  <c r="M46" i="4"/>
  <c r="E773" i="5"/>
  <c r="G1197" i="5"/>
  <c r="Y7" i="5" s="1"/>
  <c r="F1195" i="5"/>
  <c r="F126" i="5"/>
  <c r="D391" i="15"/>
  <c r="D392" i="14"/>
  <c r="H398" i="13"/>
  <c r="H391" i="15" s="1"/>
  <c r="K398" i="13"/>
  <c r="I602" i="15"/>
  <c r="F603" i="14"/>
  <c r="I2012" i="15"/>
  <c r="F2013" i="14"/>
  <c r="D425" i="10"/>
  <c r="D566" i="5"/>
  <c r="D902" i="5"/>
  <c r="D466" i="10" s="1"/>
  <c r="D482" i="5"/>
  <c r="D441" i="10"/>
  <c r="D582" i="5"/>
  <c r="D918" i="5"/>
  <c r="D482" i="10" s="1"/>
  <c r="D498" i="5"/>
  <c r="D414" i="10"/>
  <c r="D555" i="5"/>
  <c r="D471" i="5"/>
  <c r="D891" i="5"/>
  <c r="D455" i="10" s="1"/>
  <c r="D430" i="10"/>
  <c r="D907" i="5"/>
  <c r="D471" i="10" s="1"/>
  <c r="D571" i="5"/>
  <c r="D487" i="5"/>
  <c r="D446" i="10"/>
  <c r="D923" i="5"/>
  <c r="D487" i="10" s="1"/>
  <c r="D587" i="5"/>
  <c r="D503" i="5"/>
  <c r="D423" i="10"/>
  <c r="D480" i="5"/>
  <c r="D900" i="5"/>
  <c r="D464" i="10" s="1"/>
  <c r="D564" i="5"/>
  <c r="D439" i="10"/>
  <c r="D496" i="5"/>
  <c r="D916" i="5"/>
  <c r="D480" i="10" s="1"/>
  <c r="D580" i="5"/>
  <c r="D416" i="10"/>
  <c r="D893" i="5"/>
  <c r="D457" i="10" s="1"/>
  <c r="D557" i="5"/>
  <c r="D473" i="5"/>
  <c r="D432" i="10"/>
  <c r="D909" i="5"/>
  <c r="D473" i="10" s="1"/>
  <c r="D573" i="5"/>
  <c r="D489" i="5"/>
  <c r="D448" i="10"/>
  <c r="D925" i="5"/>
  <c r="D489" i="10" s="1"/>
  <c r="D589" i="5"/>
  <c r="D505" i="5"/>
  <c r="I603" i="15"/>
  <c r="F604" i="14"/>
  <c r="G720" i="5"/>
  <c r="H294" i="10" s="1"/>
  <c r="G416" i="9"/>
  <c r="J1190" i="5"/>
  <c r="F93" i="5" s="1"/>
  <c r="AI7" i="5"/>
  <c r="E335" i="15"/>
  <c r="G335" i="15" s="1"/>
  <c r="E339" i="15"/>
  <c r="G339" i="15" s="1"/>
  <c r="B517" i="15"/>
  <c r="B518" i="14"/>
  <c r="B399" i="15"/>
  <c r="B400" i="14"/>
  <c r="B504" i="15"/>
  <c r="B505" i="14"/>
  <c r="I553" i="15"/>
  <c r="F554" i="14"/>
  <c r="I561" i="15"/>
  <c r="F562" i="14"/>
  <c r="B638" i="15"/>
  <c r="B639" i="14"/>
  <c r="D672" i="15"/>
  <c r="D673" i="14"/>
  <c r="H679" i="13"/>
  <c r="K679" i="13"/>
  <c r="D688" i="15"/>
  <c r="D689" i="14"/>
  <c r="H695" i="13"/>
  <c r="K695" i="13"/>
  <c r="E714" i="15"/>
  <c r="G714" i="15" s="1"/>
  <c r="C845" i="15"/>
  <c r="C846" i="14"/>
  <c r="E826" i="15"/>
  <c r="G826" i="15" s="1"/>
  <c r="G833" i="13"/>
  <c r="C873" i="15"/>
  <c r="C874" i="14"/>
  <c r="D1248" i="15"/>
  <c r="D1249" i="14"/>
  <c r="K1255" i="13"/>
  <c r="H1255" i="13"/>
  <c r="D1304" i="15"/>
  <c r="D1305" i="14"/>
  <c r="H1311" i="13"/>
  <c r="G1311" i="13"/>
  <c r="H2382" i="15"/>
  <c r="I2389" i="13"/>
  <c r="J2382" i="15" s="1"/>
  <c r="D155" i="15"/>
  <c r="D156" i="14"/>
  <c r="H155" i="13"/>
  <c r="G155" i="13"/>
  <c r="E558" i="10"/>
  <c r="G558" i="10" s="1"/>
  <c r="E955" i="5"/>
  <c r="I610" i="13"/>
  <c r="J603" i="15" s="1"/>
  <c r="B878" i="13"/>
  <c r="A1949" i="5"/>
  <c r="B842" i="15"/>
  <c r="B843" i="14"/>
  <c r="E836" i="15"/>
  <c r="G836" i="15" s="1"/>
  <c r="B891" i="15"/>
  <c r="B892" i="14"/>
  <c r="D1328" i="13"/>
  <c r="K2197" i="5"/>
  <c r="D1333" i="13"/>
  <c r="K2206" i="5"/>
  <c r="J1983" i="15"/>
  <c r="I1983" i="15"/>
  <c r="D1053" i="13"/>
  <c r="F194" i="7"/>
  <c r="B1131" i="15"/>
  <c r="B1132" i="14"/>
  <c r="E2346" i="15"/>
  <c r="G2346" i="15" s="1"/>
  <c r="H2353" i="13"/>
  <c r="R852" i="5"/>
  <c r="T852" i="5" s="1"/>
  <c r="F355" i="12"/>
  <c r="B384" i="15"/>
  <c r="B385" i="14"/>
  <c r="B372" i="15"/>
  <c r="B373" i="14"/>
  <c r="E373" i="15"/>
  <c r="G373" i="15" s="1"/>
  <c r="G380" i="13"/>
  <c r="B380" i="15"/>
  <c r="B381" i="14"/>
  <c r="I552" i="15"/>
  <c r="F553" i="14"/>
  <c r="I562" i="15"/>
  <c r="F563" i="14"/>
  <c r="E666" i="15"/>
  <c r="G666" i="15" s="1"/>
  <c r="G673" i="13"/>
  <c r="B624" i="15"/>
  <c r="B625" i="14"/>
  <c r="B693" i="15"/>
  <c r="B694" i="14"/>
  <c r="I744" i="15"/>
  <c r="F745" i="14"/>
  <c r="E857" i="15"/>
  <c r="G857" i="15" s="1"/>
  <c r="G864" i="13"/>
  <c r="E788" i="15"/>
  <c r="G788" i="15" s="1"/>
  <c r="C804" i="15"/>
  <c r="C805" i="14"/>
  <c r="D1824" i="13"/>
  <c r="E2143" i="5"/>
  <c r="I2462" i="15"/>
  <c r="G2470" i="13"/>
  <c r="D2162" i="13"/>
  <c r="E687" i="6"/>
  <c r="H2467" i="15"/>
  <c r="I2475" i="13"/>
  <c r="J2467" i="15" s="1"/>
  <c r="B1190" i="15"/>
  <c r="B1191" i="14"/>
  <c r="E2357" i="15"/>
  <c r="G2357" i="15" s="1"/>
  <c r="H2364" i="13"/>
  <c r="D46" i="15"/>
  <c r="D47" i="14"/>
  <c r="K46" i="13"/>
  <c r="H46" i="13"/>
  <c r="G46" i="13"/>
  <c r="B489" i="15"/>
  <c r="B490" i="14"/>
  <c r="E618" i="15"/>
  <c r="G618" i="15" s="1"/>
  <c r="G625" i="13"/>
  <c r="B629" i="15"/>
  <c r="B630" i="14"/>
  <c r="B637" i="15"/>
  <c r="B638" i="14"/>
  <c r="D826" i="15"/>
  <c r="D827" i="14"/>
  <c r="K833" i="13"/>
  <c r="H833" i="13"/>
  <c r="C802" i="15"/>
  <c r="C803" i="14"/>
  <c r="I1323" i="15"/>
  <c r="F1324" i="14"/>
  <c r="E2060" i="15"/>
  <c r="G2060" i="15" s="1"/>
  <c r="C691" i="6"/>
  <c r="E1148" i="15"/>
  <c r="G1148" i="15" s="1"/>
  <c r="H1155" i="13"/>
  <c r="I1148" i="15" s="1"/>
  <c r="G1155" i="13"/>
  <c r="H1148" i="15" s="1"/>
  <c r="I1440" i="15"/>
  <c r="F1441" i="14"/>
  <c r="B1171" i="13"/>
  <c r="C330" i="7"/>
  <c r="C349" i="7" s="1"/>
  <c r="D349" i="7" s="1"/>
  <c r="E1133" i="15"/>
  <c r="G1133" i="15" s="1"/>
  <c r="B1145" i="15"/>
  <c r="B1146" i="14"/>
  <c r="H173" i="15"/>
  <c r="D1158" i="13"/>
  <c r="G1158" i="13" s="1"/>
  <c r="H1151" i="15" s="1"/>
  <c r="F314" i="7"/>
  <c r="B1140" i="15"/>
  <c r="B1141" i="14"/>
  <c r="D1481" i="15"/>
  <c r="D1482" i="14"/>
  <c r="H1488" i="13"/>
  <c r="K1488" i="13"/>
  <c r="E1155" i="15"/>
  <c r="G1155" i="15" s="1"/>
  <c r="B104" i="15"/>
  <c r="B105" i="14"/>
  <c r="I2325" i="15"/>
  <c r="F2326" i="14"/>
  <c r="I545" i="13"/>
  <c r="J538" i="15" s="1"/>
  <c r="E625" i="15"/>
  <c r="G625" i="15" s="1"/>
  <c r="G632" i="13"/>
  <c r="H632" i="13"/>
  <c r="D678" i="15"/>
  <c r="D679" i="14"/>
  <c r="H685" i="13"/>
  <c r="K685" i="13"/>
  <c r="E830" i="15"/>
  <c r="G830" i="15" s="1"/>
  <c r="G1932" i="5"/>
  <c r="C1953" i="5" s="1"/>
  <c r="C1954" i="5"/>
  <c r="J1943" i="5"/>
  <c r="D823" i="13" s="1"/>
  <c r="L348" i="6"/>
  <c r="D2215" i="13"/>
  <c r="L663" i="6"/>
  <c r="E687" i="15"/>
  <c r="G687" i="15" s="1"/>
  <c r="E864" i="15"/>
  <c r="G864" i="15" s="1"/>
  <c r="B805" i="13"/>
  <c r="A1996" i="5"/>
  <c r="B768" i="13" s="1"/>
  <c r="B148" i="15"/>
  <c r="B149" i="14"/>
  <c r="T855" i="5"/>
  <c r="H2455" i="15"/>
  <c r="I2463" i="13"/>
  <c r="J2455" i="15" s="1"/>
  <c r="I2282" i="15"/>
  <c r="F2283" i="14"/>
  <c r="I2334" i="15"/>
  <c r="F2335" i="14"/>
  <c r="D1939" i="15"/>
  <c r="D1940" i="14"/>
  <c r="K1946" i="13"/>
  <c r="H1946" i="13"/>
  <c r="G1946" i="13"/>
  <c r="L349" i="12"/>
  <c r="H2477" i="15"/>
  <c r="I2485" i="13"/>
  <c r="J2477" i="15" s="1"/>
  <c r="D1823" i="13"/>
  <c r="K2142" i="5"/>
  <c r="E2142" i="5"/>
  <c r="N92" i="4"/>
  <c r="D1104" i="15"/>
  <c r="D1105" i="14"/>
  <c r="K1111" i="13"/>
  <c r="G1111" i="13"/>
  <c r="H1104" i="15" s="1"/>
  <c r="H1111" i="13"/>
  <c r="I1104" i="15" s="1"/>
  <c r="D1107" i="15"/>
  <c r="D1108" i="14"/>
  <c r="K1114" i="13"/>
  <c r="H1114" i="13"/>
  <c r="I1107" i="15" s="1"/>
  <c r="G1114" i="13"/>
  <c r="H1107" i="15" s="1"/>
  <c r="D1148" i="15"/>
  <c r="D1149" i="14"/>
  <c r="K1155" i="13"/>
  <c r="I1524" i="13"/>
  <c r="J1517" i="15" s="1"/>
  <c r="N93" i="4"/>
  <c r="D840" i="13"/>
  <c r="E1839" i="5"/>
  <c r="L343" i="12"/>
  <c r="J204" i="4"/>
  <c r="L204" i="4" s="1"/>
  <c r="J116" i="4"/>
  <c r="J115" i="4"/>
  <c r="J152" i="4"/>
  <c r="J153" i="4" s="1"/>
  <c r="J154" i="4" s="1"/>
  <c r="J155" i="4" s="1"/>
  <c r="J157" i="4" s="1"/>
  <c r="J18" i="4"/>
  <c r="J16" i="4"/>
  <c r="J92" i="4"/>
  <c r="J91" i="4"/>
  <c r="J19" i="4"/>
  <c r="J17" i="4"/>
  <c r="D408" i="5" s="1"/>
  <c r="K88" i="4"/>
  <c r="K87" i="4"/>
  <c r="K94" i="4" s="1"/>
  <c r="P41" i="4"/>
  <c r="P58" i="4" s="1"/>
  <c r="J10" i="4"/>
  <c r="J13" i="4" s="1"/>
  <c r="K101" i="4"/>
  <c r="K102" i="4" s="1"/>
  <c r="K99" i="4"/>
  <c r="K72" i="4"/>
  <c r="K71" i="4"/>
  <c r="K65" i="4"/>
  <c r="K66" i="4"/>
  <c r="K56" i="4"/>
  <c r="C399" i="12"/>
  <c r="C370" i="12"/>
  <c r="C366" i="12"/>
  <c r="C402" i="12"/>
  <c r="C368" i="12"/>
  <c r="H2468" i="15"/>
  <c r="I2476" i="13"/>
  <c r="J2468" i="15" s="1"/>
  <c r="J76" i="4"/>
  <c r="E78" i="4"/>
  <c r="E77" i="4"/>
  <c r="E79" i="4" s="1"/>
  <c r="O376" i="5"/>
  <c r="O392" i="5"/>
  <c r="F392" i="5"/>
  <c r="F378" i="5"/>
  <c r="D1448" i="13"/>
  <c r="E299" i="9"/>
  <c r="J278" i="9"/>
  <c r="D703" i="13"/>
  <c r="G703" i="13" s="1"/>
  <c r="J1734" i="5"/>
  <c r="D1274" i="15"/>
  <c r="D1275" i="14"/>
  <c r="H1281" i="13"/>
  <c r="G1281" i="13"/>
  <c r="B429" i="15"/>
  <c r="B430" i="14"/>
  <c r="E464" i="15"/>
  <c r="G464" i="15" s="1"/>
  <c r="I567" i="15"/>
  <c r="F568" i="14"/>
  <c r="D2378" i="15"/>
  <c r="H2385" i="13"/>
  <c r="K2385" i="13"/>
  <c r="H72" i="4"/>
  <c r="H71" i="4"/>
  <c r="H65" i="4"/>
  <c r="H66" i="4"/>
  <c r="H56" i="4"/>
  <c r="H101" i="4"/>
  <c r="H102" i="4" s="1"/>
  <c r="H99" i="4"/>
  <c r="J47" i="4"/>
  <c r="S1072" i="5"/>
  <c r="S1077" i="5" s="1"/>
  <c r="O30" i="4"/>
  <c r="O29" i="4"/>
  <c r="O28" i="4"/>
  <c r="O86" i="4"/>
  <c r="O10" i="4"/>
  <c r="O9" i="4"/>
  <c r="O12" i="4" s="1"/>
  <c r="O85" i="4"/>
  <c r="O186" i="4" s="1"/>
  <c r="O187" i="4" s="1"/>
  <c r="O78" i="4"/>
  <c r="O42" i="4"/>
  <c r="O47" i="4"/>
  <c r="J29" i="4"/>
  <c r="D1266" i="15"/>
  <c r="D1267" i="14"/>
  <c r="K1273" i="13"/>
  <c r="H1273" i="13"/>
  <c r="E1025" i="15"/>
  <c r="G1025" i="15" s="1"/>
  <c r="H1042" i="15"/>
  <c r="I1049" i="13"/>
  <c r="J1042" i="15" s="1"/>
  <c r="R874" i="5"/>
  <c r="L874" i="5"/>
  <c r="F1014" i="5" s="1"/>
  <c r="F698" i="10" s="1"/>
  <c r="G698" i="10" s="1"/>
  <c r="Q874" i="5"/>
  <c r="F874" i="5"/>
  <c r="P874" i="5"/>
  <c r="I874" i="5"/>
  <c r="O874" i="5" s="1"/>
  <c r="T411" i="5"/>
  <c r="P414" i="5"/>
  <c r="C136" i="5"/>
  <c r="E217" i="5"/>
  <c r="E183" i="5"/>
  <c r="D669" i="15"/>
  <c r="D670" i="14"/>
  <c r="H676" i="13"/>
  <c r="K676" i="13"/>
  <c r="R853" i="5"/>
  <c r="T853" i="5" s="1"/>
  <c r="C1886" i="5"/>
  <c r="C1838" i="5"/>
  <c r="C1993" i="5"/>
  <c r="C1947" i="5"/>
  <c r="C1794" i="5"/>
  <c r="J521" i="15"/>
  <c r="I521" i="15"/>
  <c r="E471" i="15"/>
  <c r="G471" i="15" s="1"/>
  <c r="G478" i="13"/>
  <c r="H478" i="13"/>
  <c r="H471" i="15" s="1"/>
  <c r="B501" i="15"/>
  <c r="B502" i="14"/>
  <c r="E631" i="15"/>
  <c r="G631" i="15" s="1"/>
  <c r="G638" i="13"/>
  <c r="H638" i="13"/>
  <c r="D2365" i="15"/>
  <c r="K2372" i="13"/>
  <c r="H2372" i="13"/>
  <c r="B875" i="13"/>
  <c r="A1946" i="5"/>
  <c r="C209" i="10"/>
  <c r="G373" i="5"/>
  <c r="C401" i="10"/>
  <c r="G827" i="5"/>
  <c r="H401" i="10" s="1"/>
  <c r="C407" i="10"/>
  <c r="G833" i="5"/>
  <c r="H407" i="10" s="1"/>
  <c r="E628" i="15"/>
  <c r="G628" i="15" s="1"/>
  <c r="G635" i="13"/>
  <c r="E832" i="15"/>
  <c r="G832" i="15" s="1"/>
  <c r="E846" i="15"/>
  <c r="G846" i="15" s="1"/>
  <c r="G853" i="13"/>
  <c r="H1264" i="15"/>
  <c r="I2348" i="15"/>
  <c r="G2355" i="13"/>
  <c r="E524" i="8"/>
  <c r="C646" i="8" s="1"/>
  <c r="E525" i="8"/>
  <c r="C647" i="8" s="1"/>
  <c r="E523" i="8"/>
  <c r="C648" i="8" s="1"/>
  <c r="C642" i="8"/>
  <c r="C645" i="8"/>
  <c r="J644" i="8"/>
  <c r="D1183" i="5"/>
  <c r="R17" i="5" s="1"/>
  <c r="R16" i="5"/>
  <c r="L1195" i="5"/>
  <c r="K1197" i="5"/>
  <c r="L1197" i="5" s="1"/>
  <c r="P152" i="4"/>
  <c r="P153" i="4" s="1"/>
  <c r="P154" i="4" s="1"/>
  <c r="P155" i="4" s="1"/>
  <c r="P157" i="4" s="1"/>
  <c r="P204" i="4"/>
  <c r="P208" i="4"/>
  <c r="P16" i="4"/>
  <c r="O1130" i="5"/>
  <c r="P1130" i="5" s="1"/>
  <c r="C633" i="9" s="1"/>
  <c r="O1162" i="5"/>
  <c r="Q1133" i="5"/>
  <c r="D644" i="15"/>
  <c r="D645" i="14"/>
  <c r="K651" i="13"/>
  <c r="H651" i="13"/>
  <c r="AL45" i="5"/>
  <c r="AK45" i="5"/>
  <c r="C95" i="4"/>
  <c r="G89" i="4"/>
  <c r="G203" i="4"/>
  <c r="E1164" i="5"/>
  <c r="Q13" i="5"/>
  <c r="D924" i="13"/>
  <c r="F61" i="7"/>
  <c r="D925" i="13"/>
  <c r="F62" i="7"/>
  <c r="D981" i="13"/>
  <c r="F120" i="7"/>
  <c r="D996" i="13"/>
  <c r="D137" i="7"/>
  <c r="F135" i="7"/>
  <c r="D1010" i="13"/>
  <c r="F149" i="7"/>
  <c r="D503" i="13"/>
  <c r="AS1475" i="5"/>
  <c r="D420" i="13" s="1"/>
  <c r="D1189" i="13"/>
  <c r="H1189" i="13" s="1"/>
  <c r="I1182" i="15" s="1"/>
  <c r="F348" i="7"/>
  <c r="D1947" i="13"/>
  <c r="E408" i="6"/>
  <c r="D649" i="15"/>
  <c r="D650" i="14"/>
  <c r="H656" i="13"/>
  <c r="G656" i="13"/>
  <c r="D1316" i="15"/>
  <c r="D1317" i="14"/>
  <c r="H1323" i="13"/>
  <c r="K1323" i="13"/>
  <c r="D1182" i="13"/>
  <c r="F341" i="7"/>
  <c r="G112" i="5"/>
  <c r="E337" i="15"/>
  <c r="G337" i="15" s="1"/>
  <c r="E515" i="15"/>
  <c r="G515" i="15" s="1"/>
  <c r="G522" i="13"/>
  <c r="E349" i="15"/>
  <c r="G349" i="15" s="1"/>
  <c r="I565" i="15"/>
  <c r="F566" i="14"/>
  <c r="E2374" i="13"/>
  <c r="E2367" i="15" s="1"/>
  <c r="G2367" i="15" s="1"/>
  <c r="I1731" i="5"/>
  <c r="C887" i="13"/>
  <c r="B1958" i="5"/>
  <c r="I2466" i="15"/>
  <c r="G2474" i="13"/>
  <c r="I327" i="15"/>
  <c r="F328" i="14"/>
  <c r="D392" i="15"/>
  <c r="D393" i="14"/>
  <c r="H399" i="13"/>
  <c r="H392" i="15" s="1"/>
  <c r="K399" i="13"/>
  <c r="E665" i="15"/>
  <c r="G665" i="15" s="1"/>
  <c r="G672" i="13"/>
  <c r="E884" i="13"/>
  <c r="D1955" i="5"/>
  <c r="H1250" i="15"/>
  <c r="H1899" i="15"/>
  <c r="I1906" i="13"/>
  <c r="J1899" i="15" s="1"/>
  <c r="E2422" i="15"/>
  <c r="G2422" i="15" s="1"/>
  <c r="H2430" i="13"/>
  <c r="E1179" i="15"/>
  <c r="G1179" i="15" s="1"/>
  <c r="H1186" i="13"/>
  <c r="I1179" i="15" s="1"/>
  <c r="G1186" i="13"/>
  <c r="H1179" i="15" s="1"/>
  <c r="D1499" i="15"/>
  <c r="D1500" i="14"/>
  <c r="K1506" i="13"/>
  <c r="H1506" i="13"/>
  <c r="G1506" i="13"/>
  <c r="I327" i="13"/>
  <c r="J327" i="15" s="1"/>
  <c r="E682" i="15"/>
  <c r="G682" i="15" s="1"/>
  <c r="G689" i="13"/>
  <c r="D1832" i="15"/>
  <c r="D1833" i="14"/>
  <c r="K1839" i="13"/>
  <c r="H1839" i="13"/>
  <c r="G1839" i="13"/>
  <c r="L342" i="12"/>
  <c r="D582" i="15"/>
  <c r="D583" i="14"/>
  <c r="H589" i="13"/>
  <c r="K589" i="13"/>
  <c r="F1979" i="5"/>
  <c r="E1980" i="5" s="1"/>
  <c r="C1981" i="5" s="1"/>
  <c r="G1979" i="5"/>
  <c r="E1979" i="15"/>
  <c r="G1979" i="15" s="1"/>
  <c r="G1986" i="13"/>
  <c r="H1986" i="13"/>
  <c r="B1192" i="15"/>
  <c r="B1193" i="14"/>
  <c r="B1183" i="15"/>
  <c r="B1184" i="14"/>
  <c r="I162" i="15"/>
  <c r="F163" i="14"/>
  <c r="H2406" i="15"/>
  <c r="I2413" i="13"/>
  <c r="J2406" i="15" s="1"/>
  <c r="I2311" i="15"/>
  <c r="F2312" i="14"/>
  <c r="I2318" i="13"/>
  <c r="J2311" i="15" s="1"/>
  <c r="I2473" i="15"/>
  <c r="G2481" i="13"/>
  <c r="D2301" i="15"/>
  <c r="D2302" i="14"/>
  <c r="H2308" i="13"/>
  <c r="K2308" i="13"/>
  <c r="B420" i="15"/>
  <c r="B421" i="14"/>
  <c r="C1942" i="5"/>
  <c r="J1930" i="5"/>
  <c r="D1250" i="15"/>
  <c r="D1251" i="14"/>
  <c r="K1257" i="13"/>
  <c r="H1257" i="13"/>
  <c r="E500" i="15"/>
  <c r="G500" i="15" s="1"/>
  <c r="B824" i="15"/>
  <c r="B825" i="14"/>
  <c r="E1298" i="15"/>
  <c r="G1298" i="15" s="1"/>
  <c r="G1305" i="13"/>
  <c r="H1305" i="13"/>
  <c r="H1224" i="15"/>
  <c r="I1231" i="13"/>
  <c r="J1224" i="15" s="1"/>
  <c r="D240" i="15"/>
  <c r="D241" i="14"/>
  <c r="H240" i="13"/>
  <c r="G240" i="13"/>
  <c r="H2460" i="15"/>
  <c r="I2468" i="13"/>
  <c r="J2460" i="15" s="1"/>
  <c r="I2409" i="15"/>
  <c r="G2417" i="13"/>
  <c r="P18" i="4"/>
  <c r="O204" i="4"/>
  <c r="O152" i="4"/>
  <c r="O153" i="4" s="1"/>
  <c r="O154" i="4" s="1"/>
  <c r="O155" i="4" s="1"/>
  <c r="O157" i="4" s="1"/>
  <c r="O208" i="4"/>
  <c r="P76" i="4"/>
  <c r="F122" i="4"/>
  <c r="E122" i="4"/>
  <c r="D122" i="4"/>
  <c r="M122" i="4"/>
  <c r="H122" i="4"/>
  <c r="C1977" i="5"/>
  <c r="C98" i="5"/>
  <c r="E98" i="5" s="1"/>
  <c r="E101" i="5" s="1"/>
  <c r="F98" i="5"/>
  <c r="G98" i="5" s="1"/>
  <c r="G101" i="5" s="1"/>
  <c r="C1106" i="5" s="1"/>
  <c r="C1199" i="5"/>
  <c r="E1199" i="5" s="1"/>
  <c r="Q12" i="5"/>
  <c r="E1167" i="5"/>
  <c r="H751" i="10"/>
  <c r="G751" i="10" s="1"/>
  <c r="G787" i="10" s="1"/>
  <c r="H787" i="10" s="1"/>
  <c r="S1532" i="5"/>
  <c r="T1532" i="5" s="1"/>
  <c r="C394" i="6"/>
  <c r="C389" i="6"/>
  <c r="C398" i="6" s="1"/>
  <c r="D254" i="15"/>
  <c r="D255" i="14"/>
  <c r="H254" i="13"/>
  <c r="G254" i="13"/>
  <c r="D264" i="13"/>
  <c r="E484" i="8"/>
  <c r="L98" i="4"/>
  <c r="D509" i="15"/>
  <c r="D510" i="14"/>
  <c r="H516" i="13"/>
  <c r="H509" i="15" s="1"/>
  <c r="G516" i="13"/>
  <c r="I516" i="13" s="1"/>
  <c r="D2151" i="15"/>
  <c r="D2152" i="14"/>
  <c r="K2158" i="13"/>
  <c r="H2158" i="13"/>
  <c r="G2158" i="13"/>
  <c r="G724" i="5"/>
  <c r="H298" i="10" s="1"/>
  <c r="E467" i="15"/>
  <c r="G467" i="15" s="1"/>
  <c r="G474" i="13"/>
  <c r="E338" i="15"/>
  <c r="G338" i="15" s="1"/>
  <c r="B494" i="15"/>
  <c r="B495" i="14"/>
  <c r="E344" i="15"/>
  <c r="G344" i="15" s="1"/>
  <c r="E374" i="15"/>
  <c r="G374" i="15" s="1"/>
  <c r="I555" i="15"/>
  <c r="F556" i="14"/>
  <c r="B825" i="15"/>
  <c r="B826" i="14"/>
  <c r="C844" i="15"/>
  <c r="C845" i="14"/>
  <c r="B1143" i="15"/>
  <c r="B1144" i="14"/>
  <c r="H297" i="15"/>
  <c r="I297" i="13"/>
  <c r="J297" i="15" s="1"/>
  <c r="E460" i="13"/>
  <c r="AT1466" i="5"/>
  <c r="E377" i="13" s="1"/>
  <c r="H577" i="15"/>
  <c r="I584" i="13"/>
  <c r="J577" i="15" s="1"/>
  <c r="E713" i="15"/>
  <c r="G713" i="15" s="1"/>
  <c r="D1284" i="15"/>
  <c r="D1285" i="14"/>
  <c r="H1291" i="13"/>
  <c r="K1291" i="13"/>
  <c r="G1291" i="13"/>
  <c r="E2013" i="13"/>
  <c r="I716" i="6"/>
  <c r="D1045" i="15"/>
  <c r="D1046" i="14"/>
  <c r="K1052" i="13"/>
  <c r="D1110" i="15"/>
  <c r="D1111" i="14"/>
  <c r="K1117" i="13"/>
  <c r="H1117" i="13"/>
  <c r="I1110" i="15" s="1"/>
  <c r="G1117" i="13"/>
  <c r="H1110" i="15" s="1"/>
  <c r="D618" i="15"/>
  <c r="D619" i="14"/>
  <c r="K625" i="13"/>
  <c r="H625" i="13"/>
  <c r="D682" i="15"/>
  <c r="D683" i="14"/>
  <c r="H689" i="13"/>
  <c r="K689" i="13"/>
  <c r="I728" i="15"/>
  <c r="F729" i="14"/>
  <c r="E1121" i="15"/>
  <c r="G1121" i="15" s="1"/>
  <c r="H1509" i="15"/>
  <c r="I1516" i="13"/>
  <c r="J1509" i="15" s="1"/>
  <c r="D472" i="15"/>
  <c r="D473" i="14"/>
  <c r="K479" i="13"/>
  <c r="H479" i="13"/>
  <c r="H472" i="15" s="1"/>
  <c r="E667" i="15"/>
  <c r="G667" i="15" s="1"/>
  <c r="B809" i="13"/>
  <c r="A2000" i="5"/>
  <c r="B772" i="13" s="1"/>
  <c r="D1149" i="13"/>
  <c r="F305" i="7"/>
  <c r="E1142" i="13"/>
  <c r="E340" i="7"/>
  <c r="E1181" i="13" s="1"/>
  <c r="B1118" i="15"/>
  <c r="B1119" i="14"/>
  <c r="B1133" i="15"/>
  <c r="B1134" i="14"/>
  <c r="E1153" i="15"/>
  <c r="G1153" i="15" s="1"/>
  <c r="G1160" i="13"/>
  <c r="H1153" i="15" s="1"/>
  <c r="H1160" i="13"/>
  <c r="I1153" i="15" s="1"/>
  <c r="D166" i="15"/>
  <c r="D167" i="14"/>
  <c r="H166" i="13"/>
  <c r="K166" i="13"/>
  <c r="H2297" i="15"/>
  <c r="I2304" i="13"/>
  <c r="J2297" i="15" s="1"/>
  <c r="H2236" i="15"/>
  <c r="I2243" i="13"/>
  <c r="J2236" i="15" s="1"/>
  <c r="L28" i="4"/>
  <c r="Q1072" i="5"/>
  <c r="Q1077" i="5" s="1"/>
  <c r="M42" i="4"/>
  <c r="M47" i="4"/>
  <c r="O92" i="4"/>
  <c r="E196" i="4"/>
  <c r="D869" i="5"/>
  <c r="F88" i="4"/>
  <c r="G88" i="4" s="1"/>
  <c r="G98" i="4"/>
  <c r="C179" i="8"/>
  <c r="D1239" i="5"/>
  <c r="O1356" i="5"/>
  <c r="C397" i="5"/>
  <c r="C1255" i="5"/>
  <c r="F605" i="5" s="1"/>
  <c r="C1257" i="5"/>
  <c r="F1058" i="5" s="1"/>
  <c r="C1282" i="5"/>
  <c r="C1283" i="5" s="1"/>
  <c r="C607" i="9" s="1"/>
  <c r="C1251" i="5"/>
  <c r="C1253" i="5"/>
  <c r="C1256" i="5"/>
  <c r="F606" i="5" s="1"/>
  <c r="C1275" i="5"/>
  <c r="C1505" i="5" s="1"/>
  <c r="G1240" i="5"/>
  <c r="J85" i="4"/>
  <c r="J186" i="4" s="1"/>
  <c r="J187" i="4" s="1"/>
  <c r="J30" i="4"/>
  <c r="L30" i="4" s="1"/>
  <c r="P140" i="4"/>
  <c r="P46" i="4"/>
  <c r="D207" i="4"/>
  <c r="D205" i="4"/>
  <c r="D202" i="4"/>
  <c r="D200" i="4"/>
  <c r="D199" i="4"/>
  <c r="C1526" i="5"/>
  <c r="C1527" i="5"/>
  <c r="D622" i="6"/>
  <c r="C504" i="6"/>
  <c r="I818" i="15"/>
  <c r="F819" i="14"/>
  <c r="H1844" i="13"/>
  <c r="I1249" i="15"/>
  <c r="F1250" i="14"/>
  <c r="K1189" i="5"/>
  <c r="L1189" i="5" s="1"/>
  <c r="C1528" i="5" s="1"/>
  <c r="K1185" i="5"/>
  <c r="D400" i="5"/>
  <c r="T413" i="5"/>
  <c r="J48" i="4"/>
  <c r="Q414" i="5"/>
  <c r="P872" i="5"/>
  <c r="P875" i="5" s="1"/>
  <c r="I872" i="5"/>
  <c r="O872" i="5" s="1"/>
  <c r="C875" i="5"/>
  <c r="R872" i="5"/>
  <c r="R875" i="5" s="1"/>
  <c r="F1016" i="5" s="1"/>
  <c r="F700" i="10" s="1"/>
  <c r="G700" i="10" s="1"/>
  <c r="L872" i="5"/>
  <c r="F1012" i="5" s="1"/>
  <c r="F696" i="10" s="1"/>
  <c r="G696" i="10" s="1"/>
  <c r="F880" i="5"/>
  <c r="F881" i="5" s="1"/>
  <c r="Q872" i="5"/>
  <c r="Q875" i="5" s="1"/>
  <c r="F872" i="5"/>
  <c r="G93" i="4"/>
  <c r="O391" i="5"/>
  <c r="O383" i="5"/>
  <c r="V383" i="5"/>
  <c r="F383" i="5"/>
  <c r="F140" i="5"/>
  <c r="D306" i="13"/>
  <c r="F869" i="10"/>
  <c r="E1396" i="5"/>
  <c r="G1396" i="5"/>
  <c r="G869" i="10" s="1"/>
  <c r="H869" i="10" s="1"/>
  <c r="J1717" i="5"/>
  <c r="I1963" i="15"/>
  <c r="F1964" i="14"/>
  <c r="H1980" i="13"/>
  <c r="I1973" i="15" s="1"/>
  <c r="D404" i="5"/>
  <c r="F208" i="4"/>
  <c r="C1925" i="5"/>
  <c r="E1773" i="5"/>
  <c r="D643" i="15"/>
  <c r="D644" i="14"/>
  <c r="K650" i="13"/>
  <c r="H650" i="13"/>
  <c r="D1282" i="13"/>
  <c r="L2045" i="5"/>
  <c r="D1143" i="15"/>
  <c r="D1144" i="14"/>
  <c r="K1150" i="13"/>
  <c r="D1626" i="15"/>
  <c r="D1627" i="14"/>
  <c r="K1633" i="13"/>
  <c r="H1633" i="13"/>
  <c r="G1633" i="13"/>
  <c r="I1791" i="15"/>
  <c r="F1792" i="14"/>
  <c r="I1798" i="13"/>
  <c r="J1791" i="15" s="1"/>
  <c r="E1093" i="5"/>
  <c r="E1095" i="5" s="1"/>
  <c r="E497" i="13"/>
  <c r="AT1469" i="5"/>
  <c r="E414" i="13" s="1"/>
  <c r="I365" i="13"/>
  <c r="J358" i="15" s="1"/>
  <c r="B412" i="15"/>
  <c r="B413" i="14"/>
  <c r="B419" i="15"/>
  <c r="B420" i="14"/>
  <c r="B375" i="15"/>
  <c r="B376" i="14"/>
  <c r="E377" i="15"/>
  <c r="G377" i="15" s="1"/>
  <c r="G384" i="13"/>
  <c r="I384" i="13" s="1"/>
  <c r="E664" i="15"/>
  <c r="G664" i="15" s="1"/>
  <c r="G671" i="13"/>
  <c r="E688" i="15"/>
  <c r="G688" i="15" s="1"/>
  <c r="G695" i="13"/>
  <c r="H2446" i="15"/>
  <c r="I2454" i="13"/>
  <c r="J2446" i="15" s="1"/>
  <c r="D723" i="13"/>
  <c r="E1789" i="5"/>
  <c r="B827" i="15"/>
  <c r="B828" i="14"/>
  <c r="B831" i="15"/>
  <c r="B832" i="14"/>
  <c r="C879" i="15"/>
  <c r="C880" i="14"/>
  <c r="H1313" i="15"/>
  <c r="H1967" i="15"/>
  <c r="I1974" i="13"/>
  <c r="J1967" i="15" s="1"/>
  <c r="D1098" i="15"/>
  <c r="D1099" i="14"/>
  <c r="K1105" i="13"/>
  <c r="G1105" i="13"/>
  <c r="H1098" i="15" s="1"/>
  <c r="H1105" i="13"/>
  <c r="I1098" i="15" s="1"/>
  <c r="E148" i="15"/>
  <c r="G148" i="15" s="1"/>
  <c r="G148" i="13"/>
  <c r="C403" i="10"/>
  <c r="G829" i="5"/>
  <c r="H403" i="10" s="1"/>
  <c r="C400" i="10"/>
  <c r="C405" i="10"/>
  <c r="G831" i="5"/>
  <c r="H405" i="10" s="1"/>
  <c r="F1068" i="5"/>
  <c r="K1068" i="5" s="1"/>
  <c r="D510" i="15"/>
  <c r="D511" i="14"/>
  <c r="H517" i="13"/>
  <c r="H510" i="15" s="1"/>
  <c r="G517" i="13"/>
  <c r="I574" i="13"/>
  <c r="J567" i="15" s="1"/>
  <c r="I582" i="13"/>
  <c r="J575" i="15" s="1"/>
  <c r="E677" i="15"/>
  <c r="G677" i="15" s="1"/>
  <c r="G684" i="13"/>
  <c r="E685" i="15"/>
  <c r="G685" i="15" s="1"/>
  <c r="G692" i="13"/>
  <c r="E898" i="13"/>
  <c r="K1944" i="5"/>
  <c r="C801" i="13"/>
  <c r="B1992" i="5"/>
  <c r="C764" i="13" s="1"/>
  <c r="D1313" i="15"/>
  <c r="D1314" i="14"/>
  <c r="H1320" i="13"/>
  <c r="I1320" i="13" s="1"/>
  <c r="J1313" i="15" s="1"/>
  <c r="K1320" i="13"/>
  <c r="D1023" i="15"/>
  <c r="D1024" i="14"/>
  <c r="G1030" i="13"/>
  <c r="K1030" i="13"/>
  <c r="H1030" i="13"/>
  <c r="D93" i="13"/>
  <c r="L642" i="8"/>
  <c r="J643" i="8"/>
  <c r="D84" i="13"/>
  <c r="E649" i="8"/>
  <c r="G639" i="5"/>
  <c r="H213" i="10" s="1"/>
  <c r="T846" i="5"/>
  <c r="P850" i="5"/>
  <c r="E648" i="5" s="1"/>
  <c r="P92" i="4"/>
  <c r="I1315" i="15"/>
  <c r="F1316" i="14"/>
  <c r="I71" i="4"/>
  <c r="I65" i="4"/>
  <c r="I66" i="4"/>
  <c r="I56" i="4"/>
  <c r="I101" i="4"/>
  <c r="I102" i="4" s="1"/>
  <c r="I99" i="4"/>
  <c r="I72" i="4"/>
  <c r="K1130" i="5"/>
  <c r="E1185" i="5"/>
  <c r="C92" i="5"/>
  <c r="E92" i="5" s="1"/>
  <c r="J44" i="4"/>
  <c r="S125" i="5"/>
  <c r="T125" i="5"/>
  <c r="E51" i="10"/>
  <c r="F215" i="5"/>
  <c r="F51" i="10" s="1"/>
  <c r="D532" i="15"/>
  <c r="D533" i="14"/>
  <c r="D2436" i="13"/>
  <c r="H539" i="13"/>
  <c r="H532" i="15" s="1"/>
  <c r="K539" i="13"/>
  <c r="G539" i="13"/>
  <c r="E1894" i="5"/>
  <c r="E984" i="15"/>
  <c r="G984" i="15" s="1"/>
  <c r="C187" i="8"/>
  <c r="C149" i="4"/>
  <c r="G149" i="4" s="1"/>
  <c r="L33" i="4"/>
  <c r="L115" i="4"/>
  <c r="D861" i="5"/>
  <c r="D923" i="13"/>
  <c r="F60" i="7"/>
  <c r="D89" i="7"/>
  <c r="D84" i="7"/>
  <c r="D83" i="7"/>
  <c r="D82" i="7"/>
  <c r="D943" i="13"/>
  <c r="F80" i="7"/>
  <c r="D982" i="13"/>
  <c r="F121" i="7"/>
  <c r="D997" i="13"/>
  <c r="F136" i="7"/>
  <c r="D142" i="7"/>
  <c r="D146" i="7"/>
  <c r="D150" i="7"/>
  <c r="D922" i="13"/>
  <c r="F59" i="7"/>
  <c r="J1880" i="5"/>
  <c r="C1885" i="5"/>
  <c r="C1837" i="5"/>
  <c r="J1831" i="5"/>
  <c r="C1796" i="5"/>
  <c r="C1793" i="5"/>
  <c r="J1787" i="5"/>
  <c r="C1992" i="5"/>
  <c r="J1940" i="5"/>
  <c r="J1986" i="5"/>
  <c r="C1946" i="5"/>
  <c r="I359" i="15"/>
  <c r="F360" i="14"/>
  <c r="D656" i="15"/>
  <c r="D657" i="14"/>
  <c r="H663" i="13"/>
  <c r="G663" i="13"/>
  <c r="B1163" i="15"/>
  <c r="B1164" i="14"/>
  <c r="I1723" i="15"/>
  <c r="F1724" i="14"/>
  <c r="I1730" i="13"/>
  <c r="J1723" i="15" s="1"/>
  <c r="D196" i="4"/>
  <c r="D11" i="4"/>
  <c r="G11" i="4" s="1"/>
  <c r="N140" i="4"/>
  <c r="N46" i="4"/>
  <c r="J1169" i="5"/>
  <c r="J1191" i="5"/>
  <c r="L1190" i="5"/>
  <c r="F100" i="5"/>
  <c r="D1966" i="13"/>
  <c r="L405" i="6"/>
  <c r="E181" i="5"/>
  <c r="D1838" i="13"/>
  <c r="E2157" i="5"/>
  <c r="C2159" i="5"/>
  <c r="E582" i="10"/>
  <c r="G582" i="10" s="1"/>
  <c r="E518" i="5"/>
  <c r="I855" i="5"/>
  <c r="C525" i="9"/>
  <c r="C508" i="9"/>
  <c r="C536" i="9"/>
  <c r="C547" i="9"/>
  <c r="C546" i="9"/>
  <c r="C519" i="9"/>
  <c r="C512" i="9"/>
  <c r="C510" i="9"/>
  <c r="C509" i="9"/>
  <c r="G1339" i="5"/>
  <c r="D1087" i="5"/>
  <c r="D1093" i="5" s="1"/>
  <c r="E385" i="15"/>
  <c r="G385" i="15" s="1"/>
  <c r="B426" i="15"/>
  <c r="B427" i="14"/>
  <c r="E389" i="15"/>
  <c r="G389" i="15" s="1"/>
  <c r="E395" i="15"/>
  <c r="G395" i="15" s="1"/>
  <c r="G402" i="13"/>
  <c r="I402" i="13" s="1"/>
  <c r="E403" i="15"/>
  <c r="G403" i="15" s="1"/>
  <c r="B383" i="15"/>
  <c r="B384" i="14"/>
  <c r="I573" i="15"/>
  <c r="F574" i="14"/>
  <c r="E2363" i="15"/>
  <c r="G2363" i="15" s="1"/>
  <c r="H2370" i="13"/>
  <c r="E680" i="15"/>
  <c r="G680" i="15" s="1"/>
  <c r="G687" i="13"/>
  <c r="J1720" i="5"/>
  <c r="B846" i="15"/>
  <c r="B847" i="14"/>
  <c r="C843" i="15"/>
  <c r="C844" i="14"/>
  <c r="E755" i="15"/>
  <c r="G755" i="15" s="1"/>
  <c r="H1251" i="15"/>
  <c r="I1258" i="13"/>
  <c r="J1251" i="15" s="1"/>
  <c r="D1274" i="13"/>
  <c r="E2079" i="5"/>
  <c r="H2381" i="15"/>
  <c r="I2388" i="13"/>
  <c r="J2381" i="15" s="1"/>
  <c r="H133" i="15"/>
  <c r="I133" i="13"/>
  <c r="J133" i="15" s="1"/>
  <c r="H279" i="15"/>
  <c r="I279" i="13"/>
  <c r="J279" i="15" s="1"/>
  <c r="D64" i="15"/>
  <c r="D65" i="14"/>
  <c r="H64" i="13"/>
  <c r="G64" i="13"/>
  <c r="I623" i="5"/>
  <c r="O623" i="5" s="1"/>
  <c r="D351" i="13"/>
  <c r="E1477" i="5"/>
  <c r="AG1477" i="5" s="1"/>
  <c r="AU1477" i="5" s="1"/>
  <c r="AE1477" i="5"/>
  <c r="D425" i="15"/>
  <c r="D426" i="14"/>
  <c r="H432" i="13"/>
  <c r="H425" i="15" s="1"/>
  <c r="G432" i="13"/>
  <c r="D356" i="13"/>
  <c r="E1482" i="5"/>
  <c r="AG1482" i="5" s="1"/>
  <c r="AU1482" i="5" s="1"/>
  <c r="AE1482" i="5"/>
  <c r="I469" i="13"/>
  <c r="E382" i="15"/>
  <c r="G382" i="15" s="1"/>
  <c r="E612" i="15"/>
  <c r="G612" i="15" s="1"/>
  <c r="G619" i="13"/>
  <c r="B863" i="15"/>
  <c r="B864" i="14"/>
  <c r="I857" i="15"/>
  <c r="F858" i="14"/>
  <c r="E840" i="15"/>
  <c r="G840" i="15" s="1"/>
  <c r="G847" i="13"/>
  <c r="B870" i="15"/>
  <c r="B871" i="14"/>
  <c r="I1989" i="15"/>
  <c r="J1989" i="15"/>
  <c r="B1120" i="15"/>
  <c r="B1121" i="14"/>
  <c r="E1140" i="15"/>
  <c r="G1140" i="15" s="1"/>
  <c r="H1147" i="13"/>
  <c r="I1140" i="15" s="1"/>
  <c r="G1147" i="13"/>
  <c r="H1140" i="15" s="1"/>
  <c r="I146" i="15"/>
  <c r="F147" i="14"/>
  <c r="I1587" i="15"/>
  <c r="F1588" i="14"/>
  <c r="D2173" i="13"/>
  <c r="C699" i="6"/>
  <c r="E698" i="6"/>
  <c r="E307" i="10"/>
  <c r="G307" i="10" s="1"/>
  <c r="E734" i="5"/>
  <c r="B408" i="15"/>
  <c r="B409" i="14"/>
  <c r="B410" i="15"/>
  <c r="B411" i="14"/>
  <c r="B414" i="15"/>
  <c r="B415" i="14"/>
  <c r="B457" i="15"/>
  <c r="B458" i="14"/>
  <c r="E459" i="15"/>
  <c r="G459" i="15" s="1"/>
  <c r="G466" i="13"/>
  <c r="I466" i="13" s="1"/>
  <c r="E383" i="15"/>
  <c r="G383" i="15" s="1"/>
  <c r="D596" i="15"/>
  <c r="D597" i="14"/>
  <c r="H603" i="13"/>
  <c r="G603" i="13"/>
  <c r="I566" i="15"/>
  <c r="F567" i="14"/>
  <c r="D611" i="13"/>
  <c r="J1615" i="5"/>
  <c r="D601" i="15"/>
  <c r="D602" i="14"/>
  <c r="K608" i="13"/>
  <c r="H608" i="13"/>
  <c r="G608" i="13"/>
  <c r="B665" i="15"/>
  <c r="B666" i="14"/>
  <c r="E617" i="15"/>
  <c r="G617" i="15" s="1"/>
  <c r="G624" i="13"/>
  <c r="H624" i="13"/>
  <c r="D686" i="13"/>
  <c r="J1715" i="5"/>
  <c r="E629" i="15"/>
  <c r="G629" i="15" s="1"/>
  <c r="G636" i="13"/>
  <c r="H636" i="13"/>
  <c r="D2366" i="15"/>
  <c r="H2373" i="13"/>
  <c r="K2373" i="13"/>
  <c r="D743" i="15"/>
  <c r="D744" i="14"/>
  <c r="H750" i="13"/>
  <c r="G750" i="13"/>
  <c r="H2447" i="15"/>
  <c r="I2455" i="13"/>
  <c r="J2447" i="15" s="1"/>
  <c r="B897" i="13"/>
  <c r="G1943" i="5"/>
  <c r="B877" i="15"/>
  <c r="B878" i="14"/>
  <c r="E1255" i="15"/>
  <c r="G1255" i="15" s="1"/>
  <c r="G1262" i="13"/>
  <c r="H1262" i="13"/>
  <c r="H2405" i="13"/>
  <c r="E2331" i="5"/>
  <c r="H1975" i="15"/>
  <c r="I1982" i="13"/>
  <c r="J1975" i="15" s="1"/>
  <c r="I2010" i="15"/>
  <c r="F2011" i="14"/>
  <c r="H2021" i="13"/>
  <c r="I2014" i="15" s="1"/>
  <c r="B1165" i="13"/>
  <c r="C324" i="7"/>
  <c r="C343" i="7" s="1"/>
  <c r="D343" i="7" s="1"/>
  <c r="E1152" i="15"/>
  <c r="G1152" i="15" s="1"/>
  <c r="H1159" i="13"/>
  <c r="I1152" i="15" s="1"/>
  <c r="G1159" i="13"/>
  <c r="H1152" i="15" s="1"/>
  <c r="G727" i="5"/>
  <c r="H301" i="10" s="1"/>
  <c r="L344" i="12"/>
  <c r="I354" i="15"/>
  <c r="F355" i="14"/>
  <c r="D390" i="15"/>
  <c r="D391" i="14"/>
  <c r="H397" i="13"/>
  <c r="H390" i="15" s="1"/>
  <c r="K397" i="13"/>
  <c r="H576" i="15"/>
  <c r="I583" i="13"/>
  <c r="J576" i="15" s="1"/>
  <c r="E852" i="15"/>
  <c r="G852" i="15" s="1"/>
  <c r="C883" i="15"/>
  <c r="C884" i="14"/>
  <c r="B874" i="15"/>
  <c r="B875" i="14"/>
  <c r="B753" i="15"/>
  <c r="B754" i="14"/>
  <c r="C2266" i="5"/>
  <c r="C2274" i="5"/>
  <c r="C2275" i="5" s="1"/>
  <c r="C2267" i="5"/>
  <c r="C2271" i="5"/>
  <c r="I2426" i="15"/>
  <c r="G2434" i="13"/>
  <c r="B1186" i="15"/>
  <c r="B1187" i="14"/>
  <c r="D153" i="13"/>
  <c r="L292" i="8"/>
  <c r="H1412" i="15"/>
  <c r="I1419" i="13"/>
  <c r="J1412" i="15" s="1"/>
  <c r="H2416" i="15"/>
  <c r="I2424" i="13"/>
  <c r="J2416" i="15" s="1"/>
  <c r="D1148" i="13"/>
  <c r="F304" i="7"/>
  <c r="E1130" i="15"/>
  <c r="G1130" i="15" s="1"/>
  <c r="E1141" i="15"/>
  <c r="G1141" i="15" s="1"/>
  <c r="B1153" i="15"/>
  <c r="B1154" i="14"/>
  <c r="E152" i="15"/>
  <c r="G152" i="15" s="1"/>
  <c r="H152" i="13"/>
  <c r="G152" i="13"/>
  <c r="I283" i="15"/>
  <c r="F284" i="14"/>
  <c r="I1593" i="13"/>
  <c r="J1586" i="15" s="1"/>
  <c r="I2292" i="15"/>
  <c r="F2293" i="14"/>
  <c r="D2315" i="13"/>
  <c r="K467" i="12"/>
  <c r="B1144" i="15"/>
  <c r="B1145" i="14"/>
  <c r="H2385" i="15"/>
  <c r="I2392" i="13"/>
  <c r="J2385" i="15" s="1"/>
  <c r="I1852" i="15"/>
  <c r="F1853" i="14"/>
  <c r="I1859" i="13"/>
  <c r="J1852" i="15" s="1"/>
  <c r="D2235" i="15"/>
  <c r="D2236" i="14"/>
  <c r="H2242" i="13"/>
  <c r="K2242" i="13"/>
  <c r="G2242" i="13"/>
  <c r="I2316" i="15"/>
  <c r="F2317" i="14"/>
  <c r="H1375" i="15"/>
  <c r="I1382" i="13"/>
  <c r="J1375" i="15" s="1"/>
  <c r="I2404" i="15"/>
  <c r="G2411" i="13"/>
  <c r="J1993" i="15"/>
  <c r="I1993" i="15"/>
  <c r="B503" i="15"/>
  <c r="B504" i="14"/>
  <c r="H1315" i="15"/>
  <c r="I1322" i="13"/>
  <c r="J1315" i="15" s="1"/>
  <c r="B666" i="15"/>
  <c r="B667" i="14"/>
  <c r="E683" i="15"/>
  <c r="G683" i="15" s="1"/>
  <c r="B813" i="13"/>
  <c r="A2004" i="5"/>
  <c r="B776" i="13" s="1"/>
  <c r="I2271" i="5"/>
  <c r="I2429" i="15"/>
  <c r="G2437" i="13"/>
  <c r="D147" i="15"/>
  <c r="D148" i="14"/>
  <c r="H147" i="13"/>
  <c r="K147" i="13"/>
  <c r="E1164" i="15"/>
  <c r="G1164" i="15" s="1"/>
  <c r="I198" i="13"/>
  <c r="J198" i="15" s="1"/>
  <c r="I283" i="13"/>
  <c r="J283" i="15" s="1"/>
  <c r="H1337" i="15"/>
  <c r="I2291" i="13"/>
  <c r="J2284" i="15" s="1"/>
  <c r="I860" i="5"/>
  <c r="O860" i="5" s="1"/>
  <c r="R860" i="5"/>
  <c r="L860" i="5"/>
  <c r="F886" i="5" s="1"/>
  <c r="F450" i="10" s="1"/>
  <c r="G450" i="10" s="1"/>
  <c r="C880" i="5"/>
  <c r="C881" i="5" s="1"/>
  <c r="Q860" i="5"/>
  <c r="F860" i="5"/>
  <c r="P860" i="5"/>
  <c r="T860" i="5" s="1"/>
  <c r="P19" i="4"/>
  <c r="P48" i="4"/>
  <c r="C619" i="6"/>
  <c r="E619" i="6" s="1"/>
  <c r="C494" i="6"/>
  <c r="E1368" i="5"/>
  <c r="C1401" i="5"/>
  <c r="C364" i="6"/>
  <c r="G1280" i="5"/>
  <c r="H88" i="4"/>
  <c r="H87" i="4"/>
  <c r="M41" i="4"/>
  <c r="E84" i="10"/>
  <c r="E250" i="5"/>
  <c r="F248" i="5"/>
  <c r="F84" i="10" s="1"/>
  <c r="E101" i="10"/>
  <c r="G101" i="10" s="1"/>
  <c r="E266" i="5"/>
  <c r="D504" i="15"/>
  <c r="D505" i="14"/>
  <c r="K511" i="13"/>
  <c r="H511" i="13"/>
  <c r="H504" i="15" s="1"/>
  <c r="G511" i="13"/>
  <c r="I511" i="13" s="1"/>
  <c r="D1277" i="15"/>
  <c r="D1278" i="14"/>
  <c r="H1284" i="13"/>
  <c r="G1284" i="13"/>
  <c r="D1841" i="15"/>
  <c r="D1842" i="14"/>
  <c r="K1848" i="13"/>
  <c r="H1848" i="13"/>
  <c r="I1848" i="13" s="1"/>
  <c r="J1841" i="15" s="1"/>
  <c r="I1411" i="15"/>
  <c r="F1412" i="14"/>
  <c r="T128" i="5"/>
  <c r="F87" i="10"/>
  <c r="G87" i="10" s="1"/>
  <c r="G251" i="5"/>
  <c r="H114" i="10" s="1"/>
  <c r="E9" i="10"/>
  <c r="G9" i="10" s="1"/>
  <c r="G146" i="5"/>
  <c r="H9" i="10" s="1"/>
  <c r="S406" i="5"/>
  <c r="Q406" i="5"/>
  <c r="J379" i="15"/>
  <c r="I379" i="15"/>
  <c r="G35" i="5"/>
  <c r="E35" i="5"/>
  <c r="J35" i="5" s="1"/>
  <c r="K35" i="5" s="1"/>
  <c r="L35" i="5" s="1"/>
  <c r="J486" i="8"/>
  <c r="C485" i="8"/>
  <c r="Q1080" i="5"/>
  <c r="M98" i="4"/>
  <c r="M44" i="4"/>
  <c r="E187" i="4"/>
  <c r="G186" i="4"/>
  <c r="L1574" i="5"/>
  <c r="S1544" i="5" s="1"/>
  <c r="H1259" i="13"/>
  <c r="I1259" i="13" s="1"/>
  <c r="J1252" i="15" s="1"/>
  <c r="D1817" i="13"/>
  <c r="E2136" i="5"/>
  <c r="D1932" i="13"/>
  <c r="E393" i="6"/>
  <c r="D1778" i="15"/>
  <c r="D1779" i="14"/>
  <c r="H1785" i="13"/>
  <c r="K1785" i="13"/>
  <c r="G1785" i="13"/>
  <c r="L352" i="12"/>
  <c r="E386" i="15"/>
  <c r="G386" i="15" s="1"/>
  <c r="G393" i="13"/>
  <c r="B427" i="15"/>
  <c r="B428" i="14"/>
  <c r="E390" i="15"/>
  <c r="G390" i="15" s="1"/>
  <c r="G397" i="13"/>
  <c r="B413" i="15"/>
  <c r="B414" i="14"/>
  <c r="E394" i="15"/>
  <c r="G394" i="15" s="1"/>
  <c r="B435" i="15"/>
  <c r="B436" i="14"/>
  <c r="B373" i="15"/>
  <c r="B374" i="14"/>
  <c r="B404" i="15"/>
  <c r="B405" i="14"/>
  <c r="E2377" i="13"/>
  <c r="J1732" i="5"/>
  <c r="E668" i="15"/>
  <c r="G668" i="15" s="1"/>
  <c r="G675" i="13"/>
  <c r="E676" i="15"/>
  <c r="G676" i="15" s="1"/>
  <c r="G683" i="13"/>
  <c r="J1700" i="5"/>
  <c r="C808" i="13"/>
  <c r="B1999" i="5"/>
  <c r="C771" i="13" s="1"/>
  <c r="C872" i="15"/>
  <c r="C873" i="14"/>
  <c r="E1297" i="15"/>
  <c r="G1297" i="15" s="1"/>
  <c r="G1304" i="13"/>
  <c r="H1304" i="13"/>
  <c r="I1972" i="15"/>
  <c r="F1973" i="14"/>
  <c r="E151" i="15"/>
  <c r="G151" i="15" s="1"/>
  <c r="G151" i="13"/>
  <c r="H151" i="13"/>
  <c r="I297" i="15"/>
  <c r="F298" i="14"/>
  <c r="O622" i="5"/>
  <c r="E333" i="15"/>
  <c r="G333" i="15" s="1"/>
  <c r="D511" i="15"/>
  <c r="D512" i="14"/>
  <c r="H518" i="13"/>
  <c r="H511" i="15" s="1"/>
  <c r="G518" i="13"/>
  <c r="D456" i="15"/>
  <c r="D457" i="14"/>
  <c r="K463" i="13"/>
  <c r="H463" i="13"/>
  <c r="H456" i="15" s="1"/>
  <c r="H569" i="15"/>
  <c r="I576" i="13"/>
  <c r="J569" i="15" s="1"/>
  <c r="D887" i="13"/>
  <c r="C1958" i="5"/>
  <c r="B814" i="13"/>
  <c r="A2005" i="5"/>
  <c r="B777" i="13" s="1"/>
  <c r="H1314" i="15"/>
  <c r="I1321" i="13"/>
  <c r="J1314" i="15" s="1"/>
  <c r="H1014" i="15"/>
  <c r="I1021" i="13"/>
  <c r="J1014" i="15" s="1"/>
  <c r="E1156" i="15"/>
  <c r="G1156" i="15" s="1"/>
  <c r="E172" i="13"/>
  <c r="L307" i="8"/>
  <c r="E165" i="15"/>
  <c r="G165" i="15" s="1"/>
  <c r="G165" i="13"/>
  <c r="D110" i="15"/>
  <c r="D111" i="14"/>
  <c r="H110" i="13"/>
  <c r="K110" i="13"/>
  <c r="H1583" i="15"/>
  <c r="I1590" i="13"/>
  <c r="J1583" i="15" s="1"/>
  <c r="E516" i="10"/>
  <c r="G516" i="10" s="1"/>
  <c r="E492" i="5"/>
  <c r="B472" i="15"/>
  <c r="B473" i="14"/>
  <c r="I554" i="15"/>
  <c r="F555" i="14"/>
  <c r="I556" i="15"/>
  <c r="F557" i="14"/>
  <c r="I572" i="15"/>
  <c r="F573" i="14"/>
  <c r="E686" i="15"/>
  <c r="G686" i="15" s="1"/>
  <c r="G693" i="13"/>
  <c r="B702" i="13"/>
  <c r="D1676" i="5"/>
  <c r="B2459" i="13"/>
  <c r="B2451" i="15" s="1"/>
  <c r="A1963" i="5"/>
  <c r="B811" i="13"/>
  <c r="A2002" i="5"/>
  <c r="B774" i="13" s="1"/>
  <c r="C766" i="15"/>
  <c r="C767" i="14"/>
  <c r="H1263" i="13"/>
  <c r="D1826" i="13"/>
  <c r="E2145" i="5"/>
  <c r="E1126" i="13"/>
  <c r="E324" i="7"/>
  <c r="E1165" i="13" s="1"/>
  <c r="E1167" i="15"/>
  <c r="G1167" i="15" s="1"/>
  <c r="I2344" i="15"/>
  <c r="G2351" i="13"/>
  <c r="D2236" i="13"/>
  <c r="I368" i="12"/>
  <c r="E374" i="12"/>
  <c r="L349" i="6"/>
  <c r="E614" i="15"/>
  <c r="G614" i="15" s="1"/>
  <c r="G621" i="13"/>
  <c r="B876" i="15"/>
  <c r="B877" i="14"/>
  <c r="B752" i="15"/>
  <c r="B753" i="14"/>
  <c r="I2421" i="15"/>
  <c r="G2429" i="13"/>
  <c r="B1123" i="15"/>
  <c r="B1124" i="14"/>
  <c r="E1096" i="15"/>
  <c r="G1096" i="15" s="1"/>
  <c r="I1376" i="15"/>
  <c r="F1377" i="14"/>
  <c r="B2060" i="15"/>
  <c r="B2061" i="14"/>
  <c r="I1986" i="15"/>
  <c r="J1986" i="15"/>
  <c r="E1161" i="15"/>
  <c r="G1161" i="15" s="1"/>
  <c r="B1128" i="15"/>
  <c r="B1129" i="14"/>
  <c r="E1176" i="15"/>
  <c r="G1176" i="15" s="1"/>
  <c r="B1188" i="15"/>
  <c r="B1189" i="14"/>
  <c r="I2358" i="15"/>
  <c r="G2365" i="13"/>
  <c r="I2299" i="15"/>
  <c r="F2300" i="14"/>
  <c r="E1168" i="15"/>
  <c r="G1168" i="15" s="1"/>
  <c r="I170" i="13"/>
  <c r="J170" i="15" s="1"/>
  <c r="D2254" i="13"/>
  <c r="K373" i="12"/>
  <c r="I1271" i="15"/>
  <c r="F1272" i="14"/>
  <c r="I1278" i="13"/>
  <c r="J1271" i="15" s="1"/>
  <c r="D1199" i="13"/>
  <c r="H1199" i="13" s="1"/>
  <c r="I1192" i="15" s="1"/>
  <c r="F358" i="7"/>
  <c r="H162" i="15"/>
  <c r="I162" i="13"/>
  <c r="J162" i="15" s="1"/>
  <c r="I2291" i="15"/>
  <c r="F2292" i="14"/>
  <c r="D2310" i="15"/>
  <c r="D2311" i="14"/>
  <c r="H2317" i="13"/>
  <c r="G2317" i="13"/>
  <c r="H2402" i="15"/>
  <c r="I2409" i="13"/>
  <c r="J2402" i="15" s="1"/>
  <c r="H2436" i="15"/>
  <c r="I2444" i="13"/>
  <c r="J2436" i="15" s="1"/>
  <c r="I2335" i="15"/>
  <c r="F2336" i="14"/>
  <c r="G2021" i="13"/>
  <c r="I2320" i="15"/>
  <c r="F2321" i="14"/>
  <c r="I2327" i="13"/>
  <c r="J2320" i="15" s="1"/>
  <c r="I2328" i="15"/>
  <c r="F2329" i="14"/>
  <c r="I2335" i="13"/>
  <c r="J2328" i="15" s="1"/>
  <c r="B407" i="15"/>
  <c r="B408" i="14"/>
  <c r="B415" i="15"/>
  <c r="B416" i="14"/>
  <c r="E487" i="15"/>
  <c r="G487" i="15" s="1"/>
  <c r="I576" i="15"/>
  <c r="F577" i="14"/>
  <c r="D674" i="13"/>
  <c r="J1703" i="5"/>
  <c r="D622" i="15"/>
  <c r="D623" i="14"/>
  <c r="K629" i="13"/>
  <c r="H629" i="13"/>
  <c r="E690" i="15"/>
  <c r="G690" i="15" s="1"/>
  <c r="G697" i="13"/>
  <c r="I279" i="15"/>
  <c r="F280" i="14"/>
  <c r="I72" i="15"/>
  <c r="F73" i="14"/>
  <c r="I72" i="13"/>
  <c r="J72" i="15" s="1"/>
  <c r="I307" i="15"/>
  <c r="F308" i="14"/>
  <c r="H2360" i="15"/>
  <c r="I2367" i="13"/>
  <c r="J2360" i="15" s="1"/>
  <c r="E679" i="15"/>
  <c r="G679" i="15" s="1"/>
  <c r="G686" i="13"/>
  <c r="H781" i="15"/>
  <c r="I788" i="13"/>
  <c r="J781" i="15" s="1"/>
  <c r="G1323" i="13"/>
  <c r="H1021" i="15"/>
  <c r="I1028" i="13"/>
  <c r="J1021" i="15" s="1"/>
  <c r="D1044" i="15"/>
  <c r="D1045" i="14"/>
  <c r="K1051" i="13"/>
  <c r="I1989" i="13"/>
  <c r="B1130" i="15"/>
  <c r="B1131" i="14"/>
  <c r="E1145" i="15"/>
  <c r="G1145" i="15" s="1"/>
  <c r="G1152" i="13"/>
  <c r="H1145" i="15" s="1"/>
  <c r="H1152" i="13"/>
  <c r="I1145" i="15" s="1"/>
  <c r="I2296" i="15"/>
  <c r="F2297" i="14"/>
  <c r="E1352" i="15"/>
  <c r="G1352" i="15" s="1"/>
  <c r="G1359" i="13"/>
  <c r="H1359" i="13"/>
  <c r="I2237" i="15"/>
  <c r="F2238" i="14"/>
  <c r="G35" i="4"/>
  <c r="M19" i="4"/>
  <c r="D862" i="5" s="1"/>
  <c r="M107" i="4"/>
  <c r="O32" i="5"/>
  <c r="O31" i="5"/>
  <c r="O33" i="5"/>
  <c r="D163" i="8"/>
  <c r="C401" i="8"/>
  <c r="C358" i="8"/>
  <c r="E114" i="4"/>
  <c r="D1566" i="13"/>
  <c r="E446" i="9"/>
  <c r="F134" i="4"/>
  <c r="E134" i="4"/>
  <c r="D134" i="4"/>
  <c r="M134" i="4"/>
  <c r="H134" i="4"/>
  <c r="F196" i="4"/>
  <c r="F11" i="4"/>
  <c r="K157" i="4"/>
  <c r="L408" i="5"/>
  <c r="F509" i="5" s="1"/>
  <c r="F574" i="10" s="1"/>
  <c r="G574" i="10" s="1"/>
  <c r="I869" i="5"/>
  <c r="O869" i="5" s="1"/>
  <c r="R869" i="5"/>
  <c r="L869" i="5"/>
  <c r="F971" i="5" s="1"/>
  <c r="F615" i="10" s="1"/>
  <c r="G615" i="10" s="1"/>
  <c r="Q869" i="5"/>
  <c r="F869" i="5"/>
  <c r="P869" i="5"/>
  <c r="P410" i="5"/>
  <c r="F511" i="5" s="1"/>
  <c r="F576" i="10" s="1"/>
  <c r="G576" i="10" s="1"/>
  <c r="T407" i="5"/>
  <c r="R410" i="5"/>
  <c r="F512" i="5" s="1"/>
  <c r="F577" i="10" s="1"/>
  <c r="G577" i="10" s="1"/>
  <c r="J43" i="4"/>
  <c r="L43" i="4" s="1"/>
  <c r="D111" i="4"/>
  <c r="E306" i="5"/>
  <c r="E1189" i="5"/>
  <c r="Q18" i="5"/>
  <c r="C1694" i="5"/>
  <c r="D1951" i="13"/>
  <c r="E412" i="6"/>
  <c r="D1942" i="15"/>
  <c r="D1943" i="14"/>
  <c r="K1949" i="13"/>
  <c r="H1949" i="13"/>
  <c r="G1949" i="13"/>
  <c r="D1264" i="15"/>
  <c r="D1265" i="14"/>
  <c r="K1271" i="13"/>
  <c r="H1271" i="13"/>
  <c r="I1271" i="13" s="1"/>
  <c r="J1264" i="15" s="1"/>
  <c r="E221" i="15"/>
  <c r="G221" i="15" s="1"/>
  <c r="L1159" i="5"/>
  <c r="C422" i="9" s="1"/>
  <c r="M116" i="4"/>
  <c r="P28" i="4"/>
  <c r="P85" i="4"/>
  <c r="P186" i="4" s="1"/>
  <c r="P187" i="4" s="1"/>
  <c r="L46" i="4"/>
  <c r="I1190" i="5"/>
  <c r="C395" i="6"/>
  <c r="C388" i="6"/>
  <c r="C396" i="6"/>
  <c r="C1803" i="5"/>
  <c r="O126" i="5"/>
  <c r="E52" i="10"/>
  <c r="F216" i="5"/>
  <c r="F52" i="10" s="1"/>
  <c r="N204" i="4"/>
  <c r="N152" i="4"/>
  <c r="N153" i="4" s="1"/>
  <c r="N154" i="4" s="1"/>
  <c r="N155" i="4" s="1"/>
  <c r="N157" i="4" s="1"/>
  <c r="N208" i="4"/>
  <c r="O41" i="4"/>
  <c r="J88" i="4"/>
  <c r="J87" i="4"/>
  <c r="D411" i="10"/>
  <c r="D552" i="5"/>
  <c r="D888" i="5"/>
  <c r="D452" i="10" s="1"/>
  <c r="D468" i="5"/>
  <c r="D429" i="10"/>
  <c r="D570" i="5"/>
  <c r="D906" i="5"/>
  <c r="D470" i="10" s="1"/>
  <c r="D486" i="5"/>
  <c r="D445" i="10"/>
  <c r="D586" i="5"/>
  <c r="D922" i="5"/>
  <c r="D486" i="10" s="1"/>
  <c r="D502" i="5"/>
  <c r="D418" i="10"/>
  <c r="D895" i="5"/>
  <c r="D459" i="10" s="1"/>
  <c r="D559" i="5"/>
  <c r="D475" i="5"/>
  <c r="D434" i="10"/>
  <c r="D911" i="5"/>
  <c r="D475" i="10" s="1"/>
  <c r="D575" i="5"/>
  <c r="D491" i="5"/>
  <c r="D409" i="10"/>
  <c r="D886" i="5"/>
  <c r="D450" i="10" s="1"/>
  <c r="D550" i="5"/>
  <c r="D466" i="5"/>
  <c r="D427" i="10"/>
  <c r="D484" i="5"/>
  <c r="D904" i="5"/>
  <c r="D468" i="10" s="1"/>
  <c r="D568" i="5"/>
  <c r="D443" i="10"/>
  <c r="D500" i="5"/>
  <c r="D920" i="5"/>
  <c r="D484" i="10" s="1"/>
  <c r="D584" i="5"/>
  <c r="D420" i="10"/>
  <c r="D897" i="5"/>
  <c r="D461" i="10" s="1"/>
  <c r="D561" i="5"/>
  <c r="D477" i="5"/>
  <c r="D436" i="10"/>
  <c r="D913" i="5"/>
  <c r="D477" i="10" s="1"/>
  <c r="D577" i="5"/>
  <c r="D493" i="5"/>
  <c r="K1215" i="5"/>
  <c r="I583" i="15"/>
  <c r="F584" i="14"/>
  <c r="D1831" i="13"/>
  <c r="E2150" i="5"/>
  <c r="I1314" i="15"/>
  <c r="F1315" i="14"/>
  <c r="D2152" i="15"/>
  <c r="D2153" i="14"/>
  <c r="H2159" i="13"/>
  <c r="K2159" i="13"/>
  <c r="G2159" i="13"/>
  <c r="D1100" i="15"/>
  <c r="D1101" i="14"/>
  <c r="K1107" i="13"/>
  <c r="G1107" i="13"/>
  <c r="H1100" i="15" s="1"/>
  <c r="H1107" i="13"/>
  <c r="I1100" i="15" s="1"/>
  <c r="D1111" i="15"/>
  <c r="D1112" i="14"/>
  <c r="K1118" i="13"/>
  <c r="H1118" i="13"/>
  <c r="I1111" i="15" s="1"/>
  <c r="G1118" i="13"/>
  <c r="H1111" i="15" s="1"/>
  <c r="E229" i="10"/>
  <c r="E656" i="5"/>
  <c r="F655" i="5"/>
  <c r="F229" i="10" s="1"/>
  <c r="E690" i="5"/>
  <c r="T842" i="5"/>
  <c r="E458" i="10"/>
  <c r="G458" i="10" s="1"/>
  <c r="E895" i="5"/>
  <c r="D1632" i="15"/>
  <c r="D1633" i="14"/>
  <c r="K1639" i="13"/>
  <c r="H1639" i="13"/>
  <c r="G1639" i="13"/>
  <c r="E387" i="15"/>
  <c r="G387" i="15" s="1"/>
  <c r="G394" i="13"/>
  <c r="I394" i="13" s="1"/>
  <c r="B428" i="15"/>
  <c r="B429" i="14"/>
  <c r="E431" i="15"/>
  <c r="G431" i="15" s="1"/>
  <c r="E504" i="13"/>
  <c r="AT1476" i="5"/>
  <c r="E421" i="13" s="1"/>
  <c r="B482" i="15"/>
  <c r="B483" i="14"/>
  <c r="B376" i="15"/>
  <c r="B377" i="14"/>
  <c r="E380" i="15"/>
  <c r="G380" i="15" s="1"/>
  <c r="G387" i="13"/>
  <c r="H387" i="13"/>
  <c r="H380" i="15" s="1"/>
  <c r="E649" i="13"/>
  <c r="I1733" i="5"/>
  <c r="E702" i="13" s="1"/>
  <c r="J1716" i="5"/>
  <c r="E850" i="13"/>
  <c r="D1897" i="5"/>
  <c r="E897" i="13"/>
  <c r="K1943" i="5"/>
  <c r="D2386" i="13"/>
  <c r="E1903" i="5"/>
  <c r="C1964" i="5"/>
  <c r="C759" i="15"/>
  <c r="C760" i="14"/>
  <c r="I1846" i="13"/>
  <c r="J1839" i="15" s="1"/>
  <c r="E87" i="9"/>
  <c r="E88" i="9" s="1"/>
  <c r="D315" i="15"/>
  <c r="D316" i="14"/>
  <c r="K315" i="13"/>
  <c r="H315" i="13"/>
  <c r="G315" i="13"/>
  <c r="B834" i="15"/>
  <c r="B835" i="14"/>
  <c r="B882" i="13"/>
  <c r="A1953" i="5"/>
  <c r="E888" i="13"/>
  <c r="D1959" i="5"/>
  <c r="D1247" i="15"/>
  <c r="D1248" i="14"/>
  <c r="K1254" i="13"/>
  <c r="H1254" i="13"/>
  <c r="E1262" i="15"/>
  <c r="G1262" i="15" s="1"/>
  <c r="G1269" i="13"/>
  <c r="H1269" i="13"/>
  <c r="D1308" i="15"/>
  <c r="D1309" i="14"/>
  <c r="H1315" i="13"/>
  <c r="K1315" i="13"/>
  <c r="D1042" i="15"/>
  <c r="D1043" i="14"/>
  <c r="K1049" i="13"/>
  <c r="B1178" i="15"/>
  <c r="B1179" i="14"/>
  <c r="I2341" i="15"/>
  <c r="G2348" i="13"/>
  <c r="E355" i="10"/>
  <c r="G355" i="10" s="1"/>
  <c r="E782" i="5"/>
  <c r="T844" i="5"/>
  <c r="I2442" i="15"/>
  <c r="G2450" i="13"/>
  <c r="B467" i="15"/>
  <c r="B468" i="14"/>
  <c r="B455" i="15"/>
  <c r="B456" i="14"/>
  <c r="G336" i="13"/>
  <c r="B460" i="15"/>
  <c r="B461" i="14"/>
  <c r="E613" i="15"/>
  <c r="G613" i="15" s="1"/>
  <c r="G620" i="13"/>
  <c r="H620" i="13"/>
  <c r="E674" i="15"/>
  <c r="G674" i="15" s="1"/>
  <c r="G681" i="13"/>
  <c r="B640" i="15"/>
  <c r="B641" i="14"/>
  <c r="H2372" i="15"/>
  <c r="I2379" i="13"/>
  <c r="J2372" i="15" s="1"/>
  <c r="E886" i="13"/>
  <c r="D1957" i="5"/>
  <c r="H1249" i="15"/>
  <c r="I1256" i="13"/>
  <c r="J1249" i="15" s="1"/>
  <c r="D1856" i="13"/>
  <c r="E2175" i="5"/>
  <c r="E1902" i="15"/>
  <c r="G1902" i="15" s="1"/>
  <c r="G1909" i="13"/>
  <c r="H1909" i="13"/>
  <c r="I1296" i="15"/>
  <c r="F1297" i="14"/>
  <c r="I2465" i="15"/>
  <c r="G2473" i="13"/>
  <c r="B1151" i="15"/>
  <c r="B1152" i="14"/>
  <c r="I2343" i="15"/>
  <c r="G2350" i="13"/>
  <c r="I357" i="15"/>
  <c r="F358" i="14"/>
  <c r="I559" i="13"/>
  <c r="J552" i="15" s="1"/>
  <c r="I563" i="13"/>
  <c r="J556" i="15" s="1"/>
  <c r="I565" i="13"/>
  <c r="J558" i="15" s="1"/>
  <c r="I569" i="13"/>
  <c r="J562" i="15" s="1"/>
  <c r="I573" i="13"/>
  <c r="J566" i="15" s="1"/>
  <c r="I581" i="13"/>
  <c r="J574" i="15" s="1"/>
  <c r="B678" i="15"/>
  <c r="B679" i="14"/>
  <c r="B686" i="15"/>
  <c r="B687" i="14"/>
  <c r="I751" i="13"/>
  <c r="J744" i="15" s="1"/>
  <c r="E879" i="13"/>
  <c r="D1950" i="5"/>
  <c r="E883" i="13"/>
  <c r="D1954" i="5"/>
  <c r="E1893" i="5"/>
  <c r="E2387" i="13"/>
  <c r="E2380" i="15" s="1"/>
  <c r="G2380" i="15" s="1"/>
  <c r="D1965" i="5"/>
  <c r="H855" i="15"/>
  <c r="I862" i="13"/>
  <c r="J855" i="15" s="1"/>
  <c r="B889" i="13"/>
  <c r="A1960" i="5"/>
  <c r="I1300" i="15"/>
  <c r="F1301" i="14"/>
  <c r="E2052" i="15"/>
  <c r="G2052" i="15" s="1"/>
  <c r="C690" i="6"/>
  <c r="E1130" i="13"/>
  <c r="E328" i="7"/>
  <c r="E1169" i="13" s="1"/>
  <c r="I125" i="15"/>
  <c r="F126" i="14"/>
  <c r="I2414" i="15"/>
  <c r="G2422" i="13"/>
  <c r="D148" i="15"/>
  <c r="D149" i="14"/>
  <c r="H148" i="13"/>
  <c r="K148" i="13"/>
  <c r="I2439" i="15"/>
  <c r="G2447" i="13"/>
  <c r="D956" i="15"/>
  <c r="D957" i="14"/>
  <c r="K963" i="13"/>
  <c r="G963" i="13"/>
  <c r="H963" i="13"/>
  <c r="D1151" i="13"/>
  <c r="F307" i="7"/>
  <c r="E1178" i="15"/>
  <c r="G1178" i="15" s="1"/>
  <c r="E1188" i="15"/>
  <c r="G1188" i="15" s="1"/>
  <c r="I2278" i="15"/>
  <c r="F2279" i="14"/>
  <c r="I2390" i="15"/>
  <c r="G2397" i="13"/>
  <c r="D2245" i="15"/>
  <c r="D2246" i="14"/>
  <c r="H2252" i="13"/>
  <c r="G2252" i="13"/>
  <c r="I2300" i="15"/>
  <c r="F2301" i="14"/>
  <c r="B1178" i="13"/>
  <c r="C337" i="7"/>
  <c r="C356" i="7" s="1"/>
  <c r="D356" i="7" s="1"/>
  <c r="B1187" i="15"/>
  <c r="B1188" i="14"/>
  <c r="G1052" i="13"/>
  <c r="B80" i="15"/>
  <c r="B81" i="14"/>
  <c r="I2456" i="15"/>
  <c r="G2464" i="13"/>
  <c r="D1337" i="15"/>
  <c r="D1338" i="14"/>
  <c r="K1344" i="13"/>
  <c r="H1344" i="13"/>
  <c r="H2437" i="15"/>
  <c r="I2445" i="13"/>
  <c r="J2437" i="15" s="1"/>
  <c r="D2338" i="15"/>
  <c r="D2339" i="14"/>
  <c r="H2345" i="13"/>
  <c r="G2345" i="13"/>
  <c r="J1702" i="5"/>
  <c r="E877" i="13"/>
  <c r="D1948" i="5"/>
  <c r="E1263" i="15"/>
  <c r="G1263" i="15" s="1"/>
  <c r="G1270" i="13"/>
  <c r="H1270" i="13"/>
  <c r="I270" i="15"/>
  <c r="F271" i="14"/>
  <c r="I1448" i="15"/>
  <c r="F1449" i="14"/>
  <c r="E634" i="15"/>
  <c r="G634" i="15" s="1"/>
  <c r="G641" i="13"/>
  <c r="E827" i="15"/>
  <c r="G827" i="15" s="1"/>
  <c r="G834" i="13"/>
  <c r="B872" i="15"/>
  <c r="B873" i="14"/>
  <c r="E1131" i="13"/>
  <c r="E329" i="7"/>
  <c r="E1170" i="13" s="1"/>
  <c r="H2463" i="15"/>
  <c r="I2471" i="13"/>
  <c r="J2463" i="15" s="1"/>
  <c r="G110" i="13"/>
  <c r="I2236" i="15"/>
  <c r="F2237" i="14"/>
  <c r="L351" i="12"/>
  <c r="D1105" i="15"/>
  <c r="D1106" i="14"/>
  <c r="K1112" i="13"/>
  <c r="D1145" i="15"/>
  <c r="D1146" i="14"/>
  <c r="K1152" i="13"/>
  <c r="D1112" i="15"/>
  <c r="D1113" i="14"/>
  <c r="K1119" i="13"/>
  <c r="H1119" i="13"/>
  <c r="I1112" i="15" s="1"/>
  <c r="G1119" i="13"/>
  <c r="H1112" i="15" s="1"/>
  <c r="D1827" i="13"/>
  <c r="E2146" i="5"/>
  <c r="O16" i="4"/>
  <c r="D766" i="13"/>
  <c r="F345" i="7"/>
  <c r="D1099" i="15"/>
  <c r="D1100" i="14"/>
  <c r="K1106" i="13"/>
  <c r="H1106" i="13"/>
  <c r="I1099" i="15" s="1"/>
  <c r="G1106" i="13"/>
  <c r="H1099" i="15" s="1"/>
  <c r="D1140" i="15"/>
  <c r="D1141" i="14"/>
  <c r="K1147" i="13"/>
  <c r="H12" i="4"/>
  <c r="L9" i="4"/>
  <c r="K202" i="4"/>
  <c r="K201" i="4"/>
  <c r="K200" i="4"/>
  <c r="K199" i="4"/>
  <c r="K77" i="4"/>
  <c r="C1782" i="5"/>
  <c r="C1935" i="5" s="1"/>
  <c r="I1937" i="15"/>
  <c r="F1938" i="14"/>
  <c r="J1980" i="15"/>
  <c r="I1980" i="15"/>
  <c r="I1042" i="15"/>
  <c r="F1043" i="14"/>
  <c r="C246" i="4"/>
  <c r="T1080" i="5"/>
  <c r="P90" i="4"/>
  <c r="P96" i="4" s="1"/>
  <c r="P44" i="4"/>
  <c r="P98" i="4"/>
  <c r="D526" i="13"/>
  <c r="AR1446" i="5"/>
  <c r="D443" i="13" s="1"/>
  <c r="B425" i="15"/>
  <c r="B426" i="14"/>
  <c r="E388" i="15"/>
  <c r="G388" i="15" s="1"/>
  <c r="G395" i="13"/>
  <c r="I395" i="13" s="1"/>
  <c r="E460" i="15"/>
  <c r="G460" i="15" s="1"/>
  <c r="G467" i="13"/>
  <c r="I467" i="13" s="1"/>
  <c r="I559" i="15"/>
  <c r="F560" i="14"/>
  <c r="D829" i="15"/>
  <c r="D830" i="14"/>
  <c r="K836" i="13"/>
  <c r="H836" i="13"/>
  <c r="G836" i="13"/>
  <c r="H13" i="4"/>
  <c r="L13" i="4" s="1"/>
  <c r="L10" i="4"/>
  <c r="C207" i="4"/>
  <c r="AK52" i="5"/>
  <c r="C205" i="4"/>
  <c r="C202" i="4"/>
  <c r="C200" i="4"/>
  <c r="C199" i="4"/>
  <c r="G76" i="4"/>
  <c r="J203" i="4"/>
  <c r="L203" i="4" s="1"/>
  <c r="D407" i="5"/>
  <c r="F94" i="4"/>
  <c r="D665" i="15"/>
  <c r="D666" i="14"/>
  <c r="H672" i="13"/>
  <c r="K672" i="13"/>
  <c r="C1934" i="5"/>
  <c r="T127" i="5"/>
  <c r="I350" i="15"/>
  <c r="F351" i="14"/>
  <c r="E679" i="10"/>
  <c r="G679" i="10" s="1"/>
  <c r="E575" i="5"/>
  <c r="T625" i="5"/>
  <c r="AA386" i="5"/>
  <c r="E826" i="5"/>
  <c r="E400" i="10" s="1"/>
  <c r="G400" i="10" s="1"/>
  <c r="E366" i="5"/>
  <c r="E151" i="5"/>
  <c r="O375" i="5"/>
  <c r="V375" i="5"/>
  <c r="AA375" i="5"/>
  <c r="F375" i="5"/>
  <c r="F382" i="5"/>
  <c r="D365" i="15"/>
  <c r="D366" i="14"/>
  <c r="H372" i="13"/>
  <c r="G372" i="13"/>
  <c r="D648" i="15"/>
  <c r="D649" i="14"/>
  <c r="H655" i="13"/>
  <c r="G655" i="13"/>
  <c r="F113" i="4"/>
  <c r="F112" i="4"/>
  <c r="D1515" i="13"/>
  <c r="E377" i="9"/>
  <c r="J359" i="9"/>
  <c r="C526" i="9"/>
  <c r="C535" i="9"/>
  <c r="C520" i="9"/>
  <c r="C1699" i="5"/>
  <c r="N1698" i="5"/>
  <c r="B508" i="15"/>
  <c r="B509" i="14"/>
  <c r="B512" i="15"/>
  <c r="B513" i="14"/>
  <c r="C1603" i="5"/>
  <c r="E1603" i="5" s="1"/>
  <c r="D1517" i="5"/>
  <c r="D1683" i="5" s="1"/>
  <c r="B864" i="15"/>
  <c r="B865" i="14"/>
  <c r="C812" i="13"/>
  <c r="B2003" i="5"/>
  <c r="C775" i="13" s="1"/>
  <c r="D846" i="15"/>
  <c r="D847" i="14"/>
  <c r="H853" i="13"/>
  <c r="K853" i="13"/>
  <c r="I1260" i="15"/>
  <c r="F1261" i="14"/>
  <c r="E166" i="15"/>
  <c r="G166" i="15" s="1"/>
  <c r="G166" i="13"/>
  <c r="I300" i="15"/>
  <c r="F301" i="14"/>
  <c r="D51" i="15"/>
  <c r="D52" i="14"/>
  <c r="K51" i="13"/>
  <c r="H51" i="13"/>
  <c r="G51" i="13"/>
  <c r="C207" i="10"/>
  <c r="G371" i="5"/>
  <c r="D427" i="15"/>
  <c r="D428" i="14"/>
  <c r="H434" i="13"/>
  <c r="H427" i="15" s="1"/>
  <c r="G434" i="13"/>
  <c r="D501" i="13"/>
  <c r="AS1473" i="5"/>
  <c r="D418" i="13" s="1"/>
  <c r="B639" i="15"/>
  <c r="B640" i="14"/>
  <c r="B852" i="15"/>
  <c r="B853" i="14"/>
  <c r="E1301" i="15"/>
  <c r="G1301" i="15" s="1"/>
  <c r="G1308" i="13"/>
  <c r="H1308" i="13"/>
  <c r="D2204" i="15"/>
  <c r="D2205" i="14"/>
  <c r="H2211" i="13"/>
  <c r="G2211" i="13"/>
  <c r="D121" i="15"/>
  <c r="D122" i="14"/>
  <c r="H121" i="13"/>
  <c r="G9" i="4"/>
  <c r="C12" i="4"/>
  <c r="G12" i="4" s="1"/>
  <c r="C462" i="8"/>
  <c r="G91" i="4"/>
  <c r="R866" i="5"/>
  <c r="L866" i="5"/>
  <c r="F930" i="5" s="1"/>
  <c r="F534" i="10" s="1"/>
  <c r="G534" i="10" s="1"/>
  <c r="Q866" i="5"/>
  <c r="F866" i="5"/>
  <c r="P866" i="5"/>
  <c r="I866" i="5"/>
  <c r="O866" i="5" s="1"/>
  <c r="S1080" i="5"/>
  <c r="O90" i="4"/>
  <c r="O96" i="4" s="1"/>
  <c r="O44" i="4"/>
  <c r="O98" i="4"/>
  <c r="D449" i="15"/>
  <c r="D450" i="14"/>
  <c r="D2435" i="13"/>
  <c r="K456" i="13"/>
  <c r="H456" i="13"/>
  <c r="H449" i="15" s="1"/>
  <c r="C189" i="8"/>
  <c r="G145" i="4"/>
  <c r="D399" i="5"/>
  <c r="D948" i="13"/>
  <c r="F85" i="7"/>
  <c r="D927" i="13"/>
  <c r="F64" i="7"/>
  <c r="D1002" i="13"/>
  <c r="F141" i="7"/>
  <c r="D1006" i="13"/>
  <c r="F145" i="7"/>
  <c r="F650" i="5"/>
  <c r="B500" i="15"/>
  <c r="B501" i="14"/>
  <c r="B461" i="15"/>
  <c r="B462" i="14"/>
  <c r="I557" i="15"/>
  <c r="F558" i="14"/>
  <c r="B644" i="15"/>
  <c r="B645" i="14"/>
  <c r="D676" i="15"/>
  <c r="D677" i="14"/>
  <c r="H683" i="13"/>
  <c r="K683" i="13"/>
  <c r="B890" i="13"/>
  <c r="A1961" i="5"/>
  <c r="D1286" i="13"/>
  <c r="K2079" i="5"/>
  <c r="H1843" i="15"/>
  <c r="D370" i="13"/>
  <c r="AM1476" i="5"/>
  <c r="P1476" i="5"/>
  <c r="AO1476" i="5" s="1"/>
  <c r="AT1444" i="5" s="1"/>
  <c r="B803" i="13"/>
  <c r="A1994" i="5"/>
  <c r="B766" i="13" s="1"/>
  <c r="H1838" i="15"/>
  <c r="I2209" i="15"/>
  <c r="F2210" i="14"/>
  <c r="D1043" i="15"/>
  <c r="D1044" i="14"/>
  <c r="K1050" i="13"/>
  <c r="B1166" i="13"/>
  <c r="C325" i="7"/>
  <c r="C344" i="7" s="1"/>
  <c r="D344" i="7" s="1"/>
  <c r="D2220" i="13"/>
  <c r="L674" i="6"/>
  <c r="L668" i="6"/>
  <c r="D475" i="13"/>
  <c r="BJ1467" i="5"/>
  <c r="D392" i="13" s="1"/>
  <c r="G392" i="13" s="1"/>
  <c r="V1467" i="5"/>
  <c r="BL1467" i="5" s="1"/>
  <c r="B492" i="15"/>
  <c r="B493" i="14"/>
  <c r="E499" i="15"/>
  <c r="G499" i="15" s="1"/>
  <c r="I338" i="13"/>
  <c r="D604" i="13"/>
  <c r="U1551" i="5"/>
  <c r="D613" i="13"/>
  <c r="O1616" i="5"/>
  <c r="C1616" i="5"/>
  <c r="J1617" i="5"/>
  <c r="C1619" i="5"/>
  <c r="E670" i="15"/>
  <c r="G670" i="15" s="1"/>
  <c r="G677" i="13"/>
  <c r="J1653" i="5"/>
  <c r="B810" i="13"/>
  <c r="A2001" i="5"/>
  <c r="B773" i="13" s="1"/>
  <c r="I1318" i="15"/>
  <c r="F1319" i="14"/>
  <c r="I1295" i="15"/>
  <c r="F1296" i="14"/>
  <c r="E2418" i="15"/>
  <c r="G2418" i="15" s="1"/>
  <c r="H2426" i="13"/>
  <c r="E1191" i="15"/>
  <c r="G1191" i="15" s="1"/>
  <c r="I100" i="15"/>
  <c r="F101" i="14"/>
  <c r="I100" i="13"/>
  <c r="J100" i="15" s="1"/>
  <c r="I2389" i="15"/>
  <c r="G2396" i="13"/>
  <c r="B617" i="15"/>
  <c r="B618" i="14"/>
  <c r="E896" i="13"/>
  <c r="K1942" i="5"/>
  <c r="C816" i="13"/>
  <c r="B2007" i="5"/>
  <c r="C779" i="13" s="1"/>
  <c r="B807" i="13"/>
  <c r="A1998" i="5"/>
  <c r="B770" i="13" s="1"/>
  <c r="E2277" i="5"/>
  <c r="E2266" i="5"/>
  <c r="E2270" i="5"/>
  <c r="E2267" i="5"/>
  <c r="B1135" i="15"/>
  <c r="B1136" i="14"/>
  <c r="D145" i="15"/>
  <c r="D146" i="14"/>
  <c r="H145" i="13"/>
  <c r="K145" i="13"/>
  <c r="G145" i="13"/>
  <c r="D280" i="15"/>
  <c r="D281" i="14"/>
  <c r="H280" i="13"/>
  <c r="K280" i="13"/>
  <c r="G280" i="13"/>
  <c r="E1169" i="15"/>
  <c r="G1169" i="15" s="1"/>
  <c r="E1180" i="15"/>
  <c r="G1180" i="15" s="1"/>
  <c r="E188" i="15"/>
  <c r="G188" i="15" s="1"/>
  <c r="H2411" i="15"/>
  <c r="I2419" i="13"/>
  <c r="J2411" i="15" s="1"/>
  <c r="I2231" i="15"/>
  <c r="F2232" i="14"/>
  <c r="D2272" i="15"/>
  <c r="D2273" i="14"/>
  <c r="K2279" i="13"/>
  <c r="H2279" i="13"/>
  <c r="G2279" i="13"/>
  <c r="H270" i="15"/>
  <c r="I270" i="13"/>
  <c r="J270" i="15" s="1"/>
  <c r="I1809" i="15"/>
  <c r="F1810" i="14"/>
  <c r="I1816" i="13"/>
  <c r="J1809" i="15" s="1"/>
  <c r="H1830" i="13"/>
  <c r="I1643" i="15"/>
  <c r="F1644" i="14"/>
  <c r="I2333" i="15"/>
  <c r="F2334" i="14"/>
  <c r="I2337" i="15"/>
  <c r="F2338" i="14"/>
  <c r="E734" i="15"/>
  <c r="G734" i="15" s="1"/>
  <c r="G741" i="13"/>
  <c r="H741" i="13"/>
  <c r="I2483" i="15"/>
  <c r="G2491" i="13"/>
  <c r="E622" i="15"/>
  <c r="G622" i="15" s="1"/>
  <c r="G629" i="13"/>
  <c r="D2206" i="15"/>
  <c r="D2207" i="14"/>
  <c r="H2213" i="13"/>
  <c r="G2213" i="13"/>
  <c r="E1359" i="15"/>
  <c r="G1359" i="15" s="1"/>
  <c r="G1366" i="13"/>
  <c r="H1366" i="13"/>
  <c r="Q203" i="4"/>
  <c r="E108" i="4"/>
  <c r="J1166" i="5"/>
  <c r="J1173" i="5" s="1"/>
  <c r="AI8" i="5"/>
  <c r="AL70" i="5"/>
  <c r="I1268" i="5"/>
  <c r="J1268" i="5" s="1"/>
  <c r="J1270" i="5" s="1"/>
  <c r="D1258" i="5"/>
  <c r="D1259" i="5" s="1"/>
  <c r="AL66" i="5" s="1"/>
  <c r="C241" i="9"/>
  <c r="Q6" i="5"/>
  <c r="T126" i="5"/>
  <c r="S126" i="5"/>
  <c r="D421" i="15"/>
  <c r="D422" i="14"/>
  <c r="H428" i="13"/>
  <c r="H421" i="15" s="1"/>
  <c r="K428" i="13"/>
  <c r="L149" i="4"/>
  <c r="C96" i="4"/>
  <c r="G96" i="4" s="1"/>
  <c r="G90" i="4"/>
  <c r="P129" i="5"/>
  <c r="P130" i="5" s="1"/>
  <c r="S129" i="5"/>
  <c r="R129" i="5"/>
  <c r="R130" i="5" s="1"/>
  <c r="E150" i="5" s="1"/>
  <c r="F129" i="5"/>
  <c r="F609" i="5" s="1"/>
  <c r="Q129" i="5"/>
  <c r="Q130" i="5" s="1"/>
  <c r="F252" i="5"/>
  <c r="I129" i="5"/>
  <c r="D361" i="15"/>
  <c r="D362" i="14"/>
  <c r="H368" i="13"/>
  <c r="G368" i="13"/>
  <c r="H635" i="13"/>
  <c r="E874" i="15"/>
  <c r="G874" i="15" s="1"/>
  <c r="I563" i="15"/>
  <c r="F564" i="14"/>
  <c r="E584" i="15"/>
  <c r="G584" i="15" s="1"/>
  <c r="G591" i="13"/>
  <c r="E619" i="15"/>
  <c r="G619" i="15" s="1"/>
  <c r="G626" i="13"/>
  <c r="H626" i="13"/>
  <c r="I2480" i="15"/>
  <c r="G2488" i="13"/>
  <c r="D2368" i="15"/>
  <c r="K2375" i="13"/>
  <c r="H2375" i="13"/>
  <c r="C805" i="13"/>
  <c r="B1996" i="5"/>
  <c r="C768" i="13" s="1"/>
  <c r="E169" i="13"/>
  <c r="L304" i="8"/>
  <c r="E705" i="10"/>
  <c r="G705" i="10" s="1"/>
  <c r="E1022" i="5"/>
  <c r="D308" i="15"/>
  <c r="D309" i="14"/>
  <c r="K308" i="13"/>
  <c r="H308" i="13"/>
  <c r="G308" i="13"/>
  <c r="D337" i="13"/>
  <c r="G337" i="13" s="1"/>
  <c r="D464" i="13"/>
  <c r="L1482" i="5"/>
  <c r="BD1467" i="5" s="1"/>
  <c r="BB1467" i="5"/>
  <c r="D381" i="13" s="1"/>
  <c r="I564" i="13"/>
  <c r="J557" i="15" s="1"/>
  <c r="E616" i="15"/>
  <c r="G616" i="15" s="1"/>
  <c r="G623" i="13"/>
  <c r="B2386" i="13"/>
  <c r="B2379" i="15" s="1"/>
  <c r="A1964" i="5"/>
  <c r="D1245" i="15"/>
  <c r="D1246" i="14"/>
  <c r="K1252" i="13"/>
  <c r="H1252" i="13"/>
  <c r="G1252" i="13"/>
  <c r="D154" i="15"/>
  <c r="D155" i="14"/>
  <c r="H154" i="13"/>
  <c r="B389" i="15"/>
  <c r="B390" i="14"/>
  <c r="B636" i="15"/>
  <c r="B637" i="14"/>
  <c r="B851" i="15"/>
  <c r="B852" i="14"/>
  <c r="E841" i="15"/>
  <c r="G841" i="15" s="1"/>
  <c r="B751" i="15"/>
  <c r="B752" i="14"/>
  <c r="D2171" i="13"/>
  <c r="E696" i="6"/>
  <c r="I55" i="15"/>
  <c r="F56" i="14"/>
  <c r="I55" i="13"/>
  <c r="J55" i="15" s="1"/>
  <c r="C1768" i="5"/>
  <c r="G1977" i="5"/>
  <c r="F1977" i="5"/>
  <c r="E1978" i="5"/>
  <c r="C1980" i="5" s="1"/>
  <c r="E2011" i="13"/>
  <c r="I714" i="6"/>
  <c r="B1174" i="13"/>
  <c r="C333" i="7"/>
  <c r="C352" i="7" s="1"/>
  <c r="D352" i="7" s="1"/>
  <c r="E1143" i="15"/>
  <c r="G1143" i="15" s="1"/>
  <c r="H1150" i="13"/>
  <c r="I1143" i="15" s="1"/>
  <c r="G1150" i="13"/>
  <c r="H1143" i="15" s="1"/>
  <c r="H2290" i="15"/>
  <c r="I2297" i="13"/>
  <c r="J2290" i="15" s="1"/>
  <c r="B74" i="15"/>
  <c r="B75" i="14"/>
  <c r="H2438" i="15"/>
  <c r="I2446" i="13"/>
  <c r="J2438" i="15" s="1"/>
  <c r="D2275" i="15"/>
  <c r="D2276" i="14"/>
  <c r="K2282" i="13"/>
  <c r="H2282" i="13"/>
  <c r="G2282" i="13"/>
  <c r="H2335" i="15"/>
  <c r="I2342" i="13"/>
  <c r="J2335" i="15" s="1"/>
  <c r="I2238" i="13"/>
  <c r="J2231" i="15" s="1"/>
  <c r="H2459" i="15"/>
  <c r="I2467" i="13"/>
  <c r="J2459" i="15" s="1"/>
  <c r="I2431" i="15"/>
  <c r="G2439" i="13"/>
  <c r="L29" i="4"/>
  <c r="L85" i="4"/>
  <c r="H186" i="4"/>
  <c r="G28" i="4"/>
  <c r="J1217" i="5"/>
  <c r="L1217" i="5" s="1"/>
  <c r="J1221" i="5"/>
  <c r="AH30" i="5"/>
  <c r="D1265" i="5"/>
  <c r="D1267" i="5" s="1"/>
  <c r="E1272" i="5" s="1"/>
  <c r="K14" i="4"/>
  <c r="J9" i="4"/>
  <c r="J12" i="4" s="1"/>
  <c r="J86" i="4"/>
  <c r="L86" i="4" s="1"/>
  <c r="J66" i="4"/>
  <c r="J180" i="4" s="1"/>
  <c r="L180" i="4" s="1"/>
  <c r="J56" i="4"/>
  <c r="J101" i="4"/>
  <c r="J102" i="4" s="1"/>
  <c r="J99" i="4"/>
  <c r="J72" i="4"/>
  <c r="J71" i="4"/>
  <c r="J65" i="4"/>
  <c r="J208" i="4" s="1"/>
  <c r="C457" i="8"/>
  <c r="C1692" i="5"/>
  <c r="C1693" i="5"/>
  <c r="D705" i="13"/>
  <c r="N1699" i="5"/>
  <c r="J1736" i="5"/>
  <c r="N1704" i="5"/>
  <c r="S1704" i="5" s="1"/>
  <c r="C361" i="9"/>
  <c r="C359" i="9"/>
  <c r="D1265" i="15"/>
  <c r="D1266" i="14"/>
  <c r="K1272" i="13"/>
  <c r="H1272" i="13"/>
  <c r="G1272" i="13"/>
  <c r="D1289" i="15"/>
  <c r="D1290" i="14"/>
  <c r="H1296" i="13"/>
  <c r="K1296" i="13"/>
  <c r="G1296" i="13"/>
  <c r="C421" i="9"/>
  <c r="C124" i="4"/>
  <c r="G204" i="4"/>
  <c r="S1074" i="5"/>
  <c r="S1079" i="5" s="1"/>
  <c r="S1073" i="5"/>
  <c r="S1078" i="5" s="1"/>
  <c r="O58" i="4"/>
  <c r="O60" i="4" s="1"/>
  <c r="O74" i="4" s="1"/>
  <c r="O48" i="4"/>
  <c r="O76" i="4"/>
  <c r="L411" i="5"/>
  <c r="F550" i="5" s="1"/>
  <c r="F655" i="10" s="1"/>
  <c r="G655" i="10" s="1"/>
  <c r="S414" i="5"/>
  <c r="F380" i="5"/>
  <c r="E6" i="10"/>
  <c r="O377" i="5"/>
  <c r="F377" i="5"/>
  <c r="AA377" i="5"/>
  <c r="V377" i="5"/>
  <c r="D673" i="15"/>
  <c r="D674" i="14"/>
  <c r="H680" i="13"/>
  <c r="K680" i="13"/>
  <c r="D681" i="15"/>
  <c r="D682" i="14"/>
  <c r="H688" i="13"/>
  <c r="K688" i="13"/>
  <c r="D689" i="15"/>
  <c r="D690" i="14"/>
  <c r="H696" i="13"/>
  <c r="K696" i="13"/>
  <c r="D1139" i="5"/>
  <c r="R10" i="5"/>
  <c r="I2148" i="15"/>
  <c r="F2149" i="14"/>
  <c r="D2149" i="15"/>
  <c r="D2150" i="14"/>
  <c r="K2156" i="13"/>
  <c r="H2156" i="13"/>
  <c r="G2156" i="13"/>
  <c r="D1104" i="13"/>
  <c r="F257" i="7"/>
  <c r="I1743" i="15"/>
  <c r="F1744" i="14"/>
  <c r="I1750" i="13"/>
  <c r="J1743" i="15" s="1"/>
  <c r="L348" i="12"/>
  <c r="E336" i="15"/>
  <c r="G336" i="15" s="1"/>
  <c r="B495" i="15"/>
  <c r="B496" i="14"/>
  <c r="B502" i="15"/>
  <c r="B503" i="14"/>
  <c r="B458" i="15"/>
  <c r="B459" i="14"/>
  <c r="E381" i="15"/>
  <c r="G381" i="15" s="1"/>
  <c r="I551" i="15"/>
  <c r="F552" i="14"/>
  <c r="H2444" i="15"/>
  <c r="I2452" i="13"/>
  <c r="J2444" i="15" s="1"/>
  <c r="H602" i="15"/>
  <c r="I609" i="13"/>
  <c r="J602" i="15" s="1"/>
  <c r="E611" i="15"/>
  <c r="G611" i="15" s="1"/>
  <c r="G618" i="13"/>
  <c r="H618" i="13"/>
  <c r="E635" i="15"/>
  <c r="G635" i="15" s="1"/>
  <c r="G642" i="13"/>
  <c r="H642" i="13"/>
  <c r="D668" i="15"/>
  <c r="D669" i="14"/>
  <c r="H675" i="13"/>
  <c r="K675" i="13"/>
  <c r="I733" i="15"/>
  <c r="F734" i="14"/>
  <c r="C804" i="13"/>
  <c r="B1995" i="5"/>
  <c r="C767" i="13" s="1"/>
  <c r="D890" i="13"/>
  <c r="C1961" i="5"/>
  <c r="E1900" i="5"/>
  <c r="D2387" i="13"/>
  <c r="E1904" i="5"/>
  <c r="C1965" i="5"/>
  <c r="C802" i="13"/>
  <c r="B1993" i="5"/>
  <c r="C765" i="13" s="1"/>
  <c r="H1845" i="13"/>
  <c r="H2403" i="13"/>
  <c r="E1183" i="15"/>
  <c r="G1183" i="15" s="1"/>
  <c r="H144" i="15"/>
  <c r="I144" i="13"/>
  <c r="J144" i="15" s="1"/>
  <c r="E2386" i="15"/>
  <c r="G2386" i="15" s="1"/>
  <c r="H2393" i="13"/>
  <c r="G309" i="5"/>
  <c r="H172" i="10" s="1"/>
  <c r="C206" i="10"/>
  <c r="G370" i="5"/>
  <c r="C203" i="10"/>
  <c r="G367" i="5"/>
  <c r="C404" i="10"/>
  <c r="G830" i="5"/>
  <c r="H404" i="10" s="1"/>
  <c r="C406" i="10"/>
  <c r="G832" i="5"/>
  <c r="H406" i="10" s="1"/>
  <c r="D429" i="15"/>
  <c r="D430" i="14"/>
  <c r="H436" i="13"/>
  <c r="H429" i="15" s="1"/>
  <c r="G436" i="13"/>
  <c r="D340" i="15"/>
  <c r="D341" i="14"/>
  <c r="K347" i="13"/>
  <c r="H347" i="13"/>
  <c r="G347" i="13"/>
  <c r="E624" i="15"/>
  <c r="G624" i="15" s="1"/>
  <c r="G631" i="13"/>
  <c r="E632" i="15"/>
  <c r="G632" i="15" s="1"/>
  <c r="G639" i="13"/>
  <c r="E854" i="15"/>
  <c r="G854" i="15" s="1"/>
  <c r="G861" i="13"/>
  <c r="D839" i="15"/>
  <c r="D840" i="14"/>
  <c r="H846" i="13"/>
  <c r="K846" i="13"/>
  <c r="C868" i="15"/>
  <c r="C869" i="14"/>
  <c r="B1279" i="15"/>
  <c r="B1280" i="14"/>
  <c r="B1194" i="15"/>
  <c r="B1195" i="14"/>
  <c r="E161" i="13"/>
  <c r="E305" i="8"/>
  <c r="E2350" i="15"/>
  <c r="G2350" i="15" s="1"/>
  <c r="H2357" i="13"/>
  <c r="J645" i="8"/>
  <c r="C641" i="8"/>
  <c r="D85" i="13"/>
  <c r="E650" i="8"/>
  <c r="O203" i="4"/>
  <c r="R14" i="5"/>
  <c r="J14" i="4"/>
  <c r="D870" i="5"/>
  <c r="R1075" i="5"/>
  <c r="N97" i="4"/>
  <c r="N89" i="4"/>
  <c r="N43" i="4"/>
  <c r="J445" i="9"/>
  <c r="C435" i="9"/>
  <c r="C434" i="9"/>
  <c r="D1263" i="5"/>
  <c r="D1264" i="5" s="1"/>
  <c r="D1268" i="5" s="1"/>
  <c r="J1713" i="5"/>
  <c r="I1251" i="15"/>
  <c r="F1252" i="14"/>
  <c r="O17" i="4"/>
  <c r="J90" i="4"/>
  <c r="J96" i="4" s="1"/>
  <c r="F1219" i="5"/>
  <c r="AK31" i="5" s="1"/>
  <c r="AK24" i="5"/>
  <c r="J1657" i="5"/>
  <c r="D877" i="15"/>
  <c r="D878" i="14"/>
  <c r="K884" i="13"/>
  <c r="H884" i="13"/>
  <c r="E1043" i="15"/>
  <c r="G1043" i="15" s="1"/>
  <c r="G1050" i="13"/>
  <c r="H1050" i="13"/>
  <c r="J1215" i="5"/>
  <c r="C497" i="9" s="1"/>
  <c r="C1220" i="5"/>
  <c r="AH28" i="5"/>
  <c r="C188" i="8"/>
  <c r="J104" i="5"/>
  <c r="G115" i="4"/>
  <c r="R115" i="4" s="1"/>
  <c r="C196" i="4"/>
  <c r="G196" i="4" s="1"/>
  <c r="G142" i="4"/>
  <c r="G143" i="4"/>
  <c r="L35" i="4"/>
  <c r="N202" i="4"/>
  <c r="G45" i="4"/>
  <c r="D940" i="13"/>
  <c r="F77" i="7"/>
  <c r="D93" i="7"/>
  <c r="D88" i="7"/>
  <c r="D87" i="7"/>
  <c r="D86" i="7"/>
  <c r="D979" i="13"/>
  <c r="F118" i="7"/>
  <c r="D983" i="13"/>
  <c r="F122" i="7"/>
  <c r="D999" i="13"/>
  <c r="D140" i="7"/>
  <c r="F138" i="7"/>
  <c r="D143" i="7"/>
  <c r="D147" i="7"/>
  <c r="D151" i="7"/>
  <c r="D926" i="13"/>
  <c r="F63" i="7"/>
  <c r="D342" i="15"/>
  <c r="D343" i="14"/>
  <c r="K349" i="13"/>
  <c r="H349" i="13"/>
  <c r="G349" i="13"/>
  <c r="D14" i="4"/>
  <c r="E257" i="5"/>
  <c r="E256" i="5"/>
  <c r="I355" i="15"/>
  <c r="F356" i="14"/>
  <c r="D2150" i="15"/>
  <c r="D2151" i="14"/>
  <c r="H2157" i="13"/>
  <c r="K2157" i="13"/>
  <c r="G2157" i="13"/>
  <c r="D1103" i="15"/>
  <c r="D1104" i="14"/>
  <c r="K1110" i="13"/>
  <c r="G1110" i="13"/>
  <c r="H1103" i="15" s="1"/>
  <c r="H1110" i="13"/>
  <c r="I1103" i="15" s="1"/>
  <c r="E725" i="5"/>
  <c r="G728" i="5"/>
  <c r="H302" i="10" s="1"/>
  <c r="R851" i="5"/>
  <c r="T851" i="5" s="1"/>
  <c r="P855" i="5"/>
  <c r="R855" i="5" s="1"/>
  <c r="E476" i="10"/>
  <c r="G476" i="10" s="1"/>
  <c r="E913" i="5"/>
  <c r="L351" i="6"/>
  <c r="E468" i="15"/>
  <c r="G468" i="15" s="1"/>
  <c r="G475" i="13"/>
  <c r="B509" i="15"/>
  <c r="B510" i="14"/>
  <c r="E472" i="15"/>
  <c r="G472" i="15" s="1"/>
  <c r="G479" i="13"/>
  <c r="E478" i="15"/>
  <c r="G478" i="15" s="1"/>
  <c r="G485" i="13"/>
  <c r="H485" i="13"/>
  <c r="H478" i="15" s="1"/>
  <c r="E486" i="15"/>
  <c r="G486" i="15" s="1"/>
  <c r="B466" i="15"/>
  <c r="B467" i="14"/>
  <c r="H583" i="15"/>
  <c r="I590" i="13"/>
  <c r="J583" i="15" s="1"/>
  <c r="E627" i="15"/>
  <c r="G627" i="15" s="1"/>
  <c r="G634" i="13"/>
  <c r="H634" i="13"/>
  <c r="D684" i="15"/>
  <c r="D685" i="14"/>
  <c r="H691" i="13"/>
  <c r="K691" i="13"/>
  <c r="D888" i="13"/>
  <c r="C1959" i="5"/>
  <c r="E1898" i="5"/>
  <c r="D882" i="13"/>
  <c r="E1892" i="5"/>
  <c r="E792" i="15"/>
  <c r="G792" i="15" s="1"/>
  <c r="D1276" i="13"/>
  <c r="E2081" i="5"/>
  <c r="J1984" i="15"/>
  <c r="I1984" i="15"/>
  <c r="D1114" i="15"/>
  <c r="D1115" i="14"/>
  <c r="K1121" i="13"/>
  <c r="G1121" i="13"/>
  <c r="H1114" i="15" s="1"/>
  <c r="H1121" i="13"/>
  <c r="I1114" i="15" s="1"/>
  <c r="O620" i="5"/>
  <c r="O1136" i="5"/>
  <c r="C1141" i="5"/>
  <c r="C1190" i="5" s="1"/>
  <c r="F92" i="5" s="1"/>
  <c r="F96" i="5" s="1"/>
  <c r="D348" i="13"/>
  <c r="E1474" i="5"/>
  <c r="AG1474" i="5" s="1"/>
  <c r="AU1474" i="5" s="1"/>
  <c r="AE1474" i="5"/>
  <c r="D508" i="15"/>
  <c r="D509" i="14"/>
  <c r="H515" i="13"/>
  <c r="H508" i="15" s="1"/>
  <c r="G515" i="13"/>
  <c r="D521" i="13"/>
  <c r="G521" i="13" s="1"/>
  <c r="AR1441" i="5"/>
  <c r="D438" i="13" s="1"/>
  <c r="D475" i="15"/>
  <c r="D476" i="14"/>
  <c r="K482" i="13"/>
  <c r="H482" i="13"/>
  <c r="H475" i="15" s="1"/>
  <c r="G482" i="13"/>
  <c r="D348" i="15"/>
  <c r="D349" i="14"/>
  <c r="K355" i="13"/>
  <c r="H355" i="13"/>
  <c r="G355" i="13"/>
  <c r="E465" i="15"/>
  <c r="G465" i="15" s="1"/>
  <c r="E689" i="15"/>
  <c r="G689" i="15" s="1"/>
  <c r="G696" i="13"/>
  <c r="B826" i="15"/>
  <c r="B827" i="14"/>
  <c r="E2459" i="13"/>
  <c r="E2451" i="15" s="1"/>
  <c r="G2451" i="15" s="1"/>
  <c r="D1963" i="5"/>
  <c r="F1991" i="14"/>
  <c r="I1997" i="13"/>
  <c r="J1990" i="15" s="1"/>
  <c r="H1018" i="15"/>
  <c r="I1025" i="13"/>
  <c r="J1018" i="15" s="1"/>
  <c r="E1138" i="13"/>
  <c r="E336" i="7"/>
  <c r="E1177" i="13" s="1"/>
  <c r="I2353" i="15"/>
  <c r="G2360" i="13"/>
  <c r="D111" i="15"/>
  <c r="D112" i="14"/>
  <c r="H111" i="13"/>
  <c r="K111" i="13"/>
  <c r="G111" i="13"/>
  <c r="C700" i="6"/>
  <c r="J671" i="6"/>
  <c r="C702" i="6"/>
  <c r="J669" i="6"/>
  <c r="F16" i="10"/>
  <c r="J1489" i="5"/>
  <c r="I2476" i="15"/>
  <c r="G2484" i="13"/>
  <c r="B491" i="15"/>
  <c r="B492" i="14"/>
  <c r="B493" i="15"/>
  <c r="B494" i="14"/>
  <c r="B497" i="15"/>
  <c r="B498" i="14"/>
  <c r="E376" i="15"/>
  <c r="G376" i="15" s="1"/>
  <c r="G383" i="13"/>
  <c r="H383" i="13"/>
  <c r="H376" i="15" s="1"/>
  <c r="G456" i="13"/>
  <c r="I456" i="13" s="1"/>
  <c r="E466" i="15"/>
  <c r="G466" i="15" s="1"/>
  <c r="H792" i="10"/>
  <c r="H791" i="10" s="1"/>
  <c r="G793" i="10"/>
  <c r="G824" i="10" s="1"/>
  <c r="H824" i="10" s="1"/>
  <c r="H823" i="10" s="1"/>
  <c r="B612" i="15"/>
  <c r="B613" i="14"/>
  <c r="B673" i="15"/>
  <c r="B674" i="14"/>
  <c r="D626" i="15"/>
  <c r="D627" i="14"/>
  <c r="K633" i="13"/>
  <c r="H633" i="13"/>
  <c r="B685" i="15"/>
  <c r="B686" i="14"/>
  <c r="I2481" i="15"/>
  <c r="G2489" i="13"/>
  <c r="B853" i="15"/>
  <c r="B854" i="14"/>
  <c r="E882" i="13"/>
  <c r="D1953" i="5"/>
  <c r="D1309" i="15"/>
  <c r="D1310" i="14"/>
  <c r="H1316" i="13"/>
  <c r="I1316" i="13" s="1"/>
  <c r="J1309" i="15" s="1"/>
  <c r="K1316" i="13"/>
  <c r="D1286" i="15"/>
  <c r="D1287" i="14"/>
  <c r="H1293" i="13"/>
  <c r="K1293" i="13"/>
  <c r="G1293" i="13"/>
  <c r="D1145" i="13"/>
  <c r="F301" i="7"/>
  <c r="I113" i="15"/>
  <c r="F114" i="14"/>
  <c r="I113" i="13"/>
  <c r="J113" i="15" s="1"/>
  <c r="I2342" i="15"/>
  <c r="G2349" i="13"/>
  <c r="L346" i="12"/>
  <c r="I356" i="15"/>
  <c r="F357" i="14"/>
  <c r="D473" i="15"/>
  <c r="D474" i="14"/>
  <c r="K480" i="13"/>
  <c r="H480" i="13"/>
  <c r="H473" i="15" s="1"/>
  <c r="I571" i="13"/>
  <c r="J564" i="15" s="1"/>
  <c r="H568" i="15"/>
  <c r="I575" i="13"/>
  <c r="J568" i="15" s="1"/>
  <c r="D649" i="13"/>
  <c r="J1655" i="5"/>
  <c r="C1733" i="5"/>
  <c r="D2367" i="15"/>
  <c r="H2374" i="13"/>
  <c r="K2374" i="13"/>
  <c r="I736" i="13"/>
  <c r="J729" i="15" s="1"/>
  <c r="B802" i="13"/>
  <c r="A1993" i="5"/>
  <c r="B765" i="13" s="1"/>
  <c r="D1292" i="13"/>
  <c r="E2321" i="5"/>
  <c r="E2329" i="5" s="1"/>
  <c r="E2337" i="5" s="1"/>
  <c r="I1299" i="15"/>
  <c r="F1300" i="14"/>
  <c r="E2415" i="15"/>
  <c r="G2415" i="15" s="1"/>
  <c r="H2423" i="13"/>
  <c r="B1181" i="13"/>
  <c r="C340" i="7"/>
  <c r="C359" i="7" s="1"/>
  <c r="D359" i="7" s="1"/>
  <c r="B1147" i="15"/>
  <c r="B1148" i="14"/>
  <c r="D1146" i="15"/>
  <c r="D1147" i="14"/>
  <c r="K1153" i="13"/>
  <c r="H1153" i="13"/>
  <c r="I1146" i="15" s="1"/>
  <c r="G1153" i="13"/>
  <c r="H1146" i="15" s="1"/>
  <c r="I144" i="15"/>
  <c r="F145" i="14"/>
  <c r="D157" i="13"/>
  <c r="L296" i="8"/>
  <c r="D66" i="15"/>
  <c r="D67" i="14"/>
  <c r="H66" i="13"/>
  <c r="G66" i="13"/>
  <c r="B1168" i="13"/>
  <c r="C327" i="7"/>
  <c r="C346" i="7" s="1"/>
  <c r="D346" i="7" s="1"/>
  <c r="B1176" i="15"/>
  <c r="B1177" i="14"/>
  <c r="E1186" i="15"/>
  <c r="G1186" i="15" s="1"/>
  <c r="H2413" i="15"/>
  <c r="I2421" i="13"/>
  <c r="J2413" i="15" s="1"/>
  <c r="E174" i="13"/>
  <c r="L309" i="8"/>
  <c r="H1478" i="15"/>
  <c r="I1571" i="15"/>
  <c r="F1572" i="14"/>
  <c r="H2299" i="15"/>
  <c r="I2306" i="13"/>
  <c r="J2299" i="15" s="1"/>
  <c r="B1175" i="15"/>
  <c r="B1176" i="14"/>
  <c r="B1191" i="15"/>
  <c r="B1192" i="14"/>
  <c r="H2452" i="15"/>
  <c r="I2460" i="13"/>
  <c r="J2452" i="15" s="1"/>
  <c r="I1646" i="15"/>
  <c r="F1647" i="14"/>
  <c r="I2407" i="15"/>
  <c r="G2414" i="13"/>
  <c r="I2318" i="15"/>
  <c r="F2319" i="14"/>
  <c r="I2326" i="15"/>
  <c r="F2327" i="14"/>
  <c r="I2333" i="13"/>
  <c r="J2326" i="15" s="1"/>
  <c r="H2472" i="15"/>
  <c r="I2480" i="13"/>
  <c r="J2472" i="15" s="1"/>
  <c r="F1999" i="14"/>
  <c r="I2005" i="13"/>
  <c r="J1998" i="15" s="1"/>
  <c r="B386" i="15"/>
  <c r="B387" i="14"/>
  <c r="E375" i="15"/>
  <c r="G375" i="15" s="1"/>
  <c r="E694" i="15"/>
  <c r="G694" i="15" s="1"/>
  <c r="D686" i="15"/>
  <c r="D687" i="14"/>
  <c r="H693" i="13"/>
  <c r="K693" i="13"/>
  <c r="E852" i="13"/>
  <c r="H852" i="13" s="1"/>
  <c r="D1899" i="5"/>
  <c r="H818" i="15"/>
  <c r="I825" i="13"/>
  <c r="J818" i="15" s="1"/>
  <c r="H339" i="13"/>
  <c r="I339" i="13" s="1"/>
  <c r="B613" i="15"/>
  <c r="B614" i="14"/>
  <c r="E630" i="15"/>
  <c r="G630" i="15" s="1"/>
  <c r="G637" i="13"/>
  <c r="B880" i="15"/>
  <c r="B881" i="14"/>
  <c r="D532" i="8"/>
  <c r="D528" i="8"/>
  <c r="E527" i="8"/>
  <c r="C574" i="8" s="1"/>
  <c r="E1125" i="15"/>
  <c r="G1125" i="15" s="1"/>
  <c r="H2356" i="15"/>
  <c r="I2363" i="13"/>
  <c r="J2356" i="15" s="1"/>
  <c r="K480" i="12"/>
  <c r="B482" i="12" s="1"/>
  <c r="B483" i="12" s="1"/>
  <c r="H2323" i="15"/>
  <c r="I2330" i="13"/>
  <c r="J2323" i="15" s="1"/>
  <c r="E433" i="10"/>
  <c r="G433" i="10" s="1"/>
  <c r="E449" i="5"/>
  <c r="G30" i="4"/>
  <c r="O93" i="4"/>
  <c r="O140" i="4"/>
  <c r="O46" i="4"/>
  <c r="H619" i="13"/>
  <c r="J1721" i="5"/>
  <c r="O45" i="4"/>
  <c r="Q45" i="4" s="1"/>
  <c r="O107" i="4"/>
  <c r="C94" i="4"/>
  <c r="G87" i="4"/>
  <c r="F110" i="4"/>
  <c r="E85" i="10"/>
  <c r="F249" i="5"/>
  <c r="F85" i="10" s="1"/>
  <c r="I1291" i="15"/>
  <c r="F1292" i="14"/>
  <c r="J1981" i="15"/>
  <c r="I1981" i="15"/>
  <c r="G46" i="4"/>
  <c r="F99" i="10"/>
  <c r="G99" i="10" s="1"/>
  <c r="G263" i="5"/>
  <c r="H126" i="10" s="1"/>
  <c r="O128" i="5"/>
  <c r="L403" i="5"/>
  <c r="F466" i="5" s="1"/>
  <c r="F491" i="10" s="1"/>
  <c r="G491" i="10" s="1"/>
  <c r="D418" i="5"/>
  <c r="D419" i="5" s="1"/>
  <c r="H623" i="13"/>
  <c r="I620" i="15"/>
  <c r="F621" i="14"/>
  <c r="H643" i="13"/>
  <c r="I1044" i="15"/>
  <c r="F1045" i="14"/>
  <c r="J488" i="8"/>
  <c r="J485" i="8"/>
  <c r="I11" i="4"/>
  <c r="L11" i="4" s="1"/>
  <c r="L44" i="4"/>
  <c r="D2210" i="15"/>
  <c r="D2211" i="14"/>
  <c r="H2217" i="13"/>
  <c r="G2217" i="13"/>
  <c r="E417" i="10"/>
  <c r="G417" i="10" s="1"/>
  <c r="E433" i="5"/>
  <c r="E598" i="10"/>
  <c r="G598" i="10" s="1"/>
  <c r="E534" i="5"/>
  <c r="L357" i="6"/>
  <c r="H307" i="15"/>
  <c r="I307" i="13"/>
  <c r="J307" i="15" s="1"/>
  <c r="E384" i="15"/>
  <c r="G384" i="15" s="1"/>
  <c r="G391" i="13"/>
  <c r="B510" i="15"/>
  <c r="B511" i="14"/>
  <c r="E473" i="15"/>
  <c r="G473" i="15" s="1"/>
  <c r="G480" i="13"/>
  <c r="B496" i="15"/>
  <c r="B497" i="14"/>
  <c r="E477" i="15"/>
  <c r="G477" i="15" s="1"/>
  <c r="B518" i="15"/>
  <c r="B519" i="14"/>
  <c r="E457" i="15"/>
  <c r="G457" i="15" s="1"/>
  <c r="G464" i="13"/>
  <c r="J448" i="15"/>
  <c r="I448" i="15"/>
  <c r="B487" i="15"/>
  <c r="B488" i="14"/>
  <c r="I571" i="15"/>
  <c r="F572" i="14"/>
  <c r="E2364" i="15"/>
  <c r="G2364" i="15" s="1"/>
  <c r="H2371" i="13"/>
  <c r="E615" i="15"/>
  <c r="G615" i="15" s="1"/>
  <c r="G622" i="13"/>
  <c r="H622" i="13"/>
  <c r="E623" i="15"/>
  <c r="G623" i="15" s="1"/>
  <c r="G630" i="13"/>
  <c r="H630" i="13"/>
  <c r="N1703" i="5"/>
  <c r="C875" i="15"/>
  <c r="C876" i="14"/>
  <c r="D2459" i="13"/>
  <c r="E1902" i="5"/>
  <c r="C1963" i="5"/>
  <c r="E753" i="15"/>
  <c r="G753" i="15" s="1"/>
  <c r="H1247" i="15"/>
  <c r="I1254" i="13"/>
  <c r="J1247" i="15" s="1"/>
  <c r="I1899" i="15"/>
  <c r="F1900" i="14"/>
  <c r="L342" i="6"/>
  <c r="L358" i="6" s="1"/>
  <c r="H173" i="13"/>
  <c r="I2349" i="15"/>
  <c r="G2356" i="13"/>
  <c r="G313" i="5"/>
  <c r="H176" i="10" s="1"/>
  <c r="E540" i="10"/>
  <c r="G540" i="10" s="1"/>
  <c r="E937" i="5"/>
  <c r="I1473" i="15"/>
  <c r="F1474" i="14"/>
  <c r="I1480" i="13"/>
  <c r="J1473" i="15" s="1"/>
  <c r="D313" i="15"/>
  <c r="D314" i="14"/>
  <c r="K313" i="13"/>
  <c r="H313" i="13"/>
  <c r="G313" i="13"/>
  <c r="D373" i="15"/>
  <c r="D374" i="14"/>
  <c r="H380" i="13"/>
  <c r="H373" i="15" s="1"/>
  <c r="K380" i="13"/>
  <c r="H336" i="13"/>
  <c r="K336" i="13"/>
  <c r="E406" i="15"/>
  <c r="G406" i="15" s="1"/>
  <c r="H561" i="15"/>
  <c r="I568" i="13"/>
  <c r="J561" i="15" s="1"/>
  <c r="I580" i="13"/>
  <c r="J573" i="15" s="1"/>
  <c r="D843" i="15"/>
  <c r="D844" i="14"/>
  <c r="H850" i="13"/>
  <c r="K850" i="13"/>
  <c r="B881" i="15"/>
  <c r="B882" i="14"/>
  <c r="D1246" i="15"/>
  <c r="D1247" i="14"/>
  <c r="K1253" i="13"/>
  <c r="H1253" i="13"/>
  <c r="G1253" i="13"/>
  <c r="E1897" i="15"/>
  <c r="G1897" i="15" s="1"/>
  <c r="G1904" i="13"/>
  <c r="H1904" i="13"/>
  <c r="E2397" i="15"/>
  <c r="G2397" i="15" s="1"/>
  <c r="H2404" i="13"/>
  <c r="H1965" i="15"/>
  <c r="I1972" i="13"/>
  <c r="J1965" i="15" s="1"/>
  <c r="G1980" i="13"/>
  <c r="I2168" i="13"/>
  <c r="J2161" i="15" s="1"/>
  <c r="E1117" i="15"/>
  <c r="G1117" i="15" s="1"/>
  <c r="E154" i="15"/>
  <c r="G154" i="15" s="1"/>
  <c r="G154" i="13"/>
  <c r="E147" i="15"/>
  <c r="G147" i="15" s="1"/>
  <c r="G147" i="13"/>
  <c r="I1507" i="15"/>
  <c r="F1508" i="14"/>
  <c r="I1583" i="15"/>
  <c r="F1584" i="14"/>
  <c r="G254" i="5"/>
  <c r="H117" i="10" s="1"/>
  <c r="B370" i="15"/>
  <c r="B371" i="14"/>
  <c r="B390" i="15"/>
  <c r="B391" i="14"/>
  <c r="D447" i="15"/>
  <c r="D448" i="14"/>
  <c r="D2494" i="13"/>
  <c r="H454" i="13"/>
  <c r="K454" i="13"/>
  <c r="D690" i="13"/>
  <c r="J1719" i="5"/>
  <c r="E633" i="15"/>
  <c r="G633" i="15" s="1"/>
  <c r="G640" i="13"/>
  <c r="H640" i="13"/>
  <c r="B642" i="15"/>
  <c r="B643" i="14"/>
  <c r="D674" i="15"/>
  <c r="D675" i="14"/>
  <c r="H681" i="13"/>
  <c r="K681" i="13"/>
  <c r="D690" i="15"/>
  <c r="D691" i="14"/>
  <c r="H697" i="13"/>
  <c r="K697" i="13"/>
  <c r="D837" i="13"/>
  <c r="G837" i="13" s="1"/>
  <c r="C1884" i="5"/>
  <c r="E1836" i="5"/>
  <c r="C1945" i="5"/>
  <c r="D2484" i="15"/>
  <c r="K2492" i="13"/>
  <c r="H2492" i="13"/>
  <c r="B878" i="15"/>
  <c r="B879" i="14"/>
  <c r="C803" i="15"/>
  <c r="C804" i="14"/>
  <c r="D1822" i="13"/>
  <c r="K2141" i="5"/>
  <c r="E2141" i="5"/>
  <c r="E1080" i="15"/>
  <c r="G1080" i="15" s="1"/>
  <c r="E1128" i="15"/>
  <c r="G1128" i="15" s="1"/>
  <c r="I133" i="15"/>
  <c r="F134" i="14"/>
  <c r="I35" i="15"/>
  <c r="F36" i="14"/>
  <c r="I35" i="13"/>
  <c r="J35" i="15" s="1"/>
  <c r="D2344" i="15"/>
  <c r="K2351" i="13"/>
  <c r="I2454" i="15"/>
  <c r="G2462" i="13"/>
  <c r="C1679" i="5"/>
  <c r="C1513" i="5"/>
  <c r="C1599" i="5" s="1"/>
  <c r="L343" i="6"/>
  <c r="B674" i="15"/>
  <c r="B675" i="14"/>
  <c r="H728" i="15"/>
  <c r="I735" i="13"/>
  <c r="J728" i="15" s="1"/>
  <c r="H1248" i="15"/>
  <c r="I1255" i="13"/>
  <c r="J1248" i="15" s="1"/>
  <c r="E1293" i="15"/>
  <c r="G1293" i="15" s="1"/>
  <c r="G1300" i="13"/>
  <c r="H1300" i="13"/>
  <c r="H1041" i="15"/>
  <c r="I1048" i="13"/>
  <c r="J1041" i="15" s="1"/>
  <c r="E1134" i="13"/>
  <c r="E332" i="7"/>
  <c r="E1173" i="13" s="1"/>
  <c r="D156" i="15"/>
  <c r="D157" i="14"/>
  <c r="H156" i="13"/>
  <c r="B2052" i="15"/>
  <c r="B2053" i="14"/>
  <c r="D1144" i="13"/>
  <c r="H1144" i="13" s="1"/>
  <c r="I1137" i="15" s="1"/>
  <c r="F300" i="7"/>
  <c r="E1122" i="15"/>
  <c r="G1122" i="15" s="1"/>
  <c r="B1179" i="13"/>
  <c r="C338" i="7"/>
  <c r="C357" i="7" s="1"/>
  <c r="D357" i="7" s="1"/>
  <c r="E1137" i="15"/>
  <c r="G1137" i="15" s="1"/>
  <c r="B1149" i="15"/>
  <c r="B1150" i="14"/>
  <c r="I2388" i="15"/>
  <c r="G2395" i="13"/>
  <c r="H2410" i="15"/>
  <c r="I2418" i="13"/>
  <c r="J2410" i="15" s="1"/>
  <c r="I2299" i="13"/>
  <c r="J2292" i="15" s="1"/>
  <c r="B875" i="5"/>
  <c r="D875" i="5" s="1"/>
  <c r="B871" i="5"/>
  <c r="D871" i="5" s="1"/>
  <c r="B867" i="5"/>
  <c r="D867" i="5" s="1"/>
  <c r="E1129" i="15"/>
  <c r="G1129" i="15" s="1"/>
  <c r="E1279" i="15"/>
  <c r="G1279" i="15" s="1"/>
  <c r="G1286" i="13"/>
  <c r="I1970" i="13"/>
  <c r="J1963" i="15" s="1"/>
  <c r="H2464" i="15"/>
  <c r="I2472" i="13"/>
  <c r="J2464" i="15" s="1"/>
  <c r="H1012" i="15"/>
  <c r="I1019" i="13"/>
  <c r="J1012" i="15" s="1"/>
  <c r="B1173" i="15"/>
  <c r="B1174" i="14"/>
  <c r="D1478" i="15"/>
  <c r="D1479" i="14"/>
  <c r="H1485" i="13"/>
  <c r="K1485" i="13"/>
  <c r="I2230" i="15"/>
  <c r="F2231" i="14"/>
  <c r="D2253" i="13"/>
  <c r="K372" i="12"/>
  <c r="G2308" i="13"/>
  <c r="I2403" i="15"/>
  <c r="G2410" i="13"/>
  <c r="I2273" i="13"/>
  <c r="J2266" i="15" s="1"/>
  <c r="I2324" i="15"/>
  <c r="F2325" i="14"/>
  <c r="H2331" i="15"/>
  <c r="I2338" i="13"/>
  <c r="J2331" i="15" s="1"/>
  <c r="I2327" i="15"/>
  <c r="F2328" i="14"/>
  <c r="I2334" i="13"/>
  <c r="J2327" i="15" s="1"/>
  <c r="D2260" i="15"/>
  <c r="D2261" i="14"/>
  <c r="K2267" i="13"/>
  <c r="H2267" i="13"/>
  <c r="G2267" i="13"/>
  <c r="I2340" i="13"/>
  <c r="J2333" i="15" s="1"/>
  <c r="B490" i="15"/>
  <c r="B491" i="14"/>
  <c r="B498" i="15"/>
  <c r="B499" i="14"/>
  <c r="B381" i="15"/>
  <c r="B382" i="14"/>
  <c r="D614" i="15"/>
  <c r="D615" i="14"/>
  <c r="K621" i="13"/>
  <c r="H621" i="13"/>
  <c r="B681" i="15"/>
  <c r="B682" i="14"/>
  <c r="E637" i="15"/>
  <c r="G637" i="15" s="1"/>
  <c r="G644" i="13"/>
  <c r="H644" i="13"/>
  <c r="E1175" i="15"/>
  <c r="G1175" i="15" s="1"/>
  <c r="H1182" i="13"/>
  <c r="I1175" i="15" s="1"/>
  <c r="G1182" i="13"/>
  <c r="H1175" i="15" s="1"/>
  <c r="E626" i="15"/>
  <c r="G626" i="15" s="1"/>
  <c r="G633" i="13"/>
  <c r="B1180" i="15"/>
  <c r="B1181" i="14"/>
  <c r="E1190" i="15"/>
  <c r="G1190" i="15" s="1"/>
  <c r="E309" i="8"/>
  <c r="I2441" i="15"/>
  <c r="G2449" i="13"/>
  <c r="Y850" i="5"/>
  <c r="Y1057" i="5" s="1"/>
  <c r="T840" i="5"/>
  <c r="I2271" i="15"/>
  <c r="F2272" i="14"/>
  <c r="D2261" i="15"/>
  <c r="D2262" i="14"/>
  <c r="K2268" i="13"/>
  <c r="H2268" i="13"/>
  <c r="G2268" i="13"/>
  <c r="G29" i="4"/>
  <c r="P17" i="4"/>
  <c r="P93" i="4"/>
  <c r="Q1359" i="5"/>
  <c r="R1359" i="5" s="1"/>
  <c r="Q1358" i="5"/>
  <c r="R1358" i="5" s="1"/>
  <c r="I1074" i="5"/>
  <c r="I1079" i="5" s="1"/>
  <c r="I1073" i="5"/>
  <c r="I1078" i="5" s="1"/>
  <c r="H48" i="4"/>
  <c r="H76" i="4"/>
  <c r="M33" i="4"/>
  <c r="Q33" i="4" s="1"/>
  <c r="H93" i="4"/>
  <c r="L93" i="4" s="1"/>
  <c r="H91" i="4"/>
  <c r="L91" i="4" s="1"/>
  <c r="H92" i="4"/>
  <c r="L92" i="4" s="1"/>
  <c r="C862" i="5"/>
  <c r="S401" i="5"/>
  <c r="S402" i="5" s="1"/>
  <c r="I401" i="5"/>
  <c r="O401" i="5" s="1"/>
  <c r="R401" i="5"/>
  <c r="R402" i="5" s="1"/>
  <c r="F428" i="5" s="1"/>
  <c r="L401" i="5"/>
  <c r="F426" i="5" s="1"/>
  <c r="F411" i="10" s="1"/>
  <c r="G411" i="10" s="1"/>
  <c r="Q401" i="5"/>
  <c r="F401" i="5"/>
  <c r="P401" i="5"/>
  <c r="C495" i="8"/>
  <c r="J490" i="8"/>
  <c r="C492" i="8"/>
  <c r="I865" i="5"/>
  <c r="O865" i="5" s="1"/>
  <c r="R865" i="5"/>
  <c r="L865" i="5"/>
  <c r="F929" i="5" s="1"/>
  <c r="F533" i="10" s="1"/>
  <c r="G533" i="10" s="1"/>
  <c r="Q865" i="5"/>
  <c r="F865" i="5"/>
  <c r="P865" i="5"/>
  <c r="D1577" i="13"/>
  <c r="E457" i="9"/>
  <c r="H631" i="13"/>
  <c r="D1192" i="13"/>
  <c r="F351" i="7"/>
  <c r="F14" i="4"/>
  <c r="T408" i="5"/>
  <c r="E880" i="5"/>
  <c r="E881" i="5" s="1"/>
  <c r="E994" i="5" s="1"/>
  <c r="P868" i="5"/>
  <c r="P871" i="5" s="1"/>
  <c r="I868" i="5"/>
  <c r="O868" i="5" s="1"/>
  <c r="C871" i="5"/>
  <c r="R868" i="5"/>
  <c r="R871" i="5" s="1"/>
  <c r="F974" i="5" s="1"/>
  <c r="F618" i="10" s="1"/>
  <c r="G618" i="10" s="1"/>
  <c r="L868" i="5"/>
  <c r="F970" i="5" s="1"/>
  <c r="F614" i="10" s="1"/>
  <c r="G614" i="10" s="1"/>
  <c r="Q868" i="5"/>
  <c r="Q871" i="5" s="1"/>
  <c r="F868" i="5"/>
  <c r="J89" i="4"/>
  <c r="J95" i="4" s="1"/>
  <c r="S131" i="5"/>
  <c r="F143" i="5"/>
  <c r="F6" i="10" s="1"/>
  <c r="E259" i="5"/>
  <c r="E260" i="5"/>
  <c r="D1965" i="13"/>
  <c r="L404" i="6"/>
  <c r="H2012" i="15"/>
  <c r="I2019" i="13"/>
  <c r="J2012" i="15" s="1"/>
  <c r="E181" i="15"/>
  <c r="G181" i="15" s="1"/>
  <c r="P29" i="4"/>
  <c r="P47" i="4"/>
  <c r="P12" i="4"/>
  <c r="T1075" i="5"/>
  <c r="P89" i="4"/>
  <c r="P43" i="4"/>
  <c r="P97" i="4"/>
  <c r="F1174" i="5"/>
  <c r="F1159" i="5"/>
  <c r="G50" i="10"/>
  <c r="D430" i="15"/>
  <c r="D431" i="14"/>
  <c r="H437" i="13"/>
  <c r="H430" i="15" s="1"/>
  <c r="D474" i="15"/>
  <c r="D475" i="14"/>
  <c r="K481" i="13"/>
  <c r="H481" i="13"/>
  <c r="H474" i="15" s="1"/>
  <c r="G481" i="13"/>
  <c r="L97" i="4"/>
  <c r="D417" i="10"/>
  <c r="D558" i="5"/>
  <c r="D894" i="5"/>
  <c r="D458" i="10" s="1"/>
  <c r="D474" i="5"/>
  <c r="D433" i="10"/>
  <c r="D574" i="5"/>
  <c r="D910" i="5"/>
  <c r="D474" i="10" s="1"/>
  <c r="D490" i="5"/>
  <c r="D412" i="10"/>
  <c r="D553" i="5"/>
  <c r="D469" i="5"/>
  <c r="D889" i="5"/>
  <c r="D453" i="10" s="1"/>
  <c r="D422" i="10"/>
  <c r="D899" i="5"/>
  <c r="D463" i="10" s="1"/>
  <c r="D563" i="5"/>
  <c r="D479" i="5"/>
  <c r="D438" i="10"/>
  <c r="D915" i="5"/>
  <c r="D479" i="10" s="1"/>
  <c r="D579" i="5"/>
  <c r="D495" i="5"/>
  <c r="D415" i="10"/>
  <c r="D472" i="5"/>
  <c r="D892" i="5"/>
  <c r="D456" i="10" s="1"/>
  <c r="D556" i="5"/>
  <c r="D431" i="10"/>
  <c r="D488" i="5"/>
  <c r="D908" i="5"/>
  <c r="D472" i="10" s="1"/>
  <c r="D572" i="5"/>
  <c r="D447" i="10"/>
  <c r="D504" i="5"/>
  <c r="D924" i="5"/>
  <c r="D488" i="10" s="1"/>
  <c r="D588" i="5"/>
  <c r="D424" i="10"/>
  <c r="D901" i="5"/>
  <c r="D465" i="10" s="1"/>
  <c r="D565" i="5"/>
  <c r="D481" i="5"/>
  <c r="D440" i="10"/>
  <c r="D917" i="5"/>
  <c r="D481" i="10" s="1"/>
  <c r="D581" i="5"/>
  <c r="D497" i="5"/>
  <c r="D386" i="15"/>
  <c r="D387" i="14"/>
  <c r="H393" i="13"/>
  <c r="H386" i="15" s="1"/>
  <c r="K393" i="13"/>
  <c r="K1219" i="5"/>
  <c r="AI28" i="5"/>
  <c r="AI29" i="5"/>
  <c r="G264" i="5"/>
  <c r="H127" i="10" s="1"/>
  <c r="E663" i="10"/>
  <c r="G663" i="10" s="1"/>
  <c r="E559" i="5"/>
  <c r="E263" i="10"/>
  <c r="F689" i="5"/>
  <c r="G776" i="5"/>
  <c r="H350" i="10" s="1"/>
  <c r="L350" i="12"/>
  <c r="E470" i="15"/>
  <c r="G470" i="15" s="1"/>
  <c r="G477" i="13"/>
  <c r="H477" i="13"/>
  <c r="H470" i="15" s="1"/>
  <c r="B511" i="15"/>
  <c r="B512" i="14"/>
  <c r="E514" i="15"/>
  <c r="G514" i="15" s="1"/>
  <c r="E343" i="15"/>
  <c r="G343" i="15" s="1"/>
  <c r="D396" i="15"/>
  <c r="D397" i="14"/>
  <c r="H403" i="13"/>
  <c r="H396" i="15" s="1"/>
  <c r="K403" i="13"/>
  <c r="G403" i="13"/>
  <c r="J531" i="15"/>
  <c r="I531" i="15"/>
  <c r="I341" i="13"/>
  <c r="D589" i="15"/>
  <c r="D590" i="14"/>
  <c r="H596" i="13"/>
  <c r="G596" i="13"/>
  <c r="I569" i="15"/>
  <c r="F570" i="14"/>
  <c r="I577" i="15"/>
  <c r="F578" i="14"/>
  <c r="E582" i="15"/>
  <c r="G582" i="15" s="1"/>
  <c r="G589" i="13"/>
  <c r="E607" i="15"/>
  <c r="G607" i="15" s="1"/>
  <c r="G614" i="13"/>
  <c r="H614" i="13"/>
  <c r="D680" i="15"/>
  <c r="D681" i="14"/>
  <c r="H687" i="13"/>
  <c r="K687" i="13"/>
  <c r="E732" i="15"/>
  <c r="G732" i="15" s="1"/>
  <c r="G739" i="13"/>
  <c r="H739" i="13"/>
  <c r="E853" i="15"/>
  <c r="G853" i="15" s="1"/>
  <c r="G860" i="13"/>
  <c r="H860" i="13"/>
  <c r="D889" i="13"/>
  <c r="C1960" i="5"/>
  <c r="E1899" i="5"/>
  <c r="D2377" i="15"/>
  <c r="K2384" i="13"/>
  <c r="H2384" i="13"/>
  <c r="C796" i="15"/>
  <c r="C797" i="14"/>
  <c r="E1257" i="15"/>
  <c r="G1257" i="15" s="1"/>
  <c r="G1264" i="13"/>
  <c r="H1264" i="13"/>
  <c r="E2399" i="15"/>
  <c r="G2399" i="15" s="1"/>
  <c r="H2406" i="13"/>
  <c r="E1171" i="15"/>
  <c r="G1171" i="15" s="1"/>
  <c r="I1418" i="13"/>
  <c r="J1411" i="15" s="1"/>
  <c r="H1573" i="15"/>
  <c r="I1580" i="13"/>
  <c r="J1573" i="15" s="1"/>
  <c r="G638" i="5"/>
  <c r="H212" i="10" s="1"/>
  <c r="G729" i="5"/>
  <c r="H303" i="10" s="1"/>
  <c r="E721" i="10"/>
  <c r="G721" i="10" s="1"/>
  <c r="E1038" i="5"/>
  <c r="E673" i="15"/>
  <c r="G673" i="15" s="1"/>
  <c r="G680" i="13"/>
  <c r="B838" i="15"/>
  <c r="B839" i="14"/>
  <c r="D840" i="15"/>
  <c r="D841" i="14"/>
  <c r="H847" i="13"/>
  <c r="K847" i="13"/>
  <c r="E844" i="15"/>
  <c r="G844" i="15" s="1"/>
  <c r="G851" i="13"/>
  <c r="D1280" i="13"/>
  <c r="L2043" i="5"/>
  <c r="G1273" i="13"/>
  <c r="H1823" i="15"/>
  <c r="I1830" i="13"/>
  <c r="J1823" i="15" s="1"/>
  <c r="D1325" i="15"/>
  <c r="D1326" i="14"/>
  <c r="H1332" i="13"/>
  <c r="G1332" i="13"/>
  <c r="B1177" i="13"/>
  <c r="C336" i="7"/>
  <c r="C355" i="7" s="1"/>
  <c r="D355" i="7" s="1"/>
  <c r="B1139" i="15"/>
  <c r="B1140" i="14"/>
  <c r="H143" i="13"/>
  <c r="D109" i="15"/>
  <c r="D110" i="14"/>
  <c r="H109" i="13"/>
  <c r="K109" i="13"/>
  <c r="G109" i="13"/>
  <c r="D2341" i="15"/>
  <c r="K2348" i="13"/>
  <c r="B371" i="15"/>
  <c r="B372" i="14"/>
  <c r="E456" i="15"/>
  <c r="G456" i="15" s="1"/>
  <c r="G463" i="13"/>
  <c r="I463" i="13" s="1"/>
  <c r="E378" i="15"/>
  <c r="G378" i="15" s="1"/>
  <c r="B463" i="15"/>
  <c r="B464" i="14"/>
  <c r="I570" i="15"/>
  <c r="F571" i="14"/>
  <c r="B669" i="15"/>
  <c r="B670" i="14"/>
  <c r="E621" i="15"/>
  <c r="G621" i="15" s="1"/>
  <c r="G628" i="13"/>
  <c r="H628" i="13"/>
  <c r="D694" i="13"/>
  <c r="G694" i="13" s="1"/>
  <c r="J1723" i="5"/>
  <c r="E696" i="15"/>
  <c r="G696" i="15" s="1"/>
  <c r="E842" i="15"/>
  <c r="G842" i="15" s="1"/>
  <c r="D2485" i="15"/>
  <c r="K2493" i="13"/>
  <c r="H2493" i="13"/>
  <c r="D1835" i="13"/>
  <c r="C2156" i="5"/>
  <c r="E2154" i="5"/>
  <c r="H1900" i="15"/>
  <c r="I1907" i="13"/>
  <c r="J1900" i="15" s="1"/>
  <c r="I1294" i="13"/>
  <c r="J1287" i="15" s="1"/>
  <c r="B987" i="15"/>
  <c r="B988" i="14"/>
  <c r="D2343" i="15"/>
  <c r="K2350" i="13"/>
  <c r="I2443" i="15"/>
  <c r="G2451" i="13"/>
  <c r="B625" i="15"/>
  <c r="B626" i="14"/>
  <c r="B633" i="15"/>
  <c r="B634" i="14"/>
  <c r="E835" i="15"/>
  <c r="G835" i="15" s="1"/>
  <c r="E839" i="15"/>
  <c r="G839" i="15" s="1"/>
  <c r="G846" i="13"/>
  <c r="B845" i="15"/>
  <c r="B846" i="14"/>
  <c r="C2307" i="5"/>
  <c r="K2286" i="5"/>
  <c r="I1302" i="13"/>
  <c r="J1295" i="15" s="1"/>
  <c r="C689" i="6"/>
  <c r="I1041" i="15"/>
  <c r="F1042" i="14"/>
  <c r="E1084" i="15"/>
  <c r="G1084" i="15" s="1"/>
  <c r="D1102" i="15"/>
  <c r="D1103" i="14"/>
  <c r="K1109" i="13"/>
  <c r="G1109" i="13"/>
  <c r="H1102" i="15" s="1"/>
  <c r="H1109" i="13"/>
  <c r="I1102" i="15" s="1"/>
  <c r="E233" i="15"/>
  <c r="G233" i="15" s="1"/>
  <c r="E1157" i="15"/>
  <c r="G1157" i="15" s="1"/>
  <c r="B1125" i="15"/>
  <c r="B1126" i="14"/>
  <c r="E1139" i="15"/>
  <c r="G1139" i="15" s="1"/>
  <c r="H1146" i="13"/>
  <c r="I1139" i="15" s="1"/>
  <c r="G1146" i="13"/>
  <c r="H1139" i="15" s="1"/>
  <c r="E1149" i="15"/>
  <c r="G1149" i="15" s="1"/>
  <c r="G1156" i="13"/>
  <c r="H1149" i="15" s="1"/>
  <c r="H1156" i="13"/>
  <c r="I1149" i="15" s="1"/>
  <c r="D171" i="13"/>
  <c r="L306" i="8"/>
  <c r="T130" i="5"/>
  <c r="AD374" i="5"/>
  <c r="O398" i="5"/>
  <c r="T379" i="5"/>
  <c r="AA379" i="5"/>
  <c r="B1132" i="15"/>
  <c r="B1133" i="14"/>
  <c r="B1148" i="15"/>
  <c r="B1149" i="14"/>
  <c r="H164" i="15"/>
  <c r="I164" i="13"/>
  <c r="J164" i="15" s="1"/>
  <c r="H1448" i="15"/>
  <c r="I1455" i="13"/>
  <c r="J1448" i="15" s="1"/>
  <c r="I2332" i="15"/>
  <c r="F2333" i="14"/>
  <c r="D2302" i="15"/>
  <c r="D2303" i="14"/>
  <c r="H2309" i="13"/>
  <c r="K2309" i="13"/>
  <c r="G2309" i="13"/>
  <c r="D666" i="15"/>
  <c r="D667" i="14"/>
  <c r="H673" i="13"/>
  <c r="K673" i="13"/>
  <c r="D715" i="15"/>
  <c r="D716" i="14"/>
  <c r="H722" i="13"/>
  <c r="K722" i="13"/>
  <c r="G722" i="13"/>
  <c r="D838" i="15"/>
  <c r="D839" i="14"/>
  <c r="H845" i="13"/>
  <c r="K845" i="13"/>
  <c r="E833" i="15"/>
  <c r="G833" i="15" s="1"/>
  <c r="G840" i="13"/>
  <c r="E1159" i="15"/>
  <c r="G1159" i="15" s="1"/>
  <c r="I2471" i="15"/>
  <c r="G2479" i="13"/>
  <c r="E691" i="15"/>
  <c r="G691" i="15" s="1"/>
  <c r="E875" i="13"/>
  <c r="D1946" i="5"/>
  <c r="H2482" i="15"/>
  <c r="I2490" i="13"/>
  <c r="J2482" i="15" s="1"/>
  <c r="H1850" i="13"/>
  <c r="I1850" i="13" s="1"/>
  <c r="J1843" i="15" s="1"/>
  <c r="E1085" i="15"/>
  <c r="G1085" i="15" s="1"/>
  <c r="I1307" i="13"/>
  <c r="J1300" i="15" s="1"/>
  <c r="D1191" i="13"/>
  <c r="F350" i="7"/>
  <c r="D1948" i="13"/>
  <c r="E409" i="6"/>
  <c r="D827" i="15"/>
  <c r="D828" i="14"/>
  <c r="K834" i="13"/>
  <c r="H834" i="13"/>
  <c r="L353" i="12"/>
  <c r="G591" i="5"/>
  <c r="L341" i="12"/>
  <c r="D1113" i="15"/>
  <c r="D1114" i="14"/>
  <c r="K1120" i="13"/>
  <c r="D2307" i="15"/>
  <c r="D2308" i="14"/>
  <c r="H2314" i="13"/>
  <c r="G2314" i="13"/>
  <c r="D729" i="13"/>
  <c r="E1795" i="5"/>
  <c r="D1179" i="15"/>
  <c r="D1180" i="14"/>
  <c r="K1186" i="13"/>
  <c r="G2336" i="13"/>
  <c r="I436" i="13" l="1"/>
  <c r="V381" i="5"/>
  <c r="O387" i="5"/>
  <c r="O381" i="5"/>
  <c r="V376" i="5"/>
  <c r="AA376" i="5"/>
  <c r="O380" i="5"/>
  <c r="D429" i="14"/>
  <c r="G354" i="5"/>
  <c r="O386" i="5"/>
  <c r="V380" i="5"/>
  <c r="V386" i="5"/>
  <c r="G360" i="5"/>
  <c r="G7" i="10"/>
  <c r="F393" i="5"/>
  <c r="V382" i="5"/>
  <c r="F390" i="5"/>
  <c r="V378" i="5"/>
  <c r="AA598" i="5"/>
  <c r="F388" i="5"/>
  <c r="F610" i="5" s="1"/>
  <c r="C1545" i="5"/>
  <c r="D557" i="13" s="1"/>
  <c r="O125" i="5"/>
  <c r="G435" i="13"/>
  <c r="I435" i="13" s="1"/>
  <c r="F637" i="5"/>
  <c r="G637" i="5" s="1"/>
  <c r="H435" i="13"/>
  <c r="H428" i="15" s="1"/>
  <c r="G655" i="5"/>
  <c r="H229" i="10" s="1"/>
  <c r="G229" i="10"/>
  <c r="G216" i="5"/>
  <c r="H79" i="10" s="1"/>
  <c r="G215" i="5"/>
  <c r="H78" i="10" s="1"/>
  <c r="G84" i="10"/>
  <c r="Z52" i="5"/>
  <c r="Z54" i="5" s="1"/>
  <c r="C627" i="5"/>
  <c r="G52" i="10"/>
  <c r="I519" i="13"/>
  <c r="I512" i="15" s="1"/>
  <c r="J1985" i="15"/>
  <c r="I1985" i="15"/>
  <c r="E149" i="5"/>
  <c r="G149" i="5" s="1"/>
  <c r="H12" i="10" s="1"/>
  <c r="G1144" i="13"/>
  <c r="H1137" i="15" s="1"/>
  <c r="I480" i="13"/>
  <c r="J473" i="15" s="1"/>
  <c r="I398" i="13"/>
  <c r="J391" i="15" s="1"/>
  <c r="C1783" i="5"/>
  <c r="I518" i="13"/>
  <c r="J511" i="15" s="1"/>
  <c r="I397" i="13"/>
  <c r="J390" i="15" s="1"/>
  <c r="J1944" i="5"/>
  <c r="D824" i="13" s="1"/>
  <c r="D818" i="14" s="1"/>
  <c r="K396" i="13"/>
  <c r="I1197" i="5"/>
  <c r="H396" i="13"/>
  <c r="H389" i="15" s="1"/>
  <c r="J1947" i="5"/>
  <c r="D827" i="13" s="1"/>
  <c r="D820" i="15" s="1"/>
  <c r="I482" i="13"/>
  <c r="J475" i="15" s="1"/>
  <c r="I479" i="13"/>
  <c r="J472" i="15" s="1"/>
  <c r="C1695" i="5"/>
  <c r="G396" i="13"/>
  <c r="I254" i="13"/>
  <c r="J254" i="15" s="1"/>
  <c r="T834" i="5"/>
  <c r="I212" i="13"/>
  <c r="J212" i="15" s="1"/>
  <c r="D1837" i="15"/>
  <c r="G1844" i="13"/>
  <c r="D1838" i="14"/>
  <c r="K1844" i="13"/>
  <c r="D1867" i="13"/>
  <c r="O2143" i="5"/>
  <c r="D1849" i="13"/>
  <c r="E2168" i="5"/>
  <c r="I485" i="13"/>
  <c r="J478" i="15" s="1"/>
  <c r="I477" i="13"/>
  <c r="J470" i="15" s="1"/>
  <c r="I529" i="13"/>
  <c r="J599" i="8"/>
  <c r="C575" i="8"/>
  <c r="C605" i="8" s="1"/>
  <c r="C571" i="8"/>
  <c r="C600" i="8" s="1"/>
  <c r="C573" i="8"/>
  <c r="C601" i="8" s="1"/>
  <c r="C569" i="8"/>
  <c r="C604" i="8"/>
  <c r="C1988" i="5"/>
  <c r="J1981" i="5"/>
  <c r="H830" i="15"/>
  <c r="I845" i="15"/>
  <c r="F846" i="14"/>
  <c r="C567" i="9"/>
  <c r="C1280" i="5"/>
  <c r="C570" i="9" s="1"/>
  <c r="R33" i="4"/>
  <c r="D468" i="13"/>
  <c r="L1486" i="5"/>
  <c r="BD1471" i="5" s="1"/>
  <c r="BB1471" i="5"/>
  <c r="D385" i="13" s="1"/>
  <c r="N101" i="4"/>
  <c r="N102" i="4" s="1"/>
  <c r="O101" i="4"/>
  <c r="O102" i="4" s="1"/>
  <c r="C1284" i="5"/>
  <c r="C582" i="9" s="1"/>
  <c r="C1276" i="5"/>
  <c r="AK73" i="5"/>
  <c r="R92" i="4"/>
  <c r="F600" i="5" s="1"/>
  <c r="E12" i="10"/>
  <c r="G12" i="10" s="1"/>
  <c r="G150" i="5"/>
  <c r="H13" i="10" s="1"/>
  <c r="E222" i="10"/>
  <c r="G222" i="10" s="1"/>
  <c r="G648" i="5"/>
  <c r="H222" i="10" s="1"/>
  <c r="H675" i="15"/>
  <c r="H687" i="15"/>
  <c r="F413" i="10"/>
  <c r="G413" i="10" s="1"/>
  <c r="F470" i="5"/>
  <c r="F495" i="10" s="1"/>
  <c r="G495" i="10" s="1"/>
  <c r="I666" i="15"/>
  <c r="F667" i="14"/>
  <c r="O414" i="5"/>
  <c r="O402" i="5"/>
  <c r="T402" i="5" s="1"/>
  <c r="O406" i="5"/>
  <c r="O410" i="5"/>
  <c r="D2164" i="13"/>
  <c r="E689" i="6"/>
  <c r="D1837" i="13"/>
  <c r="E2156" i="5"/>
  <c r="D1196" i="13"/>
  <c r="F355" i="7"/>
  <c r="H732" i="15"/>
  <c r="I739" i="13"/>
  <c r="J732" i="15" s="1"/>
  <c r="I589" i="15"/>
  <c r="F590" i="14"/>
  <c r="I2307" i="15"/>
  <c r="F2308" i="14"/>
  <c r="D1184" i="15"/>
  <c r="D1185" i="14"/>
  <c r="K1191" i="13"/>
  <c r="E801" i="13"/>
  <c r="D1992" i="5"/>
  <c r="E764" i="13" s="1"/>
  <c r="H2471" i="15"/>
  <c r="I2479" i="13"/>
  <c r="J2471" i="15" s="1"/>
  <c r="I838" i="15"/>
  <c r="F839" i="14"/>
  <c r="H2302" i="15"/>
  <c r="I2309" i="13"/>
  <c r="J2302" i="15" s="1"/>
  <c r="D1905" i="13"/>
  <c r="E2307" i="5"/>
  <c r="H696" i="15"/>
  <c r="I621" i="15"/>
  <c r="F622" i="14"/>
  <c r="I1325" i="15"/>
  <c r="F1326" i="14"/>
  <c r="H844" i="15"/>
  <c r="I851" i="13"/>
  <c r="J844" i="15" s="1"/>
  <c r="H673" i="15"/>
  <c r="I680" i="13"/>
  <c r="J673" i="15" s="1"/>
  <c r="I2399" i="15"/>
  <c r="G2406" i="13"/>
  <c r="D882" i="15"/>
  <c r="D883" i="14"/>
  <c r="K889" i="13"/>
  <c r="I732" i="15"/>
  <c r="F733" i="14"/>
  <c r="I680" i="15"/>
  <c r="F681" i="14"/>
  <c r="H607" i="15"/>
  <c r="I614" i="13"/>
  <c r="J607" i="15" s="1"/>
  <c r="H589" i="15"/>
  <c r="I596" i="13"/>
  <c r="J589" i="15" s="1"/>
  <c r="E664" i="10"/>
  <c r="G664" i="10" s="1"/>
  <c r="E560" i="5"/>
  <c r="D529" i="10"/>
  <c r="D966" i="5"/>
  <c r="D570" i="10" s="1"/>
  <c r="D546" i="5"/>
  <c r="D513" i="10"/>
  <c r="D950" i="5"/>
  <c r="D554" i="10" s="1"/>
  <c r="D530" i="5"/>
  <c r="D497" i="10"/>
  <c r="D934" i="5"/>
  <c r="D538" i="10" s="1"/>
  <c r="D514" i="5"/>
  <c r="D658" i="10"/>
  <c r="D1015" i="5"/>
  <c r="D699" i="10" s="1"/>
  <c r="D679" i="10"/>
  <c r="D1036" i="5"/>
  <c r="D720" i="10" s="1"/>
  <c r="D663" i="10"/>
  <c r="D1020" i="5"/>
  <c r="D704" i="10" s="1"/>
  <c r="X9" i="5"/>
  <c r="F1126" i="5"/>
  <c r="C136" i="4" s="1"/>
  <c r="P95" i="4"/>
  <c r="P94" i="4"/>
  <c r="F615" i="5"/>
  <c r="F614" i="5"/>
  <c r="F973" i="5"/>
  <c r="F617" i="10" s="1"/>
  <c r="G617" i="10" s="1"/>
  <c r="D272" i="13"/>
  <c r="E492" i="8"/>
  <c r="H202" i="4"/>
  <c r="H201" i="4"/>
  <c r="H200" i="4"/>
  <c r="L200" i="4" s="1"/>
  <c r="H199" i="4"/>
  <c r="H77" i="4"/>
  <c r="L76" i="4"/>
  <c r="R29" i="4"/>
  <c r="I44" i="5" s="1"/>
  <c r="I637" i="15"/>
  <c r="F638" i="14"/>
  <c r="H2260" i="15"/>
  <c r="I2267" i="13"/>
  <c r="J2260" i="15" s="1"/>
  <c r="D1137" i="15"/>
  <c r="D1138" i="14"/>
  <c r="K1144" i="13"/>
  <c r="D1815" i="15"/>
  <c r="D1816" i="14"/>
  <c r="K1822" i="13"/>
  <c r="H1822" i="13"/>
  <c r="G1822" i="13"/>
  <c r="D800" i="13"/>
  <c r="E1945" i="5"/>
  <c r="C1991" i="5"/>
  <c r="H447" i="15"/>
  <c r="H457" i="13"/>
  <c r="I2397" i="15"/>
  <c r="G2404" i="13"/>
  <c r="I313" i="15"/>
  <c r="F314" i="14"/>
  <c r="I173" i="15"/>
  <c r="F174" i="14"/>
  <c r="D2457" i="13"/>
  <c r="E1963" i="5"/>
  <c r="C2009" i="5"/>
  <c r="I2364" i="15"/>
  <c r="G2371" i="13"/>
  <c r="D293" i="13"/>
  <c r="L488" i="8"/>
  <c r="G249" i="5"/>
  <c r="H112" i="10" s="1"/>
  <c r="R87" i="4"/>
  <c r="F601" i="5" s="1"/>
  <c r="I66" i="15"/>
  <c r="F67" i="14"/>
  <c r="D157" i="15"/>
  <c r="D158" i="14"/>
  <c r="H157" i="13"/>
  <c r="G157" i="13"/>
  <c r="I2415" i="15"/>
  <c r="G2423" i="13"/>
  <c r="D702" i="13"/>
  <c r="G702" i="13" s="1"/>
  <c r="J1733" i="5"/>
  <c r="D1138" i="15"/>
  <c r="D1139" i="14"/>
  <c r="K1145" i="13"/>
  <c r="H1145" i="13"/>
  <c r="I1138" i="15" s="1"/>
  <c r="G1145" i="13"/>
  <c r="H1138" i="15" s="1"/>
  <c r="I383" i="13"/>
  <c r="H2476" i="15"/>
  <c r="I2484" i="13"/>
  <c r="J2476" i="15" s="1"/>
  <c r="D2175" i="13"/>
  <c r="E700" i="6"/>
  <c r="E1170" i="15"/>
  <c r="G1170" i="15" s="1"/>
  <c r="D431" i="15"/>
  <c r="D432" i="14"/>
  <c r="H438" i="13"/>
  <c r="H431" i="15" s="1"/>
  <c r="D341" i="15"/>
  <c r="D342" i="14"/>
  <c r="K348" i="13"/>
  <c r="H348" i="13"/>
  <c r="G348" i="13"/>
  <c r="D881" i="15"/>
  <c r="D882" i="14"/>
  <c r="K888" i="13"/>
  <c r="H888" i="13"/>
  <c r="E477" i="10"/>
  <c r="G477" i="10" s="1"/>
  <c r="E914" i="5"/>
  <c r="E92" i="10"/>
  <c r="G92" i="10" s="1"/>
  <c r="G256" i="5"/>
  <c r="H119" i="10" s="1"/>
  <c r="D1012" i="13"/>
  <c r="F151" i="7"/>
  <c r="D1001" i="13"/>
  <c r="F140" i="7"/>
  <c r="D951" i="13"/>
  <c r="F88" i="7"/>
  <c r="R45" i="4"/>
  <c r="C32" i="5" s="1"/>
  <c r="G148" i="4"/>
  <c r="I1043" i="15"/>
  <c r="F1044" i="14"/>
  <c r="D1554" i="13"/>
  <c r="E434" i="9"/>
  <c r="D1555" i="13"/>
  <c r="E435" i="9"/>
  <c r="I2350" i="15"/>
  <c r="G2357" i="13"/>
  <c r="H632" i="15"/>
  <c r="I639" i="13"/>
  <c r="J632" i="15" s="1"/>
  <c r="H340" i="15"/>
  <c r="I347" i="13"/>
  <c r="J340" i="15" s="1"/>
  <c r="C758" i="15"/>
  <c r="C759" i="14"/>
  <c r="D2380" i="15"/>
  <c r="K2387" i="13"/>
  <c r="H2387" i="13"/>
  <c r="C760" i="15"/>
  <c r="C761" i="14"/>
  <c r="I635" i="15"/>
  <c r="F636" i="14"/>
  <c r="H611" i="15"/>
  <c r="I618" i="13"/>
  <c r="J611" i="15" s="1"/>
  <c r="D1097" i="15"/>
  <c r="D1098" i="14"/>
  <c r="K1104" i="13"/>
  <c r="H1104" i="13"/>
  <c r="I1097" i="15" s="1"/>
  <c r="G1104" i="13"/>
  <c r="H1097" i="15" s="1"/>
  <c r="H1289" i="15"/>
  <c r="I1296" i="13"/>
  <c r="J1289" i="15" s="1"/>
  <c r="E2004" i="15"/>
  <c r="G2004" i="15" s="1"/>
  <c r="G2011" i="13"/>
  <c r="H2011" i="13"/>
  <c r="C1820" i="5"/>
  <c r="C1920" i="5"/>
  <c r="C1868" i="5"/>
  <c r="C1976" i="5" s="1"/>
  <c r="H616" i="15"/>
  <c r="I623" i="13"/>
  <c r="J616" i="15" s="1"/>
  <c r="I308" i="15"/>
  <c r="F309" i="14"/>
  <c r="E706" i="10"/>
  <c r="G706" i="10" s="1"/>
  <c r="E1023" i="5"/>
  <c r="C761" i="15"/>
  <c r="C762" i="14"/>
  <c r="H619" i="15"/>
  <c r="I626" i="13"/>
  <c r="J619" i="15" s="1"/>
  <c r="I628" i="15"/>
  <c r="F629" i="14"/>
  <c r="H1359" i="15"/>
  <c r="I1366" i="13"/>
  <c r="J1359" i="15" s="1"/>
  <c r="H2483" i="15"/>
  <c r="I2491" i="13"/>
  <c r="J2483" i="15" s="1"/>
  <c r="I280" i="15"/>
  <c r="F281" i="14"/>
  <c r="C772" i="15"/>
  <c r="C773" i="14"/>
  <c r="B766" i="15"/>
  <c r="B767" i="14"/>
  <c r="D658" i="13"/>
  <c r="S1616" i="5"/>
  <c r="D1185" i="13"/>
  <c r="F344" i="7"/>
  <c r="D524" i="13"/>
  <c r="AR1444" i="5"/>
  <c r="D441" i="13" s="1"/>
  <c r="F224" i="10"/>
  <c r="G224" i="10" s="1"/>
  <c r="G650" i="5"/>
  <c r="H224" i="10" s="1"/>
  <c r="D995" i="15"/>
  <c r="D996" i="14"/>
  <c r="K1002" i="13"/>
  <c r="G1002" i="13"/>
  <c r="H1002" i="13"/>
  <c r="D941" i="15"/>
  <c r="D942" i="14"/>
  <c r="K948" i="13"/>
  <c r="H948" i="13"/>
  <c r="G948" i="13"/>
  <c r="I121" i="15"/>
  <c r="F122" i="14"/>
  <c r="I2204" i="15"/>
  <c r="F2205" i="14"/>
  <c r="H1301" i="15"/>
  <c r="I1308" i="13"/>
  <c r="J1301" i="15" s="1"/>
  <c r="I434" i="13"/>
  <c r="F833" i="10"/>
  <c r="F864" i="10" s="1"/>
  <c r="D670" i="13"/>
  <c r="G1699" i="5"/>
  <c r="H833" i="10" s="1"/>
  <c r="G833" i="10" s="1"/>
  <c r="G864" i="10" s="1"/>
  <c r="H864" i="10" s="1"/>
  <c r="J1699" i="5"/>
  <c r="D1543" i="13"/>
  <c r="L359" i="9"/>
  <c r="E202" i="10"/>
  <c r="G202" i="10" s="1"/>
  <c r="G366" i="5"/>
  <c r="I665" i="15"/>
  <c r="F666" i="14"/>
  <c r="G200" i="4"/>
  <c r="H829" i="15"/>
  <c r="I836" i="13"/>
  <c r="J829" i="15" s="1"/>
  <c r="D1717" i="13"/>
  <c r="E246" i="4"/>
  <c r="C251" i="4"/>
  <c r="C248" i="4"/>
  <c r="K196" i="4"/>
  <c r="K79" i="4"/>
  <c r="D1820" i="15"/>
  <c r="D1821" i="14"/>
  <c r="K1827" i="13"/>
  <c r="H1827" i="13"/>
  <c r="G1827" i="13"/>
  <c r="H634" i="15"/>
  <c r="I641" i="13"/>
  <c r="J634" i="15" s="1"/>
  <c r="H2338" i="15"/>
  <c r="I2345" i="13"/>
  <c r="J2338" i="15" s="1"/>
  <c r="G2346" i="13"/>
  <c r="D1144" i="15"/>
  <c r="D1145" i="14"/>
  <c r="K1151" i="13"/>
  <c r="H2414" i="15"/>
  <c r="I2422" i="13"/>
  <c r="J2414" i="15" s="1"/>
  <c r="B815" i="13"/>
  <c r="A2006" i="5"/>
  <c r="B778" i="13" s="1"/>
  <c r="E2383" i="13"/>
  <c r="E2376" i="15" s="1"/>
  <c r="G2376" i="15" s="1"/>
  <c r="D2011" i="5"/>
  <c r="E2381" i="13" s="1"/>
  <c r="E2374" i="15" s="1"/>
  <c r="G2374" i="15" s="1"/>
  <c r="E876" i="15"/>
  <c r="G876" i="15" s="1"/>
  <c r="G883" i="13"/>
  <c r="H883" i="13"/>
  <c r="H2343" i="15"/>
  <c r="I2350" i="13"/>
  <c r="J2343" i="15" s="1"/>
  <c r="H2465" i="15"/>
  <c r="I2473" i="13"/>
  <c r="J2465" i="15" s="1"/>
  <c r="I1902" i="15"/>
  <c r="F1903" i="14"/>
  <c r="D1849" i="15"/>
  <c r="D1850" i="14"/>
  <c r="K1856" i="13"/>
  <c r="H1856" i="13"/>
  <c r="G1856" i="13"/>
  <c r="E879" i="15"/>
  <c r="G879" i="15" s="1"/>
  <c r="H613" i="15"/>
  <c r="I620" i="13"/>
  <c r="J613" i="15" s="1"/>
  <c r="I336" i="13"/>
  <c r="E356" i="10"/>
  <c r="G356" i="10" s="1"/>
  <c r="E783" i="5"/>
  <c r="G782" i="5"/>
  <c r="H356" i="10" s="1"/>
  <c r="H2341" i="15"/>
  <c r="I2348" i="13"/>
  <c r="J2341" i="15" s="1"/>
  <c r="I1308" i="15"/>
  <c r="F1309" i="14"/>
  <c r="H1262" i="15"/>
  <c r="I1269" i="13"/>
  <c r="J1262" i="15" s="1"/>
  <c r="B808" i="13"/>
  <c r="A1999" i="5"/>
  <c r="B771" i="13" s="1"/>
  <c r="H315" i="15"/>
  <c r="I315" i="13"/>
  <c r="J315" i="15" s="1"/>
  <c r="E887" i="13"/>
  <c r="D1958" i="5"/>
  <c r="E642" i="15"/>
  <c r="G642" i="15" s="1"/>
  <c r="G649" i="13"/>
  <c r="E414" i="15"/>
  <c r="G414" i="15" s="1"/>
  <c r="I439" i="15"/>
  <c r="J439" i="15"/>
  <c r="E230" i="10"/>
  <c r="E657" i="5"/>
  <c r="F656" i="5"/>
  <c r="F230" i="10" s="1"/>
  <c r="E691" i="5"/>
  <c r="H2152" i="15"/>
  <c r="I2159" i="13"/>
  <c r="J2152" i="15" s="1"/>
  <c r="D1824" i="15"/>
  <c r="D1825" i="14"/>
  <c r="K1831" i="13"/>
  <c r="H1831" i="13"/>
  <c r="G1831" i="13"/>
  <c r="D518" i="10"/>
  <c r="D955" i="5"/>
  <c r="D559" i="10" s="1"/>
  <c r="D535" i="5"/>
  <c r="D502" i="10"/>
  <c r="D939" i="5"/>
  <c r="D543" i="10" s="1"/>
  <c r="D519" i="5"/>
  <c r="D689" i="10"/>
  <c r="D1046" i="5"/>
  <c r="D730" i="10" s="1"/>
  <c r="D673" i="10"/>
  <c r="D1030" i="5"/>
  <c r="D714" i="10" s="1"/>
  <c r="D491" i="10"/>
  <c r="D928" i="5"/>
  <c r="D532" i="10" s="1"/>
  <c r="D508" i="5"/>
  <c r="D516" i="10"/>
  <c r="D533" i="5"/>
  <c r="D953" i="5"/>
  <c r="D557" i="10" s="1"/>
  <c r="D500" i="10"/>
  <c r="D517" i="5"/>
  <c r="D937" i="5"/>
  <c r="D541" i="10" s="1"/>
  <c r="D527" i="10"/>
  <c r="D544" i="5"/>
  <c r="D964" i="5"/>
  <c r="D568" i="10" s="1"/>
  <c r="D511" i="10"/>
  <c r="D528" i="5"/>
  <c r="D948" i="5"/>
  <c r="D552" i="10" s="1"/>
  <c r="D493" i="10"/>
  <c r="D930" i="5"/>
  <c r="D534" i="10" s="1"/>
  <c r="D510" i="5"/>
  <c r="J94" i="4"/>
  <c r="C399" i="6"/>
  <c r="C400" i="6"/>
  <c r="I1942" i="15"/>
  <c r="F1943" i="14"/>
  <c r="H679" i="15"/>
  <c r="I686" i="13"/>
  <c r="J679" i="15" s="1"/>
  <c r="H2310" i="15"/>
  <c r="I2317" i="13"/>
  <c r="J2310" i="15" s="1"/>
  <c r="D2229" i="15"/>
  <c r="D2230" i="14"/>
  <c r="H2236" i="13"/>
  <c r="K2236" i="13"/>
  <c r="G2236" i="13"/>
  <c r="E172" i="15"/>
  <c r="G172" i="15" s="1"/>
  <c r="G172" i="13"/>
  <c r="H172" i="13"/>
  <c r="B770" i="15"/>
  <c r="B771" i="14"/>
  <c r="D880" i="15"/>
  <c r="D881" i="14"/>
  <c r="K887" i="13"/>
  <c r="H887" i="13"/>
  <c r="I151" i="15"/>
  <c r="F152" i="14"/>
  <c r="Q98" i="4"/>
  <c r="P35" i="5"/>
  <c r="I1277" i="15"/>
  <c r="F1278" i="14"/>
  <c r="E102" i="10"/>
  <c r="G102" i="10" s="1"/>
  <c r="E267" i="5"/>
  <c r="G265" i="5"/>
  <c r="H128" i="10" s="1"/>
  <c r="G266" i="5"/>
  <c r="H129" i="10" s="1"/>
  <c r="E86" i="10"/>
  <c r="F250" i="5"/>
  <c r="F86" i="10" s="1"/>
  <c r="H94" i="4"/>
  <c r="L94" i="4" s="1"/>
  <c r="L87" i="4"/>
  <c r="B769" i="15"/>
  <c r="B770" i="14"/>
  <c r="H2235" i="15"/>
  <c r="I2242" i="13"/>
  <c r="J2235" i="15" s="1"/>
  <c r="H1255" i="15"/>
  <c r="I1262" i="13"/>
  <c r="J1255" i="15" s="1"/>
  <c r="B823" i="13"/>
  <c r="G1989" i="5"/>
  <c r="B786" i="13" s="1"/>
  <c r="H743" i="15"/>
  <c r="I750" i="13"/>
  <c r="J743" i="15" s="1"/>
  <c r="H629" i="15"/>
  <c r="I636" i="13"/>
  <c r="J629" i="15" s="1"/>
  <c r="I617" i="15"/>
  <c r="F618" i="14"/>
  <c r="J459" i="15"/>
  <c r="I459" i="15"/>
  <c r="H840" i="15"/>
  <c r="I847" i="13"/>
  <c r="J840" i="15" s="1"/>
  <c r="H64" i="15"/>
  <c r="I64" i="13"/>
  <c r="J64" i="15" s="1"/>
  <c r="D1635" i="13"/>
  <c r="E519" i="9"/>
  <c r="D1624" i="13"/>
  <c r="C545" i="9"/>
  <c r="E508" i="9"/>
  <c r="E583" i="10"/>
  <c r="G583" i="10" s="1"/>
  <c r="E519" i="5"/>
  <c r="D1831" i="15"/>
  <c r="D1832" i="14"/>
  <c r="K1838" i="13"/>
  <c r="H1838" i="13"/>
  <c r="G1838" i="13"/>
  <c r="J1170" i="5"/>
  <c r="L1170" i="5" s="1"/>
  <c r="C419" i="9" s="1"/>
  <c r="I656" i="15"/>
  <c r="F657" i="14"/>
  <c r="D820" i="13"/>
  <c r="O1940" i="5"/>
  <c r="D730" i="13"/>
  <c r="C1840" i="5"/>
  <c r="E1796" i="5"/>
  <c r="D894" i="13"/>
  <c r="O1880" i="5"/>
  <c r="D1007" i="13"/>
  <c r="F146" i="7"/>
  <c r="D945" i="13"/>
  <c r="F82" i="7"/>
  <c r="I207" i="4"/>
  <c r="I78" i="4"/>
  <c r="D93" i="15"/>
  <c r="D94" i="14"/>
  <c r="H93" i="13"/>
  <c r="G93" i="13"/>
  <c r="E824" i="13"/>
  <c r="K1990" i="5"/>
  <c r="E787" i="13" s="1"/>
  <c r="H677" i="15"/>
  <c r="I684" i="13"/>
  <c r="J677" i="15" s="1"/>
  <c r="I517" i="13"/>
  <c r="H688" i="15"/>
  <c r="I695" i="13"/>
  <c r="J688" i="15" s="1"/>
  <c r="J377" i="15"/>
  <c r="I377" i="15"/>
  <c r="H1626" i="15"/>
  <c r="I1633" i="13"/>
  <c r="J1626" i="15" s="1"/>
  <c r="L1185" i="5"/>
  <c r="C93" i="5" s="1"/>
  <c r="E93" i="5" s="1"/>
  <c r="AJ15" i="5"/>
  <c r="I1837" i="15"/>
  <c r="F1838" i="14"/>
  <c r="C1529" i="5"/>
  <c r="M9" i="4"/>
  <c r="M29" i="4"/>
  <c r="Q29" i="4" s="1"/>
  <c r="D1142" i="15"/>
  <c r="D1143" i="14"/>
  <c r="K1149" i="13"/>
  <c r="G1149" i="13"/>
  <c r="H1142" i="15" s="1"/>
  <c r="H1149" i="13"/>
  <c r="I1142" i="15" s="1"/>
  <c r="I618" i="15"/>
  <c r="F619" i="14"/>
  <c r="I1284" i="15"/>
  <c r="F1285" i="14"/>
  <c r="E453" i="15"/>
  <c r="G453" i="15" s="1"/>
  <c r="C249" i="9"/>
  <c r="H2409" i="15"/>
  <c r="I2417" i="13"/>
  <c r="J2409" i="15" s="1"/>
  <c r="H240" i="15"/>
  <c r="I240" i="13"/>
  <c r="J240" i="15" s="1"/>
  <c r="I1986" i="13"/>
  <c r="G1994" i="13"/>
  <c r="I1499" i="15"/>
  <c r="F1500" i="14"/>
  <c r="H649" i="15"/>
  <c r="I656" i="13"/>
  <c r="J649" i="15" s="1"/>
  <c r="D413" i="15"/>
  <c r="D414" i="14"/>
  <c r="H420" i="13"/>
  <c r="H413" i="15" s="1"/>
  <c r="K420" i="13"/>
  <c r="G420" i="13"/>
  <c r="D974" i="15"/>
  <c r="D975" i="14"/>
  <c r="K981" i="13"/>
  <c r="H981" i="13"/>
  <c r="G981" i="13"/>
  <c r="D917" i="15"/>
  <c r="D918" i="14"/>
  <c r="K924" i="13"/>
  <c r="H924" i="13"/>
  <c r="G924" i="13"/>
  <c r="D95" i="13"/>
  <c r="L644" i="8"/>
  <c r="D83" i="13"/>
  <c r="J646" i="8"/>
  <c r="E648" i="8"/>
  <c r="B868" i="15"/>
  <c r="B869" i="14"/>
  <c r="I631" i="15"/>
  <c r="F632" i="14"/>
  <c r="D765" i="13"/>
  <c r="E53" i="10"/>
  <c r="E218" i="5"/>
  <c r="F217" i="5"/>
  <c r="F53" i="10" s="1"/>
  <c r="O59" i="4"/>
  <c r="H100" i="4"/>
  <c r="H103" i="4"/>
  <c r="H208" i="4"/>
  <c r="L208" i="4" s="1"/>
  <c r="L65" i="4"/>
  <c r="H114" i="4"/>
  <c r="I2378" i="15"/>
  <c r="G2385" i="13"/>
  <c r="D2230" i="13"/>
  <c r="C369" i="12"/>
  <c r="E368" i="12"/>
  <c r="D2258" i="13"/>
  <c r="C401" i="12"/>
  <c r="I399" i="12"/>
  <c r="C400" i="12"/>
  <c r="E399" i="12"/>
  <c r="K207" i="4"/>
  <c r="K78" i="4"/>
  <c r="B761" i="15"/>
  <c r="B762" i="14"/>
  <c r="D810" i="13"/>
  <c r="E1955" i="5"/>
  <c r="I625" i="15"/>
  <c r="F626" i="14"/>
  <c r="I1481" i="15"/>
  <c r="F1482" i="14"/>
  <c r="I173" i="13"/>
  <c r="J173" i="15" s="1"/>
  <c r="B1164" i="15"/>
  <c r="B1165" i="14"/>
  <c r="D1046" i="15"/>
  <c r="D1047" i="14"/>
  <c r="K1053" i="13"/>
  <c r="H1053" i="13"/>
  <c r="G1053" i="13"/>
  <c r="D1326" i="15"/>
  <c r="D1327" i="14"/>
  <c r="H1333" i="13"/>
  <c r="I155" i="15"/>
  <c r="F156" i="14"/>
  <c r="D530" i="10"/>
  <c r="D967" i="5"/>
  <c r="D571" i="10" s="1"/>
  <c r="D547" i="5"/>
  <c r="D514" i="10"/>
  <c r="D951" i="5"/>
  <c r="D555" i="10" s="1"/>
  <c r="D531" i="5"/>
  <c r="D498" i="10"/>
  <c r="D935" i="5"/>
  <c r="D539" i="10" s="1"/>
  <c r="D515" i="5"/>
  <c r="D685" i="10"/>
  <c r="D1042" i="5"/>
  <c r="D726" i="10" s="1"/>
  <c r="D669" i="10"/>
  <c r="D1026" i="5"/>
  <c r="D710" i="10" s="1"/>
  <c r="D528" i="10"/>
  <c r="D545" i="5"/>
  <c r="D965" i="5"/>
  <c r="D569" i="10" s="1"/>
  <c r="D512" i="10"/>
  <c r="D529" i="5"/>
  <c r="D949" i="5"/>
  <c r="D553" i="10" s="1"/>
  <c r="D523" i="10"/>
  <c r="D540" i="5"/>
  <c r="D960" i="5"/>
  <c r="D564" i="10" s="1"/>
  <c r="D507" i="10"/>
  <c r="D524" i="5"/>
  <c r="D944" i="5"/>
  <c r="D548" i="10" s="1"/>
  <c r="M204" i="4"/>
  <c r="Q204" i="4" s="1"/>
  <c r="R204" i="4" s="1"/>
  <c r="E579" i="15"/>
  <c r="G579" i="15" s="1"/>
  <c r="O1194" i="5"/>
  <c r="O1189" i="5"/>
  <c r="E143" i="10"/>
  <c r="G143" i="10" s="1"/>
  <c r="G307" i="5"/>
  <c r="H170" i="10" s="1"/>
  <c r="F132" i="5"/>
  <c r="H1936" i="15"/>
  <c r="I1943" i="13"/>
  <c r="J1936" i="15" s="1"/>
  <c r="D1584" i="13"/>
  <c r="J442" i="9"/>
  <c r="C468" i="9"/>
  <c r="C469" i="9"/>
  <c r="E464" i="9"/>
  <c r="G1191" i="13"/>
  <c r="H1184" i="15" s="1"/>
  <c r="D796" i="15"/>
  <c r="D797" i="14"/>
  <c r="K803" i="13"/>
  <c r="C414" i="10"/>
  <c r="C891" i="5"/>
  <c r="C555" i="5"/>
  <c r="C471" i="5"/>
  <c r="G429" i="5"/>
  <c r="H414" i="10" s="1"/>
  <c r="C430" i="10"/>
  <c r="C487" i="5"/>
  <c r="C907" i="5"/>
  <c r="C571" i="5"/>
  <c r="G445" i="5"/>
  <c r="H430" i="10" s="1"/>
  <c r="C446" i="10"/>
  <c r="C503" i="5"/>
  <c r="C923" i="5"/>
  <c r="C587" i="5"/>
  <c r="C423" i="10"/>
  <c r="C564" i="5"/>
  <c r="C480" i="5"/>
  <c r="C900" i="5"/>
  <c r="C439" i="10"/>
  <c r="C580" i="5"/>
  <c r="C496" i="5"/>
  <c r="C916" i="5"/>
  <c r="C424" i="10"/>
  <c r="C901" i="5"/>
  <c r="C565" i="5"/>
  <c r="C481" i="5"/>
  <c r="C440" i="10"/>
  <c r="C917" i="5"/>
  <c r="C581" i="5"/>
  <c r="C497" i="5"/>
  <c r="C417" i="10"/>
  <c r="G432" i="5"/>
  <c r="H417" i="10" s="1"/>
  <c r="C558" i="5"/>
  <c r="C894" i="5"/>
  <c r="C474" i="5"/>
  <c r="C433" i="10"/>
  <c r="G448" i="5"/>
  <c r="H433" i="10" s="1"/>
  <c r="C574" i="5"/>
  <c r="C910" i="5"/>
  <c r="C490" i="5"/>
  <c r="H163" i="15"/>
  <c r="I163" i="13"/>
  <c r="J163" i="15" s="1"/>
  <c r="I2277" i="5"/>
  <c r="C2278" i="5" s="1"/>
  <c r="D1850" i="15"/>
  <c r="D1851" i="14"/>
  <c r="K1857" i="13"/>
  <c r="H1857" i="13"/>
  <c r="G1857" i="13"/>
  <c r="E894" i="15"/>
  <c r="G894" i="15" s="1"/>
  <c r="G901" i="13"/>
  <c r="H901" i="13"/>
  <c r="D312" i="15"/>
  <c r="D313" i="14"/>
  <c r="K312" i="13"/>
  <c r="H312" i="13"/>
  <c r="G312" i="13"/>
  <c r="D1310" i="15"/>
  <c r="D1311" i="14"/>
  <c r="H1317" i="13"/>
  <c r="K1317" i="13"/>
  <c r="G1317" i="13"/>
  <c r="H1272" i="15"/>
  <c r="I1279" i="13"/>
  <c r="J1272" i="15" s="1"/>
  <c r="B780" i="15"/>
  <c r="B781" i="14"/>
  <c r="B812" i="13"/>
  <c r="A2003" i="5"/>
  <c r="B775" i="13" s="1"/>
  <c r="C799" i="15"/>
  <c r="C800" i="14"/>
  <c r="C882" i="15"/>
  <c r="C883" i="14"/>
  <c r="E410" i="15"/>
  <c r="G410" i="15" s="1"/>
  <c r="H2162" i="15"/>
  <c r="I2169" i="13"/>
  <c r="J2162" i="15" s="1"/>
  <c r="I469" i="15"/>
  <c r="J469" i="15"/>
  <c r="D690" i="10"/>
  <c r="D1047" i="5"/>
  <c r="D731" i="10" s="1"/>
  <c r="D674" i="10"/>
  <c r="D1031" i="5"/>
  <c r="D715" i="10" s="1"/>
  <c r="D688" i="10"/>
  <c r="D1045" i="5"/>
  <c r="D729" i="10" s="1"/>
  <c r="D672" i="10"/>
  <c r="D1029" i="5"/>
  <c r="D713" i="10" s="1"/>
  <c r="Q43" i="4"/>
  <c r="R43" i="4" s="1"/>
  <c r="C30" i="5" s="1"/>
  <c r="AA29" i="5"/>
  <c r="E150" i="10"/>
  <c r="G150" i="10" s="1"/>
  <c r="E315" i="5"/>
  <c r="G314" i="5"/>
  <c r="H177" i="10" s="1"/>
  <c r="AK51" i="5"/>
  <c r="C78" i="4"/>
  <c r="G68" i="4"/>
  <c r="C77" i="4"/>
  <c r="H50" i="15"/>
  <c r="I50" i="13"/>
  <c r="J50" i="15" s="1"/>
  <c r="B783" i="15"/>
  <c r="B784" i="14"/>
  <c r="I2306" i="15"/>
  <c r="F2307" i="14"/>
  <c r="H2243" i="15"/>
  <c r="I2250" i="13"/>
  <c r="J2243" i="15" s="1"/>
  <c r="I1488" i="13"/>
  <c r="J1481" i="15" s="1"/>
  <c r="G1333" i="13"/>
  <c r="I1258" i="15"/>
  <c r="F1259" i="14"/>
  <c r="I1265" i="13"/>
  <c r="J1258" i="15" s="1"/>
  <c r="I2470" i="15"/>
  <c r="G2478" i="13"/>
  <c r="H2430" i="15"/>
  <c r="I2438" i="13"/>
  <c r="J2430" i="15" s="1"/>
  <c r="E811" i="13"/>
  <c r="D2002" i="5"/>
  <c r="E774" i="13" s="1"/>
  <c r="H719" i="15"/>
  <c r="I726" i="13"/>
  <c r="J719" i="15" s="1"/>
  <c r="I120" i="15"/>
  <c r="F121" i="14"/>
  <c r="E2382" i="13"/>
  <c r="E2375" i="15" s="1"/>
  <c r="G2375" i="15" s="1"/>
  <c r="D2010" i="5"/>
  <c r="E2380" i="13" s="1"/>
  <c r="E2373" i="15" s="1"/>
  <c r="G2373" i="15" s="1"/>
  <c r="H669" i="15"/>
  <c r="I676" i="13"/>
  <c r="J669" i="15" s="1"/>
  <c r="H2359" i="15"/>
  <c r="I2366" i="13"/>
  <c r="J2359" i="15" s="1"/>
  <c r="C881" i="15"/>
  <c r="C882" i="14"/>
  <c r="I664" i="15"/>
  <c r="F665" i="14"/>
  <c r="E2445" i="15"/>
  <c r="G2445" i="15" s="1"/>
  <c r="H2453" i="13"/>
  <c r="E498" i="15"/>
  <c r="G498" i="15" s="1"/>
  <c r="E492" i="15"/>
  <c r="G492" i="15" s="1"/>
  <c r="E651" i="5"/>
  <c r="L90" i="4"/>
  <c r="H1969" i="15"/>
  <c r="I1976" i="13"/>
  <c r="J1969" i="15" s="1"/>
  <c r="Q867" i="5"/>
  <c r="F469" i="5"/>
  <c r="F494" i="10" s="1"/>
  <c r="G494" i="10" s="1"/>
  <c r="T406" i="5"/>
  <c r="H1947" i="15"/>
  <c r="I1954" i="13"/>
  <c r="J1947" i="15" s="1"/>
  <c r="H1280" i="15"/>
  <c r="I1287" i="13"/>
  <c r="J1280" i="15" s="1"/>
  <c r="I537" i="15"/>
  <c r="F538" i="14"/>
  <c r="D588" i="15"/>
  <c r="D589" i="14"/>
  <c r="H595" i="13"/>
  <c r="G595" i="13"/>
  <c r="E1181" i="5"/>
  <c r="C1183" i="5"/>
  <c r="Q17" i="5" s="1"/>
  <c r="Q16" i="5"/>
  <c r="D412" i="5"/>
  <c r="H2305" i="15"/>
  <c r="I2312" i="13"/>
  <c r="J2305" i="15" s="1"/>
  <c r="E841" i="13"/>
  <c r="D1888" i="5"/>
  <c r="I1497" i="15"/>
  <c r="F1498" i="14"/>
  <c r="H2440" i="15"/>
  <c r="I2448" i="13"/>
  <c r="J2440" i="15" s="1"/>
  <c r="H156" i="15"/>
  <c r="I156" i="13"/>
  <c r="J156" i="15" s="1"/>
  <c r="H838" i="15"/>
  <c r="I845" i="13"/>
  <c r="J838" i="15" s="1"/>
  <c r="I437" i="13"/>
  <c r="D2224" i="13"/>
  <c r="L678" i="6"/>
  <c r="L672" i="6"/>
  <c r="H2355" i="15"/>
  <c r="I2362" i="13"/>
  <c r="J2355" i="15" s="1"/>
  <c r="I1244" i="15"/>
  <c r="F1245" i="14"/>
  <c r="H636" i="15"/>
  <c r="I643" i="13"/>
  <c r="J636" i="15" s="1"/>
  <c r="D419" i="15"/>
  <c r="D420" i="14"/>
  <c r="H426" i="13"/>
  <c r="H419" i="15" s="1"/>
  <c r="K426" i="13"/>
  <c r="G426" i="13"/>
  <c r="D366" i="15"/>
  <c r="D367" i="14"/>
  <c r="H373" i="13"/>
  <c r="G373" i="13"/>
  <c r="E420" i="15"/>
  <c r="G420" i="15" s="1"/>
  <c r="I2392" i="15"/>
  <c r="G2399" i="13"/>
  <c r="D941" i="13"/>
  <c r="F78" i="7"/>
  <c r="D944" i="13"/>
  <c r="F81" i="7"/>
  <c r="O1192" i="5"/>
  <c r="O1193" i="5" s="1"/>
  <c r="O1190" i="5" s="1"/>
  <c r="D1627" i="13"/>
  <c r="E511" i="9"/>
  <c r="C544" i="9"/>
  <c r="N14" i="4"/>
  <c r="N13" i="4"/>
  <c r="N11" i="4"/>
  <c r="J15" i="4"/>
  <c r="D69" i="13"/>
  <c r="L626" i="8"/>
  <c r="I1322" i="15"/>
  <c r="F1323" i="14"/>
  <c r="E883" i="15"/>
  <c r="G883" i="15" s="1"/>
  <c r="G890" i="13"/>
  <c r="B889" i="15"/>
  <c r="B890" i="14"/>
  <c r="H1151" i="13"/>
  <c r="I1144" i="15" s="1"/>
  <c r="H2417" i="15"/>
  <c r="I2425" i="13"/>
  <c r="J2417" i="15" s="1"/>
  <c r="O1168" i="5"/>
  <c r="P1168" i="5" s="1"/>
  <c r="O1169" i="5"/>
  <c r="Q1169" i="5" s="1"/>
  <c r="P138" i="4"/>
  <c r="O138" i="4"/>
  <c r="N138" i="4"/>
  <c r="L95" i="4"/>
  <c r="D799" i="13"/>
  <c r="E1944" i="5"/>
  <c r="K342" i="13"/>
  <c r="H342" i="13"/>
  <c r="D1884" i="13"/>
  <c r="E2286" i="5"/>
  <c r="D1818" i="13"/>
  <c r="C2173" i="5"/>
  <c r="E2137" i="5"/>
  <c r="H2329" i="15"/>
  <c r="F2330" i="14"/>
  <c r="I2336" i="13"/>
  <c r="J2329" i="15" s="1"/>
  <c r="I827" i="15"/>
  <c r="F828" i="14"/>
  <c r="E868" i="15"/>
  <c r="G868" i="15" s="1"/>
  <c r="D171" i="15"/>
  <c r="D172" i="14"/>
  <c r="H171" i="13"/>
  <c r="G171" i="13"/>
  <c r="H621" i="15"/>
  <c r="I628" i="13"/>
  <c r="J621" i="15" s="1"/>
  <c r="H1266" i="15"/>
  <c r="I1273" i="13"/>
  <c r="J1266" i="15" s="1"/>
  <c r="E638" i="10"/>
  <c r="G638" i="10" s="1"/>
  <c r="E995" i="5"/>
  <c r="D275" i="13"/>
  <c r="E495" i="8"/>
  <c r="H637" i="15"/>
  <c r="I644" i="13"/>
  <c r="J637" i="15" s="1"/>
  <c r="I2260" i="15"/>
  <c r="F2261" i="14"/>
  <c r="H2403" i="15"/>
  <c r="I2410" i="13"/>
  <c r="J2403" i="15" s="1"/>
  <c r="I1478" i="15"/>
  <c r="F1479" i="14"/>
  <c r="I2484" i="15"/>
  <c r="G2492" i="13"/>
  <c r="I690" i="15"/>
  <c r="F691" i="14"/>
  <c r="I674" i="15"/>
  <c r="F675" i="14"/>
  <c r="D2486" i="15"/>
  <c r="K2494" i="13"/>
  <c r="H2494" i="13"/>
  <c r="H2496" i="13" s="1"/>
  <c r="H147" i="15"/>
  <c r="I147" i="13"/>
  <c r="J147" i="15" s="1"/>
  <c r="H1973" i="15"/>
  <c r="F1974" i="14"/>
  <c r="I1980" i="13"/>
  <c r="J1973" i="15" s="1"/>
  <c r="H1246" i="15"/>
  <c r="I1253" i="13"/>
  <c r="J1246" i="15" s="1"/>
  <c r="I843" i="15"/>
  <c r="F844" i="14"/>
  <c r="D716" i="13"/>
  <c r="S1703" i="5"/>
  <c r="I615" i="15"/>
  <c r="F616" i="14"/>
  <c r="E599" i="10"/>
  <c r="G599" i="10" s="1"/>
  <c r="E535" i="5"/>
  <c r="H2210" i="15"/>
  <c r="I2217" i="13"/>
  <c r="J2210" i="15" s="1"/>
  <c r="AK41" i="5"/>
  <c r="G94" i="4"/>
  <c r="AE81" i="4"/>
  <c r="I686" i="15"/>
  <c r="F687" i="14"/>
  <c r="E174" i="15"/>
  <c r="G174" i="15" s="1"/>
  <c r="G174" i="13"/>
  <c r="H174" i="13"/>
  <c r="D1187" i="13"/>
  <c r="F346" i="7"/>
  <c r="D1285" i="15"/>
  <c r="D1286" i="14"/>
  <c r="H1292" i="13"/>
  <c r="K1292" i="13"/>
  <c r="G1292" i="13"/>
  <c r="H2342" i="15"/>
  <c r="I2349" i="13"/>
  <c r="J2342" i="15" s="1"/>
  <c r="H1286" i="15"/>
  <c r="I1293" i="13"/>
  <c r="J1286" i="15" s="1"/>
  <c r="D2221" i="13"/>
  <c r="L669" i="6"/>
  <c r="L675" i="6"/>
  <c r="H111" i="15"/>
  <c r="I111" i="13"/>
  <c r="J111" i="15" s="1"/>
  <c r="E1131" i="15"/>
  <c r="G1131" i="15" s="1"/>
  <c r="D514" i="15"/>
  <c r="D515" i="14"/>
  <c r="H521" i="13"/>
  <c r="H514" i="15" s="1"/>
  <c r="D1269" i="15"/>
  <c r="D1270" i="14"/>
  <c r="K1276" i="13"/>
  <c r="H1276" i="13"/>
  <c r="G1276" i="13"/>
  <c r="D875" i="15"/>
  <c r="D876" i="14"/>
  <c r="K882" i="13"/>
  <c r="H882" i="13"/>
  <c r="I627" i="15"/>
  <c r="F628" i="14"/>
  <c r="H2150" i="15"/>
  <c r="I2157" i="13"/>
  <c r="J2150" i="15" s="1"/>
  <c r="E93" i="10"/>
  <c r="G93" i="10" s="1"/>
  <c r="G257" i="5"/>
  <c r="H120" i="10" s="1"/>
  <c r="H342" i="15"/>
  <c r="I349" i="13"/>
  <c r="J342" i="15" s="1"/>
  <c r="D1008" i="13"/>
  <c r="F147" i="7"/>
  <c r="D992" i="15"/>
  <c r="D993" i="14"/>
  <c r="K999" i="13"/>
  <c r="H999" i="13"/>
  <c r="G999" i="13"/>
  <c r="D972" i="15"/>
  <c r="D973" i="14"/>
  <c r="K979" i="13"/>
  <c r="H979" i="13"/>
  <c r="G979" i="13"/>
  <c r="D956" i="13"/>
  <c r="F93" i="7"/>
  <c r="H1043" i="15"/>
  <c r="I1050" i="13"/>
  <c r="J1043" i="15" s="1"/>
  <c r="D1616" i="13"/>
  <c r="L445" i="9"/>
  <c r="D85" i="15"/>
  <c r="D86" i="14"/>
  <c r="K85" i="13"/>
  <c r="H85" i="13"/>
  <c r="G85" i="13"/>
  <c r="I340" i="15"/>
  <c r="F341" i="14"/>
  <c r="J429" i="15"/>
  <c r="I429" i="15"/>
  <c r="C795" i="15"/>
  <c r="C796" i="14"/>
  <c r="C797" i="15"/>
  <c r="C798" i="14"/>
  <c r="I668" i="15"/>
  <c r="F669" i="14"/>
  <c r="H635" i="15"/>
  <c r="I642" i="13"/>
  <c r="J635" i="15" s="1"/>
  <c r="H2149" i="15"/>
  <c r="I2156" i="13"/>
  <c r="J2149" i="15" s="1"/>
  <c r="E16" i="10"/>
  <c r="G16" i="10" s="1"/>
  <c r="G180" i="5"/>
  <c r="H43" i="10" s="1"/>
  <c r="O202" i="4"/>
  <c r="O200" i="4"/>
  <c r="H1265" i="15"/>
  <c r="I1272" i="13"/>
  <c r="J1265" i="15" s="1"/>
  <c r="J207" i="4"/>
  <c r="J78" i="4"/>
  <c r="H2275" i="15"/>
  <c r="I2282" i="13"/>
  <c r="J2275" i="15" s="1"/>
  <c r="D1193" i="13"/>
  <c r="F352" i="7"/>
  <c r="C1982" i="5"/>
  <c r="J1980" i="5"/>
  <c r="J1979" i="5" s="1"/>
  <c r="C1987" i="5"/>
  <c r="H1245" i="15"/>
  <c r="I1252" i="13"/>
  <c r="J1245" i="15" s="1"/>
  <c r="D457" i="15"/>
  <c r="D458" i="14"/>
  <c r="K464" i="13"/>
  <c r="H464" i="13"/>
  <c r="H457" i="15" s="1"/>
  <c r="C798" i="15"/>
  <c r="C799" i="14"/>
  <c r="H2480" i="15"/>
  <c r="I2488" i="13"/>
  <c r="J2480" i="15" s="1"/>
  <c r="H361" i="15"/>
  <c r="I368" i="13"/>
  <c r="J361" i="15" s="1"/>
  <c r="F147" i="5"/>
  <c r="O129" i="5"/>
  <c r="H2272" i="15"/>
  <c r="I2279" i="13"/>
  <c r="J2272" i="15" s="1"/>
  <c r="G2286" i="13"/>
  <c r="I145" i="15"/>
  <c r="F146" i="14"/>
  <c r="C809" i="15"/>
  <c r="C810" i="14"/>
  <c r="B803" i="15"/>
  <c r="B804" i="14"/>
  <c r="D615" i="13"/>
  <c r="J1619" i="5"/>
  <c r="D606" i="15"/>
  <c r="D607" i="14"/>
  <c r="K613" i="13"/>
  <c r="H613" i="13"/>
  <c r="G613" i="13"/>
  <c r="B1159" i="15"/>
  <c r="B1160" i="14"/>
  <c r="B759" i="15"/>
  <c r="B760" i="14"/>
  <c r="D363" i="15"/>
  <c r="D364" i="14"/>
  <c r="H370" i="13"/>
  <c r="G370" i="13"/>
  <c r="D1279" i="15"/>
  <c r="D1280" i="14"/>
  <c r="H1286" i="13"/>
  <c r="I676" i="15"/>
  <c r="F677" i="14"/>
  <c r="H166" i="15"/>
  <c r="I166" i="13"/>
  <c r="J166" i="15" s="1"/>
  <c r="C768" i="15"/>
  <c r="C769" i="14"/>
  <c r="D1636" i="13"/>
  <c r="E520" i="9"/>
  <c r="C521" i="9"/>
  <c r="H648" i="15"/>
  <c r="I655" i="13"/>
  <c r="J648" i="15" s="1"/>
  <c r="H365" i="15"/>
  <c r="I372" i="13"/>
  <c r="J365" i="15" s="1"/>
  <c r="I829" i="15"/>
  <c r="F830" i="14"/>
  <c r="I388" i="15"/>
  <c r="J388" i="15"/>
  <c r="D436" i="15"/>
  <c r="D437" i="14"/>
  <c r="H443" i="13"/>
  <c r="H436" i="15" s="1"/>
  <c r="G443" i="13"/>
  <c r="D759" i="15"/>
  <c r="D760" i="14"/>
  <c r="K766" i="13"/>
  <c r="E803" i="13"/>
  <c r="D1994" i="5"/>
  <c r="I2338" i="15"/>
  <c r="F2339" i="14"/>
  <c r="D1197" i="13"/>
  <c r="F356" i="7"/>
  <c r="H2245" i="15"/>
  <c r="I2252" i="13"/>
  <c r="J2245" i="15" s="1"/>
  <c r="H2390" i="15"/>
  <c r="I2397" i="13"/>
  <c r="J2390" i="15" s="1"/>
  <c r="I956" i="15"/>
  <c r="F957" i="14"/>
  <c r="I148" i="15"/>
  <c r="F149" i="14"/>
  <c r="E1162" i="15"/>
  <c r="G1162" i="15" s="1"/>
  <c r="B882" i="15"/>
  <c r="B883" i="14"/>
  <c r="E805" i="13"/>
  <c r="D1996" i="5"/>
  <c r="E768" i="13" s="1"/>
  <c r="H1902" i="15"/>
  <c r="I1909" i="13"/>
  <c r="J1902" i="15" s="1"/>
  <c r="H674" i="15"/>
  <c r="I681" i="13"/>
  <c r="J674" i="15" s="1"/>
  <c r="H2442" i="15"/>
  <c r="I2450" i="13"/>
  <c r="J2442" i="15" s="1"/>
  <c r="B875" i="15"/>
  <c r="B876" i="14"/>
  <c r="I315" i="15"/>
  <c r="F316" i="14"/>
  <c r="D2379" i="15"/>
  <c r="H2386" i="13"/>
  <c r="K2386" i="13"/>
  <c r="E843" i="15"/>
  <c r="G843" i="15" s="1"/>
  <c r="G850" i="13"/>
  <c r="E497" i="15"/>
  <c r="G497" i="15" s="1"/>
  <c r="H1632" i="15"/>
  <c r="I1639" i="13"/>
  <c r="J1632" i="15" s="1"/>
  <c r="D682" i="10"/>
  <c r="D1039" i="5"/>
  <c r="D723" i="10" s="1"/>
  <c r="D666" i="10"/>
  <c r="D1023" i="5"/>
  <c r="D707" i="10" s="1"/>
  <c r="D655" i="10"/>
  <c r="D1012" i="5"/>
  <c r="D696" i="10" s="1"/>
  <c r="D680" i="10"/>
  <c r="D1037" i="5"/>
  <c r="D721" i="10" s="1"/>
  <c r="D664" i="10"/>
  <c r="D1021" i="5"/>
  <c r="D705" i="10" s="1"/>
  <c r="D1934" i="13"/>
  <c r="C403" i="6"/>
  <c r="C397" i="6"/>
  <c r="J396" i="6"/>
  <c r="E395" i="6"/>
  <c r="D1944" i="15"/>
  <c r="D1945" i="14"/>
  <c r="K1951" i="13"/>
  <c r="H1951" i="13"/>
  <c r="G1951" i="13"/>
  <c r="K134" i="4"/>
  <c r="J134" i="4"/>
  <c r="I134" i="4"/>
  <c r="D191" i="13"/>
  <c r="C425" i="8"/>
  <c r="D231" i="13" s="1"/>
  <c r="E358" i="8"/>
  <c r="E425" i="8" s="1"/>
  <c r="I1352" i="15"/>
  <c r="F1353" i="14"/>
  <c r="H1316" i="15"/>
  <c r="I1323" i="13"/>
  <c r="J1316" i="15" s="1"/>
  <c r="I622" i="15"/>
  <c r="F623" i="14"/>
  <c r="H2014" i="15"/>
  <c r="F2015" i="14"/>
  <c r="I2021" i="13"/>
  <c r="J2014" i="15" s="1"/>
  <c r="I2310" i="15"/>
  <c r="F2311" i="14"/>
  <c r="D1192" i="15"/>
  <c r="D1193" i="14"/>
  <c r="K1199" i="13"/>
  <c r="H2421" i="15"/>
  <c r="I2429" i="13"/>
  <c r="J2421" i="15" s="1"/>
  <c r="H2344" i="15"/>
  <c r="I2351" i="13"/>
  <c r="J2344" i="15" s="1"/>
  <c r="D1819" i="15"/>
  <c r="D1820" i="14"/>
  <c r="K1826" i="13"/>
  <c r="H1826" i="13"/>
  <c r="G1826" i="13"/>
  <c r="B767" i="15"/>
  <c r="B768" i="14"/>
  <c r="E517" i="10"/>
  <c r="G517" i="10" s="1"/>
  <c r="E493" i="5"/>
  <c r="H165" i="15"/>
  <c r="I165" i="13"/>
  <c r="J165" i="15" s="1"/>
  <c r="B807" i="15"/>
  <c r="B808" i="14"/>
  <c r="H151" i="15"/>
  <c r="I151" i="13"/>
  <c r="J151" i="15" s="1"/>
  <c r="I1297" i="15"/>
  <c r="F1298" i="14"/>
  <c r="H676" i="15"/>
  <c r="I683" i="13"/>
  <c r="J676" i="15" s="1"/>
  <c r="H1778" i="15"/>
  <c r="I1785" i="13"/>
  <c r="J1778" i="15" s="1"/>
  <c r="D1810" i="15"/>
  <c r="D1811" i="14"/>
  <c r="K1817" i="13"/>
  <c r="H1817" i="13"/>
  <c r="G1817" i="13"/>
  <c r="L88" i="4"/>
  <c r="R88" i="4" s="1"/>
  <c r="F1054" i="5" s="1"/>
  <c r="D311" i="13"/>
  <c r="E1401" i="5"/>
  <c r="H2429" i="15"/>
  <c r="I2437" i="13"/>
  <c r="J2429" i="15" s="1"/>
  <c r="B806" i="15"/>
  <c r="B807" i="14"/>
  <c r="H152" i="15"/>
  <c r="I152" i="13"/>
  <c r="J152" i="15" s="1"/>
  <c r="D1141" i="15"/>
  <c r="D1142" i="14"/>
  <c r="K1148" i="13"/>
  <c r="C2268" i="5"/>
  <c r="C2269" i="5"/>
  <c r="D1184" i="13"/>
  <c r="F343" i="7"/>
  <c r="E2330" i="5"/>
  <c r="E2338" i="5" s="1"/>
  <c r="B890" i="15"/>
  <c r="B891" i="14"/>
  <c r="I743" i="15"/>
  <c r="F744" i="14"/>
  <c r="I2366" i="15"/>
  <c r="G2373" i="13"/>
  <c r="H617" i="15"/>
  <c r="I624" i="13"/>
  <c r="J617" i="15" s="1"/>
  <c r="H601" i="15"/>
  <c r="I608" i="13"/>
  <c r="J601" i="15" s="1"/>
  <c r="D2174" i="13"/>
  <c r="E699" i="6"/>
  <c r="D349" i="15"/>
  <c r="D350" i="14"/>
  <c r="K356" i="13"/>
  <c r="H356" i="13"/>
  <c r="D344" i="15"/>
  <c r="D345" i="14"/>
  <c r="K351" i="13"/>
  <c r="H351" i="13"/>
  <c r="I64" i="15"/>
  <c r="F65" i="14"/>
  <c r="H680" i="15"/>
  <c r="I687" i="13"/>
  <c r="J680" i="15" s="1"/>
  <c r="D1625" i="13"/>
  <c r="E509" i="9"/>
  <c r="D1662" i="13"/>
  <c r="E546" i="9"/>
  <c r="D1641" i="13"/>
  <c r="E525" i="9"/>
  <c r="E17" i="10"/>
  <c r="G17" i="10" s="1"/>
  <c r="G181" i="5"/>
  <c r="H44" i="10" s="1"/>
  <c r="D764" i="13"/>
  <c r="E1992" i="5"/>
  <c r="D857" i="13"/>
  <c r="O1831" i="5"/>
  <c r="D1003" i="13"/>
  <c r="F142" i="7"/>
  <c r="D975" i="15"/>
  <c r="D976" i="14"/>
  <c r="K982" i="13"/>
  <c r="H982" i="13"/>
  <c r="G982" i="13"/>
  <c r="D946" i="13"/>
  <c r="F83" i="7"/>
  <c r="D916" i="15"/>
  <c r="D917" i="14"/>
  <c r="K923" i="13"/>
  <c r="H923" i="13"/>
  <c r="G923" i="13"/>
  <c r="R149" i="4"/>
  <c r="AJ5" i="5"/>
  <c r="D84" i="15"/>
  <c r="D85" i="14"/>
  <c r="K84" i="13"/>
  <c r="H84" i="13"/>
  <c r="G84" i="13"/>
  <c r="I1023" i="15"/>
  <c r="F1024" i="14"/>
  <c r="E891" i="15"/>
  <c r="G891" i="15" s="1"/>
  <c r="G898" i="13"/>
  <c r="H898" i="13"/>
  <c r="D716" i="15"/>
  <c r="D717" i="14"/>
  <c r="H723" i="13"/>
  <c r="K723" i="13"/>
  <c r="G723" i="13"/>
  <c r="E407" i="15"/>
  <c r="G407" i="15" s="1"/>
  <c r="I1626" i="15"/>
  <c r="F1627" i="14"/>
  <c r="D1275" i="15"/>
  <c r="D1276" i="14"/>
  <c r="H1282" i="13"/>
  <c r="G1282" i="13"/>
  <c r="D306" i="15"/>
  <c r="D307" i="14"/>
  <c r="K306" i="13"/>
  <c r="H306" i="13"/>
  <c r="G306" i="13"/>
  <c r="F1057" i="5"/>
  <c r="F1060" i="5"/>
  <c r="C197" i="8"/>
  <c r="C198" i="8" s="1"/>
  <c r="M10" i="4"/>
  <c r="M30" i="4"/>
  <c r="Q30" i="4" s="1"/>
  <c r="E1174" i="15"/>
  <c r="G1174" i="15" s="1"/>
  <c r="B765" i="15"/>
  <c r="B766" i="14"/>
  <c r="I682" i="15"/>
  <c r="F683" i="14"/>
  <c r="E2006" i="15"/>
  <c r="G2006" i="15" s="1"/>
  <c r="G2013" i="13"/>
  <c r="H2013" i="13"/>
  <c r="G351" i="13"/>
  <c r="D264" i="15"/>
  <c r="D265" i="14"/>
  <c r="H264" i="13"/>
  <c r="K264" i="13"/>
  <c r="G264" i="13"/>
  <c r="C1978" i="5"/>
  <c r="C1990" i="5"/>
  <c r="C1989" i="5"/>
  <c r="J1977" i="5"/>
  <c r="J1993" i="5" s="1"/>
  <c r="D790" i="13" s="1"/>
  <c r="I240" i="15"/>
  <c r="F241" i="14"/>
  <c r="I1250" i="15"/>
  <c r="F1251" i="14"/>
  <c r="H2473" i="15"/>
  <c r="I2481" i="13"/>
  <c r="J2473" i="15" s="1"/>
  <c r="E810" i="13"/>
  <c r="D2001" i="5"/>
  <c r="E773" i="13" s="1"/>
  <c r="C813" i="13"/>
  <c r="B2004" i="5"/>
  <c r="C776" i="13" s="1"/>
  <c r="K112" i="5"/>
  <c r="D155" i="11" s="1"/>
  <c r="C1687" i="5" s="1"/>
  <c r="K116" i="5"/>
  <c r="K118" i="5" s="1"/>
  <c r="I1316" i="15"/>
  <c r="F1317" i="14"/>
  <c r="I649" i="15"/>
  <c r="F650" i="14"/>
  <c r="D1940" i="15"/>
  <c r="D1941" i="14"/>
  <c r="K1947" i="13"/>
  <c r="H1947" i="13"/>
  <c r="G1947" i="13"/>
  <c r="D496" i="15"/>
  <c r="D497" i="14"/>
  <c r="K503" i="13"/>
  <c r="H503" i="13"/>
  <c r="H496" i="15" s="1"/>
  <c r="G503" i="13"/>
  <c r="D998" i="13"/>
  <c r="F137" i="7"/>
  <c r="G95" i="4"/>
  <c r="AE84" i="4"/>
  <c r="I644" i="15"/>
  <c r="F645" i="14"/>
  <c r="D80" i="13"/>
  <c r="E645" i="8"/>
  <c r="D82" i="13"/>
  <c r="E647" i="8"/>
  <c r="I2365" i="15"/>
  <c r="G2372" i="13"/>
  <c r="H631" i="15"/>
  <c r="I638" i="13"/>
  <c r="J631" i="15" s="1"/>
  <c r="D839" i="13"/>
  <c r="E1838" i="5"/>
  <c r="J51" i="5"/>
  <c r="I1266" i="15"/>
  <c r="F1267" i="14"/>
  <c r="H207" i="4"/>
  <c r="H78" i="4"/>
  <c r="L71" i="4"/>
  <c r="H1274" i="15"/>
  <c r="I1281" i="13"/>
  <c r="J1274" i="15" s="1"/>
  <c r="D1441" i="15"/>
  <c r="D1442" i="14"/>
  <c r="H1448" i="13"/>
  <c r="K1448" i="13"/>
  <c r="G1448" i="13"/>
  <c r="J202" i="4"/>
  <c r="J201" i="4"/>
  <c r="J200" i="4"/>
  <c r="J199" i="4"/>
  <c r="J77" i="4"/>
  <c r="D2261" i="13"/>
  <c r="E402" i="12"/>
  <c r="C404" i="12"/>
  <c r="C403" i="12"/>
  <c r="P75" i="4"/>
  <c r="P64" i="4"/>
  <c r="P61" i="4"/>
  <c r="P60" i="4"/>
  <c r="P74" i="4" s="1"/>
  <c r="P59" i="4"/>
  <c r="D1866" i="13"/>
  <c r="O2142" i="5"/>
  <c r="B798" i="15"/>
  <c r="B799" i="14"/>
  <c r="D816" i="15"/>
  <c r="D817" i="14"/>
  <c r="D808" i="13"/>
  <c r="E1953" i="5"/>
  <c r="I678" i="15"/>
  <c r="F679" i="14"/>
  <c r="H625" i="15"/>
  <c r="I632" i="13"/>
  <c r="J625" i="15" s="1"/>
  <c r="I826" i="15"/>
  <c r="F827" i="14"/>
  <c r="H618" i="15"/>
  <c r="I625" i="13"/>
  <c r="J618" i="15" s="1"/>
  <c r="H46" i="15"/>
  <c r="I46" i="13"/>
  <c r="J46" i="15" s="1"/>
  <c r="D2155" i="15"/>
  <c r="D2156" i="14"/>
  <c r="H2162" i="13"/>
  <c r="K2162" i="13"/>
  <c r="G2162" i="13"/>
  <c r="D1817" i="15"/>
  <c r="D1818" i="14"/>
  <c r="K1824" i="13"/>
  <c r="H1824" i="13"/>
  <c r="G1824" i="13"/>
  <c r="E559" i="10"/>
  <c r="G559" i="10" s="1"/>
  <c r="E956" i="5"/>
  <c r="H1304" i="15"/>
  <c r="G1312" i="13"/>
  <c r="I1311" i="13"/>
  <c r="J1304" i="15" s="1"/>
  <c r="I1248" i="15"/>
  <c r="F1249" i="14"/>
  <c r="D694" i="10"/>
  <c r="D1051" i="5"/>
  <c r="D735" i="10" s="1"/>
  <c r="D678" i="10"/>
  <c r="D1035" i="5"/>
  <c r="D719" i="10" s="1"/>
  <c r="D662" i="10"/>
  <c r="D1019" i="5"/>
  <c r="D703" i="10" s="1"/>
  <c r="D692" i="10"/>
  <c r="D1049" i="5"/>
  <c r="D733" i="10" s="1"/>
  <c r="D676" i="10"/>
  <c r="D1033" i="5"/>
  <c r="D717" i="10" s="1"/>
  <c r="D496" i="10"/>
  <c r="D513" i="5"/>
  <c r="D933" i="5"/>
  <c r="D537" i="10" s="1"/>
  <c r="D473" i="13"/>
  <c r="L1491" i="5"/>
  <c r="BD1476" i="5" s="1"/>
  <c r="BB1476" i="5"/>
  <c r="D390" i="13" s="1"/>
  <c r="P1194" i="5"/>
  <c r="P1189" i="5"/>
  <c r="I1936" i="15"/>
  <c r="F1937" i="14"/>
  <c r="D1612" i="13"/>
  <c r="L441" i="9"/>
  <c r="D1555" i="15"/>
  <c r="D1556" i="14"/>
  <c r="K1562" i="13"/>
  <c r="H1562" i="13"/>
  <c r="G1562" i="13"/>
  <c r="Q861" i="5"/>
  <c r="F861" i="5"/>
  <c r="P861" i="5"/>
  <c r="I861" i="5"/>
  <c r="O861" i="5" s="1"/>
  <c r="R861" i="5"/>
  <c r="L861" i="5"/>
  <c r="F887" i="5" s="1"/>
  <c r="F451" i="10" s="1"/>
  <c r="G451" i="10" s="1"/>
  <c r="C104" i="4"/>
  <c r="G104" i="4" s="1"/>
  <c r="C108" i="4"/>
  <c r="I2424" i="15"/>
  <c r="G2432" i="13"/>
  <c r="H718" i="15"/>
  <c r="I725" i="13"/>
  <c r="J718" i="15" s="1"/>
  <c r="I2401" i="15"/>
  <c r="G2408" i="13"/>
  <c r="H2408" i="15"/>
  <c r="I2415" i="13"/>
  <c r="J2408" i="15" s="1"/>
  <c r="L355" i="12"/>
  <c r="D2156" i="15"/>
  <c r="D2157" i="14"/>
  <c r="K2163" i="13"/>
  <c r="H2163" i="13"/>
  <c r="G2163" i="13"/>
  <c r="I1380" i="15"/>
  <c r="F1381" i="14"/>
  <c r="C418" i="10"/>
  <c r="C475" i="5"/>
  <c r="C895" i="5"/>
  <c r="C559" i="5"/>
  <c r="G433" i="5"/>
  <c r="H418" i="10" s="1"/>
  <c r="C434" i="10"/>
  <c r="C491" i="5"/>
  <c r="C911" i="5"/>
  <c r="C575" i="5"/>
  <c r="G449" i="5"/>
  <c r="H434" i="10" s="1"/>
  <c r="C409" i="10"/>
  <c r="C466" i="5"/>
  <c r="C886" i="5"/>
  <c r="G424" i="5"/>
  <c r="H409" i="10" s="1"/>
  <c r="C550" i="5"/>
  <c r="C427" i="10"/>
  <c r="C568" i="5"/>
  <c r="C484" i="5"/>
  <c r="C904" i="5"/>
  <c r="C443" i="10"/>
  <c r="C584" i="5"/>
  <c r="C500" i="5"/>
  <c r="C920" i="5"/>
  <c r="C410" i="10"/>
  <c r="C887" i="5"/>
  <c r="C551" i="5"/>
  <c r="C467" i="5"/>
  <c r="G425" i="5"/>
  <c r="H410" i="10" s="1"/>
  <c r="C428" i="10"/>
  <c r="C905" i="5"/>
  <c r="C569" i="5"/>
  <c r="C485" i="5"/>
  <c r="C444" i="10"/>
  <c r="C921" i="5"/>
  <c r="C585" i="5"/>
  <c r="C501" i="5"/>
  <c r="C421" i="10"/>
  <c r="C562" i="5"/>
  <c r="C898" i="5"/>
  <c r="C478" i="5"/>
  <c r="C437" i="10"/>
  <c r="C578" i="5"/>
  <c r="C914" i="5"/>
  <c r="C494" i="5"/>
  <c r="H671" i="15"/>
  <c r="B2383" i="13"/>
  <c r="B2376" i="15" s="1"/>
  <c r="A2011" i="5"/>
  <c r="B2381" i="13" s="1"/>
  <c r="B2374" i="15" s="1"/>
  <c r="I634" i="15"/>
  <c r="F635" i="14"/>
  <c r="D1150" i="15"/>
  <c r="D1151" i="14"/>
  <c r="K1157" i="13"/>
  <c r="G1157" i="13"/>
  <c r="H1150" i="15" s="1"/>
  <c r="H1157" i="13"/>
  <c r="I1150" i="15" s="1"/>
  <c r="I1254" i="15"/>
  <c r="F1255" i="14"/>
  <c r="I1272" i="15"/>
  <c r="F1273" i="14"/>
  <c r="B817" i="15"/>
  <c r="B818" i="14"/>
  <c r="B879" i="15"/>
  <c r="B880" i="14"/>
  <c r="E862" i="15"/>
  <c r="G862" i="15" s="1"/>
  <c r="J479" i="15"/>
  <c r="I479" i="15"/>
  <c r="E493" i="15"/>
  <c r="G493" i="15" s="1"/>
  <c r="I2162" i="15"/>
  <c r="F2163" i="14"/>
  <c r="H1822" i="15"/>
  <c r="I1829" i="13"/>
  <c r="J1822" i="15" s="1"/>
  <c r="D492" i="10"/>
  <c r="D509" i="5"/>
  <c r="D929" i="5"/>
  <c r="D533" i="10" s="1"/>
  <c r="D517" i="10"/>
  <c r="D954" i="5"/>
  <c r="D558" i="10" s="1"/>
  <c r="D534" i="5"/>
  <c r="D501" i="10"/>
  <c r="D938" i="5"/>
  <c r="D542" i="10" s="1"/>
  <c r="D518" i="5"/>
  <c r="D495" i="10"/>
  <c r="D932" i="5"/>
  <c r="D536" i="10" s="1"/>
  <c r="D512" i="5"/>
  <c r="D683" i="10"/>
  <c r="D1040" i="5"/>
  <c r="D724" i="10" s="1"/>
  <c r="D667" i="10"/>
  <c r="D1024" i="5"/>
  <c r="D708" i="10" s="1"/>
  <c r="M89" i="4"/>
  <c r="F1160" i="5"/>
  <c r="F1161" i="5" s="1"/>
  <c r="F1166" i="5" s="1"/>
  <c r="C111" i="4"/>
  <c r="I1368" i="15"/>
  <c r="F1369" i="14"/>
  <c r="I50" i="15"/>
  <c r="F51" i="14"/>
  <c r="B820" i="15"/>
  <c r="B821" i="14"/>
  <c r="H1290" i="15"/>
  <c r="I1297" i="13"/>
  <c r="J1290" i="15" s="1"/>
  <c r="H2309" i="15"/>
  <c r="I2316" i="13"/>
  <c r="J2309" i="15" s="1"/>
  <c r="I2243" i="15"/>
  <c r="F2244" i="14"/>
  <c r="I1259" i="15"/>
  <c r="F1260" i="14"/>
  <c r="H2244" i="15"/>
  <c r="I2251" i="13"/>
  <c r="J2244" i="15" s="1"/>
  <c r="G1199" i="13"/>
  <c r="H1192" i="15" s="1"/>
  <c r="D1147" i="15"/>
  <c r="D1148" i="14"/>
  <c r="K1154" i="13"/>
  <c r="D1188" i="13"/>
  <c r="F347" i="7"/>
  <c r="H1317" i="15"/>
  <c r="I1324" i="13"/>
  <c r="J1317" i="15" s="1"/>
  <c r="J1989" i="5"/>
  <c r="D786" i="13" s="1"/>
  <c r="G1982" i="5"/>
  <c r="C2000" i="5"/>
  <c r="E878" i="15"/>
  <c r="G878" i="15" s="1"/>
  <c r="D2487" i="15"/>
  <c r="H2495" i="13"/>
  <c r="K2495" i="13"/>
  <c r="H1288" i="15"/>
  <c r="I1295" i="13"/>
  <c r="J1288" i="15" s="1"/>
  <c r="I2450" i="15"/>
  <c r="G2458" i="13"/>
  <c r="D873" i="13"/>
  <c r="E1883" i="5"/>
  <c r="D1802" i="15"/>
  <c r="D1803" i="14"/>
  <c r="H1809" i="13"/>
  <c r="G1809" i="13"/>
  <c r="E763" i="15"/>
  <c r="G763" i="15" s="1"/>
  <c r="D292" i="15"/>
  <c r="D293" i="14"/>
  <c r="G292" i="13"/>
  <c r="H292" i="13"/>
  <c r="I1969" i="15"/>
  <c r="F1970" i="14"/>
  <c r="D432" i="15"/>
  <c r="D433" i="14"/>
  <c r="H439" i="13"/>
  <c r="H432" i="15" s="1"/>
  <c r="I1947" i="15"/>
  <c r="F1948" i="14"/>
  <c r="I1280" i="15"/>
  <c r="F1281" i="14"/>
  <c r="D873" i="5"/>
  <c r="I2305" i="15"/>
  <c r="F2306" i="14"/>
  <c r="H2319" i="13"/>
  <c r="I2312" i="15" s="1"/>
  <c r="E723" i="15"/>
  <c r="G723" i="15" s="1"/>
  <c r="G730" i="13"/>
  <c r="G2269" i="5"/>
  <c r="G2268" i="5"/>
  <c r="I2268" i="5" s="1"/>
  <c r="I2267" i="5"/>
  <c r="I1261" i="15"/>
  <c r="F1262" i="14"/>
  <c r="D647" i="15"/>
  <c r="D648" i="14"/>
  <c r="H654" i="13"/>
  <c r="G654" i="13"/>
  <c r="F221" i="10"/>
  <c r="G221" i="10" s="1"/>
  <c r="G647" i="5"/>
  <c r="H221" i="10" s="1"/>
  <c r="D2176" i="13"/>
  <c r="E701" i="6"/>
  <c r="D502" i="15"/>
  <c r="D503" i="14"/>
  <c r="K509" i="13"/>
  <c r="H509" i="13"/>
  <c r="H502" i="15" s="1"/>
  <c r="G509" i="13"/>
  <c r="F139" i="4"/>
  <c r="E139" i="4"/>
  <c r="D139" i="4"/>
  <c r="M139" i="4"/>
  <c r="H139" i="4"/>
  <c r="E292" i="10"/>
  <c r="G292" i="10" s="1"/>
  <c r="G718" i="5"/>
  <c r="H292" i="10" s="1"/>
  <c r="D1268" i="15"/>
  <c r="D1269" i="14"/>
  <c r="K1275" i="13"/>
  <c r="H1275" i="13"/>
  <c r="G1275" i="13"/>
  <c r="E503" i="15"/>
  <c r="G503" i="15" s="1"/>
  <c r="H1779" i="15"/>
  <c r="I1786" i="13"/>
  <c r="J1779" i="15" s="1"/>
  <c r="E297" i="10"/>
  <c r="G297" i="10" s="1"/>
  <c r="G723" i="5"/>
  <c r="H297" i="10" s="1"/>
  <c r="I2457" i="15"/>
  <c r="G2465" i="13"/>
  <c r="D932" i="15"/>
  <c r="D933" i="14"/>
  <c r="K939" i="13"/>
  <c r="H939" i="13"/>
  <c r="G939" i="13"/>
  <c r="D1002" i="15"/>
  <c r="D1003" i="14"/>
  <c r="K1009" i="13"/>
  <c r="G1009" i="13"/>
  <c r="H1009" i="13"/>
  <c r="D993" i="15"/>
  <c r="D994" i="14"/>
  <c r="K1000" i="13"/>
  <c r="H1000" i="13"/>
  <c r="G1000" i="13"/>
  <c r="D973" i="15"/>
  <c r="D974" i="14"/>
  <c r="K980" i="13"/>
  <c r="G980" i="13"/>
  <c r="H980" i="13"/>
  <c r="D947" i="15"/>
  <c r="D948" i="14"/>
  <c r="K954" i="13"/>
  <c r="H954" i="13"/>
  <c r="G954" i="13"/>
  <c r="D935" i="15"/>
  <c r="D936" i="14"/>
  <c r="K942" i="13"/>
  <c r="H942" i="13"/>
  <c r="G942" i="13"/>
  <c r="D1634" i="13"/>
  <c r="E518" i="9"/>
  <c r="J516" i="9"/>
  <c r="J1735" i="5"/>
  <c r="I1317" i="15"/>
  <c r="F1318" i="14"/>
  <c r="I677" i="15"/>
  <c r="F678" i="14"/>
  <c r="N73" i="4"/>
  <c r="H143" i="15"/>
  <c r="I143" i="13"/>
  <c r="J143" i="15" s="1"/>
  <c r="G149" i="13"/>
  <c r="E802" i="13"/>
  <c r="D1993" i="5"/>
  <c r="E765" i="13" s="1"/>
  <c r="J512" i="15"/>
  <c r="H2354" i="15"/>
  <c r="I2361" i="13"/>
  <c r="J2354" i="15" s="1"/>
  <c r="D864" i="15"/>
  <c r="D865" i="14"/>
  <c r="H871" i="13"/>
  <c r="K871" i="13"/>
  <c r="D1666" i="15"/>
  <c r="D1667" i="14"/>
  <c r="H1673" i="13"/>
  <c r="G1673" i="13"/>
  <c r="D203" i="8"/>
  <c r="D208" i="8" s="1"/>
  <c r="G10" i="4"/>
  <c r="I399" i="13"/>
  <c r="D2160" i="15"/>
  <c r="D2161" i="14"/>
  <c r="K2167" i="13"/>
  <c r="H2167" i="13"/>
  <c r="G2167" i="13"/>
  <c r="I454" i="13"/>
  <c r="D821" i="14"/>
  <c r="D1888" i="13"/>
  <c r="E2290" i="5"/>
  <c r="D1820" i="13"/>
  <c r="E2139" i="5"/>
  <c r="D319" i="13"/>
  <c r="E1409" i="5"/>
  <c r="I715" i="15"/>
  <c r="F716" i="14"/>
  <c r="I853" i="15"/>
  <c r="F854" i="14"/>
  <c r="E96" i="10"/>
  <c r="G96" i="10" s="1"/>
  <c r="G260" i="5"/>
  <c r="H123" i="10" s="1"/>
  <c r="I614" i="15"/>
  <c r="F615" i="14"/>
  <c r="D2246" i="15"/>
  <c r="D2247" i="14"/>
  <c r="H2253" i="13"/>
  <c r="G2253" i="13"/>
  <c r="D722" i="15"/>
  <c r="D723" i="14"/>
  <c r="H729" i="13"/>
  <c r="K729" i="13"/>
  <c r="G729" i="13"/>
  <c r="D1941" i="15"/>
  <c r="D1942" i="14"/>
  <c r="K1948" i="13"/>
  <c r="H1948" i="13"/>
  <c r="G1948" i="13"/>
  <c r="I2302" i="15"/>
  <c r="F2303" i="14"/>
  <c r="D1828" i="15"/>
  <c r="D1829" i="14"/>
  <c r="K1835" i="13"/>
  <c r="H1835" i="13"/>
  <c r="G1835" i="13"/>
  <c r="I143" i="15"/>
  <c r="F144" i="14"/>
  <c r="H149" i="13"/>
  <c r="I149" i="15" s="1"/>
  <c r="B1170" i="15"/>
  <c r="B1171" i="14"/>
  <c r="E722" i="10"/>
  <c r="G722" i="10" s="1"/>
  <c r="E1039" i="5"/>
  <c r="I1257" i="15"/>
  <c r="F1258" i="14"/>
  <c r="H853" i="15"/>
  <c r="I860" i="13"/>
  <c r="J853" i="15" s="1"/>
  <c r="H582" i="15"/>
  <c r="I589" i="13"/>
  <c r="J582" i="15" s="1"/>
  <c r="F263" i="10"/>
  <c r="G263" i="10" s="1"/>
  <c r="G689" i="5"/>
  <c r="H263" i="10" s="1"/>
  <c r="D522" i="10"/>
  <c r="D959" i="5"/>
  <c r="D563" i="10" s="1"/>
  <c r="D539" i="5"/>
  <c r="D506" i="10"/>
  <c r="D943" i="5"/>
  <c r="D547" i="10" s="1"/>
  <c r="D523" i="5"/>
  <c r="D693" i="10"/>
  <c r="D1050" i="5"/>
  <c r="D734" i="10" s="1"/>
  <c r="D677" i="10"/>
  <c r="D1034" i="5"/>
  <c r="D718" i="10" s="1"/>
  <c r="D661" i="10"/>
  <c r="D1018" i="5"/>
  <c r="D702" i="10" s="1"/>
  <c r="D520" i="10"/>
  <c r="D537" i="5"/>
  <c r="D957" i="5"/>
  <c r="D561" i="10" s="1"/>
  <c r="D504" i="10"/>
  <c r="D521" i="5"/>
  <c r="D941" i="5"/>
  <c r="D545" i="10" s="1"/>
  <c r="D515" i="10"/>
  <c r="D532" i="5"/>
  <c r="D952" i="5"/>
  <c r="D556" i="10" s="1"/>
  <c r="D499" i="10"/>
  <c r="D516" i="5"/>
  <c r="D936" i="5"/>
  <c r="D540" i="10" s="1"/>
  <c r="E95" i="10"/>
  <c r="G95" i="10" s="1"/>
  <c r="G259" i="5"/>
  <c r="H122" i="10" s="1"/>
  <c r="D1185" i="15"/>
  <c r="D1186" i="14"/>
  <c r="K1192" i="13"/>
  <c r="H1192" i="13"/>
  <c r="I1185" i="15" s="1"/>
  <c r="G1192" i="13"/>
  <c r="H1185" i="15" s="1"/>
  <c r="D295" i="13"/>
  <c r="L490" i="8"/>
  <c r="I862" i="5"/>
  <c r="O862" i="5" s="1"/>
  <c r="R862" i="5"/>
  <c r="L862" i="5"/>
  <c r="F888" i="5" s="1"/>
  <c r="F452" i="10" s="1"/>
  <c r="G452" i="10" s="1"/>
  <c r="Q862" i="5"/>
  <c r="F862" i="5"/>
  <c r="P862" i="5"/>
  <c r="H2261" i="15"/>
  <c r="I2268" i="13"/>
  <c r="J2261" i="15" s="1"/>
  <c r="D1198" i="13"/>
  <c r="F357" i="7"/>
  <c r="E1166" i="15"/>
  <c r="G1166" i="15" s="1"/>
  <c r="I1293" i="15"/>
  <c r="F1294" i="14"/>
  <c r="H2454" i="15"/>
  <c r="I2462" i="13"/>
  <c r="J2454" i="15" s="1"/>
  <c r="D874" i="13"/>
  <c r="E1884" i="5"/>
  <c r="I633" i="15"/>
  <c r="F634" i="14"/>
  <c r="D683" i="15"/>
  <c r="D684" i="14"/>
  <c r="H690" i="13"/>
  <c r="K690" i="13"/>
  <c r="I1897" i="15"/>
  <c r="F1898" i="14"/>
  <c r="I1246" i="15"/>
  <c r="F1247" i="14"/>
  <c r="H2349" i="15"/>
  <c r="I2356" i="13"/>
  <c r="J2349" i="15" s="1"/>
  <c r="D2451" i="15"/>
  <c r="K2459" i="13"/>
  <c r="H2459" i="13"/>
  <c r="I623" i="15"/>
  <c r="F624" i="14"/>
  <c r="H615" i="15"/>
  <c r="I622" i="13"/>
  <c r="J615" i="15" s="1"/>
  <c r="I2210" i="15"/>
  <c r="F2211" i="14"/>
  <c r="I15" i="4"/>
  <c r="L15" i="4" s="1"/>
  <c r="I116" i="4"/>
  <c r="L116" i="4" s="1"/>
  <c r="I616" i="15"/>
  <c r="F617" i="14"/>
  <c r="G85" i="10"/>
  <c r="I612" i="15"/>
  <c r="F613" i="14"/>
  <c r="R30" i="4"/>
  <c r="I45" i="5" s="1"/>
  <c r="C659" i="8"/>
  <c r="C664" i="8"/>
  <c r="C660" i="8"/>
  <c r="E889" i="13"/>
  <c r="D1960" i="5"/>
  <c r="I1485" i="13"/>
  <c r="J1478" i="15" s="1"/>
  <c r="B1161" i="15"/>
  <c r="B1162" i="14"/>
  <c r="D1200" i="13"/>
  <c r="F359" i="7"/>
  <c r="B758" i="15"/>
  <c r="B759" i="14"/>
  <c r="I2367" i="15"/>
  <c r="G2374" i="13"/>
  <c r="D642" i="15"/>
  <c r="D643" i="14"/>
  <c r="K649" i="13"/>
  <c r="H649" i="13"/>
  <c r="E808" i="13"/>
  <c r="D1999" i="5"/>
  <c r="E771" i="13" s="1"/>
  <c r="H2481" i="15"/>
  <c r="I2489" i="13"/>
  <c r="J2481" i="15" s="1"/>
  <c r="I626" i="15"/>
  <c r="F627" i="14"/>
  <c r="J449" i="15"/>
  <c r="I449" i="15"/>
  <c r="D2177" i="13"/>
  <c r="E702" i="6"/>
  <c r="H2353" i="15"/>
  <c r="I2360" i="13"/>
  <c r="J2353" i="15" s="1"/>
  <c r="E2457" i="13"/>
  <c r="E2449" i="15" s="1"/>
  <c r="G2449" i="15" s="1"/>
  <c r="D2009" i="5"/>
  <c r="E2456" i="13" s="1"/>
  <c r="E2448" i="15" s="1"/>
  <c r="G2448" i="15" s="1"/>
  <c r="H689" i="15"/>
  <c r="I696" i="13"/>
  <c r="J689" i="15" s="1"/>
  <c r="H348" i="15"/>
  <c r="I355" i="13"/>
  <c r="J348" i="15" s="1"/>
  <c r="I515" i="13"/>
  <c r="D502" i="13"/>
  <c r="AS1474" i="5"/>
  <c r="D419" i="13" s="1"/>
  <c r="I684" i="15"/>
  <c r="F685" i="14"/>
  <c r="H627" i="15"/>
  <c r="I634" i="13"/>
  <c r="J627" i="15" s="1"/>
  <c r="E299" i="10"/>
  <c r="G299" i="10" s="1"/>
  <c r="E726" i="5"/>
  <c r="G725" i="5"/>
  <c r="H299" i="10" s="1"/>
  <c r="I342" i="15"/>
  <c r="F343" i="14"/>
  <c r="D1004" i="13"/>
  <c r="F143" i="7"/>
  <c r="D949" i="13"/>
  <c r="F86" i="7"/>
  <c r="J1219" i="5"/>
  <c r="AH29" i="5"/>
  <c r="D76" i="13"/>
  <c r="J640" i="8"/>
  <c r="E641" i="8"/>
  <c r="H854" i="15"/>
  <c r="I861" i="13"/>
  <c r="J854" i="15" s="1"/>
  <c r="H624" i="15"/>
  <c r="I631" i="13"/>
  <c r="J624" i="15" s="1"/>
  <c r="I2386" i="15"/>
  <c r="G2393" i="13"/>
  <c r="I2396" i="15"/>
  <c r="G2403" i="13"/>
  <c r="D2383" i="13"/>
  <c r="C2011" i="5"/>
  <c r="E1965" i="5"/>
  <c r="D816" i="13"/>
  <c r="C2007" i="5"/>
  <c r="E1961" i="5"/>
  <c r="I2149" i="15"/>
  <c r="F2150" i="14"/>
  <c r="G143" i="5"/>
  <c r="F124" i="4"/>
  <c r="E124" i="4"/>
  <c r="D124" i="4"/>
  <c r="M124" i="4"/>
  <c r="H124" i="4"/>
  <c r="I1289" i="15"/>
  <c r="F1290" i="14"/>
  <c r="I1265" i="15"/>
  <c r="F1266" i="14"/>
  <c r="D1497" i="13"/>
  <c r="J357" i="9"/>
  <c r="E359" i="9"/>
  <c r="D712" i="13"/>
  <c r="S1699" i="5"/>
  <c r="H2431" i="15"/>
  <c r="I2439" i="13"/>
  <c r="J2431" i="15" s="1"/>
  <c r="I2275" i="15"/>
  <c r="F2276" i="14"/>
  <c r="B1167" i="15"/>
  <c r="B1168" i="14"/>
  <c r="D2164" i="15"/>
  <c r="D2165" i="14"/>
  <c r="K2171" i="13"/>
  <c r="H2171" i="13"/>
  <c r="G2171" i="13"/>
  <c r="I154" i="15"/>
  <c r="F155" i="14"/>
  <c r="I1245" i="15"/>
  <c r="F1246" i="14"/>
  <c r="B2382" i="13"/>
  <c r="B2375" i="15" s="1"/>
  <c r="A2010" i="5"/>
  <c r="B2380" i="13" s="1"/>
  <c r="B2373" i="15" s="1"/>
  <c r="H337" i="13"/>
  <c r="I337" i="13" s="1"/>
  <c r="K337" i="13"/>
  <c r="I2368" i="15"/>
  <c r="G2375" i="13"/>
  <c r="H584" i="15"/>
  <c r="I591" i="13"/>
  <c r="J584" i="15" s="1"/>
  <c r="I361" i="15"/>
  <c r="F362" i="14"/>
  <c r="F88" i="10"/>
  <c r="G88" i="10" s="1"/>
  <c r="G252" i="5"/>
  <c r="H115" i="10" s="1"/>
  <c r="C263" i="9"/>
  <c r="C262" i="9"/>
  <c r="J263" i="9"/>
  <c r="H2206" i="15"/>
  <c r="I2213" i="13"/>
  <c r="J2206" i="15" s="1"/>
  <c r="H622" i="15"/>
  <c r="I629" i="13"/>
  <c r="J622" i="15" s="1"/>
  <c r="I734" i="15"/>
  <c r="F735" i="14"/>
  <c r="I2272" i="15"/>
  <c r="F2273" i="14"/>
  <c r="H2286" i="13"/>
  <c r="I2279" i="15" s="1"/>
  <c r="H280" i="15"/>
  <c r="I280" i="13"/>
  <c r="J280" i="15" s="1"/>
  <c r="E2269" i="5"/>
  <c r="E2268" i="5"/>
  <c r="B763" i="15"/>
  <c r="B764" i="14"/>
  <c r="E822" i="13"/>
  <c r="K1988" i="5"/>
  <c r="E785" i="13" s="1"/>
  <c r="H2389" i="15"/>
  <c r="I2396" i="13"/>
  <c r="J2389" i="15" s="1"/>
  <c r="I2418" i="15"/>
  <c r="G2426" i="13"/>
  <c r="D385" i="15"/>
  <c r="D386" i="14"/>
  <c r="H392" i="13"/>
  <c r="H385" i="15" s="1"/>
  <c r="K392" i="13"/>
  <c r="B796" i="15"/>
  <c r="B797" i="14"/>
  <c r="B816" i="13"/>
  <c r="A2007" i="5"/>
  <c r="B779" i="13" s="1"/>
  <c r="D999" i="15"/>
  <c r="D1000" i="14"/>
  <c r="K1006" i="13"/>
  <c r="G1006" i="13"/>
  <c r="H1006" i="13"/>
  <c r="D920" i="15"/>
  <c r="D921" i="14"/>
  <c r="K927" i="13"/>
  <c r="H927" i="13"/>
  <c r="G927" i="13"/>
  <c r="D411" i="15"/>
  <c r="D412" i="14"/>
  <c r="H418" i="13"/>
  <c r="H411" i="15" s="1"/>
  <c r="K418" i="13"/>
  <c r="G418" i="13"/>
  <c r="H51" i="15"/>
  <c r="I51" i="13"/>
  <c r="J51" i="15" s="1"/>
  <c r="I846" i="15"/>
  <c r="F847" i="14"/>
  <c r="C805" i="15"/>
  <c r="C806" i="14"/>
  <c r="D1651" i="13"/>
  <c r="E535" i="9"/>
  <c r="D1508" i="15"/>
  <c r="D1509" i="14"/>
  <c r="K1515" i="13"/>
  <c r="H1515" i="13"/>
  <c r="G1515" i="13"/>
  <c r="I648" i="15"/>
  <c r="F649" i="14"/>
  <c r="I365" i="15"/>
  <c r="F366" i="14"/>
  <c r="C250" i="4"/>
  <c r="C249" i="4"/>
  <c r="C245" i="4"/>
  <c r="D519" i="15"/>
  <c r="D520" i="14"/>
  <c r="H526" i="13"/>
  <c r="H519" i="15" s="1"/>
  <c r="G526" i="13"/>
  <c r="L12" i="4"/>
  <c r="E1163" i="15"/>
  <c r="G1163" i="15" s="1"/>
  <c r="H827" i="15"/>
  <c r="I834" i="13"/>
  <c r="J827" i="15" s="1"/>
  <c r="I1263" i="15"/>
  <c r="F1264" i="14"/>
  <c r="E870" i="15"/>
  <c r="G870" i="15" s="1"/>
  <c r="G877" i="13"/>
  <c r="I1337" i="15"/>
  <c r="F1338" i="14"/>
  <c r="H2456" i="15"/>
  <c r="I2464" i="13"/>
  <c r="J2456" i="15" s="1"/>
  <c r="H1045" i="15"/>
  <c r="I1052" i="13"/>
  <c r="J1045" i="15" s="1"/>
  <c r="B1171" i="15"/>
  <c r="B1172" i="14"/>
  <c r="I2245" i="15"/>
  <c r="F2246" i="14"/>
  <c r="H956" i="15"/>
  <c r="I963" i="13"/>
  <c r="J956" i="15" s="1"/>
  <c r="H2439" i="15"/>
  <c r="I2447" i="13"/>
  <c r="J2439" i="15" s="1"/>
  <c r="E1123" i="15"/>
  <c r="G1123" i="15" s="1"/>
  <c r="E872" i="15"/>
  <c r="G872" i="15" s="1"/>
  <c r="I1247" i="15"/>
  <c r="F1248" i="14"/>
  <c r="E814" i="13"/>
  <c r="D2005" i="5"/>
  <c r="E777" i="13" s="1"/>
  <c r="E823" i="13"/>
  <c r="H823" i="13" s="1"/>
  <c r="K1989" i="5"/>
  <c r="E786" i="13" s="1"/>
  <c r="I387" i="13"/>
  <c r="G438" i="13"/>
  <c r="I438" i="13" s="1"/>
  <c r="J387" i="15"/>
  <c r="I387" i="15"/>
  <c r="I1632" i="15"/>
  <c r="F1633" i="14"/>
  <c r="E459" i="10"/>
  <c r="G459" i="10" s="1"/>
  <c r="E896" i="5"/>
  <c r="E264" i="10"/>
  <c r="F690" i="5"/>
  <c r="F264" i="10" s="1"/>
  <c r="I2152" i="15"/>
  <c r="F2153" i="14"/>
  <c r="D525" i="10"/>
  <c r="D962" i="5"/>
  <c r="D566" i="10" s="1"/>
  <c r="D542" i="5"/>
  <c r="D509" i="10"/>
  <c r="D946" i="5"/>
  <c r="D550" i="10" s="1"/>
  <c r="D526" i="5"/>
  <c r="D691" i="10"/>
  <c r="D1048" i="5"/>
  <c r="D732" i="10" s="1"/>
  <c r="D675" i="10"/>
  <c r="D1032" i="5"/>
  <c r="D716" i="10" s="1"/>
  <c r="D657" i="10"/>
  <c r="D1014" i="5"/>
  <c r="D698" i="10" s="1"/>
  <c r="D737" i="13"/>
  <c r="C1804" i="5"/>
  <c r="J1793" i="5"/>
  <c r="C1847" i="5"/>
  <c r="E1803" i="5"/>
  <c r="F97" i="5"/>
  <c r="F101" i="5" s="1"/>
  <c r="D113" i="4"/>
  <c r="D112" i="4"/>
  <c r="P134" i="4"/>
  <c r="O134" i="4"/>
  <c r="N134" i="4"/>
  <c r="C406" i="8"/>
  <c r="C342" i="8" s="1"/>
  <c r="C337" i="8"/>
  <c r="H1352" i="15"/>
  <c r="I1359" i="13"/>
  <c r="J1352" i="15" s="1"/>
  <c r="D667" i="15"/>
  <c r="D668" i="14"/>
  <c r="H674" i="13"/>
  <c r="K674" i="13"/>
  <c r="H2358" i="15"/>
  <c r="I2365" i="13"/>
  <c r="J2358" i="15" s="1"/>
  <c r="E1158" i="15"/>
  <c r="G1158" i="15" s="1"/>
  <c r="I1256" i="15"/>
  <c r="F1257" i="14"/>
  <c r="I1263" i="13"/>
  <c r="J1256" i="15" s="1"/>
  <c r="B804" i="15"/>
  <c r="B805" i="14"/>
  <c r="B695" i="15"/>
  <c r="B696" i="14"/>
  <c r="I110" i="15"/>
  <c r="F111" i="14"/>
  <c r="D813" i="13"/>
  <c r="C2004" i="5"/>
  <c r="E1958" i="5"/>
  <c r="H1297" i="15"/>
  <c r="I1304" i="13"/>
  <c r="J1297" i="15" s="1"/>
  <c r="C764" i="15"/>
  <c r="C765" i="14"/>
  <c r="E2370" i="15"/>
  <c r="G2370" i="15" s="1"/>
  <c r="H2377" i="13"/>
  <c r="I393" i="13"/>
  <c r="I1252" i="15"/>
  <c r="F1253" i="14"/>
  <c r="Q44" i="4"/>
  <c r="R44" i="4" s="1"/>
  <c r="C31" i="5" s="1"/>
  <c r="D265" i="13"/>
  <c r="E485" i="8"/>
  <c r="G248" i="5"/>
  <c r="H111" i="10" s="1"/>
  <c r="I1344" i="13"/>
  <c r="J1337" i="15" s="1"/>
  <c r="I147" i="15"/>
  <c r="F148" i="14"/>
  <c r="G690" i="13"/>
  <c r="H2404" i="15"/>
  <c r="I2411" i="13"/>
  <c r="J2404" i="15" s="1"/>
  <c r="I2235" i="15"/>
  <c r="F2236" i="14"/>
  <c r="D2308" i="15"/>
  <c r="D2309" i="14"/>
  <c r="H2315" i="13"/>
  <c r="G2315" i="13"/>
  <c r="I152" i="15"/>
  <c r="F153" i="14"/>
  <c r="H1148" i="13"/>
  <c r="I1141" i="15" s="1"/>
  <c r="H2426" i="15"/>
  <c r="I2434" i="13"/>
  <c r="J2426" i="15" s="1"/>
  <c r="B1158" i="15"/>
  <c r="B1159" i="14"/>
  <c r="I2398" i="15"/>
  <c r="G2405" i="13"/>
  <c r="I601" i="15"/>
  <c r="F602" i="14"/>
  <c r="H596" i="15"/>
  <c r="I603" i="13"/>
  <c r="J596" i="15" s="1"/>
  <c r="E308" i="10"/>
  <c r="G308" i="10" s="1"/>
  <c r="E735" i="5"/>
  <c r="G734" i="5"/>
  <c r="H308" i="10" s="1"/>
  <c r="D2166" i="15"/>
  <c r="D2167" i="14"/>
  <c r="H2173" i="13"/>
  <c r="K2173" i="13"/>
  <c r="G2173" i="13"/>
  <c r="H612" i="15"/>
  <c r="I619" i="13"/>
  <c r="J612" i="15" s="1"/>
  <c r="J462" i="15"/>
  <c r="I462" i="15"/>
  <c r="I432" i="13"/>
  <c r="D505" i="13"/>
  <c r="AS1477" i="5"/>
  <c r="D422" i="13" s="1"/>
  <c r="D1626" i="13"/>
  <c r="E510" i="9"/>
  <c r="D1663" i="13"/>
  <c r="E547" i="9"/>
  <c r="D1840" i="13"/>
  <c r="E2159" i="5"/>
  <c r="J1194" i="5"/>
  <c r="I1194" i="5" s="1"/>
  <c r="J1192" i="5"/>
  <c r="D801" i="13"/>
  <c r="E1946" i="5"/>
  <c r="D746" i="13"/>
  <c r="O1787" i="5"/>
  <c r="D838" i="13"/>
  <c r="E1837" i="5"/>
  <c r="D915" i="15"/>
  <c r="D916" i="14"/>
  <c r="K922" i="13"/>
  <c r="H922" i="13"/>
  <c r="G922" i="13"/>
  <c r="D947" i="13"/>
  <c r="F84" i="7"/>
  <c r="D2428" i="15"/>
  <c r="K2436" i="13"/>
  <c r="H2436" i="13"/>
  <c r="D94" i="13"/>
  <c r="L643" i="8"/>
  <c r="C757" i="15"/>
  <c r="C758" i="14"/>
  <c r="H685" i="15"/>
  <c r="I692" i="13"/>
  <c r="J685" i="15" s="1"/>
  <c r="H664" i="15"/>
  <c r="I671" i="13"/>
  <c r="J664" i="15" s="1"/>
  <c r="E490" i="15"/>
  <c r="G490" i="15" s="1"/>
  <c r="I643" i="15"/>
  <c r="F644" i="14"/>
  <c r="F608" i="5"/>
  <c r="F604" i="5"/>
  <c r="C1258" i="5"/>
  <c r="C1259" i="5" s="1"/>
  <c r="C858" i="5"/>
  <c r="R397" i="5"/>
  <c r="R398" i="5" s="1"/>
  <c r="F397" i="5"/>
  <c r="Q397" i="5"/>
  <c r="Q398" i="5" s="1"/>
  <c r="P397" i="5"/>
  <c r="I397" i="5"/>
  <c r="O397" i="5" s="1"/>
  <c r="S397" i="5"/>
  <c r="S398" i="5" s="1"/>
  <c r="T398" i="5" s="1"/>
  <c r="T598" i="5" s="1"/>
  <c r="C398" i="5"/>
  <c r="D398" i="5" s="1"/>
  <c r="E592" i="5"/>
  <c r="R98" i="4"/>
  <c r="I1054" i="5" s="1"/>
  <c r="M86" i="4"/>
  <c r="Q86" i="4" s="1"/>
  <c r="R86" i="4" s="1"/>
  <c r="M78" i="4"/>
  <c r="Q78" i="4" s="1"/>
  <c r="E1135" i="15"/>
  <c r="G1135" i="15" s="1"/>
  <c r="B802" i="15"/>
  <c r="B803" i="14"/>
  <c r="H1284" i="15"/>
  <c r="I1291" i="13"/>
  <c r="J1284" i="15" s="1"/>
  <c r="G1309" i="13"/>
  <c r="H2151" i="15"/>
  <c r="I2158" i="13"/>
  <c r="J2151" i="15" s="1"/>
  <c r="D1937" i="13"/>
  <c r="E398" i="6"/>
  <c r="J398" i="6"/>
  <c r="K122" i="4"/>
  <c r="J122" i="4"/>
  <c r="I122" i="4"/>
  <c r="I1298" i="15"/>
  <c r="F1299" i="14"/>
  <c r="D797" i="13"/>
  <c r="E1942" i="5"/>
  <c r="I2301" i="15"/>
  <c r="F2302" i="14"/>
  <c r="I582" i="15"/>
  <c r="F583" i="14"/>
  <c r="H1832" i="15"/>
  <c r="I1839" i="13"/>
  <c r="J1832" i="15" s="1"/>
  <c r="E877" i="15"/>
  <c r="G877" i="15" s="1"/>
  <c r="G884" i="13"/>
  <c r="C880" i="15"/>
  <c r="C881" i="14"/>
  <c r="D989" i="15"/>
  <c r="D990" i="14"/>
  <c r="K996" i="13"/>
  <c r="H996" i="13"/>
  <c r="G996" i="13"/>
  <c r="D918" i="15"/>
  <c r="D919" i="14"/>
  <c r="K925" i="13"/>
  <c r="G925" i="13"/>
  <c r="H925" i="13"/>
  <c r="C248" i="9"/>
  <c r="O1179" i="5"/>
  <c r="P1179" i="5" s="1"/>
  <c r="O1164" i="5"/>
  <c r="O1177" i="5"/>
  <c r="O1185" i="5"/>
  <c r="P1185" i="5" s="1"/>
  <c r="D543" i="8"/>
  <c r="D81" i="13"/>
  <c r="E646" i="8"/>
  <c r="I478" i="13"/>
  <c r="D728" i="13"/>
  <c r="E1794" i="5"/>
  <c r="D876" i="13"/>
  <c r="E1886" i="5"/>
  <c r="I669" i="15"/>
  <c r="F670" i="14"/>
  <c r="E111" i="4"/>
  <c r="L72" i="4"/>
  <c r="I428" i="13"/>
  <c r="I1274" i="15"/>
  <c r="F1275" i="14"/>
  <c r="D696" i="15"/>
  <c r="D697" i="14"/>
  <c r="H703" i="13"/>
  <c r="I703" i="13" s="1"/>
  <c r="J696" i="15" s="1"/>
  <c r="K703" i="13"/>
  <c r="D2228" i="13"/>
  <c r="C367" i="12"/>
  <c r="I366" i="12"/>
  <c r="E366" i="12"/>
  <c r="K100" i="4"/>
  <c r="K103" i="4"/>
  <c r="D1816" i="15"/>
  <c r="D1817" i="14"/>
  <c r="K1823" i="13"/>
  <c r="H1823" i="13"/>
  <c r="G1823" i="13"/>
  <c r="H1939" i="15"/>
  <c r="I1946" i="13"/>
  <c r="J1939" i="15" s="1"/>
  <c r="H864" i="15"/>
  <c r="I871" i="13"/>
  <c r="J864" i="15" s="1"/>
  <c r="D817" i="15"/>
  <c r="D1151" i="15"/>
  <c r="D1152" i="14"/>
  <c r="K1158" i="13"/>
  <c r="D2166" i="13"/>
  <c r="E691" i="6"/>
  <c r="I46" i="15"/>
  <c r="F47" i="14"/>
  <c r="I2357" i="15"/>
  <c r="G2364" i="13"/>
  <c r="H2462" i="15"/>
  <c r="I2470" i="13"/>
  <c r="J2462" i="15" s="1"/>
  <c r="H857" i="15"/>
  <c r="I864" i="13"/>
  <c r="J857" i="15" s="1"/>
  <c r="H666" i="15"/>
  <c r="I673" i="13"/>
  <c r="J666" i="15" s="1"/>
  <c r="I380" i="13"/>
  <c r="D1321" i="15"/>
  <c r="D1322" i="14"/>
  <c r="H1328" i="13"/>
  <c r="G1328" i="13"/>
  <c r="B804" i="13"/>
  <c r="A1995" i="5"/>
  <c r="B767" i="13" s="1"/>
  <c r="I1304" i="15"/>
  <c r="F1305" i="14"/>
  <c r="H1312" i="13"/>
  <c r="I1305" i="15" s="1"/>
  <c r="I688" i="15"/>
  <c r="F689" i="14"/>
  <c r="I672" i="15"/>
  <c r="F673" i="14"/>
  <c r="D521" i="10"/>
  <c r="D958" i="5"/>
  <c r="D562" i="10" s="1"/>
  <c r="D538" i="5"/>
  <c r="D505" i="10"/>
  <c r="D942" i="5"/>
  <c r="D546" i="10" s="1"/>
  <c r="D522" i="5"/>
  <c r="D660" i="10"/>
  <c r="D1017" i="5"/>
  <c r="D701" i="10" s="1"/>
  <c r="D687" i="10"/>
  <c r="D1044" i="5"/>
  <c r="D728" i="10" s="1"/>
  <c r="D671" i="10"/>
  <c r="D1028" i="5"/>
  <c r="D712" i="10" s="1"/>
  <c r="E347" i="10"/>
  <c r="G347" i="10" s="1"/>
  <c r="E774" i="5"/>
  <c r="G773" i="5"/>
  <c r="H347" i="10" s="1"/>
  <c r="O95" i="4"/>
  <c r="O94" i="4"/>
  <c r="K133" i="4"/>
  <c r="J133" i="4"/>
  <c r="I133" i="4"/>
  <c r="T400" i="5"/>
  <c r="G187" i="4"/>
  <c r="I175" i="15"/>
  <c r="F176" i="14"/>
  <c r="D1195" i="13"/>
  <c r="F354" i="7"/>
  <c r="D870" i="15"/>
  <c r="D871" i="14"/>
  <c r="H877" i="13"/>
  <c r="K877" i="13"/>
  <c r="H1380" i="15"/>
  <c r="I1387" i="13"/>
  <c r="J1380" i="15" s="1"/>
  <c r="H2391" i="15"/>
  <c r="I2398" i="13"/>
  <c r="J2391" i="15" s="1"/>
  <c r="H2276" i="15"/>
  <c r="I2283" i="13"/>
  <c r="J2276" i="15" s="1"/>
  <c r="C412" i="10"/>
  <c r="C889" i="5"/>
  <c r="G427" i="5"/>
  <c r="H412" i="10" s="1"/>
  <c r="C553" i="5"/>
  <c r="C469" i="5"/>
  <c r="C422" i="10"/>
  <c r="C479" i="5"/>
  <c r="C899" i="5"/>
  <c r="C563" i="5"/>
  <c r="C438" i="10"/>
  <c r="C495" i="5"/>
  <c r="C915" i="5"/>
  <c r="C579" i="5"/>
  <c r="C415" i="10"/>
  <c r="C556" i="5"/>
  <c r="C472" i="5"/>
  <c r="G430" i="5"/>
  <c r="H415" i="10" s="1"/>
  <c r="C892" i="5"/>
  <c r="C431" i="10"/>
  <c r="C572" i="5"/>
  <c r="C488" i="5"/>
  <c r="G446" i="5"/>
  <c r="H431" i="10" s="1"/>
  <c r="C908" i="5"/>
  <c r="C447" i="10"/>
  <c r="C588" i="5"/>
  <c r="C504" i="5"/>
  <c r="C924" i="5"/>
  <c r="C416" i="10"/>
  <c r="C893" i="5"/>
  <c r="C557" i="5"/>
  <c r="G431" i="5"/>
  <c r="H416" i="10" s="1"/>
  <c r="C473" i="5"/>
  <c r="C432" i="10"/>
  <c r="C909" i="5"/>
  <c r="C573" i="5"/>
  <c r="G447" i="5"/>
  <c r="H432" i="10" s="1"/>
  <c r="C489" i="5"/>
  <c r="C448" i="10"/>
  <c r="C925" i="5"/>
  <c r="C589" i="5"/>
  <c r="C505" i="5"/>
  <c r="C425" i="10"/>
  <c r="C566" i="5"/>
  <c r="C902" i="5"/>
  <c r="C482" i="5"/>
  <c r="C441" i="10"/>
  <c r="C582" i="5"/>
  <c r="C918" i="5"/>
  <c r="C498" i="5"/>
  <c r="I163" i="15"/>
  <c r="F164" i="14"/>
  <c r="H2154" i="15"/>
  <c r="I2161" i="13"/>
  <c r="J2154" i="15" s="1"/>
  <c r="H2347" i="15"/>
  <c r="I2354" i="13"/>
  <c r="J2347" i="15" s="1"/>
  <c r="D1821" i="15"/>
  <c r="D1822" i="14"/>
  <c r="K1828" i="13"/>
  <c r="H1828" i="13"/>
  <c r="G1828" i="13"/>
  <c r="D1318" i="13"/>
  <c r="E2200" i="5"/>
  <c r="H1254" i="15"/>
  <c r="I1261" i="13"/>
  <c r="J1254" i="15" s="1"/>
  <c r="E806" i="13"/>
  <c r="D1997" i="5"/>
  <c r="E769" i="13" s="1"/>
  <c r="H620" i="15"/>
  <c r="I627" i="13"/>
  <c r="J620" i="15" s="1"/>
  <c r="H67" i="15"/>
  <c r="I67" i="13"/>
  <c r="J67" i="15" s="1"/>
  <c r="E863" i="15"/>
  <c r="G863" i="15" s="1"/>
  <c r="G870" i="13"/>
  <c r="H870" i="13"/>
  <c r="E825" i="15"/>
  <c r="G825" i="15" s="1"/>
  <c r="E372" i="15"/>
  <c r="G372" i="15" s="1"/>
  <c r="I1822" i="15"/>
  <c r="F1823" i="14"/>
  <c r="Q97" i="4"/>
  <c r="R97" i="4" s="1"/>
  <c r="I602" i="5" s="1"/>
  <c r="I520" i="13"/>
  <c r="E911" i="15"/>
  <c r="G911" i="15" s="1"/>
  <c r="H1861" i="15"/>
  <c r="I1868" i="13"/>
  <c r="J1861" i="15" s="1"/>
  <c r="H1276" i="15"/>
  <c r="I1283" i="13"/>
  <c r="J1276" i="15" s="1"/>
  <c r="D472" i="13"/>
  <c r="L1490" i="5"/>
  <c r="BD1475" i="5" s="1"/>
  <c r="BB1475" i="5"/>
  <c r="D389" i="13" s="1"/>
  <c r="C339" i="9"/>
  <c r="X8" i="5"/>
  <c r="F1124" i="5"/>
  <c r="C135" i="4" s="1"/>
  <c r="C123" i="4"/>
  <c r="E94" i="10"/>
  <c r="G94" i="10" s="1"/>
  <c r="G258" i="5"/>
  <c r="H121" i="10" s="1"/>
  <c r="C208" i="4"/>
  <c r="G208" i="4" s="1"/>
  <c r="G65" i="4"/>
  <c r="C217" i="4" s="1"/>
  <c r="C114" i="4"/>
  <c r="H1368" i="15"/>
  <c r="I1375" i="13"/>
  <c r="J1368" i="15" s="1"/>
  <c r="I165" i="15"/>
  <c r="F166" i="14"/>
  <c r="H1158" i="13"/>
  <c r="I1151" i="15" s="1"/>
  <c r="B762" i="15"/>
  <c r="B763" i="14"/>
  <c r="H2346" i="13"/>
  <c r="I2339" i="15" s="1"/>
  <c r="I2309" i="15"/>
  <c r="F2310" i="14"/>
  <c r="D2285" i="15"/>
  <c r="D2286" i="14"/>
  <c r="H2292" i="13"/>
  <c r="G2292" i="13"/>
  <c r="I1253" i="15"/>
  <c r="F1254" i="14"/>
  <c r="I1260" i="13"/>
  <c r="J1253" i="15" s="1"/>
  <c r="I2244" i="15"/>
  <c r="F2245" i="14"/>
  <c r="D342" i="7"/>
  <c r="C360" i="7"/>
  <c r="B1162" i="15"/>
  <c r="B1163" i="14"/>
  <c r="I719" i="15"/>
  <c r="F720" i="14"/>
  <c r="I630" i="15"/>
  <c r="F631" i="14"/>
  <c r="G540" i="13"/>
  <c r="I537" i="13"/>
  <c r="I1315" i="13"/>
  <c r="J1308" i="15" s="1"/>
  <c r="E861" i="15"/>
  <c r="G861" i="15" s="1"/>
  <c r="B862" i="15"/>
  <c r="B863" i="14"/>
  <c r="E697" i="15"/>
  <c r="G697" i="15" s="1"/>
  <c r="G704" i="13"/>
  <c r="E624" i="10"/>
  <c r="G624" i="10" s="1"/>
  <c r="E981" i="5"/>
  <c r="D1938" i="15"/>
  <c r="D1939" i="14"/>
  <c r="K1945" i="13"/>
  <c r="H1945" i="13"/>
  <c r="G1945" i="13"/>
  <c r="E800" i="15"/>
  <c r="G800" i="15" s="1"/>
  <c r="D515" i="15"/>
  <c r="D516" i="14"/>
  <c r="H522" i="13"/>
  <c r="H515" i="15" s="1"/>
  <c r="R867" i="5"/>
  <c r="F932" i="5" s="1"/>
  <c r="F536" i="10" s="1"/>
  <c r="G536" i="10" s="1"/>
  <c r="P867" i="5"/>
  <c r="F931" i="5" s="1"/>
  <c r="F535" i="10" s="1"/>
  <c r="G535" i="10" s="1"/>
  <c r="I199" i="4"/>
  <c r="H537" i="15"/>
  <c r="I544" i="13"/>
  <c r="J537" i="15" s="1"/>
  <c r="D411" i="5"/>
  <c r="D874" i="5"/>
  <c r="I685" i="15"/>
  <c r="F686" i="14"/>
  <c r="D1482" i="15"/>
  <c r="D1483" i="14"/>
  <c r="H1489" i="13"/>
  <c r="K1489" i="13"/>
  <c r="G1489" i="13"/>
  <c r="P402" i="5"/>
  <c r="F427" i="5" s="1"/>
  <c r="F412" i="10" s="1"/>
  <c r="G412" i="10" s="1"/>
  <c r="H2395" i="15"/>
  <c r="I2402" i="13"/>
  <c r="J2395" i="15" s="1"/>
  <c r="G1154" i="13"/>
  <c r="H1147" i="15" s="1"/>
  <c r="D1154" i="15"/>
  <c r="D1155" i="14"/>
  <c r="K1161" i="13"/>
  <c r="H1161" i="13"/>
  <c r="I1154" i="15" s="1"/>
  <c r="G1161" i="13"/>
  <c r="H1154" i="15" s="1"/>
  <c r="I2270" i="5"/>
  <c r="G2272" i="5"/>
  <c r="H2352" i="15"/>
  <c r="I2359" i="13"/>
  <c r="J2352" i="15" s="1"/>
  <c r="H1261" i="15"/>
  <c r="I1268" i="13"/>
  <c r="J1261" i="15" s="1"/>
  <c r="E501" i="10"/>
  <c r="G501" i="10" s="1"/>
  <c r="E477" i="5"/>
  <c r="D2222" i="13"/>
  <c r="L670" i="6"/>
  <c r="L676" i="6"/>
  <c r="D1139" i="15"/>
  <c r="D1140" i="14"/>
  <c r="K1146" i="13"/>
  <c r="I2362" i="15"/>
  <c r="G2369" i="13"/>
  <c r="H360" i="15"/>
  <c r="I367" i="13"/>
  <c r="J360" i="15" s="1"/>
  <c r="D527" i="13"/>
  <c r="AR1447" i="5"/>
  <c r="D444" i="13" s="1"/>
  <c r="J1147" i="5"/>
  <c r="J1144" i="5"/>
  <c r="J1145" i="5" s="1"/>
  <c r="J1146" i="5" s="1"/>
  <c r="O624" i="5"/>
  <c r="E640" i="5"/>
  <c r="F624" i="5"/>
  <c r="H1324" i="15"/>
  <c r="I1331" i="13"/>
  <c r="J1324" i="15" s="1"/>
  <c r="E408" i="15"/>
  <c r="G408" i="15" s="1"/>
  <c r="C641" i="9"/>
  <c r="P1192" i="5"/>
  <c r="P1193" i="5" s="1"/>
  <c r="P1190" i="5" s="1"/>
  <c r="D2163" i="15"/>
  <c r="D2164" i="14"/>
  <c r="H2170" i="13"/>
  <c r="K2170" i="13"/>
  <c r="G2170" i="13"/>
  <c r="D697" i="15"/>
  <c r="D698" i="14"/>
  <c r="H704" i="13"/>
  <c r="K704" i="13"/>
  <c r="D52" i="15"/>
  <c r="D53" i="14"/>
  <c r="K52" i="13"/>
  <c r="H52" i="13"/>
  <c r="G52" i="13"/>
  <c r="E869" i="15"/>
  <c r="G869" i="15" s="1"/>
  <c r="G876" i="13"/>
  <c r="G2275" i="5"/>
  <c r="H684" i="15"/>
  <c r="I691" i="13"/>
  <c r="J684" i="15" s="1"/>
  <c r="D206" i="8"/>
  <c r="D202" i="8"/>
  <c r="D207" i="8" s="1"/>
  <c r="G13" i="4"/>
  <c r="K137" i="4"/>
  <c r="J137" i="4"/>
  <c r="I137" i="4"/>
  <c r="G457" i="13"/>
  <c r="D1922" i="5"/>
  <c r="J1927" i="5"/>
  <c r="D384" i="15"/>
  <c r="D385" i="14"/>
  <c r="H391" i="13"/>
  <c r="H384" i="15" s="1"/>
  <c r="K391" i="13"/>
  <c r="D796" i="13"/>
  <c r="E1941" i="5"/>
  <c r="D1819" i="13"/>
  <c r="E2138" i="5"/>
  <c r="I1843" i="15"/>
  <c r="F1844" i="14"/>
  <c r="H833" i="15"/>
  <c r="H109" i="15"/>
  <c r="I109" i="13"/>
  <c r="J109" i="15" s="1"/>
  <c r="D1570" i="15"/>
  <c r="D1571" i="14"/>
  <c r="K1577" i="13"/>
  <c r="H1577" i="13"/>
  <c r="G1577" i="13"/>
  <c r="H2307" i="15"/>
  <c r="I2314" i="13"/>
  <c r="J2307" i="15" s="1"/>
  <c r="H737" i="10"/>
  <c r="G594" i="5"/>
  <c r="H741" i="10" s="1"/>
  <c r="H715" i="15"/>
  <c r="I722" i="13"/>
  <c r="J715" i="15" s="1"/>
  <c r="AD389" i="5"/>
  <c r="AD379" i="5"/>
  <c r="AD598" i="5" s="1"/>
  <c r="T617" i="5"/>
  <c r="D1923" i="13"/>
  <c r="M2286" i="5"/>
  <c r="H839" i="15"/>
  <c r="I846" i="13"/>
  <c r="J839" i="15" s="1"/>
  <c r="H2443" i="15"/>
  <c r="I2451" i="13"/>
  <c r="J2443" i="15" s="1"/>
  <c r="I2485" i="15"/>
  <c r="G2493" i="13"/>
  <c r="D687" i="15"/>
  <c r="D688" i="14"/>
  <c r="H694" i="13"/>
  <c r="K694" i="13"/>
  <c r="J456" i="15"/>
  <c r="I456" i="15"/>
  <c r="I109" i="15"/>
  <c r="F110" i="14"/>
  <c r="H1325" i="15"/>
  <c r="I1332" i="13"/>
  <c r="J1325" i="15" s="1"/>
  <c r="D1273" i="15"/>
  <c r="D1274" i="14"/>
  <c r="H1280" i="13"/>
  <c r="G1280" i="13"/>
  <c r="I840" i="15"/>
  <c r="F841" i="14"/>
  <c r="H1257" i="15"/>
  <c r="I1264" i="13"/>
  <c r="J1257" i="15" s="1"/>
  <c r="I2377" i="15"/>
  <c r="G2384" i="13"/>
  <c r="D815" i="13"/>
  <c r="C2006" i="5"/>
  <c r="E1960" i="5"/>
  <c r="I607" i="15"/>
  <c r="F608" i="14"/>
  <c r="I403" i="13"/>
  <c r="D686" i="10"/>
  <c r="D1043" i="5"/>
  <c r="D727" i="10" s="1"/>
  <c r="D670" i="10"/>
  <c r="D1027" i="5"/>
  <c r="D711" i="10" s="1"/>
  <c r="D684" i="10"/>
  <c r="D1041" i="5"/>
  <c r="D725" i="10" s="1"/>
  <c r="D668" i="10"/>
  <c r="D1025" i="5"/>
  <c r="D709" i="10" s="1"/>
  <c r="D494" i="10"/>
  <c r="D931" i="5"/>
  <c r="D535" i="10" s="1"/>
  <c r="D511" i="5"/>
  <c r="I481" i="13"/>
  <c r="D1958" i="15"/>
  <c r="D1959" i="14"/>
  <c r="H1965" i="13"/>
  <c r="G1965" i="13"/>
  <c r="I624" i="15"/>
  <c r="F625" i="14"/>
  <c r="T401" i="5"/>
  <c r="Q1074" i="5"/>
  <c r="Q1079" i="5" s="1"/>
  <c r="Q1073" i="5"/>
  <c r="Q1078" i="5" s="1"/>
  <c r="M48" i="4"/>
  <c r="R48" i="4" s="1"/>
  <c r="R49" i="4" s="1"/>
  <c r="O1343" i="5" s="1"/>
  <c r="B264" i="8" s="1"/>
  <c r="M76" i="4"/>
  <c r="M58" i="4"/>
  <c r="M93" i="4"/>
  <c r="Q93" i="4" s="1"/>
  <c r="M92" i="4"/>
  <c r="Q92" i="4" s="1"/>
  <c r="M91" i="4"/>
  <c r="Q91" i="4" s="1"/>
  <c r="R91" i="4" s="1"/>
  <c r="F599" i="5" s="1"/>
  <c r="I2261" i="15"/>
  <c r="F2262" i="14"/>
  <c r="H2441" i="15"/>
  <c r="I2449" i="13"/>
  <c r="J2441" i="15" s="1"/>
  <c r="H626" i="15"/>
  <c r="I633" i="13"/>
  <c r="J626" i="15" s="1"/>
  <c r="H2301" i="15"/>
  <c r="I2308" i="13"/>
  <c r="J2301" i="15" s="1"/>
  <c r="H1279" i="15"/>
  <c r="H2388" i="15"/>
  <c r="I2395" i="13"/>
  <c r="J2388" i="15" s="1"/>
  <c r="B1172" i="15"/>
  <c r="B1173" i="14"/>
  <c r="I156" i="15"/>
  <c r="F157" i="14"/>
  <c r="E1127" i="15"/>
  <c r="G1127" i="15" s="1"/>
  <c r="H1293" i="15"/>
  <c r="I1300" i="13"/>
  <c r="J1293" i="15" s="1"/>
  <c r="D1865" i="13"/>
  <c r="O2141" i="5"/>
  <c r="D830" i="15"/>
  <c r="D831" i="14"/>
  <c r="K837" i="13"/>
  <c r="H837" i="13"/>
  <c r="H633" i="15"/>
  <c r="I640" i="13"/>
  <c r="J633" i="15" s="1"/>
  <c r="H154" i="15"/>
  <c r="I154" i="13"/>
  <c r="J154" i="15" s="1"/>
  <c r="H1897" i="15"/>
  <c r="I1904" i="13"/>
  <c r="J1897" i="15" s="1"/>
  <c r="H313" i="15"/>
  <c r="I313" i="13"/>
  <c r="J313" i="15" s="1"/>
  <c r="E541" i="10"/>
  <c r="G541" i="10" s="1"/>
  <c r="E938" i="5"/>
  <c r="H623" i="15"/>
  <c r="I630" i="13"/>
  <c r="J623" i="15" s="1"/>
  <c r="E418" i="10"/>
  <c r="G418" i="10" s="1"/>
  <c r="E434" i="5"/>
  <c r="D290" i="13"/>
  <c r="L485" i="8"/>
  <c r="I636" i="15"/>
  <c r="F637" i="14"/>
  <c r="E434" i="10"/>
  <c r="G434" i="10" s="1"/>
  <c r="E450" i="5"/>
  <c r="C663" i="8"/>
  <c r="J662" i="8"/>
  <c r="E528" i="8"/>
  <c r="C666" i="8" s="1"/>
  <c r="C662" i="8"/>
  <c r="H630" i="15"/>
  <c r="I637" i="13"/>
  <c r="J630" i="15" s="1"/>
  <c r="E845" i="15"/>
  <c r="G845" i="15" s="1"/>
  <c r="G852" i="13"/>
  <c r="H2407" i="15"/>
  <c r="I2414" i="13"/>
  <c r="J2407" i="15" s="1"/>
  <c r="H66" i="15"/>
  <c r="I66" i="13"/>
  <c r="J66" i="15" s="1"/>
  <c r="B1174" i="15"/>
  <c r="B1175" i="14"/>
  <c r="B795" i="15"/>
  <c r="B796" i="14"/>
  <c r="I1286" i="15"/>
  <c r="F1287" i="14"/>
  <c r="I1309" i="15"/>
  <c r="F1310" i="14"/>
  <c r="E875" i="15"/>
  <c r="G875" i="15" s="1"/>
  <c r="G882" i="13"/>
  <c r="D471" i="13"/>
  <c r="BB1474" i="5"/>
  <c r="D388" i="13" s="1"/>
  <c r="L1489" i="5"/>
  <c r="BD1474" i="5" s="1"/>
  <c r="D2223" i="13"/>
  <c r="L671" i="6"/>
  <c r="L677" i="6"/>
  <c r="I111" i="15"/>
  <c r="F112" i="14"/>
  <c r="I348" i="15"/>
  <c r="F349" i="14"/>
  <c r="I475" i="15"/>
  <c r="D814" i="13"/>
  <c r="E1959" i="5"/>
  <c r="C2005" i="5"/>
  <c r="I478" i="15"/>
  <c r="I2150" i="15"/>
  <c r="F2151" i="14"/>
  <c r="D919" i="15"/>
  <c r="D920" i="14"/>
  <c r="K926" i="13"/>
  <c r="G926" i="13"/>
  <c r="H926" i="13"/>
  <c r="D976" i="15"/>
  <c r="D977" i="14"/>
  <c r="K983" i="13"/>
  <c r="G983" i="13"/>
  <c r="H983" i="13"/>
  <c r="D950" i="13"/>
  <c r="F87" i="7"/>
  <c r="D933" i="15"/>
  <c r="D934" i="14"/>
  <c r="K940" i="13"/>
  <c r="G940" i="13"/>
  <c r="H940" i="13"/>
  <c r="C522" i="9"/>
  <c r="C531" i="9"/>
  <c r="J508" i="9"/>
  <c r="C530" i="9"/>
  <c r="C529" i="9"/>
  <c r="C543" i="9"/>
  <c r="C542" i="9"/>
  <c r="C541" i="9"/>
  <c r="C540" i="9"/>
  <c r="J520" i="9"/>
  <c r="J519" i="9"/>
  <c r="J518" i="9"/>
  <c r="J517" i="9"/>
  <c r="C516" i="9"/>
  <c r="C515" i="9"/>
  <c r="J514" i="9"/>
  <c r="C514" i="9"/>
  <c r="C513" i="9"/>
  <c r="J511" i="9"/>
  <c r="J510" i="9"/>
  <c r="J509" i="9"/>
  <c r="I877" i="15"/>
  <c r="F878" i="14"/>
  <c r="N95" i="4"/>
  <c r="N94" i="4"/>
  <c r="D96" i="13"/>
  <c r="L645" i="8"/>
  <c r="E161" i="15"/>
  <c r="G161" i="15" s="1"/>
  <c r="G161" i="13"/>
  <c r="H161" i="13"/>
  <c r="I839" i="15"/>
  <c r="F840" i="14"/>
  <c r="I1838" i="15"/>
  <c r="F1839" i="14"/>
  <c r="D883" i="15"/>
  <c r="D884" i="14"/>
  <c r="K890" i="13"/>
  <c r="H890" i="13"/>
  <c r="I611" i="15"/>
  <c r="F612" i="14"/>
  <c r="I689" i="15"/>
  <c r="F690" i="14"/>
  <c r="I681" i="15"/>
  <c r="F682" i="14"/>
  <c r="I673" i="15"/>
  <c r="F674" i="14"/>
  <c r="G6" i="10"/>
  <c r="O64" i="4"/>
  <c r="O61" i="4"/>
  <c r="O75" i="4"/>
  <c r="D1499" i="13"/>
  <c r="E361" i="9"/>
  <c r="D698" i="15"/>
  <c r="D699" i="14"/>
  <c r="H705" i="13"/>
  <c r="K705" i="13"/>
  <c r="G705" i="13"/>
  <c r="J100" i="4"/>
  <c r="J103" i="4"/>
  <c r="D1266" i="5"/>
  <c r="D1270" i="5" s="1"/>
  <c r="D1269" i="5"/>
  <c r="L186" i="4"/>
  <c r="H187" i="4"/>
  <c r="L187" i="4" s="1"/>
  <c r="G2310" i="13"/>
  <c r="D374" i="15"/>
  <c r="D375" i="14"/>
  <c r="H381" i="13"/>
  <c r="H374" i="15" s="1"/>
  <c r="K381" i="13"/>
  <c r="H308" i="15"/>
  <c r="I308" i="13"/>
  <c r="J308" i="15" s="1"/>
  <c r="E169" i="15"/>
  <c r="G169" i="15" s="1"/>
  <c r="H169" i="13"/>
  <c r="G169" i="13"/>
  <c r="I619" i="15"/>
  <c r="F620" i="14"/>
  <c r="T129" i="5"/>
  <c r="I1359" i="15"/>
  <c r="F1360" i="14"/>
  <c r="I2206" i="15"/>
  <c r="F2207" i="14"/>
  <c r="H734" i="15"/>
  <c r="I741" i="13"/>
  <c r="J734" i="15" s="1"/>
  <c r="I1823" i="15"/>
  <c r="F1824" i="14"/>
  <c r="H145" i="15"/>
  <c r="I145" i="13"/>
  <c r="J145" i="15" s="1"/>
  <c r="E2274" i="5"/>
  <c r="I2274" i="5" s="1"/>
  <c r="E2272" i="5"/>
  <c r="E2275" i="5"/>
  <c r="B800" i="15"/>
  <c r="B801" i="14"/>
  <c r="E889" i="15"/>
  <c r="G889" i="15" s="1"/>
  <c r="H670" i="15"/>
  <c r="I677" i="13"/>
  <c r="J670" i="15" s="1"/>
  <c r="D612" i="13"/>
  <c r="J1616" i="5"/>
  <c r="D597" i="15"/>
  <c r="D598" i="14"/>
  <c r="H604" i="13"/>
  <c r="G604" i="13"/>
  <c r="D468" i="15"/>
  <c r="D469" i="14"/>
  <c r="K475" i="13"/>
  <c r="H475" i="13"/>
  <c r="H468" i="15" s="1"/>
  <c r="D2213" i="15"/>
  <c r="D2214" i="14"/>
  <c r="H2220" i="13"/>
  <c r="G2220" i="13"/>
  <c r="I1845" i="13"/>
  <c r="J1838" i="15" s="1"/>
  <c r="B883" i="15"/>
  <c r="B884" i="14"/>
  <c r="D2427" i="15"/>
  <c r="K2435" i="13"/>
  <c r="H2435" i="13"/>
  <c r="H2204" i="15"/>
  <c r="I2211" i="13"/>
  <c r="J2204" i="15" s="1"/>
  <c r="I1301" i="15"/>
  <c r="F1302" i="14"/>
  <c r="D494" i="15"/>
  <c r="D495" i="14"/>
  <c r="K501" i="13"/>
  <c r="H501" i="13"/>
  <c r="H494" i="15" s="1"/>
  <c r="G501" i="13"/>
  <c r="I51" i="15"/>
  <c r="F52" i="14"/>
  <c r="D711" i="13"/>
  <c r="S1698" i="5"/>
  <c r="D1642" i="13"/>
  <c r="E526" i="9"/>
  <c r="C527" i="9"/>
  <c r="E13" i="10"/>
  <c r="G13" i="10" s="1"/>
  <c r="F746" i="10" s="1"/>
  <c r="G151" i="5"/>
  <c r="H14" i="10" s="1"/>
  <c r="E680" i="10"/>
  <c r="G680" i="10" s="1"/>
  <c r="E576" i="5"/>
  <c r="C257" i="4"/>
  <c r="J460" i="15"/>
  <c r="I460" i="15"/>
  <c r="H110" i="15"/>
  <c r="I110" i="13"/>
  <c r="J110" i="15" s="1"/>
  <c r="E1124" i="15"/>
  <c r="G1124" i="15" s="1"/>
  <c r="H1263" i="15"/>
  <c r="I1270" i="13"/>
  <c r="J1263" i="15" s="1"/>
  <c r="D2165" i="13"/>
  <c r="E690" i="6"/>
  <c r="E809" i="13"/>
  <c r="D2000" i="5"/>
  <c r="E772" i="13" s="1"/>
  <c r="E812" i="13"/>
  <c r="D2003" i="5"/>
  <c r="E775" i="13" s="1"/>
  <c r="I613" i="15"/>
  <c r="F614" i="14"/>
  <c r="I1262" i="15"/>
  <c r="F1263" i="14"/>
  <c r="E881" i="15"/>
  <c r="G881" i="15" s="1"/>
  <c r="G888" i="13"/>
  <c r="D2382" i="13"/>
  <c r="C2010" i="5"/>
  <c r="E1964" i="5"/>
  <c r="E890" i="15"/>
  <c r="G890" i="15" s="1"/>
  <c r="G897" i="13"/>
  <c r="H897" i="13"/>
  <c r="E695" i="15"/>
  <c r="G695" i="15" s="1"/>
  <c r="D1935" i="13"/>
  <c r="E396" i="6"/>
  <c r="J395" i="6"/>
  <c r="I1264" i="15"/>
  <c r="F1265" i="14"/>
  <c r="H1942" i="15"/>
  <c r="I1949" i="13"/>
  <c r="J1942" i="15" s="1"/>
  <c r="E1190" i="5"/>
  <c r="E142" i="10"/>
  <c r="G142" i="10" s="1"/>
  <c r="G306" i="5"/>
  <c r="H169" i="10" s="1"/>
  <c r="D1559" i="15"/>
  <c r="D1560" i="14"/>
  <c r="K1566" i="13"/>
  <c r="H1566" i="13"/>
  <c r="G1566" i="13"/>
  <c r="D166" i="8"/>
  <c r="D167" i="8"/>
  <c r="I1982" i="15"/>
  <c r="J1982" i="15"/>
  <c r="H690" i="15"/>
  <c r="I697" i="13"/>
  <c r="J690" i="15" s="1"/>
  <c r="D2247" i="15"/>
  <c r="D2248" i="14"/>
  <c r="H2254" i="13"/>
  <c r="G2254" i="13"/>
  <c r="H614" i="15"/>
  <c r="I621" i="13"/>
  <c r="J614" i="15" s="1"/>
  <c r="D2249" i="13"/>
  <c r="K368" i="12"/>
  <c r="E1119" i="15"/>
  <c r="G1119" i="15" s="1"/>
  <c r="B2457" i="13"/>
  <c r="B2449" i="15" s="1"/>
  <c r="A2009" i="5"/>
  <c r="B2456" i="13" s="1"/>
  <c r="B2448" i="15" s="1"/>
  <c r="H686" i="15"/>
  <c r="I693" i="13"/>
  <c r="J686" i="15" s="1"/>
  <c r="E1897" i="5"/>
  <c r="C801" i="15"/>
  <c r="C802" i="14"/>
  <c r="H668" i="15"/>
  <c r="I675" i="13"/>
  <c r="J668" i="15" s="1"/>
  <c r="I1778" i="15"/>
  <c r="F1779" i="14"/>
  <c r="D1925" i="15"/>
  <c r="D1926" i="14"/>
  <c r="K1932" i="13"/>
  <c r="H1932" i="13"/>
  <c r="G1932" i="13"/>
  <c r="D597" i="13"/>
  <c r="U1544" i="5"/>
  <c r="O1615" i="5"/>
  <c r="M90" i="4"/>
  <c r="D291" i="13"/>
  <c r="L486" i="8"/>
  <c r="I1841" i="15"/>
  <c r="F1842" i="14"/>
  <c r="H1277" i="15"/>
  <c r="I1284" i="13"/>
  <c r="J1277" i="15" s="1"/>
  <c r="J504" i="15"/>
  <c r="I504" i="15"/>
  <c r="G1281" i="5"/>
  <c r="AL74" i="5" s="1"/>
  <c r="AL73" i="5"/>
  <c r="C863" i="5"/>
  <c r="K2284" i="5"/>
  <c r="C2285" i="5"/>
  <c r="C2289" i="5"/>
  <c r="G1148" i="13"/>
  <c r="H1141" i="15" s="1"/>
  <c r="D153" i="15"/>
  <c r="D154" i="14"/>
  <c r="H153" i="13"/>
  <c r="G153" i="13"/>
  <c r="G158" i="13" s="1"/>
  <c r="I1255" i="15"/>
  <c r="F1256" i="14"/>
  <c r="I629" i="15"/>
  <c r="F630" i="14"/>
  <c r="D679" i="15"/>
  <c r="D680" i="14"/>
  <c r="H686" i="13"/>
  <c r="K686" i="13"/>
  <c r="D604" i="15"/>
  <c r="D605" i="14"/>
  <c r="K611" i="13"/>
  <c r="H611" i="13"/>
  <c r="G611" i="13"/>
  <c r="I596" i="15"/>
  <c r="F597" i="14"/>
  <c r="D510" i="13"/>
  <c r="G510" i="13" s="1"/>
  <c r="AS1482" i="5"/>
  <c r="D427" i="13" s="1"/>
  <c r="D1267" i="15"/>
  <c r="D1268" i="14"/>
  <c r="K1274" i="13"/>
  <c r="H1274" i="13"/>
  <c r="G1274" i="13"/>
  <c r="I2363" i="15"/>
  <c r="G2370" i="13"/>
  <c r="J395" i="15"/>
  <c r="I395" i="15"/>
  <c r="C625" i="6"/>
  <c r="C626" i="6" s="1"/>
  <c r="D1095" i="5"/>
  <c r="D1628" i="13"/>
  <c r="E512" i="9"/>
  <c r="D1652" i="13"/>
  <c r="E536" i="9"/>
  <c r="D1959" i="15"/>
  <c r="D1960" i="14"/>
  <c r="H1966" i="13"/>
  <c r="G1966" i="13"/>
  <c r="J1174" i="5"/>
  <c r="L1169" i="5"/>
  <c r="C420" i="9" s="1"/>
  <c r="D15" i="4"/>
  <c r="G15" i="4" s="1"/>
  <c r="D116" i="4"/>
  <c r="G116" i="4" s="1"/>
  <c r="H656" i="15"/>
  <c r="I663" i="13"/>
  <c r="J656" i="15" s="1"/>
  <c r="D783" i="13"/>
  <c r="O1986" i="5"/>
  <c r="D727" i="13"/>
  <c r="E1793" i="5"/>
  <c r="D875" i="13"/>
  <c r="E1885" i="5"/>
  <c r="D1011" i="13"/>
  <c r="F150" i="7"/>
  <c r="D990" i="15"/>
  <c r="D991" i="14"/>
  <c r="K997" i="13"/>
  <c r="G997" i="13"/>
  <c r="H997" i="13"/>
  <c r="D936" i="15"/>
  <c r="D937" i="14"/>
  <c r="K943" i="13"/>
  <c r="H943" i="13"/>
  <c r="G943" i="13"/>
  <c r="D952" i="13"/>
  <c r="F89" i="7"/>
  <c r="I539" i="13"/>
  <c r="G51" i="10"/>
  <c r="I100" i="4"/>
  <c r="I103" i="4"/>
  <c r="I208" i="4"/>
  <c r="I114" i="4"/>
  <c r="H1023" i="15"/>
  <c r="I1030" i="13"/>
  <c r="J1023" i="15" s="1"/>
  <c r="I1313" i="15"/>
  <c r="F1314" i="14"/>
  <c r="C794" i="15"/>
  <c r="C795" i="14"/>
  <c r="G826" i="5"/>
  <c r="H400" i="10" s="1"/>
  <c r="H148" i="15"/>
  <c r="I148" i="13"/>
  <c r="J148" i="15" s="1"/>
  <c r="R93" i="4"/>
  <c r="F1053" i="5" s="1"/>
  <c r="C81" i="5" s="1"/>
  <c r="F1015" i="5"/>
  <c r="F699" i="10" s="1"/>
  <c r="G699" i="10" s="1"/>
  <c r="C210" i="8"/>
  <c r="C274" i="8" s="1"/>
  <c r="I1362" i="5"/>
  <c r="G1363" i="5" s="1"/>
  <c r="O35" i="5"/>
  <c r="AK70" i="5"/>
  <c r="J43" i="5"/>
  <c r="S35" i="5"/>
  <c r="AK63" i="5"/>
  <c r="AL63" i="5" s="1"/>
  <c r="J45" i="5"/>
  <c r="O37" i="5"/>
  <c r="P37" i="5" s="1"/>
  <c r="O34" i="5"/>
  <c r="P34" i="5" s="1"/>
  <c r="J44" i="5"/>
  <c r="S34" i="5"/>
  <c r="O36" i="5"/>
  <c r="P36" i="5" s="1"/>
  <c r="C559" i="9"/>
  <c r="C568" i="9"/>
  <c r="C1367" i="5"/>
  <c r="C1771" i="5"/>
  <c r="C1682" i="5"/>
  <c r="G1447" i="5"/>
  <c r="C1516" i="5"/>
  <c r="D1783" i="13"/>
  <c r="E607" i="9"/>
  <c r="J585" i="9"/>
  <c r="C612" i="9"/>
  <c r="C611" i="9"/>
  <c r="P1356" i="5"/>
  <c r="O1357" i="5"/>
  <c r="P1357" i="5" s="1"/>
  <c r="M28" i="4"/>
  <c r="M85" i="4"/>
  <c r="I166" i="15"/>
  <c r="F167" i="14"/>
  <c r="G674" i="13"/>
  <c r="E370" i="15"/>
  <c r="G370" i="15" s="1"/>
  <c r="G381" i="13"/>
  <c r="I381" i="13" s="1"/>
  <c r="I2151" i="15"/>
  <c r="F2152" i="14"/>
  <c r="J509" i="15"/>
  <c r="I509" i="15"/>
  <c r="D1933" i="13"/>
  <c r="E394" i="6"/>
  <c r="J394" i="6"/>
  <c r="P122" i="4"/>
  <c r="O122" i="4"/>
  <c r="N122" i="4"/>
  <c r="P202" i="4"/>
  <c r="P200" i="4"/>
  <c r="H1298" i="15"/>
  <c r="I1305" i="13"/>
  <c r="J1298" i="15" s="1"/>
  <c r="H1979" i="15"/>
  <c r="H1994" i="13"/>
  <c r="I1832" i="15"/>
  <c r="F1833" i="14"/>
  <c r="H682" i="15"/>
  <c r="I689" i="13"/>
  <c r="J682" i="15" s="1"/>
  <c r="H1499" i="15"/>
  <c r="I1506" i="13"/>
  <c r="J1499" i="15" s="1"/>
  <c r="I2422" i="15"/>
  <c r="G2430" i="13"/>
  <c r="I1257" i="13"/>
  <c r="J1250" i="15" s="1"/>
  <c r="H665" i="15"/>
  <c r="I672" i="13"/>
  <c r="J665" i="15" s="1"/>
  <c r="H2466" i="15"/>
  <c r="I2474" i="13"/>
  <c r="J2466" i="15" s="1"/>
  <c r="E2376" i="13"/>
  <c r="J1731" i="5"/>
  <c r="G356" i="13"/>
  <c r="D1175" i="15"/>
  <c r="D1176" i="14"/>
  <c r="K1182" i="13"/>
  <c r="D1182" i="15"/>
  <c r="D1183" i="14"/>
  <c r="K1189" i="13"/>
  <c r="D1003" i="15"/>
  <c r="D1004" i="14"/>
  <c r="K1010" i="13"/>
  <c r="H1010" i="13"/>
  <c r="G1010" i="13"/>
  <c r="R203" i="4"/>
  <c r="C247" i="4"/>
  <c r="C689" i="9"/>
  <c r="I648" i="9"/>
  <c r="C647" i="9"/>
  <c r="D77" i="13"/>
  <c r="J641" i="8"/>
  <c r="E642" i="8"/>
  <c r="C643" i="8"/>
  <c r="C644" i="8"/>
  <c r="H2348" i="15"/>
  <c r="I2355" i="13"/>
  <c r="J2348" i="15" s="1"/>
  <c r="H846" i="15"/>
  <c r="I853" i="13"/>
  <c r="J846" i="15" s="1"/>
  <c r="H628" i="15"/>
  <c r="I635" i="13"/>
  <c r="J628" i="15" s="1"/>
  <c r="B801" i="13"/>
  <c r="A1992" i="5"/>
  <c r="B764" i="13" s="1"/>
  <c r="D802" i="13"/>
  <c r="E1947" i="5"/>
  <c r="E19" i="10"/>
  <c r="E184" i="5"/>
  <c r="F183" i="5"/>
  <c r="F19" i="10" s="1"/>
  <c r="F553" i="5"/>
  <c r="F658" i="10" s="1"/>
  <c r="G658" i="10" s="1"/>
  <c r="O14" i="4"/>
  <c r="O13" i="4"/>
  <c r="D1478" i="13"/>
  <c r="L278" i="9"/>
  <c r="D2232" i="13"/>
  <c r="C371" i="12"/>
  <c r="E370" i="12"/>
  <c r="K208" i="4"/>
  <c r="K114" i="4"/>
  <c r="J114" i="4"/>
  <c r="D110" i="4"/>
  <c r="D833" i="15"/>
  <c r="D834" i="14"/>
  <c r="K840" i="13"/>
  <c r="H840" i="13"/>
  <c r="I1939" i="15"/>
  <c r="F1940" i="14"/>
  <c r="D2208" i="15"/>
  <c r="D2209" i="14"/>
  <c r="H2215" i="13"/>
  <c r="G2215" i="13"/>
  <c r="D809" i="13"/>
  <c r="E1954" i="5"/>
  <c r="D1190" i="13"/>
  <c r="F349" i="7"/>
  <c r="I2346" i="15"/>
  <c r="G2353" i="13"/>
  <c r="B871" i="15"/>
  <c r="B872" i="14"/>
  <c r="H155" i="15"/>
  <c r="I155" i="13"/>
  <c r="J155" i="15" s="1"/>
  <c r="H826" i="15"/>
  <c r="I833" i="13"/>
  <c r="J826" i="15" s="1"/>
  <c r="I1195" i="5"/>
  <c r="C375" i="9" s="1"/>
  <c r="G1195" i="5"/>
  <c r="Q46" i="4"/>
  <c r="R46" i="4" s="1"/>
  <c r="C33" i="5" s="1"/>
  <c r="Q208" i="4"/>
  <c r="Q35" i="4"/>
  <c r="R35" i="4" s="1"/>
  <c r="E646" i="13"/>
  <c r="I1728" i="5"/>
  <c r="E699" i="13" s="1"/>
  <c r="H2361" i="15"/>
  <c r="I2368" i="13"/>
  <c r="J2361" i="15" s="1"/>
  <c r="D1943" i="15"/>
  <c r="D1944" i="14"/>
  <c r="K1950" i="13"/>
  <c r="H1950" i="13"/>
  <c r="G1950" i="13"/>
  <c r="P133" i="4"/>
  <c r="O133" i="4"/>
  <c r="N133" i="4"/>
  <c r="D1586" i="13"/>
  <c r="J443" i="9"/>
  <c r="E466" i="9"/>
  <c r="H1191" i="13"/>
  <c r="I1184" i="15" s="1"/>
  <c r="B1169" i="15"/>
  <c r="B1170" i="14"/>
  <c r="I718" i="15"/>
  <c r="F719" i="14"/>
  <c r="I670" i="15"/>
  <c r="F671" i="14"/>
  <c r="D675" i="15"/>
  <c r="D676" i="14"/>
  <c r="H682" i="13"/>
  <c r="K682" i="13"/>
  <c r="E1948" i="5"/>
  <c r="I2423" i="15"/>
  <c r="G2431" i="13"/>
  <c r="H678" i="15"/>
  <c r="I685" i="13"/>
  <c r="J678" i="15" s="1"/>
  <c r="H2310" i="13"/>
  <c r="I2303" i="15" s="1"/>
  <c r="I2276" i="15"/>
  <c r="F2277" i="14"/>
  <c r="C413" i="10"/>
  <c r="C554" i="5"/>
  <c r="G428" i="5"/>
  <c r="H413" i="10" s="1"/>
  <c r="C470" i="5"/>
  <c r="C890" i="5"/>
  <c r="C426" i="10"/>
  <c r="C483" i="5"/>
  <c r="C903" i="5"/>
  <c r="C567" i="5"/>
  <c r="C442" i="10"/>
  <c r="C499" i="5"/>
  <c r="C919" i="5"/>
  <c r="C583" i="5"/>
  <c r="C419" i="10"/>
  <c r="C560" i="5"/>
  <c r="C476" i="5"/>
  <c r="C896" i="5"/>
  <c r="C435" i="10"/>
  <c r="C576" i="5"/>
  <c r="C492" i="5"/>
  <c r="G450" i="5"/>
  <c r="H435" i="10" s="1"/>
  <c r="C912" i="5"/>
  <c r="C420" i="10"/>
  <c r="C897" i="5"/>
  <c r="C561" i="5"/>
  <c r="C477" i="5"/>
  <c r="C436" i="10"/>
  <c r="C913" i="5"/>
  <c r="C577" i="5"/>
  <c r="C493" i="5"/>
  <c r="C411" i="10"/>
  <c r="G426" i="5"/>
  <c r="H411" i="10" s="1"/>
  <c r="C552" i="5"/>
  <c r="C888" i="5"/>
  <c r="C468" i="5"/>
  <c r="C429" i="10"/>
  <c r="C570" i="5"/>
  <c r="C906" i="5"/>
  <c r="C486" i="5"/>
  <c r="C445" i="10"/>
  <c r="C586" i="5"/>
  <c r="C922" i="5"/>
  <c r="C502" i="5"/>
  <c r="I2154" i="15"/>
  <c r="F2155" i="14"/>
  <c r="H2469" i="15"/>
  <c r="I2477" i="13"/>
  <c r="J2469" i="15" s="1"/>
  <c r="D2207" i="15"/>
  <c r="D2208" i="14"/>
  <c r="H2214" i="13"/>
  <c r="G2214" i="13"/>
  <c r="E827" i="13"/>
  <c r="K1993" i="5"/>
  <c r="E790" i="13" s="1"/>
  <c r="H643" i="15"/>
  <c r="I650" i="13"/>
  <c r="J643" i="15" s="1"/>
  <c r="I2351" i="15"/>
  <c r="G2358" i="13"/>
  <c r="D1047" i="15"/>
  <c r="D1048" i="14"/>
  <c r="K1054" i="13"/>
  <c r="G1054" i="13"/>
  <c r="H1054" i="13"/>
  <c r="E873" i="15"/>
  <c r="G873" i="15" s="1"/>
  <c r="I67" i="15"/>
  <c r="F68" i="14"/>
  <c r="C762" i="15"/>
  <c r="C763" i="14"/>
  <c r="C815" i="13"/>
  <c r="B2006" i="5"/>
  <c r="C778" i="13" s="1"/>
  <c r="J463" i="15"/>
  <c r="I463" i="15"/>
  <c r="E455" i="15"/>
  <c r="G455" i="15" s="1"/>
  <c r="D526" i="10"/>
  <c r="D963" i="5"/>
  <c r="D567" i="10" s="1"/>
  <c r="D543" i="5"/>
  <c r="D510" i="10"/>
  <c r="D947" i="5"/>
  <c r="D551" i="10" s="1"/>
  <c r="D527" i="5"/>
  <c r="D656" i="10"/>
  <c r="D1013" i="5"/>
  <c r="D697" i="10" s="1"/>
  <c r="D681" i="10"/>
  <c r="D1038" i="5"/>
  <c r="D722" i="10" s="1"/>
  <c r="D665" i="10"/>
  <c r="D1022" i="5"/>
  <c r="D706" i="10" s="1"/>
  <c r="D524" i="10"/>
  <c r="D541" i="5"/>
  <c r="D961" i="5"/>
  <c r="D565" i="10" s="1"/>
  <c r="D508" i="10"/>
  <c r="D525" i="5"/>
  <c r="D945" i="5"/>
  <c r="D549" i="10" s="1"/>
  <c r="D659" i="10"/>
  <c r="D1016" i="5"/>
  <c r="D700" i="10" s="1"/>
  <c r="D519" i="10"/>
  <c r="D536" i="5"/>
  <c r="D956" i="5"/>
  <c r="D560" i="10" s="1"/>
  <c r="D503" i="10"/>
  <c r="D520" i="5"/>
  <c r="D940" i="5"/>
  <c r="D544" i="10" s="1"/>
  <c r="Y11" i="5"/>
  <c r="I1164" i="5"/>
  <c r="C340" i="9" s="1"/>
  <c r="E968" i="15"/>
  <c r="G968" i="15" s="1"/>
  <c r="I1861" i="15"/>
  <c r="F1862" i="14"/>
  <c r="I1276" i="15"/>
  <c r="F1277" i="14"/>
  <c r="F11" i="12"/>
  <c r="F11" i="9"/>
  <c r="F11" i="8"/>
  <c r="F11" i="6"/>
  <c r="E144" i="10"/>
  <c r="G144" i="10" s="1"/>
  <c r="G308" i="5"/>
  <c r="H171" i="10" s="1"/>
  <c r="D1568" i="15"/>
  <c r="D1569" i="14"/>
  <c r="K1575" i="13"/>
  <c r="H1575" i="13"/>
  <c r="G1575" i="13"/>
  <c r="D1149" i="15"/>
  <c r="D1150" i="14"/>
  <c r="K1156" i="13"/>
  <c r="B799" i="15"/>
  <c r="B800" i="14"/>
  <c r="I1290" i="15"/>
  <c r="F1291" i="14"/>
  <c r="H2306" i="15"/>
  <c r="I2313" i="13"/>
  <c r="J2306" i="15" s="1"/>
  <c r="H2435" i="15"/>
  <c r="I2443" i="13"/>
  <c r="J2435" i="15" s="1"/>
  <c r="I2458" i="15"/>
  <c r="G2466" i="13"/>
  <c r="T1057" i="5"/>
  <c r="V1057" i="5" s="1"/>
  <c r="C1100" i="5" s="1"/>
  <c r="G1189" i="13"/>
  <c r="H1182" i="15" s="1"/>
  <c r="D1152" i="15"/>
  <c r="D1153" i="14"/>
  <c r="K1159" i="13"/>
  <c r="B1157" i="15"/>
  <c r="B1158" i="14"/>
  <c r="H2420" i="15"/>
  <c r="I2428" i="13"/>
  <c r="J2420" i="15" s="1"/>
  <c r="D2211" i="15"/>
  <c r="D2212" i="14"/>
  <c r="H2218" i="13"/>
  <c r="G2218" i="13"/>
  <c r="D671" i="15"/>
  <c r="D672" i="14"/>
  <c r="H678" i="13"/>
  <c r="K678" i="13"/>
  <c r="H530" i="15"/>
  <c r="H540" i="13"/>
  <c r="H120" i="15"/>
  <c r="I120" i="13"/>
  <c r="J120" i="15" s="1"/>
  <c r="E824" i="15"/>
  <c r="G824" i="15" s="1"/>
  <c r="I1288" i="15"/>
  <c r="F1289" i="14"/>
  <c r="C814" i="13"/>
  <c r="B2005" i="5"/>
  <c r="C777" i="13" s="1"/>
  <c r="H672" i="15"/>
  <c r="I679" i="13"/>
  <c r="J672" i="15" s="1"/>
  <c r="E644" i="15"/>
  <c r="G644" i="15" s="1"/>
  <c r="G651" i="13"/>
  <c r="E415" i="15"/>
  <c r="G415" i="15" s="1"/>
  <c r="G422" i="13"/>
  <c r="E409" i="15"/>
  <c r="G409" i="15" s="1"/>
  <c r="D314" i="15"/>
  <c r="D315" i="14"/>
  <c r="K314" i="13"/>
  <c r="H314" i="13"/>
  <c r="G314" i="13"/>
  <c r="J426" i="15"/>
  <c r="I426" i="15"/>
  <c r="L96" i="4"/>
  <c r="D288" i="15"/>
  <c r="D289" i="14"/>
  <c r="H288" i="13"/>
  <c r="G288" i="13"/>
  <c r="I77" i="4"/>
  <c r="I200" i="4"/>
  <c r="F205" i="4"/>
  <c r="G205" i="4" s="1"/>
  <c r="F202" i="4"/>
  <c r="G202" i="4" s="1"/>
  <c r="F207" i="4"/>
  <c r="G207" i="4" s="1"/>
  <c r="F200" i="4"/>
  <c r="F199" i="4"/>
  <c r="G199" i="4" s="1"/>
  <c r="H1497" i="15"/>
  <c r="I1504" i="13"/>
  <c r="J1497" i="15" s="1"/>
  <c r="H1154" i="13"/>
  <c r="I1147" i="15" s="1"/>
  <c r="D2178" i="13"/>
  <c r="E703" i="6"/>
  <c r="H1244" i="15"/>
  <c r="I1251" i="13"/>
  <c r="J1244" i="15" s="1"/>
  <c r="I360" i="15"/>
  <c r="F361" i="14"/>
  <c r="E641" i="5"/>
  <c r="O625" i="5"/>
  <c r="F625" i="5"/>
  <c r="E291" i="10"/>
  <c r="G291" i="10" s="1"/>
  <c r="G717" i="5"/>
  <c r="H291" i="10" s="1"/>
  <c r="I1324" i="15"/>
  <c r="F1325" i="14"/>
  <c r="D1278" i="15"/>
  <c r="D1279" i="14"/>
  <c r="H1285" i="13"/>
  <c r="G1285" i="13"/>
  <c r="I844" i="15"/>
  <c r="F845" i="14"/>
  <c r="E491" i="15"/>
  <c r="G491" i="15" s="1"/>
  <c r="I1779" i="15"/>
  <c r="F1780" i="14"/>
  <c r="I2393" i="15"/>
  <c r="G2400" i="13"/>
  <c r="D1006" i="15"/>
  <c r="D1007" i="14"/>
  <c r="K1013" i="13"/>
  <c r="H1013" i="13"/>
  <c r="G1013" i="13"/>
  <c r="D998" i="15"/>
  <c r="D999" i="14"/>
  <c r="K1005" i="13"/>
  <c r="H1005" i="13"/>
  <c r="G1005" i="13"/>
  <c r="D977" i="15"/>
  <c r="D978" i="14"/>
  <c r="K984" i="13"/>
  <c r="H984" i="13"/>
  <c r="G984" i="13"/>
  <c r="D946" i="15"/>
  <c r="D947" i="14"/>
  <c r="K953" i="13"/>
  <c r="H953" i="13"/>
  <c r="G953" i="13"/>
  <c r="D948" i="15"/>
  <c r="D949" i="14"/>
  <c r="K955" i="13"/>
  <c r="G955" i="13"/>
  <c r="H955" i="13"/>
  <c r="O1180" i="5"/>
  <c r="Q1180" i="5" s="1"/>
  <c r="O1178" i="5"/>
  <c r="O1165" i="5"/>
  <c r="O1186" i="5"/>
  <c r="Q1186" i="5" s="1"/>
  <c r="N64" i="4"/>
  <c r="N61" i="4"/>
  <c r="N62" i="4" s="1"/>
  <c r="N75" i="4"/>
  <c r="N200" i="4" s="1"/>
  <c r="D1640" i="13"/>
  <c r="E524" i="9"/>
  <c r="D86" i="15"/>
  <c r="D87" i="14"/>
  <c r="K86" i="13"/>
  <c r="H86" i="13"/>
  <c r="G86" i="13"/>
  <c r="I2345" i="15"/>
  <c r="G2352" i="13"/>
  <c r="H1322" i="15"/>
  <c r="I1329" i="13"/>
  <c r="J1322" i="15" s="1"/>
  <c r="E816" i="13"/>
  <c r="D2007" i="5"/>
  <c r="E779" i="13" s="1"/>
  <c r="B822" i="13"/>
  <c r="G1988" i="5"/>
  <c r="B785" i="13" s="1"/>
  <c r="H681" i="15"/>
  <c r="I688" i="13"/>
  <c r="J681" i="15" s="1"/>
  <c r="G1151" i="13"/>
  <c r="H1144" i="15" s="1"/>
  <c r="K138" i="4"/>
  <c r="J138" i="4"/>
  <c r="I138" i="4"/>
  <c r="D727" i="15"/>
  <c r="D728" i="14"/>
  <c r="K734" i="13"/>
  <c r="H734" i="13"/>
  <c r="G734" i="13"/>
  <c r="P137" i="4"/>
  <c r="O137" i="4"/>
  <c r="N137" i="4"/>
  <c r="L89" i="4"/>
  <c r="C475" i="8"/>
  <c r="I121" i="13"/>
  <c r="J121" i="15" s="1"/>
  <c r="D467" i="15"/>
  <c r="D468" i="14"/>
  <c r="K474" i="13"/>
  <c r="H474" i="13"/>
  <c r="H467" i="15" s="1"/>
  <c r="D1898" i="13"/>
  <c r="E2300" i="5"/>
  <c r="C2152" i="5"/>
  <c r="C2151" i="5"/>
  <c r="K2146" i="5"/>
  <c r="C2153" i="5"/>
  <c r="K2147" i="5"/>
  <c r="K2139" i="5"/>
  <c r="C2174" i="5"/>
  <c r="C2170" i="5"/>
  <c r="C2144" i="5"/>
  <c r="C2140" i="5"/>
  <c r="K2136" i="5"/>
  <c r="C2171" i="5"/>
  <c r="K2148" i="5"/>
  <c r="K2140" i="5"/>
  <c r="K2137" i="5"/>
  <c r="C2172" i="5"/>
  <c r="K2145" i="5"/>
  <c r="K2138" i="5"/>
  <c r="H824" i="13" l="1"/>
  <c r="F211" i="10"/>
  <c r="G211" i="10" s="1"/>
  <c r="J428" i="15"/>
  <c r="I428" i="15"/>
  <c r="I472" i="15"/>
  <c r="I473" i="15"/>
  <c r="F611" i="5"/>
  <c r="E11" i="10"/>
  <c r="G11" i="10" s="1"/>
  <c r="V598" i="5"/>
  <c r="J1545" i="5"/>
  <c r="C1621" i="5"/>
  <c r="D617" i="13" s="1"/>
  <c r="O598" i="5"/>
  <c r="AE598" i="5" s="1"/>
  <c r="G183" i="5"/>
  <c r="H46" i="10" s="1"/>
  <c r="G217" i="5"/>
  <c r="H80" i="10" s="1"/>
  <c r="I470" i="15"/>
  <c r="Z61" i="5"/>
  <c r="Z53" i="5"/>
  <c r="I511" i="15"/>
  <c r="I501" i="13"/>
  <c r="J494" i="15" s="1"/>
  <c r="G690" i="5"/>
  <c r="H264" i="10" s="1"/>
  <c r="C628" i="5"/>
  <c r="E684" i="5"/>
  <c r="R621" i="5"/>
  <c r="C629" i="5"/>
  <c r="D629" i="5" s="1"/>
  <c r="C630" i="5" s="1"/>
  <c r="P621" i="5"/>
  <c r="S621" i="5"/>
  <c r="Q621" i="5"/>
  <c r="I509" i="13"/>
  <c r="J502" i="15" s="1"/>
  <c r="I390" i="15"/>
  <c r="I391" i="15"/>
  <c r="C80" i="5"/>
  <c r="I426" i="13"/>
  <c r="I419" i="15" s="1"/>
  <c r="C1936" i="5"/>
  <c r="C1784" i="5"/>
  <c r="C1937" i="5" s="1"/>
  <c r="C640" i="9"/>
  <c r="I396" i="13"/>
  <c r="H1277" i="13"/>
  <c r="I1270" i="15" s="1"/>
  <c r="H1837" i="15"/>
  <c r="I1844" i="13"/>
  <c r="J1837" i="15" s="1"/>
  <c r="G1867" i="13"/>
  <c r="D1860" i="15"/>
  <c r="D1861" i="14"/>
  <c r="H1867" i="13"/>
  <c r="D1843" i="14"/>
  <c r="K1849" i="13"/>
  <c r="H1849" i="13"/>
  <c r="G1849" i="13"/>
  <c r="D1842" i="15"/>
  <c r="J522" i="15"/>
  <c r="I522" i="15"/>
  <c r="I521" i="13"/>
  <c r="J514" i="15" s="1"/>
  <c r="I526" i="13"/>
  <c r="J519" i="15" s="1"/>
  <c r="I443" i="13"/>
  <c r="J436" i="15" s="1"/>
  <c r="D128" i="13"/>
  <c r="E274" i="8"/>
  <c r="J274" i="8"/>
  <c r="I2488" i="15"/>
  <c r="H2502" i="13"/>
  <c r="I2494" i="15" s="1"/>
  <c r="H2483" i="13"/>
  <c r="U31" i="5"/>
  <c r="V31" i="5" s="1"/>
  <c r="D31" i="5"/>
  <c r="I31" i="5"/>
  <c r="S31" i="5"/>
  <c r="C1090" i="5"/>
  <c r="U33" i="5"/>
  <c r="D33" i="5"/>
  <c r="C2299" i="5"/>
  <c r="C2291" i="5"/>
  <c r="I816" i="15"/>
  <c r="F817" i="14"/>
  <c r="C393" i="8"/>
  <c r="J275" i="8"/>
  <c r="J273" i="8"/>
  <c r="C272" i="8"/>
  <c r="C267" i="8"/>
  <c r="C266" i="8"/>
  <c r="I30" i="5"/>
  <c r="I38" i="5" s="1"/>
  <c r="U30" i="5"/>
  <c r="V30" i="5" s="1"/>
  <c r="D30" i="5"/>
  <c r="D1863" i="13"/>
  <c r="O2139" i="5"/>
  <c r="E809" i="15"/>
  <c r="G809" i="15" s="1"/>
  <c r="G816" i="13"/>
  <c r="O1200" i="5"/>
  <c r="Q1200" i="5" s="1"/>
  <c r="O1196" i="5"/>
  <c r="Q1165" i="5"/>
  <c r="H946" i="15"/>
  <c r="I953" i="13"/>
  <c r="J946" i="15" s="1"/>
  <c r="H2393" i="15"/>
  <c r="I2400" i="13"/>
  <c r="J2393" i="15" s="1"/>
  <c r="E215" i="10"/>
  <c r="G215" i="10" s="1"/>
  <c r="G641" i="5"/>
  <c r="H215" i="10" s="1"/>
  <c r="I196" i="4"/>
  <c r="I79" i="4"/>
  <c r="H314" i="15"/>
  <c r="I314" i="13"/>
  <c r="J314" i="15" s="1"/>
  <c r="I2211" i="15"/>
  <c r="F2212" i="14"/>
  <c r="H2458" i="15"/>
  <c r="I2466" i="13"/>
  <c r="J2458" i="15" s="1"/>
  <c r="D606" i="10"/>
  <c r="D1003" i="5"/>
  <c r="D647" i="10" s="1"/>
  <c r="D592" i="10"/>
  <c r="D989" i="5"/>
  <c r="D633" i="10" s="1"/>
  <c r="E820" i="15"/>
  <c r="G820" i="15" s="1"/>
  <c r="G827" i="13"/>
  <c r="C470" i="10"/>
  <c r="C493" i="10"/>
  <c r="C930" i="5"/>
  <c r="G468" i="5"/>
  <c r="H493" i="10" s="1"/>
  <c r="C510" i="5"/>
  <c r="C477" i="10"/>
  <c r="G913" i="5"/>
  <c r="H477" i="10" s="1"/>
  <c r="C666" i="10"/>
  <c r="C1023" i="5"/>
  <c r="C460" i="10"/>
  <c r="G896" i="5"/>
  <c r="H460" i="10" s="1"/>
  <c r="C467" i="10"/>
  <c r="I833" i="15"/>
  <c r="F834" i="14"/>
  <c r="D1926" i="15"/>
  <c r="D1927" i="14"/>
  <c r="K1933" i="13"/>
  <c r="H1933" i="13"/>
  <c r="G1933" i="13"/>
  <c r="D1787" i="13"/>
  <c r="E611" i="9"/>
  <c r="D1776" i="15"/>
  <c r="D1777" i="14"/>
  <c r="H1783" i="13"/>
  <c r="K1783" i="13"/>
  <c r="G1783" i="13"/>
  <c r="R43" i="5"/>
  <c r="J46" i="5"/>
  <c r="O43" i="5"/>
  <c r="D945" i="15"/>
  <c r="D946" i="14"/>
  <c r="K952" i="13"/>
  <c r="G952" i="13"/>
  <c r="H952" i="13"/>
  <c r="D720" i="15"/>
  <c r="D721" i="14"/>
  <c r="H727" i="13"/>
  <c r="K727" i="13"/>
  <c r="G727" i="13"/>
  <c r="D420" i="15"/>
  <c r="D421" i="14"/>
  <c r="H427" i="13"/>
  <c r="H420" i="15" s="1"/>
  <c r="K427" i="13"/>
  <c r="M96" i="4"/>
  <c r="Q96" i="4" s="1"/>
  <c r="R96" i="4" s="1"/>
  <c r="Q90" i="4"/>
  <c r="R90" i="4" s="1"/>
  <c r="F1052" i="5" s="1"/>
  <c r="I698" i="15"/>
  <c r="F699" i="14"/>
  <c r="D1631" i="13"/>
  <c r="E515" i="9"/>
  <c r="D1658" i="13"/>
  <c r="E542" i="9"/>
  <c r="D2216" i="15"/>
  <c r="D2217" i="14"/>
  <c r="H2223" i="13"/>
  <c r="G2223" i="13"/>
  <c r="E542" i="10"/>
  <c r="G542" i="10" s="1"/>
  <c r="E939" i="5"/>
  <c r="I687" i="15"/>
  <c r="F688" i="14"/>
  <c r="H1570" i="15"/>
  <c r="I1577" i="13"/>
  <c r="J1570" i="15" s="1"/>
  <c r="I697" i="15"/>
  <c r="F698" i="14"/>
  <c r="D520" i="15"/>
  <c r="D521" i="14"/>
  <c r="H527" i="13"/>
  <c r="H520" i="15" s="1"/>
  <c r="G527" i="13"/>
  <c r="H1482" i="15"/>
  <c r="I1489" i="13"/>
  <c r="J1482" i="15" s="1"/>
  <c r="J513" i="15"/>
  <c r="I513" i="15"/>
  <c r="D2229" i="13"/>
  <c r="E367" i="12"/>
  <c r="E113" i="4"/>
  <c r="E112" i="4"/>
  <c r="O1181" i="5"/>
  <c r="P1177" i="5"/>
  <c r="D498" i="15"/>
  <c r="D499" i="14"/>
  <c r="K505" i="13"/>
  <c r="H505" i="13"/>
  <c r="H498" i="15" s="1"/>
  <c r="C359" i="8"/>
  <c r="J358" i="8"/>
  <c r="J357" i="8"/>
  <c r="J356" i="8"/>
  <c r="C357" i="8"/>
  <c r="D607" i="10"/>
  <c r="D1004" i="5"/>
  <c r="D648" i="10" s="1"/>
  <c r="E779" i="15"/>
  <c r="G779" i="15" s="1"/>
  <c r="G786" i="13"/>
  <c r="B809" i="15"/>
  <c r="B810" i="14"/>
  <c r="E764" i="15"/>
  <c r="G764" i="15" s="1"/>
  <c r="E882" i="15"/>
  <c r="G882" i="15" s="1"/>
  <c r="G889" i="13"/>
  <c r="L45" i="5"/>
  <c r="Q45" i="5"/>
  <c r="H2160" i="15"/>
  <c r="I2167" i="13"/>
  <c r="J2160" i="15" s="1"/>
  <c r="E758" i="15"/>
  <c r="G758" i="15" s="1"/>
  <c r="G765" i="13"/>
  <c r="D1627" i="15"/>
  <c r="D1628" i="14"/>
  <c r="K1634" i="13"/>
  <c r="H1634" i="13"/>
  <c r="G1634" i="13"/>
  <c r="H993" i="15"/>
  <c r="I1000" i="13"/>
  <c r="J993" i="15" s="1"/>
  <c r="H1268" i="15"/>
  <c r="I1275" i="13"/>
  <c r="J1268" i="15" s="1"/>
  <c r="C2283" i="5"/>
  <c r="C2287" i="5"/>
  <c r="C1999" i="5"/>
  <c r="J1990" i="5"/>
  <c r="D787" i="13" s="1"/>
  <c r="G787" i="13" s="1"/>
  <c r="C2001" i="5"/>
  <c r="M95" i="4"/>
  <c r="Q95" i="4" s="1"/>
  <c r="M94" i="4"/>
  <c r="Q94" i="4" s="1"/>
  <c r="Q89" i="4"/>
  <c r="R89" i="4" s="1"/>
  <c r="F598" i="5" s="1"/>
  <c r="D583" i="10"/>
  <c r="D980" i="5"/>
  <c r="D624" i="10" s="1"/>
  <c r="C503" i="10"/>
  <c r="C520" i="5"/>
  <c r="C940" i="5"/>
  <c r="H1817" i="15"/>
  <c r="I1824" i="13"/>
  <c r="J1817" i="15" s="1"/>
  <c r="D1859" i="15"/>
  <c r="D1860" i="14"/>
  <c r="H1866" i="13"/>
  <c r="G1866" i="13"/>
  <c r="D783" i="15"/>
  <c r="D784" i="14"/>
  <c r="H790" i="13"/>
  <c r="I306" i="15"/>
  <c r="F307" i="14"/>
  <c r="I916" i="15"/>
  <c r="F917" i="14"/>
  <c r="D996" i="15"/>
  <c r="D997" i="14"/>
  <c r="K1003" i="13"/>
  <c r="H1003" i="13"/>
  <c r="G1003" i="13"/>
  <c r="D1618" i="15"/>
  <c r="D1619" i="14"/>
  <c r="K1625" i="13"/>
  <c r="H1625" i="13"/>
  <c r="G1625" i="13"/>
  <c r="D231" i="15"/>
  <c r="D232" i="14"/>
  <c r="H231" i="13"/>
  <c r="K231" i="13"/>
  <c r="G231" i="13"/>
  <c r="D1190" i="15"/>
  <c r="D1191" i="14"/>
  <c r="K1197" i="13"/>
  <c r="H1197" i="13"/>
  <c r="I1190" i="15" s="1"/>
  <c r="G1197" i="13"/>
  <c r="H1190" i="15" s="1"/>
  <c r="H2392" i="15"/>
  <c r="I2399" i="13"/>
  <c r="J2392" i="15" s="1"/>
  <c r="I588" i="15"/>
  <c r="F589" i="14"/>
  <c r="H2470" i="15"/>
  <c r="I2478" i="13"/>
  <c r="J2470" i="15" s="1"/>
  <c r="C522" i="10"/>
  <c r="C959" i="5"/>
  <c r="C539" i="5"/>
  <c r="C521" i="10"/>
  <c r="C958" i="5"/>
  <c r="C538" i="5"/>
  <c r="D83" i="15"/>
  <c r="D84" i="14"/>
  <c r="K83" i="13"/>
  <c r="H83" i="13"/>
  <c r="G83" i="13"/>
  <c r="J1979" i="15"/>
  <c r="I1979" i="15"/>
  <c r="Q9" i="4"/>
  <c r="R9" i="4" s="1"/>
  <c r="J96" i="5" s="1"/>
  <c r="M12" i="4"/>
  <c r="Q12" i="4" s="1"/>
  <c r="H93" i="15"/>
  <c r="I93" i="13"/>
  <c r="J93" i="15" s="1"/>
  <c r="C433" i="9"/>
  <c r="C448" i="9"/>
  <c r="C444" i="9"/>
  <c r="C459" i="9"/>
  <c r="D1628" i="15"/>
  <c r="D1629" i="14"/>
  <c r="K1635" i="13"/>
  <c r="H1635" i="13"/>
  <c r="G1635" i="13"/>
  <c r="I880" i="15"/>
  <c r="F881" i="14"/>
  <c r="I995" i="15"/>
  <c r="F996" i="14"/>
  <c r="E478" i="10"/>
  <c r="G478" i="10" s="1"/>
  <c r="E915" i="5"/>
  <c r="D272" i="15"/>
  <c r="D273" i="14"/>
  <c r="H272" i="13"/>
  <c r="K272" i="13"/>
  <c r="G272" i="13"/>
  <c r="E665" i="10"/>
  <c r="G665" i="10" s="1"/>
  <c r="E561" i="5"/>
  <c r="C577" i="9"/>
  <c r="C620" i="9"/>
  <c r="C619" i="9"/>
  <c r="D21" i="13"/>
  <c r="E604" i="8"/>
  <c r="D1825" i="13"/>
  <c r="E2144" i="5"/>
  <c r="C770" i="15"/>
  <c r="C771" i="14"/>
  <c r="D1853" i="13"/>
  <c r="E2172" i="5"/>
  <c r="D1852" i="13"/>
  <c r="E2171" i="5"/>
  <c r="D1851" i="13"/>
  <c r="E2170" i="5"/>
  <c r="D1834" i="13"/>
  <c r="C2161" i="5"/>
  <c r="E2153" i="5"/>
  <c r="C2162" i="5"/>
  <c r="C2155" i="5"/>
  <c r="H727" i="15"/>
  <c r="I734" i="13"/>
  <c r="J727" i="15" s="1"/>
  <c r="B815" i="15"/>
  <c r="B816" i="14"/>
  <c r="I86" i="15"/>
  <c r="F87" i="14"/>
  <c r="I977" i="15"/>
  <c r="F978" i="14"/>
  <c r="H998" i="15"/>
  <c r="I1005" i="13"/>
  <c r="J998" i="15" s="1"/>
  <c r="H1278" i="15"/>
  <c r="I1285" i="13"/>
  <c r="J1278" i="15" s="1"/>
  <c r="I288" i="15"/>
  <c r="F289" i="14"/>
  <c r="C807" i="15"/>
  <c r="C808" i="14"/>
  <c r="H1568" i="15"/>
  <c r="I1575" i="13"/>
  <c r="J1568" i="15" s="1"/>
  <c r="C771" i="15"/>
  <c r="C772" i="14"/>
  <c r="I1047" i="15"/>
  <c r="F1048" i="14"/>
  <c r="I2207" i="15"/>
  <c r="F2208" i="14"/>
  <c r="C527" i="10"/>
  <c r="C544" i="5"/>
  <c r="C964" i="5"/>
  <c r="C657" i="10"/>
  <c r="G552" i="5"/>
  <c r="H657" i="10" s="1"/>
  <c r="C1014" i="5"/>
  <c r="C502" i="10"/>
  <c r="C939" i="5"/>
  <c r="C519" i="5"/>
  <c r="G477" i="5"/>
  <c r="H502" i="10" s="1"/>
  <c r="C681" i="10"/>
  <c r="C1038" i="5"/>
  <c r="G576" i="5"/>
  <c r="H681" i="10" s="1"/>
  <c r="C501" i="10"/>
  <c r="G476" i="5"/>
  <c r="H501" i="10" s="1"/>
  <c r="C938" i="5"/>
  <c r="C518" i="5"/>
  <c r="C688" i="10"/>
  <c r="C1045" i="5"/>
  <c r="C659" i="10"/>
  <c r="G554" i="5"/>
  <c r="H659" i="10" s="1"/>
  <c r="C1016" i="5"/>
  <c r="D1579" i="15"/>
  <c r="D1580" i="14"/>
  <c r="K1586" i="13"/>
  <c r="H1586" i="13"/>
  <c r="G1586" i="13"/>
  <c r="H1943" i="15"/>
  <c r="I1950" i="13"/>
  <c r="J1943" i="15" s="1"/>
  <c r="E639" i="15"/>
  <c r="G639" i="15" s="1"/>
  <c r="H2208" i="15"/>
  <c r="I2215" i="13"/>
  <c r="J2208" i="15" s="1"/>
  <c r="D2225" i="15"/>
  <c r="D2226" i="14"/>
  <c r="H2232" i="13"/>
  <c r="K2232" i="13"/>
  <c r="G2232" i="13"/>
  <c r="E20" i="10"/>
  <c r="E185" i="5"/>
  <c r="F184" i="5"/>
  <c r="F20" i="10" s="1"/>
  <c r="B757" i="15"/>
  <c r="B758" i="14"/>
  <c r="D79" i="13"/>
  <c r="E644" i="8"/>
  <c r="D77" i="15"/>
  <c r="D78" i="14"/>
  <c r="K77" i="13"/>
  <c r="H77" i="13"/>
  <c r="G77" i="13"/>
  <c r="D1391" i="13"/>
  <c r="K648" i="9"/>
  <c r="H1003" i="15"/>
  <c r="I1010" i="13"/>
  <c r="J1003" i="15" s="1"/>
  <c r="D1955" i="13"/>
  <c r="L394" i="6"/>
  <c r="J374" i="15"/>
  <c r="I374" i="15"/>
  <c r="D1808" i="13"/>
  <c r="L585" i="9"/>
  <c r="C589" i="9"/>
  <c r="C584" i="9"/>
  <c r="O44" i="5"/>
  <c r="R44" i="5"/>
  <c r="I104" i="4"/>
  <c r="I159" i="4"/>
  <c r="I108" i="4"/>
  <c r="I532" i="15"/>
  <c r="J532" i="15"/>
  <c r="I936" i="15"/>
  <c r="F937" i="14"/>
  <c r="I990" i="15"/>
  <c r="F991" i="14"/>
  <c r="D868" i="15"/>
  <c r="D869" i="14"/>
  <c r="H875" i="13"/>
  <c r="K875" i="13"/>
  <c r="D776" i="15"/>
  <c r="D777" i="14"/>
  <c r="H783" i="13"/>
  <c r="G783" i="13"/>
  <c r="I1959" i="15"/>
  <c r="F1960" i="14"/>
  <c r="D1645" i="15"/>
  <c r="D1646" i="14"/>
  <c r="K1652" i="13"/>
  <c r="H1652" i="13"/>
  <c r="G1652" i="13"/>
  <c r="I679" i="15"/>
  <c r="F680" i="14"/>
  <c r="I153" i="15"/>
  <c r="F154" i="14"/>
  <c r="D1887" i="13"/>
  <c r="E2289" i="5"/>
  <c r="D2242" i="15"/>
  <c r="D2243" i="14"/>
  <c r="H2249" i="13"/>
  <c r="G2249" i="13"/>
  <c r="I2247" i="15"/>
  <c r="F2248" i="14"/>
  <c r="D1956" i="13"/>
  <c r="L395" i="6"/>
  <c r="E765" i="15"/>
  <c r="G765" i="15" s="1"/>
  <c r="D1643" i="13"/>
  <c r="E527" i="9"/>
  <c r="D704" i="15"/>
  <c r="D705" i="14"/>
  <c r="H711" i="13"/>
  <c r="G711" i="13"/>
  <c r="I2213" i="15"/>
  <c r="F2214" i="14"/>
  <c r="I597" i="15"/>
  <c r="F598" i="14"/>
  <c r="D605" i="15"/>
  <c r="D606" i="14"/>
  <c r="K612" i="13"/>
  <c r="H612" i="13"/>
  <c r="G612" i="13"/>
  <c r="H2212" i="13"/>
  <c r="H169" i="15"/>
  <c r="I169" i="13"/>
  <c r="J169" i="15" s="1"/>
  <c r="G176" i="13"/>
  <c r="C1281" i="5"/>
  <c r="D569" i="9" s="1"/>
  <c r="C569" i="9" s="1"/>
  <c r="H698" i="15"/>
  <c r="I705" i="13"/>
  <c r="J698" i="15" s="1"/>
  <c r="H161" i="15"/>
  <c r="I161" i="13"/>
  <c r="J161" i="15" s="1"/>
  <c r="G167" i="13"/>
  <c r="D1667" i="13"/>
  <c r="L509" i="9"/>
  <c r="D1630" i="13"/>
  <c r="E514" i="9"/>
  <c r="D1675" i="13"/>
  <c r="L517" i="9"/>
  <c r="D1656" i="13"/>
  <c r="E540" i="9"/>
  <c r="D1645" i="13"/>
  <c r="E529" i="9"/>
  <c r="D1638" i="13"/>
  <c r="E522" i="9"/>
  <c r="I976" i="15"/>
  <c r="F977" i="14"/>
  <c r="D807" i="15"/>
  <c r="D808" i="14"/>
  <c r="K814" i="13"/>
  <c r="H814" i="13"/>
  <c r="D381" i="15"/>
  <c r="D382" i="14"/>
  <c r="H388" i="13"/>
  <c r="H381" i="15" s="1"/>
  <c r="K388" i="13"/>
  <c r="G388" i="13"/>
  <c r="I388" i="13" s="1"/>
  <c r="H845" i="15"/>
  <c r="I852" i="13"/>
  <c r="J845" i="15" s="1"/>
  <c r="D104" i="13"/>
  <c r="E662" i="8"/>
  <c r="E435" i="10"/>
  <c r="G435" i="10" s="1"/>
  <c r="E451" i="5"/>
  <c r="I830" i="15"/>
  <c r="F831" i="14"/>
  <c r="H1958" i="15"/>
  <c r="I1965" i="13"/>
  <c r="J1958" i="15" s="1"/>
  <c r="J474" i="15"/>
  <c r="I474" i="15"/>
  <c r="D808" i="15"/>
  <c r="D809" i="14"/>
  <c r="K815" i="13"/>
  <c r="I1273" i="15"/>
  <c r="F1274" i="14"/>
  <c r="D1916" i="15"/>
  <c r="D1917" i="14"/>
  <c r="H1923" i="13"/>
  <c r="G1923" i="13"/>
  <c r="D789" i="15"/>
  <c r="D790" i="14"/>
  <c r="H796" i="13"/>
  <c r="K796" i="13"/>
  <c r="G796" i="13"/>
  <c r="I2275" i="5"/>
  <c r="H52" i="15"/>
  <c r="I52" i="13"/>
  <c r="J52" i="15" s="1"/>
  <c r="F626" i="5"/>
  <c r="F1061" i="5" s="1"/>
  <c r="J1149" i="5"/>
  <c r="J1168" i="5"/>
  <c r="D2215" i="15"/>
  <c r="D2216" i="14"/>
  <c r="H2222" i="13"/>
  <c r="G2222" i="13"/>
  <c r="C2298" i="5"/>
  <c r="C2288" i="5"/>
  <c r="K2283" i="5"/>
  <c r="C2296" i="5"/>
  <c r="C2284" i="5"/>
  <c r="I1482" i="15"/>
  <c r="F1483" i="14"/>
  <c r="H1938" i="15"/>
  <c r="I1945" i="13"/>
  <c r="J1938" i="15" s="1"/>
  <c r="D1689" i="13"/>
  <c r="E217" i="4"/>
  <c r="F123" i="4"/>
  <c r="E123" i="4"/>
  <c r="D123" i="4"/>
  <c r="M123" i="4"/>
  <c r="H123" i="4"/>
  <c r="D382" i="15"/>
  <c r="D383" i="14"/>
  <c r="H389" i="13"/>
  <c r="H382" i="15" s="1"/>
  <c r="K389" i="13"/>
  <c r="G389" i="13"/>
  <c r="I389" i="13" s="1"/>
  <c r="I1821" i="15"/>
  <c r="F1822" i="14"/>
  <c r="C687" i="10"/>
  <c r="C1044" i="5"/>
  <c r="C466" i="10"/>
  <c r="C530" i="10"/>
  <c r="C967" i="5"/>
  <c r="C547" i="5"/>
  <c r="C473" i="10"/>
  <c r="G909" i="5"/>
  <c r="H473" i="10" s="1"/>
  <c r="C662" i="10"/>
  <c r="G557" i="5"/>
  <c r="H662" i="10" s="1"/>
  <c r="C1019" i="5"/>
  <c r="C472" i="10"/>
  <c r="C661" i="10"/>
  <c r="C1018" i="5"/>
  <c r="G556" i="5"/>
  <c r="H661" i="10" s="1"/>
  <c r="C479" i="10"/>
  <c r="G915" i="5"/>
  <c r="H479" i="10" s="1"/>
  <c r="C668" i="10"/>
  <c r="C1025" i="5"/>
  <c r="C494" i="10"/>
  <c r="C511" i="5"/>
  <c r="G469" i="5"/>
  <c r="H494" i="10" s="1"/>
  <c r="C931" i="5"/>
  <c r="I870" i="15"/>
  <c r="F871" i="14"/>
  <c r="D1188" i="15"/>
  <c r="D1189" i="14"/>
  <c r="K1195" i="13"/>
  <c r="G1195" i="13"/>
  <c r="H1188" i="15" s="1"/>
  <c r="H1195" i="13"/>
  <c r="I1188" i="15" s="1"/>
  <c r="D603" i="10"/>
  <c r="D1000" i="5"/>
  <c r="D644" i="10" s="1"/>
  <c r="H1321" i="15"/>
  <c r="I1328" i="13"/>
  <c r="J1321" i="15" s="1"/>
  <c r="G1334" i="13"/>
  <c r="J373" i="15"/>
  <c r="I373" i="15"/>
  <c r="D2159" i="15"/>
  <c r="D2160" i="14"/>
  <c r="H2166" i="13"/>
  <c r="K2166" i="13"/>
  <c r="G2166" i="13"/>
  <c r="I817" i="15"/>
  <c r="F818" i="14"/>
  <c r="I1816" i="15"/>
  <c r="F1817" i="14"/>
  <c r="D721" i="15"/>
  <c r="D722" i="14"/>
  <c r="H728" i="13"/>
  <c r="K728" i="13"/>
  <c r="G728" i="13"/>
  <c r="C599" i="8"/>
  <c r="J659" i="8"/>
  <c r="J638" i="8"/>
  <c r="C638" i="8"/>
  <c r="D545" i="8"/>
  <c r="C587" i="8" s="1"/>
  <c r="C624" i="8" s="1"/>
  <c r="D537" i="8"/>
  <c r="H918" i="15"/>
  <c r="I925" i="13"/>
  <c r="J918" i="15" s="1"/>
  <c r="H989" i="15"/>
  <c r="I996" i="13"/>
  <c r="J989" i="15" s="1"/>
  <c r="D790" i="15"/>
  <c r="D791" i="14"/>
  <c r="H797" i="13"/>
  <c r="K797" i="13"/>
  <c r="G797" i="13"/>
  <c r="H1302" i="15"/>
  <c r="F1303" i="14"/>
  <c r="L102" i="5"/>
  <c r="K101" i="5"/>
  <c r="J1269" i="5"/>
  <c r="I1270" i="5" s="1"/>
  <c r="AK66" i="5"/>
  <c r="D831" i="15"/>
  <c r="D832" i="14"/>
  <c r="K838" i="13"/>
  <c r="H838" i="13"/>
  <c r="G838" i="13"/>
  <c r="D794" i="15"/>
  <c r="D795" i="14"/>
  <c r="H801" i="13"/>
  <c r="K801" i="13"/>
  <c r="D1833" i="15"/>
  <c r="D1834" i="14"/>
  <c r="K1840" i="13"/>
  <c r="H1840" i="13"/>
  <c r="G1840" i="13"/>
  <c r="D1619" i="15"/>
  <c r="D1620" i="14"/>
  <c r="K1626" i="13"/>
  <c r="H1626" i="13"/>
  <c r="G1626" i="13"/>
  <c r="H2166" i="15"/>
  <c r="I2173" i="13"/>
  <c r="J2166" i="15" s="1"/>
  <c r="D776" i="13"/>
  <c r="D730" i="15"/>
  <c r="D731" i="14"/>
  <c r="K737" i="13"/>
  <c r="H737" i="13"/>
  <c r="G737" i="13"/>
  <c r="I431" i="15"/>
  <c r="J431" i="15"/>
  <c r="H1508" i="15"/>
  <c r="I1515" i="13"/>
  <c r="J1508" i="15" s="1"/>
  <c r="I920" i="15"/>
  <c r="F921" i="14"/>
  <c r="I999" i="15"/>
  <c r="F1000" i="14"/>
  <c r="D1412" i="13"/>
  <c r="C648" i="9"/>
  <c r="E263" i="9"/>
  <c r="P124" i="4"/>
  <c r="O124" i="4"/>
  <c r="N124" i="4"/>
  <c r="H6" i="10"/>
  <c r="D779" i="13"/>
  <c r="E2007" i="5"/>
  <c r="D2376" i="15"/>
  <c r="K2383" i="13"/>
  <c r="H2383" i="13"/>
  <c r="D495" i="15"/>
  <c r="D496" i="14"/>
  <c r="K502" i="13"/>
  <c r="H502" i="13"/>
  <c r="H495" i="15" s="1"/>
  <c r="G502" i="13"/>
  <c r="I502" i="13" s="1"/>
  <c r="I642" i="15"/>
  <c r="F643" i="14"/>
  <c r="H2367" i="15"/>
  <c r="I2374" i="13"/>
  <c r="J2367" i="15" s="1"/>
  <c r="D106" i="13"/>
  <c r="E664" i="8"/>
  <c r="J661" i="8"/>
  <c r="C665" i="8"/>
  <c r="D295" i="15"/>
  <c r="D296" i="14"/>
  <c r="G295" i="13"/>
  <c r="H295" i="13"/>
  <c r="D597" i="10"/>
  <c r="D994" i="5"/>
  <c r="D638" i="10" s="1"/>
  <c r="H1828" i="15"/>
  <c r="I1835" i="13"/>
  <c r="J1828" i="15" s="1"/>
  <c r="I722" i="15"/>
  <c r="F723" i="14"/>
  <c r="I2246" i="15"/>
  <c r="F2247" i="14"/>
  <c r="R10" i="4"/>
  <c r="J97" i="5" s="1"/>
  <c r="H149" i="15"/>
  <c r="F150" i="14"/>
  <c r="I149" i="13"/>
  <c r="J149" i="15" s="1"/>
  <c r="N63" i="4"/>
  <c r="N66" i="4" s="1"/>
  <c r="N77" i="4" s="1"/>
  <c r="D1674" i="13"/>
  <c r="L516" i="9"/>
  <c r="I935" i="15"/>
  <c r="F936" i="14"/>
  <c r="H947" i="15"/>
  <c r="I954" i="13"/>
  <c r="J947" i="15" s="1"/>
  <c r="H1002" i="15"/>
  <c r="I1009" i="13"/>
  <c r="J1002" i="15" s="1"/>
  <c r="H932" i="15"/>
  <c r="I939" i="13"/>
  <c r="J932" i="15" s="1"/>
  <c r="D2169" i="15"/>
  <c r="D2170" i="14"/>
  <c r="K2176" i="13"/>
  <c r="H2176" i="13"/>
  <c r="G2176" i="13"/>
  <c r="I647" i="15"/>
  <c r="F648" i="14"/>
  <c r="H723" i="15"/>
  <c r="I292" i="15"/>
  <c r="F293" i="14"/>
  <c r="H2450" i="15"/>
  <c r="I2458" i="13"/>
  <c r="J2450" i="15" s="1"/>
  <c r="C113" i="4"/>
  <c r="G113" i="4" s="1"/>
  <c r="C112" i="4"/>
  <c r="G112" i="4" s="1"/>
  <c r="C667" i="10"/>
  <c r="C1024" i="5"/>
  <c r="C510" i="10"/>
  <c r="C947" i="5"/>
  <c r="C527" i="5"/>
  <c r="C451" i="10"/>
  <c r="G887" i="5"/>
  <c r="H451" i="10" s="1"/>
  <c r="C525" i="10"/>
  <c r="C962" i="5"/>
  <c r="C542" i="5"/>
  <c r="C655" i="10"/>
  <c r="C1012" i="5"/>
  <c r="G550" i="5"/>
  <c r="H655" i="10" s="1"/>
  <c r="C516" i="10"/>
  <c r="C953" i="5"/>
  <c r="G491" i="5"/>
  <c r="H516" i="10" s="1"/>
  <c r="C533" i="5"/>
  <c r="C459" i="10"/>
  <c r="G895" i="5"/>
  <c r="H459" i="10" s="1"/>
  <c r="T861" i="5"/>
  <c r="I1555" i="15"/>
  <c r="F1556" i="14"/>
  <c r="E560" i="10"/>
  <c r="G560" i="10" s="1"/>
  <c r="E957" i="5"/>
  <c r="P101" i="4"/>
  <c r="P102" i="4" s="1"/>
  <c r="D82" i="15"/>
  <c r="D83" i="14"/>
  <c r="K82" i="13"/>
  <c r="H82" i="13"/>
  <c r="G82" i="13"/>
  <c r="D991" i="15"/>
  <c r="D992" i="14"/>
  <c r="K998" i="13"/>
  <c r="G998" i="13"/>
  <c r="H998" i="13"/>
  <c r="C1698" i="5"/>
  <c r="C1689" i="5"/>
  <c r="E766" i="15"/>
  <c r="G766" i="15" s="1"/>
  <c r="H344" i="15"/>
  <c r="I351" i="13"/>
  <c r="J344" i="15" s="1"/>
  <c r="M13" i="4"/>
  <c r="Q13" i="4" s="1"/>
  <c r="Q10" i="4"/>
  <c r="F1059" i="5"/>
  <c r="C85" i="5"/>
  <c r="I716" i="15"/>
  <c r="F717" i="14"/>
  <c r="H891" i="15"/>
  <c r="I898" i="13"/>
  <c r="J891" i="15" s="1"/>
  <c r="H84" i="15"/>
  <c r="I84" i="13"/>
  <c r="J84" i="15" s="1"/>
  <c r="H975" i="15"/>
  <c r="I982" i="13"/>
  <c r="J975" i="15" s="1"/>
  <c r="D850" i="15"/>
  <c r="D851" i="14"/>
  <c r="H857" i="13"/>
  <c r="G857" i="13"/>
  <c r="D1655" i="15"/>
  <c r="D1656" i="14"/>
  <c r="K1662" i="13"/>
  <c r="H1662" i="13"/>
  <c r="G1662" i="13"/>
  <c r="H2366" i="15"/>
  <c r="I2373" i="13"/>
  <c r="J2366" i="15" s="1"/>
  <c r="D1177" i="15"/>
  <c r="D1178" i="14"/>
  <c r="K1184" i="13"/>
  <c r="G1184" i="13"/>
  <c r="H1177" i="15" s="1"/>
  <c r="H1184" i="13"/>
  <c r="I1177" i="15" s="1"/>
  <c r="I1810" i="15"/>
  <c r="F1811" i="14"/>
  <c r="I1944" i="15"/>
  <c r="F1945" i="14"/>
  <c r="D1927" i="15"/>
  <c r="D1928" i="14"/>
  <c r="K1934" i="13"/>
  <c r="H1934" i="13"/>
  <c r="G1934" i="13"/>
  <c r="D759" i="13"/>
  <c r="E1987" i="5"/>
  <c r="D1186" i="15"/>
  <c r="D1187" i="14"/>
  <c r="K1193" i="13"/>
  <c r="H1193" i="13"/>
  <c r="I1186" i="15" s="1"/>
  <c r="G1193" i="13"/>
  <c r="H1186" i="15" s="1"/>
  <c r="D949" i="15"/>
  <c r="D950" i="14"/>
  <c r="K956" i="13"/>
  <c r="G956" i="13"/>
  <c r="H956" i="13"/>
  <c r="D1001" i="15"/>
  <c r="D1002" i="14"/>
  <c r="K1008" i="13"/>
  <c r="G1008" i="13"/>
  <c r="H1008" i="13"/>
  <c r="I875" i="15"/>
  <c r="F876" i="14"/>
  <c r="H1269" i="15"/>
  <c r="I1276" i="13"/>
  <c r="J1269" i="15" s="1"/>
  <c r="I174" i="15"/>
  <c r="F175" i="14"/>
  <c r="D709" i="15"/>
  <c r="D710" i="14"/>
  <c r="H716" i="13"/>
  <c r="G716" i="13"/>
  <c r="H171" i="15"/>
  <c r="I171" i="13"/>
  <c r="J171" i="15" s="1"/>
  <c r="G875" i="13"/>
  <c r="D1854" i="13"/>
  <c r="E2173" i="5"/>
  <c r="H883" i="15"/>
  <c r="I890" i="13"/>
  <c r="J883" i="15" s="1"/>
  <c r="D1620" i="15"/>
  <c r="D1621" i="14"/>
  <c r="K1627" i="13"/>
  <c r="H1627" i="13"/>
  <c r="G1627" i="13"/>
  <c r="I366" i="15"/>
  <c r="F367" i="14"/>
  <c r="E878" i="13"/>
  <c r="D1949" i="5"/>
  <c r="C247" i="9"/>
  <c r="E1183" i="5"/>
  <c r="G505" i="13"/>
  <c r="I505" i="13" s="1"/>
  <c r="AL1069" i="11"/>
  <c r="AL1065" i="11"/>
  <c r="AL1061" i="11"/>
  <c r="AL1057" i="11"/>
  <c r="AL1053" i="11"/>
  <c r="AL1049" i="11"/>
  <c r="AL1045" i="11"/>
  <c r="AL1041" i="11"/>
  <c r="AL1037" i="11"/>
  <c r="AL1033" i="11"/>
  <c r="AL1029" i="11"/>
  <c r="AL1025" i="11"/>
  <c r="AL1021" i="11"/>
  <c r="AL1017" i="11"/>
  <c r="AL1013" i="11"/>
  <c r="AL1009" i="11"/>
  <c r="AL1005" i="11"/>
  <c r="AL1001" i="11"/>
  <c r="AL997" i="11"/>
  <c r="AL993" i="11"/>
  <c r="AL989" i="11"/>
  <c r="AL985" i="11"/>
  <c r="AL981" i="11"/>
  <c r="AL977" i="11"/>
  <c r="AL973" i="11"/>
  <c r="AL969" i="11"/>
  <c r="AL965" i="11"/>
  <c r="AL961" i="11"/>
  <c r="AL957" i="11"/>
  <c r="AL953" i="11"/>
  <c r="AL949" i="11"/>
  <c r="AL945" i="11"/>
  <c r="AL941" i="11"/>
  <c r="AL937" i="11"/>
  <c r="AL933" i="11"/>
  <c r="AL929" i="11"/>
  <c r="AL925" i="11"/>
  <c r="AL921" i="11"/>
  <c r="AL917" i="11"/>
  <c r="AL913" i="11"/>
  <c r="AL909" i="11"/>
  <c r="AL905" i="11"/>
  <c r="AL901" i="11"/>
  <c r="AL897" i="11"/>
  <c r="AL893" i="11"/>
  <c r="AL889" i="11"/>
  <c r="AL886" i="11"/>
  <c r="AL878" i="11"/>
  <c r="AL872" i="11"/>
  <c r="AL870" i="11"/>
  <c r="AL867" i="11"/>
  <c r="AL865" i="11"/>
  <c r="AL862" i="11"/>
  <c r="AL858" i="11"/>
  <c r="AL850" i="11"/>
  <c r="AL848" i="11"/>
  <c r="AL846" i="11"/>
  <c r="AL843" i="11"/>
  <c r="AL841" i="11"/>
  <c r="AL834" i="11"/>
  <c r="AL831" i="11"/>
  <c r="AL828" i="11"/>
  <c r="AL821" i="11"/>
  <c r="AL817" i="11"/>
  <c r="AL803" i="11"/>
  <c r="AL801" i="11"/>
  <c r="AL798" i="11"/>
  <c r="AL773" i="11"/>
  <c r="AL747" i="11"/>
  <c r="AL566" i="11"/>
  <c r="AL562" i="11"/>
  <c r="AL558" i="11"/>
  <c r="AL554" i="11"/>
  <c r="AL550" i="11"/>
  <c r="AL546" i="11"/>
  <c r="AL542" i="11"/>
  <c r="AL538" i="11"/>
  <c r="AL534" i="11"/>
  <c r="AL530" i="11"/>
  <c r="AL526" i="11"/>
  <c r="AL522" i="11"/>
  <c r="AL518" i="11"/>
  <c r="AL514" i="11"/>
  <c r="AL510" i="11"/>
  <c r="AL506" i="11"/>
  <c r="AL502" i="11"/>
  <c r="AL498" i="11"/>
  <c r="AL494" i="11"/>
  <c r="AL492" i="11"/>
  <c r="AL488" i="11"/>
  <c r="AL487" i="11"/>
  <c r="AL486" i="11"/>
  <c r="AL485" i="11"/>
  <c r="AL484" i="11"/>
  <c r="AL482" i="11"/>
  <c r="AL481" i="11"/>
  <c r="AL480" i="11"/>
  <c r="AL479" i="11"/>
  <c r="AL478" i="11"/>
  <c r="AL477" i="11"/>
  <c r="AL476" i="11"/>
  <c r="AL475" i="11"/>
  <c r="AL474" i="11"/>
  <c r="AL473" i="11"/>
  <c r="AL472" i="11"/>
  <c r="AL471" i="11"/>
  <c r="AL470" i="11"/>
  <c r="AL469" i="11"/>
  <c r="AL468" i="11"/>
  <c r="AL467" i="11"/>
  <c r="AL466" i="11"/>
  <c r="AL465" i="11"/>
  <c r="AL458" i="11"/>
  <c r="AL454" i="11"/>
  <c r="AL451" i="11"/>
  <c r="AL449" i="11"/>
  <c r="AL447" i="11"/>
  <c r="AL444" i="11"/>
  <c r="AL433" i="11"/>
  <c r="AL430" i="11"/>
  <c r="AL428" i="11"/>
  <c r="AL426" i="11"/>
  <c r="AL424" i="11"/>
  <c r="AL421" i="11"/>
  <c r="AL419" i="11"/>
  <c r="AL415" i="11"/>
  <c r="AL412" i="11"/>
  <c r="AL405" i="11"/>
  <c r="AL401" i="11"/>
  <c r="AL393" i="11"/>
  <c r="AL392" i="11"/>
  <c r="AL390" i="11"/>
  <c r="AL379" i="11"/>
  <c r="AL377" i="11"/>
  <c r="AL375" i="11"/>
  <c r="AL373" i="11"/>
  <c r="AL361" i="11"/>
  <c r="AL357" i="11"/>
  <c r="AL353" i="11"/>
  <c r="AL349" i="11"/>
  <c r="AL345" i="11"/>
  <c r="AL341" i="11"/>
  <c r="AL337" i="11"/>
  <c r="AL333" i="11"/>
  <c r="AL329" i="11"/>
  <c r="AL325" i="11"/>
  <c r="AL321" i="11"/>
  <c r="AL317" i="11"/>
  <c r="AL311" i="11"/>
  <c r="AL294" i="11"/>
  <c r="AL291" i="11"/>
  <c r="AL284" i="11"/>
  <c r="AL281" i="11"/>
  <c r="AL273" i="11"/>
  <c r="AL265" i="11"/>
  <c r="AL261" i="11"/>
  <c r="AL257" i="11"/>
  <c r="AL251" i="11"/>
  <c r="AL249" i="11"/>
  <c r="AL247" i="11"/>
  <c r="AL245" i="11"/>
  <c r="AL243" i="11"/>
  <c r="AL241" i="11"/>
  <c r="AL238" i="11"/>
  <c r="AL231" i="11"/>
  <c r="AL227" i="11"/>
  <c r="AL223" i="11"/>
  <c r="AL206" i="11"/>
  <c r="AL196" i="11"/>
  <c r="AL192" i="11"/>
  <c r="AL190" i="11"/>
  <c r="AL188" i="11"/>
  <c r="AL186" i="11"/>
  <c r="AL182" i="11"/>
  <c r="AL178" i="11"/>
  <c r="AL174" i="11"/>
  <c r="AL171" i="11"/>
  <c r="AL169" i="11"/>
  <c r="AL167" i="11"/>
  <c r="AL165" i="11"/>
  <c r="AL163" i="11"/>
  <c r="AL1068" i="11"/>
  <c r="AL1064" i="11"/>
  <c r="AL1060" i="11"/>
  <c r="AL1056" i="11"/>
  <c r="AL1052" i="11"/>
  <c r="AL1048" i="11"/>
  <c r="AL1044" i="11"/>
  <c r="AL1040" i="11"/>
  <c r="AL1036" i="11"/>
  <c r="AL1032" i="11"/>
  <c r="AL1028" i="11"/>
  <c r="AL1024" i="11"/>
  <c r="AL1020" i="11"/>
  <c r="AL1016" i="11"/>
  <c r="AL1012" i="11"/>
  <c r="AL1008" i="11"/>
  <c r="AL1004" i="11"/>
  <c r="AL1000" i="11"/>
  <c r="AL996" i="11"/>
  <c r="AL992" i="11"/>
  <c r="AL988" i="11"/>
  <c r="AL984" i="11"/>
  <c r="AL980" i="11"/>
  <c r="AL976" i="11"/>
  <c r="AL972" i="11"/>
  <c r="AL968" i="11"/>
  <c r="AL964" i="11"/>
  <c r="AL960" i="11"/>
  <c r="AL956" i="11"/>
  <c r="AL952" i="11"/>
  <c r="AL948" i="11"/>
  <c r="AL944" i="11"/>
  <c r="AL940" i="11"/>
  <c r="AL936" i="11"/>
  <c r="AL932" i="11"/>
  <c r="AL928" i="11"/>
  <c r="AL924" i="11"/>
  <c r="AL920" i="11"/>
  <c r="AL916" i="11"/>
  <c r="AL912" i="11"/>
  <c r="AL908" i="11"/>
  <c r="AL904" i="11"/>
  <c r="AL900" i="11"/>
  <c r="AL896" i="11"/>
  <c r="AL892" i="11"/>
  <c r="AL888" i="11"/>
  <c r="AL883" i="11"/>
  <c r="AL881" i="11"/>
  <c r="AL877" i="11"/>
  <c r="AL874" i="11"/>
  <c r="AL869" i="11"/>
  <c r="AL864" i="11"/>
  <c r="AL861" i="11"/>
  <c r="AL857" i="11"/>
  <c r="AL854" i="11"/>
  <c r="AL852" i="11"/>
  <c r="AL849" i="11"/>
  <c r="AL845" i="11"/>
  <c r="AL840" i="11"/>
  <c r="AL830" i="11"/>
  <c r="AL827" i="11"/>
  <c r="AL824" i="11"/>
  <c r="AL820" i="11"/>
  <c r="AL816" i="11"/>
  <c r="AL814" i="11"/>
  <c r="AL812" i="11"/>
  <c r="AL810" i="11"/>
  <c r="AL808" i="11"/>
  <c r="AL806" i="11"/>
  <c r="AL797" i="11"/>
  <c r="AL792" i="11"/>
  <c r="AL791" i="11"/>
  <c r="AL790" i="11"/>
  <c r="AL778" i="11"/>
  <c r="AL758" i="11"/>
  <c r="AL751" i="11"/>
  <c r="AL746" i="11"/>
  <c r="AL565" i="11"/>
  <c r="AL561" i="11"/>
  <c r="AL557" i="11"/>
  <c r="AL553" i="11"/>
  <c r="AL549" i="11"/>
  <c r="AL545" i="11"/>
  <c r="AL541" i="11"/>
  <c r="AL537" i="11"/>
  <c r="AL531" i="11"/>
  <c r="AL527" i="11"/>
  <c r="AL523" i="11"/>
  <c r="AL519" i="11"/>
  <c r="AL515" i="11"/>
  <c r="AL511" i="11"/>
  <c r="AL507" i="11"/>
  <c r="AL503" i="11"/>
  <c r="AL499" i="11"/>
  <c r="AL495" i="11"/>
  <c r="AL493" i="11"/>
  <c r="AL489" i="11"/>
  <c r="AL457" i="11"/>
  <c r="AL443" i="11"/>
  <c r="AL442" i="11"/>
  <c r="AL441" i="11"/>
  <c r="AL440" i="11"/>
  <c r="AL439" i="11"/>
  <c r="AL438" i="11"/>
  <c r="AL437" i="11"/>
  <c r="AL436" i="11"/>
  <c r="AL432" i="11"/>
  <c r="AL414" i="11"/>
  <c r="AL409" i="11"/>
  <c r="AL402" i="11"/>
  <c r="AL398" i="11"/>
  <c r="AL382" i="11"/>
  <c r="AL372" i="11"/>
  <c r="AL370" i="11"/>
  <c r="AL368" i="11"/>
  <c r="AL366" i="11"/>
  <c r="AL364" i="11"/>
  <c r="AL362" i="11"/>
  <c r="AL358" i="11"/>
  <c r="AL352" i="11"/>
  <c r="AL348" i="11"/>
  <c r="AL344" i="11"/>
  <c r="AL340" i="11"/>
  <c r="AL336" i="11"/>
  <c r="AL332" i="11"/>
  <c r="AL328" i="11"/>
  <c r="AL324" i="11"/>
  <c r="AL320" i="11"/>
  <c r="AL316" i="11"/>
  <c r="AL314" i="11"/>
  <c r="AL310" i="11"/>
  <c r="AL299" i="11"/>
  <c r="AL297" i="11"/>
  <c r="AL295" i="11"/>
  <c r="AL288" i="11"/>
  <c r="AL285" i="11"/>
  <c r="AL276" i="11"/>
  <c r="AL268" i="11"/>
  <c r="AL262" i="11"/>
  <c r="AL258" i="11"/>
  <c r="AL254" i="11"/>
  <c r="AL237" i="11"/>
  <c r="AL236" i="11"/>
  <c r="AL235" i="11"/>
  <c r="AL234" i="11"/>
  <c r="AL230" i="11"/>
  <c r="AL226" i="11"/>
  <c r="AL222" i="11"/>
  <c r="AL221" i="11"/>
  <c r="AL220" i="11"/>
  <c r="AL219" i="11"/>
  <c r="AL218" i="11"/>
  <c r="AL217" i="11"/>
  <c r="AL216" i="11"/>
  <c r="AL215" i="11"/>
  <c r="AL214" i="11"/>
  <c r="AL213" i="11"/>
  <c r="AL211" i="11"/>
  <c r="AL209" i="11"/>
  <c r="AL207" i="11"/>
  <c r="AL204" i="11"/>
  <c r="AL199" i="11"/>
  <c r="AL195" i="11"/>
  <c r="AL183" i="11"/>
  <c r="AL179" i="11"/>
  <c r="AL175" i="11"/>
  <c r="AL161" i="11"/>
  <c r="AL1067" i="11"/>
  <c r="AL1063" i="11"/>
  <c r="AL1059" i="11"/>
  <c r="AL1055" i="11"/>
  <c r="AL1051" i="11"/>
  <c r="AL1047" i="11"/>
  <c r="AL1043" i="11"/>
  <c r="AL1039" i="11"/>
  <c r="AL1035" i="11"/>
  <c r="AL1031" i="11"/>
  <c r="AL1027" i="11"/>
  <c r="AL1023" i="11"/>
  <c r="AL1019" i="11"/>
  <c r="AL1015" i="11"/>
  <c r="AL1011" i="11"/>
  <c r="AL1007" i="11"/>
  <c r="AL1003" i="11"/>
  <c r="AL999" i="11"/>
  <c r="AL995" i="11"/>
  <c r="AL991" i="11"/>
  <c r="AL987" i="11"/>
  <c r="AL983" i="11"/>
  <c r="AL979" i="11"/>
  <c r="AL975" i="11"/>
  <c r="AL971" i="11"/>
  <c r="AL967" i="11"/>
  <c r="AL963" i="11"/>
  <c r="AL959" i="11"/>
  <c r="AL955" i="11"/>
  <c r="AL951" i="11"/>
  <c r="AL947" i="11"/>
  <c r="AL943" i="11"/>
  <c r="AL939" i="11"/>
  <c r="AL935" i="11"/>
  <c r="AL931" i="11"/>
  <c r="AL927" i="11"/>
  <c r="AL923" i="11"/>
  <c r="AL919" i="11"/>
  <c r="AL915" i="11"/>
  <c r="AL911" i="11"/>
  <c r="AL907" i="11"/>
  <c r="AL903" i="11"/>
  <c r="AL899" i="11"/>
  <c r="AL895" i="11"/>
  <c r="AL891" i="11"/>
  <c r="AL887" i="11"/>
  <c r="AL885" i="11"/>
  <c r="AL880" i="11"/>
  <c r="AL876" i="11"/>
  <c r="AL873" i="11"/>
  <c r="AL871" i="11"/>
  <c r="AL868" i="11"/>
  <c r="AL866" i="11"/>
  <c r="AL860" i="11"/>
  <c r="AL856" i="11"/>
  <c r="AL851" i="11"/>
  <c r="AL844" i="11"/>
  <c r="AL842" i="11"/>
  <c r="AL833" i="11"/>
  <c r="AL826" i="11"/>
  <c r="AL823" i="11"/>
  <c r="AL819" i="11"/>
  <c r="AL805" i="11"/>
  <c r="AL802" i="11"/>
  <c r="AL800" i="11"/>
  <c r="AL796" i="11"/>
  <c r="AL795" i="11"/>
  <c r="AL794" i="11"/>
  <c r="AL783" i="11"/>
  <c r="AL763" i="11"/>
  <c r="AL749" i="11"/>
  <c r="AL568" i="11"/>
  <c r="AL564" i="11"/>
  <c r="AL560" i="11"/>
  <c r="AL556" i="11"/>
  <c r="AL552" i="11"/>
  <c r="AL548" i="11"/>
  <c r="AL544" i="11"/>
  <c r="AL540" i="11"/>
  <c r="AL536" i="11"/>
  <c r="AL532" i="11"/>
  <c r="AL528" i="11"/>
  <c r="AL524" i="11"/>
  <c r="AL520" i="11"/>
  <c r="AL516" i="11"/>
  <c r="AL512" i="11"/>
  <c r="AL508" i="11"/>
  <c r="AL504" i="11"/>
  <c r="AL500" i="11"/>
  <c r="AL496" i="11"/>
  <c r="AL490" i="11"/>
  <c r="AL483" i="11"/>
  <c r="AL459" i="11"/>
  <c r="AL456" i="11"/>
  <c r="AL452" i="11"/>
  <c r="AL450" i="11"/>
  <c r="AL448" i="11"/>
  <c r="AL446" i="11"/>
  <c r="AL435" i="11"/>
  <c r="AL429" i="11"/>
  <c r="AL427" i="11"/>
  <c r="AL425" i="11"/>
  <c r="AL423" i="11"/>
  <c r="AL420" i="11"/>
  <c r="AL417" i="11"/>
  <c r="AL413" i="11"/>
  <c r="AL411" i="11"/>
  <c r="AL406" i="11"/>
  <c r="AL403" i="11"/>
  <c r="AL399" i="11"/>
  <c r="AL391" i="11"/>
  <c r="AL383" i="11"/>
  <c r="AL381" i="11"/>
  <c r="AL378" i="11"/>
  <c r="AL376" i="11"/>
  <c r="AL374" i="11"/>
  <c r="AL363" i="11"/>
  <c r="AL359" i="11"/>
  <c r="AL355" i="11"/>
  <c r="AL351" i="11"/>
  <c r="AL347" i="11"/>
  <c r="AL343" i="11"/>
  <c r="AL339" i="11"/>
  <c r="AL335" i="11"/>
  <c r="AL331" i="11"/>
  <c r="AL327" i="11"/>
  <c r="AL323" i="11"/>
  <c r="AL319" i="11"/>
  <c r="AL313" i="11"/>
  <c r="AL309" i="11"/>
  <c r="AL296" i="11"/>
  <c r="AL289" i="11"/>
  <c r="AL286" i="11"/>
  <c r="AL277" i="11"/>
  <c r="AL269" i="11"/>
  <c r="AL263" i="11"/>
  <c r="AL259" i="11"/>
  <c r="AL255" i="11"/>
  <c r="AL253" i="11"/>
  <c r="AL252" i="11"/>
  <c r="AL250" i="11"/>
  <c r="AL248" i="11"/>
  <c r="AL246" i="11"/>
  <c r="AL244" i="11"/>
  <c r="AL242" i="11"/>
  <c r="AL240" i="11"/>
  <c r="AL233" i="11"/>
  <c r="AL229" i="11"/>
  <c r="AL225" i="11"/>
  <c r="AL198" i="11"/>
  <c r="AL194" i="11"/>
  <c r="AL191" i="11"/>
  <c r="AL189" i="11"/>
  <c r="AL187" i="11"/>
  <c r="AL184" i="11"/>
  <c r="AL180" i="11"/>
  <c r="AL176" i="11"/>
  <c r="AL172" i="11"/>
  <c r="AL170" i="11"/>
  <c r="AL168" i="11"/>
  <c r="AL166" i="11"/>
  <c r="AL164" i="11"/>
  <c r="AL162" i="11"/>
  <c r="AL1034" i="11"/>
  <c r="AL1026" i="11"/>
  <c r="AL1018" i="11"/>
  <c r="AL1010" i="11"/>
  <c r="AL998" i="11"/>
  <c r="AL990" i="11"/>
  <c r="AL982" i="11"/>
  <c r="AL934" i="11"/>
  <c r="AL926" i="11"/>
  <c r="AL918" i="11"/>
  <c r="AL910" i="11"/>
  <c r="AL902" i="11"/>
  <c r="AL894" i="11"/>
  <c r="AL863" i="11"/>
  <c r="AL855" i="11"/>
  <c r="AL847" i="11"/>
  <c r="AL835" i="11"/>
  <c r="AL832" i="11"/>
  <c r="AL829" i="11"/>
  <c r="AL813" i="11"/>
  <c r="AL750" i="11"/>
  <c r="AL563" i="11"/>
  <c r="AL551" i="11"/>
  <c r="AL543" i="11"/>
  <c r="AL535" i="11"/>
  <c r="AL529" i="11"/>
  <c r="AL509" i="11"/>
  <c r="AL462" i="11"/>
  <c r="AL400" i="11"/>
  <c r="AL367" i="11"/>
  <c r="AL346" i="11"/>
  <c r="AL338" i="11"/>
  <c r="AL330" i="11"/>
  <c r="AL318" i="11"/>
  <c r="AL315" i="11"/>
  <c r="AL290" i="11"/>
  <c r="AL283" i="11"/>
  <c r="AL272" i="11"/>
  <c r="AL260" i="11"/>
  <c r="AL228" i="11"/>
  <c r="AL210" i="11"/>
  <c r="AL203" i="11"/>
  <c r="AL202" i="11"/>
  <c r="AL201" i="11"/>
  <c r="AL200" i="11"/>
  <c r="AL177" i="11"/>
  <c r="AL1062" i="11"/>
  <c r="AL1054" i="11"/>
  <c r="AL1046" i="11"/>
  <c r="AL1002" i="11"/>
  <c r="AL974" i="11"/>
  <c r="AL966" i="11"/>
  <c r="AL958" i="11"/>
  <c r="AL950" i="11"/>
  <c r="AL938" i="11"/>
  <c r="AL875" i="11"/>
  <c r="AL818" i="11"/>
  <c r="AL815" i="11"/>
  <c r="AL807" i="11"/>
  <c r="AL799" i="11"/>
  <c r="AL567" i="11"/>
  <c r="AL533" i="11"/>
  <c r="AL513" i="11"/>
  <c r="AL497" i="11"/>
  <c r="AL461" i="11"/>
  <c r="AL453" i="11"/>
  <c r="AL445" i="11"/>
  <c r="AL431" i="11"/>
  <c r="AL416" i="11"/>
  <c r="AL404" i="11"/>
  <c r="AL380" i="11"/>
  <c r="AL365" i="11"/>
  <c r="AL360" i="11"/>
  <c r="AL356" i="11"/>
  <c r="AL354" i="11"/>
  <c r="AL322" i="11"/>
  <c r="AL208" i="11"/>
  <c r="AL197" i="11"/>
  <c r="AL181" i="11"/>
  <c r="AL160" i="11"/>
  <c r="AL1066" i="11"/>
  <c r="AL1038" i="11"/>
  <c r="AL1030" i="11"/>
  <c r="AL1022" i="11"/>
  <c r="AL1014" i="11"/>
  <c r="AL1006" i="11"/>
  <c r="AL994" i="11"/>
  <c r="AL986" i="11"/>
  <c r="AL978" i="11"/>
  <c r="AL942" i="11"/>
  <c r="AL930" i="11"/>
  <c r="AL922" i="11"/>
  <c r="AL914" i="11"/>
  <c r="AL906" i="11"/>
  <c r="AL898" i="11"/>
  <c r="AL890" i="11"/>
  <c r="AL882" i="11"/>
  <c r="AL859" i="11"/>
  <c r="AL825" i="11"/>
  <c r="AL809" i="11"/>
  <c r="AL804" i="11"/>
  <c r="AL753" i="11"/>
  <c r="AL559" i="11"/>
  <c r="AL555" i="11"/>
  <c r="AL547" i="11"/>
  <c r="AL539" i="11"/>
  <c r="AL517" i="11"/>
  <c r="AL501" i="11"/>
  <c r="AL491" i="11"/>
  <c r="AL422" i="11"/>
  <c r="AL371" i="11"/>
  <c r="AL350" i="11"/>
  <c r="AL342" i="11"/>
  <c r="AL334" i="11"/>
  <c r="AL312" i="11"/>
  <c r="AL293" i="11"/>
  <c r="AL280" i="11"/>
  <c r="AL264" i="11"/>
  <c r="AL256" i="11"/>
  <c r="AL232" i="11"/>
  <c r="AL224" i="11"/>
  <c r="AL185" i="11"/>
  <c r="AL1058" i="11"/>
  <c r="AL1050" i="11"/>
  <c r="AL1042" i="11"/>
  <c r="AL970" i="11"/>
  <c r="AL962" i="11"/>
  <c r="AL954" i="11"/>
  <c r="AL946" i="11"/>
  <c r="AL884" i="11"/>
  <c r="AL879" i="11"/>
  <c r="AL853" i="11"/>
  <c r="AL822" i="11"/>
  <c r="AL811" i="11"/>
  <c r="AL768" i="11"/>
  <c r="AL748" i="11"/>
  <c r="AL525" i="11"/>
  <c r="AL521" i="11"/>
  <c r="AL505" i="11"/>
  <c r="AL463" i="11"/>
  <c r="AL455" i="11"/>
  <c r="AL434" i="11"/>
  <c r="AL408" i="11"/>
  <c r="AL397" i="11"/>
  <c r="AL369" i="11"/>
  <c r="AL326" i="11"/>
  <c r="AL298" i="11"/>
  <c r="AL239" i="11"/>
  <c r="AL212" i="11"/>
  <c r="AL205" i="11"/>
  <c r="AL193" i="11"/>
  <c r="AL173" i="11"/>
  <c r="AA30" i="5"/>
  <c r="AE43" i="5" s="1"/>
  <c r="AA43" i="5" s="1"/>
  <c r="AA46" i="5" s="1"/>
  <c r="AC46" i="5" s="1"/>
  <c r="AC47" i="5" s="1"/>
  <c r="AA37" i="5"/>
  <c r="H312" i="15"/>
  <c r="I312" i="13"/>
  <c r="J312" i="15" s="1"/>
  <c r="H1850" i="15"/>
  <c r="I1857" i="13"/>
  <c r="J1850" i="15" s="1"/>
  <c r="C515" i="10"/>
  <c r="C532" i="5"/>
  <c r="C952" i="5"/>
  <c r="G490" i="5"/>
  <c r="H515" i="10" s="1"/>
  <c r="C686" i="10"/>
  <c r="C1043" i="5"/>
  <c r="C480" i="10"/>
  <c r="C669" i="10"/>
  <c r="C1026" i="5"/>
  <c r="C487" i="10"/>
  <c r="C676" i="10"/>
  <c r="C1033" i="5"/>
  <c r="D1613" i="13"/>
  <c r="L442" i="9"/>
  <c r="D594" i="10"/>
  <c r="D991" i="5"/>
  <c r="D635" i="10" s="1"/>
  <c r="D596" i="10"/>
  <c r="D993" i="5"/>
  <c r="D637" i="10" s="1"/>
  <c r="I1326" i="15"/>
  <c r="F1327" i="14"/>
  <c r="I1046" i="15"/>
  <c r="F1047" i="14"/>
  <c r="D803" i="15"/>
  <c r="D804" i="14"/>
  <c r="K810" i="13"/>
  <c r="H810" i="13"/>
  <c r="D2271" i="13"/>
  <c r="K399" i="12"/>
  <c r="K413" i="12" s="1"/>
  <c r="B415" i="12" s="1"/>
  <c r="D2231" i="13"/>
  <c r="E369" i="12"/>
  <c r="L114" i="4"/>
  <c r="H14" i="4"/>
  <c r="L14" i="4" s="1"/>
  <c r="L100" i="4"/>
  <c r="E54" i="10"/>
  <c r="E219" i="5"/>
  <c r="F218" i="5"/>
  <c r="F54" i="10" s="1"/>
  <c r="D95" i="15"/>
  <c r="D96" i="14"/>
  <c r="H95" i="13"/>
  <c r="G95" i="13"/>
  <c r="I974" i="15"/>
  <c r="F975" i="14"/>
  <c r="I420" i="13"/>
  <c r="C276" i="9"/>
  <c r="C273" i="9"/>
  <c r="C280" i="9"/>
  <c r="C267" i="9"/>
  <c r="D550" i="15"/>
  <c r="D551" i="14"/>
  <c r="H557" i="13"/>
  <c r="K557" i="13"/>
  <c r="G557" i="13"/>
  <c r="E780" i="15"/>
  <c r="G780" i="15" s="1"/>
  <c r="D1000" i="15"/>
  <c r="D1001" i="14"/>
  <c r="K1007" i="13"/>
  <c r="H1007" i="13"/>
  <c r="G1007" i="13"/>
  <c r="D841" i="13"/>
  <c r="E1840" i="5"/>
  <c r="C1888" i="5"/>
  <c r="I1831" i="15"/>
  <c r="F1832" i="14"/>
  <c r="E584" i="10"/>
  <c r="G584" i="10" s="1"/>
  <c r="E520" i="5"/>
  <c r="D1617" i="15"/>
  <c r="D1618" i="14"/>
  <c r="K1624" i="13"/>
  <c r="H1624" i="13"/>
  <c r="G1624" i="13"/>
  <c r="B816" i="15"/>
  <c r="B817" i="14"/>
  <c r="I172" i="15"/>
  <c r="F173" i="14"/>
  <c r="D1939" i="13"/>
  <c r="E400" i="6"/>
  <c r="J400" i="6"/>
  <c r="D609" i="10"/>
  <c r="D1006" i="5"/>
  <c r="D650" i="10" s="1"/>
  <c r="D573" i="10"/>
  <c r="D970" i="5"/>
  <c r="D614" i="10" s="1"/>
  <c r="G656" i="5"/>
  <c r="H230" i="10" s="1"/>
  <c r="G230" i="10"/>
  <c r="E880" i="15"/>
  <c r="G880" i="15" s="1"/>
  <c r="G887" i="13"/>
  <c r="B801" i="15"/>
  <c r="B802" i="14"/>
  <c r="I876" i="15"/>
  <c r="F877" i="14"/>
  <c r="H2339" i="15"/>
  <c r="F2340" i="14"/>
  <c r="I2346" i="13"/>
  <c r="J2339" i="15" s="1"/>
  <c r="D1719" i="13"/>
  <c r="E248" i="4"/>
  <c r="D1536" i="15"/>
  <c r="D1537" i="14"/>
  <c r="H1543" i="13"/>
  <c r="G1543" i="13"/>
  <c r="D1178" i="15"/>
  <c r="D1179" i="14"/>
  <c r="K1185" i="13"/>
  <c r="H1185" i="13"/>
  <c r="I1178" i="15" s="1"/>
  <c r="G1185" i="13"/>
  <c r="H1178" i="15" s="1"/>
  <c r="H2350" i="15"/>
  <c r="I2357" i="13"/>
  <c r="J2350" i="15" s="1"/>
  <c r="I881" i="15"/>
  <c r="F882" i="14"/>
  <c r="H211" i="10"/>
  <c r="H157" i="15"/>
  <c r="I157" i="13"/>
  <c r="J157" i="15" s="1"/>
  <c r="D2456" i="13"/>
  <c r="E2009" i="5"/>
  <c r="H196" i="4"/>
  <c r="H79" i="4"/>
  <c r="L77" i="4"/>
  <c r="L202" i="4"/>
  <c r="R202" i="4" s="1"/>
  <c r="F136" i="4"/>
  <c r="E136" i="4"/>
  <c r="D136" i="4"/>
  <c r="M136" i="4"/>
  <c r="H136" i="4"/>
  <c r="D595" i="10"/>
  <c r="D992" i="5"/>
  <c r="D636" i="10" s="1"/>
  <c r="H889" i="13"/>
  <c r="H2399" i="15"/>
  <c r="I2406" i="13"/>
  <c r="J2399" i="15" s="1"/>
  <c r="I694" i="13"/>
  <c r="J687" i="15" s="1"/>
  <c r="D1271" i="5"/>
  <c r="D1272" i="5" s="1"/>
  <c r="D18" i="13"/>
  <c r="J602" i="8"/>
  <c r="E601" i="8"/>
  <c r="D1864" i="13"/>
  <c r="O2140" i="5"/>
  <c r="D1832" i="13"/>
  <c r="E2151" i="5"/>
  <c r="I671" i="15"/>
  <c r="F672" i="14"/>
  <c r="D601" i="10"/>
  <c r="D998" i="5"/>
  <c r="D642" i="10" s="1"/>
  <c r="C524" i="10"/>
  <c r="C961" i="5"/>
  <c r="C541" i="5"/>
  <c r="C495" i="10"/>
  <c r="C932" i="5"/>
  <c r="C512" i="5"/>
  <c r="G470" i="5"/>
  <c r="H495" i="10" s="1"/>
  <c r="H2346" i="15"/>
  <c r="I2353" i="13"/>
  <c r="J2346" i="15" s="1"/>
  <c r="D1471" i="15"/>
  <c r="D1472" i="14"/>
  <c r="H1478" i="13"/>
  <c r="G1478" i="13"/>
  <c r="D1718" i="13"/>
  <c r="E247" i="4"/>
  <c r="J221" i="4"/>
  <c r="C1923" i="5"/>
  <c r="C1913" i="5"/>
  <c r="E1771" i="5"/>
  <c r="E1774" i="5" s="1"/>
  <c r="C1786" i="5"/>
  <c r="D1004" i="15"/>
  <c r="D1005" i="14"/>
  <c r="K1011" i="13"/>
  <c r="G1011" i="13"/>
  <c r="H1011" i="13"/>
  <c r="D1621" i="15"/>
  <c r="D1622" i="14"/>
  <c r="K1628" i="13"/>
  <c r="H1628" i="13"/>
  <c r="G1628" i="13"/>
  <c r="H604" i="15"/>
  <c r="I611" i="13"/>
  <c r="J604" i="15" s="1"/>
  <c r="D1921" i="13"/>
  <c r="M2284" i="5"/>
  <c r="H1925" i="15"/>
  <c r="I1932" i="13"/>
  <c r="J1925" i="15" s="1"/>
  <c r="D1928" i="15"/>
  <c r="D1929" i="14"/>
  <c r="K1935" i="13"/>
  <c r="H1935" i="13"/>
  <c r="G1935" i="13"/>
  <c r="H890" i="15"/>
  <c r="I897" i="13"/>
  <c r="J890" i="15" s="1"/>
  <c r="D2375" i="15"/>
  <c r="H2382" i="13"/>
  <c r="K2382" i="13"/>
  <c r="E768" i="15"/>
  <c r="G768" i="15" s="1"/>
  <c r="D1635" i="15"/>
  <c r="D1636" i="14"/>
  <c r="K1642" i="13"/>
  <c r="H1642" i="13"/>
  <c r="G1642" i="13"/>
  <c r="J104" i="4"/>
  <c r="J108" i="4"/>
  <c r="D1492" i="15"/>
  <c r="D1493" i="14"/>
  <c r="H1499" i="13"/>
  <c r="K1499" i="13"/>
  <c r="G1499" i="13"/>
  <c r="D1666" i="13"/>
  <c r="J513" i="9"/>
  <c r="J512" i="9"/>
  <c r="L508" i="9"/>
  <c r="D777" i="13"/>
  <c r="E2005" i="5"/>
  <c r="H875" i="15"/>
  <c r="I882" i="13"/>
  <c r="J875" i="15" s="1"/>
  <c r="D117" i="13"/>
  <c r="J663" i="8"/>
  <c r="L662" i="8"/>
  <c r="D1812" i="15"/>
  <c r="D1813" i="14"/>
  <c r="K1819" i="13"/>
  <c r="H1819" i="13"/>
  <c r="G1819" i="13"/>
  <c r="I530" i="15"/>
  <c r="J530" i="15"/>
  <c r="I2285" i="15"/>
  <c r="F2286" i="14"/>
  <c r="H2294" i="13"/>
  <c r="I2287" i="15" s="1"/>
  <c r="D465" i="15"/>
  <c r="D466" i="14"/>
  <c r="K472" i="13"/>
  <c r="H472" i="13"/>
  <c r="H465" i="15" s="1"/>
  <c r="G472" i="13"/>
  <c r="I472" i="13" s="1"/>
  <c r="D1311" i="15"/>
  <c r="D1312" i="14"/>
  <c r="H1318" i="13"/>
  <c r="K1318" i="13"/>
  <c r="G1318" i="13"/>
  <c r="C693" i="10"/>
  <c r="C1050" i="5"/>
  <c r="C513" i="10"/>
  <c r="C950" i="5"/>
  <c r="C530" i="5"/>
  <c r="K104" i="4"/>
  <c r="K108" i="4"/>
  <c r="J421" i="15"/>
  <c r="I421" i="15"/>
  <c r="D869" i="15"/>
  <c r="D870" i="14"/>
  <c r="H876" i="13"/>
  <c r="K876" i="13"/>
  <c r="I1327" i="5"/>
  <c r="I1325" i="5"/>
  <c r="I1323" i="5"/>
  <c r="I1321" i="5"/>
  <c r="S1327" i="5"/>
  <c r="S1325" i="5"/>
  <c r="S1323" i="5"/>
  <c r="S1321" i="5"/>
  <c r="I1328" i="5"/>
  <c r="I1326" i="5"/>
  <c r="I1324" i="5"/>
  <c r="I1322" i="5"/>
  <c r="S1328" i="5"/>
  <c r="S1326" i="5"/>
  <c r="S1324" i="5"/>
  <c r="S1322" i="5"/>
  <c r="E309" i="10"/>
  <c r="G309" i="10" s="1"/>
  <c r="E736" i="5"/>
  <c r="G735" i="5"/>
  <c r="H309" i="10" s="1"/>
  <c r="H2308" i="15"/>
  <c r="I2315" i="13"/>
  <c r="J2308" i="15" s="1"/>
  <c r="H683" i="15"/>
  <c r="I690" i="13"/>
  <c r="J683" i="15" s="1"/>
  <c r="J386" i="15"/>
  <c r="I386" i="15"/>
  <c r="E460" i="10"/>
  <c r="G460" i="10" s="1"/>
  <c r="E897" i="5"/>
  <c r="C1525" i="5"/>
  <c r="C1514" i="5" s="1"/>
  <c r="C1600" i="5" s="1"/>
  <c r="C1780" i="5"/>
  <c r="C1691" i="5"/>
  <c r="C1680" i="5" s="1"/>
  <c r="R12" i="4"/>
  <c r="D91" i="13"/>
  <c r="L640" i="8"/>
  <c r="AB617" i="5"/>
  <c r="I1941" i="15"/>
  <c r="F1942" i="14"/>
  <c r="H722" i="15"/>
  <c r="I729" i="13"/>
  <c r="J722" i="15" s="1"/>
  <c r="H827" i="13"/>
  <c r="H1666" i="15"/>
  <c r="I1673" i="13"/>
  <c r="J1666" i="15" s="1"/>
  <c r="H973" i="15"/>
  <c r="I980" i="13"/>
  <c r="J973" i="15" s="1"/>
  <c r="P139" i="4"/>
  <c r="O139" i="4"/>
  <c r="N139" i="4"/>
  <c r="H1305" i="15"/>
  <c r="F1306" i="14"/>
  <c r="I1312" i="13"/>
  <c r="J1305" i="15" s="1"/>
  <c r="J196" i="4"/>
  <c r="J79" i="4"/>
  <c r="D80" i="15"/>
  <c r="D81" i="14"/>
  <c r="K80" i="13"/>
  <c r="H80" i="13"/>
  <c r="G80" i="13"/>
  <c r="C769" i="15"/>
  <c r="C770" i="14"/>
  <c r="H2006" i="15"/>
  <c r="I2013" i="13"/>
  <c r="J2006" i="15" s="1"/>
  <c r="H1275" i="15"/>
  <c r="I1282" i="13"/>
  <c r="J1275" i="15" s="1"/>
  <c r="D1634" i="15"/>
  <c r="D1635" i="14"/>
  <c r="K1641" i="13"/>
  <c r="H1641" i="13"/>
  <c r="G1641" i="13"/>
  <c r="H158" i="15"/>
  <c r="F159" i="14"/>
  <c r="D1936" i="13"/>
  <c r="J397" i="6"/>
  <c r="E397" i="6"/>
  <c r="I2379" i="15"/>
  <c r="G2386" i="13"/>
  <c r="E761" i="15"/>
  <c r="G761" i="15" s="1"/>
  <c r="E796" i="15"/>
  <c r="G796" i="15" s="1"/>
  <c r="G803" i="13"/>
  <c r="I1279" i="15"/>
  <c r="F1280" i="14"/>
  <c r="I606" i="15"/>
  <c r="F607" i="14"/>
  <c r="H2279" i="15"/>
  <c r="F2280" i="14"/>
  <c r="I2286" i="13"/>
  <c r="J2279" i="15" s="1"/>
  <c r="I85" i="15"/>
  <c r="F86" i="14"/>
  <c r="I972" i="15"/>
  <c r="F973" i="14"/>
  <c r="R94" i="4"/>
  <c r="I2486" i="15"/>
  <c r="G2494" i="13"/>
  <c r="D1660" i="13"/>
  <c r="E544" i="9"/>
  <c r="J430" i="15"/>
  <c r="I430" i="15"/>
  <c r="G2319" i="13"/>
  <c r="E151" i="10"/>
  <c r="G151" i="10" s="1"/>
  <c r="E316" i="5"/>
  <c r="G315" i="5"/>
  <c r="H178" i="10" s="1"/>
  <c r="B805" i="15"/>
  <c r="B806" i="14"/>
  <c r="C458" i="10"/>
  <c r="G894" i="5"/>
  <c r="H458" i="10" s="1"/>
  <c r="C512" i="10"/>
  <c r="C949" i="5"/>
  <c r="C529" i="5"/>
  <c r="H803" i="13"/>
  <c r="D1589" i="13"/>
  <c r="E469" i="9"/>
  <c r="D589" i="10"/>
  <c r="D986" i="5"/>
  <c r="D630" i="10" s="1"/>
  <c r="D2251" i="15"/>
  <c r="D2252" i="14"/>
  <c r="K2258" i="13"/>
  <c r="H2258" i="13"/>
  <c r="G2258" i="13"/>
  <c r="E1993" i="5"/>
  <c r="D938" i="15"/>
  <c r="D939" i="14"/>
  <c r="K945" i="13"/>
  <c r="H945" i="13"/>
  <c r="G945" i="13"/>
  <c r="D598" i="10"/>
  <c r="D995" i="5"/>
  <c r="D639" i="10" s="1"/>
  <c r="D600" i="10"/>
  <c r="D997" i="5"/>
  <c r="D641" i="10" s="1"/>
  <c r="I1824" i="15"/>
  <c r="F1825" i="14"/>
  <c r="E357" i="10"/>
  <c r="G357" i="10" s="1"/>
  <c r="E784" i="5"/>
  <c r="G783" i="5"/>
  <c r="H357" i="10" s="1"/>
  <c r="I1849" i="15"/>
  <c r="F1850" i="14"/>
  <c r="B808" i="15"/>
  <c r="B809" i="14"/>
  <c r="I941" i="15"/>
  <c r="F942" i="14"/>
  <c r="D517" i="15"/>
  <c r="D518" i="14"/>
  <c r="H524" i="13"/>
  <c r="H517" i="15" s="1"/>
  <c r="G524" i="13"/>
  <c r="D651" i="15"/>
  <c r="D652" i="14"/>
  <c r="H658" i="13"/>
  <c r="G658" i="13"/>
  <c r="I2004" i="15"/>
  <c r="F2005" i="14"/>
  <c r="H2015" i="13"/>
  <c r="I2008" i="15" s="1"/>
  <c r="H341" i="15"/>
  <c r="I348" i="13"/>
  <c r="J341" i="15" s="1"/>
  <c r="I376" i="15"/>
  <c r="J376" i="15"/>
  <c r="I391" i="13"/>
  <c r="D2449" i="15"/>
  <c r="H2457" i="13"/>
  <c r="K2457" i="13"/>
  <c r="L44" i="5"/>
  <c r="Q44" i="5"/>
  <c r="F1173" i="5"/>
  <c r="F1181" i="5" s="1"/>
  <c r="F1170" i="5"/>
  <c r="S30" i="5"/>
  <c r="C1087" i="5"/>
  <c r="D22" i="13"/>
  <c r="E605" i="8"/>
  <c r="J604" i="8"/>
  <c r="D1869" i="13"/>
  <c r="O2145" i="5"/>
  <c r="D1872" i="13"/>
  <c r="O2148" i="5"/>
  <c r="D1871" i="13"/>
  <c r="O2147" i="5"/>
  <c r="D1833" i="13"/>
  <c r="E2152" i="5"/>
  <c r="O1182" i="5"/>
  <c r="Q1178" i="5"/>
  <c r="H977" i="15"/>
  <c r="I984" i="13"/>
  <c r="J977" i="15" s="1"/>
  <c r="H288" i="15"/>
  <c r="I288" i="13"/>
  <c r="J288" i="15" s="1"/>
  <c r="I314" i="15"/>
  <c r="F315" i="14"/>
  <c r="D1861" i="13"/>
  <c r="O2137" i="5"/>
  <c r="D1860" i="13"/>
  <c r="O2136" i="5"/>
  <c r="D1855" i="13"/>
  <c r="E2174" i="5"/>
  <c r="D1870" i="13"/>
  <c r="O2146" i="5"/>
  <c r="D1891" i="15"/>
  <c r="D1892" i="14"/>
  <c r="K1898" i="13"/>
  <c r="H1898" i="13"/>
  <c r="G1898" i="13"/>
  <c r="I727" i="15"/>
  <c r="F728" i="14"/>
  <c r="E772" i="15"/>
  <c r="G772" i="15" s="1"/>
  <c r="G779" i="13"/>
  <c r="H2345" i="15"/>
  <c r="I2352" i="13"/>
  <c r="J2345" i="15" s="1"/>
  <c r="D1633" i="15"/>
  <c r="D1634" i="14"/>
  <c r="K1640" i="13"/>
  <c r="H1640" i="13"/>
  <c r="G1640" i="13"/>
  <c r="I948" i="15"/>
  <c r="F949" i="14"/>
  <c r="I998" i="15"/>
  <c r="F999" i="14"/>
  <c r="H1006" i="15"/>
  <c r="I1013" i="13"/>
  <c r="J1006" i="15" s="1"/>
  <c r="I1278" i="15"/>
  <c r="F1279" i="14"/>
  <c r="G1277" i="13"/>
  <c r="D2171" i="15"/>
  <c r="D2172" i="14"/>
  <c r="K2178" i="13"/>
  <c r="H2178" i="13"/>
  <c r="G2178" i="13"/>
  <c r="H2211" i="15"/>
  <c r="I2218" i="13"/>
  <c r="J2211" i="15" s="1"/>
  <c r="I1568" i="15"/>
  <c r="F1569" i="14"/>
  <c r="D608" i="10"/>
  <c r="D1005" i="5"/>
  <c r="D649" i="10" s="1"/>
  <c r="C808" i="15"/>
  <c r="C809" i="14"/>
  <c r="H1047" i="15"/>
  <c r="I1054" i="13"/>
  <c r="J1047" i="15" s="1"/>
  <c r="H2351" i="15"/>
  <c r="I2358" i="13"/>
  <c r="J2351" i="15" s="1"/>
  <c r="E783" i="15"/>
  <c r="G783" i="15" s="1"/>
  <c r="G790" i="13"/>
  <c r="C486" i="10"/>
  <c r="C511" i="10"/>
  <c r="C528" i="5"/>
  <c r="C948" i="5"/>
  <c r="C682" i="10"/>
  <c r="C1039" i="5"/>
  <c r="C476" i="10"/>
  <c r="G912" i="5"/>
  <c r="H476" i="10" s="1"/>
  <c r="C665" i="10"/>
  <c r="C1022" i="5"/>
  <c r="G560" i="5"/>
  <c r="H665" i="10" s="1"/>
  <c r="C483" i="10"/>
  <c r="C672" i="10"/>
  <c r="C1029" i="5"/>
  <c r="C454" i="10"/>
  <c r="I1943" i="15"/>
  <c r="F1944" i="14"/>
  <c r="D1513" i="13"/>
  <c r="E375" i="9"/>
  <c r="J358" i="9"/>
  <c r="C380" i="9"/>
  <c r="C379" i="9"/>
  <c r="D1183" i="15"/>
  <c r="D1184" i="14"/>
  <c r="K1190" i="13"/>
  <c r="G1190" i="13"/>
  <c r="H1183" i="15" s="1"/>
  <c r="H1190" i="13"/>
  <c r="I1183" i="15" s="1"/>
  <c r="I2208" i="15"/>
  <c r="F2209" i="14"/>
  <c r="G19" i="10"/>
  <c r="B794" i="15"/>
  <c r="B795" i="14"/>
  <c r="D78" i="13"/>
  <c r="E643" i="8"/>
  <c r="D1379" i="13"/>
  <c r="E689" i="9"/>
  <c r="I1003" i="15"/>
  <c r="F1004" i="14"/>
  <c r="E2369" i="15"/>
  <c r="G2369" i="15" s="1"/>
  <c r="H2376" i="13"/>
  <c r="C598" i="9"/>
  <c r="J576" i="9"/>
  <c r="C576" i="9"/>
  <c r="C575" i="9"/>
  <c r="C600" i="9"/>
  <c r="W35" i="5"/>
  <c r="R35" i="5"/>
  <c r="H990" i="15"/>
  <c r="I997" i="13"/>
  <c r="J990" i="15" s="1"/>
  <c r="C443" i="9"/>
  <c r="C447" i="9"/>
  <c r="H1267" i="15"/>
  <c r="I1274" i="13"/>
  <c r="J1267" i="15" s="1"/>
  <c r="D1883" i="13"/>
  <c r="E2285" i="5"/>
  <c r="D291" i="15"/>
  <c r="D292" i="14"/>
  <c r="H291" i="13"/>
  <c r="G291" i="13"/>
  <c r="D590" i="15"/>
  <c r="D591" i="14"/>
  <c r="H597" i="13"/>
  <c r="G597" i="13"/>
  <c r="I890" i="15"/>
  <c r="F891" i="14"/>
  <c r="D2380" i="13"/>
  <c r="E2010" i="5"/>
  <c r="E802" i="15"/>
  <c r="G802" i="15" s="1"/>
  <c r="G809" i="13"/>
  <c r="D1728" i="13"/>
  <c r="E257" i="4"/>
  <c r="I2427" i="15"/>
  <c r="G2435" i="13"/>
  <c r="I169" i="15"/>
  <c r="F170" i="14"/>
  <c r="H176" i="13"/>
  <c r="I176" i="15" s="1"/>
  <c r="H2303" i="15"/>
  <c r="F2304" i="14"/>
  <c r="I2310" i="13"/>
  <c r="J2303" i="15" s="1"/>
  <c r="D1668" i="13"/>
  <c r="L510" i="9"/>
  <c r="D1672" i="13"/>
  <c r="L514" i="9"/>
  <c r="D1676" i="13"/>
  <c r="L518" i="9"/>
  <c r="D1657" i="13"/>
  <c r="E541" i="9"/>
  <c r="D1646" i="13"/>
  <c r="E530" i="9"/>
  <c r="I933" i="15"/>
  <c r="F934" i="14"/>
  <c r="H976" i="15"/>
  <c r="I983" i="13"/>
  <c r="J976" i="15" s="1"/>
  <c r="I919" i="15"/>
  <c r="F920" i="14"/>
  <c r="D464" i="15"/>
  <c r="D465" i="14"/>
  <c r="K471" i="13"/>
  <c r="H471" i="13"/>
  <c r="H464" i="15" s="1"/>
  <c r="G471" i="13"/>
  <c r="D108" i="13"/>
  <c r="E666" i="8"/>
  <c r="J664" i="8"/>
  <c r="D290" i="15"/>
  <c r="D291" i="14"/>
  <c r="H290" i="13"/>
  <c r="G290" i="13"/>
  <c r="D1858" i="15"/>
  <c r="D1859" i="14"/>
  <c r="H1865" i="13"/>
  <c r="G1865" i="13"/>
  <c r="I1286" i="13"/>
  <c r="J1279" i="15" s="1"/>
  <c r="M202" i="4"/>
  <c r="Q202" i="4" s="1"/>
  <c r="Q76" i="4"/>
  <c r="R76" i="4" s="1"/>
  <c r="I1958" i="15"/>
  <c r="F1959" i="14"/>
  <c r="D576" i="10"/>
  <c r="D973" i="5"/>
  <c r="D617" i="10" s="1"/>
  <c r="H2377" i="15"/>
  <c r="I2384" i="13"/>
  <c r="J2377" i="15" s="1"/>
  <c r="H2485" i="15"/>
  <c r="I2493" i="13"/>
  <c r="J2485" i="15" s="1"/>
  <c r="V617" i="5"/>
  <c r="I840" i="13"/>
  <c r="J833" i="15" s="1"/>
  <c r="I52" i="15"/>
  <c r="F53" i="14"/>
  <c r="H2163" i="15"/>
  <c r="I2170" i="13"/>
  <c r="J2163" i="15" s="1"/>
  <c r="E214" i="10"/>
  <c r="G214" i="10" s="1"/>
  <c r="G640" i="5"/>
  <c r="H214" i="10" s="1"/>
  <c r="D437" i="15"/>
  <c r="D438" i="14"/>
  <c r="H444" i="13"/>
  <c r="H437" i="15" s="1"/>
  <c r="G444" i="13"/>
  <c r="H2362" i="15"/>
  <c r="I2369" i="13"/>
  <c r="J2362" i="15" s="1"/>
  <c r="E502" i="10"/>
  <c r="G502" i="10" s="1"/>
  <c r="E478" i="5"/>
  <c r="I1938" i="15"/>
  <c r="F1939" i="14"/>
  <c r="E625" i="10"/>
  <c r="G625" i="10" s="1"/>
  <c r="E982" i="5"/>
  <c r="H2285" i="15"/>
  <c r="I2292" i="13"/>
  <c r="J2285" i="15" s="1"/>
  <c r="G2294" i="13"/>
  <c r="C218" i="4"/>
  <c r="R208" i="4"/>
  <c r="F135" i="4"/>
  <c r="E135" i="4"/>
  <c r="D135" i="4"/>
  <c r="M135" i="4"/>
  <c r="H135" i="4"/>
  <c r="E762" i="15"/>
  <c r="G762" i="15" s="1"/>
  <c r="C671" i="10"/>
  <c r="C1028" i="5"/>
  <c r="C514" i="10"/>
  <c r="C951" i="5"/>
  <c r="C531" i="5"/>
  <c r="G489" i="5"/>
  <c r="H514" i="10" s="1"/>
  <c r="C457" i="10"/>
  <c r="G893" i="5"/>
  <c r="H457" i="10" s="1"/>
  <c r="C529" i="10"/>
  <c r="C966" i="5"/>
  <c r="C546" i="5"/>
  <c r="C456" i="10"/>
  <c r="G892" i="5"/>
  <c r="H456" i="10" s="1"/>
  <c r="C520" i="10"/>
  <c r="C957" i="5"/>
  <c r="C537" i="5"/>
  <c r="C463" i="10"/>
  <c r="C658" i="10"/>
  <c r="C1015" i="5"/>
  <c r="G553" i="5"/>
  <c r="H658" i="10" s="1"/>
  <c r="E348" i="10"/>
  <c r="G348" i="10" s="1"/>
  <c r="G774" i="5"/>
  <c r="H348" i="10" s="1"/>
  <c r="D587" i="10"/>
  <c r="D984" i="5"/>
  <c r="D628" i="10" s="1"/>
  <c r="I1321" i="15"/>
  <c r="F1322" i="14"/>
  <c r="H1334" i="13"/>
  <c r="I1327" i="15" s="1"/>
  <c r="J159" i="4"/>
  <c r="D2247" i="13"/>
  <c r="K366" i="12"/>
  <c r="I367" i="12"/>
  <c r="I696" i="15"/>
  <c r="F697" i="14"/>
  <c r="J471" i="15"/>
  <c r="I471" i="15"/>
  <c r="C94" i="5"/>
  <c r="E94" i="5" s="1"/>
  <c r="E96" i="5" s="1"/>
  <c r="K109" i="5" s="1"/>
  <c r="C302" i="9"/>
  <c r="C301" i="9"/>
  <c r="C288" i="9"/>
  <c r="C277" i="9"/>
  <c r="J276" i="9"/>
  <c r="C265" i="9"/>
  <c r="C313" i="9"/>
  <c r="C312" i="9"/>
  <c r="C292" i="9"/>
  <c r="C281" i="9"/>
  <c r="C279" i="9"/>
  <c r="C275" i="9"/>
  <c r="C268" i="9"/>
  <c r="C286" i="9"/>
  <c r="C264" i="9"/>
  <c r="C297" i="9"/>
  <c r="C290" i="9"/>
  <c r="C266" i="9"/>
  <c r="I989" i="15"/>
  <c r="F990" i="14"/>
  <c r="D1930" i="15"/>
  <c r="D1931" i="14"/>
  <c r="K1937" i="13"/>
  <c r="H1937" i="13"/>
  <c r="G1937" i="13"/>
  <c r="F607" i="5"/>
  <c r="C84" i="5"/>
  <c r="I2428" i="15"/>
  <c r="G2436" i="13"/>
  <c r="D940" i="15"/>
  <c r="D941" i="14"/>
  <c r="K947" i="13"/>
  <c r="G947" i="13"/>
  <c r="H947" i="13"/>
  <c r="D415" i="15"/>
  <c r="D416" i="14"/>
  <c r="H422" i="13"/>
  <c r="H415" i="15" s="1"/>
  <c r="K422" i="13"/>
  <c r="H2398" i="15"/>
  <c r="I2405" i="13"/>
  <c r="J2398" i="15" s="1"/>
  <c r="D265" i="15"/>
  <c r="D266" i="14"/>
  <c r="H265" i="13"/>
  <c r="K265" i="13"/>
  <c r="G265" i="13"/>
  <c r="I2370" i="15"/>
  <c r="G2377" i="13"/>
  <c r="D806" i="15"/>
  <c r="D807" i="14"/>
  <c r="K813" i="13"/>
  <c r="I667" i="15"/>
  <c r="F668" i="14"/>
  <c r="D848" i="13"/>
  <c r="C1895" i="5"/>
  <c r="E1847" i="5"/>
  <c r="G264" i="10"/>
  <c r="I380" i="15"/>
  <c r="J380" i="15"/>
  <c r="E770" i="15"/>
  <c r="G770" i="15" s="1"/>
  <c r="G777" i="13"/>
  <c r="H870" i="15"/>
  <c r="I877" i="13"/>
  <c r="J870" i="15" s="1"/>
  <c r="D1716" i="13"/>
  <c r="E245" i="4"/>
  <c r="J220" i="4"/>
  <c r="I1508" i="15"/>
  <c r="F1509" i="14"/>
  <c r="I418" i="13"/>
  <c r="H999" i="15"/>
  <c r="I1006" i="13"/>
  <c r="J999" i="15" s="1"/>
  <c r="B772" i="15"/>
  <c r="B773" i="14"/>
  <c r="H2418" i="15"/>
  <c r="I2426" i="13"/>
  <c r="J2418" i="15" s="1"/>
  <c r="E778" i="15"/>
  <c r="G778" i="15" s="1"/>
  <c r="H2164" i="15"/>
  <c r="I2171" i="13"/>
  <c r="J2164" i="15" s="1"/>
  <c r="D1541" i="13"/>
  <c r="L357" i="9"/>
  <c r="D809" i="15"/>
  <c r="D810" i="14"/>
  <c r="K816" i="13"/>
  <c r="H816" i="13"/>
  <c r="H2396" i="15"/>
  <c r="I2403" i="13"/>
  <c r="J2396" i="15" s="1"/>
  <c r="D997" i="15"/>
  <c r="D998" i="14"/>
  <c r="K1004" i="13"/>
  <c r="G1004" i="13"/>
  <c r="H1004" i="13"/>
  <c r="E300" i="10"/>
  <c r="G300" i="10" s="1"/>
  <c r="G726" i="5"/>
  <c r="H300" i="10" s="1"/>
  <c r="I508" i="15"/>
  <c r="J508" i="15"/>
  <c r="D1193" i="15"/>
  <c r="D1194" i="14"/>
  <c r="K1200" i="13"/>
  <c r="G1200" i="13"/>
  <c r="H1193" i="15" s="1"/>
  <c r="H1200" i="13"/>
  <c r="I1193" i="15" s="1"/>
  <c r="E815" i="13"/>
  <c r="D2006" i="5"/>
  <c r="E778" i="13" s="1"/>
  <c r="D101" i="13"/>
  <c r="E659" i="8"/>
  <c r="I2451" i="15"/>
  <c r="G2459" i="13"/>
  <c r="D867" i="15"/>
  <c r="D868" i="14"/>
  <c r="H874" i="13"/>
  <c r="K874" i="13"/>
  <c r="G874" i="13"/>
  <c r="T862" i="5"/>
  <c r="D581" i="10"/>
  <c r="D978" i="5"/>
  <c r="D622" i="10" s="1"/>
  <c r="D604" i="10"/>
  <c r="D1001" i="5"/>
  <c r="D645" i="10" s="1"/>
  <c r="E723" i="10"/>
  <c r="G723" i="10" s="1"/>
  <c r="E1040" i="5"/>
  <c r="I1828" i="15"/>
  <c r="F1829" i="14"/>
  <c r="H1941" i="15"/>
  <c r="I1948" i="13"/>
  <c r="J1941" i="15" s="1"/>
  <c r="D319" i="15"/>
  <c r="D320" i="14"/>
  <c r="K319" i="13"/>
  <c r="H319" i="13"/>
  <c r="G319" i="13"/>
  <c r="D1881" i="15"/>
  <c r="D1882" i="14"/>
  <c r="K1888" i="13"/>
  <c r="H1888" i="13"/>
  <c r="G1888" i="13"/>
  <c r="J447" i="15"/>
  <c r="I447" i="15"/>
  <c r="N99" i="4"/>
  <c r="N199" i="4"/>
  <c r="I947" i="15"/>
  <c r="F948" i="14"/>
  <c r="I973" i="15"/>
  <c r="F974" i="14"/>
  <c r="I932" i="15"/>
  <c r="F933" i="14"/>
  <c r="H2457" i="15"/>
  <c r="I2465" i="13"/>
  <c r="J2457" i="15" s="1"/>
  <c r="K139" i="4"/>
  <c r="J139" i="4"/>
  <c r="I139" i="4"/>
  <c r="C2314" i="5"/>
  <c r="C2302" i="5"/>
  <c r="C2294" i="5"/>
  <c r="C2281" i="5"/>
  <c r="C2303" i="5"/>
  <c r="K2290" i="5"/>
  <c r="K2288" i="5"/>
  <c r="C2282" i="5"/>
  <c r="C2304" i="5"/>
  <c r="C2280" i="5"/>
  <c r="K2278" i="5"/>
  <c r="C2297" i="5"/>
  <c r="K2287" i="5"/>
  <c r="C2279" i="5"/>
  <c r="C2312" i="5"/>
  <c r="K2289" i="5"/>
  <c r="C2313" i="5"/>
  <c r="H292" i="15"/>
  <c r="I292" i="13"/>
  <c r="J292" i="15" s="1"/>
  <c r="I2487" i="15"/>
  <c r="G2495" i="13"/>
  <c r="D772" i="13"/>
  <c r="E2000" i="5"/>
  <c r="D599" i="10"/>
  <c r="D996" i="5"/>
  <c r="D640" i="10" s="1"/>
  <c r="D574" i="10"/>
  <c r="D971" i="5"/>
  <c r="D615" i="10" s="1"/>
  <c r="H1288" i="13"/>
  <c r="I1281" i="15" s="1"/>
  <c r="C519" i="10"/>
  <c r="C536" i="5"/>
  <c r="C956" i="5"/>
  <c r="C690" i="10"/>
  <c r="C1047" i="5"/>
  <c r="C689" i="10"/>
  <c r="C1046" i="5"/>
  <c r="C509" i="10"/>
  <c r="C946" i="5"/>
  <c r="C526" i="5"/>
  <c r="C500" i="10"/>
  <c r="C937" i="5"/>
  <c r="G475" i="5"/>
  <c r="H500" i="10" s="1"/>
  <c r="C517" i="5"/>
  <c r="H2156" i="15"/>
  <c r="I2163" i="13"/>
  <c r="J2156" i="15" s="1"/>
  <c r="H2401" i="15"/>
  <c r="I2408" i="13"/>
  <c r="J2401" i="15" s="1"/>
  <c r="H2424" i="15"/>
  <c r="I2432" i="13"/>
  <c r="J2424" i="15" s="1"/>
  <c r="D1605" i="15"/>
  <c r="D1606" i="14"/>
  <c r="H1612" i="13"/>
  <c r="G1612" i="13"/>
  <c r="D383" i="15"/>
  <c r="D384" i="14"/>
  <c r="H390" i="13"/>
  <c r="H383" i="15" s="1"/>
  <c r="K390" i="13"/>
  <c r="G390" i="13"/>
  <c r="I390" i="13" s="1"/>
  <c r="I2155" i="15"/>
  <c r="F2156" i="14"/>
  <c r="D2254" i="15"/>
  <c r="D2255" i="14"/>
  <c r="K2261" i="13"/>
  <c r="H2261" i="13"/>
  <c r="G2261" i="13"/>
  <c r="I1441" i="15"/>
  <c r="F1442" i="14"/>
  <c r="L207" i="4"/>
  <c r="C228" i="4" s="1"/>
  <c r="H2365" i="15"/>
  <c r="I2372" i="13"/>
  <c r="J2365" i="15" s="1"/>
  <c r="I503" i="13"/>
  <c r="I522" i="13"/>
  <c r="E803" i="15"/>
  <c r="G803" i="15" s="1"/>
  <c r="G810" i="13"/>
  <c r="D762" i="13"/>
  <c r="E1990" i="5"/>
  <c r="I264" i="15"/>
  <c r="F265" i="14"/>
  <c r="I2006" i="15"/>
  <c r="F2007" i="14"/>
  <c r="H306" i="15"/>
  <c r="I306" i="13"/>
  <c r="J306" i="15" s="1"/>
  <c r="I84" i="15"/>
  <c r="F85" i="14"/>
  <c r="H916" i="15"/>
  <c r="I923" i="13"/>
  <c r="J916" i="15" s="1"/>
  <c r="I975" i="15"/>
  <c r="F976" i="14"/>
  <c r="I344" i="15"/>
  <c r="F345" i="14"/>
  <c r="I349" i="15"/>
  <c r="F350" i="14"/>
  <c r="D311" i="15"/>
  <c r="D312" i="14"/>
  <c r="K311" i="13"/>
  <c r="H311" i="13"/>
  <c r="G311" i="13"/>
  <c r="E518" i="10"/>
  <c r="G518" i="10" s="1"/>
  <c r="E494" i="5"/>
  <c r="H1819" i="15"/>
  <c r="I1826" i="13"/>
  <c r="J1819" i="15" s="1"/>
  <c r="D1957" i="13"/>
  <c r="L396" i="6"/>
  <c r="E766" i="13"/>
  <c r="E1994" i="5"/>
  <c r="D1637" i="13"/>
  <c r="E521" i="9"/>
  <c r="H363" i="15"/>
  <c r="I370" i="13"/>
  <c r="J363" i="15" s="1"/>
  <c r="H606" i="15"/>
  <c r="I613" i="13"/>
  <c r="J606" i="15" s="1"/>
  <c r="H85" i="15"/>
  <c r="I85" i="13"/>
  <c r="J85" i="15" s="1"/>
  <c r="H972" i="15"/>
  <c r="I979" i="13"/>
  <c r="J972" i="15" s="1"/>
  <c r="I1269" i="15"/>
  <c r="F1270" i="14"/>
  <c r="H1285" i="15"/>
  <c r="I1292" i="13"/>
  <c r="J1285" i="15" s="1"/>
  <c r="H174" i="15"/>
  <c r="I174" i="13"/>
  <c r="J174" i="15" s="1"/>
  <c r="H2484" i="15"/>
  <c r="I2492" i="13"/>
  <c r="J2484" i="15" s="1"/>
  <c r="D275" i="15"/>
  <c r="D276" i="14"/>
  <c r="H275" i="13"/>
  <c r="K275" i="13"/>
  <c r="G275" i="13"/>
  <c r="I171" i="15"/>
  <c r="F172" i="14"/>
  <c r="D1811" i="15"/>
  <c r="D1812" i="14"/>
  <c r="K1818" i="13"/>
  <c r="H1818" i="13"/>
  <c r="G1818" i="13"/>
  <c r="D69" i="15"/>
  <c r="D70" i="14"/>
  <c r="H69" i="13"/>
  <c r="G69" i="13"/>
  <c r="Q14" i="4"/>
  <c r="D934" i="15"/>
  <c r="D935" i="14"/>
  <c r="K941" i="13"/>
  <c r="G941" i="13"/>
  <c r="H941" i="13"/>
  <c r="G427" i="13"/>
  <c r="D2217" i="15"/>
  <c r="D2218" i="14"/>
  <c r="H2224" i="13"/>
  <c r="G2224" i="13"/>
  <c r="E834" i="15"/>
  <c r="G834" i="15" s="1"/>
  <c r="G841" i="13"/>
  <c r="H588" i="15"/>
  <c r="I595" i="13"/>
  <c r="J588" i="15" s="1"/>
  <c r="E225" i="10"/>
  <c r="G225" i="10" s="1"/>
  <c r="G651" i="5"/>
  <c r="H225" i="10" s="1"/>
  <c r="AK53" i="5"/>
  <c r="AF187" i="4"/>
  <c r="C79" i="4"/>
  <c r="G77" i="4"/>
  <c r="B768" i="15"/>
  <c r="B769" i="14"/>
  <c r="I1310" i="15"/>
  <c r="F1311" i="14"/>
  <c r="I312" i="15"/>
  <c r="F313" i="14"/>
  <c r="I894" i="15"/>
  <c r="F895" i="14"/>
  <c r="I1850" i="15"/>
  <c r="F1851" i="14"/>
  <c r="D1876" i="13"/>
  <c r="E2278" i="5"/>
  <c r="C474" i="10"/>
  <c r="G910" i="5"/>
  <c r="H474" i="10" s="1"/>
  <c r="C499" i="10"/>
  <c r="C516" i="5"/>
  <c r="C936" i="5"/>
  <c r="G474" i="5"/>
  <c r="H499" i="10" s="1"/>
  <c r="C481" i="10"/>
  <c r="C670" i="10"/>
  <c r="C1027" i="5"/>
  <c r="C464" i="10"/>
  <c r="C528" i="10"/>
  <c r="C965" i="5"/>
  <c r="C545" i="5"/>
  <c r="C471" i="10"/>
  <c r="C496" i="10"/>
  <c r="G471" i="5"/>
  <c r="H496" i="10" s="1"/>
  <c r="C513" i="5"/>
  <c r="C933" i="5"/>
  <c r="D1577" i="15"/>
  <c r="D1578" i="14"/>
  <c r="K1584" i="13"/>
  <c r="H1584" i="13"/>
  <c r="G1584" i="13"/>
  <c r="D605" i="10"/>
  <c r="D1002" i="5"/>
  <c r="D646" i="10" s="1"/>
  <c r="D580" i="10"/>
  <c r="D977" i="5"/>
  <c r="D621" i="10" s="1"/>
  <c r="D2260" i="13"/>
  <c r="E401" i="12"/>
  <c r="D2223" i="15"/>
  <c r="D2224" i="14"/>
  <c r="H2230" i="13"/>
  <c r="K2230" i="13"/>
  <c r="G2230" i="13"/>
  <c r="O73" i="4"/>
  <c r="O63" i="4"/>
  <c r="O62" i="4"/>
  <c r="O66" i="4" s="1"/>
  <c r="G53" i="10"/>
  <c r="D97" i="13"/>
  <c r="L646" i="8"/>
  <c r="F1988" i="14"/>
  <c r="I1994" i="13"/>
  <c r="J1987" i="15" s="1"/>
  <c r="J510" i="15"/>
  <c r="I510" i="15"/>
  <c r="E817" i="15"/>
  <c r="G817" i="15" s="1"/>
  <c r="G824" i="13"/>
  <c r="D723" i="15"/>
  <c r="D724" i="14"/>
  <c r="H730" i="13"/>
  <c r="I730" i="13" s="1"/>
  <c r="J723" i="15" s="1"/>
  <c r="K730" i="13"/>
  <c r="G250" i="5"/>
  <c r="H113" i="10" s="1"/>
  <c r="H172" i="15"/>
  <c r="I172" i="13"/>
  <c r="J172" i="15" s="1"/>
  <c r="I2229" i="15"/>
  <c r="F2230" i="14"/>
  <c r="D1938" i="13"/>
  <c r="C401" i="6"/>
  <c r="C402" i="6"/>
  <c r="J399" i="6"/>
  <c r="E399" i="6"/>
  <c r="D575" i="10"/>
  <c r="D972" i="5"/>
  <c r="D616" i="10" s="1"/>
  <c r="D593" i="10"/>
  <c r="D990" i="5"/>
  <c r="D634" i="10" s="1"/>
  <c r="H1824" i="15"/>
  <c r="I1831" i="13"/>
  <c r="J1824" i="15" s="1"/>
  <c r="E265" i="10"/>
  <c r="F691" i="5"/>
  <c r="F265" i="10" s="1"/>
  <c r="H642" i="15"/>
  <c r="I649" i="13"/>
  <c r="J642" i="15" s="1"/>
  <c r="H1849" i="15"/>
  <c r="I1856" i="13"/>
  <c r="J1849" i="15" s="1"/>
  <c r="H876" i="15"/>
  <c r="I883" i="13"/>
  <c r="J876" i="15" s="1"/>
  <c r="B771" i="15"/>
  <c r="B772" i="14"/>
  <c r="H1820" i="15"/>
  <c r="I1827" i="13"/>
  <c r="J1820" i="15" s="1"/>
  <c r="D1722" i="13"/>
  <c r="E251" i="4"/>
  <c r="I427" i="15"/>
  <c r="J427" i="15"/>
  <c r="H941" i="15"/>
  <c r="I948" i="13"/>
  <c r="J941" i="15" s="1"/>
  <c r="D434" i="15"/>
  <c r="D435" i="14"/>
  <c r="H441" i="13"/>
  <c r="H434" i="15" s="1"/>
  <c r="G441" i="13"/>
  <c r="I441" i="13" s="1"/>
  <c r="E110" i="4"/>
  <c r="E707" i="10"/>
  <c r="G707" i="10" s="1"/>
  <c r="E1024" i="5"/>
  <c r="D1547" i="15"/>
  <c r="D1548" i="14"/>
  <c r="K1554" i="13"/>
  <c r="H1554" i="13"/>
  <c r="G1554" i="13"/>
  <c r="D32" i="5"/>
  <c r="U32" i="5"/>
  <c r="D994" i="15"/>
  <c r="D995" i="14"/>
  <c r="K1001" i="13"/>
  <c r="H1001" i="13"/>
  <c r="G1001" i="13"/>
  <c r="D695" i="15"/>
  <c r="D696" i="14"/>
  <c r="H702" i="13"/>
  <c r="I702" i="13" s="1"/>
  <c r="J695" i="15" s="1"/>
  <c r="K702" i="13"/>
  <c r="I157" i="15"/>
  <c r="F158" i="14"/>
  <c r="D293" i="15"/>
  <c r="D294" i="14"/>
  <c r="H293" i="13"/>
  <c r="G293" i="13"/>
  <c r="I464" i="13"/>
  <c r="D793" i="15"/>
  <c r="D794" i="14"/>
  <c r="H800" i="13"/>
  <c r="K800" i="13"/>
  <c r="G800" i="13"/>
  <c r="L199" i="4"/>
  <c r="D579" i="10"/>
  <c r="D976" i="5"/>
  <c r="D620" i="10" s="1"/>
  <c r="D1898" i="15"/>
  <c r="D1899" i="14"/>
  <c r="K1905" i="13"/>
  <c r="H1905" i="13"/>
  <c r="G1905" i="13"/>
  <c r="E757" i="15"/>
  <c r="G757" i="15" s="1"/>
  <c r="G764" i="13"/>
  <c r="D1189" i="15"/>
  <c r="D1190" i="14"/>
  <c r="K1196" i="13"/>
  <c r="H1196" i="13"/>
  <c r="I1189" i="15" s="1"/>
  <c r="G1196" i="13"/>
  <c r="H1189" i="15" s="1"/>
  <c r="D2157" i="15"/>
  <c r="D2158" i="14"/>
  <c r="H2164" i="13"/>
  <c r="H2160" i="13" s="1"/>
  <c r="K2164" i="13"/>
  <c r="G2164" i="13"/>
  <c r="D1758" i="13"/>
  <c r="E582" i="9"/>
  <c r="D461" i="15"/>
  <c r="D462" i="14"/>
  <c r="K468" i="13"/>
  <c r="H468" i="13"/>
  <c r="H461" i="15" s="1"/>
  <c r="G468" i="13"/>
  <c r="C592" i="9"/>
  <c r="C601" i="9"/>
  <c r="C586" i="9"/>
  <c r="I837" i="13"/>
  <c r="J830" i="15" s="1"/>
  <c r="D760" i="13"/>
  <c r="E1988" i="5"/>
  <c r="D17" i="13"/>
  <c r="C602" i="8"/>
  <c r="J601" i="8"/>
  <c r="E600" i="8"/>
  <c r="D1862" i="13"/>
  <c r="O2138" i="5"/>
  <c r="D1821" i="13"/>
  <c r="E2140" i="5"/>
  <c r="H948" i="15"/>
  <c r="I955" i="13"/>
  <c r="J948" i="15" s="1"/>
  <c r="I1006" i="15"/>
  <c r="F1007" i="14"/>
  <c r="C691" i="10"/>
  <c r="C1048" i="5"/>
  <c r="Q85" i="4"/>
  <c r="R85" i="4" s="1"/>
  <c r="M186" i="4"/>
  <c r="I1267" i="15"/>
  <c r="F1268" i="14"/>
  <c r="H1559" i="15"/>
  <c r="I1566" i="13"/>
  <c r="J1559" i="15" s="1"/>
  <c r="E746" i="10"/>
  <c r="C1451" i="5"/>
  <c r="C1469" i="5" s="1"/>
  <c r="D1669" i="13"/>
  <c r="L511" i="9"/>
  <c r="D1677" i="13"/>
  <c r="L519" i="9"/>
  <c r="H933" i="15"/>
  <c r="I940" i="13"/>
  <c r="J933" i="15" s="1"/>
  <c r="H919" i="15"/>
  <c r="I926" i="13"/>
  <c r="J919" i="15" s="1"/>
  <c r="E419" i="10"/>
  <c r="G419" i="10" s="1"/>
  <c r="E435" i="5"/>
  <c r="M64" i="4"/>
  <c r="M61" i="4"/>
  <c r="M75" i="4"/>
  <c r="M200" i="4" s="1"/>
  <c r="Q200" i="4" s="1"/>
  <c r="M60" i="4"/>
  <c r="M74" i="4" s="1"/>
  <c r="M59" i="4"/>
  <c r="H869" i="15"/>
  <c r="I876" i="13"/>
  <c r="J869" i="15" s="1"/>
  <c r="I863" i="15"/>
  <c r="F864" i="14"/>
  <c r="E799" i="15"/>
  <c r="G799" i="15" s="1"/>
  <c r="C523" i="10"/>
  <c r="C540" i="5"/>
  <c r="C960" i="5"/>
  <c r="C694" i="10"/>
  <c r="C1051" i="5"/>
  <c r="C498" i="10"/>
  <c r="C935" i="5"/>
  <c r="C515" i="5"/>
  <c r="G473" i="5"/>
  <c r="H498" i="10" s="1"/>
  <c r="C504" i="10"/>
  <c r="C941" i="5"/>
  <c r="C521" i="5"/>
  <c r="B760" i="15"/>
  <c r="B761" i="14"/>
  <c r="H915" i="15"/>
  <c r="I922" i="13"/>
  <c r="J915" i="15" s="1"/>
  <c r="D739" i="15"/>
  <c r="D740" i="14"/>
  <c r="H746" i="13"/>
  <c r="G746" i="13"/>
  <c r="D1656" i="15"/>
  <c r="D1657" i="14"/>
  <c r="K1663" i="13"/>
  <c r="H1663" i="13"/>
  <c r="G1663" i="13"/>
  <c r="I2166" i="15"/>
  <c r="F2167" i="14"/>
  <c r="D752" i="13"/>
  <c r="J1886" i="5"/>
  <c r="D900" i="13" s="1"/>
  <c r="J1837" i="5"/>
  <c r="D863" i="13" s="1"/>
  <c r="J1946" i="5"/>
  <c r="D826" i="13" s="1"/>
  <c r="J1992" i="5"/>
  <c r="D789" i="13" s="1"/>
  <c r="O1793" i="5"/>
  <c r="E807" i="15"/>
  <c r="G807" i="15" s="1"/>
  <c r="G814" i="13"/>
  <c r="D1720" i="13"/>
  <c r="E249" i="4"/>
  <c r="D1644" i="15"/>
  <c r="D1645" i="14"/>
  <c r="K1651" i="13"/>
  <c r="H1651" i="13"/>
  <c r="G1651" i="13"/>
  <c r="E815" i="15"/>
  <c r="G815" i="15" s="1"/>
  <c r="D1465" i="13"/>
  <c r="L263" i="9"/>
  <c r="I2164" i="15"/>
  <c r="F2165" i="14"/>
  <c r="D1490" i="15"/>
  <c r="D1491" i="14"/>
  <c r="H1497" i="13"/>
  <c r="K1497" i="13"/>
  <c r="G1497" i="13"/>
  <c r="D1191" i="15"/>
  <c r="D1192" i="14"/>
  <c r="K1198" i="13"/>
  <c r="G1198" i="13"/>
  <c r="H1191" i="15" s="1"/>
  <c r="H1198" i="13"/>
  <c r="I1191" i="15" s="1"/>
  <c r="D602" i="10"/>
  <c r="D999" i="5"/>
  <c r="D643" i="10" s="1"/>
  <c r="D588" i="10"/>
  <c r="D985" i="5"/>
  <c r="D629" i="10" s="1"/>
  <c r="H1802" i="15"/>
  <c r="I1809" i="13"/>
  <c r="J1802" i="15" s="1"/>
  <c r="C478" i="10"/>
  <c r="G914" i="5"/>
  <c r="H478" i="10" s="1"/>
  <c r="C485" i="10"/>
  <c r="C674" i="10"/>
  <c r="C1031" i="5"/>
  <c r="C492" i="10"/>
  <c r="G467" i="5"/>
  <c r="H492" i="10" s="1"/>
  <c r="C509" i="5"/>
  <c r="C929" i="5"/>
  <c r="C484" i="10"/>
  <c r="C673" i="10"/>
  <c r="C1030" i="5"/>
  <c r="C450" i="10"/>
  <c r="G886" i="5"/>
  <c r="H450" i="10" s="1"/>
  <c r="C680" i="10"/>
  <c r="C1037" i="5"/>
  <c r="G575" i="5"/>
  <c r="H680" i="10" s="1"/>
  <c r="I2156" i="15"/>
  <c r="F2157" i="14"/>
  <c r="D2262" i="13"/>
  <c r="E403" i="12"/>
  <c r="D832" i="15"/>
  <c r="D833" i="14"/>
  <c r="K839" i="13"/>
  <c r="H839" i="13"/>
  <c r="G839" i="13"/>
  <c r="R95" i="4"/>
  <c r="C1371" i="5" s="1"/>
  <c r="H1940" i="15"/>
  <c r="I1947" i="13"/>
  <c r="J1940" i="15" s="1"/>
  <c r="H716" i="15"/>
  <c r="I723" i="13"/>
  <c r="J716" i="15" s="1"/>
  <c r="D757" i="15"/>
  <c r="D758" i="14"/>
  <c r="K764" i="13"/>
  <c r="H764" i="13"/>
  <c r="D2167" i="15"/>
  <c r="D2168" i="14"/>
  <c r="K2174" i="13"/>
  <c r="H2174" i="13"/>
  <c r="G2174" i="13"/>
  <c r="I1819" i="15"/>
  <c r="F1820" i="14"/>
  <c r="I363" i="15"/>
  <c r="F364" i="14"/>
  <c r="F747" i="10"/>
  <c r="H992" i="15"/>
  <c r="I999" i="13"/>
  <c r="J992" i="15" s="1"/>
  <c r="E639" i="10"/>
  <c r="G639" i="10" s="1"/>
  <c r="E996" i="5"/>
  <c r="I2445" i="15"/>
  <c r="G2453" i="13"/>
  <c r="E767" i="15"/>
  <c r="G767" i="15" s="1"/>
  <c r="H894" i="15"/>
  <c r="I901" i="13"/>
  <c r="J894" i="15" s="1"/>
  <c r="C679" i="10"/>
  <c r="C1036" i="5"/>
  <c r="G574" i="5"/>
  <c r="H679" i="10" s="1"/>
  <c r="C465" i="10"/>
  <c r="C660" i="10"/>
  <c r="C1017" i="5"/>
  <c r="G555" i="5"/>
  <c r="H660" i="10" s="1"/>
  <c r="C332" i="8"/>
  <c r="H2378" i="15"/>
  <c r="I2385" i="13"/>
  <c r="J2378" i="15" s="1"/>
  <c r="H917" i="15"/>
  <c r="I924" i="13"/>
  <c r="J917" i="15" s="1"/>
  <c r="D887" i="15"/>
  <c r="D888" i="14"/>
  <c r="H894" i="13"/>
  <c r="G894" i="13"/>
  <c r="E103" i="10"/>
  <c r="G103" i="10" s="1"/>
  <c r="E268" i="5"/>
  <c r="G267" i="5"/>
  <c r="H130" i="10" s="1"/>
  <c r="I1820" i="15"/>
  <c r="F1821" i="14"/>
  <c r="D2168" i="15"/>
  <c r="D2169" i="14"/>
  <c r="H2175" i="13"/>
  <c r="K2175" i="13"/>
  <c r="G2175" i="13"/>
  <c r="H2415" i="15"/>
  <c r="I2423" i="13"/>
  <c r="J2415" i="15" s="1"/>
  <c r="H2364" i="15"/>
  <c r="I2371" i="13"/>
  <c r="J2364" i="15" s="1"/>
  <c r="H1815" i="15"/>
  <c r="I1822" i="13"/>
  <c r="J1815" i="15" s="1"/>
  <c r="E794" i="15"/>
  <c r="G794" i="15" s="1"/>
  <c r="G801" i="13"/>
  <c r="J484" i="8"/>
  <c r="C483" i="8"/>
  <c r="J491" i="8"/>
  <c r="J489" i="8"/>
  <c r="C488" i="8"/>
  <c r="C478" i="8"/>
  <c r="C497" i="8"/>
  <c r="J479" i="8"/>
  <c r="J481" i="8"/>
  <c r="C480" i="8"/>
  <c r="J493" i="8"/>
  <c r="C479" i="8"/>
  <c r="J480" i="8"/>
  <c r="B778" i="15"/>
  <c r="B779" i="14"/>
  <c r="H86" i="15"/>
  <c r="I86" i="13"/>
  <c r="J86" i="15" s="1"/>
  <c r="I946" i="15"/>
  <c r="F947" i="14"/>
  <c r="H644" i="15"/>
  <c r="I651" i="13"/>
  <c r="J644" i="15" s="1"/>
  <c r="D585" i="10"/>
  <c r="D982" i="5"/>
  <c r="D626" i="10" s="1"/>
  <c r="D590" i="10"/>
  <c r="D987" i="5"/>
  <c r="D631" i="10" s="1"/>
  <c r="H2207" i="15"/>
  <c r="I2214" i="13"/>
  <c r="J2207" i="15" s="1"/>
  <c r="C675" i="10"/>
  <c r="C1032" i="5"/>
  <c r="C452" i="10"/>
  <c r="G888" i="5"/>
  <c r="H452" i="10" s="1"/>
  <c r="C518" i="10"/>
  <c r="C955" i="5"/>
  <c r="C535" i="5"/>
  <c r="G493" i="5"/>
  <c r="H518" i="10" s="1"/>
  <c r="C461" i="10"/>
  <c r="G897" i="5"/>
  <c r="H461" i="10" s="1"/>
  <c r="C517" i="10"/>
  <c r="G492" i="5"/>
  <c r="H517" i="10" s="1"/>
  <c r="C954" i="5"/>
  <c r="C534" i="5"/>
  <c r="G434" i="5"/>
  <c r="H419" i="10" s="1"/>
  <c r="C508" i="10"/>
  <c r="C945" i="5"/>
  <c r="C525" i="5"/>
  <c r="H2423" i="15"/>
  <c r="I2431" i="13"/>
  <c r="J2423" i="15" s="1"/>
  <c r="I675" i="15"/>
  <c r="F676" i="14"/>
  <c r="D1614" i="13"/>
  <c r="L443" i="9"/>
  <c r="E692" i="15"/>
  <c r="G692" i="15" s="1"/>
  <c r="D802" i="15"/>
  <c r="D803" i="14"/>
  <c r="K809" i="13"/>
  <c r="H809" i="13"/>
  <c r="D2233" i="13"/>
  <c r="E371" i="12"/>
  <c r="C372" i="12"/>
  <c r="D795" i="15"/>
  <c r="D796" i="14"/>
  <c r="H802" i="13"/>
  <c r="K802" i="13"/>
  <c r="D92" i="13"/>
  <c r="L641" i="8"/>
  <c r="D1337" i="13"/>
  <c r="E647" i="9"/>
  <c r="H349" i="15"/>
  <c r="I356" i="13"/>
  <c r="J349" i="15" s="1"/>
  <c r="H2422" i="15"/>
  <c r="I2430" i="13"/>
  <c r="J2422" i="15" s="1"/>
  <c r="I474" i="13"/>
  <c r="H667" i="15"/>
  <c r="I674" i="13"/>
  <c r="J667" i="15" s="1"/>
  <c r="Q28" i="4"/>
  <c r="R28" i="4" s="1"/>
  <c r="I43" i="5" s="1"/>
  <c r="C1113" i="5"/>
  <c r="D1788" i="13"/>
  <c r="E612" i="9"/>
  <c r="C1602" i="5"/>
  <c r="E1602" i="5" s="1"/>
  <c r="E1605" i="5" s="1"/>
  <c r="D1516" i="5"/>
  <c r="C493" i="6"/>
  <c r="C363" i="6"/>
  <c r="C618" i="6"/>
  <c r="C1400" i="5"/>
  <c r="E1367" i="5"/>
  <c r="F1363" i="5" s="1"/>
  <c r="C1446" i="5"/>
  <c r="C1394" i="5"/>
  <c r="R34" i="5"/>
  <c r="W34" i="5"/>
  <c r="R45" i="5"/>
  <c r="O45" i="5"/>
  <c r="H936" i="15"/>
  <c r="I943" i="13"/>
  <c r="J936" i="15" s="1"/>
  <c r="H1959" i="15"/>
  <c r="I1966" i="13"/>
  <c r="J1959" i="15" s="1"/>
  <c r="H2363" i="15"/>
  <c r="I2370" i="13"/>
  <c r="J2363" i="15" s="1"/>
  <c r="D503" i="15"/>
  <c r="D504" i="14"/>
  <c r="K510" i="13"/>
  <c r="H510" i="13"/>
  <c r="H503" i="15" s="1"/>
  <c r="I604" i="15"/>
  <c r="F605" i="14"/>
  <c r="H153" i="15"/>
  <c r="I153" i="13"/>
  <c r="J153" i="15" s="1"/>
  <c r="P863" i="5"/>
  <c r="F889" i="5" s="1"/>
  <c r="F453" i="10" s="1"/>
  <c r="G453" i="10" s="1"/>
  <c r="R863" i="5"/>
  <c r="F890" i="5" s="1"/>
  <c r="F454" i="10" s="1"/>
  <c r="G454" i="10" s="1"/>
  <c r="Q863" i="5"/>
  <c r="D863" i="5"/>
  <c r="D657" i="13"/>
  <c r="S1615" i="5"/>
  <c r="I1925" i="15"/>
  <c r="F1926" i="14"/>
  <c r="H2247" i="15"/>
  <c r="I2254" i="13"/>
  <c r="J2247" i="15" s="1"/>
  <c r="I1559" i="15"/>
  <c r="F1560" i="14"/>
  <c r="H695" i="15"/>
  <c r="H881" i="15"/>
  <c r="I888" i="13"/>
  <c r="J881" i="15" s="1"/>
  <c r="E805" i="15"/>
  <c r="G805" i="15" s="1"/>
  <c r="D2158" i="15"/>
  <c r="D2159" i="14"/>
  <c r="K2165" i="13"/>
  <c r="H2165" i="13"/>
  <c r="G2165" i="13"/>
  <c r="E681" i="10"/>
  <c r="G681" i="10" s="1"/>
  <c r="E577" i="5"/>
  <c r="H2213" i="15"/>
  <c r="I2220" i="13"/>
  <c r="J2213" i="15" s="1"/>
  <c r="H597" i="15"/>
  <c r="I604" i="13"/>
  <c r="J597" i="15" s="1"/>
  <c r="I883" i="15"/>
  <c r="F884" i="14"/>
  <c r="I161" i="15"/>
  <c r="F162" i="14"/>
  <c r="H167" i="13"/>
  <c r="I167" i="15" s="1"/>
  <c r="D96" i="15"/>
  <c r="D97" i="14"/>
  <c r="H96" i="13"/>
  <c r="G96" i="13"/>
  <c r="D1629" i="13"/>
  <c r="E513" i="9"/>
  <c r="D1632" i="13"/>
  <c r="E516" i="9"/>
  <c r="D1678" i="13"/>
  <c r="L520" i="9"/>
  <c r="D1659" i="13"/>
  <c r="E543" i="9"/>
  <c r="D1647" i="13"/>
  <c r="C539" i="9"/>
  <c r="C533" i="9"/>
  <c r="E531" i="9"/>
  <c r="D943" i="15"/>
  <c r="D944" i="14"/>
  <c r="K950" i="13"/>
  <c r="H950" i="13"/>
  <c r="G950" i="13"/>
  <c r="D105" i="13"/>
  <c r="E663" i="8"/>
  <c r="I396" i="15"/>
  <c r="J396" i="15"/>
  <c r="D778" i="13"/>
  <c r="E2006" i="5"/>
  <c r="H1273" i="15"/>
  <c r="I1280" i="13"/>
  <c r="J1273" i="15" s="1"/>
  <c r="G1288" i="13"/>
  <c r="I1570" i="15"/>
  <c r="F1571" i="14"/>
  <c r="F451" i="14"/>
  <c r="I457" i="13"/>
  <c r="R13" i="4"/>
  <c r="I2163" i="15"/>
  <c r="F2164" i="14"/>
  <c r="I2272" i="5"/>
  <c r="Z57" i="5"/>
  <c r="H697" i="15"/>
  <c r="I704" i="13"/>
  <c r="J697" i="15" s="1"/>
  <c r="F534" i="14"/>
  <c r="I540" i="13"/>
  <c r="J533" i="15" s="1"/>
  <c r="D1183" i="13"/>
  <c r="F342" i="7"/>
  <c r="G114" i="4"/>
  <c r="R114" i="4" s="1"/>
  <c r="C14" i="4"/>
  <c r="G14" i="4" s="1"/>
  <c r="R14" i="4" s="1"/>
  <c r="H863" i="15"/>
  <c r="I870" i="13"/>
  <c r="J863" i="15" s="1"/>
  <c r="H1821" i="15"/>
  <c r="I1828" i="13"/>
  <c r="J1821" i="15" s="1"/>
  <c r="C482" i="10"/>
  <c r="C507" i="10"/>
  <c r="C524" i="5"/>
  <c r="C944" i="5"/>
  <c r="C489" i="10"/>
  <c r="C678" i="10"/>
  <c r="G573" i="5"/>
  <c r="H678" i="10" s="1"/>
  <c r="C1035" i="5"/>
  <c r="C488" i="10"/>
  <c r="C677" i="10"/>
  <c r="C1034" i="5"/>
  <c r="C497" i="10"/>
  <c r="G472" i="5"/>
  <c r="H497" i="10" s="1"/>
  <c r="C934" i="5"/>
  <c r="C514" i="5"/>
  <c r="C684" i="10"/>
  <c r="C1041" i="5"/>
  <c r="C453" i="10"/>
  <c r="G889" i="5"/>
  <c r="H453" i="10" s="1"/>
  <c r="B797" i="15"/>
  <c r="B798" i="14"/>
  <c r="H2357" i="15"/>
  <c r="I2364" i="13"/>
  <c r="J2357" i="15" s="1"/>
  <c r="H1816" i="15"/>
  <c r="I1823" i="13"/>
  <c r="J1816" i="15" s="1"/>
  <c r="D2221" i="15"/>
  <c r="D2222" i="14"/>
  <c r="H2228" i="13"/>
  <c r="K2228" i="13"/>
  <c r="G2228" i="13"/>
  <c r="D81" i="15"/>
  <c r="D82" i="14"/>
  <c r="K81" i="13"/>
  <c r="H81" i="13"/>
  <c r="G81" i="13"/>
  <c r="O1199" i="5"/>
  <c r="P1199" i="5" s="1"/>
  <c r="O1195" i="5"/>
  <c r="P1164" i="5"/>
  <c r="I918" i="15"/>
  <c r="F919" i="14"/>
  <c r="H877" i="15"/>
  <c r="I884" i="13"/>
  <c r="J877" i="15" s="1"/>
  <c r="D1959" i="13"/>
  <c r="L398" i="6"/>
  <c r="E738" i="10"/>
  <c r="G738" i="10" s="1"/>
  <c r="E595" i="5"/>
  <c r="E742" i="10" s="1"/>
  <c r="G742" i="10" s="1"/>
  <c r="E593" i="5"/>
  <c r="G592" i="5"/>
  <c r="T397" i="5"/>
  <c r="P398" i="5"/>
  <c r="P858" i="5"/>
  <c r="I858" i="5"/>
  <c r="O858" i="5" s="1"/>
  <c r="O1052" i="5" s="1"/>
  <c r="R858" i="5"/>
  <c r="R859" i="5" s="1"/>
  <c r="F858" i="5"/>
  <c r="Q858" i="5"/>
  <c r="Q859" i="5" s="1"/>
  <c r="C859" i="5"/>
  <c r="D859" i="5" s="1"/>
  <c r="D94" i="15"/>
  <c r="D95" i="14"/>
  <c r="H94" i="13"/>
  <c r="G94" i="13"/>
  <c r="I915" i="15"/>
  <c r="F916" i="14"/>
  <c r="J425" i="15"/>
  <c r="I425" i="15"/>
  <c r="I2308" i="15"/>
  <c r="F2309" i="14"/>
  <c r="C360" i="8"/>
  <c r="J359" i="8"/>
  <c r="K159" i="4"/>
  <c r="D738" i="13"/>
  <c r="C1848" i="5"/>
  <c r="E1804" i="5"/>
  <c r="D591" i="10"/>
  <c r="D988" i="5"/>
  <c r="D632" i="10" s="1"/>
  <c r="E816" i="15"/>
  <c r="G816" i="15" s="1"/>
  <c r="G823" i="13"/>
  <c r="D1721" i="13"/>
  <c r="E250" i="4"/>
  <c r="H920" i="15"/>
  <c r="I927" i="13"/>
  <c r="J920" i="15" s="1"/>
  <c r="D1411" i="13"/>
  <c r="E262" i="9"/>
  <c r="H2368" i="15"/>
  <c r="I2375" i="13"/>
  <c r="J2368" i="15" s="1"/>
  <c r="D705" i="15"/>
  <c r="D706" i="14"/>
  <c r="H712" i="13"/>
  <c r="G712" i="13"/>
  <c r="K124" i="4"/>
  <c r="J124" i="4"/>
  <c r="I124" i="4"/>
  <c r="D2381" i="13"/>
  <c r="E2011" i="5"/>
  <c r="H2386" i="15"/>
  <c r="I2393" i="13"/>
  <c r="J2386" i="15" s="1"/>
  <c r="D76" i="15"/>
  <c r="D77" i="14"/>
  <c r="K76" i="13"/>
  <c r="H76" i="13"/>
  <c r="G76" i="13"/>
  <c r="D942" i="15"/>
  <c r="D943" i="14"/>
  <c r="K949" i="13"/>
  <c r="H949" i="13"/>
  <c r="G949" i="13"/>
  <c r="D412" i="15"/>
  <c r="D413" i="14"/>
  <c r="H419" i="13"/>
  <c r="H412" i="15" s="1"/>
  <c r="K419" i="13"/>
  <c r="G419" i="13"/>
  <c r="D2170" i="15"/>
  <c r="D2171" i="14"/>
  <c r="H2177" i="13"/>
  <c r="K2177" i="13"/>
  <c r="G2177" i="13"/>
  <c r="E801" i="15"/>
  <c r="G801" i="15" s="1"/>
  <c r="G808" i="13"/>
  <c r="D102" i="13"/>
  <c r="E660" i="8"/>
  <c r="C661" i="8"/>
  <c r="I683" i="15"/>
  <c r="F684" i="14"/>
  <c r="D586" i="10"/>
  <c r="D983" i="5"/>
  <c r="D627" i="10" s="1"/>
  <c r="H2246" i="15"/>
  <c r="I2253" i="13"/>
  <c r="J2246" i="15" s="1"/>
  <c r="D1813" i="15"/>
  <c r="D1814" i="14"/>
  <c r="K1820" i="13"/>
  <c r="H1820" i="13"/>
  <c r="G1820" i="13"/>
  <c r="I2160" i="15"/>
  <c r="F2161" i="14"/>
  <c r="I392" i="15"/>
  <c r="J392" i="15"/>
  <c r="I1666" i="15"/>
  <c r="F1667" i="14"/>
  <c r="I864" i="15"/>
  <c r="F865" i="14"/>
  <c r="E795" i="15"/>
  <c r="G795" i="15" s="1"/>
  <c r="G802" i="13"/>
  <c r="H935" i="15"/>
  <c r="I942" i="13"/>
  <c r="J935" i="15" s="1"/>
  <c r="I993" i="15"/>
  <c r="F994" i="14"/>
  <c r="I1002" i="15"/>
  <c r="F1003" i="14"/>
  <c r="I1268" i="15"/>
  <c r="F1269" i="14"/>
  <c r="H647" i="15"/>
  <c r="I654" i="13"/>
  <c r="J647" i="15" s="1"/>
  <c r="I2269" i="5"/>
  <c r="C2295" i="5" s="1"/>
  <c r="I1802" i="15"/>
  <c r="F1803" i="14"/>
  <c r="D866" i="15"/>
  <c r="D867" i="14"/>
  <c r="H873" i="13"/>
  <c r="K873" i="13"/>
  <c r="G873" i="13"/>
  <c r="D779" i="15"/>
  <c r="D780" i="14"/>
  <c r="H786" i="13"/>
  <c r="D1181" i="15"/>
  <c r="D1182" i="14"/>
  <c r="K1188" i="13"/>
  <c r="H1188" i="13"/>
  <c r="I1181" i="15" s="1"/>
  <c r="G1188" i="13"/>
  <c r="H1181" i="15" s="1"/>
  <c r="D577" i="10"/>
  <c r="D974" i="5"/>
  <c r="D618" i="10" s="1"/>
  <c r="I678" i="13"/>
  <c r="J671" i="15" s="1"/>
  <c r="C683" i="10"/>
  <c r="C1040" i="5"/>
  <c r="C462" i="10"/>
  <c r="C526" i="10"/>
  <c r="C963" i="5"/>
  <c r="C543" i="5"/>
  <c r="C469" i="10"/>
  <c r="C656" i="10"/>
  <c r="G551" i="5"/>
  <c r="H656" i="10" s="1"/>
  <c r="C1013" i="5"/>
  <c r="C468" i="10"/>
  <c r="C491" i="10"/>
  <c r="G466" i="5"/>
  <c r="H491" i="10" s="1"/>
  <c r="C928" i="5"/>
  <c r="C508" i="5"/>
  <c r="C475" i="10"/>
  <c r="G911" i="5"/>
  <c r="H475" i="10" s="1"/>
  <c r="C664" i="10"/>
  <c r="C1021" i="5"/>
  <c r="G559" i="5"/>
  <c r="H664" i="10" s="1"/>
  <c r="G108" i="4"/>
  <c r="C110" i="4"/>
  <c r="G111" i="4" s="1"/>
  <c r="H1555" i="15"/>
  <c r="I1562" i="13"/>
  <c r="J1555" i="15" s="1"/>
  <c r="D466" i="15"/>
  <c r="D467" i="14"/>
  <c r="K473" i="13"/>
  <c r="H473" i="13"/>
  <c r="H466" i="15" s="1"/>
  <c r="G473" i="13"/>
  <c r="I473" i="13" s="1"/>
  <c r="D578" i="10"/>
  <c r="D975" i="5"/>
  <c r="D619" i="10" s="1"/>
  <c r="I1817" i="15"/>
  <c r="F1818" i="14"/>
  <c r="H2155" i="15"/>
  <c r="I2162" i="13"/>
  <c r="J2155" i="15" s="1"/>
  <c r="D801" i="15"/>
  <c r="D802" i="14"/>
  <c r="K808" i="13"/>
  <c r="H808" i="13"/>
  <c r="P73" i="4"/>
  <c r="P62" i="4"/>
  <c r="P66" i="4" s="1"/>
  <c r="P77" i="4" s="1"/>
  <c r="P63" i="4"/>
  <c r="D2263" i="13"/>
  <c r="E404" i="12"/>
  <c r="C405" i="12"/>
  <c r="H1441" i="15"/>
  <c r="I1448" i="13"/>
  <c r="J1441" i="15" s="1"/>
  <c r="L78" i="4"/>
  <c r="I1940" i="15"/>
  <c r="F1941" i="14"/>
  <c r="C806" i="15"/>
  <c r="C807" i="14"/>
  <c r="D761" i="13"/>
  <c r="E1989" i="5"/>
  <c r="H264" i="15"/>
  <c r="I264" i="13"/>
  <c r="J264" i="15" s="1"/>
  <c r="I1275" i="15"/>
  <c r="F1276" i="14"/>
  <c r="I891" i="15"/>
  <c r="F892" i="14"/>
  <c r="D939" i="15"/>
  <c r="D940" i="14"/>
  <c r="K946" i="13"/>
  <c r="H946" i="13"/>
  <c r="G946" i="13"/>
  <c r="H1810" i="15"/>
  <c r="I1817" i="13"/>
  <c r="J1810" i="15" s="1"/>
  <c r="D191" i="15"/>
  <c r="D192" i="14"/>
  <c r="K191" i="13"/>
  <c r="H191" i="13"/>
  <c r="G191" i="13"/>
  <c r="H1944" i="15"/>
  <c r="I1951" i="13"/>
  <c r="J1944" i="15" s="1"/>
  <c r="D1942" i="13"/>
  <c r="J403" i="6"/>
  <c r="E403" i="6"/>
  <c r="H843" i="15"/>
  <c r="I850" i="13"/>
  <c r="J843" i="15" s="1"/>
  <c r="E798" i="15"/>
  <c r="G798" i="15" s="1"/>
  <c r="I436" i="15"/>
  <c r="D1629" i="15"/>
  <c r="D1630" i="14"/>
  <c r="K1636" i="13"/>
  <c r="H1636" i="13"/>
  <c r="G1636" i="13"/>
  <c r="D608" i="15"/>
  <c r="D609" i="14"/>
  <c r="K615" i="13"/>
  <c r="H615" i="13"/>
  <c r="G615" i="13"/>
  <c r="F10" i="10"/>
  <c r="G10" i="10" s="1"/>
  <c r="G147" i="5"/>
  <c r="H10" i="10" s="1"/>
  <c r="D1609" i="15"/>
  <c r="D1610" i="14"/>
  <c r="H1616" i="13"/>
  <c r="G1616" i="13"/>
  <c r="I992" i="15"/>
  <c r="F993" i="14"/>
  <c r="I475" i="13"/>
  <c r="D2214" i="15"/>
  <c r="D2215" i="14"/>
  <c r="H2221" i="13"/>
  <c r="H2219" i="13" s="1"/>
  <c r="G2221" i="13"/>
  <c r="I1285" i="15"/>
  <c r="F1286" i="14"/>
  <c r="D1180" i="15"/>
  <c r="D1181" i="14"/>
  <c r="K1187" i="13"/>
  <c r="G1187" i="13"/>
  <c r="H1180" i="15" s="1"/>
  <c r="H1187" i="13"/>
  <c r="I1180" i="15" s="1"/>
  <c r="E600" i="10"/>
  <c r="G600" i="10" s="1"/>
  <c r="E536" i="5"/>
  <c r="D1877" i="15"/>
  <c r="D1878" i="14"/>
  <c r="K1884" i="13"/>
  <c r="H1884" i="13"/>
  <c r="G1884" i="13"/>
  <c r="D792" i="15"/>
  <c r="D793" i="14"/>
  <c r="H799" i="13"/>
  <c r="K799" i="13"/>
  <c r="G799" i="13"/>
  <c r="N116" i="4"/>
  <c r="Q116" i="4" s="1"/>
  <c r="R116" i="4" s="1"/>
  <c r="N15" i="4"/>
  <c r="Q15" i="4" s="1"/>
  <c r="R15" i="4" s="1"/>
  <c r="Q11" i="4"/>
  <c r="R11" i="4" s="1"/>
  <c r="J98" i="5" s="1"/>
  <c r="D937" i="15"/>
  <c r="D938" i="14"/>
  <c r="K944" i="13"/>
  <c r="H944" i="13"/>
  <c r="G944" i="13"/>
  <c r="H366" i="15"/>
  <c r="I373" i="13"/>
  <c r="J366" i="15" s="1"/>
  <c r="E804" i="15"/>
  <c r="G804" i="15" s="1"/>
  <c r="H1326" i="15"/>
  <c r="I1333" i="13"/>
  <c r="J1326" i="15" s="1"/>
  <c r="AF188" i="4"/>
  <c r="G78" i="4"/>
  <c r="R78" i="4" s="1"/>
  <c r="C1387" i="5" s="1"/>
  <c r="C486" i="6" s="1"/>
  <c r="AK54" i="5"/>
  <c r="H1310" i="15"/>
  <c r="I1317" i="13"/>
  <c r="J1310" i="15" s="1"/>
  <c r="G1326" i="13"/>
  <c r="C663" i="10"/>
  <c r="C1020" i="5"/>
  <c r="G558" i="5"/>
  <c r="H663" i="10" s="1"/>
  <c r="C506" i="10"/>
  <c r="C943" i="5"/>
  <c r="C523" i="5"/>
  <c r="C685" i="10"/>
  <c r="C1042" i="5"/>
  <c r="C505" i="10"/>
  <c r="C942" i="5"/>
  <c r="C522" i="5"/>
  <c r="C692" i="10"/>
  <c r="C1049" i="5"/>
  <c r="C455" i="10"/>
  <c r="G891" i="5"/>
  <c r="H455" i="10" s="1"/>
  <c r="D1588" i="13"/>
  <c r="E468" i="9"/>
  <c r="Q1190" i="5"/>
  <c r="E1187" i="5" s="1"/>
  <c r="D610" i="10"/>
  <c r="D1007" i="5"/>
  <c r="D651" i="10" s="1"/>
  <c r="D612" i="10"/>
  <c r="D1009" i="5"/>
  <c r="D653" i="10" s="1"/>
  <c r="H1046" i="15"/>
  <c r="I1053" i="13"/>
  <c r="J1046" i="15" s="1"/>
  <c r="D2259" i="13"/>
  <c r="E400" i="12"/>
  <c r="H104" i="4"/>
  <c r="H159" i="4"/>
  <c r="H108" i="4"/>
  <c r="D758" i="15"/>
  <c r="D759" i="14"/>
  <c r="K765" i="13"/>
  <c r="H765" i="13"/>
  <c r="I917" i="15"/>
  <c r="F918" i="14"/>
  <c r="H974" i="15"/>
  <c r="I981" i="13"/>
  <c r="J974" i="15" s="1"/>
  <c r="H1309" i="13"/>
  <c r="I1302" i="15" s="1"/>
  <c r="J1621" i="5"/>
  <c r="I93" i="15"/>
  <c r="F94" i="14"/>
  <c r="D813" i="15"/>
  <c r="D814" i="14"/>
  <c r="H820" i="13"/>
  <c r="G820" i="13"/>
  <c r="H1831" i="15"/>
  <c r="I1838" i="13"/>
  <c r="J1831" i="15" s="1"/>
  <c r="D1661" i="13"/>
  <c r="E545" i="9"/>
  <c r="B779" i="15"/>
  <c r="B780" i="14"/>
  <c r="G86" i="10"/>
  <c r="H158" i="13"/>
  <c r="I158" i="15" s="1"/>
  <c r="H2229" i="15"/>
  <c r="I2236" i="13"/>
  <c r="J2229" i="15" s="1"/>
  <c r="D582" i="10"/>
  <c r="D979" i="5"/>
  <c r="D623" i="10" s="1"/>
  <c r="D584" i="10"/>
  <c r="D981" i="5"/>
  <c r="D625" i="10" s="1"/>
  <c r="E231" i="10"/>
  <c r="E692" i="5"/>
  <c r="E658" i="5"/>
  <c r="F657" i="5"/>
  <c r="F231" i="10" s="1"/>
  <c r="E813" i="13"/>
  <c r="D2004" i="5"/>
  <c r="E776" i="13" s="1"/>
  <c r="B764" i="15"/>
  <c r="B765" i="14"/>
  <c r="H1326" i="13"/>
  <c r="I1319" i="15" s="1"/>
  <c r="D1710" i="15"/>
  <c r="D1711" i="14"/>
  <c r="H1717" i="13"/>
  <c r="K1717" i="13"/>
  <c r="G1717" i="13"/>
  <c r="D663" i="15"/>
  <c r="D664" i="14"/>
  <c r="H670" i="13"/>
  <c r="K670" i="13"/>
  <c r="G670" i="13"/>
  <c r="H995" i="15"/>
  <c r="I1002" i="13"/>
  <c r="J995" i="15" s="1"/>
  <c r="G747" i="10"/>
  <c r="H747" i="10" s="1"/>
  <c r="H2004" i="15"/>
  <c r="I2011" i="13"/>
  <c r="J2004" i="15" s="1"/>
  <c r="G2015" i="13"/>
  <c r="I2380" i="15"/>
  <c r="G2387" i="13"/>
  <c r="D1548" i="15"/>
  <c r="D1549" i="14"/>
  <c r="K1555" i="13"/>
  <c r="H1555" i="13"/>
  <c r="G1555" i="13"/>
  <c r="D944" i="15"/>
  <c r="D945" i="14"/>
  <c r="K951" i="13"/>
  <c r="G951" i="13"/>
  <c r="H951" i="13"/>
  <c r="D1005" i="15"/>
  <c r="D1006" i="14"/>
  <c r="K1012" i="13"/>
  <c r="G1012" i="13"/>
  <c r="H1012" i="13"/>
  <c r="I341" i="15"/>
  <c r="F342" i="14"/>
  <c r="H2397" i="15"/>
  <c r="I2404" i="13"/>
  <c r="J2397" i="15" s="1"/>
  <c r="D763" i="13"/>
  <c r="E1991" i="5"/>
  <c r="I1815" i="15"/>
  <c r="F1816" i="14"/>
  <c r="L201" i="4"/>
  <c r="D611" i="10"/>
  <c r="D1008" i="5"/>
  <c r="D652" i="10" s="1"/>
  <c r="D1830" i="15"/>
  <c r="D1831" i="14"/>
  <c r="K1837" i="13"/>
  <c r="H1837" i="13"/>
  <c r="G1837" i="13"/>
  <c r="I682" i="13"/>
  <c r="J675" i="15" s="1"/>
  <c r="I392" i="13"/>
  <c r="I439" i="13"/>
  <c r="D378" i="15"/>
  <c r="D379" i="14"/>
  <c r="H385" i="13"/>
  <c r="H378" i="15" s="1"/>
  <c r="K385" i="13"/>
  <c r="G385" i="13"/>
  <c r="I385" i="13" s="1"/>
  <c r="C598" i="8"/>
  <c r="J597" i="8"/>
  <c r="C597" i="8"/>
  <c r="D27" i="13"/>
  <c r="L599" i="8"/>
  <c r="J419" i="15" l="1"/>
  <c r="I427" i="13"/>
  <c r="I494" i="15"/>
  <c r="I514" i="15"/>
  <c r="I502" i="15"/>
  <c r="G691" i="5"/>
  <c r="H265" i="10" s="1"/>
  <c r="E258" i="10"/>
  <c r="G258" i="10" s="1"/>
  <c r="G684" i="5"/>
  <c r="H258" i="10" s="1"/>
  <c r="G218" i="5"/>
  <c r="H81" i="10" s="1"/>
  <c r="T621" i="5"/>
  <c r="E683" i="5"/>
  <c r="F628" i="5"/>
  <c r="G265" i="10"/>
  <c r="I389" i="15"/>
  <c r="J389" i="15"/>
  <c r="I444" i="13"/>
  <c r="I419" i="13"/>
  <c r="H1860" i="15"/>
  <c r="I1867" i="13"/>
  <c r="J1860" i="15" s="1"/>
  <c r="I1849" i="13"/>
  <c r="J1842" i="15" s="1"/>
  <c r="H1842" i="15"/>
  <c r="F1861" i="14"/>
  <c r="I1860" i="15"/>
  <c r="I1842" i="15"/>
  <c r="F1843" i="14"/>
  <c r="I519" i="15"/>
  <c r="C213" i="4"/>
  <c r="R200" i="4"/>
  <c r="D1699" i="13"/>
  <c r="E228" i="4"/>
  <c r="I2212" i="15"/>
  <c r="F2213" i="14"/>
  <c r="I2219" i="13"/>
  <c r="J2212" i="15" s="1"/>
  <c r="N196" i="4"/>
  <c r="N79" i="4"/>
  <c r="I2153" i="15"/>
  <c r="F2154" i="14"/>
  <c r="I2160" i="13"/>
  <c r="J2153" i="15" s="1"/>
  <c r="F612" i="5"/>
  <c r="F602" i="5"/>
  <c r="F613" i="5"/>
  <c r="K110" i="5" s="1"/>
  <c r="F603" i="5"/>
  <c r="G612" i="5"/>
  <c r="C82" i="5"/>
  <c r="P102" i="5" s="1"/>
  <c r="D1104" i="5"/>
  <c r="L98" i="5"/>
  <c r="I1005" i="15"/>
  <c r="F1006" i="14"/>
  <c r="D14" i="13"/>
  <c r="C603" i="8"/>
  <c r="E597" i="8"/>
  <c r="J432" i="15"/>
  <c r="I432" i="15"/>
  <c r="I1830" i="15"/>
  <c r="F1831" i="14"/>
  <c r="H1005" i="15"/>
  <c r="I1012" i="13"/>
  <c r="J1005" i="15" s="1"/>
  <c r="I944" i="15"/>
  <c r="F945" i="14"/>
  <c r="H2008" i="15"/>
  <c r="F2009" i="14"/>
  <c r="I2015" i="13"/>
  <c r="J2008" i="15" s="1"/>
  <c r="I663" i="15"/>
  <c r="F664" i="14"/>
  <c r="E769" i="15"/>
  <c r="G769" i="15" s="1"/>
  <c r="G776" i="13"/>
  <c r="E232" i="10"/>
  <c r="E693" i="5"/>
  <c r="E659" i="5"/>
  <c r="F658" i="5"/>
  <c r="F232" i="10" s="1"/>
  <c r="D610" i="15"/>
  <c r="D611" i="14"/>
  <c r="K617" i="13"/>
  <c r="H617" i="13"/>
  <c r="G617" i="13"/>
  <c r="H2214" i="15"/>
  <c r="I2221" i="13"/>
  <c r="J2214" i="15" s="1"/>
  <c r="J468" i="15"/>
  <c r="I468" i="15"/>
  <c r="I1609" i="15"/>
  <c r="F1610" i="14"/>
  <c r="I939" i="15"/>
  <c r="F940" i="14"/>
  <c r="P99" i="4"/>
  <c r="P199" i="4"/>
  <c r="H866" i="15"/>
  <c r="I873" i="13"/>
  <c r="J866" i="15" s="1"/>
  <c r="D103" i="13"/>
  <c r="E661" i="8"/>
  <c r="I942" i="15"/>
  <c r="F943" i="14"/>
  <c r="H76" i="15"/>
  <c r="I76" i="13"/>
  <c r="J76" i="15" s="1"/>
  <c r="D2374" i="15"/>
  <c r="H2381" i="13"/>
  <c r="K2381" i="13"/>
  <c r="H705" i="15"/>
  <c r="I712" i="13"/>
  <c r="J705" i="15" s="1"/>
  <c r="D731" i="15"/>
  <c r="D732" i="14"/>
  <c r="K738" i="13"/>
  <c r="H738" i="13"/>
  <c r="G738" i="13"/>
  <c r="C639" i="9"/>
  <c r="C1385" i="5"/>
  <c r="I81" i="15"/>
  <c r="F82" i="14"/>
  <c r="H2221" i="15"/>
  <c r="I2228" i="13"/>
  <c r="J2221" i="15" s="1"/>
  <c r="C548" i="10"/>
  <c r="D1176" i="15"/>
  <c r="D1177" i="14"/>
  <c r="K1183" i="13"/>
  <c r="G1183" i="13"/>
  <c r="H1176" i="15" s="1"/>
  <c r="H1183" i="13"/>
  <c r="I1176" i="15" s="1"/>
  <c r="H1281" i="15"/>
  <c r="F1282" i="14"/>
  <c r="I1288" i="13"/>
  <c r="J1281" i="15" s="1"/>
  <c r="D771" i="15"/>
  <c r="D772" i="14"/>
  <c r="H778" i="13"/>
  <c r="K778" i="13"/>
  <c r="D105" i="15"/>
  <c r="D106" i="14"/>
  <c r="H105" i="13"/>
  <c r="K105" i="13"/>
  <c r="G105" i="13"/>
  <c r="D1655" i="13"/>
  <c r="E539" i="9"/>
  <c r="I2158" i="15"/>
  <c r="F2159" i="14"/>
  <c r="J1363" i="5"/>
  <c r="C1524" i="5"/>
  <c r="C1610" i="5" s="1"/>
  <c r="C1779" i="5"/>
  <c r="C1932" i="5" s="1"/>
  <c r="C1690" i="5"/>
  <c r="D1781" i="15"/>
  <c r="D1782" i="14"/>
  <c r="H1788" i="13"/>
  <c r="K1788" i="13"/>
  <c r="G1788" i="13"/>
  <c r="D2234" i="13"/>
  <c r="C373" i="12"/>
  <c r="E372" i="12"/>
  <c r="C599" i="10"/>
  <c r="C996" i="5"/>
  <c r="G534" i="5"/>
  <c r="H599" i="10" s="1"/>
  <c r="C559" i="10"/>
  <c r="G955" i="5"/>
  <c r="H559" i="10" s="1"/>
  <c r="D298" i="13"/>
  <c r="L493" i="8"/>
  <c r="D277" i="13"/>
  <c r="E497" i="8"/>
  <c r="D296" i="13"/>
  <c r="L491" i="8"/>
  <c r="C701" i="10"/>
  <c r="G1017" i="5"/>
  <c r="H701" i="10" s="1"/>
  <c r="H2445" i="15"/>
  <c r="I2453" i="13"/>
  <c r="J2445" i="15" s="1"/>
  <c r="I2167" i="15"/>
  <c r="F2168" i="14"/>
  <c r="I757" i="15"/>
  <c r="F758" i="14"/>
  <c r="C714" i="10"/>
  <c r="C533" i="10"/>
  <c r="G929" i="5"/>
  <c r="H533" i="10" s="1"/>
  <c r="C715" i="10"/>
  <c r="H1490" i="15"/>
  <c r="I1497" i="13"/>
  <c r="J1490" i="15" s="1"/>
  <c r="D1458" i="15"/>
  <c r="D1459" i="14"/>
  <c r="H1465" i="13"/>
  <c r="G1465" i="13"/>
  <c r="I1644" i="15"/>
  <c r="F1645" i="14"/>
  <c r="D893" i="15"/>
  <c r="D894" i="14"/>
  <c r="H900" i="13"/>
  <c r="G900" i="13"/>
  <c r="C580" i="10"/>
  <c r="G515" i="5"/>
  <c r="H580" i="10" s="1"/>
  <c r="C977" i="5"/>
  <c r="C605" i="10"/>
  <c r="C1002" i="5"/>
  <c r="M73" i="4"/>
  <c r="M62" i="4"/>
  <c r="M63" i="4"/>
  <c r="D1670" i="15"/>
  <c r="D1671" i="14"/>
  <c r="H1677" i="13"/>
  <c r="G1677" i="13"/>
  <c r="D343" i="13"/>
  <c r="E1468" i="5"/>
  <c r="AG1468" i="5" s="1"/>
  <c r="AU1468" i="5" s="1"/>
  <c r="AE1469" i="5"/>
  <c r="C481" i="8"/>
  <c r="C1366" i="5"/>
  <c r="D1777" i="13"/>
  <c r="C603" i="9"/>
  <c r="E601" i="9"/>
  <c r="D1751" i="15"/>
  <c r="D1752" i="14"/>
  <c r="H1758" i="13"/>
  <c r="K1758" i="13"/>
  <c r="G1758" i="13"/>
  <c r="I293" i="15"/>
  <c r="F294" i="14"/>
  <c r="D1941" i="13"/>
  <c r="E402" i="6"/>
  <c r="E416" i="6" s="1"/>
  <c r="B417" i="6" s="1"/>
  <c r="J402" i="6"/>
  <c r="H817" i="15"/>
  <c r="I824" i="13"/>
  <c r="J817" i="15" s="1"/>
  <c r="H2223" i="15"/>
  <c r="I2230" i="13"/>
  <c r="J2223" i="15" s="1"/>
  <c r="I1577" i="15"/>
  <c r="F1578" i="14"/>
  <c r="C537" i="10"/>
  <c r="G933" i="5"/>
  <c r="H537" i="10" s="1"/>
  <c r="C569" i="10"/>
  <c r="C711" i="10"/>
  <c r="D1869" i="15"/>
  <c r="D1870" i="14"/>
  <c r="K1876" i="13"/>
  <c r="H1876" i="13"/>
  <c r="G1876" i="13"/>
  <c r="AK55" i="5"/>
  <c r="AF189" i="4"/>
  <c r="G79" i="4"/>
  <c r="H69" i="15"/>
  <c r="I69" i="13"/>
  <c r="J69" i="15" s="1"/>
  <c r="H1811" i="15"/>
  <c r="I1818" i="13"/>
  <c r="J1811" i="15" s="1"/>
  <c r="E519" i="10"/>
  <c r="G519" i="10" s="1"/>
  <c r="E495" i="5"/>
  <c r="D755" i="15"/>
  <c r="D756" i="14"/>
  <c r="K762" i="13"/>
  <c r="H762" i="13"/>
  <c r="G762" i="13"/>
  <c r="J496" i="15"/>
  <c r="I496" i="15"/>
  <c r="C582" i="10"/>
  <c r="G517" i="5"/>
  <c r="H582" i="10" s="1"/>
  <c r="C979" i="5"/>
  <c r="C731" i="10"/>
  <c r="C560" i="10"/>
  <c r="G956" i="5"/>
  <c r="H560" i="10" s="1"/>
  <c r="D1910" i="13"/>
  <c r="E2312" i="5"/>
  <c r="D1915" i="13"/>
  <c r="K2280" i="5"/>
  <c r="M2278" i="5"/>
  <c r="K2281" i="5"/>
  <c r="K2282" i="5"/>
  <c r="K2279" i="5"/>
  <c r="D1925" i="13"/>
  <c r="M2288" i="5"/>
  <c r="D1892" i="13"/>
  <c r="E2294" i="5"/>
  <c r="I867" i="15"/>
  <c r="F868" i="14"/>
  <c r="E808" i="15"/>
  <c r="G808" i="15" s="1"/>
  <c r="G815" i="13"/>
  <c r="D1741" i="13"/>
  <c r="L220" i="4"/>
  <c r="D841" i="15"/>
  <c r="D842" i="14"/>
  <c r="H848" i="13"/>
  <c r="K848" i="13"/>
  <c r="G848" i="13"/>
  <c r="I940" i="15"/>
  <c r="F941" i="14"/>
  <c r="D1415" i="13"/>
  <c r="E266" i="9"/>
  <c r="D1435" i="13"/>
  <c r="C671" i="9"/>
  <c r="E286" i="9"/>
  <c r="J279" i="9"/>
  <c r="D1430" i="13"/>
  <c r="E281" i="9"/>
  <c r="D1414" i="13"/>
  <c r="E265" i="9"/>
  <c r="D1450" i="13"/>
  <c r="E301" i="9"/>
  <c r="C596" i="10"/>
  <c r="G531" i="5"/>
  <c r="H596" i="10" s="1"/>
  <c r="C993" i="5"/>
  <c r="C712" i="10"/>
  <c r="K135" i="4"/>
  <c r="K163" i="4" s="1"/>
  <c r="J135" i="4"/>
  <c r="J163" i="4" s="1"/>
  <c r="I135" i="4"/>
  <c r="I163" i="4" s="1"/>
  <c r="H163" i="4"/>
  <c r="H1858" i="15"/>
  <c r="I1865" i="13"/>
  <c r="J1858" i="15" s="1"/>
  <c r="H290" i="15"/>
  <c r="I290" i="13"/>
  <c r="J290" i="15" s="1"/>
  <c r="D119" i="13"/>
  <c r="L664" i="8"/>
  <c r="H590" i="15"/>
  <c r="I597" i="13"/>
  <c r="J590" i="15" s="1"/>
  <c r="H291" i="15"/>
  <c r="I291" i="13"/>
  <c r="J291" i="15" s="1"/>
  <c r="D1567" i="13"/>
  <c r="E447" i="9"/>
  <c r="D1752" i="13"/>
  <c r="E576" i="9"/>
  <c r="D1372" i="15"/>
  <c r="D1373" i="14"/>
  <c r="K1379" i="13"/>
  <c r="H1379" i="13"/>
  <c r="G1379" i="13"/>
  <c r="G890" i="5"/>
  <c r="H454" i="10" s="1"/>
  <c r="C706" i="10"/>
  <c r="G1022" i="5"/>
  <c r="H706" i="10" s="1"/>
  <c r="C723" i="10"/>
  <c r="G1039" i="5"/>
  <c r="H723" i="10" s="1"/>
  <c r="C552" i="10"/>
  <c r="H2171" i="15"/>
  <c r="I2178" i="13"/>
  <c r="J2171" i="15" s="1"/>
  <c r="D22" i="15"/>
  <c r="D23" i="14"/>
  <c r="K22" i="13"/>
  <c r="H22" i="13"/>
  <c r="G22" i="13"/>
  <c r="I1181" i="5"/>
  <c r="F1177" i="5"/>
  <c r="X13" i="5"/>
  <c r="F1183" i="5"/>
  <c r="X14" i="5" s="1"/>
  <c r="I2449" i="15"/>
  <c r="G2457" i="13"/>
  <c r="I651" i="15"/>
  <c r="F652" i="14"/>
  <c r="E358" i="10"/>
  <c r="G358" i="10" s="1"/>
  <c r="E785" i="5"/>
  <c r="G784" i="5"/>
  <c r="H358" i="10" s="1"/>
  <c r="H938" i="15"/>
  <c r="I945" i="13"/>
  <c r="J938" i="15" s="1"/>
  <c r="C594" i="10"/>
  <c r="C991" i="5"/>
  <c r="H2486" i="15"/>
  <c r="I2494" i="13"/>
  <c r="J2486" i="15" s="1"/>
  <c r="C1933" i="5"/>
  <c r="C1769" i="5"/>
  <c r="H1311" i="15"/>
  <c r="I1318" i="13"/>
  <c r="J1311" i="15" s="1"/>
  <c r="I1812" i="15"/>
  <c r="F1813" i="14"/>
  <c r="H1492" i="15"/>
  <c r="I1499" i="13"/>
  <c r="J1492" i="15" s="1"/>
  <c r="I1635" i="15"/>
  <c r="F1636" i="14"/>
  <c r="I1928" i="15"/>
  <c r="F1929" i="14"/>
  <c r="D1914" i="15"/>
  <c r="D1915" i="14"/>
  <c r="H1921" i="13"/>
  <c r="G1921" i="13"/>
  <c r="I1621" i="15"/>
  <c r="F1622" i="14"/>
  <c r="I1004" i="15"/>
  <c r="F1005" i="14"/>
  <c r="H1471" i="15"/>
  <c r="I1478" i="13"/>
  <c r="J1471" i="15" s="1"/>
  <c r="C536" i="10"/>
  <c r="G932" i="5"/>
  <c r="H536" i="10" s="1"/>
  <c r="C565" i="10"/>
  <c r="D18" i="15"/>
  <c r="D19" i="14"/>
  <c r="K18" i="13"/>
  <c r="H18" i="13"/>
  <c r="G18" i="13"/>
  <c r="L79" i="4"/>
  <c r="D1932" i="15"/>
  <c r="D1933" i="14"/>
  <c r="K1939" i="13"/>
  <c r="H1939" i="13"/>
  <c r="G1939" i="13"/>
  <c r="D1422" i="13"/>
  <c r="E273" i="9"/>
  <c r="G54" i="10"/>
  <c r="I803" i="15"/>
  <c r="F804" i="14"/>
  <c r="C710" i="10"/>
  <c r="C727" i="10"/>
  <c r="C556" i="10"/>
  <c r="G952" i="5"/>
  <c r="H556" i="10" s="1"/>
  <c r="J498" i="15"/>
  <c r="I498" i="15"/>
  <c r="E804" i="13"/>
  <c r="D1995" i="5"/>
  <c r="E767" i="13" s="1"/>
  <c r="H1620" i="15"/>
  <c r="I1627" i="13"/>
  <c r="J1620" i="15" s="1"/>
  <c r="D1847" i="15"/>
  <c r="D1848" i="14"/>
  <c r="K1854" i="13"/>
  <c r="H1854" i="13"/>
  <c r="G1854" i="13"/>
  <c r="H709" i="15"/>
  <c r="I716" i="13"/>
  <c r="J709" i="15" s="1"/>
  <c r="H949" i="15"/>
  <c r="I956" i="13"/>
  <c r="J949" i="15" s="1"/>
  <c r="I1927" i="15"/>
  <c r="F1928" i="14"/>
  <c r="H1655" i="15"/>
  <c r="I1662" i="13"/>
  <c r="J1655" i="15" s="1"/>
  <c r="H991" i="15"/>
  <c r="I998" i="13"/>
  <c r="J991" i="15" s="1"/>
  <c r="H82" i="15"/>
  <c r="I82" i="13"/>
  <c r="J82" i="15" s="1"/>
  <c r="C557" i="10"/>
  <c r="G953" i="5"/>
  <c r="H557" i="10" s="1"/>
  <c r="C592" i="10"/>
  <c r="C989" i="5"/>
  <c r="C708" i="10"/>
  <c r="G1024" i="5"/>
  <c r="H708" i="10" s="1"/>
  <c r="D222" i="7"/>
  <c r="J221" i="7"/>
  <c r="L106" i="5"/>
  <c r="C1461" i="5"/>
  <c r="D221" i="7"/>
  <c r="F1087" i="5"/>
  <c r="D106" i="15"/>
  <c r="D107" i="14"/>
  <c r="H106" i="13"/>
  <c r="K106" i="13"/>
  <c r="G106" i="13"/>
  <c r="H730" i="15"/>
  <c r="I737" i="13"/>
  <c r="J730" i="15" s="1"/>
  <c r="I794" i="15"/>
  <c r="F795" i="14"/>
  <c r="I831" i="15"/>
  <c r="F832" i="14"/>
  <c r="I1309" i="13"/>
  <c r="J1302" i="15" s="1"/>
  <c r="C616" i="8"/>
  <c r="C617" i="8"/>
  <c r="C630" i="8"/>
  <c r="J622" i="8"/>
  <c r="C619" i="8"/>
  <c r="C614" i="8"/>
  <c r="J625" i="8"/>
  <c r="C626" i="8"/>
  <c r="C584" i="8"/>
  <c r="J613" i="8"/>
  <c r="C588" i="8"/>
  <c r="C613" i="8"/>
  <c r="C615" i="8"/>
  <c r="D114" i="13"/>
  <c r="L659" i="8"/>
  <c r="J660" i="8"/>
  <c r="I721" i="15"/>
  <c r="F722" i="14"/>
  <c r="H2159" i="15"/>
  <c r="I2166" i="13"/>
  <c r="J2159" i="15" s="1"/>
  <c r="C709" i="10"/>
  <c r="C571" i="10"/>
  <c r="D1682" i="15"/>
  <c r="D1683" i="14"/>
  <c r="H1689" i="13"/>
  <c r="K1689" i="13"/>
  <c r="G1689" i="13"/>
  <c r="D1920" i="13"/>
  <c r="M2283" i="5"/>
  <c r="I2215" i="15"/>
  <c r="F2216" i="14"/>
  <c r="K2291" i="5"/>
  <c r="C2301" i="5"/>
  <c r="C2293" i="5"/>
  <c r="H815" i="13"/>
  <c r="J381" i="15"/>
  <c r="I381" i="15"/>
  <c r="D1631" i="15"/>
  <c r="D1632" i="14"/>
  <c r="K1638" i="13"/>
  <c r="H1638" i="13"/>
  <c r="G1638" i="13"/>
  <c r="D1649" i="15"/>
  <c r="D1650" i="14"/>
  <c r="K1656" i="13"/>
  <c r="H1656" i="13"/>
  <c r="G1656" i="13"/>
  <c r="D1623" i="15"/>
  <c r="D1624" i="14"/>
  <c r="K1630" i="13"/>
  <c r="H1630" i="13"/>
  <c r="G1630" i="13"/>
  <c r="C602" i="9"/>
  <c r="C591" i="9"/>
  <c r="C585" i="9"/>
  <c r="I2205" i="15"/>
  <c r="F2206" i="14"/>
  <c r="I2212" i="13"/>
  <c r="J2205" i="15" s="1"/>
  <c r="I704" i="15"/>
  <c r="F705" i="14"/>
  <c r="D1636" i="15"/>
  <c r="D1637" i="14"/>
  <c r="K1643" i="13"/>
  <c r="H1643" i="13"/>
  <c r="G1643" i="13"/>
  <c r="D1949" i="15"/>
  <c r="D1950" i="14"/>
  <c r="H1956" i="13"/>
  <c r="G1956" i="13"/>
  <c r="H2242" i="15"/>
  <c r="I2249" i="13"/>
  <c r="J2242" i="15" s="1"/>
  <c r="I110" i="4"/>
  <c r="I111" i="4"/>
  <c r="D79" i="15"/>
  <c r="D80" i="14"/>
  <c r="K79" i="13"/>
  <c r="H79" i="13"/>
  <c r="G79" i="13"/>
  <c r="C698" i="10"/>
  <c r="G1014" i="5"/>
  <c r="H698" i="10" s="1"/>
  <c r="C568" i="10"/>
  <c r="D1844" i="15"/>
  <c r="D1845" i="14"/>
  <c r="K1851" i="13"/>
  <c r="H1851" i="13"/>
  <c r="G1851" i="13"/>
  <c r="D1846" i="15"/>
  <c r="D1847" i="14"/>
  <c r="K1853" i="13"/>
  <c r="H1853" i="13"/>
  <c r="G1853" i="13"/>
  <c r="D1818" i="15"/>
  <c r="D1819" i="14"/>
  <c r="K1825" i="13"/>
  <c r="H1825" i="13"/>
  <c r="G1825" i="13"/>
  <c r="D1796" i="13"/>
  <c r="E620" i="9"/>
  <c r="H272" i="15"/>
  <c r="I272" i="13"/>
  <c r="J272" i="15" s="1"/>
  <c r="I1628" i="15"/>
  <c r="F1629" i="14"/>
  <c r="D1553" i="13"/>
  <c r="C478" i="9"/>
  <c r="E433" i="9"/>
  <c r="J99" i="5"/>
  <c r="J105" i="5" s="1"/>
  <c r="C613" i="6" s="1"/>
  <c r="D220" i="7"/>
  <c r="F1085" i="5"/>
  <c r="F1086" i="5" s="1"/>
  <c r="C1460" i="5"/>
  <c r="D99" i="7"/>
  <c r="J219" i="7"/>
  <c r="D219" i="7"/>
  <c r="L105" i="5"/>
  <c r="I83" i="15"/>
  <c r="F84" i="14"/>
  <c r="C603" i="10"/>
  <c r="C1000" i="5"/>
  <c r="H1618" i="15"/>
  <c r="I1625" i="13"/>
  <c r="J1618" i="15" s="1"/>
  <c r="C544" i="10"/>
  <c r="D773" i="13"/>
  <c r="E2001" i="5"/>
  <c r="D1881" i="13"/>
  <c r="E2283" i="5"/>
  <c r="I1627" i="15"/>
  <c r="F1628" i="14"/>
  <c r="H758" i="15"/>
  <c r="I765" i="13"/>
  <c r="J758" i="15" s="1"/>
  <c r="H779" i="15"/>
  <c r="I786" i="13"/>
  <c r="J779" i="15" s="1"/>
  <c r="D190" i="13"/>
  <c r="E357" i="8"/>
  <c r="E424" i="8" s="1"/>
  <c r="C424" i="8"/>
  <c r="D230" i="13" s="1"/>
  <c r="D192" i="13"/>
  <c r="C426" i="8"/>
  <c r="D232" i="13" s="1"/>
  <c r="E359" i="8"/>
  <c r="E426" i="8" s="1"/>
  <c r="I2216" i="15"/>
  <c r="F2217" i="14"/>
  <c r="D1651" i="15"/>
  <c r="D1652" i="14"/>
  <c r="K1658" i="13"/>
  <c r="H1658" i="13"/>
  <c r="G1658" i="13"/>
  <c r="I945" i="15"/>
  <c r="F946" i="14"/>
  <c r="H1776" i="15"/>
  <c r="I1783" i="13"/>
  <c r="J1776" i="15" s="1"/>
  <c r="I1926" i="15"/>
  <c r="F1927" i="14"/>
  <c r="H809" i="15"/>
  <c r="I816" i="13"/>
  <c r="J809" i="15" s="1"/>
  <c r="G30" i="5"/>
  <c r="E30" i="5"/>
  <c r="J30" i="5" s="1"/>
  <c r="K30" i="5" s="1"/>
  <c r="L30" i="5" s="1"/>
  <c r="P30" i="5" s="1"/>
  <c r="G2496" i="13"/>
  <c r="J410" i="8"/>
  <c r="C409" i="8"/>
  <c r="C396" i="8"/>
  <c r="C227" i="4"/>
  <c r="C238" i="4"/>
  <c r="D136" i="13"/>
  <c r="L274" i="8"/>
  <c r="R207" i="4"/>
  <c r="J378" i="15"/>
  <c r="I378" i="15"/>
  <c r="D25" i="13"/>
  <c r="J598" i="8"/>
  <c r="L597" i="8"/>
  <c r="J600" i="8"/>
  <c r="J385" i="15"/>
  <c r="I385" i="15"/>
  <c r="H944" i="15"/>
  <c r="I951" i="13"/>
  <c r="J944" i="15" s="1"/>
  <c r="E806" i="15"/>
  <c r="G806" i="15" s="1"/>
  <c r="G813" i="13"/>
  <c r="C587" i="10"/>
  <c r="C984" i="5"/>
  <c r="C588" i="10"/>
  <c r="C985" i="5"/>
  <c r="C704" i="10"/>
  <c r="G1020" i="5"/>
  <c r="H704" i="10" s="1"/>
  <c r="H937" i="15"/>
  <c r="I944" i="13"/>
  <c r="J937" i="15" s="1"/>
  <c r="H792" i="15"/>
  <c r="I799" i="13"/>
  <c r="J792" i="15" s="1"/>
  <c r="I2214" i="15"/>
  <c r="F2215" i="14"/>
  <c r="H608" i="15"/>
  <c r="I615" i="13"/>
  <c r="J608" i="15" s="1"/>
  <c r="D2256" i="15"/>
  <c r="D2257" i="14"/>
  <c r="K2263" i="13"/>
  <c r="H2263" i="13"/>
  <c r="G2263" i="13"/>
  <c r="I801" i="15"/>
  <c r="F802" i="14"/>
  <c r="C705" i="10"/>
  <c r="G1021" i="5"/>
  <c r="H705" i="10" s="1"/>
  <c r="C573" i="10"/>
  <c r="C970" i="5"/>
  <c r="G508" i="5"/>
  <c r="H573" i="10" s="1"/>
  <c r="C608" i="10"/>
  <c r="C1005" i="5"/>
  <c r="I779" i="15"/>
  <c r="F780" i="14"/>
  <c r="H1813" i="15"/>
  <c r="I1820" i="13"/>
  <c r="J1813" i="15" s="1"/>
  <c r="H2170" i="15"/>
  <c r="I2177" i="13"/>
  <c r="J2170" i="15" s="1"/>
  <c r="I76" i="15"/>
  <c r="F77" i="14"/>
  <c r="I705" i="15"/>
  <c r="F706" i="14"/>
  <c r="K160" i="4"/>
  <c r="K161" i="4"/>
  <c r="P1195" i="5"/>
  <c r="O1197" i="5"/>
  <c r="P1197" i="5" s="1"/>
  <c r="C579" i="10"/>
  <c r="C976" i="5"/>
  <c r="G514" i="5"/>
  <c r="H579" i="10" s="1"/>
  <c r="C589" i="10"/>
  <c r="C986" i="5"/>
  <c r="D1103" i="5"/>
  <c r="L97" i="5"/>
  <c r="L99" i="5" s="1"/>
  <c r="H943" i="15"/>
  <c r="I950" i="13"/>
  <c r="J943" i="15" s="1"/>
  <c r="D1640" i="15"/>
  <c r="D1641" i="14"/>
  <c r="K1647" i="13"/>
  <c r="H1647" i="13"/>
  <c r="G1647" i="13"/>
  <c r="D1671" i="15"/>
  <c r="D1672" i="14"/>
  <c r="H1678" i="13"/>
  <c r="G1678" i="13"/>
  <c r="D1622" i="15"/>
  <c r="D1623" i="14"/>
  <c r="K1629" i="13"/>
  <c r="H1629" i="13"/>
  <c r="G1629" i="13"/>
  <c r="E682" i="10"/>
  <c r="G682" i="10" s="1"/>
  <c r="E578" i="5"/>
  <c r="D310" i="13"/>
  <c r="E1400" i="5"/>
  <c r="D1519" i="5"/>
  <c r="D1682" i="5"/>
  <c r="D1685" i="5" s="1"/>
  <c r="C476" i="6"/>
  <c r="D72" i="8"/>
  <c r="C263" i="8"/>
  <c r="J467" i="15"/>
  <c r="I467" i="15"/>
  <c r="D1330" i="15"/>
  <c r="D1331" i="14"/>
  <c r="K1337" i="13"/>
  <c r="H1337" i="13"/>
  <c r="G1337" i="13"/>
  <c r="I795" i="15"/>
  <c r="F796" i="14"/>
  <c r="C549" i="10"/>
  <c r="C558" i="10"/>
  <c r="G954" i="5"/>
  <c r="H558" i="10" s="1"/>
  <c r="C716" i="10"/>
  <c r="D260" i="13"/>
  <c r="E480" i="8"/>
  <c r="D258" i="13"/>
  <c r="E478" i="8"/>
  <c r="D263" i="13"/>
  <c r="E483" i="8"/>
  <c r="I2168" i="15"/>
  <c r="F2169" i="14"/>
  <c r="H887" i="15"/>
  <c r="I894" i="13"/>
  <c r="J887" i="15" s="1"/>
  <c r="C720" i="10"/>
  <c r="G1036" i="5"/>
  <c r="H720" i="10" s="1"/>
  <c r="H832" i="15"/>
  <c r="I839" i="13"/>
  <c r="J832" i="15" s="1"/>
  <c r="C574" i="10"/>
  <c r="C971" i="5"/>
  <c r="G509" i="5"/>
  <c r="H574" i="10" s="1"/>
  <c r="D1713" i="15"/>
  <c r="D1714" i="14"/>
  <c r="H1720" i="13"/>
  <c r="K1720" i="13"/>
  <c r="G1720" i="13"/>
  <c r="D782" i="15"/>
  <c r="D783" i="14"/>
  <c r="H789" i="13"/>
  <c r="G789" i="13"/>
  <c r="D745" i="15"/>
  <c r="D746" i="14"/>
  <c r="H752" i="13"/>
  <c r="G752" i="13"/>
  <c r="H1656" i="15"/>
  <c r="I1663" i="13"/>
  <c r="J1656" i="15" s="1"/>
  <c r="C545" i="10"/>
  <c r="C539" i="10"/>
  <c r="G935" i="5"/>
  <c r="H539" i="10" s="1"/>
  <c r="M101" i="4"/>
  <c r="M102" i="4" s="1"/>
  <c r="E420" i="10"/>
  <c r="G420" i="10" s="1"/>
  <c r="E436" i="5"/>
  <c r="G435" i="5"/>
  <c r="H420" i="10" s="1"/>
  <c r="D1814" i="15"/>
  <c r="D1815" i="14"/>
  <c r="K1821" i="13"/>
  <c r="H1821" i="13"/>
  <c r="G1821" i="13"/>
  <c r="D29" i="13"/>
  <c r="L601" i="8"/>
  <c r="D753" i="15"/>
  <c r="D754" i="14"/>
  <c r="K760" i="13"/>
  <c r="H760" i="13"/>
  <c r="G760" i="13"/>
  <c r="D1768" i="13"/>
  <c r="E592" i="9"/>
  <c r="C594" i="9"/>
  <c r="H2157" i="15"/>
  <c r="I2164" i="13"/>
  <c r="J2157" i="15" s="1"/>
  <c r="H1898" i="15"/>
  <c r="I1905" i="13"/>
  <c r="J1898" i="15" s="1"/>
  <c r="H793" i="15"/>
  <c r="I800" i="13"/>
  <c r="J793" i="15" s="1"/>
  <c r="H994" i="15"/>
  <c r="I1001" i="13"/>
  <c r="J994" i="15" s="1"/>
  <c r="H1547" i="15"/>
  <c r="I1554" i="13"/>
  <c r="J1547" i="15" s="1"/>
  <c r="J434" i="15"/>
  <c r="I434" i="15"/>
  <c r="D1940" i="13"/>
  <c r="J401" i="6"/>
  <c r="E401" i="6"/>
  <c r="I723" i="15"/>
  <c r="F724" i="14"/>
  <c r="O180" i="4"/>
  <c r="O77" i="4"/>
  <c r="C578" i="10"/>
  <c r="C975" i="5"/>
  <c r="G513" i="5"/>
  <c r="H578" i="10" s="1"/>
  <c r="H2217" i="15"/>
  <c r="I2224" i="13"/>
  <c r="J2217" i="15" s="1"/>
  <c r="I420" i="15"/>
  <c r="J420" i="15"/>
  <c r="I69" i="15"/>
  <c r="F70" i="14"/>
  <c r="I1811" i="15"/>
  <c r="F1812" i="14"/>
  <c r="I275" i="15"/>
  <c r="F276" i="14"/>
  <c r="D1630" i="15"/>
  <c r="D1631" i="14"/>
  <c r="K1637" i="13"/>
  <c r="H1637" i="13"/>
  <c r="G1637" i="13"/>
  <c r="D1950" i="15"/>
  <c r="D1951" i="14"/>
  <c r="H1957" i="13"/>
  <c r="G1957" i="13"/>
  <c r="H803" i="15"/>
  <c r="I810" i="13"/>
  <c r="J803" i="15" s="1"/>
  <c r="J383" i="15"/>
  <c r="I383" i="15"/>
  <c r="C591" i="10"/>
  <c r="C988" i="5"/>
  <c r="C601" i="10"/>
  <c r="C998" i="5"/>
  <c r="G536" i="5"/>
  <c r="H601" i="10" s="1"/>
  <c r="D765" i="15"/>
  <c r="D766" i="14"/>
  <c r="H772" i="13"/>
  <c r="K772" i="13"/>
  <c r="D1877" i="13"/>
  <c r="E2279" i="5"/>
  <c r="D1878" i="13"/>
  <c r="E2280" i="5"/>
  <c r="D1927" i="13"/>
  <c r="M2290" i="5"/>
  <c r="D1900" i="13"/>
  <c r="E2302" i="5"/>
  <c r="H1881" i="15"/>
  <c r="I1888" i="13"/>
  <c r="J1881" i="15" s="1"/>
  <c r="I809" i="15"/>
  <c r="F810" i="14"/>
  <c r="J411" i="15"/>
  <c r="I411" i="15"/>
  <c r="H770" i="15"/>
  <c r="H265" i="15"/>
  <c r="I265" i="13"/>
  <c r="J265" i="15" s="1"/>
  <c r="H940" i="15"/>
  <c r="I947" i="13"/>
  <c r="J940" i="15" s="1"/>
  <c r="H2428" i="15"/>
  <c r="I2436" i="13"/>
  <c r="J2428" i="15" s="1"/>
  <c r="H1930" i="15"/>
  <c r="I1937" i="13"/>
  <c r="J1930" i="15" s="1"/>
  <c r="D1439" i="13"/>
  <c r="E290" i="9"/>
  <c r="D1417" i="13"/>
  <c r="C310" i="9"/>
  <c r="E268" i="9"/>
  <c r="D1441" i="13"/>
  <c r="E292" i="9"/>
  <c r="D1476" i="13"/>
  <c r="L276" i="9"/>
  <c r="D1451" i="13"/>
  <c r="E302" i="9"/>
  <c r="D2240" i="15"/>
  <c r="D2241" i="14"/>
  <c r="H2247" i="13"/>
  <c r="G2247" i="13"/>
  <c r="C561" i="10"/>
  <c r="G957" i="5"/>
  <c r="H561" i="10" s="1"/>
  <c r="C611" i="10"/>
  <c r="C1008" i="5"/>
  <c r="C555" i="10"/>
  <c r="G951" i="5"/>
  <c r="H555" i="10" s="1"/>
  <c r="P135" i="4"/>
  <c r="P163" i="4" s="1"/>
  <c r="O135" i="4"/>
  <c r="O163" i="4" s="1"/>
  <c r="N135" i="4"/>
  <c r="N163" i="4" s="1"/>
  <c r="M163" i="4"/>
  <c r="C1098" i="5"/>
  <c r="L92" i="5"/>
  <c r="K91" i="5"/>
  <c r="I1858" i="15"/>
  <c r="F1859" i="14"/>
  <c r="I290" i="15"/>
  <c r="F291" i="14"/>
  <c r="D1650" i="15"/>
  <c r="D1651" i="14"/>
  <c r="K1657" i="13"/>
  <c r="H1657" i="13"/>
  <c r="G1657" i="13"/>
  <c r="D1665" i="15"/>
  <c r="D1666" i="14"/>
  <c r="H1672" i="13"/>
  <c r="G1672" i="13"/>
  <c r="D1721" i="15"/>
  <c r="D1722" i="14"/>
  <c r="H1728" i="13"/>
  <c r="K1728" i="13"/>
  <c r="G1728" i="13"/>
  <c r="D2373" i="15"/>
  <c r="K2380" i="13"/>
  <c r="H2380" i="13"/>
  <c r="I590" i="15"/>
  <c r="F591" i="14"/>
  <c r="I291" i="15"/>
  <c r="F292" i="14"/>
  <c r="D1876" i="15"/>
  <c r="D1877" i="14"/>
  <c r="K1883" i="13"/>
  <c r="H1883" i="13"/>
  <c r="G1883" i="13"/>
  <c r="D1563" i="13"/>
  <c r="J444" i="9"/>
  <c r="E443" i="9"/>
  <c r="D1799" i="13"/>
  <c r="L576" i="9"/>
  <c r="D1517" i="13"/>
  <c r="E379" i="9"/>
  <c r="D1506" i="15"/>
  <c r="D1507" i="14"/>
  <c r="K1513" i="13"/>
  <c r="H1513" i="13"/>
  <c r="G1513" i="13"/>
  <c r="G577" i="5"/>
  <c r="H682" i="10" s="1"/>
  <c r="C593" i="10"/>
  <c r="C990" i="5"/>
  <c r="H783" i="15"/>
  <c r="I790" i="13"/>
  <c r="J783" i="15" s="1"/>
  <c r="I2171" i="15"/>
  <c r="F2172" i="14"/>
  <c r="H1270" i="15"/>
  <c r="F1271" i="14"/>
  <c r="I1277" i="13"/>
  <c r="J1270" i="15" s="1"/>
  <c r="H772" i="15"/>
  <c r="H1891" i="15"/>
  <c r="I1898" i="13"/>
  <c r="J1891" i="15" s="1"/>
  <c r="D1848" i="15"/>
  <c r="D1849" i="14"/>
  <c r="K1855" i="13"/>
  <c r="H1855" i="13"/>
  <c r="G1855" i="13"/>
  <c r="D1854" i="15"/>
  <c r="D1855" i="14"/>
  <c r="H1861" i="13"/>
  <c r="G1861" i="13"/>
  <c r="O1184" i="5"/>
  <c r="Q1184" i="5" s="1"/>
  <c r="Q1182" i="5"/>
  <c r="D1864" i="15"/>
  <c r="D1865" i="14"/>
  <c r="H1871" i="13"/>
  <c r="G1871" i="13"/>
  <c r="D1862" i="15"/>
  <c r="D1863" i="14"/>
  <c r="H1869" i="13"/>
  <c r="G1869" i="13"/>
  <c r="C1095" i="5"/>
  <c r="F1095" i="5" s="1"/>
  <c r="C1093" i="5"/>
  <c r="I938" i="15"/>
  <c r="F939" i="14"/>
  <c r="E152" i="10"/>
  <c r="G152" i="10" s="1"/>
  <c r="E317" i="5"/>
  <c r="G316" i="5"/>
  <c r="H179" i="10" s="1"/>
  <c r="D1958" i="13"/>
  <c r="L397" i="6"/>
  <c r="H80" i="15"/>
  <c r="I80" i="13"/>
  <c r="J80" i="15" s="1"/>
  <c r="D91" i="15"/>
  <c r="D92" i="14"/>
  <c r="H91" i="13"/>
  <c r="G91" i="13"/>
  <c r="C595" i="10"/>
  <c r="C992" i="5"/>
  <c r="I465" i="15"/>
  <c r="J465" i="15"/>
  <c r="D1670" i="13"/>
  <c r="L512" i="9"/>
  <c r="L551" i="9" s="1"/>
  <c r="B553" i="9" s="1"/>
  <c r="J111" i="4"/>
  <c r="H1004" i="15"/>
  <c r="I1011" i="13"/>
  <c r="J1004" i="15" s="1"/>
  <c r="D720" i="13"/>
  <c r="E1786" i="5"/>
  <c r="C1830" i="5"/>
  <c r="C1787" i="5"/>
  <c r="J1786" i="5" s="1"/>
  <c r="D1742" i="13"/>
  <c r="L221" i="4"/>
  <c r="I1471" i="15"/>
  <c r="F1472" i="14"/>
  <c r="D1857" i="15"/>
  <c r="D1858" i="14"/>
  <c r="H1864" i="13"/>
  <c r="G1864" i="13"/>
  <c r="C1285" i="5"/>
  <c r="C565" i="9" s="1"/>
  <c r="D1273" i="5"/>
  <c r="C1286" i="5" s="1"/>
  <c r="AK74" i="5"/>
  <c r="K136" i="4"/>
  <c r="J136" i="4"/>
  <c r="I136" i="4"/>
  <c r="L196" i="4"/>
  <c r="H1536" i="15"/>
  <c r="I1543" i="13"/>
  <c r="J1536" i="15" s="1"/>
  <c r="D834" i="15"/>
  <c r="D835" i="14"/>
  <c r="K841" i="13"/>
  <c r="H841" i="13"/>
  <c r="H550" i="15"/>
  <c r="I557" i="13"/>
  <c r="J550" i="15" s="1"/>
  <c r="D1425" i="13"/>
  <c r="J275" i="9"/>
  <c r="E276" i="9"/>
  <c r="H95" i="15"/>
  <c r="I95" i="13"/>
  <c r="J95" i="15" s="1"/>
  <c r="D2224" i="15"/>
  <c r="D2225" i="14"/>
  <c r="H2231" i="13"/>
  <c r="K2231" i="13"/>
  <c r="G2231" i="13"/>
  <c r="D1606" i="15"/>
  <c r="D1607" i="14"/>
  <c r="H1613" i="13"/>
  <c r="G1613" i="13"/>
  <c r="C597" i="10"/>
  <c r="C994" i="5"/>
  <c r="G532" i="5"/>
  <c r="H597" i="10" s="1"/>
  <c r="E871" i="15"/>
  <c r="G871" i="15" s="1"/>
  <c r="I1620" i="15"/>
  <c r="F1621" i="14"/>
  <c r="H868" i="15"/>
  <c r="I875" i="13"/>
  <c r="J868" i="15" s="1"/>
  <c r="I709" i="15"/>
  <c r="F710" i="14"/>
  <c r="I1655" i="15"/>
  <c r="F1656" i="14"/>
  <c r="H850" i="15"/>
  <c r="I857" i="13"/>
  <c r="J850" i="15" s="1"/>
  <c r="I82" i="15"/>
  <c r="F83" i="14"/>
  <c r="C607" i="10"/>
  <c r="C1004" i="5"/>
  <c r="C551" i="10"/>
  <c r="H2169" i="15"/>
  <c r="I2176" i="13"/>
  <c r="J2169" i="15" s="1"/>
  <c r="I295" i="15"/>
  <c r="F296" i="14"/>
  <c r="D107" i="13"/>
  <c r="E665" i="8"/>
  <c r="J495" i="15"/>
  <c r="I495" i="15"/>
  <c r="D1338" i="13"/>
  <c r="E648" i="9"/>
  <c r="I730" i="15"/>
  <c r="F731" i="14"/>
  <c r="E2004" i="5"/>
  <c r="H1619" i="15"/>
  <c r="I1626" i="13"/>
  <c r="J1619" i="15" s="1"/>
  <c r="I790" i="15"/>
  <c r="F791" i="14"/>
  <c r="D47" i="13"/>
  <c r="C625" i="8"/>
  <c r="E624" i="8"/>
  <c r="D16" i="13"/>
  <c r="J603" i="8"/>
  <c r="E599" i="8"/>
  <c r="C576" i="10"/>
  <c r="G511" i="5"/>
  <c r="H576" i="10" s="1"/>
  <c r="C973" i="5"/>
  <c r="C702" i="10"/>
  <c r="G1018" i="5"/>
  <c r="H702" i="10" s="1"/>
  <c r="C703" i="10"/>
  <c r="G1019" i="5"/>
  <c r="H703" i="10" s="1"/>
  <c r="C728" i="10"/>
  <c r="J382" i="15"/>
  <c r="I382" i="15"/>
  <c r="D1886" i="13"/>
  <c r="E2288" i="5"/>
  <c r="H789" i="15"/>
  <c r="I796" i="13"/>
  <c r="J789" i="15" s="1"/>
  <c r="D104" i="15"/>
  <c r="D105" i="14"/>
  <c r="H104" i="13"/>
  <c r="K104" i="13"/>
  <c r="G104" i="13"/>
  <c r="I807" i="15"/>
  <c r="F808" i="14"/>
  <c r="H176" i="15"/>
  <c r="F177" i="14"/>
  <c r="I176" i="13"/>
  <c r="J176" i="15" s="1"/>
  <c r="H605" i="15"/>
  <c r="I612" i="13"/>
  <c r="J605" i="15" s="1"/>
  <c r="G772" i="13"/>
  <c r="I2242" i="15"/>
  <c r="F2243" i="14"/>
  <c r="D1880" i="15"/>
  <c r="D1881" i="14"/>
  <c r="K1887" i="13"/>
  <c r="H1887" i="13"/>
  <c r="G1887" i="13"/>
  <c r="I160" i="4"/>
  <c r="I161" i="4"/>
  <c r="D1801" i="15"/>
  <c r="D1802" i="14"/>
  <c r="H1808" i="13"/>
  <c r="G1808" i="13"/>
  <c r="D1948" i="15"/>
  <c r="D1949" i="14"/>
  <c r="H1955" i="13"/>
  <c r="G1955" i="13"/>
  <c r="D1384" i="15"/>
  <c r="D1385" i="14"/>
  <c r="H1391" i="13"/>
  <c r="G1391" i="13"/>
  <c r="E21" i="10"/>
  <c r="E186" i="5"/>
  <c r="F185" i="5"/>
  <c r="G185" i="5" s="1"/>
  <c r="H48" i="10" s="1"/>
  <c r="I2225" i="15"/>
  <c r="F2226" i="14"/>
  <c r="C583" i="10"/>
  <c r="C980" i="5"/>
  <c r="G518" i="5"/>
  <c r="H583" i="10" s="1"/>
  <c r="C584" i="10"/>
  <c r="G519" i="5"/>
  <c r="H584" i="10" s="1"/>
  <c r="C981" i="5"/>
  <c r="C609" i="10"/>
  <c r="C1006" i="5"/>
  <c r="D1842" i="13"/>
  <c r="E2161" i="5"/>
  <c r="D1753" i="13"/>
  <c r="C618" i="9"/>
  <c r="E577" i="9"/>
  <c r="E479" i="10"/>
  <c r="G479" i="10" s="1"/>
  <c r="E916" i="5"/>
  <c r="D1579" i="13"/>
  <c r="E459" i="9"/>
  <c r="C562" i="10"/>
  <c r="C604" i="10"/>
  <c r="C1001" i="5"/>
  <c r="I231" i="15"/>
  <c r="F232" i="14"/>
  <c r="I1618" i="15"/>
  <c r="F1619" i="14"/>
  <c r="H996" i="15"/>
  <c r="I1003" i="13"/>
  <c r="J996" i="15" s="1"/>
  <c r="H1859" i="15"/>
  <c r="I1866" i="13"/>
  <c r="J1859" i="15" s="1"/>
  <c r="C585" i="10"/>
  <c r="C982" i="5"/>
  <c r="G520" i="5"/>
  <c r="H585" i="10" s="1"/>
  <c r="D780" i="15"/>
  <c r="D781" i="14"/>
  <c r="H787" i="13"/>
  <c r="I787" i="13" s="1"/>
  <c r="J780" i="15" s="1"/>
  <c r="D208" i="13"/>
  <c r="L356" i="8"/>
  <c r="J422" i="8"/>
  <c r="C638" i="9"/>
  <c r="E543" i="10"/>
  <c r="G543" i="10" s="1"/>
  <c r="E940" i="5"/>
  <c r="F1055" i="5"/>
  <c r="F1066" i="5"/>
  <c r="K111" i="5" s="1"/>
  <c r="F1065" i="5"/>
  <c r="F1064" i="5"/>
  <c r="F1056" i="5"/>
  <c r="C83" i="5"/>
  <c r="Q102" i="5" s="1"/>
  <c r="I720" i="15"/>
  <c r="F721" i="14"/>
  <c r="H945" i="15"/>
  <c r="I952" i="13"/>
  <c r="J945" i="15" s="1"/>
  <c r="O46" i="5"/>
  <c r="C534" i="10"/>
  <c r="G930" i="5"/>
  <c r="H534" i="10" s="1"/>
  <c r="H820" i="15"/>
  <c r="I827" i="13"/>
  <c r="J820" i="15" s="1"/>
  <c r="D126" i="13"/>
  <c r="J276" i="8"/>
  <c r="C273" i="8"/>
  <c r="E272" i="8"/>
  <c r="C275" i="8"/>
  <c r="D1889" i="13"/>
  <c r="E2291" i="5"/>
  <c r="C220" i="4"/>
  <c r="J219" i="4"/>
  <c r="D27" i="15"/>
  <c r="D28" i="14"/>
  <c r="H27" i="13"/>
  <c r="G27" i="13"/>
  <c r="H1830" i="15"/>
  <c r="I1837" i="13"/>
  <c r="J1830" i="15" s="1"/>
  <c r="H1710" i="15"/>
  <c r="I1717" i="13"/>
  <c r="J1710" i="15" s="1"/>
  <c r="H1548" i="15"/>
  <c r="I1555" i="13"/>
  <c r="J1548" i="15" s="1"/>
  <c r="I1710" i="15"/>
  <c r="F1711" i="14"/>
  <c r="E266" i="10"/>
  <c r="F692" i="5"/>
  <c r="F266" i="10" s="1"/>
  <c r="H813" i="15"/>
  <c r="I820" i="13"/>
  <c r="J813" i="15" s="1"/>
  <c r="D15" i="13"/>
  <c r="E598" i="8"/>
  <c r="D756" i="15"/>
  <c r="D757" i="14"/>
  <c r="K763" i="13"/>
  <c r="H763" i="13"/>
  <c r="G763" i="13"/>
  <c r="I1548" i="15"/>
  <c r="F1549" i="14"/>
  <c r="H2380" i="15"/>
  <c r="I2387" i="13"/>
  <c r="J2380" i="15" s="1"/>
  <c r="H663" i="15"/>
  <c r="I670" i="13"/>
  <c r="J663" i="15" s="1"/>
  <c r="G657" i="5"/>
  <c r="H231" i="10" s="1"/>
  <c r="G231" i="10"/>
  <c r="D1654" i="15"/>
  <c r="D1655" i="14"/>
  <c r="K1661" i="13"/>
  <c r="H1661" i="13"/>
  <c r="G1661" i="13"/>
  <c r="I813" i="15"/>
  <c r="F814" i="14"/>
  <c r="I758" i="15"/>
  <c r="F759" i="14"/>
  <c r="H111" i="4"/>
  <c r="D2252" i="15"/>
  <c r="D2253" i="14"/>
  <c r="K2259" i="13"/>
  <c r="H2259" i="13"/>
  <c r="G2259" i="13"/>
  <c r="C546" i="10"/>
  <c r="C726" i="10"/>
  <c r="C547" i="10"/>
  <c r="I937" i="15"/>
  <c r="F938" i="14"/>
  <c r="L107" i="5"/>
  <c r="D181" i="7"/>
  <c r="D197" i="7"/>
  <c r="C1462" i="5"/>
  <c r="D200" i="7"/>
  <c r="D179" i="7"/>
  <c r="D178" i="7"/>
  <c r="F1090" i="5"/>
  <c r="D199" i="7"/>
  <c r="D180" i="7"/>
  <c r="D182" i="7"/>
  <c r="D177" i="7"/>
  <c r="D223" i="7"/>
  <c r="D196" i="7"/>
  <c r="J223" i="7"/>
  <c r="D224" i="7"/>
  <c r="D212" i="7"/>
  <c r="D206" i="7"/>
  <c r="D209" i="7"/>
  <c r="D208" i="7"/>
  <c r="D211" i="7"/>
  <c r="D205" i="7"/>
  <c r="D202" i="7"/>
  <c r="D203" i="7"/>
  <c r="D204" i="7"/>
  <c r="D210" i="7"/>
  <c r="D207" i="7"/>
  <c r="D213" i="7"/>
  <c r="H1877" i="15"/>
  <c r="I1884" i="13"/>
  <c r="J1877" i="15" s="1"/>
  <c r="I608" i="15"/>
  <c r="F609" i="14"/>
  <c r="H1629" i="15"/>
  <c r="I1636" i="13"/>
  <c r="J1629" i="15" s="1"/>
  <c r="D1964" i="13"/>
  <c r="L403" i="6"/>
  <c r="H191" i="15"/>
  <c r="I191" i="13"/>
  <c r="J191" i="15" s="1"/>
  <c r="C532" i="10"/>
  <c r="G928" i="5"/>
  <c r="H532" i="10" s="1"/>
  <c r="C567" i="10"/>
  <c r="I866" i="15"/>
  <c r="F867" i="14"/>
  <c r="I1813" i="15"/>
  <c r="F1814" i="14"/>
  <c r="D102" i="15"/>
  <c r="D103" i="14"/>
  <c r="H102" i="13"/>
  <c r="K102" i="13"/>
  <c r="G102" i="13"/>
  <c r="I412" i="15"/>
  <c r="J412" i="15"/>
  <c r="H816" i="15"/>
  <c r="I823" i="13"/>
  <c r="J816" i="15" s="1"/>
  <c r="D211" i="13"/>
  <c r="L359" i="8"/>
  <c r="J425" i="8"/>
  <c r="H94" i="15"/>
  <c r="I94" i="13"/>
  <c r="J94" i="15" s="1"/>
  <c r="L103" i="5"/>
  <c r="K102" i="5"/>
  <c r="H738" i="10"/>
  <c r="G595" i="5"/>
  <c r="H742" i="10" s="1"/>
  <c r="C665" i="9"/>
  <c r="C661" i="9"/>
  <c r="I2221" i="15"/>
  <c r="F2222" i="14"/>
  <c r="C538" i="10"/>
  <c r="G934" i="5"/>
  <c r="H538" i="10" s="1"/>
  <c r="C718" i="10"/>
  <c r="C719" i="10"/>
  <c r="G1035" i="5"/>
  <c r="H719" i="10" s="1"/>
  <c r="D1099" i="5"/>
  <c r="F1099" i="5" s="1"/>
  <c r="K97" i="5"/>
  <c r="I943" i="15"/>
  <c r="F944" i="14"/>
  <c r="H96" i="15"/>
  <c r="I96" i="13"/>
  <c r="J96" i="15" s="1"/>
  <c r="D650" i="15"/>
  <c r="D651" i="14"/>
  <c r="H657" i="13"/>
  <c r="G657" i="13"/>
  <c r="D304" i="13"/>
  <c r="E1394" i="5"/>
  <c r="C1395" i="5"/>
  <c r="E618" i="6"/>
  <c r="E621" i="6" s="1"/>
  <c r="C595" i="6"/>
  <c r="Q43" i="5"/>
  <c r="Q46" i="5" s="1"/>
  <c r="I46" i="5"/>
  <c r="J47" i="5" s="1"/>
  <c r="L43" i="5"/>
  <c r="L46" i="5" s="1"/>
  <c r="L48" i="5" s="1"/>
  <c r="G1535" i="5" s="1"/>
  <c r="L1466" i="5"/>
  <c r="D2226" i="15"/>
  <c r="D2227" i="14"/>
  <c r="H2233" i="13"/>
  <c r="K2233" i="13"/>
  <c r="G2233" i="13"/>
  <c r="D1607" i="15"/>
  <c r="D1608" i="14"/>
  <c r="H1614" i="13"/>
  <c r="G1614" i="13"/>
  <c r="D285" i="13"/>
  <c r="L480" i="8"/>
  <c r="D286" i="13"/>
  <c r="L481" i="8"/>
  <c r="D268" i="13"/>
  <c r="E488" i="8"/>
  <c r="D289" i="13"/>
  <c r="L484" i="8"/>
  <c r="I887" i="15"/>
  <c r="F888" i="14"/>
  <c r="C355" i="8"/>
  <c r="C356" i="8"/>
  <c r="J355" i="8"/>
  <c r="C388" i="8"/>
  <c r="E640" i="10"/>
  <c r="G640" i="10" s="1"/>
  <c r="E997" i="5"/>
  <c r="E747" i="10"/>
  <c r="C1452" i="5"/>
  <c r="C1470" i="5" s="1"/>
  <c r="I832" i="15"/>
  <c r="F833" i="14"/>
  <c r="I1490" i="15"/>
  <c r="F1491" i="14"/>
  <c r="H807" i="15"/>
  <c r="I814" i="13"/>
  <c r="J807" i="15" s="1"/>
  <c r="D819" i="15"/>
  <c r="D820" i="14"/>
  <c r="H826" i="13"/>
  <c r="G826" i="13"/>
  <c r="H2172" i="13"/>
  <c r="I1656" i="15"/>
  <c r="F1657" i="14"/>
  <c r="H739" i="15"/>
  <c r="I746" i="13"/>
  <c r="J739" i="15" s="1"/>
  <c r="D1662" i="15"/>
  <c r="D1663" i="14"/>
  <c r="H1669" i="13"/>
  <c r="G1669" i="13"/>
  <c r="C732" i="10"/>
  <c r="D19" i="13"/>
  <c r="E602" i="8"/>
  <c r="I468" i="13"/>
  <c r="I1898" i="15"/>
  <c r="F1899" i="14"/>
  <c r="I457" i="15"/>
  <c r="J457" i="15"/>
  <c r="I695" i="15"/>
  <c r="F696" i="14"/>
  <c r="I994" i="15"/>
  <c r="F995" i="14"/>
  <c r="I1547" i="15"/>
  <c r="F1548" i="14"/>
  <c r="E708" i="10"/>
  <c r="G708" i="10" s="1"/>
  <c r="E1025" i="5"/>
  <c r="G1025" i="5" s="1"/>
  <c r="H709" i="10" s="1"/>
  <c r="D1715" i="15"/>
  <c r="D1716" i="14"/>
  <c r="H1722" i="13"/>
  <c r="K1722" i="13"/>
  <c r="G1722" i="13"/>
  <c r="D1931" i="15"/>
  <c r="D1932" i="14"/>
  <c r="K1938" i="13"/>
  <c r="H1938" i="13"/>
  <c r="G1938" i="13"/>
  <c r="I2223" i="15"/>
  <c r="F2224" i="14"/>
  <c r="D2253" i="15"/>
  <c r="D2254" i="14"/>
  <c r="K2260" i="13"/>
  <c r="H2260" i="13"/>
  <c r="G2260" i="13"/>
  <c r="C610" i="10"/>
  <c r="C1007" i="5"/>
  <c r="C540" i="10"/>
  <c r="G936" i="5"/>
  <c r="H540" i="10" s="1"/>
  <c r="I2217" i="15"/>
  <c r="F2218" i="14"/>
  <c r="I934" i="15"/>
  <c r="F935" i="14"/>
  <c r="H311" i="15"/>
  <c r="I311" i="13"/>
  <c r="J311" i="15" s="1"/>
  <c r="H2254" i="15"/>
  <c r="I2261" i="13"/>
  <c r="J2254" i="15" s="1"/>
  <c r="H1605" i="15"/>
  <c r="I1612" i="13"/>
  <c r="J1605" i="15" s="1"/>
  <c r="C541" i="10"/>
  <c r="G937" i="5"/>
  <c r="H541" i="10" s="1"/>
  <c r="C550" i="10"/>
  <c r="C730" i="10"/>
  <c r="H2487" i="15"/>
  <c r="I2495" i="13"/>
  <c r="J2487" i="15" s="1"/>
  <c r="D1911" i="13"/>
  <c r="E2313" i="5"/>
  <c r="D1924" i="13"/>
  <c r="M2287" i="5"/>
  <c r="D1902" i="13"/>
  <c r="E2304" i="5"/>
  <c r="D1901" i="13"/>
  <c r="E2303" i="5"/>
  <c r="D1912" i="13"/>
  <c r="E2314" i="5"/>
  <c r="N100" i="4"/>
  <c r="N103" i="4"/>
  <c r="I1881" i="15"/>
  <c r="F1882" i="14"/>
  <c r="H319" i="15"/>
  <c r="I319" i="13"/>
  <c r="J319" i="15" s="1"/>
  <c r="H867" i="15"/>
  <c r="I874" i="13"/>
  <c r="J867" i="15" s="1"/>
  <c r="D101" i="15"/>
  <c r="D102" i="14"/>
  <c r="H101" i="13"/>
  <c r="K101" i="13"/>
  <c r="G101" i="13"/>
  <c r="I997" i="15"/>
  <c r="F998" i="14"/>
  <c r="D1534" i="15"/>
  <c r="D1535" i="14"/>
  <c r="H1541" i="13"/>
  <c r="G1541" i="13"/>
  <c r="D1709" i="15"/>
  <c r="D1710" i="14"/>
  <c r="H1716" i="13"/>
  <c r="K1716" i="13"/>
  <c r="G1716" i="13"/>
  <c r="I1930" i="15"/>
  <c r="F1931" i="14"/>
  <c r="D1446" i="13"/>
  <c r="E297" i="9"/>
  <c r="J277" i="9"/>
  <c r="D1424" i="13"/>
  <c r="E275" i="9"/>
  <c r="J274" i="9"/>
  <c r="D1461" i="13"/>
  <c r="E312" i="9"/>
  <c r="D1426" i="13"/>
  <c r="E277" i="9"/>
  <c r="J160" i="4"/>
  <c r="J161" i="4"/>
  <c r="C570" i="10"/>
  <c r="D1690" i="13"/>
  <c r="E218" i="4"/>
  <c r="E626" i="10"/>
  <c r="G626" i="10" s="1"/>
  <c r="E983" i="5"/>
  <c r="E503" i="10"/>
  <c r="G503" i="10" s="1"/>
  <c r="E479" i="5"/>
  <c r="J437" i="15"/>
  <c r="I437" i="15"/>
  <c r="D108" i="15"/>
  <c r="D109" i="14"/>
  <c r="H108" i="13"/>
  <c r="K108" i="13"/>
  <c r="G108" i="13"/>
  <c r="H2427" i="15"/>
  <c r="I2435" i="13"/>
  <c r="J2427" i="15" s="1"/>
  <c r="H802" i="15"/>
  <c r="I809" i="13"/>
  <c r="J802" i="15" s="1"/>
  <c r="D1776" i="13"/>
  <c r="E600" i="9"/>
  <c r="D1774" i="13"/>
  <c r="E598" i="9"/>
  <c r="D78" i="15"/>
  <c r="D79" i="14"/>
  <c r="K78" i="13"/>
  <c r="H78" i="13"/>
  <c r="G78" i="13"/>
  <c r="D1518" i="13"/>
  <c r="E380" i="9"/>
  <c r="H1633" i="15"/>
  <c r="I1640" i="13"/>
  <c r="J1633" i="15" s="1"/>
  <c r="I1891" i="15"/>
  <c r="F1892" i="14"/>
  <c r="O2180" i="5"/>
  <c r="B2182" i="5" s="1"/>
  <c r="D32" i="13"/>
  <c r="L604" i="8"/>
  <c r="W30" i="5"/>
  <c r="R30" i="5"/>
  <c r="I384" i="15"/>
  <c r="J384" i="15"/>
  <c r="H2251" i="15"/>
  <c r="I2258" i="13"/>
  <c r="J2251" i="15" s="1"/>
  <c r="D1582" i="15"/>
  <c r="D1583" i="14"/>
  <c r="K1589" i="13"/>
  <c r="H1589" i="13"/>
  <c r="G1589" i="13"/>
  <c r="C553" i="10"/>
  <c r="H796" i="15"/>
  <c r="I803" i="13"/>
  <c r="J796" i="15" s="1"/>
  <c r="H2379" i="15"/>
  <c r="I2386" i="13"/>
  <c r="J2379" i="15" s="1"/>
  <c r="D1929" i="15"/>
  <c r="D1930" i="14"/>
  <c r="K1936" i="13"/>
  <c r="H1936" i="13"/>
  <c r="G1936" i="13"/>
  <c r="H1634" i="15"/>
  <c r="I1641" i="13"/>
  <c r="J1634" i="15" s="1"/>
  <c r="I80" i="15"/>
  <c r="F81" i="14"/>
  <c r="I820" i="15"/>
  <c r="F821" i="14"/>
  <c r="K96" i="5"/>
  <c r="K99" i="5" s="1"/>
  <c r="D1097" i="5"/>
  <c r="E461" i="10"/>
  <c r="G461" i="10" s="1"/>
  <c r="E898" i="5"/>
  <c r="I869" i="15"/>
  <c r="F870" i="14"/>
  <c r="C554" i="10"/>
  <c r="C734" i="10"/>
  <c r="I1311" i="15"/>
  <c r="F1312" i="14"/>
  <c r="D118" i="13"/>
  <c r="L663" i="8"/>
  <c r="D1671" i="13"/>
  <c r="L513" i="9"/>
  <c r="I1492" i="15"/>
  <c r="F1493" i="14"/>
  <c r="C606" i="10"/>
  <c r="C1003" i="5"/>
  <c r="I882" i="15"/>
  <c r="F883" i="14"/>
  <c r="P136" i="4"/>
  <c r="O136" i="4"/>
  <c r="N136" i="4"/>
  <c r="I1536" i="15"/>
  <c r="F1537" i="14"/>
  <c r="D1712" i="15"/>
  <c r="D1713" i="14"/>
  <c r="H1719" i="13"/>
  <c r="K1719" i="13"/>
  <c r="G1719" i="13"/>
  <c r="H880" i="15"/>
  <c r="I887" i="13"/>
  <c r="J880" i="15" s="1"/>
  <c r="D1961" i="13"/>
  <c r="L400" i="6"/>
  <c r="H1617" i="15"/>
  <c r="I1624" i="13"/>
  <c r="J1617" i="15" s="1"/>
  <c r="H1000" i="15"/>
  <c r="I1007" i="13"/>
  <c r="J1000" i="15" s="1"/>
  <c r="D1416" i="13"/>
  <c r="E267" i="9"/>
  <c r="J413" i="15"/>
  <c r="I413" i="15"/>
  <c r="I95" i="15"/>
  <c r="F96" i="14"/>
  <c r="I1001" i="15"/>
  <c r="F1002" i="14"/>
  <c r="D752" i="15"/>
  <c r="D753" i="14"/>
  <c r="K759" i="13"/>
  <c r="H759" i="13"/>
  <c r="G759" i="13"/>
  <c r="I850" i="15"/>
  <c r="F851" i="14"/>
  <c r="F832" i="10"/>
  <c r="F863" i="10" s="1"/>
  <c r="D669" i="13"/>
  <c r="G1698" i="5"/>
  <c r="H832" i="10" s="1"/>
  <c r="G832" i="10" s="1"/>
  <c r="G863" i="10" s="1"/>
  <c r="H863" i="10" s="1"/>
  <c r="J1698" i="5"/>
  <c r="C598" i="10"/>
  <c r="G533" i="5"/>
  <c r="H598" i="10" s="1"/>
  <c r="C995" i="5"/>
  <c r="C566" i="10"/>
  <c r="I2169" i="15"/>
  <c r="F2170" i="14"/>
  <c r="H295" i="15"/>
  <c r="I295" i="13"/>
  <c r="J295" i="15" s="1"/>
  <c r="D116" i="13"/>
  <c r="L661" i="8"/>
  <c r="I2376" i="15"/>
  <c r="G2383" i="13"/>
  <c r="D772" i="15"/>
  <c r="D773" i="14"/>
  <c r="H779" i="13"/>
  <c r="I779" i="13" s="1"/>
  <c r="J772" i="15" s="1"/>
  <c r="K779" i="13"/>
  <c r="D1405" i="15"/>
  <c r="D1406" i="14"/>
  <c r="K1412" i="13"/>
  <c r="H1412" i="13"/>
  <c r="G1412" i="13"/>
  <c r="D769" i="15"/>
  <c r="D770" i="14"/>
  <c r="H776" i="13"/>
  <c r="K776" i="13"/>
  <c r="I1619" i="15"/>
  <c r="F1620" i="14"/>
  <c r="H1833" i="15"/>
  <c r="I1840" i="13"/>
  <c r="J1833" i="15" s="1"/>
  <c r="K104" i="5"/>
  <c r="D73" i="13"/>
  <c r="E638" i="8"/>
  <c r="C639" i="8"/>
  <c r="H721" i="15"/>
  <c r="I728" i="13"/>
  <c r="J721" i="15" s="1"/>
  <c r="I2159" i="15"/>
  <c r="F2160" i="14"/>
  <c r="K123" i="4"/>
  <c r="J123" i="4"/>
  <c r="I123" i="4"/>
  <c r="D1882" i="13"/>
  <c r="E2284" i="5"/>
  <c r="D1896" i="13"/>
  <c r="E2298" i="5"/>
  <c r="H1916" i="15"/>
  <c r="I1923" i="13"/>
  <c r="J1916" i="15" s="1"/>
  <c r="E436" i="10"/>
  <c r="G436" i="10" s="1"/>
  <c r="E452" i="5"/>
  <c r="G451" i="5"/>
  <c r="H436" i="10" s="1"/>
  <c r="D1638" i="15"/>
  <c r="D1639" i="14"/>
  <c r="K1645" i="13"/>
  <c r="H1645" i="13"/>
  <c r="G1645" i="13"/>
  <c r="D1668" i="15"/>
  <c r="D1669" i="14"/>
  <c r="H1675" i="13"/>
  <c r="G1675" i="13"/>
  <c r="D1660" i="15"/>
  <c r="D1661" i="14"/>
  <c r="H1667" i="13"/>
  <c r="G1667" i="13"/>
  <c r="I605" i="15"/>
  <c r="F606" i="14"/>
  <c r="H1645" i="15"/>
  <c r="I1652" i="13"/>
  <c r="J1645" i="15" s="1"/>
  <c r="H776" i="15"/>
  <c r="I783" i="13"/>
  <c r="J776" i="15" s="1"/>
  <c r="D1760" i="13"/>
  <c r="E584" i="9"/>
  <c r="J584" i="9"/>
  <c r="H77" i="15"/>
  <c r="I77" i="13"/>
  <c r="J77" i="15" s="1"/>
  <c r="G20" i="10"/>
  <c r="H1579" i="15"/>
  <c r="I1586" i="13"/>
  <c r="J1579" i="15" s="1"/>
  <c r="C542" i="10"/>
  <c r="G938" i="5"/>
  <c r="H542" i="10" s="1"/>
  <c r="C722" i="10"/>
  <c r="G1038" i="5"/>
  <c r="H722" i="10" s="1"/>
  <c r="C543" i="10"/>
  <c r="G939" i="5"/>
  <c r="H543" i="10" s="1"/>
  <c r="D1836" i="13"/>
  <c r="C2160" i="5"/>
  <c r="E2155" i="5"/>
  <c r="D1827" i="15"/>
  <c r="D1828" i="14"/>
  <c r="K1834" i="13"/>
  <c r="H1834" i="13"/>
  <c r="G1834" i="13"/>
  <c r="D1845" i="15"/>
  <c r="D1846" i="14"/>
  <c r="K1852" i="13"/>
  <c r="H1852" i="13"/>
  <c r="G1852" i="13"/>
  <c r="D21" i="15"/>
  <c r="D22" i="14"/>
  <c r="K21" i="13"/>
  <c r="H21" i="13"/>
  <c r="G21" i="13"/>
  <c r="E666" i="10"/>
  <c r="G666" i="10" s="1"/>
  <c r="E562" i="5"/>
  <c r="I272" i="15"/>
  <c r="F273" i="14"/>
  <c r="D1564" i="13"/>
  <c r="E444" i="9"/>
  <c r="C563" i="10"/>
  <c r="I996" i="15"/>
  <c r="F997" i="14"/>
  <c r="I783" i="15"/>
  <c r="F784" i="14"/>
  <c r="I1859" i="15"/>
  <c r="F1860" i="14"/>
  <c r="D771" i="13"/>
  <c r="E1999" i="5"/>
  <c r="H882" i="15"/>
  <c r="I889" i="13"/>
  <c r="J882" i="15" s="1"/>
  <c r="D209" i="13"/>
  <c r="L357" i="8"/>
  <c r="J423" i="8"/>
  <c r="P1181" i="5"/>
  <c r="C637" i="9" s="1"/>
  <c r="O1183" i="5"/>
  <c r="P1183" i="5" s="1"/>
  <c r="D2222" i="15"/>
  <c r="D2223" i="14"/>
  <c r="H2229" i="13"/>
  <c r="K2229" i="13"/>
  <c r="G2229" i="13"/>
  <c r="D1624" i="15"/>
  <c r="D1625" i="14"/>
  <c r="K1631" i="13"/>
  <c r="H1631" i="13"/>
  <c r="G1631" i="13"/>
  <c r="I1776" i="15"/>
  <c r="F1777" i="14"/>
  <c r="D1780" i="15"/>
  <c r="D1781" i="14"/>
  <c r="H1787" i="13"/>
  <c r="K1787" i="13"/>
  <c r="G1787" i="13"/>
  <c r="C707" i="10"/>
  <c r="G1023" i="5"/>
  <c r="H707" i="10" s="1"/>
  <c r="Q1196" i="5"/>
  <c r="O1198" i="5"/>
  <c r="Q1198" i="5" s="1"/>
  <c r="D135" i="13"/>
  <c r="L273" i="8"/>
  <c r="D1897" i="13"/>
  <c r="E2299" i="5"/>
  <c r="C236" i="4"/>
  <c r="D128" i="15"/>
  <c r="D129" i="14"/>
  <c r="K128" i="13"/>
  <c r="H128" i="13"/>
  <c r="G128" i="13"/>
  <c r="C221" i="4"/>
  <c r="L159" i="4"/>
  <c r="H160" i="4"/>
  <c r="H161" i="4"/>
  <c r="D1581" i="15"/>
  <c r="D1582" i="14"/>
  <c r="K1588" i="13"/>
  <c r="H1588" i="13"/>
  <c r="G1588" i="13"/>
  <c r="C733" i="10"/>
  <c r="H1319" i="15"/>
  <c r="F1320" i="14"/>
  <c r="I1326" i="13"/>
  <c r="J1319" i="15" s="1"/>
  <c r="C487" i="6"/>
  <c r="C488" i="6"/>
  <c r="I792" i="15"/>
  <c r="F793" i="14"/>
  <c r="I1877" i="15"/>
  <c r="F1878" i="14"/>
  <c r="E601" i="10"/>
  <c r="G601" i="10" s="1"/>
  <c r="E537" i="5"/>
  <c r="H1609" i="15"/>
  <c r="I1616" i="13"/>
  <c r="J1609" i="15" s="1"/>
  <c r="I1629" i="15"/>
  <c r="F1630" i="14"/>
  <c r="D1935" i="15"/>
  <c r="D1936" i="14"/>
  <c r="K1942" i="13"/>
  <c r="H1942" i="13"/>
  <c r="G1942" i="13"/>
  <c r="I191" i="15"/>
  <c r="F192" i="14"/>
  <c r="H939" i="15"/>
  <c r="I946" i="13"/>
  <c r="J939" i="15" s="1"/>
  <c r="D754" i="15"/>
  <c r="D755" i="14"/>
  <c r="K761" i="13"/>
  <c r="H761" i="13"/>
  <c r="G761" i="13"/>
  <c r="D2264" i="13"/>
  <c r="E405" i="12"/>
  <c r="E413" i="12" s="1"/>
  <c r="B414" i="12" s="1"/>
  <c r="B416" i="12" s="1"/>
  <c r="P79" i="4"/>
  <c r="P196" i="4"/>
  <c r="J466" i="15"/>
  <c r="I466" i="15"/>
  <c r="C697" i="10"/>
  <c r="G1013" i="5"/>
  <c r="H697" i="10" s="1"/>
  <c r="C724" i="10"/>
  <c r="G1040" i="5"/>
  <c r="H724" i="10" s="1"/>
  <c r="D1893" i="13"/>
  <c r="E2295" i="5"/>
  <c r="H795" i="15"/>
  <c r="I802" i="13"/>
  <c r="J795" i="15" s="1"/>
  <c r="H801" i="15"/>
  <c r="I808" i="13"/>
  <c r="J801" i="15" s="1"/>
  <c r="I2170" i="15"/>
  <c r="F2171" i="14"/>
  <c r="H942" i="15"/>
  <c r="I949" i="13"/>
  <c r="J942" i="15" s="1"/>
  <c r="D1404" i="15"/>
  <c r="D1405" i="14"/>
  <c r="K1411" i="13"/>
  <c r="H1411" i="13"/>
  <c r="G1411" i="13"/>
  <c r="D1714" i="15"/>
  <c r="D1715" i="14"/>
  <c r="H1721" i="13"/>
  <c r="K1721" i="13"/>
  <c r="G1721" i="13"/>
  <c r="D849" i="13"/>
  <c r="E1848" i="5"/>
  <c r="C1896" i="5"/>
  <c r="D193" i="13"/>
  <c r="C427" i="8"/>
  <c r="D233" i="13" s="1"/>
  <c r="E360" i="8"/>
  <c r="E427" i="8" s="1"/>
  <c r="I94" i="15"/>
  <c r="F95" i="14"/>
  <c r="T858" i="5"/>
  <c r="P859" i="5"/>
  <c r="E739" i="10"/>
  <c r="G739" i="10" s="1"/>
  <c r="E596" i="5"/>
  <c r="E743" i="10" s="1"/>
  <c r="G743" i="10" s="1"/>
  <c r="G593" i="5"/>
  <c r="D1952" i="15"/>
  <c r="D1953" i="14"/>
  <c r="H1959" i="13"/>
  <c r="G1959" i="13"/>
  <c r="H81" i="15"/>
  <c r="I81" i="13"/>
  <c r="J81" i="15" s="1"/>
  <c r="C725" i="10"/>
  <c r="C2310" i="5"/>
  <c r="K2285" i="5"/>
  <c r="C2305" i="5"/>
  <c r="D1649" i="13"/>
  <c r="C538" i="9"/>
  <c r="E533" i="9"/>
  <c r="D1652" i="15"/>
  <c r="D1653" i="14"/>
  <c r="K1659" i="13"/>
  <c r="H1659" i="13"/>
  <c r="G1659" i="13"/>
  <c r="D1625" i="15"/>
  <c r="D1626" i="14"/>
  <c r="K1632" i="13"/>
  <c r="H1632" i="13"/>
  <c r="G1632" i="13"/>
  <c r="I96" i="15"/>
  <c r="F97" i="14"/>
  <c r="H2158" i="15"/>
  <c r="I2165" i="13"/>
  <c r="J2158" i="15" s="1"/>
  <c r="C1467" i="5"/>
  <c r="C1466" i="5"/>
  <c r="D92" i="15"/>
  <c r="D93" i="14"/>
  <c r="H92" i="13"/>
  <c r="G92" i="13"/>
  <c r="I802" i="15"/>
  <c r="F803" i="14"/>
  <c r="C590" i="10"/>
  <c r="C987" i="5"/>
  <c r="C600" i="10"/>
  <c r="G535" i="5"/>
  <c r="H600" i="10" s="1"/>
  <c r="C997" i="5"/>
  <c r="D259" i="13"/>
  <c r="E479" i="8"/>
  <c r="D284" i="13"/>
  <c r="L479" i="8"/>
  <c r="D294" i="13"/>
  <c r="L489" i="8"/>
  <c r="H794" i="15"/>
  <c r="I801" i="13"/>
  <c r="J794" i="15" s="1"/>
  <c r="H2168" i="15"/>
  <c r="I2175" i="13"/>
  <c r="J2168" i="15" s="1"/>
  <c r="E104" i="10"/>
  <c r="G104" i="10" s="1"/>
  <c r="E269" i="5"/>
  <c r="G268" i="5"/>
  <c r="H131" i="10" s="1"/>
  <c r="H2167" i="15"/>
  <c r="I2174" i="13"/>
  <c r="J2167" i="15" s="1"/>
  <c r="D2255" i="15"/>
  <c r="D2256" i="14"/>
  <c r="K2262" i="13"/>
  <c r="H2262" i="13"/>
  <c r="G2262" i="13"/>
  <c r="C721" i="10"/>
  <c r="G1037" i="5"/>
  <c r="H721" i="10" s="1"/>
  <c r="H1644" i="15"/>
  <c r="I1651" i="13"/>
  <c r="J1644" i="15" s="1"/>
  <c r="D856" i="15"/>
  <c r="D857" i="14"/>
  <c r="H863" i="13"/>
  <c r="G863" i="13"/>
  <c r="I739" i="15"/>
  <c r="F740" i="14"/>
  <c r="C586" i="10"/>
  <c r="C983" i="5"/>
  <c r="C735" i="10"/>
  <c r="C564" i="10"/>
  <c r="Q186" i="4"/>
  <c r="M187" i="4"/>
  <c r="Q187" i="4" s="1"/>
  <c r="C210" i="4" s="1"/>
  <c r="D1855" i="15"/>
  <c r="D1856" i="14"/>
  <c r="H1862" i="13"/>
  <c r="G1862" i="13"/>
  <c r="D17" i="15"/>
  <c r="D18" i="14"/>
  <c r="K17" i="13"/>
  <c r="H17" i="13"/>
  <c r="G17" i="13"/>
  <c r="D1762" i="13"/>
  <c r="E586" i="9"/>
  <c r="C587" i="9"/>
  <c r="I2157" i="15"/>
  <c r="F2158" i="14"/>
  <c r="H757" i="15"/>
  <c r="I764" i="13"/>
  <c r="J757" i="15" s="1"/>
  <c r="I793" i="15"/>
  <c r="F794" i="14"/>
  <c r="H293" i="15"/>
  <c r="I293" i="13"/>
  <c r="J293" i="15" s="1"/>
  <c r="E32" i="5"/>
  <c r="J32" i="5" s="1"/>
  <c r="K32" i="5" s="1"/>
  <c r="L32" i="5" s="1"/>
  <c r="P32" i="5" s="1"/>
  <c r="G32" i="5"/>
  <c r="D1960" i="13"/>
  <c r="L399" i="6"/>
  <c r="D97" i="15"/>
  <c r="D98" i="14"/>
  <c r="H97" i="13"/>
  <c r="G97" i="13"/>
  <c r="O99" i="4"/>
  <c r="O199" i="4"/>
  <c r="H1577" i="15"/>
  <c r="I1584" i="13"/>
  <c r="J1577" i="15" s="1"/>
  <c r="C581" i="10"/>
  <c r="C978" i="5"/>
  <c r="G516" i="5"/>
  <c r="H581" i="10" s="1"/>
  <c r="H834" i="15"/>
  <c r="I841" i="13"/>
  <c r="J834" i="15" s="1"/>
  <c r="H934" i="15"/>
  <c r="I941" i="13"/>
  <c r="J934" i="15" s="1"/>
  <c r="H275" i="15"/>
  <c r="I275" i="13"/>
  <c r="J275" i="15" s="1"/>
  <c r="E759" i="15"/>
  <c r="G759" i="15" s="1"/>
  <c r="G766" i="13"/>
  <c r="H766" i="13"/>
  <c r="I311" i="15"/>
  <c r="F312" i="14"/>
  <c r="J515" i="15"/>
  <c r="I515" i="15"/>
  <c r="I2254" i="15"/>
  <c r="F2255" i="14"/>
  <c r="I1605" i="15"/>
  <c r="F1606" i="14"/>
  <c r="G494" i="5"/>
  <c r="H519" i="10" s="1"/>
  <c r="D1926" i="13"/>
  <c r="M2289" i="5"/>
  <c r="D1895" i="13"/>
  <c r="E2297" i="5"/>
  <c r="D1880" i="13"/>
  <c r="E2282" i="5"/>
  <c r="D1879" i="13"/>
  <c r="E2281" i="5"/>
  <c r="I319" i="15"/>
  <c r="F320" i="14"/>
  <c r="E724" i="10"/>
  <c r="G724" i="10" s="1"/>
  <c r="E1041" i="5"/>
  <c r="H2451" i="15"/>
  <c r="I2459" i="13"/>
  <c r="J2451" i="15" s="1"/>
  <c r="E771" i="15"/>
  <c r="G771" i="15" s="1"/>
  <c r="G778" i="13"/>
  <c r="H997" i="15"/>
  <c r="I1004" i="13"/>
  <c r="J997" i="15" s="1"/>
  <c r="D885" i="13"/>
  <c r="C1956" i="5"/>
  <c r="E1895" i="5"/>
  <c r="H813" i="13"/>
  <c r="H2370" i="15"/>
  <c r="I2377" i="13"/>
  <c r="J2370" i="15" s="1"/>
  <c r="I265" i="15"/>
  <c r="F266" i="14"/>
  <c r="D1413" i="13"/>
  <c r="E264" i="9"/>
  <c r="C311" i="9"/>
  <c r="D1428" i="13"/>
  <c r="E279" i="9"/>
  <c r="D1462" i="13"/>
  <c r="E313" i="9"/>
  <c r="D1437" i="13"/>
  <c r="E288" i="9"/>
  <c r="D2248" i="13"/>
  <c r="K367" i="12"/>
  <c r="K386" i="12" s="1"/>
  <c r="B388" i="12" s="1"/>
  <c r="C699" i="10"/>
  <c r="G1015" i="5"/>
  <c r="H699" i="10" s="1"/>
  <c r="C602" i="10"/>
  <c r="G537" i="5"/>
  <c r="H602" i="10" s="1"/>
  <c r="C999" i="5"/>
  <c r="H2287" i="15"/>
  <c r="F2288" i="14"/>
  <c r="I2294" i="13"/>
  <c r="J2287" i="15" s="1"/>
  <c r="I471" i="13"/>
  <c r="D1639" i="15"/>
  <c r="D1640" i="14"/>
  <c r="K1646" i="13"/>
  <c r="H1646" i="13"/>
  <c r="G1646" i="13"/>
  <c r="D1669" i="15"/>
  <c r="D1670" i="14"/>
  <c r="H1676" i="13"/>
  <c r="G1676" i="13"/>
  <c r="D1661" i="15"/>
  <c r="D1662" i="14"/>
  <c r="H1668" i="13"/>
  <c r="G1668" i="13"/>
  <c r="D1751" i="13"/>
  <c r="E575" i="9"/>
  <c r="I2369" i="15"/>
  <c r="G2376" i="13"/>
  <c r="H2441" i="13"/>
  <c r="D1542" i="13"/>
  <c r="L358" i="9"/>
  <c r="C713" i="10"/>
  <c r="I422" i="13"/>
  <c r="I1633" i="15"/>
  <c r="F1634" i="14"/>
  <c r="D1863" i="15"/>
  <c r="D1864" i="14"/>
  <c r="H1870" i="13"/>
  <c r="G1870" i="13"/>
  <c r="D1853" i="15"/>
  <c r="D1854" i="14"/>
  <c r="H1860" i="13"/>
  <c r="G1860" i="13"/>
  <c r="D1826" i="15"/>
  <c r="D1827" i="14"/>
  <c r="K1833" i="13"/>
  <c r="H1833" i="13"/>
  <c r="G1833" i="13"/>
  <c r="D1865" i="15"/>
  <c r="D1866" i="14"/>
  <c r="H1872" i="13"/>
  <c r="G1872" i="13"/>
  <c r="I1170" i="5"/>
  <c r="X10" i="5"/>
  <c r="C86" i="5"/>
  <c r="R102" i="5" s="1"/>
  <c r="H651" i="15"/>
  <c r="I658" i="13"/>
  <c r="J651" i="15" s="1"/>
  <c r="I524" i="13"/>
  <c r="I2251" i="15"/>
  <c r="F2252" i="14"/>
  <c r="I796" i="15"/>
  <c r="F797" i="14"/>
  <c r="H2312" i="15"/>
  <c r="F2313" i="14"/>
  <c r="I2319" i="13"/>
  <c r="J2312" i="15" s="1"/>
  <c r="D1653" i="15"/>
  <c r="D1654" i="14"/>
  <c r="K1660" i="13"/>
  <c r="H1660" i="13"/>
  <c r="G1660" i="13"/>
  <c r="I158" i="13"/>
  <c r="J158" i="15" s="1"/>
  <c r="I1634" i="15"/>
  <c r="F1635" i="14"/>
  <c r="E310" i="10"/>
  <c r="G310" i="10" s="1"/>
  <c r="E737" i="5"/>
  <c r="G736" i="5"/>
  <c r="H310" i="10" s="1"/>
  <c r="K111" i="4"/>
  <c r="K110" i="4" s="1"/>
  <c r="H1812" i="15"/>
  <c r="I1819" i="13"/>
  <c r="J1812" i="15" s="1"/>
  <c r="D117" i="15"/>
  <c r="D118" i="14"/>
  <c r="H117" i="13"/>
  <c r="G117" i="13"/>
  <c r="D770" i="15"/>
  <c r="D771" i="14"/>
  <c r="H777" i="13"/>
  <c r="K777" i="13"/>
  <c r="D1659" i="15"/>
  <c r="D1660" i="14"/>
  <c r="H1666" i="13"/>
  <c r="G1666" i="13"/>
  <c r="H1635" i="15"/>
  <c r="I1642" i="13"/>
  <c r="J1635" i="15" s="1"/>
  <c r="I2375" i="15"/>
  <c r="G2382" i="13"/>
  <c r="H1928" i="15"/>
  <c r="I1935" i="13"/>
  <c r="J1928" i="15" s="1"/>
  <c r="H1621" i="15"/>
  <c r="I1628" i="13"/>
  <c r="J1621" i="15" s="1"/>
  <c r="C1939" i="5"/>
  <c r="C1985" i="5"/>
  <c r="D1711" i="15"/>
  <c r="D1712" i="14"/>
  <c r="H1718" i="13"/>
  <c r="K1718" i="13"/>
  <c r="G1718" i="13"/>
  <c r="C577" i="10"/>
  <c r="C974" i="5"/>
  <c r="G512" i="5"/>
  <c r="H577" i="10" s="1"/>
  <c r="D1825" i="15"/>
  <c r="D1826" i="14"/>
  <c r="K1832" i="13"/>
  <c r="H1832" i="13"/>
  <c r="G1832" i="13"/>
  <c r="D30" i="13"/>
  <c r="L602" i="8"/>
  <c r="D2448" i="15"/>
  <c r="K2456" i="13"/>
  <c r="H2456" i="13"/>
  <c r="I1617" i="15"/>
  <c r="F1618" i="14"/>
  <c r="E585" i="10"/>
  <c r="G585" i="10" s="1"/>
  <c r="E521" i="5"/>
  <c r="G521" i="5" s="1"/>
  <c r="H586" i="10" s="1"/>
  <c r="D878" i="13"/>
  <c r="C1949" i="5"/>
  <c r="E1888" i="5"/>
  <c r="I1000" i="15"/>
  <c r="F1001" i="14"/>
  <c r="H780" i="15"/>
  <c r="I550" i="15"/>
  <c r="F551" i="14"/>
  <c r="D1429" i="13"/>
  <c r="E280" i="9"/>
  <c r="E55" i="10"/>
  <c r="E220" i="5"/>
  <c r="F219" i="5"/>
  <c r="F55" i="10" s="1"/>
  <c r="D2264" i="15"/>
  <c r="D2265" i="14"/>
  <c r="H2271" i="13"/>
  <c r="G2271" i="13"/>
  <c r="C717" i="10"/>
  <c r="AA47" i="5"/>
  <c r="AA42" i="5"/>
  <c r="C272" i="9"/>
  <c r="J271" i="9"/>
  <c r="C309" i="9"/>
  <c r="C305" i="9"/>
  <c r="C304" i="9"/>
  <c r="C287" i="9"/>
  <c r="J265" i="9"/>
  <c r="C289" i="9"/>
  <c r="C271" i="9"/>
  <c r="J268" i="9"/>
  <c r="J267" i="9"/>
  <c r="J266" i="9"/>
  <c r="J264" i="9"/>
  <c r="C274" i="9"/>
  <c r="C285" i="9"/>
  <c r="C278" i="9"/>
  <c r="H1001" i="15"/>
  <c r="I1008" i="13"/>
  <c r="J1001" i="15" s="1"/>
  <c r="I949" i="15"/>
  <c r="F950" i="14"/>
  <c r="H1927" i="15"/>
  <c r="I1934" i="13"/>
  <c r="J1927" i="15" s="1"/>
  <c r="I991" i="15"/>
  <c r="F992" i="14"/>
  <c r="E561" i="10"/>
  <c r="G561" i="10" s="1"/>
  <c r="E958" i="5"/>
  <c r="G958" i="5" s="1"/>
  <c r="H562" i="10" s="1"/>
  <c r="C696" i="10"/>
  <c r="G1012" i="5"/>
  <c r="H696" i="10" s="1"/>
  <c r="D1667" i="15"/>
  <c r="D1668" i="14"/>
  <c r="H1674" i="13"/>
  <c r="G1674" i="13"/>
  <c r="I1833" i="15"/>
  <c r="F1834" i="14"/>
  <c r="H831" i="15"/>
  <c r="I838" i="13"/>
  <c r="J831" i="15" s="1"/>
  <c r="L104" i="5"/>
  <c r="H790" i="15"/>
  <c r="I797" i="13"/>
  <c r="J790" i="15" s="1"/>
  <c r="D89" i="13"/>
  <c r="L638" i="8"/>
  <c r="H1327" i="15"/>
  <c r="F1328" i="14"/>
  <c r="I1334" i="13"/>
  <c r="J1327" i="15" s="1"/>
  <c r="C535" i="10"/>
  <c r="G931" i="5"/>
  <c r="H535" i="10" s="1"/>
  <c r="C612" i="10"/>
  <c r="C1009" i="5"/>
  <c r="P123" i="4"/>
  <c r="O123" i="4"/>
  <c r="N123" i="4"/>
  <c r="D1894" i="13"/>
  <c r="E2296" i="5"/>
  <c r="H2215" i="15"/>
  <c r="I2222" i="13"/>
  <c r="J2215" i="15" s="1"/>
  <c r="J1175" i="5"/>
  <c r="J1181" i="5" s="1"/>
  <c r="J1179" i="5"/>
  <c r="AI12" i="5" s="1"/>
  <c r="AJ12" i="5" s="1"/>
  <c r="J1199" i="5"/>
  <c r="I789" i="15"/>
  <c r="F790" i="14"/>
  <c r="I1916" i="15"/>
  <c r="F1917" i="14"/>
  <c r="H167" i="15"/>
  <c r="F168" i="14"/>
  <c r="I167" i="13"/>
  <c r="J167" i="15" s="1"/>
  <c r="H704" i="15"/>
  <c r="I711" i="13"/>
  <c r="J704" i="15" s="1"/>
  <c r="I1645" i="15"/>
  <c r="F1646" i="14"/>
  <c r="I776" i="15"/>
  <c r="F777" i="14"/>
  <c r="I868" i="15"/>
  <c r="F869" i="14"/>
  <c r="D1765" i="13"/>
  <c r="E589" i="9"/>
  <c r="I77" i="15"/>
  <c r="F78" i="14"/>
  <c r="G184" i="5"/>
  <c r="H47" i="10" s="1"/>
  <c r="H2225" i="15"/>
  <c r="I2232" i="13"/>
  <c r="J2225" i="15" s="1"/>
  <c r="I1579" i="15"/>
  <c r="F1580" i="14"/>
  <c r="C700" i="10"/>
  <c r="G1016" i="5"/>
  <c r="H700" i="10" s="1"/>
  <c r="C729" i="10"/>
  <c r="D1843" i="13"/>
  <c r="E2162" i="5"/>
  <c r="D1795" i="13"/>
  <c r="E619" i="9"/>
  <c r="H1628" i="15"/>
  <c r="I1635" i="13"/>
  <c r="J1628" i="15" s="1"/>
  <c r="D1568" i="13"/>
  <c r="J440" i="9"/>
  <c r="E448" i="9"/>
  <c r="H83" i="15"/>
  <c r="I83" i="13"/>
  <c r="J83" i="15" s="1"/>
  <c r="H231" i="15"/>
  <c r="I231" i="13"/>
  <c r="J231" i="15" s="1"/>
  <c r="G478" i="5"/>
  <c r="H503" i="10" s="1"/>
  <c r="D1885" i="13"/>
  <c r="E2287" i="5"/>
  <c r="H1627" i="15"/>
  <c r="I1634" i="13"/>
  <c r="J1627" i="15" s="1"/>
  <c r="D210" i="13"/>
  <c r="J424" i="8"/>
  <c r="L358" i="8"/>
  <c r="I527" i="13"/>
  <c r="H2216" i="15"/>
  <c r="I2223" i="13"/>
  <c r="J2216" i="15" s="1"/>
  <c r="H720" i="15"/>
  <c r="I727" i="13"/>
  <c r="J720" i="15" s="1"/>
  <c r="R46" i="5"/>
  <c r="H1926" i="15"/>
  <c r="I1933" i="13"/>
  <c r="J1926" i="15" s="1"/>
  <c r="G561" i="5"/>
  <c r="H666" i="10" s="1"/>
  <c r="C575" i="10"/>
  <c r="C972" i="5"/>
  <c r="G510" i="5"/>
  <c r="H575" i="10" s="1"/>
  <c r="D1856" i="15"/>
  <c r="D1857" i="14"/>
  <c r="H1863" i="13"/>
  <c r="G1863" i="13"/>
  <c r="C1766" i="5"/>
  <c r="J1788" i="5"/>
  <c r="J272" i="8"/>
  <c r="D137" i="13"/>
  <c r="L275" i="8"/>
  <c r="J218" i="4"/>
  <c r="G33" i="5"/>
  <c r="E33" i="5"/>
  <c r="J33" i="5" s="1"/>
  <c r="K33" i="5" s="1"/>
  <c r="L33" i="5" s="1"/>
  <c r="P33" i="5" s="1"/>
  <c r="R31" i="5"/>
  <c r="W31" i="5"/>
  <c r="E31" i="5"/>
  <c r="J31" i="5" s="1"/>
  <c r="K31" i="5" s="1"/>
  <c r="L31" i="5" s="1"/>
  <c r="P31" i="5" s="1"/>
  <c r="G31" i="5"/>
  <c r="I2475" i="15"/>
  <c r="F2345" i="14"/>
  <c r="I2483" i="13"/>
  <c r="J2475" i="15" s="1"/>
  <c r="I510" i="13"/>
  <c r="G692" i="5" l="1"/>
  <c r="H266" i="10" s="1"/>
  <c r="E685" i="5"/>
  <c r="G683" i="5"/>
  <c r="H257" i="10" s="1"/>
  <c r="E257" i="10"/>
  <c r="G257" i="10" s="1"/>
  <c r="E670" i="8"/>
  <c r="B671" i="8" s="1"/>
  <c r="C1797" i="5"/>
  <c r="E1797" i="5" s="1"/>
  <c r="C1799" i="5"/>
  <c r="D733" i="13" s="1"/>
  <c r="J1789" i="5"/>
  <c r="O1789" i="5" s="1"/>
  <c r="O1833" i="5" s="1"/>
  <c r="O1882" i="5" s="1"/>
  <c r="B102" i="11"/>
  <c r="C1919" i="5"/>
  <c r="C1819" i="5"/>
  <c r="D137" i="15"/>
  <c r="D138" i="14"/>
  <c r="H137" i="13"/>
  <c r="G137" i="13"/>
  <c r="D1836" i="15"/>
  <c r="D1837" i="14"/>
  <c r="K1843" i="13"/>
  <c r="H1843" i="13"/>
  <c r="G1843" i="13"/>
  <c r="D1739" i="13"/>
  <c r="L218" i="4"/>
  <c r="D747" i="13"/>
  <c r="J1987" i="5"/>
  <c r="D784" i="13" s="1"/>
  <c r="J1941" i="5"/>
  <c r="D821" i="13" s="1"/>
  <c r="J1832" i="5"/>
  <c r="O1788" i="5"/>
  <c r="D210" i="15"/>
  <c r="D211" i="14"/>
  <c r="H210" i="13"/>
  <c r="G210" i="13"/>
  <c r="D1878" i="15"/>
  <c r="D1879" i="14"/>
  <c r="K1885" i="13"/>
  <c r="H1885" i="13"/>
  <c r="G1885" i="13"/>
  <c r="D1561" i="15"/>
  <c r="D1562" i="14"/>
  <c r="K1568" i="13"/>
  <c r="H1568" i="13"/>
  <c r="G1568" i="13"/>
  <c r="D1788" i="15"/>
  <c r="D1789" i="14"/>
  <c r="H1795" i="13"/>
  <c r="K1795" i="13"/>
  <c r="G1795" i="13"/>
  <c r="I1667" i="15"/>
  <c r="F1668" i="14"/>
  <c r="D1427" i="13"/>
  <c r="E278" i="9"/>
  <c r="D1468" i="13"/>
  <c r="L266" i="9"/>
  <c r="D1438" i="13"/>
  <c r="C294" i="9"/>
  <c r="E289" i="9"/>
  <c r="J280" i="9"/>
  <c r="L280" i="9" s="1"/>
  <c r="C296" i="9"/>
  <c r="D1454" i="13"/>
  <c r="E305" i="9"/>
  <c r="F12" i="8"/>
  <c r="F12" i="12"/>
  <c r="D65" i="12" s="1"/>
  <c r="D66" i="12" s="1"/>
  <c r="D70" i="12" s="1"/>
  <c r="F12" i="9"/>
  <c r="D65" i="9" s="1"/>
  <c r="D66" i="9" s="1"/>
  <c r="D70" i="9" s="1"/>
  <c r="F12" i="6"/>
  <c r="D65" i="6" s="1"/>
  <c r="D66" i="6" s="1"/>
  <c r="D70" i="6" s="1"/>
  <c r="H2264" i="15"/>
  <c r="I2271" i="13"/>
  <c r="J2264" i="15" s="1"/>
  <c r="G2274" i="13"/>
  <c r="G219" i="5"/>
  <c r="H82" i="10" s="1"/>
  <c r="C618" i="10"/>
  <c r="G974" i="5"/>
  <c r="H618" i="10" s="1"/>
  <c r="I1711" i="15"/>
  <c r="F1712" i="14"/>
  <c r="D794" i="13"/>
  <c r="E1939" i="5"/>
  <c r="C1940" i="5"/>
  <c r="C1952" i="5" s="1"/>
  <c r="I1653" i="15"/>
  <c r="F1654" i="14"/>
  <c r="J517" i="15"/>
  <c r="I517" i="15"/>
  <c r="I1853" i="15"/>
  <c r="F1854" i="14"/>
  <c r="H1873" i="13"/>
  <c r="I1866" i="15" s="1"/>
  <c r="I1863" i="15"/>
  <c r="F1864" i="14"/>
  <c r="H2369" i="15"/>
  <c r="I2376" i="13"/>
  <c r="J2369" i="15" s="1"/>
  <c r="H1661" i="15"/>
  <c r="I1668" i="13"/>
  <c r="J1661" i="15" s="1"/>
  <c r="H1669" i="15"/>
  <c r="I1676" i="13"/>
  <c r="J1669" i="15" s="1"/>
  <c r="H1639" i="15"/>
  <c r="I1646" i="13"/>
  <c r="J1639" i="15" s="1"/>
  <c r="D1406" i="15"/>
  <c r="D1407" i="14"/>
  <c r="K1413" i="13"/>
  <c r="H1413" i="13"/>
  <c r="G1413" i="13"/>
  <c r="D878" i="15"/>
  <c r="D879" i="14"/>
  <c r="K885" i="13"/>
  <c r="H885" i="13"/>
  <c r="G885" i="13"/>
  <c r="D1872" i="15"/>
  <c r="D1873" i="14"/>
  <c r="K1879" i="13"/>
  <c r="H1879" i="13"/>
  <c r="G1879" i="13"/>
  <c r="D1888" i="15"/>
  <c r="D1889" i="14"/>
  <c r="K1895" i="13"/>
  <c r="H1895" i="13"/>
  <c r="G1895" i="13"/>
  <c r="I759" i="15"/>
  <c r="F760" i="14"/>
  <c r="G38" i="5"/>
  <c r="G1538" i="5" s="1"/>
  <c r="D1755" i="15"/>
  <c r="D1756" i="14"/>
  <c r="H1762" i="13"/>
  <c r="K1762" i="13"/>
  <c r="G1762" i="13"/>
  <c r="C627" i="10"/>
  <c r="G983" i="5"/>
  <c r="H627" i="10" s="1"/>
  <c r="D294" i="15"/>
  <c r="D295" i="14"/>
  <c r="H294" i="13"/>
  <c r="G294" i="13"/>
  <c r="D259" i="15"/>
  <c r="D260" i="14"/>
  <c r="H259" i="13"/>
  <c r="K259" i="13"/>
  <c r="G259" i="13"/>
  <c r="C631" i="10"/>
  <c r="I1625" i="15"/>
  <c r="F1626" i="14"/>
  <c r="H1652" i="15"/>
  <c r="I1659" i="13"/>
  <c r="J1652" i="15" s="1"/>
  <c r="D1903" i="13"/>
  <c r="E2305" i="5"/>
  <c r="I1952" i="15"/>
  <c r="F1953" i="14"/>
  <c r="D193" i="15"/>
  <c r="D194" i="14"/>
  <c r="K193" i="13"/>
  <c r="H193" i="13"/>
  <c r="G193" i="13"/>
  <c r="H1714" i="15"/>
  <c r="I1721" i="13"/>
  <c r="J1714" i="15" s="1"/>
  <c r="I754" i="15"/>
  <c r="F755" i="14"/>
  <c r="H1935" i="15"/>
  <c r="I1942" i="13"/>
  <c r="J1935" i="15" s="1"/>
  <c r="C547" i="6"/>
  <c r="J531" i="6"/>
  <c r="C553" i="6"/>
  <c r="H162" i="4"/>
  <c r="L160" i="4"/>
  <c r="I128" i="15"/>
  <c r="F129" i="14"/>
  <c r="D1707" i="13"/>
  <c r="E236" i="4"/>
  <c r="D135" i="15"/>
  <c r="D136" i="14"/>
  <c r="H135" i="13"/>
  <c r="G135" i="13"/>
  <c r="H1624" i="15"/>
  <c r="I1631" i="13"/>
  <c r="J1624" i="15" s="1"/>
  <c r="D251" i="13"/>
  <c r="L423" i="8"/>
  <c r="D1557" i="15"/>
  <c r="D1558" i="14"/>
  <c r="K1564" i="13"/>
  <c r="H1564" i="13"/>
  <c r="G1564" i="13"/>
  <c r="I1827" i="15"/>
  <c r="F1828" i="14"/>
  <c r="D1753" i="15"/>
  <c r="D1754" i="14"/>
  <c r="H1760" i="13"/>
  <c r="K1760" i="13"/>
  <c r="G1760" i="13"/>
  <c r="H1660" i="15"/>
  <c r="I1667" i="13"/>
  <c r="J1660" i="15" s="1"/>
  <c r="H1668" i="15"/>
  <c r="I1675" i="13"/>
  <c r="J1668" i="15" s="1"/>
  <c r="H1638" i="15"/>
  <c r="I1645" i="13"/>
  <c r="J1638" i="15" s="1"/>
  <c r="H752" i="15"/>
  <c r="I759" i="13"/>
  <c r="J752" i="15" s="1"/>
  <c r="D1409" i="15"/>
  <c r="D1410" i="14"/>
  <c r="K1416" i="13"/>
  <c r="H1416" i="13"/>
  <c r="G1416" i="13"/>
  <c r="I1712" i="15"/>
  <c r="F1713" i="14"/>
  <c r="E462" i="10"/>
  <c r="G462" i="10" s="1"/>
  <c r="E899" i="5"/>
  <c r="G898" i="5"/>
  <c r="H462" i="10" s="1"/>
  <c r="W38" i="5"/>
  <c r="C1544" i="5" s="1"/>
  <c r="D1767" i="15"/>
  <c r="D1768" i="14"/>
  <c r="H1774" i="13"/>
  <c r="K1774" i="13"/>
  <c r="G1774" i="13"/>
  <c r="E627" i="10"/>
  <c r="G627" i="10" s="1"/>
  <c r="E984" i="5"/>
  <c r="D1474" i="13"/>
  <c r="L274" i="9"/>
  <c r="H1709" i="15"/>
  <c r="I1716" i="13"/>
  <c r="J1709" i="15" s="1"/>
  <c r="H1931" i="15"/>
  <c r="I1938" i="13"/>
  <c r="J1931" i="15" s="1"/>
  <c r="D19" i="15"/>
  <c r="D20" i="14"/>
  <c r="K19" i="13"/>
  <c r="H19" i="13"/>
  <c r="G19" i="13"/>
  <c r="I1662" i="15"/>
  <c r="F1663" i="14"/>
  <c r="H819" i="15"/>
  <c r="I826" i="13"/>
  <c r="J819" i="15" s="1"/>
  <c r="E641" i="10"/>
  <c r="G641" i="10" s="1"/>
  <c r="E998" i="5"/>
  <c r="D189" i="13"/>
  <c r="C423" i="8"/>
  <c r="D229" i="13" s="1"/>
  <c r="E356" i="8"/>
  <c r="E423" i="8" s="1"/>
  <c r="H1607" i="15"/>
  <c r="I1614" i="13"/>
  <c r="J1607" i="15" s="1"/>
  <c r="H2226" i="15"/>
  <c r="I2233" i="13"/>
  <c r="J2226" i="15" s="1"/>
  <c r="L49" i="5"/>
  <c r="G1536" i="5" s="1"/>
  <c r="H102" i="15"/>
  <c r="I102" i="13"/>
  <c r="J102" i="15" s="1"/>
  <c r="D1072" i="13"/>
  <c r="F213" i="7"/>
  <c r="D1062" i="13"/>
  <c r="F203" i="7"/>
  <c r="D1067" i="13"/>
  <c r="F208" i="7"/>
  <c r="D1083" i="13"/>
  <c r="F224" i="7"/>
  <c r="D1036" i="13"/>
  <c r="F177" i="7"/>
  <c r="D367" i="7"/>
  <c r="D360" i="7"/>
  <c r="D216" i="7"/>
  <c r="D34" i="7"/>
  <c r="D24" i="7"/>
  <c r="D339" i="7"/>
  <c r="D337" i="7"/>
  <c r="D335" i="7"/>
  <c r="D333" i="7"/>
  <c r="D331" i="7"/>
  <c r="D329" i="7"/>
  <c r="D327" i="7"/>
  <c r="D325" i="7"/>
  <c r="D323" i="7"/>
  <c r="D340" i="7"/>
  <c r="D338" i="7"/>
  <c r="D336" i="7"/>
  <c r="D334" i="7"/>
  <c r="D332" i="7"/>
  <c r="D330" i="7"/>
  <c r="D328" i="7"/>
  <c r="D326" i="7"/>
  <c r="D324" i="7"/>
  <c r="D322" i="7"/>
  <c r="D217" i="7"/>
  <c r="J80" i="7"/>
  <c r="D1240" i="13" s="1"/>
  <c r="D39" i="7"/>
  <c r="J74" i="7" s="1"/>
  <c r="D1235" i="13" s="1"/>
  <c r="D29" i="7"/>
  <c r="J75" i="7" s="1"/>
  <c r="D1236" i="13" s="1"/>
  <c r="D5" i="7"/>
  <c r="J79" i="7"/>
  <c r="D1239" i="13" s="1"/>
  <c r="J78" i="7"/>
  <c r="D1238" i="13" s="1"/>
  <c r="D16" i="7"/>
  <c r="D10" i="7"/>
  <c r="F45" i="5"/>
  <c r="D218" i="7"/>
  <c r="H2252" i="15"/>
  <c r="I2259" i="13"/>
  <c r="J2252" i="15" s="1"/>
  <c r="I1654" i="15"/>
  <c r="F1655" i="14"/>
  <c r="H756" i="15"/>
  <c r="I763" i="13"/>
  <c r="J756" i="15" s="1"/>
  <c r="G266" i="10"/>
  <c r="D1882" i="15"/>
  <c r="D1883" i="14"/>
  <c r="K1889" i="13"/>
  <c r="H1889" i="13"/>
  <c r="G1889" i="13"/>
  <c r="D138" i="13"/>
  <c r="L276" i="8"/>
  <c r="D250" i="13"/>
  <c r="L422" i="8"/>
  <c r="E480" i="10"/>
  <c r="G480" i="10" s="1"/>
  <c r="E917" i="5"/>
  <c r="G916" i="5"/>
  <c r="H480" i="10" s="1"/>
  <c r="D1746" i="15"/>
  <c r="D1747" i="14"/>
  <c r="H1753" i="13"/>
  <c r="K1753" i="13"/>
  <c r="G1753" i="13"/>
  <c r="C650" i="10"/>
  <c r="E22" i="10"/>
  <c r="E187" i="5"/>
  <c r="F186" i="5"/>
  <c r="F22" i="10" s="1"/>
  <c r="H1880" i="15"/>
  <c r="I1887" i="13"/>
  <c r="J1880" i="15" s="1"/>
  <c r="C617" i="10"/>
  <c r="G973" i="5"/>
  <c r="H617" i="10" s="1"/>
  <c r="D31" i="13"/>
  <c r="L603" i="8"/>
  <c r="D47" i="15"/>
  <c r="D48" i="14"/>
  <c r="K47" i="13"/>
  <c r="H47" i="13"/>
  <c r="G47" i="13"/>
  <c r="H1606" i="15"/>
  <c r="I1613" i="13"/>
  <c r="J1606" i="15" s="1"/>
  <c r="H2224" i="15"/>
  <c r="I2231" i="13"/>
  <c r="J2224" i="15" s="1"/>
  <c r="D831" i="13"/>
  <c r="C1878" i="5"/>
  <c r="E1830" i="5"/>
  <c r="C1831" i="5"/>
  <c r="C1841" i="5" s="1"/>
  <c r="D1663" i="15"/>
  <c r="D1664" i="14"/>
  <c r="H1670" i="13"/>
  <c r="G1670" i="13"/>
  <c r="C636" i="10"/>
  <c r="I1854" i="15"/>
  <c r="F1855" i="14"/>
  <c r="I1848" i="15"/>
  <c r="F1849" i="14"/>
  <c r="C634" i="10"/>
  <c r="I1506" i="15"/>
  <c r="F1507" i="14"/>
  <c r="I1876" i="15"/>
  <c r="F1877" i="14"/>
  <c r="I2373" i="15"/>
  <c r="G2380" i="13"/>
  <c r="G2441" i="13" s="1"/>
  <c r="H1665" i="15"/>
  <c r="I1672" i="13"/>
  <c r="J1665" i="15" s="1"/>
  <c r="H1650" i="15"/>
  <c r="I1657" i="13"/>
  <c r="J1650" i="15" s="1"/>
  <c r="M166" i="4"/>
  <c r="M201" i="4" s="1"/>
  <c r="I2240" i="15"/>
  <c r="F2241" i="14"/>
  <c r="D1444" i="15"/>
  <c r="D1445" i="14"/>
  <c r="H1451" i="13"/>
  <c r="K1451" i="13"/>
  <c r="G1451" i="13"/>
  <c r="D1434" i="15"/>
  <c r="D1435" i="14"/>
  <c r="H1441" i="13"/>
  <c r="K1441" i="13"/>
  <c r="G1441" i="13"/>
  <c r="D1893" i="15"/>
  <c r="D1894" i="14"/>
  <c r="K1900" i="13"/>
  <c r="H1900" i="13"/>
  <c r="G1900" i="13"/>
  <c r="D1871" i="15"/>
  <c r="D1872" i="14"/>
  <c r="K1878" i="13"/>
  <c r="H1878" i="13"/>
  <c r="G1878" i="13"/>
  <c r="I765" i="15"/>
  <c r="F766" i="14"/>
  <c r="C642" i="10"/>
  <c r="G998" i="5"/>
  <c r="H642" i="10" s="1"/>
  <c r="D1962" i="13"/>
  <c r="L401" i="6"/>
  <c r="D1761" i="15"/>
  <c r="D1762" i="14"/>
  <c r="H1768" i="13"/>
  <c r="K1768" i="13"/>
  <c r="G1768" i="13"/>
  <c r="H1814" i="15"/>
  <c r="I1821" i="13"/>
  <c r="J1814" i="15" s="1"/>
  <c r="H745" i="15"/>
  <c r="I752" i="13"/>
  <c r="J745" i="15" s="1"/>
  <c r="H782" i="15"/>
  <c r="I789" i="13"/>
  <c r="J782" i="15" s="1"/>
  <c r="H1713" i="15"/>
  <c r="I1720" i="13"/>
  <c r="J1713" i="15" s="1"/>
  <c r="D258" i="15"/>
  <c r="D259" i="14"/>
  <c r="H258" i="13"/>
  <c r="K258" i="13"/>
  <c r="G258" i="13"/>
  <c r="I1330" i="15"/>
  <c r="F1331" i="14"/>
  <c r="C542" i="6"/>
  <c r="C550" i="6"/>
  <c r="C548" i="6"/>
  <c r="C481" i="6"/>
  <c r="C477" i="6"/>
  <c r="C552" i="6"/>
  <c r="C478" i="6"/>
  <c r="D310" i="15"/>
  <c r="D311" i="14"/>
  <c r="K310" i="13"/>
  <c r="H310" i="13"/>
  <c r="G310" i="13"/>
  <c r="H1622" i="15"/>
  <c r="I1629" i="13"/>
  <c r="J1622" i="15" s="1"/>
  <c r="C630" i="10"/>
  <c r="K162" i="4"/>
  <c r="K165" i="4" s="1"/>
  <c r="K198" i="4" s="1"/>
  <c r="C629" i="10"/>
  <c r="C628" i="10"/>
  <c r="G984" i="5"/>
  <c r="H628" i="10" s="1"/>
  <c r="D28" i="13"/>
  <c r="L600" i="8"/>
  <c r="D136" i="15"/>
  <c r="D137" i="14"/>
  <c r="H136" i="13"/>
  <c r="G136" i="13"/>
  <c r="C410" i="8"/>
  <c r="J409" i="8"/>
  <c r="P38" i="5"/>
  <c r="D230" i="15"/>
  <c r="D231" i="14"/>
  <c r="H230" i="13"/>
  <c r="K230" i="13"/>
  <c r="G230" i="13"/>
  <c r="D766" i="15"/>
  <c r="D767" i="14"/>
  <c r="H773" i="13"/>
  <c r="K773" i="13"/>
  <c r="G773" i="13"/>
  <c r="D1242" i="13"/>
  <c r="L219" i="7"/>
  <c r="D1079" i="13"/>
  <c r="F220" i="7"/>
  <c r="D1546" i="15"/>
  <c r="D1547" i="14"/>
  <c r="K1553" i="13"/>
  <c r="H1553" i="13"/>
  <c r="G1553" i="13"/>
  <c r="I1818" i="15"/>
  <c r="F1819" i="14"/>
  <c r="H1846" i="15"/>
  <c r="I1853" i="13"/>
  <c r="J1846" i="15" s="1"/>
  <c r="I113" i="4"/>
  <c r="I112" i="4"/>
  <c r="H1949" i="15"/>
  <c r="I1956" i="13"/>
  <c r="J1949" i="15" s="1"/>
  <c r="H1636" i="15"/>
  <c r="I1643" i="13"/>
  <c r="J1636" i="15" s="1"/>
  <c r="D1778" i="13"/>
  <c r="E602" i="9"/>
  <c r="I1631" i="15"/>
  <c r="F1632" i="14"/>
  <c r="D1899" i="13"/>
  <c r="E2301" i="5"/>
  <c r="I1682" i="15"/>
  <c r="F1683" i="14"/>
  <c r="C621" i="8"/>
  <c r="C622" i="8"/>
  <c r="D68" i="13"/>
  <c r="L625" i="8"/>
  <c r="D53" i="13"/>
  <c r="E630" i="8"/>
  <c r="H106" i="15"/>
  <c r="I106" i="13"/>
  <c r="J106" i="15" s="1"/>
  <c r="H1932" i="15"/>
  <c r="I1939" i="13"/>
  <c r="J1932" i="15" s="1"/>
  <c r="C1921" i="5"/>
  <c r="C1869" i="5"/>
  <c r="C1821" i="5"/>
  <c r="C635" i="10"/>
  <c r="H22" i="15"/>
  <c r="I22" i="13"/>
  <c r="J22" i="15" s="1"/>
  <c r="D1745" i="15"/>
  <c r="D1746" i="14"/>
  <c r="H1752" i="13"/>
  <c r="K1752" i="13"/>
  <c r="G1752" i="13"/>
  <c r="D119" i="15"/>
  <c r="D120" i="14"/>
  <c r="H119" i="13"/>
  <c r="G119" i="13"/>
  <c r="K166" i="4"/>
  <c r="K167" i="4" s="1"/>
  <c r="K197" i="4" s="1"/>
  <c r="D1443" i="15"/>
  <c r="D1444" i="14"/>
  <c r="H1450" i="13"/>
  <c r="K1450" i="13"/>
  <c r="G1450" i="13"/>
  <c r="D1423" i="15"/>
  <c r="D1424" i="14"/>
  <c r="H1430" i="13"/>
  <c r="K1430" i="13"/>
  <c r="G1430" i="13"/>
  <c r="D1428" i="15"/>
  <c r="D1429" i="14"/>
  <c r="H1435" i="13"/>
  <c r="K1435" i="13"/>
  <c r="G1435" i="13"/>
  <c r="H808" i="15"/>
  <c r="I815" i="13"/>
  <c r="J808" i="15" s="1"/>
  <c r="D1916" i="13"/>
  <c r="M2279" i="5"/>
  <c r="D1917" i="13"/>
  <c r="M2280" i="5"/>
  <c r="C623" i="10"/>
  <c r="G979" i="5"/>
  <c r="H623" i="10" s="1"/>
  <c r="I1869" i="15"/>
  <c r="F1870" i="14"/>
  <c r="D1963" i="13"/>
  <c r="L402" i="6"/>
  <c r="L416" i="6" s="1"/>
  <c r="B418" i="6" s="1"/>
  <c r="B419" i="6" s="1"/>
  <c r="D1770" i="15"/>
  <c r="D1771" i="14"/>
  <c r="H1777" i="13"/>
  <c r="K1777" i="13"/>
  <c r="G1777" i="13"/>
  <c r="I1670" i="15"/>
  <c r="F1671" i="14"/>
  <c r="M66" i="4"/>
  <c r="M77" i="4" s="1"/>
  <c r="H893" i="15"/>
  <c r="I900" i="13"/>
  <c r="J893" i="15" s="1"/>
  <c r="D296" i="15"/>
  <c r="D297" i="14"/>
  <c r="H296" i="13"/>
  <c r="G296" i="13"/>
  <c r="D298" i="15"/>
  <c r="D299" i="14"/>
  <c r="H298" i="13"/>
  <c r="G298" i="13"/>
  <c r="C640" i="10"/>
  <c r="G996" i="5"/>
  <c r="H640" i="10" s="1"/>
  <c r="D2227" i="15"/>
  <c r="D2228" i="14"/>
  <c r="H2234" i="13"/>
  <c r="K2234" i="13"/>
  <c r="G2234" i="13"/>
  <c r="I105" i="15"/>
  <c r="F106" i="14"/>
  <c r="I771" i="15"/>
  <c r="F772" i="14"/>
  <c r="H731" i="15"/>
  <c r="I738" i="13"/>
  <c r="J731" i="15" s="1"/>
  <c r="I2374" i="15"/>
  <c r="G2381" i="13"/>
  <c r="P100" i="4"/>
  <c r="P103" i="4"/>
  <c r="E233" i="10"/>
  <c r="E660" i="5"/>
  <c r="F659" i="5"/>
  <c r="F233" i="10" s="1"/>
  <c r="E694" i="5"/>
  <c r="D14" i="15"/>
  <c r="D15" i="14"/>
  <c r="G14" i="13"/>
  <c r="K14" i="13"/>
  <c r="H14" i="13"/>
  <c r="S102" i="5"/>
  <c r="D1692" i="15"/>
  <c r="D1693" i="14"/>
  <c r="H1699" i="13"/>
  <c r="K1699" i="13"/>
  <c r="G1699" i="13"/>
  <c r="I520" i="15"/>
  <c r="J520" i="15"/>
  <c r="J1177" i="5"/>
  <c r="J1183" i="5"/>
  <c r="AI14" i="5" s="1"/>
  <c r="AI13" i="5"/>
  <c r="L1181" i="5"/>
  <c r="C423" i="9" s="1"/>
  <c r="D1887" i="15"/>
  <c r="D1888" i="14"/>
  <c r="K1894" i="13"/>
  <c r="H1894" i="13"/>
  <c r="G1894" i="13"/>
  <c r="C653" i="10"/>
  <c r="D1434" i="13"/>
  <c r="E285" i="9"/>
  <c r="D1469" i="13"/>
  <c r="L267" i="9"/>
  <c r="D1467" i="13"/>
  <c r="L265" i="9"/>
  <c r="D1458" i="13"/>
  <c r="E309" i="9"/>
  <c r="AA48" i="5"/>
  <c r="AA49" i="5"/>
  <c r="I2264" i="15"/>
  <c r="F2265" i="14"/>
  <c r="H2274" i="13"/>
  <c r="I2267" i="15" s="1"/>
  <c r="D1422" i="15"/>
  <c r="D1423" i="14"/>
  <c r="H1429" i="13"/>
  <c r="K1429" i="13"/>
  <c r="G1429" i="13"/>
  <c r="D804" i="13"/>
  <c r="C1995" i="5"/>
  <c r="E1949" i="5"/>
  <c r="I2448" i="15"/>
  <c r="G2456" i="13"/>
  <c r="H2482" i="13"/>
  <c r="D30" i="15"/>
  <c r="D31" i="14"/>
  <c r="H30" i="13"/>
  <c r="G30" i="13"/>
  <c r="H2375" i="15"/>
  <c r="I2382" i="13"/>
  <c r="J2375" i="15" s="1"/>
  <c r="H1659" i="15"/>
  <c r="I1666" i="13"/>
  <c r="J1659" i="15" s="1"/>
  <c r="H117" i="15"/>
  <c r="I117" i="13"/>
  <c r="J117" i="15" s="1"/>
  <c r="C338" i="9"/>
  <c r="C1386" i="5"/>
  <c r="J415" i="15"/>
  <c r="I415" i="15"/>
  <c r="D1535" i="15"/>
  <c r="D1536" i="14"/>
  <c r="H1542" i="13"/>
  <c r="G1542" i="13"/>
  <c r="I1661" i="15"/>
  <c r="F1662" i="14"/>
  <c r="I1669" i="15"/>
  <c r="F1670" i="14"/>
  <c r="I1639" i="15"/>
  <c r="F1640" i="14"/>
  <c r="J464" i="15"/>
  <c r="I464" i="15"/>
  <c r="C643" i="10"/>
  <c r="D1430" i="15"/>
  <c r="D1431" i="14"/>
  <c r="H1437" i="13"/>
  <c r="K1437" i="13"/>
  <c r="G1437" i="13"/>
  <c r="D1421" i="15"/>
  <c r="D1422" i="14"/>
  <c r="H1428" i="13"/>
  <c r="K1428" i="13"/>
  <c r="G1428" i="13"/>
  <c r="I806" i="15"/>
  <c r="F807" i="14"/>
  <c r="H759" i="15"/>
  <c r="I766" i="13"/>
  <c r="J759" i="15" s="1"/>
  <c r="O100" i="4"/>
  <c r="O103" i="4"/>
  <c r="H17" i="15"/>
  <c r="I17" i="13"/>
  <c r="J17" i="15" s="1"/>
  <c r="H856" i="15"/>
  <c r="I863" i="13"/>
  <c r="J856" i="15" s="1"/>
  <c r="H2255" i="15"/>
  <c r="I2262" i="13"/>
  <c r="J2255" i="15" s="1"/>
  <c r="E105" i="10"/>
  <c r="G105" i="10" s="1"/>
  <c r="E270" i="5"/>
  <c r="G269" i="5"/>
  <c r="H132" i="10" s="1"/>
  <c r="C641" i="10"/>
  <c r="G997" i="5"/>
  <c r="H641" i="10" s="1"/>
  <c r="H92" i="15"/>
  <c r="I92" i="13"/>
  <c r="J92" i="15" s="1"/>
  <c r="D333" i="13"/>
  <c r="E1466" i="5"/>
  <c r="AE1466" i="5"/>
  <c r="I1652" i="15"/>
  <c r="F1653" i="14"/>
  <c r="D1922" i="13"/>
  <c r="M2285" i="5"/>
  <c r="D886" i="13"/>
  <c r="C1957" i="5"/>
  <c r="E1896" i="5"/>
  <c r="H1404" i="15"/>
  <c r="I1411" i="13"/>
  <c r="J1404" i="15" s="1"/>
  <c r="I1935" i="15"/>
  <c r="F1936" i="14"/>
  <c r="E602" i="10"/>
  <c r="G602" i="10" s="1"/>
  <c r="E538" i="5"/>
  <c r="H1780" i="15"/>
  <c r="I1787" i="13"/>
  <c r="J1780" i="15" s="1"/>
  <c r="I1624" i="15"/>
  <c r="F1625" i="14"/>
  <c r="H2222" i="15"/>
  <c r="I2229" i="13"/>
  <c r="J2222" i="15" s="1"/>
  <c r="H21" i="15"/>
  <c r="I21" i="13"/>
  <c r="J21" i="15" s="1"/>
  <c r="D1841" i="13"/>
  <c r="E2160" i="5"/>
  <c r="E2180" i="5" s="1"/>
  <c r="B2181" i="5" s="1"/>
  <c r="B2183" i="5" s="1"/>
  <c r="I1660" i="15"/>
  <c r="F1661" i="14"/>
  <c r="I1668" i="15"/>
  <c r="F1669" i="14"/>
  <c r="I1638" i="15"/>
  <c r="F1639" i="14"/>
  <c r="D1875" i="15"/>
  <c r="D1876" i="14"/>
  <c r="K1882" i="13"/>
  <c r="H1882" i="13"/>
  <c r="G1882" i="13"/>
  <c r="D74" i="13"/>
  <c r="C640" i="8"/>
  <c r="J639" i="8"/>
  <c r="E639" i="8"/>
  <c r="H1405" i="15"/>
  <c r="I1412" i="13"/>
  <c r="J1405" i="15" s="1"/>
  <c r="D116" i="15"/>
  <c r="D117" i="14"/>
  <c r="H116" i="13"/>
  <c r="G116" i="13"/>
  <c r="I752" i="15"/>
  <c r="F753" i="14"/>
  <c r="D1664" i="15"/>
  <c r="D1665" i="14"/>
  <c r="H1671" i="13"/>
  <c r="G1671" i="13"/>
  <c r="H1582" i="15"/>
  <c r="I1589" i="13"/>
  <c r="J1582" i="15" s="1"/>
  <c r="D1511" i="15"/>
  <c r="D1512" i="14"/>
  <c r="K1518" i="13"/>
  <c r="H1518" i="13"/>
  <c r="G1518" i="13"/>
  <c r="I108" i="15"/>
  <c r="F109" i="14"/>
  <c r="D1419" i="15"/>
  <c r="D1420" i="14"/>
  <c r="H1426" i="13"/>
  <c r="K1426" i="13"/>
  <c r="G1426" i="13"/>
  <c r="D1439" i="15"/>
  <c r="D1440" i="14"/>
  <c r="H1446" i="13"/>
  <c r="K1446" i="13"/>
  <c r="G1446" i="13"/>
  <c r="H1534" i="15"/>
  <c r="I1541" i="13"/>
  <c r="J1534" i="15" s="1"/>
  <c r="I101" i="15"/>
  <c r="F102" i="14"/>
  <c r="D1905" i="15"/>
  <c r="D1906" i="14"/>
  <c r="K1912" i="13"/>
  <c r="H1912" i="13"/>
  <c r="G1912" i="13"/>
  <c r="D1895" i="15"/>
  <c r="D1896" i="14"/>
  <c r="K1902" i="13"/>
  <c r="H1902" i="13"/>
  <c r="G1902" i="13"/>
  <c r="D1904" i="15"/>
  <c r="D1905" i="14"/>
  <c r="K1911" i="13"/>
  <c r="H1911" i="13"/>
  <c r="G1911" i="13"/>
  <c r="H2253" i="15"/>
  <c r="I2260" i="13"/>
  <c r="J2253" i="15" s="1"/>
  <c r="I1931" i="15"/>
  <c r="F1932" i="14"/>
  <c r="H1715" i="15"/>
  <c r="I1722" i="13"/>
  <c r="J1715" i="15" s="1"/>
  <c r="I819" i="15"/>
  <c r="F820" i="14"/>
  <c r="D188" i="13"/>
  <c r="C422" i="8"/>
  <c r="D228" i="13" s="1"/>
  <c r="E355" i="8"/>
  <c r="E422" i="8" s="1"/>
  <c r="D289" i="15"/>
  <c r="D290" i="14"/>
  <c r="H289" i="13"/>
  <c r="G289" i="13"/>
  <c r="D286" i="15"/>
  <c r="D287" i="14"/>
  <c r="H286" i="13"/>
  <c r="G286" i="13"/>
  <c r="I1607" i="15"/>
  <c r="F1608" i="14"/>
  <c r="D360" i="13"/>
  <c r="AM1466" i="5"/>
  <c r="P1466" i="5"/>
  <c r="C584" i="6"/>
  <c r="C679" i="6"/>
  <c r="J658" i="6"/>
  <c r="C632" i="6"/>
  <c r="C678" i="6"/>
  <c r="D304" i="15"/>
  <c r="D305" i="14"/>
  <c r="K304" i="13"/>
  <c r="H304" i="13"/>
  <c r="G304" i="13"/>
  <c r="D1351" i="13"/>
  <c r="I660" i="9"/>
  <c r="E661" i="9"/>
  <c r="D253" i="13"/>
  <c r="L425" i="8"/>
  <c r="D1957" i="15"/>
  <c r="D1958" i="14"/>
  <c r="H1964" i="13"/>
  <c r="G1964" i="13"/>
  <c r="D1066" i="13"/>
  <c r="F207" i="7"/>
  <c r="D1061" i="13"/>
  <c r="F202" i="7"/>
  <c r="D1068" i="13"/>
  <c r="F209" i="7"/>
  <c r="D1244" i="13"/>
  <c r="L223" i="7"/>
  <c r="D1041" i="13"/>
  <c r="F182" i="7"/>
  <c r="D1037" i="13"/>
  <c r="F178" i="7"/>
  <c r="D1056" i="13"/>
  <c r="F197" i="7"/>
  <c r="I2252" i="15"/>
  <c r="F2253" i="14"/>
  <c r="H113" i="4"/>
  <c r="H112" i="4"/>
  <c r="I756" i="15"/>
  <c r="F757" i="14"/>
  <c r="H27" i="15"/>
  <c r="I27" i="13"/>
  <c r="J27" i="15" s="1"/>
  <c r="D1740" i="13"/>
  <c r="L219" i="4"/>
  <c r="D129" i="13"/>
  <c r="E275" i="8"/>
  <c r="D126" i="15"/>
  <c r="D127" i="14"/>
  <c r="K126" i="13"/>
  <c r="H126" i="13"/>
  <c r="G126" i="13"/>
  <c r="E544" i="10"/>
  <c r="G544" i="10" s="1"/>
  <c r="E941" i="5"/>
  <c r="C645" i="10"/>
  <c r="I1880" i="15"/>
  <c r="F1881" i="14"/>
  <c r="I104" i="15"/>
  <c r="F105" i="14"/>
  <c r="D16" i="15"/>
  <c r="D17" i="14"/>
  <c r="K16" i="13"/>
  <c r="H16" i="13"/>
  <c r="G16" i="13"/>
  <c r="D1331" i="15"/>
  <c r="D1332" i="14"/>
  <c r="K1338" i="13"/>
  <c r="H1338" i="13"/>
  <c r="G1338" i="13"/>
  <c r="D107" i="15"/>
  <c r="D108" i="14"/>
  <c r="H107" i="13"/>
  <c r="K107" i="13"/>
  <c r="G107" i="13"/>
  <c r="C648" i="10"/>
  <c r="I1606" i="15"/>
  <c r="F1607" i="14"/>
  <c r="D1475" i="13"/>
  <c r="L275" i="9"/>
  <c r="I834" i="15"/>
  <c r="F835" i="14"/>
  <c r="C599" i="9"/>
  <c r="J580" i="9"/>
  <c r="C580" i="9"/>
  <c r="J579" i="9"/>
  <c r="C579" i="9"/>
  <c r="J578" i="9"/>
  <c r="C578" i="9"/>
  <c r="J577" i="9"/>
  <c r="C605" i="9"/>
  <c r="C597" i="9"/>
  <c r="J590" i="9"/>
  <c r="J583" i="9"/>
  <c r="C583" i="9"/>
  <c r="C616" i="9"/>
  <c r="C615" i="9"/>
  <c r="C614" i="9"/>
  <c r="C596" i="9"/>
  <c r="C588" i="9"/>
  <c r="D1735" i="15"/>
  <c r="D1736" i="14"/>
  <c r="H1742" i="13"/>
  <c r="G1742" i="13"/>
  <c r="D745" i="13"/>
  <c r="O1786" i="5"/>
  <c r="J113" i="4"/>
  <c r="J112" i="4"/>
  <c r="D1951" i="15"/>
  <c r="D1952" i="14"/>
  <c r="H1958" i="13"/>
  <c r="G1958" i="13"/>
  <c r="H1862" i="15"/>
  <c r="I1869" i="13"/>
  <c r="J1862" i="15" s="1"/>
  <c r="H1864" i="15"/>
  <c r="I1871" i="13"/>
  <c r="J1864" i="15" s="1"/>
  <c r="D1510" i="15"/>
  <c r="D1511" i="14"/>
  <c r="K1517" i="13"/>
  <c r="H1517" i="13"/>
  <c r="G1517" i="13"/>
  <c r="D1615" i="13"/>
  <c r="L444" i="9"/>
  <c r="I1721" i="15"/>
  <c r="F1722" i="14"/>
  <c r="I1665" i="15"/>
  <c r="F1666" i="14"/>
  <c r="I1650" i="15"/>
  <c r="F1651" i="14"/>
  <c r="C1097" i="5"/>
  <c r="F1097" i="5" s="1"/>
  <c r="F1101" i="5" s="1"/>
  <c r="K94" i="5"/>
  <c r="J106" i="5" s="1"/>
  <c r="K108" i="5"/>
  <c r="H6" i="13" s="1"/>
  <c r="J108" i="5"/>
  <c r="H5" i="13" s="1"/>
  <c r="N166" i="4"/>
  <c r="N201" i="4" s="1"/>
  <c r="D1432" i="15"/>
  <c r="D1433" i="14"/>
  <c r="H1439" i="13"/>
  <c r="K1439" i="13"/>
  <c r="G1439" i="13"/>
  <c r="H1950" i="15"/>
  <c r="I1957" i="13"/>
  <c r="J1950" i="15" s="1"/>
  <c r="H1630" i="15"/>
  <c r="I1637" i="13"/>
  <c r="J1630" i="15" s="1"/>
  <c r="C619" i="10"/>
  <c r="G975" i="5"/>
  <c r="H619" i="10" s="1"/>
  <c r="D1933" i="15"/>
  <c r="D1934" i="14"/>
  <c r="K1940" i="13"/>
  <c r="H1940" i="13"/>
  <c r="G1940" i="13"/>
  <c r="H753" i="15"/>
  <c r="I760" i="13"/>
  <c r="J753" i="15" s="1"/>
  <c r="I1814" i="15"/>
  <c r="F1815" i="14"/>
  <c r="I745" i="15"/>
  <c r="F746" i="14"/>
  <c r="I782" i="15"/>
  <c r="F783" i="14"/>
  <c r="I1622" i="15"/>
  <c r="F1623" i="14"/>
  <c r="H1671" i="15"/>
  <c r="I1678" i="13"/>
  <c r="J1671" i="15" s="1"/>
  <c r="H1640" i="15"/>
  <c r="I1647" i="13"/>
  <c r="J1640" i="15" s="1"/>
  <c r="C664" i="9"/>
  <c r="C660" i="9"/>
  <c r="H2256" i="15"/>
  <c r="I2263" i="13"/>
  <c r="J2256" i="15" s="1"/>
  <c r="D216" i="13"/>
  <c r="C411" i="8"/>
  <c r="E409" i="8"/>
  <c r="G39" i="5"/>
  <c r="G1537" i="5" s="1"/>
  <c r="G940" i="5"/>
  <c r="H544" i="10" s="1"/>
  <c r="D1044" i="13"/>
  <c r="F99" i="7"/>
  <c r="D100" i="7"/>
  <c r="C616" i="6"/>
  <c r="C491" i="6" s="1"/>
  <c r="I1846" i="15"/>
  <c r="F1847" i="14"/>
  <c r="H1844" i="15"/>
  <c r="I1851" i="13"/>
  <c r="J1844" i="15" s="1"/>
  <c r="I1949" i="15"/>
  <c r="F1950" i="14"/>
  <c r="I1636" i="15"/>
  <c r="F1637" i="14"/>
  <c r="H1623" i="15"/>
  <c r="I1630" i="13"/>
  <c r="J1623" i="15" s="1"/>
  <c r="D1928" i="13"/>
  <c r="M2291" i="5"/>
  <c r="D1913" i="15"/>
  <c r="D1914" i="14"/>
  <c r="H1920" i="13"/>
  <c r="G1920" i="13"/>
  <c r="D114" i="15"/>
  <c r="D115" i="14"/>
  <c r="H114" i="13"/>
  <c r="G114" i="13"/>
  <c r="D56" i="13"/>
  <c r="J619" i="8"/>
  <c r="J615" i="8"/>
  <c r="L613" i="8"/>
  <c r="J620" i="8"/>
  <c r="J616" i="8"/>
  <c r="J618" i="8"/>
  <c r="J614" i="8"/>
  <c r="J617" i="8"/>
  <c r="D37" i="13"/>
  <c r="E614" i="8"/>
  <c r="D40" i="13"/>
  <c r="E617" i="8"/>
  <c r="D366" i="7"/>
  <c r="D298" i="7"/>
  <c r="D296" i="7"/>
  <c r="D293" i="7"/>
  <c r="D291" i="7"/>
  <c r="D288" i="7"/>
  <c r="D285" i="7"/>
  <c r="D283" i="7"/>
  <c r="D281" i="7"/>
  <c r="D157" i="7"/>
  <c r="D9" i="7"/>
  <c r="D318" i="7"/>
  <c r="D290" i="7"/>
  <c r="D287" i="7"/>
  <c r="D23" i="7"/>
  <c r="D286" i="7"/>
  <c r="D284" i="7"/>
  <c r="J67" i="7"/>
  <c r="D1228" i="13" s="1"/>
  <c r="D28" i="7"/>
  <c r="J62" i="7" s="1"/>
  <c r="D1224" i="13" s="1"/>
  <c r="D15" i="7"/>
  <c r="D282" i="7"/>
  <c r="D280" i="7"/>
  <c r="D156" i="7"/>
  <c r="D155" i="7"/>
  <c r="D33" i="7"/>
  <c r="D297" i="7"/>
  <c r="D289" i="7"/>
  <c r="D38" i="7"/>
  <c r="D4" i="7"/>
  <c r="D101" i="7" s="1"/>
  <c r="D295" i="7"/>
  <c r="D294" i="7"/>
  <c r="D292" i="7"/>
  <c r="J66" i="7"/>
  <c r="D1227" i="13" s="1"/>
  <c r="F44" i="5"/>
  <c r="J65" i="7"/>
  <c r="D1226" i="13" s="1"/>
  <c r="D1243" i="13"/>
  <c r="L221" i="7"/>
  <c r="C633" i="10"/>
  <c r="E760" i="15"/>
  <c r="G760" i="15" s="1"/>
  <c r="I1932" i="15"/>
  <c r="F1933" i="14"/>
  <c r="H1914" i="15"/>
  <c r="I1921" i="13"/>
  <c r="J1914" i="15" s="1"/>
  <c r="I22" i="15"/>
  <c r="F23" i="14"/>
  <c r="H166" i="4"/>
  <c r="H164" i="4"/>
  <c r="L163" i="4"/>
  <c r="D1479" i="13"/>
  <c r="L279" i="9"/>
  <c r="H841" i="15"/>
  <c r="I848" i="13"/>
  <c r="J841" i="15" s="1"/>
  <c r="D1885" i="15"/>
  <c r="D1886" i="14"/>
  <c r="K1892" i="13"/>
  <c r="H1892" i="13"/>
  <c r="G1892" i="13"/>
  <c r="D1919" i="13"/>
  <c r="M2282" i="5"/>
  <c r="D1908" i="15"/>
  <c r="D1909" i="14"/>
  <c r="H1915" i="13"/>
  <c r="G1915" i="13"/>
  <c r="H755" i="15"/>
  <c r="I762" i="13"/>
  <c r="J755" i="15" s="1"/>
  <c r="H1751" i="15"/>
  <c r="I1758" i="13"/>
  <c r="J1751" i="15" s="1"/>
  <c r="C362" i="6"/>
  <c r="C617" i="6"/>
  <c r="C1399" i="5"/>
  <c r="C1515" i="5"/>
  <c r="N1394" i="5"/>
  <c r="C492" i="6"/>
  <c r="M99" i="4"/>
  <c r="M199" i="4"/>
  <c r="Q199" i="4" s="1"/>
  <c r="C621" i="10"/>
  <c r="G977" i="5"/>
  <c r="H621" i="10" s="1"/>
  <c r="I893" i="15"/>
  <c r="F894" i="14"/>
  <c r="H1781" i="15"/>
  <c r="I1788" i="13"/>
  <c r="J1781" i="15" s="1"/>
  <c r="D1648" i="15"/>
  <c r="D1649" i="14"/>
  <c r="K1655" i="13"/>
  <c r="H1655" i="13"/>
  <c r="G1655" i="13"/>
  <c r="I731" i="15"/>
  <c r="F732" i="14"/>
  <c r="H610" i="15"/>
  <c r="I617" i="13"/>
  <c r="J610" i="15" s="1"/>
  <c r="E267" i="10"/>
  <c r="F693" i="5"/>
  <c r="F267" i="10" s="1"/>
  <c r="J503" i="15"/>
  <c r="I503" i="15"/>
  <c r="H1856" i="15"/>
  <c r="I1863" i="13"/>
  <c r="J1856" i="15" s="1"/>
  <c r="D89" i="15"/>
  <c r="D90" i="14"/>
  <c r="H89" i="13"/>
  <c r="G89" i="13"/>
  <c r="E562" i="10"/>
  <c r="G562" i="10" s="1"/>
  <c r="E959" i="5"/>
  <c r="D1423" i="13"/>
  <c r="E274" i="9"/>
  <c r="D1470" i="13"/>
  <c r="L268" i="9"/>
  <c r="D1436" i="13"/>
  <c r="C295" i="9"/>
  <c r="E287" i="9"/>
  <c r="J281" i="9"/>
  <c r="L281" i="9" s="1"/>
  <c r="D1471" i="13"/>
  <c r="L271" i="9"/>
  <c r="E56" i="10"/>
  <c r="F220" i="5"/>
  <c r="F56" i="10" s="1"/>
  <c r="E221" i="5"/>
  <c r="D871" i="15"/>
  <c r="D872" i="14"/>
  <c r="H878" i="13"/>
  <c r="K878" i="13"/>
  <c r="H1825" i="15"/>
  <c r="I1832" i="13"/>
  <c r="J1825" i="15" s="1"/>
  <c r="H1711" i="15"/>
  <c r="I1718" i="13"/>
  <c r="J1711" i="15" s="1"/>
  <c r="I1659" i="15"/>
  <c r="F1660" i="14"/>
  <c r="H1679" i="13"/>
  <c r="I1672" i="15" s="1"/>
  <c r="I770" i="15"/>
  <c r="F771" i="14"/>
  <c r="I117" i="15"/>
  <c r="F118" i="14"/>
  <c r="E311" i="10"/>
  <c r="G311" i="10" s="1"/>
  <c r="E738" i="5"/>
  <c r="G737" i="5"/>
  <c r="H311" i="10" s="1"/>
  <c r="H1865" i="15"/>
  <c r="I1872" i="13"/>
  <c r="J1865" i="15" s="1"/>
  <c r="H1826" i="15"/>
  <c r="I1833" i="13"/>
  <c r="J1826" i="15" s="1"/>
  <c r="I2433" i="15"/>
  <c r="H2500" i="13"/>
  <c r="I2492" i="15" s="1"/>
  <c r="D1460" i="13"/>
  <c r="E311" i="9"/>
  <c r="D1873" i="15"/>
  <c r="D1874" i="14"/>
  <c r="K1880" i="13"/>
  <c r="H1880" i="13"/>
  <c r="G1880" i="13"/>
  <c r="D1919" i="15"/>
  <c r="D1920" i="14"/>
  <c r="H1926" i="13"/>
  <c r="G1926" i="13"/>
  <c r="H97" i="15"/>
  <c r="I97" i="13"/>
  <c r="J97" i="15" s="1"/>
  <c r="D1763" i="13"/>
  <c r="E587" i="9"/>
  <c r="I17" i="15"/>
  <c r="F18" i="14"/>
  <c r="H1855" i="15"/>
  <c r="I1862" i="13"/>
  <c r="J1855" i="15" s="1"/>
  <c r="D1682" i="13"/>
  <c r="E210" i="4"/>
  <c r="I856" i="15"/>
  <c r="F857" i="14"/>
  <c r="I2255" i="15"/>
  <c r="F2256" i="14"/>
  <c r="D284" i="15"/>
  <c r="D285" i="14"/>
  <c r="H284" i="13"/>
  <c r="G284" i="13"/>
  <c r="I92" i="15"/>
  <c r="F93" i="14"/>
  <c r="D334" i="13"/>
  <c r="E1467" i="5"/>
  <c r="AG1467" i="5" s="1"/>
  <c r="AU1467" i="5" s="1"/>
  <c r="AE1467" i="5"/>
  <c r="D1654" i="13"/>
  <c r="E538" i="9"/>
  <c r="E551" i="9" s="1"/>
  <c r="B552" i="9" s="1"/>
  <c r="B554" i="9" s="1"/>
  <c r="D1908" i="13"/>
  <c r="E2310" i="5"/>
  <c r="I1714" i="15"/>
  <c r="F1715" i="14"/>
  <c r="I1404" i="15"/>
  <c r="F1405" i="14"/>
  <c r="D2257" i="15"/>
  <c r="D2258" i="14"/>
  <c r="K2264" i="13"/>
  <c r="H2264" i="13"/>
  <c r="G2264" i="13"/>
  <c r="H1581" i="15"/>
  <c r="I1588" i="13"/>
  <c r="J1581" i="15" s="1"/>
  <c r="D1693" i="13"/>
  <c r="E221" i="4"/>
  <c r="D1890" i="15"/>
  <c r="D1891" i="14"/>
  <c r="K1897" i="13"/>
  <c r="H1897" i="13"/>
  <c r="G1897" i="13"/>
  <c r="D209" i="15"/>
  <c r="D210" i="14"/>
  <c r="H209" i="13"/>
  <c r="G209" i="13"/>
  <c r="D764" i="15"/>
  <c r="D765" i="14"/>
  <c r="H771" i="13"/>
  <c r="K771" i="13"/>
  <c r="G771" i="13"/>
  <c r="I21" i="15"/>
  <c r="F22" i="14"/>
  <c r="H1845" i="15"/>
  <c r="I1852" i="13"/>
  <c r="J1845" i="15" s="1"/>
  <c r="D1829" i="15"/>
  <c r="D1830" i="14"/>
  <c r="K1836" i="13"/>
  <c r="H1836" i="13"/>
  <c r="G1836" i="13"/>
  <c r="D1807" i="13"/>
  <c r="L584" i="9"/>
  <c r="E437" i="10"/>
  <c r="G437" i="10" s="1"/>
  <c r="E453" i="5"/>
  <c r="G452" i="5"/>
  <c r="H437" i="10" s="1"/>
  <c r="I769" i="15"/>
  <c r="F770" i="14"/>
  <c r="I1405" i="15"/>
  <c r="F1406" i="14"/>
  <c r="H2376" i="15"/>
  <c r="I2383" i="13"/>
  <c r="J2376" i="15" s="1"/>
  <c r="C639" i="10"/>
  <c r="G995" i="5"/>
  <c r="H639" i="10" s="1"/>
  <c r="H1712" i="15"/>
  <c r="I1719" i="13"/>
  <c r="J1712" i="15" s="1"/>
  <c r="H1929" i="15"/>
  <c r="I1936" i="13"/>
  <c r="J1929" i="15" s="1"/>
  <c r="I1582" i="15"/>
  <c r="F1583" i="14"/>
  <c r="D32" i="15"/>
  <c r="D33" i="14"/>
  <c r="H32" i="13"/>
  <c r="G32" i="13"/>
  <c r="H78" i="15"/>
  <c r="I78" i="13"/>
  <c r="J78" i="15" s="1"/>
  <c r="D1769" i="15"/>
  <c r="D1770" i="14"/>
  <c r="H1776" i="13"/>
  <c r="K1776" i="13"/>
  <c r="G1776" i="13"/>
  <c r="E504" i="10"/>
  <c r="G504" i="10" s="1"/>
  <c r="E480" i="5"/>
  <c r="G479" i="5"/>
  <c r="H504" i="10" s="1"/>
  <c r="D1417" i="15"/>
  <c r="D1418" i="14"/>
  <c r="H1424" i="13"/>
  <c r="K1424" i="13"/>
  <c r="G1424" i="13"/>
  <c r="I1709" i="15"/>
  <c r="F1710" i="14"/>
  <c r="I1534" i="15"/>
  <c r="F1535" i="14"/>
  <c r="N104" i="4"/>
  <c r="N159" i="4"/>
  <c r="N108" i="4"/>
  <c r="C651" i="10"/>
  <c r="I2253" i="15"/>
  <c r="F2254" i="14"/>
  <c r="E709" i="10"/>
  <c r="G709" i="10" s="1"/>
  <c r="E1026" i="5"/>
  <c r="I461" i="15"/>
  <c r="J461" i="15"/>
  <c r="D344" i="13"/>
  <c r="E1469" i="5"/>
  <c r="AG1469" i="5" s="1"/>
  <c r="AU1469" i="5" s="1"/>
  <c r="AE1470" i="5"/>
  <c r="I2226" i="15"/>
  <c r="F2227" i="14"/>
  <c r="H754" i="10"/>
  <c r="G754" i="10" s="1"/>
  <c r="C1535" i="5"/>
  <c r="H650" i="15"/>
  <c r="I657" i="13"/>
  <c r="J650" i="15" s="1"/>
  <c r="D1355" i="13"/>
  <c r="E665" i="9"/>
  <c r="I102" i="15"/>
  <c r="F103" i="14"/>
  <c r="D1069" i="13"/>
  <c r="F210" i="7"/>
  <c r="D1064" i="13"/>
  <c r="F205" i="7"/>
  <c r="D1065" i="13"/>
  <c r="F206" i="7"/>
  <c r="D1055" i="13"/>
  <c r="F196" i="7"/>
  <c r="D198" i="7"/>
  <c r="D1039" i="13"/>
  <c r="F180" i="7"/>
  <c r="D1038" i="13"/>
  <c r="F179" i="7"/>
  <c r="D1040" i="13"/>
  <c r="F181" i="7"/>
  <c r="H110" i="4"/>
  <c r="I27" i="15"/>
  <c r="F28" i="14"/>
  <c r="D1692" i="13"/>
  <c r="E220" i="4"/>
  <c r="D208" i="15"/>
  <c r="D209" i="14"/>
  <c r="H208" i="13"/>
  <c r="G208" i="13"/>
  <c r="D1835" i="15"/>
  <c r="D1836" i="14"/>
  <c r="K1842" i="13"/>
  <c r="H1842" i="13"/>
  <c r="G1842" i="13"/>
  <c r="C625" i="10"/>
  <c r="G981" i="5"/>
  <c r="H625" i="10" s="1"/>
  <c r="C624" i="10"/>
  <c r="G980" i="5"/>
  <c r="H624" i="10" s="1"/>
  <c r="H1384" i="15"/>
  <c r="I1391" i="13"/>
  <c r="J1384" i="15" s="1"/>
  <c r="H1948" i="15"/>
  <c r="I1955" i="13"/>
  <c r="J1948" i="15" s="1"/>
  <c r="H1801" i="15"/>
  <c r="I1808" i="13"/>
  <c r="J1801" i="15" s="1"/>
  <c r="C638" i="10"/>
  <c r="G994" i="5"/>
  <c r="H638" i="10" s="1"/>
  <c r="I2224" i="15"/>
  <c r="F2225" i="14"/>
  <c r="D1418" i="15"/>
  <c r="D1419" i="14"/>
  <c r="H1425" i="13"/>
  <c r="K1425" i="13"/>
  <c r="G1425" i="13"/>
  <c r="H1857" i="15"/>
  <c r="I1864" i="13"/>
  <c r="J1857" i="15" s="1"/>
  <c r="D713" i="15"/>
  <c r="D714" i="14"/>
  <c r="H720" i="13"/>
  <c r="K720" i="13"/>
  <c r="G720" i="13"/>
  <c r="J110" i="4"/>
  <c r="H91" i="15"/>
  <c r="I91" i="13"/>
  <c r="J91" i="15" s="1"/>
  <c r="I1862" i="15"/>
  <c r="F1863" i="14"/>
  <c r="I1864" i="15"/>
  <c r="F1865" i="14"/>
  <c r="D1556" i="15"/>
  <c r="D1557" i="14"/>
  <c r="K1563" i="13"/>
  <c r="H1563" i="13"/>
  <c r="G1563" i="13"/>
  <c r="F1103" i="5"/>
  <c r="L94" i="5"/>
  <c r="J107" i="5" s="1"/>
  <c r="O166" i="4"/>
  <c r="O201" i="4" s="1"/>
  <c r="D1469" i="15"/>
  <c r="D1470" i="14"/>
  <c r="H1476" i="13"/>
  <c r="G1476" i="13"/>
  <c r="D1459" i="13"/>
  <c r="E310" i="9"/>
  <c r="I777" i="13"/>
  <c r="J770" i="15" s="1"/>
  <c r="D1920" i="15"/>
  <c r="D1921" i="14"/>
  <c r="H1927" i="13"/>
  <c r="G1927" i="13"/>
  <c r="D1870" i="15"/>
  <c r="D1871" i="14"/>
  <c r="K1877" i="13"/>
  <c r="H1877" i="13"/>
  <c r="G1877" i="13"/>
  <c r="I1950" i="15"/>
  <c r="F1951" i="14"/>
  <c r="I1630" i="15"/>
  <c r="F1631" i="14"/>
  <c r="D1770" i="13"/>
  <c r="E594" i="9"/>
  <c r="I753" i="15"/>
  <c r="F754" i="14"/>
  <c r="E421" i="10"/>
  <c r="G421" i="10" s="1"/>
  <c r="E437" i="5"/>
  <c r="G436" i="5"/>
  <c r="H421" i="10" s="1"/>
  <c r="I1713" i="15"/>
  <c r="F1714" i="14"/>
  <c r="C615" i="10"/>
  <c r="G971" i="5"/>
  <c r="H615" i="10" s="1"/>
  <c r="D263" i="15"/>
  <c r="D264" i="14"/>
  <c r="H263" i="13"/>
  <c r="K263" i="13"/>
  <c r="G263" i="13"/>
  <c r="D260" i="15"/>
  <c r="D261" i="14"/>
  <c r="H260" i="13"/>
  <c r="K260" i="13"/>
  <c r="G260" i="13"/>
  <c r="C453" i="8"/>
  <c r="C330" i="8"/>
  <c r="C1504" i="5"/>
  <c r="E683" i="10"/>
  <c r="G683" i="10" s="1"/>
  <c r="E579" i="5"/>
  <c r="G578" i="5"/>
  <c r="H683" i="10" s="1"/>
  <c r="I1671" i="15"/>
  <c r="F1672" i="14"/>
  <c r="I1640" i="15"/>
  <c r="F1641" i="14"/>
  <c r="C682" i="9"/>
  <c r="I2256" i="15"/>
  <c r="F2257" i="14"/>
  <c r="H806" i="15"/>
  <c r="I813" i="13"/>
  <c r="J806" i="15" s="1"/>
  <c r="D26" i="13"/>
  <c r="L598" i="8"/>
  <c r="D1709" i="13"/>
  <c r="E238" i="4"/>
  <c r="D239" i="13"/>
  <c r="L410" i="8"/>
  <c r="H1651" i="15"/>
  <c r="I1658" i="13"/>
  <c r="J1651" i="15" s="1"/>
  <c r="D232" i="15"/>
  <c r="D233" i="14"/>
  <c r="H232" i="13"/>
  <c r="K232" i="13"/>
  <c r="G232" i="13"/>
  <c r="D190" i="15"/>
  <c r="D191" i="14"/>
  <c r="K190" i="13"/>
  <c r="H190" i="13"/>
  <c r="G190" i="13"/>
  <c r="D1874" i="15"/>
  <c r="D1875" i="14"/>
  <c r="K1881" i="13"/>
  <c r="H1881" i="13"/>
  <c r="G1881" i="13"/>
  <c r="C644" i="10"/>
  <c r="C1463" i="5"/>
  <c r="D1789" i="15"/>
  <c r="D1790" i="14"/>
  <c r="H1796" i="13"/>
  <c r="K1796" i="13"/>
  <c r="G1796" i="13"/>
  <c r="I1844" i="15"/>
  <c r="F1845" i="14"/>
  <c r="H79" i="15"/>
  <c r="I79" i="13"/>
  <c r="J79" i="15" s="1"/>
  <c r="D1761" i="13"/>
  <c r="E585" i="9"/>
  <c r="J587" i="9"/>
  <c r="I1623" i="15"/>
  <c r="F1624" i="14"/>
  <c r="H1649" i="15"/>
  <c r="I1656" i="13"/>
  <c r="J1649" i="15" s="1"/>
  <c r="I808" i="15"/>
  <c r="F809" i="14"/>
  <c r="H1682" i="15"/>
  <c r="I1689" i="13"/>
  <c r="J1682" i="15" s="1"/>
  <c r="D38" i="13"/>
  <c r="E615" i="8"/>
  <c r="D42" i="13"/>
  <c r="C620" i="8"/>
  <c r="E619" i="8"/>
  <c r="D39" i="13"/>
  <c r="C618" i="8"/>
  <c r="E616" i="8"/>
  <c r="I106" i="15"/>
  <c r="F107" i="14"/>
  <c r="D1080" i="13"/>
  <c r="F221" i="7"/>
  <c r="D1081" i="13"/>
  <c r="F222" i="7"/>
  <c r="H1847" i="15"/>
  <c r="I1854" i="13"/>
  <c r="J1847" i="15" s="1"/>
  <c r="E797" i="15"/>
  <c r="G797" i="15" s="1"/>
  <c r="G804" i="13"/>
  <c r="H18" i="15"/>
  <c r="I18" i="13"/>
  <c r="J18" i="15" s="1"/>
  <c r="I1914" i="15"/>
  <c r="F1915" i="14"/>
  <c r="E359" i="10"/>
  <c r="G359" i="10" s="1"/>
  <c r="E786" i="5"/>
  <c r="G785" i="5"/>
  <c r="H359" i="10" s="1"/>
  <c r="H2449" i="15"/>
  <c r="I2457" i="13"/>
  <c r="J2449" i="15" s="1"/>
  <c r="E1178" i="5"/>
  <c r="H1372" i="15"/>
  <c r="I1379" i="13"/>
  <c r="J1372" i="15" s="1"/>
  <c r="D1560" i="15"/>
  <c r="D1561" i="14"/>
  <c r="K1567" i="13"/>
  <c r="H1567" i="13"/>
  <c r="G1567" i="13"/>
  <c r="I164" i="4"/>
  <c r="I205" i="4" s="1"/>
  <c r="I206" i="4" s="1"/>
  <c r="I166" i="4"/>
  <c r="D1407" i="15"/>
  <c r="D1408" i="14"/>
  <c r="K1414" i="13"/>
  <c r="H1414" i="13"/>
  <c r="G1414" i="13"/>
  <c r="D1408" i="15"/>
  <c r="D1409" i="14"/>
  <c r="K1415" i="13"/>
  <c r="H1415" i="13"/>
  <c r="G1415" i="13"/>
  <c r="D1918" i="13"/>
  <c r="M2281" i="5"/>
  <c r="I755" i="15"/>
  <c r="F756" i="14"/>
  <c r="E520" i="10"/>
  <c r="G520" i="10" s="1"/>
  <c r="E496" i="5"/>
  <c r="G495" i="5"/>
  <c r="H520" i="10" s="1"/>
  <c r="D1934" i="15"/>
  <c r="D1935" i="14"/>
  <c r="K1941" i="13"/>
  <c r="H1941" i="13"/>
  <c r="G1941" i="13"/>
  <c r="D261" i="13"/>
  <c r="C496" i="8"/>
  <c r="E481" i="8"/>
  <c r="D336" i="15"/>
  <c r="D337" i="14"/>
  <c r="K343" i="13"/>
  <c r="H343" i="13"/>
  <c r="G343" i="13"/>
  <c r="H1458" i="15"/>
  <c r="I1465" i="13"/>
  <c r="J1458" i="15" s="1"/>
  <c r="D277" i="15"/>
  <c r="D278" i="14"/>
  <c r="H277" i="13"/>
  <c r="K277" i="13"/>
  <c r="G277" i="13"/>
  <c r="H105" i="15"/>
  <c r="I105" i="13"/>
  <c r="J105" i="15" s="1"/>
  <c r="C375" i="6"/>
  <c r="C1407" i="5"/>
  <c r="I610" i="15"/>
  <c r="F611" i="14"/>
  <c r="G658" i="5"/>
  <c r="G232" i="10"/>
  <c r="D1685" i="13"/>
  <c r="E213" i="4"/>
  <c r="D134" i="13"/>
  <c r="L272" i="8"/>
  <c r="I1856" i="15"/>
  <c r="F1857" i="14"/>
  <c r="C616" i="10"/>
  <c r="G972" i="5"/>
  <c r="H616" i="10" s="1"/>
  <c r="D252" i="13"/>
  <c r="L424" i="8"/>
  <c r="D1611" i="13"/>
  <c r="L440" i="9"/>
  <c r="D1758" i="15"/>
  <c r="D1759" i="14"/>
  <c r="H1765" i="13"/>
  <c r="K1765" i="13"/>
  <c r="G1765" i="13"/>
  <c r="L1130" i="5"/>
  <c r="C407" i="9" s="1"/>
  <c r="L1199" i="5"/>
  <c r="H1667" i="15"/>
  <c r="I1674" i="13"/>
  <c r="J1667" i="15" s="1"/>
  <c r="D1466" i="13"/>
  <c r="J272" i="9"/>
  <c r="L264" i="9"/>
  <c r="J273" i="9"/>
  <c r="D1420" i="13"/>
  <c r="E271" i="9"/>
  <c r="D1453" i="13"/>
  <c r="E304" i="9"/>
  <c r="D1421" i="13"/>
  <c r="E272" i="9"/>
  <c r="G55" i="10"/>
  <c r="E586" i="10"/>
  <c r="G586" i="10" s="1"/>
  <c r="E522" i="5"/>
  <c r="I1825" i="15"/>
  <c r="F1826" i="14"/>
  <c r="D757" i="13"/>
  <c r="E1985" i="5"/>
  <c r="C1986" i="5"/>
  <c r="C1996" i="5" s="1"/>
  <c r="K113" i="4"/>
  <c r="K112" i="4"/>
  <c r="H1653" i="15"/>
  <c r="I1660" i="13"/>
  <c r="J1653" i="15" s="1"/>
  <c r="I1865" i="15"/>
  <c r="F1866" i="14"/>
  <c r="I1826" i="15"/>
  <c r="F1827" i="14"/>
  <c r="H1853" i="15"/>
  <c r="I1860" i="13"/>
  <c r="J1853" i="15" s="1"/>
  <c r="G1873" i="13"/>
  <c r="H1863" i="15"/>
  <c r="I1870" i="13"/>
  <c r="J1863" i="15" s="1"/>
  <c r="H2347" i="13"/>
  <c r="D1744" i="15"/>
  <c r="D1745" i="14"/>
  <c r="H1751" i="13"/>
  <c r="K1751" i="13"/>
  <c r="G1751" i="13"/>
  <c r="D2241" i="15"/>
  <c r="D2242" i="14"/>
  <c r="H2248" i="13"/>
  <c r="H2255" i="13" s="1"/>
  <c r="I2248" i="15" s="1"/>
  <c r="G2248" i="13"/>
  <c r="D1455" i="15"/>
  <c r="D1456" i="14"/>
  <c r="H1462" i="13"/>
  <c r="K1462" i="13"/>
  <c r="G1462" i="13"/>
  <c r="D811" i="13"/>
  <c r="C2002" i="5"/>
  <c r="E1956" i="5"/>
  <c r="H771" i="15"/>
  <c r="I778" i="13"/>
  <c r="J771" i="15" s="1"/>
  <c r="E725" i="10"/>
  <c r="G725" i="10" s="1"/>
  <c r="E1042" i="5"/>
  <c r="C622" i="10"/>
  <c r="G978" i="5"/>
  <c r="H622" i="10" s="1"/>
  <c r="I97" i="15"/>
  <c r="F98" i="14"/>
  <c r="D1953" i="15"/>
  <c r="D1954" i="14"/>
  <c r="H1960" i="13"/>
  <c r="G1960" i="13"/>
  <c r="I1855" i="15"/>
  <c r="F1856" i="14"/>
  <c r="J210" i="4"/>
  <c r="C211" i="4"/>
  <c r="H1625" i="15"/>
  <c r="I1632" i="13"/>
  <c r="J1625" i="15" s="1"/>
  <c r="D1642" i="15"/>
  <c r="D1643" i="14"/>
  <c r="K1649" i="13"/>
  <c r="H1649" i="13"/>
  <c r="G1649" i="13"/>
  <c r="G1041" i="5"/>
  <c r="H725" i="10" s="1"/>
  <c r="H1952" i="15"/>
  <c r="I1959" i="13"/>
  <c r="J1952" i="15" s="1"/>
  <c r="H739" i="10"/>
  <c r="H736" i="10" s="1"/>
  <c r="G596" i="5"/>
  <c r="H743" i="10" s="1"/>
  <c r="D233" i="15"/>
  <c r="D234" i="14"/>
  <c r="H233" i="13"/>
  <c r="K233" i="13"/>
  <c r="G233" i="13"/>
  <c r="D842" i="15"/>
  <c r="D843" i="14"/>
  <c r="H849" i="13"/>
  <c r="K849" i="13"/>
  <c r="G849" i="13"/>
  <c r="D1886" i="15"/>
  <c r="D1887" i="14"/>
  <c r="K1893" i="13"/>
  <c r="H1893" i="13"/>
  <c r="G1893" i="13"/>
  <c r="H754" i="15"/>
  <c r="I761" i="13"/>
  <c r="J754" i="15" s="1"/>
  <c r="C549" i="6"/>
  <c r="J532" i="6"/>
  <c r="I1581" i="15"/>
  <c r="F1582" i="14"/>
  <c r="H128" i="15"/>
  <c r="I128" i="13"/>
  <c r="J128" i="15" s="1"/>
  <c r="I1780" i="15"/>
  <c r="F1781" i="14"/>
  <c r="I2222" i="15"/>
  <c r="F2223" i="14"/>
  <c r="C681" i="9"/>
  <c r="I665" i="9"/>
  <c r="I657" i="9"/>
  <c r="I653" i="9"/>
  <c r="C680" i="9"/>
  <c r="C674" i="9"/>
  <c r="C663" i="9"/>
  <c r="C659" i="9"/>
  <c r="C653" i="9"/>
  <c r="I652" i="9"/>
  <c r="I650" i="9"/>
  <c r="C695" i="9"/>
  <c r="I666" i="9"/>
  <c r="I664" i="9"/>
  <c r="I656" i="9"/>
  <c r="C652" i="9"/>
  <c r="C690" i="9"/>
  <c r="C656" i="9"/>
  <c r="I651" i="9"/>
  <c r="I649" i="9"/>
  <c r="E667" i="10"/>
  <c r="G667" i="10" s="1"/>
  <c r="E563" i="5"/>
  <c r="G562" i="5"/>
  <c r="H667" i="10" s="1"/>
  <c r="I1845" i="15"/>
  <c r="F1846" i="14"/>
  <c r="H1827" i="15"/>
  <c r="I1834" i="13"/>
  <c r="J1827" i="15" s="1"/>
  <c r="D1889" i="15"/>
  <c r="D1890" i="14"/>
  <c r="K1896" i="13"/>
  <c r="H1896" i="13"/>
  <c r="G1896" i="13"/>
  <c r="D73" i="15"/>
  <c r="D74" i="14"/>
  <c r="K73" i="13"/>
  <c r="H73" i="13"/>
  <c r="G73" i="13"/>
  <c r="I772" i="15"/>
  <c r="F773" i="14"/>
  <c r="D662" i="15"/>
  <c r="D663" i="14"/>
  <c r="H669" i="13"/>
  <c r="K669" i="13"/>
  <c r="G669" i="13"/>
  <c r="D1954" i="15"/>
  <c r="D1955" i="14"/>
  <c r="H1961" i="13"/>
  <c r="G1961" i="13"/>
  <c r="C647" i="10"/>
  <c r="D118" i="15"/>
  <c r="D119" i="14"/>
  <c r="H118" i="13"/>
  <c r="G118" i="13"/>
  <c r="I1929" i="15"/>
  <c r="F1930" i="14"/>
  <c r="H1952" i="13"/>
  <c r="I1945" i="15" s="1"/>
  <c r="I78" i="15"/>
  <c r="F79" i="14"/>
  <c r="H108" i="15"/>
  <c r="I108" i="13"/>
  <c r="J108" i="15" s="1"/>
  <c r="D1683" i="15"/>
  <c r="D1684" i="14"/>
  <c r="H1690" i="13"/>
  <c r="K1690" i="13"/>
  <c r="G1690" i="13"/>
  <c r="J167" i="4"/>
  <c r="J197" i="4" s="1"/>
  <c r="J162" i="4"/>
  <c r="J165" i="4" s="1"/>
  <c r="J198" i="4" s="1"/>
  <c r="D1454" i="15"/>
  <c r="D1455" i="14"/>
  <c r="H1461" i="13"/>
  <c r="K1461" i="13"/>
  <c r="G1461" i="13"/>
  <c r="D1477" i="13"/>
  <c r="L277" i="9"/>
  <c r="H101" i="15"/>
  <c r="I101" i="13"/>
  <c r="J101" i="15" s="1"/>
  <c r="D1894" i="15"/>
  <c r="D1895" i="14"/>
  <c r="K1901" i="13"/>
  <c r="H1901" i="13"/>
  <c r="G1901" i="13"/>
  <c r="D1917" i="15"/>
  <c r="D1918" i="14"/>
  <c r="H1924" i="13"/>
  <c r="G1924" i="13"/>
  <c r="I1715" i="15"/>
  <c r="F1716" i="14"/>
  <c r="H1662" i="15"/>
  <c r="I1669" i="13"/>
  <c r="J1662" i="15" s="1"/>
  <c r="I2165" i="15"/>
  <c r="F2166" i="14"/>
  <c r="I2172" i="13"/>
  <c r="J2165" i="15" s="1"/>
  <c r="D207" i="13"/>
  <c r="L355" i="8"/>
  <c r="J421" i="8"/>
  <c r="D268" i="15"/>
  <c r="D269" i="14"/>
  <c r="H268" i="13"/>
  <c r="K268" i="13"/>
  <c r="G268" i="13"/>
  <c r="D285" i="15"/>
  <c r="D286" i="14"/>
  <c r="H285" i="13"/>
  <c r="G285" i="13"/>
  <c r="C1576" i="5"/>
  <c r="C1575" i="5"/>
  <c r="N1706" i="5"/>
  <c r="S1706" i="5" s="1"/>
  <c r="C1574" i="5"/>
  <c r="C1573" i="5"/>
  <c r="S1547" i="5"/>
  <c r="G1534" i="5"/>
  <c r="D305" i="13"/>
  <c r="E1395" i="5"/>
  <c r="I650" i="15"/>
  <c r="F651" i="14"/>
  <c r="H740" i="10"/>
  <c r="D211" i="15"/>
  <c r="D212" i="14"/>
  <c r="H211" i="13"/>
  <c r="G211" i="13"/>
  <c r="D1063" i="13"/>
  <c r="F204" i="7"/>
  <c r="D1070" i="13"/>
  <c r="F211" i="7"/>
  <c r="D1071" i="13"/>
  <c r="F212" i="7"/>
  <c r="D1082" i="13"/>
  <c r="F223" i="7"/>
  <c r="D1058" i="13"/>
  <c r="F199" i="7"/>
  <c r="D201" i="7"/>
  <c r="D1059" i="13"/>
  <c r="F200" i="7"/>
  <c r="H1654" i="15"/>
  <c r="I1661" i="13"/>
  <c r="J1654" i="15" s="1"/>
  <c r="D15" i="15"/>
  <c r="D16" i="14"/>
  <c r="K15" i="13"/>
  <c r="H15" i="13"/>
  <c r="G15" i="13"/>
  <c r="D127" i="13"/>
  <c r="J277" i="8"/>
  <c r="C276" i="8"/>
  <c r="E273" i="8"/>
  <c r="C657" i="9"/>
  <c r="I658" i="9"/>
  <c r="C658" i="9"/>
  <c r="I780" i="15"/>
  <c r="F781" i="14"/>
  <c r="C626" i="10"/>
  <c r="G982" i="5"/>
  <c r="H626" i="10" s="1"/>
  <c r="D1572" i="15"/>
  <c r="D1573" i="14"/>
  <c r="K1579" i="13"/>
  <c r="H1579" i="13"/>
  <c r="G1579" i="13"/>
  <c r="D1794" i="13"/>
  <c r="E618" i="9"/>
  <c r="F21" i="10"/>
  <c r="G21" i="10" s="1"/>
  <c r="I1384" i="15"/>
  <c r="F1385" i="14"/>
  <c r="I1948" i="15"/>
  <c r="F1949" i="14"/>
  <c r="I1801" i="15"/>
  <c r="F1802" i="14"/>
  <c r="I167" i="4"/>
  <c r="I197" i="4" s="1"/>
  <c r="I162" i="4"/>
  <c r="I165" i="4" s="1"/>
  <c r="I198" i="4" s="1"/>
  <c r="H765" i="15"/>
  <c r="I772" i="13"/>
  <c r="J765" i="15" s="1"/>
  <c r="H104" i="15"/>
  <c r="I104" i="13"/>
  <c r="J104" i="15" s="1"/>
  <c r="D1879" i="15"/>
  <c r="D1880" i="14"/>
  <c r="K1886" i="13"/>
  <c r="H1886" i="13"/>
  <c r="G1886" i="13"/>
  <c r="D48" i="13"/>
  <c r="E625" i="8"/>
  <c r="G878" i="13"/>
  <c r="C252" i="4"/>
  <c r="C255" i="4"/>
  <c r="C254" i="4"/>
  <c r="C253" i="4"/>
  <c r="I1857" i="15"/>
  <c r="F1858" i="14"/>
  <c r="D721" i="13"/>
  <c r="E1787" i="5"/>
  <c r="C1790" i="5"/>
  <c r="I91" i="15"/>
  <c r="F92" i="14"/>
  <c r="E153" i="10"/>
  <c r="G153" i="10" s="1"/>
  <c r="E318" i="5"/>
  <c r="G317" i="5"/>
  <c r="H180" i="10" s="1"/>
  <c r="H1854" i="15"/>
  <c r="I1861" i="13"/>
  <c r="J1854" i="15" s="1"/>
  <c r="H1848" i="15"/>
  <c r="I1855" i="13"/>
  <c r="J1848" i="15" s="1"/>
  <c r="H1506" i="15"/>
  <c r="I1513" i="13"/>
  <c r="J1506" i="15" s="1"/>
  <c r="D1792" i="15"/>
  <c r="D1793" i="14"/>
  <c r="H1799" i="13"/>
  <c r="G1799" i="13"/>
  <c r="H1876" i="15"/>
  <c r="I1883" i="13"/>
  <c r="J1876" i="15" s="1"/>
  <c r="H1721" i="15"/>
  <c r="I1728" i="13"/>
  <c r="J1721" i="15" s="1"/>
  <c r="P166" i="4"/>
  <c r="P201" i="4" s="1"/>
  <c r="C652" i="10"/>
  <c r="H2240" i="15"/>
  <c r="I2247" i="13"/>
  <c r="J2240" i="15" s="1"/>
  <c r="G2255" i="13"/>
  <c r="D1410" i="15"/>
  <c r="D1411" i="14"/>
  <c r="K1417" i="13"/>
  <c r="H1417" i="13"/>
  <c r="G1417" i="13"/>
  <c r="C632" i="10"/>
  <c r="O196" i="4"/>
  <c r="O79" i="4"/>
  <c r="D29" i="15"/>
  <c r="D30" i="14"/>
  <c r="H29" i="13"/>
  <c r="G29" i="13"/>
  <c r="H1330" i="15"/>
  <c r="I1337" i="13"/>
  <c r="J1330" i="15" s="1"/>
  <c r="J482" i="8"/>
  <c r="C498" i="8"/>
  <c r="J494" i="8"/>
  <c r="C620" i="10"/>
  <c r="G976" i="5"/>
  <c r="H620" i="10" s="1"/>
  <c r="C649" i="10"/>
  <c r="C614" i="10"/>
  <c r="G970" i="5"/>
  <c r="H614" i="10" s="1"/>
  <c r="D25" i="15"/>
  <c r="D26" i="14"/>
  <c r="H25" i="13"/>
  <c r="G25" i="13"/>
  <c r="D1698" i="13"/>
  <c r="E227" i="4"/>
  <c r="H2488" i="15"/>
  <c r="F2346" i="14"/>
  <c r="G2502" i="13"/>
  <c r="I2496" i="13"/>
  <c r="J2488" i="15" s="1"/>
  <c r="I1651" i="15"/>
  <c r="F1652" i="14"/>
  <c r="D192" i="15"/>
  <c r="D193" i="14"/>
  <c r="K192" i="13"/>
  <c r="H192" i="13"/>
  <c r="G192" i="13"/>
  <c r="D1078" i="13"/>
  <c r="F219" i="7"/>
  <c r="D225" i="7"/>
  <c r="D365" i="7"/>
  <c r="D276" i="7"/>
  <c r="D256" i="7"/>
  <c r="D252" i="7"/>
  <c r="D248" i="7"/>
  <c r="D244" i="7"/>
  <c r="D240" i="7"/>
  <c r="D96" i="7"/>
  <c r="D32" i="7"/>
  <c r="D14" i="7"/>
  <c r="D3" i="7"/>
  <c r="D42" i="7" s="1"/>
  <c r="D255" i="7"/>
  <c r="D251" i="7"/>
  <c r="D247" i="7"/>
  <c r="D253" i="7"/>
  <c r="D249" i="7"/>
  <c r="D245" i="7"/>
  <c r="D241" i="7"/>
  <c r="D97" i="7"/>
  <c r="D19" i="7"/>
  <c r="J51" i="7" s="1"/>
  <c r="D1213" i="13" s="1"/>
  <c r="D8" i="7"/>
  <c r="D98" i="7"/>
  <c r="J54" i="7"/>
  <c r="D1216" i="13" s="1"/>
  <c r="D22" i="7"/>
  <c r="J49" i="7" s="1"/>
  <c r="D1211" i="13" s="1"/>
  <c r="D254" i="7"/>
  <c r="D246" i="7"/>
  <c r="J52" i="7"/>
  <c r="D1214" i="13" s="1"/>
  <c r="F1093" i="5"/>
  <c r="F43" i="5"/>
  <c r="D243" i="7"/>
  <c r="D242" i="7"/>
  <c r="J53" i="7"/>
  <c r="D1215" i="13" s="1"/>
  <c r="D27" i="7"/>
  <c r="D250" i="7"/>
  <c r="D239" i="7"/>
  <c r="D238" i="7"/>
  <c r="J81" i="7"/>
  <c r="D37" i="7"/>
  <c r="D1598" i="13"/>
  <c r="E478" i="9"/>
  <c r="H1818" i="15"/>
  <c r="I1825" i="13"/>
  <c r="J1818" i="15" s="1"/>
  <c r="I79" i="15"/>
  <c r="F80" i="14"/>
  <c r="D1767" i="13"/>
  <c r="E591" i="9"/>
  <c r="I1649" i="15"/>
  <c r="F1650" i="14"/>
  <c r="H1631" i="15"/>
  <c r="I1638" i="13"/>
  <c r="J1631" i="15" s="1"/>
  <c r="D1891" i="13"/>
  <c r="E2293" i="5"/>
  <c r="D115" i="13"/>
  <c r="L660" i="8"/>
  <c r="L670" i="8" s="1"/>
  <c r="B672" i="8" s="1"/>
  <c r="B673" i="8" s="1"/>
  <c r="D36" i="13"/>
  <c r="E613" i="8"/>
  <c r="D49" i="13"/>
  <c r="E626" i="8"/>
  <c r="D65" i="13"/>
  <c r="L622" i="8"/>
  <c r="I1847" i="15"/>
  <c r="F1848" i="14"/>
  <c r="D1415" i="15"/>
  <c r="D1416" i="14"/>
  <c r="H1422" i="13"/>
  <c r="K1422" i="13"/>
  <c r="G1422" i="13"/>
  <c r="I18" i="15"/>
  <c r="F19" i="14"/>
  <c r="I1183" i="5"/>
  <c r="C342" i="9" s="1"/>
  <c r="C341" i="9"/>
  <c r="C1384" i="5"/>
  <c r="I1372" i="15"/>
  <c r="F1373" i="14"/>
  <c r="J164" i="4"/>
  <c r="J205" i="4" s="1"/>
  <c r="J206" i="4" s="1"/>
  <c r="J166" i="4"/>
  <c r="C637" i="10"/>
  <c r="G993" i="5"/>
  <c r="H637" i="10" s="1"/>
  <c r="D1361" i="13"/>
  <c r="E671" i="9"/>
  <c r="I841" i="15"/>
  <c r="F842" i="14"/>
  <c r="D1734" i="15"/>
  <c r="D1735" i="14"/>
  <c r="H1741" i="13"/>
  <c r="G1741" i="13"/>
  <c r="D1918" i="15"/>
  <c r="D1919" i="14"/>
  <c r="H1925" i="13"/>
  <c r="G1925" i="13"/>
  <c r="D1903" i="15"/>
  <c r="D1904" i="14"/>
  <c r="K1910" i="13"/>
  <c r="H1910" i="13"/>
  <c r="G1910" i="13"/>
  <c r="H1869" i="15"/>
  <c r="I1876" i="13"/>
  <c r="J1869" i="15" s="1"/>
  <c r="I1751" i="15"/>
  <c r="F1752" i="14"/>
  <c r="D1779" i="13"/>
  <c r="E603" i="9"/>
  <c r="D497" i="13"/>
  <c r="AS1469" i="5"/>
  <c r="D414" i="13" s="1"/>
  <c r="H1670" i="15"/>
  <c r="I1677" i="13"/>
  <c r="J1670" i="15" s="1"/>
  <c r="C646" i="10"/>
  <c r="I1458" i="15"/>
  <c r="F1459" i="14"/>
  <c r="D2235" i="13"/>
  <c r="E373" i="12"/>
  <c r="E386" i="12" s="1"/>
  <c r="B387" i="12" s="1"/>
  <c r="B389" i="12" s="1"/>
  <c r="I1781" i="15"/>
  <c r="F1782" i="14"/>
  <c r="C698" i="9"/>
  <c r="C651" i="9"/>
  <c r="C649" i="9"/>
  <c r="C683" i="9"/>
  <c r="C673" i="9"/>
  <c r="C650" i="9"/>
  <c r="C677" i="9"/>
  <c r="C666" i="9"/>
  <c r="C662" i="9"/>
  <c r="D103" i="15"/>
  <c r="D104" i="14"/>
  <c r="H103" i="13"/>
  <c r="H112" i="13" s="1"/>
  <c r="I112" i="15" s="1"/>
  <c r="K103" i="13"/>
  <c r="G103" i="13"/>
  <c r="H769" i="15"/>
  <c r="I776" i="13"/>
  <c r="J769" i="15" s="1"/>
  <c r="D20" i="13"/>
  <c r="E603" i="8"/>
  <c r="E606" i="8" s="1"/>
  <c r="B607" i="8" s="1"/>
  <c r="C1798" i="5" l="1"/>
  <c r="D731" i="13"/>
  <c r="D724" i="15" s="1"/>
  <c r="E1799" i="5"/>
  <c r="C1843" i="5"/>
  <c r="E1843" i="5" s="1"/>
  <c r="G659" i="5"/>
  <c r="H233" i="10" s="1"/>
  <c r="G233" i="10"/>
  <c r="G56" i="10"/>
  <c r="D748" i="13"/>
  <c r="D742" i="14" s="1"/>
  <c r="G186" i="5"/>
  <c r="H49" i="10" s="1"/>
  <c r="E259" i="10"/>
  <c r="G259" i="10" s="1"/>
  <c r="G685" i="5"/>
  <c r="H259" i="10" s="1"/>
  <c r="AA52" i="5"/>
  <c r="AA54" i="5" s="1"/>
  <c r="AC54" i="5" s="1"/>
  <c r="C631" i="5"/>
  <c r="F2222" i="5"/>
  <c r="K2222" i="5"/>
  <c r="I2222" i="5"/>
  <c r="C2222" i="5"/>
  <c r="G220" i="5"/>
  <c r="H83" i="10" s="1"/>
  <c r="G693" i="5"/>
  <c r="H267" i="10" s="1"/>
  <c r="G22" i="10"/>
  <c r="J1833" i="5"/>
  <c r="D859" i="13" s="1"/>
  <c r="H859" i="13" s="1"/>
  <c r="L606" i="8"/>
  <c r="B608" i="8" s="1"/>
  <c r="B609" i="8"/>
  <c r="G112" i="13"/>
  <c r="J1830" i="5"/>
  <c r="D856" i="13" s="1"/>
  <c r="C1834" i="5"/>
  <c r="D835" i="13" s="1"/>
  <c r="H112" i="15"/>
  <c r="F113" i="14"/>
  <c r="I112" i="13"/>
  <c r="J112" i="15" s="1"/>
  <c r="H2433" i="15"/>
  <c r="F2342" i="14"/>
  <c r="G2500" i="13"/>
  <c r="I2441" i="13"/>
  <c r="J2433" i="15" s="1"/>
  <c r="D1340" i="13"/>
  <c r="E650" i="9"/>
  <c r="D1772" i="15"/>
  <c r="D1773" i="14"/>
  <c r="H1779" i="13"/>
  <c r="K1779" i="13"/>
  <c r="G1779" i="13"/>
  <c r="D49" i="15"/>
  <c r="D50" i="14"/>
  <c r="K49" i="13"/>
  <c r="H49" i="13"/>
  <c r="G49" i="13"/>
  <c r="D1101" i="13"/>
  <c r="F254" i="7"/>
  <c r="D1098" i="13"/>
  <c r="F251" i="7"/>
  <c r="D1095" i="13"/>
  <c r="F248" i="7"/>
  <c r="H192" i="15"/>
  <c r="I192" i="13"/>
  <c r="J192" i="15" s="1"/>
  <c r="H2494" i="15"/>
  <c r="F2352" i="14"/>
  <c r="J2494" i="15" s="1"/>
  <c r="D1726" i="13"/>
  <c r="E255" i="4"/>
  <c r="D139" i="13"/>
  <c r="L277" i="8"/>
  <c r="D585" i="13"/>
  <c r="C1649" i="5"/>
  <c r="J1573" i="5"/>
  <c r="H1917" i="15"/>
  <c r="I1924" i="13"/>
  <c r="J1917" i="15" s="1"/>
  <c r="I1454" i="15"/>
  <c r="F1455" i="14"/>
  <c r="D1364" i="13"/>
  <c r="C679" i="9"/>
  <c r="E674" i="9"/>
  <c r="H233" i="15"/>
  <c r="I233" i="13"/>
  <c r="J233" i="15" s="1"/>
  <c r="D1446" i="15"/>
  <c r="D1447" i="14"/>
  <c r="H1453" i="13"/>
  <c r="K1453" i="13"/>
  <c r="G1453" i="13"/>
  <c r="D1048" i="15"/>
  <c r="D1049" i="14"/>
  <c r="K1055" i="13"/>
  <c r="H1055" i="13"/>
  <c r="G1055" i="13"/>
  <c r="D337" i="15"/>
  <c r="D338" i="14"/>
  <c r="K344" i="13"/>
  <c r="H344" i="13"/>
  <c r="G344" i="13"/>
  <c r="I209" i="15"/>
  <c r="F210" i="14"/>
  <c r="H205" i="4"/>
  <c r="D1220" i="15"/>
  <c r="D1221" i="14"/>
  <c r="H1227" i="13"/>
  <c r="G1227" i="13"/>
  <c r="D1126" i="13"/>
  <c r="F282" i="7"/>
  <c r="D1125" i="13"/>
  <c r="F281" i="7"/>
  <c r="D37" i="15"/>
  <c r="D38" i="14"/>
  <c r="K37" i="13"/>
  <c r="H37" i="13"/>
  <c r="G37" i="13"/>
  <c r="J5" i="15"/>
  <c r="F6" i="14"/>
  <c r="H1" i="10"/>
  <c r="D738" i="15"/>
  <c r="D739" i="14"/>
  <c r="H745" i="13"/>
  <c r="G745" i="13"/>
  <c r="D1790" i="13"/>
  <c r="E614" i="9"/>
  <c r="D1806" i="13"/>
  <c r="L583" i="9"/>
  <c r="D1054" i="15"/>
  <c r="D1055" i="14"/>
  <c r="K1061" i="13"/>
  <c r="G1061" i="13"/>
  <c r="H1061" i="13"/>
  <c r="H304" i="15"/>
  <c r="I304" i="13"/>
  <c r="J304" i="15" s="1"/>
  <c r="I286" i="15"/>
  <c r="F287" i="14"/>
  <c r="I1895" i="15"/>
  <c r="F1896" i="14"/>
  <c r="D74" i="15"/>
  <c r="D75" i="14"/>
  <c r="K74" i="13"/>
  <c r="H74" i="13"/>
  <c r="G74" i="13"/>
  <c r="H1692" i="15"/>
  <c r="I1699" i="13"/>
  <c r="J1692" i="15" s="1"/>
  <c r="D2067" i="13"/>
  <c r="E552" i="6"/>
  <c r="H1434" i="15"/>
  <c r="I1441" i="13"/>
  <c r="J1434" i="15" s="1"/>
  <c r="E481" i="10"/>
  <c r="G481" i="10" s="1"/>
  <c r="E918" i="5"/>
  <c r="G917" i="5"/>
  <c r="H481" i="10" s="1"/>
  <c r="D1076" i="13"/>
  <c r="F217" i="7"/>
  <c r="L162" i="4"/>
  <c r="H165" i="4"/>
  <c r="D807" i="13"/>
  <c r="E1952" i="5"/>
  <c r="D1352" i="13"/>
  <c r="I661" i="9"/>
  <c r="E662" i="9"/>
  <c r="D407" i="15"/>
  <c r="D408" i="14"/>
  <c r="H414" i="13"/>
  <c r="H407" i="15" s="1"/>
  <c r="K414" i="13"/>
  <c r="G414" i="13"/>
  <c r="D1208" i="15"/>
  <c r="D1209" i="14"/>
  <c r="H1215" i="13"/>
  <c r="G1215" i="13"/>
  <c r="D1206" i="15"/>
  <c r="D1207" i="14"/>
  <c r="H1213" i="13"/>
  <c r="G1213" i="13"/>
  <c r="D959" i="13"/>
  <c r="F96" i="7"/>
  <c r="D1099" i="13"/>
  <c r="F252" i="7"/>
  <c r="D1084" i="13"/>
  <c r="F225" i="7"/>
  <c r="I192" i="15"/>
  <c r="F193" i="14"/>
  <c r="H25" i="15"/>
  <c r="I25" i="13"/>
  <c r="J25" i="15" s="1"/>
  <c r="D287" i="13"/>
  <c r="L482" i="8"/>
  <c r="E154" i="10"/>
  <c r="G154" i="10" s="1"/>
  <c r="E319" i="5"/>
  <c r="G318" i="5"/>
  <c r="H181" i="10" s="1"/>
  <c r="D724" i="13"/>
  <c r="E1790" i="5"/>
  <c r="D1724" i="13"/>
  <c r="E253" i="4"/>
  <c r="D1725" i="13"/>
  <c r="E254" i="4"/>
  <c r="D1723" i="13"/>
  <c r="E252" i="4"/>
  <c r="D48" i="15"/>
  <c r="D49" i="14"/>
  <c r="K48" i="13"/>
  <c r="H48" i="13"/>
  <c r="G48" i="13"/>
  <c r="H1572" i="15"/>
  <c r="I1579" i="13"/>
  <c r="J1572" i="15" s="1"/>
  <c r="D127" i="15"/>
  <c r="D128" i="14"/>
  <c r="K127" i="13"/>
  <c r="H127" i="13"/>
  <c r="G127" i="13"/>
  <c r="D1051" i="15"/>
  <c r="D1052" i="14"/>
  <c r="K1058" i="13"/>
  <c r="G1058" i="13"/>
  <c r="H1058" i="13"/>
  <c r="D1064" i="15"/>
  <c r="D1065" i="14"/>
  <c r="K1071" i="13"/>
  <c r="H1071" i="13"/>
  <c r="G1071" i="13"/>
  <c r="D1056" i="15"/>
  <c r="D1057" i="14"/>
  <c r="K1063" i="13"/>
  <c r="H1063" i="13"/>
  <c r="G1063" i="13"/>
  <c r="D305" i="15"/>
  <c r="D306" i="14"/>
  <c r="K305" i="13"/>
  <c r="H305" i="13"/>
  <c r="G305" i="13"/>
  <c r="D586" i="13"/>
  <c r="C1650" i="5"/>
  <c r="J1574" i="5"/>
  <c r="H285" i="15"/>
  <c r="I285" i="13"/>
  <c r="J285" i="15" s="1"/>
  <c r="H268" i="15"/>
  <c r="I268" i="13"/>
  <c r="J268" i="15" s="1"/>
  <c r="I1917" i="15"/>
  <c r="F1918" i="14"/>
  <c r="I1894" i="15"/>
  <c r="F1895" i="14"/>
  <c r="D1470" i="15"/>
  <c r="D1471" i="14"/>
  <c r="H1477" i="13"/>
  <c r="G1477" i="13"/>
  <c r="H1683" i="15"/>
  <c r="I1690" i="13"/>
  <c r="J1683" i="15" s="1"/>
  <c r="H118" i="15"/>
  <c r="I118" i="13"/>
  <c r="J118" i="15" s="1"/>
  <c r="H662" i="15"/>
  <c r="I669" i="13"/>
  <c r="J662" i="15" s="1"/>
  <c r="I73" i="15"/>
  <c r="F74" i="14"/>
  <c r="H1889" i="15"/>
  <c r="I1896" i="13"/>
  <c r="J1889" i="15" s="1"/>
  <c r="D1392" i="13"/>
  <c r="K649" i="9"/>
  <c r="D1380" i="13"/>
  <c r="E690" i="9"/>
  <c r="D1407" i="13"/>
  <c r="K666" i="9"/>
  <c r="D1343" i="13"/>
  <c r="E653" i="9"/>
  <c r="D1370" i="13"/>
  <c r="E680" i="9"/>
  <c r="D1371" i="13"/>
  <c r="E681" i="9"/>
  <c r="I842" i="15"/>
  <c r="F843" i="14"/>
  <c r="D1683" i="13"/>
  <c r="E211" i="4"/>
  <c r="H1953" i="15"/>
  <c r="I1960" i="13"/>
  <c r="J1953" i="15" s="1"/>
  <c r="E726" i="10"/>
  <c r="G726" i="10" s="1"/>
  <c r="E1043" i="5"/>
  <c r="G1042" i="5"/>
  <c r="H726" i="10" s="1"/>
  <c r="H1455" i="15"/>
  <c r="I1462" i="13"/>
  <c r="J1455" i="15" s="1"/>
  <c r="D758" i="13"/>
  <c r="E1986" i="5"/>
  <c r="C1998" i="5"/>
  <c r="D1472" i="13"/>
  <c r="L272" i="9"/>
  <c r="I1758" i="15"/>
  <c r="F1759" i="14"/>
  <c r="D1604" i="15"/>
  <c r="D1605" i="14"/>
  <c r="H1611" i="13"/>
  <c r="G1611" i="13"/>
  <c r="D134" i="15"/>
  <c r="D135" i="14"/>
  <c r="H134" i="13"/>
  <c r="G134" i="13"/>
  <c r="D317" i="13"/>
  <c r="E1407" i="5"/>
  <c r="H277" i="15"/>
  <c r="I277" i="13"/>
  <c r="J277" i="15" s="1"/>
  <c r="H336" i="15"/>
  <c r="I343" i="13"/>
  <c r="J336" i="15" s="1"/>
  <c r="H1934" i="15"/>
  <c r="I1941" i="13"/>
  <c r="J1934" i="15" s="1"/>
  <c r="H1408" i="15"/>
  <c r="I1415" i="13"/>
  <c r="J1408" i="15" s="1"/>
  <c r="H1560" i="15"/>
  <c r="I1567" i="13"/>
  <c r="J1560" i="15" s="1"/>
  <c r="D1073" i="15"/>
  <c r="D1074" i="14"/>
  <c r="K1080" i="13"/>
  <c r="G1080" i="13"/>
  <c r="H1080" i="13"/>
  <c r="D43" i="13"/>
  <c r="E620" i="8"/>
  <c r="D1810" i="13"/>
  <c r="L587" i="9"/>
  <c r="I1874" i="15"/>
  <c r="F1875" i="14"/>
  <c r="H190" i="15"/>
  <c r="I190" i="13"/>
  <c r="J190" i="15" s="1"/>
  <c r="C386" i="8"/>
  <c r="J354" i="8"/>
  <c r="J350" i="8"/>
  <c r="C346" i="8"/>
  <c r="J361" i="8"/>
  <c r="D194" i="13" s="1"/>
  <c r="C352" i="8"/>
  <c r="J351" i="8"/>
  <c r="J346" i="8"/>
  <c r="C349" i="8"/>
  <c r="C345" i="8"/>
  <c r="J352" i="8"/>
  <c r="C1751" i="5"/>
  <c r="C353" i="8"/>
  <c r="C331" i="8"/>
  <c r="C354" i="8" s="1"/>
  <c r="C348" i="8"/>
  <c r="I260" i="15"/>
  <c r="F261" i="14"/>
  <c r="I1870" i="15"/>
  <c r="F1871" i="14"/>
  <c r="H1920" i="15"/>
  <c r="I1927" i="13"/>
  <c r="J1920" i="15" s="1"/>
  <c r="I1469" i="15"/>
  <c r="F1470" i="14"/>
  <c r="I1556" i="15"/>
  <c r="F1557" i="14"/>
  <c r="I1418" i="15"/>
  <c r="F1419" i="14"/>
  <c r="I1835" i="15"/>
  <c r="F1836" i="14"/>
  <c r="D1033" i="15"/>
  <c r="D1034" i="14"/>
  <c r="K1040" i="13"/>
  <c r="H1040" i="13"/>
  <c r="G1040" i="13"/>
  <c r="D1032" i="15"/>
  <c r="D1033" i="14"/>
  <c r="K1039" i="13"/>
  <c r="H1039" i="13"/>
  <c r="G1039" i="13"/>
  <c r="N111" i="4"/>
  <c r="E438" i="10"/>
  <c r="G438" i="10" s="1"/>
  <c r="E454" i="5"/>
  <c r="G453" i="5"/>
  <c r="H438" i="10" s="1"/>
  <c r="H1829" i="15"/>
  <c r="I1836" i="13"/>
  <c r="J1829" i="15" s="1"/>
  <c r="D1686" i="15"/>
  <c r="D1687" i="14"/>
  <c r="H1693" i="13"/>
  <c r="K1693" i="13"/>
  <c r="G1693" i="13"/>
  <c r="I2257" i="15"/>
  <c r="F2258" i="14"/>
  <c r="H2269" i="13"/>
  <c r="I2262" i="15" s="1"/>
  <c r="D1647" i="15"/>
  <c r="D1648" i="14"/>
  <c r="K1654" i="13"/>
  <c r="H1654" i="13"/>
  <c r="G1654" i="13"/>
  <c r="H1919" i="15"/>
  <c r="I1926" i="13"/>
  <c r="J1919" i="15" s="1"/>
  <c r="H1873" i="15"/>
  <c r="I1880" i="13"/>
  <c r="J1873" i="15" s="1"/>
  <c r="I871" i="15"/>
  <c r="F872" i="14"/>
  <c r="E57" i="10"/>
  <c r="E222" i="5"/>
  <c r="F221" i="5"/>
  <c r="F57" i="10" s="1"/>
  <c r="D1464" i="15"/>
  <c r="D1465" i="14"/>
  <c r="H1471" i="13"/>
  <c r="G1471" i="13"/>
  <c r="D1429" i="15"/>
  <c r="D1430" i="14"/>
  <c r="H1436" i="13"/>
  <c r="K1436" i="13"/>
  <c r="G1436" i="13"/>
  <c r="D1416" i="15"/>
  <c r="D1417" i="14"/>
  <c r="H1423" i="13"/>
  <c r="K1423" i="13"/>
  <c r="G1423" i="13"/>
  <c r="I89" i="15"/>
  <c r="F90" i="14"/>
  <c r="I1648" i="15"/>
  <c r="F1649" i="14"/>
  <c r="D309" i="13"/>
  <c r="E1399" i="5"/>
  <c r="I1908" i="15"/>
  <c r="F1909" i="14"/>
  <c r="D1912" i="15"/>
  <c r="D1913" i="14"/>
  <c r="H1919" i="13"/>
  <c r="G1919" i="13"/>
  <c r="L166" i="4"/>
  <c r="D1236" i="15"/>
  <c r="D1237" i="14"/>
  <c r="H1243" i="13"/>
  <c r="G1243" i="13"/>
  <c r="D1136" i="13"/>
  <c r="F292" i="7"/>
  <c r="D128" i="7"/>
  <c r="D127" i="7"/>
  <c r="D126" i="7"/>
  <c r="J61" i="7"/>
  <c r="D1223" i="13" s="1"/>
  <c r="D1016" i="13"/>
  <c r="F155" i="7"/>
  <c r="D124" i="7"/>
  <c r="J60" i="7"/>
  <c r="D1222" i="13" s="1"/>
  <c r="D1130" i="13"/>
  <c r="F286" i="7"/>
  <c r="D1162" i="13"/>
  <c r="F318" i="7"/>
  <c r="D1127" i="13"/>
  <c r="F283" i="7"/>
  <c r="D1137" i="13"/>
  <c r="F293" i="7"/>
  <c r="D60" i="13"/>
  <c r="L617" i="8"/>
  <c r="D63" i="13"/>
  <c r="L620" i="8"/>
  <c r="D56" i="15"/>
  <c r="D57" i="14"/>
  <c r="H56" i="13"/>
  <c r="G56" i="13"/>
  <c r="D1037" i="15"/>
  <c r="D1038" i="14"/>
  <c r="K1044" i="13"/>
  <c r="H1044" i="13"/>
  <c r="G1044" i="13"/>
  <c r="D218" i="13"/>
  <c r="E411" i="8"/>
  <c r="H1432" i="15"/>
  <c r="I1439" i="13"/>
  <c r="J1432" i="15" s="1"/>
  <c r="J6" i="15"/>
  <c r="F7" i="14"/>
  <c r="H2" i="10"/>
  <c r="I1510" i="15"/>
  <c r="F1511" i="14"/>
  <c r="H1951" i="15"/>
  <c r="I1958" i="13"/>
  <c r="J1951" i="15" s="1"/>
  <c r="D1791" i="13"/>
  <c r="E615" i="9"/>
  <c r="D1813" i="13"/>
  <c r="L590" i="9"/>
  <c r="D1754" i="13"/>
  <c r="C617" i="9"/>
  <c r="E578" i="9"/>
  <c r="D1756" i="13"/>
  <c r="C581" i="9"/>
  <c r="E580" i="9"/>
  <c r="H1331" i="15"/>
  <c r="I1338" i="13"/>
  <c r="J1331" i="15" s="1"/>
  <c r="I126" i="15"/>
  <c r="F127" i="14"/>
  <c r="L112" i="4"/>
  <c r="R112" i="4" s="1"/>
  <c r="D1107" i="5" s="1"/>
  <c r="F1107" i="5" s="1"/>
  <c r="I304" i="15"/>
  <c r="F305" i="14"/>
  <c r="D2153" i="13"/>
  <c r="E678" i="6"/>
  <c r="C662" i="6"/>
  <c r="J647" i="6"/>
  <c r="C653" i="6"/>
  <c r="D188" i="15"/>
  <c r="D189" i="14"/>
  <c r="K188" i="13"/>
  <c r="H188" i="13"/>
  <c r="G188" i="13"/>
  <c r="I1905" i="15"/>
  <c r="F1906" i="14"/>
  <c r="I1419" i="15"/>
  <c r="F1420" i="14"/>
  <c r="H1664" i="15"/>
  <c r="I1671" i="13"/>
  <c r="J1664" i="15" s="1"/>
  <c r="H1875" i="15"/>
  <c r="I1882" i="13"/>
  <c r="J1875" i="15" s="1"/>
  <c r="D1834" i="15"/>
  <c r="D1835" i="14"/>
  <c r="K1841" i="13"/>
  <c r="H1841" i="13"/>
  <c r="G1841" i="13"/>
  <c r="D1915" i="15"/>
  <c r="D1916" i="14"/>
  <c r="H1922" i="13"/>
  <c r="G1922" i="13"/>
  <c r="AG1466" i="5"/>
  <c r="AU1466" i="5" s="1"/>
  <c r="E106" i="10"/>
  <c r="G106" i="10" s="1"/>
  <c r="E271" i="5"/>
  <c r="G270" i="5"/>
  <c r="H133" i="10" s="1"/>
  <c r="O104" i="4"/>
  <c r="O108" i="4"/>
  <c r="O159" i="4"/>
  <c r="I1421" i="15"/>
  <c r="F1422" i="14"/>
  <c r="G1679" i="13"/>
  <c r="D1460" i="15"/>
  <c r="D1461" i="14"/>
  <c r="H1467" i="13"/>
  <c r="G1467" i="13"/>
  <c r="D1427" i="15"/>
  <c r="D1428" i="14"/>
  <c r="H1434" i="13"/>
  <c r="K1434" i="13"/>
  <c r="G1434" i="13"/>
  <c r="H1887" i="15"/>
  <c r="I1894" i="13"/>
  <c r="J1887" i="15" s="1"/>
  <c r="H14" i="15"/>
  <c r="I14" i="13"/>
  <c r="J14" i="15" s="1"/>
  <c r="E268" i="10"/>
  <c r="F694" i="5"/>
  <c r="F268" i="10" s="1"/>
  <c r="P104" i="4"/>
  <c r="P108" i="4"/>
  <c r="P159" i="4"/>
  <c r="I2227" i="15"/>
  <c r="F2228" i="14"/>
  <c r="I1770" i="15"/>
  <c r="F1771" i="14"/>
  <c r="D1956" i="15"/>
  <c r="D1957" i="14"/>
  <c r="H1963" i="13"/>
  <c r="G1963" i="13"/>
  <c r="D1910" i="15"/>
  <c r="D1911" i="14"/>
  <c r="H1917" i="13"/>
  <c r="G1917" i="13"/>
  <c r="I1423" i="15"/>
  <c r="F1424" i="14"/>
  <c r="K164" i="4"/>
  <c r="K205" i="4" s="1"/>
  <c r="K206" i="4" s="1"/>
  <c r="I1745" i="15"/>
  <c r="F1746" i="14"/>
  <c r="D1892" i="15"/>
  <c r="D1893" i="14"/>
  <c r="K1899" i="13"/>
  <c r="H1899" i="13"/>
  <c r="G1899" i="13"/>
  <c r="D1771" i="15"/>
  <c r="D1772" i="14"/>
  <c r="H1778" i="13"/>
  <c r="K1778" i="13"/>
  <c r="G1778" i="13"/>
  <c r="I1546" i="15"/>
  <c r="F1547" i="14"/>
  <c r="H766" i="15"/>
  <c r="I773" i="13"/>
  <c r="J766" i="15" s="1"/>
  <c r="D217" i="13"/>
  <c r="E410" i="8"/>
  <c r="C535" i="6"/>
  <c r="J525" i="6"/>
  <c r="D2057" i="13"/>
  <c r="C543" i="6"/>
  <c r="E542" i="6"/>
  <c r="H258" i="15"/>
  <c r="I258" i="13"/>
  <c r="J258" i="15" s="1"/>
  <c r="I1761" i="15"/>
  <c r="F1762" i="14"/>
  <c r="D1955" i="15"/>
  <c r="D1956" i="14"/>
  <c r="H1962" i="13"/>
  <c r="G1962" i="13"/>
  <c r="H1444" i="15"/>
  <c r="I1451" i="13"/>
  <c r="J1444" i="15" s="1"/>
  <c r="Q201" i="4"/>
  <c r="R201" i="4" s="1"/>
  <c r="H1663" i="15"/>
  <c r="I1670" i="13"/>
  <c r="J1663" i="15" s="1"/>
  <c r="D832" i="13"/>
  <c r="E1831" i="5"/>
  <c r="H47" i="15"/>
  <c r="I47" i="13"/>
  <c r="J47" i="15" s="1"/>
  <c r="D138" i="15"/>
  <c r="D139" i="14"/>
  <c r="H138" i="13"/>
  <c r="G138" i="13"/>
  <c r="D183" i="7"/>
  <c r="J73" i="7"/>
  <c r="D1234" i="13" s="1"/>
  <c r="D1229" i="15"/>
  <c r="D1230" i="14"/>
  <c r="H1236" i="13"/>
  <c r="G1236" i="13"/>
  <c r="D1163" i="13"/>
  <c r="F322" i="7"/>
  <c r="D1171" i="13"/>
  <c r="F330" i="7"/>
  <c r="D1179" i="13"/>
  <c r="F338" i="7"/>
  <c r="D1168" i="13"/>
  <c r="F327" i="7"/>
  <c r="D1176" i="13"/>
  <c r="F335" i="7"/>
  <c r="J76" i="7"/>
  <c r="D1237" i="13" s="1"/>
  <c r="D214" i="7"/>
  <c r="D229" i="15"/>
  <c r="D230" i="14"/>
  <c r="H229" i="13"/>
  <c r="K229" i="13"/>
  <c r="G229" i="13"/>
  <c r="H19" i="15"/>
  <c r="I19" i="13"/>
  <c r="J19" i="15" s="1"/>
  <c r="E463" i="10"/>
  <c r="G463" i="10" s="1"/>
  <c r="E900" i="5"/>
  <c r="G899" i="5"/>
  <c r="H463" i="10" s="1"/>
  <c r="H1409" i="15"/>
  <c r="I1416" i="13"/>
  <c r="J1409" i="15" s="1"/>
  <c r="H1557" i="15"/>
  <c r="I1564" i="13"/>
  <c r="J1557" i="15" s="1"/>
  <c r="D2068" i="13"/>
  <c r="E553" i="6"/>
  <c r="H259" i="15"/>
  <c r="I259" i="13"/>
  <c r="J259" i="15" s="1"/>
  <c r="H757" i="10"/>
  <c r="G757" i="10" s="1"/>
  <c r="C1538" i="5"/>
  <c r="I1888" i="15"/>
  <c r="F1889" i="14"/>
  <c r="H1872" i="15"/>
  <c r="I1879" i="13"/>
  <c r="J1872" i="15" s="1"/>
  <c r="H2267" i="15"/>
  <c r="F2268" i="14"/>
  <c r="I2274" i="13"/>
  <c r="J2267" i="15" s="1"/>
  <c r="D1447" i="15"/>
  <c r="D1448" i="14"/>
  <c r="H1454" i="13"/>
  <c r="K1454" i="13"/>
  <c r="G1454" i="13"/>
  <c r="D1443" i="13"/>
  <c r="E294" i="9"/>
  <c r="I1878" i="15"/>
  <c r="F1879" i="14"/>
  <c r="H210" i="15"/>
  <c r="I210" i="13"/>
  <c r="J210" i="15" s="1"/>
  <c r="O1832" i="5"/>
  <c r="O1881" i="5" s="1"/>
  <c r="O1987" i="5"/>
  <c r="O1941" i="5"/>
  <c r="D740" i="15"/>
  <c r="D741" i="14"/>
  <c r="H747" i="13"/>
  <c r="G747" i="13"/>
  <c r="I1836" i="15"/>
  <c r="F1837" i="14"/>
  <c r="H137" i="15"/>
  <c r="I137" i="13"/>
  <c r="J137" i="15" s="1"/>
  <c r="D1341" i="13"/>
  <c r="E651" i="9"/>
  <c r="I1734" i="15"/>
  <c r="F1735" i="14"/>
  <c r="I1415" i="15"/>
  <c r="F1416" i="14"/>
  <c r="D115" i="15"/>
  <c r="D116" i="14"/>
  <c r="H115" i="13"/>
  <c r="G115" i="13"/>
  <c r="D1760" i="15"/>
  <c r="D1761" i="14"/>
  <c r="H1767" i="13"/>
  <c r="K1767" i="13"/>
  <c r="G1767" i="13"/>
  <c r="J45" i="7"/>
  <c r="D58" i="7"/>
  <c r="D51" i="7"/>
  <c r="D49" i="7"/>
  <c r="D47" i="7"/>
  <c r="D45" i="7"/>
  <c r="D57" i="7"/>
  <c r="D52" i="7"/>
  <c r="D50" i="7"/>
  <c r="D48" i="7"/>
  <c r="D46" i="7"/>
  <c r="D54" i="7"/>
  <c r="D44" i="7"/>
  <c r="D55" i="7"/>
  <c r="J50" i="7"/>
  <c r="D1212" i="13" s="1"/>
  <c r="D94" i="7"/>
  <c r="D278" i="13"/>
  <c r="E498" i="8"/>
  <c r="I211" i="15"/>
  <c r="F212" i="14"/>
  <c r="D207" i="15"/>
  <c r="D208" i="14"/>
  <c r="H207" i="13"/>
  <c r="G207" i="13"/>
  <c r="H1894" i="15"/>
  <c r="I1901" i="13"/>
  <c r="J1894" i="15" s="1"/>
  <c r="I1954" i="15"/>
  <c r="F1955" i="14"/>
  <c r="D1405" i="13"/>
  <c r="K664" i="9"/>
  <c r="D1406" i="13"/>
  <c r="K665" i="9"/>
  <c r="I1744" i="15"/>
  <c r="F1745" i="14"/>
  <c r="D768" i="13"/>
  <c r="E1996" i="5"/>
  <c r="C1997" i="5"/>
  <c r="D261" i="15"/>
  <c r="D262" i="14"/>
  <c r="H261" i="13"/>
  <c r="K261" i="13"/>
  <c r="G261" i="13"/>
  <c r="D1911" i="15"/>
  <c r="D1912" i="14"/>
  <c r="H1918" i="13"/>
  <c r="G1918" i="13"/>
  <c r="E360" i="10"/>
  <c r="G360" i="10" s="1"/>
  <c r="E787" i="5"/>
  <c r="G786" i="5"/>
  <c r="H360" i="10" s="1"/>
  <c r="H1789" i="15"/>
  <c r="I1796" i="13"/>
  <c r="J1789" i="15" s="1"/>
  <c r="H1874" i="15"/>
  <c r="I1881" i="13"/>
  <c r="J1874" i="15" s="1"/>
  <c r="D1702" i="15"/>
  <c r="D1703" i="14"/>
  <c r="H1709" i="13"/>
  <c r="K1709" i="13"/>
  <c r="G1709" i="13"/>
  <c r="H1870" i="15"/>
  <c r="I1877" i="13"/>
  <c r="J1870" i="15" s="1"/>
  <c r="H1556" i="15"/>
  <c r="I1563" i="13"/>
  <c r="J1556" i="15" s="1"/>
  <c r="D726" i="15"/>
  <c r="D727" i="14"/>
  <c r="K733" i="13"/>
  <c r="H733" i="13"/>
  <c r="G733" i="13"/>
  <c r="H1835" i="15"/>
  <c r="I1842" i="13"/>
  <c r="J1835" i="15" s="1"/>
  <c r="D1685" i="15"/>
  <c r="D1686" i="14"/>
  <c r="H1692" i="13"/>
  <c r="K1692" i="13"/>
  <c r="G1692" i="13"/>
  <c r="D1057" i="15"/>
  <c r="D1058" i="14"/>
  <c r="K1064" i="13"/>
  <c r="H1064" i="13"/>
  <c r="G1064" i="13"/>
  <c r="H1417" i="15"/>
  <c r="I1424" i="13"/>
  <c r="J1417" i="15" s="1"/>
  <c r="H1769" i="15"/>
  <c r="I1776" i="13"/>
  <c r="J1769" i="15" s="1"/>
  <c r="D1800" i="15"/>
  <c r="D1801" i="14"/>
  <c r="H1807" i="13"/>
  <c r="G1807" i="13"/>
  <c r="I1890" i="15"/>
  <c r="F1891" i="14"/>
  <c r="H2257" i="15"/>
  <c r="I2264" i="13"/>
  <c r="J2257" i="15" s="1"/>
  <c r="D334" i="15"/>
  <c r="D335" i="14"/>
  <c r="H334" i="13"/>
  <c r="K334" i="13"/>
  <c r="G334" i="13"/>
  <c r="I284" i="15"/>
  <c r="F285" i="14"/>
  <c r="D1675" i="15"/>
  <c r="D1676" i="14"/>
  <c r="H1682" i="13"/>
  <c r="K1682" i="13"/>
  <c r="G1682" i="13"/>
  <c r="H89" i="15"/>
  <c r="I89" i="13"/>
  <c r="J89" i="15" s="1"/>
  <c r="M100" i="4"/>
  <c r="Q100" i="4" s="1"/>
  <c r="R100" i="4" s="1"/>
  <c r="M103" i="4"/>
  <c r="J63" i="7"/>
  <c r="D1225" i="13" s="1"/>
  <c r="D153" i="7"/>
  <c r="D1134" i="13"/>
  <c r="F290" i="7"/>
  <c r="D1135" i="13"/>
  <c r="F291" i="7"/>
  <c r="D59" i="13"/>
  <c r="L616" i="8"/>
  <c r="H1510" i="15"/>
  <c r="I1517" i="13"/>
  <c r="J1510" i="15" s="1"/>
  <c r="D1800" i="13"/>
  <c r="J582" i="9"/>
  <c r="J581" i="9"/>
  <c r="L577" i="9"/>
  <c r="D1733" i="15"/>
  <c r="D1734" i="14"/>
  <c r="H1740" i="13"/>
  <c r="G1740" i="13"/>
  <c r="D1030" i="15"/>
  <c r="D1031" i="14"/>
  <c r="K1037" i="13"/>
  <c r="G1037" i="13"/>
  <c r="H1037" i="13"/>
  <c r="I1957" i="15"/>
  <c r="F1958" i="14"/>
  <c r="D2154" i="13"/>
  <c r="E679" i="6"/>
  <c r="D228" i="15"/>
  <c r="D229" i="14"/>
  <c r="H228" i="13"/>
  <c r="K228" i="13"/>
  <c r="G228" i="13"/>
  <c r="H1430" i="15"/>
  <c r="I1437" i="13"/>
  <c r="J1430" i="15" s="1"/>
  <c r="I1535" i="15"/>
  <c r="F1536" i="14"/>
  <c r="H1422" i="15"/>
  <c r="I1429" i="13"/>
  <c r="J1422" i="15" s="1"/>
  <c r="D44" i="13"/>
  <c r="E621" i="8"/>
  <c r="D238" i="13"/>
  <c r="L409" i="8"/>
  <c r="D175" i="7"/>
  <c r="D172" i="7"/>
  <c r="D176" i="7"/>
  <c r="D170" i="7"/>
  <c r="J71" i="7"/>
  <c r="D173" i="7"/>
  <c r="D1169" i="13"/>
  <c r="F328" i="7"/>
  <c r="D1177" i="13"/>
  <c r="F336" i="7"/>
  <c r="D1174" i="13"/>
  <c r="F333" i="7"/>
  <c r="D1247" i="13"/>
  <c r="F367" i="7"/>
  <c r="D1076" i="15"/>
  <c r="D1077" i="14"/>
  <c r="K1083" i="13"/>
  <c r="H1083" i="13"/>
  <c r="G1083" i="13"/>
  <c r="D1055" i="15"/>
  <c r="D1056" i="14"/>
  <c r="K1062" i="13"/>
  <c r="G1062" i="13"/>
  <c r="H1062" i="13"/>
  <c r="E628" i="10"/>
  <c r="G628" i="10" s="1"/>
  <c r="E985" i="5"/>
  <c r="H1888" i="15"/>
  <c r="I1895" i="13"/>
  <c r="J1888" i="15" s="1"/>
  <c r="I1561" i="15"/>
  <c r="F1562" i="14"/>
  <c r="D20" i="15"/>
  <c r="D21" i="14"/>
  <c r="K20" i="13"/>
  <c r="H20" i="13"/>
  <c r="G20" i="13"/>
  <c r="G23" i="13" s="1"/>
  <c r="D1388" i="13"/>
  <c r="E698" i="9"/>
  <c r="C502" i="6"/>
  <c r="C1408" i="5"/>
  <c r="C374" i="6"/>
  <c r="C1406" i="5"/>
  <c r="C1411" i="5"/>
  <c r="D1204" i="15"/>
  <c r="D1205" i="14"/>
  <c r="H1211" i="13"/>
  <c r="G1211" i="13"/>
  <c r="D1102" i="13"/>
  <c r="F255" i="7"/>
  <c r="I103" i="15"/>
  <c r="F104" i="14"/>
  <c r="D1356" i="13"/>
  <c r="E666" i="9"/>
  <c r="D1373" i="13"/>
  <c r="E683" i="9"/>
  <c r="C688" i="9"/>
  <c r="C684" i="9"/>
  <c r="D490" i="15"/>
  <c r="D491" i="14"/>
  <c r="K497" i="13"/>
  <c r="H497" i="13"/>
  <c r="H490" i="15" s="1"/>
  <c r="G497" i="13"/>
  <c r="H1903" i="15"/>
  <c r="I1910" i="13"/>
  <c r="J1903" i="15" s="1"/>
  <c r="D1354" i="15"/>
  <c r="D1355" i="14"/>
  <c r="K1361" i="13"/>
  <c r="H1361" i="13"/>
  <c r="G1361" i="13"/>
  <c r="C363" i="9"/>
  <c r="J349" i="9"/>
  <c r="C391" i="9"/>
  <c r="C390" i="9"/>
  <c r="C387" i="9"/>
  <c r="C383" i="9"/>
  <c r="C374" i="9"/>
  <c r="C356" i="9"/>
  <c r="J354" i="9"/>
  <c r="J355" i="9"/>
  <c r="H1415" i="15"/>
  <c r="I1422" i="13"/>
  <c r="J1415" i="15" s="1"/>
  <c r="D65" i="15"/>
  <c r="D66" i="14"/>
  <c r="H65" i="13"/>
  <c r="G65" i="13"/>
  <c r="D36" i="15"/>
  <c r="D37" i="14"/>
  <c r="K36" i="13"/>
  <c r="H36" i="13"/>
  <c r="G36" i="13"/>
  <c r="D1884" i="15"/>
  <c r="D1885" i="14"/>
  <c r="K1891" i="13"/>
  <c r="H1891" i="13"/>
  <c r="G1891" i="13"/>
  <c r="D1591" i="15"/>
  <c r="D1592" i="14"/>
  <c r="K1598" i="13"/>
  <c r="H1598" i="13"/>
  <c r="G1598" i="13"/>
  <c r="D1086" i="13"/>
  <c r="F239" i="7"/>
  <c r="D1089" i="13"/>
  <c r="F242" i="7"/>
  <c r="D1207" i="15"/>
  <c r="D1208" i="14"/>
  <c r="H1214" i="13"/>
  <c r="G1214" i="13"/>
  <c r="D1209" i="15"/>
  <c r="D1210" i="14"/>
  <c r="H1216" i="13"/>
  <c r="G1216" i="13"/>
  <c r="D960" i="13"/>
  <c r="F97" i="7"/>
  <c r="D1100" i="13"/>
  <c r="F253" i="7"/>
  <c r="D905" i="13"/>
  <c r="J42" i="7"/>
  <c r="D1204" i="13" s="1"/>
  <c r="F42" i="7"/>
  <c r="D1087" i="13"/>
  <c r="F240" i="7"/>
  <c r="D1103" i="13"/>
  <c r="F256" i="7"/>
  <c r="I25" i="15"/>
  <c r="F26" i="14"/>
  <c r="H29" i="15"/>
  <c r="I29" i="13"/>
  <c r="J29" i="15" s="1"/>
  <c r="H1410" i="15"/>
  <c r="I1417" i="13"/>
  <c r="J1410" i="15" s="1"/>
  <c r="H1792" i="15"/>
  <c r="I1799" i="13"/>
  <c r="J1792" i="15" s="1"/>
  <c r="H1879" i="15"/>
  <c r="I1886" i="13"/>
  <c r="J1879" i="15" s="1"/>
  <c r="I1572" i="15"/>
  <c r="F1573" i="14"/>
  <c r="D1348" i="13"/>
  <c r="E658" i="9"/>
  <c r="H15" i="15"/>
  <c r="I15" i="13"/>
  <c r="J15" i="15" s="1"/>
  <c r="D1052" i="15"/>
  <c r="D1053" i="14"/>
  <c r="K1059" i="13"/>
  <c r="G1059" i="13"/>
  <c r="H1059" i="13"/>
  <c r="H753" i="10"/>
  <c r="G753" i="10" s="1"/>
  <c r="C1534" i="5"/>
  <c r="I285" i="15"/>
  <c r="F286" i="14"/>
  <c r="D249" i="13"/>
  <c r="L421" i="8"/>
  <c r="H1454" i="15"/>
  <c r="I1461" i="13"/>
  <c r="J1454" i="15" s="1"/>
  <c r="I118" i="15"/>
  <c r="F119" i="14"/>
  <c r="I1889" i="15"/>
  <c r="F1890" i="14"/>
  <c r="D1394" i="13"/>
  <c r="K651" i="9"/>
  <c r="D1342" i="13"/>
  <c r="E652" i="9"/>
  <c r="D1385" i="13"/>
  <c r="E695" i="9"/>
  <c r="D1349" i="13"/>
  <c r="C694" i="9"/>
  <c r="E659" i="9"/>
  <c r="D1396" i="13"/>
  <c r="K653" i="9"/>
  <c r="D2095" i="13"/>
  <c r="L532" i="6"/>
  <c r="H1886" i="15"/>
  <c r="I1893" i="13"/>
  <c r="J1886" i="15" s="1"/>
  <c r="I233" i="15"/>
  <c r="F234" i="14"/>
  <c r="H1642" i="15"/>
  <c r="I1649" i="13"/>
  <c r="J1642" i="15" s="1"/>
  <c r="D1731" i="13"/>
  <c r="L210" i="4"/>
  <c r="I1953" i="15"/>
  <c r="F1954" i="14"/>
  <c r="D774" i="13"/>
  <c r="E2002" i="5"/>
  <c r="H2241" i="15"/>
  <c r="I2248" i="13"/>
  <c r="J2241" i="15" s="1"/>
  <c r="H1744" i="15"/>
  <c r="I1751" i="13"/>
  <c r="J1744" i="15" s="1"/>
  <c r="H1866" i="15"/>
  <c r="F1867" i="14"/>
  <c r="I1873" i="13"/>
  <c r="J1866" i="15" s="1"/>
  <c r="J1985" i="5"/>
  <c r="E587" i="10"/>
  <c r="G587" i="10" s="1"/>
  <c r="E523" i="5"/>
  <c r="G522" i="5"/>
  <c r="H587" i="10" s="1"/>
  <c r="D1414" i="15"/>
  <c r="D1415" i="14"/>
  <c r="H1421" i="13"/>
  <c r="K1421" i="13"/>
  <c r="G1421" i="13"/>
  <c r="D1413" i="15"/>
  <c r="D1414" i="14"/>
  <c r="H1420" i="13"/>
  <c r="K1420" i="13"/>
  <c r="G1420" i="13"/>
  <c r="D1459" i="15"/>
  <c r="D1460" i="14"/>
  <c r="H1466" i="13"/>
  <c r="G1466" i="13"/>
  <c r="J432" i="9"/>
  <c r="C432" i="9"/>
  <c r="C431" i="9"/>
  <c r="H232" i="10"/>
  <c r="I336" i="15"/>
  <c r="F337" i="14"/>
  <c r="I1934" i="15"/>
  <c r="F1935" i="14"/>
  <c r="I1408" i="15"/>
  <c r="F1409" i="14"/>
  <c r="H1407" i="15"/>
  <c r="I1414" i="13"/>
  <c r="J1407" i="15" s="1"/>
  <c r="I1560" i="15"/>
  <c r="F1561" i="14"/>
  <c r="H797" i="15"/>
  <c r="D41" i="13"/>
  <c r="E618" i="8"/>
  <c r="D42" i="15"/>
  <c r="D43" i="14"/>
  <c r="K42" i="13"/>
  <c r="H42" i="13"/>
  <c r="G42" i="13"/>
  <c r="I1789" i="15"/>
  <c r="F1790" i="14"/>
  <c r="I190" i="15"/>
  <c r="F191" i="14"/>
  <c r="H232" i="15"/>
  <c r="I232" i="13"/>
  <c r="J232" i="15" s="1"/>
  <c r="D239" i="15"/>
  <c r="D240" i="14"/>
  <c r="H239" i="13"/>
  <c r="G239" i="13"/>
  <c r="D26" i="15"/>
  <c r="D27" i="14"/>
  <c r="H26" i="13"/>
  <c r="G26" i="13"/>
  <c r="E684" i="10"/>
  <c r="G684" i="10" s="1"/>
  <c r="E580" i="5"/>
  <c r="G579" i="5"/>
  <c r="H684" i="10" s="1"/>
  <c r="C482" i="8"/>
  <c r="C454" i="8"/>
  <c r="C460" i="8" s="1"/>
  <c r="C487" i="8" s="1"/>
  <c r="C493" i="8"/>
  <c r="C491" i="8"/>
  <c r="C463" i="8"/>
  <c r="I263" i="15"/>
  <c r="F264" i="14"/>
  <c r="E422" i="10"/>
  <c r="G422" i="10" s="1"/>
  <c r="E438" i="5"/>
  <c r="G437" i="5"/>
  <c r="H422" i="10" s="1"/>
  <c r="I1920" i="15"/>
  <c r="F1921" i="14"/>
  <c r="C1458" i="5"/>
  <c r="C614" i="6"/>
  <c r="I713" i="15"/>
  <c r="F714" i="14"/>
  <c r="H208" i="15"/>
  <c r="I208" i="13"/>
  <c r="J208" i="15" s="1"/>
  <c r="D1057" i="13"/>
  <c r="F198" i="7"/>
  <c r="D1058" i="15"/>
  <c r="D1059" i="14"/>
  <c r="K1065" i="13"/>
  <c r="G1065" i="13"/>
  <c r="H1065" i="13"/>
  <c r="D1062" i="15"/>
  <c r="D1063" i="14"/>
  <c r="K1069" i="13"/>
  <c r="G1069" i="13"/>
  <c r="H1069" i="13"/>
  <c r="D1348" i="15"/>
  <c r="D1349" i="14"/>
  <c r="K1355" i="13"/>
  <c r="H1355" i="13"/>
  <c r="G1355" i="13"/>
  <c r="D547" i="13"/>
  <c r="F754" i="10"/>
  <c r="J1535" i="5"/>
  <c r="D498" i="13"/>
  <c r="AS1470" i="5"/>
  <c r="D415" i="13" s="1"/>
  <c r="N161" i="4"/>
  <c r="N160" i="4"/>
  <c r="I1417" i="15"/>
  <c r="F1418" i="14"/>
  <c r="E505" i="10"/>
  <c r="G505" i="10" s="1"/>
  <c r="E481" i="5"/>
  <c r="G480" i="5"/>
  <c r="H505" i="10" s="1"/>
  <c r="I1769" i="15"/>
  <c r="F1770" i="14"/>
  <c r="G1952" i="13"/>
  <c r="I1829" i="15"/>
  <c r="F1830" i="14"/>
  <c r="H764" i="15"/>
  <c r="I771" i="13"/>
  <c r="J764" i="15" s="1"/>
  <c r="D461" i="13"/>
  <c r="AS1467" i="5"/>
  <c r="D378" i="13" s="1"/>
  <c r="D1756" i="15"/>
  <c r="D1757" i="14"/>
  <c r="H1763" i="13"/>
  <c r="K1763" i="13"/>
  <c r="G1763" i="13"/>
  <c r="I1919" i="15"/>
  <c r="F1920" i="14"/>
  <c r="I1873" i="15"/>
  <c r="F1874" i="14"/>
  <c r="E563" i="10"/>
  <c r="G563" i="10" s="1"/>
  <c r="E960" i="5"/>
  <c r="G959" i="5"/>
  <c r="H563" i="10" s="1"/>
  <c r="G267" i="10"/>
  <c r="H1885" i="15"/>
  <c r="I1892" i="13"/>
  <c r="J1885" i="15" s="1"/>
  <c r="D1472" i="15"/>
  <c r="D1473" i="14"/>
  <c r="H1479" i="13"/>
  <c r="G1479" i="13"/>
  <c r="D1219" i="15"/>
  <c r="D1220" i="14"/>
  <c r="H1226" i="13"/>
  <c r="G1226" i="13"/>
  <c r="D1138" i="13"/>
  <c r="F294" i="7"/>
  <c r="D1133" i="13"/>
  <c r="F289" i="7"/>
  <c r="D1017" i="13"/>
  <c r="F156" i="7"/>
  <c r="D1217" i="15"/>
  <c r="D1218" i="14"/>
  <c r="H1224" i="13"/>
  <c r="G1224" i="13"/>
  <c r="D111" i="7"/>
  <c r="D108" i="7"/>
  <c r="D104" i="7"/>
  <c r="D117" i="7"/>
  <c r="D107" i="7"/>
  <c r="D103" i="7"/>
  <c r="J58" i="7"/>
  <c r="D109" i="7"/>
  <c r="D105" i="7"/>
  <c r="D113" i="7"/>
  <c r="D116" i="7"/>
  <c r="D110" i="7"/>
  <c r="D106" i="7"/>
  <c r="D114" i="7"/>
  <c r="D1129" i="13"/>
  <c r="F285" i="7"/>
  <c r="D1140" i="13"/>
  <c r="F296" i="7"/>
  <c r="D40" i="15"/>
  <c r="D41" i="14"/>
  <c r="K40" i="13"/>
  <c r="H40" i="13"/>
  <c r="G40" i="13"/>
  <c r="D57" i="13"/>
  <c r="L614" i="8"/>
  <c r="H114" i="15"/>
  <c r="I114" i="13"/>
  <c r="J114" i="15" s="1"/>
  <c r="G122" i="13"/>
  <c r="H1913" i="15"/>
  <c r="I1920" i="13"/>
  <c r="J1913" i="15" s="1"/>
  <c r="D216" i="15"/>
  <c r="D217" i="14"/>
  <c r="H216" i="13"/>
  <c r="K216" i="13"/>
  <c r="G216" i="13"/>
  <c r="D1350" i="13"/>
  <c r="I659" i="9"/>
  <c r="E660" i="9"/>
  <c r="H1933" i="15"/>
  <c r="I1940" i="13"/>
  <c r="J1933" i="15" s="1"/>
  <c r="C615" i="6"/>
  <c r="C592" i="6" s="1"/>
  <c r="C1459" i="5"/>
  <c r="I1951" i="15"/>
  <c r="F1952" i="14"/>
  <c r="H1735" i="15"/>
  <c r="I1742" i="13"/>
  <c r="J1735" i="15" s="1"/>
  <c r="D1764" i="13"/>
  <c r="E588" i="9"/>
  <c r="D1792" i="13"/>
  <c r="E616" i="9"/>
  <c r="D1773" i="13"/>
  <c r="E597" i="9"/>
  <c r="D1801" i="13"/>
  <c r="L578" i="9"/>
  <c r="D1803" i="13"/>
  <c r="L580" i="9"/>
  <c r="I107" i="15"/>
  <c r="F108" i="14"/>
  <c r="I1331" i="15"/>
  <c r="F1332" i="14"/>
  <c r="H16" i="15"/>
  <c r="I16" i="13"/>
  <c r="J16" i="15" s="1"/>
  <c r="E545" i="10"/>
  <c r="G545" i="10" s="1"/>
  <c r="E942" i="5"/>
  <c r="G941" i="5"/>
  <c r="H545" i="10" s="1"/>
  <c r="D129" i="15"/>
  <c r="D130" i="14"/>
  <c r="K129" i="13"/>
  <c r="H129" i="13"/>
  <c r="G129" i="13"/>
  <c r="L113" i="4"/>
  <c r="R113" i="4" s="1"/>
  <c r="D1106" i="5" s="1"/>
  <c r="F1106" i="5" s="1"/>
  <c r="F1108" i="5" s="1"/>
  <c r="D1049" i="15"/>
  <c r="D1050" i="14"/>
  <c r="K1056" i="13"/>
  <c r="H1056" i="13"/>
  <c r="G1056" i="13"/>
  <c r="D1034" i="15"/>
  <c r="D1035" i="14"/>
  <c r="K1041" i="13"/>
  <c r="G1041" i="13"/>
  <c r="H1041" i="13"/>
  <c r="D1061" i="15"/>
  <c r="D1062" i="14"/>
  <c r="K1068" i="13"/>
  <c r="H1068" i="13"/>
  <c r="G1068" i="13"/>
  <c r="D1059" i="15"/>
  <c r="D1060" i="14"/>
  <c r="K1066" i="13"/>
  <c r="G1066" i="13"/>
  <c r="H1066" i="13"/>
  <c r="D1401" i="13"/>
  <c r="K660" i="9"/>
  <c r="D2103" i="13"/>
  <c r="E632" i="6"/>
  <c r="AO1466" i="5"/>
  <c r="AT1434" i="5" s="1"/>
  <c r="H1904" i="15"/>
  <c r="I1911" i="13"/>
  <c r="J1904" i="15" s="1"/>
  <c r="H1439" i="15"/>
  <c r="I1446" i="13"/>
  <c r="J1439" i="15" s="1"/>
  <c r="H1511" i="15"/>
  <c r="I1518" i="13"/>
  <c r="J1511" i="15" s="1"/>
  <c r="I1664" i="15"/>
  <c r="F1665" i="14"/>
  <c r="D90" i="13"/>
  <c r="L639" i="8"/>
  <c r="L652" i="8" s="1"/>
  <c r="B654" i="8" s="1"/>
  <c r="I1875" i="15"/>
  <c r="F1876" i="14"/>
  <c r="E603" i="10"/>
  <c r="G603" i="10" s="1"/>
  <c r="E539" i="5"/>
  <c r="G538" i="5"/>
  <c r="H603" i="10" s="1"/>
  <c r="D812" i="13"/>
  <c r="C2003" i="5"/>
  <c r="E1957" i="5"/>
  <c r="D333" i="15"/>
  <c r="D334" i="14"/>
  <c r="H333" i="13"/>
  <c r="K333" i="13"/>
  <c r="G333" i="13"/>
  <c r="I1430" i="15"/>
  <c r="F1431" i="14"/>
  <c r="C362" i="9"/>
  <c r="C358" i="9"/>
  <c r="C349" i="9"/>
  <c r="C370" i="9"/>
  <c r="H30" i="15"/>
  <c r="I30" i="13"/>
  <c r="J30" i="15" s="1"/>
  <c r="I2474" i="15"/>
  <c r="H2442" i="13"/>
  <c r="H2501" i="13"/>
  <c r="I2493" i="15" s="1"/>
  <c r="D767" i="13"/>
  <c r="E1995" i="5"/>
  <c r="I1422" i="15"/>
  <c r="F1423" i="14"/>
  <c r="I1887" i="15"/>
  <c r="F1888" i="14"/>
  <c r="C480" i="9"/>
  <c r="C479" i="9"/>
  <c r="C476" i="9"/>
  <c r="C472" i="9"/>
  <c r="C453" i="9"/>
  <c r="C452" i="9"/>
  <c r="C440" i="9"/>
  <c r="J439" i="9"/>
  <c r="J438" i="9"/>
  <c r="J449" i="9"/>
  <c r="C436" i="9"/>
  <c r="J433" i="9"/>
  <c r="C454" i="9"/>
  <c r="J446" i="9"/>
  <c r="J447" i="9"/>
  <c r="C424" i="9"/>
  <c r="C437" i="9"/>
  <c r="I1692" i="15"/>
  <c r="F1693" i="14"/>
  <c r="H298" i="15"/>
  <c r="I298" i="13"/>
  <c r="J298" i="15" s="1"/>
  <c r="H296" i="15"/>
  <c r="I296" i="13"/>
  <c r="J296" i="15" s="1"/>
  <c r="H1428" i="15"/>
  <c r="I1435" i="13"/>
  <c r="J1428" i="15" s="1"/>
  <c r="I1443" i="15"/>
  <c r="F1444" i="14"/>
  <c r="D68" i="15"/>
  <c r="D69" i="14"/>
  <c r="H68" i="13"/>
  <c r="G68" i="13"/>
  <c r="D1072" i="15"/>
  <c r="D1073" i="14"/>
  <c r="K1079" i="13"/>
  <c r="H1079" i="13"/>
  <c r="G1079" i="13"/>
  <c r="H230" i="15"/>
  <c r="I230" i="13"/>
  <c r="J230" i="15" s="1"/>
  <c r="H136" i="15"/>
  <c r="I136" i="13"/>
  <c r="J136" i="15" s="1"/>
  <c r="H310" i="15"/>
  <c r="I310" i="13"/>
  <c r="J310" i="15" s="1"/>
  <c r="C482" i="6"/>
  <c r="C541" i="6"/>
  <c r="H1871" i="15"/>
  <c r="I1878" i="13"/>
  <c r="J1871" i="15" s="1"/>
  <c r="I1434" i="15"/>
  <c r="F1435" i="14"/>
  <c r="I1663" i="15"/>
  <c r="F1664" i="14"/>
  <c r="D732" i="13"/>
  <c r="E1798" i="5"/>
  <c r="O1830" i="5"/>
  <c r="I47" i="15"/>
  <c r="F48" i="14"/>
  <c r="E23" i="10"/>
  <c r="E188" i="5"/>
  <c r="F187" i="5"/>
  <c r="F23" i="10" s="1"/>
  <c r="H1746" i="15"/>
  <c r="I1753" i="13"/>
  <c r="J1746" i="15" s="1"/>
  <c r="H1882" i="15"/>
  <c r="I1889" i="13"/>
  <c r="J1882" i="15" s="1"/>
  <c r="D1077" i="13"/>
  <c r="F218" i="7"/>
  <c r="D1231" i="15"/>
  <c r="D1232" i="14"/>
  <c r="H1238" i="13"/>
  <c r="G1238" i="13"/>
  <c r="D1228" i="15"/>
  <c r="D1229" i="14"/>
  <c r="H1235" i="13"/>
  <c r="G1235" i="13"/>
  <c r="D1165" i="13"/>
  <c r="F324" i="7"/>
  <c r="D1173" i="13"/>
  <c r="F332" i="7"/>
  <c r="D1181" i="13"/>
  <c r="F340" i="7"/>
  <c r="D1170" i="13"/>
  <c r="F329" i="7"/>
  <c r="D1178" i="13"/>
  <c r="F337" i="7"/>
  <c r="D1075" i="13"/>
  <c r="F216" i="7"/>
  <c r="D1029" i="15"/>
  <c r="D1030" i="14"/>
  <c r="K1036" i="13"/>
  <c r="G1036" i="13"/>
  <c r="H1036" i="13"/>
  <c r="D1060" i="15"/>
  <c r="D1061" i="14"/>
  <c r="K1067" i="13"/>
  <c r="H1067" i="13"/>
  <c r="G1067" i="13"/>
  <c r="D1065" i="15"/>
  <c r="D1066" i="14"/>
  <c r="K1072" i="13"/>
  <c r="G1072" i="13"/>
  <c r="H1072" i="13"/>
  <c r="D189" i="15"/>
  <c r="D190" i="14"/>
  <c r="K189" i="13"/>
  <c r="H189" i="13"/>
  <c r="G189" i="13"/>
  <c r="I19" i="15"/>
  <c r="F20" i="14"/>
  <c r="H1767" i="15"/>
  <c r="I1774" i="13"/>
  <c r="J1767" i="15" s="1"/>
  <c r="I1409" i="15"/>
  <c r="F1410" i="14"/>
  <c r="H1753" i="15"/>
  <c r="I1760" i="13"/>
  <c r="J1753" i="15" s="1"/>
  <c r="I1557" i="15"/>
  <c r="F1558" i="14"/>
  <c r="H135" i="15"/>
  <c r="I135" i="13"/>
  <c r="J135" i="15" s="1"/>
  <c r="H167" i="4"/>
  <c r="D2094" i="13"/>
  <c r="L531" i="6"/>
  <c r="H193" i="15"/>
  <c r="I193" i="13"/>
  <c r="J193" i="15" s="1"/>
  <c r="D1896" i="15"/>
  <c r="D1897" i="14"/>
  <c r="K1903" i="13"/>
  <c r="H1903" i="13"/>
  <c r="H1913" i="13" s="1"/>
  <c r="I1906" i="15" s="1"/>
  <c r="G1903" i="13"/>
  <c r="H294" i="15"/>
  <c r="I294" i="13"/>
  <c r="J294" i="15" s="1"/>
  <c r="I1755" i="15"/>
  <c r="F1756" i="14"/>
  <c r="I1872" i="15"/>
  <c r="F1873" i="14"/>
  <c r="H878" i="15"/>
  <c r="I885" i="13"/>
  <c r="J878" i="15" s="1"/>
  <c r="D795" i="13"/>
  <c r="J1939" i="5"/>
  <c r="C1943" i="5"/>
  <c r="E1940" i="5"/>
  <c r="J1942" i="5"/>
  <c r="D822" i="13" s="1"/>
  <c r="D1445" i="13"/>
  <c r="E296" i="9"/>
  <c r="D1431" i="15"/>
  <c r="D1432" i="14"/>
  <c r="H1438" i="13"/>
  <c r="K1438" i="13"/>
  <c r="G1438" i="13"/>
  <c r="D1420" i="15"/>
  <c r="D1421" i="14"/>
  <c r="H1427" i="13"/>
  <c r="K1427" i="13"/>
  <c r="G1427" i="13"/>
  <c r="H1788" i="15"/>
  <c r="I1795" i="13"/>
  <c r="J1788" i="15" s="1"/>
  <c r="I210" i="15"/>
  <c r="F211" i="14"/>
  <c r="D858" i="13"/>
  <c r="J1881" i="5"/>
  <c r="D895" i="13" s="1"/>
  <c r="I137" i="15"/>
  <c r="F138" i="14"/>
  <c r="H103" i="15"/>
  <c r="I103" i="13"/>
  <c r="J103" i="15" s="1"/>
  <c r="I1918" i="15"/>
  <c r="F1919" i="14"/>
  <c r="D1241" i="13"/>
  <c r="L81" i="7"/>
  <c r="D1092" i="13"/>
  <c r="F245" i="7"/>
  <c r="D1245" i="13"/>
  <c r="F365" i="7"/>
  <c r="D1691" i="15"/>
  <c r="D1692" i="14"/>
  <c r="H1698" i="13"/>
  <c r="K1698" i="13"/>
  <c r="G1698" i="13"/>
  <c r="D1787" i="15"/>
  <c r="D1788" i="14"/>
  <c r="H1794" i="13"/>
  <c r="K1794" i="13"/>
  <c r="G1794" i="13"/>
  <c r="D1347" i="13"/>
  <c r="E657" i="9"/>
  <c r="D588" i="13"/>
  <c r="C1652" i="5"/>
  <c r="J1576" i="5"/>
  <c r="H73" i="15"/>
  <c r="I73" i="13"/>
  <c r="J73" i="15" s="1"/>
  <c r="D1395" i="13"/>
  <c r="K652" i="9"/>
  <c r="D38" i="15"/>
  <c r="D39" i="14"/>
  <c r="K38" i="13"/>
  <c r="H38" i="13"/>
  <c r="G38" i="13"/>
  <c r="I232" i="15"/>
  <c r="F233" i="14"/>
  <c r="D1372" i="13"/>
  <c r="E682" i="9"/>
  <c r="C687" i="9"/>
  <c r="I662" i="9"/>
  <c r="C686" i="9"/>
  <c r="H263" i="15"/>
  <c r="I263" i="13"/>
  <c r="J263" i="15" s="1"/>
  <c r="H1469" i="15"/>
  <c r="I1476" i="13"/>
  <c r="J1469" i="15" s="1"/>
  <c r="H713" i="15"/>
  <c r="I720" i="13"/>
  <c r="J713" i="15" s="1"/>
  <c r="I32" i="15"/>
  <c r="F33" i="14"/>
  <c r="I764" i="15"/>
  <c r="F765" i="14"/>
  <c r="D1444" i="13"/>
  <c r="E295" i="9"/>
  <c r="H1648" i="15"/>
  <c r="I1655" i="13"/>
  <c r="J1648" i="15" s="1"/>
  <c r="C1681" i="5"/>
  <c r="C1601" i="5"/>
  <c r="C1770" i="5"/>
  <c r="H1908" i="15"/>
  <c r="I1915" i="13"/>
  <c r="J1908" i="15" s="1"/>
  <c r="D962" i="13"/>
  <c r="J55" i="7"/>
  <c r="D1217" i="13" s="1"/>
  <c r="F101" i="7"/>
  <c r="D1128" i="13"/>
  <c r="F284" i="7"/>
  <c r="D1246" i="13"/>
  <c r="F366" i="7"/>
  <c r="D62" i="13"/>
  <c r="L619" i="8"/>
  <c r="D1802" i="13"/>
  <c r="L579" i="9"/>
  <c r="H107" i="15"/>
  <c r="I107" i="13"/>
  <c r="J107" i="15" s="1"/>
  <c r="H126" i="15"/>
  <c r="I126" i="13"/>
  <c r="J126" i="15" s="1"/>
  <c r="D1237" i="15"/>
  <c r="D1238" i="14"/>
  <c r="H1244" i="13"/>
  <c r="G1244" i="13"/>
  <c r="D253" i="15"/>
  <c r="D254" i="14"/>
  <c r="H253" i="13"/>
  <c r="G253" i="13"/>
  <c r="D353" i="15"/>
  <c r="D354" i="14"/>
  <c r="H360" i="13"/>
  <c r="G360" i="13"/>
  <c r="I289" i="15"/>
  <c r="F290" i="14"/>
  <c r="H1905" i="15"/>
  <c r="I1912" i="13"/>
  <c r="J1905" i="15" s="1"/>
  <c r="I1439" i="15"/>
  <c r="F1440" i="14"/>
  <c r="I116" i="15"/>
  <c r="F117" i="14"/>
  <c r="D460" i="13"/>
  <c r="AS1466" i="5"/>
  <c r="D377" i="13" s="1"/>
  <c r="AC49" i="5"/>
  <c r="Q77" i="4"/>
  <c r="R77" i="4" s="1"/>
  <c r="M196" i="4"/>
  <c r="Q196" i="4" s="1"/>
  <c r="M79" i="4"/>
  <c r="Q79" i="4" s="1"/>
  <c r="R79" i="4" s="1"/>
  <c r="I1428" i="15"/>
  <c r="F1429" i="14"/>
  <c r="H1443" i="15"/>
  <c r="I1450" i="13"/>
  <c r="J1443" i="15" s="1"/>
  <c r="I119" i="15"/>
  <c r="F120" i="14"/>
  <c r="D53" i="15"/>
  <c r="D54" i="14"/>
  <c r="K53" i="13"/>
  <c r="H53" i="13"/>
  <c r="G53" i="13"/>
  <c r="H1546" i="15"/>
  <c r="I1553" i="13"/>
  <c r="J1546" i="15" s="1"/>
  <c r="D1235" i="15"/>
  <c r="D1236" i="14"/>
  <c r="H1242" i="13"/>
  <c r="G1242" i="13"/>
  <c r="I230" i="15"/>
  <c r="F231" i="14"/>
  <c r="D2065" i="13"/>
  <c r="C551" i="6"/>
  <c r="E550" i="6"/>
  <c r="I1893" i="15"/>
  <c r="F1894" i="14"/>
  <c r="D844" i="13"/>
  <c r="D824" i="15"/>
  <c r="D825" i="14"/>
  <c r="K831" i="13"/>
  <c r="H831" i="13"/>
  <c r="G831" i="13"/>
  <c r="I1746" i="15"/>
  <c r="F1747" i="14"/>
  <c r="D1166" i="13"/>
  <c r="F325" i="7"/>
  <c r="I1767" i="15"/>
  <c r="F1768" i="14"/>
  <c r="I1753" i="15"/>
  <c r="F1754" i="14"/>
  <c r="H1755" i="15"/>
  <c r="I1762" i="13"/>
  <c r="J1755" i="15" s="1"/>
  <c r="I1406" i="15"/>
  <c r="F1407" i="14"/>
  <c r="D1461" i="15"/>
  <c r="D1462" i="14"/>
  <c r="H1468" i="13"/>
  <c r="G1468" i="13"/>
  <c r="I1788" i="15"/>
  <c r="F1789" i="14"/>
  <c r="H1878" i="15"/>
  <c r="I1885" i="13"/>
  <c r="J1878" i="15" s="1"/>
  <c r="D777" i="15"/>
  <c r="D778" i="14"/>
  <c r="H784" i="13"/>
  <c r="G784" i="13"/>
  <c r="H1836" i="15"/>
  <c r="I1843" i="13"/>
  <c r="J1836" i="15" s="1"/>
  <c r="D1363" i="13"/>
  <c r="C675" i="9"/>
  <c r="E673" i="9"/>
  <c r="D2228" i="15"/>
  <c r="D2229" i="14"/>
  <c r="H2235" i="13"/>
  <c r="H2245" i="13" s="1"/>
  <c r="I2238" i="15" s="1"/>
  <c r="K2235" i="13"/>
  <c r="G2235" i="13"/>
  <c r="D1085" i="13"/>
  <c r="F238" i="7"/>
  <c r="D1096" i="13"/>
  <c r="F249" i="7"/>
  <c r="D1367" i="13"/>
  <c r="E677" i="9"/>
  <c r="D1339" i="13"/>
  <c r="C696" i="9"/>
  <c r="E649" i="9"/>
  <c r="I1903" i="15"/>
  <c r="F1904" i="14"/>
  <c r="H1918" i="15"/>
  <c r="I1925" i="13"/>
  <c r="J1918" i="15" s="1"/>
  <c r="H1734" i="15"/>
  <c r="I1741" i="13"/>
  <c r="J1734" i="15" s="1"/>
  <c r="C367" i="9"/>
  <c r="C365" i="9"/>
  <c r="C364" i="9"/>
  <c r="J363" i="9"/>
  <c r="C360" i="9"/>
  <c r="C357" i="9"/>
  <c r="C353" i="9"/>
  <c r="J356" i="9"/>
  <c r="C355" i="9"/>
  <c r="C372" i="9"/>
  <c r="C354" i="9"/>
  <c r="C352" i="9"/>
  <c r="C373" i="9"/>
  <c r="D68" i="7"/>
  <c r="D69" i="7"/>
  <c r="D67" i="7"/>
  <c r="J48" i="7"/>
  <c r="D1210" i="13" s="1"/>
  <c r="D1097" i="13"/>
  <c r="F250" i="7"/>
  <c r="D1090" i="13"/>
  <c r="F243" i="7"/>
  <c r="D1093" i="13"/>
  <c r="F246" i="7"/>
  <c r="D961" i="13"/>
  <c r="F98" i="7"/>
  <c r="D1088" i="13"/>
  <c r="F241" i="7"/>
  <c r="D1094" i="13"/>
  <c r="F247" i="7"/>
  <c r="J47" i="7"/>
  <c r="D1209" i="13" s="1"/>
  <c r="D65" i="7"/>
  <c r="D1091" i="13"/>
  <c r="F244" i="7"/>
  <c r="D1123" i="13"/>
  <c r="F276" i="7"/>
  <c r="D1071" i="15"/>
  <c r="D1072" i="14"/>
  <c r="K1078" i="13"/>
  <c r="G1078" i="13"/>
  <c r="H1078" i="13"/>
  <c r="D299" i="13"/>
  <c r="L494" i="8"/>
  <c r="I29" i="15"/>
  <c r="F30" i="14"/>
  <c r="I1410" i="15"/>
  <c r="F1411" i="14"/>
  <c r="H2248" i="15"/>
  <c r="F2249" i="14"/>
  <c r="I2255" i="13"/>
  <c r="J2248" i="15" s="1"/>
  <c r="I1792" i="15"/>
  <c r="F1793" i="14"/>
  <c r="D714" i="15"/>
  <c r="D715" i="14"/>
  <c r="H721" i="13"/>
  <c r="K721" i="13"/>
  <c r="G721" i="13"/>
  <c r="H871" i="15"/>
  <c r="I878" i="13"/>
  <c r="J871" i="15" s="1"/>
  <c r="I1879" i="15"/>
  <c r="F1880" i="14"/>
  <c r="D1399" i="13"/>
  <c r="K658" i="9"/>
  <c r="D130" i="13"/>
  <c r="E276" i="8"/>
  <c r="E281" i="8" s="1"/>
  <c r="I15" i="15"/>
  <c r="F16" i="14"/>
  <c r="D1060" i="13"/>
  <c r="F201" i="7"/>
  <c r="D1075" i="15"/>
  <c r="D1076" i="14"/>
  <c r="K1082" i="13"/>
  <c r="G1082" i="13"/>
  <c r="H1082" i="13"/>
  <c r="D1063" i="15"/>
  <c r="D1064" i="14"/>
  <c r="K1070" i="13"/>
  <c r="G1070" i="13"/>
  <c r="H1070" i="13"/>
  <c r="H211" i="15"/>
  <c r="I211" i="13"/>
  <c r="J211" i="15" s="1"/>
  <c r="D600" i="13"/>
  <c r="O1618" i="5"/>
  <c r="S1548" i="5"/>
  <c r="U1547" i="5"/>
  <c r="S1549" i="5"/>
  <c r="D587" i="13"/>
  <c r="J1575" i="5"/>
  <c r="C1651" i="5"/>
  <c r="I268" i="15"/>
  <c r="F269" i="14"/>
  <c r="I1683" i="15"/>
  <c r="F1684" i="14"/>
  <c r="H1954" i="15"/>
  <c r="I1961" i="13"/>
  <c r="J1954" i="15" s="1"/>
  <c r="I662" i="15"/>
  <c r="F663" i="14"/>
  <c r="E668" i="10"/>
  <c r="G668" i="10" s="1"/>
  <c r="E564" i="5"/>
  <c r="G563" i="5"/>
  <c r="H668" i="10" s="1"/>
  <c r="D1346" i="13"/>
  <c r="E656" i="9"/>
  <c r="D1397" i="13"/>
  <c r="K656" i="9"/>
  <c r="D1393" i="13"/>
  <c r="K650" i="9"/>
  <c r="D1353" i="13"/>
  <c r="C670" i="9"/>
  <c r="E663" i="9"/>
  <c r="D1398" i="13"/>
  <c r="K657" i="9"/>
  <c r="D2064" i="13"/>
  <c r="E549" i="6"/>
  <c r="I1886" i="15"/>
  <c r="F1887" i="14"/>
  <c r="H842" i="15"/>
  <c r="I849" i="13"/>
  <c r="J842" i="15" s="1"/>
  <c r="I1642" i="15"/>
  <c r="F1643" i="14"/>
  <c r="H1664" i="13"/>
  <c r="I1657" i="15" s="1"/>
  <c r="D804" i="15"/>
  <c r="D805" i="14"/>
  <c r="K811" i="13"/>
  <c r="H811" i="13"/>
  <c r="G811" i="13"/>
  <c r="I1455" i="15"/>
  <c r="F1456" i="14"/>
  <c r="I2241" i="15"/>
  <c r="F2242" i="14"/>
  <c r="I2340" i="15"/>
  <c r="F2341" i="14"/>
  <c r="I2347" i="13"/>
  <c r="J2340" i="15" s="1"/>
  <c r="J1988" i="5"/>
  <c r="D785" i="13" s="1"/>
  <c r="D750" i="15"/>
  <c r="D751" i="14"/>
  <c r="K757" i="13"/>
  <c r="H757" i="13"/>
  <c r="G757" i="13"/>
  <c r="D1473" i="13"/>
  <c r="L273" i="9"/>
  <c r="L317" i="9" s="1"/>
  <c r="B319" i="9" s="1"/>
  <c r="H1758" i="15"/>
  <c r="I1765" i="13"/>
  <c r="J1758" i="15" s="1"/>
  <c r="D252" i="15"/>
  <c r="D253" i="14"/>
  <c r="H252" i="13"/>
  <c r="G252" i="13"/>
  <c r="D1678" i="15"/>
  <c r="D1679" i="14"/>
  <c r="H1685" i="13"/>
  <c r="K1685" i="13"/>
  <c r="G1685" i="13"/>
  <c r="I277" i="15"/>
  <c r="F278" i="14"/>
  <c r="D276" i="13"/>
  <c r="E496" i="8"/>
  <c r="E521" i="10"/>
  <c r="G521" i="10" s="1"/>
  <c r="E497" i="5"/>
  <c r="G496" i="5"/>
  <c r="H521" i="10" s="1"/>
  <c r="I1407" i="15"/>
  <c r="F1408" i="14"/>
  <c r="D1074" i="15"/>
  <c r="D1075" i="14"/>
  <c r="K1081" i="13"/>
  <c r="G1081" i="13"/>
  <c r="H1081" i="13"/>
  <c r="D39" i="15"/>
  <c r="D40" i="14"/>
  <c r="K39" i="13"/>
  <c r="H39" i="13"/>
  <c r="G39" i="13"/>
  <c r="D1754" i="15"/>
  <c r="D1755" i="14"/>
  <c r="H1761" i="13"/>
  <c r="K1761" i="13"/>
  <c r="G1761" i="13"/>
  <c r="H260" i="15"/>
  <c r="I260" i="13"/>
  <c r="J260" i="15" s="1"/>
  <c r="D1763" i="15"/>
  <c r="D1764" i="14"/>
  <c r="H1770" i="13"/>
  <c r="K1770" i="13"/>
  <c r="G1770" i="13"/>
  <c r="D1452" i="15"/>
  <c r="D1453" i="14"/>
  <c r="H1459" i="13"/>
  <c r="K1459" i="13"/>
  <c r="G1459" i="13"/>
  <c r="F1105" i="5"/>
  <c r="F1109" i="5" s="1"/>
  <c r="H1418" i="15"/>
  <c r="I1425" i="13"/>
  <c r="J1418" i="15" s="1"/>
  <c r="I208" i="15"/>
  <c r="F209" i="14"/>
  <c r="D1031" i="15"/>
  <c r="D1032" i="14"/>
  <c r="K1038" i="13"/>
  <c r="G1038" i="13"/>
  <c r="H1038" i="13"/>
  <c r="E710" i="10"/>
  <c r="G710" i="10" s="1"/>
  <c r="E1027" i="5"/>
  <c r="G1026" i="5"/>
  <c r="H710" i="10" s="1"/>
  <c r="H32" i="15"/>
  <c r="I32" i="13"/>
  <c r="J32" i="15" s="1"/>
  <c r="G2269" i="13"/>
  <c r="H209" i="15"/>
  <c r="I209" i="13"/>
  <c r="J209" i="15" s="1"/>
  <c r="H1890" i="15"/>
  <c r="I1897" i="13"/>
  <c r="J1890" i="15" s="1"/>
  <c r="D1901" i="15"/>
  <c r="D1902" i="14"/>
  <c r="K1908" i="13"/>
  <c r="H1908" i="13"/>
  <c r="G1908" i="13"/>
  <c r="H284" i="15"/>
  <c r="I284" i="13"/>
  <c r="J284" i="15" s="1"/>
  <c r="D1453" i="15"/>
  <c r="D1454" i="14"/>
  <c r="H1460" i="13"/>
  <c r="K1460" i="13"/>
  <c r="G1460" i="13"/>
  <c r="E312" i="10"/>
  <c r="G312" i="10" s="1"/>
  <c r="E739" i="5"/>
  <c r="G738" i="5"/>
  <c r="H312" i="10" s="1"/>
  <c r="D1463" i="15"/>
  <c r="D1464" i="14"/>
  <c r="H1470" i="13"/>
  <c r="G1470" i="13"/>
  <c r="C212" i="4"/>
  <c r="R199" i="4"/>
  <c r="D324" i="13"/>
  <c r="P1394" i="5"/>
  <c r="N1395" i="5"/>
  <c r="I1885" i="15"/>
  <c r="F1886" i="14"/>
  <c r="D1139" i="13"/>
  <c r="F295" i="7"/>
  <c r="D1141" i="13"/>
  <c r="F297" i="7"/>
  <c r="D1124" i="13"/>
  <c r="F280" i="7"/>
  <c r="D1221" i="15"/>
  <c r="D1222" i="14"/>
  <c r="H1228" i="13"/>
  <c r="G1228" i="13"/>
  <c r="D1131" i="13"/>
  <c r="F287" i="7"/>
  <c r="D1018" i="13"/>
  <c r="F157" i="7"/>
  <c r="D1132" i="13"/>
  <c r="F288" i="7"/>
  <c r="D1142" i="13"/>
  <c r="F298" i="7"/>
  <c r="D61" i="13"/>
  <c r="L618" i="8"/>
  <c r="L631" i="8" s="1"/>
  <c r="B633" i="8" s="1"/>
  <c r="D58" i="13"/>
  <c r="L615" i="8"/>
  <c r="I114" i="15"/>
  <c r="F115" i="14"/>
  <c r="I1913" i="15"/>
  <c r="F1914" i="14"/>
  <c r="D1921" i="15"/>
  <c r="D1922" i="14"/>
  <c r="H1928" i="13"/>
  <c r="G1928" i="13"/>
  <c r="D1045" i="13"/>
  <c r="F100" i="7"/>
  <c r="H756" i="10"/>
  <c r="G756" i="10" s="1"/>
  <c r="C1537" i="5"/>
  <c r="D1354" i="13"/>
  <c r="E664" i="9"/>
  <c r="I1933" i="15"/>
  <c r="F1934" i="14"/>
  <c r="I1432" i="15"/>
  <c r="F1433" i="14"/>
  <c r="D1608" i="15"/>
  <c r="D1609" i="14"/>
  <c r="H1615" i="13"/>
  <c r="G1615" i="13"/>
  <c r="O1813" i="5"/>
  <c r="I1735" i="15"/>
  <c r="F1736" i="14"/>
  <c r="D1772" i="13"/>
  <c r="E596" i="9"/>
  <c r="J588" i="9"/>
  <c r="D1759" i="13"/>
  <c r="E583" i="9"/>
  <c r="D1781" i="13"/>
  <c r="E605" i="9"/>
  <c r="D1755" i="13"/>
  <c r="E579" i="9"/>
  <c r="D1775" i="13"/>
  <c r="E599" i="9"/>
  <c r="J589" i="9"/>
  <c r="C604" i="9"/>
  <c r="D1468" i="15"/>
  <c r="D1469" i="14"/>
  <c r="H1475" i="13"/>
  <c r="G1475" i="13"/>
  <c r="I16" i="15"/>
  <c r="F17" i="14"/>
  <c r="H1957" i="15"/>
  <c r="I1964" i="13"/>
  <c r="J1957" i="15" s="1"/>
  <c r="D1344" i="15"/>
  <c r="D1345" i="14"/>
  <c r="K1351" i="13"/>
  <c r="H1351" i="13"/>
  <c r="G1351" i="13"/>
  <c r="D2210" i="13"/>
  <c r="L658" i="6"/>
  <c r="D514" i="13"/>
  <c r="AR1434" i="5"/>
  <c r="D431" i="13" s="1"/>
  <c r="H286" i="15"/>
  <c r="I286" i="13"/>
  <c r="J286" i="15" s="1"/>
  <c r="H289" i="15"/>
  <c r="I289" i="13"/>
  <c r="J289" i="15" s="1"/>
  <c r="I1904" i="15"/>
  <c r="F1905" i="14"/>
  <c r="H1895" i="15"/>
  <c r="I1902" i="13"/>
  <c r="J1895" i="15" s="1"/>
  <c r="H1419" i="15"/>
  <c r="I1426" i="13"/>
  <c r="J1419" i="15" s="1"/>
  <c r="I1511" i="15"/>
  <c r="F1512" i="14"/>
  <c r="H116" i="15"/>
  <c r="I116" i="13"/>
  <c r="J116" i="15" s="1"/>
  <c r="D75" i="13"/>
  <c r="E640" i="8"/>
  <c r="E652" i="8" s="1"/>
  <c r="B653" i="8" s="1"/>
  <c r="B655" i="8" s="1"/>
  <c r="D879" i="15"/>
  <c r="D880" i="14"/>
  <c r="K886" i="13"/>
  <c r="H886" i="13"/>
  <c r="G886" i="13"/>
  <c r="H1421" i="15"/>
  <c r="I1428" i="13"/>
  <c r="J1421" i="15" s="1"/>
  <c r="H1535" i="15"/>
  <c r="I1542" i="13"/>
  <c r="J1535" i="15" s="1"/>
  <c r="I30" i="15"/>
  <c r="F31" i="14"/>
  <c r="H2448" i="15"/>
  <c r="I2456" i="13"/>
  <c r="J2448" i="15" s="1"/>
  <c r="G2482" i="13"/>
  <c r="D797" i="15"/>
  <c r="D798" i="14"/>
  <c r="H804" i="13"/>
  <c r="K804" i="13"/>
  <c r="D1451" i="15"/>
  <c r="D1452" i="14"/>
  <c r="H1458" i="13"/>
  <c r="K1458" i="13"/>
  <c r="G1458" i="13"/>
  <c r="D1462" i="15"/>
  <c r="D1463" i="14"/>
  <c r="H1469" i="13"/>
  <c r="G1469" i="13"/>
  <c r="I14" i="15"/>
  <c r="F15" i="14"/>
  <c r="H23" i="13"/>
  <c r="E234" i="10"/>
  <c r="E661" i="5"/>
  <c r="F660" i="5"/>
  <c r="F234" i="10" s="1"/>
  <c r="E695" i="5"/>
  <c r="H2374" i="15"/>
  <c r="I2381" i="13"/>
  <c r="J2374" i="15" s="1"/>
  <c r="H2227" i="15"/>
  <c r="I2234" i="13"/>
  <c r="J2227" i="15" s="1"/>
  <c r="I298" i="15"/>
  <c r="F299" i="14"/>
  <c r="I296" i="15"/>
  <c r="F297" i="14"/>
  <c r="H1770" i="15"/>
  <c r="I1777" i="13"/>
  <c r="J1770" i="15" s="1"/>
  <c r="D1909" i="15"/>
  <c r="D1910" i="14"/>
  <c r="H1916" i="13"/>
  <c r="H1929" i="13" s="1"/>
  <c r="I1922" i="15" s="1"/>
  <c r="G1916" i="13"/>
  <c r="H1423" i="15"/>
  <c r="I1430" i="13"/>
  <c r="J1423" i="15" s="1"/>
  <c r="H119" i="15"/>
  <c r="I119" i="13"/>
  <c r="J119" i="15" s="1"/>
  <c r="H1745" i="15"/>
  <c r="I1752" i="13"/>
  <c r="J1745" i="15" s="1"/>
  <c r="D45" i="13"/>
  <c r="E622" i="8"/>
  <c r="I766" i="15"/>
  <c r="F767" i="14"/>
  <c r="I136" i="15"/>
  <c r="F137" i="14"/>
  <c r="D28" i="15"/>
  <c r="D29" i="14"/>
  <c r="H28" i="13"/>
  <c r="G28" i="13"/>
  <c r="I310" i="15"/>
  <c r="F311" i="14"/>
  <c r="C536" i="6"/>
  <c r="J527" i="6"/>
  <c r="J524" i="6"/>
  <c r="C483" i="6"/>
  <c r="C479" i="6"/>
  <c r="C480" i="6"/>
  <c r="D2063" i="13"/>
  <c r="E548" i="6"/>
  <c r="I258" i="15"/>
  <c r="F259" i="14"/>
  <c r="H1761" i="15"/>
  <c r="I1768" i="13"/>
  <c r="J1761" i="15" s="1"/>
  <c r="I1871" i="15"/>
  <c r="F1872" i="14"/>
  <c r="H1893" i="15"/>
  <c r="I1900" i="13"/>
  <c r="J1893" i="15" s="1"/>
  <c r="I1444" i="15"/>
  <c r="F1445" i="14"/>
  <c r="H2373" i="15"/>
  <c r="I2380" i="13"/>
  <c r="J2373" i="15" s="1"/>
  <c r="D725" i="14"/>
  <c r="D842" i="13"/>
  <c r="C1842" i="5"/>
  <c r="E1841" i="5"/>
  <c r="D868" i="13"/>
  <c r="E1878" i="5"/>
  <c r="C1879" i="5"/>
  <c r="C1882" i="5" s="1"/>
  <c r="D31" i="15"/>
  <c r="D32" i="14"/>
  <c r="H31" i="13"/>
  <c r="G31" i="13"/>
  <c r="D250" i="15"/>
  <c r="D251" i="14"/>
  <c r="H250" i="13"/>
  <c r="G250" i="13"/>
  <c r="I1882" i="15"/>
  <c r="F1883" i="14"/>
  <c r="D1232" i="15"/>
  <c r="D1233" i="14"/>
  <c r="H1239" i="13"/>
  <c r="G1239" i="13"/>
  <c r="D1233" i="15"/>
  <c r="D1234" i="14"/>
  <c r="H1240" i="13"/>
  <c r="G1240" i="13"/>
  <c r="D1167" i="13"/>
  <c r="F326" i="7"/>
  <c r="D1175" i="13"/>
  <c r="F334" i="7"/>
  <c r="D1164" i="13"/>
  <c r="F323" i="7"/>
  <c r="D1172" i="13"/>
  <c r="F331" i="7"/>
  <c r="D1180" i="13"/>
  <c r="F339" i="7"/>
  <c r="D1201" i="13"/>
  <c r="F360" i="7"/>
  <c r="H755" i="10"/>
  <c r="G755" i="10" s="1"/>
  <c r="C1536" i="5"/>
  <c r="E642" i="10"/>
  <c r="G642" i="10" s="1"/>
  <c r="E999" i="5"/>
  <c r="D1467" i="15"/>
  <c r="D1468" i="14"/>
  <c r="H1474" i="13"/>
  <c r="G1474" i="13"/>
  <c r="D556" i="13"/>
  <c r="S1546" i="5"/>
  <c r="J1544" i="5"/>
  <c r="C1620" i="5"/>
  <c r="D251" i="15"/>
  <c r="D252" i="14"/>
  <c r="H251" i="13"/>
  <c r="G251" i="13"/>
  <c r="I135" i="15"/>
  <c r="F136" i="14"/>
  <c r="D1700" i="15"/>
  <c r="D1701" i="14"/>
  <c r="H1707" i="13"/>
  <c r="K1707" i="13"/>
  <c r="G1707" i="13"/>
  <c r="D2062" i="13"/>
  <c r="E547" i="6"/>
  <c r="I193" i="15"/>
  <c r="F194" i="14"/>
  <c r="I259" i="15"/>
  <c r="F260" i="14"/>
  <c r="I294" i="15"/>
  <c r="F295" i="14"/>
  <c r="I878" i="15"/>
  <c r="F879" i="14"/>
  <c r="H1406" i="15"/>
  <c r="I1413" i="13"/>
  <c r="J1406" i="15" s="1"/>
  <c r="C1950" i="5"/>
  <c r="D787" i="15"/>
  <c r="D788" i="14"/>
  <c r="H794" i="13"/>
  <c r="K794" i="13"/>
  <c r="G794" i="13"/>
  <c r="H1561" i="15"/>
  <c r="I1568" i="13"/>
  <c r="J1561" i="15" s="1"/>
  <c r="D814" i="15"/>
  <c r="D815" i="14"/>
  <c r="H821" i="13"/>
  <c r="G821" i="13"/>
  <c r="D1732" i="15"/>
  <c r="D1733" i="14"/>
  <c r="H1739" i="13"/>
  <c r="G1739" i="13"/>
  <c r="K731" i="13" l="1"/>
  <c r="H731" i="13"/>
  <c r="I724" i="15" s="1"/>
  <c r="G731" i="13"/>
  <c r="D741" i="15"/>
  <c r="D853" i="14"/>
  <c r="D852" i="15"/>
  <c r="G859" i="13"/>
  <c r="I497" i="13"/>
  <c r="J490" i="15" s="1"/>
  <c r="E1834" i="5"/>
  <c r="I414" i="13"/>
  <c r="J407" i="15" s="1"/>
  <c r="G748" i="13"/>
  <c r="AC52" i="5"/>
  <c r="AA53" i="5"/>
  <c r="AC53" i="5" s="1"/>
  <c r="H748" i="13"/>
  <c r="I741" i="15" s="1"/>
  <c r="AA61" i="5"/>
  <c r="AC61" i="5" s="1"/>
  <c r="R100" i="5" s="1"/>
  <c r="R93" i="5" s="1"/>
  <c r="R94" i="5" s="1"/>
  <c r="G268" i="10"/>
  <c r="G221" i="5"/>
  <c r="H84" i="10" s="1"/>
  <c r="K2232" i="5"/>
  <c r="K2231" i="5"/>
  <c r="F2231" i="5"/>
  <c r="F2232" i="5"/>
  <c r="G694" i="5"/>
  <c r="H268" i="10" s="1"/>
  <c r="C2232" i="5"/>
  <c r="C2231" i="5"/>
  <c r="F632" i="5"/>
  <c r="E642" i="5" s="1"/>
  <c r="P622" i="5"/>
  <c r="F633" i="5"/>
  <c r="G633" i="5" s="1"/>
  <c r="F634" i="5" s="1"/>
  <c r="Q622" i="5"/>
  <c r="Q626" i="5" s="1"/>
  <c r="R622" i="5"/>
  <c r="R626" i="5" s="1"/>
  <c r="E646" i="5" s="1"/>
  <c r="S622" i="5"/>
  <c r="E643" i="5"/>
  <c r="G23" i="10"/>
  <c r="AA57" i="5"/>
  <c r="AC57" i="5" s="1"/>
  <c r="P100" i="5" s="1"/>
  <c r="I2231" i="5"/>
  <c r="I2232" i="5"/>
  <c r="E631" i="8"/>
  <c r="B632" i="8" s="1"/>
  <c r="C1891" i="5"/>
  <c r="E1891" i="5" s="1"/>
  <c r="E1813" i="5"/>
  <c r="D872" i="13"/>
  <c r="E1882" i="5"/>
  <c r="H23" i="15"/>
  <c r="F24" i="14"/>
  <c r="I23" i="13"/>
  <c r="J23" i="15" s="1"/>
  <c r="D2055" i="15"/>
  <c r="D2056" i="14"/>
  <c r="K2062" i="13"/>
  <c r="H2062" i="13"/>
  <c r="G2062" i="13"/>
  <c r="H251" i="15"/>
  <c r="I251" i="13"/>
  <c r="J251" i="15" s="1"/>
  <c r="H1467" i="15"/>
  <c r="I1474" i="13"/>
  <c r="J1467" i="15" s="1"/>
  <c r="H1232" i="15"/>
  <c r="I1239" i="13"/>
  <c r="J1232" i="15" s="1"/>
  <c r="D2087" i="13"/>
  <c r="L524" i="6"/>
  <c r="I23" i="15"/>
  <c r="H1452" i="15"/>
  <c r="I1459" i="13"/>
  <c r="J1452" i="15" s="1"/>
  <c r="D1466" i="15"/>
  <c r="D1467" i="14"/>
  <c r="H1473" i="13"/>
  <c r="G1473" i="13"/>
  <c r="D1346" i="15"/>
  <c r="D1347" i="14"/>
  <c r="K1353" i="13"/>
  <c r="H1353" i="13"/>
  <c r="G1353" i="13"/>
  <c r="D1390" i="15"/>
  <c r="D1391" i="14"/>
  <c r="H1397" i="13"/>
  <c r="G1397" i="13"/>
  <c r="I1063" i="15"/>
  <c r="F1064" i="14"/>
  <c r="D1490" i="13"/>
  <c r="E352" i="9"/>
  <c r="C388" i="9"/>
  <c r="D2066" i="13"/>
  <c r="E551" i="6"/>
  <c r="D955" i="15"/>
  <c r="D956" i="14"/>
  <c r="K962" i="13"/>
  <c r="G962" i="13"/>
  <c r="H962" i="13"/>
  <c r="H1787" i="15"/>
  <c r="I1794" i="13"/>
  <c r="J1787" i="15" s="1"/>
  <c r="H1420" i="15"/>
  <c r="I1427" i="13"/>
  <c r="J1420" i="15" s="1"/>
  <c r="D1618" i="13"/>
  <c r="L447" i="9"/>
  <c r="D1785" i="15"/>
  <c r="D1786" i="14"/>
  <c r="H1792" i="13"/>
  <c r="K1792" i="13"/>
  <c r="G1792" i="13"/>
  <c r="D1400" i="13"/>
  <c r="K659" i="9"/>
  <c r="I40" i="15"/>
  <c r="F41" i="14"/>
  <c r="D964" i="13"/>
  <c r="J57" i="7"/>
  <c r="D1219" i="13" s="1"/>
  <c r="D112" i="7"/>
  <c r="F103" i="7"/>
  <c r="J56" i="7"/>
  <c r="D1218" i="13" s="1"/>
  <c r="H1219" i="15"/>
  <c r="I1226" i="13"/>
  <c r="J1219" i="15" s="1"/>
  <c r="H1472" i="15"/>
  <c r="I1479" i="13"/>
  <c r="J1472" i="15" s="1"/>
  <c r="D454" i="15"/>
  <c r="D455" i="14"/>
  <c r="K461" i="13"/>
  <c r="H461" i="13"/>
  <c r="H454" i="15" s="1"/>
  <c r="G461" i="13"/>
  <c r="E423" i="10"/>
  <c r="G423" i="10" s="1"/>
  <c r="E439" i="5"/>
  <c r="G438" i="5"/>
  <c r="H423" i="10" s="1"/>
  <c r="H26" i="15"/>
  <c r="I26" i="13"/>
  <c r="J26" i="15" s="1"/>
  <c r="D1240" i="15"/>
  <c r="D1241" i="14"/>
  <c r="H1247" i="13"/>
  <c r="I1240" i="15" s="1"/>
  <c r="G1247" i="13"/>
  <c r="H1240" i="15" s="1"/>
  <c r="D1232" i="13"/>
  <c r="J72" i="7"/>
  <c r="D1233" i="13" s="1"/>
  <c r="D44" i="15"/>
  <c r="D45" i="14"/>
  <c r="K44" i="13"/>
  <c r="H44" i="13"/>
  <c r="G44" i="13"/>
  <c r="D1793" i="15"/>
  <c r="D1794" i="14"/>
  <c r="H1800" i="13"/>
  <c r="G1800" i="13"/>
  <c r="D1127" i="15"/>
  <c r="D1128" i="14"/>
  <c r="K1134" i="13"/>
  <c r="H1134" i="13"/>
  <c r="I1127" i="15" s="1"/>
  <c r="G1134" i="13"/>
  <c r="H1127" i="15" s="1"/>
  <c r="H334" i="15"/>
  <c r="I334" i="13"/>
  <c r="J334" i="15" s="1"/>
  <c r="I1685" i="15"/>
  <c r="F1686" i="14"/>
  <c r="I1702" i="15"/>
  <c r="F1703" i="14"/>
  <c r="I261" i="15"/>
  <c r="F262" i="14"/>
  <c r="D911" i="13"/>
  <c r="F48" i="7"/>
  <c r="D921" i="13"/>
  <c r="F58" i="7"/>
  <c r="I115" i="15"/>
  <c r="F116" i="14"/>
  <c r="D1334" i="15"/>
  <c r="D1335" i="14"/>
  <c r="K1341" i="13"/>
  <c r="H1341" i="13"/>
  <c r="G1341" i="13"/>
  <c r="D1073" i="13"/>
  <c r="F214" i="7"/>
  <c r="D215" i="7"/>
  <c r="H1229" i="15"/>
  <c r="I1236" i="13"/>
  <c r="J1229" i="15" s="1"/>
  <c r="H1955" i="15"/>
  <c r="I1962" i="13"/>
  <c r="J1955" i="15" s="1"/>
  <c r="D2088" i="13"/>
  <c r="L525" i="6"/>
  <c r="I1910" i="15"/>
  <c r="F1911" i="14"/>
  <c r="P111" i="4"/>
  <c r="D1806" i="15"/>
  <c r="D1807" i="14"/>
  <c r="H1813" i="13"/>
  <c r="G1813" i="13"/>
  <c r="I56" i="15"/>
  <c r="F57" i="14"/>
  <c r="D985" i="13"/>
  <c r="D125" i="7"/>
  <c r="F124" i="7"/>
  <c r="D987" i="13"/>
  <c r="F126" i="7"/>
  <c r="D132" i="7"/>
  <c r="D129" i="7"/>
  <c r="H1416" i="15"/>
  <c r="I1423" i="13"/>
  <c r="J1416" i="15" s="1"/>
  <c r="D181" i="13"/>
  <c r="E348" i="8"/>
  <c r="E415" i="8" s="1"/>
  <c r="C350" i="8"/>
  <c r="C415" i="8"/>
  <c r="D221" i="13" s="1"/>
  <c r="D202" i="13"/>
  <c r="J416" i="8"/>
  <c r="L350" i="8"/>
  <c r="D1803" i="15"/>
  <c r="D1804" i="14"/>
  <c r="H1810" i="13"/>
  <c r="G1810" i="13"/>
  <c r="D770" i="13"/>
  <c r="E1998" i="5"/>
  <c r="I852" i="15"/>
  <c r="F853" i="14"/>
  <c r="D1118" i="15"/>
  <c r="D1119" i="14"/>
  <c r="K1125" i="13"/>
  <c r="H1125" i="13"/>
  <c r="I1118" i="15" s="1"/>
  <c r="G1125" i="13"/>
  <c r="H1118" i="15" s="1"/>
  <c r="I1220" i="15"/>
  <c r="F1221" i="14"/>
  <c r="H206" i="4"/>
  <c r="L206" i="4" s="1"/>
  <c r="L205" i="4"/>
  <c r="I337" i="15"/>
  <c r="F338" i="14"/>
  <c r="H1048" i="15"/>
  <c r="I1055" i="13"/>
  <c r="J1048" i="15" s="1"/>
  <c r="D645" i="13"/>
  <c r="C1727" i="5"/>
  <c r="J1649" i="5"/>
  <c r="H49" i="15"/>
  <c r="I49" i="13"/>
  <c r="J49" i="15" s="1"/>
  <c r="H1732" i="15"/>
  <c r="I1739" i="13"/>
  <c r="J1732" i="15" s="1"/>
  <c r="H814" i="15"/>
  <c r="I821" i="13"/>
  <c r="J814" i="15" s="1"/>
  <c r="I787" i="15"/>
  <c r="F788" i="14"/>
  <c r="H1700" i="15"/>
  <c r="I1707" i="13"/>
  <c r="J1700" i="15" s="1"/>
  <c r="I251" i="15"/>
  <c r="F252" i="14"/>
  <c r="I1467" i="15"/>
  <c r="F1468" i="14"/>
  <c r="D1194" i="15"/>
  <c r="D1195" i="14"/>
  <c r="K1201" i="13"/>
  <c r="H1201" i="13"/>
  <c r="I1194" i="15" s="1"/>
  <c r="G1201" i="13"/>
  <c r="H1194" i="15" s="1"/>
  <c r="D1165" i="15"/>
  <c r="D1166" i="14"/>
  <c r="K1172" i="13"/>
  <c r="H1172" i="13"/>
  <c r="I1165" i="15" s="1"/>
  <c r="G1172" i="13"/>
  <c r="H1165" i="15" s="1"/>
  <c r="D1168" i="15"/>
  <c r="D1169" i="14"/>
  <c r="K1175" i="13"/>
  <c r="G1175" i="13"/>
  <c r="H1168" i="15" s="1"/>
  <c r="H1175" i="13"/>
  <c r="I1168" i="15" s="1"/>
  <c r="I1233" i="15"/>
  <c r="F1234" i="14"/>
  <c r="I1232" i="15"/>
  <c r="F1233" i="14"/>
  <c r="J1878" i="5"/>
  <c r="D861" i="15"/>
  <c r="D862" i="14"/>
  <c r="H868" i="13"/>
  <c r="K868" i="13"/>
  <c r="G868" i="13"/>
  <c r="H724" i="15"/>
  <c r="C538" i="6"/>
  <c r="J529" i="6"/>
  <c r="D2090" i="13"/>
  <c r="L527" i="6"/>
  <c r="H28" i="15"/>
  <c r="I28" i="13"/>
  <c r="J28" i="15" s="1"/>
  <c r="H1909" i="15"/>
  <c r="I1916" i="13"/>
  <c r="J1909" i="15" s="1"/>
  <c r="I1451" i="15"/>
  <c r="F1452" i="14"/>
  <c r="I797" i="15"/>
  <c r="F798" i="14"/>
  <c r="H879" i="15"/>
  <c r="I886" i="13"/>
  <c r="J879" i="15" s="1"/>
  <c r="D2203" i="15"/>
  <c r="D2204" i="14"/>
  <c r="H2210" i="13"/>
  <c r="G2210" i="13"/>
  <c r="D1811" i="13"/>
  <c r="L588" i="9"/>
  <c r="D549" i="13"/>
  <c r="F756" i="10"/>
  <c r="J1537" i="5"/>
  <c r="H1921" i="15"/>
  <c r="I1928" i="13"/>
  <c r="J1921" i="15" s="1"/>
  <c r="D61" i="15"/>
  <c r="D62" i="14"/>
  <c r="H61" i="13"/>
  <c r="G61" i="13"/>
  <c r="D1125" i="15"/>
  <c r="D1126" i="14"/>
  <c r="K1132" i="13"/>
  <c r="H1132" i="13"/>
  <c r="I1125" i="15" s="1"/>
  <c r="G1132" i="13"/>
  <c r="H1125" i="15" s="1"/>
  <c r="D1124" i="15"/>
  <c r="D1125" i="14"/>
  <c r="K1131" i="13"/>
  <c r="H1131" i="13"/>
  <c r="I1124" i="15" s="1"/>
  <c r="G1131" i="13"/>
  <c r="H1124" i="15" s="1"/>
  <c r="D1134" i="15"/>
  <c r="D1135" i="14"/>
  <c r="K1141" i="13"/>
  <c r="G1141" i="13"/>
  <c r="H1134" i="15" s="1"/>
  <c r="H1141" i="13"/>
  <c r="I1134" i="15" s="1"/>
  <c r="I1031" i="15"/>
  <c r="F1032" i="14"/>
  <c r="H1763" i="15"/>
  <c r="I1770" i="13"/>
  <c r="J1763" i="15" s="1"/>
  <c r="H39" i="15"/>
  <c r="I39" i="13"/>
  <c r="J39" i="15" s="1"/>
  <c r="D276" i="15"/>
  <c r="D277" i="14"/>
  <c r="H276" i="13"/>
  <c r="K276" i="13"/>
  <c r="G276" i="13"/>
  <c r="H252" i="15"/>
  <c r="I252" i="13"/>
  <c r="J252" i="15" s="1"/>
  <c r="H750" i="15"/>
  <c r="I757" i="13"/>
  <c r="J750" i="15" s="1"/>
  <c r="D1391" i="15"/>
  <c r="D1392" i="14"/>
  <c r="H1398" i="13"/>
  <c r="G1398" i="13"/>
  <c r="D602" i="13"/>
  <c r="U1549" i="5"/>
  <c r="O1620" i="5"/>
  <c r="D593" i="15"/>
  <c r="D594" i="14"/>
  <c r="H600" i="13"/>
  <c r="G600" i="13"/>
  <c r="H1063" i="15"/>
  <c r="I1070" i="13"/>
  <c r="J1063" i="15" s="1"/>
  <c r="I1075" i="15"/>
  <c r="F1076" i="14"/>
  <c r="D1392" i="15"/>
  <c r="D1393" i="14"/>
  <c r="H1399" i="13"/>
  <c r="G1399" i="13"/>
  <c r="I714" i="15"/>
  <c r="F715" i="14"/>
  <c r="H1071" i="15"/>
  <c r="I1078" i="13"/>
  <c r="J1071" i="15" s="1"/>
  <c r="D928" i="13"/>
  <c r="F65" i="7"/>
  <c r="D66" i="7"/>
  <c r="D932" i="13"/>
  <c r="D72" i="7"/>
  <c r="F69" i="7"/>
  <c r="D1492" i="13"/>
  <c r="E354" i="9"/>
  <c r="D1491" i="13"/>
  <c r="E353" i="9"/>
  <c r="D1502" i="13"/>
  <c r="J361" i="9"/>
  <c r="E364" i="9"/>
  <c r="D1332" i="15"/>
  <c r="D1333" i="14"/>
  <c r="K1339" i="13"/>
  <c r="H1339" i="13"/>
  <c r="G1339" i="13"/>
  <c r="D1078" i="15"/>
  <c r="D1079" i="14"/>
  <c r="K1085" i="13"/>
  <c r="G1085" i="13"/>
  <c r="H1078" i="15" s="1"/>
  <c r="H1085" i="13"/>
  <c r="I1078" i="15" s="1"/>
  <c r="D1356" i="15"/>
  <c r="D1357" i="14"/>
  <c r="K1363" i="13"/>
  <c r="H1363" i="13"/>
  <c r="G1363" i="13"/>
  <c r="I777" i="15"/>
  <c r="F778" i="14"/>
  <c r="I1461" i="15"/>
  <c r="F1462" i="14"/>
  <c r="D1159" i="15"/>
  <c r="D1160" i="14"/>
  <c r="K1166" i="13"/>
  <c r="H1166" i="13"/>
  <c r="I1159" i="15" s="1"/>
  <c r="G1166" i="13"/>
  <c r="H1159" i="15" s="1"/>
  <c r="D2058" i="15"/>
  <c r="D2059" i="14"/>
  <c r="K2065" i="13"/>
  <c r="H2065" i="13"/>
  <c r="G2065" i="13"/>
  <c r="I1235" i="15"/>
  <c r="F1236" i="14"/>
  <c r="H353" i="15"/>
  <c r="I360" i="13"/>
  <c r="J353" i="15" s="1"/>
  <c r="H253" i="15"/>
  <c r="I253" i="13"/>
  <c r="J253" i="15" s="1"/>
  <c r="H1237" i="15"/>
  <c r="I1244" i="13"/>
  <c r="J1237" i="15" s="1"/>
  <c r="D62" i="15"/>
  <c r="D63" i="14"/>
  <c r="H62" i="13"/>
  <c r="G62" i="13"/>
  <c r="D1121" i="15"/>
  <c r="D1122" i="14"/>
  <c r="K1128" i="13"/>
  <c r="H1128" i="13"/>
  <c r="I1121" i="15" s="1"/>
  <c r="G1128" i="13"/>
  <c r="H1121" i="15" s="1"/>
  <c r="G1929" i="13"/>
  <c r="H38" i="15"/>
  <c r="I38" i="13"/>
  <c r="J38" i="15" s="1"/>
  <c r="D581" i="15"/>
  <c r="D582" i="14"/>
  <c r="H588" i="13"/>
  <c r="K588" i="13"/>
  <c r="G588" i="13"/>
  <c r="H1691" i="15"/>
  <c r="I1698" i="13"/>
  <c r="J1691" i="15" s="1"/>
  <c r="D1085" i="15"/>
  <c r="D1086" i="14"/>
  <c r="K1092" i="13"/>
  <c r="H1092" i="13"/>
  <c r="I1085" i="15" s="1"/>
  <c r="G1092" i="13"/>
  <c r="H1085" i="15" s="1"/>
  <c r="H1431" i="15"/>
  <c r="I1438" i="13"/>
  <c r="J1431" i="15" s="1"/>
  <c r="H1896" i="15"/>
  <c r="I1903" i="13"/>
  <c r="J1896" i="15" s="1"/>
  <c r="D2087" i="15"/>
  <c r="D2088" i="14"/>
  <c r="H2094" i="13"/>
  <c r="G2094" i="13"/>
  <c r="H1065" i="15"/>
  <c r="I1072" i="13"/>
  <c r="J1065" i="15" s="1"/>
  <c r="H1060" i="15"/>
  <c r="I1067" i="13"/>
  <c r="J1060" i="15" s="1"/>
  <c r="G187" i="5"/>
  <c r="O1859" i="5"/>
  <c r="B1861" i="5" s="1"/>
  <c r="I1072" i="15"/>
  <c r="F1073" i="14"/>
  <c r="H68" i="15"/>
  <c r="I68" i="13"/>
  <c r="J68" i="15" s="1"/>
  <c r="D1617" i="13"/>
  <c r="L446" i="9"/>
  <c r="D1620" i="13"/>
  <c r="L449" i="9"/>
  <c r="D1572" i="13"/>
  <c r="E452" i="9"/>
  <c r="D1599" i="13"/>
  <c r="E479" i="9"/>
  <c r="D1500" i="13"/>
  <c r="E362" i="9"/>
  <c r="D1394" i="15"/>
  <c r="D1395" i="14"/>
  <c r="H1401" i="13"/>
  <c r="G1401" i="13"/>
  <c r="H1034" i="15"/>
  <c r="I1041" i="13"/>
  <c r="J1034" i="15" s="1"/>
  <c r="H1049" i="15"/>
  <c r="I1056" i="13"/>
  <c r="J1049" i="15" s="1"/>
  <c r="E546" i="10"/>
  <c r="G546" i="10" s="1"/>
  <c r="E943" i="5"/>
  <c r="G942" i="5"/>
  <c r="H546" i="10" s="1"/>
  <c r="D1343" i="15"/>
  <c r="D1344" i="14"/>
  <c r="K1350" i="13"/>
  <c r="H1350" i="13"/>
  <c r="G1350" i="13"/>
  <c r="H122" i="15"/>
  <c r="F123" i="14"/>
  <c r="D1133" i="15"/>
  <c r="D1134" i="14"/>
  <c r="K1140" i="13"/>
  <c r="G1140" i="13"/>
  <c r="H1133" i="15" s="1"/>
  <c r="H1140" i="13"/>
  <c r="I1133" i="15" s="1"/>
  <c r="D967" i="13"/>
  <c r="F106" i="7"/>
  <c r="D966" i="13"/>
  <c r="F105" i="7"/>
  <c r="D968" i="13"/>
  <c r="F107" i="7"/>
  <c r="D972" i="13"/>
  <c r="F111" i="7"/>
  <c r="D1126" i="15"/>
  <c r="D1127" i="14"/>
  <c r="K1133" i="13"/>
  <c r="G1133" i="13"/>
  <c r="H1126" i="15" s="1"/>
  <c r="H1133" i="13"/>
  <c r="I1126" i="15" s="1"/>
  <c r="I1219" i="15"/>
  <c r="F1220" i="14"/>
  <c r="I1472" i="15"/>
  <c r="F1473" i="14"/>
  <c r="H1945" i="15"/>
  <c r="F1946" i="14"/>
  <c r="I1952" i="13"/>
  <c r="J1945" i="15" s="1"/>
  <c r="E506" i="10"/>
  <c r="G506" i="10" s="1"/>
  <c r="E482" i="5"/>
  <c r="G481" i="5"/>
  <c r="H506" i="10" s="1"/>
  <c r="N167" i="4"/>
  <c r="N197" i="4" s="1"/>
  <c r="N162" i="4"/>
  <c r="I1348" i="15"/>
  <c r="F1349" i="14"/>
  <c r="I1062" i="15"/>
  <c r="F1063" i="14"/>
  <c r="D271" i="13"/>
  <c r="E491" i="8"/>
  <c r="C494" i="8"/>
  <c r="I26" i="15"/>
  <c r="F27" i="14"/>
  <c r="I239" i="15"/>
  <c r="F240" i="14"/>
  <c r="I804" i="13"/>
  <c r="J797" i="15" s="1"/>
  <c r="D1603" i="13"/>
  <c r="L432" i="9"/>
  <c r="I1414" i="15"/>
  <c r="F1415" i="14"/>
  <c r="E588" i="10"/>
  <c r="G588" i="10" s="1"/>
  <c r="E524" i="5"/>
  <c r="G523" i="5"/>
  <c r="H588" i="10" s="1"/>
  <c r="D1378" i="15"/>
  <c r="D1379" i="14"/>
  <c r="K1385" i="13"/>
  <c r="H1385" i="13"/>
  <c r="G1385" i="13"/>
  <c r="D1387" i="15"/>
  <c r="D1388" i="14"/>
  <c r="H1394" i="13"/>
  <c r="G1394" i="13"/>
  <c r="D249" i="15"/>
  <c r="D250" i="14"/>
  <c r="H249" i="13"/>
  <c r="G249" i="13"/>
  <c r="D1093" i="15"/>
  <c r="D1094" i="14"/>
  <c r="K1100" i="13"/>
  <c r="G1100" i="13"/>
  <c r="H1093" i="15" s="1"/>
  <c r="H1100" i="13"/>
  <c r="I1093" i="15" s="1"/>
  <c r="I1209" i="15"/>
  <c r="F1210" i="14"/>
  <c r="I1207" i="15"/>
  <c r="F1208" i="14"/>
  <c r="D1082" i="15"/>
  <c r="D1083" i="14"/>
  <c r="K1089" i="13"/>
  <c r="G1089" i="13"/>
  <c r="H1082" i="15" s="1"/>
  <c r="H1089" i="13"/>
  <c r="I1082" i="15" s="1"/>
  <c r="I1591" i="15"/>
  <c r="F1592" i="14"/>
  <c r="H1884" i="15"/>
  <c r="I1891" i="13"/>
  <c r="J1884" i="15" s="1"/>
  <c r="D1539" i="13"/>
  <c r="L355" i="9"/>
  <c r="D1521" i="13"/>
  <c r="E383" i="9"/>
  <c r="D1533" i="13"/>
  <c r="J350" i="9"/>
  <c r="J353" i="9"/>
  <c r="J351" i="9"/>
  <c r="L349" i="9"/>
  <c r="J352" i="9"/>
  <c r="D1095" i="15"/>
  <c r="D1096" i="14"/>
  <c r="K1102" i="13"/>
  <c r="H1102" i="13"/>
  <c r="I1095" i="15" s="1"/>
  <c r="G1102" i="13"/>
  <c r="H1095" i="15" s="1"/>
  <c r="D1381" i="15"/>
  <c r="D1382" i="14"/>
  <c r="K1388" i="13"/>
  <c r="H1388" i="13"/>
  <c r="G1388" i="13"/>
  <c r="I1055" i="15"/>
  <c r="F1056" i="14"/>
  <c r="D1029" i="13"/>
  <c r="F170" i="7"/>
  <c r="I228" i="15"/>
  <c r="F229" i="14"/>
  <c r="D2147" i="15"/>
  <c r="D2148" i="14"/>
  <c r="K2154" i="13"/>
  <c r="H2154" i="13"/>
  <c r="G2154" i="13"/>
  <c r="H1030" i="15"/>
  <c r="I1037" i="13"/>
  <c r="J1030" i="15" s="1"/>
  <c r="H1733" i="15"/>
  <c r="I1740" i="13"/>
  <c r="J1733" i="15" s="1"/>
  <c r="D1014" i="13"/>
  <c r="D154" i="7"/>
  <c r="F153" i="7"/>
  <c r="H1800" i="15"/>
  <c r="I1807" i="13"/>
  <c r="J1800" i="15" s="1"/>
  <c r="H1057" i="15"/>
  <c r="I1064" i="13"/>
  <c r="J1057" i="15" s="1"/>
  <c r="H726" i="15"/>
  <c r="I733" i="13"/>
  <c r="J726" i="15" s="1"/>
  <c r="D1398" i="15"/>
  <c r="D1399" i="14"/>
  <c r="H1405" i="13"/>
  <c r="G1405" i="13"/>
  <c r="D278" i="15"/>
  <c r="D279" i="14"/>
  <c r="H278" i="13"/>
  <c r="K278" i="13"/>
  <c r="G278" i="13"/>
  <c r="D907" i="13"/>
  <c r="D53" i="7"/>
  <c r="F44" i="7"/>
  <c r="J44" i="7"/>
  <c r="D1206" i="13" s="1"/>
  <c r="J43" i="7"/>
  <c r="D1205" i="13" s="1"/>
  <c r="D913" i="13"/>
  <c r="F50" i="7"/>
  <c r="D910" i="13"/>
  <c r="F47" i="7"/>
  <c r="D1207" i="13"/>
  <c r="J46" i="7"/>
  <c r="D1208" i="13" s="1"/>
  <c r="E317" i="9"/>
  <c r="B318" i="9" s="1"/>
  <c r="B320" i="9" s="1"/>
  <c r="I1447" i="15"/>
  <c r="F1448" i="14"/>
  <c r="D2061" i="15"/>
  <c r="D2062" i="14"/>
  <c r="K2068" i="13"/>
  <c r="H2068" i="13"/>
  <c r="G2068" i="13"/>
  <c r="I229" i="15"/>
  <c r="F230" i="14"/>
  <c r="D1230" i="15"/>
  <c r="D1231" i="14"/>
  <c r="H1237" i="13"/>
  <c r="G1237" i="13"/>
  <c r="D1161" i="15"/>
  <c r="D1162" i="14"/>
  <c r="K1168" i="13"/>
  <c r="G1168" i="13"/>
  <c r="H1161" i="15" s="1"/>
  <c r="H1168" i="13"/>
  <c r="I1161" i="15" s="1"/>
  <c r="D1164" i="15"/>
  <c r="D1165" i="14"/>
  <c r="K1171" i="13"/>
  <c r="G1171" i="13"/>
  <c r="H1164" i="15" s="1"/>
  <c r="H1171" i="13"/>
  <c r="I1164" i="15" s="1"/>
  <c r="I1229" i="15"/>
  <c r="F1230" i="14"/>
  <c r="D1042" i="13"/>
  <c r="F183" i="7"/>
  <c r="D184" i="7"/>
  <c r="C229" i="4"/>
  <c r="C240" i="4"/>
  <c r="C222" i="4"/>
  <c r="I1955" i="15"/>
  <c r="F1956" i="14"/>
  <c r="D2050" i="13"/>
  <c r="E535" i="6"/>
  <c r="H1892" i="15"/>
  <c r="I1899" i="13"/>
  <c r="J1892" i="15" s="1"/>
  <c r="O161" i="4"/>
  <c r="O160" i="4"/>
  <c r="E107" i="10"/>
  <c r="G107" i="10" s="1"/>
  <c r="E272" i="5"/>
  <c r="G271" i="5"/>
  <c r="H134" i="10" s="1"/>
  <c r="H1915" i="15"/>
  <c r="I1922" i="13"/>
  <c r="J1915" i="15" s="1"/>
  <c r="H1834" i="15"/>
  <c r="I1841" i="13"/>
  <c r="J1834" i="15" s="1"/>
  <c r="G1858" i="13"/>
  <c r="D2137" i="13"/>
  <c r="C663" i="6"/>
  <c r="E662" i="6"/>
  <c r="C664" i="6"/>
  <c r="D1793" i="13"/>
  <c r="E617" i="9"/>
  <c r="D218" i="15"/>
  <c r="D219" i="14"/>
  <c r="H218" i="13"/>
  <c r="K218" i="13"/>
  <c r="G218" i="13"/>
  <c r="D988" i="13"/>
  <c r="F127" i="7"/>
  <c r="D130" i="7"/>
  <c r="H1236" i="15"/>
  <c r="I1243" i="13"/>
  <c r="J1236" i="15" s="1"/>
  <c r="H1429" i="15"/>
  <c r="I1436" i="13"/>
  <c r="J1429" i="15" s="1"/>
  <c r="G57" i="10"/>
  <c r="I1647" i="15"/>
  <c r="F1648" i="14"/>
  <c r="I1032" i="15"/>
  <c r="F1033" i="14"/>
  <c r="H1033" i="15"/>
  <c r="I1040" i="13"/>
  <c r="J1033" i="15" s="1"/>
  <c r="D187" i="13"/>
  <c r="C421" i="8"/>
  <c r="D227" i="13" s="1"/>
  <c r="E354" i="8"/>
  <c r="E421" i="8" s="1"/>
  <c r="D179" i="13"/>
  <c r="C351" i="8"/>
  <c r="C412" i="8"/>
  <c r="D219" i="13" s="1"/>
  <c r="E345" i="8"/>
  <c r="D185" i="13"/>
  <c r="C419" i="8"/>
  <c r="D225" i="13" s="1"/>
  <c r="E352" i="8"/>
  <c r="E419" i="8" s="1"/>
  <c r="D206" i="13"/>
  <c r="J420" i="8"/>
  <c r="L354" i="8"/>
  <c r="I134" i="15"/>
  <c r="F135" i="14"/>
  <c r="I1604" i="15"/>
  <c r="F1605" i="14"/>
  <c r="D1363" i="15"/>
  <c r="D1364" i="14"/>
  <c r="K1370" i="13"/>
  <c r="H1370" i="13"/>
  <c r="G1370" i="13"/>
  <c r="D1400" i="15"/>
  <c r="D1401" i="14"/>
  <c r="H1407" i="13"/>
  <c r="G1407" i="13"/>
  <c r="D1385" i="15"/>
  <c r="D1386" i="14"/>
  <c r="H1392" i="13"/>
  <c r="G1392" i="13"/>
  <c r="H1470" i="15"/>
  <c r="I1477" i="13"/>
  <c r="J1470" i="15" s="1"/>
  <c r="I305" i="15"/>
  <c r="F306" i="14"/>
  <c r="H1056" i="15"/>
  <c r="I1063" i="13"/>
  <c r="J1056" i="15" s="1"/>
  <c r="I127" i="15"/>
  <c r="F128" i="14"/>
  <c r="D1716" i="15"/>
  <c r="D1717" i="14"/>
  <c r="H1723" i="13"/>
  <c r="K1723" i="13"/>
  <c r="G1723" i="13"/>
  <c r="D1717" i="15"/>
  <c r="D1718" i="14"/>
  <c r="H1724" i="13"/>
  <c r="K1724" i="13"/>
  <c r="G1724" i="13"/>
  <c r="E155" i="10"/>
  <c r="G155" i="10" s="1"/>
  <c r="E320" i="5"/>
  <c r="G319" i="5"/>
  <c r="H182" i="10" s="1"/>
  <c r="G33" i="13"/>
  <c r="D1092" i="15"/>
  <c r="D1093" i="14"/>
  <c r="K1099" i="13"/>
  <c r="H1099" i="13"/>
  <c r="I1092" i="15" s="1"/>
  <c r="G1099" i="13"/>
  <c r="H1092" i="15" s="1"/>
  <c r="I1206" i="15"/>
  <c r="F1207" i="14"/>
  <c r="I1208" i="15"/>
  <c r="F1209" i="14"/>
  <c r="E482" i="10"/>
  <c r="G482" i="10" s="1"/>
  <c r="E919" i="5"/>
  <c r="G918" i="5"/>
  <c r="H482" i="10" s="1"/>
  <c r="H74" i="15"/>
  <c r="I74" i="13"/>
  <c r="J74" i="15" s="1"/>
  <c r="I1054" i="15"/>
  <c r="F1055" i="14"/>
  <c r="D1783" i="15"/>
  <c r="D1784" i="14"/>
  <c r="H1790" i="13"/>
  <c r="K1790" i="13"/>
  <c r="G1790" i="13"/>
  <c r="I1048" i="15"/>
  <c r="F1049" i="14"/>
  <c r="H1446" i="15"/>
  <c r="I1453" i="13"/>
  <c r="J1446" i="15" s="1"/>
  <c r="D1369" i="13"/>
  <c r="E679" i="9"/>
  <c r="D578" i="15"/>
  <c r="D579" i="14"/>
  <c r="H585" i="13"/>
  <c r="K585" i="13"/>
  <c r="G585" i="13"/>
  <c r="D1719" i="15"/>
  <c r="D1720" i="14"/>
  <c r="H1726" i="13"/>
  <c r="K1726" i="13"/>
  <c r="G1726" i="13"/>
  <c r="D1091" i="15"/>
  <c r="D1092" i="14"/>
  <c r="K1098" i="13"/>
  <c r="G1098" i="13"/>
  <c r="H1091" i="15" s="1"/>
  <c r="H1098" i="13"/>
  <c r="I1091" i="15" s="1"/>
  <c r="I49" i="15"/>
  <c r="F50" i="14"/>
  <c r="H1772" i="15"/>
  <c r="I1779" i="13"/>
  <c r="J1772" i="15" s="1"/>
  <c r="E643" i="10"/>
  <c r="G643" i="10" s="1"/>
  <c r="E1000" i="5"/>
  <c r="G999" i="5"/>
  <c r="H643" i="10" s="1"/>
  <c r="D835" i="15"/>
  <c r="D836" i="14"/>
  <c r="K842" i="13"/>
  <c r="H842" i="13"/>
  <c r="G842" i="13"/>
  <c r="E269" i="10"/>
  <c r="F695" i="5"/>
  <c r="F269" i="10" s="1"/>
  <c r="I1462" i="15"/>
  <c r="F1463" i="14"/>
  <c r="D1812" i="13"/>
  <c r="L589" i="9"/>
  <c r="D1752" i="15"/>
  <c r="D1753" i="14"/>
  <c r="H1759" i="13"/>
  <c r="K1759" i="13"/>
  <c r="G1759" i="13"/>
  <c r="I1608" i="15"/>
  <c r="F1609" i="14"/>
  <c r="D1347" i="15"/>
  <c r="D1348" i="14"/>
  <c r="K1354" i="13"/>
  <c r="H1354" i="13"/>
  <c r="G1354" i="13"/>
  <c r="I1463" i="15"/>
  <c r="F1464" i="14"/>
  <c r="H1754" i="15"/>
  <c r="I1761" i="13"/>
  <c r="J1754" i="15" s="1"/>
  <c r="D660" i="13"/>
  <c r="S1618" i="5"/>
  <c r="D1087" i="15"/>
  <c r="D1088" i="14"/>
  <c r="K1094" i="13"/>
  <c r="H1094" i="13"/>
  <c r="I1087" i="15" s="1"/>
  <c r="G1094" i="13"/>
  <c r="H1087" i="15" s="1"/>
  <c r="D1083" i="15"/>
  <c r="D1084" i="14"/>
  <c r="K1090" i="13"/>
  <c r="H1090" i="13"/>
  <c r="I1083" i="15" s="1"/>
  <c r="G1090" i="13"/>
  <c r="H1083" i="15" s="1"/>
  <c r="D1540" i="13"/>
  <c r="L356" i="9"/>
  <c r="D1365" i="13"/>
  <c r="E675" i="9"/>
  <c r="C672" i="9"/>
  <c r="D453" i="15"/>
  <c r="D454" i="14"/>
  <c r="K460" i="13"/>
  <c r="H460" i="13"/>
  <c r="G460" i="13"/>
  <c r="D1377" i="13"/>
  <c r="E687" i="9"/>
  <c r="D815" i="15"/>
  <c r="D816" i="14"/>
  <c r="H822" i="13"/>
  <c r="G822" i="13"/>
  <c r="I1065" i="15"/>
  <c r="F1066" i="14"/>
  <c r="D1163" i="15"/>
  <c r="D1164" i="14"/>
  <c r="K1170" i="13"/>
  <c r="G1170" i="13"/>
  <c r="H1163" i="15" s="1"/>
  <c r="H1170" i="13"/>
  <c r="I1163" i="15" s="1"/>
  <c r="I1228" i="15"/>
  <c r="F1229" i="14"/>
  <c r="D1070" i="15"/>
  <c r="D1071" i="14"/>
  <c r="K1077" i="13"/>
  <c r="G1077" i="13"/>
  <c r="H1077" i="13"/>
  <c r="D828" i="15"/>
  <c r="D829" i="14"/>
  <c r="K835" i="13"/>
  <c r="H835" i="13"/>
  <c r="G835" i="13"/>
  <c r="H1072" i="15"/>
  <c r="I1079" i="13"/>
  <c r="J1072" i="15" s="1"/>
  <c r="D1556" i="13"/>
  <c r="C477" i="9"/>
  <c r="E436" i="9"/>
  <c r="D1596" i="13"/>
  <c r="E476" i="9"/>
  <c r="D760" i="15"/>
  <c r="D761" i="14"/>
  <c r="K767" i="13"/>
  <c r="H767" i="13"/>
  <c r="G767" i="13"/>
  <c r="D1496" i="13"/>
  <c r="J360" i="9"/>
  <c r="E358" i="9"/>
  <c r="I1061" i="15"/>
  <c r="F1062" i="14"/>
  <c r="J655" i="6"/>
  <c r="C675" i="6"/>
  <c r="C593" i="6"/>
  <c r="C676" i="6"/>
  <c r="J656" i="6"/>
  <c r="D974" i="13"/>
  <c r="F113" i="7"/>
  <c r="H1348" i="15"/>
  <c r="I1355" i="13"/>
  <c r="J1348" i="15" s="1"/>
  <c r="D1050" i="15"/>
  <c r="D1051" i="14"/>
  <c r="K1057" i="13"/>
  <c r="H1057" i="13"/>
  <c r="G1057" i="13"/>
  <c r="D262" i="13"/>
  <c r="E482" i="8"/>
  <c r="H239" i="15"/>
  <c r="I239" i="13"/>
  <c r="J239" i="15" s="1"/>
  <c r="D41" i="15"/>
  <c r="D42" i="14"/>
  <c r="K41" i="13"/>
  <c r="H41" i="13"/>
  <c r="G41" i="13"/>
  <c r="D1552" i="13"/>
  <c r="E432" i="9"/>
  <c r="H1207" i="15"/>
  <c r="I1214" i="13"/>
  <c r="J1207" i="15" s="1"/>
  <c r="H1591" i="15"/>
  <c r="I1598" i="13"/>
  <c r="J1591" i="15" s="1"/>
  <c r="D1378" i="13"/>
  <c r="E688" i="9"/>
  <c r="D316" i="13"/>
  <c r="E1406" i="5"/>
  <c r="D1170" i="15"/>
  <c r="D1171" i="14"/>
  <c r="K1177" i="13"/>
  <c r="H1177" i="13"/>
  <c r="I1170" i="15" s="1"/>
  <c r="G1177" i="13"/>
  <c r="H1170" i="15" s="1"/>
  <c r="E361" i="10"/>
  <c r="G361" i="10" s="1"/>
  <c r="E788" i="5"/>
  <c r="G787" i="5"/>
  <c r="H361" i="10" s="1"/>
  <c r="D918" i="13"/>
  <c r="D56" i="7"/>
  <c r="F55" i="7"/>
  <c r="D908" i="13"/>
  <c r="F45" i="7"/>
  <c r="I1760" i="15"/>
  <c r="F1761" i="14"/>
  <c r="D550" i="13"/>
  <c r="F757" i="10"/>
  <c r="J1538" i="5"/>
  <c r="D1227" i="15"/>
  <c r="D1228" i="14"/>
  <c r="H1234" i="13"/>
  <c r="G1234" i="13"/>
  <c r="H1771" i="15"/>
  <c r="I1778" i="13"/>
  <c r="J1771" i="15" s="1"/>
  <c r="I1956" i="15"/>
  <c r="F1957" i="14"/>
  <c r="D1130" i="15"/>
  <c r="D1131" i="14"/>
  <c r="K1137" i="13"/>
  <c r="H1137" i="13"/>
  <c r="I1130" i="15" s="1"/>
  <c r="G1137" i="13"/>
  <c r="H1130" i="15" s="1"/>
  <c r="E58" i="10"/>
  <c r="E223" i="5"/>
  <c r="F222" i="5"/>
  <c r="F58" i="10" s="1"/>
  <c r="H1647" i="15"/>
  <c r="I1654" i="13"/>
  <c r="J1647" i="15" s="1"/>
  <c r="G1664" i="13"/>
  <c r="H1686" i="15"/>
  <c r="I1693" i="13"/>
  <c r="J1686" i="15" s="1"/>
  <c r="H1032" i="15"/>
  <c r="I1039" i="13"/>
  <c r="J1032" i="15" s="1"/>
  <c r="D204" i="13"/>
  <c r="L352" i="8"/>
  <c r="J353" i="8"/>
  <c r="J418" i="8"/>
  <c r="H134" i="15"/>
  <c r="I134" i="13"/>
  <c r="J134" i="15" s="1"/>
  <c r="I1732" i="15"/>
  <c r="F1733" i="14"/>
  <c r="D599" i="13"/>
  <c r="O1617" i="5"/>
  <c r="U1546" i="5"/>
  <c r="D548" i="13"/>
  <c r="F755" i="10"/>
  <c r="J1536" i="5"/>
  <c r="H250" i="15"/>
  <c r="I250" i="13"/>
  <c r="J250" i="15" s="1"/>
  <c r="H31" i="15"/>
  <c r="I31" i="13"/>
  <c r="J31" i="15" s="1"/>
  <c r="J528" i="6"/>
  <c r="C537" i="6"/>
  <c r="I28" i="15"/>
  <c r="F29" i="14"/>
  <c r="D45" i="15"/>
  <c r="D46" i="14"/>
  <c r="K45" i="13"/>
  <c r="H45" i="13"/>
  <c r="G45" i="13"/>
  <c r="I879" i="15"/>
  <c r="F880" i="14"/>
  <c r="H1344" i="15"/>
  <c r="I1351" i="13"/>
  <c r="J1344" i="15" s="1"/>
  <c r="D1768" i="15"/>
  <c r="D1769" i="14"/>
  <c r="H1775" i="13"/>
  <c r="K1775" i="13"/>
  <c r="G1775" i="13"/>
  <c r="I1921" i="15"/>
  <c r="F1922" i="14"/>
  <c r="H1221" i="15"/>
  <c r="I1228" i="13"/>
  <c r="J1221" i="15" s="1"/>
  <c r="D325" i="13"/>
  <c r="P1395" i="5"/>
  <c r="D1684" i="13"/>
  <c r="E212" i="4"/>
  <c r="H1453" i="15"/>
  <c r="I1460" i="13"/>
  <c r="J1453" i="15" s="1"/>
  <c r="H1901" i="15"/>
  <c r="I1908" i="13"/>
  <c r="J1901" i="15" s="1"/>
  <c r="H1031" i="15"/>
  <c r="I1038" i="13"/>
  <c r="J1031" i="15" s="1"/>
  <c r="I1452" i="15"/>
  <c r="F1453" i="14"/>
  <c r="I1754" i="15"/>
  <c r="F1755" i="14"/>
  <c r="I39" i="15"/>
  <c r="F40" i="14"/>
  <c r="I1074" i="15"/>
  <c r="F1075" i="14"/>
  <c r="E522" i="10"/>
  <c r="G522" i="10" s="1"/>
  <c r="E498" i="5"/>
  <c r="G497" i="5"/>
  <c r="H522" i="10" s="1"/>
  <c r="I1678" i="15"/>
  <c r="F1679" i="14"/>
  <c r="I252" i="15"/>
  <c r="F253" i="14"/>
  <c r="I750" i="15"/>
  <c r="F751" i="14"/>
  <c r="D778" i="15"/>
  <c r="D779" i="14"/>
  <c r="H785" i="13"/>
  <c r="G785" i="13"/>
  <c r="H804" i="15"/>
  <c r="I811" i="13"/>
  <c r="J804" i="15" s="1"/>
  <c r="D1386" i="15"/>
  <c r="D1387" i="14"/>
  <c r="H1393" i="13"/>
  <c r="G1393" i="13"/>
  <c r="D1339" i="15"/>
  <c r="D1340" i="14"/>
  <c r="K1346" i="13"/>
  <c r="H1346" i="13"/>
  <c r="G1346" i="13"/>
  <c r="D647" i="13"/>
  <c r="J1651" i="5"/>
  <c r="C1729" i="5"/>
  <c r="H1075" i="15"/>
  <c r="I1082" i="13"/>
  <c r="J1075" i="15" s="1"/>
  <c r="H1967" i="13"/>
  <c r="I1960" i="15" s="1"/>
  <c r="D1116" i="15"/>
  <c r="D1117" i="14"/>
  <c r="K1123" i="13"/>
  <c r="G1123" i="13"/>
  <c r="H1116" i="15" s="1"/>
  <c r="H1123" i="13"/>
  <c r="I1116" i="15" s="1"/>
  <c r="D1202" i="15"/>
  <c r="D1203" i="14"/>
  <c r="H1209" i="13"/>
  <c r="G1209" i="13"/>
  <c r="D1081" i="15"/>
  <c r="D1082" i="14"/>
  <c r="K1088" i="13"/>
  <c r="H1088" i="13"/>
  <c r="I1081" i="15" s="1"/>
  <c r="G1088" i="13"/>
  <c r="H1081" i="15" s="1"/>
  <c r="D1086" i="15"/>
  <c r="D1087" i="14"/>
  <c r="K1093" i="13"/>
  <c r="G1093" i="13"/>
  <c r="H1086" i="15" s="1"/>
  <c r="H1093" i="13"/>
  <c r="I1086" i="15" s="1"/>
  <c r="D1090" i="15"/>
  <c r="D1091" i="14"/>
  <c r="K1097" i="13"/>
  <c r="H1097" i="13"/>
  <c r="I1090" i="15" s="1"/>
  <c r="G1097" i="13"/>
  <c r="H1090" i="15" s="1"/>
  <c r="D931" i="13"/>
  <c r="F68" i="7"/>
  <c r="D71" i="7"/>
  <c r="D1510" i="13"/>
  <c r="E372" i="9"/>
  <c r="D1495" i="13"/>
  <c r="E357" i="9"/>
  <c r="D1503" i="13"/>
  <c r="E365" i="9"/>
  <c r="G1913" i="13"/>
  <c r="H2228" i="15"/>
  <c r="I2235" i="13"/>
  <c r="J2228" i="15" s="1"/>
  <c r="G2245" i="13"/>
  <c r="H824" i="15"/>
  <c r="I831" i="13"/>
  <c r="J824" i="15" s="1"/>
  <c r="H53" i="15"/>
  <c r="I53" i="13"/>
  <c r="J53" i="15" s="1"/>
  <c r="J217" i="4"/>
  <c r="C235" i="4"/>
  <c r="J227" i="4"/>
  <c r="R196" i="4"/>
  <c r="J225" i="4"/>
  <c r="C244" i="4"/>
  <c r="C215" i="4"/>
  <c r="J214" i="4"/>
  <c r="C219" i="4"/>
  <c r="C226" i="4"/>
  <c r="C237" i="4"/>
  <c r="C233" i="4"/>
  <c r="J213" i="4"/>
  <c r="J226" i="4"/>
  <c r="C243" i="4"/>
  <c r="C214" i="4"/>
  <c r="J223" i="4"/>
  <c r="C234" i="4"/>
  <c r="J211" i="4"/>
  <c r="C216" i="4"/>
  <c r="J212" i="4"/>
  <c r="I353" i="15"/>
  <c r="F354" i="14"/>
  <c r="I253" i="15"/>
  <c r="F254" i="14"/>
  <c r="I1237" i="15"/>
  <c r="F1238" i="14"/>
  <c r="D1437" i="15"/>
  <c r="D1438" i="14"/>
  <c r="H1444" i="13"/>
  <c r="K1444" i="13"/>
  <c r="G1444" i="13"/>
  <c r="D1376" i="13"/>
  <c r="E686" i="9"/>
  <c r="D1365" i="15"/>
  <c r="D1366" i="14"/>
  <c r="K1372" i="13"/>
  <c r="H1372" i="13"/>
  <c r="G1372" i="13"/>
  <c r="I38" i="15"/>
  <c r="F39" i="14"/>
  <c r="I1787" i="15"/>
  <c r="F1788" i="14"/>
  <c r="D888" i="15"/>
  <c r="D889" i="14"/>
  <c r="H895" i="13"/>
  <c r="G895" i="13"/>
  <c r="I1420" i="15"/>
  <c r="F1421" i="14"/>
  <c r="D798" i="13"/>
  <c r="E1943" i="5"/>
  <c r="I1896" i="15"/>
  <c r="F1897" i="14"/>
  <c r="H197" i="4"/>
  <c r="L167" i="4"/>
  <c r="L197" i="4" s="1"/>
  <c r="R197" i="4" s="1"/>
  <c r="I1060" i="15"/>
  <c r="F1061" i="14"/>
  <c r="I1029" i="15"/>
  <c r="F1030" i="14"/>
  <c r="D1171" i="15"/>
  <c r="D1172" i="14"/>
  <c r="K1178" i="13"/>
  <c r="H1178" i="13"/>
  <c r="I1171" i="15" s="1"/>
  <c r="G1178" i="13"/>
  <c r="H1171" i="15" s="1"/>
  <c r="D1174" i="15"/>
  <c r="D1175" i="14"/>
  <c r="K1181" i="13"/>
  <c r="H1181" i="13"/>
  <c r="I1174" i="15" s="1"/>
  <c r="G1181" i="13"/>
  <c r="H1174" i="15" s="1"/>
  <c r="D1158" i="15"/>
  <c r="D1159" i="14"/>
  <c r="K1165" i="13"/>
  <c r="G1165" i="13"/>
  <c r="H1158" i="15" s="1"/>
  <c r="H1165" i="13"/>
  <c r="I1158" i="15" s="1"/>
  <c r="D849" i="15"/>
  <c r="D850" i="14"/>
  <c r="H856" i="13"/>
  <c r="G856" i="13"/>
  <c r="I68" i="15"/>
  <c r="F69" i="14"/>
  <c r="D1557" i="13"/>
  <c r="E437" i="9"/>
  <c r="D1574" i="13"/>
  <c r="E454" i="9"/>
  <c r="D1609" i="13"/>
  <c r="L438" i="9"/>
  <c r="D1573" i="13"/>
  <c r="E453" i="9"/>
  <c r="D1600" i="13"/>
  <c r="E480" i="9"/>
  <c r="I2434" i="15"/>
  <c r="I2442" i="13"/>
  <c r="D1508" i="13"/>
  <c r="E370" i="9"/>
  <c r="I333" i="15"/>
  <c r="F334" i="14"/>
  <c r="D775" i="13"/>
  <c r="E2003" i="5"/>
  <c r="E604" i="10"/>
  <c r="G604" i="10" s="1"/>
  <c r="E540" i="5"/>
  <c r="G539" i="5"/>
  <c r="H604" i="10" s="1"/>
  <c r="I1059" i="15"/>
  <c r="F1060" i="14"/>
  <c r="I1049" i="15"/>
  <c r="F1050" i="14"/>
  <c r="D1796" i="15"/>
  <c r="D1797" i="14"/>
  <c r="H1803" i="13"/>
  <c r="G1803" i="13"/>
  <c r="D1766" i="15"/>
  <c r="D1767" i="14"/>
  <c r="H1773" i="13"/>
  <c r="K1773" i="13"/>
  <c r="G1773" i="13"/>
  <c r="D1757" i="15"/>
  <c r="D1758" i="14"/>
  <c r="H1764" i="13"/>
  <c r="K1764" i="13"/>
  <c r="G1764" i="13"/>
  <c r="H216" i="15"/>
  <c r="I216" i="13"/>
  <c r="J216" i="15" s="1"/>
  <c r="D57" i="15"/>
  <c r="D58" i="14"/>
  <c r="H57" i="13"/>
  <c r="G57" i="13"/>
  <c r="D971" i="13"/>
  <c r="F110" i="7"/>
  <c r="D970" i="13"/>
  <c r="F109" i="7"/>
  <c r="D978" i="13"/>
  <c r="F117" i="7"/>
  <c r="H1217" i="15"/>
  <c r="I1224" i="13"/>
  <c r="J1217" i="15" s="1"/>
  <c r="H1756" i="15"/>
  <c r="I1763" i="13"/>
  <c r="J1756" i="15" s="1"/>
  <c r="H1062" i="15"/>
  <c r="I1069" i="13"/>
  <c r="J1062" i="15" s="1"/>
  <c r="I1058" i="15"/>
  <c r="F1059" i="14"/>
  <c r="D273" i="13"/>
  <c r="E493" i="8"/>
  <c r="E685" i="10"/>
  <c r="G685" i="10" s="1"/>
  <c r="E581" i="5"/>
  <c r="G580" i="5"/>
  <c r="H685" i="10" s="1"/>
  <c r="H42" i="15"/>
  <c r="I42" i="13"/>
  <c r="J42" i="15" s="1"/>
  <c r="H1459" i="15"/>
  <c r="I1466" i="13"/>
  <c r="J1459" i="15" s="1"/>
  <c r="H1413" i="15"/>
  <c r="I1420" i="13"/>
  <c r="J1413" i="15" s="1"/>
  <c r="D767" i="15"/>
  <c r="D768" i="14"/>
  <c r="H774" i="13"/>
  <c r="K774" i="13"/>
  <c r="G774" i="13"/>
  <c r="D1724" i="15"/>
  <c r="D1725" i="14"/>
  <c r="H1731" i="13"/>
  <c r="G1731" i="13"/>
  <c r="D2088" i="15"/>
  <c r="D2089" i="14"/>
  <c r="H2095" i="13"/>
  <c r="G2095" i="13"/>
  <c r="D1384" i="13"/>
  <c r="E694" i="9"/>
  <c r="I1052" i="15"/>
  <c r="F1053" i="14"/>
  <c r="D1341" i="15"/>
  <c r="D1342" i="14"/>
  <c r="K1348" i="13"/>
  <c r="H1348" i="13"/>
  <c r="G1348" i="13"/>
  <c r="H33" i="13"/>
  <c r="D1096" i="15"/>
  <c r="D1097" i="14"/>
  <c r="K1103" i="13"/>
  <c r="H1103" i="13"/>
  <c r="I1096" i="15" s="1"/>
  <c r="G1103" i="13"/>
  <c r="H1096" i="15" s="1"/>
  <c r="D1197" i="15"/>
  <c r="D1198" i="14"/>
  <c r="H1204" i="13"/>
  <c r="G1204" i="13"/>
  <c r="I1884" i="15"/>
  <c r="F1885" i="14"/>
  <c r="H36" i="15"/>
  <c r="I36" i="13"/>
  <c r="J36" i="15" s="1"/>
  <c r="D1538" i="13"/>
  <c r="L354" i="9"/>
  <c r="D1525" i="13"/>
  <c r="E387" i="9"/>
  <c r="D1501" i="13"/>
  <c r="E363" i="9"/>
  <c r="D1366" i="15"/>
  <c r="D1367" i="14"/>
  <c r="K1373" i="13"/>
  <c r="H1373" i="13"/>
  <c r="G1373" i="13"/>
  <c r="H1204" i="15"/>
  <c r="I1211" i="13"/>
  <c r="J1204" i="15" s="1"/>
  <c r="D321" i="13"/>
  <c r="E1411" i="5"/>
  <c r="D318" i="13"/>
  <c r="F872" i="10"/>
  <c r="E1408" i="5"/>
  <c r="N1400" i="5"/>
  <c r="G1408" i="5"/>
  <c r="G872" i="10" s="1"/>
  <c r="H872" i="10" s="1"/>
  <c r="H868" i="10" s="1"/>
  <c r="H867" i="10" s="1"/>
  <c r="H20" i="15"/>
  <c r="I20" i="13"/>
  <c r="J20" i="15" s="1"/>
  <c r="H1055" i="15"/>
  <c r="I1062" i="13"/>
  <c r="J1055" i="15" s="1"/>
  <c r="H1076" i="15"/>
  <c r="I1083" i="13"/>
  <c r="J1076" i="15" s="1"/>
  <c r="D1167" i="15"/>
  <c r="D1168" i="14"/>
  <c r="K1174" i="13"/>
  <c r="G1174" i="13"/>
  <c r="H1167" i="15" s="1"/>
  <c r="H1174" i="13"/>
  <c r="I1167" i="15" s="1"/>
  <c r="D1162" i="15"/>
  <c r="D1163" i="14"/>
  <c r="K1169" i="13"/>
  <c r="H1169" i="13"/>
  <c r="I1162" i="15" s="1"/>
  <c r="G1169" i="13"/>
  <c r="H1162" i="15" s="1"/>
  <c r="D1035" i="13"/>
  <c r="F176" i="7"/>
  <c r="D238" i="15"/>
  <c r="D239" i="14"/>
  <c r="H238" i="13"/>
  <c r="G238" i="13"/>
  <c r="I1733" i="15"/>
  <c r="F1734" i="14"/>
  <c r="D1804" i="13"/>
  <c r="L581" i="9"/>
  <c r="L624" i="9" s="1"/>
  <c r="B627" i="9" s="1"/>
  <c r="D1128" i="15"/>
  <c r="D1129" i="14"/>
  <c r="K1135" i="13"/>
  <c r="H1135" i="13"/>
  <c r="I1128" i="15" s="1"/>
  <c r="G1135" i="13"/>
  <c r="H1128" i="15" s="1"/>
  <c r="D1218" i="15"/>
  <c r="D1219" i="14"/>
  <c r="H1225" i="13"/>
  <c r="G1225" i="13"/>
  <c r="I1675" i="15"/>
  <c r="F1676" i="14"/>
  <c r="I334" i="15"/>
  <c r="F335" i="14"/>
  <c r="I1800" i="15"/>
  <c r="F1801" i="14"/>
  <c r="I1057" i="15"/>
  <c r="F1058" i="14"/>
  <c r="H1685" i="15"/>
  <c r="I1692" i="13"/>
  <c r="J1685" i="15" s="1"/>
  <c r="I726" i="15"/>
  <c r="F727" i="14"/>
  <c r="H1702" i="15"/>
  <c r="I1709" i="13"/>
  <c r="J1702" i="15" s="1"/>
  <c r="H1911" i="15"/>
  <c r="I1918" i="13"/>
  <c r="J1911" i="15" s="1"/>
  <c r="H261" i="15"/>
  <c r="I261" i="13"/>
  <c r="J261" i="15" s="1"/>
  <c r="D761" i="15"/>
  <c r="D762" i="14"/>
  <c r="K768" i="13"/>
  <c r="H768" i="13"/>
  <c r="G768" i="13"/>
  <c r="H207" i="15"/>
  <c r="I207" i="13"/>
  <c r="J207" i="15" s="1"/>
  <c r="D957" i="13"/>
  <c r="F94" i="7"/>
  <c r="D95" i="7"/>
  <c r="D917" i="13"/>
  <c r="F54" i="7"/>
  <c r="D915" i="13"/>
  <c r="F52" i="7"/>
  <c r="D912" i="13"/>
  <c r="F49" i="7"/>
  <c r="H1760" i="15"/>
  <c r="I1767" i="13"/>
  <c r="J1760" i="15" s="1"/>
  <c r="H740" i="15"/>
  <c r="I747" i="13"/>
  <c r="J740" i="15" s="1"/>
  <c r="D1436" i="15"/>
  <c r="D1437" i="14"/>
  <c r="H1443" i="13"/>
  <c r="K1443" i="13"/>
  <c r="G1443" i="13"/>
  <c r="H138" i="15"/>
  <c r="I138" i="13"/>
  <c r="J138" i="15" s="1"/>
  <c r="D825" i="15"/>
  <c r="D826" i="14"/>
  <c r="K832" i="13"/>
  <c r="H832" i="13"/>
  <c r="G832" i="13"/>
  <c r="D2058" i="13"/>
  <c r="C544" i="6"/>
  <c r="E543" i="6"/>
  <c r="I1771" i="15"/>
  <c r="F1772" i="14"/>
  <c r="I1892" i="15"/>
  <c r="F1893" i="14"/>
  <c r="H1427" i="15"/>
  <c r="I1434" i="13"/>
  <c r="J1427" i="15" s="1"/>
  <c r="H1672" i="15"/>
  <c r="F1673" i="14"/>
  <c r="I1679" i="13"/>
  <c r="J1672" i="15" s="1"/>
  <c r="O110" i="4"/>
  <c r="O111" i="4"/>
  <c r="I1915" i="15"/>
  <c r="F1916" i="14"/>
  <c r="I1834" i="15"/>
  <c r="F1835" i="14"/>
  <c r="H1858" i="13"/>
  <c r="I1851" i="15" s="1"/>
  <c r="H188" i="15"/>
  <c r="I188" i="13"/>
  <c r="J188" i="15" s="1"/>
  <c r="D1757" i="13"/>
  <c r="E581" i="9"/>
  <c r="D1747" i="15"/>
  <c r="D1748" i="14"/>
  <c r="K1754" i="13"/>
  <c r="H1754" i="13"/>
  <c r="G1754" i="13"/>
  <c r="D1784" i="15"/>
  <c r="D1785" i="14"/>
  <c r="H1791" i="13"/>
  <c r="K1791" i="13"/>
  <c r="G1791" i="13"/>
  <c r="H1037" i="15"/>
  <c r="I1044" i="13"/>
  <c r="J1037" i="15" s="1"/>
  <c r="D60" i="15"/>
  <c r="D61" i="14"/>
  <c r="H60" i="13"/>
  <c r="G60" i="13"/>
  <c r="D1120" i="15"/>
  <c r="D1121" i="14"/>
  <c r="K1127" i="13"/>
  <c r="H1127" i="13"/>
  <c r="I1120" i="15" s="1"/>
  <c r="G1127" i="13"/>
  <c r="H1120" i="15" s="1"/>
  <c r="D1123" i="15"/>
  <c r="D1124" i="14"/>
  <c r="K1130" i="13"/>
  <c r="H1130" i="13"/>
  <c r="I1123" i="15" s="1"/>
  <c r="G1130" i="13"/>
  <c r="H1123" i="15" s="1"/>
  <c r="D1009" i="15"/>
  <c r="D1010" i="14"/>
  <c r="K1016" i="13"/>
  <c r="G1016" i="13"/>
  <c r="H1016" i="13"/>
  <c r="D989" i="13"/>
  <c r="D131" i="7"/>
  <c r="F128" i="7"/>
  <c r="I1236" i="15"/>
  <c r="F1237" i="14"/>
  <c r="H1912" i="15"/>
  <c r="I1919" i="13"/>
  <c r="J1912" i="15" s="1"/>
  <c r="D309" i="15"/>
  <c r="D310" i="14"/>
  <c r="K309" i="13"/>
  <c r="H309" i="13"/>
  <c r="G309" i="13"/>
  <c r="I1416" i="15"/>
  <c r="F1417" i="14"/>
  <c r="H1464" i="15"/>
  <c r="I1471" i="13"/>
  <c r="J1464" i="15" s="1"/>
  <c r="I1686" i="15"/>
  <c r="F1687" i="14"/>
  <c r="N113" i="4"/>
  <c r="N112" i="4"/>
  <c r="I1033" i="15"/>
  <c r="F1034" i="14"/>
  <c r="D186" i="13"/>
  <c r="E353" i="8"/>
  <c r="E420" i="8" s="1"/>
  <c r="C420" i="8"/>
  <c r="D226" i="13" s="1"/>
  <c r="D182" i="13"/>
  <c r="C416" i="8"/>
  <c r="D222" i="13" s="1"/>
  <c r="E349" i="8"/>
  <c r="E416" i="8" s="1"/>
  <c r="D194" i="15"/>
  <c r="D195" i="14"/>
  <c r="K194" i="13"/>
  <c r="H194" i="13"/>
  <c r="G194" i="13"/>
  <c r="J427" i="8"/>
  <c r="D234" i="13" s="1"/>
  <c r="C387" i="8"/>
  <c r="D43" i="15"/>
  <c r="D44" i="14"/>
  <c r="K43" i="13"/>
  <c r="H43" i="13"/>
  <c r="G43" i="13"/>
  <c r="D751" i="15"/>
  <c r="D752" i="14"/>
  <c r="K758" i="13"/>
  <c r="H758" i="13"/>
  <c r="G758" i="13"/>
  <c r="E727" i="10"/>
  <c r="G727" i="10" s="1"/>
  <c r="E1044" i="5"/>
  <c r="G1043" i="5"/>
  <c r="H727" i="10" s="1"/>
  <c r="I1470" i="15"/>
  <c r="F1471" i="14"/>
  <c r="D646" i="13"/>
  <c r="J1650" i="5"/>
  <c r="C1728" i="5"/>
  <c r="I1056" i="15"/>
  <c r="F1057" i="14"/>
  <c r="H1064" i="15"/>
  <c r="I1071" i="13"/>
  <c r="J1064" i="15" s="1"/>
  <c r="D800" i="15"/>
  <c r="D801" i="14"/>
  <c r="K807" i="13"/>
  <c r="H807" i="13"/>
  <c r="G807" i="13"/>
  <c r="D2060" i="15"/>
  <c r="D2061" i="14"/>
  <c r="K2067" i="13"/>
  <c r="H2067" i="13"/>
  <c r="G2067" i="13"/>
  <c r="I74" i="15"/>
  <c r="F75" i="14"/>
  <c r="H1054" i="15"/>
  <c r="I1061" i="13"/>
  <c r="J1054" i="15" s="1"/>
  <c r="H738" i="15"/>
  <c r="I745" i="13"/>
  <c r="J738" i="15" s="1"/>
  <c r="G754" i="13"/>
  <c r="H37" i="15"/>
  <c r="I37" i="13"/>
  <c r="J37" i="15" s="1"/>
  <c r="D1119" i="15"/>
  <c r="D1120" i="14"/>
  <c r="K1126" i="13"/>
  <c r="H1126" i="13"/>
  <c r="I1119" i="15" s="1"/>
  <c r="G1126" i="13"/>
  <c r="H1119" i="15" s="1"/>
  <c r="D1357" i="15"/>
  <c r="D1358" i="14"/>
  <c r="K1364" i="13"/>
  <c r="H1364" i="13"/>
  <c r="G1364" i="13"/>
  <c r="H2492" i="15"/>
  <c r="F2350" i="14"/>
  <c r="J2492" i="15" s="1"/>
  <c r="D805" i="13"/>
  <c r="E1950" i="5"/>
  <c r="C1951" i="5"/>
  <c r="D616" i="13"/>
  <c r="J1620" i="5"/>
  <c r="H1233" i="15"/>
  <c r="I1240" i="13"/>
  <c r="J1233" i="15" s="1"/>
  <c r="D881" i="13"/>
  <c r="D2056" i="15"/>
  <c r="D2057" i="14"/>
  <c r="K2063" i="13"/>
  <c r="H2063" i="13"/>
  <c r="G2063" i="13"/>
  <c r="H2474" i="15"/>
  <c r="F2344" i="14"/>
  <c r="F2343" i="14" s="1"/>
  <c r="G2501" i="13"/>
  <c r="I2482" i="13"/>
  <c r="J2474" i="15" s="1"/>
  <c r="J2434" i="15" s="1"/>
  <c r="I1468" i="15"/>
  <c r="F1469" i="14"/>
  <c r="D1748" i="15"/>
  <c r="D1749" i="14"/>
  <c r="K1755" i="13"/>
  <c r="H1755" i="13"/>
  <c r="G1755" i="13"/>
  <c r="D1038" i="15"/>
  <c r="D1039" i="14"/>
  <c r="K1045" i="13"/>
  <c r="G1045" i="13"/>
  <c r="H1045" i="13"/>
  <c r="D324" i="15"/>
  <c r="D325" i="14"/>
  <c r="H324" i="13"/>
  <c r="G324" i="13"/>
  <c r="E313" i="10"/>
  <c r="G313" i="10" s="1"/>
  <c r="E740" i="5"/>
  <c r="G739" i="5"/>
  <c r="H313" i="10" s="1"/>
  <c r="I1453" i="15"/>
  <c r="F1454" i="14"/>
  <c r="H1678" i="15"/>
  <c r="I1685" i="13"/>
  <c r="J1678" i="15" s="1"/>
  <c r="E669" i="10"/>
  <c r="G669" i="10" s="1"/>
  <c r="E565" i="5"/>
  <c r="G564" i="5"/>
  <c r="H669" i="10" s="1"/>
  <c r="D580" i="15"/>
  <c r="D581" i="14"/>
  <c r="H587" i="13"/>
  <c r="K587" i="13"/>
  <c r="G587" i="13"/>
  <c r="I1071" i="15"/>
  <c r="F1072" i="14"/>
  <c r="D1084" i="15"/>
  <c r="D1085" i="14"/>
  <c r="K1091" i="13"/>
  <c r="H1091" i="13"/>
  <c r="I1084" i="15" s="1"/>
  <c r="G1091" i="13"/>
  <c r="H1084" i="15" s="1"/>
  <c r="D954" i="15"/>
  <c r="D955" i="14"/>
  <c r="K961" i="13"/>
  <c r="H961" i="13"/>
  <c r="G961" i="13"/>
  <c r="D930" i="13"/>
  <c r="D70" i="7"/>
  <c r="F67" i="7"/>
  <c r="D1547" i="13"/>
  <c r="L363" i="9"/>
  <c r="D1386" i="13"/>
  <c r="E696" i="9"/>
  <c r="I2228" i="15"/>
  <c r="F2229" i="14"/>
  <c r="H777" i="15"/>
  <c r="I784" i="13"/>
  <c r="J777" i="15" s="1"/>
  <c r="H1461" i="15"/>
  <c r="I1468" i="13"/>
  <c r="J1461" i="15" s="1"/>
  <c r="D837" i="15"/>
  <c r="D838" i="14"/>
  <c r="H844" i="13"/>
  <c r="K844" i="13"/>
  <c r="G844" i="13"/>
  <c r="H1235" i="15"/>
  <c r="I1242" i="13"/>
  <c r="J1235" i="15" s="1"/>
  <c r="D1770" i="5"/>
  <c r="C1922" i="5"/>
  <c r="D648" i="13"/>
  <c r="J1652" i="5"/>
  <c r="C1730" i="5"/>
  <c r="D788" i="15"/>
  <c r="D789" i="14"/>
  <c r="H795" i="13"/>
  <c r="K795" i="13"/>
  <c r="G795" i="13"/>
  <c r="I189" i="15"/>
  <c r="F190" i="14"/>
  <c r="D1068" i="15"/>
  <c r="D1069" i="14"/>
  <c r="K1075" i="13"/>
  <c r="G1075" i="13"/>
  <c r="H1075" i="13"/>
  <c r="D1166" i="15"/>
  <c r="D1167" i="14"/>
  <c r="K1173" i="13"/>
  <c r="H1173" i="13"/>
  <c r="I1166" i="15" s="1"/>
  <c r="G1173" i="13"/>
  <c r="H1166" i="15" s="1"/>
  <c r="I1231" i="15"/>
  <c r="F1232" i="14"/>
  <c r="D725" i="15"/>
  <c r="D726" i="14"/>
  <c r="H732" i="13"/>
  <c r="K732" i="13"/>
  <c r="G732" i="13"/>
  <c r="D2056" i="13"/>
  <c r="E541" i="6"/>
  <c r="D1560" i="13"/>
  <c r="E440" i="9"/>
  <c r="H333" i="15"/>
  <c r="I333" i="13"/>
  <c r="J333" i="15" s="1"/>
  <c r="I1034" i="15"/>
  <c r="F1035" i="14"/>
  <c r="I129" i="15"/>
  <c r="F130" i="14"/>
  <c r="D1794" i="15"/>
  <c r="D1795" i="14"/>
  <c r="H1801" i="13"/>
  <c r="G1801" i="13"/>
  <c r="I216" i="15"/>
  <c r="F217" i="14"/>
  <c r="D975" i="13"/>
  <c r="F114" i="7"/>
  <c r="D115" i="7"/>
  <c r="D969" i="13"/>
  <c r="F108" i="7"/>
  <c r="E564" i="10"/>
  <c r="G564" i="10" s="1"/>
  <c r="E961" i="5"/>
  <c r="G960" i="5"/>
  <c r="H564" i="10" s="1"/>
  <c r="I1756" i="15"/>
  <c r="F1757" i="14"/>
  <c r="D491" i="15"/>
  <c r="D492" i="14"/>
  <c r="K498" i="13"/>
  <c r="H498" i="13"/>
  <c r="H491" i="15" s="1"/>
  <c r="G498" i="13"/>
  <c r="H741" i="15"/>
  <c r="Y1469" i="5"/>
  <c r="Y1468" i="5"/>
  <c r="C1436" i="5"/>
  <c r="C1476" i="5" s="1"/>
  <c r="T1479" i="5"/>
  <c r="L1475" i="5"/>
  <c r="C489" i="8"/>
  <c r="C486" i="8"/>
  <c r="I1413" i="15"/>
  <c r="F1414" i="14"/>
  <c r="D1389" i="15"/>
  <c r="D1390" i="14"/>
  <c r="H1396" i="13"/>
  <c r="G1396" i="13"/>
  <c r="D546" i="13"/>
  <c r="F753" i="10"/>
  <c r="J1534" i="5"/>
  <c r="C1531" i="5"/>
  <c r="D1080" i="15"/>
  <c r="D1081" i="14"/>
  <c r="K1087" i="13"/>
  <c r="G1087" i="13"/>
  <c r="H1080" i="15" s="1"/>
  <c r="H1087" i="13"/>
  <c r="I1080" i="15" s="1"/>
  <c r="H1209" i="15"/>
  <c r="I1216" i="13"/>
  <c r="J1209" i="15" s="1"/>
  <c r="I65" i="15"/>
  <c r="F66" i="14"/>
  <c r="D1512" i="13"/>
  <c r="E374" i="9"/>
  <c r="D1529" i="13"/>
  <c r="E391" i="9"/>
  <c r="I1354" i="15"/>
  <c r="F1355" i="14"/>
  <c r="D1349" i="15"/>
  <c r="D1350" i="14"/>
  <c r="K1356" i="13"/>
  <c r="H1356" i="13"/>
  <c r="G1356" i="13"/>
  <c r="D1034" i="13"/>
  <c r="F175" i="7"/>
  <c r="I1030" i="15"/>
  <c r="F1031" i="14"/>
  <c r="D59" i="15"/>
  <c r="D60" i="14"/>
  <c r="H59" i="13"/>
  <c r="G59" i="13"/>
  <c r="H1675" i="15"/>
  <c r="I1682" i="13"/>
  <c r="J1675" i="15" s="1"/>
  <c r="D769" i="13"/>
  <c r="E1997" i="5"/>
  <c r="E2012" i="5" s="1"/>
  <c r="B2013" i="5" s="1"/>
  <c r="I1427" i="15"/>
  <c r="F1428" i="14"/>
  <c r="I1460" i="15"/>
  <c r="F1461" i="14"/>
  <c r="D2199" i="13"/>
  <c r="J648" i="6"/>
  <c r="L647" i="6"/>
  <c r="J649" i="6"/>
  <c r="D63" i="15"/>
  <c r="D64" i="14"/>
  <c r="H63" i="13"/>
  <c r="G63" i="13"/>
  <c r="D1155" i="15"/>
  <c r="D1156" i="14"/>
  <c r="K1162" i="13"/>
  <c r="H1162" i="13"/>
  <c r="I1155" i="15" s="1"/>
  <c r="G1162" i="13"/>
  <c r="H1155" i="15" s="1"/>
  <c r="D1129" i="15"/>
  <c r="D1130" i="14"/>
  <c r="K1136" i="13"/>
  <c r="G1136" i="13"/>
  <c r="H1129" i="15" s="1"/>
  <c r="H1136" i="13"/>
  <c r="I1129" i="15" s="1"/>
  <c r="E439" i="10"/>
  <c r="G439" i="10" s="1"/>
  <c r="E455" i="5"/>
  <c r="G454" i="5"/>
  <c r="H439" i="10" s="1"/>
  <c r="D203" i="13"/>
  <c r="L351" i="8"/>
  <c r="J417" i="8"/>
  <c r="H1073" i="15"/>
  <c r="I1080" i="13"/>
  <c r="J1073" i="15" s="1"/>
  <c r="H1604" i="15"/>
  <c r="I1611" i="13"/>
  <c r="J1604" i="15" s="1"/>
  <c r="H305" i="15"/>
  <c r="I305" i="13"/>
  <c r="J305" i="15" s="1"/>
  <c r="H1051" i="15"/>
  <c r="I1058" i="13"/>
  <c r="J1051" i="15" s="1"/>
  <c r="H127" i="15"/>
  <c r="I127" i="13"/>
  <c r="J127" i="15" s="1"/>
  <c r="I48" i="15"/>
  <c r="F49" i="14"/>
  <c r="D287" i="15"/>
  <c r="D288" i="14"/>
  <c r="G287" i="13"/>
  <c r="H287" i="13"/>
  <c r="H1206" i="15"/>
  <c r="I1213" i="13"/>
  <c r="J1206" i="15" s="1"/>
  <c r="H1208" i="15"/>
  <c r="I1215" i="13"/>
  <c r="J1208" i="15" s="1"/>
  <c r="B634" i="8"/>
  <c r="D1345" i="15"/>
  <c r="D1346" i="14"/>
  <c r="K1352" i="13"/>
  <c r="H1352" i="13"/>
  <c r="G1352" i="13"/>
  <c r="I814" i="15"/>
  <c r="F815" i="14"/>
  <c r="D869" i="13"/>
  <c r="E1879" i="5"/>
  <c r="D2051" i="13"/>
  <c r="E536" i="6"/>
  <c r="I1909" i="15"/>
  <c r="F1910" i="14"/>
  <c r="E235" i="10"/>
  <c r="E696" i="5"/>
  <c r="E662" i="5"/>
  <c r="F661" i="5"/>
  <c r="F235" i="10" s="1"/>
  <c r="D424" i="15"/>
  <c r="D425" i="14"/>
  <c r="H431" i="13"/>
  <c r="H424" i="15" s="1"/>
  <c r="G431" i="13"/>
  <c r="D1774" i="15"/>
  <c r="D1775" i="14"/>
  <c r="H1781" i="13"/>
  <c r="K1781" i="13"/>
  <c r="G1781" i="13"/>
  <c r="H787" i="15"/>
  <c r="I794" i="13"/>
  <c r="J787" i="15" s="1"/>
  <c r="I1700" i="15"/>
  <c r="F1701" i="14"/>
  <c r="D549" i="15"/>
  <c r="D550" i="14"/>
  <c r="H556" i="13"/>
  <c r="K556" i="13"/>
  <c r="G556" i="13"/>
  <c r="D1173" i="15"/>
  <c r="D1174" i="14"/>
  <c r="K1180" i="13"/>
  <c r="H1180" i="13"/>
  <c r="I1173" i="15" s="1"/>
  <c r="G1180" i="13"/>
  <c r="H1173" i="15" s="1"/>
  <c r="D1157" i="15"/>
  <c r="D1158" i="14"/>
  <c r="K1164" i="13"/>
  <c r="H1164" i="13"/>
  <c r="I1157" i="15" s="1"/>
  <c r="G1164" i="13"/>
  <c r="H1157" i="15" s="1"/>
  <c r="D1160" i="15"/>
  <c r="D1161" i="14"/>
  <c r="K1167" i="13"/>
  <c r="G1167" i="13"/>
  <c r="H1160" i="15" s="1"/>
  <c r="H1167" i="13"/>
  <c r="I1160" i="15" s="1"/>
  <c r="I250" i="15"/>
  <c r="F251" i="14"/>
  <c r="I31" i="15"/>
  <c r="F32" i="14"/>
  <c r="C1889" i="5"/>
  <c r="J1882" i="5"/>
  <c r="D896" i="13" s="1"/>
  <c r="D843" i="13"/>
  <c r="E1842" i="5"/>
  <c r="F725" i="14"/>
  <c r="J526" i="6"/>
  <c r="C545" i="6"/>
  <c r="G660" i="5"/>
  <c r="G234" i="10"/>
  <c r="H1462" i="15"/>
  <c r="I1469" i="13"/>
  <c r="J1462" i="15" s="1"/>
  <c r="H1451" i="15"/>
  <c r="I1458" i="13"/>
  <c r="J1451" i="15" s="1"/>
  <c r="D75" i="15"/>
  <c r="D76" i="14"/>
  <c r="K75" i="13"/>
  <c r="H75" i="13"/>
  <c r="G75" i="13"/>
  <c r="D507" i="15"/>
  <c r="D508" i="14"/>
  <c r="H514" i="13"/>
  <c r="G514" i="13"/>
  <c r="I1344" i="15"/>
  <c r="F1345" i="14"/>
  <c r="H1468" i="15"/>
  <c r="I1475" i="13"/>
  <c r="J1468" i="15" s="1"/>
  <c r="D1780" i="13"/>
  <c r="E604" i="9"/>
  <c r="E624" i="9" s="1"/>
  <c r="B626" i="9" s="1"/>
  <c r="D1765" i="15"/>
  <c r="D1766" i="14"/>
  <c r="H1772" i="13"/>
  <c r="K1772" i="13"/>
  <c r="G1772" i="13"/>
  <c r="H1608" i="15"/>
  <c r="I1615" i="13"/>
  <c r="J1608" i="15" s="1"/>
  <c r="H122" i="13"/>
  <c r="I122" i="15" s="1"/>
  <c r="D58" i="15"/>
  <c r="D59" i="14"/>
  <c r="H58" i="13"/>
  <c r="G58" i="13"/>
  <c r="D1135" i="15"/>
  <c r="D1136" i="14"/>
  <c r="K1142" i="13"/>
  <c r="G1142" i="13"/>
  <c r="H1135" i="15" s="1"/>
  <c r="H1142" i="13"/>
  <c r="I1135" i="15" s="1"/>
  <c r="D1011" i="15"/>
  <c r="D1012" i="14"/>
  <c r="K1018" i="13"/>
  <c r="G1018" i="13"/>
  <c r="H1018" i="13"/>
  <c r="I1221" i="15"/>
  <c r="F1222" i="14"/>
  <c r="D1117" i="15"/>
  <c r="D1118" i="14"/>
  <c r="K1124" i="13"/>
  <c r="G1124" i="13"/>
  <c r="H1117" i="15" s="1"/>
  <c r="H1124" i="13"/>
  <c r="I1117" i="15" s="1"/>
  <c r="D1132" i="15"/>
  <c r="D1133" i="14"/>
  <c r="K1139" i="13"/>
  <c r="H1139" i="13"/>
  <c r="I1132" i="15" s="1"/>
  <c r="G1139" i="13"/>
  <c r="H1132" i="15" s="1"/>
  <c r="H1463" i="15"/>
  <c r="I1470" i="13"/>
  <c r="J1463" i="15" s="1"/>
  <c r="I1901" i="15"/>
  <c r="F1902" i="14"/>
  <c r="H2262" i="15"/>
  <c r="F2263" i="14"/>
  <c r="I2269" i="13"/>
  <c r="J2262" i="15" s="1"/>
  <c r="E711" i="10"/>
  <c r="G711" i="10" s="1"/>
  <c r="E1028" i="5"/>
  <c r="G1027" i="5"/>
  <c r="H711" i="10" s="1"/>
  <c r="I1763" i="15"/>
  <c r="F1764" i="14"/>
  <c r="H1074" i="15"/>
  <c r="I1081" i="13"/>
  <c r="J1074" i="15" s="1"/>
  <c r="I804" i="15"/>
  <c r="F805" i="14"/>
  <c r="D2057" i="15"/>
  <c r="D2058" i="14"/>
  <c r="K2064" i="13"/>
  <c r="H2064" i="13"/>
  <c r="G2064" i="13"/>
  <c r="D1360" i="13"/>
  <c r="E670" i="9"/>
  <c r="D601" i="13"/>
  <c r="O1619" i="5"/>
  <c r="U1548" i="5"/>
  <c r="D1053" i="15"/>
  <c r="D1054" i="14"/>
  <c r="K1060" i="13"/>
  <c r="H1060" i="13"/>
  <c r="G1060" i="13"/>
  <c r="D130" i="15"/>
  <c r="D131" i="14"/>
  <c r="K130" i="13"/>
  <c r="H130" i="13"/>
  <c r="G130" i="13"/>
  <c r="H714" i="15"/>
  <c r="I721" i="13"/>
  <c r="J714" i="15" s="1"/>
  <c r="D299" i="15"/>
  <c r="D300" i="14"/>
  <c r="G299" i="13"/>
  <c r="H299" i="13"/>
  <c r="D1203" i="15"/>
  <c r="D1204" i="14"/>
  <c r="H1210" i="13"/>
  <c r="G1210" i="13"/>
  <c r="D1511" i="13"/>
  <c r="E373" i="9"/>
  <c r="D1493" i="13"/>
  <c r="E355" i="9"/>
  <c r="D1498" i="13"/>
  <c r="E360" i="9"/>
  <c r="D1505" i="13"/>
  <c r="J362" i="9"/>
  <c r="E367" i="9"/>
  <c r="D1360" i="15"/>
  <c r="D1361" i="14"/>
  <c r="K1367" i="13"/>
  <c r="H1367" i="13"/>
  <c r="G1367" i="13"/>
  <c r="D1089" i="15"/>
  <c r="D1090" i="14"/>
  <c r="K1096" i="13"/>
  <c r="H1096" i="13"/>
  <c r="I1089" i="15" s="1"/>
  <c r="G1096" i="13"/>
  <c r="H1089" i="15" s="1"/>
  <c r="I824" i="15"/>
  <c r="F825" i="14"/>
  <c r="I53" i="15"/>
  <c r="F54" i="14"/>
  <c r="D370" i="15"/>
  <c r="D371" i="14"/>
  <c r="H377" i="13"/>
  <c r="H370" i="15" s="1"/>
  <c r="K377" i="13"/>
  <c r="G377" i="13"/>
  <c r="D1795" i="15"/>
  <c r="D1796" i="14"/>
  <c r="H1802" i="13"/>
  <c r="G1802" i="13"/>
  <c r="D1239" i="15"/>
  <c r="D1240" i="14"/>
  <c r="H1246" i="13"/>
  <c r="I1239" i="15" s="1"/>
  <c r="G1246" i="13"/>
  <c r="H1239" i="15" s="1"/>
  <c r="D1210" i="15"/>
  <c r="D1211" i="14"/>
  <c r="H1217" i="13"/>
  <c r="G1217" i="13"/>
  <c r="D1403" i="13"/>
  <c r="K662" i="9"/>
  <c r="D1388" i="15"/>
  <c r="D1389" i="14"/>
  <c r="H1395" i="13"/>
  <c r="G1395" i="13"/>
  <c r="D1340" i="15"/>
  <c r="D1341" i="14"/>
  <c r="K1347" i="13"/>
  <c r="H1347" i="13"/>
  <c r="G1347" i="13"/>
  <c r="I1691" i="15"/>
  <c r="F1692" i="14"/>
  <c r="D1238" i="15"/>
  <c r="D1239" i="14"/>
  <c r="H1245" i="13"/>
  <c r="I1238" i="15" s="1"/>
  <c r="G1245" i="13"/>
  <c r="H1238" i="15" s="1"/>
  <c r="D1234" i="15"/>
  <c r="D1235" i="14"/>
  <c r="H1241" i="13"/>
  <c r="G1241" i="13"/>
  <c r="D851" i="15"/>
  <c r="D852" i="14"/>
  <c r="H858" i="13"/>
  <c r="G858" i="13"/>
  <c r="I1431" i="15"/>
  <c r="F1432" i="14"/>
  <c r="D1438" i="15"/>
  <c r="D1439" i="14"/>
  <c r="H1445" i="13"/>
  <c r="K1445" i="13"/>
  <c r="G1445" i="13"/>
  <c r="D819" i="13"/>
  <c r="O1939" i="5"/>
  <c r="O1966" i="5" s="1"/>
  <c r="B1968" i="5" s="1"/>
  <c r="H189" i="15"/>
  <c r="I189" i="13"/>
  <c r="J189" i="15" s="1"/>
  <c r="H1029" i="15"/>
  <c r="I1036" i="13"/>
  <c r="J1029" i="15" s="1"/>
  <c r="H1228" i="15"/>
  <c r="I1235" i="13"/>
  <c r="J1228" i="15" s="1"/>
  <c r="H1231" i="15"/>
  <c r="I1238" i="13"/>
  <c r="J1231" i="15" s="1"/>
  <c r="E24" i="10"/>
  <c r="F188" i="5"/>
  <c r="F24" i="10" s="1"/>
  <c r="E189" i="5"/>
  <c r="C463" i="9"/>
  <c r="C439" i="9"/>
  <c r="C462" i="9"/>
  <c r="C456" i="9"/>
  <c r="C445" i="9"/>
  <c r="C438" i="9"/>
  <c r="C441" i="9"/>
  <c r="D1604" i="13"/>
  <c r="J435" i="9"/>
  <c r="J437" i="9"/>
  <c r="J434" i="9"/>
  <c r="L433" i="9"/>
  <c r="J436" i="9"/>
  <c r="D1610" i="13"/>
  <c r="L439" i="9"/>
  <c r="D1592" i="13"/>
  <c r="E472" i="9"/>
  <c r="D1487" i="13"/>
  <c r="C389" i="9"/>
  <c r="E349" i="9"/>
  <c r="D805" i="15"/>
  <c r="D806" i="14"/>
  <c r="K812" i="13"/>
  <c r="H812" i="13"/>
  <c r="G812" i="13"/>
  <c r="D90" i="15"/>
  <c r="D91" i="14"/>
  <c r="H90" i="13"/>
  <c r="G90" i="13"/>
  <c r="D2096" i="15"/>
  <c r="D2097" i="14"/>
  <c r="H2103" i="13"/>
  <c r="K2103" i="13"/>
  <c r="G2103" i="13"/>
  <c r="H1059" i="15"/>
  <c r="I1066" i="13"/>
  <c r="J1059" i="15" s="1"/>
  <c r="H1061" i="15"/>
  <c r="I1068" i="13"/>
  <c r="J1061" i="15" s="1"/>
  <c r="H129" i="15"/>
  <c r="I129" i="13"/>
  <c r="J129" i="15" s="1"/>
  <c r="L1477" i="5"/>
  <c r="Y1472" i="5"/>
  <c r="Y1471" i="5"/>
  <c r="C1471" i="5"/>
  <c r="Y1470" i="5"/>
  <c r="C1445" i="5"/>
  <c r="T1484" i="5"/>
  <c r="T1483" i="5"/>
  <c r="C1437" i="5"/>
  <c r="H40" i="15"/>
  <c r="I40" i="13"/>
  <c r="J40" i="15" s="1"/>
  <c r="D1122" i="15"/>
  <c r="D1123" i="14"/>
  <c r="K1129" i="13"/>
  <c r="H1129" i="13"/>
  <c r="I1122" i="15" s="1"/>
  <c r="G1129" i="13"/>
  <c r="H1122" i="15" s="1"/>
  <c r="D977" i="13"/>
  <c r="F116" i="7"/>
  <c r="D1220" i="13"/>
  <c r="J59" i="7"/>
  <c r="D1221" i="13" s="1"/>
  <c r="D965" i="13"/>
  <c r="F104" i="7"/>
  <c r="I1217" i="15"/>
  <c r="F1218" i="14"/>
  <c r="D1010" i="15"/>
  <c r="D1011" i="14"/>
  <c r="K1017" i="13"/>
  <c r="H1017" i="13"/>
  <c r="G1017" i="13"/>
  <c r="D1131" i="15"/>
  <c r="D1132" i="14"/>
  <c r="K1138" i="13"/>
  <c r="H1138" i="13"/>
  <c r="I1131" i="15" s="1"/>
  <c r="G1138" i="13"/>
  <c r="H1131" i="15" s="1"/>
  <c r="D371" i="15"/>
  <c r="D372" i="14"/>
  <c r="H378" i="13"/>
  <c r="H371" i="15" s="1"/>
  <c r="K378" i="13"/>
  <c r="G378" i="13"/>
  <c r="I378" i="13" s="1"/>
  <c r="D408" i="15"/>
  <c r="D409" i="14"/>
  <c r="H415" i="13"/>
  <c r="H408" i="15" s="1"/>
  <c r="K415" i="13"/>
  <c r="G415" i="13"/>
  <c r="D540" i="15"/>
  <c r="D541" i="14"/>
  <c r="H547" i="13"/>
  <c r="K547" i="13"/>
  <c r="G547" i="13"/>
  <c r="H1058" i="15"/>
  <c r="I1065" i="13"/>
  <c r="J1058" i="15" s="1"/>
  <c r="G1967" i="13"/>
  <c r="C588" i="6"/>
  <c r="C586" i="6"/>
  <c r="C580" i="6"/>
  <c r="C587" i="6"/>
  <c r="C589" i="6"/>
  <c r="D267" i="13"/>
  <c r="E487" i="8"/>
  <c r="I42" i="15"/>
  <c r="F43" i="14"/>
  <c r="D1551" i="13"/>
  <c r="E431" i="9"/>
  <c r="I1459" i="15"/>
  <c r="F1460" i="14"/>
  <c r="H1414" i="15"/>
  <c r="I1421" i="13"/>
  <c r="J1414" i="15" s="1"/>
  <c r="D782" i="13"/>
  <c r="O1985" i="5"/>
  <c r="O2012" i="5" s="1"/>
  <c r="B2014" i="5" s="1"/>
  <c r="D1342" i="15"/>
  <c r="D1343" i="14"/>
  <c r="K1349" i="13"/>
  <c r="H1349" i="13"/>
  <c r="G1349" i="13"/>
  <c r="D1335" i="15"/>
  <c r="D1336" i="14"/>
  <c r="K1342" i="13"/>
  <c r="H1342" i="13"/>
  <c r="G1342" i="13"/>
  <c r="H1052" i="15"/>
  <c r="I1059" i="13"/>
  <c r="J1052" i="15" s="1"/>
  <c r="D898" i="15"/>
  <c r="D899" i="14"/>
  <c r="K905" i="13"/>
  <c r="H905" i="13"/>
  <c r="G905" i="13"/>
  <c r="D953" i="15"/>
  <c r="D954" i="14"/>
  <c r="K960" i="13"/>
  <c r="G960" i="13"/>
  <c r="H960" i="13"/>
  <c r="D1079" i="15"/>
  <c r="D1080" i="14"/>
  <c r="K1086" i="13"/>
  <c r="G1086" i="13"/>
  <c r="H1079" i="15" s="1"/>
  <c r="H1086" i="13"/>
  <c r="I1079" i="15" s="1"/>
  <c r="I36" i="15"/>
  <c r="F37" i="14"/>
  <c r="H65" i="15"/>
  <c r="I65" i="13"/>
  <c r="J65" i="15" s="1"/>
  <c r="D1494" i="13"/>
  <c r="E356" i="9"/>
  <c r="D1528" i="13"/>
  <c r="E390" i="9"/>
  <c r="H1354" i="15"/>
  <c r="I1361" i="13"/>
  <c r="J1354" i="15" s="1"/>
  <c r="D1374" i="13"/>
  <c r="I663" i="9"/>
  <c r="E684" i="9"/>
  <c r="I1204" i="15"/>
  <c r="F1205" i="14"/>
  <c r="C1410" i="5"/>
  <c r="I20" i="15"/>
  <c r="F21" i="14"/>
  <c r="E629" i="10"/>
  <c r="G629" i="10" s="1"/>
  <c r="E986" i="5"/>
  <c r="G985" i="5"/>
  <c r="H629" i="10" s="1"/>
  <c r="I1076" i="15"/>
  <c r="F1077" i="14"/>
  <c r="D1032" i="13"/>
  <c r="D174" i="7"/>
  <c r="F173" i="7"/>
  <c r="D1031" i="13"/>
  <c r="F172" i="7"/>
  <c r="H228" i="15"/>
  <c r="I228" i="13"/>
  <c r="J228" i="15" s="1"/>
  <c r="D1805" i="13"/>
  <c r="L582" i="9"/>
  <c r="M104" i="4"/>
  <c r="M108" i="4"/>
  <c r="M159" i="4"/>
  <c r="I1911" i="15"/>
  <c r="F1912" i="14"/>
  <c r="D1399" i="15"/>
  <c r="D1400" i="14"/>
  <c r="H1406" i="13"/>
  <c r="G1406" i="13"/>
  <c r="I207" i="15"/>
  <c r="F208" i="14"/>
  <c r="D1205" i="15"/>
  <c r="D1206" i="14"/>
  <c r="H1212" i="13"/>
  <c r="G1212" i="13"/>
  <c r="D909" i="13"/>
  <c r="F46" i="7"/>
  <c r="D920" i="13"/>
  <c r="F57" i="7"/>
  <c r="D914" i="13"/>
  <c r="F51" i="7"/>
  <c r="H115" i="15"/>
  <c r="I115" i="13"/>
  <c r="J115" i="15" s="1"/>
  <c r="I740" i="15"/>
  <c r="F741" i="14"/>
  <c r="H1447" i="15"/>
  <c r="I1454" i="13"/>
  <c r="J1447" i="15" s="1"/>
  <c r="E464" i="10"/>
  <c r="G464" i="10" s="1"/>
  <c r="E901" i="5"/>
  <c r="G900" i="5"/>
  <c r="H464" i="10" s="1"/>
  <c r="H229" i="15"/>
  <c r="I229" i="13"/>
  <c r="J229" i="15" s="1"/>
  <c r="D1169" i="15"/>
  <c r="D1170" i="14"/>
  <c r="K1176" i="13"/>
  <c r="G1176" i="13"/>
  <c r="H1169" i="15" s="1"/>
  <c r="H1176" i="13"/>
  <c r="I1169" i="15" s="1"/>
  <c r="D1172" i="15"/>
  <c r="D1173" i="14"/>
  <c r="K1179" i="13"/>
  <c r="G1179" i="13"/>
  <c r="H1172" i="15" s="1"/>
  <c r="H1179" i="13"/>
  <c r="I1172" i="15" s="1"/>
  <c r="D1156" i="15"/>
  <c r="D1157" i="14"/>
  <c r="K1163" i="13"/>
  <c r="G1163" i="13"/>
  <c r="H1156" i="15" s="1"/>
  <c r="H1163" i="13"/>
  <c r="I1156" i="15" s="1"/>
  <c r="I138" i="15"/>
  <c r="F139" i="14"/>
  <c r="D2050" i="15"/>
  <c r="D2051" i="14"/>
  <c r="H2057" i="13"/>
  <c r="K2057" i="13"/>
  <c r="G2057" i="13"/>
  <c r="D217" i="15"/>
  <c r="D218" i="14"/>
  <c r="H217" i="13"/>
  <c r="K217" i="13"/>
  <c r="G217" i="13"/>
  <c r="H1910" i="15"/>
  <c r="I1917" i="13"/>
  <c r="J1910" i="15" s="1"/>
  <c r="H1956" i="15"/>
  <c r="I1963" i="13"/>
  <c r="J1956" i="15" s="1"/>
  <c r="P161" i="4"/>
  <c r="P160" i="4"/>
  <c r="H1460" i="15"/>
  <c r="I1467" i="13"/>
  <c r="J1460" i="15" s="1"/>
  <c r="I188" i="15"/>
  <c r="F189" i="14"/>
  <c r="D2128" i="13"/>
  <c r="E653" i="6"/>
  <c r="D2146" i="15"/>
  <c r="D2147" i="14"/>
  <c r="H2153" i="13"/>
  <c r="K2153" i="13"/>
  <c r="G2153" i="13"/>
  <c r="D1749" i="15"/>
  <c r="D1750" i="14"/>
  <c r="K1756" i="13"/>
  <c r="H1756" i="13"/>
  <c r="G1756" i="13"/>
  <c r="I1037" i="15"/>
  <c r="F1038" i="14"/>
  <c r="H56" i="15"/>
  <c r="I56" i="13"/>
  <c r="J56" i="15" s="1"/>
  <c r="D1215" i="15"/>
  <c r="D1216" i="14"/>
  <c r="H1222" i="13"/>
  <c r="G1222" i="13"/>
  <c r="D1216" i="15"/>
  <c r="D1217" i="14"/>
  <c r="H1223" i="13"/>
  <c r="G1223" i="13"/>
  <c r="I1912" i="15"/>
  <c r="F1913" i="14"/>
  <c r="I1429" i="15"/>
  <c r="F1430" i="14"/>
  <c r="I1464" i="15"/>
  <c r="F1465" i="14"/>
  <c r="N110" i="4"/>
  <c r="D199" i="13"/>
  <c r="L346" i="8"/>
  <c r="J412" i="8"/>
  <c r="J347" i="8"/>
  <c r="D180" i="13"/>
  <c r="C413" i="8"/>
  <c r="D220" i="13" s="1"/>
  <c r="E346" i="8"/>
  <c r="E413" i="8" s="1"/>
  <c r="I1073" i="15"/>
  <c r="F1074" i="14"/>
  <c r="D317" i="15"/>
  <c r="D318" i="14"/>
  <c r="K317" i="13"/>
  <c r="H317" i="13"/>
  <c r="G317" i="13"/>
  <c r="D1465" i="15"/>
  <c r="D1466" i="14"/>
  <c r="H1472" i="13"/>
  <c r="H1482" i="13" s="1"/>
  <c r="I1475" i="15" s="1"/>
  <c r="G1472" i="13"/>
  <c r="D1676" i="15"/>
  <c r="D1677" i="14"/>
  <c r="H1683" i="13"/>
  <c r="K1683" i="13"/>
  <c r="G1683" i="13"/>
  <c r="D1364" i="15"/>
  <c r="D1365" i="14"/>
  <c r="K1371" i="13"/>
  <c r="H1371" i="13"/>
  <c r="G1371" i="13"/>
  <c r="D1336" i="15"/>
  <c r="D1337" i="14"/>
  <c r="K1343" i="13"/>
  <c r="H1343" i="13"/>
  <c r="G1343" i="13"/>
  <c r="D1373" i="15"/>
  <c r="D1374" i="14"/>
  <c r="K1380" i="13"/>
  <c r="H1380" i="13"/>
  <c r="G1380" i="13"/>
  <c r="D579" i="15"/>
  <c r="D580" i="14"/>
  <c r="H586" i="13"/>
  <c r="K586" i="13"/>
  <c r="G586" i="13"/>
  <c r="I1064" i="15"/>
  <c r="F1065" i="14"/>
  <c r="I1051" i="15"/>
  <c r="F1052" i="14"/>
  <c r="H48" i="15"/>
  <c r="I48" i="13"/>
  <c r="J48" i="15" s="1"/>
  <c r="D1718" i="15"/>
  <c r="D1719" i="14"/>
  <c r="H1725" i="13"/>
  <c r="K1725" i="13"/>
  <c r="G1725" i="13"/>
  <c r="D717" i="15"/>
  <c r="D718" i="14"/>
  <c r="H724" i="13"/>
  <c r="K724" i="13"/>
  <c r="G724" i="13"/>
  <c r="G743" i="13" s="1"/>
  <c r="L507" i="8"/>
  <c r="B509" i="8" s="1"/>
  <c r="D1077" i="15"/>
  <c r="D1078" i="14"/>
  <c r="K1084" i="13"/>
  <c r="H1084" i="13"/>
  <c r="G1084" i="13"/>
  <c r="D952" i="15"/>
  <c r="D953" i="14"/>
  <c r="K959" i="13"/>
  <c r="H959" i="13"/>
  <c r="G959" i="13"/>
  <c r="D1402" i="13"/>
  <c r="K661" i="9"/>
  <c r="L165" i="4"/>
  <c r="L198" i="4" s="1"/>
  <c r="R198" i="4" s="1"/>
  <c r="H198" i="4"/>
  <c r="D1069" i="15"/>
  <c r="D1070" i="14"/>
  <c r="K1076" i="13"/>
  <c r="H1076" i="13"/>
  <c r="G1076" i="13"/>
  <c r="H852" i="15"/>
  <c r="I859" i="13"/>
  <c r="J852" i="15" s="1"/>
  <c r="D1799" i="15"/>
  <c r="D1800" i="14"/>
  <c r="H1806" i="13"/>
  <c r="G1806" i="13"/>
  <c r="I738" i="15"/>
  <c r="F739" i="14"/>
  <c r="I37" i="15"/>
  <c r="F38" i="14"/>
  <c r="H1220" i="15"/>
  <c r="I1227" i="13"/>
  <c r="J1220" i="15" s="1"/>
  <c r="L164" i="4"/>
  <c r="H337" i="15"/>
  <c r="I344" i="13"/>
  <c r="J337" i="15" s="1"/>
  <c r="I1446" i="15"/>
  <c r="F1447" i="14"/>
  <c r="D139" i="15"/>
  <c r="D140" i="14"/>
  <c r="H139" i="13"/>
  <c r="G139" i="13"/>
  <c r="D1088" i="15"/>
  <c r="D1089" i="14"/>
  <c r="K1095" i="13"/>
  <c r="H1095" i="13"/>
  <c r="I1088" i="15" s="1"/>
  <c r="G1095" i="13"/>
  <c r="H1088" i="15" s="1"/>
  <c r="D1094" i="15"/>
  <c r="D1095" i="14"/>
  <c r="K1101" i="13"/>
  <c r="H1101" i="13"/>
  <c r="I1094" i="15" s="1"/>
  <c r="G1101" i="13"/>
  <c r="H1094" i="15" s="1"/>
  <c r="I1772" i="15"/>
  <c r="F1773" i="14"/>
  <c r="D1333" i="15"/>
  <c r="D1334" i="14"/>
  <c r="K1340" i="13"/>
  <c r="H1340" i="13"/>
  <c r="G1340" i="13"/>
  <c r="I731" i="13" l="1"/>
  <c r="J724" i="15" s="1"/>
  <c r="F742" i="14"/>
  <c r="I407" i="15"/>
  <c r="H754" i="13"/>
  <c r="I747" i="15" s="1"/>
  <c r="K2233" i="5"/>
  <c r="K2234" i="5" s="1"/>
  <c r="K2235" i="5" s="1"/>
  <c r="K2237" i="5" s="1"/>
  <c r="I748" i="13"/>
  <c r="J741" i="15" s="1"/>
  <c r="I490" i="15"/>
  <c r="E1859" i="5"/>
  <c r="B1860" i="5" s="1"/>
  <c r="B1862" i="5" s="1"/>
  <c r="G58" i="10"/>
  <c r="S100" i="5"/>
  <c r="P93" i="5"/>
  <c r="P95" i="5" s="1"/>
  <c r="S95" i="5" s="1"/>
  <c r="G222" i="5"/>
  <c r="H85" i="10" s="1"/>
  <c r="I2233" i="5"/>
  <c r="I2234" i="5" s="1"/>
  <c r="I2235" i="5" s="1"/>
  <c r="T622" i="5"/>
  <c r="T1052" i="5" s="1"/>
  <c r="AE1052" i="5" s="1"/>
  <c r="P626" i="5"/>
  <c r="E645" i="5" s="1"/>
  <c r="K2238" i="5"/>
  <c r="G269" i="10"/>
  <c r="E220" i="10"/>
  <c r="G220" i="10" s="1"/>
  <c r="G646" i="5"/>
  <c r="H220" i="10" s="1"/>
  <c r="G642" i="5"/>
  <c r="H216" i="10" s="1"/>
  <c r="E216" i="10"/>
  <c r="G216" i="10" s="1"/>
  <c r="E644" i="5"/>
  <c r="F2233" i="5"/>
  <c r="F2234" i="5" s="1"/>
  <c r="F2235" i="5" s="1"/>
  <c r="E217" i="10"/>
  <c r="G217" i="10" s="1"/>
  <c r="G643" i="5"/>
  <c r="H217" i="10" s="1"/>
  <c r="C2233" i="5"/>
  <c r="C2234" i="5" s="1"/>
  <c r="C2235" i="5" s="1"/>
  <c r="G1482" i="13"/>
  <c r="H1475" i="15" s="1"/>
  <c r="G1463" i="13"/>
  <c r="F1457" i="14" s="1"/>
  <c r="I461" i="13"/>
  <c r="I194" i="13"/>
  <c r="J194" i="15" s="1"/>
  <c r="G70" i="13"/>
  <c r="H70" i="13"/>
  <c r="I70" i="15" s="1"/>
  <c r="H54" i="13"/>
  <c r="I54" i="15" s="1"/>
  <c r="G54" i="13"/>
  <c r="H54" i="15" s="1"/>
  <c r="J1661" i="5"/>
  <c r="H1456" i="15"/>
  <c r="H736" i="15"/>
  <c r="F737" i="14"/>
  <c r="B628" i="9"/>
  <c r="I54" i="13"/>
  <c r="J54" i="15" s="1"/>
  <c r="I139" i="15"/>
  <c r="F140" i="14"/>
  <c r="I1336" i="15"/>
  <c r="F1337" i="14"/>
  <c r="D200" i="13"/>
  <c r="L347" i="8"/>
  <c r="J348" i="8"/>
  <c r="J413" i="8"/>
  <c r="I1216" i="15"/>
  <c r="F1217" i="14"/>
  <c r="I1215" i="15"/>
  <c r="F1216" i="14"/>
  <c r="H1749" i="15"/>
  <c r="I1756" i="13"/>
  <c r="J1749" i="15" s="1"/>
  <c r="P162" i="4"/>
  <c r="P167" i="4"/>
  <c r="P197" i="4" s="1"/>
  <c r="I217" i="15"/>
  <c r="F218" i="14"/>
  <c r="E465" i="10"/>
  <c r="G465" i="10" s="1"/>
  <c r="E902" i="5"/>
  <c r="G901" i="5"/>
  <c r="H465" i="10" s="1"/>
  <c r="H1399" i="15"/>
  <c r="I1406" i="13"/>
  <c r="J1399" i="15" s="1"/>
  <c r="D1033" i="13"/>
  <c r="F174" i="7"/>
  <c r="D1487" i="15"/>
  <c r="D1488" i="14"/>
  <c r="H1494" i="13"/>
  <c r="K1494" i="13"/>
  <c r="G1494" i="13"/>
  <c r="H953" i="15"/>
  <c r="I960" i="13"/>
  <c r="J953" i="15" s="1"/>
  <c r="H898" i="15"/>
  <c r="I905" i="13"/>
  <c r="J898" i="15" s="1"/>
  <c r="I1335" i="15"/>
  <c r="F1336" i="14"/>
  <c r="H1342" i="15"/>
  <c r="I1349" i="13"/>
  <c r="J1342" i="15" s="1"/>
  <c r="C582" i="6"/>
  <c r="J641" i="6"/>
  <c r="C581" i="6"/>
  <c r="C651" i="6"/>
  <c r="C583" i="6"/>
  <c r="C585" i="6"/>
  <c r="I540" i="15"/>
  <c r="F541" i="14"/>
  <c r="J371" i="15"/>
  <c r="I371" i="15"/>
  <c r="D1213" i="15"/>
  <c r="D1214" i="14"/>
  <c r="H1220" i="13"/>
  <c r="G1220" i="13"/>
  <c r="D492" i="13"/>
  <c r="BJ1484" i="5"/>
  <c r="D409" i="13" s="1"/>
  <c r="V1484" i="5"/>
  <c r="BL1484" i="5" s="1"/>
  <c r="T1486" i="5"/>
  <c r="D533" i="13"/>
  <c r="AR1453" i="5"/>
  <c r="D450" i="13" s="1"/>
  <c r="AA1471" i="5"/>
  <c r="AT1453" i="5" s="1"/>
  <c r="D1527" i="13"/>
  <c r="E389" i="9"/>
  <c r="D1605" i="13"/>
  <c r="L434" i="9"/>
  <c r="D1561" i="13"/>
  <c r="E441" i="9"/>
  <c r="D1582" i="13"/>
  <c r="E462" i="9"/>
  <c r="E25" i="10"/>
  <c r="E190" i="5"/>
  <c r="F189" i="5"/>
  <c r="F25" i="10" s="1"/>
  <c r="D812" i="15"/>
  <c r="D813" i="14"/>
  <c r="H819" i="13"/>
  <c r="G819" i="13"/>
  <c r="H851" i="15"/>
  <c r="I858" i="13"/>
  <c r="J851" i="15" s="1"/>
  <c r="H1234" i="15"/>
  <c r="I1241" i="13"/>
  <c r="J1234" i="15" s="1"/>
  <c r="I1388" i="15"/>
  <c r="F1389" i="14"/>
  <c r="D1396" i="15"/>
  <c r="D1397" i="14"/>
  <c r="H1403" i="13"/>
  <c r="G1403" i="13"/>
  <c r="D1546" i="13"/>
  <c r="L362" i="9"/>
  <c r="H1203" i="15"/>
  <c r="I1210" i="13"/>
  <c r="J1203" i="15" s="1"/>
  <c r="I299" i="15"/>
  <c r="F300" i="14"/>
  <c r="I1053" i="15"/>
  <c r="F1054" i="14"/>
  <c r="D1353" i="15"/>
  <c r="D1354" i="14"/>
  <c r="K1360" i="13"/>
  <c r="H1360" i="13"/>
  <c r="G1360" i="13"/>
  <c r="H1011" i="15"/>
  <c r="I1018" i="13"/>
  <c r="J1011" i="15" s="1"/>
  <c r="H1765" i="15"/>
  <c r="I1772" i="13"/>
  <c r="J1765" i="15" s="1"/>
  <c r="H507" i="15"/>
  <c r="I75" i="15"/>
  <c r="F76" i="14"/>
  <c r="H87" i="13"/>
  <c r="I87" i="15" s="1"/>
  <c r="D889" i="15"/>
  <c r="D890" i="14"/>
  <c r="H896" i="13"/>
  <c r="G896" i="13"/>
  <c r="I431" i="13"/>
  <c r="G661" i="5"/>
  <c r="H235" i="10" s="1"/>
  <c r="G235" i="10"/>
  <c r="D2044" i="15"/>
  <c r="D2045" i="14"/>
  <c r="H2051" i="13"/>
  <c r="K2051" i="13"/>
  <c r="G2051" i="13"/>
  <c r="H287" i="15"/>
  <c r="I287" i="13"/>
  <c r="J287" i="15" s="1"/>
  <c r="G301" i="13"/>
  <c r="I63" i="15"/>
  <c r="F64" i="14"/>
  <c r="D2201" i="13"/>
  <c r="L649" i="6"/>
  <c r="B2015" i="5"/>
  <c r="D1027" i="15"/>
  <c r="D1028" i="14"/>
  <c r="K1034" i="13"/>
  <c r="G1034" i="13"/>
  <c r="H1034" i="13"/>
  <c r="D539" i="15"/>
  <c r="D540" i="14"/>
  <c r="H546" i="13"/>
  <c r="K546" i="13"/>
  <c r="G546" i="13"/>
  <c r="D269" i="13"/>
  <c r="E489" i="8"/>
  <c r="D530" i="13"/>
  <c r="AA1468" i="5"/>
  <c r="AT1450" i="5" s="1"/>
  <c r="AR1450" i="5"/>
  <c r="D447" i="13" s="1"/>
  <c r="I498" i="13"/>
  <c r="E565" i="10"/>
  <c r="G565" i="10" s="1"/>
  <c r="E962" i="5"/>
  <c r="G961" i="5"/>
  <c r="H565" i="10" s="1"/>
  <c r="D976" i="13"/>
  <c r="F115" i="7"/>
  <c r="D2049" i="15"/>
  <c r="D2050" i="14"/>
  <c r="H2056" i="13"/>
  <c r="K2056" i="13"/>
  <c r="G2056" i="13"/>
  <c r="H788" i="15"/>
  <c r="I795" i="13"/>
  <c r="J788" i="15" s="1"/>
  <c r="H837" i="15"/>
  <c r="I844" i="13"/>
  <c r="J837" i="15" s="1"/>
  <c r="D1379" i="15"/>
  <c r="D1380" i="14"/>
  <c r="K1386" i="13"/>
  <c r="H1386" i="13"/>
  <c r="G1386" i="13"/>
  <c r="D933" i="13"/>
  <c r="D75" i="7"/>
  <c r="F70" i="7"/>
  <c r="D74" i="7"/>
  <c r="D73" i="7"/>
  <c r="I580" i="15"/>
  <c r="F581" i="14"/>
  <c r="E670" i="10"/>
  <c r="G670" i="10" s="1"/>
  <c r="E566" i="5"/>
  <c r="G565" i="5"/>
  <c r="H670" i="10" s="1"/>
  <c r="D806" i="13"/>
  <c r="E1951" i="5"/>
  <c r="E1966" i="5" s="1"/>
  <c r="B1967" i="5" s="1"/>
  <c r="B1969" i="5" s="1"/>
  <c r="H2060" i="15"/>
  <c r="I2067" i="13"/>
  <c r="J2060" i="15" s="1"/>
  <c r="D639" i="15"/>
  <c r="D640" i="14"/>
  <c r="K646" i="13"/>
  <c r="H646" i="13"/>
  <c r="G646" i="13"/>
  <c r="E728" i="10"/>
  <c r="G728" i="10" s="1"/>
  <c r="E1045" i="5"/>
  <c r="G1044" i="5"/>
  <c r="H728" i="10" s="1"/>
  <c r="I43" i="15"/>
  <c r="F44" i="14"/>
  <c r="D222" i="15"/>
  <c r="D223" i="14"/>
  <c r="H222" i="13"/>
  <c r="K222" i="13"/>
  <c r="G222" i="13"/>
  <c r="D186" i="15"/>
  <c r="D187" i="14"/>
  <c r="K186" i="13"/>
  <c r="H186" i="13"/>
  <c r="G186" i="13"/>
  <c r="I309" i="15"/>
  <c r="F310" i="14"/>
  <c r="H1009" i="15"/>
  <c r="I1016" i="13"/>
  <c r="J1009" i="15" s="1"/>
  <c r="H1784" i="15"/>
  <c r="I1791" i="13"/>
  <c r="J1784" i="15" s="1"/>
  <c r="D2051" i="15"/>
  <c r="D2052" i="14"/>
  <c r="H2058" i="13"/>
  <c r="K2058" i="13"/>
  <c r="G2058" i="13"/>
  <c r="D958" i="13"/>
  <c r="F95" i="7"/>
  <c r="D318" i="15"/>
  <c r="D319" i="14"/>
  <c r="K318" i="13"/>
  <c r="H318" i="13"/>
  <c r="G318" i="13"/>
  <c r="I1197" i="15"/>
  <c r="F1198" i="14"/>
  <c r="I33" i="15"/>
  <c r="I767" i="15"/>
  <c r="F768" i="14"/>
  <c r="E686" i="10"/>
  <c r="G686" i="10" s="1"/>
  <c r="E582" i="5"/>
  <c r="G581" i="5"/>
  <c r="H686" i="10" s="1"/>
  <c r="I1766" i="15"/>
  <c r="F1767" i="14"/>
  <c r="I1796" i="15"/>
  <c r="F1797" i="14"/>
  <c r="E605" i="10"/>
  <c r="G605" i="10" s="1"/>
  <c r="E541" i="5"/>
  <c r="G540" i="5"/>
  <c r="H605" i="10" s="1"/>
  <c r="D1501" i="15"/>
  <c r="D1502" i="14"/>
  <c r="K1508" i="13"/>
  <c r="H1508" i="13"/>
  <c r="G1508" i="13"/>
  <c r="D1593" i="15"/>
  <c r="D1594" i="14"/>
  <c r="K1600" i="13"/>
  <c r="H1600" i="13"/>
  <c r="G1600" i="13"/>
  <c r="D1602" i="15"/>
  <c r="D1603" i="14"/>
  <c r="H1609" i="13"/>
  <c r="G1609" i="13"/>
  <c r="D1550" i="15"/>
  <c r="D1551" i="14"/>
  <c r="K1557" i="13"/>
  <c r="H1557" i="13"/>
  <c r="G1557" i="13"/>
  <c r="H888" i="15"/>
  <c r="I895" i="13"/>
  <c r="J888" i="15" s="1"/>
  <c r="H1365" i="15"/>
  <c r="I1372" i="13"/>
  <c r="J1365" i="15" s="1"/>
  <c r="D1688" i="13"/>
  <c r="E216" i="4"/>
  <c r="D1686" i="13"/>
  <c r="E214" i="4"/>
  <c r="D1704" i="13"/>
  <c r="E233" i="4"/>
  <c r="D1735" i="13"/>
  <c r="L214" i="4"/>
  <c r="H1906" i="15"/>
  <c r="F1907" i="14"/>
  <c r="I1913" i="13"/>
  <c r="J1906" i="15" s="1"/>
  <c r="D1488" i="15"/>
  <c r="D1489" i="14"/>
  <c r="H1495" i="13"/>
  <c r="K1495" i="13"/>
  <c r="G1495" i="13"/>
  <c r="H1339" i="15"/>
  <c r="I1346" i="13"/>
  <c r="J1339" i="15" s="1"/>
  <c r="I778" i="15"/>
  <c r="F779" i="14"/>
  <c r="D325" i="15"/>
  <c r="D326" i="14"/>
  <c r="H325" i="13"/>
  <c r="G325" i="13"/>
  <c r="D592" i="15"/>
  <c r="D593" i="14"/>
  <c r="H599" i="13"/>
  <c r="G599" i="13"/>
  <c r="D543" i="15"/>
  <c r="D544" i="14"/>
  <c r="H550" i="13"/>
  <c r="K550" i="13"/>
  <c r="G550" i="13"/>
  <c r="D901" i="15"/>
  <c r="D902" i="14"/>
  <c r="H908" i="13"/>
  <c r="G908" i="13"/>
  <c r="K908" i="13"/>
  <c r="I1050" i="15"/>
  <c r="F1051" i="14"/>
  <c r="D967" i="15"/>
  <c r="D968" i="14"/>
  <c r="K974" i="13"/>
  <c r="H974" i="13"/>
  <c r="G974" i="13"/>
  <c r="D2150" i="13"/>
  <c r="E675" i="6"/>
  <c r="H760" i="15"/>
  <c r="I767" i="13"/>
  <c r="J760" i="15" s="1"/>
  <c r="D1597" i="13"/>
  <c r="E477" i="9"/>
  <c r="H828" i="15"/>
  <c r="I835" i="13"/>
  <c r="J828" i="15" s="1"/>
  <c r="I815" i="15"/>
  <c r="F816" i="14"/>
  <c r="D1370" i="15"/>
  <c r="D1371" i="14"/>
  <c r="K1377" i="13"/>
  <c r="H1377" i="13"/>
  <c r="G1377" i="13"/>
  <c r="D1358" i="15"/>
  <c r="D1359" i="14"/>
  <c r="K1365" i="13"/>
  <c r="H1365" i="13"/>
  <c r="G1365" i="13"/>
  <c r="I1347" i="15"/>
  <c r="F1348" i="14"/>
  <c r="I1752" i="15"/>
  <c r="F1753" i="14"/>
  <c r="D1805" i="15"/>
  <c r="D1806" i="14"/>
  <c r="H1812" i="13"/>
  <c r="G1812" i="13"/>
  <c r="H1719" i="15"/>
  <c r="I1726" i="13"/>
  <c r="J1719" i="15" s="1"/>
  <c r="H1783" i="15"/>
  <c r="I1790" i="13"/>
  <c r="J1783" i="15" s="1"/>
  <c r="H1716" i="15"/>
  <c r="I1723" i="13"/>
  <c r="J1716" i="15" s="1"/>
  <c r="H140" i="13"/>
  <c r="I140" i="15" s="1"/>
  <c r="D248" i="13"/>
  <c r="L420" i="8"/>
  <c r="D185" i="15"/>
  <c r="D186" i="14"/>
  <c r="K185" i="13"/>
  <c r="H185" i="13"/>
  <c r="G185" i="13"/>
  <c r="D179" i="15"/>
  <c r="D180" i="14"/>
  <c r="K179" i="13"/>
  <c r="H179" i="13"/>
  <c r="G179" i="13"/>
  <c r="I218" i="15"/>
  <c r="F219" i="14"/>
  <c r="D1786" i="15"/>
  <c r="D1787" i="14"/>
  <c r="H1793" i="13"/>
  <c r="K1793" i="13"/>
  <c r="G1793" i="13"/>
  <c r="D2130" i="15"/>
  <c r="D2131" i="14"/>
  <c r="K2137" i="13"/>
  <c r="H2137" i="13"/>
  <c r="G2137" i="13"/>
  <c r="D1043" i="13"/>
  <c r="F184" i="7"/>
  <c r="I1230" i="15"/>
  <c r="F1231" i="14"/>
  <c r="D903" i="15"/>
  <c r="D904" i="14"/>
  <c r="H910" i="13"/>
  <c r="G910" i="13"/>
  <c r="K910" i="13"/>
  <c r="D1199" i="15"/>
  <c r="D1200" i="14"/>
  <c r="H1206" i="13"/>
  <c r="G1206" i="13"/>
  <c r="H278" i="15"/>
  <c r="I278" i="13"/>
  <c r="J278" i="15" s="1"/>
  <c r="D1015" i="13"/>
  <c r="F154" i="7"/>
  <c r="I2147" i="15"/>
  <c r="F2148" i="14"/>
  <c r="D1022" i="15"/>
  <c r="D1023" i="14"/>
  <c r="K1029" i="13"/>
  <c r="G1029" i="13"/>
  <c r="H1029" i="13"/>
  <c r="I1381" i="15"/>
  <c r="F1382" i="14"/>
  <c r="D1537" i="13"/>
  <c r="L353" i="9"/>
  <c r="D1514" i="15"/>
  <c r="D1515" i="14"/>
  <c r="K1521" i="13"/>
  <c r="H1521" i="13"/>
  <c r="G1521" i="13"/>
  <c r="D1596" i="15"/>
  <c r="D1597" i="14"/>
  <c r="H1603" i="13"/>
  <c r="G1603" i="13"/>
  <c r="D271" i="15"/>
  <c r="D272" i="14"/>
  <c r="H271" i="13"/>
  <c r="K271" i="13"/>
  <c r="G271" i="13"/>
  <c r="H1343" i="15"/>
  <c r="I1350" i="13"/>
  <c r="J1343" i="15" s="1"/>
  <c r="H1394" i="15"/>
  <c r="I1401" i="13"/>
  <c r="J1394" i="15" s="1"/>
  <c r="H2087" i="15"/>
  <c r="I2094" i="13"/>
  <c r="J2087" i="15" s="1"/>
  <c r="H62" i="15"/>
  <c r="I62" i="13"/>
  <c r="J62" i="15" s="1"/>
  <c r="D1495" i="15"/>
  <c r="D1496" i="14"/>
  <c r="K1502" i="13"/>
  <c r="H1502" i="13"/>
  <c r="G1502" i="13"/>
  <c r="D1485" i="15"/>
  <c r="D1486" i="14"/>
  <c r="H1492" i="13"/>
  <c r="K1492" i="13"/>
  <c r="G1492" i="13"/>
  <c r="D929" i="13"/>
  <c r="F66" i="7"/>
  <c r="I1392" i="15"/>
  <c r="F1393" i="14"/>
  <c r="I593" i="15"/>
  <c r="F594" i="14"/>
  <c r="H2203" i="15"/>
  <c r="I2210" i="13"/>
  <c r="J2203" i="15" s="1"/>
  <c r="D2092" i="13"/>
  <c r="L529" i="6"/>
  <c r="H861" i="15"/>
  <c r="I868" i="13"/>
  <c r="J861" i="15" s="1"/>
  <c r="H1803" i="15"/>
  <c r="I1810" i="13"/>
  <c r="J1803" i="15" s="1"/>
  <c r="D183" i="13"/>
  <c r="C417" i="8"/>
  <c r="D223" i="13" s="1"/>
  <c r="E350" i="8"/>
  <c r="E417" i="8" s="1"/>
  <c r="D980" i="15"/>
  <c r="D981" i="14"/>
  <c r="K987" i="13"/>
  <c r="G987" i="13"/>
  <c r="H987" i="13"/>
  <c r="I1806" i="15"/>
  <c r="F1807" i="14"/>
  <c r="P113" i="4"/>
  <c r="P112" i="4"/>
  <c r="D2081" i="15"/>
  <c r="D2082" i="14"/>
  <c r="H2088" i="13"/>
  <c r="G2088" i="13"/>
  <c r="H1334" i="15"/>
  <c r="I1341" i="13"/>
  <c r="J1334" i="15" s="1"/>
  <c r="D914" i="15"/>
  <c r="D915" i="14"/>
  <c r="K921" i="13"/>
  <c r="G921" i="13"/>
  <c r="H921" i="13"/>
  <c r="H1793" i="15"/>
  <c r="I1800" i="13"/>
  <c r="J1793" i="15" s="1"/>
  <c r="H44" i="15"/>
  <c r="I44" i="13"/>
  <c r="J44" i="15" s="1"/>
  <c r="D973" i="13"/>
  <c r="F112" i="7"/>
  <c r="H955" i="15"/>
  <c r="I962" i="13"/>
  <c r="J955" i="15" s="1"/>
  <c r="H1390" i="15"/>
  <c r="I1397" i="13"/>
  <c r="J1390" i="15" s="1"/>
  <c r="H1346" i="15"/>
  <c r="I1353" i="13"/>
  <c r="J1346" i="15" s="1"/>
  <c r="D907" i="15"/>
  <c r="D908" i="14"/>
  <c r="H914" i="13"/>
  <c r="G914" i="13"/>
  <c r="K914" i="13"/>
  <c r="D902" i="15"/>
  <c r="D903" i="14"/>
  <c r="H909" i="13"/>
  <c r="G909" i="13"/>
  <c r="K909" i="13"/>
  <c r="I1399" i="15"/>
  <c r="F1400" i="14"/>
  <c r="D1025" i="15"/>
  <c r="D1026" i="14"/>
  <c r="K1032" i="13"/>
  <c r="G1032" i="13"/>
  <c r="H1032" i="13"/>
  <c r="E630" i="10"/>
  <c r="G630" i="10" s="1"/>
  <c r="E987" i="5"/>
  <c r="G986" i="5"/>
  <c r="H630" i="10" s="1"/>
  <c r="D320" i="13"/>
  <c r="E1410" i="5"/>
  <c r="E1417" i="5" s="1"/>
  <c r="B1418" i="5" s="1"/>
  <c r="D1404" i="13"/>
  <c r="K663" i="9"/>
  <c r="I898" i="15"/>
  <c r="F899" i="14"/>
  <c r="I1342" i="15"/>
  <c r="F1343" i="14"/>
  <c r="D1544" i="15"/>
  <c r="D1545" i="14"/>
  <c r="K1551" i="13"/>
  <c r="H1551" i="13"/>
  <c r="G1551" i="13"/>
  <c r="D267" i="15"/>
  <c r="D268" i="14"/>
  <c r="H267" i="13"/>
  <c r="K267" i="13"/>
  <c r="G267" i="13"/>
  <c r="J650" i="6"/>
  <c r="C667" i="6"/>
  <c r="D534" i="13"/>
  <c r="AR1454" i="5"/>
  <c r="D451" i="13" s="1"/>
  <c r="H2096" i="15"/>
  <c r="I2103" i="13"/>
  <c r="J2096" i="15" s="1"/>
  <c r="D1480" i="15"/>
  <c r="D1481" i="14"/>
  <c r="H1487" i="13"/>
  <c r="K1487" i="13"/>
  <c r="G1487" i="13"/>
  <c r="D1603" i="15"/>
  <c r="D1604" i="14"/>
  <c r="H1610" i="13"/>
  <c r="G1610" i="13"/>
  <c r="D1608" i="13"/>
  <c r="L437" i="9"/>
  <c r="D1558" i="13"/>
  <c r="E438" i="9"/>
  <c r="D1559" i="13"/>
  <c r="E439" i="9"/>
  <c r="H1438" i="15"/>
  <c r="I1445" i="13"/>
  <c r="J1438" i="15" s="1"/>
  <c r="I851" i="15"/>
  <c r="F852" i="14"/>
  <c r="I1234" i="15"/>
  <c r="F1235" i="14"/>
  <c r="H1360" i="15"/>
  <c r="I1367" i="13"/>
  <c r="J1360" i="15" s="1"/>
  <c r="D1498" i="15"/>
  <c r="D1499" i="14"/>
  <c r="K1505" i="13"/>
  <c r="H1505" i="13"/>
  <c r="G1505" i="13"/>
  <c r="D1486" i="15"/>
  <c r="D1487" i="14"/>
  <c r="H1493" i="13"/>
  <c r="K1493" i="13"/>
  <c r="G1493" i="13"/>
  <c r="I1203" i="15"/>
  <c r="F1204" i="14"/>
  <c r="H299" i="15"/>
  <c r="I299" i="13"/>
  <c r="J299" i="15" s="1"/>
  <c r="D661" i="13"/>
  <c r="S1619" i="5"/>
  <c r="H2057" i="15"/>
  <c r="I2064" i="13"/>
  <c r="J2057" i="15" s="1"/>
  <c r="E712" i="10"/>
  <c r="G712" i="10" s="1"/>
  <c r="E1029" i="5"/>
  <c r="G1028" i="5"/>
  <c r="H712" i="10" s="1"/>
  <c r="H58" i="15"/>
  <c r="I58" i="13"/>
  <c r="J58" i="15" s="1"/>
  <c r="H234" i="10"/>
  <c r="D879" i="13"/>
  <c r="E1889" i="5"/>
  <c r="C1890" i="5"/>
  <c r="H549" i="15"/>
  <c r="I556" i="13"/>
  <c r="J549" i="15" s="1"/>
  <c r="I1774" i="15"/>
  <c r="F1775" i="14"/>
  <c r="H1345" i="15"/>
  <c r="I1352" i="13"/>
  <c r="J1345" i="15" s="1"/>
  <c r="D203" i="15"/>
  <c r="D204" i="14"/>
  <c r="H203" i="13"/>
  <c r="G203" i="13"/>
  <c r="D762" i="15"/>
  <c r="D763" i="14"/>
  <c r="K769" i="13"/>
  <c r="H769" i="13"/>
  <c r="G769" i="13"/>
  <c r="H59" i="15"/>
  <c r="I59" i="13"/>
  <c r="J59" i="15" s="1"/>
  <c r="H1349" i="15"/>
  <c r="I1356" i="13"/>
  <c r="J1349" i="15" s="1"/>
  <c r="D1522" i="15"/>
  <c r="D1523" i="14"/>
  <c r="K1529" i="13"/>
  <c r="H1529" i="13"/>
  <c r="G1529" i="13"/>
  <c r="D543" i="13"/>
  <c r="F750" i="10"/>
  <c r="F786" i="10" s="1"/>
  <c r="S1541" i="5"/>
  <c r="C1539" i="5"/>
  <c r="G1531" i="5"/>
  <c r="J1531" i="5"/>
  <c r="H1389" i="15"/>
  <c r="I1396" i="13"/>
  <c r="J1389" i="15" s="1"/>
  <c r="D369" i="13"/>
  <c r="P1475" i="5"/>
  <c r="AM1475" i="5"/>
  <c r="D531" i="13"/>
  <c r="AA1469" i="5"/>
  <c r="AT1451" i="5" s="1"/>
  <c r="AR1451" i="5"/>
  <c r="D448" i="13" s="1"/>
  <c r="H725" i="15"/>
  <c r="I732" i="13"/>
  <c r="J725" i="15" s="1"/>
  <c r="I1068" i="15"/>
  <c r="F1069" i="14"/>
  <c r="D701" i="13"/>
  <c r="J1730" i="5"/>
  <c r="N1700" i="5"/>
  <c r="D923" i="15"/>
  <c r="D924" i="14"/>
  <c r="K930" i="13"/>
  <c r="H930" i="13"/>
  <c r="G930" i="13"/>
  <c r="H324" i="15"/>
  <c r="I324" i="13"/>
  <c r="J324" i="15" s="1"/>
  <c r="I1038" i="15"/>
  <c r="F1039" i="14"/>
  <c r="H2056" i="15"/>
  <c r="I2063" i="13"/>
  <c r="J2056" i="15" s="1"/>
  <c r="H1357" i="15"/>
  <c r="I1364" i="13"/>
  <c r="J1357" i="15" s="1"/>
  <c r="H747" i="15"/>
  <c r="F748" i="14"/>
  <c r="I754" i="13"/>
  <c r="J747" i="15" s="1"/>
  <c r="I2060" i="15"/>
  <c r="F2061" i="14"/>
  <c r="H800" i="15"/>
  <c r="I807" i="13"/>
  <c r="J800" i="15" s="1"/>
  <c r="D234" i="15"/>
  <c r="D235" i="14"/>
  <c r="H234" i="13"/>
  <c r="K234" i="13"/>
  <c r="G234" i="13"/>
  <c r="D182" i="15"/>
  <c r="D183" i="14"/>
  <c r="K182" i="13"/>
  <c r="H182" i="13"/>
  <c r="G182" i="13"/>
  <c r="D992" i="13"/>
  <c r="F131" i="7"/>
  <c r="H1747" i="15"/>
  <c r="I1754" i="13"/>
  <c r="J1747" i="15" s="1"/>
  <c r="G1797" i="13"/>
  <c r="H1436" i="15"/>
  <c r="I1443" i="13"/>
  <c r="J1436" i="15" s="1"/>
  <c r="D908" i="15"/>
  <c r="D909" i="14"/>
  <c r="K915" i="13"/>
  <c r="H915" i="13"/>
  <c r="G915" i="13"/>
  <c r="H761" i="15"/>
  <c r="I768" i="13"/>
  <c r="J761" i="15" s="1"/>
  <c r="H1218" i="15"/>
  <c r="I1225" i="13"/>
  <c r="J1218" i="15" s="1"/>
  <c r="D329" i="13"/>
  <c r="P1400" i="5"/>
  <c r="P1417" i="5" s="1"/>
  <c r="B1419" i="5" s="1"/>
  <c r="H1366" i="15"/>
  <c r="I1373" i="13"/>
  <c r="J1366" i="15" s="1"/>
  <c r="D1494" i="15"/>
  <c r="D1495" i="14"/>
  <c r="H1501" i="13"/>
  <c r="K1501" i="13"/>
  <c r="G1501" i="13"/>
  <c r="D1531" i="15"/>
  <c r="D1532" i="14"/>
  <c r="H1538" i="13"/>
  <c r="G1538" i="13"/>
  <c r="H1341" i="15"/>
  <c r="I1348" i="13"/>
  <c r="J1341" i="15" s="1"/>
  <c r="D1377" i="15"/>
  <c r="D1378" i="14"/>
  <c r="K1384" i="13"/>
  <c r="H1384" i="13"/>
  <c r="G1384" i="13"/>
  <c r="D971" i="15"/>
  <c r="D972" i="14"/>
  <c r="K978" i="13"/>
  <c r="H978" i="13"/>
  <c r="G978" i="13"/>
  <c r="D964" i="15"/>
  <c r="D965" i="14"/>
  <c r="H971" i="13"/>
  <c r="K971" i="13"/>
  <c r="G971" i="13"/>
  <c r="H1757" i="15"/>
  <c r="I1764" i="13"/>
  <c r="J1757" i="15" s="1"/>
  <c r="H849" i="15"/>
  <c r="I856" i="13"/>
  <c r="J849" i="15" s="1"/>
  <c r="G865" i="13"/>
  <c r="D791" i="15"/>
  <c r="D792" i="14"/>
  <c r="H798" i="13"/>
  <c r="K798" i="13"/>
  <c r="G798" i="13"/>
  <c r="I888" i="15"/>
  <c r="F889" i="14"/>
  <c r="I1365" i="15"/>
  <c r="F1366" i="14"/>
  <c r="I1437" i="15"/>
  <c r="F1438" i="14"/>
  <c r="D1732" i="13"/>
  <c r="L211" i="4"/>
  <c r="J215" i="4"/>
  <c r="J216" i="4"/>
  <c r="D1714" i="13"/>
  <c r="E243" i="4"/>
  <c r="D1708" i="13"/>
  <c r="C242" i="4"/>
  <c r="E237" i="4"/>
  <c r="D1687" i="13"/>
  <c r="E215" i="4"/>
  <c r="D1747" i="13"/>
  <c r="L227" i="4"/>
  <c r="H2238" i="15"/>
  <c r="F2239" i="14"/>
  <c r="I2245" i="13"/>
  <c r="J2238" i="15" s="1"/>
  <c r="D924" i="15"/>
  <c r="D925" i="14"/>
  <c r="K931" i="13"/>
  <c r="G931" i="13"/>
  <c r="H931" i="13"/>
  <c r="H1202" i="15"/>
  <c r="I1209" i="13"/>
  <c r="J1202" i="15" s="1"/>
  <c r="D700" i="13"/>
  <c r="J1729" i="5"/>
  <c r="I1339" i="15"/>
  <c r="F1340" i="14"/>
  <c r="H1386" i="15"/>
  <c r="I1393" i="13"/>
  <c r="J1386" i="15" s="1"/>
  <c r="C256" i="4"/>
  <c r="H1768" i="15"/>
  <c r="I1775" i="13"/>
  <c r="J1768" i="15" s="1"/>
  <c r="D2052" i="13"/>
  <c r="C539" i="6"/>
  <c r="E537" i="6"/>
  <c r="D541" i="15"/>
  <c r="D542" i="14"/>
  <c r="H548" i="13"/>
  <c r="K548" i="13"/>
  <c r="G548" i="13"/>
  <c r="D204" i="15"/>
  <c r="D205" i="14"/>
  <c r="H204" i="13"/>
  <c r="G204" i="13"/>
  <c r="E362" i="10"/>
  <c r="G362" i="10" s="1"/>
  <c r="E789" i="5"/>
  <c r="G788" i="5"/>
  <c r="H362" i="10" s="1"/>
  <c r="D316" i="15"/>
  <c r="D317" i="14"/>
  <c r="K316" i="13"/>
  <c r="H316" i="13"/>
  <c r="G316" i="13"/>
  <c r="D1545" i="15"/>
  <c r="D1546" i="14"/>
  <c r="K1552" i="13"/>
  <c r="H1552" i="13"/>
  <c r="G1552" i="13"/>
  <c r="D2208" i="13"/>
  <c r="L656" i="6"/>
  <c r="D2207" i="13"/>
  <c r="L655" i="6"/>
  <c r="I760" i="15"/>
  <c r="F761" i="14"/>
  <c r="D1549" i="15"/>
  <c r="D1550" i="14"/>
  <c r="K1556" i="13"/>
  <c r="H1556" i="13"/>
  <c r="G1556" i="13"/>
  <c r="I828" i="15"/>
  <c r="F829" i="14"/>
  <c r="I1070" i="15"/>
  <c r="F1071" i="14"/>
  <c r="I460" i="13"/>
  <c r="E644" i="10"/>
  <c r="G644" i="10" s="1"/>
  <c r="E1001" i="5"/>
  <c r="G1000" i="5"/>
  <c r="H644" i="10" s="1"/>
  <c r="H578" i="15"/>
  <c r="I585" i="13"/>
  <c r="J578" i="15" s="1"/>
  <c r="E156" i="10"/>
  <c r="G156" i="10" s="1"/>
  <c r="E321" i="5"/>
  <c r="G320" i="5"/>
  <c r="H183" i="10" s="1"/>
  <c r="I1717" i="15"/>
  <c r="F1718" i="14"/>
  <c r="H1385" i="15"/>
  <c r="I1392" i="13"/>
  <c r="J1385" i="15" s="1"/>
  <c r="H1400" i="15"/>
  <c r="I1407" i="13"/>
  <c r="J1400" i="15" s="1"/>
  <c r="H1363" i="15"/>
  <c r="I1370" i="13"/>
  <c r="J1363" i="15" s="1"/>
  <c r="D206" i="15"/>
  <c r="D207" i="14"/>
  <c r="H206" i="13"/>
  <c r="G206" i="13"/>
  <c r="E412" i="8"/>
  <c r="D981" i="15"/>
  <c r="D982" i="14"/>
  <c r="K988" i="13"/>
  <c r="H988" i="13"/>
  <c r="G988" i="13"/>
  <c r="D2139" i="13"/>
  <c r="E664" i="6"/>
  <c r="H1851" i="15"/>
  <c r="F1852" i="14"/>
  <c r="I1858" i="13"/>
  <c r="J1851" i="15" s="1"/>
  <c r="O167" i="4"/>
  <c r="O197" i="4" s="1"/>
  <c r="O162" i="4"/>
  <c r="D1694" i="13"/>
  <c r="E222" i="4"/>
  <c r="H2061" i="15"/>
  <c r="I2068" i="13"/>
  <c r="J2061" i="15" s="1"/>
  <c r="D1201" i="15"/>
  <c r="D1202" i="14"/>
  <c r="H1208" i="13"/>
  <c r="G1208" i="13"/>
  <c r="H1398" i="15"/>
  <c r="I1405" i="13"/>
  <c r="J1398" i="15" s="1"/>
  <c r="D1007" i="15"/>
  <c r="D1008" i="14"/>
  <c r="K1014" i="13"/>
  <c r="H1014" i="13"/>
  <c r="G1014" i="13"/>
  <c r="D1536" i="13"/>
  <c r="L352" i="9"/>
  <c r="D1534" i="13"/>
  <c r="L350" i="9"/>
  <c r="H249" i="15"/>
  <c r="I249" i="13"/>
  <c r="J249" i="15" s="1"/>
  <c r="H1387" i="15"/>
  <c r="I1394" i="13"/>
  <c r="J1387" i="15" s="1"/>
  <c r="H1378" i="15"/>
  <c r="I1385" i="13"/>
  <c r="J1378" i="15" s="1"/>
  <c r="D965" i="15"/>
  <c r="D966" i="14"/>
  <c r="K972" i="13"/>
  <c r="H972" i="13"/>
  <c r="G972" i="13"/>
  <c r="D959" i="15"/>
  <c r="D960" i="14"/>
  <c r="K966" i="13"/>
  <c r="G966" i="13"/>
  <c r="H966" i="13"/>
  <c r="I122" i="13"/>
  <c r="J122" i="15" s="1"/>
  <c r="I1343" i="15"/>
  <c r="F1344" i="14"/>
  <c r="I1394" i="15"/>
  <c r="F1395" i="14"/>
  <c r="D1493" i="15"/>
  <c r="D1494" i="14"/>
  <c r="H1500" i="13"/>
  <c r="K1500" i="13"/>
  <c r="G1500" i="13"/>
  <c r="D1565" i="15"/>
  <c r="D1566" i="14"/>
  <c r="K1572" i="13"/>
  <c r="H1572" i="13"/>
  <c r="G1572" i="13"/>
  <c r="D1610" i="15"/>
  <c r="D1611" i="14"/>
  <c r="H1617" i="13"/>
  <c r="G1617" i="13"/>
  <c r="I2087" i="15"/>
  <c r="F2088" i="14"/>
  <c r="I581" i="15"/>
  <c r="F582" i="14"/>
  <c r="I62" i="15"/>
  <c r="F63" i="14"/>
  <c r="H2058" i="15"/>
  <c r="I2065" i="13"/>
  <c r="J2058" i="15" s="1"/>
  <c r="H1356" i="15"/>
  <c r="I1363" i="13"/>
  <c r="J1356" i="15" s="1"/>
  <c r="H1332" i="15"/>
  <c r="I1339" i="13"/>
  <c r="J1332" i="15" s="1"/>
  <c r="D595" i="15"/>
  <c r="D596" i="14"/>
  <c r="H602" i="13"/>
  <c r="G602" i="13"/>
  <c r="I276" i="15"/>
  <c r="F277" i="14"/>
  <c r="H61" i="15"/>
  <c r="I61" i="13"/>
  <c r="J61" i="15" s="1"/>
  <c r="D542" i="15"/>
  <c r="D543" i="14"/>
  <c r="H549" i="13"/>
  <c r="K549" i="13"/>
  <c r="G549" i="13"/>
  <c r="I2203" i="15"/>
  <c r="F2204" i="14"/>
  <c r="D2053" i="13"/>
  <c r="E538" i="6"/>
  <c r="C540" i="6"/>
  <c r="D893" i="13"/>
  <c r="O1878" i="5"/>
  <c r="O1905" i="5" s="1"/>
  <c r="B1907" i="5" s="1"/>
  <c r="D698" i="13"/>
  <c r="J1727" i="5"/>
  <c r="I1803" i="15"/>
  <c r="F1804" i="14"/>
  <c r="D244" i="13"/>
  <c r="L416" i="8"/>
  <c r="D990" i="13"/>
  <c r="D134" i="7"/>
  <c r="D133" i="7"/>
  <c r="F129" i="7"/>
  <c r="D1074" i="13"/>
  <c r="F215" i="7"/>
  <c r="I1334" i="15"/>
  <c r="F1335" i="14"/>
  <c r="I1793" i="15"/>
  <c r="F1794" i="14"/>
  <c r="I44" i="15"/>
  <c r="F45" i="14"/>
  <c r="D1226" i="15"/>
  <c r="D1227" i="14"/>
  <c r="H1233" i="13"/>
  <c r="G1233" i="13"/>
  <c r="J454" i="15"/>
  <c r="I454" i="15"/>
  <c r="D1212" i="15"/>
  <c r="D1213" i="14"/>
  <c r="H1219" i="13"/>
  <c r="G1219" i="13"/>
  <c r="I1785" i="15"/>
  <c r="F1786" i="14"/>
  <c r="D2059" i="15"/>
  <c r="D2060" i="14"/>
  <c r="K2066" i="13"/>
  <c r="H2066" i="13"/>
  <c r="G2066" i="13"/>
  <c r="D1483" i="15"/>
  <c r="D1484" i="14"/>
  <c r="H1490" i="13"/>
  <c r="K1490" i="13"/>
  <c r="G1490" i="13"/>
  <c r="I1390" i="15"/>
  <c r="F1391" i="14"/>
  <c r="I1346" i="15"/>
  <c r="F1347" i="14"/>
  <c r="H1466" i="15"/>
  <c r="I1473" i="13"/>
  <c r="J1466" i="15" s="1"/>
  <c r="H2055" i="15"/>
  <c r="I2062" i="13"/>
  <c r="J2055" i="15" s="1"/>
  <c r="D865" i="15"/>
  <c r="D866" i="14"/>
  <c r="H872" i="13"/>
  <c r="K872" i="13"/>
  <c r="G872" i="13"/>
  <c r="I1799" i="15"/>
  <c r="F1800" i="14"/>
  <c r="I1077" i="15"/>
  <c r="F1078" i="14"/>
  <c r="D1395" i="15"/>
  <c r="D1396" i="14"/>
  <c r="H1402" i="13"/>
  <c r="G1402" i="13"/>
  <c r="H717" i="15"/>
  <c r="I724" i="13"/>
  <c r="J717" i="15" s="1"/>
  <c r="H579" i="15"/>
  <c r="I586" i="13"/>
  <c r="J579" i="15" s="1"/>
  <c r="H1676" i="15"/>
  <c r="I1683" i="13"/>
  <c r="J1676" i="15" s="1"/>
  <c r="D241" i="13"/>
  <c r="L412" i="8"/>
  <c r="I1749" i="15"/>
  <c r="F1750" i="14"/>
  <c r="H1333" i="15"/>
  <c r="I1340" i="13"/>
  <c r="J1333" i="15" s="1"/>
  <c r="I1069" i="15"/>
  <c r="F1070" i="14"/>
  <c r="H952" i="15"/>
  <c r="I959" i="13"/>
  <c r="J952" i="15" s="1"/>
  <c r="H1718" i="15"/>
  <c r="I1725" i="13"/>
  <c r="J1718" i="15" s="1"/>
  <c r="H1373" i="15"/>
  <c r="I1380" i="13"/>
  <c r="J1373" i="15" s="1"/>
  <c r="H1465" i="15"/>
  <c r="I1472" i="13"/>
  <c r="J1465" i="15" s="1"/>
  <c r="H317" i="15"/>
  <c r="I317" i="13"/>
  <c r="J317" i="15" s="1"/>
  <c r="D220" i="15"/>
  <c r="D221" i="14"/>
  <c r="H220" i="13"/>
  <c r="K220" i="13"/>
  <c r="G220" i="13"/>
  <c r="H217" i="15"/>
  <c r="I217" i="13"/>
  <c r="J217" i="15" s="1"/>
  <c r="H1205" i="15"/>
  <c r="I1212" i="13"/>
  <c r="J1205" i="15" s="1"/>
  <c r="M161" i="4"/>
  <c r="M160" i="4"/>
  <c r="D1798" i="15"/>
  <c r="D1799" i="14"/>
  <c r="H1805" i="13"/>
  <c r="G1805" i="13"/>
  <c r="D1024" i="15"/>
  <c r="D1025" i="14"/>
  <c r="K1031" i="13"/>
  <c r="G1031" i="13"/>
  <c r="H1031" i="13"/>
  <c r="D1367" i="15"/>
  <c r="D1368" i="14"/>
  <c r="K1374" i="13"/>
  <c r="H1374" i="13"/>
  <c r="G1374" i="13"/>
  <c r="D1521" i="15"/>
  <c r="D1522" i="14"/>
  <c r="K1528" i="13"/>
  <c r="H1528" i="13"/>
  <c r="G1528" i="13"/>
  <c r="D775" i="15"/>
  <c r="D776" i="14"/>
  <c r="H782" i="13"/>
  <c r="G782" i="13"/>
  <c r="C590" i="6"/>
  <c r="C671" i="6" s="1"/>
  <c r="J653" i="6"/>
  <c r="C670" i="6"/>
  <c r="C669" i="6"/>
  <c r="J652" i="6"/>
  <c r="H540" i="15"/>
  <c r="I547" i="13"/>
  <c r="J540" i="15" s="1"/>
  <c r="H1010" i="15"/>
  <c r="I1017" i="13"/>
  <c r="J1010" i="15" s="1"/>
  <c r="D958" i="15"/>
  <c r="D959" i="14"/>
  <c r="K965" i="13"/>
  <c r="G965" i="13"/>
  <c r="H965" i="13"/>
  <c r="D970" i="15"/>
  <c r="D971" i="14"/>
  <c r="K977" i="13"/>
  <c r="H977" i="13"/>
  <c r="G977" i="13"/>
  <c r="D532" i="13"/>
  <c r="AR1452" i="5"/>
  <c r="D449" i="13" s="1"/>
  <c r="AA1470" i="5"/>
  <c r="AT1452" i="5" s="1"/>
  <c r="D371" i="13"/>
  <c r="AM1477" i="5"/>
  <c r="P1477" i="5"/>
  <c r="AO1477" i="5" s="1"/>
  <c r="AT1445" i="5" s="1"/>
  <c r="H90" i="15"/>
  <c r="I90" i="13"/>
  <c r="J90" i="15" s="1"/>
  <c r="G98" i="13"/>
  <c r="H805" i="15"/>
  <c r="I812" i="13"/>
  <c r="J805" i="15" s="1"/>
  <c r="D1607" i="13"/>
  <c r="L436" i="9"/>
  <c r="D1606" i="13"/>
  <c r="L435" i="9"/>
  <c r="D1565" i="13"/>
  <c r="E445" i="9"/>
  <c r="D1583" i="13"/>
  <c r="E463" i="9"/>
  <c r="G24" i="10"/>
  <c r="H1340" i="15"/>
  <c r="I1347" i="13"/>
  <c r="J1340" i="15" s="1"/>
  <c r="H1210" i="15"/>
  <c r="I1217" i="13"/>
  <c r="J1210" i="15" s="1"/>
  <c r="H1795" i="15"/>
  <c r="I1802" i="13"/>
  <c r="J1795" i="15" s="1"/>
  <c r="I377" i="13"/>
  <c r="I1360" i="15"/>
  <c r="F1361" i="14"/>
  <c r="H130" i="15"/>
  <c r="I130" i="13"/>
  <c r="J130" i="15" s="1"/>
  <c r="D594" i="15"/>
  <c r="D595" i="14"/>
  <c r="H601" i="13"/>
  <c r="G601" i="13"/>
  <c r="I2057" i="15"/>
  <c r="F2058" i="14"/>
  <c r="I58" i="15"/>
  <c r="F59" i="14"/>
  <c r="I1765" i="15"/>
  <c r="F1766" i="14"/>
  <c r="D1773" i="15"/>
  <c r="D1774" i="14"/>
  <c r="H1780" i="13"/>
  <c r="K1780" i="13"/>
  <c r="G1780" i="13"/>
  <c r="D2060" i="13"/>
  <c r="E545" i="6"/>
  <c r="E236" i="10"/>
  <c r="E697" i="5"/>
  <c r="E663" i="5"/>
  <c r="F662" i="5"/>
  <c r="F236" i="10" s="1"/>
  <c r="D862" i="15"/>
  <c r="D863" i="14"/>
  <c r="H869" i="13"/>
  <c r="K869" i="13"/>
  <c r="G869" i="13"/>
  <c r="I1345" i="15"/>
  <c r="F1346" i="14"/>
  <c r="D2200" i="13"/>
  <c r="L648" i="6"/>
  <c r="I59" i="15"/>
  <c r="F60" i="14"/>
  <c r="I1349" i="15"/>
  <c r="F1350" i="14"/>
  <c r="I1389" i="15"/>
  <c r="F1390" i="14"/>
  <c r="D487" i="13"/>
  <c r="V1479" i="5"/>
  <c r="BL1479" i="5" s="1"/>
  <c r="T1481" i="5"/>
  <c r="T1480" i="5"/>
  <c r="BJ1479" i="5"/>
  <c r="D404" i="13" s="1"/>
  <c r="D968" i="15"/>
  <c r="D969" i="14"/>
  <c r="K975" i="13"/>
  <c r="G975" i="13"/>
  <c r="H975" i="13"/>
  <c r="H1794" i="15"/>
  <c r="I1801" i="13"/>
  <c r="J1794" i="15" s="1"/>
  <c r="D1553" i="15"/>
  <c r="D1554" i="14"/>
  <c r="K1560" i="13"/>
  <c r="H1560" i="13"/>
  <c r="G1560" i="13"/>
  <c r="H1068" i="15"/>
  <c r="I1075" i="13"/>
  <c r="J1068" i="15" s="1"/>
  <c r="I788" i="15"/>
  <c r="F789" i="14"/>
  <c r="I837" i="15"/>
  <c r="F838" i="14"/>
  <c r="D1540" i="15"/>
  <c r="D1541" i="14"/>
  <c r="H1547" i="13"/>
  <c r="G1547" i="13"/>
  <c r="H954" i="15"/>
  <c r="I961" i="13"/>
  <c r="J954" i="15" s="1"/>
  <c r="H580" i="15"/>
  <c r="I587" i="13"/>
  <c r="J580" i="15" s="1"/>
  <c r="I324" i="15"/>
  <c r="F325" i="14"/>
  <c r="H1038" i="15"/>
  <c r="I1045" i="13"/>
  <c r="J1038" i="15" s="1"/>
  <c r="H1748" i="15"/>
  <c r="I1755" i="13"/>
  <c r="J1748" i="15" s="1"/>
  <c r="H2493" i="15"/>
  <c r="F2351" i="14"/>
  <c r="J2493" i="15" s="1"/>
  <c r="I2056" i="15"/>
  <c r="F2057" i="14"/>
  <c r="D798" i="15"/>
  <c r="D799" i="14"/>
  <c r="H805" i="13"/>
  <c r="K805" i="13"/>
  <c r="G805" i="13"/>
  <c r="I1357" i="15"/>
  <c r="F1358" i="14"/>
  <c r="I800" i="15"/>
  <c r="F801" i="14"/>
  <c r="D699" i="13"/>
  <c r="J1728" i="5"/>
  <c r="H751" i="15"/>
  <c r="I758" i="13"/>
  <c r="J751" i="15" s="1"/>
  <c r="D226" i="15"/>
  <c r="D227" i="14"/>
  <c r="H226" i="13"/>
  <c r="K226" i="13"/>
  <c r="G226" i="13"/>
  <c r="D982" i="15"/>
  <c r="D983" i="14"/>
  <c r="K989" i="13"/>
  <c r="H989" i="13"/>
  <c r="G989" i="13"/>
  <c r="H60" i="15"/>
  <c r="I60" i="13"/>
  <c r="J60" i="15" s="1"/>
  <c r="I1784" i="15"/>
  <c r="F1785" i="14"/>
  <c r="I1747" i="15"/>
  <c r="F1748" i="14"/>
  <c r="H825" i="15"/>
  <c r="I832" i="13"/>
  <c r="J825" i="15" s="1"/>
  <c r="D950" i="15"/>
  <c r="D951" i="14"/>
  <c r="K957" i="13"/>
  <c r="H957" i="13"/>
  <c r="G957" i="13"/>
  <c r="I761" i="15"/>
  <c r="F762" i="14"/>
  <c r="I1218" i="15"/>
  <c r="F1219" i="14"/>
  <c r="H238" i="15"/>
  <c r="I238" i="13"/>
  <c r="J238" i="15" s="1"/>
  <c r="D321" i="15"/>
  <c r="D322" i="14"/>
  <c r="K321" i="13"/>
  <c r="H321" i="13"/>
  <c r="G321" i="13"/>
  <c r="I1366" i="15"/>
  <c r="F1367" i="14"/>
  <c r="I1341" i="15"/>
  <c r="F1342" i="14"/>
  <c r="H2088" i="15"/>
  <c r="I2095" i="13"/>
  <c r="J2088" i="15" s="1"/>
  <c r="H1724" i="15"/>
  <c r="I1731" i="13"/>
  <c r="J1724" i="15" s="1"/>
  <c r="H767" i="15"/>
  <c r="I774" i="13"/>
  <c r="J767" i="15" s="1"/>
  <c r="H57" i="15"/>
  <c r="I57" i="13"/>
  <c r="J57" i="15" s="1"/>
  <c r="H1766" i="15"/>
  <c r="I1773" i="13"/>
  <c r="J1766" i="15" s="1"/>
  <c r="D1566" i="15"/>
  <c r="D1567" i="14"/>
  <c r="K1573" i="13"/>
  <c r="H1573" i="13"/>
  <c r="G1573" i="13"/>
  <c r="D1567" i="15"/>
  <c r="D1568" i="14"/>
  <c r="K1574" i="13"/>
  <c r="H1574" i="13"/>
  <c r="G1574" i="13"/>
  <c r="I849" i="15"/>
  <c r="F850" i="14"/>
  <c r="H865" i="13"/>
  <c r="I858" i="15" s="1"/>
  <c r="D1369" i="15"/>
  <c r="D1370" i="14"/>
  <c r="K1376" i="13"/>
  <c r="H1376" i="13"/>
  <c r="G1376" i="13"/>
  <c r="D1705" i="13"/>
  <c r="E234" i="4"/>
  <c r="D1746" i="13"/>
  <c r="L226" i="4"/>
  <c r="D1697" i="13"/>
  <c r="E226" i="4"/>
  <c r="D1715" i="13"/>
  <c r="E244" i="4"/>
  <c r="D1706" i="13"/>
  <c r="E235" i="4"/>
  <c r="D1496" i="15"/>
  <c r="D1497" i="14"/>
  <c r="K1503" i="13"/>
  <c r="H1503" i="13"/>
  <c r="G1503" i="13"/>
  <c r="D1503" i="15"/>
  <c r="D1504" i="14"/>
  <c r="K1510" i="13"/>
  <c r="H1510" i="13"/>
  <c r="G1510" i="13"/>
  <c r="I1202" i="15"/>
  <c r="F1203" i="14"/>
  <c r="I1386" i="15"/>
  <c r="F1387" i="14"/>
  <c r="D1677" i="15"/>
  <c r="D1678" i="14"/>
  <c r="H1684" i="13"/>
  <c r="K1684" i="13"/>
  <c r="G1684" i="13"/>
  <c r="H45" i="15"/>
  <c r="I45" i="13"/>
  <c r="J45" i="15" s="1"/>
  <c r="D2091" i="13"/>
  <c r="L528" i="6"/>
  <c r="D246" i="13"/>
  <c r="L418" i="8"/>
  <c r="H1657" i="15"/>
  <c r="F1658" i="14"/>
  <c r="I1664" i="13"/>
  <c r="J1657" i="15" s="1"/>
  <c r="H1227" i="15"/>
  <c r="I1234" i="13"/>
  <c r="J1227" i="15" s="1"/>
  <c r="D919" i="13"/>
  <c r="F56" i="7"/>
  <c r="H41" i="15"/>
  <c r="I41" i="13"/>
  <c r="J41" i="15" s="1"/>
  <c r="D262" i="15"/>
  <c r="D263" i="14"/>
  <c r="H262" i="13"/>
  <c r="K262" i="13"/>
  <c r="G262" i="13"/>
  <c r="D2151" i="13"/>
  <c r="E676" i="6"/>
  <c r="D1544" i="13"/>
  <c r="L360" i="9"/>
  <c r="D1589" i="15"/>
  <c r="D1590" i="14"/>
  <c r="K1596" i="13"/>
  <c r="H1596" i="13"/>
  <c r="G1596" i="13"/>
  <c r="H1070" i="15"/>
  <c r="I1077" i="13"/>
  <c r="J1070" i="15" s="1"/>
  <c r="H453" i="15"/>
  <c r="D1362" i="13"/>
  <c r="E672" i="9"/>
  <c r="E702" i="9" s="1"/>
  <c r="B703" i="9" s="1"/>
  <c r="B705" i="9" s="1"/>
  <c r="D1533" i="15"/>
  <c r="D1534" i="14"/>
  <c r="H1540" i="13"/>
  <c r="G1540" i="13"/>
  <c r="D653" i="15"/>
  <c r="D654" i="14"/>
  <c r="H660" i="13"/>
  <c r="G660" i="13"/>
  <c r="H1752" i="15"/>
  <c r="I1759" i="13"/>
  <c r="J1752" i="15" s="1"/>
  <c r="H835" i="15"/>
  <c r="I842" i="13"/>
  <c r="J835" i="15" s="1"/>
  <c r="I1719" i="15"/>
  <c r="F1720" i="14"/>
  <c r="I1783" i="15"/>
  <c r="F1784" i="14"/>
  <c r="E483" i="10"/>
  <c r="G483" i="10" s="1"/>
  <c r="E920" i="5"/>
  <c r="G919" i="5"/>
  <c r="H483" i="10" s="1"/>
  <c r="I1716" i="15"/>
  <c r="F1717" i="14"/>
  <c r="I1385" i="15"/>
  <c r="F1386" i="14"/>
  <c r="I1400" i="15"/>
  <c r="F1401" i="14"/>
  <c r="I1363" i="15"/>
  <c r="F1364" i="14"/>
  <c r="D219" i="15"/>
  <c r="D220" i="14"/>
  <c r="H219" i="13"/>
  <c r="K219" i="13"/>
  <c r="G219" i="13"/>
  <c r="D227" i="15"/>
  <c r="D228" i="14"/>
  <c r="H227" i="13"/>
  <c r="K227" i="13"/>
  <c r="G227" i="13"/>
  <c r="H218" i="15"/>
  <c r="I218" i="13"/>
  <c r="J218" i="15" s="1"/>
  <c r="D2043" i="15"/>
  <c r="D2044" i="14"/>
  <c r="H2050" i="13"/>
  <c r="K2050" i="13"/>
  <c r="G2050" i="13"/>
  <c r="D1711" i="13"/>
  <c r="E240" i="4"/>
  <c r="D1035" i="15"/>
  <c r="D1036" i="14"/>
  <c r="K1042" i="13"/>
  <c r="H1042" i="13"/>
  <c r="G1042" i="13"/>
  <c r="I2061" i="15"/>
  <c r="F2062" i="14"/>
  <c r="D1200" i="15"/>
  <c r="D1201" i="14"/>
  <c r="H1207" i="13"/>
  <c r="G1207" i="13"/>
  <c r="D906" i="15"/>
  <c r="D907" i="14"/>
  <c r="H913" i="13"/>
  <c r="G913" i="13"/>
  <c r="K913" i="13"/>
  <c r="D916" i="13"/>
  <c r="F53" i="7"/>
  <c r="I278" i="15"/>
  <c r="F279" i="14"/>
  <c r="I1398" i="15"/>
  <c r="F1399" i="14"/>
  <c r="D1526" i="15"/>
  <c r="D1527" i="14"/>
  <c r="H1533" i="13"/>
  <c r="G1533" i="13"/>
  <c r="D1532" i="15"/>
  <c r="D1533" i="14"/>
  <c r="H1539" i="13"/>
  <c r="G1539" i="13"/>
  <c r="I249" i="15"/>
  <c r="F250" i="14"/>
  <c r="I1387" i="15"/>
  <c r="F1388" i="14"/>
  <c r="I1378" i="15"/>
  <c r="F1379" i="14"/>
  <c r="D274" i="13"/>
  <c r="E494" i="8"/>
  <c r="E507" i="10"/>
  <c r="G507" i="10" s="1"/>
  <c r="E483" i="5"/>
  <c r="G482" i="5"/>
  <c r="H507" i="10" s="1"/>
  <c r="E547" i="10"/>
  <c r="G547" i="10" s="1"/>
  <c r="E944" i="5"/>
  <c r="G943" i="5"/>
  <c r="H547" i="10" s="1"/>
  <c r="H1922" i="15"/>
  <c r="F1923" i="14"/>
  <c r="I1929" i="13"/>
  <c r="J1922" i="15" s="1"/>
  <c r="I2058" i="15"/>
  <c r="F2059" i="14"/>
  <c r="I1356" i="15"/>
  <c r="F1357" i="14"/>
  <c r="I1332" i="15"/>
  <c r="F1333" i="14"/>
  <c r="D1484" i="15"/>
  <c r="D1485" i="14"/>
  <c r="H1491" i="13"/>
  <c r="K1491" i="13"/>
  <c r="G1491" i="13"/>
  <c r="D935" i="13"/>
  <c r="F72" i="7"/>
  <c r="D921" i="15"/>
  <c r="D922" i="14"/>
  <c r="K928" i="13"/>
  <c r="G928" i="13"/>
  <c r="H928" i="13"/>
  <c r="H1391" i="15"/>
  <c r="I1398" i="13"/>
  <c r="J1391" i="15" s="1"/>
  <c r="I61" i="15"/>
  <c r="F62" i="14"/>
  <c r="I861" i="15"/>
  <c r="F862" i="14"/>
  <c r="D638" i="15"/>
  <c r="D639" i="14"/>
  <c r="K645" i="13"/>
  <c r="H645" i="13"/>
  <c r="G645" i="13"/>
  <c r="D202" i="15"/>
  <c r="D203" i="14"/>
  <c r="H202" i="13"/>
  <c r="G202" i="13"/>
  <c r="D181" i="15"/>
  <c r="D182" i="14"/>
  <c r="K181" i="13"/>
  <c r="H181" i="13"/>
  <c r="G181" i="13"/>
  <c r="D993" i="13"/>
  <c r="F132" i="7"/>
  <c r="D986" i="13"/>
  <c r="F125" i="7"/>
  <c r="D904" i="15"/>
  <c r="D905" i="14"/>
  <c r="H911" i="13"/>
  <c r="G911" i="13"/>
  <c r="K911" i="13"/>
  <c r="D1225" i="15"/>
  <c r="D1226" i="14"/>
  <c r="H1232" i="13"/>
  <c r="G1232" i="13"/>
  <c r="D1211" i="15"/>
  <c r="D1212" i="14"/>
  <c r="H1218" i="13"/>
  <c r="G1218" i="13"/>
  <c r="D957" i="15"/>
  <c r="D958" i="14"/>
  <c r="K964" i="13"/>
  <c r="H964" i="13"/>
  <c r="G964" i="13"/>
  <c r="D1393" i="15"/>
  <c r="D1394" i="14"/>
  <c r="H1400" i="13"/>
  <c r="G1400" i="13"/>
  <c r="D1611" i="15"/>
  <c r="D1612" i="14"/>
  <c r="H1618" i="13"/>
  <c r="G1618" i="13"/>
  <c r="I1466" i="15"/>
  <c r="F1467" i="14"/>
  <c r="D2080" i="15"/>
  <c r="D2081" i="14"/>
  <c r="H2087" i="13"/>
  <c r="G2087" i="13"/>
  <c r="I2055" i="15"/>
  <c r="F2056" i="14"/>
  <c r="H2061" i="13"/>
  <c r="G131" i="13"/>
  <c r="I1718" i="15"/>
  <c r="F1719" i="14"/>
  <c r="H1364" i="15"/>
  <c r="I1371" i="13"/>
  <c r="J1364" i="15" s="1"/>
  <c r="H1069" i="15"/>
  <c r="I1076" i="13"/>
  <c r="J1069" i="15" s="1"/>
  <c r="I1364" i="15"/>
  <c r="F1365" i="14"/>
  <c r="H2146" i="15"/>
  <c r="I2153" i="13"/>
  <c r="J2146" i="15" s="1"/>
  <c r="I2050" i="15"/>
  <c r="F2051" i="14"/>
  <c r="I1333" i="15"/>
  <c r="F1334" i="14"/>
  <c r="H139" i="15"/>
  <c r="I139" i="13"/>
  <c r="J139" i="15" s="1"/>
  <c r="H1799" i="15"/>
  <c r="I1806" i="13"/>
  <c r="J1799" i="15" s="1"/>
  <c r="I952" i="15"/>
  <c r="F953" i="14"/>
  <c r="H1077" i="15"/>
  <c r="I1084" i="13"/>
  <c r="J1077" i="15" s="1"/>
  <c r="I717" i="15"/>
  <c r="F718" i="14"/>
  <c r="H743" i="13"/>
  <c r="I736" i="15" s="1"/>
  <c r="I579" i="15"/>
  <c r="F580" i="14"/>
  <c r="I1373" i="15"/>
  <c r="F1374" i="14"/>
  <c r="H1336" i="15"/>
  <c r="I1343" i="13"/>
  <c r="J1336" i="15" s="1"/>
  <c r="I1676" i="15"/>
  <c r="F1677" i="14"/>
  <c r="I1465" i="15"/>
  <c r="F1466" i="14"/>
  <c r="I317" i="15"/>
  <c r="F318" i="14"/>
  <c r="D180" i="15"/>
  <c r="D181" i="14"/>
  <c r="K180" i="13"/>
  <c r="H180" i="13"/>
  <c r="G180" i="13"/>
  <c r="D199" i="15"/>
  <c r="D200" i="14"/>
  <c r="H199" i="13"/>
  <c r="G199" i="13"/>
  <c r="H1216" i="15"/>
  <c r="I1223" i="13"/>
  <c r="J1216" i="15" s="1"/>
  <c r="H1215" i="15"/>
  <c r="I1222" i="13"/>
  <c r="J1215" i="15" s="1"/>
  <c r="H70" i="15"/>
  <c r="F71" i="14"/>
  <c r="I70" i="13"/>
  <c r="J70" i="15" s="1"/>
  <c r="I2146" i="15"/>
  <c r="F2147" i="14"/>
  <c r="D2121" i="15"/>
  <c r="D2122" i="14"/>
  <c r="H2128" i="13"/>
  <c r="K2128" i="13"/>
  <c r="G2128" i="13"/>
  <c r="H2050" i="15"/>
  <c r="I2057" i="13"/>
  <c r="J2050" i="15" s="1"/>
  <c r="D913" i="15"/>
  <c r="D914" i="14"/>
  <c r="K920" i="13"/>
  <c r="H920" i="13"/>
  <c r="G920" i="13"/>
  <c r="I1205" i="15"/>
  <c r="F1206" i="14"/>
  <c r="M111" i="4"/>
  <c r="M110" i="4"/>
  <c r="I953" i="15"/>
  <c r="F954" i="14"/>
  <c r="H1335" i="15"/>
  <c r="I1342" i="13"/>
  <c r="J1335" i="15" s="1"/>
  <c r="J651" i="6"/>
  <c r="C668" i="6"/>
  <c r="H1960" i="15"/>
  <c r="F1961" i="14"/>
  <c r="I1967" i="13"/>
  <c r="J1960" i="15" s="1"/>
  <c r="I415" i="13"/>
  <c r="I1010" i="15"/>
  <c r="F1011" i="14"/>
  <c r="D1214" i="15"/>
  <c r="D1215" i="14"/>
  <c r="H1221" i="13"/>
  <c r="G1221" i="13"/>
  <c r="D491" i="13"/>
  <c r="T1485" i="5"/>
  <c r="V1483" i="5"/>
  <c r="BL1483" i="5" s="1"/>
  <c r="BJ1483" i="5"/>
  <c r="D408" i="13" s="1"/>
  <c r="D345" i="13"/>
  <c r="E1471" i="5"/>
  <c r="AG1471" i="5" s="1"/>
  <c r="AU1471" i="5" s="1"/>
  <c r="E1470" i="5"/>
  <c r="T1488" i="5"/>
  <c r="AE1471" i="5"/>
  <c r="I2096" i="15"/>
  <c r="F2097" i="14"/>
  <c r="I90" i="15"/>
  <c r="F91" i="14"/>
  <c r="H98" i="13"/>
  <c r="I98" i="15" s="1"/>
  <c r="I805" i="15"/>
  <c r="F806" i="14"/>
  <c r="D1585" i="15"/>
  <c r="D1586" i="14"/>
  <c r="K1592" i="13"/>
  <c r="H1592" i="13"/>
  <c r="G1592" i="13"/>
  <c r="D1597" i="15"/>
  <c r="D1598" i="14"/>
  <c r="H1604" i="13"/>
  <c r="G1604" i="13"/>
  <c r="D1576" i="13"/>
  <c r="J448" i="9"/>
  <c r="E456" i="9"/>
  <c r="C461" i="9"/>
  <c r="G188" i="5"/>
  <c r="H51" i="10" s="1"/>
  <c r="I1438" i="15"/>
  <c r="F1439" i="14"/>
  <c r="I1340" i="15"/>
  <c r="F1341" i="14"/>
  <c r="H1388" i="15"/>
  <c r="I1395" i="13"/>
  <c r="J1388" i="15" s="1"/>
  <c r="I1210" i="15"/>
  <c r="F1211" i="14"/>
  <c r="I1795" i="15"/>
  <c r="F1796" i="14"/>
  <c r="D1491" i="15"/>
  <c r="D1492" i="14"/>
  <c r="H1498" i="13"/>
  <c r="K1498" i="13"/>
  <c r="G1498" i="13"/>
  <c r="D1504" i="15"/>
  <c r="D1505" i="14"/>
  <c r="K1511" i="13"/>
  <c r="H1511" i="13"/>
  <c r="G1511" i="13"/>
  <c r="I130" i="15"/>
  <c r="F131" i="14"/>
  <c r="H1053" i="15"/>
  <c r="I1060" i="13"/>
  <c r="J1053" i="15" s="1"/>
  <c r="I1011" i="15"/>
  <c r="F1012" i="14"/>
  <c r="I514" i="13"/>
  <c r="H75" i="15"/>
  <c r="I75" i="13"/>
  <c r="J75" i="15" s="1"/>
  <c r="G87" i="13"/>
  <c r="D2089" i="13"/>
  <c r="L526" i="6"/>
  <c r="D836" i="15"/>
  <c r="D837" i="14"/>
  <c r="K843" i="13"/>
  <c r="H843" i="13"/>
  <c r="G843" i="13"/>
  <c r="I549" i="15"/>
  <c r="F550" i="14"/>
  <c r="H1774" i="15"/>
  <c r="I1781" i="13"/>
  <c r="J1774" i="15" s="1"/>
  <c r="E270" i="10"/>
  <c r="F696" i="5"/>
  <c r="F270" i="10" s="1"/>
  <c r="I287" i="15"/>
  <c r="F288" i="14"/>
  <c r="H301" i="13"/>
  <c r="I301" i="15" s="1"/>
  <c r="D245" i="13"/>
  <c r="L417" i="8"/>
  <c r="E440" i="10"/>
  <c r="G440" i="10" s="1"/>
  <c r="E456" i="5"/>
  <c r="G455" i="5"/>
  <c r="H440" i="10" s="1"/>
  <c r="H63" i="15"/>
  <c r="I63" i="13"/>
  <c r="J63" i="15" s="1"/>
  <c r="D2192" i="15"/>
  <c r="D2193" i="14"/>
  <c r="H2199" i="13"/>
  <c r="G2199" i="13"/>
  <c r="D1505" i="15"/>
  <c r="D1506" i="14"/>
  <c r="K1512" i="13"/>
  <c r="H1512" i="13"/>
  <c r="G1512" i="13"/>
  <c r="D266" i="13"/>
  <c r="E486" i="8"/>
  <c r="E507" i="8" s="1"/>
  <c r="B508" i="8" s="1"/>
  <c r="B510" i="8" s="1"/>
  <c r="D350" i="13"/>
  <c r="E1476" i="5"/>
  <c r="AG1476" i="5" s="1"/>
  <c r="AU1476" i="5" s="1"/>
  <c r="T1487" i="5"/>
  <c r="AE1476" i="5"/>
  <c r="C1478" i="5"/>
  <c r="D962" i="15"/>
  <c r="D963" i="14"/>
  <c r="K969" i="13"/>
  <c r="G969" i="13"/>
  <c r="H969" i="13"/>
  <c r="I1794" i="15"/>
  <c r="F1795" i="14"/>
  <c r="I725" i="15"/>
  <c r="F726" i="14"/>
  <c r="D641" i="15"/>
  <c r="D642" i="14"/>
  <c r="K648" i="13"/>
  <c r="H648" i="13"/>
  <c r="G648" i="13"/>
  <c r="I954" i="15"/>
  <c r="F955" i="14"/>
  <c r="E314" i="10"/>
  <c r="G314" i="10" s="1"/>
  <c r="E741" i="5"/>
  <c r="G740" i="5"/>
  <c r="H314" i="10" s="1"/>
  <c r="I1748" i="15"/>
  <c r="F1749" i="14"/>
  <c r="D874" i="15"/>
  <c r="D875" i="14"/>
  <c r="K881" i="13"/>
  <c r="H881" i="13"/>
  <c r="G881" i="13"/>
  <c r="D609" i="15"/>
  <c r="D610" i="14"/>
  <c r="K616" i="13"/>
  <c r="H616" i="13"/>
  <c r="G616" i="13"/>
  <c r="I751" i="15"/>
  <c r="F752" i="14"/>
  <c r="H43" i="15"/>
  <c r="I43" i="13"/>
  <c r="J43" i="15" s="1"/>
  <c r="H309" i="15"/>
  <c r="I309" i="13"/>
  <c r="J309" i="15" s="1"/>
  <c r="I1009" i="15"/>
  <c r="F1010" i="14"/>
  <c r="I60" i="15"/>
  <c r="F61" i="14"/>
  <c r="D1750" i="15"/>
  <c r="D1751" i="14"/>
  <c r="H1757" i="13"/>
  <c r="K1757" i="13"/>
  <c r="G1757" i="13"/>
  <c r="O113" i="4"/>
  <c r="O112" i="4"/>
  <c r="D2059" i="13"/>
  <c r="E544" i="6"/>
  <c r="I825" i="15"/>
  <c r="F826" i="14"/>
  <c r="I1436" i="15"/>
  <c r="F1437" i="14"/>
  <c r="D905" i="15"/>
  <c r="D906" i="14"/>
  <c r="H912" i="13"/>
  <c r="G912" i="13"/>
  <c r="K912" i="13"/>
  <c r="D910" i="15"/>
  <c r="D911" i="14"/>
  <c r="K917" i="13"/>
  <c r="H917" i="13"/>
  <c r="G917" i="13"/>
  <c r="D1797" i="15"/>
  <c r="D1798" i="14"/>
  <c r="H1804" i="13"/>
  <c r="H1814" i="13" s="1"/>
  <c r="I1807" i="15" s="1"/>
  <c r="G1804" i="13"/>
  <c r="I238" i="15"/>
  <c r="F239" i="14"/>
  <c r="D1028" i="15"/>
  <c r="D1029" i="14"/>
  <c r="K1035" i="13"/>
  <c r="H1035" i="13"/>
  <c r="G1035" i="13"/>
  <c r="D1518" i="15"/>
  <c r="D1519" i="14"/>
  <c r="K1525" i="13"/>
  <c r="H1525" i="13"/>
  <c r="G1525" i="13"/>
  <c r="H1197" i="15"/>
  <c r="I1204" i="13"/>
  <c r="J1197" i="15" s="1"/>
  <c r="I2088" i="15"/>
  <c r="F2089" i="14"/>
  <c r="I1724" i="15"/>
  <c r="F1725" i="14"/>
  <c r="D273" i="15"/>
  <c r="D274" i="14"/>
  <c r="H273" i="13"/>
  <c r="K273" i="13"/>
  <c r="G273" i="13"/>
  <c r="D963" i="15"/>
  <c r="D964" i="14"/>
  <c r="H970" i="13"/>
  <c r="K970" i="13"/>
  <c r="G970" i="13"/>
  <c r="I57" i="15"/>
  <c r="F58" i="14"/>
  <c r="I1757" i="15"/>
  <c r="F1758" i="14"/>
  <c r="H1796" i="15"/>
  <c r="I1803" i="13"/>
  <c r="J1796" i="15" s="1"/>
  <c r="D768" i="15"/>
  <c r="D769" i="14"/>
  <c r="H775" i="13"/>
  <c r="K775" i="13"/>
  <c r="G775" i="13"/>
  <c r="H1437" i="15"/>
  <c r="I1444" i="13"/>
  <c r="J1437" i="15" s="1"/>
  <c r="D1733" i="13"/>
  <c r="L212" i="4"/>
  <c r="D1744" i="13"/>
  <c r="L223" i="4"/>
  <c r="D1734" i="13"/>
  <c r="L213" i="4"/>
  <c r="D1691" i="13"/>
  <c r="E219" i="4"/>
  <c r="D1745" i="13"/>
  <c r="L225" i="4"/>
  <c r="D1738" i="13"/>
  <c r="L217" i="4"/>
  <c r="D934" i="13"/>
  <c r="F71" i="7"/>
  <c r="D640" i="15"/>
  <c r="D641" i="14"/>
  <c r="K647" i="13"/>
  <c r="H647" i="13"/>
  <c r="G647" i="13"/>
  <c r="H778" i="15"/>
  <c r="I785" i="13"/>
  <c r="J778" i="15" s="1"/>
  <c r="E523" i="10"/>
  <c r="G523" i="10" s="1"/>
  <c r="E499" i="5"/>
  <c r="G498" i="5"/>
  <c r="H523" i="10" s="1"/>
  <c r="I1768" i="15"/>
  <c r="F1769" i="14"/>
  <c r="I45" i="15"/>
  <c r="F46" i="14"/>
  <c r="D659" i="13"/>
  <c r="S1617" i="5"/>
  <c r="G140" i="13"/>
  <c r="D205" i="13"/>
  <c r="L353" i="8"/>
  <c r="J419" i="8"/>
  <c r="E59" i="10"/>
  <c r="E224" i="5"/>
  <c r="F223" i="5"/>
  <c r="F59" i="10" s="1"/>
  <c r="I1227" i="15"/>
  <c r="F1228" i="14"/>
  <c r="D911" i="15"/>
  <c r="D912" i="14"/>
  <c r="K918" i="13"/>
  <c r="G918" i="13"/>
  <c r="H918" i="13"/>
  <c r="D1371" i="15"/>
  <c r="D1372" i="14"/>
  <c r="K1378" i="13"/>
  <c r="H1378" i="13"/>
  <c r="G1378" i="13"/>
  <c r="I41" i="15"/>
  <c r="F42" i="14"/>
  <c r="H1050" i="15"/>
  <c r="I1057" i="13"/>
  <c r="J1050" i="15" s="1"/>
  <c r="J657" i="6"/>
  <c r="C677" i="6"/>
  <c r="D1489" i="15"/>
  <c r="D1490" i="14"/>
  <c r="H1496" i="13"/>
  <c r="K1496" i="13"/>
  <c r="G1496" i="13"/>
  <c r="H815" i="15"/>
  <c r="I822" i="13"/>
  <c r="J815" i="15" s="1"/>
  <c r="H1347" i="15"/>
  <c r="I1354" i="13"/>
  <c r="J1347" i="15" s="1"/>
  <c r="G695" i="5"/>
  <c r="H269" i="10" s="1"/>
  <c r="I835" i="15"/>
  <c r="F836" i="14"/>
  <c r="I578" i="15"/>
  <c r="F579" i="14"/>
  <c r="D1362" i="15"/>
  <c r="D1363" i="14"/>
  <c r="K1369" i="13"/>
  <c r="H1369" i="13"/>
  <c r="G1369" i="13"/>
  <c r="H33" i="15"/>
  <c r="F34" i="14"/>
  <c r="I33" i="13"/>
  <c r="J33" i="15" s="1"/>
  <c r="H1717" i="15"/>
  <c r="I1724" i="13"/>
  <c r="J1717" i="15" s="1"/>
  <c r="D225" i="15"/>
  <c r="D226" i="14"/>
  <c r="H225" i="13"/>
  <c r="K225" i="13"/>
  <c r="G225" i="13"/>
  <c r="D184" i="13"/>
  <c r="C418" i="8"/>
  <c r="D224" i="13" s="1"/>
  <c r="E351" i="8"/>
  <c r="E418" i="8" s="1"/>
  <c r="D187" i="15"/>
  <c r="D188" i="14"/>
  <c r="K187" i="13"/>
  <c r="H187" i="13"/>
  <c r="G187" i="13"/>
  <c r="D991" i="13"/>
  <c r="F130" i="7"/>
  <c r="D2138" i="13"/>
  <c r="E663" i="6"/>
  <c r="E108" i="10"/>
  <c r="G108" i="10" s="1"/>
  <c r="E273" i="5"/>
  <c r="G272" i="5"/>
  <c r="H135" i="10" s="1"/>
  <c r="D1700" i="13"/>
  <c r="E229" i="4"/>
  <c r="H1230" i="15"/>
  <c r="I1237" i="13"/>
  <c r="J1230" i="15" s="1"/>
  <c r="D1198" i="15"/>
  <c r="D1199" i="14"/>
  <c r="H1205" i="13"/>
  <c r="G1205" i="13"/>
  <c r="D900" i="15"/>
  <c r="D901" i="14"/>
  <c r="H907" i="13"/>
  <c r="G907" i="13"/>
  <c r="K907" i="13"/>
  <c r="H2147" i="15"/>
  <c r="I2154" i="13"/>
  <c r="J2147" i="15" s="1"/>
  <c r="H1381" i="15"/>
  <c r="I1388" i="13"/>
  <c r="J1381" i="15" s="1"/>
  <c r="D1535" i="13"/>
  <c r="L351" i="9"/>
  <c r="E589" i="10"/>
  <c r="G589" i="10" s="1"/>
  <c r="E525" i="5"/>
  <c r="G524" i="5"/>
  <c r="H589" i="10" s="1"/>
  <c r="N165" i="4"/>
  <c r="N198" i="4" s="1"/>
  <c r="N164" i="4"/>
  <c r="N205" i="4" s="1"/>
  <c r="N206" i="4" s="1"/>
  <c r="D961" i="15"/>
  <c r="D962" i="14"/>
  <c r="K968" i="13"/>
  <c r="H968" i="13"/>
  <c r="G968" i="13"/>
  <c r="D960" i="15"/>
  <c r="D961" i="14"/>
  <c r="K967" i="13"/>
  <c r="H967" i="13"/>
  <c r="G967" i="13"/>
  <c r="D1592" i="15"/>
  <c r="D1593" i="14"/>
  <c r="K1599" i="13"/>
  <c r="H1599" i="13"/>
  <c r="G1599" i="13"/>
  <c r="D1613" i="15"/>
  <c r="D1614" i="14"/>
  <c r="H1620" i="13"/>
  <c r="G1620" i="13"/>
  <c r="H50" i="10"/>
  <c r="H581" i="15"/>
  <c r="I588" i="13"/>
  <c r="J581" i="15" s="1"/>
  <c r="D1545" i="13"/>
  <c r="L361" i="9"/>
  <c r="D925" i="15"/>
  <c r="D926" i="14"/>
  <c r="K932" i="13"/>
  <c r="H932" i="13"/>
  <c r="G932" i="13"/>
  <c r="H1392" i="15"/>
  <c r="I1399" i="13"/>
  <c r="J1392" i="15" s="1"/>
  <c r="H593" i="15"/>
  <c r="I600" i="13"/>
  <c r="J593" i="15" s="1"/>
  <c r="D662" i="13"/>
  <c r="S1620" i="5"/>
  <c r="I1391" i="15"/>
  <c r="F1392" i="14"/>
  <c r="H276" i="15"/>
  <c r="I276" i="13"/>
  <c r="J276" i="15" s="1"/>
  <c r="D1804" i="15"/>
  <c r="D1805" i="14"/>
  <c r="H1811" i="13"/>
  <c r="G1811" i="13"/>
  <c r="D2083" i="15"/>
  <c r="D2084" i="14"/>
  <c r="H2090" i="13"/>
  <c r="G2090" i="13"/>
  <c r="D763" i="15"/>
  <c r="D764" i="14"/>
  <c r="H770" i="13"/>
  <c r="K770" i="13"/>
  <c r="G770" i="13"/>
  <c r="D221" i="15"/>
  <c r="D222" i="14"/>
  <c r="H221" i="13"/>
  <c r="K221" i="13"/>
  <c r="G221" i="13"/>
  <c r="D978" i="15"/>
  <c r="D979" i="14"/>
  <c r="K985" i="13"/>
  <c r="H985" i="13"/>
  <c r="G985" i="13"/>
  <c r="H1806" i="15"/>
  <c r="I1813" i="13"/>
  <c r="J1806" i="15" s="1"/>
  <c r="P110" i="4"/>
  <c r="D1066" i="15"/>
  <c r="D1067" i="14"/>
  <c r="K1073" i="13"/>
  <c r="G1073" i="13"/>
  <c r="H1073" i="13"/>
  <c r="E424" i="10"/>
  <c r="G424" i="10" s="1"/>
  <c r="E440" i="5"/>
  <c r="G439" i="5"/>
  <c r="H424" i="10" s="1"/>
  <c r="H1785" i="15"/>
  <c r="I1792" i="13"/>
  <c r="J1785" i="15" s="1"/>
  <c r="I955" i="15"/>
  <c r="F956" i="14"/>
  <c r="D1526" i="13"/>
  <c r="E388" i="9"/>
  <c r="E395" i="9" s="1"/>
  <c r="B398" i="9" s="1"/>
  <c r="H131" i="13"/>
  <c r="I131" i="15" s="1"/>
  <c r="H1463" i="13"/>
  <c r="I1456" i="15" s="1"/>
  <c r="G223" i="5" l="1"/>
  <c r="H86" i="10" s="1"/>
  <c r="C2238" i="5"/>
  <c r="C2237" i="5"/>
  <c r="G644" i="5"/>
  <c r="H218" i="10" s="1"/>
  <c r="E218" i="10"/>
  <c r="G218" i="10" s="1"/>
  <c r="E219" i="10"/>
  <c r="G219" i="10" s="1"/>
  <c r="G645" i="5"/>
  <c r="H219" i="10" s="1"/>
  <c r="I2237" i="5"/>
  <c r="I2238" i="5"/>
  <c r="G59" i="10"/>
  <c r="F2238" i="5"/>
  <c r="F2237" i="5"/>
  <c r="G1248" i="13"/>
  <c r="I1482" i="13"/>
  <c r="J1475" i="15" s="1"/>
  <c r="L395" i="9"/>
  <c r="B399" i="9" s="1"/>
  <c r="B400" i="9" s="1"/>
  <c r="F1476" i="14"/>
  <c r="E434" i="8"/>
  <c r="B435" i="8" s="1"/>
  <c r="F55" i="14"/>
  <c r="H780" i="13"/>
  <c r="I773" i="15" s="1"/>
  <c r="I743" i="13"/>
  <c r="J736" i="15" s="1"/>
  <c r="H1248" i="13"/>
  <c r="I1241" i="15" s="1"/>
  <c r="H978" i="15"/>
  <c r="I985" i="13"/>
  <c r="J978" i="15" s="1"/>
  <c r="I763" i="15"/>
  <c r="F764" i="14"/>
  <c r="I1592" i="15"/>
  <c r="F1593" i="14"/>
  <c r="D2209" i="13"/>
  <c r="L657" i="6"/>
  <c r="H140" i="15"/>
  <c r="F141" i="14"/>
  <c r="I140" i="13"/>
  <c r="J140" i="15" s="1"/>
  <c r="I768" i="15"/>
  <c r="F769" i="14"/>
  <c r="I273" i="15"/>
  <c r="F274" i="14"/>
  <c r="I1518" i="15"/>
  <c r="F1519" i="14"/>
  <c r="H1797" i="15"/>
  <c r="I1804" i="13"/>
  <c r="J1797" i="15" s="1"/>
  <c r="I1750" i="15"/>
  <c r="F1751" i="14"/>
  <c r="E441" i="10"/>
  <c r="G441" i="10" s="1"/>
  <c r="E457" i="5"/>
  <c r="G456" i="5"/>
  <c r="H441" i="10" s="1"/>
  <c r="D2082" i="15"/>
  <c r="D2083" i="14"/>
  <c r="H2089" i="13"/>
  <c r="G2089" i="13"/>
  <c r="D496" i="13"/>
  <c r="BJ1488" i="5"/>
  <c r="D413" i="13" s="1"/>
  <c r="V1488" i="5"/>
  <c r="BL1488" i="5" s="1"/>
  <c r="H1035" i="15"/>
  <c r="I1042" i="13"/>
  <c r="J1035" i="15" s="1"/>
  <c r="I227" i="15"/>
  <c r="F228" i="14"/>
  <c r="H1533" i="15"/>
  <c r="I1540" i="13"/>
  <c r="J1533" i="15" s="1"/>
  <c r="D1537" i="15"/>
  <c r="D1538" i="14"/>
  <c r="H1544" i="13"/>
  <c r="G1544" i="13"/>
  <c r="D1690" i="15"/>
  <c r="D1691" i="14"/>
  <c r="H1697" i="13"/>
  <c r="K1697" i="13"/>
  <c r="G1697" i="13"/>
  <c r="I1566" i="15"/>
  <c r="F1567" i="14"/>
  <c r="H321" i="15"/>
  <c r="I321" i="13"/>
  <c r="J321" i="15" s="1"/>
  <c r="H798" i="15"/>
  <c r="I805" i="13"/>
  <c r="J798" i="15" s="1"/>
  <c r="H1540" i="15"/>
  <c r="I1547" i="13"/>
  <c r="J1540" i="15" s="1"/>
  <c r="D489" i="13"/>
  <c r="BJ1481" i="5"/>
  <c r="D406" i="13" s="1"/>
  <c r="V1481" i="5"/>
  <c r="BL1481" i="5" s="1"/>
  <c r="D525" i="15"/>
  <c r="D526" i="14"/>
  <c r="H532" i="13"/>
  <c r="H525" i="15" s="1"/>
  <c r="G532" i="13"/>
  <c r="D2144" i="13"/>
  <c r="E669" i="6"/>
  <c r="H1521" i="15"/>
  <c r="I1528" i="13"/>
  <c r="J1521" i="15" s="1"/>
  <c r="I220" i="15"/>
  <c r="F221" i="14"/>
  <c r="I2059" i="15"/>
  <c r="F2060" i="14"/>
  <c r="D983" i="15"/>
  <c r="D984" i="14"/>
  <c r="K990" i="13"/>
  <c r="H990" i="13"/>
  <c r="G990" i="13"/>
  <c r="D886" i="15"/>
  <c r="D887" i="14"/>
  <c r="H893" i="13"/>
  <c r="G893" i="13"/>
  <c r="I595" i="15"/>
  <c r="F596" i="14"/>
  <c r="I959" i="15"/>
  <c r="F960" i="14"/>
  <c r="I1201" i="15"/>
  <c r="F1202" i="14"/>
  <c r="I924" i="15"/>
  <c r="F925" i="14"/>
  <c r="D1707" i="15"/>
  <c r="D1708" i="14"/>
  <c r="H1714" i="13"/>
  <c r="K1714" i="13"/>
  <c r="G1714" i="13"/>
  <c r="H858" i="15"/>
  <c r="F859" i="14"/>
  <c r="I865" i="13"/>
  <c r="J858" i="15" s="1"/>
  <c r="H1494" i="15"/>
  <c r="I1501" i="13"/>
  <c r="J1494" i="15" s="1"/>
  <c r="D329" i="15"/>
  <c r="D330" i="14"/>
  <c r="H329" i="13"/>
  <c r="G329" i="13"/>
  <c r="D362" i="15"/>
  <c r="D363" i="14"/>
  <c r="H369" i="13"/>
  <c r="G369" i="13"/>
  <c r="H2081" i="15"/>
  <c r="I2088" i="13"/>
  <c r="J2081" i="15" s="1"/>
  <c r="I1514" i="15"/>
  <c r="F1515" i="14"/>
  <c r="H903" i="15"/>
  <c r="I910" i="13"/>
  <c r="J903" i="15" s="1"/>
  <c r="I1358" i="15"/>
  <c r="F1359" i="14"/>
  <c r="I967" i="15"/>
  <c r="F968" i="14"/>
  <c r="I901" i="15"/>
  <c r="F902" i="14"/>
  <c r="H325" i="15"/>
  <c r="I325" i="13"/>
  <c r="J325" i="15" s="1"/>
  <c r="D1697" i="15"/>
  <c r="D1698" i="14"/>
  <c r="H1704" i="13"/>
  <c r="K1704" i="13"/>
  <c r="G1704" i="13"/>
  <c r="E687" i="10"/>
  <c r="G687" i="10" s="1"/>
  <c r="E583" i="5"/>
  <c r="G582" i="5"/>
  <c r="H687" i="10" s="1"/>
  <c r="H2051" i="15"/>
  <c r="I2058" i="13"/>
  <c r="J2051" i="15" s="1"/>
  <c r="H186" i="15"/>
  <c r="I186" i="13"/>
  <c r="J186" i="15" s="1"/>
  <c r="E26" i="10"/>
  <c r="E191" i="5"/>
  <c r="F190" i="5"/>
  <c r="F26" i="10" s="1"/>
  <c r="D485" i="15"/>
  <c r="D486" i="14"/>
  <c r="K492" i="13"/>
  <c r="H492" i="13"/>
  <c r="H485" i="15" s="1"/>
  <c r="G492" i="13"/>
  <c r="E466" i="10"/>
  <c r="G466" i="10" s="1"/>
  <c r="E903" i="5"/>
  <c r="G902" i="5"/>
  <c r="H466" i="10" s="1"/>
  <c r="D242" i="13"/>
  <c r="L413" i="8"/>
  <c r="H1066" i="15"/>
  <c r="I1073" i="13"/>
  <c r="J1066" i="15" s="1"/>
  <c r="I978" i="15"/>
  <c r="F979" i="14"/>
  <c r="D1519" i="15"/>
  <c r="D1520" i="14"/>
  <c r="K1526" i="13"/>
  <c r="H1526" i="13"/>
  <c r="G1526" i="13"/>
  <c r="E425" i="10"/>
  <c r="G425" i="10" s="1"/>
  <c r="E441" i="5"/>
  <c r="G440" i="5"/>
  <c r="H425" i="10" s="1"/>
  <c r="H763" i="15"/>
  <c r="I770" i="13"/>
  <c r="J763" i="15" s="1"/>
  <c r="H2083" i="15"/>
  <c r="I2090" i="13"/>
  <c r="J2083" i="15" s="1"/>
  <c r="H1804" i="15"/>
  <c r="I1811" i="13"/>
  <c r="J1804" i="15" s="1"/>
  <c r="D1538" i="15"/>
  <c r="D1539" i="14"/>
  <c r="H1545" i="13"/>
  <c r="G1545" i="13"/>
  <c r="I961" i="15"/>
  <c r="F962" i="14"/>
  <c r="H900" i="15"/>
  <c r="I907" i="13"/>
  <c r="J900" i="15" s="1"/>
  <c r="H1198" i="15"/>
  <c r="I1205" i="13"/>
  <c r="J1198" i="15" s="1"/>
  <c r="D2131" i="15"/>
  <c r="D2132" i="14"/>
  <c r="H2138" i="13"/>
  <c r="K2138" i="13"/>
  <c r="G2138" i="13"/>
  <c r="I187" i="15"/>
  <c r="F188" i="14"/>
  <c r="H1489" i="15"/>
  <c r="I1496" i="13"/>
  <c r="J1489" i="15" s="1"/>
  <c r="I1371" i="15"/>
  <c r="F1372" i="14"/>
  <c r="I911" i="15"/>
  <c r="F912" i="14"/>
  <c r="D652" i="15"/>
  <c r="D653" i="14"/>
  <c r="H659" i="13"/>
  <c r="G659" i="13"/>
  <c r="I640" i="15"/>
  <c r="F641" i="14"/>
  <c r="H768" i="15"/>
  <c r="I775" i="13"/>
  <c r="J768" i="15" s="1"/>
  <c r="H273" i="15"/>
  <c r="I273" i="13"/>
  <c r="J273" i="15" s="1"/>
  <c r="H905" i="15"/>
  <c r="I912" i="13"/>
  <c r="J905" i="15" s="1"/>
  <c r="H1750" i="15"/>
  <c r="I1757" i="13"/>
  <c r="J1750" i="15" s="1"/>
  <c r="I609" i="15"/>
  <c r="F610" i="14"/>
  <c r="H652" i="13"/>
  <c r="I645" i="15" s="1"/>
  <c r="H874" i="15"/>
  <c r="I881" i="13"/>
  <c r="J874" i="15" s="1"/>
  <c r="E315" i="10"/>
  <c r="G315" i="10" s="1"/>
  <c r="E742" i="5"/>
  <c r="G741" i="5"/>
  <c r="H315" i="10" s="1"/>
  <c r="H641" i="15"/>
  <c r="I648" i="13"/>
  <c r="J641" i="15" s="1"/>
  <c r="D504" i="13"/>
  <c r="AS1476" i="5"/>
  <c r="D421" i="13" s="1"/>
  <c r="I2192" i="15"/>
  <c r="F2193" i="14"/>
  <c r="H836" i="15"/>
  <c r="I843" i="13"/>
  <c r="J836" i="15" s="1"/>
  <c r="I1597" i="15"/>
  <c r="F1598" i="14"/>
  <c r="H1585" i="15"/>
  <c r="I1592" i="13"/>
  <c r="J1585" i="15" s="1"/>
  <c r="D493" i="13"/>
  <c r="BJ1485" i="5"/>
  <c r="D410" i="13" s="1"/>
  <c r="V1485" i="5"/>
  <c r="BL1485" i="5" s="1"/>
  <c r="I408" i="15"/>
  <c r="J408" i="15"/>
  <c r="D2143" i="13"/>
  <c r="E668" i="6"/>
  <c r="I199" i="15"/>
  <c r="F200" i="14"/>
  <c r="I180" i="15"/>
  <c r="F181" i="14"/>
  <c r="H1611" i="15"/>
  <c r="I1618" i="13"/>
  <c r="J1611" i="15" s="1"/>
  <c r="H1393" i="15"/>
  <c r="I1400" i="13"/>
  <c r="J1393" i="15" s="1"/>
  <c r="H957" i="15"/>
  <c r="I964" i="13"/>
  <c r="J957" i="15" s="1"/>
  <c r="I202" i="15"/>
  <c r="F203" i="14"/>
  <c r="I638" i="15"/>
  <c r="F639" i="14"/>
  <c r="I921" i="15"/>
  <c r="F922" i="14"/>
  <c r="H1532" i="15"/>
  <c r="I1539" i="13"/>
  <c r="J1532" i="15" s="1"/>
  <c r="H1526" i="15"/>
  <c r="I1533" i="13"/>
  <c r="J1526" i="15" s="1"/>
  <c r="H906" i="15"/>
  <c r="I913" i="13"/>
  <c r="J906" i="15" s="1"/>
  <c r="H1200" i="15"/>
  <c r="I1207" i="13"/>
  <c r="J1200" i="15" s="1"/>
  <c r="D1704" i="15"/>
  <c r="D1705" i="14"/>
  <c r="H1711" i="13"/>
  <c r="K1711" i="13"/>
  <c r="G1711" i="13"/>
  <c r="H227" i="15"/>
  <c r="I227" i="13"/>
  <c r="J227" i="15" s="1"/>
  <c r="E484" i="10"/>
  <c r="G484" i="10" s="1"/>
  <c r="E921" i="5"/>
  <c r="G920" i="5"/>
  <c r="H484" i="10" s="1"/>
  <c r="H1589" i="15"/>
  <c r="I1596" i="13"/>
  <c r="J1589" i="15" s="1"/>
  <c r="D2144" i="15"/>
  <c r="D2145" i="14"/>
  <c r="H2151" i="13"/>
  <c r="K2151" i="13"/>
  <c r="G2151" i="13"/>
  <c r="D246" i="15"/>
  <c r="D247" i="14"/>
  <c r="H246" i="13"/>
  <c r="G246" i="13"/>
  <c r="I1496" i="15"/>
  <c r="F1497" i="14"/>
  <c r="G854" i="13"/>
  <c r="D1708" i="15"/>
  <c r="D1709" i="14"/>
  <c r="H1715" i="13"/>
  <c r="K1715" i="13"/>
  <c r="G1715" i="13"/>
  <c r="D1739" i="15"/>
  <c r="D1740" i="14"/>
  <c r="H1746" i="13"/>
  <c r="G1746" i="13"/>
  <c r="I1369" i="15"/>
  <c r="F1370" i="14"/>
  <c r="H1567" i="15"/>
  <c r="I1574" i="13"/>
  <c r="J1567" i="15" s="1"/>
  <c r="H982" i="15"/>
  <c r="I989" i="13"/>
  <c r="J982" i="15" s="1"/>
  <c r="I798" i="15"/>
  <c r="F799" i="14"/>
  <c r="H1553" i="15"/>
  <c r="I1560" i="13"/>
  <c r="J1553" i="15" s="1"/>
  <c r="H968" i="15"/>
  <c r="I975" i="13"/>
  <c r="J968" i="15" s="1"/>
  <c r="D397" i="15"/>
  <c r="D398" i="14"/>
  <c r="H404" i="13"/>
  <c r="H397" i="15" s="1"/>
  <c r="K404" i="13"/>
  <c r="G404" i="13"/>
  <c r="D480" i="15"/>
  <c r="D481" i="14"/>
  <c r="K487" i="13"/>
  <c r="H487" i="13"/>
  <c r="H480" i="15" s="1"/>
  <c r="G487" i="13"/>
  <c r="H862" i="15"/>
  <c r="I869" i="13"/>
  <c r="J862" i="15" s="1"/>
  <c r="E271" i="10"/>
  <c r="F697" i="5"/>
  <c r="F271" i="10" s="1"/>
  <c r="H1773" i="15"/>
  <c r="I1780" i="13"/>
  <c r="J1773" i="15" s="1"/>
  <c r="I594" i="15"/>
  <c r="F595" i="14"/>
  <c r="J370" i="15"/>
  <c r="I370" i="15"/>
  <c r="I970" i="15"/>
  <c r="F971" i="14"/>
  <c r="I958" i="15"/>
  <c r="F959" i="14"/>
  <c r="D2205" i="13"/>
  <c r="L653" i="6"/>
  <c r="I1367" i="15"/>
  <c r="F1368" i="14"/>
  <c r="I1024" i="15"/>
  <c r="F1025" i="14"/>
  <c r="H220" i="15"/>
  <c r="I220" i="13"/>
  <c r="J220" i="15" s="1"/>
  <c r="I1483" i="15"/>
  <c r="F1484" i="14"/>
  <c r="H1212" i="15"/>
  <c r="I1219" i="13"/>
  <c r="J1212" i="15" s="1"/>
  <c r="D994" i="13"/>
  <c r="F133" i="7"/>
  <c r="D244" i="15"/>
  <c r="D245" i="14"/>
  <c r="H244" i="13"/>
  <c r="G244" i="13"/>
  <c r="D691" i="15"/>
  <c r="D692" i="14"/>
  <c r="H698" i="13"/>
  <c r="K698" i="13"/>
  <c r="G698" i="13"/>
  <c r="H542" i="15"/>
  <c r="I549" i="13"/>
  <c r="J542" i="15" s="1"/>
  <c r="I1610" i="15"/>
  <c r="F1611" i="14"/>
  <c r="I1565" i="15"/>
  <c r="F1566" i="14"/>
  <c r="H1493" i="15"/>
  <c r="I1500" i="13"/>
  <c r="J1493" i="15" s="1"/>
  <c r="I965" i="15"/>
  <c r="F966" i="14"/>
  <c r="D1687" i="15"/>
  <c r="D1688" i="14"/>
  <c r="H1694" i="13"/>
  <c r="K1694" i="13"/>
  <c r="G1694" i="13"/>
  <c r="H981" i="15"/>
  <c r="I988" i="13"/>
  <c r="J981" i="15" s="1"/>
  <c r="I206" i="15"/>
  <c r="F207" i="14"/>
  <c r="I453" i="15"/>
  <c r="J453" i="15"/>
  <c r="D2201" i="15"/>
  <c r="D2202" i="14"/>
  <c r="H2208" i="13"/>
  <c r="G2208" i="13"/>
  <c r="I316" i="15"/>
  <c r="F317" i="14"/>
  <c r="I204" i="15"/>
  <c r="F205" i="14"/>
  <c r="D1701" i="15"/>
  <c r="D1702" i="14"/>
  <c r="H1708" i="13"/>
  <c r="K1708" i="13"/>
  <c r="G1708" i="13"/>
  <c r="D1736" i="13"/>
  <c r="L215" i="4"/>
  <c r="I1377" i="15"/>
  <c r="F1378" i="14"/>
  <c r="I1494" i="15"/>
  <c r="F1495" i="14"/>
  <c r="I908" i="15"/>
  <c r="F909" i="14"/>
  <c r="I182" i="15"/>
  <c r="F183" i="14"/>
  <c r="I234" i="13"/>
  <c r="J234" i="15" s="1"/>
  <c r="D694" i="15"/>
  <c r="D695" i="14"/>
  <c r="H701" i="13"/>
  <c r="K701" i="13"/>
  <c r="G701" i="13"/>
  <c r="D523" i="13"/>
  <c r="AR1443" i="5"/>
  <c r="D440" i="13" s="1"/>
  <c r="D551" i="13"/>
  <c r="J1539" i="5"/>
  <c r="H1522" i="15"/>
  <c r="I1529" i="13"/>
  <c r="J1522" i="15" s="1"/>
  <c r="D880" i="13"/>
  <c r="E1890" i="5"/>
  <c r="E1905" i="5" s="1"/>
  <c r="B1906" i="5" s="1"/>
  <c r="B1908" i="5" s="1"/>
  <c r="E713" i="10"/>
  <c r="G713" i="10" s="1"/>
  <c r="E1030" i="5"/>
  <c r="G1029" i="5"/>
  <c r="H713" i="10" s="1"/>
  <c r="I1486" i="15"/>
  <c r="F1487" i="14"/>
  <c r="I1498" i="15"/>
  <c r="F1499" i="14"/>
  <c r="I1480" i="15"/>
  <c r="F1481" i="14"/>
  <c r="D2202" i="13"/>
  <c r="L650" i="6"/>
  <c r="H1025" i="15"/>
  <c r="I1032" i="13"/>
  <c r="J1025" i="15" s="1"/>
  <c r="I902" i="15"/>
  <c r="F903" i="14"/>
  <c r="H907" i="15"/>
  <c r="I914" i="13"/>
  <c r="J907" i="15" s="1"/>
  <c r="G1814" i="13"/>
  <c r="H914" i="15"/>
  <c r="I921" i="13"/>
  <c r="J914" i="15" s="1"/>
  <c r="D223" i="15"/>
  <c r="D224" i="14"/>
  <c r="H223" i="13"/>
  <c r="K223" i="13"/>
  <c r="G223" i="13"/>
  <c r="I1485" i="15"/>
  <c r="F1486" i="14"/>
  <c r="I1495" i="15"/>
  <c r="F1496" i="14"/>
  <c r="H271" i="15"/>
  <c r="I271" i="13"/>
  <c r="J271" i="15" s="1"/>
  <c r="I185" i="15"/>
  <c r="F186" i="14"/>
  <c r="D1590" i="15"/>
  <c r="D1591" i="14"/>
  <c r="K1597" i="13"/>
  <c r="H1597" i="13"/>
  <c r="G1597" i="13"/>
  <c r="D2143" i="15"/>
  <c r="D2144" i="14"/>
  <c r="K2150" i="13"/>
  <c r="H2150" i="13"/>
  <c r="G2150" i="13"/>
  <c r="D1728" i="15"/>
  <c r="D1729" i="14"/>
  <c r="H1735" i="13"/>
  <c r="G1735" i="13"/>
  <c r="D1679" i="15"/>
  <c r="D1680" i="14"/>
  <c r="H1686" i="13"/>
  <c r="K1686" i="13"/>
  <c r="G1686" i="13"/>
  <c r="I1550" i="15"/>
  <c r="F1551" i="14"/>
  <c r="H1602" i="15"/>
  <c r="I1609" i="13"/>
  <c r="J1602" i="15" s="1"/>
  <c r="H1593" i="15"/>
  <c r="I1600" i="13"/>
  <c r="J1593" i="15" s="1"/>
  <c r="I318" i="15"/>
  <c r="F319" i="14"/>
  <c r="I2051" i="15"/>
  <c r="F2052" i="14"/>
  <c r="D937" i="13"/>
  <c r="F74" i="7"/>
  <c r="H1379" i="15"/>
  <c r="I1386" i="13"/>
  <c r="J1379" i="15" s="1"/>
  <c r="D440" i="15"/>
  <c r="D441" i="14"/>
  <c r="H447" i="13"/>
  <c r="H440" i="15" s="1"/>
  <c r="G447" i="13"/>
  <c r="D269" i="15"/>
  <c r="D270" i="14"/>
  <c r="H269" i="13"/>
  <c r="K269" i="13"/>
  <c r="G269" i="13"/>
  <c r="H301" i="15"/>
  <c r="F302" i="14"/>
  <c r="I301" i="13"/>
  <c r="J301" i="15" s="1"/>
  <c r="H889" i="15"/>
  <c r="I896" i="13"/>
  <c r="J889" i="15" s="1"/>
  <c r="H812" i="15"/>
  <c r="I819" i="13"/>
  <c r="J812" i="15" s="1"/>
  <c r="G828" i="13"/>
  <c r="G189" i="5"/>
  <c r="H52" i="10" s="1"/>
  <c r="I1213" i="15"/>
  <c r="F1214" i="14"/>
  <c r="C661" i="6"/>
  <c r="J645" i="6"/>
  <c r="C660" i="6"/>
  <c r="C658" i="6"/>
  <c r="J643" i="6"/>
  <c r="C659" i="6"/>
  <c r="C657" i="6"/>
  <c r="I1066" i="15"/>
  <c r="F1067" i="14"/>
  <c r="H1028" i="15"/>
  <c r="I1035" i="13"/>
  <c r="J1028" i="15" s="1"/>
  <c r="H910" i="15"/>
  <c r="I917" i="13"/>
  <c r="J910" i="15" s="1"/>
  <c r="I962" i="15"/>
  <c r="F963" i="14"/>
  <c r="H1505" i="15"/>
  <c r="I1512" i="13"/>
  <c r="J1505" i="15" s="1"/>
  <c r="H1504" i="15"/>
  <c r="I1511" i="13"/>
  <c r="J1504" i="15" s="1"/>
  <c r="D1569" i="15"/>
  <c r="D1570" i="14"/>
  <c r="K1576" i="13"/>
  <c r="H1576" i="13"/>
  <c r="G1576" i="13"/>
  <c r="D401" i="15"/>
  <c r="D402" i="14"/>
  <c r="H408" i="13"/>
  <c r="H401" i="15" s="1"/>
  <c r="K408" i="13"/>
  <c r="G408" i="13"/>
  <c r="H913" i="15"/>
  <c r="I920" i="13"/>
  <c r="J913" i="15" s="1"/>
  <c r="I2080" i="15"/>
  <c r="F2081" i="14"/>
  <c r="I1211" i="15"/>
  <c r="F1212" i="14"/>
  <c r="H904" i="15"/>
  <c r="I911" i="13"/>
  <c r="J904" i="15" s="1"/>
  <c r="H181" i="15"/>
  <c r="I181" i="13"/>
  <c r="J181" i="15" s="1"/>
  <c r="E508" i="10"/>
  <c r="G508" i="10" s="1"/>
  <c r="E484" i="5"/>
  <c r="G483" i="5"/>
  <c r="H508" i="10" s="1"/>
  <c r="D1699" i="15"/>
  <c r="D1700" i="14"/>
  <c r="H1706" i="13"/>
  <c r="K1706" i="13"/>
  <c r="G1706" i="13"/>
  <c r="H98" i="15"/>
  <c r="F99" i="14"/>
  <c r="I98" i="13"/>
  <c r="J98" i="15" s="1"/>
  <c r="I1798" i="15"/>
  <c r="F1799" i="14"/>
  <c r="I1395" i="15"/>
  <c r="F1396" i="14"/>
  <c r="H1483" i="15"/>
  <c r="I1490" i="13"/>
  <c r="J1483" i="15" s="1"/>
  <c r="D1067" i="15"/>
  <c r="D1068" i="14"/>
  <c r="K1074" i="13"/>
  <c r="G1074" i="13"/>
  <c r="H1074" i="13"/>
  <c r="H1007" i="15"/>
  <c r="I1014" i="13"/>
  <c r="J1007" i="15" s="1"/>
  <c r="H1545" i="15"/>
  <c r="I1552" i="13"/>
  <c r="J1545" i="15" s="1"/>
  <c r="D2045" i="15"/>
  <c r="D2046" i="14"/>
  <c r="H2052" i="13"/>
  <c r="K2052" i="13"/>
  <c r="G2052" i="13"/>
  <c r="D1725" i="15"/>
  <c r="D1726" i="14"/>
  <c r="H1732" i="13"/>
  <c r="G1732" i="13"/>
  <c r="H1531" i="15"/>
  <c r="I1538" i="13"/>
  <c r="J1531" i="15" s="1"/>
  <c r="D985" i="15"/>
  <c r="D986" i="14"/>
  <c r="K992" i="13"/>
  <c r="H992" i="13"/>
  <c r="G992" i="13"/>
  <c r="D713" i="13"/>
  <c r="S1700" i="5"/>
  <c r="I762" i="15"/>
  <c r="F763" i="14"/>
  <c r="D872" i="15"/>
  <c r="D873" i="14"/>
  <c r="H879" i="13"/>
  <c r="K879" i="13"/>
  <c r="G879" i="13"/>
  <c r="H1486" i="15"/>
  <c r="I1493" i="13"/>
  <c r="J1486" i="15" s="1"/>
  <c r="H1603" i="15"/>
  <c r="I1610" i="13"/>
  <c r="J1603" i="15" s="1"/>
  <c r="I271" i="15"/>
  <c r="F272" i="14"/>
  <c r="D1008" i="15"/>
  <c r="D1009" i="14"/>
  <c r="K1015" i="13"/>
  <c r="G1015" i="13"/>
  <c r="H1015" i="13"/>
  <c r="H179" i="15"/>
  <c r="I179" i="13"/>
  <c r="J179" i="15" s="1"/>
  <c r="I221" i="15"/>
  <c r="F222" i="14"/>
  <c r="I2083" i="15"/>
  <c r="F2084" i="14"/>
  <c r="I1804" i="15"/>
  <c r="F1805" i="14"/>
  <c r="D655" i="15"/>
  <c r="D656" i="14"/>
  <c r="H662" i="13"/>
  <c r="G662" i="13"/>
  <c r="H1613" i="15"/>
  <c r="I1620" i="13"/>
  <c r="J1613" i="15" s="1"/>
  <c r="H1592" i="15"/>
  <c r="I1599" i="13"/>
  <c r="J1592" i="15" s="1"/>
  <c r="I900" i="15"/>
  <c r="F901" i="14"/>
  <c r="I1198" i="15"/>
  <c r="F1199" i="14"/>
  <c r="E109" i="10"/>
  <c r="G109" i="10" s="1"/>
  <c r="E274" i="5"/>
  <c r="G273" i="5"/>
  <c r="H136" i="10" s="1"/>
  <c r="D224" i="15"/>
  <c r="D225" i="14"/>
  <c r="H224" i="13"/>
  <c r="K224" i="13"/>
  <c r="G224" i="13"/>
  <c r="I225" i="15"/>
  <c r="F226" i="14"/>
  <c r="D2152" i="13"/>
  <c r="E677" i="6"/>
  <c r="H911" i="15"/>
  <c r="I918" i="13"/>
  <c r="J911" i="15" s="1"/>
  <c r="E60" i="10"/>
  <c r="F224" i="5"/>
  <c r="F60" i="10" s="1"/>
  <c r="E225" i="5"/>
  <c r="D205" i="15"/>
  <c r="D206" i="14"/>
  <c r="H205" i="13"/>
  <c r="G205" i="13"/>
  <c r="D927" i="15"/>
  <c r="D928" i="14"/>
  <c r="K934" i="13"/>
  <c r="H934" i="13"/>
  <c r="G934" i="13"/>
  <c r="D1738" i="15"/>
  <c r="D1739" i="14"/>
  <c r="H1745" i="13"/>
  <c r="G1745" i="13"/>
  <c r="D1727" i="15"/>
  <c r="D1728" i="14"/>
  <c r="H1734" i="13"/>
  <c r="G1734" i="13"/>
  <c r="D1726" i="15"/>
  <c r="D1727" i="14"/>
  <c r="H1733" i="13"/>
  <c r="G1733" i="13"/>
  <c r="I963" i="15"/>
  <c r="F964" i="14"/>
  <c r="H1518" i="15"/>
  <c r="I1525" i="13"/>
  <c r="J1518" i="15" s="1"/>
  <c r="I905" i="15"/>
  <c r="F906" i="14"/>
  <c r="D2052" i="15"/>
  <c r="D2053" i="14"/>
  <c r="K2059" i="13"/>
  <c r="H2059" i="13"/>
  <c r="G2059" i="13"/>
  <c r="I874" i="15"/>
  <c r="F875" i="14"/>
  <c r="I641" i="15"/>
  <c r="F642" i="14"/>
  <c r="D495" i="13"/>
  <c r="BJ1487" i="5"/>
  <c r="D412" i="13" s="1"/>
  <c r="V1487" i="5"/>
  <c r="BL1487" i="5" s="1"/>
  <c r="D266" i="15"/>
  <c r="D267" i="14"/>
  <c r="H266" i="13"/>
  <c r="K266" i="13"/>
  <c r="G266" i="13"/>
  <c r="D245" i="15"/>
  <c r="D246" i="14"/>
  <c r="H245" i="13"/>
  <c r="G245" i="13"/>
  <c r="G696" i="5"/>
  <c r="H270" i="10" s="1"/>
  <c r="I836" i="15"/>
  <c r="F837" i="14"/>
  <c r="H854" i="13"/>
  <c r="I847" i="15" s="1"/>
  <c r="I1491" i="15"/>
  <c r="F1492" i="14"/>
  <c r="D1619" i="13"/>
  <c r="L448" i="9"/>
  <c r="L484" i="9" s="1"/>
  <c r="B486" i="9" s="1"/>
  <c r="I1585" i="15"/>
  <c r="F1586" i="14"/>
  <c r="D499" i="13"/>
  <c r="AS1471" i="5"/>
  <c r="D416" i="13" s="1"/>
  <c r="D338" i="15"/>
  <c r="D339" i="14"/>
  <c r="K345" i="13"/>
  <c r="H345" i="13"/>
  <c r="G345" i="13"/>
  <c r="D484" i="15"/>
  <c r="D485" i="14"/>
  <c r="K491" i="13"/>
  <c r="H491" i="13"/>
  <c r="H484" i="15" s="1"/>
  <c r="G491" i="13"/>
  <c r="D2203" i="13"/>
  <c r="L651" i="6"/>
  <c r="H2121" i="15"/>
  <c r="I2128" i="13"/>
  <c r="J2121" i="15" s="1"/>
  <c r="H131" i="15"/>
  <c r="F132" i="14"/>
  <c r="I131" i="13"/>
  <c r="J131" i="15" s="1"/>
  <c r="H2080" i="15"/>
  <c r="I2087" i="13"/>
  <c r="J2080" i="15" s="1"/>
  <c r="I1611" i="15"/>
  <c r="F1612" i="14"/>
  <c r="I1393" i="15"/>
  <c r="F1394" i="14"/>
  <c r="I957" i="15"/>
  <c r="F958" i="14"/>
  <c r="H1211" i="15"/>
  <c r="I1218" i="13"/>
  <c r="J1211" i="15" s="1"/>
  <c r="H1225" i="15"/>
  <c r="I1232" i="13"/>
  <c r="J1225" i="15" s="1"/>
  <c r="D986" i="15"/>
  <c r="D987" i="14"/>
  <c r="K993" i="13"/>
  <c r="H993" i="13"/>
  <c r="G993" i="13"/>
  <c r="G780" i="13"/>
  <c r="H921" i="15"/>
  <c r="I928" i="13"/>
  <c r="J921" i="15" s="1"/>
  <c r="I1484" i="15"/>
  <c r="F1485" i="14"/>
  <c r="D274" i="15"/>
  <c r="D275" i="14"/>
  <c r="H274" i="13"/>
  <c r="H281" i="13" s="1"/>
  <c r="I281" i="15" s="1"/>
  <c r="K274" i="13"/>
  <c r="G274" i="13"/>
  <c r="I1532" i="15"/>
  <c r="F1533" i="14"/>
  <c r="I1526" i="15"/>
  <c r="F1527" i="14"/>
  <c r="I906" i="15"/>
  <c r="F907" i="14"/>
  <c r="I1200" i="15"/>
  <c r="F1201" i="14"/>
  <c r="H2043" i="15"/>
  <c r="I2050" i="13"/>
  <c r="J2043" i="15" s="1"/>
  <c r="H219" i="15"/>
  <c r="I219" i="13"/>
  <c r="J219" i="15" s="1"/>
  <c r="I1589" i="15"/>
  <c r="F1590" i="14"/>
  <c r="H262" i="15"/>
  <c r="I262" i="13"/>
  <c r="J262" i="15" s="1"/>
  <c r="D912" i="15"/>
  <c r="D913" i="14"/>
  <c r="K919" i="13"/>
  <c r="G919" i="13"/>
  <c r="H919" i="13"/>
  <c r="H1677" i="15"/>
  <c r="I1684" i="13"/>
  <c r="J1677" i="15" s="1"/>
  <c r="I1567" i="15"/>
  <c r="F1568" i="14"/>
  <c r="H1566" i="15"/>
  <c r="I1573" i="13"/>
  <c r="J1566" i="15" s="1"/>
  <c r="H1797" i="13"/>
  <c r="I1790" i="15" s="1"/>
  <c r="I982" i="15"/>
  <c r="F983" i="14"/>
  <c r="H226" i="15"/>
  <c r="I226" i="13"/>
  <c r="J226" i="15" s="1"/>
  <c r="D692" i="15"/>
  <c r="D693" i="14"/>
  <c r="H699" i="13"/>
  <c r="K699" i="13"/>
  <c r="G699" i="13"/>
  <c r="I1553" i="15"/>
  <c r="F1554" i="14"/>
  <c r="D488" i="13"/>
  <c r="T1482" i="5"/>
  <c r="V1480" i="5"/>
  <c r="BL1480" i="5" s="1"/>
  <c r="BJ1480" i="5"/>
  <c r="D405" i="13" s="1"/>
  <c r="D2193" i="15"/>
  <c r="D2194" i="14"/>
  <c r="H2200" i="13"/>
  <c r="G2200" i="13"/>
  <c r="G662" i="5"/>
  <c r="G236" i="10"/>
  <c r="D1576" i="15"/>
  <c r="D1577" i="14"/>
  <c r="K1583" i="13"/>
  <c r="H1583" i="13"/>
  <c r="G1583" i="13"/>
  <c r="D1599" i="15"/>
  <c r="D1600" i="14"/>
  <c r="H1606" i="13"/>
  <c r="G1606" i="13"/>
  <c r="D442" i="15"/>
  <c r="D443" i="14"/>
  <c r="H449" i="13"/>
  <c r="H442" i="15" s="1"/>
  <c r="G449" i="13"/>
  <c r="H958" i="15"/>
  <c r="I965" i="13"/>
  <c r="J958" i="15" s="1"/>
  <c r="D2204" i="13"/>
  <c r="L652" i="6"/>
  <c r="D2146" i="13"/>
  <c r="E671" i="6"/>
  <c r="H1024" i="15"/>
  <c r="I1031" i="13"/>
  <c r="J1024" i="15" s="1"/>
  <c r="H1798" i="15"/>
  <c r="I1805" i="13"/>
  <c r="J1798" i="15" s="1"/>
  <c r="M167" i="4"/>
  <c r="M197" i="4" s="1"/>
  <c r="M162" i="4"/>
  <c r="H1395" i="15"/>
  <c r="I1402" i="13"/>
  <c r="J1395" i="15" s="1"/>
  <c r="H865" i="15"/>
  <c r="I872" i="13"/>
  <c r="J865" i="15" s="1"/>
  <c r="H2059" i="15"/>
  <c r="I2066" i="13"/>
  <c r="J2059" i="15" s="1"/>
  <c r="I1212" i="15"/>
  <c r="F1213" i="14"/>
  <c r="D995" i="13"/>
  <c r="F134" i="7"/>
  <c r="D2046" i="15"/>
  <c r="D2047" i="14"/>
  <c r="H2053" i="13"/>
  <c r="K2053" i="13"/>
  <c r="G2053" i="13"/>
  <c r="H595" i="15"/>
  <c r="I602" i="13"/>
  <c r="J595" i="15" s="1"/>
  <c r="D1529" i="15"/>
  <c r="D1530" i="14"/>
  <c r="H1536" i="13"/>
  <c r="G1536" i="13"/>
  <c r="H1201" i="15"/>
  <c r="I1208" i="13"/>
  <c r="J1201" i="15" s="1"/>
  <c r="O165" i="4"/>
  <c r="O198" i="4" s="1"/>
  <c r="O164" i="4"/>
  <c r="O205" i="4" s="1"/>
  <c r="O206" i="4" s="1"/>
  <c r="I981" i="15"/>
  <c r="F982" i="14"/>
  <c r="E367" i="8"/>
  <c r="B368" i="8" s="1"/>
  <c r="E157" i="10"/>
  <c r="G157" i="10" s="1"/>
  <c r="E322" i="5"/>
  <c r="G321" i="5"/>
  <c r="H184" i="10" s="1"/>
  <c r="E363" i="10"/>
  <c r="G363" i="10" s="1"/>
  <c r="E790" i="5"/>
  <c r="G789" i="5"/>
  <c r="H363" i="10" s="1"/>
  <c r="I541" i="15"/>
  <c r="F542" i="14"/>
  <c r="D2054" i="13"/>
  <c r="E539" i="6"/>
  <c r="D1727" i="13"/>
  <c r="E256" i="4"/>
  <c r="D1680" i="15"/>
  <c r="D1681" i="14"/>
  <c r="H1687" i="13"/>
  <c r="K1687" i="13"/>
  <c r="G1687" i="13"/>
  <c r="H791" i="15"/>
  <c r="I798" i="13"/>
  <c r="J791" i="15" s="1"/>
  <c r="H964" i="15"/>
  <c r="I971" i="13"/>
  <c r="J964" i="15" s="1"/>
  <c r="H923" i="15"/>
  <c r="I930" i="13"/>
  <c r="J923" i="15" s="1"/>
  <c r="D441" i="15"/>
  <c r="D442" i="14"/>
  <c r="H448" i="13"/>
  <c r="H441" i="15" s="1"/>
  <c r="G448" i="13"/>
  <c r="AO1475" i="5"/>
  <c r="AT1443" i="5" s="1"/>
  <c r="P1488" i="5"/>
  <c r="B1490" i="5" s="1"/>
  <c r="AD1490" i="5" s="1"/>
  <c r="AR1490" i="5" s="1"/>
  <c r="D594" i="13"/>
  <c r="U1541" i="5"/>
  <c r="I1522" i="15"/>
  <c r="F1523" i="14"/>
  <c r="H762" i="15"/>
  <c r="I769" i="13"/>
  <c r="J762" i="15" s="1"/>
  <c r="D654" i="15"/>
  <c r="D655" i="14"/>
  <c r="H661" i="13"/>
  <c r="G661" i="13"/>
  <c r="D1552" i="15"/>
  <c r="D1553" i="14"/>
  <c r="K1559" i="13"/>
  <c r="H1559" i="13"/>
  <c r="G1559" i="13"/>
  <c r="D1601" i="15"/>
  <c r="D1602" i="14"/>
  <c r="H1608" i="13"/>
  <c r="G1608" i="13"/>
  <c r="D444" i="15"/>
  <c r="D445" i="14"/>
  <c r="H451" i="13"/>
  <c r="H444" i="15" s="1"/>
  <c r="G451" i="13"/>
  <c r="H267" i="15"/>
  <c r="I267" i="13"/>
  <c r="J267" i="15" s="1"/>
  <c r="D1397" i="15"/>
  <c r="D1398" i="14"/>
  <c r="H1404" i="13"/>
  <c r="G1404" i="13"/>
  <c r="E631" i="10"/>
  <c r="G631" i="10" s="1"/>
  <c r="E988" i="5"/>
  <c r="G987" i="5"/>
  <c r="H631" i="10" s="1"/>
  <c r="I907" i="15"/>
  <c r="F908" i="14"/>
  <c r="D966" i="15"/>
  <c r="D967" i="14"/>
  <c r="H973" i="13"/>
  <c r="K973" i="13"/>
  <c r="G973" i="13"/>
  <c r="D183" i="15"/>
  <c r="D184" i="14"/>
  <c r="K183" i="13"/>
  <c r="H183" i="13"/>
  <c r="G183" i="13"/>
  <c r="D2085" i="15"/>
  <c r="D2086" i="14"/>
  <c r="H2092" i="13"/>
  <c r="G2092" i="13"/>
  <c r="D922" i="15"/>
  <c r="D923" i="14"/>
  <c r="K929" i="13"/>
  <c r="H929" i="13"/>
  <c r="G929" i="13"/>
  <c r="H1596" i="15"/>
  <c r="I1603" i="13"/>
  <c r="J1596" i="15" s="1"/>
  <c r="H1514" i="15"/>
  <c r="I1521" i="13"/>
  <c r="J1514" i="15" s="1"/>
  <c r="H1199" i="15"/>
  <c r="I1206" i="13"/>
  <c r="J1199" i="15" s="1"/>
  <c r="D1036" i="15"/>
  <c r="D1037" i="14"/>
  <c r="K1043" i="13"/>
  <c r="G1043" i="13"/>
  <c r="H1043" i="13"/>
  <c r="I1786" i="15"/>
  <c r="F1787" i="14"/>
  <c r="D248" i="15"/>
  <c r="D249" i="14"/>
  <c r="H248" i="13"/>
  <c r="G248" i="13"/>
  <c r="H1805" i="15"/>
  <c r="I1812" i="13"/>
  <c r="J1805" i="15" s="1"/>
  <c r="H1358" i="15"/>
  <c r="I1365" i="13"/>
  <c r="J1358" i="15" s="1"/>
  <c r="H967" i="15"/>
  <c r="I974" i="13"/>
  <c r="J967" i="15" s="1"/>
  <c r="H901" i="15"/>
  <c r="I908" i="13"/>
  <c r="J901" i="15" s="1"/>
  <c r="H543" i="15"/>
  <c r="I550" i="13"/>
  <c r="J543" i="15" s="1"/>
  <c r="I1488" i="15"/>
  <c r="F1489" i="14"/>
  <c r="I1602" i="15"/>
  <c r="F1603" i="14"/>
  <c r="I1593" i="15"/>
  <c r="F1594" i="14"/>
  <c r="H1501" i="15"/>
  <c r="I1508" i="13"/>
  <c r="J1501" i="15" s="1"/>
  <c r="D951" i="15"/>
  <c r="D952" i="14"/>
  <c r="K958" i="13"/>
  <c r="H958" i="13"/>
  <c r="G958" i="13"/>
  <c r="I222" i="15"/>
  <c r="F223" i="14"/>
  <c r="H639" i="15"/>
  <c r="I646" i="13"/>
  <c r="J639" i="15" s="1"/>
  <c r="D799" i="15"/>
  <c r="D800" i="14"/>
  <c r="H806" i="13"/>
  <c r="K806" i="13"/>
  <c r="G806" i="13"/>
  <c r="G817" i="13" s="1"/>
  <c r="I1379" i="15"/>
  <c r="F1380" i="14"/>
  <c r="H2049" i="15"/>
  <c r="I2056" i="13"/>
  <c r="J2049" i="15" s="1"/>
  <c r="E566" i="10"/>
  <c r="G566" i="10" s="1"/>
  <c r="E963" i="5"/>
  <c r="G962" i="5"/>
  <c r="H566" i="10" s="1"/>
  <c r="H539" i="15"/>
  <c r="I546" i="13"/>
  <c r="J539" i="15" s="1"/>
  <c r="D2194" i="15"/>
  <c r="D2195" i="14"/>
  <c r="H2201" i="13"/>
  <c r="G2201" i="13"/>
  <c r="I2044" i="15"/>
  <c r="F2045" i="14"/>
  <c r="I889" i="15"/>
  <c r="F890" i="14"/>
  <c r="H1353" i="15"/>
  <c r="I1360" i="13"/>
  <c r="J1353" i="15" s="1"/>
  <c r="D1539" i="15"/>
  <c r="D1540" i="14"/>
  <c r="H1546" i="13"/>
  <c r="G1546" i="13"/>
  <c r="I812" i="15"/>
  <c r="F813" i="14"/>
  <c r="H828" i="13"/>
  <c r="I821" i="15" s="1"/>
  <c r="D1575" i="15"/>
  <c r="D1576" i="14"/>
  <c r="K1582" i="13"/>
  <c r="H1582" i="13"/>
  <c r="G1582" i="13"/>
  <c r="D1598" i="15"/>
  <c r="D1599" i="14"/>
  <c r="H1605" i="13"/>
  <c r="G1605" i="13"/>
  <c r="D443" i="15"/>
  <c r="D444" i="14"/>
  <c r="H450" i="13"/>
  <c r="H443" i="15" s="1"/>
  <c r="G450" i="13"/>
  <c r="D402" i="15"/>
  <c r="D403" i="14"/>
  <c r="H409" i="13"/>
  <c r="H402" i="15" s="1"/>
  <c r="K409" i="13"/>
  <c r="G409" i="13"/>
  <c r="D2126" i="13"/>
  <c r="C656" i="6"/>
  <c r="E651" i="6"/>
  <c r="C655" i="6"/>
  <c r="I1487" i="15"/>
  <c r="F1488" i="14"/>
  <c r="D200" i="15"/>
  <c r="D201" i="14"/>
  <c r="H200" i="13"/>
  <c r="G200" i="13"/>
  <c r="I1463" i="13"/>
  <c r="J1456" i="15" s="1"/>
  <c r="H925" i="15"/>
  <c r="I932" i="13"/>
  <c r="J925" i="15" s="1"/>
  <c r="I1613" i="15"/>
  <c r="F1614" i="14"/>
  <c r="H960" i="15"/>
  <c r="I967" i="13"/>
  <c r="J960" i="15" s="1"/>
  <c r="D1528" i="15"/>
  <c r="D1529" i="14"/>
  <c r="H1535" i="13"/>
  <c r="G1535" i="13"/>
  <c r="D984" i="15"/>
  <c r="D985" i="14"/>
  <c r="K991" i="13"/>
  <c r="G991" i="13"/>
  <c r="H991" i="13"/>
  <c r="D184" i="15"/>
  <c r="D185" i="14"/>
  <c r="K184" i="13"/>
  <c r="H184" i="13"/>
  <c r="H196" i="13" s="1"/>
  <c r="G184" i="13"/>
  <c r="H1362" i="15"/>
  <c r="I1369" i="13"/>
  <c r="J1362" i="15" s="1"/>
  <c r="I1489" i="15"/>
  <c r="F1490" i="14"/>
  <c r="E524" i="10"/>
  <c r="G524" i="10" s="1"/>
  <c r="E500" i="5"/>
  <c r="G499" i="5"/>
  <c r="H524" i="10" s="1"/>
  <c r="H1241" i="15"/>
  <c r="F1242" i="14"/>
  <c r="I1248" i="13"/>
  <c r="J1241" i="15" s="1"/>
  <c r="H1214" i="15"/>
  <c r="I1221" i="13"/>
  <c r="J1214" i="15" s="1"/>
  <c r="I2054" i="15"/>
  <c r="F2055" i="14"/>
  <c r="I2061" i="13"/>
  <c r="J2054" i="15" s="1"/>
  <c r="I1225" i="15"/>
  <c r="F1226" i="14"/>
  <c r="D928" i="15"/>
  <c r="D929" i="14"/>
  <c r="K935" i="13"/>
  <c r="H935" i="13"/>
  <c r="G935" i="13"/>
  <c r="D909" i="15"/>
  <c r="D910" i="14"/>
  <c r="H916" i="13"/>
  <c r="G916" i="13"/>
  <c r="K916" i="13"/>
  <c r="H653" i="15"/>
  <c r="I660" i="13"/>
  <c r="J653" i="15" s="1"/>
  <c r="D2084" i="15"/>
  <c r="D2085" i="14"/>
  <c r="H2091" i="13"/>
  <c r="G2091" i="13"/>
  <c r="H1503" i="15"/>
  <c r="I1510" i="13"/>
  <c r="J1503" i="15" s="1"/>
  <c r="D1698" i="15"/>
  <c r="D1699" i="14"/>
  <c r="H1705" i="13"/>
  <c r="K1705" i="13"/>
  <c r="G1705" i="13"/>
  <c r="H950" i="15"/>
  <c r="I957" i="13"/>
  <c r="J950" i="15" s="1"/>
  <c r="I862" i="15"/>
  <c r="F863" i="14"/>
  <c r="I1773" i="15"/>
  <c r="F1774" i="14"/>
  <c r="D525" i="13"/>
  <c r="AR1445" i="5"/>
  <c r="D442" i="13" s="1"/>
  <c r="H775" i="15"/>
  <c r="I782" i="13"/>
  <c r="J775" i="15" s="1"/>
  <c r="G791" i="13"/>
  <c r="D241" i="15"/>
  <c r="D242" i="14"/>
  <c r="H241" i="13"/>
  <c r="G241" i="13"/>
  <c r="H1226" i="15"/>
  <c r="I1233" i="13"/>
  <c r="J1226" i="15" s="1"/>
  <c r="I542" i="15"/>
  <c r="F543" i="14"/>
  <c r="I1493" i="15"/>
  <c r="F1494" i="14"/>
  <c r="E645" i="10"/>
  <c r="G645" i="10" s="1"/>
  <c r="E1002" i="5"/>
  <c r="G1001" i="5"/>
  <c r="H645" i="10" s="1"/>
  <c r="H1549" i="15"/>
  <c r="I1556" i="13"/>
  <c r="J1549" i="15" s="1"/>
  <c r="D2200" i="15"/>
  <c r="D2201" i="14"/>
  <c r="H2207" i="13"/>
  <c r="G2207" i="13"/>
  <c r="H971" i="15"/>
  <c r="I978" i="13"/>
  <c r="J971" i="15" s="1"/>
  <c r="H1790" i="15"/>
  <c r="F1791" i="14"/>
  <c r="I1797" i="13"/>
  <c r="J1790" i="15" s="1"/>
  <c r="I923" i="15"/>
  <c r="F924" i="14"/>
  <c r="H203" i="15"/>
  <c r="I203" i="13"/>
  <c r="J203" i="15" s="1"/>
  <c r="H1480" i="15"/>
  <c r="I1487" i="13"/>
  <c r="J1480" i="15" s="1"/>
  <c r="D527" i="15"/>
  <c r="D528" i="14"/>
  <c r="H534" i="13"/>
  <c r="H527" i="15" s="1"/>
  <c r="G534" i="13"/>
  <c r="H1544" i="15"/>
  <c r="I1551" i="13"/>
  <c r="J1544" i="15" s="1"/>
  <c r="I980" i="15"/>
  <c r="F981" i="14"/>
  <c r="H1485" i="15"/>
  <c r="I1492" i="13"/>
  <c r="J1485" i="15" s="1"/>
  <c r="I1596" i="15"/>
  <c r="F1597" i="14"/>
  <c r="I1022" i="15"/>
  <c r="F1023" i="14"/>
  <c r="I1199" i="15"/>
  <c r="F1200" i="14"/>
  <c r="H2130" i="15"/>
  <c r="I2137" i="13"/>
  <c r="J2130" i="15" s="1"/>
  <c r="I1805" i="15"/>
  <c r="F1806" i="14"/>
  <c r="H1370" i="15"/>
  <c r="I1377" i="13"/>
  <c r="J1370" i="15" s="1"/>
  <c r="H592" i="15"/>
  <c r="I599" i="13"/>
  <c r="J592" i="15" s="1"/>
  <c r="D1681" i="15"/>
  <c r="D1682" i="14"/>
  <c r="H1688" i="13"/>
  <c r="K1688" i="13"/>
  <c r="G1688" i="13"/>
  <c r="I1501" i="15"/>
  <c r="F1502" i="14"/>
  <c r="I639" i="15"/>
  <c r="F640" i="14"/>
  <c r="D938" i="13"/>
  <c r="F75" i="7"/>
  <c r="D523" i="15"/>
  <c r="D524" i="14"/>
  <c r="H530" i="13"/>
  <c r="H523" i="15" s="1"/>
  <c r="G530" i="13"/>
  <c r="I1027" i="15"/>
  <c r="F1028" i="14"/>
  <c r="I1353" i="15"/>
  <c r="F1354" i="14"/>
  <c r="H1396" i="15"/>
  <c r="I1403" i="13"/>
  <c r="J1396" i="15" s="1"/>
  <c r="D526" i="15"/>
  <c r="D527" i="14"/>
  <c r="H533" i="13"/>
  <c r="H526" i="15" s="1"/>
  <c r="G533" i="13"/>
  <c r="C652" i="6"/>
  <c r="J642" i="6"/>
  <c r="D1026" i="15"/>
  <c r="D1027" i="14"/>
  <c r="K1033" i="13"/>
  <c r="G1033" i="13"/>
  <c r="H1033" i="13"/>
  <c r="H221" i="15"/>
  <c r="I221" i="13"/>
  <c r="J221" i="15" s="1"/>
  <c r="I925" i="15"/>
  <c r="F926" i="14"/>
  <c r="I960" i="15"/>
  <c r="F961" i="14"/>
  <c r="H961" i="15"/>
  <c r="I968" i="13"/>
  <c r="J961" i="15" s="1"/>
  <c r="E590" i="10"/>
  <c r="G590" i="10" s="1"/>
  <c r="E526" i="5"/>
  <c r="G525" i="5"/>
  <c r="H590" i="10" s="1"/>
  <c r="D1693" i="15"/>
  <c r="D1694" i="14"/>
  <c r="H1700" i="13"/>
  <c r="K1700" i="13"/>
  <c r="G1700" i="13"/>
  <c r="H187" i="15"/>
  <c r="I187" i="13"/>
  <c r="J187" i="15" s="1"/>
  <c r="H225" i="15"/>
  <c r="I225" i="13"/>
  <c r="J225" i="15" s="1"/>
  <c r="I1362" i="15"/>
  <c r="F1363" i="14"/>
  <c r="H1371" i="15"/>
  <c r="I1378" i="13"/>
  <c r="J1371" i="15" s="1"/>
  <c r="D247" i="13"/>
  <c r="L419" i="8"/>
  <c r="S1661" i="5"/>
  <c r="H640" i="15"/>
  <c r="I647" i="13"/>
  <c r="J640" i="15" s="1"/>
  <c r="D1731" i="15"/>
  <c r="D1732" i="14"/>
  <c r="H1738" i="13"/>
  <c r="G1738" i="13"/>
  <c r="D1684" i="15"/>
  <c r="D1685" i="14"/>
  <c r="H1691" i="13"/>
  <c r="K1691" i="13"/>
  <c r="G1691" i="13"/>
  <c r="D1737" i="15"/>
  <c r="D1738" i="14"/>
  <c r="H1744" i="13"/>
  <c r="G1744" i="13"/>
  <c r="H963" i="15"/>
  <c r="I970" i="13"/>
  <c r="J963" i="15" s="1"/>
  <c r="I1028" i="15"/>
  <c r="F1029" i="14"/>
  <c r="I1797" i="15"/>
  <c r="F1798" i="14"/>
  <c r="I910" i="15"/>
  <c r="F911" i="14"/>
  <c r="H609" i="15"/>
  <c r="I616" i="13"/>
  <c r="J609" i="15" s="1"/>
  <c r="G652" i="13"/>
  <c r="H962" i="15"/>
  <c r="I969" i="13"/>
  <c r="J962" i="15" s="1"/>
  <c r="D352" i="13"/>
  <c r="E1478" i="5"/>
  <c r="AG1478" i="5" s="1"/>
  <c r="AU1478" i="5" s="1"/>
  <c r="AE1478" i="5"/>
  <c r="D343" i="15"/>
  <c r="D344" i="14"/>
  <c r="K350" i="13"/>
  <c r="H350" i="13"/>
  <c r="G350" i="13"/>
  <c r="I1505" i="15"/>
  <c r="F1506" i="14"/>
  <c r="H2192" i="15"/>
  <c r="I2199" i="13"/>
  <c r="J2192" i="15" s="1"/>
  <c r="G270" i="10"/>
  <c r="H87" i="15"/>
  <c r="F88" i="14"/>
  <c r="I87" i="13"/>
  <c r="J87" i="15" s="1"/>
  <c r="J507" i="15"/>
  <c r="I507" i="15"/>
  <c r="I1504" i="15"/>
  <c r="F1505" i="14"/>
  <c r="H1491" i="15"/>
  <c r="I1498" i="13"/>
  <c r="J1491" i="15" s="1"/>
  <c r="D1581" i="13"/>
  <c r="E461" i="9"/>
  <c r="E484" i="9" s="1"/>
  <c r="B485" i="9" s="1"/>
  <c r="H1597" i="15"/>
  <c r="I1604" i="13"/>
  <c r="J1597" i="15" s="1"/>
  <c r="AG1470" i="5"/>
  <c r="AU1470" i="5" s="1"/>
  <c r="I1214" i="15"/>
  <c r="F1215" i="14"/>
  <c r="M113" i="4"/>
  <c r="Q113" i="4" s="1"/>
  <c r="M112" i="4"/>
  <c r="Q112" i="4" s="1"/>
  <c r="I913" i="15"/>
  <c r="F914" i="14"/>
  <c r="I2121" i="15"/>
  <c r="F2122" i="14"/>
  <c r="H199" i="15"/>
  <c r="I199" i="13"/>
  <c r="J199" i="15" s="1"/>
  <c r="H180" i="15"/>
  <c r="I180" i="13"/>
  <c r="J180" i="15" s="1"/>
  <c r="I904" i="15"/>
  <c r="F905" i="14"/>
  <c r="D979" i="15"/>
  <c r="D980" i="14"/>
  <c r="K986" i="13"/>
  <c r="G986" i="13"/>
  <c r="H986" i="13"/>
  <c r="I181" i="15"/>
  <c r="F182" i="14"/>
  <c r="H202" i="15"/>
  <c r="I202" i="13"/>
  <c r="J202" i="15" s="1"/>
  <c r="H638" i="15"/>
  <c r="I645" i="13"/>
  <c r="J638" i="15" s="1"/>
  <c r="H1484" i="15"/>
  <c r="I1491" i="13"/>
  <c r="J1484" i="15" s="1"/>
  <c r="E548" i="10"/>
  <c r="G548" i="10" s="1"/>
  <c r="E945" i="5"/>
  <c r="G944" i="5"/>
  <c r="H548" i="10" s="1"/>
  <c r="I1035" i="15"/>
  <c r="F1036" i="14"/>
  <c r="I2043" i="15"/>
  <c r="F2044" i="14"/>
  <c r="I219" i="15"/>
  <c r="F220" i="14"/>
  <c r="I653" i="15"/>
  <c r="F654" i="14"/>
  <c r="I1533" i="15"/>
  <c r="F1534" i="14"/>
  <c r="D1355" i="15"/>
  <c r="D1356" i="14"/>
  <c r="K1362" i="13"/>
  <c r="H1362" i="13"/>
  <c r="G1362" i="13"/>
  <c r="I262" i="15"/>
  <c r="F263" i="14"/>
  <c r="I1677" i="15"/>
  <c r="F1678" i="14"/>
  <c r="I1503" i="15"/>
  <c r="F1504" i="14"/>
  <c r="H1496" i="15"/>
  <c r="I1503" i="13"/>
  <c r="J1496" i="15" s="1"/>
  <c r="H1369" i="15"/>
  <c r="I1376" i="13"/>
  <c r="J1369" i="15" s="1"/>
  <c r="I321" i="15"/>
  <c r="F322" i="14"/>
  <c r="I950" i="15"/>
  <c r="F951" i="14"/>
  <c r="I226" i="15"/>
  <c r="F227" i="14"/>
  <c r="I1540" i="15"/>
  <c r="F1541" i="14"/>
  <c r="I968" i="15"/>
  <c r="F969" i="14"/>
  <c r="E237" i="10"/>
  <c r="E664" i="5"/>
  <c r="F663" i="5"/>
  <c r="F237" i="10" s="1"/>
  <c r="E698" i="5"/>
  <c r="D2053" i="15"/>
  <c r="D2054" i="14"/>
  <c r="K2060" i="13"/>
  <c r="H2060" i="13"/>
  <c r="G2060" i="13"/>
  <c r="H594" i="15"/>
  <c r="I601" i="13"/>
  <c r="J594" i="15" s="1"/>
  <c r="D1558" i="15"/>
  <c r="D1559" i="14"/>
  <c r="K1565" i="13"/>
  <c r="H1565" i="13"/>
  <c r="G1565" i="13"/>
  <c r="D1600" i="15"/>
  <c r="D1601" i="14"/>
  <c r="H1607" i="13"/>
  <c r="G1607" i="13"/>
  <c r="D364" i="15"/>
  <c r="D365" i="14"/>
  <c r="H371" i="13"/>
  <c r="G371" i="13"/>
  <c r="H970" i="15"/>
  <c r="I977" i="13"/>
  <c r="J970" i="15" s="1"/>
  <c r="D2145" i="13"/>
  <c r="E670" i="6"/>
  <c r="C672" i="6"/>
  <c r="I775" i="15"/>
  <c r="F776" i="14"/>
  <c r="H791" i="13"/>
  <c r="I784" i="15" s="1"/>
  <c r="I1521" i="15"/>
  <c r="F1522" i="14"/>
  <c r="H1367" i="15"/>
  <c r="I1374" i="13"/>
  <c r="J1367" i="15" s="1"/>
  <c r="I865" i="15"/>
  <c r="F866" i="14"/>
  <c r="I1226" i="15"/>
  <c r="F1227" i="14"/>
  <c r="D2055" i="13"/>
  <c r="E540" i="6"/>
  <c r="H1610" i="15"/>
  <c r="I1617" i="13"/>
  <c r="J1610" i="15" s="1"/>
  <c r="H1565" i="15"/>
  <c r="I1572" i="13"/>
  <c r="J1565" i="15" s="1"/>
  <c r="H959" i="15"/>
  <c r="I966" i="13"/>
  <c r="J959" i="15" s="1"/>
  <c r="H965" i="15"/>
  <c r="I972" i="13"/>
  <c r="J965" i="15" s="1"/>
  <c r="D1527" i="15"/>
  <c r="D1528" i="14"/>
  <c r="H1534" i="13"/>
  <c r="G1534" i="13"/>
  <c r="I1007" i="15"/>
  <c r="F1008" i="14"/>
  <c r="D2132" i="15"/>
  <c r="D2133" i="14"/>
  <c r="K2139" i="13"/>
  <c r="H2139" i="13"/>
  <c r="G2139" i="13"/>
  <c r="H206" i="15"/>
  <c r="I206" i="13"/>
  <c r="J206" i="15" s="1"/>
  <c r="G1408" i="13"/>
  <c r="I1549" i="15"/>
  <c r="F1550" i="14"/>
  <c r="I1545" i="15"/>
  <c r="F1546" i="14"/>
  <c r="H316" i="15"/>
  <c r="I316" i="13"/>
  <c r="J316" i="15" s="1"/>
  <c r="H204" i="15"/>
  <c r="I204" i="13"/>
  <c r="J204" i="15" s="1"/>
  <c r="H541" i="15"/>
  <c r="I548" i="13"/>
  <c r="J541" i="15" s="1"/>
  <c r="D693" i="15"/>
  <c r="D694" i="14"/>
  <c r="H700" i="13"/>
  <c r="K700" i="13"/>
  <c r="G700" i="13"/>
  <c r="H924" i="15"/>
  <c r="I931" i="13"/>
  <c r="J924" i="15" s="1"/>
  <c r="D1740" i="15"/>
  <c r="D1741" i="14"/>
  <c r="H1747" i="13"/>
  <c r="G1747" i="13"/>
  <c r="D1713" i="13"/>
  <c r="E242" i="4"/>
  <c r="D1737" i="13"/>
  <c r="L216" i="4"/>
  <c r="I791" i="15"/>
  <c r="F792" i="14"/>
  <c r="I964" i="15"/>
  <c r="F965" i="14"/>
  <c r="I971" i="15"/>
  <c r="F972" i="14"/>
  <c r="H1377" i="15"/>
  <c r="I1384" i="13"/>
  <c r="J1377" i="15" s="1"/>
  <c r="I1531" i="15"/>
  <c r="F1532" i="14"/>
  <c r="H908" i="15"/>
  <c r="I915" i="13"/>
  <c r="J908" i="15" s="1"/>
  <c r="H182" i="15"/>
  <c r="I182" i="13"/>
  <c r="J182" i="15" s="1"/>
  <c r="D524" i="15"/>
  <c r="D525" i="14"/>
  <c r="H531" i="13"/>
  <c r="H524" i="15" s="1"/>
  <c r="G531" i="13"/>
  <c r="H750" i="10"/>
  <c r="S1531" i="5"/>
  <c r="T1531" i="5" s="1"/>
  <c r="C1541" i="5" s="1"/>
  <c r="D536" i="15"/>
  <c r="D537" i="14"/>
  <c r="H543" i="13"/>
  <c r="K543" i="13"/>
  <c r="G543" i="13"/>
  <c r="I203" i="15"/>
  <c r="F204" i="14"/>
  <c r="H1498" i="15"/>
  <c r="I1505" i="13"/>
  <c r="J1498" i="15" s="1"/>
  <c r="D1551" i="15"/>
  <c r="D1552" i="14"/>
  <c r="K1558" i="13"/>
  <c r="H1558" i="13"/>
  <c r="G1558" i="13"/>
  <c r="I1603" i="15"/>
  <c r="F1604" i="14"/>
  <c r="D2142" i="13"/>
  <c r="C673" i="6"/>
  <c r="E667" i="6"/>
  <c r="I267" i="15"/>
  <c r="F268" i="14"/>
  <c r="I1544" i="15"/>
  <c r="F1545" i="14"/>
  <c r="D320" i="15"/>
  <c r="D321" i="14"/>
  <c r="K320" i="13"/>
  <c r="H320" i="13"/>
  <c r="H322" i="13" s="1"/>
  <c r="I322" i="15" s="1"/>
  <c r="G320" i="13"/>
  <c r="G322" i="13" s="1"/>
  <c r="I1025" i="15"/>
  <c r="F1026" i="14"/>
  <c r="H902" i="15"/>
  <c r="I909" i="13"/>
  <c r="J902" i="15" s="1"/>
  <c r="I914" i="15"/>
  <c r="F915" i="14"/>
  <c r="I2081" i="15"/>
  <c r="F2082" i="14"/>
  <c r="H980" i="15"/>
  <c r="I987" i="13"/>
  <c r="J980" i="15" s="1"/>
  <c r="H1495" i="15"/>
  <c r="I1502" i="13"/>
  <c r="J1495" i="15" s="1"/>
  <c r="D1530" i="15"/>
  <c r="D1531" i="14"/>
  <c r="H1537" i="13"/>
  <c r="G1537" i="13"/>
  <c r="H1022" i="15"/>
  <c r="I1029" i="13"/>
  <c r="J1022" i="15" s="1"/>
  <c r="I903" i="15"/>
  <c r="F904" i="14"/>
  <c r="I2130" i="15"/>
  <c r="F2131" i="14"/>
  <c r="H1786" i="15"/>
  <c r="I1793" i="13"/>
  <c r="J1786" i="15" s="1"/>
  <c r="I179" i="15"/>
  <c r="F180" i="14"/>
  <c r="H185" i="15"/>
  <c r="I185" i="13"/>
  <c r="J185" i="15" s="1"/>
  <c r="I1370" i="15"/>
  <c r="F1371" i="14"/>
  <c r="I543" i="15"/>
  <c r="F544" i="14"/>
  <c r="I592" i="15"/>
  <c r="F593" i="14"/>
  <c r="I325" i="15"/>
  <c r="F326" i="14"/>
  <c r="H1488" i="15"/>
  <c r="I1495" i="13"/>
  <c r="J1488" i="15" s="1"/>
  <c r="H1550" i="15"/>
  <c r="I1557" i="13"/>
  <c r="J1550" i="15" s="1"/>
  <c r="E606" i="10"/>
  <c r="G606" i="10" s="1"/>
  <c r="E542" i="5"/>
  <c r="G541" i="5"/>
  <c r="H606" i="10" s="1"/>
  <c r="H318" i="15"/>
  <c r="I318" i="13"/>
  <c r="J318" i="15" s="1"/>
  <c r="I186" i="15"/>
  <c r="F187" i="14"/>
  <c r="H222" i="15"/>
  <c r="I222" i="13"/>
  <c r="J222" i="15" s="1"/>
  <c r="E729" i="10"/>
  <c r="G729" i="10" s="1"/>
  <c r="E1046" i="5"/>
  <c r="G1045" i="5"/>
  <c r="H729" i="10" s="1"/>
  <c r="E671" i="10"/>
  <c r="G671" i="10" s="1"/>
  <c r="E567" i="5"/>
  <c r="G566" i="5"/>
  <c r="H671" i="10" s="1"/>
  <c r="D936" i="13"/>
  <c r="F73" i="7"/>
  <c r="D926" i="15"/>
  <c r="D927" i="14"/>
  <c r="K933" i="13"/>
  <c r="H933" i="13"/>
  <c r="G933" i="13"/>
  <c r="I2049" i="15"/>
  <c r="F2050" i="14"/>
  <c r="D969" i="15"/>
  <c r="D970" i="14"/>
  <c r="K976" i="13"/>
  <c r="H976" i="13"/>
  <c r="G976" i="13"/>
  <c r="J491" i="15"/>
  <c r="I491" i="15"/>
  <c r="I539" i="15"/>
  <c r="F540" i="14"/>
  <c r="H1027" i="15"/>
  <c r="I1034" i="13"/>
  <c r="J1027" i="15" s="1"/>
  <c r="H2044" i="15"/>
  <c r="I2051" i="13"/>
  <c r="J2044" i="15" s="1"/>
  <c r="J424" i="15"/>
  <c r="I424" i="15"/>
  <c r="I1396" i="15"/>
  <c r="F1397" i="14"/>
  <c r="G25" i="10"/>
  <c r="D1554" i="15"/>
  <c r="D1555" i="14"/>
  <c r="K1561" i="13"/>
  <c r="H1561" i="13"/>
  <c r="G1561" i="13"/>
  <c r="D1520" i="15"/>
  <c r="D1521" i="14"/>
  <c r="K1527" i="13"/>
  <c r="H1527" i="13"/>
  <c r="G1527" i="13"/>
  <c r="G1530" i="13" s="1"/>
  <c r="D494" i="13"/>
  <c r="BJ1486" i="5"/>
  <c r="D411" i="13" s="1"/>
  <c r="V1486" i="5"/>
  <c r="BL1486" i="5" s="1"/>
  <c r="H1213" i="15"/>
  <c r="I1220" i="13"/>
  <c r="J1213" i="15" s="1"/>
  <c r="J646" i="6"/>
  <c r="C666" i="6"/>
  <c r="D2193" i="13"/>
  <c r="L641" i="6"/>
  <c r="H1487" i="15"/>
  <c r="I1494" i="13"/>
  <c r="J1487" i="15" s="1"/>
  <c r="P165" i="4"/>
  <c r="P198" i="4" s="1"/>
  <c r="P164" i="4"/>
  <c r="P205" i="4" s="1"/>
  <c r="P206" i="4" s="1"/>
  <c r="D201" i="13"/>
  <c r="L348" i="8"/>
  <c r="L367" i="8" s="1"/>
  <c r="B369" i="8" s="1"/>
  <c r="J414" i="8"/>
  <c r="G224" i="5" l="1"/>
  <c r="H87" i="10" s="1"/>
  <c r="G697" i="5"/>
  <c r="H271" i="10" s="1"/>
  <c r="G190" i="5"/>
  <c r="H53" i="10" s="1"/>
  <c r="L2237" i="5"/>
  <c r="L2238" i="5"/>
  <c r="H1548" i="13"/>
  <c r="I1541" i="15" s="1"/>
  <c r="I448" i="13"/>
  <c r="J441" i="15" s="1"/>
  <c r="I491" i="13"/>
  <c r="I484" i="15" s="1"/>
  <c r="G1548" i="13"/>
  <c r="H1541" i="15" s="1"/>
  <c r="I530" i="13"/>
  <c r="J523" i="15" s="1"/>
  <c r="G196" i="13"/>
  <c r="H196" i="15" s="1"/>
  <c r="G236" i="13"/>
  <c r="F237" i="14" s="1"/>
  <c r="I531" i="13"/>
  <c r="J524" i="15" s="1"/>
  <c r="I534" i="13"/>
  <c r="J527" i="15" s="1"/>
  <c r="I451" i="13"/>
  <c r="I444" i="15" s="1"/>
  <c r="I447" i="13"/>
  <c r="I440" i="15" s="1"/>
  <c r="I487" i="13"/>
  <c r="J480" i="15" s="1"/>
  <c r="I532" i="13"/>
  <c r="J525" i="15" s="1"/>
  <c r="I533" i="13"/>
  <c r="J526" i="15" s="1"/>
  <c r="I450" i="13"/>
  <c r="J443" i="15" s="1"/>
  <c r="I196" i="13"/>
  <c r="J196" i="15" s="1"/>
  <c r="H236" i="15"/>
  <c r="H1554" i="15"/>
  <c r="I1561" i="13"/>
  <c r="J1554" i="15" s="1"/>
  <c r="I1740" i="15"/>
  <c r="F1741" i="14"/>
  <c r="H1401" i="15"/>
  <c r="F1402" i="14"/>
  <c r="H1523" i="15"/>
  <c r="F1524" i="14"/>
  <c r="H1598" i="15"/>
  <c r="I1605" i="13"/>
  <c r="J1598" i="15" s="1"/>
  <c r="H1575" i="15"/>
  <c r="I1582" i="13"/>
  <c r="J1575" i="15" s="1"/>
  <c r="H1539" i="15"/>
  <c r="I1546" i="13"/>
  <c r="J1539" i="15" s="1"/>
  <c r="H951" i="15"/>
  <c r="I958" i="13"/>
  <c r="J951" i="15" s="1"/>
  <c r="D2197" i="15"/>
  <c r="D2198" i="14"/>
  <c r="H2204" i="13"/>
  <c r="G2204" i="13"/>
  <c r="D490" i="13"/>
  <c r="BJ1482" i="5"/>
  <c r="D407" i="13" s="1"/>
  <c r="V1482" i="5"/>
  <c r="BL1482" i="5" s="1"/>
  <c r="I986" i="15"/>
  <c r="F987" i="14"/>
  <c r="D2196" i="15"/>
  <c r="D2197" i="14"/>
  <c r="H2203" i="13"/>
  <c r="G2203" i="13"/>
  <c r="I1726" i="15"/>
  <c r="F1727" i="14"/>
  <c r="I1727" i="15"/>
  <c r="F1728" i="14"/>
  <c r="I1738" i="15"/>
  <c r="F1739" i="14"/>
  <c r="I927" i="15"/>
  <c r="F928" i="14"/>
  <c r="H205" i="15"/>
  <c r="I205" i="13"/>
  <c r="J205" i="15" s="1"/>
  <c r="I224" i="15"/>
  <c r="F225" i="14"/>
  <c r="E509" i="10"/>
  <c r="G509" i="10" s="1"/>
  <c r="E485" i="5"/>
  <c r="G484" i="5"/>
  <c r="H509" i="10" s="1"/>
  <c r="D2133" i="13"/>
  <c r="E658" i="6"/>
  <c r="I1679" i="15"/>
  <c r="F1680" i="14"/>
  <c r="I1728" i="15"/>
  <c r="F1729" i="14"/>
  <c r="I2143" i="15"/>
  <c r="F2144" i="14"/>
  <c r="I694" i="15"/>
  <c r="F695" i="14"/>
  <c r="H1701" i="15"/>
  <c r="I1708" i="13"/>
  <c r="J1701" i="15" s="1"/>
  <c r="I244" i="15"/>
  <c r="F245" i="14"/>
  <c r="E485" i="10"/>
  <c r="G485" i="10" s="1"/>
  <c r="E922" i="5"/>
  <c r="G921" i="5"/>
  <c r="H485" i="10" s="1"/>
  <c r="I1707" i="15"/>
  <c r="F1708" i="14"/>
  <c r="H749" i="10"/>
  <c r="H748" i="10" s="1"/>
  <c r="G750" i="10"/>
  <c r="G786" i="10" s="1"/>
  <c r="H786" i="10" s="1"/>
  <c r="H785" i="10" s="1"/>
  <c r="H693" i="15"/>
  <c r="I700" i="13"/>
  <c r="J693" i="15" s="1"/>
  <c r="D2147" i="13"/>
  <c r="E672" i="6"/>
  <c r="H2053" i="15"/>
  <c r="I2060" i="13"/>
  <c r="J2053" i="15" s="1"/>
  <c r="E238" i="10"/>
  <c r="E665" i="5"/>
  <c r="F664" i="5"/>
  <c r="F238" i="10" s="1"/>
  <c r="E699" i="5"/>
  <c r="H343" i="15"/>
  <c r="I350" i="13"/>
  <c r="J343" i="15" s="1"/>
  <c r="H1693" i="15"/>
  <c r="I1700" i="13"/>
  <c r="J1693" i="15" s="1"/>
  <c r="D2127" i="13"/>
  <c r="C654" i="6"/>
  <c r="E652" i="6"/>
  <c r="D931" i="15"/>
  <c r="D932" i="14"/>
  <c r="K938" i="13"/>
  <c r="H938" i="13"/>
  <c r="G938" i="13"/>
  <c r="E646" i="10"/>
  <c r="G646" i="10" s="1"/>
  <c r="E1003" i="5"/>
  <c r="G1002" i="5"/>
  <c r="H646" i="10" s="1"/>
  <c r="H241" i="15"/>
  <c r="I241" i="13"/>
  <c r="J241" i="15" s="1"/>
  <c r="H784" i="15"/>
  <c r="F785" i="14"/>
  <c r="I791" i="13"/>
  <c r="J784" i="15" s="1"/>
  <c r="D518" i="15"/>
  <c r="D519" i="14"/>
  <c r="H525" i="13"/>
  <c r="H518" i="15" s="1"/>
  <c r="G525" i="13"/>
  <c r="I184" i="15"/>
  <c r="F185" i="14"/>
  <c r="I984" i="15"/>
  <c r="F985" i="14"/>
  <c r="H200" i="15"/>
  <c r="I200" i="13"/>
  <c r="J200" i="15" s="1"/>
  <c r="D2131" i="13"/>
  <c r="E656" i="6"/>
  <c r="I1598" i="15"/>
  <c r="F1599" i="14"/>
  <c r="I1575" i="15"/>
  <c r="F1576" i="14"/>
  <c r="I1539" i="15"/>
  <c r="F1540" i="14"/>
  <c r="E567" i="10"/>
  <c r="G567" i="10" s="1"/>
  <c r="E964" i="5"/>
  <c r="G963" i="5"/>
  <c r="H567" i="10" s="1"/>
  <c r="I799" i="15"/>
  <c r="F800" i="14"/>
  <c r="H817" i="13"/>
  <c r="I810" i="15" s="1"/>
  <c r="I951" i="15"/>
  <c r="F952" i="14"/>
  <c r="I1036" i="15"/>
  <c r="F1037" i="14"/>
  <c r="I183" i="15"/>
  <c r="F184" i="14"/>
  <c r="H966" i="15"/>
  <c r="I973" i="13"/>
  <c r="J966" i="15" s="1"/>
  <c r="H1397" i="15"/>
  <c r="I1404" i="13"/>
  <c r="J1397" i="15" s="1"/>
  <c r="I1601" i="15"/>
  <c r="F1602" i="14"/>
  <c r="I1552" i="15"/>
  <c r="F1553" i="14"/>
  <c r="H654" i="15"/>
  <c r="I661" i="13"/>
  <c r="J654" i="15" s="1"/>
  <c r="H810" i="15"/>
  <c r="F811" i="14"/>
  <c r="H1680" i="15"/>
  <c r="I1687" i="13"/>
  <c r="J1680" i="15" s="1"/>
  <c r="D2047" i="15"/>
  <c r="D2048" i="14"/>
  <c r="H2054" i="13"/>
  <c r="K2054" i="13"/>
  <c r="G2054" i="13"/>
  <c r="E364" i="10"/>
  <c r="G364" i="10" s="1"/>
  <c r="E791" i="5"/>
  <c r="G790" i="5"/>
  <c r="H364" i="10" s="1"/>
  <c r="H1529" i="15"/>
  <c r="I1536" i="13"/>
  <c r="J1529" i="15" s="1"/>
  <c r="I2046" i="15"/>
  <c r="F2047" i="14"/>
  <c r="D988" i="15"/>
  <c r="D989" i="14"/>
  <c r="K995" i="13"/>
  <c r="H995" i="13"/>
  <c r="G995" i="13"/>
  <c r="H236" i="10"/>
  <c r="D481" i="15"/>
  <c r="D482" i="14"/>
  <c r="K488" i="13"/>
  <c r="H488" i="13"/>
  <c r="H481" i="15" s="1"/>
  <c r="G488" i="13"/>
  <c r="H274" i="15"/>
  <c r="I274" i="13"/>
  <c r="J274" i="15" s="1"/>
  <c r="J484" i="15"/>
  <c r="I266" i="15"/>
  <c r="F267" i="14"/>
  <c r="D405" i="15"/>
  <c r="D406" i="14"/>
  <c r="H412" i="13"/>
  <c r="H405" i="15" s="1"/>
  <c r="K412" i="13"/>
  <c r="G412" i="13"/>
  <c r="I412" i="13" s="1"/>
  <c r="I2052" i="15"/>
  <c r="F2053" i="14"/>
  <c r="I205" i="15"/>
  <c r="F206" i="14"/>
  <c r="E61" i="10"/>
  <c r="E226" i="5"/>
  <c r="F225" i="5"/>
  <c r="F61" i="10" s="1"/>
  <c r="I1008" i="15"/>
  <c r="F1009" i="14"/>
  <c r="H985" i="15"/>
  <c r="I992" i="13"/>
  <c r="J985" i="15" s="1"/>
  <c r="H1067" i="15"/>
  <c r="I1074" i="13"/>
  <c r="J1067" i="15" s="1"/>
  <c r="I1569" i="15"/>
  <c r="F1570" i="14"/>
  <c r="D2132" i="13"/>
  <c r="E657" i="6"/>
  <c r="D2135" i="13"/>
  <c r="E660" i="6"/>
  <c r="I269" i="15"/>
  <c r="F270" i="14"/>
  <c r="I1590" i="15"/>
  <c r="F1591" i="14"/>
  <c r="I223" i="15"/>
  <c r="F224" i="14"/>
  <c r="D516" i="15"/>
  <c r="D517" i="14"/>
  <c r="H523" i="13"/>
  <c r="G523" i="13"/>
  <c r="H2201" i="15"/>
  <c r="I2208" i="13"/>
  <c r="J2201" i="15" s="1"/>
  <c r="I1687" i="15"/>
  <c r="F1688" i="14"/>
  <c r="I1739" i="15"/>
  <c r="F1740" i="14"/>
  <c r="H847" i="15"/>
  <c r="F848" i="14"/>
  <c r="I854" i="13"/>
  <c r="J847" i="15" s="1"/>
  <c r="I246" i="15"/>
  <c r="F247" i="14"/>
  <c r="D414" i="15"/>
  <c r="D415" i="14"/>
  <c r="H421" i="13"/>
  <c r="H414" i="15" s="1"/>
  <c r="K421" i="13"/>
  <c r="G421" i="13"/>
  <c r="I2131" i="15"/>
  <c r="F2132" i="14"/>
  <c r="I1538" i="15"/>
  <c r="F1539" i="14"/>
  <c r="H1519" i="15"/>
  <c r="I1526" i="13"/>
  <c r="J1519" i="15" s="1"/>
  <c r="E467" i="10"/>
  <c r="G467" i="10" s="1"/>
  <c r="E904" i="5"/>
  <c r="G903" i="5"/>
  <c r="H467" i="10" s="1"/>
  <c r="H362" i="15"/>
  <c r="I369" i="13"/>
  <c r="J362" i="15" s="1"/>
  <c r="G374" i="13"/>
  <c r="H329" i="15"/>
  <c r="I329" i="13"/>
  <c r="J329" i="15" s="1"/>
  <c r="G330" i="13"/>
  <c r="D399" i="15"/>
  <c r="D400" i="14"/>
  <c r="H406" i="13"/>
  <c r="H399" i="15" s="1"/>
  <c r="K406" i="13"/>
  <c r="G406" i="13"/>
  <c r="I1690" i="15"/>
  <c r="F1691" i="14"/>
  <c r="I1537" i="15"/>
  <c r="F1538" i="14"/>
  <c r="H2082" i="15"/>
  <c r="I2089" i="13"/>
  <c r="J2082" i="15" s="1"/>
  <c r="D201" i="15"/>
  <c r="D202" i="14"/>
  <c r="H201" i="13"/>
  <c r="G201" i="13"/>
  <c r="I1520" i="15"/>
  <c r="F1521" i="14"/>
  <c r="E730" i="10"/>
  <c r="G730" i="10" s="1"/>
  <c r="E1047" i="5"/>
  <c r="G1046" i="5"/>
  <c r="H730" i="10" s="1"/>
  <c r="D553" i="13"/>
  <c r="C1540" i="5"/>
  <c r="S1545" i="5"/>
  <c r="C1543" i="5"/>
  <c r="J1541" i="5"/>
  <c r="D1730" i="15"/>
  <c r="D1731" i="14"/>
  <c r="H1737" i="13"/>
  <c r="G1737" i="13"/>
  <c r="I2132" i="15"/>
  <c r="F2133" i="14"/>
  <c r="I1355" i="15"/>
  <c r="F1356" i="14"/>
  <c r="I1731" i="15"/>
  <c r="F1732" i="14"/>
  <c r="D2194" i="13"/>
  <c r="L642" i="6"/>
  <c r="I1681" i="15"/>
  <c r="F1682" i="14"/>
  <c r="D435" i="15"/>
  <c r="D436" i="14"/>
  <c r="H442" i="13"/>
  <c r="H435" i="15" s="1"/>
  <c r="G442" i="13"/>
  <c r="I2084" i="15"/>
  <c r="F2085" i="14"/>
  <c r="H184" i="15"/>
  <c r="I184" i="13"/>
  <c r="J184" i="15" s="1"/>
  <c r="H1601" i="15"/>
  <c r="I1608" i="13"/>
  <c r="J1601" i="15" s="1"/>
  <c r="H692" i="15"/>
  <c r="I699" i="13"/>
  <c r="J692" i="15" s="1"/>
  <c r="D1612" i="15"/>
  <c r="D1613" i="14"/>
  <c r="H1619" i="13"/>
  <c r="H1621" i="13" s="1"/>
  <c r="I1614" i="15" s="1"/>
  <c r="G1619" i="13"/>
  <c r="E110" i="10"/>
  <c r="G110" i="10" s="1"/>
  <c r="E275" i="5"/>
  <c r="G274" i="5"/>
  <c r="H137" i="10" s="1"/>
  <c r="D706" i="15"/>
  <c r="D707" i="14"/>
  <c r="H713" i="13"/>
  <c r="G713" i="13"/>
  <c r="I1067" i="15"/>
  <c r="F1068" i="14"/>
  <c r="I1699" i="15"/>
  <c r="F1700" i="14"/>
  <c r="H1569" i="15"/>
  <c r="I1576" i="13"/>
  <c r="J1569" i="15" s="1"/>
  <c r="H1590" i="15"/>
  <c r="I1597" i="13"/>
  <c r="J1590" i="15" s="1"/>
  <c r="H1739" i="15"/>
  <c r="I1746" i="13"/>
  <c r="J1739" i="15" s="1"/>
  <c r="H2144" i="15"/>
  <c r="I2151" i="13"/>
  <c r="J2144" i="15" s="1"/>
  <c r="H1704" i="15"/>
  <c r="I1711" i="13"/>
  <c r="J1704" i="15" s="1"/>
  <c r="I652" i="15"/>
  <c r="F653" i="14"/>
  <c r="H665" i="13"/>
  <c r="I658" i="15" s="1"/>
  <c r="H1538" i="15"/>
  <c r="I1545" i="13"/>
  <c r="J1538" i="15" s="1"/>
  <c r="I983" i="15"/>
  <c r="F984" i="14"/>
  <c r="H1537" i="15"/>
  <c r="I1544" i="13"/>
  <c r="J1537" i="15" s="1"/>
  <c r="D2198" i="13"/>
  <c r="L646" i="6"/>
  <c r="I1554" i="15"/>
  <c r="F1555" i="14"/>
  <c r="I536" i="15"/>
  <c r="F537" i="14"/>
  <c r="D487" i="15"/>
  <c r="D488" i="14"/>
  <c r="K494" i="13"/>
  <c r="H494" i="13"/>
  <c r="H487" i="15" s="1"/>
  <c r="G494" i="13"/>
  <c r="E607" i="10"/>
  <c r="G607" i="10" s="1"/>
  <c r="E543" i="5"/>
  <c r="G542" i="5"/>
  <c r="H607" i="10" s="1"/>
  <c r="I196" i="15"/>
  <c r="I1530" i="15"/>
  <c r="F1531" i="14"/>
  <c r="D2148" i="13"/>
  <c r="E673" i="6"/>
  <c r="H1551" i="15"/>
  <c r="I1558" i="13"/>
  <c r="J1551" i="15" s="1"/>
  <c r="I524" i="15"/>
  <c r="D1706" i="15"/>
  <c r="D1707" i="14"/>
  <c r="H1713" i="13"/>
  <c r="K1713" i="13"/>
  <c r="G1713" i="13"/>
  <c r="H1527" i="15"/>
  <c r="I1534" i="13"/>
  <c r="J1527" i="15" s="1"/>
  <c r="H364" i="15"/>
  <c r="I371" i="13"/>
  <c r="J364" i="15" s="1"/>
  <c r="H1600" i="15"/>
  <c r="I1607" i="13"/>
  <c r="J1600" i="15" s="1"/>
  <c r="H1558" i="15"/>
  <c r="I1565" i="13"/>
  <c r="J1558" i="15" s="1"/>
  <c r="I2053" i="15"/>
  <c r="F2054" i="14"/>
  <c r="G663" i="5"/>
  <c r="H237" i="10" s="1"/>
  <c r="G237" i="10"/>
  <c r="I979" i="15"/>
  <c r="F980" i="14"/>
  <c r="G1621" i="13"/>
  <c r="D1574" i="15"/>
  <c r="D1575" i="14"/>
  <c r="K1581" i="13"/>
  <c r="H1581" i="13"/>
  <c r="G1581" i="13"/>
  <c r="I343" i="15"/>
  <c r="F344" i="14"/>
  <c r="D506" i="13"/>
  <c r="AS1478" i="5"/>
  <c r="D423" i="13" s="1"/>
  <c r="H1737" i="15"/>
  <c r="I1744" i="13"/>
  <c r="J1737" i="15" s="1"/>
  <c r="H1684" i="15"/>
  <c r="I1691" i="13"/>
  <c r="J1684" i="15" s="1"/>
  <c r="I1026" i="15"/>
  <c r="F1027" i="14"/>
  <c r="H1681" i="15"/>
  <c r="I1688" i="13"/>
  <c r="J1681" i="15" s="1"/>
  <c r="H2200" i="15"/>
  <c r="I2207" i="13"/>
  <c r="J2200" i="15" s="1"/>
  <c r="I241" i="15"/>
  <c r="F242" i="14"/>
  <c r="I1698" i="15"/>
  <c r="F1699" i="14"/>
  <c r="H909" i="15"/>
  <c r="I916" i="13"/>
  <c r="J909" i="15" s="1"/>
  <c r="H928" i="15"/>
  <c r="I935" i="13"/>
  <c r="J928" i="15" s="1"/>
  <c r="E525" i="10"/>
  <c r="G525" i="10" s="1"/>
  <c r="E501" i="5"/>
  <c r="G500" i="5"/>
  <c r="H525" i="10" s="1"/>
  <c r="H984" i="15"/>
  <c r="I991" i="13"/>
  <c r="J984" i="15" s="1"/>
  <c r="H1528" i="15"/>
  <c r="I1535" i="13"/>
  <c r="J1528" i="15" s="1"/>
  <c r="I200" i="15"/>
  <c r="F201" i="14"/>
  <c r="D2119" i="15"/>
  <c r="D2120" i="14"/>
  <c r="H2126" i="13"/>
  <c r="K2126" i="13"/>
  <c r="G2126" i="13"/>
  <c r="H2194" i="15"/>
  <c r="I2201" i="13"/>
  <c r="J2194" i="15" s="1"/>
  <c r="H1036" i="15"/>
  <c r="I1043" i="13"/>
  <c r="J1036" i="15" s="1"/>
  <c r="H922" i="15"/>
  <c r="I929" i="13"/>
  <c r="J922" i="15" s="1"/>
  <c r="I1397" i="15"/>
  <c r="F1398" i="14"/>
  <c r="H1408" i="13"/>
  <c r="I1401" i="15" s="1"/>
  <c r="I654" i="15"/>
  <c r="F655" i="14"/>
  <c r="D587" i="15"/>
  <c r="D588" i="14"/>
  <c r="H594" i="13"/>
  <c r="G594" i="13"/>
  <c r="B370" i="8"/>
  <c r="I1529" i="15"/>
  <c r="F1530" i="14"/>
  <c r="D2139" i="15"/>
  <c r="D2140" i="14"/>
  <c r="H2146" i="13"/>
  <c r="K2146" i="13"/>
  <c r="G2146" i="13"/>
  <c r="H2193" i="15"/>
  <c r="I2200" i="13"/>
  <c r="J2193" i="15" s="1"/>
  <c r="D398" i="15"/>
  <c r="D399" i="14"/>
  <c r="H405" i="13"/>
  <c r="H398" i="15" s="1"/>
  <c r="K405" i="13"/>
  <c r="G405" i="13"/>
  <c r="I692" i="15"/>
  <c r="F693" i="14"/>
  <c r="I912" i="15"/>
  <c r="F913" i="14"/>
  <c r="H773" i="15"/>
  <c r="F774" i="14"/>
  <c r="I780" i="13"/>
  <c r="J773" i="15" s="1"/>
  <c r="H338" i="15"/>
  <c r="I345" i="13"/>
  <c r="J338" i="15" s="1"/>
  <c r="D488" i="15"/>
  <c r="D489" i="14"/>
  <c r="K495" i="13"/>
  <c r="H495" i="13"/>
  <c r="H488" i="15" s="1"/>
  <c r="G495" i="13"/>
  <c r="H224" i="15"/>
  <c r="I224" i="13"/>
  <c r="J224" i="15" s="1"/>
  <c r="H655" i="15"/>
  <c r="I662" i="13"/>
  <c r="J655" i="15" s="1"/>
  <c r="H1008" i="15"/>
  <c r="I1015" i="13"/>
  <c r="J1008" i="15" s="1"/>
  <c r="I872" i="15"/>
  <c r="F873" i="14"/>
  <c r="I985" i="15"/>
  <c r="F986" i="14"/>
  <c r="H1725" i="15"/>
  <c r="I1732" i="13"/>
  <c r="J1725" i="15" s="1"/>
  <c r="H2045" i="15"/>
  <c r="I2052" i="13"/>
  <c r="J2045" i="15" s="1"/>
  <c r="H1699" i="15"/>
  <c r="I1706" i="13"/>
  <c r="J1699" i="15" s="1"/>
  <c r="H2086" i="13"/>
  <c r="D2134" i="13"/>
  <c r="E659" i="6"/>
  <c r="D2197" i="13"/>
  <c r="L645" i="6"/>
  <c r="H1679" i="15"/>
  <c r="I1686" i="13"/>
  <c r="J1679" i="15" s="1"/>
  <c r="H1807" i="15"/>
  <c r="F1808" i="14"/>
  <c r="I1814" i="13"/>
  <c r="J1807" i="15" s="1"/>
  <c r="D2195" i="15"/>
  <c r="D2196" i="14"/>
  <c r="H2202" i="13"/>
  <c r="G2202" i="13"/>
  <c r="H694" i="15"/>
  <c r="I701" i="13"/>
  <c r="J694" i="15" s="1"/>
  <c r="I1701" i="15"/>
  <c r="F1702" i="14"/>
  <c r="I2201" i="15"/>
  <c r="F2202" i="14"/>
  <c r="H691" i="15"/>
  <c r="I698" i="13"/>
  <c r="J691" i="15" s="1"/>
  <c r="D2198" i="15"/>
  <c r="D2199" i="14"/>
  <c r="H2205" i="13"/>
  <c r="G2205" i="13"/>
  <c r="I1708" i="15"/>
  <c r="F1709" i="14"/>
  <c r="I2144" i="15"/>
  <c r="F2145" i="14"/>
  <c r="I1704" i="15"/>
  <c r="F1705" i="14"/>
  <c r="H213" i="13"/>
  <c r="D2136" i="15"/>
  <c r="D2137" i="14"/>
  <c r="K2143" i="13"/>
  <c r="H2143" i="13"/>
  <c r="G2143" i="13"/>
  <c r="D403" i="15"/>
  <c r="D404" i="14"/>
  <c r="H410" i="13"/>
  <c r="H403" i="15" s="1"/>
  <c r="K410" i="13"/>
  <c r="G410" i="13"/>
  <c r="D497" i="15"/>
  <c r="D498" i="14"/>
  <c r="K504" i="13"/>
  <c r="H504" i="13"/>
  <c r="H497" i="15" s="1"/>
  <c r="G504" i="13"/>
  <c r="I504" i="13" s="1"/>
  <c r="E316" i="10"/>
  <c r="G316" i="10" s="1"/>
  <c r="E743" i="5"/>
  <c r="G742" i="5"/>
  <c r="H316" i="10" s="1"/>
  <c r="I1519" i="15"/>
  <c r="F1520" i="14"/>
  <c r="E27" i="10"/>
  <c r="E192" i="5"/>
  <c r="F191" i="5"/>
  <c r="F27" i="10" s="1"/>
  <c r="E688" i="10"/>
  <c r="G688" i="10" s="1"/>
  <c r="E584" i="5"/>
  <c r="G583" i="5"/>
  <c r="H688" i="10" s="1"/>
  <c r="I1697" i="15"/>
  <c r="F1698" i="14"/>
  <c r="I362" i="15"/>
  <c r="F363" i="14"/>
  <c r="H374" i="13"/>
  <c r="I367" i="15" s="1"/>
  <c r="I329" i="15"/>
  <c r="F330" i="14"/>
  <c r="H330" i="13"/>
  <c r="I330" i="15" s="1"/>
  <c r="H1707" i="15"/>
  <c r="I1714" i="13"/>
  <c r="J1707" i="15" s="1"/>
  <c r="D482" i="15"/>
  <c r="D483" i="14"/>
  <c r="K489" i="13"/>
  <c r="H489" i="13"/>
  <c r="H482" i="15" s="1"/>
  <c r="G489" i="13"/>
  <c r="I2082" i="15"/>
  <c r="F2083" i="14"/>
  <c r="E442" i="10"/>
  <c r="G442" i="10" s="1"/>
  <c r="E458" i="5"/>
  <c r="G457" i="5"/>
  <c r="H442" i="10" s="1"/>
  <c r="D2202" i="15"/>
  <c r="D2203" i="14"/>
  <c r="H2209" i="13"/>
  <c r="H2206" i="13" s="1"/>
  <c r="G2209" i="13"/>
  <c r="D2141" i="13"/>
  <c r="E666" i="6"/>
  <c r="I320" i="15"/>
  <c r="F321" i="14"/>
  <c r="E549" i="10"/>
  <c r="G549" i="10" s="1"/>
  <c r="E946" i="5"/>
  <c r="G945" i="5"/>
  <c r="H549" i="10" s="1"/>
  <c r="D345" i="15"/>
  <c r="D346" i="14"/>
  <c r="K352" i="13"/>
  <c r="H352" i="13"/>
  <c r="G352" i="13"/>
  <c r="I1684" i="15"/>
  <c r="F1685" i="14"/>
  <c r="H1698" i="15"/>
  <c r="I1705" i="13"/>
  <c r="J1698" i="15" s="1"/>
  <c r="I248" i="15"/>
  <c r="F249" i="14"/>
  <c r="I2085" i="15"/>
  <c r="F2086" i="14"/>
  <c r="H183" i="15"/>
  <c r="I183" i="13"/>
  <c r="J183" i="15" s="1"/>
  <c r="H1552" i="15"/>
  <c r="I1559" i="13"/>
  <c r="J1552" i="15" s="1"/>
  <c r="E158" i="10"/>
  <c r="G158" i="10" s="1"/>
  <c r="E323" i="5"/>
  <c r="G322" i="5"/>
  <c r="H185" i="10" s="1"/>
  <c r="I1599" i="15"/>
  <c r="F1600" i="14"/>
  <c r="I1576" i="15"/>
  <c r="F1577" i="14"/>
  <c r="D492" i="15"/>
  <c r="D493" i="14"/>
  <c r="K499" i="13"/>
  <c r="H499" i="13"/>
  <c r="H492" i="15" s="1"/>
  <c r="G499" i="13"/>
  <c r="I245" i="15"/>
  <c r="F246" i="14"/>
  <c r="H2052" i="15"/>
  <c r="I2059" i="13"/>
  <c r="J2052" i="15" s="1"/>
  <c r="H872" i="15"/>
  <c r="I879" i="13"/>
  <c r="J872" i="15" s="1"/>
  <c r="I2045" i="15"/>
  <c r="F2046" i="14"/>
  <c r="D433" i="15"/>
  <c r="D434" i="14"/>
  <c r="H440" i="13"/>
  <c r="H433" i="15" s="1"/>
  <c r="G440" i="13"/>
  <c r="I691" i="15"/>
  <c r="F692" i="14"/>
  <c r="D987" i="15"/>
  <c r="D988" i="14"/>
  <c r="K994" i="13"/>
  <c r="H994" i="13"/>
  <c r="G994" i="13"/>
  <c r="H1708" i="15"/>
  <c r="I1715" i="13"/>
  <c r="J1708" i="15" s="1"/>
  <c r="H246" i="15"/>
  <c r="I246" i="13"/>
  <c r="J246" i="15" s="1"/>
  <c r="H1697" i="15"/>
  <c r="I1704" i="13"/>
  <c r="J1697" i="15" s="1"/>
  <c r="I886" i="15"/>
  <c r="F887" i="14"/>
  <c r="H902" i="13"/>
  <c r="I895" i="15" s="1"/>
  <c r="D489" i="15"/>
  <c r="D490" i="14"/>
  <c r="K496" i="13"/>
  <c r="H496" i="13"/>
  <c r="H489" i="15" s="1"/>
  <c r="G496" i="13"/>
  <c r="B487" i="9"/>
  <c r="H322" i="15"/>
  <c r="F323" i="14"/>
  <c r="I322" i="13"/>
  <c r="J322" i="15" s="1"/>
  <c r="D404" i="15"/>
  <c r="D405" i="14"/>
  <c r="H411" i="13"/>
  <c r="H404" i="15" s="1"/>
  <c r="K411" i="13"/>
  <c r="G411" i="13"/>
  <c r="H926" i="15"/>
  <c r="I933" i="13"/>
  <c r="J926" i="15" s="1"/>
  <c r="E672" i="10"/>
  <c r="G672" i="10" s="1"/>
  <c r="E568" i="5"/>
  <c r="G567" i="5"/>
  <c r="H672" i="10" s="1"/>
  <c r="H1530" i="15"/>
  <c r="I1537" i="13"/>
  <c r="J1530" i="15" s="1"/>
  <c r="D243" i="13"/>
  <c r="L414" i="8"/>
  <c r="L434" i="8" s="1"/>
  <c r="B436" i="8" s="1"/>
  <c r="B437" i="8" s="1"/>
  <c r="H969" i="15"/>
  <c r="I976" i="13"/>
  <c r="J969" i="15" s="1"/>
  <c r="I926" i="15"/>
  <c r="F927" i="14"/>
  <c r="D2186" i="15"/>
  <c r="D2187" i="14"/>
  <c r="H2193" i="13"/>
  <c r="G2193" i="13"/>
  <c r="H1520" i="15"/>
  <c r="I1527" i="13"/>
  <c r="J1520" i="15" s="1"/>
  <c r="I969" i="15"/>
  <c r="F970" i="14"/>
  <c r="D929" i="15"/>
  <c r="D930" i="14"/>
  <c r="K936" i="13"/>
  <c r="H936" i="13"/>
  <c r="G936" i="13"/>
  <c r="H320" i="15"/>
  <c r="I320" i="13"/>
  <c r="J320" i="15" s="1"/>
  <c r="D2135" i="15"/>
  <c r="D2136" i="14"/>
  <c r="H2142" i="13"/>
  <c r="K2142" i="13"/>
  <c r="G2142" i="13"/>
  <c r="I1551" i="15"/>
  <c r="F1552" i="14"/>
  <c r="H536" i="15"/>
  <c r="I543" i="13"/>
  <c r="J536" i="15" s="1"/>
  <c r="H1740" i="15"/>
  <c r="I1747" i="13"/>
  <c r="J1740" i="15" s="1"/>
  <c r="I693" i="15"/>
  <c r="F694" i="14"/>
  <c r="H2132" i="15"/>
  <c r="I2139" i="13"/>
  <c r="J2132" i="15" s="1"/>
  <c r="I1527" i="15"/>
  <c r="F1528" i="14"/>
  <c r="D2048" i="15"/>
  <c r="D2049" i="14"/>
  <c r="H2055" i="13"/>
  <c r="K2055" i="13"/>
  <c r="G2055" i="13"/>
  <c r="D2138" i="15"/>
  <c r="D2139" i="14"/>
  <c r="K2145" i="13"/>
  <c r="H2145" i="13"/>
  <c r="G2145" i="13"/>
  <c r="I364" i="15"/>
  <c r="F365" i="14"/>
  <c r="I1600" i="15"/>
  <c r="F1601" i="14"/>
  <c r="I1558" i="15"/>
  <c r="F1559" i="14"/>
  <c r="E272" i="10"/>
  <c r="F698" i="5"/>
  <c r="F272" i="10" s="1"/>
  <c r="H1355" i="15"/>
  <c r="I1362" i="13"/>
  <c r="J1355" i="15" s="1"/>
  <c r="G1389" i="13"/>
  <c r="H979" i="15"/>
  <c r="I986" i="13"/>
  <c r="J979" i="15" s="1"/>
  <c r="H645" i="15"/>
  <c r="F646" i="14"/>
  <c r="I652" i="13"/>
  <c r="J645" i="15" s="1"/>
  <c r="I1737" i="15"/>
  <c r="F1738" i="14"/>
  <c r="H1731" i="15"/>
  <c r="I1738" i="13"/>
  <c r="J1731" i="15" s="1"/>
  <c r="D247" i="15"/>
  <c r="D248" i="14"/>
  <c r="H247" i="13"/>
  <c r="G247" i="13"/>
  <c r="I1693" i="15"/>
  <c r="F1694" i="14"/>
  <c r="E591" i="10"/>
  <c r="G591" i="10" s="1"/>
  <c r="E527" i="5"/>
  <c r="G526" i="5"/>
  <c r="H591" i="10" s="1"/>
  <c r="H1026" i="15"/>
  <c r="I1033" i="13"/>
  <c r="J1026" i="15" s="1"/>
  <c r="I2200" i="15"/>
  <c r="F2201" i="14"/>
  <c r="H2084" i="15"/>
  <c r="I2091" i="13"/>
  <c r="J2084" i="15" s="1"/>
  <c r="I909" i="15"/>
  <c r="F910" i="14"/>
  <c r="I928" i="15"/>
  <c r="F929" i="14"/>
  <c r="I1528" i="15"/>
  <c r="F1529" i="14"/>
  <c r="D2130" i="13"/>
  <c r="E655" i="6"/>
  <c r="I409" i="13"/>
  <c r="I2194" i="15"/>
  <c r="F2195" i="14"/>
  <c r="H799" i="15"/>
  <c r="I806" i="13"/>
  <c r="J799" i="15" s="1"/>
  <c r="H248" i="15"/>
  <c r="I248" i="13"/>
  <c r="J248" i="15" s="1"/>
  <c r="I922" i="15"/>
  <c r="F923" i="14"/>
  <c r="H2085" i="15"/>
  <c r="I2092" i="13"/>
  <c r="J2085" i="15" s="1"/>
  <c r="I966" i="15"/>
  <c r="F967" i="14"/>
  <c r="E632" i="10"/>
  <c r="G632" i="10" s="1"/>
  <c r="E989" i="5"/>
  <c r="G988" i="5"/>
  <c r="H632" i="10" s="1"/>
  <c r="I1680" i="15"/>
  <c r="F1681" i="14"/>
  <c r="D1720" i="15"/>
  <c r="D1721" i="14"/>
  <c r="H1727" i="13"/>
  <c r="K1727" i="13"/>
  <c r="G1727" i="13"/>
  <c r="H2046" i="15"/>
  <c r="I2053" i="13"/>
  <c r="J2046" i="15" s="1"/>
  <c r="M165" i="4"/>
  <c r="M198" i="4" s="1"/>
  <c r="M164" i="4"/>
  <c r="M205" i="4" s="1"/>
  <c r="I449" i="13"/>
  <c r="H1599" i="15"/>
  <c r="I1606" i="13"/>
  <c r="J1599" i="15" s="1"/>
  <c r="H1576" i="15"/>
  <c r="I1583" i="13"/>
  <c r="J1576" i="15" s="1"/>
  <c r="I2193" i="15"/>
  <c r="F2194" i="14"/>
  <c r="H912" i="15"/>
  <c r="I919" i="13"/>
  <c r="J912" i="15" s="1"/>
  <c r="G281" i="13"/>
  <c r="I274" i="15"/>
  <c r="F275" i="14"/>
  <c r="H986" i="15"/>
  <c r="I993" i="13"/>
  <c r="J986" i="15" s="1"/>
  <c r="I338" i="15"/>
  <c r="F339" i="14"/>
  <c r="D409" i="15"/>
  <c r="D410" i="14"/>
  <c r="H416" i="13"/>
  <c r="H409" i="15" s="1"/>
  <c r="K416" i="13"/>
  <c r="G416" i="13"/>
  <c r="H245" i="15"/>
  <c r="I245" i="13"/>
  <c r="J245" i="15" s="1"/>
  <c r="H266" i="15"/>
  <c r="I266" i="13"/>
  <c r="J266" i="15" s="1"/>
  <c r="H236" i="13"/>
  <c r="I236" i="15" s="1"/>
  <c r="H1726" i="15"/>
  <c r="I1733" i="13"/>
  <c r="J1726" i="15" s="1"/>
  <c r="H1727" i="15"/>
  <c r="I1734" i="13"/>
  <c r="J1727" i="15" s="1"/>
  <c r="H1738" i="15"/>
  <c r="I1745" i="13"/>
  <c r="J1738" i="15" s="1"/>
  <c r="H927" i="15"/>
  <c r="I934" i="13"/>
  <c r="J927" i="15" s="1"/>
  <c r="G60" i="10"/>
  <c r="D2145" i="15"/>
  <c r="D2146" i="14"/>
  <c r="K2152" i="13"/>
  <c r="H2152" i="13"/>
  <c r="G2152" i="13"/>
  <c r="I655" i="15"/>
  <c r="F656" i="14"/>
  <c r="I1725" i="15"/>
  <c r="F1726" i="14"/>
  <c r="I408" i="13"/>
  <c r="D2195" i="13"/>
  <c r="J644" i="6"/>
  <c r="L643" i="6"/>
  <c r="D2136" i="13"/>
  <c r="E661" i="6"/>
  <c r="H821" i="15"/>
  <c r="F822" i="14"/>
  <c r="I828" i="13"/>
  <c r="J821" i="15" s="1"/>
  <c r="H269" i="15"/>
  <c r="I269" i="13"/>
  <c r="J269" i="15" s="1"/>
  <c r="D930" i="15"/>
  <c r="D931" i="14"/>
  <c r="K937" i="13"/>
  <c r="H937" i="13"/>
  <c r="G937" i="13"/>
  <c r="H1728" i="15"/>
  <c r="I1735" i="13"/>
  <c r="J1728" i="15" s="1"/>
  <c r="H2143" i="15"/>
  <c r="I2150" i="13"/>
  <c r="J2143" i="15" s="1"/>
  <c r="H223" i="15"/>
  <c r="I223" i="13"/>
  <c r="J223" i="15" s="1"/>
  <c r="H1530" i="13"/>
  <c r="I1523" i="15" s="1"/>
  <c r="E714" i="10"/>
  <c r="G714" i="10" s="1"/>
  <c r="E1031" i="5"/>
  <c r="G1030" i="5"/>
  <c r="H714" i="10" s="1"/>
  <c r="D873" i="15"/>
  <c r="D874" i="14"/>
  <c r="H880" i="13"/>
  <c r="K880" i="13"/>
  <c r="G880" i="13"/>
  <c r="G891" i="13" s="1"/>
  <c r="D544" i="15"/>
  <c r="D545" i="14"/>
  <c r="H551" i="13"/>
  <c r="K551" i="13"/>
  <c r="G551" i="13"/>
  <c r="D1729" i="15"/>
  <c r="D1730" i="14"/>
  <c r="H1736" i="13"/>
  <c r="G1736" i="13"/>
  <c r="H1687" i="15"/>
  <c r="I1694" i="13"/>
  <c r="J1687" i="15" s="1"/>
  <c r="H244" i="15"/>
  <c r="I244" i="13"/>
  <c r="J244" i="15" s="1"/>
  <c r="G271" i="10"/>
  <c r="I404" i="13"/>
  <c r="D486" i="15"/>
  <c r="D487" i="14"/>
  <c r="K493" i="13"/>
  <c r="H493" i="13"/>
  <c r="H486" i="15" s="1"/>
  <c r="G493" i="13"/>
  <c r="H652" i="15"/>
  <c r="I659" i="13"/>
  <c r="J652" i="15" s="1"/>
  <c r="G665" i="13"/>
  <c r="H2131" i="15"/>
  <c r="I2138" i="13"/>
  <c r="J2131" i="15" s="1"/>
  <c r="E426" i="10"/>
  <c r="G426" i="10" s="1"/>
  <c r="E442" i="5"/>
  <c r="G441" i="5"/>
  <c r="H426" i="10" s="1"/>
  <c r="D242" i="15"/>
  <c r="D243" i="14"/>
  <c r="H242" i="13"/>
  <c r="G242" i="13"/>
  <c r="I492" i="13"/>
  <c r="G26" i="10"/>
  <c r="H886" i="15"/>
  <c r="I893" i="13"/>
  <c r="J886" i="15" s="1"/>
  <c r="G902" i="13"/>
  <c r="H983" i="15"/>
  <c r="I990" i="13"/>
  <c r="J983" i="15" s="1"/>
  <c r="D2137" i="15"/>
  <c r="D2138" i="14"/>
  <c r="H2144" i="13"/>
  <c r="K2144" i="13"/>
  <c r="G2144" i="13"/>
  <c r="H1690" i="15"/>
  <c r="I1697" i="13"/>
  <c r="J1690" i="15" s="1"/>
  <c r="D406" i="15"/>
  <c r="D407" i="14"/>
  <c r="H413" i="13"/>
  <c r="H406" i="15" s="1"/>
  <c r="K413" i="13"/>
  <c r="G413" i="13"/>
  <c r="H1389" i="13"/>
  <c r="I1382" i="15" s="1"/>
  <c r="I443" i="15" l="1"/>
  <c r="J444" i="15"/>
  <c r="G27" i="10"/>
  <c r="I441" i="15"/>
  <c r="J440" i="15"/>
  <c r="I523" i="15"/>
  <c r="G664" i="5"/>
  <c r="H238" i="10" s="1"/>
  <c r="G238" i="10"/>
  <c r="I405" i="13"/>
  <c r="I398" i="15" s="1"/>
  <c r="Q93" i="5"/>
  <c r="O110" i="5"/>
  <c r="C622" i="6" s="1"/>
  <c r="I480" i="15"/>
  <c r="I1548" i="13"/>
  <c r="J1541" i="15" s="1"/>
  <c r="F1542" i="14"/>
  <c r="F197" i="14"/>
  <c r="I526" i="15"/>
  <c r="I493" i="13"/>
  <c r="J486" i="15" s="1"/>
  <c r="I499" i="13"/>
  <c r="I492" i="15" s="1"/>
  <c r="I442" i="13"/>
  <c r="I435" i="15" s="1"/>
  <c r="I527" i="15"/>
  <c r="I525" i="15"/>
  <c r="I416" i="13"/>
  <c r="J409" i="15" s="1"/>
  <c r="I411" i="13"/>
  <c r="I410" i="13"/>
  <c r="I403" i="15" s="1"/>
  <c r="I494" i="13"/>
  <c r="I487" i="15" s="1"/>
  <c r="I496" i="13"/>
  <c r="I489" i="15" s="1"/>
  <c r="I817" i="13"/>
  <c r="J810" i="15" s="1"/>
  <c r="H884" i="15"/>
  <c r="F885" i="14"/>
  <c r="D2188" i="15"/>
  <c r="D2189" i="14"/>
  <c r="H2195" i="13"/>
  <c r="G2195" i="13"/>
  <c r="I2145" i="15"/>
  <c r="F2146" i="14"/>
  <c r="I2199" i="15"/>
  <c r="F2200" i="14"/>
  <c r="I2206" i="13"/>
  <c r="J2199" i="15" s="1"/>
  <c r="I247" i="15"/>
  <c r="F248" i="14"/>
  <c r="H2048" i="15"/>
  <c r="I2055" i="13"/>
  <c r="J2048" i="15" s="1"/>
  <c r="I2135" i="15"/>
  <c r="F2136" i="14"/>
  <c r="I987" i="15"/>
  <c r="F988" i="14"/>
  <c r="E159" i="10"/>
  <c r="G159" i="10" s="1"/>
  <c r="E324" i="5"/>
  <c r="G323" i="5"/>
  <c r="H186" i="10" s="1"/>
  <c r="I345" i="15"/>
  <c r="F346" i="14"/>
  <c r="D2134" i="15"/>
  <c r="D2135" i="14"/>
  <c r="K2141" i="13"/>
  <c r="H2141" i="13"/>
  <c r="G2141" i="13"/>
  <c r="E317" i="10"/>
  <c r="G317" i="10" s="1"/>
  <c r="E744" i="5"/>
  <c r="G743" i="5"/>
  <c r="H317" i="10" s="1"/>
  <c r="J403" i="15"/>
  <c r="D2190" i="15"/>
  <c r="D2191" i="14"/>
  <c r="H2197" i="13"/>
  <c r="G2197" i="13"/>
  <c r="I2139" i="15"/>
  <c r="F2140" i="14"/>
  <c r="I2119" i="15"/>
  <c r="F2120" i="14"/>
  <c r="H1706" i="15"/>
  <c r="I1713" i="13"/>
  <c r="J1706" i="15" s="1"/>
  <c r="H1612" i="15"/>
  <c r="I1619" i="13"/>
  <c r="J1612" i="15" s="1"/>
  <c r="J435" i="15"/>
  <c r="H1730" i="15"/>
  <c r="I1737" i="13"/>
  <c r="J1730" i="15" s="1"/>
  <c r="D552" i="13"/>
  <c r="J1540" i="5"/>
  <c r="I201" i="15"/>
  <c r="F202" i="14"/>
  <c r="H516" i="15"/>
  <c r="H535" i="13"/>
  <c r="D2128" i="15"/>
  <c r="D2129" i="14"/>
  <c r="K2135" i="13"/>
  <c r="H2135" i="13"/>
  <c r="G2135" i="13"/>
  <c r="I931" i="15"/>
  <c r="F932" i="14"/>
  <c r="E273" i="10"/>
  <c r="F699" i="5"/>
  <c r="F273" i="10" s="1"/>
  <c r="E510" i="10"/>
  <c r="G510" i="10" s="1"/>
  <c r="E486" i="5"/>
  <c r="G485" i="5"/>
  <c r="H510" i="10" s="1"/>
  <c r="I2197" i="15"/>
  <c r="F2198" i="14"/>
  <c r="I2137" i="15"/>
  <c r="F2138" i="14"/>
  <c r="H2137" i="15"/>
  <c r="I2144" i="13"/>
  <c r="J2137" i="15" s="1"/>
  <c r="H242" i="15"/>
  <c r="I242" i="13"/>
  <c r="J242" i="15" s="1"/>
  <c r="I486" i="15"/>
  <c r="J397" i="15"/>
  <c r="I397" i="15"/>
  <c r="I544" i="15"/>
  <c r="F545" i="14"/>
  <c r="I413" i="13"/>
  <c r="I242" i="15"/>
  <c r="F243" i="14"/>
  <c r="E427" i="10"/>
  <c r="G427" i="10" s="1"/>
  <c r="E443" i="5"/>
  <c r="G442" i="5"/>
  <c r="H427" i="10" s="1"/>
  <c r="H658" i="15"/>
  <c r="F659" i="14"/>
  <c r="I665" i="13"/>
  <c r="J658" i="15" s="1"/>
  <c r="I873" i="15"/>
  <c r="F874" i="14"/>
  <c r="H891" i="13"/>
  <c r="I884" i="15" s="1"/>
  <c r="E715" i="10"/>
  <c r="G715" i="10" s="1"/>
  <c r="E1032" i="5"/>
  <c r="G1031" i="5"/>
  <c r="H715" i="10" s="1"/>
  <c r="D2129" i="15"/>
  <c r="D2130" i="14"/>
  <c r="H2136" i="13"/>
  <c r="K2136" i="13"/>
  <c r="G2136" i="13"/>
  <c r="J401" i="15"/>
  <c r="I401" i="15"/>
  <c r="H281" i="15"/>
  <c r="F282" i="14"/>
  <c r="I281" i="13"/>
  <c r="J281" i="15" s="1"/>
  <c r="I1720" i="15"/>
  <c r="F1721" i="14"/>
  <c r="J402" i="15"/>
  <c r="I402" i="15"/>
  <c r="H1382" i="15"/>
  <c r="F1383" i="14"/>
  <c r="I1389" i="13"/>
  <c r="J1382" i="15" s="1"/>
  <c r="G698" i="5"/>
  <c r="H272" i="10" s="1"/>
  <c r="H929" i="15"/>
  <c r="I936" i="13"/>
  <c r="J929" i="15" s="1"/>
  <c r="G191" i="5"/>
  <c r="H54" i="10" s="1"/>
  <c r="H2136" i="15"/>
  <c r="I2143" i="13"/>
  <c r="J2136" i="15" s="1"/>
  <c r="I495" i="13"/>
  <c r="D416" i="15"/>
  <c r="D417" i="14"/>
  <c r="H423" i="13"/>
  <c r="H416" i="15" s="1"/>
  <c r="K423" i="13"/>
  <c r="G423" i="13"/>
  <c r="H1574" i="15"/>
  <c r="I1581" i="13"/>
  <c r="J1574" i="15" s="1"/>
  <c r="H706" i="15"/>
  <c r="I713" i="13"/>
  <c r="J706" i="15" s="1"/>
  <c r="I1612" i="15"/>
  <c r="F1613" i="14"/>
  <c r="D2187" i="15"/>
  <c r="D2188" i="14"/>
  <c r="H2194" i="13"/>
  <c r="G2194" i="13"/>
  <c r="I1730" i="15"/>
  <c r="F1731" i="14"/>
  <c r="D546" i="15"/>
  <c r="D547" i="14"/>
  <c r="H553" i="13"/>
  <c r="K553" i="13"/>
  <c r="G553" i="13"/>
  <c r="I406" i="13"/>
  <c r="H367" i="15"/>
  <c r="F368" i="14"/>
  <c r="I374" i="13"/>
  <c r="J367" i="15" s="1"/>
  <c r="E468" i="10"/>
  <c r="G468" i="10" s="1"/>
  <c r="E905" i="5"/>
  <c r="G904" i="5"/>
  <c r="H468" i="10" s="1"/>
  <c r="I421" i="13"/>
  <c r="E62" i="10"/>
  <c r="E227" i="5"/>
  <c r="F226" i="5"/>
  <c r="F62" i="10" s="1"/>
  <c r="H988" i="15"/>
  <c r="I995" i="13"/>
  <c r="J988" i="15" s="1"/>
  <c r="H2047" i="15"/>
  <c r="I2054" i="13"/>
  <c r="J2047" i="15" s="1"/>
  <c r="E647" i="10"/>
  <c r="G647" i="10" s="1"/>
  <c r="E1004" i="5"/>
  <c r="G1003" i="5"/>
  <c r="H647" i="10" s="1"/>
  <c r="D2129" i="13"/>
  <c r="E654" i="6"/>
  <c r="D400" i="15"/>
  <c r="D401" i="14"/>
  <c r="H407" i="13"/>
  <c r="H400" i="15" s="1"/>
  <c r="K407" i="13"/>
  <c r="G407" i="13"/>
  <c r="I1530" i="13"/>
  <c r="J1523" i="15" s="1"/>
  <c r="G1601" i="13"/>
  <c r="I236" i="13"/>
  <c r="J236" i="15" s="1"/>
  <c r="H1729" i="15"/>
  <c r="I1736" i="13"/>
  <c r="J1729" i="15" s="1"/>
  <c r="H544" i="15"/>
  <c r="I551" i="13"/>
  <c r="J544" i="15" s="1"/>
  <c r="J442" i="15"/>
  <c r="I442" i="15"/>
  <c r="H2138" i="15"/>
  <c r="I2145" i="13"/>
  <c r="J2138" i="15" s="1"/>
  <c r="I2048" i="15"/>
  <c r="F2049" i="14"/>
  <c r="H2135" i="15"/>
  <c r="I2142" i="13"/>
  <c r="J2135" i="15" s="1"/>
  <c r="I929" i="15"/>
  <c r="F930" i="14"/>
  <c r="H2186" i="15"/>
  <c r="I2193" i="13"/>
  <c r="J2186" i="15" s="1"/>
  <c r="I440" i="13"/>
  <c r="G452" i="13"/>
  <c r="H2202" i="15"/>
  <c r="I2209" i="13"/>
  <c r="J2202" i="15" s="1"/>
  <c r="I497" i="15"/>
  <c r="J497" i="15"/>
  <c r="I2136" i="15"/>
  <c r="F2137" i="14"/>
  <c r="I213" i="15"/>
  <c r="H2198" i="15"/>
  <c r="I2205" i="13"/>
  <c r="J2198" i="15" s="1"/>
  <c r="H2195" i="15"/>
  <c r="I2202" i="13"/>
  <c r="J2195" i="15" s="1"/>
  <c r="D2127" i="15"/>
  <c r="D2128" i="14"/>
  <c r="H2134" i="13"/>
  <c r="K2134" i="13"/>
  <c r="G2134" i="13"/>
  <c r="H2139" i="15"/>
  <c r="I2146" i="13"/>
  <c r="J2139" i="15" s="1"/>
  <c r="H587" i="15"/>
  <c r="I594" i="13"/>
  <c r="J587" i="15" s="1"/>
  <c r="H2119" i="15"/>
  <c r="I2126" i="13"/>
  <c r="J2119" i="15" s="1"/>
  <c r="E526" i="10"/>
  <c r="G526" i="10" s="1"/>
  <c r="E502" i="5"/>
  <c r="G501" i="5"/>
  <c r="H526" i="10" s="1"/>
  <c r="D499" i="15"/>
  <c r="D500" i="14"/>
  <c r="K506" i="13"/>
  <c r="H506" i="13"/>
  <c r="H499" i="15" s="1"/>
  <c r="G506" i="13"/>
  <c r="I1574" i="15"/>
  <c r="F1575" i="14"/>
  <c r="H1601" i="13"/>
  <c r="I1594" i="15" s="1"/>
  <c r="H1614" i="15"/>
  <c r="F1615" i="14"/>
  <c r="I1621" i="13"/>
  <c r="J1614" i="15" s="1"/>
  <c r="I1706" i="15"/>
  <c r="F1707" i="14"/>
  <c r="E608" i="10"/>
  <c r="G608" i="10" s="1"/>
  <c r="E544" i="5"/>
  <c r="G543" i="5"/>
  <c r="H608" i="10" s="1"/>
  <c r="I706" i="15"/>
  <c r="F707" i="14"/>
  <c r="E111" i="10"/>
  <c r="G111" i="10" s="1"/>
  <c r="E276" i="5"/>
  <c r="G275" i="5"/>
  <c r="H138" i="10" s="1"/>
  <c r="D555" i="13"/>
  <c r="J1543" i="5"/>
  <c r="H330" i="15"/>
  <c r="F331" i="14"/>
  <c r="I330" i="13"/>
  <c r="J330" i="15" s="1"/>
  <c r="D2125" i="15"/>
  <c r="D2126" i="14"/>
  <c r="H2132" i="13"/>
  <c r="K2132" i="13"/>
  <c r="G2132" i="13"/>
  <c r="G61" i="10"/>
  <c r="I488" i="13"/>
  <c r="I988" i="15"/>
  <c r="F989" i="14"/>
  <c r="E568" i="10"/>
  <c r="G568" i="10" s="1"/>
  <c r="E965" i="5"/>
  <c r="G964" i="5"/>
  <c r="H568" i="10" s="1"/>
  <c r="I525" i="13"/>
  <c r="D2120" i="15"/>
  <c r="D2121" i="14"/>
  <c r="K2127" i="13"/>
  <c r="H2127" i="13"/>
  <c r="G2127" i="13"/>
  <c r="E239" i="10"/>
  <c r="E700" i="5"/>
  <c r="E666" i="5"/>
  <c r="F665" i="5"/>
  <c r="F239" i="10" s="1"/>
  <c r="D2126" i="15"/>
  <c r="D2127" i="14"/>
  <c r="K2133" i="13"/>
  <c r="H2133" i="13"/>
  <c r="G2133" i="13"/>
  <c r="H2196" i="15"/>
  <c r="I2203" i="13"/>
  <c r="J2196" i="15" s="1"/>
  <c r="D483" i="15"/>
  <c r="D484" i="14"/>
  <c r="K490" i="13"/>
  <c r="H490" i="13"/>
  <c r="H483" i="15" s="1"/>
  <c r="G490" i="13"/>
  <c r="I1408" i="13"/>
  <c r="J1401" i="15" s="1"/>
  <c r="H930" i="15"/>
  <c r="I937" i="13"/>
  <c r="J930" i="15" s="1"/>
  <c r="H895" i="15"/>
  <c r="F896" i="14"/>
  <c r="I902" i="13"/>
  <c r="J895" i="15" s="1"/>
  <c r="I485" i="15"/>
  <c r="J485" i="15"/>
  <c r="I1729" i="15"/>
  <c r="F1730" i="14"/>
  <c r="H873" i="15"/>
  <c r="I880" i="13"/>
  <c r="J873" i="15" s="1"/>
  <c r="I930" i="15"/>
  <c r="F931" i="14"/>
  <c r="D2196" i="13"/>
  <c r="L644" i="6"/>
  <c r="H2145" i="15"/>
  <c r="I2152" i="13"/>
  <c r="J2145" i="15" s="1"/>
  <c r="M206" i="4"/>
  <c r="Q206" i="4" s="1"/>
  <c r="R206" i="4" s="1"/>
  <c r="Q205" i="4"/>
  <c r="H1720" i="15"/>
  <c r="I1727" i="13"/>
  <c r="J1720" i="15" s="1"/>
  <c r="E633" i="10"/>
  <c r="G633" i="10" s="1"/>
  <c r="E990" i="5"/>
  <c r="G989" i="5"/>
  <c r="H633" i="10" s="1"/>
  <c r="D2123" i="15"/>
  <c r="D2124" i="14"/>
  <c r="H2130" i="13"/>
  <c r="K2130" i="13"/>
  <c r="G2130" i="13"/>
  <c r="G1202" i="13"/>
  <c r="E592" i="10"/>
  <c r="G592" i="10" s="1"/>
  <c r="E528" i="5"/>
  <c r="G527" i="5"/>
  <c r="H592" i="10" s="1"/>
  <c r="H247" i="15"/>
  <c r="I247" i="13"/>
  <c r="J247" i="15" s="1"/>
  <c r="G272" i="10"/>
  <c r="I2138" i="15"/>
  <c r="F2139" i="14"/>
  <c r="I2186" i="15"/>
  <c r="F2187" i="14"/>
  <c r="D243" i="15"/>
  <c r="D244" i="14"/>
  <c r="H243" i="13"/>
  <c r="H255" i="13" s="1"/>
  <c r="I255" i="15" s="1"/>
  <c r="G243" i="13"/>
  <c r="E673" i="10"/>
  <c r="G673" i="10" s="1"/>
  <c r="E569" i="5"/>
  <c r="G568" i="5"/>
  <c r="H673" i="10" s="1"/>
  <c r="I404" i="15"/>
  <c r="J404" i="15"/>
  <c r="H987" i="15"/>
  <c r="I994" i="13"/>
  <c r="J987" i="15" s="1"/>
  <c r="H345" i="15"/>
  <c r="I352" i="13"/>
  <c r="J345" i="15" s="1"/>
  <c r="E550" i="10"/>
  <c r="G550" i="10" s="1"/>
  <c r="E947" i="5"/>
  <c r="G946" i="5"/>
  <c r="H550" i="10" s="1"/>
  <c r="I2202" i="15"/>
  <c r="F2203" i="14"/>
  <c r="E443" i="10"/>
  <c r="G443" i="10" s="1"/>
  <c r="E459" i="5"/>
  <c r="G458" i="5"/>
  <c r="H443" i="10" s="1"/>
  <c r="I489" i="13"/>
  <c r="E689" i="10"/>
  <c r="G689" i="10" s="1"/>
  <c r="E585" i="5"/>
  <c r="G584" i="5"/>
  <c r="H689" i="10" s="1"/>
  <c r="E28" i="10"/>
  <c r="F192" i="5"/>
  <c r="F28" i="10" s="1"/>
  <c r="E193" i="5"/>
  <c r="I2198" i="15"/>
  <c r="F2199" i="14"/>
  <c r="I2195" i="15"/>
  <c r="F2196" i="14"/>
  <c r="I2079" i="15"/>
  <c r="F2080" i="14"/>
  <c r="I2086" i="13"/>
  <c r="J2079" i="15" s="1"/>
  <c r="J398" i="15"/>
  <c r="I587" i="15"/>
  <c r="F588" i="14"/>
  <c r="D2141" i="15"/>
  <c r="D2142" i="14"/>
  <c r="H2148" i="13"/>
  <c r="K2148" i="13"/>
  <c r="G2148" i="13"/>
  <c r="D2191" i="15"/>
  <c r="D2192" i="14"/>
  <c r="H2198" i="13"/>
  <c r="G2198" i="13"/>
  <c r="D598" i="13"/>
  <c r="U1545" i="5"/>
  <c r="E731" i="10"/>
  <c r="G731" i="10" s="1"/>
  <c r="E1048" i="5"/>
  <c r="G1047" i="5"/>
  <c r="H731" i="10" s="1"/>
  <c r="H201" i="15"/>
  <c r="I201" i="13"/>
  <c r="J201" i="15" s="1"/>
  <c r="G213" i="13"/>
  <c r="I523" i="13"/>
  <c r="G535" i="13"/>
  <c r="G225" i="5"/>
  <c r="H88" i="10" s="1"/>
  <c r="J405" i="15"/>
  <c r="I405" i="15"/>
  <c r="E365" i="10"/>
  <c r="G365" i="10" s="1"/>
  <c r="E792" i="5"/>
  <c r="G791" i="5"/>
  <c r="H365" i="10" s="1"/>
  <c r="I2047" i="15"/>
  <c r="F2048" i="14"/>
  <c r="D2124" i="15"/>
  <c r="D2125" i="14"/>
  <c r="K2131" i="13"/>
  <c r="H2131" i="13"/>
  <c r="G2131" i="13"/>
  <c r="H931" i="15"/>
  <c r="I938" i="13"/>
  <c r="J931" i="15" s="1"/>
  <c r="D2140" i="15"/>
  <c r="D2141" i="14"/>
  <c r="K2147" i="13"/>
  <c r="H2147" i="13"/>
  <c r="G2147" i="13"/>
  <c r="E486" i="10"/>
  <c r="G486" i="10" s="1"/>
  <c r="E923" i="5"/>
  <c r="G922" i="5"/>
  <c r="H486" i="10" s="1"/>
  <c r="H2149" i="13"/>
  <c r="I2196" i="15"/>
  <c r="F2197" i="14"/>
  <c r="H2197" i="15"/>
  <c r="I2204" i="13"/>
  <c r="J2197" i="15" s="1"/>
  <c r="H2049" i="13"/>
  <c r="H1202" i="13"/>
  <c r="I1195" i="15" s="1"/>
  <c r="G192" i="5" l="1"/>
  <c r="H55" i="10" s="1"/>
  <c r="G665" i="5"/>
  <c r="H239" i="10" s="1"/>
  <c r="G239" i="10"/>
  <c r="G273" i="10"/>
  <c r="C623" i="6"/>
  <c r="C570" i="6" s="1"/>
  <c r="J631" i="6" s="1"/>
  <c r="C624" i="6"/>
  <c r="G226" i="5"/>
  <c r="H89" i="10" s="1"/>
  <c r="G699" i="5"/>
  <c r="H273" i="10" s="1"/>
  <c r="J487" i="15"/>
  <c r="Q94" i="5"/>
  <c r="S94" i="5" s="1"/>
  <c r="S93" i="5"/>
  <c r="J492" i="15"/>
  <c r="I409" i="15"/>
  <c r="I490" i="13"/>
  <c r="J489" i="15"/>
  <c r="J1195" i="15"/>
  <c r="I407" i="13"/>
  <c r="I400" i="15" s="1"/>
  <c r="I506" i="13"/>
  <c r="J499" i="15" s="1"/>
  <c r="I423" i="13"/>
  <c r="J416" i="15" s="1"/>
  <c r="D591" i="15"/>
  <c r="D592" i="14"/>
  <c r="H598" i="13"/>
  <c r="G598" i="13"/>
  <c r="E674" i="10"/>
  <c r="G674" i="10" s="1"/>
  <c r="E570" i="5"/>
  <c r="G569" i="5"/>
  <c r="H674" i="10" s="1"/>
  <c r="J518" i="15"/>
  <c r="I518" i="15"/>
  <c r="I2127" i="15"/>
  <c r="F2128" i="14"/>
  <c r="I2134" i="15"/>
  <c r="F2135" i="14"/>
  <c r="I2142" i="15"/>
  <c r="F2143" i="14"/>
  <c r="I2149" i="13"/>
  <c r="J2142" i="15" s="1"/>
  <c r="H213" i="15"/>
  <c r="F214" i="14"/>
  <c r="I213" i="13"/>
  <c r="J213" i="15" s="1"/>
  <c r="I2042" i="15"/>
  <c r="F2043" i="14"/>
  <c r="I2049" i="13"/>
  <c r="J2042" i="15" s="1"/>
  <c r="I2191" i="15"/>
  <c r="F2192" i="14"/>
  <c r="I2120" i="15"/>
  <c r="F2121" i="14"/>
  <c r="E609" i="10"/>
  <c r="G609" i="10" s="1"/>
  <c r="E545" i="5"/>
  <c r="G544" i="5"/>
  <c r="H609" i="10" s="1"/>
  <c r="H2187" i="15"/>
  <c r="I2194" i="13"/>
  <c r="J2187" i="15" s="1"/>
  <c r="H2129" i="15"/>
  <c r="I2136" i="13"/>
  <c r="J2129" i="15" s="1"/>
  <c r="H2140" i="15"/>
  <c r="I2147" i="13"/>
  <c r="J2140" i="15" s="1"/>
  <c r="E732" i="10"/>
  <c r="G732" i="10" s="1"/>
  <c r="E1049" i="5"/>
  <c r="G1048" i="5"/>
  <c r="H732" i="10" s="1"/>
  <c r="E29" i="10"/>
  <c r="E194" i="5"/>
  <c r="F193" i="5"/>
  <c r="F29" i="10" s="1"/>
  <c r="E444" i="10"/>
  <c r="G444" i="10" s="1"/>
  <c r="E460" i="5"/>
  <c r="G459" i="5"/>
  <c r="H444" i="10" s="1"/>
  <c r="E593" i="10"/>
  <c r="G593" i="10" s="1"/>
  <c r="E529" i="5"/>
  <c r="G528" i="5"/>
  <c r="H593" i="10" s="1"/>
  <c r="E648" i="10"/>
  <c r="G648" i="10" s="1"/>
  <c r="E1005" i="5"/>
  <c r="G1004" i="5"/>
  <c r="H648" i="10" s="1"/>
  <c r="E469" i="10"/>
  <c r="G469" i="10" s="1"/>
  <c r="E906" i="5"/>
  <c r="G905" i="5"/>
  <c r="H469" i="10" s="1"/>
  <c r="I546" i="15"/>
  <c r="F547" i="14"/>
  <c r="I2187" i="15"/>
  <c r="F2188" i="14"/>
  <c r="E318" i="10"/>
  <c r="G318" i="10" s="1"/>
  <c r="E745" i="5"/>
  <c r="G744" i="5"/>
  <c r="H318" i="10" s="1"/>
  <c r="I2188" i="15"/>
  <c r="F2189" i="14"/>
  <c r="I2140" i="15"/>
  <c r="F2141" i="14"/>
  <c r="H2124" i="15"/>
  <c r="I2131" i="13"/>
  <c r="J2124" i="15" s="1"/>
  <c r="E366" i="10"/>
  <c r="G366" i="10" s="1"/>
  <c r="E793" i="5"/>
  <c r="G792" i="5"/>
  <c r="H366" i="10" s="1"/>
  <c r="I516" i="15"/>
  <c r="J516" i="15"/>
  <c r="I2141" i="15"/>
  <c r="F2142" i="14"/>
  <c r="E551" i="10"/>
  <c r="G551" i="10" s="1"/>
  <c r="E948" i="5"/>
  <c r="G947" i="5"/>
  <c r="H551" i="10" s="1"/>
  <c r="H243" i="15"/>
  <c r="I243" i="13"/>
  <c r="J243" i="15" s="1"/>
  <c r="I2123" i="15"/>
  <c r="F2124" i="14"/>
  <c r="E634" i="10"/>
  <c r="G634" i="10" s="1"/>
  <c r="E991" i="5"/>
  <c r="G990" i="5"/>
  <c r="H634" i="10" s="1"/>
  <c r="C223" i="4"/>
  <c r="C239" i="4"/>
  <c r="R205" i="4"/>
  <c r="J222" i="4"/>
  <c r="C241" i="4"/>
  <c r="C230" i="4"/>
  <c r="J483" i="15"/>
  <c r="I483" i="15"/>
  <c r="I2126" i="15"/>
  <c r="F2127" i="14"/>
  <c r="E569" i="10"/>
  <c r="G569" i="10" s="1"/>
  <c r="E966" i="5"/>
  <c r="G965" i="5"/>
  <c r="H569" i="10" s="1"/>
  <c r="I481" i="15"/>
  <c r="J481" i="15"/>
  <c r="H2125" i="15"/>
  <c r="I2132" i="13"/>
  <c r="J2125" i="15" s="1"/>
  <c r="H2127" i="15"/>
  <c r="I2134" i="13"/>
  <c r="J2127" i="15" s="1"/>
  <c r="E63" i="10"/>
  <c r="E228" i="5"/>
  <c r="F227" i="5"/>
  <c r="F63" i="10" s="1"/>
  <c r="J399" i="15"/>
  <c r="I399" i="15"/>
  <c r="J488" i="15"/>
  <c r="I488" i="15"/>
  <c r="I2129" i="15"/>
  <c r="F2130" i="14"/>
  <c r="E428" i="10"/>
  <c r="G428" i="10" s="1"/>
  <c r="E444" i="5"/>
  <c r="G443" i="5"/>
  <c r="H428" i="10" s="1"/>
  <c r="J406" i="15"/>
  <c r="I406" i="15"/>
  <c r="E511" i="10"/>
  <c r="G511" i="10" s="1"/>
  <c r="E487" i="5"/>
  <c r="G486" i="5"/>
  <c r="H511" i="10" s="1"/>
  <c r="I2128" i="15"/>
  <c r="F2129" i="14"/>
  <c r="H2190" i="15"/>
  <c r="I2197" i="13"/>
  <c r="J2190" i="15" s="1"/>
  <c r="I891" i="13"/>
  <c r="J884" i="15" s="1"/>
  <c r="H2141" i="15"/>
  <c r="I2148" i="13"/>
  <c r="J2141" i="15" s="1"/>
  <c r="H2123" i="15"/>
  <c r="I2130" i="13"/>
  <c r="J2123" i="15" s="1"/>
  <c r="E240" i="10"/>
  <c r="E701" i="5"/>
  <c r="E667" i="5"/>
  <c r="F666" i="5"/>
  <c r="F240" i="10" s="1"/>
  <c r="I2125" i="15"/>
  <c r="F2126" i="14"/>
  <c r="J433" i="15"/>
  <c r="I433" i="15"/>
  <c r="I416" i="15"/>
  <c r="H2188" i="15"/>
  <c r="I2195" i="13"/>
  <c r="J2188" i="15" s="1"/>
  <c r="F529" i="14"/>
  <c r="I535" i="13"/>
  <c r="J528" i="15" s="1"/>
  <c r="E690" i="10"/>
  <c r="G690" i="10" s="1"/>
  <c r="E586" i="5"/>
  <c r="G585" i="5"/>
  <c r="H690" i="10" s="1"/>
  <c r="H2126" i="15"/>
  <c r="I2133" i="13"/>
  <c r="J2126" i="15" s="1"/>
  <c r="E274" i="10"/>
  <c r="F700" i="5"/>
  <c r="F274" i="10" s="1"/>
  <c r="H2128" i="15"/>
  <c r="I2135" i="13"/>
  <c r="J2128" i="15" s="1"/>
  <c r="E160" i="10"/>
  <c r="G160" i="10" s="1"/>
  <c r="E325" i="5"/>
  <c r="G324" i="5"/>
  <c r="H187" i="10" s="1"/>
  <c r="E487" i="10"/>
  <c r="G487" i="10" s="1"/>
  <c r="E924" i="5"/>
  <c r="G923" i="5"/>
  <c r="H487" i="10" s="1"/>
  <c r="I2124" i="15"/>
  <c r="F2125" i="14"/>
  <c r="H2191" i="15"/>
  <c r="I2198" i="13"/>
  <c r="J2191" i="15" s="1"/>
  <c r="G28" i="10"/>
  <c r="J482" i="15"/>
  <c r="I482" i="15"/>
  <c r="I243" i="15"/>
  <c r="F244" i="14"/>
  <c r="H1195" i="15"/>
  <c r="F1196" i="14"/>
  <c r="D2189" i="15"/>
  <c r="D2190" i="14"/>
  <c r="H2196" i="13"/>
  <c r="H2192" i="13" s="1"/>
  <c r="G2196" i="13"/>
  <c r="H2120" i="15"/>
  <c r="I2127" i="13"/>
  <c r="J2120" i="15" s="1"/>
  <c r="D548" i="15"/>
  <c r="D549" i="14"/>
  <c r="H555" i="13"/>
  <c r="K555" i="13"/>
  <c r="G555" i="13"/>
  <c r="E112" i="10"/>
  <c r="G112" i="10" s="1"/>
  <c r="E277" i="5"/>
  <c r="G276" i="5"/>
  <c r="H139" i="10" s="1"/>
  <c r="E527" i="10"/>
  <c r="G527" i="10" s="1"/>
  <c r="E503" i="5"/>
  <c r="G502" i="5"/>
  <c r="H527" i="10" s="1"/>
  <c r="F446" i="14"/>
  <c r="I452" i="13"/>
  <c r="J445" i="15" s="1"/>
  <c r="H1594" i="15"/>
  <c r="F1595" i="14"/>
  <c r="I1601" i="13"/>
  <c r="J1594" i="15" s="1"/>
  <c r="D2122" i="15"/>
  <c r="D2123" i="14"/>
  <c r="K2129" i="13"/>
  <c r="H2129" i="13"/>
  <c r="G2129" i="13"/>
  <c r="G255" i="13"/>
  <c r="G62" i="10"/>
  <c r="J414" i="15"/>
  <c r="I414" i="15"/>
  <c r="H546" i="15"/>
  <c r="I553" i="13"/>
  <c r="J546" i="15" s="1"/>
  <c r="E716" i="10"/>
  <c r="G716" i="10" s="1"/>
  <c r="E1033" i="5"/>
  <c r="G1032" i="5"/>
  <c r="H716" i="10" s="1"/>
  <c r="D545" i="15"/>
  <c r="D546" i="14"/>
  <c r="H552" i="13"/>
  <c r="K552" i="13"/>
  <c r="G552" i="13"/>
  <c r="I2190" i="15"/>
  <c r="F2191" i="14"/>
  <c r="H2134" i="15"/>
  <c r="I2141" i="13"/>
  <c r="J2134" i="15" s="1"/>
  <c r="G700" i="5" l="1"/>
  <c r="H274" i="10" s="1"/>
  <c r="J400" i="15"/>
  <c r="I499" i="15"/>
  <c r="C569" i="6"/>
  <c r="C575" i="6"/>
  <c r="C576" i="6"/>
  <c r="C577" i="6"/>
  <c r="C574" i="6"/>
  <c r="G274" i="10"/>
  <c r="G63" i="10"/>
  <c r="G193" i="5"/>
  <c r="H56" i="10" s="1"/>
  <c r="L631" i="6"/>
  <c r="D2183" i="13"/>
  <c r="C496" i="6"/>
  <c r="C155" i="11"/>
  <c r="C1685" i="5" s="1"/>
  <c r="G227" i="5"/>
  <c r="H90" i="10" s="1"/>
  <c r="I2185" i="15"/>
  <c r="F2186" i="14"/>
  <c r="I2192" i="13"/>
  <c r="J2185" i="15" s="1"/>
  <c r="H548" i="15"/>
  <c r="I555" i="13"/>
  <c r="J548" i="15" s="1"/>
  <c r="E275" i="10"/>
  <c r="F701" i="5"/>
  <c r="F275" i="10" s="1"/>
  <c r="E64" i="10"/>
  <c r="E229" i="5"/>
  <c r="F228" i="5"/>
  <c r="F64" i="10" s="1"/>
  <c r="D1712" i="13"/>
  <c r="E241" i="4"/>
  <c r="D1695" i="13"/>
  <c r="E223" i="4"/>
  <c r="C225" i="4"/>
  <c r="C224" i="4"/>
  <c r="E224" i="4" s="1"/>
  <c r="E552" i="10"/>
  <c r="G552" i="10" s="1"/>
  <c r="E949" i="5"/>
  <c r="G948" i="5"/>
  <c r="H552" i="10" s="1"/>
  <c r="E319" i="10"/>
  <c r="G319" i="10" s="1"/>
  <c r="E746" i="5"/>
  <c r="G745" i="5"/>
  <c r="H319" i="10" s="1"/>
  <c r="E649" i="10"/>
  <c r="G649" i="10" s="1"/>
  <c r="E1006" i="5"/>
  <c r="G1005" i="5"/>
  <c r="H649" i="10" s="1"/>
  <c r="H591" i="15"/>
  <c r="I598" i="13"/>
  <c r="J591" i="15" s="1"/>
  <c r="G605" i="13"/>
  <c r="H2122" i="15"/>
  <c r="I2129" i="13"/>
  <c r="J2122" i="15" s="1"/>
  <c r="I545" i="15"/>
  <c r="F546" i="14"/>
  <c r="H592" i="13"/>
  <c r="I585" i="15" s="1"/>
  <c r="I2122" i="15"/>
  <c r="F2123" i="14"/>
  <c r="E528" i="10"/>
  <c r="G528" i="10" s="1"/>
  <c r="E504" i="5"/>
  <c r="G503" i="5"/>
  <c r="H528" i="10" s="1"/>
  <c r="E488" i="10"/>
  <c r="G488" i="10" s="1"/>
  <c r="E925" i="5"/>
  <c r="G924" i="5"/>
  <c r="H488" i="10" s="1"/>
  <c r="E691" i="10"/>
  <c r="G691" i="10" s="1"/>
  <c r="E587" i="5"/>
  <c r="G586" i="5"/>
  <c r="H691" i="10" s="1"/>
  <c r="G666" i="5"/>
  <c r="H240" i="10" s="1"/>
  <c r="G240" i="10"/>
  <c r="E570" i="10"/>
  <c r="G570" i="10" s="1"/>
  <c r="E967" i="5"/>
  <c r="G966" i="5"/>
  <c r="H570" i="10" s="1"/>
  <c r="D1743" i="13"/>
  <c r="L222" i="4"/>
  <c r="L261" i="4" s="1"/>
  <c r="B263" i="4" s="1"/>
  <c r="E470" i="10"/>
  <c r="G470" i="10" s="1"/>
  <c r="E907" i="5"/>
  <c r="G906" i="5"/>
  <c r="H470" i="10" s="1"/>
  <c r="E733" i="10"/>
  <c r="G733" i="10" s="1"/>
  <c r="E1050" i="5"/>
  <c r="G1049" i="5"/>
  <c r="H733" i="10" s="1"/>
  <c r="I591" i="15"/>
  <c r="F592" i="14"/>
  <c r="H605" i="13"/>
  <c r="E113" i="10"/>
  <c r="G113" i="10" s="1"/>
  <c r="E278" i="5"/>
  <c r="G277" i="5"/>
  <c r="H140" i="10" s="1"/>
  <c r="E512" i="10"/>
  <c r="G512" i="10" s="1"/>
  <c r="E488" i="5"/>
  <c r="G487" i="5"/>
  <c r="H512" i="10" s="1"/>
  <c r="E635" i="10"/>
  <c r="G635" i="10" s="1"/>
  <c r="E992" i="5"/>
  <c r="G991" i="5"/>
  <c r="H635" i="10" s="1"/>
  <c r="E445" i="10"/>
  <c r="G445" i="10" s="1"/>
  <c r="E461" i="5"/>
  <c r="G460" i="5"/>
  <c r="H445" i="10" s="1"/>
  <c r="E30" i="10"/>
  <c r="E195" i="5"/>
  <c r="F194" i="5"/>
  <c r="F30" i="10" s="1"/>
  <c r="E717" i="10"/>
  <c r="G717" i="10" s="1"/>
  <c r="E1034" i="5"/>
  <c r="G1033" i="5"/>
  <c r="H717" i="10" s="1"/>
  <c r="I548" i="15"/>
  <c r="F549" i="14"/>
  <c r="H2189" i="15"/>
  <c r="I2196" i="13"/>
  <c r="J2189" i="15" s="1"/>
  <c r="H545" i="15"/>
  <c r="I552" i="13"/>
  <c r="J545" i="15" s="1"/>
  <c r="G592" i="13"/>
  <c r="H255" i="15"/>
  <c r="F256" i="14"/>
  <c r="I255" i="13"/>
  <c r="J255" i="15" s="1"/>
  <c r="I2189" i="15"/>
  <c r="F2190" i="14"/>
  <c r="E161" i="10"/>
  <c r="G161" i="10" s="1"/>
  <c r="E326" i="5"/>
  <c r="G325" i="5"/>
  <c r="H188" i="10" s="1"/>
  <c r="E241" i="10"/>
  <c r="E668" i="5"/>
  <c r="F667" i="5"/>
  <c r="F241" i="10" s="1"/>
  <c r="E702" i="5"/>
  <c r="E429" i="10"/>
  <c r="G429" i="10" s="1"/>
  <c r="G444" i="5"/>
  <c r="H429" i="10" s="1"/>
  <c r="D1701" i="13"/>
  <c r="C231" i="4"/>
  <c r="C232" i="4"/>
  <c r="E230" i="4"/>
  <c r="D1710" i="13"/>
  <c r="E239" i="4"/>
  <c r="E367" i="10"/>
  <c r="G367" i="10" s="1"/>
  <c r="E794" i="5"/>
  <c r="G793" i="5"/>
  <c r="H367" i="10" s="1"/>
  <c r="E594" i="10"/>
  <c r="G594" i="10" s="1"/>
  <c r="E530" i="5"/>
  <c r="G529" i="5"/>
  <c r="H594" i="10" s="1"/>
  <c r="G29" i="10"/>
  <c r="E610" i="10"/>
  <c r="G610" i="10" s="1"/>
  <c r="E546" i="5"/>
  <c r="G545" i="5"/>
  <c r="H610" i="10" s="1"/>
  <c r="E675" i="10"/>
  <c r="G675" i="10" s="1"/>
  <c r="E571" i="5"/>
  <c r="G570" i="5"/>
  <c r="H675" i="10" s="1"/>
  <c r="J522" i="6" l="1"/>
  <c r="J519" i="6"/>
  <c r="J521" i="6"/>
  <c r="C530" i="6"/>
  <c r="J520" i="6"/>
  <c r="C497" i="6"/>
  <c r="J638" i="6"/>
  <c r="C645" i="6"/>
  <c r="G667" i="5"/>
  <c r="H241" i="10" s="1"/>
  <c r="H2183" i="13"/>
  <c r="G2183" i="13"/>
  <c r="D2176" i="15"/>
  <c r="D2177" i="14"/>
  <c r="C644" i="6"/>
  <c r="J637" i="6"/>
  <c r="C1686" i="5"/>
  <c r="N1702" i="5"/>
  <c r="C1697" i="5"/>
  <c r="N1707" i="5"/>
  <c r="S1707" i="5" s="1"/>
  <c r="N1701" i="5"/>
  <c r="C643" i="6"/>
  <c r="J636" i="6"/>
  <c r="C631" i="6"/>
  <c r="C573" i="6"/>
  <c r="C630" i="6"/>
  <c r="C571" i="6"/>
  <c r="C572" i="6"/>
  <c r="C635" i="6"/>
  <c r="C646" i="6"/>
  <c r="J639" i="6"/>
  <c r="C578" i="6"/>
  <c r="C647" i="6" s="1"/>
  <c r="E676" i="10"/>
  <c r="G676" i="10" s="1"/>
  <c r="E572" i="5"/>
  <c r="G571" i="5"/>
  <c r="H676" i="10" s="1"/>
  <c r="G241" i="10"/>
  <c r="G30" i="10"/>
  <c r="D1736" i="15"/>
  <c r="D1737" i="14"/>
  <c r="H1743" i="13"/>
  <c r="G1743" i="13"/>
  <c r="E489" i="10"/>
  <c r="G489" i="10" s="1"/>
  <c r="G925" i="5"/>
  <c r="H489" i="10" s="1"/>
  <c r="D1688" i="15"/>
  <c r="D1689" i="14"/>
  <c r="H1695" i="13"/>
  <c r="K1695" i="13"/>
  <c r="G1695" i="13"/>
  <c r="D1703" i="15"/>
  <c r="D1704" i="14"/>
  <c r="H1710" i="13"/>
  <c r="K1710" i="13"/>
  <c r="G1710" i="13"/>
  <c r="D1694" i="15"/>
  <c r="D1695" i="14"/>
  <c r="H1701" i="13"/>
  <c r="K1701" i="13"/>
  <c r="G1701" i="13"/>
  <c r="E162" i="10"/>
  <c r="G162" i="10" s="1"/>
  <c r="E327" i="5"/>
  <c r="G326" i="5"/>
  <c r="H189" i="10" s="1"/>
  <c r="E368" i="10"/>
  <c r="G368" i="10" s="1"/>
  <c r="E795" i="5"/>
  <c r="G794" i="5"/>
  <c r="H368" i="10" s="1"/>
  <c r="E276" i="10"/>
  <c r="F702" i="5"/>
  <c r="F276" i="10" s="1"/>
  <c r="H585" i="15"/>
  <c r="F586" i="14"/>
  <c r="I592" i="13"/>
  <c r="J585" i="15" s="1"/>
  <c r="G194" i="5"/>
  <c r="H57" i="10" s="1"/>
  <c r="E636" i="10"/>
  <c r="G636" i="10" s="1"/>
  <c r="G992" i="5"/>
  <c r="H636" i="10" s="1"/>
  <c r="E692" i="10"/>
  <c r="G692" i="10" s="1"/>
  <c r="E588" i="5"/>
  <c r="G587" i="5"/>
  <c r="H692" i="10" s="1"/>
  <c r="E650" i="10"/>
  <c r="G650" i="10" s="1"/>
  <c r="E1007" i="5"/>
  <c r="G1006" i="5"/>
  <c r="H650" i="10" s="1"/>
  <c r="E320" i="10"/>
  <c r="G320" i="10" s="1"/>
  <c r="E747" i="5"/>
  <c r="G746" i="5"/>
  <c r="H320" i="10" s="1"/>
  <c r="E553" i="10"/>
  <c r="G553" i="10" s="1"/>
  <c r="E950" i="5"/>
  <c r="G949" i="5"/>
  <c r="H553" i="10" s="1"/>
  <c r="E65" i="10"/>
  <c r="E230" i="5"/>
  <c r="F229" i="5"/>
  <c r="F65" i="10" s="1"/>
  <c r="G275" i="10"/>
  <c r="E611" i="10"/>
  <c r="G611" i="10" s="1"/>
  <c r="E547" i="5"/>
  <c r="G546" i="5"/>
  <c r="H611" i="10" s="1"/>
  <c r="I598" i="15"/>
  <c r="E734" i="10"/>
  <c r="G734" i="10" s="1"/>
  <c r="E1051" i="5"/>
  <c r="G1050" i="5"/>
  <c r="H734" i="10" s="1"/>
  <c r="E571" i="10"/>
  <c r="G571" i="10" s="1"/>
  <c r="G967" i="5"/>
  <c r="H571" i="10" s="1"/>
  <c r="E529" i="10"/>
  <c r="G529" i="10" s="1"/>
  <c r="E505" i="5"/>
  <c r="G504" i="5"/>
  <c r="H529" i="10" s="1"/>
  <c r="D1696" i="13"/>
  <c r="E225" i="4"/>
  <c r="D1705" i="15"/>
  <c r="D1706" i="14"/>
  <c r="H1712" i="13"/>
  <c r="K1712" i="13"/>
  <c r="G1712" i="13"/>
  <c r="G64" i="10"/>
  <c r="E595" i="10"/>
  <c r="G595" i="10" s="1"/>
  <c r="G530" i="5"/>
  <c r="H595" i="10" s="1"/>
  <c r="D1703" i="13"/>
  <c r="E232" i="4"/>
  <c r="E446" i="10"/>
  <c r="G446" i="10" s="1"/>
  <c r="E462" i="5"/>
  <c r="G461" i="5"/>
  <c r="H446" i="10" s="1"/>
  <c r="D1702" i="13"/>
  <c r="E231" i="4"/>
  <c r="E242" i="10"/>
  <c r="E669" i="5"/>
  <c r="F668" i="5"/>
  <c r="F242" i="10" s="1"/>
  <c r="E703" i="5"/>
  <c r="E718" i="10"/>
  <c r="G718" i="10" s="1"/>
  <c r="G1034" i="5"/>
  <c r="H718" i="10" s="1"/>
  <c r="E31" i="10"/>
  <c r="E196" i="5"/>
  <c r="F195" i="5"/>
  <c r="F31" i="10" s="1"/>
  <c r="E513" i="10"/>
  <c r="G513" i="10" s="1"/>
  <c r="G488" i="5"/>
  <c r="H513" i="10" s="1"/>
  <c r="E114" i="10"/>
  <c r="G114" i="10" s="1"/>
  <c r="E279" i="5"/>
  <c r="G278" i="5"/>
  <c r="H141" i="10" s="1"/>
  <c r="E471" i="10"/>
  <c r="G471" i="10" s="1"/>
  <c r="E908" i="5"/>
  <c r="G907" i="5"/>
  <c r="H471" i="10" s="1"/>
  <c r="H598" i="15"/>
  <c r="F599" i="14"/>
  <c r="I605" i="13"/>
  <c r="J598" i="15" s="1"/>
  <c r="E261" i="4"/>
  <c r="B262" i="4" s="1"/>
  <c r="B264" i="4" s="1"/>
  <c r="G228" i="5"/>
  <c r="H91" i="10" s="1"/>
  <c r="G701" i="5"/>
  <c r="H275" i="10" s="1"/>
  <c r="G195" i="5" l="1"/>
  <c r="H58" i="10" s="1"/>
  <c r="G65" i="10"/>
  <c r="G668" i="5"/>
  <c r="H242" i="10" s="1"/>
  <c r="L520" i="6"/>
  <c r="D2083" i="13"/>
  <c r="G242" i="10"/>
  <c r="G229" i="5"/>
  <c r="H92" i="10" s="1"/>
  <c r="D2106" i="13"/>
  <c r="E635" i="6"/>
  <c r="J635" i="6"/>
  <c r="C642" i="6"/>
  <c r="S1701" i="5"/>
  <c r="D714" i="13"/>
  <c r="D2116" i="13"/>
  <c r="E645" i="6"/>
  <c r="D2045" i="13"/>
  <c r="E530" i="6"/>
  <c r="D2117" i="13"/>
  <c r="E646" i="6"/>
  <c r="C648" i="6"/>
  <c r="J630" i="6"/>
  <c r="E630" i="6"/>
  <c r="D2101" i="13"/>
  <c r="C633" i="6"/>
  <c r="D2114" i="13"/>
  <c r="C649" i="6"/>
  <c r="E643" i="6"/>
  <c r="D715" i="13"/>
  <c r="S1702" i="5"/>
  <c r="L522" i="6"/>
  <c r="D2085" i="13"/>
  <c r="E647" i="6"/>
  <c r="D2118" i="13"/>
  <c r="J634" i="6"/>
  <c r="C640" i="6"/>
  <c r="E631" i="6"/>
  <c r="D2102" i="13"/>
  <c r="D2189" i="13"/>
  <c r="L637" i="6"/>
  <c r="H2176" i="15"/>
  <c r="I2183" i="13"/>
  <c r="J2176" i="15" s="1"/>
  <c r="D2190" i="13"/>
  <c r="L638" i="6"/>
  <c r="L521" i="6"/>
  <c r="D2084" i="13"/>
  <c r="G276" i="10"/>
  <c r="L639" i="6"/>
  <c r="D2191" i="13"/>
  <c r="C637" i="6"/>
  <c r="J632" i="6"/>
  <c r="C639" i="6"/>
  <c r="C665" i="6"/>
  <c r="C638" i="6"/>
  <c r="C636" i="6"/>
  <c r="D2188" i="13"/>
  <c r="L636" i="6"/>
  <c r="D668" i="13"/>
  <c r="G1697" i="5"/>
  <c r="H831" i="10" s="1"/>
  <c r="F831" i="10"/>
  <c r="F862" i="10" s="1"/>
  <c r="C1738" i="5"/>
  <c r="N1705" i="5"/>
  <c r="S1705" i="5" s="1"/>
  <c r="C1737" i="5"/>
  <c r="J1697" i="5"/>
  <c r="N1697" i="5"/>
  <c r="D2115" i="13"/>
  <c r="E644" i="6"/>
  <c r="I2176" i="15"/>
  <c r="F2177" i="14"/>
  <c r="J515" i="6"/>
  <c r="C453" i="6"/>
  <c r="C471" i="6"/>
  <c r="C468" i="6"/>
  <c r="C472" i="6"/>
  <c r="C470" i="6"/>
  <c r="C473" i="6"/>
  <c r="J533" i="6" s="1"/>
  <c r="C451" i="6"/>
  <c r="C450" i="6"/>
  <c r="C452" i="6"/>
  <c r="J511" i="6" s="1"/>
  <c r="C454" i="6"/>
  <c r="C516" i="6"/>
  <c r="J516" i="6"/>
  <c r="C457" i="6"/>
  <c r="J510" i="6"/>
  <c r="C517" i="6"/>
  <c r="J518" i="6"/>
  <c r="C455" i="6"/>
  <c r="C458" i="6"/>
  <c r="D2082" i="13"/>
  <c r="L519" i="6"/>
  <c r="E735" i="10"/>
  <c r="G735" i="10" s="1"/>
  <c r="G1051" i="5"/>
  <c r="H735" i="10" s="1"/>
  <c r="H695" i="10" s="1"/>
  <c r="E472" i="10"/>
  <c r="G472" i="10" s="1"/>
  <c r="G908" i="5"/>
  <c r="H472" i="10" s="1"/>
  <c r="G31" i="10"/>
  <c r="E243" i="10"/>
  <c r="E704" i="5"/>
  <c r="E670" i="5"/>
  <c r="F669" i="5"/>
  <c r="F243" i="10" s="1"/>
  <c r="D1696" i="15"/>
  <c r="D1697" i="14"/>
  <c r="H1703" i="13"/>
  <c r="K1703" i="13"/>
  <c r="G1703" i="13"/>
  <c r="I1705" i="15"/>
  <c r="F1706" i="14"/>
  <c r="D1689" i="15"/>
  <c r="D1690" i="14"/>
  <c r="H1696" i="13"/>
  <c r="K1696" i="13"/>
  <c r="G1696" i="13"/>
  <c r="E66" i="10"/>
  <c r="E231" i="5"/>
  <c r="F230" i="5"/>
  <c r="F66" i="10" s="1"/>
  <c r="E321" i="10"/>
  <c r="G321" i="10" s="1"/>
  <c r="E748" i="5"/>
  <c r="G747" i="5"/>
  <c r="H321" i="10" s="1"/>
  <c r="E693" i="10"/>
  <c r="G693" i="10" s="1"/>
  <c r="E589" i="5"/>
  <c r="G588" i="5"/>
  <c r="H693" i="10" s="1"/>
  <c r="H1703" i="15"/>
  <c r="I1710" i="13"/>
  <c r="J1703" i="15" s="1"/>
  <c r="H1736" i="15"/>
  <c r="I1743" i="13"/>
  <c r="J1736" i="15" s="1"/>
  <c r="G1748" i="13"/>
  <c r="E447" i="10"/>
  <c r="G447" i="10" s="1"/>
  <c r="E463" i="5"/>
  <c r="G462" i="5"/>
  <c r="H447" i="10" s="1"/>
  <c r="E163" i="10"/>
  <c r="G163" i="10" s="1"/>
  <c r="E328" i="5"/>
  <c r="G327" i="5"/>
  <c r="H190" i="10" s="1"/>
  <c r="I1688" i="15"/>
  <c r="F1689" i="14"/>
  <c r="I1736" i="15"/>
  <c r="F1737" i="14"/>
  <c r="H1748" i="13"/>
  <c r="E277" i="10"/>
  <c r="F703" i="5"/>
  <c r="F277" i="10" s="1"/>
  <c r="H1705" i="15"/>
  <c r="I1712" i="13"/>
  <c r="J1705" i="15" s="1"/>
  <c r="E530" i="10"/>
  <c r="G530" i="10" s="1"/>
  <c r="G505" i="5"/>
  <c r="H530" i="10" s="1"/>
  <c r="H490" i="10" s="1"/>
  <c r="I1703" i="15"/>
  <c r="F1704" i="14"/>
  <c r="H449" i="10"/>
  <c r="I1694" i="15"/>
  <c r="F1695" i="14"/>
  <c r="E677" i="10"/>
  <c r="G677" i="10" s="1"/>
  <c r="G572" i="5"/>
  <c r="H677" i="10" s="1"/>
  <c r="E115" i="10"/>
  <c r="G115" i="10" s="1"/>
  <c r="E280" i="5"/>
  <c r="G279" i="5"/>
  <c r="H142" i="10" s="1"/>
  <c r="E32" i="10"/>
  <c r="E197" i="5"/>
  <c r="F196" i="5"/>
  <c r="F32" i="10" s="1"/>
  <c r="D1695" i="15"/>
  <c r="D1696" i="14"/>
  <c r="H1702" i="13"/>
  <c r="K1702" i="13"/>
  <c r="G1702" i="13"/>
  <c r="E612" i="10"/>
  <c r="G612" i="10" s="1"/>
  <c r="G547" i="5"/>
  <c r="H612" i="10" s="1"/>
  <c r="H572" i="10" s="1"/>
  <c r="E554" i="10"/>
  <c r="G554" i="10" s="1"/>
  <c r="G950" i="5"/>
  <c r="H554" i="10" s="1"/>
  <c r="H531" i="10" s="1"/>
  <c r="E651" i="10"/>
  <c r="G651" i="10" s="1"/>
  <c r="E1008" i="5"/>
  <c r="G1007" i="5"/>
  <c r="H651" i="10" s="1"/>
  <c r="G702" i="5"/>
  <c r="H276" i="10" s="1"/>
  <c r="E369" i="10"/>
  <c r="G369" i="10" s="1"/>
  <c r="E796" i="5"/>
  <c r="G795" i="5"/>
  <c r="H369" i="10" s="1"/>
  <c r="H1694" i="15"/>
  <c r="I1701" i="13"/>
  <c r="J1694" i="15" s="1"/>
  <c r="H1688" i="15"/>
  <c r="I1695" i="13"/>
  <c r="J1688" i="15" s="1"/>
  <c r="G1729" i="13"/>
  <c r="G277" i="10" l="1"/>
  <c r="G703" i="5"/>
  <c r="H277" i="10" s="1"/>
  <c r="C531" i="6"/>
  <c r="C533" i="6"/>
  <c r="C532" i="6"/>
  <c r="C641" i="6"/>
  <c r="E640" i="6"/>
  <c r="D2111" i="13"/>
  <c r="D2113" i="13"/>
  <c r="E642" i="6"/>
  <c r="J513" i="6"/>
  <c r="C456" i="6"/>
  <c r="C523" i="6" s="1"/>
  <c r="C459" i="6"/>
  <c r="C524" i="6"/>
  <c r="D2074" i="13"/>
  <c r="L511" i="6"/>
  <c r="C519" i="6"/>
  <c r="J512" i="6"/>
  <c r="J1737" i="5"/>
  <c r="D706" i="13"/>
  <c r="H830" i="10"/>
  <c r="H829" i="10" s="1"/>
  <c r="G831" i="10"/>
  <c r="G862" i="10" s="1"/>
  <c r="H862" i="10" s="1"/>
  <c r="H861" i="10" s="1"/>
  <c r="E636" i="6"/>
  <c r="D2107" i="13"/>
  <c r="D2184" i="13"/>
  <c r="J633" i="6"/>
  <c r="L632" i="6"/>
  <c r="H2190" i="13"/>
  <c r="G2190" i="13"/>
  <c r="D2184" i="14"/>
  <c r="D2183" i="15"/>
  <c r="D2183" i="14"/>
  <c r="H2189" i="13"/>
  <c r="D2182" i="15"/>
  <c r="G2189" i="13"/>
  <c r="D2186" i="13"/>
  <c r="L634" i="6"/>
  <c r="D2120" i="13"/>
  <c r="E649" i="6"/>
  <c r="D2110" i="15"/>
  <c r="G2117" i="13"/>
  <c r="D2111" i="14"/>
  <c r="H2117" i="13"/>
  <c r="K2117" i="13"/>
  <c r="H2116" i="13"/>
  <c r="D2109" i="15"/>
  <c r="G2116" i="13"/>
  <c r="K2116" i="13"/>
  <c r="D2110" i="14"/>
  <c r="D2187" i="13"/>
  <c r="L635" i="6"/>
  <c r="D2096" i="13"/>
  <c r="L533" i="6"/>
  <c r="D2110" i="13"/>
  <c r="E639" i="6"/>
  <c r="C509" i="6"/>
  <c r="C510" i="6"/>
  <c r="H2118" i="13"/>
  <c r="D2111" i="15"/>
  <c r="G2118" i="13"/>
  <c r="D2112" i="14"/>
  <c r="K2118" i="13"/>
  <c r="D708" i="14"/>
  <c r="D707" i="15"/>
  <c r="H714" i="13"/>
  <c r="G714" i="13"/>
  <c r="H2083" i="13"/>
  <c r="G2083" i="13"/>
  <c r="D2077" i="14"/>
  <c r="D2076" i="15"/>
  <c r="D2073" i="13"/>
  <c r="L510" i="6"/>
  <c r="C529" i="6"/>
  <c r="C521" i="6"/>
  <c r="C528" i="6"/>
  <c r="D2181" i="15"/>
  <c r="D2182" i="14"/>
  <c r="G2188" i="13"/>
  <c r="H2188" i="13"/>
  <c r="H2085" i="13"/>
  <c r="G2085" i="13"/>
  <c r="D2078" i="15"/>
  <c r="D2079" i="14"/>
  <c r="H2101" i="13"/>
  <c r="D2095" i="14"/>
  <c r="K2101" i="13"/>
  <c r="D2094" i="15"/>
  <c r="G2101" i="13"/>
  <c r="G66" i="10"/>
  <c r="L518" i="6"/>
  <c r="D2081" i="13"/>
  <c r="D2079" i="13"/>
  <c r="L516" i="6"/>
  <c r="L515" i="6"/>
  <c r="D2078" i="13"/>
  <c r="K2115" i="13"/>
  <c r="H2115" i="13"/>
  <c r="D2108" i="15"/>
  <c r="G2115" i="13"/>
  <c r="D2109" i="14"/>
  <c r="D662" i="14"/>
  <c r="H668" i="13"/>
  <c r="D661" i="15"/>
  <c r="K668" i="13"/>
  <c r="G668" i="13"/>
  <c r="D2109" i="13"/>
  <c r="E638" i="6"/>
  <c r="E637" i="6"/>
  <c r="D2108" i="13"/>
  <c r="D2078" i="14"/>
  <c r="H2084" i="13"/>
  <c r="G2084" i="13"/>
  <c r="D2077" i="15"/>
  <c r="K2102" i="13"/>
  <c r="H2102" i="13"/>
  <c r="D2096" i="14"/>
  <c r="D2095" i="15"/>
  <c r="G2102" i="13"/>
  <c r="D2107" i="15"/>
  <c r="G2114" i="13"/>
  <c r="D2108" i="14"/>
  <c r="H2114" i="13"/>
  <c r="K2114" i="13"/>
  <c r="L630" i="6"/>
  <c r="D2182" i="13"/>
  <c r="D2076" i="14"/>
  <c r="H2082" i="13"/>
  <c r="G2082" i="13"/>
  <c r="D2075" i="15"/>
  <c r="D2033" i="13"/>
  <c r="E517" i="6"/>
  <c r="C518" i="6"/>
  <c r="D2032" i="13"/>
  <c r="E516" i="6"/>
  <c r="C513" i="6"/>
  <c r="J514" i="6"/>
  <c r="C460" i="6"/>
  <c r="J509" i="6"/>
  <c r="S1697" i="5"/>
  <c r="S1742" i="5" s="1"/>
  <c r="B1744" i="5" s="1"/>
  <c r="D710" i="13"/>
  <c r="J1738" i="5"/>
  <c r="J1742" i="5" s="1"/>
  <c r="B1743" i="5" s="1"/>
  <c r="D707" i="13"/>
  <c r="E665" i="6"/>
  <c r="D2140" i="13"/>
  <c r="D2185" i="14"/>
  <c r="H2191" i="13"/>
  <c r="D2184" i="15"/>
  <c r="G2191" i="13"/>
  <c r="D708" i="15"/>
  <c r="G715" i="13"/>
  <c r="D709" i="14"/>
  <c r="H715" i="13"/>
  <c r="E633" i="6"/>
  <c r="C634" i="6"/>
  <c r="D2104" i="13"/>
  <c r="D2119" i="13"/>
  <c r="E648" i="6"/>
  <c r="D2039" i="14"/>
  <c r="G2045" i="13"/>
  <c r="H2045" i="13"/>
  <c r="K2045" i="13"/>
  <c r="D2038" i="15"/>
  <c r="D2099" i="15"/>
  <c r="G2106" i="13"/>
  <c r="D2100" i="14"/>
  <c r="H2106" i="13"/>
  <c r="K2106" i="13"/>
  <c r="I1695" i="15"/>
  <c r="F1696" i="14"/>
  <c r="E116" i="10"/>
  <c r="G116" i="10" s="1"/>
  <c r="E281" i="5"/>
  <c r="G280" i="5"/>
  <c r="H143" i="10" s="1"/>
  <c r="E164" i="10"/>
  <c r="G164" i="10" s="1"/>
  <c r="E329" i="5"/>
  <c r="G328" i="5"/>
  <c r="H191" i="10" s="1"/>
  <c r="E694" i="10"/>
  <c r="G694" i="10" s="1"/>
  <c r="G589" i="5"/>
  <c r="H694" i="10" s="1"/>
  <c r="H654" i="10" s="1"/>
  <c r="E33" i="10"/>
  <c r="E198" i="5"/>
  <c r="F197" i="5"/>
  <c r="F33" i="10" s="1"/>
  <c r="I1741" i="15"/>
  <c r="E448" i="10"/>
  <c r="G448" i="10" s="1"/>
  <c r="G463" i="5"/>
  <c r="H448" i="10" s="1"/>
  <c r="H408" i="10" s="1"/>
  <c r="G230" i="5"/>
  <c r="H93" i="10" s="1"/>
  <c r="I1689" i="15"/>
  <c r="F1690" i="14"/>
  <c r="E244" i="10"/>
  <c r="E705" i="5"/>
  <c r="E671" i="5"/>
  <c r="F670" i="5"/>
  <c r="F244" i="10" s="1"/>
  <c r="H1722" i="15"/>
  <c r="F1723" i="14"/>
  <c r="H1729" i="13"/>
  <c r="I1722" i="15" s="1"/>
  <c r="I1696" i="15"/>
  <c r="F1697" i="14"/>
  <c r="E652" i="10"/>
  <c r="G652" i="10" s="1"/>
  <c r="E1009" i="5"/>
  <c r="G1008" i="5"/>
  <c r="H652" i="10" s="1"/>
  <c r="H1695" i="15"/>
  <c r="I1702" i="13"/>
  <c r="J1695" i="15" s="1"/>
  <c r="G32" i="10"/>
  <c r="H1696" i="15"/>
  <c r="I1703" i="13"/>
  <c r="J1696" i="15" s="1"/>
  <c r="E278" i="10"/>
  <c r="F704" i="5"/>
  <c r="F278" i="10" s="1"/>
  <c r="E370" i="10"/>
  <c r="G370" i="10" s="1"/>
  <c r="E797" i="5"/>
  <c r="G796" i="5"/>
  <c r="H370" i="10" s="1"/>
  <c r="G196" i="5"/>
  <c r="H59" i="10" s="1"/>
  <c r="H1741" i="15"/>
  <c r="F1742" i="14"/>
  <c r="I1748" i="13"/>
  <c r="J1741" i="15" s="1"/>
  <c r="E322" i="10"/>
  <c r="G322" i="10" s="1"/>
  <c r="E749" i="5"/>
  <c r="G748" i="5"/>
  <c r="H322" i="10" s="1"/>
  <c r="E67" i="10"/>
  <c r="E232" i="5"/>
  <c r="F231" i="5"/>
  <c r="F67" i="10" s="1"/>
  <c r="H1689" i="15"/>
  <c r="I1696" i="13"/>
  <c r="J1689" i="15" s="1"/>
  <c r="G669" i="5"/>
  <c r="H243" i="10" s="1"/>
  <c r="G243" i="10"/>
  <c r="B1745" i="5" l="1"/>
  <c r="I2106" i="13"/>
  <c r="J2099" i="15" s="1"/>
  <c r="H2099" i="15"/>
  <c r="D2112" i="15"/>
  <c r="G2119" i="13"/>
  <c r="D2113" i="14"/>
  <c r="K2119" i="13"/>
  <c r="H2119" i="13"/>
  <c r="H2184" i="15"/>
  <c r="I2191" i="13"/>
  <c r="J2184" i="15" s="1"/>
  <c r="D2077" i="13"/>
  <c r="L514" i="6"/>
  <c r="I2082" i="13"/>
  <c r="J2075" i="15" s="1"/>
  <c r="H2075" i="15"/>
  <c r="H2107" i="15"/>
  <c r="I2114" i="13"/>
  <c r="J2107" i="15" s="1"/>
  <c r="H2077" i="15"/>
  <c r="I2084" i="13"/>
  <c r="J2077" i="15" s="1"/>
  <c r="I2101" i="13"/>
  <c r="J2094" i="15" s="1"/>
  <c r="H2094" i="15"/>
  <c r="F2079" i="14"/>
  <c r="I2078" i="15"/>
  <c r="D2025" i="13"/>
  <c r="E509" i="6"/>
  <c r="I2183" i="15"/>
  <c r="F2184" i="14"/>
  <c r="D699" i="15"/>
  <c r="G706" i="13"/>
  <c r="D700" i="14"/>
  <c r="K706" i="13"/>
  <c r="H706" i="13"/>
  <c r="E523" i="6"/>
  <c r="D2038" i="13"/>
  <c r="H2111" i="13"/>
  <c r="K2111" i="13"/>
  <c r="D2104" i="15"/>
  <c r="G2111" i="13"/>
  <c r="D2105" i="14"/>
  <c r="G67" i="10"/>
  <c r="G33" i="10"/>
  <c r="F2100" i="14"/>
  <c r="I2099" i="15"/>
  <c r="D2105" i="13"/>
  <c r="E634" i="6"/>
  <c r="I715" i="13"/>
  <c r="J708" i="15" s="1"/>
  <c r="H708" i="15"/>
  <c r="I2184" i="15"/>
  <c r="F2185" i="14"/>
  <c r="D700" i="15"/>
  <c r="G707" i="13"/>
  <c r="D701" i="14"/>
  <c r="K707" i="13"/>
  <c r="H707" i="13"/>
  <c r="L509" i="6"/>
  <c r="D2072" i="13"/>
  <c r="K2033" i="13"/>
  <c r="D2026" i="15"/>
  <c r="G2033" i="13"/>
  <c r="D2027" i="14"/>
  <c r="H2033" i="13"/>
  <c r="I2107" i="15"/>
  <c r="F2108" i="14"/>
  <c r="H2095" i="15"/>
  <c r="I2102" i="13"/>
  <c r="J2095" i="15" s="1"/>
  <c r="D2103" i="14"/>
  <c r="H2109" i="13"/>
  <c r="G2109" i="13"/>
  <c r="K2109" i="13"/>
  <c r="D2102" i="15"/>
  <c r="I661" i="15"/>
  <c r="F662" i="14"/>
  <c r="I2188" i="13"/>
  <c r="J2181" i="15" s="1"/>
  <c r="H2181" i="15"/>
  <c r="C527" i="6"/>
  <c r="E521" i="6"/>
  <c r="D2037" i="13"/>
  <c r="H707" i="15"/>
  <c r="I714" i="13"/>
  <c r="J707" i="15" s="1"/>
  <c r="I2111" i="15"/>
  <c r="F2112" i="14"/>
  <c r="H2110" i="13"/>
  <c r="D2103" i="15"/>
  <c r="G2110" i="13"/>
  <c r="D2104" i="14"/>
  <c r="K2110" i="13"/>
  <c r="G2187" i="13"/>
  <c r="D2180" i="15"/>
  <c r="D2181" i="14"/>
  <c r="H2187" i="13"/>
  <c r="K2120" i="13"/>
  <c r="H2120" i="13"/>
  <c r="D2114" i="14"/>
  <c r="D2113" i="15"/>
  <c r="G2120" i="13"/>
  <c r="D2185" i="13"/>
  <c r="L633" i="6"/>
  <c r="L707" i="6" s="1"/>
  <c r="B709" i="6" s="1"/>
  <c r="L512" i="6"/>
  <c r="D2075" i="13"/>
  <c r="D2039" i="13"/>
  <c r="C526" i="6"/>
  <c r="E524" i="6"/>
  <c r="E641" i="6"/>
  <c r="D2112" i="13"/>
  <c r="G670" i="5"/>
  <c r="H244" i="10" s="1"/>
  <c r="G244" i="10"/>
  <c r="G197" i="5"/>
  <c r="H60" i="10" s="1"/>
  <c r="C461" i="6"/>
  <c r="J537" i="6"/>
  <c r="H2032" i="13"/>
  <c r="K2032" i="13"/>
  <c r="D2026" i="14"/>
  <c r="D2025" i="15"/>
  <c r="G2032" i="13"/>
  <c r="D2176" i="14"/>
  <c r="H2182" i="13"/>
  <c r="D2175" i="15"/>
  <c r="G2182" i="13"/>
  <c r="K2108" i="13"/>
  <c r="H2108" i="13"/>
  <c r="D2102" i="14"/>
  <c r="D2101" i="15"/>
  <c r="G2108" i="13"/>
  <c r="H661" i="15"/>
  <c r="I668" i="13"/>
  <c r="J661" i="15" s="1"/>
  <c r="I2108" i="15"/>
  <c r="F2109" i="14"/>
  <c r="H2078" i="15"/>
  <c r="I2085" i="13"/>
  <c r="J2078" i="15" s="1"/>
  <c r="E529" i="6"/>
  <c r="D2044" i="13"/>
  <c r="I707" i="15"/>
  <c r="F708" i="14"/>
  <c r="C512" i="6"/>
  <c r="E510" i="6"/>
  <c r="D2026" i="13"/>
  <c r="C511" i="6"/>
  <c r="F2110" i="14"/>
  <c r="I2109" i="15"/>
  <c r="H2110" i="15"/>
  <c r="I2117" i="13"/>
  <c r="J2110" i="15" s="1"/>
  <c r="I2182" i="15"/>
  <c r="F2183" i="14"/>
  <c r="H2183" i="15"/>
  <c r="I2190" i="13"/>
  <c r="J2183" i="15" s="1"/>
  <c r="G2184" i="13"/>
  <c r="D2177" i="15"/>
  <c r="D2178" i="14"/>
  <c r="H2184" i="13"/>
  <c r="D2035" i="13"/>
  <c r="C520" i="6"/>
  <c r="E519" i="6"/>
  <c r="C525" i="6"/>
  <c r="J517" i="6"/>
  <c r="D2107" i="14"/>
  <c r="H2113" i="13"/>
  <c r="K2113" i="13"/>
  <c r="G2113" i="13"/>
  <c r="D2106" i="15"/>
  <c r="D2047" i="13"/>
  <c r="E532" i="6"/>
  <c r="I2038" i="15"/>
  <c r="F2039" i="14"/>
  <c r="I708" i="15"/>
  <c r="F709" i="14"/>
  <c r="H2140" i="13"/>
  <c r="K2140" i="13"/>
  <c r="D2133" i="15"/>
  <c r="G2140" i="13"/>
  <c r="D2134" i="14"/>
  <c r="D704" i="14"/>
  <c r="H710" i="13"/>
  <c r="D703" i="15"/>
  <c r="G710" i="13"/>
  <c r="D2034" i="13"/>
  <c r="E518" i="6"/>
  <c r="G2079" i="13"/>
  <c r="D2072" i="15"/>
  <c r="D2073" i="14"/>
  <c r="H2079" i="13"/>
  <c r="F2095" i="14"/>
  <c r="I2094" i="15"/>
  <c r="H2076" i="15"/>
  <c r="I2083" i="13"/>
  <c r="J2076" i="15" s="1"/>
  <c r="H2111" i="15"/>
  <c r="I2118" i="13"/>
  <c r="J2111" i="15" s="1"/>
  <c r="H2096" i="13"/>
  <c r="G2096" i="13"/>
  <c r="D2090" i="14"/>
  <c r="D2089" i="15"/>
  <c r="D2179" i="15"/>
  <c r="D2180" i="14"/>
  <c r="H2186" i="13"/>
  <c r="G2186" i="13"/>
  <c r="K2107" i="13"/>
  <c r="D2100" i="15"/>
  <c r="G2107" i="13"/>
  <c r="D2101" i="14"/>
  <c r="H2107" i="13"/>
  <c r="D2048" i="13"/>
  <c r="E533" i="6"/>
  <c r="H2038" i="15"/>
  <c r="I2045" i="13"/>
  <c r="J2038" i="15" s="1"/>
  <c r="D2097" i="15"/>
  <c r="G2104" i="13"/>
  <c r="D2098" i="14"/>
  <c r="H2104" i="13"/>
  <c r="K2104" i="13"/>
  <c r="E513" i="6"/>
  <c r="D2029" i="13"/>
  <c r="C515" i="6"/>
  <c r="I2075" i="15"/>
  <c r="F2076" i="14"/>
  <c r="F2096" i="14"/>
  <c r="I2095" i="15"/>
  <c r="I2077" i="15"/>
  <c r="F2078" i="14"/>
  <c r="H2108" i="15"/>
  <c r="I2115" i="13"/>
  <c r="J2108" i="15" s="1"/>
  <c r="H2078" i="13"/>
  <c r="G2078" i="13"/>
  <c r="D2071" i="15"/>
  <c r="D2072" i="14"/>
  <c r="D2075" i="14"/>
  <c r="H2081" i="13"/>
  <c r="D2074" i="15"/>
  <c r="G2081" i="13"/>
  <c r="I2181" i="15"/>
  <c r="F2182" i="14"/>
  <c r="D2043" i="13"/>
  <c r="E528" i="6"/>
  <c r="H2073" i="13"/>
  <c r="G2073" i="13"/>
  <c r="D2066" i="15"/>
  <c r="D2067" i="14"/>
  <c r="F2077" i="14"/>
  <c r="I2076" i="15"/>
  <c r="H2109" i="15"/>
  <c r="I2116" i="13"/>
  <c r="J2109" i="15" s="1"/>
  <c r="I2110" i="15"/>
  <c r="F2111" i="14"/>
  <c r="H2182" i="15"/>
  <c r="I2189" i="13"/>
  <c r="J2182" i="15" s="1"/>
  <c r="D2067" i="15"/>
  <c r="D2068" i="14"/>
  <c r="G2074" i="13"/>
  <c r="H2074" i="13"/>
  <c r="L513" i="6"/>
  <c r="D2076" i="13"/>
  <c r="D2046" i="13"/>
  <c r="E531" i="6"/>
  <c r="E323" i="10"/>
  <c r="G323" i="10" s="1"/>
  <c r="E750" i="5"/>
  <c r="G749" i="5"/>
  <c r="H323" i="10" s="1"/>
  <c r="E245" i="10"/>
  <c r="E672" i="5"/>
  <c r="F671" i="5"/>
  <c r="F245" i="10" s="1"/>
  <c r="E706" i="5"/>
  <c r="E34" i="10"/>
  <c r="E199" i="5"/>
  <c r="F198" i="5"/>
  <c r="F34" i="10" s="1"/>
  <c r="E117" i="10"/>
  <c r="G117" i="10" s="1"/>
  <c r="E282" i="5"/>
  <c r="G281" i="5"/>
  <c r="H144" i="10" s="1"/>
  <c r="E68" i="10"/>
  <c r="E233" i="5"/>
  <c r="F232" i="5"/>
  <c r="F68" i="10" s="1"/>
  <c r="E371" i="10"/>
  <c r="G371" i="10" s="1"/>
  <c r="E798" i="5"/>
  <c r="G797" i="5"/>
  <c r="H371" i="10" s="1"/>
  <c r="G278" i="10"/>
  <c r="E279" i="10"/>
  <c r="F705" i="5"/>
  <c r="F279" i="10" s="1"/>
  <c r="E165" i="10"/>
  <c r="G165" i="10" s="1"/>
  <c r="E330" i="5"/>
  <c r="G329" i="5"/>
  <c r="H192" i="10" s="1"/>
  <c r="E653" i="10"/>
  <c r="G653" i="10" s="1"/>
  <c r="G1009" i="5"/>
  <c r="H653" i="10" s="1"/>
  <c r="H613" i="10" s="1"/>
  <c r="G231" i="5"/>
  <c r="H94" i="10" s="1"/>
  <c r="G704" i="5"/>
  <c r="H278" i="10" s="1"/>
  <c r="I1729" i="13"/>
  <c r="J1722" i="15" s="1"/>
  <c r="G708" i="13" l="1"/>
  <c r="F702" i="14" s="1"/>
  <c r="G198" i="5"/>
  <c r="H61" i="10" s="1"/>
  <c r="G671" i="5"/>
  <c r="H245" i="10" s="1"/>
  <c r="G245" i="10"/>
  <c r="G232" i="5"/>
  <c r="H95" i="10" s="1"/>
  <c r="G705" i="5"/>
  <c r="H279" i="10" s="1"/>
  <c r="I2067" i="15"/>
  <c r="F2068" i="14"/>
  <c r="I2081" i="13"/>
  <c r="J2074" i="15" s="1"/>
  <c r="H2074" i="15"/>
  <c r="H2100" i="15"/>
  <c r="I2107" i="13"/>
  <c r="J2100" i="15" s="1"/>
  <c r="F2180" i="14"/>
  <c r="I2179" i="15"/>
  <c r="I2079" i="13"/>
  <c r="J2072" i="15" s="1"/>
  <c r="H2072" i="15"/>
  <c r="D2040" i="13"/>
  <c r="E525" i="6"/>
  <c r="D2027" i="13"/>
  <c r="E511" i="6"/>
  <c r="I2182" i="13"/>
  <c r="J2175" i="15" s="1"/>
  <c r="H2175" i="15"/>
  <c r="I2032" i="13"/>
  <c r="J2025" i="15" s="1"/>
  <c r="H2025" i="15"/>
  <c r="I2025" i="15"/>
  <c r="F2026" i="14"/>
  <c r="I2180" i="15"/>
  <c r="F2181" i="14"/>
  <c r="F2104" i="14"/>
  <c r="I2103" i="15"/>
  <c r="F2103" i="14"/>
  <c r="I2102" i="15"/>
  <c r="I2074" i="13"/>
  <c r="J2067" i="15" s="1"/>
  <c r="H2067" i="15"/>
  <c r="D2036" i="15"/>
  <c r="G2043" i="13"/>
  <c r="D2037" i="14"/>
  <c r="K2043" i="13"/>
  <c r="H2043" i="13"/>
  <c r="D2022" i="15"/>
  <c r="G2029" i="13"/>
  <c r="K2029" i="13"/>
  <c r="D2023" i="14"/>
  <c r="H2029" i="13"/>
  <c r="D2042" i="14"/>
  <c r="H2048" i="13"/>
  <c r="K2048" i="13"/>
  <c r="D2041" i="15"/>
  <c r="G2048" i="13"/>
  <c r="H2089" i="15"/>
  <c r="I2096" i="13"/>
  <c r="J2089" i="15" s="1"/>
  <c r="H717" i="13"/>
  <c r="I710" i="15" s="1"/>
  <c r="I703" i="15"/>
  <c r="F704" i="14"/>
  <c r="D2040" i="15"/>
  <c r="G2047" i="13"/>
  <c r="D2041" i="14"/>
  <c r="K2047" i="13"/>
  <c r="H2047" i="13"/>
  <c r="I2106" i="15"/>
  <c r="F2107" i="14"/>
  <c r="D2124" i="13"/>
  <c r="L537" i="6"/>
  <c r="D2030" i="15"/>
  <c r="G2037" i="13"/>
  <c r="D2031" i="14"/>
  <c r="K2037" i="13"/>
  <c r="H2037" i="13"/>
  <c r="I700" i="15"/>
  <c r="F701" i="14"/>
  <c r="H2104" i="15"/>
  <c r="I2111" i="13"/>
  <c r="J2104" i="15" s="1"/>
  <c r="D2032" i="14"/>
  <c r="H2038" i="13"/>
  <c r="K2038" i="13"/>
  <c r="D2031" i="15"/>
  <c r="G2038" i="13"/>
  <c r="H2112" i="15"/>
  <c r="I2119" i="13"/>
  <c r="J2112" i="15" s="1"/>
  <c r="D2069" i="15"/>
  <c r="D2070" i="14"/>
  <c r="H2076" i="13"/>
  <c r="G2076" i="13"/>
  <c r="I2073" i="13"/>
  <c r="J2066" i="15" s="1"/>
  <c r="H2066" i="15"/>
  <c r="I2074" i="15"/>
  <c r="F2075" i="14"/>
  <c r="H2071" i="15"/>
  <c r="I2078" i="13"/>
  <c r="J2071" i="15" s="1"/>
  <c r="I2104" i="13"/>
  <c r="J2097" i="15" s="1"/>
  <c r="H2097" i="15"/>
  <c r="I2100" i="15"/>
  <c r="F2101" i="14"/>
  <c r="I2089" i="15"/>
  <c r="F2090" i="14"/>
  <c r="H2093" i="13"/>
  <c r="H2034" i="13"/>
  <c r="K2034" i="13"/>
  <c r="D2027" i="15"/>
  <c r="G2034" i="13"/>
  <c r="D2028" i="14"/>
  <c r="E520" i="6"/>
  <c r="D2036" i="13"/>
  <c r="D2037" i="15"/>
  <c r="G2044" i="13"/>
  <c r="D2038" i="14"/>
  <c r="H2044" i="13"/>
  <c r="K2044" i="13"/>
  <c r="F2102" i="14"/>
  <c r="I2101" i="15"/>
  <c r="I2175" i="15"/>
  <c r="F2176" i="14"/>
  <c r="C462" i="6"/>
  <c r="J536" i="6"/>
  <c r="K2112" i="13"/>
  <c r="D2105" i="15"/>
  <c r="G2112" i="13"/>
  <c r="H2112" i="13"/>
  <c r="D2106" i="14"/>
  <c r="D2032" i="15"/>
  <c r="G2039" i="13"/>
  <c r="D2033" i="14"/>
  <c r="H2039" i="13"/>
  <c r="K2039" i="13"/>
  <c r="H2185" i="13"/>
  <c r="H2181" i="13" s="1"/>
  <c r="G2185" i="13"/>
  <c r="D2178" i="15"/>
  <c r="D2179" i="14"/>
  <c r="I2113" i="15"/>
  <c r="F2114" i="14"/>
  <c r="H2103" i="15"/>
  <c r="I2110" i="13"/>
  <c r="J2103" i="15" s="1"/>
  <c r="H708" i="13"/>
  <c r="I701" i="15" s="1"/>
  <c r="I2026" i="15"/>
  <c r="F2027" i="14"/>
  <c r="E707" i="6"/>
  <c r="B708" i="6" s="1"/>
  <c r="B710" i="6" s="1"/>
  <c r="I706" i="13"/>
  <c r="J699" i="15" s="1"/>
  <c r="H699" i="15"/>
  <c r="F2113" i="14"/>
  <c r="I2112" i="15"/>
  <c r="C514" i="6"/>
  <c r="D2031" i="13"/>
  <c r="E515" i="6"/>
  <c r="I2097" i="15"/>
  <c r="F2098" i="14"/>
  <c r="I2140" i="13"/>
  <c r="J2133" i="15" s="1"/>
  <c r="H2133" i="15"/>
  <c r="I2177" i="15"/>
  <c r="F2178" i="14"/>
  <c r="H2026" i="15"/>
  <c r="I2033" i="13"/>
  <c r="J2026" i="15" s="1"/>
  <c r="I707" i="13"/>
  <c r="J700" i="15" s="1"/>
  <c r="H700" i="15"/>
  <c r="I2104" i="15"/>
  <c r="F2105" i="14"/>
  <c r="D2039" i="15"/>
  <c r="G2046" i="13"/>
  <c r="D2040" i="14"/>
  <c r="H2046" i="13"/>
  <c r="K2046" i="13"/>
  <c r="I2072" i="15"/>
  <c r="F2073" i="14"/>
  <c r="K2026" i="13"/>
  <c r="H2026" i="13"/>
  <c r="D2019" i="15"/>
  <c r="G2026" i="13"/>
  <c r="D2020" i="14"/>
  <c r="D2041" i="13"/>
  <c r="E526" i="6"/>
  <c r="G279" i="10"/>
  <c r="I2066" i="15"/>
  <c r="F2067" i="14"/>
  <c r="F2072" i="14"/>
  <c r="I2071" i="15"/>
  <c r="H2179" i="15"/>
  <c r="I2186" i="13"/>
  <c r="J2179" i="15" s="1"/>
  <c r="I710" i="13"/>
  <c r="J703" i="15" s="1"/>
  <c r="G717" i="13"/>
  <c r="H703" i="15"/>
  <c r="I2133" i="15"/>
  <c r="F2134" i="14"/>
  <c r="H2125" i="13"/>
  <c r="H2106" i="15"/>
  <c r="I2113" i="13"/>
  <c r="J2106" i="15" s="1"/>
  <c r="D2080" i="13"/>
  <c r="L517" i="6"/>
  <c r="K2035" i="13"/>
  <c r="H2035" i="13"/>
  <c r="D2028" i="15"/>
  <c r="G2035" i="13"/>
  <c r="D2029" i="14"/>
  <c r="H2177" i="15"/>
  <c r="I2184" i="13"/>
  <c r="J2177" i="15" s="1"/>
  <c r="D2028" i="13"/>
  <c r="E512" i="6"/>
  <c r="I2108" i="13"/>
  <c r="J2101" i="15" s="1"/>
  <c r="H2101" i="15"/>
  <c r="D2069" i="14"/>
  <c r="H2075" i="13"/>
  <c r="G2075" i="13"/>
  <c r="D2068" i="15"/>
  <c r="I2120" i="13"/>
  <c r="J2113" i="15" s="1"/>
  <c r="H2113" i="15"/>
  <c r="I2187" i="13"/>
  <c r="J2180" i="15" s="1"/>
  <c r="H2180" i="15"/>
  <c r="D2042" i="13"/>
  <c r="E527" i="6"/>
  <c r="H2102" i="15"/>
  <c r="I2109" i="13"/>
  <c r="J2102" i="15" s="1"/>
  <c r="G2072" i="13"/>
  <c r="D2065" i="15"/>
  <c r="H2072" i="13"/>
  <c r="D2066" i="14"/>
  <c r="H2105" i="13"/>
  <c r="K2105" i="13"/>
  <c r="D2098" i="15"/>
  <c r="G2105" i="13"/>
  <c r="D2099" i="14"/>
  <c r="I699" i="15"/>
  <c r="F700" i="14"/>
  <c r="D2019" i="14"/>
  <c r="H2025" i="13"/>
  <c r="K2025" i="13"/>
  <c r="D2018" i="15"/>
  <c r="G2025" i="13"/>
  <c r="D2070" i="15"/>
  <c r="H2077" i="13"/>
  <c r="D2071" i="14"/>
  <c r="G2077" i="13"/>
  <c r="E166" i="10"/>
  <c r="G166" i="10" s="1"/>
  <c r="E331" i="5"/>
  <c r="G330" i="5"/>
  <c r="H193" i="10" s="1"/>
  <c r="E280" i="10"/>
  <c r="F706" i="5"/>
  <c r="F280" i="10" s="1"/>
  <c r="E372" i="10"/>
  <c r="G372" i="10" s="1"/>
  <c r="E799" i="5"/>
  <c r="G798" i="5"/>
  <c r="H372" i="10" s="1"/>
  <c r="E69" i="10"/>
  <c r="E234" i="5"/>
  <c r="F233" i="5"/>
  <c r="F69" i="10" s="1"/>
  <c r="E118" i="10"/>
  <c r="G118" i="10" s="1"/>
  <c r="E283" i="5"/>
  <c r="G282" i="5"/>
  <c r="H145" i="10" s="1"/>
  <c r="E35" i="10"/>
  <c r="E200" i="5"/>
  <c r="F199" i="5"/>
  <c r="F35" i="10" s="1"/>
  <c r="E324" i="10"/>
  <c r="G324" i="10" s="1"/>
  <c r="E751" i="5"/>
  <c r="G750" i="5"/>
  <c r="H324" i="10" s="1"/>
  <c r="G68" i="10"/>
  <c r="G34" i="10"/>
  <c r="E246" i="10"/>
  <c r="E673" i="5"/>
  <c r="F672" i="5"/>
  <c r="F246" i="10" s="1"/>
  <c r="E707" i="5"/>
  <c r="H701" i="15" l="1"/>
  <c r="H2225" i="13"/>
  <c r="I2218" i="15" s="1"/>
  <c r="I2181" i="13"/>
  <c r="J2174" i="15" s="1"/>
  <c r="I2174" i="15"/>
  <c r="F2175" i="14"/>
  <c r="H2028" i="13"/>
  <c r="K2028" i="13"/>
  <c r="D2022" i="14"/>
  <c r="D2021" i="15"/>
  <c r="G2028" i="13"/>
  <c r="H710" i="15"/>
  <c r="F711" i="14"/>
  <c r="I717" i="13"/>
  <c r="J710" i="15" s="1"/>
  <c r="I2026" i="13"/>
  <c r="J2019" i="15" s="1"/>
  <c r="H2019" i="15"/>
  <c r="H2031" i="13"/>
  <c r="K2031" i="13"/>
  <c r="D2024" i="15"/>
  <c r="G2031" i="13"/>
  <c r="D2025" i="14"/>
  <c r="H2178" i="15"/>
  <c r="I2185" i="13"/>
  <c r="J2178" i="15" s="1"/>
  <c r="I2105" i="15"/>
  <c r="F2106" i="14"/>
  <c r="D2123" i="13"/>
  <c r="L536" i="6"/>
  <c r="H2027" i="15"/>
  <c r="I2034" i="13"/>
  <c r="J2027" i="15" s="1"/>
  <c r="F2087" i="14"/>
  <c r="I2093" i="13"/>
  <c r="J2086" i="15" s="1"/>
  <c r="I2086" i="15"/>
  <c r="H2031" i="15"/>
  <c r="I2038" i="13"/>
  <c r="J2031" i="15" s="1"/>
  <c r="I2037" i="13"/>
  <c r="J2030" i="15" s="1"/>
  <c r="H2030" i="15"/>
  <c r="I2048" i="13"/>
  <c r="J2041" i="15" s="1"/>
  <c r="H2041" i="15"/>
  <c r="I2029" i="13"/>
  <c r="J2022" i="15" s="1"/>
  <c r="H2022" i="15"/>
  <c r="I708" i="13"/>
  <c r="J701" i="15" s="1"/>
  <c r="H2040" i="13"/>
  <c r="K2040" i="13"/>
  <c r="D2034" i="14"/>
  <c r="D2033" i="15"/>
  <c r="G2040" i="13"/>
  <c r="F2066" i="14"/>
  <c r="I2065" i="15"/>
  <c r="H2068" i="15"/>
  <c r="I2075" i="13"/>
  <c r="J2068" i="15" s="1"/>
  <c r="I2028" i="15"/>
  <c r="F2029" i="14"/>
  <c r="I2018" i="15"/>
  <c r="F2019" i="14"/>
  <c r="F2099" i="14"/>
  <c r="I2098" i="15"/>
  <c r="H2065" i="15"/>
  <c r="I2072" i="13"/>
  <c r="J2065" i="15" s="1"/>
  <c r="K2042" i="13"/>
  <c r="D2035" i="15"/>
  <c r="G2042" i="13"/>
  <c r="H2042" i="13"/>
  <c r="D2036" i="14"/>
  <c r="I2035" i="13"/>
  <c r="J2028" i="15" s="1"/>
  <c r="H2028" i="15"/>
  <c r="F2119" i="14"/>
  <c r="I2125" i="13"/>
  <c r="J2118" i="15" s="1"/>
  <c r="I2118" i="15"/>
  <c r="G233" i="5"/>
  <c r="H96" i="10" s="1"/>
  <c r="I2077" i="13"/>
  <c r="J2070" i="15" s="1"/>
  <c r="H2070" i="15"/>
  <c r="I2025" i="13"/>
  <c r="J2018" i="15" s="1"/>
  <c r="H2018" i="15"/>
  <c r="H2098" i="15"/>
  <c r="I2105" i="13"/>
  <c r="J2098" i="15" s="1"/>
  <c r="D2074" i="14"/>
  <c r="H2080" i="13"/>
  <c r="H2071" i="13" s="1"/>
  <c r="D2073" i="15"/>
  <c r="G2080" i="13"/>
  <c r="G2097" i="13" s="1"/>
  <c r="I2046" i="13"/>
  <c r="J2039" i="15" s="1"/>
  <c r="H2039" i="15"/>
  <c r="E514" i="6"/>
  <c r="E558" i="6" s="1"/>
  <c r="B559" i="6" s="1"/>
  <c r="D2030" i="13"/>
  <c r="I2178" i="15"/>
  <c r="F2179" i="14"/>
  <c r="H2032" i="15"/>
  <c r="I2039" i="13"/>
  <c r="J2032" i="15" s="1"/>
  <c r="H2105" i="15"/>
  <c r="I2112" i="13"/>
  <c r="J2105" i="15" s="1"/>
  <c r="J535" i="6"/>
  <c r="C463" i="6"/>
  <c r="J534" i="6" s="1"/>
  <c r="I2037" i="15"/>
  <c r="F2038" i="14"/>
  <c r="K2036" i="13"/>
  <c r="D2029" i="15"/>
  <c r="G2036" i="13"/>
  <c r="D2030" i="14"/>
  <c r="H2036" i="13"/>
  <c r="I2076" i="13"/>
  <c r="J2069" i="15" s="1"/>
  <c r="H2069" i="15"/>
  <c r="I2030" i="15"/>
  <c r="F2031" i="14"/>
  <c r="I2047" i="13"/>
  <c r="J2040" i="15" s="1"/>
  <c r="H2040" i="15"/>
  <c r="F2023" i="14"/>
  <c r="I2022" i="15"/>
  <c r="H2036" i="15"/>
  <c r="I2043" i="13"/>
  <c r="J2036" i="15" s="1"/>
  <c r="D2035" i="14"/>
  <c r="H2041" i="13"/>
  <c r="D2034" i="15"/>
  <c r="G2041" i="13"/>
  <c r="K2041" i="13"/>
  <c r="F2020" i="14"/>
  <c r="I2019" i="15"/>
  <c r="I2069" i="15"/>
  <c r="F2070" i="14"/>
  <c r="F2041" i="14"/>
  <c r="I2040" i="15"/>
  <c r="I2036" i="15"/>
  <c r="F2037" i="14"/>
  <c r="D2021" i="14"/>
  <c r="H2027" i="13"/>
  <c r="D2020" i="15"/>
  <c r="G2027" i="13"/>
  <c r="K2027" i="13"/>
  <c r="I2070" i="15"/>
  <c r="F2071" i="14"/>
  <c r="F2069" i="14"/>
  <c r="I2068" i="15"/>
  <c r="F2040" i="14"/>
  <c r="I2039" i="15"/>
  <c r="I2032" i="15"/>
  <c r="F2033" i="14"/>
  <c r="I2044" i="13"/>
  <c r="J2037" i="15" s="1"/>
  <c r="H2037" i="15"/>
  <c r="I2027" i="15"/>
  <c r="F2028" i="14"/>
  <c r="I2031" i="15"/>
  <c r="F2032" i="14"/>
  <c r="H2124" i="13"/>
  <c r="D2117" i="15"/>
  <c r="G2124" i="13"/>
  <c r="D2118" i="14"/>
  <c r="K2124" i="13"/>
  <c r="I2041" i="15"/>
  <c r="F2042" i="14"/>
  <c r="G2225" i="13"/>
  <c r="G199" i="5"/>
  <c r="H62" i="10" s="1"/>
  <c r="E373" i="10"/>
  <c r="G373" i="10" s="1"/>
  <c r="E800" i="5"/>
  <c r="G799" i="5"/>
  <c r="H373" i="10" s="1"/>
  <c r="G280" i="10"/>
  <c r="E119" i="10"/>
  <c r="G119" i="10" s="1"/>
  <c r="E284" i="5"/>
  <c r="G283" i="5"/>
  <c r="H146" i="10" s="1"/>
  <c r="E247" i="10"/>
  <c r="E708" i="5"/>
  <c r="E674" i="5"/>
  <c r="F673" i="5"/>
  <c r="F247" i="10" s="1"/>
  <c r="E70" i="10"/>
  <c r="E235" i="5"/>
  <c r="F234" i="5"/>
  <c r="F70" i="10" s="1"/>
  <c r="G672" i="5"/>
  <c r="H246" i="10" s="1"/>
  <c r="G246" i="10"/>
  <c r="E325" i="10"/>
  <c r="G325" i="10" s="1"/>
  <c r="E752" i="5"/>
  <c r="G751" i="5"/>
  <c r="H325" i="10" s="1"/>
  <c r="E36" i="10"/>
  <c r="E201" i="5"/>
  <c r="F200" i="5"/>
  <c r="F36" i="10" s="1"/>
  <c r="G69" i="10"/>
  <c r="G706" i="5"/>
  <c r="H280" i="10" s="1"/>
  <c r="E167" i="10"/>
  <c r="G167" i="10" s="1"/>
  <c r="E332" i="5"/>
  <c r="G331" i="5"/>
  <c r="H194" i="10" s="1"/>
  <c r="E281" i="10"/>
  <c r="F707" i="5"/>
  <c r="F281" i="10" s="1"/>
  <c r="G35" i="10"/>
  <c r="G70" i="10" l="1"/>
  <c r="G36" i="10"/>
  <c r="G707" i="5"/>
  <c r="H281" i="10" s="1"/>
  <c r="G200" i="5"/>
  <c r="H63" i="10" s="1"/>
  <c r="F2091" i="14"/>
  <c r="H2090" i="15"/>
  <c r="G2499" i="13"/>
  <c r="I2040" i="13"/>
  <c r="J2033" i="15" s="1"/>
  <c r="H2033" i="15"/>
  <c r="H2123" i="13"/>
  <c r="K2123" i="13"/>
  <c r="D2116" i="15"/>
  <c r="G2123" i="13"/>
  <c r="D2117" i="14"/>
  <c r="G281" i="10"/>
  <c r="H2117" i="15"/>
  <c r="I2124" i="13"/>
  <c r="J2117" i="15" s="1"/>
  <c r="H2034" i="15"/>
  <c r="I2041" i="13"/>
  <c r="J2034" i="15" s="1"/>
  <c r="F2074" i="14"/>
  <c r="I2073" i="15"/>
  <c r="I2028" i="13"/>
  <c r="J2021" i="15" s="1"/>
  <c r="H2021" i="15"/>
  <c r="F2022" i="14"/>
  <c r="I2021" i="15"/>
  <c r="H2029" i="15"/>
  <c r="I2036" i="13"/>
  <c r="J2029" i="15" s="1"/>
  <c r="I2020" i="15"/>
  <c r="F2021" i="14"/>
  <c r="I2117" i="15"/>
  <c r="F2118" i="14"/>
  <c r="I2034" i="15"/>
  <c r="F2035" i="14"/>
  <c r="L534" i="6"/>
  <c r="D2121" i="13"/>
  <c r="G2030" i="13"/>
  <c r="D2024" i="14"/>
  <c r="K2030" i="13"/>
  <c r="H2030" i="13"/>
  <c r="H2069" i="13" s="1"/>
  <c r="I2062" i="15" s="1"/>
  <c r="D2023" i="15"/>
  <c r="I2080" i="13"/>
  <c r="J2073" i="15" s="1"/>
  <c r="H2073" i="15"/>
  <c r="I2042" i="13"/>
  <c r="J2035" i="15" s="1"/>
  <c r="H2035" i="15"/>
  <c r="F2025" i="14"/>
  <c r="I2024" i="15"/>
  <c r="F2036" i="14"/>
  <c r="I2035" i="15"/>
  <c r="I2033" i="15"/>
  <c r="F2034" i="14"/>
  <c r="H2218" i="15"/>
  <c r="F2219" i="14"/>
  <c r="I2225" i="13"/>
  <c r="J2218" i="15" s="1"/>
  <c r="H2020" i="15"/>
  <c r="I2027" i="13"/>
  <c r="J2020" i="15" s="1"/>
  <c r="I2029" i="15"/>
  <c r="F2030" i="14"/>
  <c r="L535" i="6"/>
  <c r="D2122" i="13"/>
  <c r="I2064" i="15"/>
  <c r="I2071" i="13"/>
  <c r="J2064" i="15" s="1"/>
  <c r="F2065" i="14"/>
  <c r="H2097" i="13"/>
  <c r="H2024" i="15"/>
  <c r="I2031" i="13"/>
  <c r="J2024" i="15" s="1"/>
  <c r="E168" i="10"/>
  <c r="G168" i="10" s="1"/>
  <c r="E333" i="5"/>
  <c r="G332" i="5"/>
  <c r="H195" i="10" s="1"/>
  <c r="E37" i="10"/>
  <c r="E202" i="5"/>
  <c r="F201" i="5"/>
  <c r="F37" i="10" s="1"/>
  <c r="E71" i="10"/>
  <c r="E236" i="5"/>
  <c r="F235" i="5"/>
  <c r="F71" i="10" s="1"/>
  <c r="E248" i="10"/>
  <c r="E709" i="5"/>
  <c r="E675" i="5"/>
  <c r="F674" i="5"/>
  <c r="F248" i="10" s="1"/>
  <c r="E120" i="10"/>
  <c r="G120" i="10" s="1"/>
  <c r="E285" i="5"/>
  <c r="G284" i="5"/>
  <c r="H147" i="10" s="1"/>
  <c r="E374" i="10"/>
  <c r="G374" i="10" s="1"/>
  <c r="E801" i="5"/>
  <c r="G800" i="5"/>
  <c r="H374" i="10" s="1"/>
  <c r="E282" i="10"/>
  <c r="F708" i="5"/>
  <c r="F282" i="10" s="1"/>
  <c r="E326" i="10"/>
  <c r="G326" i="10" s="1"/>
  <c r="E753" i="5"/>
  <c r="G752" i="5"/>
  <c r="H326" i="10" s="1"/>
  <c r="G234" i="5"/>
  <c r="H97" i="10" s="1"/>
  <c r="G673" i="5"/>
  <c r="H247" i="10" s="1"/>
  <c r="G247" i="10"/>
  <c r="H2024" i="13" l="1"/>
  <c r="F2018" i="14" s="1"/>
  <c r="I2090" i="15"/>
  <c r="H2499" i="13"/>
  <c r="I2491" i="15" s="1"/>
  <c r="H2116" i="15"/>
  <c r="I2123" i="13"/>
  <c r="J2116" i="15" s="1"/>
  <c r="F2349" i="14"/>
  <c r="J2491" i="15" s="1"/>
  <c r="H2491" i="15"/>
  <c r="I2024" i="13"/>
  <c r="J2017" i="15" s="1"/>
  <c r="I2017" i="15"/>
  <c r="I2023" i="15"/>
  <c r="F2024" i="14"/>
  <c r="H2121" i="13"/>
  <c r="G2121" i="13"/>
  <c r="D2114" i="15"/>
  <c r="D2115" i="14"/>
  <c r="K2121" i="13"/>
  <c r="L558" i="6"/>
  <c r="B560" i="6" s="1"/>
  <c r="B561" i="6" s="1"/>
  <c r="F2117" i="14"/>
  <c r="I2116" i="15"/>
  <c r="I2097" i="13"/>
  <c r="J2090" i="15" s="1"/>
  <c r="K2122" i="13"/>
  <c r="D2115" i="15"/>
  <c r="H2122" i="13"/>
  <c r="G2122" i="13"/>
  <c r="D2116" i="14"/>
  <c r="H2023" i="15"/>
  <c r="I2030" i="13"/>
  <c r="J2023" i="15" s="1"/>
  <c r="G2069" i="13"/>
  <c r="G674" i="5"/>
  <c r="H248" i="10" s="1"/>
  <c r="G248" i="10"/>
  <c r="G71" i="10"/>
  <c r="G37" i="10"/>
  <c r="E327" i="10"/>
  <c r="G327" i="10" s="1"/>
  <c r="E754" i="5"/>
  <c r="G753" i="5"/>
  <c r="H327" i="10" s="1"/>
  <c r="G282" i="10"/>
  <c r="G235" i="5"/>
  <c r="H98" i="10" s="1"/>
  <c r="G201" i="5"/>
  <c r="H64" i="10" s="1"/>
  <c r="E121" i="10"/>
  <c r="G121" i="10" s="1"/>
  <c r="E286" i="5"/>
  <c r="G285" i="5"/>
  <c r="H148" i="10" s="1"/>
  <c r="E249" i="10"/>
  <c r="E676" i="5"/>
  <c r="F675" i="5"/>
  <c r="F249" i="10" s="1"/>
  <c r="E710" i="5"/>
  <c r="E169" i="10"/>
  <c r="G169" i="10" s="1"/>
  <c r="E334" i="5"/>
  <c r="G333" i="5"/>
  <c r="H196" i="10" s="1"/>
  <c r="G708" i="5"/>
  <c r="H282" i="10" s="1"/>
  <c r="E375" i="10"/>
  <c r="G375" i="10" s="1"/>
  <c r="E802" i="5"/>
  <c r="G801" i="5"/>
  <c r="H375" i="10" s="1"/>
  <c r="E283" i="10"/>
  <c r="F709" i="5"/>
  <c r="F283" i="10" s="1"/>
  <c r="E72" i="10"/>
  <c r="F236" i="5"/>
  <c r="F72" i="10" s="1"/>
  <c r="E237" i="5"/>
  <c r="E38" i="10"/>
  <c r="E203" i="5"/>
  <c r="F202" i="5"/>
  <c r="F38" i="10" s="1"/>
  <c r="G283" i="10" l="1"/>
  <c r="F2063" i="14"/>
  <c r="H2062" i="15"/>
  <c r="I2069" i="13"/>
  <c r="J2062" i="15" s="1"/>
  <c r="H2115" i="15"/>
  <c r="I2122" i="13"/>
  <c r="J2115" i="15" s="1"/>
  <c r="F2115" i="14"/>
  <c r="I2114" i="15"/>
  <c r="H2179" i="13"/>
  <c r="I2172" i="15" s="1"/>
  <c r="H2100" i="13"/>
  <c r="I2115" i="15"/>
  <c r="F2116" i="14"/>
  <c r="G675" i="5"/>
  <c r="H249" i="10" s="1"/>
  <c r="G249" i="10"/>
  <c r="H2114" i="15"/>
  <c r="I2121" i="13"/>
  <c r="J2114" i="15" s="1"/>
  <c r="G2179" i="13"/>
  <c r="G38" i="10"/>
  <c r="G72" i="10"/>
  <c r="G202" i="5"/>
  <c r="H65" i="10" s="1"/>
  <c r="G236" i="5"/>
  <c r="H99" i="10" s="1"/>
  <c r="G709" i="5"/>
  <c r="H283" i="10" s="1"/>
  <c r="E376" i="10"/>
  <c r="G376" i="10" s="1"/>
  <c r="E803" i="5"/>
  <c r="G802" i="5"/>
  <c r="H376" i="10" s="1"/>
  <c r="E170" i="10"/>
  <c r="G170" i="10" s="1"/>
  <c r="E335" i="5"/>
  <c r="G334" i="5"/>
  <c r="H197" i="10" s="1"/>
  <c r="E122" i="10"/>
  <c r="G122" i="10" s="1"/>
  <c r="E287" i="5"/>
  <c r="G286" i="5"/>
  <c r="H149" i="10" s="1"/>
  <c r="E39" i="10"/>
  <c r="E204" i="5"/>
  <c r="F203" i="5"/>
  <c r="F39" i="10" s="1"/>
  <c r="E73" i="10"/>
  <c r="E238" i="5"/>
  <c r="F237" i="5"/>
  <c r="F73" i="10" s="1"/>
  <c r="E250" i="10"/>
  <c r="E677" i="5"/>
  <c r="F676" i="5"/>
  <c r="F250" i="10" s="1"/>
  <c r="E711" i="5"/>
  <c r="E328" i="10"/>
  <c r="G328" i="10" s="1"/>
  <c r="E755" i="5"/>
  <c r="G754" i="5"/>
  <c r="H328" i="10" s="1"/>
  <c r="E284" i="10"/>
  <c r="F710" i="5"/>
  <c r="F284" i="10" s="1"/>
  <c r="I2179" i="13" l="1"/>
  <c r="J2172" i="15" s="1"/>
  <c r="H2172" i="15"/>
  <c r="F2173" i="14"/>
  <c r="G710" i="5"/>
  <c r="H284" i="10" s="1"/>
  <c r="F2094" i="14"/>
  <c r="I2100" i="13"/>
  <c r="J2093" i="15" s="1"/>
  <c r="I2093" i="15"/>
  <c r="E329" i="10"/>
  <c r="G329" i="10" s="1"/>
  <c r="E756" i="5"/>
  <c r="G755" i="5"/>
  <c r="H329" i="10" s="1"/>
  <c r="E40" i="10"/>
  <c r="F204" i="5"/>
  <c r="F40" i="10" s="1"/>
  <c r="E205" i="5"/>
  <c r="E251" i="10"/>
  <c r="E712" i="5"/>
  <c r="E678" i="5"/>
  <c r="F677" i="5"/>
  <c r="F251" i="10" s="1"/>
  <c r="E74" i="10"/>
  <c r="E239" i="5"/>
  <c r="F238" i="5"/>
  <c r="F74" i="10" s="1"/>
  <c r="G284" i="10"/>
  <c r="G676" i="5"/>
  <c r="H250" i="10" s="1"/>
  <c r="G250" i="10"/>
  <c r="G73" i="10"/>
  <c r="G39" i="10"/>
  <c r="E377" i="10"/>
  <c r="G377" i="10" s="1"/>
  <c r="E804" i="5"/>
  <c r="G803" i="5"/>
  <c r="H377" i="10" s="1"/>
  <c r="E285" i="10"/>
  <c r="F711" i="5"/>
  <c r="F285" i="10" s="1"/>
  <c r="G237" i="5"/>
  <c r="H100" i="10" s="1"/>
  <c r="G203" i="5"/>
  <c r="H66" i="10" s="1"/>
  <c r="E171" i="10"/>
  <c r="G171" i="10" s="1"/>
  <c r="E336" i="5"/>
  <c r="G335" i="5"/>
  <c r="H198" i="10" s="1"/>
  <c r="E123" i="10"/>
  <c r="G123" i="10" s="1"/>
  <c r="E288" i="5"/>
  <c r="G287" i="5"/>
  <c r="H150" i="10" s="1"/>
  <c r="G711" i="5" l="1"/>
  <c r="H285" i="10" s="1"/>
  <c r="E172" i="10"/>
  <c r="G172" i="10" s="1"/>
  <c r="E337" i="5"/>
  <c r="G336" i="5"/>
  <c r="H199" i="10" s="1"/>
  <c r="E378" i="10"/>
  <c r="G378" i="10" s="1"/>
  <c r="E805" i="5"/>
  <c r="G804" i="5"/>
  <c r="H378" i="10" s="1"/>
  <c r="G285" i="10"/>
  <c r="G238" i="5"/>
  <c r="H101" i="10" s="1"/>
  <c r="G677" i="5"/>
  <c r="H251" i="10" s="1"/>
  <c r="G251" i="10"/>
  <c r="G40" i="10"/>
  <c r="G204" i="5"/>
  <c r="H67" i="10" s="1"/>
  <c r="E75" i="10"/>
  <c r="E240" i="5"/>
  <c r="F239" i="5"/>
  <c r="F75" i="10" s="1"/>
  <c r="E252" i="10"/>
  <c r="E713" i="5"/>
  <c r="E679" i="5"/>
  <c r="F678" i="5"/>
  <c r="F252" i="10" s="1"/>
  <c r="E41" i="10"/>
  <c r="E206" i="5"/>
  <c r="F205" i="5"/>
  <c r="F41" i="10" s="1"/>
  <c r="E330" i="10"/>
  <c r="G330" i="10" s="1"/>
  <c r="E757" i="5"/>
  <c r="G756" i="5"/>
  <c r="H330" i="10" s="1"/>
  <c r="E124" i="10"/>
  <c r="G124" i="10" s="1"/>
  <c r="E289" i="5"/>
  <c r="G288" i="5"/>
  <c r="H151" i="10" s="1"/>
  <c r="G74" i="10"/>
  <c r="E286" i="10"/>
  <c r="F712" i="5"/>
  <c r="F286" i="10" s="1"/>
  <c r="G41" i="10" l="1"/>
  <c r="E125" i="10"/>
  <c r="G125" i="10" s="1"/>
  <c r="E290" i="5"/>
  <c r="G289" i="5"/>
  <c r="H152" i="10" s="1"/>
  <c r="G239" i="5"/>
  <c r="H102" i="10" s="1"/>
  <c r="G712" i="5"/>
  <c r="H286" i="10" s="1"/>
  <c r="E331" i="10"/>
  <c r="G331" i="10" s="1"/>
  <c r="E758" i="5"/>
  <c r="G757" i="5"/>
  <c r="H331" i="10" s="1"/>
  <c r="E42" i="10"/>
  <c r="E207" i="5"/>
  <c r="F206" i="5"/>
  <c r="F42" i="10" s="1"/>
  <c r="E253" i="10"/>
  <c r="E680" i="5"/>
  <c r="F679" i="5"/>
  <c r="F253" i="10" s="1"/>
  <c r="E714" i="5"/>
  <c r="E287" i="10"/>
  <c r="F713" i="5"/>
  <c r="F287" i="10" s="1"/>
  <c r="E76" i="10"/>
  <c r="F240" i="5"/>
  <c r="F76" i="10" s="1"/>
  <c r="E241" i="5"/>
  <c r="E173" i="10"/>
  <c r="G173" i="10" s="1"/>
  <c r="E338" i="5"/>
  <c r="G337" i="5"/>
  <c r="H200" i="10" s="1"/>
  <c r="G286" i="10"/>
  <c r="G205" i="5"/>
  <c r="H68" i="10" s="1"/>
  <c r="G678" i="5"/>
  <c r="H252" i="10" s="1"/>
  <c r="G252" i="10"/>
  <c r="G75" i="10"/>
  <c r="E379" i="10"/>
  <c r="G379" i="10" s="1"/>
  <c r="E806" i="5"/>
  <c r="G805" i="5"/>
  <c r="H379" i="10" s="1"/>
  <c r="G42" i="10" l="1"/>
  <c r="G206" i="5"/>
  <c r="H69" i="10" s="1"/>
  <c r="G240" i="5"/>
  <c r="H103" i="10" s="1"/>
  <c r="G713" i="5"/>
  <c r="H287" i="10" s="1"/>
  <c r="E288" i="10"/>
  <c r="F714" i="5"/>
  <c r="F288" i="10" s="1"/>
  <c r="E77" i="10"/>
  <c r="E242" i="5"/>
  <c r="F241" i="5"/>
  <c r="F77" i="10" s="1"/>
  <c r="E332" i="10"/>
  <c r="G332" i="10" s="1"/>
  <c r="E759" i="5"/>
  <c r="G758" i="5"/>
  <c r="H332" i="10" s="1"/>
  <c r="E174" i="10"/>
  <c r="G174" i="10" s="1"/>
  <c r="E339" i="5"/>
  <c r="G338" i="5"/>
  <c r="H201" i="10" s="1"/>
  <c r="G287" i="10"/>
  <c r="E254" i="10"/>
  <c r="E681" i="5"/>
  <c r="F680" i="5"/>
  <c r="F254" i="10" s="1"/>
  <c r="E715" i="5"/>
  <c r="E43" i="10"/>
  <c r="E208" i="5"/>
  <c r="F207" i="5"/>
  <c r="F43" i="10" s="1"/>
  <c r="E126" i="10"/>
  <c r="G126" i="10" s="1"/>
  <c r="E291" i="5"/>
  <c r="G290" i="5"/>
  <c r="H153" i="10" s="1"/>
  <c r="E380" i="10"/>
  <c r="G380" i="10" s="1"/>
  <c r="E807" i="5"/>
  <c r="G806" i="5"/>
  <c r="H380" i="10" s="1"/>
  <c r="G76" i="10"/>
  <c r="G679" i="5"/>
  <c r="H253" i="10" s="1"/>
  <c r="G253" i="10"/>
  <c r="E127" i="10" l="1"/>
  <c r="G127" i="10" s="1"/>
  <c r="E292" i="5"/>
  <c r="G291" i="5"/>
  <c r="H154" i="10" s="1"/>
  <c r="E44" i="10"/>
  <c r="F208" i="5"/>
  <c r="F44" i="10" s="1"/>
  <c r="E209" i="5"/>
  <c r="E333" i="10"/>
  <c r="G333" i="10" s="1"/>
  <c r="E760" i="5"/>
  <c r="G759" i="5"/>
  <c r="H333" i="10" s="1"/>
  <c r="E78" i="10"/>
  <c r="E243" i="5"/>
  <c r="F242" i="5"/>
  <c r="F78" i="10" s="1"/>
  <c r="G288" i="10"/>
  <c r="E381" i="10"/>
  <c r="G381" i="10" s="1"/>
  <c r="E808" i="5"/>
  <c r="G807" i="5"/>
  <c r="H381" i="10" s="1"/>
  <c r="G43" i="10"/>
  <c r="E255" i="10"/>
  <c r="E716" i="5"/>
  <c r="E682" i="5"/>
  <c r="F681" i="5"/>
  <c r="F255" i="10" s="1"/>
  <c r="E175" i="10"/>
  <c r="G175" i="10" s="1"/>
  <c r="E340" i="5"/>
  <c r="G339" i="5"/>
  <c r="H202" i="10" s="1"/>
  <c r="G77" i="10"/>
  <c r="E289" i="10"/>
  <c r="F715" i="5"/>
  <c r="F289" i="10" s="1"/>
  <c r="G207" i="5"/>
  <c r="H70" i="10" s="1"/>
  <c r="G680" i="5"/>
  <c r="H254" i="10" s="1"/>
  <c r="G254" i="10"/>
  <c r="G241" i="5"/>
  <c r="H104" i="10" s="1"/>
  <c r="G714" i="5"/>
  <c r="H288" i="10" s="1"/>
  <c r="G681" i="5" l="1"/>
  <c r="H255" i="10" s="1"/>
  <c r="G255" i="10"/>
  <c r="G242" i="5"/>
  <c r="H105" i="10" s="1"/>
  <c r="E79" i="10"/>
  <c r="E244" i="5"/>
  <c r="F243" i="5"/>
  <c r="F79" i="10" s="1"/>
  <c r="G44" i="10"/>
  <c r="G715" i="5"/>
  <c r="H289" i="10" s="1"/>
  <c r="G78" i="10"/>
  <c r="G208" i="5"/>
  <c r="H71" i="10" s="1"/>
  <c r="E176" i="10"/>
  <c r="G176" i="10" s="1"/>
  <c r="E341" i="5"/>
  <c r="G340" i="5"/>
  <c r="H203" i="10" s="1"/>
  <c r="E256" i="10"/>
  <c r="F682" i="5"/>
  <c r="F256" i="10" s="1"/>
  <c r="E45" i="10"/>
  <c r="E210" i="5"/>
  <c r="F209" i="5"/>
  <c r="F45" i="10" s="1"/>
  <c r="E128" i="10"/>
  <c r="G128" i="10" s="1"/>
  <c r="E293" i="5"/>
  <c r="G292" i="5"/>
  <c r="H155" i="10" s="1"/>
  <c r="G289" i="10"/>
  <c r="E290" i="10"/>
  <c r="F716" i="5"/>
  <c r="F290" i="10" s="1"/>
  <c r="E382" i="10"/>
  <c r="G382" i="10" s="1"/>
  <c r="E809" i="5"/>
  <c r="G808" i="5"/>
  <c r="H382" i="10" s="1"/>
  <c r="E334" i="10"/>
  <c r="G334" i="10" s="1"/>
  <c r="E761" i="5"/>
  <c r="G760" i="5"/>
  <c r="H334" i="10" s="1"/>
  <c r="G716" i="5" l="1"/>
  <c r="H290" i="10" s="1"/>
  <c r="E335" i="10"/>
  <c r="G335" i="10" s="1"/>
  <c r="E762" i="5"/>
  <c r="G761" i="5"/>
  <c r="H335" i="10" s="1"/>
  <c r="E383" i="10"/>
  <c r="G383" i="10" s="1"/>
  <c r="E810" i="5"/>
  <c r="G809" i="5"/>
  <c r="H383" i="10" s="1"/>
  <c r="G290" i="10"/>
  <c r="G45" i="10"/>
  <c r="G243" i="5"/>
  <c r="H106" i="10" s="1"/>
  <c r="G209" i="5"/>
  <c r="H72" i="10" s="1"/>
  <c r="G682" i="5"/>
  <c r="H256" i="10" s="1"/>
  <c r="E177" i="10"/>
  <c r="G177" i="10" s="1"/>
  <c r="E342" i="5"/>
  <c r="G341" i="5"/>
  <c r="H204" i="10" s="1"/>
  <c r="E80" i="10"/>
  <c r="E245" i="5"/>
  <c r="F244" i="5"/>
  <c r="F80" i="10" s="1"/>
  <c r="E129" i="10"/>
  <c r="G129" i="10" s="1"/>
  <c r="E294" i="5"/>
  <c r="G293" i="5"/>
  <c r="H156" i="10" s="1"/>
  <c r="E46" i="10"/>
  <c r="E211" i="5"/>
  <c r="F210" i="5"/>
  <c r="F46" i="10" s="1"/>
  <c r="G256" i="10"/>
  <c r="G79" i="10"/>
  <c r="G210" i="5" l="1"/>
  <c r="H73" i="10" s="1"/>
  <c r="G80" i="10"/>
  <c r="G46" i="10"/>
  <c r="G244" i="5"/>
  <c r="H107" i="10" s="1"/>
  <c r="E47" i="10"/>
  <c r="E212" i="5"/>
  <c r="F211" i="5"/>
  <c r="F47" i="10" s="1"/>
  <c r="E178" i="10"/>
  <c r="G178" i="10" s="1"/>
  <c r="E343" i="5"/>
  <c r="G342" i="5"/>
  <c r="H205" i="10" s="1"/>
  <c r="E336" i="10"/>
  <c r="G336" i="10" s="1"/>
  <c r="E763" i="5"/>
  <c r="G762" i="5"/>
  <c r="H336" i="10" s="1"/>
  <c r="E130" i="10"/>
  <c r="G130" i="10" s="1"/>
  <c r="E295" i="5"/>
  <c r="G294" i="5"/>
  <c r="H157" i="10" s="1"/>
  <c r="E81" i="10"/>
  <c r="E246" i="5"/>
  <c r="F245" i="5"/>
  <c r="F81" i="10" s="1"/>
  <c r="E384" i="10"/>
  <c r="G384" i="10" s="1"/>
  <c r="E811" i="5"/>
  <c r="G810" i="5"/>
  <c r="H384" i="10" s="1"/>
  <c r="E179" i="10" l="1"/>
  <c r="G179" i="10" s="1"/>
  <c r="E344" i="5"/>
  <c r="G343" i="5"/>
  <c r="H206" i="10" s="1"/>
  <c r="E48" i="10"/>
  <c r="E213" i="5"/>
  <c r="F212" i="5"/>
  <c r="F48" i="10" s="1"/>
  <c r="G81" i="10"/>
  <c r="G245" i="5"/>
  <c r="H108" i="10" s="1"/>
  <c r="E337" i="10"/>
  <c r="G337" i="10" s="1"/>
  <c r="E764" i="5"/>
  <c r="G763" i="5"/>
  <c r="H337" i="10" s="1"/>
  <c r="G47" i="10"/>
  <c r="G211" i="5"/>
  <c r="H74" i="10" s="1"/>
  <c r="E131" i="10"/>
  <c r="G131" i="10" s="1"/>
  <c r="E296" i="5"/>
  <c r="G295" i="5"/>
  <c r="H158" i="10" s="1"/>
  <c r="E385" i="10"/>
  <c r="G385" i="10" s="1"/>
  <c r="E812" i="5"/>
  <c r="G811" i="5"/>
  <c r="H385" i="10" s="1"/>
  <c r="E82" i="10"/>
  <c r="E247" i="5"/>
  <c r="F246" i="5"/>
  <c r="F82" i="10" s="1"/>
  <c r="G246" i="5" l="1"/>
  <c r="H109" i="10" s="1"/>
  <c r="E132" i="10"/>
  <c r="G132" i="10" s="1"/>
  <c r="E297" i="5"/>
  <c r="G296" i="5"/>
  <c r="H159" i="10" s="1"/>
  <c r="G48" i="10"/>
  <c r="E386" i="10"/>
  <c r="G386" i="10" s="1"/>
  <c r="E813" i="5"/>
  <c r="G812" i="5"/>
  <c r="H386" i="10" s="1"/>
  <c r="E338" i="10"/>
  <c r="G338" i="10" s="1"/>
  <c r="E765" i="5"/>
  <c r="G764" i="5"/>
  <c r="H338" i="10" s="1"/>
  <c r="G212" i="5"/>
  <c r="H75" i="10" s="1"/>
  <c r="E83" i="10"/>
  <c r="F247" i="5"/>
  <c r="F83" i="10" s="1"/>
  <c r="E180" i="10"/>
  <c r="G180" i="10" s="1"/>
  <c r="E345" i="5"/>
  <c r="G344" i="5"/>
  <c r="H207" i="10" s="1"/>
  <c r="G82" i="10"/>
  <c r="E49" i="10"/>
  <c r="F213" i="5"/>
  <c r="G213" i="5" s="1"/>
  <c r="H76" i="10" s="1"/>
  <c r="G83" i="10" l="1"/>
  <c r="E181" i="10"/>
  <c r="G181" i="10" s="1"/>
  <c r="E346" i="5"/>
  <c r="G345" i="5"/>
  <c r="H208" i="10" s="1"/>
  <c r="G247" i="5"/>
  <c r="H110" i="10" s="1"/>
  <c r="E387" i="10"/>
  <c r="G387" i="10" s="1"/>
  <c r="E814" i="5"/>
  <c r="G813" i="5"/>
  <c r="H387" i="10" s="1"/>
  <c r="E133" i="10"/>
  <c r="G133" i="10" s="1"/>
  <c r="E298" i="5"/>
  <c r="G297" i="5"/>
  <c r="H160" i="10" s="1"/>
  <c r="F49" i="10"/>
  <c r="G49" i="10" s="1"/>
  <c r="J1483" i="5"/>
  <c r="E339" i="10"/>
  <c r="G339" i="10" s="1"/>
  <c r="E766" i="5"/>
  <c r="G765" i="5"/>
  <c r="H339" i="10" s="1"/>
  <c r="E340" i="10" l="1"/>
  <c r="G340" i="10" s="1"/>
  <c r="E767" i="5"/>
  <c r="G766" i="5"/>
  <c r="H340" i="10" s="1"/>
  <c r="E388" i="10"/>
  <c r="G388" i="10" s="1"/>
  <c r="E815" i="5"/>
  <c r="G814" i="5"/>
  <c r="H388" i="10" s="1"/>
  <c r="E182" i="10"/>
  <c r="G182" i="10" s="1"/>
  <c r="E347" i="5"/>
  <c r="G346" i="5"/>
  <c r="H209" i="10" s="1"/>
  <c r="E134" i="10"/>
  <c r="G134" i="10" s="1"/>
  <c r="E299" i="5"/>
  <c r="G298" i="5"/>
  <c r="H161" i="10" s="1"/>
  <c r="D465" i="13"/>
  <c r="L1483" i="5"/>
  <c r="BD1468" i="5" s="1"/>
  <c r="BB1468" i="5"/>
  <c r="D382" i="13" s="1"/>
  <c r="E183" i="10" l="1"/>
  <c r="G183" i="10" s="1"/>
  <c r="E348" i="5"/>
  <c r="G347" i="5"/>
  <c r="D375" i="15"/>
  <c r="D376" i="14"/>
  <c r="H382" i="13"/>
  <c r="H375" i="15" s="1"/>
  <c r="K382" i="13"/>
  <c r="G382" i="13"/>
  <c r="E341" i="10"/>
  <c r="G341" i="10" s="1"/>
  <c r="E768" i="5"/>
  <c r="G767" i="5"/>
  <c r="H341" i="10" s="1"/>
  <c r="E135" i="10"/>
  <c r="G135" i="10" s="1"/>
  <c r="E300" i="5"/>
  <c r="G299" i="5"/>
  <c r="H162" i="10" s="1"/>
  <c r="D458" i="15"/>
  <c r="D459" i="14"/>
  <c r="K465" i="13"/>
  <c r="H465" i="13"/>
  <c r="H458" i="15" s="1"/>
  <c r="G465" i="13"/>
  <c r="G746" i="10"/>
  <c r="H746" i="10" s="1"/>
  <c r="E389" i="10"/>
  <c r="G389" i="10" s="1"/>
  <c r="E816" i="5"/>
  <c r="G815" i="5"/>
  <c r="H389" i="10" s="1"/>
  <c r="I465" i="13" l="1"/>
  <c r="I458" i="15" s="1"/>
  <c r="I382" i="13"/>
  <c r="E390" i="10"/>
  <c r="G390" i="10" s="1"/>
  <c r="E817" i="5"/>
  <c r="G816" i="5"/>
  <c r="H390" i="10" s="1"/>
  <c r="E342" i="10"/>
  <c r="G342" i="10" s="1"/>
  <c r="E769" i="5"/>
  <c r="G768" i="5"/>
  <c r="H342" i="10" s="1"/>
  <c r="E184" i="10"/>
  <c r="G184" i="10" s="1"/>
  <c r="E349" i="5"/>
  <c r="G348" i="5"/>
  <c r="E136" i="10"/>
  <c r="G136" i="10" s="1"/>
  <c r="E301" i="5"/>
  <c r="G300" i="5"/>
  <c r="H163" i="10" s="1"/>
  <c r="J458" i="15" l="1"/>
  <c r="E137" i="10"/>
  <c r="G137" i="10" s="1"/>
  <c r="E302" i="5"/>
  <c r="G301" i="5"/>
  <c r="H164" i="10" s="1"/>
  <c r="E343" i="10"/>
  <c r="G343" i="10" s="1"/>
  <c r="E770" i="5"/>
  <c r="G769" i="5"/>
  <c r="H343" i="10" s="1"/>
  <c r="E185" i="10"/>
  <c r="G185" i="10" s="1"/>
  <c r="E350" i="5"/>
  <c r="G349" i="5"/>
  <c r="E391" i="10"/>
  <c r="G391" i="10" s="1"/>
  <c r="E818" i="5"/>
  <c r="G817" i="5"/>
  <c r="H391" i="10" s="1"/>
  <c r="J375" i="15"/>
  <c r="I375" i="15"/>
  <c r="E186" i="10" l="1"/>
  <c r="G186" i="10" s="1"/>
  <c r="E351" i="5"/>
  <c r="G350" i="5"/>
  <c r="E392" i="10"/>
  <c r="G392" i="10" s="1"/>
  <c r="E819" i="5"/>
  <c r="G818" i="5"/>
  <c r="H392" i="10" s="1"/>
  <c r="E138" i="10"/>
  <c r="G138" i="10" s="1"/>
  <c r="E303" i="5"/>
  <c r="G302" i="5"/>
  <c r="H165" i="10" s="1"/>
  <c r="E344" i="10"/>
  <c r="G344" i="10" s="1"/>
  <c r="E771" i="5"/>
  <c r="G770" i="5"/>
  <c r="H344" i="10" s="1"/>
  <c r="E139" i="10" l="1"/>
  <c r="G139" i="10" s="1"/>
  <c r="E304" i="5"/>
  <c r="G303" i="5"/>
  <c r="H166" i="10" s="1"/>
  <c r="E345" i="10"/>
  <c r="G345" i="10" s="1"/>
  <c r="G771" i="5"/>
  <c r="H345" i="10" s="1"/>
  <c r="E187" i="10"/>
  <c r="G187" i="10" s="1"/>
  <c r="E352" i="5"/>
  <c r="G351" i="5"/>
  <c r="E393" i="10"/>
  <c r="G393" i="10" s="1"/>
  <c r="G819" i="5"/>
  <c r="E188" i="10" l="1"/>
  <c r="G188" i="10" s="1"/>
  <c r="E353" i="5"/>
  <c r="G352" i="5"/>
  <c r="H393" i="10"/>
  <c r="H210" i="10" s="1"/>
  <c r="G834" i="5"/>
  <c r="E140" i="10"/>
  <c r="G140" i="10" s="1"/>
  <c r="E305" i="5"/>
  <c r="G304" i="5"/>
  <c r="H167" i="10" s="1"/>
  <c r="E141" i="10" l="1"/>
  <c r="G141" i="10" s="1"/>
  <c r="G305" i="5"/>
  <c r="H168" i="10" s="1"/>
  <c r="E189" i="10"/>
  <c r="G189" i="10" s="1"/>
  <c r="F745" i="10" s="1"/>
  <c r="G353" i="5"/>
  <c r="G374" i="5" s="1"/>
  <c r="E745" i="10" l="1"/>
  <c r="C1450" i="5"/>
  <c r="G745" i="10"/>
  <c r="H745" i="10" s="1"/>
  <c r="H744" i="10" s="1"/>
  <c r="H5" i="10"/>
  <c r="H4" i="10" s="1"/>
  <c r="C1472" i="5" l="1"/>
  <c r="C1468" i="5"/>
  <c r="T1475" i="5"/>
  <c r="D483" i="13" l="1"/>
  <c r="T1476" i="5"/>
  <c r="BJ1475" i="5"/>
  <c r="D400" i="13" s="1"/>
  <c r="V1475" i="5"/>
  <c r="BL1475" i="5" s="1"/>
  <c r="D335" i="13"/>
  <c r="AE1468" i="5"/>
  <c r="C1479" i="5"/>
  <c r="D346" i="13"/>
  <c r="C1480" i="5"/>
  <c r="E1472" i="5"/>
  <c r="AE1472" i="5"/>
  <c r="D339" i="15" l="1"/>
  <c r="D340" i="14"/>
  <c r="K346" i="13"/>
  <c r="H346" i="13"/>
  <c r="G346" i="13"/>
  <c r="D500" i="13"/>
  <c r="AS1472" i="5"/>
  <c r="D417" i="13" s="1"/>
  <c r="D393" i="15"/>
  <c r="D394" i="14"/>
  <c r="H400" i="13"/>
  <c r="H393" i="15" s="1"/>
  <c r="K400" i="13"/>
  <c r="G400" i="13"/>
  <c r="D353" i="13"/>
  <c r="AE1479" i="5"/>
  <c r="E1479" i="5"/>
  <c r="AG1479" i="5" s="1"/>
  <c r="AU1479" i="5" s="1"/>
  <c r="AG1472" i="5"/>
  <c r="AU1472" i="5" s="1"/>
  <c r="D462" i="13"/>
  <c r="AS1468" i="5"/>
  <c r="D379" i="13" s="1"/>
  <c r="D484" i="13"/>
  <c r="BJ1476" i="5"/>
  <c r="D401" i="13" s="1"/>
  <c r="V1476" i="5"/>
  <c r="BL1476" i="5" s="1"/>
  <c r="D354" i="13"/>
  <c r="E1480" i="5"/>
  <c r="AG1480" i="5" s="1"/>
  <c r="AU1480" i="5" s="1"/>
  <c r="AE1480" i="5"/>
  <c r="D335" i="15"/>
  <c r="D336" i="14"/>
  <c r="H335" i="13"/>
  <c r="K335" i="13"/>
  <c r="G335" i="13"/>
  <c r="D476" i="15"/>
  <c r="D477" i="14"/>
  <c r="K483" i="13"/>
  <c r="H483" i="13"/>
  <c r="H476" i="15" s="1"/>
  <c r="G483" i="13"/>
  <c r="I483" i="13" l="1"/>
  <c r="I400" i="13"/>
  <c r="I393" i="15" s="1"/>
  <c r="I335" i="15"/>
  <c r="F336" i="14"/>
  <c r="D477" i="15"/>
  <c r="D478" i="14"/>
  <c r="K484" i="13"/>
  <c r="H484" i="13"/>
  <c r="H477" i="15" s="1"/>
  <c r="G484" i="13"/>
  <c r="J393" i="15"/>
  <c r="I339" i="15"/>
  <c r="F340" i="14"/>
  <c r="J476" i="15"/>
  <c r="I476" i="15"/>
  <c r="D347" i="15"/>
  <c r="D348" i="14"/>
  <c r="K354" i="13"/>
  <c r="H354" i="13"/>
  <c r="G354" i="13"/>
  <c r="D410" i="15"/>
  <c r="D411" i="14"/>
  <c r="H417" i="13"/>
  <c r="H410" i="15" s="1"/>
  <c r="K417" i="13"/>
  <c r="G417" i="13"/>
  <c r="D455" i="15"/>
  <c r="D456" i="14"/>
  <c r="K462" i="13"/>
  <c r="H462" i="13"/>
  <c r="G462" i="13"/>
  <c r="D507" i="13"/>
  <c r="AS1479" i="5"/>
  <c r="D424" i="13" s="1"/>
  <c r="D493" i="15"/>
  <c r="D494" i="14"/>
  <c r="K500" i="13"/>
  <c r="H500" i="13"/>
  <c r="H493" i="15" s="1"/>
  <c r="G500" i="13"/>
  <c r="D372" i="15"/>
  <c r="D373" i="14"/>
  <c r="H379" i="13"/>
  <c r="H372" i="15" s="1"/>
  <c r="K379" i="13"/>
  <c r="G379" i="13"/>
  <c r="H335" i="15"/>
  <c r="I335" i="13"/>
  <c r="J335" i="15" s="1"/>
  <c r="D508" i="13"/>
  <c r="AS1480" i="5"/>
  <c r="D425" i="13" s="1"/>
  <c r="D394" i="15"/>
  <c r="D395" i="14"/>
  <c r="H401" i="13"/>
  <c r="H394" i="15" s="1"/>
  <c r="K401" i="13"/>
  <c r="G401" i="13"/>
  <c r="E1487" i="5"/>
  <c r="D346" i="15"/>
  <c r="D347" i="14"/>
  <c r="K353" i="13"/>
  <c r="H353" i="13"/>
  <c r="H358" i="13" s="1"/>
  <c r="G353" i="13"/>
  <c r="G358" i="13" s="1"/>
  <c r="H339" i="15"/>
  <c r="I346" i="13"/>
  <c r="J339" i="15" s="1"/>
  <c r="I417" i="13" l="1"/>
  <c r="I484" i="13"/>
  <c r="I477" i="15" s="1"/>
  <c r="I401" i="13"/>
  <c r="J394" i="15" s="1"/>
  <c r="I500" i="13"/>
  <c r="J493" i="15" s="1"/>
  <c r="I351" i="15"/>
  <c r="H351" i="15"/>
  <c r="F352" i="14"/>
  <c r="I358" i="13"/>
  <c r="J351" i="15" s="1"/>
  <c r="H455" i="15"/>
  <c r="D417" i="15"/>
  <c r="D418" i="14"/>
  <c r="H424" i="13"/>
  <c r="H417" i="15" s="1"/>
  <c r="K424" i="13"/>
  <c r="G424" i="13"/>
  <c r="H347" i="15"/>
  <c r="I354" i="13"/>
  <c r="J347" i="15" s="1"/>
  <c r="I346" i="15"/>
  <c r="F347" i="14"/>
  <c r="J410" i="15"/>
  <c r="I410" i="15"/>
  <c r="D500" i="15"/>
  <c r="D501" i="14"/>
  <c r="K507" i="13"/>
  <c r="H507" i="13"/>
  <c r="H500" i="15" s="1"/>
  <c r="G507" i="13"/>
  <c r="I347" i="15"/>
  <c r="F348" i="14"/>
  <c r="AG1487" i="5"/>
  <c r="B1489" i="5"/>
  <c r="D418" i="15"/>
  <c r="D419" i="14"/>
  <c r="H425" i="13"/>
  <c r="H418" i="15" s="1"/>
  <c r="K425" i="13"/>
  <c r="G425" i="13"/>
  <c r="H346" i="15"/>
  <c r="I353" i="13"/>
  <c r="J346" i="15" s="1"/>
  <c r="D501" i="15"/>
  <c r="D502" i="14"/>
  <c r="K508" i="13"/>
  <c r="H508" i="13"/>
  <c r="H501" i="15" s="1"/>
  <c r="G508" i="13"/>
  <c r="I379" i="13"/>
  <c r="I462" i="13"/>
  <c r="I493" i="15" l="1"/>
  <c r="J477" i="15"/>
  <c r="G512" i="13"/>
  <c r="F506" i="14" s="1"/>
  <c r="I394" i="15"/>
  <c r="G429" i="13"/>
  <c r="F423" i="14" s="1"/>
  <c r="I425" i="13"/>
  <c r="J418" i="15" s="1"/>
  <c r="I508" i="13"/>
  <c r="J501" i="15" s="1"/>
  <c r="I507" i="13"/>
  <c r="J500" i="15" s="1"/>
  <c r="B1491" i="5"/>
  <c r="AD1489" i="5"/>
  <c r="H512" i="13"/>
  <c r="H2498" i="13" s="1"/>
  <c r="I372" i="15"/>
  <c r="J372" i="15"/>
  <c r="J455" i="15"/>
  <c r="I455" i="15"/>
  <c r="I424" i="13"/>
  <c r="G2498" i="13" l="1"/>
  <c r="H2490" i="15" s="1"/>
  <c r="I429" i="13"/>
  <c r="J422" i="15" s="1"/>
  <c r="I418" i="15"/>
  <c r="I501" i="15"/>
  <c r="I500" i="15"/>
  <c r="I2490" i="15"/>
  <c r="H2503" i="13"/>
  <c r="J417" i="15"/>
  <c r="I417" i="15"/>
  <c r="I512" i="13"/>
  <c r="J505" i="15" s="1"/>
  <c r="AD1491" i="5"/>
  <c r="AR1489" i="5"/>
  <c r="AR1491" i="5" s="1"/>
  <c r="F2348" i="14" l="1"/>
  <c r="J2490" i="15" s="1"/>
  <c r="G2503" i="13"/>
  <c r="H2495" i="15" s="1"/>
  <c r="I2495" i="15"/>
  <c r="A2" i="3"/>
  <c r="F2353" i="14" l="1"/>
  <c r="J2495" i="15" s="1"/>
</calcChain>
</file>

<file path=xl/sharedStrings.xml><?xml version="1.0" encoding="utf-8"?>
<sst xmlns="http://schemas.openxmlformats.org/spreadsheetml/2006/main" count="17493" uniqueCount="4683">
  <si>
    <t>Программа-калькулятор для расчета смет Smetadom.com</t>
  </si>
  <si>
    <t>Данная программа является интеллектуальной собственностью.  Все права по изменению и реализации данного продукта принадлежат  Smetadom.com</t>
  </si>
  <si>
    <t>По вопросам приобретения данного продукта обращаться по адресам: inf0@smetadom.com</t>
  </si>
  <si>
    <t>Служба технической поддержки inf0@smetadom.com</t>
  </si>
  <si>
    <t>Вид блока</t>
  </si>
  <si>
    <t>Размер блока</t>
  </si>
  <si>
    <t>Объем 1 блока</t>
  </si>
  <si>
    <t xml:space="preserve">Кол-во штук в 1м.куб </t>
  </si>
  <si>
    <t>Цена за         1 шт.</t>
  </si>
  <si>
    <t>Цена за м.куб.</t>
  </si>
  <si>
    <t>Цена за 1м.кв готовой стены</t>
  </si>
  <si>
    <t>Термоблок  фактурованный</t>
  </si>
  <si>
    <t>Объем,м3</t>
  </si>
  <si>
    <t>200х390х390 рядовой</t>
  </si>
  <si>
    <t>200х390х590 угловой</t>
  </si>
  <si>
    <t>200х390х194 доборный</t>
  </si>
  <si>
    <t>200х390х590 угл внутр</t>
  </si>
  <si>
    <t xml:space="preserve"> </t>
  </si>
  <si>
    <t xml:space="preserve">198х340х398 рядовой </t>
  </si>
  <si>
    <t>198х340х538 угловой</t>
  </si>
  <si>
    <t xml:space="preserve">198х340х198 доборный </t>
  </si>
  <si>
    <t>200х290х390 рядовой</t>
  </si>
  <si>
    <t>200х290х490 угловой</t>
  </si>
  <si>
    <t>200х290х194 доборный</t>
  </si>
  <si>
    <t>Термоблок не фактурованный</t>
  </si>
  <si>
    <t>200х400х390 рядовой</t>
  </si>
  <si>
    <t>200х400х600 угловой</t>
  </si>
  <si>
    <t>200х400х194 доборный</t>
  </si>
  <si>
    <t>198х350х398 рядовой</t>
  </si>
  <si>
    <t>198х350х548 угловой</t>
  </si>
  <si>
    <t>198х350х198 доборный</t>
  </si>
  <si>
    <t>200х300х390 рядовой</t>
  </si>
  <si>
    <t>200х300х500 угловой</t>
  </si>
  <si>
    <t>200х300х194 доборный</t>
  </si>
  <si>
    <t>Газоблок  фактурованный</t>
  </si>
  <si>
    <t>Поясной блок</t>
  </si>
  <si>
    <t>200х-----х390 рядовой</t>
  </si>
  <si>
    <t>198х340х548 угловой</t>
  </si>
  <si>
    <t>Газоблок D 1000</t>
  </si>
  <si>
    <t xml:space="preserve">Газоблок D1000 200х300х390 </t>
  </si>
  <si>
    <t xml:space="preserve">Газоблок D1000 200х400х390 </t>
  </si>
  <si>
    <t>Газоблок D 400</t>
  </si>
  <si>
    <t xml:space="preserve">Газоблок D400 200х300х390 </t>
  </si>
  <si>
    <t xml:space="preserve">Газоблок D400 200х400х390 </t>
  </si>
  <si>
    <t>Газоблок D 500</t>
  </si>
  <si>
    <t xml:space="preserve">Газоблок D500 200х300х390 </t>
  </si>
  <si>
    <t xml:space="preserve">Газоблок D500 200х400х390 </t>
  </si>
  <si>
    <t>Газоблок D 600</t>
  </si>
  <si>
    <t xml:space="preserve">Газоблок D600 200х300х390 </t>
  </si>
  <si>
    <t xml:space="preserve">Газоблок D600 200х400х390 </t>
  </si>
  <si>
    <t>Газоблок D 700</t>
  </si>
  <si>
    <t xml:space="preserve">Газоблок D700 200х300х390 </t>
  </si>
  <si>
    <t xml:space="preserve">Газоблок D700 200х400х390 </t>
  </si>
  <si>
    <t>Блок Газобетонный</t>
  </si>
  <si>
    <t>Длина, Д</t>
  </si>
  <si>
    <t>Ширина, Ш</t>
  </si>
  <si>
    <t>Высота, В</t>
  </si>
  <si>
    <t>Цена с НДС, руб</t>
  </si>
  <si>
    <t>Блок Газобетонный D 400* В 2,5</t>
  </si>
  <si>
    <t>Блок Газобетонный D 500* В 3,5</t>
  </si>
  <si>
    <t>Блок Газобетонный D 600* В 3,5</t>
  </si>
  <si>
    <t>Пилонный блок</t>
  </si>
  <si>
    <t>Бетонный колпак</t>
  </si>
  <si>
    <t>Блок пилон 200х400х400</t>
  </si>
  <si>
    <t>Вентиляционные блоки</t>
  </si>
  <si>
    <t>3ВБП 30.9.30</t>
  </si>
  <si>
    <t>2ВБП 30.7.30</t>
  </si>
  <si>
    <t>1ВБП 30.6.30</t>
  </si>
  <si>
    <t>3ВБП 10.9.30</t>
  </si>
  <si>
    <t>2ВБП 10.7.30</t>
  </si>
  <si>
    <t>1ВБП 10.6.30</t>
  </si>
  <si>
    <t>под заказ  любых высот</t>
  </si>
  <si>
    <t>менее 30.--.--</t>
  </si>
  <si>
    <t>Вибропрессованные блоки</t>
  </si>
  <si>
    <t>стеновой 190х188х390</t>
  </si>
  <si>
    <t>перегородочн 120х188х390</t>
  </si>
  <si>
    <t>Вентблок 200х290(390)х390</t>
  </si>
  <si>
    <t xml:space="preserve">               0,023   (0,031)</t>
  </si>
  <si>
    <t xml:space="preserve">            330    (380)</t>
  </si>
  <si>
    <t>Лестница готовая - лестничный марш</t>
  </si>
  <si>
    <t>Цена за марш</t>
  </si>
  <si>
    <t>Цена, руб./шт.</t>
  </si>
  <si>
    <t xml:space="preserve">Нет </t>
  </si>
  <si>
    <t>Бетонная лестница 1</t>
  </si>
  <si>
    <t>Бетонная лестница 2</t>
  </si>
  <si>
    <t>Бетонная лестница 3</t>
  </si>
  <si>
    <t>Бетонная лестница 4</t>
  </si>
  <si>
    <t>Бетонная лестница 5</t>
  </si>
  <si>
    <t>Метелическая лестница 1</t>
  </si>
  <si>
    <t>Метелическая лестница 2</t>
  </si>
  <si>
    <t>Метелическая лестница 3</t>
  </si>
  <si>
    <t>Метелическая лестница 4</t>
  </si>
  <si>
    <t xml:space="preserve">Перемычки                                                 </t>
  </si>
  <si>
    <t>Нет перемычки</t>
  </si>
  <si>
    <t>2 ПБФ  26-10-п</t>
  </si>
  <si>
    <t>1 ПБ  26-17-п</t>
  </si>
  <si>
    <t>2 ПБФ  24-10-п</t>
  </si>
  <si>
    <t>1 ПБ  24-17-п</t>
  </si>
  <si>
    <t>2 ПБФ  22-8-п</t>
  </si>
  <si>
    <t>1 ПБ  22-14-п</t>
  </si>
  <si>
    <t>2 ПБФ  20-8-п</t>
  </si>
  <si>
    <t>1 ПБ  20-12-п</t>
  </si>
  <si>
    <t>2 ПБФ  14-6-п</t>
  </si>
  <si>
    <t>1 ПБ  14-8-п</t>
  </si>
  <si>
    <t>3 ПБФ 22-10-п</t>
  </si>
  <si>
    <t>3 ПБФ 20-8-п</t>
  </si>
  <si>
    <t>3 ПБФ 14-6-п</t>
  </si>
  <si>
    <t xml:space="preserve">Перемычки       </t>
  </si>
  <si>
    <t>Перемычки армированные, газобетон D600</t>
  </si>
  <si>
    <t>ПГБ-25-3</t>
  </si>
  <si>
    <t>ПГБ-20-3</t>
  </si>
  <si>
    <t>ПГБ-15-3</t>
  </si>
  <si>
    <t>ПГБ-25-2</t>
  </si>
  <si>
    <t>ПГБ-20-2</t>
  </si>
  <si>
    <t>ПГБ-15-2</t>
  </si>
  <si>
    <t>ПГБ-25-1,5</t>
  </si>
  <si>
    <t>ПГБ-18-1,5</t>
  </si>
  <si>
    <t>ПГБ-25-1</t>
  </si>
  <si>
    <t>ПГБ-18-1</t>
  </si>
  <si>
    <t>Клей для газобетона</t>
  </si>
  <si>
    <t>ед.изм</t>
  </si>
  <si>
    <t>масса</t>
  </si>
  <si>
    <t>t работы</t>
  </si>
  <si>
    <t>Расход</t>
  </si>
  <si>
    <t>Цена 1 меш</t>
  </si>
  <si>
    <t>Клей монтажный ВК-100</t>
  </si>
  <si>
    <t>меш</t>
  </si>
  <si>
    <t>от+5 и выше</t>
  </si>
  <si>
    <t>32,5кг</t>
  </si>
  <si>
    <t>Клей монтажный ВК-100z</t>
  </si>
  <si>
    <t>от -10до+5</t>
  </si>
  <si>
    <t>Плита перекрытия ЖБИ</t>
  </si>
  <si>
    <t>Цена</t>
  </si>
  <si>
    <t>м2</t>
  </si>
  <si>
    <t>Блоки ФБС</t>
  </si>
  <si>
    <t>м3</t>
  </si>
  <si>
    <t>Инертные материалы</t>
  </si>
  <si>
    <t>цена 1м.п.</t>
  </si>
  <si>
    <t>Песок, м3</t>
  </si>
  <si>
    <t>Доставка песка</t>
  </si>
  <si>
    <t>маш</t>
  </si>
  <si>
    <t>ПГС, машина 13м3</t>
  </si>
  <si>
    <t>ПГС, машина 5м3</t>
  </si>
  <si>
    <t>Скальник, 1 маш 13м3</t>
  </si>
  <si>
    <t>Скальник, 1 маш 5м3</t>
  </si>
  <si>
    <t>Песок, машина 13м3</t>
  </si>
  <si>
    <t>Песок, машина 5м3</t>
  </si>
  <si>
    <t>Щебень, 40мм, машина 13м3</t>
  </si>
  <si>
    <t>Щебень, 40мм, машина 5м3</t>
  </si>
  <si>
    <t>Цемент, мешок, 50кг</t>
  </si>
  <si>
    <t>мешок</t>
  </si>
  <si>
    <t>Техника</t>
  </si>
  <si>
    <t>Нет техники</t>
  </si>
  <si>
    <t>Экскаватор погрузчик</t>
  </si>
  <si>
    <t>час</t>
  </si>
  <si>
    <t>Экскаватор погрузчик, бурение</t>
  </si>
  <si>
    <t>м.п.</t>
  </si>
  <si>
    <t>Авто для бурения скважин</t>
  </si>
  <si>
    <t>Манипулятор 5т</t>
  </si>
  <si>
    <t>шт</t>
  </si>
  <si>
    <t>Вывоз мусора, камаз</t>
  </si>
  <si>
    <t>Вывоз инертных материалов, камаз</t>
  </si>
  <si>
    <t>Газель</t>
  </si>
  <si>
    <t>Бетононасос</t>
  </si>
  <si>
    <t>Кран Ивановец, 17 тонн</t>
  </si>
  <si>
    <t>Маз бортовой</t>
  </si>
  <si>
    <t>Виброкаток 5 тонн</t>
  </si>
  <si>
    <t>Разгрузка материала вручную</t>
  </si>
  <si>
    <t>Доставка материала Фура</t>
  </si>
  <si>
    <t>Доставка виброкатка, 5 тонн</t>
  </si>
  <si>
    <t>Арматура стальная</t>
  </si>
  <si>
    <t>Цена тонны</t>
  </si>
  <si>
    <t>Вес 1м.п.</t>
  </si>
  <si>
    <t>Нет арматуры</t>
  </si>
  <si>
    <t>Арматура А1 катанка 6,5 мм</t>
  </si>
  <si>
    <t>В данном разделе менять стоимость тонны</t>
  </si>
  <si>
    <t>Арматура А1 8 мм</t>
  </si>
  <si>
    <t xml:space="preserve">Арматура А1 10 мм </t>
  </si>
  <si>
    <t>Арматура стальная Ø 6</t>
  </si>
  <si>
    <t>Арматура стальная Ø 8</t>
  </si>
  <si>
    <t>Арматура стальная Ø 10 </t>
  </si>
  <si>
    <t>Арматура стальная Ø 12</t>
  </si>
  <si>
    <t>Арматура стальная Ø 14</t>
  </si>
  <si>
    <t>Арматура стальная Ø 16</t>
  </si>
  <si>
    <t>Арматура стальная Ø 18</t>
  </si>
  <si>
    <t>Арматура стальная Ø 20</t>
  </si>
  <si>
    <t>Кладочная сетка, 100*100/150*150/200*200мм</t>
  </si>
  <si>
    <t>Вязальная проволока</t>
  </si>
  <si>
    <t>кг</t>
  </si>
  <si>
    <t>Стяжки пластиковые</t>
  </si>
  <si>
    <t>Подставка под арматурный каркас</t>
  </si>
  <si>
    <t xml:space="preserve">Пленка гидроизоляционная </t>
  </si>
  <si>
    <t>Арматурный скелет для свай</t>
  </si>
  <si>
    <t>Демпферная лента</t>
  </si>
  <si>
    <t xml:space="preserve">Праймер для обработки </t>
  </si>
  <si>
    <t>Мастика битумная</t>
  </si>
  <si>
    <t>Крепления для опалубки</t>
  </si>
  <si>
    <t>Электроды ок 47</t>
  </si>
  <si>
    <t>Бетон</t>
  </si>
  <si>
    <t>Бетон, м200</t>
  </si>
  <si>
    <t>Бетон, м250</t>
  </si>
  <si>
    <t>Бетон, м300</t>
  </si>
  <si>
    <t>Бетон, м350</t>
  </si>
  <si>
    <t>Раствор, м200</t>
  </si>
  <si>
    <t>Раствор, м250</t>
  </si>
  <si>
    <t>Раствор, м300</t>
  </si>
  <si>
    <t>Раствор, м350</t>
  </si>
  <si>
    <t>Пенобетон</t>
  </si>
  <si>
    <t>ед.изм.</t>
  </si>
  <si>
    <t>Длина</t>
  </si>
  <si>
    <t>Пенобетон 200x400x600</t>
  </si>
  <si>
    <t>Пенобетон 200x300x600</t>
  </si>
  <si>
    <t>Пенобетон 200x200x600</t>
  </si>
  <si>
    <t>Пенобетон 200x150x600</t>
  </si>
  <si>
    <t>Пенобетон 200x100x600</t>
  </si>
  <si>
    <t>Пенобетон 150x400x600</t>
  </si>
  <si>
    <t>Пенобетон 150x300x600</t>
  </si>
  <si>
    <t>Пенобетон 150x200x600</t>
  </si>
  <si>
    <t>Пенобетон 150x150x600</t>
  </si>
  <si>
    <t>Пенобетон 150x100x600</t>
  </si>
  <si>
    <t>Пенобетон 100x400x600</t>
  </si>
  <si>
    <t>Пенобетон 100x300x600</t>
  </si>
  <si>
    <t>Пенобетон 100x200x600</t>
  </si>
  <si>
    <t>Пенобетон 100x150x600</t>
  </si>
  <si>
    <t>Пенобетон 100x100x600</t>
  </si>
  <si>
    <r>
      <rPr>
        <sz val="11"/>
        <rFont val="Calibri"/>
        <family val="2"/>
        <charset val="204"/>
      </rPr>
      <t>Керамзитобетонный блок - </t>
    </r>
    <r>
      <rPr>
        <sz val="12"/>
        <rFont val="Arial"/>
        <family val="2"/>
        <charset val="204"/>
      </rPr>
      <t>390х190х188</t>
    </r>
  </si>
  <si>
    <r>
      <rPr>
        <sz val="11"/>
        <rFont val="Calibri"/>
        <family val="2"/>
        <charset val="204"/>
      </rPr>
      <t>Керамзитобетонный блок - </t>
    </r>
    <r>
      <rPr>
        <sz val="12"/>
        <rFont val="Arial"/>
        <family val="2"/>
        <charset val="204"/>
      </rPr>
      <t>390х290х188</t>
    </r>
  </si>
  <si>
    <r>
      <rPr>
        <sz val="11"/>
        <rFont val="Calibri"/>
        <family val="2"/>
        <charset val="204"/>
      </rPr>
      <t>Керамзитобетонный блок - </t>
    </r>
    <r>
      <rPr>
        <sz val="12"/>
        <rFont val="Arial"/>
        <family val="2"/>
        <charset val="204"/>
      </rPr>
      <t>390х90х188</t>
    </r>
  </si>
  <si>
    <t>Сип панели</t>
  </si>
  <si>
    <t>Площадь 1 листа</t>
  </si>
  <si>
    <t>Sip панель 2500*1250*124мм</t>
  </si>
  <si>
    <t>Sip панель 2500*1250*174мм</t>
  </si>
  <si>
    <t>Sip панель 2500*1250*224мм</t>
  </si>
  <si>
    <t>Sip панель 2800*1250*124мм</t>
  </si>
  <si>
    <t>Sip панель 2800*1250*174мм</t>
  </si>
  <si>
    <t>Sip панель 2800*1250*224мм</t>
  </si>
  <si>
    <t>Sip панель 3000*1250*124мм</t>
  </si>
  <si>
    <t>Sip панель 3000*1250*174мм</t>
  </si>
  <si>
    <t>Sip панель 3000*1250*224мм</t>
  </si>
  <si>
    <t>Sip панель 2500*625*124мм</t>
  </si>
  <si>
    <t>Sip панель 2500*625*174мм</t>
  </si>
  <si>
    <t>Sip панель 2500*625*224мм</t>
  </si>
  <si>
    <t>Двутавровые балки</t>
  </si>
  <si>
    <t>Двутавровая деревянная балка, 400*65мм</t>
  </si>
  <si>
    <t>Двутавровая деревянная балка, 400*90мм</t>
  </si>
  <si>
    <t>Двутавровая деревянная балка, 350*65мм</t>
  </si>
  <si>
    <t>Двутавровая деревянная балка, 350*90мм</t>
  </si>
  <si>
    <t>Двутавровая деревянная балка, 300*65мм</t>
  </si>
  <si>
    <t>Двутавровая деревянная балка, 300*90мм</t>
  </si>
  <si>
    <t>Двутавровая деревянная балка, 240*65мм</t>
  </si>
  <si>
    <t>Двутавровая деревянная балка, 240*90мм</t>
  </si>
  <si>
    <t>Двутавровая деревянная балка, 200*65мм</t>
  </si>
  <si>
    <t>Двутавровая деревянная балка, 200*90мм</t>
  </si>
  <si>
    <t>Двутавровая деревянная балка, 150*65мм</t>
  </si>
  <si>
    <t>Двутавровая деревянная балка, 150*90мм</t>
  </si>
  <si>
    <t>Доска сосна/брусок, естественной влажности</t>
  </si>
  <si>
    <t>Высота</t>
  </si>
  <si>
    <t>Толщина</t>
  </si>
  <si>
    <t>Цена 1м.п.</t>
  </si>
  <si>
    <t>Сосна влаж, 200*50мм</t>
  </si>
  <si>
    <t>Сосна влаж,180*50мм</t>
  </si>
  <si>
    <t>Сосна влаж,150*50мм</t>
  </si>
  <si>
    <t>Сосна влаж,100*50мм</t>
  </si>
  <si>
    <t>Сосна влаж,200*40мм</t>
  </si>
  <si>
    <t>Сосна влаж,180*40мм</t>
  </si>
  <si>
    <t>Сосна влаж,150*40мм</t>
  </si>
  <si>
    <t>Сосна влаж,100*40мм</t>
  </si>
  <si>
    <t>Сосна влаж,200*25мм</t>
  </si>
  <si>
    <t>Сосна влаж,180*25мм</t>
  </si>
  <si>
    <t>Сосна влаж, 150*25мм</t>
  </si>
  <si>
    <t>Сосна влаж,100*25мм</t>
  </si>
  <si>
    <t>Сосна влаж, 50*50мм</t>
  </si>
  <si>
    <t>Доска сосна/брусок, калиброванная, сухая</t>
  </si>
  <si>
    <t>Ширина</t>
  </si>
  <si>
    <t>Доска сухая, калибр., 190*45мм</t>
  </si>
  <si>
    <t>Доска сухая калибр., 140*45мм</t>
  </si>
  <si>
    <t>Доска сухая калибр., 110*45мм</t>
  </si>
  <si>
    <t>Доска сухая, калибр., 35*45мм</t>
  </si>
  <si>
    <t>Доска сосна/брусок, сухая</t>
  </si>
  <si>
    <t>Доска сухая 200*50мм</t>
  </si>
  <si>
    <t>Доска сухая 180*50мм</t>
  </si>
  <si>
    <t>Доска сухая 150*50мм</t>
  </si>
  <si>
    <t>Доска сухая 100*50мм</t>
  </si>
  <si>
    <t>Доска сухая 200*40мм</t>
  </si>
  <si>
    <t>Доска сухая 180*40мм</t>
  </si>
  <si>
    <t>Доска сухая 150*40мм</t>
  </si>
  <si>
    <t>Доска сухая 100*40мм</t>
  </si>
  <si>
    <t>Доска сухая 200*25мм</t>
  </si>
  <si>
    <t>Доска сухая 180*25мм</t>
  </si>
  <si>
    <t>Доска сухая 150*25мм</t>
  </si>
  <si>
    <t>Доска сухая 100*25мм</t>
  </si>
  <si>
    <t>Доска сухая 50*50мм</t>
  </si>
  <si>
    <t>Брус: клееный, профилированный, простой</t>
  </si>
  <si>
    <t>высота</t>
  </si>
  <si>
    <t>Нет</t>
  </si>
  <si>
    <t>Листв. влаж, 200*200мм</t>
  </si>
  <si>
    <t>Листв. влаж, 200*180мм</t>
  </si>
  <si>
    <t>Листв. влаж, 200*150мм</t>
  </si>
  <si>
    <t>Листв. влаж, 200*100мм</t>
  </si>
  <si>
    <t>Листв. влаж, 180*180мм</t>
  </si>
  <si>
    <t>Листв. влаж, 180*150мм</t>
  </si>
  <si>
    <t>Листв. влаж, 180*100мм</t>
  </si>
  <si>
    <t>Листв. влаж, 150*150мм</t>
  </si>
  <si>
    <t>Листв. влаж, 150*100мм</t>
  </si>
  <si>
    <t>Листв. влаж, 100*100мм</t>
  </si>
  <si>
    <t>Сосна влаж, 200*200мм</t>
  </si>
  <si>
    <t>Сосна влаж, 200*180мм</t>
  </si>
  <si>
    <t>Сосна влаж, 200*150мм</t>
  </si>
  <si>
    <t>Сосна влаж, 200*100мм</t>
  </si>
  <si>
    <t>Сосна влаж, 180*180мм</t>
  </si>
  <si>
    <t>Сосна влаж, 180*150мм</t>
  </si>
  <si>
    <t>Сосна влаж, 180*100мм</t>
  </si>
  <si>
    <t>Сосна влаж, 150*150мм</t>
  </si>
  <si>
    <t>Сосна влаж, 150*100мм</t>
  </si>
  <si>
    <t>Сосна влаж, 100*100мм</t>
  </si>
  <si>
    <t>Брус клееный профилированный Шир. 240 выс. 270</t>
  </si>
  <si>
    <t>Брус клееный профилированный Шир. 200 выс. 270</t>
  </si>
  <si>
    <t>Брус клееный профилированный Шир. 160 выс. 270</t>
  </si>
  <si>
    <t>Брус клееный профилированный Шир. 120 выс. 270</t>
  </si>
  <si>
    <t>Брус клееный профилированный Шир. 240 выс. 230</t>
  </si>
  <si>
    <t>Брус клееный профилированный Шир. 200 выс. 230</t>
  </si>
  <si>
    <t>Брус клееный профилированный Шир. 160 выс. 230</t>
  </si>
  <si>
    <t>Брус клееный профилированный Шир. 120 выс. 230</t>
  </si>
  <si>
    <t>Брус клееный профилированный Шир. 240 выс. 185</t>
  </si>
  <si>
    <t>Брус клееный профилированный Шир. 200 выс. 185</t>
  </si>
  <si>
    <t>Брус клееный профилированный Шир. 160 выс. 185</t>
  </si>
  <si>
    <t>Брус клееный профилированный Шир. 120 выс. 185</t>
  </si>
  <si>
    <t>Брус клееный профилированный Шир. 240 выс. 180</t>
  </si>
  <si>
    <t>Брус клееный профилированный Шир. 200 выс. 180</t>
  </si>
  <si>
    <t>Брус клееный профилированный Шир. 160 выс. 180</t>
  </si>
  <si>
    <t>Брус клееный профилированный Шир. 120 выс. 180</t>
  </si>
  <si>
    <t>Брус клееный профилированный Шир. 240 выс. 160</t>
  </si>
  <si>
    <t>Брус клееный профилированный Шир. 200 выс. 160</t>
  </si>
  <si>
    <t>Брус клееный профилированный Шир. 160 выс. 160</t>
  </si>
  <si>
    <t>Брус клееный профилированный Шир. 120 выс. 160</t>
  </si>
  <si>
    <t>Брус клееный профилированный Шир. 240 выс. 145</t>
  </si>
  <si>
    <t>Брус клееный профилированный Шир. 200 выс. 145</t>
  </si>
  <si>
    <t>Брус клееный профилированный Шир. 160 выс. 145</t>
  </si>
  <si>
    <t>Брус клееный профилированный Шир. 120 выс. 145</t>
  </si>
  <si>
    <t>Брус клееный проф 1 ламель кедр Шир. 240 выс. 140</t>
  </si>
  <si>
    <t>Брус клееный проф 1 ламель кедр Шир. 200 выс. 140</t>
  </si>
  <si>
    <t>Брус клееный проф 1 ламель кедр Шир. 160 выс. 140</t>
  </si>
  <si>
    <t>Брус клееный проф 1 ламель кедр Шир. 120 выс. 140</t>
  </si>
  <si>
    <t>Брус клееный проф 2 ламель кедр Шир. 240 выс. 140</t>
  </si>
  <si>
    <t>Брус клееный проф 2 ламель кедр Шир. 200 выс. 140</t>
  </si>
  <si>
    <t>Брус клееный проф 2 ламель кедр Шир. 160 выс. 140</t>
  </si>
  <si>
    <t>Брус клееный проф 2 ламель кедр Шир. 120 выс. 140</t>
  </si>
  <si>
    <t>Брус клееный проф. лиственница Шир. 240 выс. 140</t>
  </si>
  <si>
    <t>Брус клееный проф. лиственница Шир. 200 выс. 140</t>
  </si>
  <si>
    <t>Брус клееный проф. лиственница Шир. 160 выс. 140</t>
  </si>
  <si>
    <t>Брус клееный проф. лиственница Шир. 120 выс. 140</t>
  </si>
  <si>
    <t>Проф.брус сух. 80*100мм</t>
  </si>
  <si>
    <t>Проф.брус сух. 80*150мм</t>
  </si>
  <si>
    <t>Проф.брус сух. 100*100мм</t>
  </si>
  <si>
    <t>Проф.брус сух. 100*150мм</t>
  </si>
  <si>
    <t>Проф.брус сух. 140*120мм</t>
  </si>
  <si>
    <t>Проф.брус сух. 140*140мм</t>
  </si>
  <si>
    <t>Проф.брус сух. 140*190мм</t>
  </si>
  <si>
    <t>Проф.брус сух. 150*100мм</t>
  </si>
  <si>
    <t>Проф.брус сух. 150*150мм</t>
  </si>
  <si>
    <t>Проф.брус сух. 150*180мм</t>
  </si>
  <si>
    <t>Проф.брус сух. 200*100мм</t>
  </si>
  <si>
    <t>Проф.брус сух. 200*150мм</t>
  </si>
  <si>
    <t>Проф.брус сух. 200*180мм</t>
  </si>
  <si>
    <t>Проф.брус вл. 80*100мм</t>
  </si>
  <si>
    <t>Проф.брус вл. 80*150мм</t>
  </si>
  <si>
    <t>Проф.брус вл. 100*100мм</t>
  </si>
  <si>
    <t>Проф.брус вл. 100*150мм</t>
  </si>
  <si>
    <t>Проф.брус вл. 140*140мм</t>
  </si>
  <si>
    <t>Проф.брус вл. 140*190мм</t>
  </si>
  <si>
    <t>Проф.брус вл. 140*230мм</t>
  </si>
  <si>
    <t>Проф.брус вл. 140*250мм</t>
  </si>
  <si>
    <t>Проф.брус вл. 150*100мм</t>
  </si>
  <si>
    <t>Проф.брус вл. 150*150мм</t>
  </si>
  <si>
    <t>Проф.брус вл. 150*180мм</t>
  </si>
  <si>
    <t>Проф.брус вл. 190*190мм</t>
  </si>
  <si>
    <t>Проф.брус вл. 190*230мм</t>
  </si>
  <si>
    <t>Проф.брус вл. 190*250мм</t>
  </si>
  <si>
    <t>Проф.брус вл. 200*100мм</t>
  </si>
  <si>
    <t>Проф.брус вл. 200*150мм</t>
  </si>
  <si>
    <t>Проф.брус вл. 200*180мм</t>
  </si>
  <si>
    <t>Нет накладки</t>
  </si>
  <si>
    <t>Клееная накладка на перила шир 240мм</t>
  </si>
  <si>
    <t>Клееная накладка на перила шир 200мм</t>
  </si>
  <si>
    <t>Клееная накладка на перила шир 160мм</t>
  </si>
  <si>
    <t>Клееная накладка на перила шир 120мм</t>
  </si>
  <si>
    <t>Шкант</t>
  </si>
  <si>
    <t>Лента уплотнения</t>
  </si>
  <si>
    <t>рул.</t>
  </si>
  <si>
    <t>Глухарь 12*300</t>
  </si>
  <si>
    <t>Лен-джут 100х5х20000 мм</t>
  </si>
  <si>
    <t>Лен-джут 150х5х20000 мм</t>
  </si>
  <si>
    <t>Лен-джут 200х5х20000 мм</t>
  </si>
  <si>
    <t>Лен-джут 80х5х20000 мм</t>
  </si>
  <si>
    <t>Лен-джут 160х5х20000 мм</t>
  </si>
  <si>
    <t>Бензин для пилы</t>
  </si>
  <si>
    <t>л</t>
  </si>
  <si>
    <t>Масло для пилы</t>
  </si>
  <si>
    <t>Цепь для пилы</t>
  </si>
  <si>
    <t>Оцилиндрованное бревно/Дикое бревно</t>
  </si>
  <si>
    <t>Диаметр</t>
  </si>
  <si>
    <t>Оцилиндрованное бревно сосна 200мм</t>
  </si>
  <si>
    <t>Оцилиндрованное бревно сосна 220мм</t>
  </si>
  <si>
    <t>Оцилиндрованное бревно сосна 240мм</t>
  </si>
  <si>
    <t>Оцилиндрованное бревно сосна 260мм</t>
  </si>
  <si>
    <t>Оцилиндрованное бревно сосна 280мм</t>
  </si>
  <si>
    <t>Оцилиндрованное бревно сосна 300мм</t>
  </si>
  <si>
    <t>Оцилиндрованное бревно сосна 320мм</t>
  </si>
  <si>
    <t>Оцилиндрованное бревно сосна 340мм</t>
  </si>
  <si>
    <t>Оцилиндрованное бревно сосна 360мм</t>
  </si>
  <si>
    <t>Оцилиндрованное бревно сосна 380мм</t>
  </si>
  <si>
    <t>Оцилиндрованное бревно сосна 400мм</t>
  </si>
  <si>
    <t>Оцилиндрованное бревно сосна 420мм</t>
  </si>
  <si>
    <t>Оцилиндрованное бревно сосна 440мм</t>
  </si>
  <si>
    <t>Оцилиндрованное бревно сосна 460мм</t>
  </si>
  <si>
    <t>Оцилиндрованное бревно сосна 480мм</t>
  </si>
  <si>
    <t>Оцилиндрованное бревно сосна 500мм</t>
  </si>
  <si>
    <t>Оцилиндрованное бревно кедр 200мм</t>
  </si>
  <si>
    <t>Оцилиндрованное бревно кедр 220мм</t>
  </si>
  <si>
    <t>Оцилиндрованное бревно кедр 240мм</t>
  </si>
  <si>
    <t>Оцилиндрованное бревно кедр 260мм</t>
  </si>
  <si>
    <t>Оцилиндрованное бревно кедр 280мм</t>
  </si>
  <si>
    <t>Оцилиндрованное бревно кедр 300мм</t>
  </si>
  <si>
    <t>Оцилиндрованное бревно кедр 320мм</t>
  </si>
  <si>
    <t>Оцилиндрованное бревно кедр 340мм</t>
  </si>
  <si>
    <t>Оцилиндрованное бревно кедр 360мм</t>
  </si>
  <si>
    <t>Оцилиндрованное бревно кедр 380мм</t>
  </si>
  <si>
    <t>Оцилиндрованное бревно кедр 400мм</t>
  </si>
  <si>
    <t>Оцилиндрованное бревно кедр 420мм</t>
  </si>
  <si>
    <t>Оцилиндрованное бревно кедр 440мм</t>
  </si>
  <si>
    <t>Оцилиндрованное бревно кедр 460мм</t>
  </si>
  <si>
    <t>Оцилиндрованное бревно кедр 480мм</t>
  </si>
  <si>
    <t>Оцилиндрованное бревно кедр 500мм</t>
  </si>
  <si>
    <t>Оцилиндрованное бревно лиственница 280мм</t>
  </si>
  <si>
    <t>Оцилиндрованное бревно лиственница 300мм</t>
  </si>
  <si>
    <t>Оцилиндрованное бревно лиственница 320мм</t>
  </si>
  <si>
    <t>Оцилиндрованное бревно лиственница 340мм</t>
  </si>
  <si>
    <t>Оцилиндрованное бревно лиственница 360мм</t>
  </si>
  <si>
    <t>Оцилиндрованное бревно лиственница 380мм</t>
  </si>
  <si>
    <t>Оцилиндрованное бревно лиственница 400мм</t>
  </si>
  <si>
    <t>Оцилиндрованное бревно лиственница 420мм</t>
  </si>
  <si>
    <t>Оцилиндрованное бревно лиственница 440мм</t>
  </si>
  <si>
    <t>Оцилиндрованное бревно лиственница 460мм</t>
  </si>
  <si>
    <t>Оцилиндрованное бревно лиственница 480мм</t>
  </si>
  <si>
    <t>Оцилиндрованное бревно лиственница 500мм</t>
  </si>
  <si>
    <t>Дикое бревно сосна 200мм</t>
  </si>
  <si>
    <t>Дикое бревно сосна 220мм</t>
  </si>
  <si>
    <t>Дикое бревно сосна 240мм</t>
  </si>
  <si>
    <t>Дикое бревно сосна 260мм</t>
  </si>
  <si>
    <t>Дикое бревно сосна 280мм</t>
  </si>
  <si>
    <t>Дикое бревно сосна 300мм</t>
  </si>
  <si>
    <t>Дикое бревно сосна 320мм</t>
  </si>
  <si>
    <t>Дикое бревно сосна 340мм</t>
  </si>
  <si>
    <t>Дикое бревно сосна 360мм</t>
  </si>
  <si>
    <t>Дикое бревно сосна 380мм</t>
  </si>
  <si>
    <t>Дикое бревно сосна 400мм</t>
  </si>
  <si>
    <t>Дикое бревно сосна 420мм</t>
  </si>
  <si>
    <t>Дикое бревно сосна 440мм</t>
  </si>
  <si>
    <t>Дикое бревно сосна 460мм</t>
  </si>
  <si>
    <t>Дикое бревно сосна 480мм</t>
  </si>
  <si>
    <t>Дикое бревно сосна 500мм</t>
  </si>
  <si>
    <t>Дикое бревно кедр 200мм</t>
  </si>
  <si>
    <t>Дикое бревно кедр 220мм</t>
  </si>
  <si>
    <t>Дикое бревно кедр 240мм</t>
  </si>
  <si>
    <t>Дикое бревно кедр 260мм</t>
  </si>
  <si>
    <t>Дикое бревно кедр 280мм</t>
  </si>
  <si>
    <t>Дикое бревно кедр 300мм</t>
  </si>
  <si>
    <t>Дикое бревно кедр 320мм</t>
  </si>
  <si>
    <t>Дикое бревно кедр 340мм</t>
  </si>
  <si>
    <t>Дикое бревно кедр 360мм</t>
  </si>
  <si>
    <t>Дикое бревно кедр 380мм</t>
  </si>
  <si>
    <t>Дикое бревно кедр 400мм</t>
  </si>
  <si>
    <t>Дикое бревно кедр 420мм</t>
  </si>
  <si>
    <t>Дикое бревно кедр 440мм</t>
  </si>
  <si>
    <t>Дикое бревно кедр 460мм</t>
  </si>
  <si>
    <t>Дикое бревно кедр 480мм</t>
  </si>
  <si>
    <t>Дикое бревно кедр 500мм</t>
  </si>
  <si>
    <t>Дикое бревно лиственница 280мм</t>
  </si>
  <si>
    <t>Дикое бревно лиственница 300мм</t>
  </si>
  <si>
    <t>Дикое бревно лиственница 320мм</t>
  </si>
  <si>
    <t>Дикое бревно лиственница 340мм</t>
  </si>
  <si>
    <t>Дикое бревно лиственница 360мм</t>
  </si>
  <si>
    <t>Дикое бревно лиственница 380мм</t>
  </si>
  <si>
    <t>Дикое бревно лиственница 400мм</t>
  </si>
  <si>
    <t>Дикое бревно лиственница 420мм</t>
  </si>
  <si>
    <t>Дикое бревно лиственница 440мм</t>
  </si>
  <si>
    <t>Дикое бревно лиственница 460мм</t>
  </si>
  <si>
    <t>Дикое бревно лиственница 480мм</t>
  </si>
  <si>
    <t>Дикое бревно лиственница 500мм</t>
  </si>
  <si>
    <t>Глухарь для сборки сруба</t>
  </si>
  <si>
    <t>Гидрокомпенсатор</t>
  </si>
  <si>
    <t>Пружинный узел</t>
  </si>
  <si>
    <t>Профилированный лист</t>
  </si>
  <si>
    <t>нет</t>
  </si>
  <si>
    <t>Профлист С-8, 04</t>
  </si>
  <si>
    <t>0,4-0,45</t>
  </si>
  <si>
    <t>Профлист С-8, 0,45</t>
  </si>
  <si>
    <t>0,45-0,5</t>
  </si>
  <si>
    <t>Профлист С-8, 0,55</t>
  </si>
  <si>
    <t>Профлист С-8, 0,65</t>
  </si>
  <si>
    <t>Профлист С-8, 0,7</t>
  </si>
  <si>
    <t>Профлист С-21, 0,45</t>
  </si>
  <si>
    <t>Профлист С-21, 0,55</t>
  </si>
  <si>
    <t>Профлист С-21, 0,65</t>
  </si>
  <si>
    <t>Профлист С-21, 0,7</t>
  </si>
  <si>
    <t>Профлист С-21, 0,75</t>
  </si>
  <si>
    <t>Профлист С- 44, 0,65</t>
  </si>
  <si>
    <t>Профлист С- 44, 0,7</t>
  </si>
  <si>
    <t>Профлист С- 44, 0,75</t>
  </si>
  <si>
    <t>Профлист С- 44, 0,8</t>
  </si>
  <si>
    <t>Профлист С- 44, 0,45</t>
  </si>
  <si>
    <t>ЛСТК Профиль</t>
  </si>
  <si>
    <t>Площадь</t>
  </si>
  <si>
    <t>Масса, кг/м.п.</t>
  </si>
  <si>
    <t>стойки в панелях наружных и внутренних стен, колонны, балки перекрытия, стропила, пояса и раскосы ферм перекрытия и стропильных ферм, стеновые прогоны, сборные усиленные кровельные прогоны</t>
  </si>
  <si>
    <t>ГПС 100х50-1,2</t>
  </si>
  <si>
    <t>ГПС 100х50-1,5</t>
  </si>
  <si>
    <t>ГПС 100х50-2,0</t>
  </si>
  <si>
    <t>ГПС 120х50-1,2</t>
  </si>
  <si>
    <t>ГПС 120х50-1,5</t>
  </si>
  <si>
    <t>ГПС 120х50-2,0</t>
  </si>
  <si>
    <t>ГПС 150х50-1,2</t>
  </si>
  <si>
    <t>ГПС 150х50-1,5</t>
  </si>
  <si>
    <t>ГПС 150х50-2,0</t>
  </si>
  <si>
    <t>ГПС 170х50-1,2</t>
  </si>
  <si>
    <t>ГПС 170х50-1,5</t>
  </si>
  <si>
    <t>ГПС 170х50-2,0</t>
  </si>
  <si>
    <t>ГПС 200х50-1,2</t>
  </si>
  <si>
    <t>ГПС 200х50-1,5</t>
  </si>
  <si>
    <t>ГПС 200х50-2,0</t>
  </si>
  <si>
    <t>ГПС 250х50-1,2</t>
  </si>
  <si>
    <t>ГПС 250х50-1,5</t>
  </si>
  <si>
    <t>ГПС 250х50-2,0</t>
  </si>
  <si>
    <t>ГПС 280х50-1,2</t>
  </si>
  <si>
    <t>ГПС 280х50-1,5</t>
  </si>
  <si>
    <t>ГПС 280х50-2,0</t>
  </si>
  <si>
    <t>направляющие в панелях наружных и внутренних стен, вспомогательный элемент в балках перекрытия, устройство узлов в рамных конструкциях, подоконные перемычки, усиления в стеновых прогонах, накладки на С-профиль</t>
  </si>
  <si>
    <t>ГПН 102х35-1,2</t>
  </si>
  <si>
    <t>ГПН 102х35-1,5</t>
  </si>
  <si>
    <t>ГПН 102х35-2,0</t>
  </si>
  <si>
    <t>ГПН 122х35-1,2</t>
  </si>
  <si>
    <t>ГПН 122х35-1,5</t>
  </si>
  <si>
    <t>ГПН 122х35-2,0</t>
  </si>
  <si>
    <t>ГПН 152х35-1,2</t>
  </si>
  <si>
    <t>ГПН 152х35-1,5</t>
  </si>
  <si>
    <t>ГПН 152х35-2,0</t>
  </si>
  <si>
    <t>ГПН 172х35-1,2</t>
  </si>
  <si>
    <t>ГПН 172х35-1,5</t>
  </si>
  <si>
    <t>ГПН 172х35-2,0</t>
  </si>
  <si>
    <t>ГПН 202х35-1,2</t>
  </si>
  <si>
    <t>ГПН 202х35-1,5</t>
  </si>
  <si>
    <t>ГПН 202х35-2,0</t>
  </si>
  <si>
    <t>ГПН 252х35-1,2</t>
  </si>
  <si>
    <t>ГПН 252х35-1,5</t>
  </si>
  <si>
    <t>ГПН 252х35-2,0</t>
  </si>
  <si>
    <t>ГПН 282х35-1,2</t>
  </si>
  <si>
    <t>ГПН 282х35-1,5</t>
  </si>
  <si>
    <t>ГПН 282х35-2,0</t>
  </si>
  <si>
    <t>ГПН 104х50-1,2</t>
  </si>
  <si>
    <t>ГПН 104х50-1,5</t>
  </si>
  <si>
    <t>ГПН 104х50-2,0</t>
  </si>
  <si>
    <t>ГПН 124х50-1,2</t>
  </si>
  <si>
    <t>ГПН 124х50-1,5</t>
  </si>
  <si>
    <t>ГПН 124х50-2,0</t>
  </si>
  <si>
    <t>ГПН 154х50-1,2</t>
  </si>
  <si>
    <t>ГПН 154х50-1,5</t>
  </si>
  <si>
    <t>ГПН 154х50-2,0</t>
  </si>
  <si>
    <t>ГПН 174х50-1,2</t>
  </si>
  <si>
    <t>ГПН 174х50-1,5</t>
  </si>
  <si>
    <t>ГПН 174х50-2,0</t>
  </si>
  <si>
    <t>ГПН 204х50-1,2</t>
  </si>
  <si>
    <t>ГПН 204х50-1,5</t>
  </si>
  <si>
    <t>ГПН 204х50-2,0</t>
  </si>
  <si>
    <t>ГПН 254х50-1,2</t>
  </si>
  <si>
    <t>ГПН 254х50-1,5</t>
  </si>
  <si>
    <t>ГПН 254х50-2,0</t>
  </si>
  <si>
    <t>ГПН 284х50-1,2</t>
  </si>
  <si>
    <t>ГПН 284х50-1,5</t>
  </si>
  <si>
    <t>ГПН 284х50-2,0</t>
  </si>
  <si>
    <t>легкие несущие кровельные прогоны, направляющие при устройстве «наборного сэндвича», облегченные стеновые прогоны, вертикальные направляющие вентилируемого фасада</t>
  </si>
  <si>
    <t>Z 100-1,2</t>
  </si>
  <si>
    <t>Z 100-1,5</t>
  </si>
  <si>
    <t>Z 100-2,0</t>
  </si>
  <si>
    <t>Z 150-1,2</t>
  </si>
  <si>
    <t>Z 150-1,5</t>
  </si>
  <si>
    <t>Z 150-2,0</t>
  </si>
  <si>
    <t>Z 200-1,2</t>
  </si>
  <si>
    <t>Z 200-1,5</t>
  </si>
  <si>
    <t>Z 200-2,0</t>
  </si>
  <si>
    <t>обрешетка на скатных кровлях, контробрешетка, обрешетка в стеновых конструкциях, столбы и прогоны в заборных секциях</t>
  </si>
  <si>
    <t>ГПО 30-0,7</t>
  </si>
  <si>
    <t>ГПО 30-1,2</t>
  </si>
  <si>
    <t>ГПО 30-1,5</t>
  </si>
  <si>
    <t>ГПО 35-0,7</t>
  </si>
  <si>
    <t>ГПО 35-1,2</t>
  </si>
  <si>
    <t>ГПО 35-1,5</t>
  </si>
  <si>
    <t>ГПО 35-2,0</t>
  </si>
  <si>
    <t>ГПО 50-0,7</t>
  </si>
  <si>
    <t>ГПО 50-1,0</t>
  </si>
  <si>
    <t>ГПО 50-1,2</t>
  </si>
  <si>
    <t>ГПО 50-1,5</t>
  </si>
  <si>
    <t>ГПО 50-2,0</t>
  </si>
  <si>
    <t>элемент для крепления стоек к основанию,
вспомогательный элемент при сборке панелей ЛСТК,
обрамление наружных и внутренних углов здания,
крепление элементов каркаса друг к другу,
направляющие для крепления ограждающих конструкций</t>
  </si>
  <si>
    <t>L 50 x 50, 1,2мм</t>
  </si>
  <si>
    <t>L 50 x 50, 1,5мм</t>
  </si>
  <si>
    <t>L 50 x 50, 2мм</t>
  </si>
  <si>
    <t>L 75 x 75, 1,2мм</t>
  </si>
  <si>
    <t>L 75 x 75, 1,5мм</t>
  </si>
  <si>
    <t>L 75 x 75, 2мм</t>
  </si>
  <si>
    <t>L 100x100, 1,2мм</t>
  </si>
  <si>
    <t>L 100x100, 1,5мм</t>
  </si>
  <si>
    <t>L 100x100, 2мм</t>
  </si>
  <si>
    <t>Подложка для крепления ЛСТК соединений</t>
  </si>
  <si>
    <t>цена 1м2</t>
  </si>
  <si>
    <t>Резина листовая</t>
  </si>
  <si>
    <t>Резина листовая 2 мм</t>
  </si>
  <si>
    <t>Резина листовая 3 мм</t>
  </si>
  <si>
    <t>Резина листовая 4 мм</t>
  </si>
  <si>
    <t>Резина листовая 5 мм</t>
  </si>
  <si>
    <t>Резина листовая 6 мм</t>
  </si>
  <si>
    <t>Резина листовая 7 мм</t>
  </si>
  <si>
    <t>ЛИНОТЕРМ® П на основе пенополиэтилена с односторонним клеевым слоем, защищенным антиадгезионным материалом</t>
  </si>
  <si>
    <t>ЛИНОТЕРМ п - 3 (по 30 п.м)</t>
  </si>
  <si>
    <t>111,60</t>
  </si>
  <si>
    <t>ЛИНОТЕРМ п - 4 (по 30 п.м)</t>
  </si>
  <si>
    <t>125,40</t>
  </si>
  <si>
    <t>ЛИНОТЕРМ п - 5 (по 30 п.м)</t>
  </si>
  <si>
    <t>140,60</t>
  </si>
  <si>
    <t>ЛИНОТЕРМ п - 3 (по 15 п.м)</t>
  </si>
  <si>
    <t>170,90</t>
  </si>
  <si>
    <t>ЛИНОТЕРМ п - 10 (по 15 п.м)</t>
  </si>
  <si>
    <t>193,60</t>
  </si>
  <si>
    <t>ЛИНОТЕРМ® Э на основе пенополиэтилена с односторонним полиэтиленовым покрытием, на которое нанесен клеевой слой, защищенный антиадгезионным материалом</t>
  </si>
  <si>
    <t>ЛИНОТЕРМ э - 3 (по 30 п.м)</t>
  </si>
  <si>
    <t>72,33</t>
  </si>
  <si>
    <t>ЛИНОТЕРМ э - 4 (по 30 п.м)</t>
  </si>
  <si>
    <t>30,43</t>
  </si>
  <si>
    <t>ЛИНОТЕРМ э - 5 (по 30 п.м)</t>
  </si>
  <si>
    <t>33,74</t>
  </si>
  <si>
    <t>ЛИНОТЕРМ э - 3 (по 15 п.м.)</t>
  </si>
  <si>
    <t>113,71</t>
  </si>
  <si>
    <t>ЛИНОТЕРМ э - 10 (по 15 п.м.)</t>
  </si>
  <si>
    <t>135,35</t>
  </si>
  <si>
    <t>ЛИНОТЕРМ® ЭМ на основе пенополиэтилена с односторонним полиэтиленовым покрытием, на которое нанесен клеевой слой</t>
  </si>
  <si>
    <t>ЛИНОТЕРМ эм - 3 (по 30 п.м)</t>
  </si>
  <si>
    <t>62,40</t>
  </si>
  <si>
    <t>ЛИНОТЕРМ эм - 4 (по 30 п.м)</t>
  </si>
  <si>
    <t>63,00</t>
  </si>
  <si>
    <t>ЛИНОТЕРМ эм - 5 (по 30 п.м)</t>
  </si>
  <si>
    <t>73,70</t>
  </si>
  <si>
    <t>Изделия из дерева/погонаж</t>
  </si>
  <si>
    <t>Планкен, 100*20мм, А</t>
  </si>
  <si>
    <t>Планкен, 140*20мм, А</t>
  </si>
  <si>
    <t>Планкен, 100*20мм, В</t>
  </si>
  <si>
    <t>Планкен, 140*20мм, В</t>
  </si>
  <si>
    <t>Планкен, 100*20мм, С</t>
  </si>
  <si>
    <t>Планкен, 140*20мм, С</t>
  </si>
  <si>
    <t>Блок-хаус, 110*20мм, А</t>
  </si>
  <si>
    <t>Блок-хаус, 110*20мм, В</t>
  </si>
  <si>
    <t>Блок-хаус, 110*20мм, С</t>
  </si>
  <si>
    <t>Блок-хаус, 140*28мм, А</t>
  </si>
  <si>
    <t>Блок-хаус, 140*28мм, В</t>
  </si>
  <si>
    <t>Блок-хаус, 140*28мм, С</t>
  </si>
  <si>
    <t>Имитация бруса, 140*14мм, А</t>
  </si>
  <si>
    <t>Имитация бруса, 140*20мм, А</t>
  </si>
  <si>
    <t>Имитация бруса, 140*14мм, В</t>
  </si>
  <si>
    <t>Имитация бруса, 140*20мм, В</t>
  </si>
  <si>
    <t>Имитация бруса, 140*14мм, С</t>
  </si>
  <si>
    <t>Имитация бруса, 140*20мм, С</t>
  </si>
  <si>
    <t>Евровагонка, 95*12мм, А</t>
  </si>
  <si>
    <t>Евровагонка, 95*14мм, А</t>
  </si>
  <si>
    <t>Евровагонка, 95*12мм, В</t>
  </si>
  <si>
    <t>Евровагонка, 95*14мм, В</t>
  </si>
  <si>
    <t>Евровагонка, 95*12мм, С</t>
  </si>
  <si>
    <t>Евровагонка, 95*14мм, С</t>
  </si>
  <si>
    <t>Штиль, 140*14мм, А</t>
  </si>
  <si>
    <t>Штиль, 140*14мм, В</t>
  </si>
  <si>
    <t>Штиль, 140*14мм, С</t>
  </si>
  <si>
    <t>Софт лайн, 140*14мм, А</t>
  </si>
  <si>
    <t>Софт лайн, 140*14мм, В</t>
  </si>
  <si>
    <t>Софт лайн, 140*14мм, С</t>
  </si>
  <si>
    <t>Плинтус, 20*65, А</t>
  </si>
  <si>
    <t>Плинтус, 20*65, В</t>
  </si>
  <si>
    <t>Нет наличника</t>
  </si>
  <si>
    <t>Наличник, 16*80</t>
  </si>
  <si>
    <t>Наличник, 16*90</t>
  </si>
  <si>
    <t>Наличник, 16*100</t>
  </si>
  <si>
    <t>Наличник, 20*80</t>
  </si>
  <si>
    <t>Наличник, 20*90</t>
  </si>
  <si>
    <t>Наличник, 20*100</t>
  </si>
  <si>
    <t>Огнебиозащита</t>
  </si>
  <si>
    <t>Цена 1 л</t>
  </si>
  <si>
    <t>Нет огнебиозащиты</t>
  </si>
  <si>
    <t>литр</t>
  </si>
  <si>
    <t>"Профилюкс" Антисептик АНТИПЛЕСЕНЬ</t>
  </si>
  <si>
    <t>"Антифлекс" Антисептик АНТИПЛЕСЕНЬ</t>
  </si>
  <si>
    <t>"KLEO" Антиплесень</t>
  </si>
  <si>
    <t>"White House" Огнебиозащита</t>
  </si>
  <si>
    <t>"Профилюкс" Антисептик ОБЗ-1</t>
  </si>
  <si>
    <t>"Профилюкс" Антисептик ОБЗ-2</t>
  </si>
  <si>
    <t xml:space="preserve">"Сенеж" Антисептик ПРОФИ </t>
  </si>
  <si>
    <t>"Радугамалер"</t>
  </si>
  <si>
    <t>Утеплитель</t>
  </si>
  <si>
    <t>Плотность</t>
  </si>
  <si>
    <t>Плитный,28кг/м3, технониколь, 50мм</t>
  </si>
  <si>
    <r>
      <rPr>
        <sz val="12"/>
        <color rgb="FF000000"/>
        <rFont val="Calibri"/>
        <family val="2"/>
        <charset val="204"/>
      </rPr>
      <t>16 — 18кг/м</t>
    </r>
    <r>
      <rPr>
        <vertAlign val="superscript"/>
        <sz val="12"/>
        <color rgb="FF000000"/>
        <rFont val="Calibri"/>
        <family val="2"/>
        <charset val="204"/>
      </rPr>
      <t>3</t>
    </r>
  </si>
  <si>
    <t>Плитный,28кг/м3, технониколь, 100мм</t>
  </si>
  <si>
    <t>Плитный,28кг/м3, технониколь, 150мм</t>
  </si>
  <si>
    <t>Плитный,28кг/м3, технониколь, 200мм</t>
  </si>
  <si>
    <t>Плитный,28кг/м3, технониколь, 250мм</t>
  </si>
  <si>
    <t>Плитный,28кг/м3, технониколь, 300мм</t>
  </si>
  <si>
    <t>Плитный,30кг/м3, роквулл 50мм</t>
  </si>
  <si>
    <r>
      <rPr>
        <sz val="12"/>
        <color rgb="FF000000"/>
        <rFont val="Calibri"/>
        <family val="2"/>
        <charset val="204"/>
      </rPr>
      <t>28 — 30кг/м</t>
    </r>
    <r>
      <rPr>
        <vertAlign val="superscript"/>
        <sz val="12"/>
        <color rgb="FF000000"/>
        <rFont val="Calibri"/>
        <family val="2"/>
        <charset val="204"/>
      </rPr>
      <t>3</t>
    </r>
  </si>
  <si>
    <t>Плитный,30кг/м3, роквулл 100мм</t>
  </si>
  <si>
    <t>Плитный,30кг/м3, роквулл 150мм</t>
  </si>
  <si>
    <t>Плитный,30кг/м3, роквулл 200мм</t>
  </si>
  <si>
    <t>Плитный,30кг/м3, роквулл 250мм</t>
  </si>
  <si>
    <t>Плитный,30кг/м3, роквулл 300мм</t>
  </si>
  <si>
    <t>Пенопласт ПСБ-С-15, 50мм</t>
  </si>
  <si>
    <r>
      <rPr>
        <sz val="12"/>
        <color rgb="FF000000"/>
        <rFont val="Calibri"/>
        <family val="2"/>
        <charset val="204"/>
      </rPr>
      <t>10 — 12кг/м</t>
    </r>
    <r>
      <rPr>
        <vertAlign val="superscript"/>
        <sz val="12"/>
        <color rgb="FF000000"/>
        <rFont val="Calibri"/>
        <family val="2"/>
        <charset val="204"/>
      </rPr>
      <t>3</t>
    </r>
  </si>
  <si>
    <t>Пенопласт ПСБ-С-15, 100мм</t>
  </si>
  <si>
    <t>Пенопласт ПСБ-С-15, 150мм</t>
  </si>
  <si>
    <t>Пенопласт ПСБ-С-15, 200мм</t>
  </si>
  <si>
    <t>Пенопласт ПСБ-С-15, 250мм</t>
  </si>
  <si>
    <t>Пенопласт ПСБ-С-15, 300мм</t>
  </si>
  <si>
    <t>Пенопласт ПСБ-С-25, 50мм</t>
  </si>
  <si>
    <t>Пенопласт ПСБ-С-25, 100мм</t>
  </si>
  <si>
    <t>Пенопласт ПСБ-С-25, 150мм</t>
  </si>
  <si>
    <t>Пенопласт ПСБ-С-25, 200мм</t>
  </si>
  <si>
    <t>Пенопласт ПСБ-С-25, 250мм</t>
  </si>
  <si>
    <t>Пенопласт ПСБ-С-25, 300мм</t>
  </si>
  <si>
    <t>Пенопласт ПСБ-С-35, 50мм</t>
  </si>
  <si>
    <t>Пенопласт ПСБ-С-35, 100мм</t>
  </si>
  <si>
    <t>Пенопласт ПСБ-С-35, 150мм</t>
  </si>
  <si>
    <t>Пенопласт ПСБ-С-35, 200мм</t>
  </si>
  <si>
    <t>Пенопласт ПСБ-С-35, 250мм</t>
  </si>
  <si>
    <t>Пенопласт ПСБ-С-35, 300мм</t>
  </si>
  <si>
    <t>Пенополистирол,35кг/м3, 50мм</t>
  </si>
  <si>
    <t>Пенополистирол,35кг/м3, 100мм</t>
  </si>
  <si>
    <t>Пенополистирол,35кг/м3, 150мм</t>
  </si>
  <si>
    <t>Пенополистирол,35кг/м3, 200мм</t>
  </si>
  <si>
    <t>Пенополистирол,25кг/м3, 50мм</t>
  </si>
  <si>
    <t>Пенополистирол,25кг/м3, 100мм</t>
  </si>
  <si>
    <t>Пенополистирол,25кг/м3, 150мм</t>
  </si>
  <si>
    <t>Пенополистирол,25кг/м3, 200мм</t>
  </si>
  <si>
    <t>Грибок для крепления утеплителя</t>
  </si>
  <si>
    <t>Изоляционные материалы</t>
  </si>
  <si>
    <t>Рулон</t>
  </si>
  <si>
    <t>Гидроизол</t>
  </si>
  <si>
    <t>Мастика для дерева</t>
  </si>
  <si>
    <t>Рубероид</t>
  </si>
  <si>
    <t>Геотекстиль</t>
  </si>
  <si>
    <t>Пленка полиэтиленовая</t>
  </si>
  <si>
    <t>нет ветроизоляции</t>
  </si>
  <si>
    <r>
      <rPr>
        <sz val="12"/>
        <color rgb="FF000000"/>
        <rFont val="Calibri"/>
        <family val="2"/>
        <charset val="204"/>
      </rPr>
      <t xml:space="preserve">Пленка  </t>
    </r>
    <r>
      <rPr>
        <b/>
        <sz val="12"/>
        <rFont val="Calibri"/>
        <family val="2"/>
        <charset val="204"/>
      </rPr>
      <t>Д96 Сильвер</t>
    </r>
  </si>
  <si>
    <t>Менять стоимость рулона</t>
  </si>
  <si>
    <t>1,5*50-75м.кв.</t>
  </si>
  <si>
    <r>
      <rPr>
        <sz val="12"/>
        <color rgb="FF000000"/>
        <rFont val="Calibri"/>
        <family val="2"/>
        <charset val="204"/>
      </rPr>
      <t xml:space="preserve">Пленка </t>
    </r>
    <r>
      <rPr>
        <b/>
        <sz val="12"/>
        <rFont val="Calibri"/>
        <family val="2"/>
        <charset val="204"/>
      </rPr>
      <t>Д110 Стандарт</t>
    </r>
  </si>
  <si>
    <r>
      <rPr>
        <sz val="12"/>
        <color rgb="FF000000"/>
        <rFont val="Calibri"/>
        <family val="2"/>
        <charset val="204"/>
      </rPr>
      <t xml:space="preserve">Мембрана </t>
    </r>
    <r>
      <rPr>
        <b/>
        <sz val="12"/>
        <rFont val="Calibri"/>
        <family val="2"/>
        <charset val="204"/>
      </rPr>
      <t>MD90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</si>
  <si>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/>
        <sz val="12"/>
        <rFont val="Calibri"/>
        <family val="2"/>
        <charset val="204"/>
      </rPr>
      <t>Tyvek Soft</t>
    </r>
  </si>
  <si>
    <r>
      <rPr>
        <sz val="12"/>
        <color rgb="FF000000"/>
        <rFont val="Calibri"/>
        <family val="2"/>
        <charset val="204"/>
      </rPr>
      <t xml:space="preserve">Мембраны  </t>
    </r>
    <r>
      <rPr>
        <b/>
        <sz val="12"/>
        <rFont val="Calibri"/>
        <family val="2"/>
        <charset val="204"/>
      </rPr>
      <t>Tyvek Housewrap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</si>
  <si>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/>
        <sz val="12"/>
        <rFont val="Calibri"/>
        <family val="2"/>
        <charset val="204"/>
      </rPr>
      <t>Tyvek Solid Silver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</si>
  <si>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/>
        <sz val="12"/>
        <rFont val="Calibri"/>
        <family val="2"/>
        <charset val="204"/>
      </rPr>
      <t>Tyvek Solid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</si>
  <si>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/>
        <sz val="12"/>
        <rFont val="Calibri"/>
        <family val="2"/>
        <charset val="204"/>
      </rPr>
      <t>Tyvek Supro+Tape</t>
    </r>
    <r>
      <rPr>
        <b/>
        <sz val="12"/>
        <color rgb="FFFF0000"/>
        <rFont val="Calibri"/>
        <family val="2"/>
        <charset val="204"/>
      </rPr>
      <t>/ с самокл.леной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</si>
  <si>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/>
        <sz val="12"/>
        <rFont val="Calibri"/>
        <family val="2"/>
        <charset val="204"/>
      </rPr>
      <t>Delta-Vent N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</si>
  <si>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/>
        <sz val="12"/>
        <rFont val="Calibri"/>
        <family val="2"/>
        <charset val="204"/>
      </rPr>
      <t>Delta-Vent N Plus</t>
    </r>
    <r>
      <rPr>
        <b/>
        <sz val="12"/>
        <color rgb="FFFF0000"/>
        <rFont val="Calibri"/>
        <family val="2"/>
        <charset val="204"/>
      </rPr>
      <t>/ с самокл.леной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</si>
  <si>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/>
        <sz val="12"/>
        <rFont val="Calibri"/>
        <family val="2"/>
        <charset val="204"/>
      </rPr>
      <t>Delta-Maxx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</si>
  <si>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/>
        <sz val="12"/>
        <rFont val="Calibri"/>
        <family val="2"/>
        <charset val="204"/>
      </rPr>
      <t>Delta-Maxx Plus</t>
    </r>
    <r>
      <rPr>
        <b/>
        <sz val="12"/>
        <color rgb="FFFF0000"/>
        <rFont val="Calibri"/>
        <family val="2"/>
        <charset val="204"/>
      </rPr>
      <t>/ с самокл.леной</t>
    </r>
  </si>
  <si>
    <r>
      <rPr>
        <sz val="12"/>
        <color rgb="FF000000"/>
        <rFont val="Calibri"/>
        <family val="2"/>
        <charset val="204"/>
      </rPr>
      <t xml:space="preserve">Паропроницаемая </t>
    </r>
    <r>
      <rPr>
        <b/>
        <sz val="12"/>
        <rFont val="Calibri"/>
        <family val="2"/>
        <charset val="204"/>
      </rPr>
      <t xml:space="preserve"> Opima A</t>
    </r>
  </si>
  <si>
    <t>70м.кв.</t>
  </si>
  <si>
    <r>
      <rPr>
        <sz val="12"/>
        <color rgb="FF000000"/>
        <rFont val="Calibri"/>
        <family val="2"/>
        <charset val="204"/>
      </rPr>
      <t xml:space="preserve">Универсальная </t>
    </r>
    <r>
      <rPr>
        <b/>
        <sz val="12"/>
        <rFont val="Calibri"/>
        <family val="2"/>
        <charset val="204"/>
      </rPr>
      <t>Optima C</t>
    </r>
  </si>
  <si>
    <r>
      <rPr>
        <sz val="12"/>
        <color rgb="FF000000"/>
        <rFont val="Calibri"/>
        <family val="2"/>
        <charset val="204"/>
      </rPr>
      <t xml:space="preserve">Универсальная  </t>
    </r>
    <r>
      <rPr>
        <b/>
        <sz val="12"/>
        <rFont val="Calibri"/>
        <family val="2"/>
        <charset val="204"/>
      </rPr>
      <t>Optima D</t>
    </r>
  </si>
  <si>
    <t>70 м.кв.</t>
  </si>
  <si>
    <r>
      <rPr>
        <sz val="12"/>
        <color rgb="FF000000"/>
        <rFont val="Calibri"/>
        <family val="2"/>
        <charset val="204"/>
      </rPr>
      <t xml:space="preserve">Пленка </t>
    </r>
    <r>
      <rPr>
        <b/>
        <sz val="12"/>
        <rFont val="Calibri"/>
        <family val="2"/>
        <charset val="204"/>
      </rPr>
      <t>Folder Minima D98</t>
    </r>
  </si>
  <si>
    <t>75м.кв.</t>
  </si>
  <si>
    <r>
      <rPr>
        <sz val="12"/>
        <color rgb="FF000000"/>
        <rFont val="Calibri"/>
        <family val="2"/>
        <charset val="204"/>
      </rPr>
      <t xml:space="preserve">Мембрана </t>
    </r>
    <r>
      <rPr>
        <b/>
        <sz val="12"/>
        <rFont val="Calibri"/>
        <family val="2"/>
        <charset val="204"/>
      </rPr>
      <t>Folder Classic</t>
    </r>
  </si>
  <si>
    <t>Теплоизолирующая плита 10 мм</t>
  </si>
  <si>
    <t>Теплоизолирующая плита 12 мм</t>
  </si>
  <si>
    <t>Теплоизолирующая плита 25 мм</t>
  </si>
  <si>
    <t>Ветрозащитная плита 12 мм темно-зелёная</t>
  </si>
  <si>
    <t>Ветрозащитная плита 25 мм темно-зеленая</t>
  </si>
  <si>
    <t>Ветрозащитная плита шип-паз 25 мм</t>
  </si>
  <si>
    <t>Кровельная (универсальная) плита 25 мм шип-паз с 4 сторон</t>
  </si>
  <si>
    <t>SKANO FAS universal плита 37 мм шип-паз с 4 сторон</t>
  </si>
  <si>
    <t>SKANO massiv universal плита 50 мм шип-паз с 4 сторон</t>
  </si>
  <si>
    <t>нет пароизоляции</t>
  </si>
  <si>
    <r>
      <rPr>
        <sz val="12"/>
        <color rgb="FF000000"/>
        <rFont val="Calibri"/>
        <family val="2"/>
        <charset val="204"/>
      </rPr>
      <t xml:space="preserve">Пленка </t>
    </r>
    <r>
      <rPr>
        <b/>
        <sz val="12"/>
        <rFont val="Calibri"/>
        <family val="2"/>
        <charset val="204"/>
      </rPr>
      <t xml:space="preserve">Н96 Сильвер 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</si>
  <si>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/>
        <sz val="12"/>
        <rFont val="Calibri"/>
        <family val="2"/>
        <charset val="204"/>
      </rPr>
      <t>Н110 Стандарт</t>
    </r>
  </si>
  <si>
    <r>
      <rPr>
        <sz val="12"/>
        <color rgb="FF000000"/>
        <rFont val="Calibri"/>
        <family val="2"/>
        <charset val="204"/>
      </rPr>
      <t xml:space="preserve">Мембрана </t>
    </r>
    <r>
      <rPr>
        <b/>
        <sz val="12"/>
        <rFont val="Calibri"/>
        <family val="2"/>
        <charset val="204"/>
      </rPr>
      <t>Tyvek AirGuard Reflective</t>
    </r>
  </si>
  <si>
    <r>
      <rPr>
        <sz val="12"/>
        <color rgb="FF000000"/>
        <rFont val="Calibri"/>
        <family val="2"/>
        <charset val="204"/>
      </rPr>
      <t xml:space="preserve">Мембрана </t>
    </r>
    <r>
      <rPr>
        <b/>
        <sz val="12"/>
        <rFont val="Calibri"/>
        <family val="2"/>
        <charset val="204"/>
      </rPr>
      <t>Tyvek AirGuard SD5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</si>
  <si>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/>
        <sz val="12"/>
        <rFont val="Calibri"/>
        <family val="2"/>
        <charset val="204"/>
      </rPr>
      <t>Delta-Reflex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</si>
  <si>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/>
        <sz val="12"/>
        <rFont val="Calibri"/>
        <family val="2"/>
        <charset val="204"/>
      </rPr>
      <t>Delta-Reflex Plus</t>
    </r>
    <r>
      <rPr>
        <b/>
        <sz val="12"/>
        <color rgb="FFFF0000"/>
        <rFont val="Calibri"/>
        <family val="2"/>
        <charset val="204"/>
      </rPr>
      <t>/ с самокл.лентой</t>
    </r>
  </si>
  <si>
    <r>
      <rPr>
        <sz val="12"/>
        <color rgb="FF000000"/>
        <rFont val="Calibri"/>
        <family val="2"/>
        <charset val="204"/>
      </rPr>
      <t>Пароизоляция</t>
    </r>
    <r>
      <rPr>
        <b/>
        <sz val="12"/>
        <rFont val="Calibri"/>
        <family val="2"/>
        <charset val="204"/>
      </rPr>
      <t xml:space="preserve"> Optima B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</si>
  <si>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/>
        <sz val="12"/>
        <rFont val="Calibri"/>
        <family val="2"/>
        <charset val="204"/>
      </rPr>
      <t>Folder Minima H98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</si>
  <si>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/>
        <sz val="12"/>
        <rFont val="Calibri"/>
        <family val="2"/>
        <charset val="204"/>
      </rPr>
      <t>Folder Alum H90</t>
    </r>
  </si>
  <si>
    <t>Скобы для степлера, 1000шт/уп</t>
  </si>
  <si>
    <t>Уголок усиленный</t>
  </si>
  <si>
    <t>Цена руб/шт.</t>
  </si>
  <si>
    <t>Нет уголков</t>
  </si>
  <si>
    <t>шт.</t>
  </si>
  <si>
    <t xml:space="preserve">Уголок усиленный 90х70х55х2,5        </t>
  </si>
  <si>
    <t xml:space="preserve">Уголок усиленный 70х70х55х2,5        </t>
  </si>
  <si>
    <t xml:space="preserve">Уголок усиленный 50х50х55х2,5        </t>
  </si>
  <si>
    <t>Пластина соеденительная</t>
  </si>
  <si>
    <t>Нет пластин</t>
  </si>
  <si>
    <t xml:space="preserve">Пластина соеденительная 100х240х2           </t>
  </si>
  <si>
    <t xml:space="preserve">Пластина соеденительная 150х240х2           </t>
  </si>
  <si>
    <t>Опора бруса открытая</t>
  </si>
  <si>
    <t xml:space="preserve">Опора бруса          </t>
  </si>
  <si>
    <t>Болты анкерные с гайкой</t>
  </si>
  <si>
    <t>Диаметр,мм</t>
  </si>
  <si>
    <t>Длина, мм</t>
  </si>
  <si>
    <t>Цена 1000 шт.</t>
  </si>
  <si>
    <t>Цена 1 шт.</t>
  </si>
  <si>
    <t>Нет анкерных болтов</t>
  </si>
  <si>
    <t xml:space="preserve">Болты анкерные с гайкой 8,0 x 60           </t>
  </si>
  <si>
    <t xml:space="preserve">Болты анкерные с гайкой 10,0 х 97           </t>
  </si>
  <si>
    <t xml:space="preserve">Болты анкерные с гайкой 12,0 x 100          </t>
  </si>
  <si>
    <t xml:space="preserve">Болты анкерные с гайкой 12,0 x 120          </t>
  </si>
  <si>
    <t xml:space="preserve">Болты анкерные с гайкой 12,0 х 250          </t>
  </si>
  <si>
    <t xml:space="preserve">Болты анкерные с гайкой 12,0 х 280          </t>
  </si>
  <si>
    <t xml:space="preserve">Болты анкерные с гайкой 12,0 x 300          </t>
  </si>
  <si>
    <t xml:space="preserve">Болты анкерные с гайкой 14,0 х 200          </t>
  </si>
  <si>
    <t xml:space="preserve">Болты анкерные с гайкой 14,0 х 250          </t>
  </si>
  <si>
    <t xml:space="preserve">Болты анкерные с гайкой 20,0 х 300          </t>
  </si>
  <si>
    <t xml:space="preserve">Болты анкерные с гайкой 20,0 х 350          </t>
  </si>
  <si>
    <t xml:space="preserve">Болты анкерные с гайкой 20,0 х 400          </t>
  </si>
  <si>
    <t>Саморезы</t>
  </si>
  <si>
    <t>Цена руб/шт</t>
  </si>
  <si>
    <t>Цена руб/кг.</t>
  </si>
  <si>
    <t>Нет саморезов</t>
  </si>
  <si>
    <t>кг.</t>
  </si>
  <si>
    <t xml:space="preserve">Саморезы 3,5 x 25            </t>
  </si>
  <si>
    <t xml:space="preserve">Саморезы 3,5 x 45            </t>
  </si>
  <si>
    <t xml:space="preserve">Саморезы 3,5 x 55            </t>
  </si>
  <si>
    <t xml:space="preserve">Саморезы 4,2 х 75            </t>
  </si>
  <si>
    <t xml:space="preserve">Саморезы 4,2 x 90            </t>
  </si>
  <si>
    <t xml:space="preserve">Саморезы 4,8 х 90            </t>
  </si>
  <si>
    <t>Саморез 5,5 х 25</t>
  </si>
  <si>
    <t>Саморез 4,8 х 19</t>
  </si>
  <si>
    <t>Гвозди строительные</t>
  </si>
  <si>
    <t>Нет гвоздей строительных</t>
  </si>
  <si>
    <t xml:space="preserve">Гвозди строительные 2,5 x 60            </t>
  </si>
  <si>
    <t xml:space="preserve">Гвозди строительные 3,5 x 90            </t>
  </si>
  <si>
    <t xml:space="preserve">Гвозди строительные 4,2 x 120            </t>
  </si>
  <si>
    <t xml:space="preserve">Гвозди строительные 3,5 x 120           </t>
  </si>
  <si>
    <t>Гвозди ершоные</t>
  </si>
  <si>
    <t>Нет гвоздей ершоных</t>
  </si>
  <si>
    <t xml:space="preserve">Гвозди ершоные 3,4 x 60            </t>
  </si>
  <si>
    <t xml:space="preserve">Гвозди ершоные 2,8 х 90            </t>
  </si>
  <si>
    <t>Пена монтажная</t>
  </si>
  <si>
    <t>Пена монтажная, всесезонняя 800мл</t>
  </si>
  <si>
    <t>Винтовые сваи</t>
  </si>
  <si>
    <t>длина</t>
  </si>
  <si>
    <t>цена</t>
  </si>
  <si>
    <t>нет выбора</t>
  </si>
  <si>
    <t>76мм, 2,5м,1 л.</t>
  </si>
  <si>
    <t>76мм, 3м, 1 л.</t>
  </si>
  <si>
    <t>76мм, 3,5м, 1 л.</t>
  </si>
  <si>
    <t>76мм, 4м, 1 л.</t>
  </si>
  <si>
    <t>76мм, 4,5м, 1 л.</t>
  </si>
  <si>
    <t>76мм, 5м, 1 л.</t>
  </si>
  <si>
    <t>76мм, 2,5м, 2 л.</t>
  </si>
  <si>
    <t>76мм, 3м длина, 2 лопасть</t>
  </si>
  <si>
    <t>76мм, 3,5м длина, 2 лопасть</t>
  </si>
  <si>
    <t>76мм, 4м длина, 2 лопасть</t>
  </si>
  <si>
    <t>76мм, 4,5м длина, 2 лопасть</t>
  </si>
  <si>
    <t>76мм, 5м длина, 2 лопасть</t>
  </si>
  <si>
    <t>89мм, 2,5м длина, 1 лопасть</t>
  </si>
  <si>
    <t>89мм, 3м длина, 1 лопасть</t>
  </si>
  <si>
    <t>89мм, 3,5м длина, 1 лопасть</t>
  </si>
  <si>
    <t>89мм, 4м длина, 1 лопасть</t>
  </si>
  <si>
    <t>89мм, 4,5м длина, 1 лопасть</t>
  </si>
  <si>
    <t>89мм, 5м длина, 1 лопасть</t>
  </si>
  <si>
    <t>89мм, 2,5м длина, 2 лопасть</t>
  </si>
  <si>
    <t>89мм, 3м длина, 2 лопасть</t>
  </si>
  <si>
    <t>89мм, 3,5м длина, 2 лопасть</t>
  </si>
  <si>
    <t>89мм, 4м длина, 2 лопасть</t>
  </si>
  <si>
    <t>89мм, 4,5м длина, 2 лопасть</t>
  </si>
  <si>
    <t>89мм, 5м длина, 2 лопасть</t>
  </si>
  <si>
    <t>108мм, 2,5м длина, 1 лопасть</t>
  </si>
  <si>
    <t>108мм, 3м длина, 1 лопасть</t>
  </si>
  <si>
    <t>108мм, 3,5м длина, 1 лопасть</t>
  </si>
  <si>
    <t>108мм, 4м длина, 1 лопасть</t>
  </si>
  <si>
    <t>108мм, 4,5м длина, 1 лопасть</t>
  </si>
  <si>
    <t>108мм, 5м длина, 1 лопасть</t>
  </si>
  <si>
    <t>108мм, 2,5м длина, 2 лопасть</t>
  </si>
  <si>
    <t>108мм, 3м длина, 2 лопасть</t>
  </si>
  <si>
    <t>108мм, 3,5м длина, 2 лопасть</t>
  </si>
  <si>
    <t>108мм, 4м длина, 2 лопасть</t>
  </si>
  <si>
    <t>108мм, 4,5м длина, 2 лопасть</t>
  </si>
  <si>
    <t>108мм, 5м длина, 2 лопасть</t>
  </si>
  <si>
    <t>122мм, 2,5м длина, 1 лопасть</t>
  </si>
  <si>
    <t>122мм, 3м длина, 1 лопасть</t>
  </si>
  <si>
    <t>122мм, 3,5м длина, 1 лопасть</t>
  </si>
  <si>
    <t>122мм, 4м длина, 1 лопасть</t>
  </si>
  <si>
    <t>122мм, 4,5м длина, 1 лопасть</t>
  </si>
  <si>
    <t>122мм, 5м длина, 1 лопасть</t>
  </si>
  <si>
    <t>122мм, 2,5м длина, 2 лопасть</t>
  </si>
  <si>
    <t>122мм, 3м длина, 2 лопасть</t>
  </si>
  <si>
    <t>122мм, 3,5м длина, 2 лопасть</t>
  </si>
  <si>
    <t>122мм, 4м длина, 2 лопасть</t>
  </si>
  <si>
    <t>122мм, 4,5м длина, 2 лопасть</t>
  </si>
  <si>
    <t>122мм, 5м длина, 2 лопасть</t>
  </si>
  <si>
    <t>133мм, 2,5м длина, 1 лопасть</t>
  </si>
  <si>
    <t>133мм, 3м длина, 1 лопасть</t>
  </si>
  <si>
    <t>133мм, 3,5м длина, 1 лопасть</t>
  </si>
  <si>
    <t>133мм, 4м длина, 1 лопасть</t>
  </si>
  <si>
    <t>133мм, 4,5м длина, 1 лопасть</t>
  </si>
  <si>
    <t>133мм, 5м длина, 1 лопасть</t>
  </si>
  <si>
    <t>133мм, 2,5м длина, 2 лопасть</t>
  </si>
  <si>
    <t>133мм, 3м длина, 2 лопасть</t>
  </si>
  <si>
    <t>133мм, 3,5м длина, 2 лопасть</t>
  </si>
  <si>
    <t>133мм, 4м длина, 2 лопасть</t>
  </si>
  <si>
    <t>133мм, 4,5м длина, 2 лопасть</t>
  </si>
  <si>
    <t>133мм, 5м длина, 2 лопасть</t>
  </si>
  <si>
    <t>Оголовкок для свай 150*150</t>
  </si>
  <si>
    <t>Оголовкок для свай 200*200</t>
  </si>
  <si>
    <t>Оголовкок для свай 100*100</t>
  </si>
  <si>
    <t>Оголовкок для свай 250*250</t>
  </si>
  <si>
    <t>обвязка металлом</t>
  </si>
  <si>
    <t>Кирпич/Марка/Морозостойкость/Цвет</t>
  </si>
  <si>
    <t>цена 1 шт</t>
  </si>
  <si>
    <t>0,7НФ/150/75 Красный</t>
  </si>
  <si>
    <t>0,7НФ/150/75 Аренберг</t>
  </si>
  <si>
    <t>0,7НФ/150/75 Гляссе</t>
  </si>
  <si>
    <t>0,7НФ/150/75 Терракот</t>
  </si>
  <si>
    <t>0,7НФ/150/75 Шоколад</t>
  </si>
  <si>
    <t>0,7НФ/150/75 Темный Шоколад</t>
  </si>
  <si>
    <t>0,7НФ/150/75 Бавария Микс</t>
  </si>
  <si>
    <t>0,7НФ/150/50 Белый</t>
  </si>
  <si>
    <t>0,7НФ/150/50 Лотос</t>
  </si>
  <si>
    <t>0,7НФ/150/50 Камелот Гляссе</t>
  </si>
  <si>
    <t>0,7НФ/150/50 Камелот Терракот</t>
  </si>
  <si>
    <t>0,7НФ/150/50 Камелот Шоколад</t>
  </si>
  <si>
    <t>0,7НФ/150/50 Камелот Темный Шоколад</t>
  </si>
  <si>
    <t>0,7НФ/150/50 Камелот Микс</t>
  </si>
  <si>
    <t>1НФ/150/75 Красный</t>
  </si>
  <si>
    <t>1НФ/150/75 Аренберг</t>
  </si>
  <si>
    <t>1НФ/150/75 Эльц</t>
  </si>
  <si>
    <t>1НФ/150/75 Рочестер</t>
  </si>
  <si>
    <t>1НФ/150/75 Гляссе</t>
  </si>
  <si>
    <t>1НФ/150/75 Терракот</t>
  </si>
  <si>
    <t>1НФ/150/75 Шоколад</t>
  </si>
  <si>
    <t>1НФ/150/75 Темный Шоколад</t>
  </si>
  <si>
    <t>1НФ/150/75 Бавария микс</t>
  </si>
  <si>
    <t>1НФ/150/50 Белый</t>
  </si>
  <si>
    <t>1НФ/150/50 Лотос</t>
  </si>
  <si>
    <t>1НФ/150/50 Камелот Микс</t>
  </si>
  <si>
    <t>1НФ/150/50 Камелот Гляссе</t>
  </si>
  <si>
    <t>1НФ/150/50 Камелот Терракот</t>
  </si>
  <si>
    <t>1НФ/150/50 Камелот Шоколад</t>
  </si>
  <si>
    <t>1НФ/150/50 Камелот Темный  Шоколад</t>
  </si>
  <si>
    <t>1,4НФ/150/75 Красный</t>
  </si>
  <si>
    <t>1,4НФ/150/75 Аренберг</t>
  </si>
  <si>
    <t>1,4НФ/150/75 Гляссе</t>
  </si>
  <si>
    <t>1,4НФ/150/75 Терракот</t>
  </si>
  <si>
    <t>1,4НФ/150/75 Шоколад</t>
  </si>
  <si>
    <t>1,4НФ/150/75 Темный Шоколад</t>
  </si>
  <si>
    <t>1,4НФ/150/75 Бавария Микс</t>
  </si>
  <si>
    <t>1,4НФ/150/50 Белый</t>
  </si>
  <si>
    <t>1,4НФ/150/50 Лотос</t>
  </si>
  <si>
    <t>Ваш вариант</t>
  </si>
  <si>
    <t>Керамоблок 510х250х219 мм -    14,3 НФ</t>
  </si>
  <si>
    <t>Фанера, OSB</t>
  </si>
  <si>
    <t>Цена,м2</t>
  </si>
  <si>
    <t>Лист ГВЛВ 2500х1200х10 мм</t>
  </si>
  <si>
    <t>2500х1200</t>
  </si>
  <si>
    <t>Лист ГВЛВ 2500х1200х12,5 мм</t>
  </si>
  <si>
    <t>Лист ГВЛВ 1200х600х20 мм</t>
  </si>
  <si>
    <t>1200х600</t>
  </si>
  <si>
    <t>Лист СМЛ 2500х1200х6 мм</t>
  </si>
  <si>
    <t>Лист СМЛ 2500х1200х8 мм</t>
  </si>
  <si>
    <t>Лист СМЛ 2500х1200х10 мм</t>
  </si>
  <si>
    <t>Лист СМЛ 2500х1200х12 мм</t>
  </si>
  <si>
    <t>OSB-3 КНР (для наружных работ), 9мм</t>
  </si>
  <si>
    <t>1220х2440</t>
  </si>
  <si>
    <t>Kronospan - OSB-3, 9мм</t>
  </si>
  <si>
    <t>1250х2500</t>
  </si>
  <si>
    <t>OSB-3 КНР (для наружных работ), 12мм</t>
  </si>
  <si>
    <t>Kronospan - OSB-3, 12мм</t>
  </si>
  <si>
    <t>Kronospan - OSB-3, 15мм</t>
  </si>
  <si>
    <t>Kronospan - OSB-3, 18мм</t>
  </si>
  <si>
    <t>Kronospan - OSB-3, 22мм</t>
  </si>
  <si>
    <t>Egger \ OSB-3, 10мм</t>
  </si>
  <si>
    <t>Egger \ OSB-3, 15мм</t>
  </si>
  <si>
    <t>Egger \ OSB-3, 18мм</t>
  </si>
  <si>
    <t xml:space="preserve">Фанера Хвойная, марка ФСФ, 9 мм </t>
  </si>
  <si>
    <t xml:space="preserve">Фанера Хвойная, марка ФСФ, 6,5 мм </t>
  </si>
  <si>
    <t xml:space="preserve">Фанера Хвойная, марка ФСФ, 12 мм </t>
  </si>
  <si>
    <t xml:space="preserve">Фанера Хвойная, марка ФСФ, 15 мм </t>
  </si>
  <si>
    <t xml:space="preserve">Фанера Хвойная, марка ФСФ, 18 мм </t>
  </si>
  <si>
    <t xml:space="preserve">Фанера Хвойная, марка ФСФ, 21 мм </t>
  </si>
  <si>
    <t xml:space="preserve">Фанера Хвойная, марка ФСФ, 24 мм </t>
  </si>
  <si>
    <t xml:space="preserve">Фанера Хвойная, марка ФСФ, 27 мм </t>
  </si>
  <si>
    <t>Фанера Хвойная, марка ФСФ, 30 мм</t>
  </si>
  <si>
    <t>Фанера Ламинированная влагостойкая, 10 мм</t>
  </si>
  <si>
    <t>Россия\Береза</t>
  </si>
  <si>
    <t>Фанера Ламинированная влагостойкая, 12 мм</t>
  </si>
  <si>
    <t xml:space="preserve">Фанера Ламинированная влагостойкая, 15 мм </t>
  </si>
  <si>
    <t xml:space="preserve">Фанера Ламинированная влагостойкая, 18 мм </t>
  </si>
  <si>
    <t>КНР (тополь)</t>
  </si>
  <si>
    <t xml:space="preserve">Фанера Ламинированная влагостойкая, 12 мм </t>
  </si>
  <si>
    <t xml:space="preserve">  КНР \OSB</t>
  </si>
  <si>
    <t xml:space="preserve">Фанера Ламинированная влагостойкая, 20 мм </t>
  </si>
  <si>
    <t xml:space="preserve">Фанера Березовая марка ФК - влагостойкая,  4 мм </t>
  </si>
  <si>
    <t xml:space="preserve">IV / IV </t>
  </si>
  <si>
    <t xml:space="preserve">Фанера Березовая марка ФК - влагостойкая,  6,5 мм </t>
  </si>
  <si>
    <t xml:space="preserve">Фанера Березовая марка ФК - влагостойкая,  8 мм </t>
  </si>
  <si>
    <t xml:space="preserve">Фанера Березовая марка ФК - влагостойкая,  9 мм </t>
  </si>
  <si>
    <t>Фанера Березовая марка ФК - влагостойкая,  10 мм</t>
  </si>
  <si>
    <t xml:space="preserve">Фанера Березовая марка ФК - влагостойкая,  12 мм </t>
  </si>
  <si>
    <t xml:space="preserve">Фанера Березовая марка ФК - влагостойкая,  15 мм </t>
  </si>
  <si>
    <t>IV / IV</t>
  </si>
  <si>
    <t xml:space="preserve">Фанера Березовая марка ФК - влагостойкая,  18 мм </t>
  </si>
  <si>
    <t xml:space="preserve">Фанера Березовая марка ФК - влагостойкая,  21 мм </t>
  </si>
  <si>
    <t xml:space="preserve">Фанера Березовая марка ФК - влагостойкая,  30 мм </t>
  </si>
  <si>
    <t>Отопление водяное</t>
  </si>
  <si>
    <t>Труба теплого пола 1</t>
  </si>
  <si>
    <t>Труба теплого пола 2</t>
  </si>
  <si>
    <t>Труба теплого пола 3</t>
  </si>
  <si>
    <t>Труба теплого пола 4</t>
  </si>
  <si>
    <t>Труба теплого пола 5</t>
  </si>
  <si>
    <t>Труба теплого пола 6</t>
  </si>
  <si>
    <t>Труба теплого пола 7</t>
  </si>
  <si>
    <t>Труба теплого пола 8</t>
  </si>
  <si>
    <t>Труба теплого пола 9</t>
  </si>
  <si>
    <t>Коллектор 1</t>
  </si>
  <si>
    <t>Коллектор 2</t>
  </si>
  <si>
    <t>Коллектор 3</t>
  </si>
  <si>
    <t>Коллектор 4</t>
  </si>
  <si>
    <t>Коллектор 5</t>
  </si>
  <si>
    <t>Коллектор 6</t>
  </si>
  <si>
    <t>Коллектор 7</t>
  </si>
  <si>
    <t>Коллектор 8</t>
  </si>
  <si>
    <t>Труба дренажная/канализационная</t>
  </si>
  <si>
    <t>Труба гофрированная одностенная d 63</t>
  </si>
  <si>
    <t>Труба гофрированная одностенная d 90</t>
  </si>
  <si>
    <t>Труба гофрированная одностенная d110</t>
  </si>
  <si>
    <t>Труба гофрированная одностенная d160</t>
  </si>
  <si>
    <t xml:space="preserve">Труба гофрированная одностенная d200 </t>
  </si>
  <si>
    <t>Труба дренажная d63мм с перфорацией, в фильтре</t>
  </si>
  <si>
    <t>труба дренажная d90 с перфорацией, в фильтре</t>
  </si>
  <si>
    <t>труба дренажная d110 с перфорацией, в фильтре</t>
  </si>
  <si>
    <t>труба дренажная d160 с перфорацией, в фильтре</t>
  </si>
  <si>
    <t>труба дренажная d200 с перфорацией, в фильтре</t>
  </si>
  <si>
    <t>Труба дренажная двухслойная d110 с перфорацией без фильтра</t>
  </si>
  <si>
    <t>труба дренажная двухслойная d110 с перфорацией в фильтре</t>
  </si>
  <si>
    <t>Труба дренажная двухслойная d160 с перфорацией без фильтра</t>
  </si>
  <si>
    <t>труба дренажная двухслойная d160 с перфорацией, в фильтре</t>
  </si>
  <si>
    <t>труба дренажная двухслойная d200 с перфорацией, без фильтра</t>
  </si>
  <si>
    <t>труба дренажная двухслойная d200 с перфорацией, в фильтре</t>
  </si>
  <si>
    <t>Труба канализационная D110</t>
  </si>
  <si>
    <t>Дренажный колодец</t>
  </si>
  <si>
    <t>Дренажный колодец D300</t>
  </si>
  <si>
    <t>Дренажный колодец D400</t>
  </si>
  <si>
    <t>Дренажный колодец D500</t>
  </si>
  <si>
    <t>Дренажный колодец D600</t>
  </si>
  <si>
    <t>Металлочерепица</t>
  </si>
  <si>
    <t>Карнизная планка</t>
  </si>
  <si>
    <t>Торцевая планка</t>
  </si>
  <si>
    <t>Конек</t>
  </si>
  <si>
    <t>Ендова нижняя</t>
  </si>
  <si>
    <t>Ендова верхняя</t>
  </si>
  <si>
    <t>Планка примыкания</t>
  </si>
  <si>
    <t>Кровельный саморез</t>
  </si>
  <si>
    <t>Ондулин</t>
  </si>
  <si>
    <t>Крепеж для ондулина</t>
  </si>
  <si>
    <t>Мягкая кровля</t>
  </si>
  <si>
    <t>Рядовая черепица</t>
  </si>
  <si>
    <t>Металл оцинк защита (карниз)</t>
  </si>
  <si>
    <t>Подкладочный ковер</t>
  </si>
  <si>
    <t>Карнизная самоклеющаяся черепица</t>
  </si>
  <si>
    <t>Спец ковер ендова нижняя</t>
  </si>
  <si>
    <t>Коньковой элемент</t>
  </si>
  <si>
    <t>Планка премыкания</t>
  </si>
  <si>
    <t>Гвозди для крепления подкладочного ковра</t>
  </si>
  <si>
    <t>Гвозди для крепления черепицы</t>
  </si>
  <si>
    <t>Клей для монтажа черепицы</t>
  </si>
  <si>
    <t>Водосточная система</t>
  </si>
  <si>
    <t>желоб</t>
  </si>
  <si>
    <t>отвод</t>
  </si>
  <si>
    <t>труба водосточная</t>
  </si>
  <si>
    <t>заглушка для желоба</t>
  </si>
  <si>
    <t>соеденитель для желоба</t>
  </si>
  <si>
    <t>кронштейн для желоба</t>
  </si>
  <si>
    <t>переход из желоба в трубу</t>
  </si>
  <si>
    <t>лента дельта мульти бэнд</t>
  </si>
  <si>
    <t>лента дельта sb-60</t>
  </si>
  <si>
    <t>проходка кровельная, канализационная</t>
  </si>
  <si>
    <t>проходка кровельная, вентиляционная</t>
  </si>
  <si>
    <t>проодка кровельная, труба котел</t>
  </si>
  <si>
    <t>Септик с утепленной канализацией</t>
  </si>
  <si>
    <t>Наименование</t>
  </si>
  <si>
    <t>ед изм</t>
  </si>
  <si>
    <t>дно бетонное, диаметр 1м.п.</t>
  </si>
  <si>
    <t>дно бетонное, диаметр 1,5м.п.</t>
  </si>
  <si>
    <t>дно бетонное, диаметр 2м.п.</t>
  </si>
  <si>
    <t>дно бетонное, диаметр 3м.п.</t>
  </si>
  <si>
    <t>кольцо бетонное, диаметр 1м.п.</t>
  </si>
  <si>
    <t>кольцо бетонное, диаметр 1,5м.п.</t>
  </si>
  <si>
    <t>кольцо бетонное, диаметр 2м.п.</t>
  </si>
  <si>
    <t>кольцо бетонное, диаметр 3м.п.</t>
  </si>
  <si>
    <t>крышка бетонная, диаметр 1м.п.</t>
  </si>
  <si>
    <t>крышка бетонная, диаметр 1,5м.п.</t>
  </si>
  <si>
    <t>крышка бетонная, диаметр 2м.п.</t>
  </si>
  <si>
    <t>крышка бетонная, диаметр 3м.п.</t>
  </si>
  <si>
    <t>Люк для крышки пластиковый</t>
  </si>
  <si>
    <t>Люк для крышки чугунный</t>
  </si>
  <si>
    <t>Скорлупа для утепления канализационной трубы</t>
  </si>
  <si>
    <t>Горловина для септика бетонная</t>
  </si>
  <si>
    <t xml:space="preserve">Скотч </t>
  </si>
  <si>
    <t>Электрика</t>
  </si>
  <si>
    <t>Нет кабеля</t>
  </si>
  <si>
    <t>Кабель ВВГнг(А)-LS 2х2,5 0,66</t>
  </si>
  <si>
    <t>Кабель ВВГнг(А)-LS 2х1,5 0,66</t>
  </si>
  <si>
    <t>Кабель ВВГнг(А)-LS 3х1,5 0,66</t>
  </si>
  <si>
    <t>Кабель ВВГнг(А)-LS 3х2,5 0,66</t>
  </si>
  <si>
    <t>Кабель ВВГнг(А)-LS 3х4 0,66</t>
  </si>
  <si>
    <t>Нет гофры</t>
  </si>
  <si>
    <t>Труба ПВХ гофрировонная гибкая 16</t>
  </si>
  <si>
    <t>Труба ПВХ гофрировонная гибкая 20</t>
  </si>
  <si>
    <t>Труба ПВХ гофрировонная гибкая 25</t>
  </si>
  <si>
    <t>Труба ПВХ гофрировонная гибкая 32</t>
  </si>
  <si>
    <t>Труба ПВХ гофрировонная гибкая 40</t>
  </si>
  <si>
    <t>Труба ПВХ гофрировонная гибкая 50</t>
  </si>
  <si>
    <t>Труба ПВХ гофрировонная гибкая 63</t>
  </si>
  <si>
    <t>Труба ПВХ гофрировонная жесткая 16</t>
  </si>
  <si>
    <t>Труба ПВХ гофрировонная жесткая 20</t>
  </si>
  <si>
    <t>Труба ПВХ гофрировонная жесткая 25</t>
  </si>
  <si>
    <t>Труба ПВХ гофрировонная жесткая 32</t>
  </si>
  <si>
    <t>Труба ПВХ гофрировонная жесткая 40</t>
  </si>
  <si>
    <t>Труба ПВХ гофрировонная жесткая 50</t>
  </si>
  <si>
    <t>Труба ПВХ гофрировонная жесткая 63</t>
  </si>
  <si>
    <t>Металлорукав гофра 10мм</t>
  </si>
  <si>
    <t>Металлорукав гофра 12мм</t>
  </si>
  <si>
    <t>Металлорукав гофра 15мм</t>
  </si>
  <si>
    <t>Металлорукав гофра 118мм</t>
  </si>
  <si>
    <t>Металлорукав гофра 20мм</t>
  </si>
  <si>
    <t>Металлорукав гофра 22мм</t>
  </si>
  <si>
    <t>Металлорукав гофра 25мм</t>
  </si>
  <si>
    <t>Металлорукав гофра 32мм</t>
  </si>
  <si>
    <t>крепления для гофры</t>
  </si>
  <si>
    <t>саморез для крепления гофры</t>
  </si>
  <si>
    <t>Коробка распределения</t>
  </si>
  <si>
    <t>Вага</t>
  </si>
  <si>
    <t>Щиток электрический</t>
  </si>
  <si>
    <t>автомат, 3 полюса, 32амп</t>
  </si>
  <si>
    <t>автомат, 1 полюс, 16амп</t>
  </si>
  <si>
    <t>автомат, 1 полюс, 25 амп</t>
  </si>
  <si>
    <t>Коробка электрическая</t>
  </si>
  <si>
    <t>Розетка 1</t>
  </si>
  <si>
    <t>Розетка 2</t>
  </si>
  <si>
    <t>Розетка 3</t>
  </si>
  <si>
    <t>Розетка 4</t>
  </si>
  <si>
    <t>Розетка 5</t>
  </si>
  <si>
    <t>Выключатель 1</t>
  </si>
  <si>
    <t>Выключатель 2</t>
  </si>
  <si>
    <t>Выключатель 3</t>
  </si>
  <si>
    <t>Выключатель 4</t>
  </si>
  <si>
    <t>Выключатель 5</t>
  </si>
  <si>
    <t>Отопление радиаторное, холодное и горячее водоснабжение</t>
  </si>
  <si>
    <t>труба диам 25/32 отопление</t>
  </si>
  <si>
    <t>соеденители для трубы</t>
  </si>
  <si>
    <t>уголок 90 град</t>
  </si>
  <si>
    <t>радиаторы, 1 секция</t>
  </si>
  <si>
    <t>комплектующие для радиаторов</t>
  </si>
  <si>
    <t>кран американка ду 25/32 для радиаторов</t>
  </si>
  <si>
    <t>кран гайка/резьба ду 25/32</t>
  </si>
  <si>
    <t>труба диам 20 вода</t>
  </si>
  <si>
    <t>комплектующие для хол и гор водоснаб</t>
  </si>
  <si>
    <t>Скважина</t>
  </si>
  <si>
    <t>земляные работы</t>
  </si>
  <si>
    <t>бурение</t>
  </si>
  <si>
    <t>насос малыш</t>
  </si>
  <si>
    <t>шланг для насоса</t>
  </si>
  <si>
    <t>тросик для насоса</t>
  </si>
  <si>
    <t>изолента</t>
  </si>
  <si>
    <t>рул</t>
  </si>
  <si>
    <t>гидроаккумулятор, 80л</t>
  </si>
  <si>
    <t>автоматика</t>
  </si>
  <si>
    <t>пнд труба</t>
  </si>
  <si>
    <t>скорлупа утепления двойная</t>
  </si>
  <si>
    <t>скважинный адаптер</t>
  </si>
  <si>
    <t>Котельная</t>
  </si>
  <si>
    <t>котел</t>
  </si>
  <si>
    <t>бойлер</t>
  </si>
  <si>
    <t>гребенка</t>
  </si>
  <si>
    <t>насос на отопление</t>
  </si>
  <si>
    <t>насос на горячее водоснабжение</t>
  </si>
  <si>
    <t>датчик давления</t>
  </si>
  <si>
    <t>сбросной клапан</t>
  </si>
  <si>
    <t>труба, черная ду 32</t>
  </si>
  <si>
    <t>угол ду 32</t>
  </si>
  <si>
    <t>бочонок ду 32</t>
  </si>
  <si>
    <t>резьба ду 32</t>
  </si>
  <si>
    <t>переод с ду 32на 20</t>
  </si>
  <si>
    <t>электроды, пачка</t>
  </si>
  <si>
    <t>лен</t>
  </si>
  <si>
    <t>рулон</t>
  </si>
  <si>
    <t>ОКНА и ДВЕРИ в ДОМЕ</t>
  </si>
  <si>
    <t>францкзские окна</t>
  </si>
  <si>
    <t xml:space="preserve">окна   </t>
  </si>
  <si>
    <t>подоконник</t>
  </si>
  <si>
    <t>направляющие для откосов внутр</t>
  </si>
  <si>
    <t>откосы внутр</t>
  </si>
  <si>
    <t>уголок для откосов внутр</t>
  </si>
  <si>
    <t>отлив</t>
  </si>
  <si>
    <t>откосы нар</t>
  </si>
  <si>
    <t>направляющие для откосов нар</t>
  </si>
  <si>
    <t>уголок для откосов нар</t>
  </si>
  <si>
    <t>ветроизоляция окон</t>
  </si>
  <si>
    <t>пароизоляция окон</t>
  </si>
  <si>
    <t>крепления</t>
  </si>
  <si>
    <t>Французские окна</t>
  </si>
  <si>
    <t>анкерный болт для крепления окно фр</t>
  </si>
  <si>
    <t>пластины для крепления</t>
  </si>
  <si>
    <t>Двери входные</t>
  </si>
  <si>
    <t>двери в котельную</t>
  </si>
  <si>
    <t>Мансардные окна Velux OPTIMA</t>
  </si>
  <si>
    <t>Размеры</t>
  </si>
  <si>
    <t>Окно</t>
  </si>
  <si>
    <t>оклад</t>
  </si>
  <si>
    <t>CR02 55X78 </t>
  </si>
  <si>
    <t>CR04 55X98</t>
  </si>
  <si>
    <t>FR04 66X98</t>
  </si>
  <si>
    <t>FR06 66X118</t>
  </si>
  <si>
    <t>MR04 78X98</t>
  </si>
  <si>
    <t>MR06 78X118</t>
  </si>
  <si>
    <t>MR08 78X140</t>
  </si>
  <si>
    <t>MR10 78X160</t>
  </si>
  <si>
    <t>PR06 94X118</t>
  </si>
  <si>
    <t>PR08 94X140</t>
  </si>
  <si>
    <t>SR06 114X118</t>
  </si>
  <si>
    <t>SR08 114X140</t>
  </si>
  <si>
    <t>Лестница деревянная</t>
  </si>
  <si>
    <t>наименование</t>
  </si>
  <si>
    <t>ступени хвоя</t>
  </si>
  <si>
    <t>площадка хвоя</t>
  </si>
  <si>
    <t>столб под площадку, 2м</t>
  </si>
  <si>
    <t>столб обвязка перил 1 и 2 этажа</t>
  </si>
  <si>
    <t>балясина 80*80, первая</t>
  </si>
  <si>
    <t>тетева, 3м.п.</t>
  </si>
  <si>
    <t>крепления для ступеней, болт</t>
  </si>
  <si>
    <t>крепления для площадки</t>
  </si>
  <si>
    <t>поручни</t>
  </si>
  <si>
    <t>балясины</t>
  </si>
  <si>
    <t>Отделка внешняя</t>
  </si>
  <si>
    <t>кирпич облицовочный</t>
  </si>
  <si>
    <t>сайдинг виниловый</t>
  </si>
  <si>
    <t>доборные элементы для винил сайдинга</t>
  </si>
  <si>
    <t>торцевая планка винил</t>
  </si>
  <si>
    <t>стартовый профиль для сайдинга</t>
  </si>
  <si>
    <t>сайдинг металлический</t>
  </si>
  <si>
    <t>доборные элементы для метал сайдинга</t>
  </si>
  <si>
    <t>имитация бруса</t>
  </si>
  <si>
    <t>планкен</t>
  </si>
  <si>
    <t>крепления для планкена, змейка</t>
  </si>
  <si>
    <t>камень искуственный</t>
  </si>
  <si>
    <t xml:space="preserve">клей для камня </t>
  </si>
  <si>
    <t>отлив металлический</t>
  </si>
  <si>
    <t>камень природный</t>
  </si>
  <si>
    <t>Нет гидроизоляции жидкой</t>
  </si>
  <si>
    <t>Гидроизоляция жидкая резина 1</t>
  </si>
  <si>
    <t>Гидроизоляция жидкая резина 2</t>
  </si>
  <si>
    <t>Гидроизоляция жидкая резина 3</t>
  </si>
  <si>
    <t>Отделка внутренняя</t>
  </si>
  <si>
    <t>комнаты стены</t>
  </si>
  <si>
    <t>ГКЛ, 12мм</t>
  </si>
  <si>
    <t>профиль 60/27/3000</t>
  </si>
  <si>
    <t>профиль 27/28/3000</t>
  </si>
  <si>
    <t>подвес прямой</t>
  </si>
  <si>
    <t>саморез металл/металл, 13мм</t>
  </si>
  <si>
    <t>саморез гкл/металл, 25мм</t>
  </si>
  <si>
    <t>грунтовка, 10л</t>
  </si>
  <si>
    <t>шпаклевка для швов, 25кг</t>
  </si>
  <si>
    <t>шпаклевка финишная, 25кг</t>
  </si>
  <si>
    <t>серпянка для швов, 50м.п.</t>
  </si>
  <si>
    <t>обои</t>
  </si>
  <si>
    <t>клей обойный</t>
  </si>
  <si>
    <t>краска для стен, 10л</t>
  </si>
  <si>
    <t>блокхаус</t>
  </si>
  <si>
    <t>вагонка</t>
  </si>
  <si>
    <t>подсистема, брусок</t>
  </si>
  <si>
    <t>уголок крепежный</t>
  </si>
  <si>
    <t>гвозди/саморезы для крепления подсистемы</t>
  </si>
  <si>
    <t>гвозди/саморезы для крепления</t>
  </si>
  <si>
    <t xml:space="preserve"> комнаты потолок</t>
  </si>
  <si>
    <t>ГКЛ, 9мм</t>
  </si>
  <si>
    <t>краска для потолков, 10л</t>
  </si>
  <si>
    <t>багет 1мп</t>
  </si>
  <si>
    <t>шпаклевка для багета, 5 кг</t>
  </si>
  <si>
    <t>краска для багета, 5 л</t>
  </si>
  <si>
    <t>наждачная бумага финишная</t>
  </si>
  <si>
    <t>натяжной потолок</t>
  </si>
  <si>
    <t xml:space="preserve"> комнаты пол</t>
  </si>
  <si>
    <t>подложка под покрытие</t>
  </si>
  <si>
    <t>линолеум</t>
  </si>
  <si>
    <t>ламинат</t>
  </si>
  <si>
    <t>уголки, расходные материалы</t>
  </si>
  <si>
    <t>плинтус</t>
  </si>
  <si>
    <t>кафель</t>
  </si>
  <si>
    <t>клей для кафеля, 25кг</t>
  </si>
  <si>
    <t>крестики, 100шт</t>
  </si>
  <si>
    <t>затирка для швов</t>
  </si>
  <si>
    <t>санузел/ванная</t>
  </si>
  <si>
    <t>кафель стены</t>
  </si>
  <si>
    <t>кафель потолок</t>
  </si>
  <si>
    <t>кафель пол</t>
  </si>
  <si>
    <t>крестики, 100 шт</t>
  </si>
  <si>
    <t>стеновые панели пластик стены</t>
  </si>
  <si>
    <t>стеновые панели пластик потолок</t>
  </si>
  <si>
    <t>скобы для крепления панелей, 1000шт/уп</t>
  </si>
  <si>
    <t xml:space="preserve">Двери межкомнатные </t>
  </si>
  <si>
    <t xml:space="preserve">двери межкомнатные </t>
  </si>
  <si>
    <t>пена монтажная для дверей</t>
  </si>
  <si>
    <t xml:space="preserve">порожки металлические </t>
  </si>
  <si>
    <t>отбойник для дверей</t>
  </si>
  <si>
    <t>коробка для дверей</t>
  </si>
  <si>
    <t>наличник на дверь, комплект</t>
  </si>
  <si>
    <t xml:space="preserve">Бумага наждачная </t>
  </si>
  <si>
    <t>Нет наждачной бумаги</t>
  </si>
  <si>
    <t>м</t>
  </si>
  <si>
    <t>Бумага наждачная № 63 F(30)</t>
  </si>
  <si>
    <t>Бумага наждачная № 40</t>
  </si>
  <si>
    <t>Бумага наждачная № 32 F(50)</t>
  </si>
  <si>
    <t>Бумага наждачная № 20 F(70) 900 мм</t>
  </si>
  <si>
    <t>Бумага наждачная № 12 F(100)</t>
  </si>
  <si>
    <t>Бумага наждачная № 10 F(120)</t>
  </si>
  <si>
    <t>Бумага наждачная № 8 F(150)</t>
  </si>
  <si>
    <t>Бумага наждачная № 4 F(320)</t>
  </si>
  <si>
    <t>Г-образный металлический профиль</t>
  </si>
  <si>
    <t>Г-образный профиль 40*30, 9мм</t>
  </si>
  <si>
    <t>Г-образный профиль 40*40, 9мм</t>
  </si>
  <si>
    <t>Г-образный профиль 40*50, 9мм</t>
  </si>
  <si>
    <t>Г-образный профиль 40*60, 9мм</t>
  </si>
  <si>
    <t>Г-образный профиль 40*30, 12мм</t>
  </si>
  <si>
    <t>Г-образный профиль 40*40, 12мм</t>
  </si>
  <si>
    <t>Г-образный профиль 40*50, 12мм</t>
  </si>
  <si>
    <t>Г-образный профиль 40*60, 12мм</t>
  </si>
  <si>
    <t>Нет кронштейна</t>
  </si>
  <si>
    <t>Фасадный кронштейн КК 50</t>
  </si>
  <si>
    <t>Фасадный кронштейн КК 60</t>
  </si>
  <si>
    <t>Фасадный кронштейн КК 90</t>
  </si>
  <si>
    <t>Фасадный кронштейн КК 100</t>
  </si>
  <si>
    <t>Фасадный кронштейн КК 120</t>
  </si>
  <si>
    <t>Фасадный кронштейн КК 140</t>
  </si>
  <si>
    <t>Фасадный кронштейн КК 160</t>
  </si>
  <si>
    <t>Фасадный кронштейн КК 180</t>
  </si>
  <si>
    <t>Фасадный кронштейн КК 200</t>
  </si>
  <si>
    <t>Фасадный кронштейн КК 220</t>
  </si>
  <si>
    <t>Фасадный кронштейн КК 240</t>
  </si>
  <si>
    <t>Плоский шифер</t>
  </si>
  <si>
    <t>Нет плоского шифера</t>
  </si>
  <si>
    <t>Плоский шифер 6 мм</t>
  </si>
  <si>
    <t>Плоский шифер 8 мм</t>
  </si>
  <si>
    <t>Плоский шифер 9 мм</t>
  </si>
  <si>
    <t>Плоский шифер 10 мм</t>
  </si>
  <si>
    <t>Плоский шифер 12 мм</t>
  </si>
  <si>
    <t>Грунтовки, краски, лаки</t>
  </si>
  <si>
    <t>Нет грунтовки</t>
  </si>
  <si>
    <t>Грунт  1</t>
  </si>
  <si>
    <t>Грунт  2</t>
  </si>
  <si>
    <t>Нет пропитки</t>
  </si>
  <si>
    <t>"Тонерол" Антисептик  бесцветный  1л</t>
  </si>
  <si>
    <t>"Тонерол" Антисептик  дуб  1л</t>
  </si>
  <si>
    <t>"Тонерол" Антисептик  махагон  1л</t>
  </si>
  <si>
    <t>"Тонерол" Антисептик  орегон  1л</t>
  </si>
  <si>
    <t>"Тонерол" Антисептик  орех  1л</t>
  </si>
  <si>
    <t>"Тонерол" Антисептик  палисандр  1л</t>
  </si>
  <si>
    <t>"Тонерол" Антисептик  сосна  1л</t>
  </si>
  <si>
    <t>"Тонерол" Антисептик  тик  1л</t>
  </si>
  <si>
    <t>"Радугамалер" Антисептик  бесцветный 1 л</t>
  </si>
  <si>
    <t>"Радугамалер" Антисептик  сосна 1 л</t>
  </si>
  <si>
    <t>"Радугамалер" Антисептик  дуб 1 л</t>
  </si>
  <si>
    <t>"Радугамалер" Антисептик  орех 1 л</t>
  </si>
  <si>
    <t>"Радугамалер" Антисептик  калужница 1 л</t>
  </si>
  <si>
    <t>"Радугамалер" Антисептик  палисандр 1 л</t>
  </si>
  <si>
    <t>"Радугамалер" Антисептик  орегон 1 л</t>
  </si>
  <si>
    <t>"Радугамалер" Антисептик  махагон 1 л</t>
  </si>
  <si>
    <t>"Профилюкс" Антисептик PROPITEX бесцветный  1л</t>
  </si>
  <si>
    <t>"Профилюкс" Антисептик PROPITEX дуб  1л</t>
  </si>
  <si>
    <t>"Профилюкс" Антисептик PROPITEX калужница  1л</t>
  </si>
  <si>
    <t>"Профилюкс" Антисептик PROPITEX махагон  1л</t>
  </si>
  <si>
    <t>"Профилюкс" Антисептик PROPITEX орегон  1л</t>
  </si>
  <si>
    <t>"Профилюкс" Антисептик PROPITEX орех  1л</t>
  </si>
  <si>
    <t>"Профилюкс" Антисептик PROPITEX палисандр  1л</t>
  </si>
  <si>
    <t>"Профилюкс" Антисептик PROPITEX рябина  1л</t>
  </si>
  <si>
    <t>"Профилюкс" Антисептик PROPITEX сосна  1л</t>
  </si>
  <si>
    <t>"Профилюкс" Антисептик PROPITEX тик  1л</t>
  </si>
  <si>
    <t>"Tikkurila" Антисептик"ВалтиКолорЭкстра" льняным маслом, 1л</t>
  </si>
  <si>
    <t>Нет лака</t>
  </si>
  <si>
    <t>Лак для поверхностей 1</t>
  </si>
  <si>
    <t>Лак для поверхностей 2</t>
  </si>
  <si>
    <t>Грунтовка для внутренних работ 1</t>
  </si>
  <si>
    <t>Грунтовка для внутренних работ 2</t>
  </si>
  <si>
    <t>Нет краски</t>
  </si>
  <si>
    <t>Краска для стен внутренних 1</t>
  </si>
  <si>
    <t>Краска для стен внутренних 2</t>
  </si>
  <si>
    <t>Краска для потолка 1</t>
  </si>
  <si>
    <t>Краска для потолка 2</t>
  </si>
  <si>
    <t>Декоративная штукатурка и компоненты</t>
  </si>
  <si>
    <t>Нет штукатурки</t>
  </si>
  <si>
    <t>Декоративная штукатурка кароед 2 мм</t>
  </si>
  <si>
    <t>Декоративная штукатурка кароед 3 мм</t>
  </si>
  <si>
    <t>Декоративная штукатурка кароед серая 2 мм</t>
  </si>
  <si>
    <t>Декоративная штукатурка кароед шуба 3 мм</t>
  </si>
  <si>
    <t>Сетка штукатурная ПВС 40 Оцинкованная рулон</t>
  </si>
  <si>
    <t>Штукатурка для наружних работ</t>
  </si>
  <si>
    <t>Работы</t>
  </si>
  <si>
    <t>Монтаж плит ЖБИ</t>
  </si>
  <si>
    <t>Монтаж опалубки</t>
  </si>
  <si>
    <t>Укладка пленки гидроизоляционной</t>
  </si>
  <si>
    <t>Армирование перекрытия/плиты</t>
  </si>
  <si>
    <t>армирование фундамента ленты</t>
  </si>
  <si>
    <t>м.п</t>
  </si>
  <si>
    <t>армирование хомутов в ленте</t>
  </si>
  <si>
    <t>армирование свай скелет из арматуры</t>
  </si>
  <si>
    <t>армирование отмостки</t>
  </si>
  <si>
    <t>Заливка бетоном перекрытия/плиты</t>
  </si>
  <si>
    <t>Монтаж перекрытий из бруса</t>
  </si>
  <si>
    <t>Монтаж перекрытий Сип-панели</t>
  </si>
  <si>
    <t>Монтаж перекрытий из сухой доски</t>
  </si>
  <si>
    <t>Монтаж перекрытий из двутавровой балки</t>
  </si>
  <si>
    <t>Монтаж перекрестного пола</t>
  </si>
  <si>
    <t>Монтаж черновой пол</t>
  </si>
  <si>
    <t>Монтаж утеплителя перекрытия</t>
  </si>
  <si>
    <t>Монтаж утеплителя стен наружних</t>
  </si>
  <si>
    <t>Монтаж ветроизоляции перекрытий</t>
  </si>
  <si>
    <t>Монтаж пароизоляции перекрытий</t>
  </si>
  <si>
    <t>разбивка осей фундамента</t>
  </si>
  <si>
    <t>сборка опалубки</t>
  </si>
  <si>
    <t>разборка опалубки</t>
  </si>
  <si>
    <t>настил пленки</t>
  </si>
  <si>
    <t>укладка утеплителя под плиту</t>
  </si>
  <si>
    <t>укладка утеплителя под отмостка</t>
  </si>
  <si>
    <t>Обрезка винтовых свай по невелиру</t>
  </si>
  <si>
    <t>Наварка оголовка</t>
  </si>
  <si>
    <t>настил гидроизола</t>
  </si>
  <si>
    <t>Земляные работы</t>
  </si>
  <si>
    <t>трамбовка песок</t>
  </si>
  <si>
    <t>трамбовка пгс</t>
  </si>
  <si>
    <t>трамбовка скальник</t>
  </si>
  <si>
    <t>приемка бетона</t>
  </si>
  <si>
    <t>утепление фундамента</t>
  </si>
  <si>
    <t>утепление отмостки</t>
  </si>
  <si>
    <t>кладка сетки</t>
  </si>
  <si>
    <t>пробное забуривание</t>
  </si>
  <si>
    <t>монтаж свай в ручную</t>
  </si>
  <si>
    <t>монтаж свай гидравликой</t>
  </si>
  <si>
    <t>монтаж оголовков</t>
  </si>
  <si>
    <t>обвязка металлом свай</t>
  </si>
  <si>
    <t>заливка бетоном свай</t>
  </si>
  <si>
    <t>заливка бетоном отмостки</t>
  </si>
  <si>
    <t>укладка теп. Пола</t>
  </si>
  <si>
    <t>монтаж канализации</t>
  </si>
  <si>
    <t>укладка геотекстиля</t>
  </si>
  <si>
    <t>укладка дренажа</t>
  </si>
  <si>
    <t>монтаж дренажного колодца</t>
  </si>
  <si>
    <t>монтаж коллектора</t>
  </si>
  <si>
    <t>монтаж демпферная лента</t>
  </si>
  <si>
    <t>обработка праймер</t>
  </si>
  <si>
    <t>гидроизоляция стен</t>
  </si>
  <si>
    <t>Кладка блоков ФБС</t>
  </si>
  <si>
    <t>монтаж обвязочного бруса</t>
  </si>
  <si>
    <t>обработка мастикой</t>
  </si>
  <si>
    <t>монтаж наружних стен сиппанели</t>
  </si>
  <si>
    <t>Монтаж несущих перегородок сип панели</t>
  </si>
  <si>
    <t>Монтаж перегородок сип панели</t>
  </si>
  <si>
    <t>монтаж покрытия кровли</t>
  </si>
  <si>
    <t>Монтаж горизонтальной обрешетки</t>
  </si>
  <si>
    <t>Монтаж вертикальной обрешетки</t>
  </si>
  <si>
    <t>монтаж стен каркаса</t>
  </si>
  <si>
    <t>Монтаж несущих перегородок</t>
  </si>
  <si>
    <t>Монтаж перегородок</t>
  </si>
  <si>
    <t>монтаж osb/фанера наруж стены</t>
  </si>
  <si>
    <t>монтаж osb/фанера перегородки</t>
  </si>
  <si>
    <t>монтаж osb/фанера пол</t>
  </si>
  <si>
    <t>монтаж osb/фанера потолок</t>
  </si>
  <si>
    <t>Монтаж вентиляционного зазора</t>
  </si>
  <si>
    <t>Монтаж технологического зазора</t>
  </si>
  <si>
    <t>утепление стен дома каркасного</t>
  </si>
  <si>
    <t>утепление перегородок каркасного дома</t>
  </si>
  <si>
    <t>монтаж ветроизоляции стен</t>
  </si>
  <si>
    <t>монтаж пароизоляции стен</t>
  </si>
  <si>
    <t>Каменные дома</t>
  </si>
  <si>
    <t>кладка газобетона несущие стены</t>
  </si>
  <si>
    <t>кладка газобетона несущие перегородки</t>
  </si>
  <si>
    <t>кладка газобетона перегородки</t>
  </si>
  <si>
    <t>кладка пенобетона несущие стены</t>
  </si>
  <si>
    <t>кладка пенобетона несущие перегородки</t>
  </si>
  <si>
    <t>кладка пенобетона перегородки</t>
  </si>
  <si>
    <t>кладка кирпича</t>
  </si>
  <si>
    <t>кладка перегородок из кирпича</t>
  </si>
  <si>
    <t>изготовление и монтаж перемычек для окон и дверей</t>
  </si>
  <si>
    <t>Замешивание раствора</t>
  </si>
  <si>
    <t>Армирование стен наружних и перегородок</t>
  </si>
  <si>
    <t>Установка опалубки для сейсмопояса</t>
  </si>
  <si>
    <t>Армирование сейсмопояса</t>
  </si>
  <si>
    <t>Заливка бетоном сейсмопояса</t>
  </si>
  <si>
    <t>утепление стен снаружи дома</t>
  </si>
  <si>
    <t>Деревянные дома</t>
  </si>
  <si>
    <t>кладка бруса</t>
  </si>
  <si>
    <t>монтаж черновой пол</t>
  </si>
  <si>
    <t>окосячка проемов, м.п.</t>
  </si>
  <si>
    <t>кладка Дикого леса</t>
  </si>
  <si>
    <t>кладка Оцилиндрованного вревна</t>
  </si>
  <si>
    <t>кладка Профилированного бруса</t>
  </si>
  <si>
    <t>кладка Клееного бруса</t>
  </si>
  <si>
    <t>обработка торцов на брусе</t>
  </si>
  <si>
    <t>Монтаж накладки на перила</t>
  </si>
  <si>
    <t>Обаботка огнебиозащитой</t>
  </si>
  <si>
    <t>Пропитка стен внешних</t>
  </si>
  <si>
    <t>Пропитка внутенних стен</t>
  </si>
  <si>
    <t>Шлифовка стен дома</t>
  </si>
  <si>
    <t>Окна</t>
  </si>
  <si>
    <t>монтаж окон</t>
  </si>
  <si>
    <t>монтаж подоконника</t>
  </si>
  <si>
    <t>монтаж откосов внутренних</t>
  </si>
  <si>
    <t>монтаж направл внутренних откосов</t>
  </si>
  <si>
    <t>монтаж уголков внутренних откосов</t>
  </si>
  <si>
    <t>монтаж отлива</t>
  </si>
  <si>
    <t>монтаж откосов внешних</t>
  </si>
  <si>
    <t>монтаж направляющих внешних откосов</t>
  </si>
  <si>
    <t>монтаж уголков внешних откосов</t>
  </si>
  <si>
    <t>монтаж ветроизоляции</t>
  </si>
  <si>
    <t>монтаж пароизоляции</t>
  </si>
  <si>
    <t>монтаж французского окна</t>
  </si>
  <si>
    <t>Монтаж наличника</t>
  </si>
  <si>
    <t>Мансардные окна</t>
  </si>
  <si>
    <t>монтаж окон мансардных</t>
  </si>
  <si>
    <t xml:space="preserve">Кровля </t>
  </si>
  <si>
    <t>монтаж мауэрлат</t>
  </si>
  <si>
    <t>монтаж стропил</t>
  </si>
  <si>
    <t>обрешетка</t>
  </si>
  <si>
    <t>контробеш</t>
  </si>
  <si>
    <t>мембрана</t>
  </si>
  <si>
    <t>пароизоляц</t>
  </si>
  <si>
    <t>утеплитель</t>
  </si>
  <si>
    <t>Монтаж металлочерепицы</t>
  </si>
  <si>
    <t>Монтаж ондулина</t>
  </si>
  <si>
    <t>карнизная планка</t>
  </si>
  <si>
    <t>торцевая планка</t>
  </si>
  <si>
    <t>ветровая доска</t>
  </si>
  <si>
    <t>желоб водосточный</t>
  </si>
  <si>
    <t>ендова внутр/наружн</t>
  </si>
  <si>
    <t>конек</t>
  </si>
  <si>
    <t>Монтаж фанеры/osb</t>
  </si>
  <si>
    <t>монтаж подкладочного ковра</t>
  </si>
  <si>
    <t>Монтаж мягкой кровли</t>
  </si>
  <si>
    <t>Монтаж планки примыкания</t>
  </si>
  <si>
    <t>Отделка снаружи</t>
  </si>
  <si>
    <t>стены</t>
  </si>
  <si>
    <t>кладка кирпича облицов</t>
  </si>
  <si>
    <t>монтаж подсистемы</t>
  </si>
  <si>
    <t>сайдинг металл</t>
  </si>
  <si>
    <t>камень</t>
  </si>
  <si>
    <t>окрашивание поверхности</t>
  </si>
  <si>
    <t>лакирование пов-ти</t>
  </si>
  <si>
    <t>монтаж плоский шифер</t>
  </si>
  <si>
    <t>Монтаж евровагонка</t>
  </si>
  <si>
    <t>Монтаж вагонка штиль</t>
  </si>
  <si>
    <t>Монтаж софт лайн</t>
  </si>
  <si>
    <t>Монтаж блокхаус</t>
  </si>
  <si>
    <t>Оштукатуривание поверхности, подготовка</t>
  </si>
  <si>
    <t>Наклейка сетки</t>
  </si>
  <si>
    <t>Нанесение декоративной штукатурки</t>
  </si>
  <si>
    <t>Гидроизоляция рулонная</t>
  </si>
  <si>
    <t>цоколь</t>
  </si>
  <si>
    <t>монтаж отлив</t>
  </si>
  <si>
    <t>сайдинг металл сайдинг</t>
  </si>
  <si>
    <t>монтаж камень природ</t>
  </si>
  <si>
    <t>монтаж камень искуст-ый</t>
  </si>
  <si>
    <t>карнизы</t>
  </si>
  <si>
    <t>сайдинг</t>
  </si>
  <si>
    <t>монтаж леса стрительные</t>
  </si>
  <si>
    <t>отделка внутренняя</t>
  </si>
  <si>
    <t>монтаж гкл стены</t>
  </si>
  <si>
    <t>шпаклевка швов стены</t>
  </si>
  <si>
    <t>шпаклевка финишная стены</t>
  </si>
  <si>
    <t>оклейка обои</t>
  </si>
  <si>
    <t>покраска стен</t>
  </si>
  <si>
    <t>потолок</t>
  </si>
  <si>
    <t>монтаж гкл потолок</t>
  </si>
  <si>
    <t>шпаклевка швов потолок</t>
  </si>
  <si>
    <t>шпаклевка финишная пот</t>
  </si>
  <si>
    <t>окраска потолка</t>
  </si>
  <si>
    <t>багем монтаж</t>
  </si>
  <si>
    <t>багет шпаклевка</t>
  </si>
  <si>
    <t>багет покраска</t>
  </si>
  <si>
    <t>пол</t>
  </si>
  <si>
    <t>подложка</t>
  </si>
  <si>
    <t>панели пластик стены</t>
  </si>
  <si>
    <t>панели пластик потолок</t>
  </si>
  <si>
    <t>двери межкомнатный</t>
  </si>
  <si>
    <t>установка дверей</t>
  </si>
  <si>
    <t>монтаж коробки</t>
  </si>
  <si>
    <t>монтаж наличников</t>
  </si>
  <si>
    <t>монтаж порожков</t>
  </si>
  <si>
    <t>монтаж отбойников</t>
  </si>
  <si>
    <t>Монтаж лестницы в доме</t>
  </si>
  <si>
    <t>цена1</t>
  </si>
  <si>
    <t>монтаж кабеля</t>
  </si>
  <si>
    <t>монтаж гофры</t>
  </si>
  <si>
    <t>монтаж коробок распределения</t>
  </si>
  <si>
    <t>монтаж коробок розеток</t>
  </si>
  <si>
    <t>монтаж коробок выключателей</t>
  </si>
  <si>
    <t>монтаж Щитка</t>
  </si>
  <si>
    <t>установка розеток</t>
  </si>
  <si>
    <t>установка выключателей</t>
  </si>
  <si>
    <t>Сверление стен для скрытой проводки</t>
  </si>
  <si>
    <t>Отопление</t>
  </si>
  <si>
    <t>монтаж трубы</t>
  </si>
  <si>
    <t>установка радиаторов</t>
  </si>
  <si>
    <t xml:space="preserve">обустройство  </t>
  </si>
  <si>
    <t xml:space="preserve">контроль за земляными </t>
  </si>
  <si>
    <t>контроль за бурением</t>
  </si>
  <si>
    <t>установка скважинного адаптера</t>
  </si>
  <si>
    <t>установка гидроаккумулятора</t>
  </si>
  <si>
    <t>монтаж автоматики</t>
  </si>
  <si>
    <t>прокладка пнд с утеплением</t>
  </si>
  <si>
    <t>прокачка скважины</t>
  </si>
  <si>
    <t>Септик</t>
  </si>
  <si>
    <t>монтаж дна</t>
  </si>
  <si>
    <t>монтаж колец</t>
  </si>
  <si>
    <t>монтаж крышки</t>
  </si>
  <si>
    <t>монтаж люка</t>
  </si>
  <si>
    <t>м/ж утепленной  канализации</t>
  </si>
  <si>
    <t>бетонирование септика</t>
  </si>
  <si>
    <t>Монтаж горловины для септика</t>
  </si>
  <si>
    <t>котел установка</t>
  </si>
  <si>
    <t>бойлер установка</t>
  </si>
  <si>
    <t>гребенка установка</t>
  </si>
  <si>
    <t>насос установка на отопл</t>
  </si>
  <si>
    <t>насос установка на гвс</t>
  </si>
  <si>
    <t>монтаж сбросного клапана</t>
  </si>
  <si>
    <t>монтаж датчика</t>
  </si>
  <si>
    <t>труба обвязка</t>
  </si>
  <si>
    <t>монтаж веранды/крыльцо</t>
  </si>
  <si>
    <t>монтаж лаги, перекрытия веранды</t>
  </si>
  <si>
    <t>монтаж OSB пол</t>
  </si>
  <si>
    <t>Монтаж перил</t>
  </si>
  <si>
    <t>ЛСТК доп.</t>
  </si>
  <si>
    <t>Монтаж обрешетки потолок</t>
  </si>
  <si>
    <t>Монтаж профлист потолок</t>
  </si>
  <si>
    <t>Монтаж обрешетки пол</t>
  </si>
  <si>
    <t>Монтаж профлист пол</t>
  </si>
  <si>
    <t>Монтаж перекрытий ЛСТК</t>
  </si>
  <si>
    <t>Лестница</t>
  </si>
  <si>
    <t>Монтаж бетонной лестницы</t>
  </si>
  <si>
    <t>Монтаж готовой бетонной лестницы 1</t>
  </si>
  <si>
    <t>Монтаж готовой бетонной лестницы 2</t>
  </si>
  <si>
    <t>Монтаж готовой бетонной лестницы 3</t>
  </si>
  <si>
    <t>Монтаж готовой бетонной лестницы 4</t>
  </si>
  <si>
    <t>Монтаж готовой бетонной лестницы 5</t>
  </si>
  <si>
    <t>Монтаж металической лестницы 1</t>
  </si>
  <si>
    <t>Монтаж металической лестницы 2</t>
  </si>
  <si>
    <t>Монтаж металической лестницы 3</t>
  </si>
  <si>
    <t>Монтаж металической лестницы 4</t>
  </si>
  <si>
    <t>Забор</t>
  </si>
  <si>
    <t>Выбор покрытия забора</t>
  </si>
  <si>
    <t>лист</t>
  </si>
  <si>
    <t>Профлист полимерный, 0,4мм (высота 1,5 м)</t>
  </si>
  <si>
    <t>Профлист полимерный, 0,4мм (высота 1,7 м)</t>
  </si>
  <si>
    <t>Профлист полимерный, 0,4мм (высота 1,8 м)</t>
  </si>
  <si>
    <t>Профлист полимерный, 0,4мм (высота 2 м)</t>
  </si>
  <si>
    <t>Профлист полимерный, 0,4мм (высота 2,2 м)</t>
  </si>
  <si>
    <t>Профлист полимерный, 0,5мм (высота 1,5 м)</t>
  </si>
  <si>
    <t>Профлист полимерный, 0,5мм (высота 1,7 м)</t>
  </si>
  <si>
    <t>Профлист полимерный, 0,5мм (высота 1,8 м)</t>
  </si>
  <si>
    <t>Профлист полимерный, 0,5мм (высота 2 м)</t>
  </si>
  <si>
    <t>Профлист полимерный, 0,5мм (высота 2,2 м)</t>
  </si>
  <si>
    <t>Профлист NormanMP, 0,5 (высота 1,5 м)</t>
  </si>
  <si>
    <t>Профлист NormanMP, 0,5 (высота 1,7 м)</t>
  </si>
  <si>
    <t>Профлист NormanMP, 0,5 (высота 1,8 м)</t>
  </si>
  <si>
    <t>Профлист NormanMP, 0,5 (высота 2 м)</t>
  </si>
  <si>
    <t>Профлист NormanMP, 0,5 (высота 2,2 м)</t>
  </si>
  <si>
    <t>Профлист Ecosteel (высота 1,5 м)</t>
  </si>
  <si>
    <t>Профлист Ecosteel (высота 1,7 м)</t>
  </si>
  <si>
    <t>Профлист Ecosteel (высота 1,8 м)</t>
  </si>
  <si>
    <t>Профлист Ecosteel (высота 2 м)</t>
  </si>
  <si>
    <t>Профлист Ecosteel (высота 2,2 м)</t>
  </si>
  <si>
    <t>Профлист двухсторонний (высота 1,5 м)</t>
  </si>
  <si>
    <t>Профлист двухсторонний (высота 1,7 м)</t>
  </si>
  <si>
    <t>Профлист двухсторонний (высота 1,8 м)</t>
  </si>
  <si>
    <t>Профлист двухсторонний (высота 2 м)</t>
  </si>
  <si>
    <t>Профлист двухсторонний (высота 2,2 м)</t>
  </si>
  <si>
    <t>Профлист оцинкованный, 0,4мм (высота 1,5 м)</t>
  </si>
  <si>
    <t>Профлист оцинкованный, 0,4мм (высота 1,7 м)</t>
  </si>
  <si>
    <t>Профлист оцинкованный, 0,4мм (высота 1,8 м)</t>
  </si>
  <si>
    <t>Профлист оцинкованный, 0,4мм (высота 2 м)</t>
  </si>
  <si>
    <t>Профлист оцинкованный, 0,4мм (высота 2,2 м)</t>
  </si>
  <si>
    <t>Профлист оцинкованный, 0,45мм (высота 1,5 м)</t>
  </si>
  <si>
    <t>Профлист оцинкованный, 0,45мм (высота 1,7 м)</t>
  </si>
  <si>
    <t>Профлист оцинкованный, 0,45мм (высота 1,8 м)</t>
  </si>
  <si>
    <t>Профлист оцинкованный, 0,45мм (высота 2 м)</t>
  </si>
  <si>
    <t>Профлист оцинкованный, 0,45мм (высота 2,2 м)</t>
  </si>
  <si>
    <t>Обработка столбов и лаг:</t>
  </si>
  <si>
    <t>объем</t>
  </si>
  <si>
    <t>Грунтовка ГФ021</t>
  </si>
  <si>
    <t>Грунтовка 1</t>
  </si>
  <si>
    <t>Грунтовка 2</t>
  </si>
  <si>
    <t>Покраска Dali</t>
  </si>
  <si>
    <t>Покраска 1</t>
  </si>
  <si>
    <t>Покраска 2</t>
  </si>
  <si>
    <t>Горизонтали (лаги)</t>
  </si>
  <si>
    <t xml:space="preserve">2, Лаги проф. труба 40х20 мм </t>
  </si>
  <si>
    <t>Столбы для каркаса</t>
  </si>
  <si>
    <r>
      <rPr>
        <sz val="11"/>
        <color rgb="FF000000"/>
        <rFont val="HelveticaNeueCyr"/>
        <charset val="1"/>
      </rPr>
      <t>Столб проф. труба </t>
    </r>
    <r>
      <rPr>
        <b/>
        <sz val="11"/>
        <color rgb="FF000000"/>
        <rFont val="HelveticaNeueCyr"/>
        <charset val="1"/>
      </rPr>
      <t>60х60 мм h=2500 мм</t>
    </r>
  </si>
  <si>
    <r>
      <rPr>
        <sz val="11"/>
        <color rgb="FF000000"/>
        <rFont val="HelveticaNeueCyr"/>
        <charset val="1"/>
      </rPr>
      <t>Столб проф. труба </t>
    </r>
    <r>
      <rPr>
        <b/>
        <sz val="11"/>
        <color rgb="FF000000"/>
        <rFont val="HelveticaNeueCyr"/>
        <charset val="1"/>
      </rPr>
      <t>60х60 мм h=2700 мм</t>
    </r>
  </si>
  <si>
    <r>
      <rPr>
        <sz val="11"/>
        <color rgb="FF000000"/>
        <rFont val="HelveticaNeueCyr"/>
        <charset val="1"/>
      </rPr>
      <t>Столб проф. труба </t>
    </r>
    <r>
      <rPr>
        <b/>
        <sz val="11"/>
        <color rgb="FF000000"/>
        <rFont val="HelveticaNeueCyr"/>
        <charset val="1"/>
      </rPr>
      <t>60х60 мм h=2800 мм</t>
    </r>
  </si>
  <si>
    <r>
      <rPr>
        <sz val="11"/>
        <color rgb="FF000000"/>
        <rFont val="HelveticaNeueCyr"/>
        <charset val="1"/>
      </rPr>
      <t>Столб проф. труба </t>
    </r>
    <r>
      <rPr>
        <b/>
        <sz val="11"/>
        <color rgb="FF000000"/>
        <rFont val="HelveticaNeueCyr"/>
        <charset val="1"/>
      </rPr>
      <t>60х60 мм h=3000 мм</t>
    </r>
  </si>
  <si>
    <r>
      <rPr>
        <sz val="11"/>
        <color rgb="FF000000"/>
        <rFont val="HelveticaNeueCyr"/>
        <charset val="1"/>
      </rPr>
      <t>Столб проф. труба </t>
    </r>
    <r>
      <rPr>
        <b/>
        <sz val="11"/>
        <color rgb="FF000000"/>
        <rFont val="HelveticaNeueCyr"/>
        <charset val="1"/>
      </rPr>
      <t>60х60 мм h=3200 мм</t>
    </r>
  </si>
  <si>
    <r>
      <rPr>
        <sz val="11"/>
        <color rgb="FF000000"/>
        <rFont val="HelveticaNeueCyr"/>
        <charset val="1"/>
      </rPr>
      <t>Столб проф. труба 8</t>
    </r>
    <r>
      <rPr>
        <b/>
        <sz val="11"/>
        <color rgb="FF000000"/>
        <rFont val="HelveticaNeueCyr"/>
        <charset val="1"/>
      </rPr>
      <t>0х80 мм h=2500 мм</t>
    </r>
  </si>
  <si>
    <r>
      <rPr>
        <sz val="11"/>
        <color rgb="FF000000"/>
        <rFont val="HelveticaNeueCyr"/>
        <charset val="1"/>
      </rPr>
      <t>Столб проф. труба 8</t>
    </r>
    <r>
      <rPr>
        <b/>
        <sz val="11"/>
        <color rgb="FF000000"/>
        <rFont val="HelveticaNeueCyr"/>
        <charset val="1"/>
      </rPr>
      <t>0х80 мм h=2700 мм</t>
    </r>
  </si>
  <si>
    <r>
      <rPr>
        <sz val="11"/>
        <color rgb="FF000000"/>
        <rFont val="HelveticaNeueCyr"/>
        <charset val="1"/>
      </rPr>
      <t>Столб проф. труба 8</t>
    </r>
    <r>
      <rPr>
        <b/>
        <sz val="11"/>
        <color rgb="FF000000"/>
        <rFont val="HelveticaNeueCyr"/>
        <charset val="1"/>
      </rPr>
      <t>0х80 мм h=2800 мм</t>
    </r>
  </si>
  <si>
    <r>
      <rPr>
        <sz val="11"/>
        <color rgb="FF000000"/>
        <rFont val="HelveticaNeueCyr"/>
        <charset val="1"/>
      </rPr>
      <t>Столб проф. труба 8</t>
    </r>
    <r>
      <rPr>
        <b/>
        <sz val="11"/>
        <color rgb="FF000000"/>
        <rFont val="HelveticaNeueCyr"/>
        <charset val="1"/>
      </rPr>
      <t>0х80 мм h=3000 мм</t>
    </r>
  </si>
  <si>
    <r>
      <rPr>
        <sz val="11"/>
        <color rgb="FF000000"/>
        <rFont val="HelveticaNeueCyr"/>
        <charset val="1"/>
      </rPr>
      <t>Столб проф. труба 8</t>
    </r>
    <r>
      <rPr>
        <b/>
        <sz val="11"/>
        <color rgb="FF000000"/>
        <rFont val="HelveticaNeueCyr"/>
        <charset val="1"/>
      </rPr>
      <t>0х80 мм h=3200 мм</t>
    </r>
  </si>
  <si>
    <t>Бетон, h 1200 мм.</t>
  </si>
  <si>
    <t>Гравий</t>
  </si>
  <si>
    <t>Заглушка 60х60 пластиковая</t>
  </si>
  <si>
    <t>Заглушка 80х80 внешняя</t>
  </si>
  <si>
    <t>Крепление листа</t>
  </si>
  <si>
    <t>Саморезы 1</t>
  </si>
  <si>
    <t>Саморезы 2</t>
  </si>
  <si>
    <t>Саморезы 3</t>
  </si>
  <si>
    <t>Варота и колитки</t>
  </si>
  <si>
    <t>Сечение столбов, мм 80*80</t>
  </si>
  <si>
    <t>Сечение столбов, мм 100*100</t>
  </si>
  <si>
    <t>Распашные ворота</t>
  </si>
  <si>
    <t>Откатные ворота</t>
  </si>
  <si>
    <t>Калитка</t>
  </si>
  <si>
    <t>Фурнитура для ворот</t>
  </si>
  <si>
    <t>комплект 1</t>
  </si>
  <si>
    <t>комплект 2</t>
  </si>
  <si>
    <t>комплект 3</t>
  </si>
  <si>
    <t>Фурнитура для калитки</t>
  </si>
  <si>
    <t>Работы забор</t>
  </si>
  <si>
    <t>Установка забора из профнастильного листа</t>
  </si>
  <si>
    <t>Установка ворот</t>
  </si>
  <si>
    <t>Установка откатных ворот</t>
  </si>
  <si>
    <t>Установка калитки</t>
  </si>
  <si>
    <t>Установка замка на калитку</t>
  </si>
  <si>
    <t>Утрамбовка столба гравием</t>
  </si>
  <si>
    <t>Бетонирование столба</t>
  </si>
  <si>
    <t>Итого:</t>
  </si>
  <si>
    <t>Значения для полного расчета стоимости необходимо выбрать в ячейке с цветом</t>
  </si>
  <si>
    <t>Считать по эскизу, размерам</t>
  </si>
  <si>
    <t>Выбор типа строения по этажности</t>
  </si>
  <si>
    <t>1 полноценный этаж</t>
  </si>
  <si>
    <t>Выбор материала дома</t>
  </si>
  <si>
    <t>Кирпичный дом</t>
  </si>
  <si>
    <t>Основные размеры дома</t>
  </si>
  <si>
    <t>данные</t>
  </si>
  <si>
    <t>Ширина дома, А</t>
  </si>
  <si>
    <t>Длина дома, В</t>
  </si>
  <si>
    <t>Высота 1-го этажа, С</t>
  </si>
  <si>
    <t>Высота от перекрытий 0 эт до конька</t>
  </si>
  <si>
    <t>Аттиковая стена, мансардный этаж</t>
  </si>
  <si>
    <t>D</t>
  </si>
  <si>
    <t>Высота 2-го этажа, D</t>
  </si>
  <si>
    <t>Выбор строения по размерам боковых сторон</t>
  </si>
  <si>
    <t>Высота боковых стен дома одинаковая</t>
  </si>
  <si>
    <t>Если высота боковых стен разная</t>
  </si>
  <si>
    <t>Высота левой боковой стены 1-го этажа</t>
  </si>
  <si>
    <t>Высота правой боковой стены 1-го этажа</t>
  </si>
  <si>
    <t>Высота левой боковой стены 2-го этажа</t>
  </si>
  <si>
    <t>С</t>
  </si>
  <si>
    <t>Высота правой боковой стены 2-го этажа</t>
  </si>
  <si>
    <t>Выбор расположения конька</t>
  </si>
  <si>
    <t>Конек по центру дома</t>
  </si>
  <si>
    <t>Если конек не по центру дома</t>
  </si>
  <si>
    <t>Расстояние от левой стены дома до конька</t>
  </si>
  <si>
    <t>В</t>
  </si>
  <si>
    <t>Расстояние от правой боковой стены до конька</t>
  </si>
  <si>
    <t>А</t>
  </si>
  <si>
    <t>Перекрытие 0-го этажа, В/Ш</t>
  </si>
  <si>
    <t>шаг бруса</t>
  </si>
  <si>
    <t>Арматура</t>
  </si>
  <si>
    <t>шаг арм</t>
  </si>
  <si>
    <t>Нет перекрытия</t>
  </si>
  <si>
    <t>Арматура М10</t>
  </si>
  <si>
    <t>Перекрестный пол</t>
  </si>
  <si>
    <t>Нет перекрестного пола</t>
  </si>
  <si>
    <t>Черновой пол перекрытия 0 этажа</t>
  </si>
  <si>
    <t>Перекрытие 1-го этажа</t>
  </si>
  <si>
    <t>Черновой пол перекрытия 1 этажа</t>
  </si>
  <si>
    <t>Перекрытие 2-го этажа</t>
  </si>
  <si>
    <t>Арматура М12</t>
  </si>
  <si>
    <t>Черновой пол перекрытия 2 этажа</t>
  </si>
  <si>
    <t>Мембрана Folder Classic</t>
  </si>
  <si>
    <t>Пленка Delta-Reflex</t>
  </si>
  <si>
    <t>Транспорт для перекрытий</t>
  </si>
  <si>
    <t>ед.</t>
  </si>
  <si>
    <t>Воровайка</t>
  </si>
  <si>
    <t>расходные материалы перекрытие</t>
  </si>
  <si>
    <t>рублей</t>
  </si>
  <si>
    <t>ДАННЫЕ ДЛЯ РАСЧЕТА ПЕРЕКРЫТИЙ В ДОМЕ</t>
  </si>
  <si>
    <t>Не считать</t>
  </si>
  <si>
    <t>Окна/Проемы. Наружние стены</t>
  </si>
  <si>
    <t>ширина</t>
  </si>
  <si>
    <t xml:space="preserve">высота </t>
  </si>
  <si>
    <t>кол-во</t>
  </si>
  <si>
    <t>Окна, Двери</t>
  </si>
  <si>
    <t>Окна/Проемы. Наружние стены. Первый этаж</t>
  </si>
  <si>
    <t>Окна, Вариант 1, первый этаж</t>
  </si>
  <si>
    <t>Коэффициент увеличения/уменьшения стоимости материалов</t>
  </si>
  <si>
    <t>Окна, Вариант 2, первый этаж</t>
  </si>
  <si>
    <t>Коэффициент увеличения/уменьшения стоимости работ</t>
  </si>
  <si>
    <t>Окна, Вариант 3, первый этаж</t>
  </si>
  <si>
    <t>Выбрать Мансардные окна Velux</t>
  </si>
  <si>
    <t>Окна, Вариант 4, первый этаж</t>
  </si>
  <si>
    <t>Окна, Вариант 5, первый этаж</t>
  </si>
  <si>
    <t>Дверь на балкон , первый этаж</t>
  </si>
  <si>
    <t>Французское окно, Вариант 1</t>
  </si>
  <si>
    <t>Фрунцузское окно, Вариант 2</t>
  </si>
  <si>
    <t>Окна/Проемы. Наружние стены. Второй этаж</t>
  </si>
  <si>
    <t>Наименование работ</t>
  </si>
  <si>
    <t>Окна, Вариант 6, второй этаж</t>
  </si>
  <si>
    <t xml:space="preserve">окна  </t>
  </si>
  <si>
    <t>выбор</t>
  </si>
  <si>
    <t xml:space="preserve">Считать </t>
  </si>
  <si>
    <t>Окна, Вариант 7, второй этаж</t>
  </si>
  <si>
    <t>дверь на балкон</t>
  </si>
  <si>
    <t>Окна, Вариант 8, второй этаж</t>
  </si>
  <si>
    <t>подоконники</t>
  </si>
  <si>
    <t>Окна, Вариант 9, второй этаж</t>
  </si>
  <si>
    <t>откосы пластик</t>
  </si>
  <si>
    <t>Окна, Вариант 10, второй этаж</t>
  </si>
  <si>
    <t>откосы внешние металл</t>
  </si>
  <si>
    <t>Дверь на балкон , второй этаж</t>
  </si>
  <si>
    <t>отливы внешние металл</t>
  </si>
  <si>
    <t>Французские окна (в пол)</t>
  </si>
  <si>
    <t>Двери входные. Наружние стены</t>
  </si>
  <si>
    <t>двери входные</t>
  </si>
  <si>
    <t>Дверь входная. Вариант 1</t>
  </si>
  <si>
    <t>Дверь входная. Вариант 2</t>
  </si>
  <si>
    <t>Дверь входная. Вариант 3</t>
  </si>
  <si>
    <t>Двери межк-тные/Проемы. Перегородки</t>
  </si>
  <si>
    <t>Несущие перегородки. Первый этаж</t>
  </si>
  <si>
    <t>расходные материалы окна</t>
  </si>
  <si>
    <t>Дверь. Вариант 1, первый этаж</t>
  </si>
  <si>
    <t>Дверь. Вариант 2, первый этаж</t>
  </si>
  <si>
    <t>Проем без дверей Вариант 1, 1 этаж</t>
  </si>
  <si>
    <t>Простые перегородки. Первый этаж</t>
  </si>
  <si>
    <t>Дверь. Вариант 3, первый этаж</t>
  </si>
  <si>
    <t>Дверь. Вариант 4, первый этаж</t>
  </si>
  <si>
    <t>Проем без дверей Вариант 2, 1 этаж</t>
  </si>
  <si>
    <t>Несущие перегородки. Второй этаж</t>
  </si>
  <si>
    <t>Дверь. Вариант 5, второй этаж</t>
  </si>
  <si>
    <t>Дверь. Вариант 6, второй этаж</t>
  </si>
  <si>
    <t>Проем без дверей Вариант 3, 2 этаж</t>
  </si>
  <si>
    <t>Простые перегородки. Второй этаж</t>
  </si>
  <si>
    <t>Дверь. Вариант 7, второй этаж</t>
  </si>
  <si>
    <t>Дверь. Вариант 8, второй этаж</t>
  </si>
  <si>
    <t>Проем без дверей Вариант 4, 2 этаж</t>
  </si>
  <si>
    <t>ДАННЫЕ ДЛЯ РАСЧЕТА ОКОН/ПРОЕМОВ/ДВЕРЕЙ ВХОДНЫХ И МЕЖКОМНАТНЫХ</t>
  </si>
  <si>
    <t>Данные размеры ставим если этажи мансардные</t>
  </si>
  <si>
    <t>Данные для расчета Перегородок и основных перемычек фундамента</t>
  </si>
  <si>
    <t>длина, L</t>
  </si>
  <si>
    <t>Высота L1</t>
  </si>
  <si>
    <t>Высота L2</t>
  </si>
  <si>
    <t>перегородки 1 эт по оси X, перемычки фундамента</t>
  </si>
  <si>
    <t>Вид сверху 1-го этажа</t>
  </si>
  <si>
    <t>Вид сверху 2-го этажа</t>
  </si>
  <si>
    <t>Ширина дома</t>
  </si>
  <si>
    <t>перегородки 1 эт по оси Х</t>
  </si>
  <si>
    <t>перегородки 1 эт по оси Y, перемычки фундамента</t>
  </si>
  <si>
    <t>Y</t>
  </si>
  <si>
    <t>перегородки 1 эт по оси Y</t>
  </si>
  <si>
    <t>перегородки 2 эт по оси X, несущие</t>
  </si>
  <si>
    <t>X</t>
  </si>
  <si>
    <t>перегородки 2 эт по оси X</t>
  </si>
  <si>
    <t>L1</t>
  </si>
  <si>
    <t>L2</t>
  </si>
  <si>
    <t>перегородки 2 эт по оси Y, несущие</t>
  </si>
  <si>
    <t>L</t>
  </si>
  <si>
    <t>перегородка, если дом мансардный без перекрытия, ось Х</t>
  </si>
  <si>
    <t>перегородка, если дом мансардный без перекрытия, Ось Х</t>
  </si>
  <si>
    <t>перегородка, если дом мансардный без перекрытия, Ось Y</t>
  </si>
  <si>
    <t>перегородки 2 эт по оси Y</t>
  </si>
  <si>
    <t>Если дом с мансардным этажом, то необходимо поставить размеры перегородки, указанные на эскизе, L1, L2, в зависимости от выбора типа строения</t>
  </si>
  <si>
    <t>ДАННЫЕ ДЛЯ РАСЧЕТА ПЕРЕГОРОДОК И ПЕРЕМЫЧЕК ФУНДАМЕНТА В ДОМЕ</t>
  </si>
  <si>
    <t>Кровля односкатная</t>
  </si>
  <si>
    <t>Коэффициент расхода материала</t>
  </si>
  <si>
    <t>Коэффициент на работу</t>
  </si>
  <si>
    <t>Выбрать тип кровли односкатной, в какую сторону скат</t>
  </si>
  <si>
    <t>вариант1</t>
  </si>
  <si>
    <t>вариант2</t>
  </si>
  <si>
    <t>Материал для покрытия кровли</t>
  </si>
  <si>
    <t>Металлочерепица кровля</t>
  </si>
  <si>
    <t>Материал для мауэрлата</t>
  </si>
  <si>
    <t xml:space="preserve">Выпуск кровли карниз, J </t>
  </si>
  <si>
    <t>Выпуск кровли карниз, J1</t>
  </si>
  <si>
    <t>Вариант №1</t>
  </si>
  <si>
    <t>M1</t>
  </si>
  <si>
    <t>Выпуск кровли фронтон, M</t>
  </si>
  <si>
    <t>Выпуск кровли фронтон, M1</t>
  </si>
  <si>
    <t>Дополнительный скат №1</t>
  </si>
  <si>
    <t>J</t>
  </si>
  <si>
    <t>Дополнительный скат №2</t>
  </si>
  <si>
    <t>Если добавить колонну, выбрать материал</t>
  </si>
  <si>
    <t>Кол-во</t>
  </si>
  <si>
    <t>ширина дома</t>
  </si>
  <si>
    <t>M</t>
  </si>
  <si>
    <t>J1</t>
  </si>
  <si>
    <t>длина дома</t>
  </si>
  <si>
    <t>Материал для стропил</t>
  </si>
  <si>
    <t>Доска сухая, 200*50мм</t>
  </si>
  <si>
    <t>Материал для обрешетки</t>
  </si>
  <si>
    <t>Материал для контробрешетки</t>
  </si>
  <si>
    <t>Материал для монтажа мягкой кровли</t>
  </si>
  <si>
    <t>Вариант №2</t>
  </si>
  <si>
    <t>Материал для утепления кровли</t>
  </si>
  <si>
    <t>Труба канализационная</t>
  </si>
  <si>
    <t>Труба вентиляционная</t>
  </si>
  <si>
    <t>Труба для котла</t>
  </si>
  <si>
    <t>Материал для ветроизоляции</t>
  </si>
  <si>
    <t>Мембрана MD90</t>
  </si>
  <si>
    <t>Материал для пароизоляции</t>
  </si>
  <si>
    <t>Длина дома</t>
  </si>
  <si>
    <t>Мембрана Tyvek AirGuard Reflective</t>
  </si>
  <si>
    <t>Транспорт</t>
  </si>
  <si>
    <t>расходные материалы односкатная кровля</t>
  </si>
  <si>
    <t>КРОВЛЯ ОДНОСКАТНАЯ</t>
  </si>
  <si>
    <t>Кровля двускатная</t>
  </si>
  <si>
    <t>O</t>
  </si>
  <si>
    <t>Выпуск кровли карниз, J</t>
  </si>
  <si>
    <t>F</t>
  </si>
  <si>
    <t>низ низнего ската</t>
  </si>
  <si>
    <t>E</t>
  </si>
  <si>
    <t>аттиковая стена</t>
  </si>
  <si>
    <t>Если нужно добавить дополнительную кровлю</t>
  </si>
  <si>
    <t>верх нижгего ската</t>
  </si>
  <si>
    <t>высота фронтона</t>
  </si>
  <si>
    <t>высота конька</t>
  </si>
  <si>
    <t>угол</t>
  </si>
  <si>
    <t>град</t>
  </si>
  <si>
    <t>Пленка Д110 Стандарт</t>
  </si>
  <si>
    <t>Мембрана Tyvek AirGuard SD5</t>
  </si>
  <si>
    <t>расходные материалы двускатная кровля</t>
  </si>
  <si>
    <t>КРОВЛЯ ДВУСКАТНАЯ</t>
  </si>
  <si>
    <t>Кровля вальмовая</t>
  </si>
  <si>
    <t>длина конька кровли, O</t>
  </si>
  <si>
    <t>верх низа кровли</t>
  </si>
  <si>
    <t>низ конька</t>
  </si>
  <si>
    <t>H</t>
  </si>
  <si>
    <t>G</t>
  </si>
  <si>
    <t>угол1</t>
  </si>
  <si>
    <t>угол2</t>
  </si>
  <si>
    <t>N</t>
  </si>
  <si>
    <t>K</t>
  </si>
  <si>
    <t>расходные материалы вальмовая кровля</t>
  </si>
  <si>
    <t>КРОВЛЯ ВАЛЬМОВАЯ</t>
  </si>
  <si>
    <t>Кровля полувальмовая</t>
  </si>
  <si>
    <t>Кровля Полувальмовая</t>
  </si>
  <si>
    <t>Уклон бокового ската от аттиковой ст, J</t>
  </si>
  <si>
    <t>Выпуск кровли карниз, G</t>
  </si>
  <si>
    <t>Е</t>
  </si>
  <si>
    <t>Аттиковая стена</t>
  </si>
  <si>
    <t>Доска сырая, 150*50мм</t>
  </si>
  <si>
    <t>F1</t>
  </si>
  <si>
    <t>Мембраны  Tyvek Housewrap</t>
  </si>
  <si>
    <t>расходные материалы полувальмовая кровля</t>
  </si>
  <si>
    <t>КРОВЛЯ ПОЛУВАЛЬМОВАЯ</t>
  </si>
  <si>
    <t>Элементы кровли</t>
  </si>
  <si>
    <t>№1</t>
  </si>
  <si>
    <t>Брус естественной влажности, 100*100мм</t>
  </si>
  <si>
    <t>номер элемента</t>
  </si>
  <si>
    <t xml:space="preserve">ед.изм. </t>
  </si>
  <si>
    <t>№2</t>
  </si>
  <si>
    <t>Выбрать количество элементов</t>
  </si>
  <si>
    <t>Выпуск кровли карниз</t>
  </si>
  <si>
    <t>T</t>
  </si>
  <si>
    <t>R</t>
  </si>
  <si>
    <t>Выпуск кровли фронтон</t>
  </si>
  <si>
    <t>высота, Е</t>
  </si>
  <si>
    <t>высота, Е1</t>
  </si>
  <si>
    <t>Длина, U</t>
  </si>
  <si>
    <t>Ширина, K</t>
  </si>
  <si>
    <t>U</t>
  </si>
  <si>
    <t>длина конька без выпуска, O</t>
  </si>
  <si>
    <t>P1</t>
  </si>
  <si>
    <t>К</t>
  </si>
  <si>
    <t>расходные материалы элементы кровель</t>
  </si>
  <si>
    <t>ЭЛЕМЕНТЫ КРОВЛИ</t>
  </si>
  <si>
    <t>Пристройка к основной части дома</t>
  </si>
  <si>
    <t>Данные для расчета Пристройки</t>
  </si>
  <si>
    <t>Двускатная кровля</t>
  </si>
  <si>
    <t>вариант №1</t>
  </si>
  <si>
    <t>1 мансардный этаж</t>
  </si>
  <si>
    <t>ед. изм</t>
  </si>
  <si>
    <t>высота 1 эт</t>
  </si>
  <si>
    <t>Пристройка к фр-ну, выходит за размер дома</t>
  </si>
  <si>
    <t>высота 2 эт</t>
  </si>
  <si>
    <t>высота аттик ст</t>
  </si>
  <si>
    <t>вариант №2</t>
  </si>
  <si>
    <t>высота от перекр</t>
  </si>
  <si>
    <t>2 полноценных этажа</t>
  </si>
  <si>
    <t>ноль</t>
  </si>
  <si>
    <t>Пристр к боку дома</t>
  </si>
  <si>
    <t>лаги</t>
  </si>
  <si>
    <t>1 этаж</t>
  </si>
  <si>
    <t>вариант №3</t>
  </si>
  <si>
    <t>перекрытие 1 эт</t>
  </si>
  <si>
    <t>1 этаж + 2-ой мансардный</t>
  </si>
  <si>
    <t xml:space="preserve">Пристройка к фр-ну </t>
  </si>
  <si>
    <t>низ ската</t>
  </si>
  <si>
    <t>низ ската верх</t>
  </si>
  <si>
    <t>вариант №4</t>
  </si>
  <si>
    <t>верх ската конек</t>
  </si>
  <si>
    <t>низ ската конек</t>
  </si>
  <si>
    <t>Пристр к боку дома, выходит за размер дома</t>
  </si>
  <si>
    <t>перекрытие 2 эт</t>
  </si>
  <si>
    <t>высота перекр 2 эт</t>
  </si>
  <si>
    <t>аттик0</t>
  </si>
  <si>
    <t>Варианты пристройки</t>
  </si>
  <si>
    <t>№3</t>
  </si>
  <si>
    <t>№4</t>
  </si>
  <si>
    <t>Количество</t>
  </si>
  <si>
    <t xml:space="preserve">Выпуски кровли </t>
  </si>
  <si>
    <t>выпуск по скату 1</t>
  </si>
  <si>
    <t>выпуск по скату 2</t>
  </si>
  <si>
    <t>выпуск по фронтону 1</t>
  </si>
  <si>
    <t>выпуск по фронтону 2, односкатная кровля</t>
  </si>
  <si>
    <t>длина конька вальмовой кровли от стен дома</t>
  </si>
  <si>
    <t>Доска сухая калиброванная, 190*45мм</t>
  </si>
  <si>
    <t>Мембраны Tyvek Soft</t>
  </si>
  <si>
    <t>расходные материалы пристройки</t>
  </si>
  <si>
    <t>ПРИСТРОЙКА К ОСНОВНОЙ ЧАСТИ ДОМА</t>
  </si>
  <si>
    <t>Эркер</t>
  </si>
  <si>
    <t>Данные для расчета Эркера</t>
  </si>
  <si>
    <t>Этажность дома</t>
  </si>
  <si>
    <t>Ширина эркера, А</t>
  </si>
  <si>
    <t>Длина лицевой стены, L</t>
  </si>
  <si>
    <t>Длина боковой стены, К</t>
  </si>
  <si>
    <t>Высота 1-го этажа</t>
  </si>
  <si>
    <t>Высота 2-го этажа</t>
  </si>
  <si>
    <t>Высота от перекрытий 0 этажа до конька</t>
  </si>
  <si>
    <t>до конька</t>
  </si>
  <si>
    <t>длина выпуска кровли по скату</t>
  </si>
  <si>
    <t>L3</t>
  </si>
  <si>
    <t>длина первой ст</t>
  </si>
  <si>
    <t>боковая стена</t>
  </si>
  <si>
    <t>пер1э</t>
  </si>
  <si>
    <t>пол2э</t>
  </si>
  <si>
    <t>пер2э</t>
  </si>
  <si>
    <t>низ скат</t>
  </si>
  <si>
    <t>градус</t>
  </si>
  <si>
    <t>расходные материалы эркер</t>
  </si>
  <si>
    <t>ЭРКЕР</t>
  </si>
  <si>
    <t>Балкон внешний и внутри на 2-ом этаже дома</t>
  </si>
  <si>
    <t>Балконы</t>
  </si>
  <si>
    <t>Балкон внешний</t>
  </si>
  <si>
    <t>Вид сверху</t>
  </si>
  <si>
    <t>Размеры балкона</t>
  </si>
  <si>
    <t>балкон 1</t>
  </si>
  <si>
    <t>Количество балконов</t>
  </si>
  <si>
    <t>Длина Н14</t>
  </si>
  <si>
    <t>Ширина Н15</t>
  </si>
  <si>
    <t>Контур дома</t>
  </si>
  <si>
    <t>Высота балкона, без учета перекрытия, Н16</t>
  </si>
  <si>
    <t>Наружние стены</t>
  </si>
  <si>
    <t>Материал стен</t>
  </si>
  <si>
    <t>Вид кровельного покрытия сверху</t>
  </si>
  <si>
    <t>МатериалБревно</t>
  </si>
  <si>
    <t>Тип материала для стен</t>
  </si>
  <si>
    <t>Материал перекрытий</t>
  </si>
  <si>
    <t>Доска естественной влажности, 200*50мм</t>
  </si>
  <si>
    <t>Балкон</t>
  </si>
  <si>
    <t>Ширина Н1</t>
  </si>
  <si>
    <t>Длина Н1</t>
  </si>
  <si>
    <t>Балкон, который находится в черте площади дома</t>
  </si>
  <si>
    <t>Высота перил балкона</t>
  </si>
  <si>
    <t>Если высота боковых стен разная, конек или по центру дома или не по центру дома</t>
  </si>
  <si>
    <t>Считать балкон с левой стороны дома</t>
  </si>
  <si>
    <t>Считать балкон с правой стороны дома</t>
  </si>
  <si>
    <t>Материал для гидроизоляции, пол балкона</t>
  </si>
  <si>
    <t>Материал для пола, черновая отделка</t>
  </si>
  <si>
    <t>Материал для столбов</t>
  </si>
  <si>
    <t>Материал для перил</t>
  </si>
  <si>
    <t>Материал для прожилин</t>
  </si>
  <si>
    <t>Накладка на перила</t>
  </si>
  <si>
    <t>расходные материалы балкон</t>
  </si>
  <si>
    <t>БАЛКОНЫ В ДОМЕ</t>
  </si>
  <si>
    <t>Веранда/терраса открытая снаружи дома и в черте дома</t>
  </si>
  <si>
    <t>Веранда деревянная открытая</t>
  </si>
  <si>
    <t>коэффициент расхода материала</t>
  </si>
  <si>
    <t>коэффициент увеличения/уменьшения работ</t>
  </si>
  <si>
    <t>Считать веранду/террасу снаружи дома в 1-2 этажа</t>
  </si>
  <si>
    <t>Этажность</t>
  </si>
  <si>
    <t>Длина Н17</t>
  </si>
  <si>
    <t>Ширина Н18</t>
  </si>
  <si>
    <t>Высота Н19</t>
  </si>
  <si>
    <t>Высота Н20</t>
  </si>
  <si>
    <t>высота от перекрытия 0 этажа до конька, Е</t>
  </si>
  <si>
    <t>Вариант расчета с односкатной кровлей</t>
  </si>
  <si>
    <t>Выбрать фундамент для веранды</t>
  </si>
  <si>
    <t>ВинтовыеСваи</t>
  </si>
  <si>
    <t>выбрать тип свай, диаметр/длина/лопасти</t>
  </si>
  <si>
    <t>Н20</t>
  </si>
  <si>
    <t>Выбрать монтаж свай гидравлика или ручное</t>
  </si>
  <si>
    <t>обвязка металлом, 20/40/3000</t>
  </si>
  <si>
    <t>Заливка бетоном свай</t>
  </si>
  <si>
    <t>Н19</t>
  </si>
  <si>
    <t>Н17</t>
  </si>
  <si>
    <t>Н18</t>
  </si>
  <si>
    <t>Материал для перекрытия</t>
  </si>
  <si>
    <t>Материал для обвязки по периметру 0 эт.</t>
  </si>
  <si>
    <t>Материал для обвязки перекрытий 1-2 этажей</t>
  </si>
  <si>
    <t>Материал для дополнительных изделий</t>
  </si>
  <si>
    <t>Размеры для кровли</t>
  </si>
  <si>
    <t>Вариант расчета с двускатной кровлей</t>
  </si>
  <si>
    <t>Выберите тип кровли</t>
  </si>
  <si>
    <t>Считать веранду/террасу, на 1-ом этаже в черте дома</t>
  </si>
  <si>
    <t xml:space="preserve">Высота перил </t>
  </si>
  <si>
    <t xml:space="preserve">Количество столбов </t>
  </si>
  <si>
    <t>Материал для гидроизоляции, пол веранды</t>
  </si>
  <si>
    <t>Веранда</t>
  </si>
  <si>
    <t>Крепежные элементы</t>
  </si>
  <si>
    <t>расходные материалы веранда</t>
  </si>
  <si>
    <t>ВЕРАНДА В ДОМЕ</t>
  </si>
  <si>
    <t>Крыльцо</t>
  </si>
  <si>
    <t>Длина крыльца</t>
  </si>
  <si>
    <t>Ширина крыльца</t>
  </si>
  <si>
    <t>Высота от перекрытия до конька</t>
  </si>
  <si>
    <t>Высота до перекрытия кровли</t>
  </si>
  <si>
    <t>Выпуск кровли по карнизу</t>
  </si>
  <si>
    <t>Выпуск кровли по фронтону</t>
  </si>
  <si>
    <t>Длина конька для вальмовой пристройки</t>
  </si>
  <si>
    <t>Количество ступеней</t>
  </si>
  <si>
    <t>Размер ступеней</t>
  </si>
  <si>
    <t>Выбрать материал для столбов</t>
  </si>
  <si>
    <t>Односкатная кровля</t>
  </si>
  <si>
    <t>Доска сухая, 150*50мм</t>
  </si>
  <si>
    <t>Мембраны Tyvek Solid</t>
  </si>
  <si>
    <t>Выбрать фундамент для крыльца</t>
  </si>
  <si>
    <t>Вариант крыльца с вальмовой кровлей</t>
  </si>
  <si>
    <t>Материал для обвязки по периметру низ</t>
  </si>
  <si>
    <t>Материал для обвязки по периметру верх</t>
  </si>
  <si>
    <t>Расходные материалы крыльцо</t>
  </si>
  <si>
    <t>КРЫЛЬЦО</t>
  </si>
  <si>
    <t>Монтаж свай гидравлика</t>
  </si>
  <si>
    <t>Расходные материалы винтовые сваи</t>
  </si>
  <si>
    <t>ВИНТОВЫЕ СВАИ</t>
  </si>
  <si>
    <t>Свайноростверковый фундамент</t>
  </si>
  <si>
    <t>Данные для расчета фундамента</t>
  </si>
  <si>
    <t>Глубина ленты фундамента в грунте</t>
  </si>
  <si>
    <t>Высота фундамента над грунтом</t>
  </si>
  <si>
    <t>ширина ленточного фундамента</t>
  </si>
  <si>
    <t>Толщина отсыпки ПГС под лентой</t>
  </si>
  <si>
    <t>Ширина отсыпки ПГС под лентой</t>
  </si>
  <si>
    <t>Тип бетона для фундамента</t>
  </si>
  <si>
    <t>Доска для опалубки</t>
  </si>
  <si>
    <t>Арматура для основных нитей фундамента</t>
  </si>
  <si>
    <t>Арматура для хомутов фундамента</t>
  </si>
  <si>
    <t>шаг</t>
  </si>
  <si>
    <t>Вентиляция</t>
  </si>
  <si>
    <t>Утепление снаружи фундамента</t>
  </si>
  <si>
    <t>Сваи под ростверк</t>
  </si>
  <si>
    <t>диаметр свай</t>
  </si>
  <si>
    <t>длина свай</t>
  </si>
  <si>
    <t>Бетон для свай</t>
  </si>
  <si>
    <t>Отмостка фундамента</t>
  </si>
  <si>
    <t>Выбор</t>
  </si>
  <si>
    <t>ширина отмостки</t>
  </si>
  <si>
    <t>толщина отмостки</t>
  </si>
  <si>
    <t>Толщина отсыпки под отмостку пгс</t>
  </si>
  <si>
    <t>Ширина отсыпки под отмостку пгс</t>
  </si>
  <si>
    <t>Утепление отмостки</t>
  </si>
  <si>
    <t>Вид трубы отопления теплого пола</t>
  </si>
  <si>
    <t>Тип бетон для отмостки</t>
  </si>
  <si>
    <t>Тип коллектора</t>
  </si>
  <si>
    <t>Техника, необходимая для работ</t>
  </si>
  <si>
    <t>расходные материалы свайноростверковый фундамент</t>
  </si>
  <si>
    <t>СВАЙНОРСТВЕРКОВЫЙ ЛЕНТОЧНЫЙ ФУНДАМЕНТ</t>
  </si>
  <si>
    <t>Плита УШП, технология Дороселл</t>
  </si>
  <si>
    <t>Толщина отсыпки пгс</t>
  </si>
  <si>
    <t>Толщина отсыпки скальник</t>
  </si>
  <si>
    <t>Толщина отсыпки песок</t>
  </si>
  <si>
    <t>Выбрать утепление фундамента</t>
  </si>
  <si>
    <t>Нет утеплителя</t>
  </si>
  <si>
    <t>Толщина утепления под ребрами жест</t>
  </si>
  <si>
    <t>Толщина утепления в доме</t>
  </si>
  <si>
    <t>Толщина утепления периметр</t>
  </si>
  <si>
    <t>Тип бетона для плиты</t>
  </si>
  <si>
    <t>Ширина ребер жесткости, бетон</t>
  </si>
  <si>
    <t>Толщина ребер жесткости, бетон</t>
  </si>
  <si>
    <t>Толщина плиты в доме, бетон</t>
  </si>
  <si>
    <t>Тип арматуры для основных нитей ребер</t>
  </si>
  <si>
    <t>Тип арматуры для хомутов в ребрах жесткости</t>
  </si>
  <si>
    <t>Тип арматуры для основной сетки арматурной</t>
  </si>
  <si>
    <t>количество рядов арматурного каркаса</t>
  </si>
  <si>
    <t>Тип дренажной трубы</t>
  </si>
  <si>
    <t>Тип дренажных колодцев</t>
  </si>
  <si>
    <t>Канализация</t>
  </si>
  <si>
    <t>Ввод воды в дом</t>
  </si>
  <si>
    <t>Бетон для отмостки</t>
  </si>
  <si>
    <t>утепление</t>
  </si>
  <si>
    <t>Техника для работ</t>
  </si>
  <si>
    <t>расходные материалы плита ушп</t>
  </si>
  <si>
    <t>ПЛИТА УШП, ДОРОСЕЛЛ \ МОНОЛИТНАЯ ПЛИТА</t>
  </si>
  <si>
    <t>Цокольный этаж</t>
  </si>
  <si>
    <t>Длина Н21</t>
  </si>
  <si>
    <t>Длина Н22</t>
  </si>
  <si>
    <t>Высота Н23</t>
  </si>
  <si>
    <t>Перегородки оси X</t>
  </si>
  <si>
    <t>Перегородки оси Y</t>
  </si>
  <si>
    <t>Проемы, окна</t>
  </si>
  <si>
    <t>Х</t>
  </si>
  <si>
    <t>окна</t>
  </si>
  <si>
    <t>Двери</t>
  </si>
  <si>
    <t>Н23</t>
  </si>
  <si>
    <t>Ворота</t>
  </si>
  <si>
    <t>сейсмопояс</t>
  </si>
  <si>
    <t>Н22</t>
  </si>
  <si>
    <t>высота сейсмопояса</t>
  </si>
  <si>
    <t>Н21</t>
  </si>
  <si>
    <t>количество основных нитей арматуры</t>
  </si>
  <si>
    <t>шаг хомутов</t>
  </si>
  <si>
    <t>монолит стены</t>
  </si>
  <si>
    <t>доска для опалубки</t>
  </si>
  <si>
    <t>шаг арматурной сетки</t>
  </si>
  <si>
    <t>количество рядов арматурной сетки</t>
  </si>
  <si>
    <t>бетононасос</t>
  </si>
  <si>
    <t>лента под стены цоколя</t>
  </si>
  <si>
    <t>Высота фундамента</t>
  </si>
  <si>
    <t>Толщина доски для опалубки</t>
  </si>
  <si>
    <t>Количество прутков арматуры в ленте</t>
  </si>
  <si>
    <t>хаг хомутов арматурного каркаса</t>
  </si>
  <si>
    <t>стяжка цоколь</t>
  </si>
  <si>
    <t>Толщина плиты бетон</t>
  </si>
  <si>
    <t>Шаг сетки арматурной в плите</t>
  </si>
  <si>
    <t>количество слоев арматурной сетки</t>
  </si>
  <si>
    <t>Утепление наружних стен</t>
  </si>
  <si>
    <t>расходные материалы цокольный этаж</t>
  </si>
  <si>
    <t>ЦОКОЛЬНЫЙ ЭТАЖ</t>
  </si>
  <si>
    <t>Дома из леса</t>
  </si>
  <si>
    <t>Материал прямоугольного сечения</t>
  </si>
  <si>
    <t>А1</t>
  </si>
  <si>
    <t>A2</t>
  </si>
  <si>
    <t>Стены дома наружние</t>
  </si>
  <si>
    <t>B1</t>
  </si>
  <si>
    <t>B2</t>
  </si>
  <si>
    <t>47 ряд пер. 2-го этажа</t>
  </si>
  <si>
    <t>Перегородки несущие</t>
  </si>
  <si>
    <t>46 ряд</t>
  </si>
  <si>
    <t>45 ряд</t>
  </si>
  <si>
    <t>Перегородки простые</t>
  </si>
  <si>
    <t>44 ряд</t>
  </si>
  <si>
    <t>43 ряд</t>
  </si>
  <si>
    <t>Обвязочный брус, нижний венец</t>
  </si>
  <si>
    <t>42 ряд</t>
  </si>
  <si>
    <t>41 ряд</t>
  </si>
  <si>
    <t>40 ряд</t>
  </si>
  <si>
    <t>Материал круглого сечения</t>
  </si>
  <si>
    <t>39 ряд</t>
  </si>
  <si>
    <t>38 ряд</t>
  </si>
  <si>
    <t>37 ряд</t>
  </si>
  <si>
    <t>36 ряд</t>
  </si>
  <si>
    <t>35 ряд</t>
  </si>
  <si>
    <t>34 ряд</t>
  </si>
  <si>
    <t xml:space="preserve">33 ряд </t>
  </si>
  <si>
    <t>33 ряд</t>
  </si>
  <si>
    <t>32 ряд</t>
  </si>
  <si>
    <t>31 ряд</t>
  </si>
  <si>
    <t>31ряд</t>
  </si>
  <si>
    <t>30 ряд</t>
  </si>
  <si>
    <t>30ряд</t>
  </si>
  <si>
    <t>29 ряд</t>
  </si>
  <si>
    <t>29ряд</t>
  </si>
  <si>
    <t>В бревне выруб для кладки другого бревна</t>
  </si>
  <si>
    <t>28 ряд</t>
  </si>
  <si>
    <t>28ряд</t>
  </si>
  <si>
    <t>27 ряд</t>
  </si>
  <si>
    <t>27ряд</t>
  </si>
  <si>
    <t>Различные выпуски по длине в доме</t>
  </si>
  <si>
    <t>26 ряд</t>
  </si>
  <si>
    <t>26ряд</t>
  </si>
  <si>
    <t>Стандартные выпуски, размер</t>
  </si>
  <si>
    <t>25 ряд</t>
  </si>
  <si>
    <t>25ряд</t>
  </si>
  <si>
    <t>24 ряд пер. 1-го этажа</t>
  </si>
  <si>
    <t>24ряд перекрытие 1-го этажа</t>
  </si>
  <si>
    <t>Фронтоны выпуск</t>
  </si>
  <si>
    <t>23 ряд</t>
  </si>
  <si>
    <t>23ряд</t>
  </si>
  <si>
    <t>выпуск, ряд 33</t>
  </si>
  <si>
    <t>22 ряд</t>
  </si>
  <si>
    <t>22ряд</t>
  </si>
  <si>
    <t xml:space="preserve">выпуск, ряд 34 </t>
  </si>
  <si>
    <t>21 ряд</t>
  </si>
  <si>
    <t>21ряд</t>
  </si>
  <si>
    <t>выпуск, ряд 35</t>
  </si>
  <si>
    <t>20 ряд</t>
  </si>
  <si>
    <t>20ряд</t>
  </si>
  <si>
    <t>выпуск, ряд 36</t>
  </si>
  <si>
    <t>19 ряд</t>
  </si>
  <si>
    <t>19ряд</t>
  </si>
  <si>
    <t>нижний венец</t>
  </si>
  <si>
    <t>18 ряд</t>
  </si>
  <si>
    <t>18ряд</t>
  </si>
  <si>
    <t xml:space="preserve">17 ряд </t>
  </si>
  <si>
    <t>17ряд</t>
  </si>
  <si>
    <t>Доска для окосячки проемов наружних стен</t>
  </si>
  <si>
    <t>16 ряд</t>
  </si>
  <si>
    <t>16ряд</t>
  </si>
  <si>
    <t>15 ряд</t>
  </si>
  <si>
    <t>15ряд</t>
  </si>
  <si>
    <t>Доска для окосячки проемов перегородок несущих</t>
  </si>
  <si>
    <t>14 ряд</t>
  </si>
  <si>
    <t>14ряд</t>
  </si>
  <si>
    <t>Доска сухая, 100*50мм</t>
  </si>
  <si>
    <t>13 ряд</t>
  </si>
  <si>
    <t>13ряд</t>
  </si>
  <si>
    <t>Доска для окосячки проемов перегородок простых</t>
  </si>
  <si>
    <t>12 ряд</t>
  </si>
  <si>
    <t>12ряд</t>
  </si>
  <si>
    <t>Доска сухая калиброванная, 100*45мм</t>
  </si>
  <si>
    <t>11 ряд</t>
  </si>
  <si>
    <t>11ряд</t>
  </si>
  <si>
    <t>Брусок для окосячки проемов несущих перегородок</t>
  </si>
  <si>
    <t>10 ряд</t>
  </si>
  <si>
    <t>10ряд</t>
  </si>
  <si>
    <t>9 ряд</t>
  </si>
  <si>
    <t>9ряд</t>
  </si>
  <si>
    <t>8 ряд</t>
  </si>
  <si>
    <t>8ряд</t>
  </si>
  <si>
    <t>Джутовое волокно для кладки меж рядов</t>
  </si>
  <si>
    <t>7 ряд</t>
  </si>
  <si>
    <t>7ряд</t>
  </si>
  <si>
    <t>6 ряд</t>
  </si>
  <si>
    <t>6ряд</t>
  </si>
  <si>
    <t>5 ряд</t>
  </si>
  <si>
    <t>5ряд</t>
  </si>
  <si>
    <t>Выбрать материал для крепления стен</t>
  </si>
  <si>
    <t>4 ряд</t>
  </si>
  <si>
    <t>4ряд</t>
  </si>
  <si>
    <t>3 ряд</t>
  </si>
  <si>
    <t>3ряд</t>
  </si>
  <si>
    <t>2 ряд</t>
  </si>
  <si>
    <t>2ряд</t>
  </si>
  <si>
    <t>Не считать конопатку дома</t>
  </si>
  <si>
    <t>1 ряд лаги</t>
  </si>
  <si>
    <t>Джутовое волокно для конопатки</t>
  </si>
  <si>
    <t>А2</t>
  </si>
  <si>
    <t>Обработка огнебиозащитой</t>
  </si>
  <si>
    <t>Поставьте Расход, литр/м2</t>
  </si>
  <si>
    <t>Количество слоев обаботки</t>
  </si>
  <si>
    <t>Выбрать пропитку для внешних стен</t>
  </si>
  <si>
    <t>Количество слоев попитки</t>
  </si>
  <si>
    <t>Выбрать пропитку для внутренних стен</t>
  </si>
  <si>
    <t>Для монтажа скрытой электропроводки</t>
  </si>
  <si>
    <t>Материал для наличника окон/дверей снаружи</t>
  </si>
  <si>
    <t>Материал для наличника окон/дверей внутри</t>
  </si>
  <si>
    <t>Выбор шлифовки стен дома</t>
  </si>
  <si>
    <t>Шлифовка стен дома снаружи</t>
  </si>
  <si>
    <t>Нет шлифовки стен дома внутри</t>
  </si>
  <si>
    <t>расходные материалы дома из леса</t>
  </si>
  <si>
    <t>Командировочные расходы</t>
  </si>
  <si>
    <t>Количество человек</t>
  </si>
  <si>
    <t>Количество дней</t>
  </si>
  <si>
    <t>Стоимость, рублей в день/человек</t>
  </si>
  <si>
    <t>ДОМА ИЗ ЛЕСА</t>
  </si>
  <si>
    <t>СИП ПАНЕЛИ ДОМ</t>
  </si>
  <si>
    <t>Обвязочный брус</t>
  </si>
  <si>
    <t>Брус естественной влажности, 150*150мм</t>
  </si>
  <si>
    <t>Несущие перегородки</t>
  </si>
  <si>
    <t>Перегородки</t>
  </si>
  <si>
    <t>Панели для кровли</t>
  </si>
  <si>
    <t xml:space="preserve">Техника </t>
  </si>
  <si>
    <t>расходные материалы сип панели</t>
  </si>
  <si>
    <t>Каркасный дом</t>
  </si>
  <si>
    <t>обвязочный брус</t>
  </si>
  <si>
    <t>шаг стоек каркаса наружних стен</t>
  </si>
  <si>
    <t>шаг стоек каркаса несущих перегородок</t>
  </si>
  <si>
    <t>шаг стоек каркаса простых перегородок</t>
  </si>
  <si>
    <t>наружние стены</t>
  </si>
  <si>
    <t>Обрешетка горизонтальная снаружи здания</t>
  </si>
  <si>
    <t>несущие перегородки</t>
  </si>
  <si>
    <t>шаг обрешетки</t>
  </si>
  <si>
    <t>Обрешетка вертикальная снаружи здания</t>
  </si>
  <si>
    <t>Отделка стен снаружи здания</t>
  </si>
  <si>
    <t>Обрешетка вертикальная внутри наружние стены</t>
  </si>
  <si>
    <t>Утепление перегородок</t>
  </si>
  <si>
    <t>Отделка стен наружних внутри здания</t>
  </si>
  <si>
    <t>Потолок</t>
  </si>
  <si>
    <t>Половое покрытие</t>
  </si>
  <si>
    <t>вентиляционный зазор снаружи</t>
  </si>
  <si>
    <t>ЛСТК</t>
  </si>
  <si>
    <t>технологический зазор внутри</t>
  </si>
  <si>
    <t>Обрешетка для потолка</t>
  </si>
  <si>
    <t>ветроизоляция дома наружние стены</t>
  </si>
  <si>
    <t>Профлист для чернового потолка</t>
  </si>
  <si>
    <t>Пароизоляция дома наружние стены</t>
  </si>
  <si>
    <t>расходные материалы каркасный дом</t>
  </si>
  <si>
    <t>КАРКАСНЫЙ ДОМ</t>
  </si>
  <si>
    <t>Дом из Газобетона/Пенобетона/Керамзитобетона/Кирпича</t>
  </si>
  <si>
    <t>Наружние стены Газобетон</t>
  </si>
  <si>
    <t xml:space="preserve">Газоблок D400 200х100х390 </t>
  </si>
  <si>
    <t>Несущие перегородки Газобетон</t>
  </si>
  <si>
    <t xml:space="preserve">Газоблок D500 200х100х390 </t>
  </si>
  <si>
    <t>Перегородки Газобетон</t>
  </si>
  <si>
    <t>Наружние стены Пенобетон</t>
  </si>
  <si>
    <t>Керамзитобетонный блок - 390х190х188</t>
  </si>
  <si>
    <t>Несущие перегородки Пенобетон</t>
  </si>
  <si>
    <t>Перегородки Пенобетон</t>
  </si>
  <si>
    <t>Керамзитобетонный блок - 390х90х188</t>
  </si>
  <si>
    <t>Наружние стены кирпич</t>
  </si>
  <si>
    <t>Ширина стен</t>
  </si>
  <si>
    <t>Несущие перегородки кирпич</t>
  </si>
  <si>
    <t>Перегородки Кирпич</t>
  </si>
  <si>
    <t>Раствор для кладки</t>
  </si>
  <si>
    <t>Армирование наружних стен</t>
  </si>
  <si>
    <t>Арматура М6 каждый 3-й ряд, 2 нити</t>
  </si>
  <si>
    <t>Армирование перегородок</t>
  </si>
  <si>
    <t>Сейсмопояс Арматура М10 4 нити</t>
  </si>
  <si>
    <t>Хомут для сейсмопояса</t>
  </si>
  <si>
    <t>Хомут для сейсмопояса Арматура М6, шаг 400мм</t>
  </si>
  <si>
    <t>Ветроизоляция дома наружние стены</t>
  </si>
  <si>
    <t>расходные материалы каменные дома</t>
  </si>
  <si>
    <t>ДОМ ИЗ ГАЗОБЕТОН/ПЕНОБЕТОН/КИРПИЧ</t>
  </si>
  <si>
    <t xml:space="preserve">Лестница </t>
  </si>
  <si>
    <t>Параметры бетонной лестницы</t>
  </si>
  <si>
    <t>Высота лестницы</t>
  </si>
  <si>
    <t>мм</t>
  </si>
  <si>
    <t>Длина лестницы</t>
  </si>
  <si>
    <t>Ширина лестницы</t>
  </si>
  <si>
    <t>Длина площадки</t>
  </si>
  <si>
    <t>Толщина площадки</t>
  </si>
  <si>
    <t>Дополнительная толщина</t>
  </si>
  <si>
    <t>Доп. Расходы</t>
  </si>
  <si>
    <t>руб.</t>
  </si>
  <si>
    <t>Доска 50/150</t>
  </si>
  <si>
    <t>Штук арматуры на ступень</t>
  </si>
  <si>
    <t>Готовая лестница</t>
  </si>
  <si>
    <t>готовая лестница</t>
  </si>
  <si>
    <t>количество маршей</t>
  </si>
  <si>
    <t>Деревянная лстница</t>
  </si>
  <si>
    <t>количество ступеней</t>
  </si>
  <si>
    <t>расходные материалы лестница</t>
  </si>
  <si>
    <t xml:space="preserve">ЛЕСТНИЦА </t>
  </si>
  <si>
    <t>Выбрать тип материала для отделки дома</t>
  </si>
  <si>
    <t>КирпичОблицовочный</t>
  </si>
  <si>
    <t>Выбрать материал для отделки дома</t>
  </si>
  <si>
    <t>Если фасад декоративная штукатурка, выберите расход в кг/м2</t>
  </si>
  <si>
    <t>Выбрать подсистему для отделки дома</t>
  </si>
  <si>
    <t>Выбрать кронштейн для крепления подсистемы</t>
  </si>
  <si>
    <t>Для отделки планкен+камень данные</t>
  </si>
  <si>
    <t>углы дома камень, ширина от угла</t>
  </si>
  <si>
    <t>Выбрать Шифер плоский стены</t>
  </si>
  <si>
    <t>Выбрать грунтовку для поверхностей</t>
  </si>
  <si>
    <t>слои</t>
  </si>
  <si>
    <t>Выбрать пропитку для поверхностей</t>
  </si>
  <si>
    <t>Выбрать лак  поверхностей</t>
  </si>
  <si>
    <t>установка леса строительные</t>
  </si>
  <si>
    <t>отделка цоколя</t>
  </si>
  <si>
    <t>Выбрать материал для отделки цоколя</t>
  </si>
  <si>
    <t>Выбрать подсистему для отделки цоколя</t>
  </si>
  <si>
    <t>высота цоколя над грунтом</t>
  </si>
  <si>
    <t>подшивка карнизных свесов</t>
  </si>
  <si>
    <t>Выбрать материал для отделки карнизов</t>
  </si>
  <si>
    <t>Планкен</t>
  </si>
  <si>
    <t>Материал для подсистемы</t>
  </si>
  <si>
    <t>расходные материалы отделка внешняя</t>
  </si>
  <si>
    <t>ОТДЕЛКА ВНЕШНЯЯ</t>
  </si>
  <si>
    <t>Чистовая отделка помещений</t>
  </si>
  <si>
    <t>отделка дома</t>
  </si>
  <si>
    <t>гкл, 12мм</t>
  </si>
  <si>
    <t>Нет подсистемы</t>
  </si>
  <si>
    <t xml:space="preserve">шпаклевка </t>
  </si>
  <si>
    <t>покраска</t>
  </si>
  <si>
    <t>Нет покрытия</t>
  </si>
  <si>
    <t>гкл, 9мм</t>
  </si>
  <si>
    <t>багет потолочный</t>
  </si>
  <si>
    <t>Ламинат</t>
  </si>
  <si>
    <t>кафель на определенной площади</t>
  </si>
  <si>
    <t>плинтус напольный</t>
  </si>
  <si>
    <t>стены ванная</t>
  </si>
  <si>
    <t>пол ванная</t>
  </si>
  <si>
    <t>потолок ванная</t>
  </si>
  <si>
    <t>Кафель стены</t>
  </si>
  <si>
    <t>Кафель потолок</t>
  </si>
  <si>
    <t>Кафель пол</t>
  </si>
  <si>
    <t xml:space="preserve">двери  </t>
  </si>
  <si>
    <t>наличник на двери</t>
  </si>
  <si>
    <t>коробка дверная</t>
  </si>
  <si>
    <t>порог металлический</t>
  </si>
  <si>
    <t>отбойник дверной</t>
  </si>
  <si>
    <t>расходные материалы чистовая отделка</t>
  </si>
  <si>
    <t>ОТДЕЛКА ВНУТРЕННЯЯ</t>
  </si>
  <si>
    <t>Вид монтажа электики</t>
  </si>
  <si>
    <t>Открытый монтаж проводки</t>
  </si>
  <si>
    <t>Кабель для розеток</t>
  </si>
  <si>
    <t>Гофра. Кабель для монтажа розеток</t>
  </si>
  <si>
    <t>Кабель для освещения</t>
  </si>
  <si>
    <t>Гофра. Кабель для монтажа освещения</t>
  </si>
  <si>
    <t>Кабель для плиты</t>
  </si>
  <si>
    <t>Гофра. Кабель для монтажа плиты</t>
  </si>
  <si>
    <t>щиток на вводе в дом</t>
  </si>
  <si>
    <t>Выбрать тип розеток</t>
  </si>
  <si>
    <t>Выбрать тип выключателей</t>
  </si>
  <si>
    <t>расходные материалы для электрики</t>
  </si>
  <si>
    <t>ЭЛЕКТРИКА</t>
  </si>
  <si>
    <t>Отопление радиаторное, х/г водоснабжение</t>
  </si>
  <si>
    <t>Выбрать систему отопления в доме</t>
  </si>
  <si>
    <t>система отопления двутрубная</t>
  </si>
  <si>
    <t>Количество радиаторов</t>
  </si>
  <si>
    <t>расходные материалы для отопления</t>
  </si>
  <si>
    <t>ОТОПЛЕНИЕ, Х/Г ВОДОСНАБЖЕНИЕ</t>
  </si>
  <si>
    <t>бурение скважины</t>
  </si>
  <si>
    <t>обустройство скважины</t>
  </si>
  <si>
    <t>глубина скважины</t>
  </si>
  <si>
    <t>расходные материалы скважина</t>
  </si>
  <si>
    <t>СКВАЖИНА</t>
  </si>
  <si>
    <t>Септик основной</t>
  </si>
  <si>
    <t>Нет люка для крышки</t>
  </si>
  <si>
    <t>Горловина для септика</t>
  </si>
  <si>
    <t>Септик второй</t>
  </si>
  <si>
    <t>бетонирование</t>
  </si>
  <si>
    <t>канализационная труба</t>
  </si>
  <si>
    <t>утепление для канашизационной трубы</t>
  </si>
  <si>
    <t>расходные материалы для септика</t>
  </si>
  <si>
    <t>СЕПТИК УТЕПЛЕННОЙ КАНАЛИЗАЦИЕЙ</t>
  </si>
  <si>
    <t>котел отопления</t>
  </si>
  <si>
    <t>расходные материалы котельная</t>
  </si>
  <si>
    <t>КОТЕЛЬНАЯ</t>
  </si>
  <si>
    <t>Необходимая длина забора в метрах</t>
  </si>
  <si>
    <t>Обработка столбов и лаг</t>
  </si>
  <si>
    <t>Количество горизонталей (лаг)</t>
  </si>
  <si>
    <t>2, Лаги проф. труба 40х20 мм (в 2 ряда)</t>
  </si>
  <si>
    <t>Столб проф. труба 60х60 мм h=3200 мм</t>
  </si>
  <si>
    <t>Шаг столбов, м</t>
  </si>
  <si>
    <t>Утрамбовка столбов гравием</t>
  </si>
  <si>
    <t>да</t>
  </si>
  <si>
    <t xml:space="preserve">да </t>
  </si>
  <si>
    <t>Распашные ворота, шт</t>
  </si>
  <si>
    <t>Ширина ворот, м</t>
  </si>
  <si>
    <t>Откатные ворота, шт</t>
  </si>
  <si>
    <t>Калитки шт</t>
  </si>
  <si>
    <t>Дополнительные элементы, руб</t>
  </si>
  <si>
    <t>Дополнительные материалы, руб</t>
  </si>
  <si>
    <t>кол -во</t>
  </si>
  <si>
    <t>по высотам</t>
  </si>
  <si>
    <t>Пристройка</t>
  </si>
  <si>
    <t>Считать пристройку</t>
  </si>
  <si>
    <t>по размерам</t>
  </si>
  <si>
    <t>в 1 этаж</t>
  </si>
  <si>
    <t>S, м2</t>
  </si>
  <si>
    <t>выпуск 1</t>
  </si>
  <si>
    <t>выпуск 2</t>
  </si>
  <si>
    <t>для фронтона 1 этажа</t>
  </si>
  <si>
    <t>в 2 этажа</t>
  </si>
  <si>
    <t>Перегородки оси X 1 эт</t>
  </si>
  <si>
    <t>выбор кровли</t>
  </si>
  <si>
    <t>высота 1 этажа</t>
  </si>
  <si>
    <t>Перегородки оси Y 1 эт</t>
  </si>
  <si>
    <t>перекрытие 1 эт.</t>
  </si>
  <si>
    <t>перекрытие 2 эт.</t>
  </si>
  <si>
    <t>перегородки ось Х 2 эт</t>
  </si>
  <si>
    <t>пол первого этажа</t>
  </si>
  <si>
    <t>пол второго этажа</t>
  </si>
  <si>
    <t>потолок первого этажа</t>
  </si>
  <si>
    <t>потолок второго этажа</t>
  </si>
  <si>
    <t>перекрытие 0 эт периметр</t>
  </si>
  <si>
    <t>перекрыти 1 эт периметр</t>
  </si>
  <si>
    <t>перекрытие 2 эт. Периметр</t>
  </si>
  <si>
    <t>вар 1</t>
  </si>
  <si>
    <t>вар 2</t>
  </si>
  <si>
    <t>вар3</t>
  </si>
  <si>
    <t>вар4</t>
  </si>
  <si>
    <t>низ ската низ</t>
  </si>
  <si>
    <t>периметр</t>
  </si>
  <si>
    <t>Ширина Н2</t>
  </si>
  <si>
    <t>2эт</t>
  </si>
  <si>
    <t>Высота первого эт</t>
  </si>
  <si>
    <t>Аттиковая стена, мансарда, 1-го этажа</t>
  </si>
  <si>
    <t>Высота второго эт</t>
  </si>
  <si>
    <t>Итого,</t>
  </si>
  <si>
    <t>Высота от перекрытий 1 эт до конька</t>
  </si>
  <si>
    <t>ширин</t>
  </si>
  <si>
    <t>высот</t>
  </si>
  <si>
    <t>аттиковая стена второго этажа</t>
  </si>
  <si>
    <t>катет уклона кровли вертик</t>
  </si>
  <si>
    <t>катет для двускатной кр горизонт</t>
  </si>
  <si>
    <t>внешние углы 1 эт</t>
  </si>
  <si>
    <t>внешние углы 2 жт</t>
  </si>
  <si>
    <t>внутренние углы 1 эт</t>
  </si>
  <si>
    <t>Внутренние углы 12 эт</t>
  </si>
  <si>
    <t>винтовые сваи длина</t>
  </si>
  <si>
    <t>винтовые сваи ширина</t>
  </si>
  <si>
    <t>итого</t>
  </si>
  <si>
    <t>Кровля на пристройку</t>
  </si>
  <si>
    <t>Двери межкомнатные</t>
  </si>
  <si>
    <t>длина ската с выпуском</t>
  </si>
  <si>
    <t>длина выпуска по скату 1</t>
  </si>
  <si>
    <t>длина выпуска по скату 2</t>
  </si>
  <si>
    <t>выпуск по фронтону двускатн/вальмов</t>
  </si>
  <si>
    <t>выпуск по фронтну 2 односкатная кровля</t>
  </si>
  <si>
    <t>Итого, площадь проемов, м2</t>
  </si>
  <si>
    <t>длина ската без выпуска</t>
  </si>
  <si>
    <t>длина конька вальмовой кровли</t>
  </si>
  <si>
    <t>длина ската по длине дома</t>
  </si>
  <si>
    <t>длина наклонной грани кровли вальмовой 1</t>
  </si>
  <si>
    <t>длина наклонной грани кровли вальмовой 2</t>
  </si>
  <si>
    <t>расст от края кровли по длине до конька</t>
  </si>
  <si>
    <t>S левого ската</t>
  </si>
  <si>
    <t>S правого ската</t>
  </si>
  <si>
    <t>S переднего ската</t>
  </si>
  <si>
    <t>S, кровли над пристройкой</t>
  </si>
  <si>
    <t>S, кровли общая</t>
  </si>
  <si>
    <t>Длина выпуска по скату односкатной</t>
  </si>
  <si>
    <t>длина ската односкатной кровли</t>
  </si>
  <si>
    <t>1 эт</t>
  </si>
  <si>
    <t>Длина выпуска двускатн кр 1 скат</t>
  </si>
  <si>
    <t>Длина выпуска двускатн кр 2 скат</t>
  </si>
  <si>
    <t>длина ската двускатной кровли 1</t>
  </si>
  <si>
    <t>длина ската двускатной кровли 2</t>
  </si>
  <si>
    <t>Длина ската по карнизу 1</t>
  </si>
  <si>
    <t>Длина ската по карнизу 2</t>
  </si>
  <si>
    <t>Длина ската по фронтону</t>
  </si>
  <si>
    <t>длина кровли/конек</t>
  </si>
  <si>
    <t>2 эт</t>
  </si>
  <si>
    <t>S кровли</t>
  </si>
  <si>
    <t>S выпусков</t>
  </si>
  <si>
    <t>подшивка свесов</t>
  </si>
  <si>
    <t>материал для кровли</t>
  </si>
  <si>
    <t>общая S</t>
  </si>
  <si>
    <t>Считать стропило</t>
  </si>
  <si>
    <t>пл вн стен</t>
  </si>
  <si>
    <t>нар</t>
  </si>
  <si>
    <t>s стен чист</t>
  </si>
  <si>
    <t>утепление кровли</t>
  </si>
  <si>
    <t>s перегор</t>
  </si>
  <si>
    <t>S перег чис</t>
  </si>
  <si>
    <t xml:space="preserve">Фундамент </t>
  </si>
  <si>
    <t>s стен вн чист</t>
  </si>
  <si>
    <t>S стен отнять</t>
  </si>
  <si>
    <t>S общая пола</t>
  </si>
  <si>
    <t>S фронтона 1этаж</t>
  </si>
  <si>
    <t>вар1</t>
  </si>
  <si>
    <t>вар2</t>
  </si>
  <si>
    <t>S фронтона 2этаж</t>
  </si>
  <si>
    <t>S стен первого этажа</t>
  </si>
  <si>
    <t>S стен второго этажа</t>
  </si>
  <si>
    <t>S перекрытий 0 этаж</t>
  </si>
  <si>
    <t>S перекрытий 1 этаж</t>
  </si>
  <si>
    <t>S перекрытий 2 этаж</t>
  </si>
  <si>
    <t>S наружних стен чистая</t>
  </si>
  <si>
    <t>S внутренних стен 1 этажа</t>
  </si>
  <si>
    <t>S внутренних стен 2 этажа</t>
  </si>
  <si>
    <t>S стен дома которые надо отнять 1эт</t>
  </si>
  <si>
    <t>S стен дома которые надо отнять 2эт</t>
  </si>
  <si>
    <t>длина ската 1</t>
  </si>
  <si>
    <t>Длина ската 2</t>
  </si>
  <si>
    <t>угол наклона кровли, радиан</t>
  </si>
  <si>
    <t>угол наклона кровли, градусы</t>
  </si>
  <si>
    <t>высота от перекрытия до конька</t>
  </si>
  <si>
    <t>Длина кровли от перекрытия до конька</t>
  </si>
  <si>
    <t>Длина наклонной кровли от аттик ст</t>
  </si>
  <si>
    <t xml:space="preserve">S наклонной кровли </t>
  </si>
  <si>
    <t>S перекрытия 2 этажа</t>
  </si>
  <si>
    <t>S наклонной кровли, потолок</t>
  </si>
  <si>
    <t>S наклонной кровли, потолок второй</t>
  </si>
  <si>
    <t>выпуск основной кровли фронтон1</t>
  </si>
  <si>
    <t>выпуск основной кровли фронтон2</t>
  </si>
  <si>
    <t>выпуск основной кровли карниз1</t>
  </si>
  <si>
    <t>выпуск основной кровли карниз2</t>
  </si>
  <si>
    <t>длина ската карниз</t>
  </si>
  <si>
    <t>длина ската нижнего</t>
  </si>
  <si>
    <t>Аттиковая стена, мансардный 1 этаж</t>
  </si>
  <si>
    <t>угол двускат кровли карниз, рад.1</t>
  </si>
  <si>
    <t>угол двускат кровли карниз, рад.2</t>
  </si>
  <si>
    <t>угол вальмовой кровли карниз</t>
  </si>
  <si>
    <t>Угол вальмовой кровли фронтон</t>
  </si>
  <si>
    <t>угол вальмовой лом кров кар, рад1</t>
  </si>
  <si>
    <t>угол вальмовой лом кров кар, рад2</t>
  </si>
  <si>
    <t>угол вальмовой лом кров фрон, рад2</t>
  </si>
  <si>
    <t>если дом в 1 этаж</t>
  </si>
  <si>
    <t>РАЗМЕР ВЫСТУПА СТЕН</t>
  </si>
  <si>
    <t>Пристройка к фр-ну, s кровли</t>
  </si>
  <si>
    <t>Пристройка к фр-ну, слияние с бок стеной</t>
  </si>
  <si>
    <t>Пристройка к боку дома, слияние с фронтоном</t>
  </si>
  <si>
    <t>Итого площадь кровли</t>
  </si>
  <si>
    <t>S СТЕН ДОПОЛНИТЕЛЬНАЯ</t>
  </si>
  <si>
    <t>выбор этажей основного дома</t>
  </si>
  <si>
    <t>выбор этажей пристройки</t>
  </si>
  <si>
    <t>количество пристроек</t>
  </si>
  <si>
    <t>выбор пристройки</t>
  </si>
  <si>
    <t>делать или нет доп кровлю на пристр</t>
  </si>
  <si>
    <t>высота пристройки</t>
  </si>
  <si>
    <t>высота до аттиковой стены дома</t>
  </si>
  <si>
    <t>дополнительная кровля на пристр</t>
  </si>
  <si>
    <t>ДВУСКАТ КР Пристр к боку дома</t>
  </si>
  <si>
    <t xml:space="preserve">двускатн кр длина скат к карнизу дома </t>
  </si>
  <si>
    <t>длина ската 1 пристройки</t>
  </si>
  <si>
    <t>длина ската 2 пристройки</t>
  </si>
  <si>
    <t>катет</t>
  </si>
  <si>
    <t>длина ската на основн кровл где пристр</t>
  </si>
  <si>
    <t>ендова наружняя на основной кровле</t>
  </si>
  <si>
    <t>s отнять на основной кровле</t>
  </si>
  <si>
    <t>конек на пристройке дополнит</t>
  </si>
  <si>
    <t>S кровли на пристройке дополнит</t>
  </si>
  <si>
    <t>кровля односкатная на пристройке №1</t>
  </si>
  <si>
    <t>кровля двускатная на пристройке №1</t>
  </si>
  <si>
    <t>мауэрлат</t>
  </si>
  <si>
    <t>Нет кровли на пристройке</t>
  </si>
  <si>
    <t>Вальмовая кровля</t>
  </si>
  <si>
    <t>Слияние с боковой стеной дома</t>
  </si>
  <si>
    <t>Выходит за размер боковой стены дома</t>
  </si>
  <si>
    <t>Слияние с передней стеной дома</t>
  </si>
  <si>
    <t>Выходит за рамер передней стены дома</t>
  </si>
  <si>
    <t>S дополнительной кровли</t>
  </si>
  <si>
    <t xml:space="preserve">S кровли отнять от основной </t>
  </si>
  <si>
    <t>стропило на пристройку</t>
  </si>
  <si>
    <t>обвязка по дому</t>
  </si>
  <si>
    <t>капельник конденсата</t>
  </si>
  <si>
    <t>ендова нижняя</t>
  </si>
  <si>
    <t>ендова верхняя</t>
  </si>
  <si>
    <t>карназная планка</t>
  </si>
  <si>
    <t>Материалы</t>
  </si>
  <si>
    <t>цена 1</t>
  </si>
  <si>
    <t>общ цена</t>
  </si>
  <si>
    <t xml:space="preserve">бугель, доска </t>
  </si>
  <si>
    <t>металлочерепица</t>
  </si>
  <si>
    <t>ондулин</t>
  </si>
  <si>
    <t>итого, материалы кровли</t>
  </si>
  <si>
    <t>итого, работа кровли</t>
  </si>
  <si>
    <t>итого, рублей</t>
  </si>
  <si>
    <t xml:space="preserve">конек </t>
  </si>
  <si>
    <t>скат пристройки</t>
  </si>
  <si>
    <t>доп кровля</t>
  </si>
  <si>
    <t>площадь кровли на основной кровле</t>
  </si>
  <si>
    <t>длина ската на основной кровле</t>
  </si>
  <si>
    <t>Сделать расчет по высотам</t>
  </si>
  <si>
    <t>Данные для расчета сметы</t>
  </si>
  <si>
    <t>расчет</t>
  </si>
  <si>
    <t>Считать по эскизу и размерам</t>
  </si>
  <si>
    <t>Высота 1</t>
  </si>
  <si>
    <t>Длина дома, N</t>
  </si>
  <si>
    <t>Считать по проекту</t>
  </si>
  <si>
    <t>Высота 2</t>
  </si>
  <si>
    <t>S дома</t>
  </si>
  <si>
    <t>длина дома В</t>
  </si>
  <si>
    <t>Ширина дома, K</t>
  </si>
  <si>
    <t>Высота 3</t>
  </si>
  <si>
    <t>ширина дома, А</t>
  </si>
  <si>
    <t>покрытие кровли</t>
  </si>
  <si>
    <t>Высота 4</t>
  </si>
  <si>
    <t>высота от перекрытия до конька, Е</t>
  </si>
  <si>
    <t>Высота 5</t>
  </si>
  <si>
    <t>высота второго этажа</t>
  </si>
  <si>
    <t>длина скат 90 град от конька, H</t>
  </si>
  <si>
    <t>Высота 6</t>
  </si>
  <si>
    <t xml:space="preserve">высота от аттик стены до перекр </t>
  </si>
  <si>
    <t>длина скат по коньку, G</t>
  </si>
  <si>
    <t>высота от аттиковой до конька, Е</t>
  </si>
  <si>
    <t>Ендова верхняя, F</t>
  </si>
  <si>
    <t>Покрытие без стропил</t>
  </si>
  <si>
    <t>верх низа ската</t>
  </si>
  <si>
    <t>Длина ската, F1</t>
  </si>
  <si>
    <t>длина конька, О</t>
  </si>
  <si>
    <t>конек кровли, О</t>
  </si>
  <si>
    <t>верх конька</t>
  </si>
  <si>
    <t>Фундамент под дом</t>
  </si>
  <si>
    <t>Длина ската по карнизу, F</t>
  </si>
  <si>
    <t>S выпусков, подшивка</t>
  </si>
  <si>
    <t>угол наклона кровли</t>
  </si>
  <si>
    <t>Длина конька с выпускам, O</t>
  </si>
  <si>
    <t>S кровли общая</t>
  </si>
  <si>
    <t>по выс.</t>
  </si>
  <si>
    <t>левая</t>
  </si>
  <si>
    <t>правая</t>
  </si>
  <si>
    <t>S кровли без выпусков</t>
  </si>
  <si>
    <t>S материала для кровли</t>
  </si>
  <si>
    <t>лев ст</t>
  </si>
  <si>
    <t>прав ст</t>
  </si>
  <si>
    <t>S пер ст</t>
  </si>
  <si>
    <t>S зад ст</t>
  </si>
  <si>
    <t>этажность дома дома</t>
  </si>
  <si>
    <t>S фронтона</t>
  </si>
  <si>
    <t>S кровли с выпусками</t>
  </si>
  <si>
    <t>длина дома, В</t>
  </si>
  <si>
    <t>высота 1-го этажа, С</t>
  </si>
  <si>
    <t>S стен 1 эт</t>
  </si>
  <si>
    <t>S стен 2 эт</t>
  </si>
  <si>
    <t xml:space="preserve">разница </t>
  </si>
  <si>
    <t>№ элемента</t>
  </si>
  <si>
    <t>высота 2-го этажа</t>
  </si>
  <si>
    <t>H бок стены</t>
  </si>
  <si>
    <t>Высота от перекрытя 1-го эт. до конька</t>
  </si>
  <si>
    <t>разница  бок стен</t>
  </si>
  <si>
    <t>длина ската, H</t>
  </si>
  <si>
    <t>аттиковая стена, D</t>
  </si>
  <si>
    <t>H от п0 эт до кон</t>
  </si>
  <si>
    <t>Длина конька</t>
  </si>
  <si>
    <t>высота от аттиковой стены до перекрытий</t>
  </si>
  <si>
    <t>H от п1 эт до кон</t>
  </si>
  <si>
    <t>Ендова внутр, R</t>
  </si>
  <si>
    <t>высота от конька до перекрытий</t>
  </si>
  <si>
    <t>перекр</t>
  </si>
  <si>
    <t>армат</t>
  </si>
  <si>
    <t>H до конька</t>
  </si>
  <si>
    <t>Длина капельника</t>
  </si>
  <si>
    <t>кол блок</t>
  </si>
  <si>
    <t>округ</t>
  </si>
  <si>
    <t>углов</t>
  </si>
  <si>
    <t>кол</t>
  </si>
  <si>
    <t>длина углов</t>
  </si>
  <si>
    <t>разница</t>
  </si>
  <si>
    <t>доборка</t>
  </si>
  <si>
    <t>ряда доб</t>
  </si>
  <si>
    <t>P перекр</t>
  </si>
  <si>
    <t>перим</t>
  </si>
  <si>
    <t>H ,блока</t>
  </si>
  <si>
    <t>кол ряд</t>
  </si>
  <si>
    <t>арматура</t>
  </si>
  <si>
    <t>Длина от конька до высот бок стены</t>
  </si>
  <si>
    <t>Длина ендовы по дому</t>
  </si>
  <si>
    <t>высота углов дома внешних 1 эт</t>
  </si>
  <si>
    <t>длина ската</t>
  </si>
  <si>
    <t>высота углов дома внешних 2 эт</t>
  </si>
  <si>
    <t>высота стен всех углов дома внутренних</t>
  </si>
  <si>
    <t>угол, радиан</t>
  </si>
  <si>
    <t>S материала кровли</t>
  </si>
  <si>
    <t>высота углов пристроек внешних 1 эт</t>
  </si>
  <si>
    <t>угол, град</t>
  </si>
  <si>
    <t>S стен дома</t>
  </si>
  <si>
    <t>высота углов пристроек внешних 2 эт</t>
  </si>
  <si>
    <t>S на основной кровле</t>
  </si>
  <si>
    <t>высота углов пристроек внутренних 1 эт</t>
  </si>
  <si>
    <t xml:space="preserve"> Н разн боковых стен 1 эт</t>
  </si>
  <si>
    <t>высота углов пристроек внутренних 2 эт</t>
  </si>
  <si>
    <t>высота углов эркера внешних 1 эт</t>
  </si>
  <si>
    <t>разн боковых стен 2 эт</t>
  </si>
  <si>
    <t>высота углов эркера внешних 2 эт</t>
  </si>
  <si>
    <t>Длина пристройки</t>
  </si>
  <si>
    <t>высота углов эркера внутренних 1 эт</t>
  </si>
  <si>
    <t>Ширина пристройки</t>
  </si>
  <si>
    <t>высота углов эркера внутренних 2 эт</t>
  </si>
  <si>
    <t>гипотенуза 1 эт</t>
  </si>
  <si>
    <t>Фундамент</t>
  </si>
  <si>
    <t>внутренние блок</t>
  </si>
  <si>
    <t>длина ската всего</t>
  </si>
  <si>
    <t>кол-во рядов в доме</t>
  </si>
  <si>
    <t>внешние блок</t>
  </si>
  <si>
    <t>S пристройки</t>
  </si>
  <si>
    <t>количество рядов в пристройках</t>
  </si>
  <si>
    <t>Строение</t>
  </si>
  <si>
    <t>количество рядов в эркере</t>
  </si>
  <si>
    <t>дом</t>
  </si>
  <si>
    <t>пристр</t>
  </si>
  <si>
    <t>эркер</t>
  </si>
  <si>
    <t>S наружних стен</t>
  </si>
  <si>
    <t>Лаги, перекрытия</t>
  </si>
  <si>
    <t>S перек</t>
  </si>
  <si>
    <t>внеш</t>
  </si>
  <si>
    <t>внутр</t>
  </si>
  <si>
    <t>длина ската на 2 этаже</t>
  </si>
  <si>
    <t>длина на вводе</t>
  </si>
  <si>
    <t>S перегородок</t>
  </si>
  <si>
    <t>длина выпуска ската по кровле</t>
  </si>
  <si>
    <t>S внутренних стен</t>
  </si>
  <si>
    <t>длина выпусков по фронтону</t>
  </si>
  <si>
    <t>S выпусков для переруба</t>
  </si>
  <si>
    <t>выпуски по фронтону</t>
  </si>
  <si>
    <t>S,общ</t>
  </si>
  <si>
    <t>S скатов</t>
  </si>
  <si>
    <t>Окна, Вариант 1</t>
  </si>
  <si>
    <t>L от стены в дом</t>
  </si>
  <si>
    <t>S мат кр.</t>
  </si>
  <si>
    <t>Окна, Вариант 2</t>
  </si>
  <si>
    <t>внешний</t>
  </si>
  <si>
    <t>шир отступа от стены дома внутрь 2 эт</t>
  </si>
  <si>
    <t>высота от 2-го эт до верх кровли</t>
  </si>
  <si>
    <t>Окна, Вариант 3</t>
  </si>
  <si>
    <t>внутренний</t>
  </si>
  <si>
    <t>S стен 1-го этажа перед</t>
  </si>
  <si>
    <t>Окна, Вариант 4</t>
  </si>
  <si>
    <t>периметр несущих перегородок</t>
  </si>
  <si>
    <t>высота аттиковая стена</t>
  </si>
  <si>
    <t>Окна, Вариант 5</t>
  </si>
  <si>
    <t>S стен 2-го этажа перед</t>
  </si>
  <si>
    <t>Длина ската</t>
  </si>
  <si>
    <t>Окна, Вариант 6</t>
  </si>
  <si>
    <t>Длина кровли по коньку</t>
  </si>
  <si>
    <t>Окна, Вариант 7</t>
  </si>
  <si>
    <t>S передней стены</t>
  </si>
  <si>
    <t>Окна, Вариант 8</t>
  </si>
  <si>
    <t>S задней стены</t>
  </si>
  <si>
    <t>Окна, Вариант 9</t>
  </si>
  <si>
    <t>S боковой стены 1 эт</t>
  </si>
  <si>
    <t>Окна, Вариант 10</t>
  </si>
  <si>
    <t>S боковой стены 2 эт</t>
  </si>
  <si>
    <t>Дверь на балкон 1</t>
  </si>
  <si>
    <t>Дверь на балкон 2</t>
  </si>
  <si>
    <t>Французское окно 1</t>
  </si>
  <si>
    <t>Фрунцузское окно 2</t>
  </si>
  <si>
    <t>итого, м2</t>
  </si>
  <si>
    <t>S фронтона 1 эт</t>
  </si>
  <si>
    <t>S, общ</t>
  </si>
  <si>
    <t>S фронтона 2 эт</t>
  </si>
  <si>
    <t>Вариант 1</t>
  </si>
  <si>
    <t>Вариант 2</t>
  </si>
  <si>
    <t>Вариант 3</t>
  </si>
  <si>
    <t>Вариант 4</t>
  </si>
  <si>
    <t>Вариант 5, 2-ой этаж</t>
  </si>
  <si>
    <t>Вариант 6, 2-ой этаж</t>
  </si>
  <si>
    <t>S, несущих перегородок</t>
  </si>
  <si>
    <t>S, перегородок</t>
  </si>
  <si>
    <t>S, чистая перегородок</t>
  </si>
  <si>
    <t>S стен 1-го этажа перед без фронтона</t>
  </si>
  <si>
    <t>S общая выпусков по дому</t>
  </si>
  <si>
    <t>S стен 2-го этажа без фронтона перед</t>
  </si>
  <si>
    <t xml:space="preserve">S перекрытий </t>
  </si>
  <si>
    <t>S пристроек стен</t>
  </si>
  <si>
    <t>S эркер стен</t>
  </si>
  <si>
    <t>S фронтона  1 этаж для двускатной кр</t>
  </si>
  <si>
    <t>полн 1эт</t>
  </si>
  <si>
    <t>манс 1эт</t>
  </si>
  <si>
    <t>S фронтона  2 этаж для двускатн кровли</t>
  </si>
  <si>
    <t>полн 2эт</t>
  </si>
  <si>
    <t>манс 2эт</t>
  </si>
  <si>
    <t>ДОМ</t>
  </si>
  <si>
    <t>S</t>
  </si>
  <si>
    <t>считать</t>
  </si>
  <si>
    <t>потолок кровли</t>
  </si>
  <si>
    <t>ПЕРЕКРЫТИЕ дом</t>
  </si>
  <si>
    <t>пол дом</t>
  </si>
  <si>
    <t>ПОТОЛОК</t>
  </si>
  <si>
    <t>s стен1 эт</t>
  </si>
  <si>
    <t>s стен2 эт</t>
  </si>
  <si>
    <t>s фронтон</t>
  </si>
  <si>
    <t>s стенобщ</t>
  </si>
  <si>
    <t>0 эт</t>
  </si>
  <si>
    <t>S фронтона двускатной кровли</t>
  </si>
  <si>
    <t>S фронтона полувальмовой кровли</t>
  </si>
  <si>
    <t>S фронтона односкатной кровли</t>
  </si>
  <si>
    <t>для 2=го этажа</t>
  </si>
  <si>
    <t>S фронтона кукушек</t>
  </si>
  <si>
    <t>ПРИСТРОЙКА</t>
  </si>
  <si>
    <t>S перекрытия двускатной кровли</t>
  </si>
  <si>
    <t>S перекрытия вальмовой кровли</t>
  </si>
  <si>
    <t>разные по высотам</t>
  </si>
  <si>
    <t>S перекрытия односкатной кровли</t>
  </si>
  <si>
    <t>S перкрытия полувальмовой кровли</t>
  </si>
  <si>
    <t>комбинированные дома</t>
  </si>
  <si>
    <t>перекрытие</t>
  </si>
  <si>
    <t>S всего дома</t>
  </si>
  <si>
    <t>S перег</t>
  </si>
  <si>
    <t>S пер чистая</t>
  </si>
  <si>
    <t>фронтон</t>
  </si>
  <si>
    <t>S наружних стен 1эт</t>
  </si>
  <si>
    <t>площадь внутренних стен дома</t>
  </si>
  <si>
    <t>S наружних стен 2эт</t>
  </si>
  <si>
    <t>двери межкомнатные несущие 1 этаж</t>
  </si>
  <si>
    <t>нес 1 эт</t>
  </si>
  <si>
    <t>S несущих общая</t>
  </si>
  <si>
    <t>Проем несущие 1 эт</t>
  </si>
  <si>
    <t>двери межкомнатные несущие 2 этаж</t>
  </si>
  <si>
    <t>нес 2 эт</t>
  </si>
  <si>
    <t>S простых общая</t>
  </si>
  <si>
    <t>Проем несущие 2 этаж</t>
  </si>
  <si>
    <t>двери межкомнатные простые 1 этаж</t>
  </si>
  <si>
    <t>прост 1</t>
  </si>
  <si>
    <t>S общая 1-эт</t>
  </si>
  <si>
    <t>Проем простые 1 эт</t>
  </si>
  <si>
    <t>прост 2</t>
  </si>
  <si>
    <t>S общая 2-эт</t>
  </si>
  <si>
    <t>двери межкомнатные простые 2 этаж</t>
  </si>
  <si>
    <t>S общая перег</t>
  </si>
  <si>
    <t>Проем простые 2 этаж</t>
  </si>
  <si>
    <t>проемы все</t>
  </si>
  <si>
    <t>Первый этаж</t>
  </si>
  <si>
    <t>S стен</t>
  </si>
  <si>
    <t>толщина</t>
  </si>
  <si>
    <t>V нар ст</t>
  </si>
  <si>
    <t>нижн обв</t>
  </si>
  <si>
    <t>верх обв</t>
  </si>
  <si>
    <t>ригель</t>
  </si>
  <si>
    <t>Vобв риг</t>
  </si>
  <si>
    <t>окн кол</t>
  </si>
  <si>
    <t>V стоек</t>
  </si>
  <si>
    <t>окна гор</t>
  </si>
  <si>
    <t>Дв кол</t>
  </si>
  <si>
    <t>Дв гор</t>
  </si>
  <si>
    <t>Передней стены общая</t>
  </si>
  <si>
    <t>высота левой аттик стены разные высоты</t>
  </si>
  <si>
    <t>высота правой аттик стены разные высоты</t>
  </si>
  <si>
    <t>S задней стены общая</t>
  </si>
  <si>
    <t>Левая боковой стена 1 эт</t>
  </si>
  <si>
    <t>Правая боковой стена 1 эт</t>
  </si>
  <si>
    <t>если одинаковые высоты коэфф</t>
  </si>
  <si>
    <t xml:space="preserve">если разные высоты коэфф </t>
  </si>
  <si>
    <t>толщина стен</t>
  </si>
  <si>
    <t>Фронтон конек левая сторона</t>
  </si>
  <si>
    <t>длина ската левой части фронтона</t>
  </si>
  <si>
    <t>радиан</t>
  </si>
  <si>
    <t>количество стоек каркаса левой части фронт</t>
  </si>
  <si>
    <t>Разница по высоте стоек фронтона левой ст</t>
  </si>
  <si>
    <t>Фронтон конек правая сторона</t>
  </si>
  <si>
    <t>длина ската правой части фронтона</t>
  </si>
  <si>
    <t>количество стоек каркаса правой части фронт</t>
  </si>
  <si>
    <t>Разница по высоте стоек фронтона прав стор</t>
  </si>
  <si>
    <t>условие если дом в 1 этаж</t>
  </si>
  <si>
    <t>левая сторона дома</t>
  </si>
  <si>
    <t>размер</t>
  </si>
  <si>
    <t>V</t>
  </si>
  <si>
    <t>Стойки каркаса передней/задней стены 1 эт</t>
  </si>
  <si>
    <t>Стойки каркаса, левая сторона 1 эт</t>
  </si>
  <si>
    <t>Стойки каркаса, правая сторона, 1 эт</t>
  </si>
  <si>
    <t>Стойки каркаса левой боковой стены 1 эт</t>
  </si>
  <si>
    <t>Стойки каркаса правой боковой стены 1 эт</t>
  </si>
  <si>
    <t>Обвязка каркаса верхняя/нижняя наружние стены 1 эт</t>
  </si>
  <si>
    <t>Ригель каркаса наружние стены 1 эт</t>
  </si>
  <si>
    <t>Стойка каркаса, несущие перегородки, 1 этаж, №1</t>
  </si>
  <si>
    <t>Обвязка несущих перегородок верх/низ, 1 этаж</t>
  </si>
  <si>
    <t>Ригель несущих перегородок, 1 этаж</t>
  </si>
  <si>
    <t>Стойка каркаса, перегородки, 1 этаж</t>
  </si>
  <si>
    <t>Обвязка перегородок верх/низ, 1 этаж</t>
  </si>
  <si>
    <t>Укосина наружних стен, усиление 1 этаж</t>
  </si>
  <si>
    <t>Стойка каркаса по фронтону, левая сторона 1</t>
  </si>
  <si>
    <t>Стойка каркаса по фронтону, левая сторона 2</t>
  </si>
  <si>
    <t>Стойка каркаса по фронтону, левая сторона 3</t>
  </si>
  <si>
    <t>Стойка каркаса по фронтону, левая сторона 4</t>
  </si>
  <si>
    <t>Стойка каркаса по фронтону, левая сторона 5</t>
  </si>
  <si>
    <t>Стойка каркаса по фронтону, левая сторона 6</t>
  </si>
  <si>
    <t>Стойка каркаса по фронтону, левая сторона 7</t>
  </si>
  <si>
    <t>Стойка каркаса по фронтону, левая сторона 8</t>
  </si>
  <si>
    <t>Стойка каркаса по фронтону, левая сторона 9</t>
  </si>
  <si>
    <t>Стойка каркаса по фронтону, левая сторона 10</t>
  </si>
  <si>
    <t>Стойка каркаса по фронтону, левая сторона 11</t>
  </si>
  <si>
    <t>Стойка каркаса по фронтону, левая сторона 12</t>
  </si>
  <si>
    <t>Стойка каркаса по фронтону, левая сторона 13</t>
  </si>
  <si>
    <t>Стойка каркаса по фронтону, левая сторона 14</t>
  </si>
  <si>
    <t>Стойка каркаса по фронтону, левая сторона 15</t>
  </si>
  <si>
    <t>Стойка каркаса по фронтону, левая сторона 16</t>
  </si>
  <si>
    <t>Стойка каркаса по фронтону, левая сторона 17</t>
  </si>
  <si>
    <t>Стойка каркаса по фронтону, левая сторона 18</t>
  </si>
  <si>
    <t>Стойка каркаса по фронтону, левая сторона 19</t>
  </si>
  <si>
    <t>Стойка каркаса по фронтону, левая сторона 20</t>
  </si>
  <si>
    <t>Стойка каркаса по фронтону, левая сторона 21</t>
  </si>
  <si>
    <t>Стойка каркаса по фронтону, левая сторона 22</t>
  </si>
  <si>
    <t>Стойка каркаса по фронтону, левая сторона 23</t>
  </si>
  <si>
    <t>Стойка каркаса по фронтону, левая сторона 24</t>
  </si>
  <si>
    <t>Стойка каркаса по фронтону, левая сторона 25</t>
  </si>
  <si>
    <t>Стойка каркаса по фронтону, левая сторона 26</t>
  </si>
  <si>
    <t>Стойка каркаса по фронтону, левая сторона 27</t>
  </si>
  <si>
    <t>Стойка каркаса по фронтону, левая сторона 28</t>
  </si>
  <si>
    <t>Стойка каркаса по фронтону, левая сторона 29</t>
  </si>
  <si>
    <t>Стойка каркаса по фронтону, левая сторона 30</t>
  </si>
  <si>
    <t>Стойка каркаса по фронтону, левая сторона 31</t>
  </si>
  <si>
    <t>Обвязка каркаса фронтона верхняя</t>
  </si>
  <si>
    <t>Обвязка каркаса фронтона нижняя</t>
  </si>
  <si>
    <t>Ригель каркаса фронтона</t>
  </si>
  <si>
    <t>Стойка каркаса по фронтону правая сторона 32</t>
  </si>
  <si>
    <t>Стойка каркаса по фронтону правая сторона 33</t>
  </si>
  <si>
    <t>Стойка каркаса по фронтону правая сторона 34</t>
  </si>
  <si>
    <t>Стойка каркаса по фронтону правая сторона 35</t>
  </si>
  <si>
    <t>Стойка каркаса по фронтону правая сторона 36</t>
  </si>
  <si>
    <t>Стойка каркаса по фронтону правая сторона 37</t>
  </si>
  <si>
    <t>Стойка каркаса по фронтону правая сторона 38</t>
  </si>
  <si>
    <t>Стойка каркаса по фронтону правая сторона 39</t>
  </si>
  <si>
    <t>Стойка каркаса по фронтону правая сторона 40</t>
  </si>
  <si>
    <t>Стойка каркаса по фронтону правая сторона 41</t>
  </si>
  <si>
    <t>Стойка каркаса по фронтону правая сторона 42</t>
  </si>
  <si>
    <t>Стойка каркаса по фронтону правая сторона 43</t>
  </si>
  <si>
    <t>Стойка каркаса по фронтону правая сторона 44</t>
  </si>
  <si>
    <t>Стойка каркаса по фронтону правая сторона 45</t>
  </si>
  <si>
    <t>Стойка каркаса по фронтону правая сторона 46</t>
  </si>
  <si>
    <t>Стойка каркаса по фронтону правая сторона 47</t>
  </si>
  <si>
    <t>Стойка каркаса по фронтону правая сторона 48</t>
  </si>
  <si>
    <t>Стойка каркаса по фронтону правая сторона 49</t>
  </si>
  <si>
    <t>Стойка каркаса по фронтону правая сторона 50</t>
  </si>
  <si>
    <t>Стойка каркаса по фронтону правая сторона 51</t>
  </si>
  <si>
    <t>Стойка каркаса по фронтону правая сторона 52</t>
  </si>
  <si>
    <t>Стойка каркаса по фронтону правая сторона 53</t>
  </si>
  <si>
    <t>Стойка каркаса по фронтону правая сторона 54</t>
  </si>
  <si>
    <t>Стойка каркаса по фронтону правая сторона 55</t>
  </si>
  <si>
    <t>Стойка каркаса по фронтону правая сторона 56</t>
  </si>
  <si>
    <t>Стойка каркаса по фронтону правая сторона 57</t>
  </si>
  <si>
    <t>Стойка каркаса по фронтону правая сторона 58</t>
  </si>
  <si>
    <t>Стойка каркаса по фронтону правая сторона 59</t>
  </si>
  <si>
    <t>Стойка каркаса по фронтону правая сторона 60</t>
  </si>
  <si>
    <t>Стойка каркаса по фронтону правая сторона 61</t>
  </si>
  <si>
    <t>Стойка каркаса по фронтону правая сторона 62</t>
  </si>
  <si>
    <t>Стойки каркаса левой боковой стены 1 этаж</t>
  </si>
  <si>
    <t>Стойки каркаса правой боковой стены 1 этаж</t>
  </si>
  <si>
    <t>Стойка каркаса по фронтону, полувальмовая кровля №1</t>
  </si>
  <si>
    <t>Стойка каркаса по фронтону, полувальмовая кровля №2</t>
  </si>
  <si>
    <t>Обвязка каркаса нижняя 1 этаж</t>
  </si>
  <si>
    <t>Обвязка каркаса верхняя 1 этаж</t>
  </si>
  <si>
    <t>Ригель каркаса фронтона 1 этаж</t>
  </si>
  <si>
    <t>Обвязка каркаса нижняя, односкатная кровля</t>
  </si>
  <si>
    <t>Обвязка каркаса верхняя, односкатная кровля</t>
  </si>
  <si>
    <t>Ригель каркаса фронтона, односкатная кровля</t>
  </si>
  <si>
    <t>Стойки каркаса передней стены 1 этаж</t>
  </si>
  <si>
    <t>Стойки каркаса задней стены 1 этаж</t>
  </si>
  <si>
    <t>Стойки каркаса, левая/правая сторона 1 этаж</t>
  </si>
  <si>
    <t>Стойка каркаса по фронтону, односкатная кровля №0</t>
  </si>
  <si>
    <t>Стойка каркаса по фронтону, односкатная кровля №1</t>
  </si>
  <si>
    <t>Стойка каркаса по фронтону, односкатная кровля №2</t>
  </si>
  <si>
    <t>Стойка каркаса по фронтону, односкатная кровля №3</t>
  </si>
  <si>
    <t>Стойка каркаса по фронтону, односкатная кровля №4</t>
  </si>
  <si>
    <t>Стойка каркаса по фронтону, односкатная кровля №5</t>
  </si>
  <si>
    <t>Стойка каркаса по фронтону, односкатная кровля №6</t>
  </si>
  <si>
    <t>Стойка каркаса по фронтону, односкатная кровля №7</t>
  </si>
  <si>
    <t>Стойка каркаса по фронтону, односкатная кровля №8</t>
  </si>
  <si>
    <t>Стойка каркаса по фронтону, односкатная кровля №9</t>
  </si>
  <si>
    <t>Стойка каркаса по фронтону, односкатная кровля №10</t>
  </si>
  <si>
    <t>Стойка каркаса по фронтону, односкатная кровля №11</t>
  </si>
  <si>
    <t>Стойка каркаса по фронтону, односкатная кровля №12</t>
  </si>
  <si>
    <t>Стойка каркаса по фронтону, односкатная кровля №13</t>
  </si>
  <si>
    <t>Стойка каркаса по фронтону, односкатная кровля №14</t>
  </si>
  <si>
    <t>Стойка каркаса по фронтону, односкатная кровля №15</t>
  </si>
  <si>
    <t>Стойка каркаса по фронтону, односкатная кровля №16</t>
  </si>
  <si>
    <t>Стойка каркаса по фронтону, односкатная кровля №17</t>
  </si>
  <si>
    <t>Стойка каркаса по фронтону, односкатная кровля №18</t>
  </si>
  <si>
    <t>Стойка каркаса по фронтону, односкатная кровля №19</t>
  </si>
  <si>
    <t>Стойка каркаса по фронтону, односкатная кровля №20</t>
  </si>
  <si>
    <t>Стойка каркаса по фронтону, односкатная кровля №21</t>
  </si>
  <si>
    <t>Стойка каркаса по фронтону, односкатная кровля №22</t>
  </si>
  <si>
    <t>Стойка каркаса по фронтону, односкатная кровля №23</t>
  </si>
  <si>
    <t>Стойка каркаса по фронтону, односкатная кровля №24</t>
  </si>
  <si>
    <t>Стойка каркаса по фронтону, односкатная кровля №25</t>
  </si>
  <si>
    <t>Стойка каркаса по фронтону, односкатная кровля №26</t>
  </si>
  <si>
    <t>Стойка каркаса по фронтону, односкатная кровля №27</t>
  </si>
  <si>
    <t>Стойка каркаса по фронтону, односкатная кровля №28</t>
  </si>
  <si>
    <t>Стойка каркаса по фронтону, односкатная кровля №29</t>
  </si>
  <si>
    <t>Стойка каркаса по фронтону, односкатная кровля №30</t>
  </si>
  <si>
    <t>Стойка каркаса по фронтону, односкатная кровля №31</t>
  </si>
  <si>
    <t>Стойка каркаса по фронтону, односкатная кровля №32</t>
  </si>
  <si>
    <t>Стойка каркаса по фронтону, односкатная кровля №33</t>
  </si>
  <si>
    <t>Стойка каркаса по фронтону, односкатная кровля №34</t>
  </si>
  <si>
    <t>Стойка каркаса по фронтону, односкатная кровля №35</t>
  </si>
  <si>
    <t>Стойка каркаса по фронтону, односкатная кровля №36</t>
  </si>
  <si>
    <t>Стойка каркаса по фронтону, односкатная кровля №37</t>
  </si>
  <si>
    <t>Стойка каркаса по фронтону, односкатная кровля №38</t>
  </si>
  <si>
    <t>Стойка каркаса по фронтону, односкатная кровля №39</t>
  </si>
  <si>
    <t>Стойка каркаса по фронтону, односкатная кровля №40</t>
  </si>
  <si>
    <t>Стойка каркаса по фронтону, односкатная кровля №41</t>
  </si>
  <si>
    <t>Стойки каркаса, левая сторона 2 эт</t>
  </si>
  <si>
    <t>Стойки каркаса, правая сторона 2 эт</t>
  </si>
  <si>
    <t>Стойки каркаса передней/задней стены 2 эт</t>
  </si>
  <si>
    <t>Стойки для окон вертикальные</t>
  </si>
  <si>
    <t>Перекладины для окон горизонтальные, 1</t>
  </si>
  <si>
    <t>Перекладины для окон горизонтальные, 2</t>
  </si>
  <si>
    <t>Перекладины для окон горизонтальные, 3</t>
  </si>
  <si>
    <t>Перекладины для окон горизонтальные, 4</t>
  </si>
  <si>
    <t>Перекладины для окон горизонтальные, 5</t>
  </si>
  <si>
    <t>Стойки для входных дверей вертикальные</t>
  </si>
  <si>
    <t>Перекладины для входных дверей горизонтальные,1</t>
  </si>
  <si>
    <t>Перекладины для входных дверей горизонтальные,2</t>
  </si>
  <si>
    <t>Перекладины для входных дверей горизонтальные,3</t>
  </si>
  <si>
    <t>Перекладины для входных дверей горизонтальные,4</t>
  </si>
  <si>
    <t>Перекладины для входных дверей горизонтальные,5</t>
  </si>
  <si>
    <t>Стойки для межкомнатных дверей вертикальные</t>
  </si>
  <si>
    <t>Перекладины для межкомнатных дверей горизонтальные,1</t>
  </si>
  <si>
    <t>Перекладины для межкомнатных дверей горизонтальные,2</t>
  </si>
  <si>
    <t>Перекладины для межкомнатных дверей горизонтальные,3</t>
  </si>
  <si>
    <t>Перекладины для межкомнатных дверей горизонтальные,4</t>
  </si>
  <si>
    <t>Стойки для проемов вертикальные</t>
  </si>
  <si>
    <t>Перекладины для проемов горизонтальные,1</t>
  </si>
  <si>
    <t>Перекладины для проемов горизонтальные,2</t>
  </si>
  <si>
    <t>двери межк</t>
  </si>
  <si>
    <t>несущие перегододки 1 эт по оси Х</t>
  </si>
  <si>
    <t>перегододки 1 эт по оси Х</t>
  </si>
  <si>
    <t>несущие перегододки 1 эт по оси Y</t>
  </si>
  <si>
    <t>перегододки 1 эт по оси Y</t>
  </si>
  <si>
    <t>передняя стена эркера</t>
  </si>
  <si>
    <t>боковая стена эркера</t>
  </si>
  <si>
    <t>косая стена эркера</t>
  </si>
  <si>
    <t>передняя стена пристройки</t>
  </si>
  <si>
    <t>Боковая стена пристройки левая</t>
  </si>
  <si>
    <t>боковая стена пристройки правая</t>
  </si>
  <si>
    <t>выбор по этажности пристройки фронтона высоту 1 эт</t>
  </si>
  <si>
    <t>условие , если пристройка в 1 этаж</t>
  </si>
  <si>
    <t>левая половина фронтона для односкатной кровли</t>
  </si>
  <si>
    <t>количество стоек каркаса фронтона</t>
  </si>
  <si>
    <t>разница по высоте стоек каркаса на фронтоне 1 пристр</t>
  </si>
  <si>
    <t>разница по высоте стоек каркаса на фронтоне 2 пристр</t>
  </si>
  <si>
    <t>разница по высоте стоек каркаса на фронтоне 3 пристр</t>
  </si>
  <si>
    <t>разница по высоте стоек каркаса на фронтоне 4 пристр</t>
  </si>
  <si>
    <t>Пристройка №1 1 этаж</t>
  </si>
  <si>
    <t>Стойки каркаса передней стены 1 эт</t>
  </si>
  <si>
    <t>Стойка каркаса по фронтону, 1 этаж, односкатная кровля, №1</t>
  </si>
  <si>
    <t>Стойка каркаса по фронтону, 1 этаж, односкатная кровля, №2</t>
  </si>
  <si>
    <t>Стойка каркаса по фронтону, 1 этаж, односкатная кровля, №3</t>
  </si>
  <si>
    <t>Стойка каркаса по фронтону, 1 этаж, односкатная кровля, №4</t>
  </si>
  <si>
    <t>Стойка каркаса по фронтону, 1 этаж, односкатная кровля, №5</t>
  </si>
  <si>
    <t>Стойка каркаса по фронтону, 1 этаж, односкатная кровля, №6</t>
  </si>
  <si>
    <t>Стойка каркаса по фронтону, 1 этаж, односкатная кровля, №7</t>
  </si>
  <si>
    <t>Стойка каркаса по фронтону, 1 этаж, односкатная кровля, №8</t>
  </si>
  <si>
    <t>Стойка каркаса по фронтону, 1 этаж, односкатная кровля, №9</t>
  </si>
  <si>
    <t>Стойка каркаса по фронтону, 1 этаж, односкатная кровля, №10</t>
  </si>
  <si>
    <t>Стойка каркаса по фронтону, 1 этаж, односкатная кровля, №11</t>
  </si>
  <si>
    <t>Стойка каркаса по фронтону, 1 этаж, односкатная кровля, №12</t>
  </si>
  <si>
    <t>Стойка каркаса по фронтону, 1 этаж, односкатная кровля, №13</t>
  </si>
  <si>
    <t>Стойка каркаса по фронтону, 1 этаж, односкатная кровля, №14</t>
  </si>
  <si>
    <t>Стойка каркаса по фронтону, 1 этаж, односкатная кровля, №15</t>
  </si>
  <si>
    <t>Стойка каркаса по фронтону, 1 этаж, односкатная кровля, №16</t>
  </si>
  <si>
    <t>Стойка каркаса по фронтону, 1 этаж, односкатная кровля, №17</t>
  </si>
  <si>
    <t>Стойка каркаса по фронтону, 1 этаж, двускатная кровля, №1</t>
  </si>
  <si>
    <t>Стойка каркаса по фронтону, 1 этаж, двускатная кровля, №2</t>
  </si>
  <si>
    <t>Стойка каркаса по фронтону, 1 этаж, двускатная кровля, №3</t>
  </si>
  <si>
    <t>Стойка каркаса по фронтону, 1 этаж, двускатная кровля, №4</t>
  </si>
  <si>
    <t>Стойка каркаса по фронтону, 1 этаж, двускатная кровля, №5</t>
  </si>
  <si>
    <t>Стойка каркаса по фронтону, 1 этаж, двускатная кровля, №6</t>
  </si>
  <si>
    <t>Стойка каркаса по фронтону, 1 этаж, двускатная кровля, №7</t>
  </si>
  <si>
    <t>Стойка каркаса по фронтону, 1 этаж, двускатная кровля, №8</t>
  </si>
  <si>
    <t>Стойка каркаса по фронтону, 1 этаж, двускатная кровля, №9</t>
  </si>
  <si>
    <t>Стойка каркаса по фронтону, 1 этаж, двускатная кровля, №10</t>
  </si>
  <si>
    <t>Стойка каркаса по фронтону, 1 этаж, двускатная кровля, №11</t>
  </si>
  <si>
    <t>Стойка каркаса по фронтону, 1 этаж, двускатная кровля, №12</t>
  </si>
  <si>
    <t>Стойка каркаса по фронтону, 1 этаж, двускатная кровля, №13</t>
  </si>
  <si>
    <t>Стойка каркаса по фронтону, 1 этаж, двускатная кровля, №14</t>
  </si>
  <si>
    <t>Стойка каркаса по фронтону, 1 этаж, двускатная кровля, №15</t>
  </si>
  <si>
    <t>Стойка каркаса по фронтону, 1 этаж, двускатная кровля, №16</t>
  </si>
  <si>
    <t>Стойка каркаса по фронтону, 1 этаж, двускатная кровля, №17</t>
  </si>
  <si>
    <t>Пристройка №2 1 этаж</t>
  </si>
  <si>
    <t>Пристройка №3 1 этаж</t>
  </si>
  <si>
    <t>Пристройка №4 1 этаж</t>
  </si>
  <si>
    <t>Эркер 1 этаж</t>
  </si>
  <si>
    <t>Стойка каркаса 1 этаж</t>
  </si>
  <si>
    <t>Обвязка нижняя/верхняя стен каркаса 1 этаж</t>
  </si>
  <si>
    <t>Ригель каркаса, 1 этаж</t>
  </si>
  <si>
    <t>площадь стен наруж пристройки 1 эт</t>
  </si>
  <si>
    <t>площадь стен перекр 0эт пристр</t>
  </si>
  <si>
    <t>площадь стен перекр 1эт пристр</t>
  </si>
  <si>
    <t>S стен общая наружняя 1 этажа</t>
  </si>
  <si>
    <t>отняьть</t>
  </si>
  <si>
    <t>S стен внутри наружних 1 этажа</t>
  </si>
  <si>
    <t>площадь стен эркера наружних</t>
  </si>
  <si>
    <t>S перекрытий стен 0-го этажа</t>
  </si>
  <si>
    <t>S перекрытий стен 1-го этажа</t>
  </si>
  <si>
    <t>S стен наружних 1 эт общая</t>
  </si>
  <si>
    <t>отнять</t>
  </si>
  <si>
    <t>площадь наружних стен</t>
  </si>
  <si>
    <t>площадь несущих перегородок</t>
  </si>
  <si>
    <t>площадь прост перегородок</t>
  </si>
  <si>
    <t>площадь наружних стен общая</t>
  </si>
  <si>
    <t>S внутри наружних стен</t>
  </si>
  <si>
    <t>для газобетона</t>
  </si>
  <si>
    <t>площадь стен перекрытий 0 эт</t>
  </si>
  <si>
    <t>площадь стен перекрытий 1 эт</t>
  </si>
  <si>
    <t>длина арматуры</t>
  </si>
  <si>
    <t>периметр перегородок</t>
  </si>
  <si>
    <t>площадь стен по полу 1-го этажа</t>
  </si>
  <si>
    <t>прибавить площадь стен по полу первого этажа</t>
  </si>
  <si>
    <t>ОТНЯТЬ</t>
  </si>
  <si>
    <t>Второй этаж</t>
  </si>
  <si>
    <t>двери межк и проемы</t>
  </si>
  <si>
    <t>высота левой аттик стены</t>
  </si>
  <si>
    <t>высота правой аттик стены</t>
  </si>
  <si>
    <t>Левая боковой стена 2 эт</t>
  </si>
  <si>
    <t>Правая боковой стена 2 эт</t>
  </si>
  <si>
    <t>S наружних стен без учета фронтона</t>
  </si>
  <si>
    <t>односкатная кровля</t>
  </si>
  <si>
    <t>размер дома</t>
  </si>
  <si>
    <t>длина фронтона 2</t>
  </si>
  <si>
    <t xml:space="preserve">длина фронтона1 </t>
  </si>
  <si>
    <t>кол во стоек 1</t>
  </si>
  <si>
    <t>кол во стоек 2</t>
  </si>
  <si>
    <t>разница 1</t>
  </si>
  <si>
    <t>разница 2</t>
  </si>
  <si>
    <t>условие если дом в 2 этажа</t>
  </si>
  <si>
    <t>Стойки каркаса левой боковой стены 2 эт</t>
  </si>
  <si>
    <t>Обвязка каркаса фронтона верхняя,двускатная кровля</t>
  </si>
  <si>
    <t>Обвязка каркаса фронтона нижняя,двускатная кровля</t>
  </si>
  <si>
    <t>Ригель каркаса фронтона,двускатная кровля</t>
  </si>
  <si>
    <t>Обвязка каркаса верхняя/нижняя наружние стены 2 эт</t>
  </si>
  <si>
    <t>Ригель каркаса наружние стены 2 эт</t>
  </si>
  <si>
    <t>Стойка каркаса, несущие перегородки, 2 этаж</t>
  </si>
  <si>
    <t>Обвязка несущих перегородок верх, 2 этаж</t>
  </si>
  <si>
    <t>Ригель несущих перегородок, 2 этаж</t>
  </si>
  <si>
    <t>Стойка каркаса, перегородки, 2 этаж</t>
  </si>
  <si>
    <t>Обвязка перегородок верх, 2 этаж</t>
  </si>
  <si>
    <t>Стойка каркаса по фронтону, левая сторона, двускатная кровля №1</t>
  </si>
  <si>
    <t>Стойка каркаса по фронтону, левая сторона, двускатная кровля №2</t>
  </si>
  <si>
    <t>Стойка каркаса по фронтону, левая сторона, двускатная кровля №3</t>
  </si>
  <si>
    <t>Стойка каркаса по фронтону, левая сторона, двускатная кровля №4</t>
  </si>
  <si>
    <t>Стойка каркаса по фронтону, левая сторона, двускатная кровля №5</t>
  </si>
  <si>
    <t>Стойка каркаса по фронтону, левая сторона, двускатная кровля №6</t>
  </si>
  <si>
    <t>Стойка каркаса по фронтону, левая сторона, двускатная кровля №7</t>
  </si>
  <si>
    <t>Стойка каркаса по фронтону, левая сторона, двускатная кровля №8</t>
  </si>
  <si>
    <t>Стойка каркаса по фронтону, левая сторона, двускатная кровля №9</t>
  </si>
  <si>
    <t>Стойка каркаса по фронтону, левая сторона, двускатная кровля №10</t>
  </si>
  <si>
    <t>Стойка каркаса по фронтону, левая сторона, двускатная кровля №11</t>
  </si>
  <si>
    <t>Стойка каркаса по фронтону, левая сторона, двускатная кровля №12</t>
  </si>
  <si>
    <t>Стойка каркаса по фронтону, левая сторона, двускатная кровля №13</t>
  </si>
  <si>
    <t>Стойка каркаса по фронтону, левая сторона, двускатная кровля №14</t>
  </si>
  <si>
    <t>Стойка каркаса по фронтону, левая сторона, двускатная кровля №15</t>
  </si>
  <si>
    <t>Стойка каркаса по фронтону, левая сторона, двускатная кровля №16</t>
  </si>
  <si>
    <t>Стойка каркаса по фронтону, левая сторона, двускатная кровля №17</t>
  </si>
  <si>
    <t>Стойка каркаса по фронтону, левая сторона, двускатная кровля №18</t>
  </si>
  <si>
    <t>Стойка каркаса по фронтону, левая сторона, двускатная кровля №19</t>
  </si>
  <si>
    <t>Стойка каркаса по фронтону, левая сторона, двускатная кровля №20</t>
  </si>
  <si>
    <t>Стойка каркаса по фронтону, левая сторона, двускатная кровля №21</t>
  </si>
  <si>
    <t>Стойка каркаса по фронтону, левая сторона, двускатная кровля №22</t>
  </si>
  <si>
    <t>Стойка каркаса по фронтону, левая сторона, двускатная кровля №23</t>
  </si>
  <si>
    <t>Стойка каркаса по фронтону, левая сторона, двускатная кровля №24</t>
  </si>
  <si>
    <t>Стойка каркаса по фронтону, левая сторона, двускатная кровля №25</t>
  </si>
  <si>
    <t>Стойка каркаса по фронтону, левая сторона, двускатная кровля №26</t>
  </si>
  <si>
    <t>Стойка каркаса по фронтону, левая сторона, двускатная кровля №27</t>
  </si>
  <si>
    <t>Стойка каркаса по фронтону, левая сторона, двускатная кровля №28</t>
  </si>
  <si>
    <t>Стойка каркаса по фронтону, левая сторона, двускатная кровля №29</t>
  </si>
  <si>
    <t>Стойка каркаса по фронтону, левая сторона, двускатная кровля №30</t>
  </si>
  <si>
    <t>Стойка каркаса по фронтону, левая сторона, двускатная кровля №31</t>
  </si>
  <si>
    <t>Стойка каркаса по фронтону, левая сторона, двускатная кровля №32</t>
  </si>
  <si>
    <t>Стойка каркаса по фронтону, левая сторона, двускатная кровля №33</t>
  </si>
  <si>
    <t>Стойка каркаса по фронтону, левая сторона, двускатная кровля №34</t>
  </si>
  <si>
    <t>Стойка каркаса по фронтону, левая сторона, двускатная кровля №35</t>
  </si>
  <si>
    <t>Стойка каркаса по фронтону, левая сторона, двускатная кровля №36</t>
  </si>
  <si>
    <t>Стойка каркаса по фронтону, левая сторона, двускатная кровля №37</t>
  </si>
  <si>
    <t>Стойка каркаса по фронтону, левая сторона, двускатная кровля №38</t>
  </si>
  <si>
    <t>Стойка каркаса по фронтону, левая сторона, двускатная кровля №39</t>
  </si>
  <si>
    <t>Стойка каркаса по фронтону, левая сторона, двускатная кровля №40</t>
  </si>
  <si>
    <t>Стойка каркаса по фронтону, левая сторона, двускатная кровля №41</t>
  </si>
  <si>
    <t>Стойка каркаса по фронтону, левая сторона, двускатная кровля №42</t>
  </si>
  <si>
    <t>Стойка каркаса по фронтону, левая сторона, двускатная кровля №43</t>
  </si>
  <si>
    <t>Стойка каркаса по фронтону, левая сторона, двускатная кровля №44</t>
  </si>
  <si>
    <t>Стойка каркаса по фронтону, левая сторона, двускатная кровля №45</t>
  </si>
  <si>
    <t>Стойка каркаса по фронтону, левая сторона, двускатная кровля №46</t>
  </si>
  <si>
    <t>Стойка каркаса по фронтону, левая сторона, двускатная кровля №47</t>
  </si>
  <si>
    <t>Стойка каркаса по фронтону, левая сторона, двускатная кровля №48</t>
  </si>
  <si>
    <t>Стойка каркаса по фронтону, левая сторона, двускатная кровля №49</t>
  </si>
  <si>
    <t>Стойка каркаса по фронтону, левая сторона, двускатная кровля №50</t>
  </si>
  <si>
    <t>Стойка каркаса по фронтону, левая сторона, двускатная кровля №51</t>
  </si>
  <si>
    <t>Стойка каркаса по фронтону, левая сторона, двускатная кровля №52</t>
  </si>
  <si>
    <t>Стойка каркаса по фронтону, левая сторона, двускатная кровля №53</t>
  </si>
  <si>
    <t>Стойка каркаса по фронтону, левая сторона, двускатная кровля №54</t>
  </si>
  <si>
    <t>Стойка каркаса по фронтону, левая сторона, двускатная кровля №55</t>
  </si>
  <si>
    <t>Стойка каркаса по фронтону, левая сторона, двускатная кровля №56</t>
  </si>
  <si>
    <t>Стойка каркаса по фронтону, левая сторона, двускатная кровля №57</t>
  </si>
  <si>
    <t>Стойка каркаса по фронтону, левая сторона, двускатная кровля №58</t>
  </si>
  <si>
    <t>Стойка каркаса по фронтону, левая сторона, двускатная кровля №59</t>
  </si>
  <si>
    <t>Стойка каркаса по фронтону, левая сторона, двускатная кровля №60</t>
  </si>
  <si>
    <t>Стойка каркаса по фронтону, левая сторона, двускатная кровля №61</t>
  </si>
  <si>
    <t>Стойка каркаса по фронтону, левая сторона, двускатная кровля №62</t>
  </si>
  <si>
    <t>Стойки каркаса правой боковой стены 2 эт</t>
  </si>
  <si>
    <t>Обвязка каркаса нижняя</t>
  </si>
  <si>
    <t>Обвязка каркаса верхняя</t>
  </si>
  <si>
    <t>Стойки каркаса передней стены 2 эт</t>
  </si>
  <si>
    <t>Стойки каркаса задней стены 2 эт</t>
  </si>
  <si>
    <t>Стойки каркаса, левая/правая сторона 2 эт</t>
  </si>
  <si>
    <t>если второго этажа нет коэффициент</t>
  </si>
  <si>
    <t>коэфф для эркера второго этажа</t>
  </si>
  <si>
    <t>коэфф для пристр второго этажа</t>
  </si>
  <si>
    <t>Условие если пристройка в 2 этажа</t>
  </si>
  <si>
    <t>для односкатной кровли</t>
  </si>
  <si>
    <t>для двускатной кровли</t>
  </si>
  <si>
    <t>Пристройка №1 2 этаж</t>
  </si>
  <si>
    <t>Стойки каркаса передняя стена, 2 эт</t>
  </si>
  <si>
    <t>Стойки каркаса , левая стена, 2 эт</t>
  </si>
  <si>
    <t>Стойки каркаса , правая стена, 2 эт</t>
  </si>
  <si>
    <t>Укосина наружних стен, усиление 2 этаж</t>
  </si>
  <si>
    <t>Стойка каркаса по фронтону, 2 этаж, односкатная кровля, №1</t>
  </si>
  <si>
    <t>Стойка каркаса по фронтону, 2 этаж, односкатная кровля, №2</t>
  </si>
  <si>
    <t>Стойка каркаса по фронтону, 2 этаж, односкатная кровля, №3</t>
  </si>
  <si>
    <t>Стойка каркаса по фронтону, 2 этаж, односкатная кровля, №4</t>
  </si>
  <si>
    <t>Стойка каркаса по фронтону, 2 этаж, односкатная кровля, №5</t>
  </si>
  <si>
    <t>Стойка каркаса по фронтону, 2 этаж, односкатная кровля, №6</t>
  </si>
  <si>
    <t>Стойка каркаса по фронтону, 2 этаж, односкатная кровля, №7</t>
  </si>
  <si>
    <t>Стойка каркаса по фронтону, 2 этаж, односкатная кровля, №8</t>
  </si>
  <si>
    <t>Стойка каркаса по фронтону, 2 этаж, односкатная кровля, №9</t>
  </si>
  <si>
    <t>Стойка каркаса по фронтону, 2 этаж, односкатная кровля, №10</t>
  </si>
  <si>
    <t>Стойка каркаса по фронтону, 2 этаж, односкатная кровля, №11</t>
  </si>
  <si>
    <t>Стойка каркаса по фронтону, 2 этаж, односкатная кровля, №12</t>
  </si>
  <si>
    <t>Стойка каркаса по фронтону, 2 этаж, односкатная кровля, №13</t>
  </si>
  <si>
    <t>Стойка каркаса по фронтону, 2 этаж, односкатная кровля, №14</t>
  </si>
  <si>
    <t>Стойка каркаса по фронтону, 2 этаж, односкатная кровля, №15</t>
  </si>
  <si>
    <t>Стойка каркаса по фронтону, 2 этаж, односкатная кровля, №16</t>
  </si>
  <si>
    <t>Стойка каркаса по фронтону, 2 этаж, односкатная кровля, №17</t>
  </si>
  <si>
    <t>Стойка каркаса по фронтону, 2 этаж, двускатная кровля, №1</t>
  </si>
  <si>
    <t>Стойка каркаса по фронтону, 2 этаж, двускатная кровля, №2</t>
  </si>
  <si>
    <t>Стойка каркаса по фронтону, 2 этаж, двускатная кровля, №3</t>
  </si>
  <si>
    <t>Стойка каркаса по фронтону, 2 этаж, двускатная кровля, №4</t>
  </si>
  <si>
    <t>Стойка каркаса по фронтону, 2 этаж, двускатная кровля, №5</t>
  </si>
  <si>
    <t>Стойка каркаса по фронтону, 2 этаж, двускатная кровля, №6</t>
  </si>
  <si>
    <t>Стойка каркаса по фронтону, 2 этаж, двускатная кровля, №7</t>
  </si>
  <si>
    <t>Стойка каркаса по фронтону, 2 этаж, двускатная кровля, №8</t>
  </si>
  <si>
    <t>Стойка каркаса по фронтону, 2 этаж, двускатная кровля, №9</t>
  </si>
  <si>
    <t>Стойка каркаса по фронтону, 2 этаж, двускатная кровля, №10</t>
  </si>
  <si>
    <t>Стойка каркаса по фронтону, 2 этаж, двускатная кровля, №11</t>
  </si>
  <si>
    <t>Стойка каркаса по фронтону, 2 этаж, двускатная кровля, №12</t>
  </si>
  <si>
    <t>Стойка каркаса по фронтону, 2 этаж, двускатная кровля, №13</t>
  </si>
  <si>
    <t>Стойка каркаса по фронтону, 2 этаж, двускатная кровля, №14</t>
  </si>
  <si>
    <t>Стойка каркаса по фронтону, 2 этаж, двускатная кровля, №15</t>
  </si>
  <si>
    <t>Стойка каркаса по фронтону, 2 этаж, двускатная кровля, №16</t>
  </si>
  <si>
    <t>Стойка каркаса по фронтону, 2 этаж, двускатная кровля, №17</t>
  </si>
  <si>
    <t>Пристройка №2 2 этаж</t>
  </si>
  <si>
    <t>Пристройка №3 2 этаж</t>
  </si>
  <si>
    <t>Пристройка №4 2 этаж</t>
  </si>
  <si>
    <t>площадь стен наруж пристройки 2 эт</t>
  </si>
  <si>
    <t>площадь стен перекр пристр</t>
  </si>
  <si>
    <t>S стен общая наружняя 2 этажа</t>
  </si>
  <si>
    <t>S стен внутри наружних 2 этажа</t>
  </si>
  <si>
    <t>площадь стен по полу 2-го этажа</t>
  </si>
  <si>
    <t>S перекрытий стен 2-го этажа</t>
  </si>
  <si>
    <t>S стен наружних 2 эт общая</t>
  </si>
  <si>
    <t>плоащадь внутренних стен</t>
  </si>
  <si>
    <t>площадь стен перекрытий 2 эт</t>
  </si>
  <si>
    <t>Второй этаж пристройки</t>
  </si>
  <si>
    <t>Односкатная кровля на пристройке</t>
  </si>
  <si>
    <t>Первый этаж пристройки</t>
  </si>
  <si>
    <t>высота аттиковой стены</t>
  </si>
  <si>
    <t>пристройки для стоек каркаса</t>
  </si>
  <si>
    <t xml:space="preserve">перекрытия   </t>
  </si>
  <si>
    <t>перегородки</t>
  </si>
  <si>
    <t xml:space="preserve">S   </t>
  </si>
  <si>
    <t>нар стены</t>
  </si>
  <si>
    <t>несущ</t>
  </si>
  <si>
    <t>простые</t>
  </si>
  <si>
    <t>Перекрытия 0 этажа</t>
  </si>
  <si>
    <t>площадь в доме не используется</t>
  </si>
  <si>
    <t>площадь стен</t>
  </si>
  <si>
    <t xml:space="preserve">Пол </t>
  </si>
  <si>
    <t>общая</t>
  </si>
  <si>
    <t>перегородки стены 1-го этажа</t>
  </si>
  <si>
    <t>перегородки стены 2-го этажа</t>
  </si>
  <si>
    <t>Потолок второго этажа</t>
  </si>
  <si>
    <t>S перекрытия кровли</t>
  </si>
  <si>
    <t>S наклонной кровли</t>
  </si>
  <si>
    <t>S потолок кровли общая</t>
  </si>
  <si>
    <t>перекрытие пол потолок</t>
  </si>
  <si>
    <t>высотам</t>
  </si>
  <si>
    <t>длина ленты фундамента</t>
  </si>
  <si>
    <t>S общая</t>
  </si>
  <si>
    <t>Полувальмовая</t>
  </si>
  <si>
    <t>односкатная</t>
  </si>
  <si>
    <t>высота до края ската</t>
  </si>
  <si>
    <t>высота до излома</t>
  </si>
  <si>
    <t>высота торцевой доски</t>
  </si>
  <si>
    <t>угол наклона кровли 1 верхний карниз</t>
  </si>
  <si>
    <t>рад</t>
  </si>
  <si>
    <t>угол наклона кровли 2 фронтон</t>
  </si>
  <si>
    <t>карниз</t>
  </si>
  <si>
    <t>угол наклона кровли 3 карниз</t>
  </si>
  <si>
    <t>едизм</t>
  </si>
  <si>
    <t>мауэрлат, вар1</t>
  </si>
  <si>
    <t>мауэрлат, вар2</t>
  </si>
  <si>
    <t>высота от аттиковой стены до конька, Е</t>
  </si>
  <si>
    <t>высота от аттик стены до перекрытия</t>
  </si>
  <si>
    <t>высота от перекрытия 2 эт до конька</t>
  </si>
  <si>
    <t>уклон нижнего ската от аттик стены</t>
  </si>
  <si>
    <t>длина ската без выпуска по ширине дома</t>
  </si>
  <si>
    <t>ДЛИНА СКАТА ПОТОЛОК</t>
  </si>
  <si>
    <t>длина ската без выпуска по длине дома</t>
  </si>
  <si>
    <t>угол наклона ската, рад</t>
  </si>
  <si>
    <t>градусы</t>
  </si>
  <si>
    <t>противоположный угол в градусах</t>
  </si>
  <si>
    <t>угол противоположный, в радианах</t>
  </si>
  <si>
    <t>выпуск кровли по карнизу</t>
  </si>
  <si>
    <t>длина кровли карниза1, вар 1, вар 2</t>
  </si>
  <si>
    <t>длина кровли карниза2, вар1, вар 2</t>
  </si>
  <si>
    <t>Длина кровли М вар1</t>
  </si>
  <si>
    <t>Длина кровли М вар2</t>
  </si>
  <si>
    <t>Длина кровли М1 вар2</t>
  </si>
  <si>
    <t>Длина горизонт выпуска фронтон</t>
  </si>
  <si>
    <t>Длина ската по фронтону без выпус</t>
  </si>
  <si>
    <t>Длина конька без выпускам, O, вар1</t>
  </si>
  <si>
    <t>Длина конька без выпускам, O, вар2</t>
  </si>
  <si>
    <t>Длина конька с выпускам, O, вар1</t>
  </si>
  <si>
    <t>Длина конька с выпускам, O, вар2</t>
  </si>
  <si>
    <t>длина ската по фронтону с выпуском</t>
  </si>
  <si>
    <t>Длина ската по карнизу, F/ 1 скат ниж</t>
  </si>
  <si>
    <t>Длина ската с выпуском по карнизу</t>
  </si>
  <si>
    <t>Длина ската по карнизу, F1/2 скат верх</t>
  </si>
  <si>
    <t>катет К, по фронтону длине</t>
  </si>
  <si>
    <t>катет N, по длине карниза</t>
  </si>
  <si>
    <t>S ската по  фронтону G</t>
  </si>
  <si>
    <t>S ската по  карнизу H</t>
  </si>
  <si>
    <t>S нижнего ската полувальмовой кровли</t>
  </si>
  <si>
    <t>S верхнего ската карниз</t>
  </si>
  <si>
    <t>S кровли без выпусков, вар1</t>
  </si>
  <si>
    <t>S кровли без выпусков, вар2</t>
  </si>
  <si>
    <t>S выпусков, подшивка, вар1</t>
  </si>
  <si>
    <t>S выпусков, подшивка, вар2</t>
  </si>
  <si>
    <t>S кровли с выпусками, вар1</t>
  </si>
  <si>
    <t>S кровли с выпусками, вар2</t>
  </si>
  <si>
    <t>S материала для кровли, вар1</t>
  </si>
  <si>
    <t>S материала для кровли, вар2</t>
  </si>
  <si>
    <t>S фронтона, вар1</t>
  </si>
  <si>
    <t>S фронтона, вар2</t>
  </si>
  <si>
    <t>гипотенуза кровли от конька до перекры</t>
  </si>
  <si>
    <t>потолок кровли с перекрытием</t>
  </si>
  <si>
    <t>S  перекрытий 2 эт</t>
  </si>
  <si>
    <t>S наклонный потолок</t>
  </si>
  <si>
    <t>ширина перекрытия 2 этажа</t>
  </si>
  <si>
    <t>длина катета по наклонной части потолка</t>
  </si>
  <si>
    <t>длина наклонной части потолка</t>
  </si>
  <si>
    <t>водосточка,вар 1</t>
  </si>
  <si>
    <t>водосточка,вар 2</t>
  </si>
  <si>
    <t>капельник, вар1</t>
  </si>
  <si>
    <t>капельник, вар2</t>
  </si>
  <si>
    <t>торцевая планка, вар1</t>
  </si>
  <si>
    <t>торцевая планка, вар2</t>
  </si>
  <si>
    <t>кровли все</t>
  </si>
  <si>
    <t>вариант</t>
  </si>
  <si>
    <t>количество</t>
  </si>
  <si>
    <t>высота до конька, P</t>
  </si>
  <si>
    <t>высота прямой стены</t>
  </si>
  <si>
    <t>скат</t>
  </si>
  <si>
    <t>ендова вн</t>
  </si>
  <si>
    <t>длина ската конька, T</t>
  </si>
  <si>
    <t>Ендова внутренняя, вариант 1, R</t>
  </si>
  <si>
    <t>конек мат</t>
  </si>
  <si>
    <t>Ендова внутренняя, вариант 2, R</t>
  </si>
  <si>
    <t>S кровли, вариант 1</t>
  </si>
  <si>
    <t>енд по дому</t>
  </si>
  <si>
    <t>S на  основной кровле</t>
  </si>
  <si>
    <t>S матеиала</t>
  </si>
  <si>
    <t>S материала для кровли, Вар 1</t>
  </si>
  <si>
    <t>S стен на кр</t>
  </si>
  <si>
    <t>конек по материалам</t>
  </si>
  <si>
    <t>S  на доме</t>
  </si>
  <si>
    <t>капельник</t>
  </si>
  <si>
    <t>длина ендовы внутренней по дому</t>
  </si>
  <si>
    <t>стропило, высота</t>
  </si>
  <si>
    <t>ручной ввод</t>
  </si>
  <si>
    <t>Считать Эркер</t>
  </si>
  <si>
    <t>Считать лаги</t>
  </si>
  <si>
    <t>Считать перекрытие 1 эт</t>
  </si>
  <si>
    <t>Считать перекрытие 2 эт</t>
  </si>
  <si>
    <t>Длина Н6</t>
  </si>
  <si>
    <t>Длина Н7</t>
  </si>
  <si>
    <t>Длина Н8</t>
  </si>
  <si>
    <t>длина 8</t>
  </si>
  <si>
    <t>Высота 1 эт</t>
  </si>
  <si>
    <t>Высота Н10</t>
  </si>
  <si>
    <t>Длина Н11</t>
  </si>
  <si>
    <t>Длина Н12</t>
  </si>
  <si>
    <t>Высота 2 эт</t>
  </si>
  <si>
    <t>Высота внешних углов 1 эт</t>
  </si>
  <si>
    <t>Высота внешних углов 2 эт</t>
  </si>
  <si>
    <t>Высота внутренних углов 1 эт</t>
  </si>
  <si>
    <t>Высота внутренних углов 2эт</t>
  </si>
  <si>
    <t>S стен 1 эт отнять</t>
  </si>
  <si>
    <t>S стен 2 этажа отнять</t>
  </si>
  <si>
    <t>S перекрытия 0 этажа</t>
  </si>
  <si>
    <t>S перекрытия 1 этажа</t>
  </si>
  <si>
    <t>S стен общая</t>
  </si>
  <si>
    <t>S стен чистая</t>
  </si>
  <si>
    <t>Кровля</t>
  </si>
  <si>
    <t>длина ската, L1</t>
  </si>
  <si>
    <t>длина выпуска по скату</t>
  </si>
  <si>
    <t>угол уклона ската L1</t>
  </si>
  <si>
    <t>длина выпуска по скату L1</t>
  </si>
  <si>
    <t>длина ската, L2</t>
  </si>
  <si>
    <t>длина ската, L3</t>
  </si>
  <si>
    <t>длина L1 с выпуском</t>
  </si>
  <si>
    <t>S стен в доме</t>
  </si>
  <si>
    <t>длина L2 с выпуском</t>
  </si>
  <si>
    <t>прибавить</t>
  </si>
  <si>
    <t>длина L3 с выпуском</t>
  </si>
  <si>
    <t>Считать кровлю на эркере</t>
  </si>
  <si>
    <t>S кровли с выпуском</t>
  </si>
  <si>
    <t>Материал для кровли</t>
  </si>
  <si>
    <t>площадь кровли</t>
  </si>
  <si>
    <t>длина скат</t>
  </si>
  <si>
    <t>S 1</t>
  </si>
  <si>
    <t>S 2</t>
  </si>
  <si>
    <t>площадь по полу</t>
  </si>
  <si>
    <t>S 3</t>
  </si>
  <si>
    <t>длина углов внутр ендова</t>
  </si>
  <si>
    <t>площадь кровли по работе</t>
  </si>
  <si>
    <t>ендова внешняя угол</t>
  </si>
  <si>
    <t>площ кровли по материалу</t>
  </si>
  <si>
    <t>Считать фундамент</t>
  </si>
  <si>
    <t>чистая площадь, утепление кровли</t>
  </si>
  <si>
    <t>Размеры оконных проемов</t>
  </si>
  <si>
    <t>Размеры дверных проемов</t>
  </si>
  <si>
    <t>Общ. площадь</t>
  </si>
  <si>
    <t>общ площ</t>
  </si>
  <si>
    <t>Итого, площадь окон, м2</t>
  </si>
  <si>
    <t>ПЛ несущие дверей межк. 1 этаж, м2</t>
  </si>
  <si>
    <t>ПЛ простые дверей межк. 1 этаж, м2</t>
  </si>
  <si>
    <t>Пл несущие дверей межк. 2 этаж, м2</t>
  </si>
  <si>
    <t>Пл простые дверей межк. 2 этаж, м2</t>
  </si>
  <si>
    <t>Длина проемов несущие первый этаж</t>
  </si>
  <si>
    <t>Длина проемов простые первый этаж</t>
  </si>
  <si>
    <t>Общ. Площадь</t>
  </si>
  <si>
    <t>Парадная</t>
  </si>
  <si>
    <t>Итого, площадь балкона,м2</t>
  </si>
  <si>
    <t>Итого, площадь наружних дверей,м2</t>
  </si>
  <si>
    <t>окна двери</t>
  </si>
  <si>
    <t>Размеры, необходимые для точного расчета стоимости строительства дома</t>
  </si>
  <si>
    <t>этажность</t>
  </si>
  <si>
    <t>высота до конька  от перекрыт</t>
  </si>
  <si>
    <t>размеры дома</t>
  </si>
  <si>
    <t xml:space="preserve">длина </t>
  </si>
  <si>
    <t>общая площ</t>
  </si>
  <si>
    <t>катет от кр</t>
  </si>
  <si>
    <t>ед. изм.</t>
  </si>
  <si>
    <t>длина пер</t>
  </si>
  <si>
    <t>катет от кровли</t>
  </si>
  <si>
    <t>Длина несущих перегородок на 1-ом этаже по оси Х перемычки фундамента</t>
  </si>
  <si>
    <t>Длина несущих перегородок на 2-ом этаже по оси Х</t>
  </si>
  <si>
    <t xml:space="preserve">Длина перегородок на 1-ом этаже по оси Х </t>
  </si>
  <si>
    <t>Длина перегородок на 2-ом этаже по оси Х</t>
  </si>
  <si>
    <t>Длина несущих перегородок на 1-ом этаже по оси Y перемычки фундамента</t>
  </si>
  <si>
    <t>Длина несущих перегородок на 2-ом этаже по оси Y</t>
  </si>
  <si>
    <t xml:space="preserve">Длина на 1-ом этаже по оси Y </t>
  </si>
  <si>
    <t>Длина перегододок на 2-ом этаже по оси  Y</t>
  </si>
  <si>
    <t>несущие 1-ый эт</t>
  </si>
  <si>
    <t>несущие 2-ой эт</t>
  </si>
  <si>
    <t>простые 1-ый эт</t>
  </si>
  <si>
    <t>простые 2-ой эт</t>
  </si>
  <si>
    <t>общее несущие</t>
  </si>
  <si>
    <t>общее простые</t>
  </si>
  <si>
    <t>перегородки считает</t>
  </si>
  <si>
    <t>кол-во свай</t>
  </si>
  <si>
    <t>обвязочный брус, толщина</t>
  </si>
  <si>
    <t>обвязочный брус, ширина</t>
  </si>
  <si>
    <t>обвязка</t>
  </si>
  <si>
    <t>наружние стены, сип, толщина</t>
  </si>
  <si>
    <t>внутренние перегородки, сип, толщина</t>
  </si>
  <si>
    <t>мансардный второй этаж</t>
  </si>
  <si>
    <t>сип панели + металлочерепица</t>
  </si>
  <si>
    <t>стропило+металлочерепица</t>
  </si>
  <si>
    <t>коньковой брус</t>
  </si>
  <si>
    <t>кровельное покрытие, сип</t>
  </si>
  <si>
    <t>площадь перекрытий  на наружних стенах</t>
  </si>
  <si>
    <t>расходные материалы</t>
  </si>
  <si>
    <t>пристройка</t>
  </si>
  <si>
    <t>доставка</t>
  </si>
  <si>
    <t>Общие размеры строения</t>
  </si>
  <si>
    <t>S общая строения первого этажа</t>
  </si>
  <si>
    <t>S чистая строения</t>
  </si>
  <si>
    <t>Брус для обвязки несущие стены и перегор</t>
  </si>
  <si>
    <t>обвязка наружние стены по этажам</t>
  </si>
  <si>
    <t>обвязка перегородки несущие по этажам</t>
  </si>
  <si>
    <t>обвязка перегородки по этажам</t>
  </si>
  <si>
    <t>S общая наружних стен</t>
  </si>
  <si>
    <t>S чистая внутри наружних стен</t>
  </si>
  <si>
    <t>S общая несущих перегородок</t>
  </si>
  <si>
    <t>S общая перегородок простых</t>
  </si>
  <si>
    <t>V углов наружних стен</t>
  </si>
  <si>
    <t>S чистая внутренних перегородок</t>
  </si>
  <si>
    <t>площадь потолок</t>
  </si>
  <si>
    <t xml:space="preserve">площадь пол </t>
  </si>
  <si>
    <t>площадь перекрытия с учетом стен</t>
  </si>
  <si>
    <t>площадь лаг</t>
  </si>
  <si>
    <t>площадь перекрытий 1</t>
  </si>
  <si>
    <t>площадь перекрытий 2</t>
  </si>
  <si>
    <t>S перекрытий</t>
  </si>
  <si>
    <t>Ендова наружняя, длина</t>
  </si>
  <si>
    <t>S карнизных свесов</t>
  </si>
  <si>
    <t>СТРОИТЕЛЬСТВО ДОМА СИБ ПАНЕЛИ</t>
  </si>
  <si>
    <t>цена ед.изм.</t>
  </si>
  <si>
    <t>Площадь 1 л</t>
  </si>
  <si>
    <t>Кол-во лист</t>
  </si>
  <si>
    <t>Работа</t>
  </si>
  <si>
    <t>обвязка наружние стены верх низ</t>
  </si>
  <si>
    <t>обвязка несущие перегородки верх низ</t>
  </si>
  <si>
    <t>стойки наружние стены</t>
  </si>
  <si>
    <t>стойки перегородки несущие</t>
  </si>
  <si>
    <t>Стойки перегородки простые</t>
  </si>
  <si>
    <t>брус, обвязка кровли, сип панели</t>
  </si>
  <si>
    <t>торцевая доска, кровля, сип панели</t>
  </si>
  <si>
    <t>итого материалы для каркаса</t>
  </si>
  <si>
    <t>работа, изготовление каркаса</t>
  </si>
  <si>
    <t>СИП ПАНЕЛИ</t>
  </si>
  <si>
    <t>Требуется посчитать, ставьте 1, если нет 0</t>
  </si>
  <si>
    <t>Строительство дома, каркас, утепление, осб, гкл</t>
  </si>
  <si>
    <t>доска для каркаса, толщина</t>
  </si>
  <si>
    <t>наружние стены каркас, ширина</t>
  </si>
  <si>
    <t>несущие перегородки, каркас, ширина</t>
  </si>
  <si>
    <t>внутренние перегородки, каркас, толщина</t>
  </si>
  <si>
    <t>утепление наружних стен</t>
  </si>
  <si>
    <t>работа дв балки</t>
  </si>
  <si>
    <t>утепление перегородок</t>
  </si>
  <si>
    <t>монтаж osb наружние стены</t>
  </si>
  <si>
    <t>монтаж osb перегородки</t>
  </si>
  <si>
    <t>монтаж osb потолок</t>
  </si>
  <si>
    <t>половое покрытие osb</t>
  </si>
  <si>
    <t xml:space="preserve">ветроизоляция дома снаружи </t>
  </si>
  <si>
    <t>пароизоляция дома внутри</t>
  </si>
  <si>
    <t>S общая строения</t>
  </si>
  <si>
    <t>S по полу чистая</t>
  </si>
  <si>
    <t>Брус для обвязки</t>
  </si>
  <si>
    <t>обвязка каркаса, верх/низ,риг,наружние стены</t>
  </si>
  <si>
    <t>обвязка каркаса, верх/низ,риг,пер-дки несущие</t>
  </si>
  <si>
    <t xml:space="preserve">обвязка каркаса, верх/низ, перегородки </t>
  </si>
  <si>
    <t>стойки каркаса наружних стен</t>
  </si>
  <si>
    <t>стойки каркаса несущих перегородок</t>
  </si>
  <si>
    <t>стойки каркаса перегородок</t>
  </si>
  <si>
    <t>S чистая наружних стен</t>
  </si>
  <si>
    <t>S общая внутренних перегородок несущих</t>
  </si>
  <si>
    <t>S общая внутренних перегородок простых</t>
  </si>
  <si>
    <t>площадь пол</t>
  </si>
  <si>
    <t>ДОМ КАРКАСНЫЙ, КОРОБКА</t>
  </si>
  <si>
    <t>ДОМ КАРКАСНЫЙ, КОРОБКА ЛСТК</t>
  </si>
  <si>
    <t>ДОМ КАРКАСНЫЙ, КОРОБКА двутавр балки</t>
  </si>
  <si>
    <t>цена 1 м3</t>
  </si>
  <si>
    <t xml:space="preserve">цена </t>
  </si>
  <si>
    <t>цена общ</t>
  </si>
  <si>
    <t>работа</t>
  </si>
  <si>
    <t>общ. Цена</t>
  </si>
  <si>
    <t>Нижняя обвязка</t>
  </si>
  <si>
    <t>монтаж обвязки</t>
  </si>
  <si>
    <t>Уголок для крепления окон/дверей</t>
  </si>
  <si>
    <t>Крепеж для нижней обвязки</t>
  </si>
  <si>
    <t>Перекладины для межк дверей, проемов горизонтальные</t>
  </si>
  <si>
    <t>Каркас наружние стены</t>
  </si>
  <si>
    <t>Крепеж для монтажа перекладин межк. Дверей и проемов</t>
  </si>
  <si>
    <t>Каркас несущие перегородки</t>
  </si>
  <si>
    <t>Каркас простые перегородки</t>
  </si>
  <si>
    <t>Крепеж для горизонтальной обрешетки</t>
  </si>
  <si>
    <t>Крепеж для вертикальной обрешетки</t>
  </si>
  <si>
    <t>Крепеж для внешней отделки здания</t>
  </si>
  <si>
    <t>Отделка потолок</t>
  </si>
  <si>
    <t>Отделка перегородок</t>
  </si>
  <si>
    <t>Крепеж для отделки потолок</t>
  </si>
  <si>
    <t>Крепеж для внутренней отделки наружних стен</t>
  </si>
  <si>
    <t>Обрешетка потолка</t>
  </si>
  <si>
    <t>Профлист потолок</t>
  </si>
  <si>
    <t>Ветроизоляция</t>
  </si>
  <si>
    <t>Верхняя/нижняя обвязка каркаса наружние стены</t>
  </si>
  <si>
    <t>мп.</t>
  </si>
  <si>
    <t>Крепеж для обрешетки потолок</t>
  </si>
  <si>
    <t>Пароизоляция</t>
  </si>
  <si>
    <t>Крепеж нижней обвязки</t>
  </si>
  <si>
    <t>Крепеж для профлиста</t>
  </si>
  <si>
    <t>уп</t>
  </si>
  <si>
    <t>Крепеж для монтажа стоек</t>
  </si>
  <si>
    <t>Обрешетка для пола</t>
  </si>
  <si>
    <t>Верхняя/нижняя обвязка каркаса несущие перегородки</t>
  </si>
  <si>
    <t>Профлист для чернового пола</t>
  </si>
  <si>
    <t>Крепеж для обрешетки пол</t>
  </si>
  <si>
    <t>Крепеж для профлист, пол</t>
  </si>
  <si>
    <t>Верхняя/нижняя обвязка каркаса простые перегородки</t>
  </si>
  <si>
    <t>Крепеж для полового покрытия</t>
  </si>
  <si>
    <t>Перекладины для окон/дверей горизонтальные</t>
  </si>
  <si>
    <t>Крепеж для монтажа стоек окон/дверей</t>
  </si>
  <si>
    <t>Строительство дома из Газобетона/Пенобетона</t>
  </si>
  <si>
    <t>газобетон стены</t>
  </si>
  <si>
    <t>толщина стен наружних</t>
  </si>
  <si>
    <t>тощина несущих перегородок</t>
  </si>
  <si>
    <t>толщина перегородок</t>
  </si>
  <si>
    <t>балки для проемов, окон, наружние стены</t>
  </si>
  <si>
    <t>балки для внутренних перегородок</t>
  </si>
  <si>
    <t>армо пояс наружн стен и несущих перегородок, кол-во в доме, 12 арм.</t>
  </si>
  <si>
    <t>сейсмопояс перекрытий 1 этажа</t>
  </si>
  <si>
    <t>сейсмопояс перекрытий 2 этажа</t>
  </si>
  <si>
    <t>объем 1эт</t>
  </si>
  <si>
    <t>Длина 2 эт</t>
  </si>
  <si>
    <t>объем 2 эт</t>
  </si>
  <si>
    <t>сейсмопояс перекрытий наруж , ширина</t>
  </si>
  <si>
    <t>сейсмопояс перекрытий нес пер , ширина</t>
  </si>
  <si>
    <t>бетононасос для заливки сейсмопояса</t>
  </si>
  <si>
    <t>ветроизоляция наружних стен</t>
  </si>
  <si>
    <t>обвязка наружние стены</t>
  </si>
  <si>
    <t>обвязка перегородки несущие</t>
  </si>
  <si>
    <t>V углов</t>
  </si>
  <si>
    <t>обвязка перегородки</t>
  </si>
  <si>
    <t>блоков</t>
  </si>
  <si>
    <t>V 1 блока</t>
  </si>
  <si>
    <t>диагон блок</t>
  </si>
  <si>
    <t>V блоков</t>
  </si>
  <si>
    <t>коэф</t>
  </si>
  <si>
    <t>м4</t>
  </si>
  <si>
    <t>Дом из пенобетона</t>
  </si>
  <si>
    <t>пенобетон стены</t>
  </si>
  <si>
    <t>цена 1 ед.изм</t>
  </si>
  <si>
    <t>ГАЗОБЕТОН/ПЕНОБЕТОН ДОМ</t>
  </si>
  <si>
    <t>Строительство дома из Кирпича</t>
  </si>
  <si>
    <t>кладочная сетка каждый 5 ряд</t>
  </si>
  <si>
    <t>рядов</t>
  </si>
  <si>
    <t>сейсмопояс перекрытий, высота</t>
  </si>
  <si>
    <t>сейсмопояс перекрытий, ширина</t>
  </si>
  <si>
    <t>итого материалы для коробки</t>
  </si>
  <si>
    <t>работа, изготовление коробки</t>
  </si>
  <si>
    <t>КИРПИЧНЫЙ ДОМ</t>
  </si>
  <si>
    <t>Строительство дома Брусового</t>
  </si>
  <si>
    <t>брус лиственница нижний венец</t>
  </si>
  <si>
    <t>брус наружние стены, высота</t>
  </si>
  <si>
    <t>брус наружние стены, ширина</t>
  </si>
  <si>
    <t>откосы</t>
  </si>
  <si>
    <t>брус несущие перегородки, высота</t>
  </si>
  <si>
    <t>двери</t>
  </si>
  <si>
    <t>брус несущие перегородки, ширина</t>
  </si>
  <si>
    <t>проемы</t>
  </si>
  <si>
    <t>брус перегородки, высота</t>
  </si>
  <si>
    <t>брус перегородки, ширина</t>
  </si>
  <si>
    <t>брусовой</t>
  </si>
  <si>
    <t>профил</t>
  </si>
  <si>
    <t>клееный</t>
  </si>
  <si>
    <t>оцилиндровка</t>
  </si>
  <si>
    <t>дикий</t>
  </si>
  <si>
    <t>окосячка окон, дверей наружние стены 1 эт</t>
  </si>
  <si>
    <t>окосячка окон, дверей наружние стены 2 эт</t>
  </si>
  <si>
    <t>окосячка проемов, дверей перегородки несущие 1 эт</t>
  </si>
  <si>
    <t>окосячка проемов, дверей перегородки простые 1 эт</t>
  </si>
  <si>
    <t>окосячка проемов, дверей перегородки несущие 2 эт</t>
  </si>
  <si>
    <t>окосячка проемов, дверей перегородки простые 2  эт</t>
  </si>
  <si>
    <t>различные выпуски по длине</t>
  </si>
  <si>
    <t>стандартные выпуски по длине</t>
  </si>
  <si>
    <t>площадь вся</t>
  </si>
  <si>
    <t>БРУСОВОЙ ДОМ</t>
  </si>
  <si>
    <t>Строительство дома из Профилированного Бруса</t>
  </si>
  <si>
    <t>объем на балкон</t>
  </si>
  <si>
    <t>S общая внутренних перегородок</t>
  </si>
  <si>
    <t>S несущих перегородок</t>
  </si>
  <si>
    <t>S перекрытий, 0-1-2 этажи</t>
  </si>
  <si>
    <t>профилированный брус</t>
  </si>
  <si>
    <t>Строительство дома из Клееного Бруса</t>
  </si>
  <si>
    <t>клееный брус</t>
  </si>
  <si>
    <t>Строительство дома из Оцилиндрованного бревна</t>
  </si>
  <si>
    <t>офилиндрованное бревно</t>
  </si>
  <si>
    <t>Строительство дома из Дикого Бруса</t>
  </si>
  <si>
    <t>дикий лес</t>
  </si>
  <si>
    <t>Терраса</t>
  </si>
  <si>
    <t>Считать террасу</t>
  </si>
  <si>
    <t>2 этажа</t>
  </si>
  <si>
    <t>Высота Н19, 1 эт</t>
  </si>
  <si>
    <t>Высота Н20, 2 эт</t>
  </si>
  <si>
    <t>монтаж веранды</t>
  </si>
  <si>
    <t>монтаж лаги, перекрытия</t>
  </si>
  <si>
    <t>высота первого этажа</t>
  </si>
  <si>
    <t>S террасы</t>
  </si>
  <si>
    <t>Периметр перил</t>
  </si>
  <si>
    <t>количество столбов основных</t>
  </si>
  <si>
    <t>Считать кровлю двускатную</t>
  </si>
  <si>
    <t>Высота 9</t>
  </si>
  <si>
    <t>высота 2 этажа</t>
  </si>
  <si>
    <t>материал</t>
  </si>
  <si>
    <t>водосточка</t>
  </si>
  <si>
    <t>Кровля двускатная терасса</t>
  </si>
  <si>
    <t>мауэрлат, ширина</t>
  </si>
  <si>
    <t>мауэрлат, толщина</t>
  </si>
  <si>
    <t>кровельное покрытие, металлочерепица</t>
  </si>
  <si>
    <t>кровельное покрытие, ондулин</t>
  </si>
  <si>
    <t>покрытие кровли на сип панели</t>
  </si>
  <si>
    <t>КРОВЛЯ ДВУСКАТНАЯ терасса</t>
  </si>
  <si>
    <t>выбор балкона</t>
  </si>
  <si>
    <t>Размеры балконов</t>
  </si>
  <si>
    <t>балкон 2</t>
  </si>
  <si>
    <t>Высота Н16</t>
  </si>
  <si>
    <t>сччитать балкон на первом этаже</t>
  </si>
  <si>
    <t>Двускат кровля</t>
  </si>
  <si>
    <t>вальмовая</t>
  </si>
  <si>
    <t>полувальмовая</t>
  </si>
  <si>
    <t>если</t>
  </si>
  <si>
    <t>ширина до конька дома</t>
  </si>
  <si>
    <t>разница стен от конька до аттиков стены</t>
  </si>
  <si>
    <t>разница от центра дома до стены балкона</t>
  </si>
  <si>
    <t>процент длины до конька</t>
  </si>
  <si>
    <t>процент на который уменьшилась длина</t>
  </si>
  <si>
    <t>высота стены балкона/дома на сколько уменьши</t>
  </si>
  <si>
    <t>высота от аттик стены до верха стены балкона</t>
  </si>
  <si>
    <t>S дополнительной стены дома</t>
  </si>
  <si>
    <t>Высота стойки каркаса которую нужно прибавить</t>
  </si>
  <si>
    <t>Высота стойки каркаса, которую нужно отнять</t>
  </si>
  <si>
    <t>Количество стоек, которые нужно отнять/прибав</t>
  </si>
  <si>
    <t>крыльцо</t>
  </si>
  <si>
    <t>двускатная</t>
  </si>
  <si>
    <t>длина ската с выпуском справа</t>
  </si>
  <si>
    <t>длина ската спереди</t>
  </si>
  <si>
    <t>длина грани между скатов</t>
  </si>
  <si>
    <t>материал для металлочереп</t>
  </si>
  <si>
    <t>матер мягкой кровли</t>
  </si>
  <si>
    <t>Желоб</t>
  </si>
  <si>
    <t>Труба водосточная</t>
  </si>
  <si>
    <t>планка примыкания</t>
  </si>
  <si>
    <t>стропило</t>
  </si>
  <si>
    <t>металл</t>
  </si>
  <si>
    <t>ондул</t>
  </si>
  <si>
    <t>мягкая</t>
  </si>
  <si>
    <t>каркас</t>
  </si>
  <si>
    <t>высота 2-го этажа, до перекрытий</t>
  </si>
  <si>
    <t>высота от аттиковой  до конька, Е</t>
  </si>
  <si>
    <t>считать фронтон</t>
  </si>
  <si>
    <t>Считать фронтон</t>
  </si>
  <si>
    <t>Итого, м2</t>
  </si>
  <si>
    <t>S, общ.наружних стен</t>
  </si>
  <si>
    <t>S, чистая наружних стен</t>
  </si>
  <si>
    <t>S, общ. Внутр стен</t>
  </si>
  <si>
    <t>Считать кровлю вальмовую</t>
  </si>
  <si>
    <t>Считать элементы кровли</t>
  </si>
  <si>
    <t>S кровли, вариант 2</t>
  </si>
  <si>
    <t>S материала для кровли, Вар 2</t>
  </si>
  <si>
    <t>Высота Н3</t>
  </si>
  <si>
    <t>Высота Н3.1</t>
  </si>
  <si>
    <t>Высота Н4</t>
  </si>
  <si>
    <t>Высота Н5</t>
  </si>
  <si>
    <t>Высота Н4.1</t>
  </si>
  <si>
    <t>Считать ворота</t>
  </si>
  <si>
    <t>S перегородок чистая</t>
  </si>
  <si>
    <t>S внутренних стен чистая</t>
  </si>
  <si>
    <t>Считать кровлю на пристройку</t>
  </si>
  <si>
    <t>выпуск по фронтону</t>
  </si>
  <si>
    <t>Высота Н9</t>
  </si>
  <si>
    <t>Длина Н13</t>
  </si>
  <si>
    <t>S,м2</t>
  </si>
  <si>
    <t>Проем</t>
  </si>
  <si>
    <t>S проемов</t>
  </si>
  <si>
    <t>Считать балкон</t>
  </si>
  <si>
    <t>Длина Н15</t>
  </si>
  <si>
    <t>S пола балкона</t>
  </si>
  <si>
    <t>S стен балкона</t>
  </si>
  <si>
    <t>Длина Н18</t>
  </si>
  <si>
    <t>S, лаги</t>
  </si>
  <si>
    <t>S, перекрытия 1 эт</t>
  </si>
  <si>
    <t>S, перекрытия 2 эт</t>
  </si>
  <si>
    <t>Цоколь</t>
  </si>
  <si>
    <t>Считать цокольный этаж</t>
  </si>
  <si>
    <t>Считать из блоков ФБС</t>
  </si>
  <si>
    <t>Монолит</t>
  </si>
  <si>
    <t>Считать монолит</t>
  </si>
  <si>
    <t>Считать сейсмопояс</t>
  </si>
  <si>
    <t>S, этажа</t>
  </si>
  <si>
    <t>V, цокольного этажа</t>
  </si>
  <si>
    <t>V стен цоколя общий</t>
  </si>
  <si>
    <t>Итого, длина перегородок, м.п.</t>
  </si>
  <si>
    <t>Итого, S проемов</t>
  </si>
  <si>
    <t>V проемов</t>
  </si>
  <si>
    <t>V стен цоколя чистый</t>
  </si>
  <si>
    <t>S перегородок по полу</t>
  </si>
  <si>
    <t>S цоколя чистая</t>
  </si>
  <si>
    <t>Значения для полного расчета стоимости строительства домов необходимо вводить в ячейки с цветом</t>
  </si>
  <si>
    <t>Дверь на балкон</t>
  </si>
  <si>
    <t>Итого, площадь дверей межкомнатных, м2</t>
  </si>
  <si>
    <t>высота до конька берем от аттиковой стены</t>
  </si>
  <si>
    <t>длина перегородки</t>
  </si>
  <si>
    <t>итого,м2</t>
  </si>
  <si>
    <t>S окон, вх. Дверей</t>
  </si>
  <si>
    <t>S межкомнатных дверей</t>
  </si>
  <si>
    <t>расодные материалы</t>
  </si>
  <si>
    <t>монтаж откосов вн</t>
  </si>
  <si>
    <t>монтаж направл вн</t>
  </si>
  <si>
    <t>монтаж уголков вн</t>
  </si>
  <si>
    <t>монтаж откосов</t>
  </si>
  <si>
    <t>монтаж направляющ</t>
  </si>
  <si>
    <t>монтаж уголков</t>
  </si>
  <si>
    <t>монтаж франццзских окон</t>
  </si>
  <si>
    <t>Анкер болт, 12*200</t>
  </si>
  <si>
    <t>ОКНА И ДВЕРИ В ДОМЕ</t>
  </si>
  <si>
    <t>Лестница двухмаршевая</t>
  </si>
  <si>
    <t>монтаж готовой лестницы</t>
  </si>
  <si>
    <t>итого, материалы отопления</t>
  </si>
  <si>
    <t>итого, работа отопления</t>
  </si>
  <si>
    <t>ЛЕСТНИЦА ДВУХМАРШЕВАЯ</t>
  </si>
  <si>
    <t>деревянная подсистема, брусок</t>
  </si>
  <si>
    <t>камень искуственный на все стены</t>
  </si>
  <si>
    <t>Декоративная штукатурка</t>
  </si>
  <si>
    <t>шифер плоский на все стены</t>
  </si>
  <si>
    <t>Блок хаус</t>
  </si>
  <si>
    <t>Софт лайн</t>
  </si>
  <si>
    <t>штиль</t>
  </si>
  <si>
    <t>Евровагонка</t>
  </si>
  <si>
    <t>планкен+камень</t>
  </si>
  <si>
    <t>углы дома камень, высота до кровли</t>
  </si>
  <si>
    <t>углы дома камень, площадь</t>
  </si>
  <si>
    <t>планкен, площадь</t>
  </si>
  <si>
    <t>плоский шифер под камень</t>
  </si>
  <si>
    <t>окрашивание деревянных поверхностей</t>
  </si>
  <si>
    <t>покрытие лаком деревянных поверхностей</t>
  </si>
  <si>
    <t>покрытие лаком камень</t>
  </si>
  <si>
    <t>периметр цоколя</t>
  </si>
  <si>
    <t>металлическая подсистема, профиль г-обр</t>
  </si>
  <si>
    <t>плоский шифер под искуственный камень</t>
  </si>
  <si>
    <t>кронштейн для крепления подсистемы</t>
  </si>
  <si>
    <t>кровля</t>
  </si>
  <si>
    <t>дом, стены</t>
  </si>
  <si>
    <t>кровля, подшивка свесов</t>
  </si>
  <si>
    <t>подсистема для гкл</t>
  </si>
  <si>
    <t>подсистема для деревянной отделки</t>
  </si>
  <si>
    <t>натяжной</t>
  </si>
  <si>
    <t>подсистема, брусок для деревянной отделки</t>
  </si>
  <si>
    <t>стеновые панели стены</t>
  </si>
  <si>
    <t>стеновые панели потолок</t>
  </si>
  <si>
    <t>двери межкомнатные</t>
  </si>
  <si>
    <t>Sпотолок</t>
  </si>
  <si>
    <t>Sпол</t>
  </si>
  <si>
    <t>потолок чистый</t>
  </si>
  <si>
    <t>S чистая внутр наружних стен</t>
  </si>
  <si>
    <t>устанвка дверей</t>
  </si>
  <si>
    <t>итого, материалы чистовой</t>
  </si>
  <si>
    <t>итого, работа чистовой</t>
  </si>
  <si>
    <t>ЧИСТОВАЯ ОТДЕЛКА ПОМЕЩЕНИЯ</t>
  </si>
  <si>
    <t>мансардные окна</t>
  </si>
  <si>
    <t>Лестница бетонная</t>
  </si>
  <si>
    <t xml:space="preserve">кол-во </t>
  </si>
  <si>
    <t>высота ступеней</t>
  </si>
  <si>
    <t>мп</t>
  </si>
  <si>
    <t>руб</t>
  </si>
  <si>
    <t>Монтаж лестницы</t>
  </si>
  <si>
    <t>ЖБИ перекрытие</t>
  </si>
  <si>
    <t>площадь</t>
  </si>
  <si>
    <t>перекрытие жби 0 этаж</t>
  </si>
  <si>
    <t>перкрытие жби 1 этаж</t>
  </si>
  <si>
    <t>перкрытие жби 2 этаж</t>
  </si>
  <si>
    <t>кран для плит перекрытий</t>
  </si>
  <si>
    <t>Монолит перекрытие</t>
  </si>
  <si>
    <t>перкрытие монолит, 0 этаж</t>
  </si>
  <si>
    <t>перкрытие монолит 1 этаж</t>
  </si>
  <si>
    <t>перкрытие монолит 2 этаж</t>
  </si>
  <si>
    <t>стойки под опалубку перекрытий</t>
  </si>
  <si>
    <t>бетононасос для заливки плиты</t>
  </si>
  <si>
    <t>Брус естественной влажности</t>
  </si>
  <si>
    <t>шаг для форм</t>
  </si>
  <si>
    <t>перекрытие деревянное, 0 этаж</t>
  </si>
  <si>
    <t>перекрытие деревянное 1 этаж</t>
  </si>
  <si>
    <t>перекрытие деревянное 2 этаж</t>
  </si>
  <si>
    <t>Контрлаги</t>
  </si>
  <si>
    <t>контрлаги</t>
  </si>
  <si>
    <t>Доска сухая доска перекрытие</t>
  </si>
  <si>
    <t>перекрытие деревянное сух, 0 этаж</t>
  </si>
  <si>
    <t>калиброванноедеревянное сух, 0 этаж</t>
  </si>
  <si>
    <t>Двутавровые балки перекрытие</t>
  </si>
  <si>
    <t>Сип панели перекрытие</t>
  </si>
  <si>
    <t>доска обв</t>
  </si>
  <si>
    <t>м.п.доски в панели</t>
  </si>
  <si>
    <t>пол 0-го этаж, сип, толщина</t>
  </si>
  <si>
    <t>м2 панель</t>
  </si>
  <si>
    <t>в 1м2 доски</t>
  </si>
  <si>
    <t>Плиты перекрытия ЖБИ</t>
  </si>
  <si>
    <t>Монолит, бетон, 300мм, 2 слоя</t>
  </si>
  <si>
    <t>Монолит, бетон, 300мм, 1 слой</t>
  </si>
  <si>
    <t>Монолит, бетон, 250мм, 2 слоя</t>
  </si>
  <si>
    <t>Монолит, бетон, 250мм, 1 слой</t>
  </si>
  <si>
    <t>Монолит, бетон, 200мм, 2 слоя</t>
  </si>
  <si>
    <t>Монолит, бетон, 200мм, 1 слой</t>
  </si>
  <si>
    <t>Монолит, бетон, 150мм, 2 слоя</t>
  </si>
  <si>
    <t>Монолит, бетон, 150мм, 1 слой</t>
  </si>
  <si>
    <t>доска для опалубки монолит перекрытий</t>
  </si>
  <si>
    <t>бетон, м350</t>
  </si>
  <si>
    <t>Брус естественной влажности, 200*100мм</t>
  </si>
  <si>
    <t>Брус естественной влажности, 150*100мм</t>
  </si>
  <si>
    <t>Доска естественной влажности, 150*50мм</t>
  </si>
  <si>
    <t>Доска сухая калиброванная, 145*45мм</t>
  </si>
  <si>
    <t>Плита перекрытия  ЖБИ</t>
  </si>
  <si>
    <t>Монтаж чернового пола 0 этажа</t>
  </si>
  <si>
    <t>Монтаж чернового пола 1 этажа</t>
  </si>
  <si>
    <t>Монтаж чернового пола 2 этажа</t>
  </si>
  <si>
    <t>S кровли по материалу</t>
  </si>
  <si>
    <t>S на  основной кровли</t>
  </si>
  <si>
    <t>Итого, длина перегородок</t>
  </si>
  <si>
    <t xml:space="preserve">Размеры дома </t>
  </si>
  <si>
    <t>количество свай</t>
  </si>
  <si>
    <t>разбивка осей</t>
  </si>
  <si>
    <t>монтаж свай</t>
  </si>
  <si>
    <t>заливка бетоном</t>
  </si>
  <si>
    <t>если винтовые сваи</t>
  </si>
  <si>
    <t>Материалы для фундамента под веранду</t>
  </si>
  <si>
    <t>Материалы для фундамента под крыльцо</t>
  </si>
  <si>
    <t>Ленточный фундамент</t>
  </si>
  <si>
    <t>длина перегородок</t>
  </si>
  <si>
    <t>колво</t>
  </si>
  <si>
    <t>Длина ленты фундамента, м.п.</t>
  </si>
  <si>
    <t>Объем ленточного фундамента</t>
  </si>
  <si>
    <t>Утепление снаружи</t>
  </si>
  <si>
    <t>Толщина утепления снаружи</t>
  </si>
  <si>
    <t>Площадь отмостки</t>
  </si>
  <si>
    <t>утепление толщина</t>
  </si>
  <si>
    <t>Объем отмостки</t>
  </si>
  <si>
    <t>армирование</t>
  </si>
  <si>
    <t>трамбовка</t>
  </si>
  <si>
    <t>итого, материалы, руб</t>
  </si>
  <si>
    <t>итого, работы, руб</t>
  </si>
  <si>
    <t>итого, руб</t>
  </si>
  <si>
    <t>ЛЕНТОЧНЫЙ ФУНДАМЕНТ</t>
  </si>
  <si>
    <t>Толщина утепления</t>
  </si>
  <si>
    <t xml:space="preserve">Сваи </t>
  </si>
  <si>
    <t>Сваи для свайного поля</t>
  </si>
  <si>
    <t>Объем бетона для свай</t>
  </si>
  <si>
    <t>СВАЙНОРОСТВЕРКОВЫЙ ФУНДАМЕНТ</t>
  </si>
  <si>
    <t>Длина ребер жесткости</t>
  </si>
  <si>
    <t>Объем ребер жесткости, бетон</t>
  </si>
  <si>
    <t>Количество прутков арм-ры в ребрах</t>
  </si>
  <si>
    <t>Объем плиты в доме, бетон</t>
  </si>
  <si>
    <t>Общий объем плиты, бетон</t>
  </si>
  <si>
    <t>ч</t>
  </si>
  <si>
    <t>Кладочная сетка для трубы теплого пола</t>
  </si>
  <si>
    <t>Труба теплого пола, водяное отоплен.</t>
  </si>
  <si>
    <t xml:space="preserve">Коллектор  </t>
  </si>
  <si>
    <t>Дренажная труба</t>
  </si>
  <si>
    <t>Дренажные колодцы</t>
  </si>
  <si>
    <t>теплый пол</t>
  </si>
  <si>
    <t>цена за 1</t>
  </si>
  <si>
    <t>Общ цена</t>
  </si>
  <si>
    <t>сборка/разборка опалубки</t>
  </si>
  <si>
    <t>укладка пленки</t>
  </si>
  <si>
    <t>армирование пол</t>
  </si>
  <si>
    <t>ПЛИТА УШП, ТЕХНОЛОГИЯ ДОРОСЕЛЛ</t>
  </si>
  <si>
    <t>коэффициент</t>
  </si>
  <si>
    <t xml:space="preserve"> стены наружние фбс</t>
  </si>
  <si>
    <t>стены внутренние фбс</t>
  </si>
  <si>
    <t>площадь стен фбс чистая</t>
  </si>
  <si>
    <t>сейсмопояс, обвязка монолитной стяжкой стен фбс</t>
  </si>
  <si>
    <t>бетон</t>
  </si>
  <si>
    <t>стены наружние монолит</t>
  </si>
  <si>
    <t>стены внутренние монолит</t>
  </si>
  <si>
    <t>площадь стен монолит чистая</t>
  </si>
  <si>
    <t>сейсмопояс, обвязка монолитной стяжкой стен монолит</t>
  </si>
  <si>
    <t>ширина Н22</t>
  </si>
  <si>
    <t>стяжка пол в цок этеже</t>
  </si>
  <si>
    <t>S, стен цокольного этажа  общая</t>
  </si>
  <si>
    <t>S, стен цокольного этажа  чистая</t>
  </si>
  <si>
    <t>толщина утеплителя наружние стены</t>
  </si>
  <si>
    <t>S, цокольного этажа</t>
  </si>
  <si>
    <t>S, стен цокольного этажа по полу</t>
  </si>
  <si>
    <t>S цокольного этажа общая</t>
  </si>
  <si>
    <t>S цокольного этажа чистая</t>
  </si>
  <si>
    <t>доставки материалов</t>
  </si>
  <si>
    <t>основные нити, арматурного каркаса</t>
  </si>
  <si>
    <t>хомуты арматурного каркаса</t>
  </si>
  <si>
    <t>Доставка материалов</t>
  </si>
  <si>
    <t>стяжяка цоколь</t>
  </si>
  <si>
    <t>Толщина утепления пол</t>
  </si>
  <si>
    <t>Объем плиты, бетон</t>
  </si>
  <si>
    <t>количество арматуры для арматурного</t>
  </si>
  <si>
    <t>дренажная труба</t>
  </si>
  <si>
    <t>дренажный колодец</t>
  </si>
  <si>
    <t>цоколь данные</t>
  </si>
  <si>
    <t>фундамент ленточный, подготовка основания под стены цоколя</t>
  </si>
  <si>
    <t>цена 1 ед.</t>
  </si>
  <si>
    <t>ленточный фундамент</t>
  </si>
  <si>
    <t>стяжка в цокольном этаже</t>
  </si>
  <si>
    <t>укладка карбона</t>
  </si>
  <si>
    <t>укладка сетки</t>
  </si>
  <si>
    <t xml:space="preserve">армирование </t>
  </si>
  <si>
    <t>монтаж дренажн труб</t>
  </si>
  <si>
    <t>монтаж дренаж колодец</t>
  </si>
  <si>
    <t>приемка бетона на пол</t>
  </si>
  <si>
    <t>демпферная лента</t>
  </si>
  <si>
    <t>стены в цокольном этаже из блоков ФБС</t>
  </si>
  <si>
    <t>стены в цокольном этаже монолитные (бетон)</t>
  </si>
  <si>
    <t>вязка арматуры</t>
  </si>
  <si>
    <t>монтаж мауэрлата</t>
  </si>
  <si>
    <t>стойка под конек</t>
  </si>
  <si>
    <t>Кровля четырехскатная</t>
  </si>
  <si>
    <t>а1</t>
  </si>
  <si>
    <t>б1</t>
  </si>
  <si>
    <t>мягкая кровля</t>
  </si>
  <si>
    <t>доска стропило, высота</t>
  </si>
  <si>
    <t>е</t>
  </si>
  <si>
    <t>доска стропило, толщина</t>
  </si>
  <si>
    <t>д</t>
  </si>
  <si>
    <t>длина конька кровли</t>
  </si>
  <si>
    <t>х</t>
  </si>
  <si>
    <t>высота от перекрытий до конька</t>
  </si>
  <si>
    <t>дж</t>
  </si>
  <si>
    <t xml:space="preserve">длина   </t>
  </si>
  <si>
    <t>S1</t>
  </si>
  <si>
    <t>S2</t>
  </si>
  <si>
    <t>внешний угол скатов, угол соединения</t>
  </si>
  <si>
    <t>скат перпендикулярно коньку</t>
  </si>
  <si>
    <t>капельник планка</t>
  </si>
  <si>
    <t>КРОВЛЯ ЧЕТЫРЕХСКАТНАЯ</t>
  </si>
  <si>
    <t>Кровля вальмовая ломаная</t>
  </si>
  <si>
    <t>шт0</t>
  </si>
  <si>
    <t>ендова верхняяя F</t>
  </si>
  <si>
    <t>ендова верхняяя F1</t>
  </si>
  <si>
    <t>скат по коньку</t>
  </si>
  <si>
    <t>ендова верхняя планка</t>
  </si>
  <si>
    <t>Элементы на кровле</t>
  </si>
  <si>
    <t>ендова наружняя</t>
  </si>
  <si>
    <t>ендова внутренняя</t>
  </si>
  <si>
    <t>кровля на эркере</t>
  </si>
  <si>
    <t>стропило на эркер</t>
  </si>
  <si>
    <t>высота от аттиковой стены до конька</t>
  </si>
  <si>
    <t>Материалы для  Строительства дома</t>
  </si>
  <si>
    <t>S дома общая, м2</t>
  </si>
  <si>
    <t>S дома чистая, м2</t>
  </si>
  <si>
    <t>L, м.п.</t>
  </si>
  <si>
    <t>Материал для Каркасного дома из бруса различных размеров 1 этаж</t>
  </si>
  <si>
    <t>Материал для Каркасного дома из бруса различных размеров 2 этаж</t>
  </si>
  <si>
    <t>Материал для Каркасной пристройки из бруса различных размеров №1 1 этаж</t>
  </si>
  <si>
    <t>Материал для Каркасной пристройки из бруса различных размеров №1 2 этаж</t>
  </si>
  <si>
    <t>Материал для Каркасной пристройки из бруса различных размеров №2 1 этаж</t>
  </si>
  <si>
    <t>Материал для Каркасной пристройки из бруса различных размеров №2 2 этаж</t>
  </si>
  <si>
    <t>Материал для Каркасной пристройки из бруса различных размеров №3 1 этаж</t>
  </si>
  <si>
    <t>Материал для Каркасной пристройки из бруса различных размеров №3 2 этаж</t>
  </si>
  <si>
    <t>Материал для Каркасной пристройки из бруса различных размеров №4 1 этаж</t>
  </si>
  <si>
    <t>Материал для Каркасной пристройки из бруса различных размеров №4 2 этаж</t>
  </si>
  <si>
    <t>Каркасная пристройка эркерного типа из бруса различных размеров 1 этаж</t>
  </si>
  <si>
    <t>Каркасная пристройка эркерного типа из бруса различных размеров 2 этаж</t>
  </si>
  <si>
    <t>Кол-во 6м палок</t>
  </si>
  <si>
    <t>V, м3</t>
  </si>
  <si>
    <t>Общая объем материала для наружних стен</t>
  </si>
  <si>
    <t>м.</t>
  </si>
  <si>
    <t>Общая объем материала для несущих перегородок</t>
  </si>
  <si>
    <t>Общая объем материала для перегородок</t>
  </si>
  <si>
    <t>Материал для дома из Газобетона</t>
  </si>
  <si>
    <t>штук</t>
  </si>
  <si>
    <t>Общая длина перемычек наружних стен</t>
  </si>
  <si>
    <t>Общая длина перемычек несущих перегородок</t>
  </si>
  <si>
    <t>Материал для дома из Пенобетона</t>
  </si>
  <si>
    <t>Материал для дома из Кирпича</t>
  </si>
  <si>
    <t>Материал для дома из SIP панелей</t>
  </si>
  <si>
    <t>Площадь стен</t>
  </si>
  <si>
    <t>кол-во листов</t>
  </si>
  <si>
    <t>размер стен каркас</t>
  </si>
  <si>
    <t xml:space="preserve">как считать </t>
  </si>
  <si>
    <t>Выбор материала первого этажа</t>
  </si>
  <si>
    <t>номер</t>
  </si>
  <si>
    <t>Считать по проекту, высотам</t>
  </si>
  <si>
    <t>подшивка карнизов</t>
  </si>
  <si>
    <t>Каркасный</t>
  </si>
  <si>
    <t>Выбор материала второго этажа</t>
  </si>
  <si>
    <t>Брус</t>
  </si>
  <si>
    <t>Сайдинг виниловый</t>
  </si>
  <si>
    <t>Перегородки первого этажа несущие и простые</t>
  </si>
  <si>
    <t>Ондулин кровля</t>
  </si>
  <si>
    <t>подсистема для ГКЛ</t>
  </si>
  <si>
    <t>Сиппанели</t>
  </si>
  <si>
    <t>Выбор материала несущих перегородок</t>
  </si>
  <si>
    <t>Сип панели 224мм</t>
  </si>
  <si>
    <t>Выбор типа несущих перегородок</t>
  </si>
  <si>
    <t>Подсистема из металло профиля</t>
  </si>
  <si>
    <t>Выбор материала перегородок</t>
  </si>
  <si>
    <t>Подсистема деревянный брусок</t>
  </si>
  <si>
    <t>Сип панели 174мм</t>
  </si>
  <si>
    <t>Выбор типа перегородок</t>
  </si>
  <si>
    <t>вент зазор</t>
  </si>
  <si>
    <t>Перегородки второго этажа несущие и простые</t>
  </si>
  <si>
    <t>нет подсистемы</t>
  </si>
  <si>
    <t>Кирпич</t>
  </si>
  <si>
    <t>Термоблок  фактурованный 200х290х390</t>
  </si>
  <si>
    <t>сип панели</t>
  </si>
  <si>
    <t>Линолеум</t>
  </si>
  <si>
    <t>отделка стен дома</t>
  </si>
  <si>
    <t>ШиферПлоский</t>
  </si>
  <si>
    <t>ОтделкаДеревом</t>
  </si>
  <si>
    <t>Планкен + камень</t>
  </si>
  <si>
    <t>Монолитные стены</t>
  </si>
  <si>
    <t>КаменьИскуственный</t>
  </si>
  <si>
    <t>шаг перекрытий</t>
  </si>
  <si>
    <t>Декоративнаяштукатурка</t>
  </si>
  <si>
    <t>Монтаж свай вручную</t>
  </si>
  <si>
    <t>Доставка</t>
  </si>
  <si>
    <t>санузел стены</t>
  </si>
  <si>
    <t>Дом из кирпича</t>
  </si>
  <si>
    <t>Дом из газобетона</t>
  </si>
  <si>
    <t>Стеновые панели на стены</t>
  </si>
  <si>
    <t>Дом из пенобеотона</t>
  </si>
  <si>
    <t>Дом из пенополистирольных блоков</t>
  </si>
  <si>
    <t>сан узел потолок</t>
  </si>
  <si>
    <t>толщина стен газобет</t>
  </si>
  <si>
    <t>деревянное перекрытие</t>
  </si>
  <si>
    <t>Стеновые панели потолок</t>
  </si>
  <si>
    <t>Перекрытие</t>
  </si>
  <si>
    <t>Натяжной потолок</t>
  </si>
  <si>
    <t>Деревянное перекрытие, брус</t>
  </si>
  <si>
    <t>пол санузел</t>
  </si>
  <si>
    <t>Монолитное бетонное перекрытие</t>
  </si>
  <si>
    <t>Двутавровые деревянные балки</t>
  </si>
  <si>
    <t xml:space="preserve">Контрлаги считать </t>
  </si>
  <si>
    <t>Контрлаги не считать</t>
  </si>
  <si>
    <t>Стены монолит бетон</t>
  </si>
  <si>
    <t>Не буду считать</t>
  </si>
  <si>
    <t>материал для балкона</t>
  </si>
  <si>
    <t>Дом из Профилированного бруса</t>
  </si>
  <si>
    <t>Нет материала</t>
  </si>
  <si>
    <t>Дом из Бруса</t>
  </si>
  <si>
    <t>бревно</t>
  </si>
  <si>
    <t>Дом из Клееного бруса</t>
  </si>
  <si>
    <t>брус</t>
  </si>
  <si>
    <t>блоки</t>
  </si>
  <si>
    <t>Дом из бревен</t>
  </si>
  <si>
    <t>Дом из Оцилиндрованного бревна</t>
  </si>
  <si>
    <t>перекрытие балкона</t>
  </si>
  <si>
    <t>Дом из Дикого леса</t>
  </si>
  <si>
    <t>Монолит бетон</t>
  </si>
  <si>
    <t>отопление</t>
  </si>
  <si>
    <t>Система отопления однотрубная</t>
  </si>
  <si>
    <t>Нет дна бетонного</t>
  </si>
  <si>
    <t>Нет колец бетонных</t>
  </si>
  <si>
    <t>Нет крышки бетонной</t>
  </si>
  <si>
    <t>1 эт + 2-ой мансарда с перекрытием</t>
  </si>
  <si>
    <t>выпуски</t>
  </si>
  <si>
    <t>Нет выпусков</t>
  </si>
  <si>
    <t>Стандартные выпуски по длине в доме</t>
  </si>
  <si>
    <t>кровля на пристройке</t>
  </si>
  <si>
    <t>место монтажа кровли</t>
  </si>
  <si>
    <t>ниже основной кровли</t>
  </si>
  <si>
    <t>слияние с основной кровлей</t>
  </si>
  <si>
    <t>выше основной кровли</t>
  </si>
  <si>
    <t>Место монтажа пристройки</t>
  </si>
  <si>
    <t>Пристройка к фр-ну, слияние с боковой стеной</t>
  </si>
  <si>
    <t>высота боковых стен дома</t>
  </si>
  <si>
    <t>Высота боковых стен дома разная</t>
  </si>
  <si>
    <t>Конек где находится</t>
  </si>
  <si>
    <t>Конек не по центру дома</t>
  </si>
  <si>
    <t>Перекрытие 0 этажа делать</t>
  </si>
  <si>
    <t>Перекрытие 0 этажа не делать</t>
  </si>
  <si>
    <t>Ширина А1</t>
  </si>
  <si>
    <t>Ширина А2</t>
  </si>
  <si>
    <t>Аттиковая стена левая</t>
  </si>
  <si>
    <t>Высота С1</t>
  </si>
  <si>
    <t>Высота С2</t>
  </si>
  <si>
    <t>Высота D1</t>
  </si>
  <si>
    <t>Высота D2</t>
  </si>
  <si>
    <t>стены перегородки 1 эт</t>
  </si>
  <si>
    <t>стены перегородки 2 эт</t>
  </si>
  <si>
    <t>нес перег</t>
  </si>
  <si>
    <t>прост перег</t>
  </si>
  <si>
    <t>наружние</t>
  </si>
  <si>
    <t>несущие</t>
  </si>
  <si>
    <t>простыне</t>
  </si>
  <si>
    <t>Дом не строить</t>
  </si>
  <si>
    <t>Каркасный дом. Брус</t>
  </si>
  <si>
    <t>Каркасный дом. ЛСТК</t>
  </si>
  <si>
    <t>Каркасный дом. Двутавр дерево</t>
  </si>
  <si>
    <t>Газобетон дом</t>
  </si>
  <si>
    <t>Пенобетон дом</t>
  </si>
  <si>
    <t>Брусовой дом</t>
  </si>
  <si>
    <t>Сип панели дом</t>
  </si>
  <si>
    <t>Клееный брус дом</t>
  </si>
  <si>
    <t>Профилированный брус дом</t>
  </si>
  <si>
    <t>из таблицы</t>
  </si>
  <si>
    <t>двускатная кровля 1</t>
  </si>
  <si>
    <t>второй скат</t>
  </si>
  <si>
    <t>Дикое бревно</t>
  </si>
  <si>
    <t>Оцилиндрованное бревно</t>
  </si>
  <si>
    <t>1-ый эт кирпич 2-ой эт пенобетон</t>
  </si>
  <si>
    <t>1-ый эт кирпич 2-ой эт брус</t>
  </si>
  <si>
    <t>1-ый эт кирпич 2-ой эт клееный брус</t>
  </si>
  <si>
    <t>1-ый эт кирпич 2-ой эт профилированый брус</t>
  </si>
  <si>
    <t>1-ый эт кирпич 2-ой эт дикое бревно</t>
  </si>
  <si>
    <t>1-ый эт кирпич 2-ой эт оцилиндр бревно</t>
  </si>
  <si>
    <t>1-ый эт кирпич 2-ой эт сип панели</t>
  </si>
  <si>
    <t>1-ый эт кирпич 2-ой эт каркасник</t>
  </si>
  <si>
    <t>1-ый эт кирпич 2-ой эт газобетон</t>
  </si>
  <si>
    <t>1-ый эт газобетон 2-ой эт брус</t>
  </si>
  <si>
    <t>1-ый эт газобетон 2-ой эт клееный брус</t>
  </si>
  <si>
    <t>1-ый эт газобетон 2-ой эт профилированый брус</t>
  </si>
  <si>
    <t>1-ый эт газобетон 2-ой эт дикое бревно</t>
  </si>
  <si>
    <t>1-ый эт газобетон 2-ой эт оцилиндр бревно</t>
  </si>
  <si>
    <t>1-ый эт газобетон 2-ой эт сип панели</t>
  </si>
  <si>
    <t>1-ый эт газобетон 2-ой эт каркасник</t>
  </si>
  <si>
    <t>1-ый эт газобетон 2-ой эт пенобетон</t>
  </si>
  <si>
    <t>1-ый эт пенобетон 2-ой эт газобетон</t>
  </si>
  <si>
    <t>1-ый эт пенобетон 2-ой эт брус</t>
  </si>
  <si>
    <t>1-ый эт пенобетон 2-ой эт профилированый брус</t>
  </si>
  <si>
    <t>1-ый эт пенобетон 2-ой эт оцилиндр бревно</t>
  </si>
  <si>
    <t>1-ый эт пенобетон 2-ой эт сип панели</t>
  </si>
  <si>
    <t>1-ый эт пенобетон 2-ой эт каркасник</t>
  </si>
  <si>
    <t>1-ый эт брус 2-ой эт каркасник</t>
  </si>
  <si>
    <t>наружн стены 1</t>
  </si>
  <si>
    <t>нес пер 1 эт</t>
  </si>
  <si>
    <t>прост пер 1 эт</t>
  </si>
  <si>
    <t>Вся площадь в доме используется</t>
  </si>
  <si>
    <t>наружн стены 2</t>
  </si>
  <si>
    <t>Площадь в доме не используется</t>
  </si>
  <si>
    <t>нес пер 2 эт</t>
  </si>
  <si>
    <t>Сделать террасу в середине дома</t>
  </si>
  <si>
    <t>прост пер 2 эт</t>
  </si>
  <si>
    <t>Сделать терассу с края дома</t>
  </si>
  <si>
    <t>Сделать балкон в середине дома</t>
  </si>
  <si>
    <t>Сделать балкон с края дома</t>
  </si>
  <si>
    <t>для перекрытия сип панели</t>
  </si>
  <si>
    <t>Аттиковая стена, мансардный 2 этаж</t>
  </si>
  <si>
    <t>Доска сырая, 100*50</t>
  </si>
  <si>
    <t>Доска сухая, 100*50</t>
  </si>
  <si>
    <t>Доска сухая калиброванная, 100*45</t>
  </si>
  <si>
    <t>Газобетон</t>
  </si>
  <si>
    <t>V одного блока</t>
  </si>
  <si>
    <t>цена за 1 м3</t>
  </si>
  <si>
    <t>работа за м2</t>
  </si>
  <si>
    <t>угловой внутренний</t>
  </si>
  <si>
    <t>угловой</t>
  </si>
  <si>
    <t>поясной блок</t>
  </si>
  <si>
    <t>Термоблок  фактурованный 200х390х390</t>
  </si>
  <si>
    <t>200х390х590 угловой внутренний</t>
  </si>
  <si>
    <t>200х390х590 угловой внешний</t>
  </si>
  <si>
    <t>Термоблок поясной фактурованный 200х390х390</t>
  </si>
  <si>
    <t>Поясной 198х340х538 угловой внутренний200х390х590 угловой внутренний</t>
  </si>
  <si>
    <t>Поясной 200х390х590 угловой внешний</t>
  </si>
  <si>
    <t xml:space="preserve">Термоблок  фактурованный 198х340х398 </t>
  </si>
  <si>
    <t>198х340х538 угловой внутренний</t>
  </si>
  <si>
    <t>198х340х538 угловой внешний</t>
  </si>
  <si>
    <t xml:space="preserve">Термоблок  поясной фактурованный 198х340х398 </t>
  </si>
  <si>
    <t>Поясной 198х340х538 угловой внутренний</t>
  </si>
  <si>
    <t>Поясной 198х340х538 угловой внешний</t>
  </si>
  <si>
    <t>200х290х490 угловой внутренний</t>
  </si>
  <si>
    <t>200х290х490 угловой внешний</t>
  </si>
  <si>
    <t>Термоблок  поясной фактурованный 200х290х390</t>
  </si>
  <si>
    <t>Поясной 200х290х490 угловой внутренний</t>
  </si>
  <si>
    <t>Поясной 200х290х490 угловой внешний</t>
  </si>
  <si>
    <t>Термоблок не фактурованный 200х400х390</t>
  </si>
  <si>
    <t>200х400х600 угловой внутренний</t>
  </si>
  <si>
    <t>200х400х600 угловой внешний</t>
  </si>
  <si>
    <t>Термоблок поясной  не фактурованный 200х400х390</t>
  </si>
  <si>
    <t>Поясной200х400х600 угловой внутренний</t>
  </si>
  <si>
    <t>Поясной 200х400х600 угловой внешний</t>
  </si>
  <si>
    <t>Термоблок не фактурованный 198х350х398</t>
  </si>
  <si>
    <t>198х350х548 угловой внутренний</t>
  </si>
  <si>
    <t>198х350х548 угловой внешний</t>
  </si>
  <si>
    <t>Термоблок поясной  не фактурованный 198х350х398</t>
  </si>
  <si>
    <t>Поясной 198х350х548 угловой внутренний</t>
  </si>
  <si>
    <t>Поясной 198х350х548 угловой внешний</t>
  </si>
  <si>
    <t>Термоблок не фактурованный 200х300х390</t>
  </si>
  <si>
    <t>200х300х500 угловой внутренний</t>
  </si>
  <si>
    <t>200х300х500 угловой внешний</t>
  </si>
  <si>
    <t>Термоблок поясной не фактурованный 200х300х390</t>
  </si>
  <si>
    <t>Поясной 200х300х500 угловой внутренний</t>
  </si>
  <si>
    <t>Поясной 200х300х500 угловой внешний</t>
  </si>
  <si>
    <t>Газоблок  фактурованный 200х390х390</t>
  </si>
  <si>
    <t>Газоблок  поясной фактурованный 200х390х390</t>
  </si>
  <si>
    <t>Поясной 200х390х590 угловой внутренний</t>
  </si>
  <si>
    <t>Газоблок  фактурованный 198х340х398</t>
  </si>
  <si>
    <t>Газоблок  поясной фактурованный 198х340х398</t>
  </si>
  <si>
    <t>Газоблок  фактурованный 200х290х390</t>
  </si>
  <si>
    <t>Газоблок  поясной фактурованный 200х290х390</t>
  </si>
  <si>
    <t xml:space="preserve">Газоблок поясной D1000 200х300х390 </t>
  </si>
  <si>
    <t xml:space="preserve">Газоблок поясной  D1000 200х400х390 </t>
  </si>
  <si>
    <t>Поясной 200х400х600 угловой внутренний</t>
  </si>
  <si>
    <t>200х100х600 угловой внутренний</t>
  </si>
  <si>
    <t>200х100х600 угловой внешний</t>
  </si>
  <si>
    <t xml:space="preserve">Газоблокпоясной  D400 200х100х390 </t>
  </si>
  <si>
    <t>Поясной 200х100х600 угловой внутренний</t>
  </si>
  <si>
    <t>Поясной 200х100х600 угловой внешний</t>
  </si>
  <si>
    <t xml:space="preserve">Газоблок D400 200х200х390 </t>
  </si>
  <si>
    <t>200х200х600 угловой внутренний</t>
  </si>
  <si>
    <t>200х200х600 угловой внешний</t>
  </si>
  <si>
    <t xml:space="preserve">Газоблок поясной  D400 200х200х390 </t>
  </si>
  <si>
    <t>Поясной 200х200х600 угловой внутренний</t>
  </si>
  <si>
    <t>Поясной 200х200х600 угловой внешний</t>
  </si>
  <si>
    <t>200х300х600 угловой внутренний</t>
  </si>
  <si>
    <t>200х300х600 угловой внешний</t>
  </si>
  <si>
    <t xml:space="preserve">Газоблок поясной D400 200х300х390 </t>
  </si>
  <si>
    <t>Поясной 200х300х600 угловой внутренний</t>
  </si>
  <si>
    <t>Поясной 200х300х600 угловой внешний</t>
  </si>
  <si>
    <t xml:space="preserve">Газоблок поясной D400 200х400х390 </t>
  </si>
  <si>
    <t xml:space="preserve">Газоблок поясной D500 200х100х390 </t>
  </si>
  <si>
    <t xml:space="preserve">Газоблок D500 200х200х390 </t>
  </si>
  <si>
    <t xml:space="preserve">Газоблок поясной D500 200х200х390 </t>
  </si>
  <si>
    <t xml:space="preserve">Газоблок поясной D500 200х300х390 </t>
  </si>
  <si>
    <t xml:space="preserve">Газоблок поясной D500 200х400х390 </t>
  </si>
  <si>
    <t xml:space="preserve">Газоблок D600 200х100х390 </t>
  </si>
  <si>
    <t xml:space="preserve">Газоблок поясной D600 200х100х390 </t>
  </si>
  <si>
    <t xml:space="preserve">Газоблок D600 200х200х390 </t>
  </si>
  <si>
    <t xml:space="preserve">Газоблок поясной D600 200х200х390 </t>
  </si>
  <si>
    <t xml:space="preserve">Газоблок поясной D600 200х300х390 </t>
  </si>
  <si>
    <t xml:space="preserve">Газоблок поясной D600 200х400х390 </t>
  </si>
  <si>
    <t xml:space="preserve">Газоблок D700 200х100х390 </t>
  </si>
  <si>
    <t xml:space="preserve">Газоблок поясной D700 200х100х390 </t>
  </si>
  <si>
    <t xml:space="preserve">Газоблок D700 200х200х390 </t>
  </si>
  <si>
    <t xml:space="preserve">Газоблок поясной D700 200х200х390 </t>
  </si>
  <si>
    <t xml:space="preserve">Газоблок поясной D700 200х300х390 </t>
  </si>
  <si>
    <t xml:space="preserve">Газоблок поясной D700 200х400х390 </t>
  </si>
  <si>
    <t>Блок Газобетонный D400 250*100*625 В 2,5</t>
  </si>
  <si>
    <t>250х100х625 угловой внутренний</t>
  </si>
  <si>
    <t>250х100х625 угловой внешний</t>
  </si>
  <si>
    <t>Газобетонный поясной D400 250*100*625 В 2,5</t>
  </si>
  <si>
    <t>Поясной 250х100х625 угловой внутренний</t>
  </si>
  <si>
    <t>Поясной 250х100х625 угловой внешний</t>
  </si>
  <si>
    <t>Блок Газобетонный D400 250*200*625 В 2,5</t>
  </si>
  <si>
    <t>250х200х625 угловой внутренний</t>
  </si>
  <si>
    <t>250х200х625 угловой внешний</t>
  </si>
  <si>
    <t>Газобетонный поясной D400 250*200*625 В 2,5</t>
  </si>
  <si>
    <t>Поясной 250х200х625 угловой внутренний</t>
  </si>
  <si>
    <t>Поясной 250х200х625 угловой внешний</t>
  </si>
  <si>
    <t>250*200*200</t>
  </si>
  <si>
    <t>Блок Газобетонный D400 250*240*625 В 2,5</t>
  </si>
  <si>
    <t>250х240х625 угловой внутренний</t>
  </si>
  <si>
    <t>250х240х625 угловой внешний</t>
  </si>
  <si>
    <t>Газобетонный поясной D400 250*240*625 В 2,5</t>
  </si>
  <si>
    <t>Поясной 250х240х625 угловой внутренний</t>
  </si>
  <si>
    <t>Поясной 250х240х625 угловой внешний</t>
  </si>
  <si>
    <t>250*240*200</t>
  </si>
  <si>
    <t>Блок Газобетонный D400 250*300*625 В 2,5</t>
  </si>
  <si>
    <t>250х300х625 угловой внутренний</t>
  </si>
  <si>
    <t>250х300х625 угловой внешний</t>
  </si>
  <si>
    <t>Газобетонный поясной D400 250*300*625 В 2,5</t>
  </si>
  <si>
    <t>Поясной 250х300х625 угловой внутренний</t>
  </si>
  <si>
    <t>Поясной 250х300х625 угловой внешний</t>
  </si>
  <si>
    <t>250*300*200</t>
  </si>
  <si>
    <t>Блок Газобетонный D400 250*400*625 В 2,5</t>
  </si>
  <si>
    <t>250х400х625 угловой внутренний</t>
  </si>
  <si>
    <t>250х400х625 угловой внешний</t>
  </si>
  <si>
    <t>Газобетонный поясной D400 250*400*625 В 2,5</t>
  </si>
  <si>
    <t>Поясной 250х400х625 угловой внутренний</t>
  </si>
  <si>
    <t>Поясной 250х400х625 угловой внешний</t>
  </si>
  <si>
    <t>250*400*200</t>
  </si>
  <si>
    <t>Блок Газобетонный D500 250*100*625 В 2,5</t>
  </si>
  <si>
    <t>Газобетонный поясной D500 250*100*625 В 2,5</t>
  </si>
  <si>
    <t>Блок Газобетонный D500 250*200*625 В 2,5</t>
  </si>
  <si>
    <t>Газобетонный поясной D500 250*200*625 В 2,5</t>
  </si>
  <si>
    <t>Блок Газобетонный D500 250*240*625 В 2,5</t>
  </si>
  <si>
    <t>Газобетонный поясной D500 250*240*625 В 2,5</t>
  </si>
  <si>
    <t>Блок Газобетонный D500 250*300*625 В 2,5</t>
  </si>
  <si>
    <t>Газобетонный поясной D500 250*300*625 В 2,5</t>
  </si>
  <si>
    <t>Блок Газобетонный D500 250*400*625 В 2,5</t>
  </si>
  <si>
    <t>Газобетонный поясной D500 250*400*625 В 2,5</t>
  </si>
  <si>
    <t>Блок Газобетонный D600 250*100*625 В 2,5</t>
  </si>
  <si>
    <t>Газобетонный поясной D600 250*100*625 В 2,5</t>
  </si>
  <si>
    <t>Блок Газобетонный D600 250*200*625 В 2,5</t>
  </si>
  <si>
    <t>Газобетонный поясной D600 250*200*625 В 2,5</t>
  </si>
  <si>
    <t>Блок Газобетонный D600 250*240*625 В 2,5</t>
  </si>
  <si>
    <t>Газобетонный поясной D600 250*240*625 В 2,5</t>
  </si>
  <si>
    <t>Блок Газобетонный D600 250*300*625 В 2,5</t>
  </si>
  <si>
    <t>Газобетонный поясной D600 250*300*625 В 2,5</t>
  </si>
  <si>
    <t>Блок Газобетонный D600 250*400*625 В 2,5</t>
  </si>
  <si>
    <t>Газобетонный поясной D600 250*400*625 В 2,5</t>
  </si>
  <si>
    <t>Раствор собственного изготовления</t>
  </si>
  <si>
    <t>Цемент, м250, 50 кг</t>
  </si>
  <si>
    <t>Песок,м3</t>
  </si>
  <si>
    <t>БрусПрофилированный</t>
  </si>
  <si>
    <t>БрусПрофилированныйсухой</t>
  </si>
  <si>
    <t>БрусКлееный</t>
  </si>
  <si>
    <t>ДикоеБревно</t>
  </si>
  <si>
    <t>ОцилиндрованноеБревно</t>
  </si>
  <si>
    <t>Окна, проемы</t>
  </si>
  <si>
    <t>длина перемычк</t>
  </si>
  <si>
    <t>цена 1м.п</t>
  </si>
  <si>
    <t>Перемычка оконная, 1-ый эт. Вариант 1</t>
  </si>
  <si>
    <t>Перемычка оконная, 1-ый эт. Вариант 2</t>
  </si>
  <si>
    <t>Перемычка оконная, 1-ый эт. Вариант 3</t>
  </si>
  <si>
    <t>Перемычка оконная, 1-ый эт. Вариант 4</t>
  </si>
  <si>
    <t>Перемычка оконная, 1-ый эт. Вариант 5</t>
  </si>
  <si>
    <t>Перемычка оконная, 2-ый эт. Вариант 6</t>
  </si>
  <si>
    <t>Перемычка оконная, 2-ый эт. Вариант 7</t>
  </si>
  <si>
    <t>Перемычка оконная, 2-ый эт. Вариант 8</t>
  </si>
  <si>
    <t>Перемычка оконная, 2-ый эт. Вариант 9</t>
  </si>
  <si>
    <t>Перемычка оконная, 2-ый эт. Вариант 10</t>
  </si>
  <si>
    <t>Перемычка дверная, 1-ый эт. Вариант 1</t>
  </si>
  <si>
    <t>Перемычка дверная, 2-ый эт. Вариант 2</t>
  </si>
  <si>
    <t>Перемычка оконная 1-ый эт, Вариант 11</t>
  </si>
  <si>
    <t>Перемычка оконная 1-ый эт, Вариант 12</t>
  </si>
  <si>
    <t>Перемычка дверная, 1-ый эт. Вариант 4</t>
  </si>
  <si>
    <t>Перемычка дверная, 1-ый эт. Вариант 5</t>
  </si>
  <si>
    <t>Перемычка дверная, 1-ый эт. Вариант 6</t>
  </si>
  <si>
    <t>Перемычка дверная, 2-ый эт. Вариант 7</t>
  </si>
  <si>
    <t>Перемычка дверная, 2-ый эт. Вариант 8</t>
  </si>
  <si>
    <t>Перемычка дверная, 2-ый эт. Вариант 9</t>
  </si>
  <si>
    <t>Перемычка проема, 1-ый эт. Вариант 10</t>
  </si>
  <si>
    <t>Перемычка проема, 1-ый эт. Вариант 11</t>
  </si>
  <si>
    <t>Перемычка проема, 2-ый эт. Вариант 12</t>
  </si>
  <si>
    <t>Перемычка проема, 2-ый эт. Вариант 13</t>
  </si>
  <si>
    <t>Перемычка дверная, 1-ый эт. Вариант 2</t>
  </si>
  <si>
    <t>Перемычка дверная, 1-ый эт. Вариант 3</t>
  </si>
  <si>
    <t>цена 1 м.п.</t>
  </si>
  <si>
    <t>Арматура М8 каждый 3-й ряд, 2 нити</t>
  </si>
  <si>
    <t>Арматура М10 каждый 3-й ряд, 2 нити</t>
  </si>
  <si>
    <t>Арматура М12 каждый 3-й ряд, 2 нити</t>
  </si>
  <si>
    <t>Арматура М14 каждый 3-й ряд, 2 нити</t>
  </si>
  <si>
    <t>Арматура М16 каждый 3-й ряд, 2 нити</t>
  </si>
  <si>
    <t>Арматура М18 каждый 3-й ряд, 2 нити</t>
  </si>
  <si>
    <t>Арматура М20 каждый 3-й ряд, 2 нити</t>
  </si>
  <si>
    <t>Сейсмопояс Арматура М6 4 нити</t>
  </si>
  <si>
    <t>Сейсмопояс Арматура М8 4 нити</t>
  </si>
  <si>
    <t>Сейсмопояс Арматура М12 4 нити</t>
  </si>
  <si>
    <t>Сейсмопояс Арматура М14 4 нити</t>
  </si>
  <si>
    <t>Сейсмопояс Арматура М16 4 нити</t>
  </si>
  <si>
    <t>Сейсмопояс Арматура М18 4 нити</t>
  </si>
  <si>
    <t>Сейсмопояс Арматура М20 4 нити</t>
  </si>
  <si>
    <t>Хомуты</t>
  </si>
  <si>
    <t>Хомут для сейсмопояса Арматура М6, шаг 600мм</t>
  </si>
  <si>
    <t>Хомут для сейсмопояса Арматура М6, шаг 300мм</t>
  </si>
  <si>
    <t>Хомут для сейсмопояса Арматура М8, шаг 600мм</t>
  </si>
  <si>
    <t>Хомут для сейсмопояса Арматура М8, шаг 400мм</t>
  </si>
  <si>
    <t>Хомут для сейсмопояса Арматура М8, шаг 300мм</t>
  </si>
  <si>
    <t>арматура для перекрытий</t>
  </si>
  <si>
    <t xml:space="preserve">Арматура М8 </t>
  </si>
  <si>
    <t xml:space="preserve">Арматура М14 </t>
  </si>
  <si>
    <t>Арматура М16</t>
  </si>
  <si>
    <t>Арматура М18</t>
  </si>
  <si>
    <t>Арматура М20</t>
  </si>
  <si>
    <t>Доска сырая, 200*50мм</t>
  </si>
  <si>
    <t>Доска сырая, 100*50мм</t>
  </si>
  <si>
    <t>Плитный,28кг/м3, технониколь</t>
  </si>
  <si>
    <t xml:space="preserve">Плитный,30кг/м3, роквулл </t>
  </si>
  <si>
    <t>Пенопласт ПСБ-С-15</t>
  </si>
  <si>
    <t>Пенопласт ПСБ-С-25</t>
  </si>
  <si>
    <t>Пенопласт ПСБ-С-35</t>
  </si>
  <si>
    <t>Пенополистирол,35кг/м3</t>
  </si>
  <si>
    <t>Пенополистирол,25кг/м3</t>
  </si>
  <si>
    <t>Для подсистемы наружней отделки</t>
  </si>
  <si>
    <t>МатериалБрус</t>
  </si>
  <si>
    <t>Лента ширина 0,2, высота 0,5</t>
  </si>
  <si>
    <t>Лента ширина 0,2, высота 0,6</t>
  </si>
  <si>
    <t>Лента ширина 0,3, высота 0,5</t>
  </si>
  <si>
    <t>Лента ширина 0,3, высота 0,6</t>
  </si>
  <si>
    <t>Лента ширина 0,4, высота 0,5</t>
  </si>
  <si>
    <t>Лента ширина 0,4, высота 0,6</t>
  </si>
  <si>
    <t>Считать конопатку дома</t>
  </si>
  <si>
    <t>Нет фундамента</t>
  </si>
  <si>
    <t>Фундамент как у дома</t>
  </si>
  <si>
    <t>Закрытый монтаж проводки</t>
  </si>
  <si>
    <t>Нет шлифовки стен дома снаружи</t>
  </si>
  <si>
    <t>Шлифовка стен дома внурти</t>
  </si>
  <si>
    <t>Аттиковая стена, мансарда, 2-го этажа</t>
  </si>
  <si>
    <t>выпуск по скату1</t>
  </si>
  <si>
    <t>выпуск по скату2</t>
  </si>
  <si>
    <t>Заборы</t>
  </si>
  <si>
    <t>цена по прайсу</t>
  </si>
  <si>
    <t>Необходимая длина забора</t>
  </si>
  <si>
    <t>3, Лаги проф. труба 40х20 мм (в 3 ряда)</t>
  </si>
  <si>
    <t>4, Лаги проф. труба 40х20 мм (в 4 ряда)</t>
  </si>
  <si>
    <t>др</t>
  </si>
  <si>
    <t>Дополнительные элементы</t>
  </si>
  <si>
    <t>Дополнительные материалы</t>
  </si>
  <si>
    <t>выключатели</t>
  </si>
  <si>
    <t>розетки</t>
  </si>
  <si>
    <t>доставки</t>
  </si>
  <si>
    <t>монтаж коробок распр</t>
  </si>
  <si>
    <t>монтаж коробок роз</t>
  </si>
  <si>
    <t>монтаж коробок выкл</t>
  </si>
  <si>
    <t>монтаж щитка</t>
  </si>
  <si>
    <t>Итого, материалы, рублей</t>
  </si>
  <si>
    <t>Итого, работы, рублей</t>
  </si>
  <si>
    <t>Итого, рублей</t>
  </si>
  <si>
    <t>система отопления, однотрубная</t>
  </si>
  <si>
    <t>система отопления, двутрубная</t>
  </si>
  <si>
    <t>скважина</t>
  </si>
  <si>
    <t>установка скваж адап</t>
  </si>
  <si>
    <t>установка гидроаккум</t>
  </si>
  <si>
    <t>прокладка пнд с утепл</t>
  </si>
  <si>
    <t>дно бетонное</t>
  </si>
  <si>
    <t>кольцо бетонное</t>
  </si>
  <si>
    <t xml:space="preserve">крышка бетонная  </t>
  </si>
  <si>
    <t>люк для крышки</t>
  </si>
  <si>
    <t>септик второй</t>
  </si>
  <si>
    <t>выгребная яма</t>
  </si>
  <si>
    <t>монтаж горловины</t>
  </si>
  <si>
    <t>м/ж ут-ной канал</t>
  </si>
  <si>
    <t>утепление для канализационной трубы</t>
  </si>
  <si>
    <t>раствор для бетонирования</t>
  </si>
  <si>
    <t>скотч для скорлупы утепления</t>
  </si>
  <si>
    <t xml:space="preserve">Приложение №3 </t>
  </si>
  <si>
    <t>от "22"07. 2017г.</t>
  </si>
  <si>
    <t>Длина дома, м.п.</t>
  </si>
  <si>
    <t>Ширина дома, м.п.</t>
  </si>
  <si>
    <t>S строения общая, м2</t>
  </si>
  <si>
    <t>S строения чистая, м2</t>
  </si>
  <si>
    <t>СМЕТНЫЙ РАСЧЕТ №4</t>
  </si>
  <si>
    <t>К договору №12 от "22"07. 2017г.</t>
  </si>
  <si>
    <t>Наименование работ и затрат</t>
  </si>
  <si>
    <t>Цена ед.изм.</t>
  </si>
  <si>
    <t>Цена с накруткой</t>
  </si>
  <si>
    <t>Общая цена</t>
  </si>
  <si>
    <t>Цена по прайсу</t>
  </si>
  <si>
    <t>Для закупа материала</t>
  </si>
  <si>
    <t>Фундамент ленточный, под стены цоколя</t>
  </si>
  <si>
    <t>Уже имеется</t>
  </si>
  <si>
    <t>закуп кол-во</t>
  </si>
  <si>
    <t>Итого материалы</t>
  </si>
  <si>
    <t>Итого работы</t>
  </si>
  <si>
    <t>Стяжка в цокольном этаже</t>
  </si>
  <si>
    <t>Цокольный этаж из блоков ФБС</t>
  </si>
  <si>
    <t>Цокольный этаж из Монолит (бетон)</t>
  </si>
  <si>
    <t>Винтовые сваи для дома</t>
  </si>
  <si>
    <t>Винтовые сваи для террасы</t>
  </si>
  <si>
    <t>Винтовые сваи для крыльца</t>
  </si>
  <si>
    <t>Плита УШП, технология Дороселл / Монолитная плита</t>
  </si>
  <si>
    <t>Сип-Панели</t>
  </si>
  <si>
    <t>Каркасный дом двутавровые балки</t>
  </si>
  <si>
    <t>Техника и дополнительные расходы</t>
  </si>
  <si>
    <t>Итого</t>
  </si>
  <si>
    <t>Каркасный дом ЛСТК</t>
  </si>
  <si>
    <t>Дом из Газобетона</t>
  </si>
  <si>
    <t>Дом из Пенобетона</t>
  </si>
  <si>
    <t>Итого материалы, рублей</t>
  </si>
  <si>
    <t>Итого работы, рублей</t>
  </si>
  <si>
    <t>Перекрытие 0-1-2 этажей</t>
  </si>
  <si>
    <t>Веранда/терасса деревянная</t>
  </si>
  <si>
    <t>Итого, работы</t>
  </si>
  <si>
    <t>Кровля Вальмовая ломаная</t>
  </si>
  <si>
    <t>Кровля на пристройке</t>
  </si>
  <si>
    <t>Кровля на Эркере</t>
  </si>
  <si>
    <t>Кровля на террасу/веранду</t>
  </si>
  <si>
    <t>Кровля на крыльцо</t>
  </si>
  <si>
    <t>Окна и двери</t>
  </si>
  <si>
    <t>сборка лестницы</t>
  </si>
  <si>
    <t>Лестница готовая</t>
  </si>
  <si>
    <t>Чистовая отделка</t>
  </si>
  <si>
    <t>Стены</t>
  </si>
  <si>
    <t>Пол</t>
  </si>
  <si>
    <t>Расходные материалы</t>
  </si>
  <si>
    <t>Всего материалов, рублей</t>
  </si>
  <si>
    <t>Всего работы, рублей</t>
  </si>
  <si>
    <t>Всего транспортные расходы, рублей</t>
  </si>
  <si>
    <t>Всего дополнительные расходные материалы</t>
  </si>
  <si>
    <t>Всего, командировочные расходы, рублей</t>
  </si>
  <si>
    <t>Всего работ и материалов, рублей</t>
  </si>
  <si>
    <t>Составил: Инженер             _________________</t>
  </si>
  <si>
    <t>С перечнем работ и материалов, ознакомлен, с итоговой стоимостью согласен.</t>
  </si>
  <si>
    <t>Подпись Заказчика              _________________</t>
  </si>
  <si>
    <t>Подпись Подрядчика          _________________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</si>
</sst>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0.0000"/>
    <numFmt numFmtId="167" formatCode="0.00000"/>
  </numFmts>
  <fonts count="61">
    <font>
      <sz val="11"/>
      <color rgb="FF000000"/>
      <name val="Calibri"/>
      <family val="2"/>
      <charset val="204"/>
    </font>
    <font>
      <sz val="10"/>
      <name val="Arial Cyr"/>
      <charset val="204"/>
    </font>
    <font>
      <sz val="18"/>
      <color rgb="FFFFFFFF"/>
      <name val="Calibri"/>
      <family val="2"/>
      <charset val="204"/>
    </font>
    <font>
      <sz val="14"/>
      <color rgb="FFFFFFFF"/>
      <name val="Calibri"/>
      <family val="2"/>
      <charset val="204"/>
    </font>
    <font>
      <sz val="12"/>
      <color rgb="FF000000"/>
      <name val="Calibri"/>
      <family val="2"/>
      <charset val="204"/>
    </font>
    <font>
      <b/>
      <sz val="12"/>
      <color rgb="FF000000"/>
      <name val="Calibri"/>
      <family val="2"/>
      <charset val="204"/>
    </font>
    <font>
      <b/>
      <sz val="12"/>
      <name val="Calibri"/>
      <family val="2"/>
      <charset val="204"/>
    </font>
    <font>
      <b/>
      <sz val="12"/>
      <color rgb="FFFFFFFF"/>
      <name val="Calibri"/>
      <family val="2"/>
      <charset val="204"/>
    </font>
    <font>
      <sz val="12"/>
      <color rgb="FFFFFFFF"/>
      <name val="Calibri"/>
      <family val="2"/>
      <charset val="204"/>
    </font>
    <font>
      <sz val="12"/>
      <name val="Calibri"/>
      <family val="2"/>
      <charset val="204"/>
    </font>
    <font>
      <sz val="11"/>
      <name val="Calibri"/>
      <family val="2"/>
      <charset val="204"/>
    </font>
    <font>
      <sz val="12"/>
      <name val="Arial"/>
      <family val="2"/>
      <charset val="204"/>
    </font>
    <font>
      <sz val="10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sz val="8"/>
      <color rgb="FF000000"/>
      <name val="Calibri"/>
      <family val="2"/>
      <charset val="204"/>
    </font>
    <font>
      <vertAlign val="superscript"/>
      <sz val="12"/>
      <color rgb="FF000000"/>
      <name val="Calibri"/>
      <family val="2"/>
      <charset val="204"/>
    </font>
    <font>
      <b/>
      <sz val="12"/>
      <color rgb="FFFF0000"/>
      <name val="Calibri"/>
      <family val="2"/>
      <charset val="204"/>
    </font>
    <font>
      <sz val="12"/>
      <color rgb="FFA6A6A6"/>
      <name val="Calibri"/>
      <family val="2"/>
      <charset val="204"/>
    </font>
    <font>
      <u/>
      <sz val="8.8000000000000007"/>
      <color rgb="FF0000FF"/>
      <name val="Calibri"/>
      <family val="2"/>
      <charset val="204"/>
    </font>
    <font>
      <sz val="12"/>
      <color rgb="FF000000"/>
      <name val="Inherit"/>
      <charset val="204"/>
    </font>
    <font>
      <sz val="11"/>
      <color rgb="FF000000"/>
      <name val="HelveticaNeueCyr"/>
      <charset val="1"/>
    </font>
    <font>
      <b/>
      <sz val="11"/>
      <color rgb="FF000000"/>
      <name val="HelveticaNeueCyr"/>
      <charset val="1"/>
    </font>
    <font>
      <sz val="11"/>
      <color rgb="FFFFFFFF"/>
      <name val="Calibri"/>
      <family val="2"/>
      <charset val="204"/>
    </font>
    <font>
      <sz val="14"/>
      <color rgb="FF000000"/>
      <name val="Calibri"/>
      <family val="2"/>
      <charset val="204"/>
    </font>
    <font>
      <sz val="18"/>
      <color rgb="FF000000"/>
      <name val="Calibri"/>
      <family val="2"/>
      <charset val="204"/>
    </font>
    <font>
      <b/>
      <sz val="14"/>
      <color rgb="FFFFFFFF"/>
      <name val="Calibri"/>
      <family val="2"/>
      <charset val="204"/>
    </font>
    <font>
      <b/>
      <sz val="14"/>
      <color rgb="FFFF0000"/>
      <name val="Calibri"/>
      <family val="2"/>
      <charset val="204"/>
    </font>
    <font>
      <sz val="18"/>
      <name val="Calibri"/>
      <family val="2"/>
      <charset val="204"/>
    </font>
    <font>
      <sz val="22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0"/>
      <color rgb="FFFFFFFF"/>
      <name val="Calibri"/>
      <family val="2"/>
      <charset val="204"/>
    </font>
    <font>
      <sz val="10"/>
      <color rgb="FFFFFFFF"/>
      <name val="Calibri"/>
      <family val="2"/>
      <charset val="204"/>
    </font>
    <font>
      <sz val="16"/>
      <color rgb="FF000000"/>
      <name val="Calibri"/>
      <family val="2"/>
      <charset val="204"/>
    </font>
    <font>
      <b/>
      <sz val="11"/>
      <color rgb="FF000000"/>
      <name val="Calibri"/>
      <family val="2"/>
      <charset val="204"/>
    </font>
    <font>
      <sz val="22"/>
      <name val="Calibri"/>
      <family val="2"/>
      <charset val="204"/>
    </font>
    <font>
      <sz val="22"/>
      <color rgb="FFFFFFFF"/>
      <name val="Calibri"/>
      <family val="2"/>
      <charset val="204"/>
    </font>
    <font>
      <b/>
      <sz val="11"/>
      <color rgb="FF10243E"/>
      <name val="Calibri"/>
      <family val="2"/>
      <charset val="204"/>
    </font>
    <font>
      <b/>
      <sz val="18"/>
      <color rgb="FF000000"/>
      <name val="Calibri"/>
      <family val="2"/>
      <charset val="204"/>
    </font>
    <font>
      <sz val="12"/>
      <color rgb="FFFF0000"/>
      <name val="Calibri"/>
      <family val="2"/>
      <charset val="204"/>
    </font>
    <font>
      <sz val="11"/>
      <color rgb="FFFF0000"/>
      <name val="Calibri"/>
      <family val="2"/>
      <charset val="204"/>
    </font>
    <font>
      <b/>
      <sz val="18"/>
      <color rgb="FFFF0000"/>
      <name val="Calibri"/>
      <family val="2"/>
      <charset val="204"/>
    </font>
    <font>
      <sz val="14"/>
      <color rgb="FFFF0000"/>
      <name val="Calibri"/>
      <family val="2"/>
      <charset val="204"/>
    </font>
    <font>
      <b/>
      <sz val="18"/>
      <color rgb="FFFFFFFF"/>
      <name val="Calibri"/>
      <family val="2"/>
      <charset val="204"/>
    </font>
    <font>
      <sz val="14"/>
      <color rgb="FF444444"/>
      <name val="Arial"/>
      <family val="2"/>
      <charset val="204"/>
    </font>
    <font>
      <sz val="9"/>
      <color rgb="FFFFFFFF"/>
      <name val="Calibri"/>
      <family val="2"/>
      <charset val="204"/>
    </font>
    <font>
      <sz val="12"/>
      <color rgb="FF444444"/>
      <name val="Calibri"/>
      <family val="2"/>
      <charset val="204"/>
    </font>
    <font>
      <b/>
      <sz val="11"/>
      <color rgb="FFFF0000"/>
      <name val="Calibri"/>
      <family val="2"/>
      <charset val="204"/>
    </font>
    <font>
      <b/>
      <sz val="11"/>
      <name val="Calibri"/>
      <family val="2"/>
      <charset val="204"/>
    </font>
    <font>
      <sz val="11"/>
      <color rgb="FF444444"/>
      <name val="Arial"/>
      <family val="2"/>
      <charset val="204"/>
    </font>
    <font>
      <sz val="11"/>
      <color rgb="FF444444"/>
      <name val="Calibri"/>
      <family val="2"/>
      <charset val="204"/>
    </font>
    <font>
      <b/>
      <sz val="18"/>
      <name val="Calibri"/>
      <family val="2"/>
      <charset val="204"/>
    </font>
    <font>
      <b/>
      <sz val="16"/>
      <color rgb="FF000000"/>
      <name val="Calibri"/>
      <family val="2"/>
      <charset val="204"/>
    </font>
    <font>
      <b/>
      <sz val="12"/>
      <color rgb="FF4A452A"/>
      <name val="Calibri"/>
      <family val="2"/>
      <charset val="204"/>
    </font>
    <font>
      <b/>
      <sz val="16"/>
      <color rgb="FFFFFFFF"/>
      <name val="Calibri"/>
      <family val="2"/>
      <charset val="204"/>
    </font>
    <font>
      <b/>
      <sz val="11"/>
      <color rgb="FF4A452A"/>
      <name val="Calibri"/>
      <family val="2"/>
      <charset val="204"/>
    </font>
    <font>
      <sz val="11"/>
      <color rgb="FF4A452A"/>
      <name val="Calibri"/>
      <family val="2"/>
      <charset val="204"/>
    </font>
    <font>
      <sz val="12"/>
      <color rgb="FF4A452A"/>
      <name val="Calibri"/>
      <family val="2"/>
      <charset val="204"/>
    </font>
    <font>
      <sz val="11"/>
      <color rgb="FF808080"/>
      <name val="Calibri"/>
      <family val="2"/>
      <charset val="204"/>
    </font>
    <font>
      <b/>
      <sz val="16"/>
      <name val="Calibri"/>
      <family val="2"/>
      <charset val="204"/>
    </font>
    <font>
      <sz val="14"/>
      <name val="Calibri"/>
      <family val="2"/>
      <charset val="204"/>
    </font>
    <font>
      <sz val="11"/>
      <color rgb="FF000000"/>
      <name val="Calibri"/>
      <family val="2"/>
      <charset val="204"/>
    </font>
  </fonts>
  <fills count="48">
    <fill>
      <patternFill patternType="none"/>
    </fill>
    <fill>
      <patternFill patternType="gray125"/>
    </fill>
    <fill>
      <patternFill patternType="solid">
        <fgColor rgb="FF0D0D0D"/>
        <bgColor rgb="FF000000"/>
      </patternFill>
    </fill>
    <fill>
      <patternFill patternType="solid">
        <fgColor rgb="FF000000"/>
        <bgColor rgb="FF0D0D0D"/>
      </patternFill>
    </fill>
    <fill>
      <patternFill patternType="solid">
        <fgColor rgb="FFFFFFFF"/>
        <bgColor rgb="FFFAFAE6"/>
      </patternFill>
    </fill>
    <fill>
      <patternFill patternType="solid">
        <fgColor rgb="FFD9D9D9"/>
        <bgColor rgb="FFDDD9C3"/>
      </patternFill>
    </fill>
    <fill>
      <patternFill patternType="solid">
        <fgColor rgb="FF4A452A"/>
        <bgColor rgb="FF444444"/>
      </patternFill>
    </fill>
    <fill>
      <patternFill patternType="solid">
        <fgColor rgb="FFFAFAE6"/>
        <bgColor rgb="FFF2F2F2"/>
      </patternFill>
    </fill>
    <fill>
      <patternFill patternType="solid">
        <fgColor rgb="FFC4BD97"/>
        <bgColor rgb="FFBFBFBF"/>
      </patternFill>
    </fill>
    <fill>
      <patternFill patternType="solid">
        <fgColor rgb="FF10243E"/>
        <bgColor rgb="FF1E1C11"/>
      </patternFill>
    </fill>
    <fill>
      <patternFill patternType="solid">
        <fgColor rgb="FFFAC090"/>
        <bgColor rgb="FFE6B9B8"/>
      </patternFill>
    </fill>
    <fill>
      <patternFill patternType="solid">
        <fgColor rgb="FFDCE6F2"/>
        <bgColor rgb="FFDBEEF4"/>
      </patternFill>
    </fill>
    <fill>
      <patternFill patternType="solid">
        <fgColor rgb="FF17375E"/>
        <bgColor rgb="FF10243E"/>
      </patternFill>
    </fill>
    <fill>
      <patternFill patternType="solid">
        <fgColor rgb="FFD99694"/>
        <bgColor rgb="FFB3A2C7"/>
      </patternFill>
    </fill>
    <fill>
      <patternFill patternType="solid">
        <fgColor rgb="FFF2F2F2"/>
        <bgColor rgb="FFEEECE1"/>
      </patternFill>
    </fill>
    <fill>
      <patternFill patternType="solid">
        <fgColor rgb="FFE6E0EC"/>
        <bgColor rgb="FFDCE6F2"/>
      </patternFill>
    </fill>
    <fill>
      <patternFill patternType="solid">
        <fgColor rgb="FFDBEEF4"/>
        <bgColor rgb="FFDCE6F2"/>
      </patternFill>
    </fill>
    <fill>
      <patternFill patternType="solid">
        <fgColor rgb="FFBFBFBF"/>
        <bgColor rgb="FFCCC1DA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948A54"/>
        <bgColor rgb="FF77933C"/>
      </patternFill>
    </fill>
    <fill>
      <patternFill patternType="solid">
        <fgColor rgb="FFFF0000"/>
        <bgColor rgb="FF800000"/>
      </patternFill>
    </fill>
    <fill>
      <patternFill patternType="solid">
        <fgColor rgb="FFFDEADA"/>
        <bgColor rgb="FFEEECE1"/>
      </patternFill>
    </fill>
    <fill>
      <patternFill patternType="solid">
        <fgColor rgb="FF00B0F0"/>
        <bgColor rgb="FF0070C0"/>
      </patternFill>
    </fill>
    <fill>
      <patternFill patternType="solid">
        <fgColor rgb="FFFFC000"/>
        <bgColor rgb="FFFAC090"/>
      </patternFill>
    </fill>
    <fill>
      <patternFill patternType="solid">
        <fgColor rgb="FFC6D9F1"/>
        <bgColor rgb="FFB7DEE8"/>
      </patternFill>
    </fill>
    <fill>
      <patternFill patternType="solid">
        <fgColor rgb="FFC3D69B"/>
        <bgColor rgb="FFD7E4BD"/>
      </patternFill>
    </fill>
    <fill>
      <patternFill patternType="solid">
        <fgColor rgb="FFDDD9C3"/>
        <bgColor rgb="FFD9D9D9"/>
      </patternFill>
    </fill>
    <fill>
      <patternFill patternType="solid">
        <fgColor rgb="FF93CDDD"/>
        <bgColor rgb="FF8EB4E3"/>
      </patternFill>
    </fill>
    <fill>
      <patternFill patternType="solid">
        <fgColor rgb="FF1E1C11"/>
        <bgColor rgb="FF0D0D0D"/>
      </patternFill>
    </fill>
    <fill>
      <patternFill patternType="solid">
        <fgColor rgb="FFE46C0A"/>
        <bgColor rgb="FF948A54"/>
      </patternFill>
    </fill>
    <fill>
      <patternFill patternType="solid">
        <fgColor rgb="FFB3A2C7"/>
        <bgColor rgb="FFA6A6A6"/>
      </patternFill>
    </fill>
    <fill>
      <patternFill patternType="solid">
        <fgColor rgb="FFFFFF00"/>
        <bgColor rgb="FFFFC000"/>
      </patternFill>
    </fill>
    <fill>
      <patternFill patternType="solid">
        <fgColor rgb="FF95B3D7"/>
        <bgColor rgb="FF8EB4E3"/>
      </patternFill>
    </fill>
    <fill>
      <patternFill patternType="solid">
        <fgColor rgb="FF77933C"/>
        <bgColor rgb="FF948A54"/>
      </patternFill>
    </fill>
    <fill>
      <patternFill patternType="solid">
        <fgColor rgb="FFFCD5B5"/>
        <bgColor rgb="FFDDD9C3"/>
      </patternFill>
    </fill>
    <fill>
      <patternFill patternType="solid">
        <fgColor rgb="FFB7DEE8"/>
        <bgColor rgb="FFC6D9F1"/>
      </patternFill>
    </fill>
    <fill>
      <patternFill patternType="solid">
        <fgColor rgb="FFB9CDE5"/>
        <bgColor rgb="FFC6D9F1"/>
      </patternFill>
    </fill>
    <fill>
      <patternFill patternType="solid">
        <fgColor rgb="FFCCC1DA"/>
        <bgColor rgb="FFBFBFBF"/>
      </patternFill>
    </fill>
    <fill>
      <patternFill patternType="solid">
        <fgColor rgb="FF404040"/>
        <bgColor rgb="FF444444"/>
      </patternFill>
    </fill>
    <fill>
      <patternFill patternType="solid">
        <fgColor rgb="FF4F6228"/>
        <bgColor rgb="FF4A452A"/>
      </patternFill>
    </fill>
    <fill>
      <patternFill patternType="solid">
        <fgColor rgb="FF376092"/>
        <bgColor rgb="FF444444"/>
      </patternFill>
    </fill>
    <fill>
      <patternFill patternType="solid">
        <fgColor rgb="FFEEECE1"/>
        <bgColor rgb="FFF2F2F2"/>
      </patternFill>
    </fill>
    <fill>
      <patternFill patternType="solid">
        <fgColor rgb="FFA6A6A6"/>
        <bgColor rgb="FFB3A2C7"/>
      </patternFill>
    </fill>
    <fill>
      <patternFill patternType="solid">
        <fgColor rgb="FF8EB4E3"/>
        <bgColor rgb="FF95B3D7"/>
      </patternFill>
    </fill>
    <fill>
      <patternFill patternType="solid">
        <fgColor rgb="FF0070C0"/>
        <bgColor rgb="FF376092"/>
      </patternFill>
    </fill>
    <fill>
      <patternFill patternType="solid">
        <fgColor rgb="FF9BBB59"/>
        <bgColor rgb="FF92D050"/>
      </patternFill>
    </fill>
    <fill>
      <patternFill patternType="solid">
        <fgColor rgb="FFE6E3D2"/>
        <bgColor rgb="FFE6E0EC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5">
    <xf numFmtId="0" fontId="0" fillId="0" borderId="0"/>
    <xf numFmtId="0" fontId="18" fillId="0" borderId="0" applyBorder="0" applyProtection="0"/>
    <xf numFmtId="0" fontId="60" fillId="0" borderId="0"/>
    <xf numFmtId="0" fontId="60" fillId="0" borderId="0"/>
    <xf numFmtId="0" fontId="1" fillId="0" borderId="0"/>
  </cellStyleXfs>
  <cellXfs count="3341">
    <xf numFmtId="0" fontId="0" fillId="0" borderId="0" xfId="0"/>
    <xf numFmtId="2" fontId="7" fillId="3" borderId="11" xfId="0" applyNumberFormat="1" applyFont="1" applyFill="1" applyBorder="1" applyAlignment="1" applyProtection="1">
      <alignment horizontal="left" vertical="center"/>
      <protection hidden="1"/>
    </xf>
    <xf numFmtId="2" fontId="7" fillId="3" borderId="11" xfId="0" applyNumberFormat="1" applyFont="1" applyFill="1" applyBorder="1" applyAlignment="1" applyProtection="1">
      <alignment horizontal="left"/>
      <protection hidden="1"/>
    </xf>
    <xf numFmtId="2" fontId="8" fillId="6" borderId="1" xfId="0" applyNumberFormat="1" applyFont="1" applyFill="1" applyBorder="1" applyAlignment="1">
      <alignment horizontal="center" vertical="center" wrapText="1"/>
    </xf>
    <xf numFmtId="2" fontId="9" fillId="5" borderId="1" xfId="0" applyNumberFormat="1" applyFont="1" applyFill="1" applyBorder="1" applyAlignment="1" applyProtection="1">
      <alignment horizontal="left"/>
      <protection hidden="1"/>
    </xf>
    <xf numFmtId="0" fontId="7" fillId="3" borderId="6" xfId="0" applyFont="1" applyFill="1" applyBorder="1" applyAlignment="1">
      <alignment horizontal="left"/>
    </xf>
    <xf numFmtId="2" fontId="7" fillId="3" borderId="1" xfId="0" applyNumberFormat="1" applyFont="1" applyFill="1" applyBorder="1" applyAlignment="1" applyProtection="1">
      <alignment horizontal="left"/>
      <protection hidden="1"/>
    </xf>
    <xf numFmtId="0" fontId="9" fillId="5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horizontal="left"/>
    </xf>
    <xf numFmtId="0" fontId="7" fillId="3" borderId="1" xfId="0" applyFont="1" applyFill="1" applyBorder="1" applyAlignment="1"/>
    <xf numFmtId="0" fontId="9" fillId="5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/>
    </xf>
    <xf numFmtId="0" fontId="0" fillId="2" borderId="0" xfId="0" applyFill="1" applyBorder="1"/>
    <xf numFmtId="0" fontId="4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/>
    <xf numFmtId="2" fontId="4" fillId="0" borderId="1" xfId="0" applyNumberFormat="1" applyFont="1" applyBorder="1" applyAlignment="1">
      <alignment horizontal="right"/>
    </xf>
    <xf numFmtId="0" fontId="5" fillId="0" borderId="2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2" fontId="6" fillId="0" borderId="1" xfId="0" applyNumberFormat="1" applyFont="1" applyBorder="1" applyAlignment="1">
      <alignment horizontal="center" vertical="center" wrapText="1"/>
    </xf>
    <xf numFmtId="2" fontId="6" fillId="0" borderId="1" xfId="0" applyNumberFormat="1" applyFont="1" applyBorder="1" applyAlignment="1">
      <alignment horizontal="right" vertical="center" wrapText="1"/>
    </xf>
    <xf numFmtId="0" fontId="7" fillId="3" borderId="3" xfId="0" applyFont="1" applyFill="1" applyBorder="1" applyAlignment="1">
      <alignment vertical="center"/>
    </xf>
    <xf numFmtId="0" fontId="7" fillId="3" borderId="1" xfId="0" applyFont="1" applyFill="1" applyBorder="1" applyAlignment="1">
      <alignment vertical="center"/>
    </xf>
    <xf numFmtId="0" fontId="8" fillId="2" borderId="1" xfId="0" applyFont="1" applyFill="1" applyBorder="1" applyAlignment="1">
      <alignment horizontal="center" vertical="center" wrapText="1"/>
    </xf>
    <xf numFmtId="2" fontId="7" fillId="3" borderId="1" xfId="0" applyNumberFormat="1" applyFont="1" applyFill="1" applyBorder="1" applyAlignment="1">
      <alignment horizontal="center" vertical="center"/>
    </xf>
    <xf numFmtId="2" fontId="7" fillId="3" borderId="1" xfId="0" applyNumberFormat="1" applyFont="1" applyFill="1" applyBorder="1" applyAlignment="1">
      <alignment horizontal="right" vertical="center"/>
    </xf>
    <xf numFmtId="0" fontId="4" fillId="4" borderId="0" xfId="0" applyFont="1" applyFill="1" applyBorder="1" applyAlignment="1"/>
    <xf numFmtId="0" fontId="9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2" fontId="9" fillId="0" borderId="1" xfId="0" applyNumberFormat="1" applyFont="1" applyBorder="1" applyAlignment="1">
      <alignment horizontal="right"/>
    </xf>
    <xf numFmtId="2" fontId="9" fillId="0" borderId="1" xfId="0" applyNumberFormat="1" applyFont="1" applyBorder="1" applyAlignment="1">
      <alignment horizontal="right" vertical="center"/>
    </xf>
    <xf numFmtId="0" fontId="9" fillId="0" borderId="1" xfId="0" applyFont="1" applyBorder="1" applyAlignment="1">
      <alignment horizontal="left" wrapText="1"/>
    </xf>
    <xf numFmtId="0" fontId="9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2" fontId="9" fillId="0" borderId="1" xfId="0" applyNumberFormat="1" applyFont="1" applyBorder="1" applyAlignment="1">
      <alignment horizontal="right"/>
    </xf>
    <xf numFmtId="2" fontId="9" fillId="0" borderId="1" xfId="0" applyNumberFormat="1" applyFont="1" applyBorder="1" applyAlignment="1">
      <alignment horizontal="right" vertical="center" wrapText="1"/>
    </xf>
    <xf numFmtId="2" fontId="4" fillId="0" borderId="1" xfId="0" applyNumberFormat="1" applyFont="1" applyBorder="1" applyAlignment="1">
      <alignment horizontal="right" vertical="center" wrapText="1"/>
    </xf>
    <xf numFmtId="0" fontId="7" fillId="3" borderId="4" xfId="0" applyFont="1" applyFill="1" applyBorder="1" applyAlignment="1">
      <alignment vertical="center"/>
    </xf>
    <xf numFmtId="0" fontId="8" fillId="3" borderId="1" xfId="0" applyFont="1" applyFill="1" applyBorder="1" applyAlignment="1">
      <alignment vertical="center"/>
    </xf>
    <xf numFmtId="2" fontId="8" fillId="3" borderId="1" xfId="0" applyNumberFormat="1" applyFont="1" applyFill="1" applyBorder="1" applyAlignment="1">
      <alignment horizontal="right" vertical="center"/>
    </xf>
    <xf numFmtId="0" fontId="4" fillId="4" borderId="5" xfId="0" applyFont="1" applyFill="1" applyBorder="1" applyAlignment="1"/>
    <xf numFmtId="0" fontId="4" fillId="4" borderId="6" xfId="0" applyFont="1" applyFill="1" applyBorder="1" applyAlignment="1"/>
    <xf numFmtId="2" fontId="4" fillId="0" borderId="1" xfId="0" applyNumberFormat="1" applyFont="1" applyBorder="1" applyAlignment="1">
      <alignment horizontal="right" vertical="center"/>
    </xf>
    <xf numFmtId="0" fontId="4" fillId="5" borderId="7" xfId="0" applyFont="1" applyFill="1" applyBorder="1" applyAlignment="1"/>
    <xf numFmtId="0" fontId="9" fillId="5" borderId="1" xfId="0" applyFont="1" applyFill="1" applyBorder="1" applyAlignment="1">
      <alignment horizontal="left"/>
    </xf>
    <xf numFmtId="0" fontId="7" fillId="3" borderId="2" xfId="0" applyFont="1" applyFill="1" applyBorder="1" applyAlignment="1">
      <alignment vertical="center"/>
    </xf>
    <xf numFmtId="0" fontId="7" fillId="3" borderId="2" xfId="0" applyFont="1" applyFill="1" applyBorder="1" applyAlignment="1"/>
    <xf numFmtId="0" fontId="8" fillId="3" borderId="1" xfId="0" applyFont="1" applyFill="1" applyBorder="1" applyAlignment="1"/>
    <xf numFmtId="2" fontId="8" fillId="3" borderId="1" xfId="0" applyNumberFormat="1" applyFont="1" applyFill="1" applyBorder="1" applyAlignment="1">
      <alignment horizontal="right"/>
    </xf>
    <xf numFmtId="0" fontId="9" fillId="0" borderId="5" xfId="0" applyFont="1" applyBorder="1" applyAlignment="1">
      <alignment horizontal="left"/>
    </xf>
    <xf numFmtId="0" fontId="9" fillId="5" borderId="2" xfId="0" applyFont="1" applyFill="1" applyBorder="1" applyAlignment="1"/>
    <xf numFmtId="0" fontId="9" fillId="5" borderId="8" xfId="0" applyFont="1" applyFill="1" applyBorder="1" applyAlignment="1">
      <alignment horizontal="left"/>
    </xf>
    <xf numFmtId="0" fontId="9" fillId="0" borderId="8" xfId="0" applyFont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8" fillId="3" borderId="7" xfId="0" applyFont="1" applyFill="1" applyBorder="1" applyAlignment="1">
      <alignment horizontal="center"/>
    </xf>
    <xf numFmtId="0" fontId="9" fillId="5" borderId="2" xfId="0" applyFont="1" applyFill="1" applyBorder="1" applyAlignment="1">
      <alignment horizontal="left"/>
    </xf>
    <xf numFmtId="0" fontId="7" fillId="3" borderId="4" xfId="0" applyFont="1" applyFill="1" applyBorder="1" applyAlignment="1">
      <alignment horizontal="left"/>
    </xf>
    <xf numFmtId="0" fontId="7" fillId="2" borderId="2" xfId="0" applyFont="1" applyFill="1" applyBorder="1" applyAlignment="1">
      <alignment horizontal="left"/>
    </xf>
    <xf numFmtId="0" fontId="8" fillId="2" borderId="1" xfId="0" applyFont="1" applyFill="1" applyBorder="1"/>
    <xf numFmtId="2" fontId="8" fillId="2" borderId="1" xfId="0" applyNumberFormat="1" applyFont="1" applyFill="1" applyBorder="1" applyAlignment="1">
      <alignment horizontal="right" vertical="center" wrapText="1"/>
    </xf>
    <xf numFmtId="0" fontId="7" fillId="4" borderId="5" xfId="0" applyFont="1" applyFill="1" applyBorder="1" applyAlignment="1"/>
    <xf numFmtId="0" fontId="9" fillId="4" borderId="1" xfId="0" applyFont="1" applyFill="1" applyBorder="1" applyAlignment="1">
      <alignment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2" fontId="9" fillId="4" borderId="1" xfId="0" applyNumberFormat="1" applyFont="1" applyFill="1" applyBorder="1" applyAlignment="1">
      <alignment horizontal="right" vertical="center" wrapText="1"/>
    </xf>
    <xf numFmtId="2" fontId="4" fillId="0" borderId="1" xfId="0" applyNumberFormat="1" applyFont="1" applyBorder="1" applyAlignment="1">
      <alignment horizontal="right"/>
    </xf>
    <xf numFmtId="0" fontId="4" fillId="0" borderId="0" xfId="0" applyFont="1"/>
    <xf numFmtId="0" fontId="7" fillId="4" borderId="6" xfId="0" applyFont="1" applyFill="1" applyBorder="1" applyAlignment="1"/>
    <xf numFmtId="0" fontId="9" fillId="4" borderId="5" xfId="0" applyFont="1" applyFill="1" applyBorder="1" applyAlignment="1">
      <alignment vertical="center" wrapText="1"/>
    </xf>
    <xf numFmtId="0" fontId="7" fillId="3" borderId="2" xfId="0" applyFont="1" applyFill="1" applyBorder="1" applyAlignment="1">
      <alignment horizontal="left"/>
    </xf>
    <xf numFmtId="0" fontId="4" fillId="2" borderId="1" xfId="0" applyFont="1" applyFill="1" applyBorder="1"/>
    <xf numFmtId="2" fontId="4" fillId="2" borderId="1" xfId="0" applyNumberFormat="1" applyFont="1" applyFill="1" applyBorder="1" applyAlignment="1">
      <alignment horizontal="right"/>
    </xf>
    <xf numFmtId="0" fontId="4" fillId="4" borderId="7" xfId="0" applyFont="1" applyFill="1" applyBorder="1" applyAlignment="1"/>
    <xf numFmtId="0" fontId="8" fillId="3" borderId="1" xfId="0" applyFont="1" applyFill="1" applyBorder="1" applyAlignment="1">
      <alignment horizontal="center"/>
    </xf>
    <xf numFmtId="2" fontId="8" fillId="3" borderId="1" xfId="0" applyNumberFormat="1" applyFont="1" applyFill="1" applyBorder="1" applyAlignment="1">
      <alignment horizontal="right"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2" fontId="4" fillId="0" borderId="1" xfId="0" applyNumberFormat="1" applyFont="1" applyBorder="1" applyAlignment="1">
      <alignment horizontal="right" vertical="center" wrapText="1"/>
    </xf>
    <xf numFmtId="0" fontId="7" fillId="4" borderId="7" xfId="0" applyFont="1" applyFill="1" applyBorder="1" applyAlignment="1"/>
    <xf numFmtId="0" fontId="7" fillId="4" borderId="5" xfId="0" applyFont="1" applyFill="1" applyBorder="1" applyAlignment="1">
      <alignment vertical="center" wrapText="1"/>
    </xf>
    <xf numFmtId="164" fontId="4" fillId="0" borderId="1" xfId="0" applyNumberFormat="1" applyFont="1" applyBorder="1" applyAlignment="1">
      <alignment horizontal="center"/>
    </xf>
    <xf numFmtId="0" fontId="4" fillId="0" borderId="0" xfId="0" applyFont="1" applyBorder="1"/>
    <xf numFmtId="0" fontId="7" fillId="4" borderId="6" xfId="0" applyFont="1" applyFill="1" applyBorder="1" applyAlignment="1">
      <alignment vertical="center" wrapText="1"/>
    </xf>
    <xf numFmtId="2" fontId="8" fillId="3" borderId="1" xfId="0" applyNumberFormat="1" applyFont="1" applyFill="1" applyBorder="1" applyAlignment="1" applyProtection="1">
      <alignment horizontal="center"/>
      <protection hidden="1"/>
    </xf>
    <xf numFmtId="2" fontId="8" fillId="3" borderId="1" xfId="0" applyNumberFormat="1" applyFont="1" applyFill="1" applyBorder="1" applyAlignment="1" applyProtection="1">
      <alignment horizontal="right"/>
      <protection hidden="1"/>
    </xf>
    <xf numFmtId="0" fontId="4" fillId="4" borderId="1" xfId="2" applyFont="1" applyFill="1" applyBorder="1" applyAlignment="1">
      <alignment horizontal="left" vertical="center" wrapText="1"/>
    </xf>
    <xf numFmtId="1" fontId="4" fillId="4" borderId="1" xfId="2" applyNumberFormat="1" applyFont="1" applyFill="1" applyBorder="1" applyAlignment="1">
      <alignment horizontal="center" vertical="center" wrapText="1"/>
    </xf>
    <xf numFmtId="2" fontId="4" fillId="4" borderId="1" xfId="2" applyNumberFormat="1" applyFont="1" applyFill="1" applyBorder="1" applyAlignment="1">
      <alignment horizontal="right" vertical="center" wrapText="1"/>
    </xf>
    <xf numFmtId="2" fontId="4" fillId="4" borderId="1" xfId="2" applyNumberFormat="1" applyFont="1" applyFill="1" applyBorder="1" applyAlignment="1">
      <alignment horizontal="right" vertical="distributed" wrapText="1"/>
    </xf>
    <xf numFmtId="0" fontId="4" fillId="4" borderId="5" xfId="2" applyFont="1" applyFill="1" applyBorder="1" applyAlignment="1">
      <alignment horizontal="left" vertical="center" wrapText="1"/>
    </xf>
    <xf numFmtId="2" fontId="7" fillId="4" borderId="5" xfId="0" applyNumberFormat="1" applyFont="1" applyFill="1" applyBorder="1" applyAlignment="1" applyProtection="1">
      <protection hidden="1"/>
    </xf>
    <xf numFmtId="0" fontId="9" fillId="0" borderId="1" xfId="0" applyFont="1" applyBorder="1"/>
    <xf numFmtId="2" fontId="9" fillId="0" borderId="1" xfId="0" applyNumberFormat="1" applyFont="1" applyBorder="1" applyAlignment="1" applyProtection="1">
      <alignment horizontal="right"/>
      <protection hidden="1"/>
    </xf>
    <xf numFmtId="2" fontId="7" fillId="4" borderId="6" xfId="0" applyNumberFormat="1" applyFont="1" applyFill="1" applyBorder="1" applyAlignment="1" applyProtection="1">
      <protection hidden="1"/>
    </xf>
    <xf numFmtId="2" fontId="4" fillId="0" borderId="1" xfId="0" applyNumberFormat="1" applyFont="1" applyBorder="1" applyAlignment="1" applyProtection="1">
      <alignment horizontal="left"/>
      <protection hidden="1"/>
    </xf>
    <xf numFmtId="2" fontId="4" fillId="0" borderId="1" xfId="0" applyNumberFormat="1" applyFont="1" applyBorder="1" applyAlignment="1" applyProtection="1">
      <alignment horizontal="center"/>
      <protection hidden="1"/>
    </xf>
    <xf numFmtId="2" fontId="4" fillId="0" borderId="1" xfId="0" applyNumberFormat="1" applyFont="1" applyBorder="1" applyAlignment="1" applyProtection="1">
      <alignment horizontal="right"/>
      <protection hidden="1"/>
    </xf>
    <xf numFmtId="2" fontId="4" fillId="0" borderId="5" xfId="0" applyNumberFormat="1" applyFont="1" applyBorder="1" applyAlignment="1" applyProtection="1">
      <alignment horizontal="left"/>
      <protection hidden="1"/>
    </xf>
    <xf numFmtId="2" fontId="9" fillId="0" borderId="1" xfId="0" applyNumberFormat="1" applyFont="1" applyBorder="1" applyAlignment="1" applyProtection="1">
      <alignment horizontal="left"/>
      <protection hidden="1"/>
    </xf>
    <xf numFmtId="0" fontId="9" fillId="4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5" xfId="0" applyFont="1" applyFill="1" applyBorder="1" applyAlignment="1">
      <alignment horizontal="left" vertical="center" wrapText="1"/>
    </xf>
    <xf numFmtId="2" fontId="7" fillId="3" borderId="9" xfId="0" applyNumberFormat="1" applyFont="1" applyFill="1" applyBorder="1" applyAlignment="1" applyProtection="1">
      <alignment horizontal="left"/>
      <protection hidden="1"/>
    </xf>
    <xf numFmtId="2" fontId="7" fillId="3" borderId="1" xfId="0" applyNumberFormat="1" applyFont="1" applyFill="1" applyBorder="1" applyAlignment="1" applyProtection="1">
      <alignment horizontal="center"/>
      <protection hidden="1"/>
    </xf>
    <xf numFmtId="0" fontId="7" fillId="3" borderId="2" xfId="0" applyFont="1" applyFill="1" applyBorder="1" applyAlignment="1">
      <alignment horizontal="left" vertical="center" wrapText="1"/>
    </xf>
    <xf numFmtId="0" fontId="8" fillId="3" borderId="1" xfId="0" applyFont="1" applyFill="1" applyBorder="1"/>
    <xf numFmtId="0" fontId="4" fillId="4" borderId="10" xfId="0" applyFont="1" applyFill="1" applyBorder="1" applyAlignment="1"/>
    <xf numFmtId="0" fontId="4" fillId="4" borderId="1" xfId="0" applyFont="1" applyFill="1" applyBorder="1" applyAlignment="1">
      <alignment horizontal="left" vertical="center" wrapText="1"/>
    </xf>
    <xf numFmtId="0" fontId="9" fillId="4" borderId="1" xfId="0" applyFont="1" applyFill="1" applyBorder="1" applyAlignment="1">
      <alignment horizontal="center" vertical="center" wrapText="1"/>
    </xf>
    <xf numFmtId="2" fontId="4" fillId="4" borderId="1" xfId="0" applyNumberFormat="1" applyFont="1" applyFill="1" applyBorder="1" applyAlignment="1">
      <alignment horizontal="right" vertical="center" wrapText="1"/>
    </xf>
    <xf numFmtId="0" fontId="4" fillId="4" borderId="11" xfId="0" applyFont="1" applyFill="1" applyBorder="1" applyAlignment="1"/>
    <xf numFmtId="0" fontId="4" fillId="4" borderId="0" xfId="0" applyFont="1" applyFill="1" applyBorder="1" applyAlignment="1">
      <alignment horizontal="center"/>
    </xf>
    <xf numFmtId="0" fontId="10" fillId="0" borderId="1" xfId="0" applyFont="1" applyBorder="1"/>
    <xf numFmtId="0" fontId="4" fillId="4" borderId="5" xfId="0" applyFont="1" applyFill="1" applyBorder="1" applyAlignment="1">
      <alignment horizontal="left" vertical="center" wrapText="1"/>
    </xf>
    <xf numFmtId="0" fontId="7" fillId="3" borderId="0" xfId="0" applyFont="1" applyFill="1" applyAlignment="1">
      <alignment horizontal="left"/>
    </xf>
    <xf numFmtId="0" fontId="8" fillId="3" borderId="7" xfId="0" applyFont="1" applyFill="1" applyBorder="1" applyAlignment="1">
      <alignment horizontal="left" vertical="center" wrapText="1"/>
    </xf>
    <xf numFmtId="0" fontId="7" fillId="4" borderId="11" xfId="0" applyFont="1" applyFill="1" applyBorder="1" applyAlignment="1"/>
    <xf numFmtId="0" fontId="9" fillId="0" borderId="1" xfId="0" applyFont="1" applyBorder="1" applyAlignment="1">
      <alignment horizontal="left" vertical="center" wrapText="1"/>
    </xf>
    <xf numFmtId="0" fontId="7" fillId="3" borderId="0" xfId="0" applyFont="1" applyFill="1"/>
    <xf numFmtId="0" fontId="4" fillId="0" borderId="1" xfId="0" applyFont="1" applyBorder="1" applyAlignment="1"/>
    <xf numFmtId="0" fontId="4" fillId="0" borderId="5" xfId="0" applyFont="1" applyBorder="1"/>
    <xf numFmtId="2" fontId="8" fillId="3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/>
    <xf numFmtId="2" fontId="4" fillId="0" borderId="1" xfId="0" applyNumberFormat="1" applyFont="1" applyBorder="1" applyAlignment="1">
      <alignment horizontal="center" vertical="center" wrapText="1"/>
    </xf>
    <xf numFmtId="2" fontId="4" fillId="0" borderId="1" xfId="0" applyNumberFormat="1" applyFont="1" applyBorder="1" applyAlignment="1">
      <alignment horizontal="right" vertical="top" wrapText="1"/>
    </xf>
    <xf numFmtId="0" fontId="9" fillId="0" borderId="1" xfId="0" applyFont="1" applyBorder="1" applyAlignment="1">
      <alignment horizontal="justify" vertical="center" wrapText="1"/>
    </xf>
    <xf numFmtId="0" fontId="9" fillId="0" borderId="1" xfId="0" applyFont="1" applyBorder="1" applyAlignment="1">
      <alignment horizontal="right"/>
    </xf>
    <xf numFmtId="2" fontId="4" fillId="0" borderId="1" xfId="0" applyNumberFormat="1" applyFont="1" applyBorder="1" applyAlignment="1" applyProtection="1">
      <protection hidden="1"/>
    </xf>
    <xf numFmtId="0" fontId="8" fillId="3" borderId="1" xfId="0" applyFont="1" applyFill="1" applyBorder="1" applyAlignment="1">
      <alignment horizontal="center" vertical="center"/>
    </xf>
    <xf numFmtId="0" fontId="4" fillId="4" borderId="3" xfId="0" applyFont="1" applyFill="1" applyBorder="1" applyAlignment="1"/>
    <xf numFmtId="2" fontId="9" fillId="0" borderId="1" xfId="0" applyNumberFormat="1" applyFont="1" applyBorder="1"/>
    <xf numFmtId="0" fontId="4" fillId="4" borderId="12" xfId="0" applyFont="1" applyFill="1" applyBorder="1" applyAlignment="1"/>
    <xf numFmtId="2" fontId="9" fillId="4" borderId="1" xfId="0" applyNumberFormat="1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right"/>
    </xf>
    <xf numFmtId="1" fontId="8" fillId="3" borderId="1" xfId="0" applyNumberFormat="1" applyFont="1" applyFill="1" applyBorder="1" applyAlignment="1">
      <alignment horizontal="right"/>
    </xf>
    <xf numFmtId="0" fontId="4" fillId="4" borderId="0" xfId="0" applyFont="1" applyFill="1" applyBorder="1"/>
    <xf numFmtId="0" fontId="4" fillId="0" borderId="8" xfId="0" applyFont="1" applyBorder="1"/>
    <xf numFmtId="0" fontId="4" fillId="0" borderId="1" xfId="0" applyFont="1" applyBorder="1" applyAlignment="1">
      <alignment horizontal="right"/>
    </xf>
    <xf numFmtId="1" fontId="4" fillId="0" borderId="1" xfId="0" applyNumberFormat="1" applyFont="1" applyBorder="1" applyAlignment="1">
      <alignment horizontal="right"/>
    </xf>
    <xf numFmtId="0" fontId="4" fillId="0" borderId="10" xfId="0" applyFont="1" applyBorder="1"/>
    <xf numFmtId="0" fontId="4" fillId="0" borderId="1" xfId="0" applyFont="1" applyBorder="1"/>
    <xf numFmtId="0" fontId="4" fillId="0" borderId="1" xfId="0" applyFont="1" applyBorder="1" applyAlignment="1">
      <alignment horizontal="right"/>
    </xf>
    <xf numFmtId="1" fontId="4" fillId="0" borderId="1" xfId="0" applyNumberFormat="1" applyFont="1" applyBorder="1" applyAlignment="1">
      <alignment horizontal="right"/>
    </xf>
    <xf numFmtId="0" fontId="7" fillId="0" borderId="3" xfId="0" applyFont="1" applyBorder="1" applyAlignment="1">
      <alignment horizontal="left"/>
    </xf>
    <xf numFmtId="0" fontId="7" fillId="0" borderId="8" xfId="0" applyFont="1" applyBorder="1" applyAlignment="1">
      <alignment horizontal="left"/>
    </xf>
    <xf numFmtId="0" fontId="8" fillId="0" borderId="1" xfId="0" applyFont="1" applyBorder="1" applyAlignment="1">
      <alignment horizontal="center"/>
    </xf>
    <xf numFmtId="0" fontId="8" fillId="0" borderId="1" xfId="0" applyFont="1" applyBorder="1"/>
    <xf numFmtId="0" fontId="8" fillId="0" borderId="1" xfId="0" applyFont="1" applyBorder="1" applyAlignment="1">
      <alignment horizontal="right"/>
    </xf>
    <xf numFmtId="1" fontId="8" fillId="0" borderId="1" xfId="0" applyNumberFormat="1" applyFont="1" applyBorder="1" applyAlignment="1">
      <alignment horizontal="right"/>
    </xf>
    <xf numFmtId="0" fontId="0" fillId="4" borderId="0" xfId="0" applyFont="1" applyFill="1" applyBorder="1" applyAlignment="1">
      <alignment horizontal="center" wrapText="1"/>
    </xf>
    <xf numFmtId="0" fontId="8" fillId="3" borderId="7" xfId="0" applyFont="1" applyFill="1" applyBorder="1"/>
    <xf numFmtId="0" fontId="8" fillId="3" borderId="6" xfId="0" applyFont="1" applyFill="1" applyBorder="1"/>
    <xf numFmtId="0" fontId="9" fillId="7" borderId="1" xfId="0" applyFont="1" applyFill="1" applyBorder="1" applyAlignment="1">
      <alignment horizontal="left" wrapText="1"/>
    </xf>
    <xf numFmtId="0" fontId="9" fillId="0" borderId="1" xfId="0" applyFont="1" applyBorder="1"/>
    <xf numFmtId="0" fontId="9" fillId="7" borderId="1" xfId="0" applyFont="1" applyFill="1" applyBorder="1" applyAlignment="1">
      <alignment horizontal="center" vertical="top" wrapText="1"/>
    </xf>
    <xf numFmtId="0" fontId="9" fillId="7" borderId="1" xfId="0" applyFont="1" applyFill="1" applyBorder="1" applyAlignment="1">
      <alignment horizontal="center" wrapText="1"/>
    </xf>
    <xf numFmtId="1" fontId="9" fillId="7" borderId="1" xfId="0" applyNumberFormat="1" applyFont="1" applyFill="1" applyBorder="1" applyAlignment="1">
      <alignment horizontal="right" vertical="top" wrapText="1"/>
    </xf>
    <xf numFmtId="0" fontId="9" fillId="4" borderId="1" xfId="0" applyFont="1" applyFill="1" applyBorder="1" applyAlignment="1">
      <alignment horizontal="left" wrapText="1"/>
    </xf>
    <xf numFmtId="0" fontId="9" fillId="4" borderId="1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horizontal="center" wrapText="1"/>
    </xf>
    <xf numFmtId="1" fontId="9" fillId="4" borderId="1" xfId="0" applyNumberFormat="1" applyFont="1" applyFill="1" applyBorder="1" applyAlignment="1">
      <alignment horizontal="right" vertical="top" wrapText="1"/>
    </xf>
    <xf numFmtId="0" fontId="9" fillId="0" borderId="1" xfId="0" applyFont="1" applyBorder="1" applyAlignment="1" applyProtection="1">
      <alignment horizontal="left" vertical="center"/>
    </xf>
    <xf numFmtId="2" fontId="9" fillId="4" borderId="7" xfId="0" applyNumberFormat="1" applyFont="1" applyFill="1" applyBorder="1" applyAlignment="1">
      <alignment horizontal="right" vertical="center" wrapText="1"/>
    </xf>
    <xf numFmtId="1" fontId="9" fillId="0" borderId="1" xfId="0" applyNumberFormat="1" applyFont="1" applyBorder="1" applyAlignment="1" applyProtection="1">
      <alignment horizontal="right" vertical="center"/>
    </xf>
    <xf numFmtId="1" fontId="9" fillId="4" borderId="7" xfId="0" applyNumberFormat="1" applyFont="1" applyFill="1" applyBorder="1" applyAlignment="1">
      <alignment horizontal="right" vertical="center" wrapText="1"/>
    </xf>
    <xf numFmtId="0" fontId="12" fillId="4" borderId="0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right" vertical="center" wrapText="1"/>
    </xf>
    <xf numFmtId="1" fontId="8" fillId="3" borderId="1" xfId="0" applyNumberFormat="1" applyFont="1" applyFill="1" applyBorder="1" applyAlignment="1">
      <alignment horizontal="right" vertical="center" wrapText="1"/>
    </xf>
    <xf numFmtId="0" fontId="7" fillId="4" borderId="0" xfId="0" applyFont="1" applyFill="1" applyBorder="1" applyAlignment="1">
      <alignment horizontal="left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right" vertical="center" wrapText="1"/>
    </xf>
    <xf numFmtId="1" fontId="8" fillId="0" borderId="1" xfId="0" applyNumberFormat="1" applyFont="1" applyBorder="1" applyAlignment="1">
      <alignment horizontal="right" vertical="center" wrapText="1"/>
    </xf>
    <xf numFmtId="165" fontId="4" fillId="0" borderId="1" xfId="0" applyNumberFormat="1" applyFont="1" applyBorder="1" applyAlignment="1" applyProtection="1">
      <alignment horizontal="right"/>
      <protection hidden="1"/>
    </xf>
    <xf numFmtId="2" fontId="8" fillId="3" borderId="1" xfId="0" applyNumberFormat="1" applyFont="1" applyFill="1" applyBorder="1"/>
    <xf numFmtId="2" fontId="8" fillId="0" borderId="1" xfId="0" applyNumberFormat="1" applyFont="1" applyBorder="1" applyAlignment="1">
      <alignment horizontal="right" vertical="center" wrapText="1"/>
    </xf>
    <xf numFmtId="2" fontId="8" fillId="0" borderId="1" xfId="0" applyNumberFormat="1" applyFont="1" applyBorder="1"/>
    <xf numFmtId="0" fontId="4" fillId="4" borderId="1" xfId="0" applyFont="1" applyFill="1" applyBorder="1" applyAlignment="1">
      <alignment vertical="top" wrapText="1"/>
    </xf>
    <xf numFmtId="0" fontId="4" fillId="0" borderId="1" xfId="0" applyFont="1" applyBorder="1" applyAlignment="1">
      <alignment horizontal="center" vertical="center"/>
    </xf>
    <xf numFmtId="1" fontId="4" fillId="4" borderId="1" xfId="0" applyNumberFormat="1" applyFont="1" applyFill="1" applyBorder="1" applyAlignment="1">
      <alignment horizontal="right" vertical="top" wrapText="1"/>
    </xf>
    <xf numFmtId="0" fontId="4" fillId="4" borderId="1" xfId="0" applyFont="1" applyFill="1" applyBorder="1" applyAlignment="1">
      <alignment horizontal="left" vertical="top" wrapText="1"/>
    </xf>
    <xf numFmtId="0" fontId="4" fillId="4" borderId="5" xfId="0" applyFont="1" applyFill="1" applyBorder="1" applyAlignment="1">
      <alignment horizontal="left" vertical="top" wrapText="1"/>
    </xf>
    <xf numFmtId="0" fontId="8" fillId="3" borderId="1" xfId="3" applyFont="1" applyFill="1" applyBorder="1" applyAlignment="1">
      <alignment horizontal="center"/>
    </xf>
    <xf numFmtId="2" fontId="8" fillId="3" borderId="1" xfId="0" applyNumberFormat="1" applyFont="1" applyFill="1" applyBorder="1" applyAlignment="1">
      <alignment horizontal="center"/>
    </xf>
    <xf numFmtId="2" fontId="8" fillId="3" borderId="1" xfId="0" applyNumberFormat="1" applyFont="1" applyFill="1" applyBorder="1" applyAlignment="1">
      <alignment horizontal="center" vertical="top" wrapText="1"/>
    </xf>
    <xf numFmtId="2" fontId="8" fillId="3" borderId="1" xfId="0" applyNumberFormat="1" applyFont="1" applyFill="1" applyBorder="1" applyAlignment="1">
      <alignment horizontal="right" vertical="top" wrapText="1"/>
    </xf>
    <xf numFmtId="2" fontId="4" fillId="0" borderId="1" xfId="3" applyNumberFormat="1" applyFont="1" applyBorder="1" applyAlignment="1" applyProtection="1">
      <alignment horizontal="left"/>
      <protection hidden="1"/>
    </xf>
    <xf numFmtId="0" fontId="4" fillId="0" borderId="1" xfId="3" applyFont="1" applyBorder="1" applyAlignment="1">
      <alignment horizontal="center"/>
    </xf>
    <xf numFmtId="2" fontId="4" fillId="0" borderId="1" xfId="0" applyNumberFormat="1" applyFont="1" applyBorder="1" applyAlignment="1">
      <alignment horizontal="left" vertical="top" wrapText="1"/>
    </xf>
    <xf numFmtId="2" fontId="4" fillId="0" borderId="1" xfId="0" applyNumberFormat="1" applyFont="1" applyBorder="1" applyAlignment="1">
      <alignment horizontal="right" vertical="top" wrapText="1"/>
    </xf>
    <xf numFmtId="0" fontId="4" fillId="0" borderId="1" xfId="0" applyFont="1" applyBorder="1" applyAlignment="1">
      <alignment horizontal="left" vertical="top"/>
    </xf>
    <xf numFmtId="2" fontId="4" fillId="0" borderId="5" xfId="3" applyNumberFormat="1" applyFont="1" applyBorder="1" applyAlignment="1" applyProtection="1">
      <alignment horizontal="left"/>
      <protection hidden="1"/>
    </xf>
    <xf numFmtId="0" fontId="4" fillId="0" borderId="1" xfId="0" applyFont="1" applyBorder="1" applyAlignment="1">
      <alignment wrapText="1"/>
    </xf>
    <xf numFmtId="0" fontId="9" fillId="0" borderId="1" xfId="0" applyFont="1" applyBorder="1" applyAlignment="1">
      <alignment horizontal="right" vertical="center" wrapText="1"/>
    </xf>
    <xf numFmtId="3" fontId="9" fillId="0" borderId="1" xfId="0" applyNumberFormat="1" applyFont="1" applyBorder="1" applyAlignment="1">
      <alignment horizontal="right" vertical="center" wrapText="1"/>
    </xf>
    <xf numFmtId="2" fontId="8" fillId="3" borderId="1" xfId="0" applyNumberFormat="1" applyFont="1" applyFill="1" applyBorder="1" applyAlignment="1">
      <alignment vertical="center" wrapText="1"/>
    </xf>
    <xf numFmtId="2" fontId="8" fillId="3" borderId="1" xfId="0" applyNumberFormat="1" applyFont="1" applyFill="1" applyBorder="1" applyAlignment="1" applyProtection="1">
      <alignment horizontal="right" wrapText="1"/>
      <protection locked="0"/>
    </xf>
    <xf numFmtId="0" fontId="9" fillId="4" borderId="2" xfId="0" applyFont="1" applyFill="1" applyBorder="1" applyAlignment="1">
      <alignment horizontal="left" vertical="center"/>
    </xf>
    <xf numFmtId="0" fontId="9" fillId="0" borderId="0" xfId="0" applyFont="1" applyBorder="1"/>
    <xf numFmtId="0" fontId="9" fillId="0" borderId="0" xfId="0" applyFont="1"/>
    <xf numFmtId="0" fontId="9" fillId="0" borderId="1" xfId="0" applyFont="1" applyBorder="1" applyAlignment="1" applyProtection="1">
      <alignment vertical="top" wrapText="1" readingOrder="1"/>
      <protection locked="0"/>
    </xf>
    <xf numFmtId="2" fontId="9" fillId="0" borderId="1" xfId="0" applyNumberFormat="1" applyFont="1" applyBorder="1" applyAlignment="1" applyProtection="1">
      <alignment horizontal="right" vertical="top" wrapText="1" readingOrder="1"/>
      <protection locked="0"/>
    </xf>
    <xf numFmtId="0" fontId="4" fillId="0" borderId="0" xfId="0" applyFont="1" applyBorder="1"/>
    <xf numFmtId="0" fontId="9" fillId="4" borderId="3" xfId="0" applyFont="1" applyFill="1" applyBorder="1" applyAlignment="1">
      <alignment horizontal="left" vertical="center"/>
    </xf>
    <xf numFmtId="2" fontId="9" fillId="0" borderId="1" xfId="0" applyNumberFormat="1" applyFont="1" applyBorder="1" applyAlignment="1" applyProtection="1">
      <alignment horizontal="right" vertical="top" wrapText="1"/>
      <protection locked="0"/>
    </xf>
    <xf numFmtId="0" fontId="9" fillId="0" borderId="5" xfId="0" applyFont="1" applyBorder="1" applyAlignment="1" applyProtection="1">
      <alignment vertical="top" wrapText="1" readingOrder="1"/>
      <protection locked="0"/>
    </xf>
    <xf numFmtId="0" fontId="9" fillId="4" borderId="13" xfId="0" applyFont="1" applyFill="1" applyBorder="1" applyAlignment="1" applyProtection="1">
      <alignment horizontal="left" vertical="center" wrapText="1" readingOrder="1"/>
      <protection locked="0"/>
    </xf>
    <xf numFmtId="0" fontId="9" fillId="4" borderId="0" xfId="0" applyFont="1" applyFill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vertical="center" wrapText="1"/>
    </xf>
    <xf numFmtId="0" fontId="4" fillId="0" borderId="9" xfId="0" applyFont="1" applyBorder="1" applyAlignment="1">
      <alignment horizontal="center"/>
    </xf>
    <xf numFmtId="2" fontId="4" fillId="0" borderId="5" xfId="0" applyNumberFormat="1" applyFont="1" applyBorder="1"/>
    <xf numFmtId="2" fontId="4" fillId="0" borderId="5" xfId="0" applyNumberFormat="1" applyFont="1" applyBorder="1" applyAlignment="1">
      <alignment horizontal="right"/>
    </xf>
    <xf numFmtId="1" fontId="9" fillId="0" borderId="5" xfId="0" applyNumberFormat="1" applyFont="1" applyBorder="1" applyAlignment="1" applyProtection="1">
      <alignment horizontal="right" vertical="top" wrapText="1"/>
      <protection locked="0"/>
    </xf>
    <xf numFmtId="0" fontId="4" fillId="0" borderId="1" xfId="0" applyFont="1" applyBorder="1" applyAlignment="1" applyProtection="1">
      <alignment vertical="top" wrapText="1" readingOrder="1"/>
      <protection locked="0"/>
    </xf>
    <xf numFmtId="2" fontId="4" fillId="0" borderId="1" xfId="0" applyNumberFormat="1" applyFont="1" applyBorder="1" applyAlignment="1" applyProtection="1">
      <alignment vertical="top" wrapText="1" readingOrder="1"/>
      <protection locked="0"/>
    </xf>
    <xf numFmtId="2" fontId="4" fillId="0" borderId="1" xfId="0" applyNumberFormat="1" applyFont="1" applyBorder="1" applyAlignment="1"/>
    <xf numFmtId="2" fontId="4" fillId="0" borderId="1" xfId="0" applyNumberFormat="1" applyFont="1" applyBorder="1" applyAlignment="1" applyProtection="1">
      <alignment horizontal="right" vertical="top" wrapText="1"/>
      <protection locked="0"/>
    </xf>
    <xf numFmtId="0" fontId="4" fillId="0" borderId="5" xfId="0" applyFont="1" applyBorder="1" applyAlignment="1" applyProtection="1">
      <alignment vertical="top" wrapText="1" readingOrder="1"/>
      <protection locked="0"/>
    </xf>
    <xf numFmtId="0" fontId="4" fillId="0" borderId="1" xfId="0" applyFont="1" applyBorder="1" applyAlignment="1">
      <alignment horizontal="left"/>
    </xf>
    <xf numFmtId="2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left" vertical="center"/>
    </xf>
    <xf numFmtId="2" fontId="4" fillId="0" borderId="1" xfId="0" applyNumberFormat="1" applyFont="1" applyBorder="1" applyProtection="1">
      <protection hidden="1"/>
    </xf>
    <xf numFmtId="0" fontId="4" fillId="0" borderId="5" xfId="0" applyFont="1" applyBorder="1"/>
    <xf numFmtId="2" fontId="8" fillId="3" borderId="1" xfId="0" applyNumberFormat="1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vertical="center"/>
    </xf>
    <xf numFmtId="2" fontId="4" fillId="0" borderId="1" xfId="0" applyNumberFormat="1" applyFont="1" applyBorder="1" applyAlignment="1">
      <alignment horizontal="center" vertical="center"/>
    </xf>
    <xf numFmtId="0" fontId="7" fillId="4" borderId="1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2" fontId="9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vertical="center"/>
    </xf>
    <xf numFmtId="0" fontId="9" fillId="0" borderId="5" xfId="0" applyFont="1" applyBorder="1" applyAlignment="1">
      <alignment vertical="center"/>
    </xf>
    <xf numFmtId="2" fontId="8" fillId="3" borderId="1" xfId="0" applyNumberFormat="1" applyFont="1" applyFill="1" applyBorder="1" applyAlignment="1">
      <alignment vertical="center"/>
    </xf>
    <xf numFmtId="0" fontId="4" fillId="0" borderId="0" xfId="0" applyFont="1" applyBorder="1" applyAlignment="1">
      <alignment vertical="center"/>
    </xf>
    <xf numFmtId="0" fontId="7" fillId="4" borderId="11" xfId="0" applyFont="1" applyFill="1" applyBorder="1" applyAlignment="1">
      <alignment vertical="center"/>
    </xf>
    <xf numFmtId="0" fontId="9" fillId="0" borderId="1" xfId="0" applyFont="1" applyBorder="1" applyAlignment="1">
      <alignment horizontal="left" vertical="center"/>
    </xf>
    <xf numFmtId="2" fontId="9" fillId="0" borderId="1" xfId="0" applyNumberFormat="1" applyFont="1" applyBorder="1" applyAlignment="1">
      <alignment vertical="center"/>
    </xf>
    <xf numFmtId="2" fontId="9" fillId="0" borderId="1" xfId="0" applyNumberFormat="1" applyFont="1" applyBorder="1" applyAlignment="1">
      <alignment horizontal="right" vertical="center"/>
    </xf>
    <xf numFmtId="1" fontId="9" fillId="0" borderId="1" xfId="0" applyNumberFormat="1" applyFont="1" applyBorder="1" applyAlignment="1">
      <alignment horizontal="right" vertical="center"/>
    </xf>
    <xf numFmtId="3" fontId="9" fillId="0" borderId="1" xfId="2" applyNumberFormat="1" applyFont="1" applyBorder="1" applyAlignment="1">
      <alignment vertical="center"/>
    </xf>
    <xf numFmtId="2" fontId="9" fillId="0" borderId="1" xfId="2" applyNumberFormat="1" applyFont="1" applyBorder="1" applyAlignment="1">
      <alignment vertical="center"/>
    </xf>
    <xf numFmtId="2" fontId="9" fillId="0" borderId="1" xfId="4" applyNumberFormat="1" applyFont="1" applyBorder="1" applyAlignment="1">
      <alignment horizontal="center" vertical="center"/>
    </xf>
    <xf numFmtId="2" fontId="9" fillId="0" borderId="1" xfId="2" applyNumberFormat="1" applyFont="1" applyBorder="1" applyAlignment="1">
      <alignment horizontal="right" vertical="center"/>
    </xf>
    <xf numFmtId="3" fontId="6" fillId="0" borderId="0" xfId="2" applyNumberFormat="1" applyFont="1" applyBorder="1" applyAlignment="1">
      <alignment horizontal="center" vertical="center"/>
    </xf>
    <xf numFmtId="0" fontId="9" fillId="0" borderId="1" xfId="2" applyFont="1" applyBorder="1" applyAlignment="1">
      <alignment horizontal="left" vertical="center"/>
    </xf>
    <xf numFmtId="3" fontId="9" fillId="0" borderId="1" xfId="2" applyNumberFormat="1" applyFont="1" applyBorder="1" applyAlignment="1">
      <alignment horizontal="left" vertical="center"/>
    </xf>
    <xf numFmtId="2" fontId="9" fillId="0" borderId="1" xfId="2" applyNumberFormat="1" applyFont="1" applyBorder="1" applyAlignment="1">
      <alignment horizontal="center" vertical="center"/>
    </xf>
    <xf numFmtId="0" fontId="9" fillId="0" borderId="5" xfId="2" applyFont="1" applyBorder="1" applyAlignment="1">
      <alignment horizontal="left" vertical="center"/>
    </xf>
    <xf numFmtId="0" fontId="4" fillId="0" borderId="1" xfId="0" applyFont="1" applyBorder="1" applyProtection="1"/>
    <xf numFmtId="0" fontId="4" fillId="0" borderId="1" xfId="0" applyFont="1" applyBorder="1" applyAlignment="1" applyProtection="1">
      <alignment horizontal="right"/>
    </xf>
    <xf numFmtId="0" fontId="4" fillId="0" borderId="5" xfId="0" applyFont="1" applyBorder="1" applyProtection="1"/>
    <xf numFmtId="0" fontId="4" fillId="4" borderId="0" xfId="0" applyFont="1" applyFill="1"/>
    <xf numFmtId="2" fontId="4" fillId="0" borderId="5" xfId="0" applyNumberFormat="1" applyFont="1" applyBorder="1" applyProtection="1">
      <protection hidden="1"/>
    </xf>
    <xf numFmtId="2" fontId="4" fillId="0" borderId="1" xfId="0" applyNumberFormat="1" applyFont="1" applyBorder="1" applyAlignment="1" applyProtection="1">
      <alignment horizontal="left" vertical="center"/>
      <protection hidden="1"/>
    </xf>
    <xf numFmtId="2" fontId="4" fillId="0" borderId="1" xfId="0" applyNumberFormat="1" applyFont="1" applyBorder="1" applyAlignment="1" applyProtection="1">
      <alignment horizontal="center" vertical="center"/>
      <protection hidden="1"/>
    </xf>
    <xf numFmtId="2" fontId="4" fillId="0" borderId="1" xfId="0" applyNumberFormat="1" applyFont="1" applyBorder="1" applyAlignment="1" applyProtection="1">
      <alignment horizontal="right" vertical="center"/>
      <protection hidden="1"/>
    </xf>
    <xf numFmtId="2" fontId="4" fillId="0" borderId="1" xfId="0" applyNumberFormat="1" applyFont="1" applyBorder="1" applyAlignment="1" applyProtection="1">
      <alignment vertical="center"/>
      <protection hidden="1"/>
    </xf>
    <xf numFmtId="0" fontId="4" fillId="4" borderId="1" xfId="0" applyFont="1" applyFill="1" applyBorder="1" applyAlignment="1">
      <alignment vertical="top" wrapText="1"/>
    </xf>
    <xf numFmtId="0" fontId="4" fillId="0" borderId="1" xfId="0" applyFont="1" applyBorder="1" applyAlignment="1">
      <alignment horizontal="center" wrapText="1"/>
    </xf>
    <xf numFmtId="2" fontId="4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0" fontId="4" fillId="4" borderId="1" xfId="0" applyFont="1" applyFill="1" applyBorder="1" applyAlignment="1">
      <alignment horizontal="right" vertical="center" wrapText="1"/>
    </xf>
    <xf numFmtId="0" fontId="4" fillId="0" borderId="1" xfId="0" applyFont="1" applyBorder="1" applyAlignment="1">
      <alignment horizontal="left" wrapText="1"/>
    </xf>
    <xf numFmtId="2" fontId="4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right" vertical="center" wrapText="1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2" fontId="4" fillId="0" borderId="1" xfId="0" applyNumberFormat="1" applyFont="1" applyBorder="1" applyAlignment="1" applyProtection="1">
      <protection hidden="1"/>
    </xf>
    <xf numFmtId="0" fontId="9" fillId="0" borderId="1" xfId="1" applyFont="1" applyBorder="1" applyAlignment="1" applyProtection="1">
      <protection hidden="1"/>
    </xf>
    <xf numFmtId="0" fontId="5" fillId="0" borderId="1" xfId="0" applyFont="1" applyBorder="1" applyAlignment="1"/>
    <xf numFmtId="0" fontId="5" fillId="0" borderId="1" xfId="0" applyFont="1" applyBorder="1" applyAlignment="1">
      <alignment horizontal="right" wrapText="1"/>
    </xf>
    <xf numFmtId="0" fontId="4" fillId="0" borderId="1" xfId="0" applyFont="1" applyBorder="1" applyAlignment="1"/>
    <xf numFmtId="0" fontId="4" fillId="0" borderId="1" xfId="0" applyFont="1" applyBorder="1" applyAlignment="1">
      <alignment horizontal="right" wrapText="1"/>
    </xf>
    <xf numFmtId="0" fontId="4" fillId="4" borderId="1" xfId="0" applyFont="1" applyFill="1" applyBorder="1" applyAlignment="1">
      <alignment horizontal="right" wrapText="1"/>
    </xf>
    <xf numFmtId="0" fontId="4" fillId="0" borderId="5" xfId="0" applyFont="1" applyBorder="1" applyAlignment="1"/>
    <xf numFmtId="0" fontId="9" fillId="0" borderId="1" xfId="1" applyFont="1" applyBorder="1" applyAlignment="1" applyProtection="1">
      <alignment horizontal="left"/>
      <protection hidden="1"/>
    </xf>
    <xf numFmtId="2" fontId="4" fillId="0" borderId="1" xfId="0" applyNumberFormat="1" applyFont="1" applyBorder="1" applyAlignment="1">
      <alignment horizontal="left" vertical="center"/>
    </xf>
    <xf numFmtId="2" fontId="4" fillId="0" borderId="1" xfId="0" applyNumberFormat="1" applyFont="1" applyBorder="1" applyAlignment="1">
      <alignment horizontal="left"/>
    </xf>
    <xf numFmtId="2" fontId="4" fillId="0" borderId="1" xfId="0" applyNumberFormat="1" applyFont="1" applyBorder="1" applyAlignment="1"/>
    <xf numFmtId="0" fontId="4" fillId="0" borderId="1" xfId="0" applyFont="1" applyBorder="1" applyAlignment="1" applyProtection="1">
      <alignment horizontal="center"/>
      <protection hidden="1"/>
    </xf>
    <xf numFmtId="0" fontId="4" fillId="0" borderId="1" xfId="0" applyFont="1" applyBorder="1" applyProtection="1">
      <protection hidden="1"/>
    </xf>
    <xf numFmtId="2" fontId="4" fillId="0" borderId="1" xfId="0" applyNumberFormat="1" applyFont="1" applyBorder="1" applyAlignment="1">
      <alignment horizontal="center"/>
    </xf>
    <xf numFmtId="2" fontId="4" fillId="0" borderId="1" xfId="0" applyNumberFormat="1" applyFont="1" applyBorder="1" applyAlignment="1" applyProtection="1">
      <alignment horizontal="center"/>
      <protection hidden="1"/>
    </xf>
    <xf numFmtId="2" fontId="4" fillId="0" borderId="1" xfId="0" applyNumberFormat="1" applyFont="1" applyBorder="1" applyAlignment="1" applyProtection="1">
      <alignment horizontal="right"/>
      <protection hidden="1"/>
    </xf>
    <xf numFmtId="0" fontId="19" fillId="4" borderId="1" xfId="0" applyFont="1" applyFill="1" applyBorder="1" applyAlignment="1">
      <alignment horizontal="left" vertical="top"/>
    </xf>
    <xf numFmtId="0" fontId="11" fillId="4" borderId="1" xfId="0" applyFont="1" applyFill="1" applyBorder="1" applyAlignment="1">
      <alignment horizontal="right" vertical="top" wrapText="1"/>
    </xf>
    <xf numFmtId="2" fontId="4" fillId="0" borderId="5" xfId="0" applyNumberFormat="1" applyFont="1" applyBorder="1" applyAlignment="1" applyProtection="1">
      <protection hidden="1"/>
    </xf>
    <xf numFmtId="0" fontId="7" fillId="4" borderId="0" xfId="0" applyFont="1" applyFill="1" applyAlignment="1">
      <alignment horizontal="left"/>
    </xf>
    <xf numFmtId="0" fontId="8" fillId="9" borderId="1" xfId="0" applyFont="1" applyFill="1" applyBorder="1" applyAlignment="1">
      <alignment horizontal="center" vertical="center" wrapText="1"/>
    </xf>
    <xf numFmtId="2" fontId="8" fillId="9" borderId="1" xfId="0" applyNumberFormat="1" applyFont="1" applyFill="1" applyBorder="1" applyAlignment="1">
      <alignment horizontal="right" vertical="center" wrapText="1"/>
    </xf>
    <xf numFmtId="2" fontId="8" fillId="9" borderId="1" xfId="0" applyNumberFormat="1" applyFont="1" applyFill="1" applyBorder="1" applyAlignment="1">
      <alignment horizontal="right"/>
    </xf>
    <xf numFmtId="0" fontId="4" fillId="4" borderId="1" xfId="0" applyFont="1" applyFill="1" applyBorder="1"/>
    <xf numFmtId="0" fontId="4" fillId="0" borderId="0" xfId="0" applyFont="1" applyBorder="1" applyAlignment="1"/>
    <xf numFmtId="0" fontId="4" fillId="0" borderId="1" xfId="0" applyFont="1" applyBorder="1" applyAlignment="1" applyProtection="1">
      <protection hidden="1"/>
    </xf>
    <xf numFmtId="165" fontId="4" fillId="0" borderId="1" xfId="0" applyNumberFormat="1" applyFont="1" applyBorder="1" applyAlignment="1" applyProtection="1">
      <protection hidden="1"/>
    </xf>
    <xf numFmtId="165" fontId="4" fillId="0" borderId="1" xfId="0" applyNumberFormat="1" applyFont="1" applyBorder="1" applyAlignment="1"/>
    <xf numFmtId="165" fontId="4" fillId="0" borderId="0" xfId="0" applyNumberFormat="1" applyFont="1" applyBorder="1" applyAlignment="1"/>
    <xf numFmtId="0" fontId="4" fillId="0" borderId="1" xfId="2" applyFont="1" applyBorder="1" applyAlignment="1">
      <alignment horizontal="center"/>
    </xf>
    <xf numFmtId="2" fontId="4" fillId="0" borderId="1" xfId="0" applyNumberFormat="1" applyFont="1" applyBorder="1" applyAlignment="1" applyProtection="1">
      <alignment horizontal="left"/>
      <protection hidden="1"/>
    </xf>
    <xf numFmtId="0" fontId="4" fillId="3" borderId="0" xfId="0" applyFont="1" applyFill="1"/>
    <xf numFmtId="0" fontId="8" fillId="3" borderId="0" xfId="0" applyFont="1" applyFill="1"/>
    <xf numFmtId="2" fontId="4" fillId="3" borderId="1" xfId="0" applyNumberFormat="1" applyFont="1" applyFill="1" applyBorder="1" applyAlignment="1" applyProtection="1">
      <alignment horizontal="center"/>
      <protection hidden="1"/>
    </xf>
    <xf numFmtId="2" fontId="4" fillId="3" borderId="1" xfId="0" applyNumberFormat="1" applyFont="1" applyFill="1" applyBorder="1"/>
    <xf numFmtId="2" fontId="4" fillId="3" borderId="1" xfId="0" applyNumberFormat="1" applyFont="1" applyFill="1" applyBorder="1" applyAlignment="1">
      <alignment horizontal="right"/>
    </xf>
    <xf numFmtId="2" fontId="4" fillId="3" borderId="1" xfId="0" applyNumberFormat="1" applyFont="1" applyFill="1" applyBorder="1" applyAlignment="1" applyProtection="1">
      <alignment horizontal="right"/>
      <protection hidden="1"/>
    </xf>
    <xf numFmtId="0" fontId="6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/>
    </xf>
    <xf numFmtId="0" fontId="4" fillId="3" borderId="1" xfId="0" applyFont="1" applyFill="1" applyBorder="1"/>
    <xf numFmtId="0" fontId="4" fillId="3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9" fillId="0" borderId="0" xfId="0" applyFont="1"/>
    <xf numFmtId="0" fontId="6" fillId="0" borderId="1" xfId="0" applyFont="1" applyBorder="1" applyAlignment="1"/>
    <xf numFmtId="0" fontId="9" fillId="0" borderId="1" xfId="0" applyFont="1" applyBorder="1" applyAlignment="1"/>
    <xf numFmtId="0" fontId="4" fillId="3" borderId="5" xfId="0" applyFont="1" applyFill="1" applyBorder="1"/>
    <xf numFmtId="0" fontId="4" fillId="3" borderId="5" xfId="0" applyFont="1" applyFill="1" applyBorder="1" applyAlignment="1">
      <alignment horizontal="center"/>
    </xf>
    <xf numFmtId="2" fontId="4" fillId="3" borderId="5" xfId="0" applyNumberFormat="1" applyFont="1" applyFill="1" applyBorder="1"/>
    <xf numFmtId="2" fontId="4" fillId="3" borderId="5" xfId="0" applyNumberFormat="1" applyFont="1" applyFill="1" applyBorder="1" applyAlignment="1">
      <alignment horizontal="right"/>
    </xf>
    <xf numFmtId="2" fontId="4" fillId="4" borderId="0" xfId="0" applyNumberFormat="1" applyFont="1" applyFill="1" applyBorder="1"/>
    <xf numFmtId="2" fontId="4" fillId="4" borderId="0" xfId="0" applyNumberFormat="1" applyFont="1" applyFill="1" applyBorder="1" applyAlignment="1">
      <alignment horizontal="right"/>
    </xf>
    <xf numFmtId="0" fontId="4" fillId="0" borderId="0" xfId="0" applyFont="1" applyBorder="1" applyAlignment="1">
      <alignment horizontal="center"/>
    </xf>
    <xf numFmtId="2" fontId="4" fillId="0" borderId="0" xfId="0" applyNumberFormat="1" applyFont="1" applyBorder="1"/>
    <xf numFmtId="2" fontId="4" fillId="0" borderId="0" xfId="0" applyNumberFormat="1" applyFont="1" applyBorder="1" applyAlignment="1">
      <alignment horizontal="right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3" fillId="10" borderId="5" xfId="0" applyFont="1" applyFill="1" applyBorder="1" applyAlignment="1">
      <alignment vertical="center"/>
    </xf>
    <xf numFmtId="2" fontId="24" fillId="4" borderId="13" xfId="0" applyNumberFormat="1" applyFont="1" applyFill="1" applyBorder="1" applyAlignment="1">
      <alignment vertical="center"/>
    </xf>
    <xf numFmtId="2" fontId="24" fillId="0" borderId="0" xfId="0" applyNumberFormat="1" applyFont="1" applyBorder="1" applyAlignment="1">
      <alignment vertical="center"/>
    </xf>
    <xf numFmtId="2" fontId="24" fillId="0" borderId="0" xfId="0" applyNumberFormat="1" applyFont="1" applyBorder="1" applyAlignment="1">
      <alignment vertical="center"/>
    </xf>
    <xf numFmtId="2" fontId="2" fillId="0" borderId="0" xfId="0" applyNumberFormat="1" applyFont="1" applyBorder="1" applyAlignment="1">
      <alignment vertical="center"/>
    </xf>
    <xf numFmtId="0" fontId="22" fillId="0" borderId="0" xfId="2" applyFont="1" applyBorder="1" applyAlignment="1">
      <alignment vertical="center"/>
    </xf>
    <xf numFmtId="0" fontId="22" fillId="0" borderId="0" xfId="2" applyFont="1" applyBorder="1" applyAlignment="1">
      <alignment vertical="center"/>
    </xf>
    <xf numFmtId="0" fontId="22" fillId="0" borderId="0" xfId="2" applyFont="1" applyAlignment="1">
      <alignment vertical="center"/>
    </xf>
    <xf numFmtId="2" fontId="23" fillId="10" borderId="7" xfId="0" applyNumberFormat="1" applyFont="1" applyFill="1" applyBorder="1" applyAlignment="1">
      <alignment horizontal="left" vertical="center"/>
    </xf>
    <xf numFmtId="2" fontId="24" fillId="4" borderId="14" xfId="0" applyNumberFormat="1" applyFont="1" applyFill="1" applyBorder="1" applyAlignment="1">
      <alignment vertical="center"/>
    </xf>
    <xf numFmtId="2" fontId="25" fillId="6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Border="1" applyAlignment="1">
      <alignment horizontal="center" vertical="center"/>
    </xf>
    <xf numFmtId="2" fontId="23" fillId="0" borderId="0" xfId="0" applyNumberFormat="1" applyFont="1" applyBorder="1" applyAlignment="1">
      <alignment vertical="center"/>
    </xf>
    <xf numFmtId="1" fontId="26" fillId="0" borderId="0" xfId="0" applyNumberFormat="1" applyFont="1" applyBorder="1" applyAlignment="1">
      <alignment horizontal="center" vertical="center"/>
    </xf>
    <xf numFmtId="2" fontId="4" fillId="0" borderId="0" xfId="0" applyNumberFormat="1" applyFont="1" applyBorder="1" applyAlignment="1">
      <alignment vertical="center"/>
    </xf>
    <xf numFmtId="2" fontId="24" fillId="0" borderId="0" xfId="0" applyNumberFormat="1" applyFont="1" applyBorder="1" applyAlignment="1">
      <alignment horizontal="center" vertical="center"/>
    </xf>
    <xf numFmtId="2" fontId="27" fillId="0" borderId="0" xfId="0" applyNumberFormat="1" applyFont="1" applyBorder="1" applyAlignment="1">
      <alignment horizontal="center" vertical="center"/>
    </xf>
    <xf numFmtId="2" fontId="2" fillId="0" borderId="0" xfId="0" applyNumberFormat="1" applyFont="1" applyBorder="1" applyAlignment="1">
      <alignment horizontal="center" vertical="center"/>
    </xf>
    <xf numFmtId="0" fontId="22" fillId="0" borderId="0" xfId="2" applyFont="1" applyBorder="1" applyAlignment="1">
      <alignment horizontal="center" vertical="center"/>
    </xf>
    <xf numFmtId="0" fontId="0" fillId="0" borderId="0" xfId="2" applyFont="1" applyAlignment="1">
      <alignment vertical="center"/>
    </xf>
    <xf numFmtId="2" fontId="0" fillId="0" borderId="0" xfId="0" applyNumberFormat="1" applyFont="1" applyBorder="1" applyAlignment="1">
      <alignment horizontal="center" vertical="center"/>
    </xf>
    <xf numFmtId="2" fontId="0" fillId="0" borderId="0" xfId="2" applyNumberFormat="1" applyFont="1" applyBorder="1" applyAlignment="1">
      <alignment vertical="center"/>
    </xf>
    <xf numFmtId="2" fontId="28" fillId="0" borderId="0" xfId="2" applyNumberFormat="1" applyFont="1" applyBorder="1" applyAlignment="1">
      <alignment vertical="center"/>
    </xf>
    <xf numFmtId="0" fontId="10" fillId="0" borderId="0" xfId="2" applyFont="1" applyAlignment="1">
      <alignment vertical="center"/>
    </xf>
    <xf numFmtId="0" fontId="4" fillId="0" borderId="0" xfId="2" applyFont="1" applyBorder="1" applyAlignment="1">
      <alignment horizontal="left" vertical="center"/>
    </xf>
    <xf numFmtId="2" fontId="0" fillId="0" borderId="0" xfId="2" applyNumberFormat="1" applyFont="1" applyBorder="1" applyAlignment="1">
      <alignment horizontal="center" vertical="center"/>
    </xf>
    <xf numFmtId="2" fontId="29" fillId="6" borderId="5" xfId="0" applyNumberFormat="1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4" fillId="0" borderId="0" xfId="2" applyFont="1" applyAlignment="1">
      <alignment vertical="center"/>
    </xf>
    <xf numFmtId="0" fontId="0" fillId="0" borderId="0" xfId="0" applyBorder="1" applyAlignment="1">
      <alignment vertical="center"/>
    </xf>
    <xf numFmtId="0" fontId="4" fillId="0" borderId="0" xfId="2" applyFont="1" applyBorder="1" applyAlignment="1">
      <alignment vertical="center"/>
    </xf>
    <xf numFmtId="0" fontId="0" fillId="0" borderId="0" xfId="2" applyFont="1" applyBorder="1" applyAlignment="1">
      <alignment vertical="center"/>
    </xf>
    <xf numFmtId="0" fontId="10" fillId="0" borderId="0" xfId="2" applyFont="1" applyBorder="1" applyAlignment="1">
      <alignment vertical="center"/>
    </xf>
    <xf numFmtId="0" fontId="22" fillId="0" borderId="0" xfId="0" applyFont="1" applyBorder="1" applyAlignment="1">
      <alignment vertical="center"/>
    </xf>
    <xf numFmtId="2" fontId="29" fillId="6" borderId="6" xfId="0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4" fillId="0" borderId="0" xfId="2" applyFont="1" applyAlignment="1">
      <alignment vertical="center"/>
    </xf>
    <xf numFmtId="2" fontId="29" fillId="0" borderId="0" xfId="0" applyNumberFormat="1" applyFont="1" applyBorder="1" applyAlignment="1">
      <alignment vertical="center"/>
    </xf>
    <xf numFmtId="0" fontId="0" fillId="0" borderId="0" xfId="0" applyBorder="1" applyAlignment="1">
      <alignment horizontal="center" vertical="center"/>
    </xf>
    <xf numFmtId="2" fontId="4" fillId="5" borderId="1" xfId="0" applyNumberFormat="1" applyFont="1" applyFill="1" applyBorder="1" applyAlignment="1">
      <alignment horizontal="center" vertical="center"/>
    </xf>
    <xf numFmtId="2" fontId="9" fillId="5" borderId="1" xfId="0" applyNumberFormat="1" applyFont="1" applyFill="1" applyBorder="1" applyAlignment="1">
      <alignment horizontal="center" vertical="center"/>
    </xf>
    <xf numFmtId="0" fontId="4" fillId="0" borderId="1" xfId="2" applyFont="1" applyBorder="1" applyAlignment="1">
      <alignment vertical="center"/>
    </xf>
    <xf numFmtId="0" fontId="4" fillId="5" borderId="1" xfId="2" applyFont="1" applyFill="1" applyBorder="1" applyAlignment="1">
      <alignment horizontal="center" vertical="center"/>
    </xf>
    <xf numFmtId="2" fontId="4" fillId="0" borderId="1" xfId="0" applyNumberFormat="1" applyFont="1" applyBorder="1" applyAlignment="1">
      <alignment vertical="center"/>
    </xf>
    <xf numFmtId="2" fontId="4" fillId="0" borderId="1" xfId="2" applyNumberFormat="1" applyFont="1" applyBorder="1" applyAlignment="1">
      <alignment vertical="center"/>
    </xf>
    <xf numFmtId="0" fontId="0" fillId="0" borderId="1" xfId="0" applyFont="1" applyBorder="1" applyAlignment="1">
      <alignment vertical="center"/>
    </xf>
    <xf numFmtId="0" fontId="0" fillId="0" borderId="0" xfId="2" applyFont="1" applyBorder="1" applyAlignment="1">
      <alignment horizontal="center" vertical="center"/>
    </xf>
    <xf numFmtId="2" fontId="10" fillId="0" borderId="0" xfId="0" applyNumberFormat="1" applyFont="1" applyBorder="1" applyAlignment="1">
      <alignment vertical="center"/>
    </xf>
    <xf numFmtId="2" fontId="22" fillId="0" borderId="0" xfId="2" applyNumberFormat="1" applyFont="1" applyBorder="1" applyAlignment="1">
      <alignment horizontal="center" vertical="center"/>
    </xf>
    <xf numFmtId="2" fontId="22" fillId="0" borderId="0" xfId="2" applyNumberFormat="1" applyFont="1" applyAlignment="1">
      <alignment vertical="center"/>
    </xf>
    <xf numFmtId="2" fontId="10" fillId="5" borderId="1" xfId="0" applyNumberFormat="1" applyFont="1" applyFill="1" applyBorder="1" applyAlignment="1">
      <alignment horizontal="center" vertical="center"/>
    </xf>
    <xf numFmtId="2" fontId="10" fillId="0" borderId="1" xfId="0" applyNumberFormat="1" applyFont="1" applyBorder="1" applyAlignment="1">
      <alignment vertical="center"/>
    </xf>
    <xf numFmtId="0" fontId="4" fillId="0" borderId="1" xfId="2" applyFont="1" applyBorder="1" applyAlignment="1">
      <alignment horizontal="right" vertical="center"/>
    </xf>
    <xf numFmtId="0" fontId="0" fillId="0" borderId="1" xfId="0" applyBorder="1" applyAlignment="1">
      <alignment vertical="center"/>
    </xf>
    <xf numFmtId="1" fontId="0" fillId="0" borderId="0" xfId="2" applyNumberFormat="1" applyFont="1" applyBorder="1" applyAlignment="1">
      <alignment vertical="center"/>
    </xf>
    <xf numFmtId="2" fontId="0" fillId="0" borderId="0" xfId="2" applyNumberFormat="1" applyFont="1" applyBorder="1" applyAlignment="1">
      <alignment horizontal="left" vertical="center"/>
    </xf>
    <xf numFmtId="0" fontId="4" fillId="0" borderId="7" xfId="2" applyFont="1" applyBorder="1" applyAlignment="1">
      <alignment vertical="center"/>
    </xf>
    <xf numFmtId="0" fontId="4" fillId="0" borderId="1" xfId="2" applyFont="1" applyBorder="1" applyAlignment="1">
      <alignment vertical="center"/>
    </xf>
    <xf numFmtId="2" fontId="0" fillId="0" borderId="0" xfId="2" applyNumberFormat="1" applyFont="1" applyBorder="1" applyAlignment="1">
      <alignment horizontal="right" vertical="center"/>
    </xf>
    <xf numFmtId="2" fontId="9" fillId="5" borderId="8" xfId="0" applyNumberFormat="1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4" fillId="0" borderId="0" xfId="2" applyFont="1" applyBorder="1" applyAlignment="1">
      <alignment horizontal="center" vertical="center"/>
    </xf>
    <xf numFmtId="2" fontId="0" fillId="0" borderId="0" xfId="2" applyNumberFormat="1" applyFont="1" applyAlignment="1">
      <alignment vertical="center"/>
    </xf>
    <xf numFmtId="2" fontId="22" fillId="0" borderId="0" xfId="2" applyNumberFormat="1" applyFont="1" applyBorder="1" applyAlignment="1">
      <alignment vertical="center"/>
    </xf>
    <xf numFmtId="2" fontId="22" fillId="6" borderId="2" xfId="0" applyNumberFormat="1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4" fillId="0" borderId="0" xfId="2" applyFont="1" applyBorder="1" applyAlignment="1">
      <alignment horizontal="right" vertical="center"/>
    </xf>
    <xf numFmtId="2" fontId="22" fillId="6" borderId="1" xfId="0" applyNumberFormat="1" applyFont="1" applyFill="1" applyBorder="1" applyAlignment="1">
      <alignment vertical="center"/>
    </xf>
    <xf numFmtId="0" fontId="8" fillId="6" borderId="1" xfId="0" applyFont="1" applyFill="1" applyBorder="1" applyAlignment="1">
      <alignment vertical="center"/>
    </xf>
    <xf numFmtId="2" fontId="22" fillId="6" borderId="5" xfId="0" applyNumberFormat="1" applyFont="1" applyFill="1" applyBorder="1" applyAlignment="1">
      <alignment vertical="center"/>
    </xf>
    <xf numFmtId="2" fontId="29" fillId="0" borderId="0" xfId="0" applyNumberFormat="1" applyFont="1" applyBorder="1" applyAlignment="1">
      <alignment horizontal="center" vertical="center"/>
    </xf>
    <xf numFmtId="0" fontId="12" fillId="5" borderId="8" xfId="0" applyFont="1" applyFill="1" applyBorder="1" applyAlignment="1">
      <alignment vertical="center"/>
    </xf>
    <xf numFmtId="0" fontId="4" fillId="11" borderId="1" xfId="2" applyFont="1" applyFill="1" applyBorder="1" applyAlignment="1">
      <alignment horizontal="center" vertical="center"/>
    </xf>
    <xf numFmtId="0" fontId="0" fillId="0" borderId="8" xfId="0" applyBorder="1" applyAlignment="1">
      <alignment vertical="center"/>
    </xf>
    <xf numFmtId="1" fontId="4" fillId="0" borderId="0" xfId="2" applyNumberFormat="1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22" fillId="6" borderId="1" xfId="0" applyFont="1" applyFill="1" applyBorder="1" applyAlignment="1">
      <alignment vertical="center"/>
    </xf>
    <xf numFmtId="0" fontId="0" fillId="5" borderId="1" xfId="0" applyFont="1" applyFill="1" applyBorder="1" applyAlignment="1">
      <alignment horizontal="center" vertical="center"/>
    </xf>
    <xf numFmtId="2" fontId="8" fillId="6" borderId="1" xfId="0" applyNumberFormat="1" applyFont="1" applyFill="1" applyBorder="1" applyAlignment="1" applyProtection="1">
      <alignment vertical="center"/>
      <protection hidden="1"/>
    </xf>
    <xf numFmtId="2" fontId="4" fillId="5" borderId="1" xfId="0" applyNumberFormat="1" applyFont="1" applyFill="1" applyBorder="1" applyAlignment="1" applyProtection="1">
      <alignment horizontal="center" vertical="center"/>
      <protection hidden="1"/>
    </xf>
    <xf numFmtId="2" fontId="4" fillId="0" borderId="2" xfId="0" applyNumberFormat="1" applyFont="1" applyBorder="1" applyAlignment="1" applyProtection="1">
      <alignment vertical="center"/>
      <protection hidden="1"/>
    </xf>
    <xf numFmtId="2" fontId="12" fillId="0" borderId="1" xfId="0" applyNumberFormat="1" applyFont="1" applyBorder="1" applyAlignment="1" applyProtection="1">
      <alignment horizontal="right" vertical="center"/>
      <protection hidden="1"/>
    </xf>
    <xf numFmtId="2" fontId="22" fillId="0" borderId="0" xfId="0" applyNumberFormat="1" applyFont="1" applyBorder="1" applyAlignment="1">
      <alignment horizontal="center" vertical="center"/>
    </xf>
    <xf numFmtId="0" fontId="30" fillId="6" borderId="1" xfId="2" applyFont="1" applyFill="1" applyBorder="1" applyAlignment="1">
      <alignment horizontal="right" vertical="center"/>
    </xf>
    <xf numFmtId="0" fontId="4" fillId="5" borderId="8" xfId="2" applyFont="1" applyFill="1" applyBorder="1" applyAlignment="1">
      <alignment vertical="center"/>
    </xf>
    <xf numFmtId="0" fontId="28" fillId="0" borderId="0" xfId="2" applyFont="1" applyBorder="1" applyAlignment="1">
      <alignment vertical="center"/>
    </xf>
    <xf numFmtId="2" fontId="0" fillId="0" borderId="0" xfId="2" applyNumberFormat="1" applyFont="1" applyBorder="1" applyAlignment="1">
      <alignment horizontal="center" vertical="center"/>
    </xf>
    <xf numFmtId="2" fontId="22" fillId="0" borderId="0" xfId="2" applyNumberFormat="1" applyFont="1" applyBorder="1" applyAlignment="1">
      <alignment horizontal="center" vertical="center"/>
    </xf>
    <xf numFmtId="0" fontId="0" fillId="0" borderId="0" xfId="2" applyFont="1" applyAlignment="1">
      <alignment vertical="center"/>
    </xf>
    <xf numFmtId="0" fontId="10" fillId="0" borderId="0" xfId="2" applyFont="1" applyAlignment="1">
      <alignment vertical="center"/>
    </xf>
    <xf numFmtId="0" fontId="22" fillId="0" borderId="0" xfId="2" applyFont="1" applyAlignment="1">
      <alignment vertical="center"/>
    </xf>
    <xf numFmtId="2" fontId="22" fillId="0" borderId="0" xfId="2" applyNumberFormat="1" applyFont="1" applyAlignment="1">
      <alignment vertical="center"/>
    </xf>
    <xf numFmtId="0" fontId="22" fillId="0" borderId="0" xfId="0" applyFont="1" applyAlignment="1">
      <alignment vertical="center"/>
    </xf>
    <xf numFmtId="1" fontId="4" fillId="0" borderId="1" xfId="0" applyNumberFormat="1" applyFont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0" fontId="23" fillId="5" borderId="1" xfId="0" applyFont="1" applyFill="1" applyBorder="1" applyAlignment="1">
      <alignment horizontal="center" vertical="center"/>
    </xf>
    <xf numFmtId="0" fontId="23" fillId="5" borderId="1" xfId="0" applyFont="1" applyFill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2" fontId="4" fillId="0" borderId="2" xfId="0" applyNumberFormat="1" applyFont="1" applyBorder="1" applyAlignment="1">
      <alignment vertical="center"/>
    </xf>
    <xf numFmtId="1" fontId="4" fillId="0" borderId="1" xfId="2" applyNumberFormat="1" applyFont="1" applyBorder="1" applyAlignment="1">
      <alignment vertical="center"/>
    </xf>
    <xf numFmtId="0" fontId="0" fillId="5" borderId="1" xfId="2" applyFont="1" applyFill="1" applyBorder="1" applyAlignment="1">
      <alignment horizontal="center" vertical="center"/>
    </xf>
    <xf numFmtId="2" fontId="4" fillId="5" borderId="2" xfId="0" applyNumberFormat="1" applyFont="1" applyFill="1" applyBorder="1" applyAlignment="1">
      <alignment horizontal="center" vertical="center"/>
    </xf>
    <xf numFmtId="0" fontId="4" fillId="5" borderId="1" xfId="2" applyFont="1" applyFill="1" applyBorder="1" applyAlignment="1">
      <alignment vertical="center"/>
    </xf>
    <xf numFmtId="0" fontId="4" fillId="0" borderId="0" xfId="0" applyFont="1" applyBorder="1" applyAlignment="1">
      <alignment vertical="center"/>
    </xf>
    <xf numFmtId="2" fontId="4" fillId="0" borderId="0" xfId="0" applyNumberFormat="1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2" fontId="8" fillId="6" borderId="1" xfId="0" applyNumberFormat="1" applyFont="1" applyFill="1" applyBorder="1" applyAlignment="1" applyProtection="1">
      <alignment horizontal="left" vertical="center"/>
      <protection hidden="1"/>
    </xf>
    <xf numFmtId="0" fontId="4" fillId="0" borderId="0" xfId="0" applyFont="1" applyAlignment="1">
      <alignment vertical="center"/>
    </xf>
    <xf numFmtId="0" fontId="0" fillId="0" borderId="0" xfId="0" applyFont="1" applyBorder="1" applyAlignment="1">
      <alignment vertical="center"/>
    </xf>
    <xf numFmtId="0" fontId="0" fillId="4" borderId="7" xfId="2" applyFont="1" applyFill="1" applyBorder="1" applyAlignment="1">
      <alignment horizontal="center" vertical="center"/>
    </xf>
    <xf numFmtId="0" fontId="32" fillId="0" borderId="0" xfId="2" applyFont="1" applyBorder="1" applyAlignment="1">
      <alignment vertical="center"/>
    </xf>
    <xf numFmtId="2" fontId="0" fillId="5" borderId="1" xfId="2" applyNumberFormat="1" applyFont="1" applyFill="1" applyBorder="1" applyAlignment="1">
      <alignment vertical="center"/>
    </xf>
    <xf numFmtId="2" fontId="0" fillId="4" borderId="1" xfId="2" applyNumberFormat="1" applyFont="1" applyFill="1" applyBorder="1" applyAlignment="1">
      <alignment vertical="center"/>
    </xf>
    <xf numFmtId="0" fontId="0" fillId="0" borderId="0" xfId="2" applyFont="1" applyBorder="1" applyAlignment="1">
      <alignment vertical="center"/>
    </xf>
    <xf numFmtId="0" fontId="0" fillId="0" borderId="0" xfId="2" applyFont="1" applyBorder="1" applyAlignment="1">
      <alignment horizontal="center" vertical="center"/>
    </xf>
    <xf numFmtId="0" fontId="28" fillId="0" borderId="0" xfId="2" applyFont="1" applyBorder="1" applyAlignment="1">
      <alignment vertical="center"/>
    </xf>
    <xf numFmtId="0" fontId="4" fillId="0" borderId="1" xfId="2" applyFont="1" applyBorder="1" applyAlignment="1">
      <alignment horizontal="center" vertical="center"/>
    </xf>
    <xf numFmtId="2" fontId="0" fillId="0" borderId="0" xfId="0" applyNumberFormat="1" applyFont="1" applyBorder="1" applyAlignment="1">
      <alignment horizontal="left" vertical="center"/>
    </xf>
    <xf numFmtId="0" fontId="10" fillId="0" borderId="0" xfId="2" applyFont="1" applyBorder="1" applyAlignment="1">
      <alignment horizontal="center" vertical="center"/>
    </xf>
    <xf numFmtId="0" fontId="22" fillId="0" borderId="0" xfId="2" applyFont="1" applyBorder="1" applyAlignment="1">
      <alignment horizontal="center" vertical="center"/>
    </xf>
    <xf numFmtId="0" fontId="10" fillId="0" borderId="0" xfId="2" applyFont="1" applyBorder="1" applyAlignment="1">
      <alignment vertical="center"/>
    </xf>
    <xf numFmtId="2" fontId="0" fillId="0" borderId="0" xfId="0" applyNumberFormat="1" applyFont="1" applyBorder="1" applyAlignment="1">
      <alignment vertical="center"/>
    </xf>
    <xf numFmtId="2" fontId="0" fillId="4" borderId="1" xfId="0" applyNumberFormat="1" applyFont="1" applyFill="1" applyBorder="1" applyAlignment="1">
      <alignment vertical="center"/>
    </xf>
    <xf numFmtId="2" fontId="0" fillId="4" borderId="1" xfId="2" applyNumberFormat="1" applyFont="1" applyFill="1" applyBorder="1" applyAlignment="1">
      <alignment horizontal="right" vertical="center"/>
    </xf>
    <xf numFmtId="0" fontId="0" fillId="0" borderId="0" xfId="2" applyFont="1" applyAlignment="1">
      <alignment horizontal="center" vertical="center"/>
    </xf>
    <xf numFmtId="0" fontId="0" fillId="0" borderId="0" xfId="2" applyFont="1" applyAlignment="1">
      <alignment horizontal="center" vertical="center"/>
    </xf>
    <xf numFmtId="0" fontId="0" fillId="0" borderId="0" xfId="2" applyFont="1" applyAlignment="1">
      <alignment horizontal="right" vertical="center"/>
    </xf>
    <xf numFmtId="0" fontId="0" fillId="0" borderId="0" xfId="2" applyFont="1" applyBorder="1" applyAlignment="1">
      <alignment horizontal="right" vertical="center"/>
    </xf>
    <xf numFmtId="0" fontId="10" fillId="0" borderId="0" xfId="0" applyFont="1" applyBorder="1" applyAlignment="1">
      <alignment vertical="center"/>
    </xf>
    <xf numFmtId="0" fontId="4" fillId="5" borderId="5" xfId="2" applyFont="1" applyFill="1" applyBorder="1" applyAlignment="1">
      <alignment horizontal="center" vertical="center"/>
    </xf>
    <xf numFmtId="2" fontId="0" fillId="5" borderId="5" xfId="2" applyNumberFormat="1" applyFont="1" applyFill="1" applyBorder="1" applyAlignment="1">
      <alignment vertical="center"/>
    </xf>
    <xf numFmtId="2" fontId="0" fillId="0" borderId="7" xfId="2" applyNumberFormat="1" applyFont="1" applyBorder="1" applyAlignment="1">
      <alignment horizontal="right" vertical="center"/>
    </xf>
    <xf numFmtId="0" fontId="22" fillId="0" borderId="0" xfId="0" applyFont="1" applyBorder="1" applyAlignment="1">
      <alignment horizontal="center" vertical="center" wrapText="1"/>
    </xf>
    <xf numFmtId="2" fontId="33" fillId="0" borderId="0" xfId="0" applyNumberFormat="1" applyFont="1" applyBorder="1" applyAlignment="1">
      <alignment horizontal="center" vertical="center"/>
    </xf>
    <xf numFmtId="0" fontId="4" fillId="0" borderId="0" xfId="2" applyFont="1" applyAlignment="1">
      <alignment horizontal="center" vertical="center"/>
    </xf>
    <xf numFmtId="2" fontId="28" fillId="0" borderId="0" xfId="2" applyNumberFormat="1" applyFont="1" applyBorder="1" applyAlignment="1">
      <alignment vertical="center"/>
    </xf>
    <xf numFmtId="0" fontId="5" fillId="0" borderId="0" xfId="2" applyFont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8" fillId="6" borderId="1" xfId="2" applyFont="1" applyFill="1" applyBorder="1" applyAlignment="1">
      <alignment vertical="center"/>
    </xf>
    <xf numFmtId="2" fontId="9" fillId="0" borderId="0" xfId="0" applyNumberFormat="1" applyFont="1" applyBorder="1" applyAlignment="1" applyProtection="1">
      <alignment horizontal="left" vertical="center"/>
      <protection hidden="1"/>
    </xf>
    <xf numFmtId="2" fontId="9" fillId="0" borderId="0" xfId="0" applyNumberFormat="1" applyFont="1" applyBorder="1" applyAlignment="1" applyProtection="1">
      <alignment horizontal="center" vertical="center"/>
      <protection hidden="1"/>
    </xf>
    <xf numFmtId="2" fontId="9" fillId="0" borderId="0" xfId="0" applyNumberFormat="1" applyFont="1" applyBorder="1" applyAlignment="1" applyProtection="1">
      <alignment vertical="center"/>
      <protection hidden="1"/>
    </xf>
    <xf numFmtId="2" fontId="0" fillId="0" borderId="0" xfId="2" applyNumberFormat="1" applyFont="1" applyBorder="1" applyAlignment="1">
      <alignment vertical="center"/>
    </xf>
    <xf numFmtId="2" fontId="0" fillId="0" borderId="0" xfId="0" applyNumberFormat="1" applyBorder="1" applyAlignment="1">
      <alignment vertical="center"/>
    </xf>
    <xf numFmtId="2" fontId="8" fillId="6" borderId="0" xfId="0" applyNumberFormat="1" applyFont="1" applyFill="1" applyBorder="1" applyAlignment="1" applyProtection="1">
      <alignment vertical="center"/>
      <protection hidden="1"/>
    </xf>
    <xf numFmtId="165" fontId="4" fillId="0" borderId="1" xfId="0" applyNumberFormat="1" applyFont="1" applyBorder="1" applyAlignment="1" applyProtection="1">
      <alignment vertical="center"/>
      <protection hidden="1"/>
    </xf>
    <xf numFmtId="2" fontId="0" fillId="0" borderId="0" xfId="2" applyNumberFormat="1" applyFont="1" applyBorder="1" applyAlignment="1">
      <alignment horizontal="left" vertical="center"/>
    </xf>
    <xf numFmtId="0" fontId="0" fillId="0" borderId="1" xfId="2" applyFont="1" applyBorder="1" applyAlignment="1">
      <alignment vertical="center"/>
    </xf>
    <xf numFmtId="0" fontId="0" fillId="5" borderId="1" xfId="0" applyFont="1" applyFill="1" applyBorder="1" applyAlignment="1">
      <alignment vertical="center"/>
    </xf>
    <xf numFmtId="0" fontId="0" fillId="0" borderId="1" xfId="2" applyFont="1" applyBorder="1" applyAlignment="1">
      <alignment vertical="center"/>
    </xf>
    <xf numFmtId="2" fontId="8" fillId="6" borderId="2" xfId="0" applyNumberFormat="1" applyFont="1" applyFill="1" applyBorder="1" applyAlignment="1" applyProtection="1">
      <alignment vertical="center"/>
      <protection hidden="1"/>
    </xf>
    <xf numFmtId="2" fontId="4" fillId="0" borderId="0" xfId="0" applyNumberFormat="1" applyFont="1" applyBorder="1" applyAlignment="1" applyProtection="1">
      <alignment horizontal="center" vertical="center"/>
      <protection hidden="1"/>
    </xf>
    <xf numFmtId="0" fontId="8" fillId="6" borderId="0" xfId="0" applyFont="1" applyFill="1" applyAlignment="1">
      <alignment vertical="center"/>
    </xf>
    <xf numFmtId="2" fontId="4" fillId="0" borderId="0" xfId="0" applyNumberFormat="1" applyFont="1" applyBorder="1" applyAlignment="1" applyProtection="1">
      <alignment vertical="center"/>
      <protection hidden="1"/>
    </xf>
    <xf numFmtId="0" fontId="22" fillId="6" borderId="0" xfId="0" applyFont="1" applyFill="1" applyAlignment="1">
      <alignment vertical="center"/>
    </xf>
    <xf numFmtId="2" fontId="8" fillId="6" borderId="3" xfId="0" applyNumberFormat="1" applyFont="1" applyFill="1" applyBorder="1" applyAlignment="1" applyProtection="1">
      <alignment vertical="center"/>
      <protection hidden="1"/>
    </xf>
    <xf numFmtId="2" fontId="4" fillId="0" borderId="4" xfId="0" applyNumberFormat="1" applyFont="1" applyBorder="1" applyAlignment="1" applyProtection="1">
      <alignment horizontal="left" vertical="center"/>
      <protection hidden="1"/>
    </xf>
    <xf numFmtId="2" fontId="4" fillId="5" borderId="7" xfId="0" applyNumberFormat="1" applyFont="1" applyFill="1" applyBorder="1" applyAlignment="1" applyProtection="1">
      <alignment horizontal="center" vertical="center"/>
      <protection hidden="1"/>
    </xf>
    <xf numFmtId="2" fontId="4" fillId="0" borderId="7" xfId="0" applyNumberFormat="1" applyFont="1" applyBorder="1" applyAlignment="1" applyProtection="1">
      <alignment vertical="center"/>
      <protection hidden="1"/>
    </xf>
    <xf numFmtId="2" fontId="4" fillId="0" borderId="2" xfId="0" applyNumberFormat="1" applyFont="1" applyBorder="1" applyAlignment="1" applyProtection="1">
      <alignment horizontal="left" vertical="center"/>
      <protection hidden="1"/>
    </xf>
    <xf numFmtId="0" fontId="0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1" fontId="4" fillId="0" borderId="1" xfId="0" applyNumberFormat="1" applyFont="1" applyBorder="1" applyAlignment="1" applyProtection="1">
      <alignment horizontal="right" vertical="center"/>
      <protection hidden="1"/>
    </xf>
    <xf numFmtId="2" fontId="0" fillId="0" borderId="0" xfId="0" applyNumberFormat="1" applyFont="1" applyBorder="1" applyAlignment="1">
      <alignment horizontal="right" vertical="center"/>
    </xf>
    <xf numFmtId="0" fontId="33" fillId="0" borderId="0" xfId="2" applyFont="1" applyBorder="1" applyAlignment="1">
      <alignment vertical="center"/>
    </xf>
    <xf numFmtId="1" fontId="4" fillId="0" borderId="0" xfId="0" applyNumberFormat="1" applyFont="1" applyBorder="1" applyAlignment="1" applyProtection="1">
      <alignment vertical="center"/>
      <protection hidden="1"/>
    </xf>
    <xf numFmtId="2" fontId="33" fillId="0" borderId="0" xfId="0" applyNumberFormat="1" applyFont="1" applyBorder="1" applyAlignment="1">
      <alignment vertical="center"/>
    </xf>
    <xf numFmtId="0" fontId="34" fillId="0" borderId="0" xfId="2" applyFont="1" applyBorder="1" applyAlignment="1">
      <alignment vertical="center"/>
    </xf>
    <xf numFmtId="0" fontId="0" fillId="0" borderId="1" xfId="2" applyFont="1" applyBorder="1" applyAlignment="1">
      <alignment horizontal="right" vertical="center"/>
    </xf>
    <xf numFmtId="0" fontId="28" fillId="0" borderId="0" xfId="2" applyFont="1" applyBorder="1" applyAlignment="1">
      <alignment horizontal="center" vertical="center"/>
    </xf>
    <xf numFmtId="0" fontId="33" fillId="0" borderId="0" xfId="2" applyFont="1" applyBorder="1" applyAlignment="1">
      <alignment horizontal="center" vertical="center"/>
    </xf>
    <xf numFmtId="2" fontId="0" fillId="0" borderId="0" xfId="0" applyNumberFormat="1" applyFont="1" applyBorder="1" applyAlignment="1" applyProtection="1">
      <alignment horizontal="right" vertical="center"/>
      <protection hidden="1"/>
    </xf>
    <xf numFmtId="1" fontId="4" fillId="0" borderId="0" xfId="0" applyNumberFormat="1" applyFont="1" applyBorder="1" applyAlignment="1" applyProtection="1">
      <alignment horizontal="right" vertical="center"/>
      <protection hidden="1"/>
    </xf>
    <xf numFmtId="2" fontId="0" fillId="0" borderId="0" xfId="0" applyNumberFormat="1" applyFont="1" applyBorder="1" applyAlignment="1" applyProtection="1">
      <alignment horizontal="center" vertical="center"/>
      <protection hidden="1"/>
    </xf>
    <xf numFmtId="2" fontId="0" fillId="0" borderId="0" xfId="0" applyNumberFormat="1" applyFont="1" applyBorder="1" applyAlignment="1" applyProtection="1">
      <alignment vertical="center"/>
      <protection hidden="1"/>
    </xf>
    <xf numFmtId="165" fontId="9" fillId="0" borderId="0" xfId="0" applyNumberFormat="1" applyFont="1" applyBorder="1" applyAlignment="1" applyProtection="1">
      <alignment vertical="center"/>
      <protection hidden="1"/>
    </xf>
    <xf numFmtId="0" fontId="0" fillId="0" borderId="0" xfId="2" applyFont="1" applyBorder="1" applyAlignment="1">
      <alignment horizontal="left" vertical="center"/>
    </xf>
    <xf numFmtId="0" fontId="0" fillId="0" borderId="0" xfId="0" applyBorder="1" applyAlignment="1" applyProtection="1">
      <alignment vertical="center"/>
      <protection hidden="1"/>
    </xf>
    <xf numFmtId="0" fontId="10" fillId="0" borderId="0" xfId="0" applyFont="1" applyBorder="1" applyAlignment="1" applyProtection="1">
      <alignment vertical="center"/>
      <protection hidden="1"/>
    </xf>
    <xf numFmtId="0" fontId="33" fillId="0" borderId="13" xfId="2" applyFont="1" applyBorder="1" applyAlignment="1">
      <alignment horizontal="center" vertical="center"/>
    </xf>
    <xf numFmtId="0" fontId="33" fillId="0" borderId="13" xfId="2" applyFont="1" applyBorder="1" applyAlignment="1">
      <alignment vertical="center"/>
    </xf>
    <xf numFmtId="0" fontId="28" fillId="0" borderId="0" xfId="2" applyFont="1" applyBorder="1" applyAlignment="1">
      <alignment horizontal="center" vertical="center"/>
    </xf>
    <xf numFmtId="0" fontId="10" fillId="0" borderId="0" xfId="2" applyFont="1" applyBorder="1" applyAlignment="1">
      <alignment horizontal="center" vertical="center"/>
    </xf>
    <xf numFmtId="165" fontId="9" fillId="0" borderId="1" xfId="0" applyNumberFormat="1" applyFont="1" applyBorder="1" applyAlignment="1" applyProtection="1">
      <alignment vertical="center"/>
      <protection hidden="1"/>
    </xf>
    <xf numFmtId="0" fontId="5" fillId="0" borderId="0" xfId="2" applyFont="1" applyBorder="1" applyAlignment="1">
      <alignment horizontal="center" vertical="center"/>
    </xf>
    <xf numFmtId="0" fontId="32" fillId="0" borderId="0" xfId="2" applyFont="1" applyBorder="1" applyAlignment="1">
      <alignment horizontal="center" vertical="center"/>
    </xf>
    <xf numFmtId="0" fontId="0" fillId="5" borderId="1" xfId="2" applyFont="1" applyFill="1" applyBorder="1" applyAlignment="1">
      <alignment vertical="center"/>
    </xf>
    <xf numFmtId="2" fontId="9" fillId="0" borderId="5" xfId="0" applyNumberFormat="1" applyFont="1" applyBorder="1" applyAlignment="1" applyProtection="1">
      <alignment vertical="center"/>
      <protection hidden="1"/>
    </xf>
    <xf numFmtId="2" fontId="9" fillId="5" borderId="1" xfId="0" applyNumberFormat="1" applyFont="1" applyFill="1" applyBorder="1" applyAlignment="1" applyProtection="1">
      <alignment horizontal="center" vertical="center"/>
      <protection hidden="1"/>
    </xf>
    <xf numFmtId="0" fontId="29" fillId="6" borderId="1" xfId="0" applyFont="1" applyFill="1" applyBorder="1" applyAlignment="1">
      <alignment vertical="center"/>
    </xf>
    <xf numFmtId="2" fontId="10" fillId="0" borderId="1" xfId="0" applyNumberFormat="1" applyFont="1" applyBorder="1" applyAlignment="1" applyProtection="1">
      <alignment vertical="center"/>
      <protection hidden="1"/>
    </xf>
    <xf numFmtId="165" fontId="4" fillId="0" borderId="1" xfId="0" applyNumberFormat="1" applyFont="1" applyBorder="1" applyAlignment="1" applyProtection="1">
      <alignment horizontal="right" vertical="center"/>
      <protection hidden="1"/>
    </xf>
    <xf numFmtId="165" fontId="4" fillId="0" borderId="1" xfId="2" applyNumberFormat="1" applyFont="1" applyBorder="1" applyAlignment="1">
      <alignment horizontal="right" vertical="center"/>
    </xf>
    <xf numFmtId="0" fontId="4" fillId="0" borderId="0" xfId="0" applyFont="1" applyBorder="1" applyAlignment="1" applyProtection="1">
      <alignment horizontal="right" vertical="center"/>
      <protection hidden="1"/>
    </xf>
    <xf numFmtId="0" fontId="0" fillId="0" borderId="0" xfId="0" applyAlignment="1">
      <alignment horizontal="right" vertical="center"/>
    </xf>
    <xf numFmtId="2" fontId="4" fillId="0" borderId="0" xfId="0" applyNumberFormat="1" applyFont="1" applyBorder="1" applyAlignment="1" applyProtection="1">
      <alignment horizontal="right" vertical="center"/>
      <protection hidden="1"/>
    </xf>
    <xf numFmtId="2" fontId="35" fillId="0" borderId="0" xfId="2" applyNumberFormat="1" applyFont="1" applyBorder="1" applyAlignment="1">
      <alignment vertical="center"/>
    </xf>
    <xf numFmtId="2" fontId="8" fillId="6" borderId="1" xfId="0" applyNumberFormat="1" applyFont="1" applyFill="1" applyBorder="1" applyAlignment="1">
      <alignment vertical="center"/>
    </xf>
    <xf numFmtId="2" fontId="0" fillId="5" borderId="1" xfId="0" applyNumberFormat="1" applyFont="1" applyFill="1" applyBorder="1" applyAlignment="1">
      <alignment vertical="center"/>
    </xf>
    <xf numFmtId="0" fontId="8" fillId="6" borderId="2" xfId="0" applyFont="1" applyFill="1" applyBorder="1" applyAlignment="1">
      <alignment vertical="center"/>
    </xf>
    <xf numFmtId="0" fontId="0" fillId="5" borderId="8" xfId="0" applyFont="1" applyFill="1" applyBorder="1" applyAlignment="1">
      <alignment vertical="center"/>
    </xf>
    <xf numFmtId="0" fontId="0" fillId="0" borderId="1" xfId="0" applyFont="1" applyBorder="1" applyAlignment="1">
      <alignment vertical="center"/>
    </xf>
    <xf numFmtId="1" fontId="0" fillId="0" borderId="0" xfId="2" applyNumberFormat="1" applyFont="1" applyBorder="1" applyAlignment="1">
      <alignment horizontal="center" vertical="center"/>
    </xf>
    <xf numFmtId="0" fontId="8" fillId="6" borderId="7" xfId="0" applyFont="1" applyFill="1" applyBorder="1" applyAlignment="1">
      <alignment vertical="center"/>
    </xf>
    <xf numFmtId="2" fontId="22" fillId="0" borderId="0" xfId="2" applyNumberFormat="1" applyFont="1" applyBorder="1" applyAlignment="1">
      <alignment vertical="center"/>
    </xf>
    <xf numFmtId="0" fontId="36" fillId="0" borderId="0" xfId="0" applyFont="1" applyBorder="1" applyAlignment="1">
      <alignment vertical="center"/>
    </xf>
    <xf numFmtId="2" fontId="12" fillId="5" borderId="1" xfId="0" applyNumberFormat="1" applyFont="1" applyFill="1" applyBorder="1" applyAlignment="1">
      <alignment horizontal="center" vertical="center"/>
    </xf>
    <xf numFmtId="0" fontId="0" fillId="5" borderId="2" xfId="2" applyFont="1" applyFill="1" applyBorder="1" applyAlignment="1">
      <alignment horizontal="center" vertical="center"/>
    </xf>
    <xf numFmtId="0" fontId="0" fillId="0" borderId="2" xfId="2" applyFont="1" applyBorder="1" applyAlignment="1">
      <alignment vertical="center"/>
    </xf>
    <xf numFmtId="0" fontId="0" fillId="0" borderId="2" xfId="2" applyFont="1" applyBorder="1" applyAlignment="1">
      <alignment vertical="center"/>
    </xf>
    <xf numFmtId="0" fontId="0" fillId="0" borderId="1" xfId="0" applyFont="1" applyBorder="1" applyAlignment="1" applyProtection="1">
      <alignment vertical="center"/>
      <protection hidden="1"/>
    </xf>
    <xf numFmtId="0" fontId="0" fillId="0" borderId="1" xfId="0" applyBorder="1" applyAlignment="1" applyProtection="1">
      <alignment vertical="center"/>
      <protection hidden="1"/>
    </xf>
    <xf numFmtId="2" fontId="0" fillId="0" borderId="1" xfId="2" applyNumberFormat="1" applyFont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6" xfId="2" applyFont="1" applyBorder="1" applyAlignment="1">
      <alignment vertical="center"/>
    </xf>
    <xf numFmtId="0" fontId="0" fillId="0" borderId="12" xfId="2" applyFont="1" applyBorder="1" applyAlignment="1">
      <alignment vertical="center"/>
    </xf>
    <xf numFmtId="2" fontId="0" fillId="0" borderId="1" xfId="0" applyNumberFormat="1" applyFont="1" applyBorder="1" applyAlignment="1">
      <alignment vertical="center"/>
    </xf>
    <xf numFmtId="2" fontId="0" fillId="5" borderId="1" xfId="0" applyNumberFormat="1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right" vertical="center"/>
    </xf>
    <xf numFmtId="2" fontId="0" fillId="0" borderId="1" xfId="0" applyNumberFormat="1" applyFont="1" applyBorder="1" applyAlignment="1">
      <alignment horizontal="right" vertical="center"/>
    </xf>
    <xf numFmtId="2" fontId="0" fillId="0" borderId="7" xfId="0" applyNumberFormat="1" applyFont="1" applyBorder="1" applyAlignment="1">
      <alignment horizontal="right" vertical="center"/>
    </xf>
    <xf numFmtId="2" fontId="0" fillId="0" borderId="0" xfId="2" applyNumberFormat="1" applyFont="1" applyBorder="1" applyAlignment="1">
      <alignment horizontal="right" vertical="center"/>
    </xf>
    <xf numFmtId="2" fontId="0" fillId="0" borderId="0" xfId="2" applyNumberFormat="1" applyFont="1" applyAlignment="1">
      <alignment vertical="center"/>
    </xf>
    <xf numFmtId="2" fontId="22" fillId="0" borderId="0" xfId="0" applyNumberFormat="1" applyFont="1" applyBorder="1" applyAlignment="1" applyProtection="1">
      <alignment vertical="center"/>
      <protection hidden="1"/>
    </xf>
    <xf numFmtId="2" fontId="12" fillId="5" borderId="1" xfId="0" applyNumberFormat="1" applyFont="1" applyFill="1" applyBorder="1" applyAlignment="1">
      <alignment vertical="center"/>
    </xf>
    <xf numFmtId="2" fontId="0" fillId="0" borderId="2" xfId="0" applyNumberFormat="1" applyFont="1" applyBorder="1" applyAlignment="1">
      <alignment vertical="center"/>
    </xf>
    <xf numFmtId="0" fontId="10" fillId="0" borderId="2" xfId="2" applyFont="1" applyBorder="1" applyAlignment="1">
      <alignment vertical="center"/>
    </xf>
    <xf numFmtId="2" fontId="12" fillId="0" borderId="0" xfId="0" applyNumberFormat="1" applyFont="1" applyBorder="1" applyAlignment="1">
      <alignment horizontal="center" vertical="center"/>
    </xf>
    <xf numFmtId="2" fontId="12" fillId="0" borderId="0" xfId="0" applyNumberFormat="1" applyFont="1" applyBorder="1" applyAlignment="1">
      <alignment vertical="center"/>
    </xf>
    <xf numFmtId="2" fontId="22" fillId="0" borderId="0" xfId="0" applyNumberFormat="1" applyFont="1" applyBorder="1" applyAlignment="1">
      <alignment vertical="center"/>
    </xf>
    <xf numFmtId="0" fontId="30" fillId="6" borderId="1" xfId="2" applyFont="1" applyFill="1" applyBorder="1" applyAlignment="1">
      <alignment horizontal="center" vertical="center"/>
    </xf>
    <xf numFmtId="0" fontId="35" fillId="0" borderId="0" xfId="2" applyFont="1" applyBorder="1" applyAlignment="1">
      <alignment vertical="center"/>
    </xf>
    <xf numFmtId="0" fontId="30" fillId="6" borderId="2" xfId="2" applyFont="1" applyFill="1" applyBorder="1" applyAlignment="1">
      <alignment horizontal="right" vertical="center"/>
    </xf>
    <xf numFmtId="0" fontId="35" fillId="0" borderId="0" xfId="2" applyFont="1" applyBorder="1" applyAlignment="1">
      <alignment vertical="center"/>
    </xf>
    <xf numFmtId="0" fontId="35" fillId="0" borderId="0" xfId="2" applyFont="1" applyBorder="1" applyAlignment="1">
      <alignment horizontal="center" vertical="center"/>
    </xf>
    <xf numFmtId="0" fontId="30" fillId="6" borderId="9" xfId="2" applyFont="1" applyFill="1" applyBorder="1" applyAlignment="1">
      <alignment horizontal="right" vertical="center"/>
    </xf>
    <xf numFmtId="0" fontId="0" fillId="0" borderId="0" xfId="0" applyBorder="1" applyAlignment="1">
      <alignment horizontal="left" vertical="center"/>
    </xf>
    <xf numFmtId="0" fontId="34" fillId="0" borderId="0" xfId="2" applyFont="1" applyBorder="1" applyAlignment="1">
      <alignment vertical="center"/>
    </xf>
    <xf numFmtId="0" fontId="0" fillId="0" borderId="1" xfId="2" applyFont="1" applyBorder="1" applyAlignment="1">
      <alignment horizontal="left" vertical="center"/>
    </xf>
    <xf numFmtId="2" fontId="4" fillId="0" borderId="0" xfId="2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8" fillId="6" borderId="5" xfId="0" applyFont="1" applyFill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8" fillId="6" borderId="7" xfId="0" applyFont="1" applyFill="1" applyBorder="1" applyAlignment="1">
      <alignment horizontal="left" vertical="center"/>
    </xf>
    <xf numFmtId="0" fontId="31" fillId="6" borderId="1" xfId="0" applyFont="1" applyFill="1" applyBorder="1" applyAlignment="1">
      <alignment horizontal="right" vertical="center"/>
    </xf>
    <xf numFmtId="0" fontId="4" fillId="0" borderId="1" xfId="0" applyFont="1" applyBorder="1" applyAlignment="1" applyProtection="1">
      <alignment vertical="center"/>
      <protection hidden="1"/>
    </xf>
    <xf numFmtId="0" fontId="31" fillId="6" borderId="1" xfId="0" applyFont="1" applyFill="1" applyBorder="1" applyAlignment="1" applyProtection="1">
      <alignment horizontal="right" vertical="center"/>
      <protection hidden="1"/>
    </xf>
    <xf numFmtId="0" fontId="8" fillId="6" borderId="1" xfId="0" applyFont="1" applyFill="1" applyBorder="1" applyAlignment="1" applyProtection="1">
      <alignment vertical="center"/>
      <protection hidden="1"/>
    </xf>
    <xf numFmtId="0" fontId="8" fillId="0" borderId="0" xfId="0" applyFont="1" applyBorder="1" applyAlignment="1" applyProtection="1">
      <alignment horizontal="right" vertical="center"/>
      <protection hidden="1"/>
    </xf>
    <xf numFmtId="0" fontId="34" fillId="0" borderId="0" xfId="2" applyFont="1" applyBorder="1" applyAlignment="1">
      <alignment horizontal="center" vertical="center"/>
    </xf>
    <xf numFmtId="0" fontId="10" fillId="0" borderId="0" xfId="2" applyFont="1" applyBorder="1" applyAlignment="1">
      <alignment horizontal="right" vertical="center"/>
    </xf>
    <xf numFmtId="2" fontId="10" fillId="0" borderId="0" xfId="0" applyNumberFormat="1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9" fillId="0" borderId="1" xfId="0" applyFont="1" applyBorder="1" applyAlignment="1">
      <alignment vertical="center"/>
    </xf>
    <xf numFmtId="0" fontId="10" fillId="5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31" fillId="6" borderId="1" xfId="2" applyFont="1" applyFill="1" applyBorder="1" applyAlignment="1">
      <alignment horizontal="right"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5" xfId="0" applyFont="1" applyBorder="1" applyAlignment="1">
      <alignment vertical="center"/>
    </xf>
    <xf numFmtId="2" fontId="4" fillId="5" borderId="5" xfId="0" applyNumberFormat="1" applyFont="1" applyFill="1" applyBorder="1" applyAlignment="1" applyProtection="1">
      <alignment horizontal="center" vertical="center"/>
      <protection hidden="1"/>
    </xf>
    <xf numFmtId="2" fontId="4" fillId="5" borderId="6" xfId="0" applyNumberFormat="1" applyFont="1" applyFill="1" applyBorder="1" applyAlignment="1" applyProtection="1">
      <alignment horizontal="center" vertical="center"/>
      <protection hidden="1"/>
    </xf>
    <xf numFmtId="0" fontId="0" fillId="0" borderId="6" xfId="0" applyBorder="1" applyAlignment="1">
      <alignment vertical="center"/>
    </xf>
    <xf numFmtId="2" fontId="0" fillId="5" borderId="1" xfId="0" applyNumberFormat="1" applyFont="1" applyFill="1" applyBorder="1" applyAlignment="1" applyProtection="1">
      <alignment horizontal="center" vertical="center"/>
      <protection hidden="1"/>
    </xf>
    <xf numFmtId="1" fontId="10" fillId="0" borderId="1" xfId="0" applyNumberFormat="1" applyFont="1" applyBorder="1" applyAlignment="1" applyProtection="1">
      <alignment horizontal="right" vertical="center"/>
      <protection hidden="1"/>
    </xf>
    <xf numFmtId="1" fontId="10" fillId="0" borderId="7" xfId="0" applyNumberFormat="1" applyFont="1" applyBorder="1" applyAlignment="1" applyProtection="1">
      <alignment horizontal="right" vertical="center"/>
      <protection hidden="1"/>
    </xf>
    <xf numFmtId="1" fontId="0" fillId="0" borderId="1" xfId="0" applyNumberFormat="1" applyBorder="1" applyAlignment="1">
      <alignment vertical="center"/>
    </xf>
    <xf numFmtId="0" fontId="37" fillId="0" borderId="0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4" fillId="5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vertical="center"/>
    </xf>
    <xf numFmtId="1" fontId="4" fillId="0" borderId="0" xfId="0" applyNumberFormat="1" applyFont="1" applyBorder="1" applyAlignment="1">
      <alignment vertical="center"/>
    </xf>
    <xf numFmtId="2" fontId="4" fillId="0" borderId="0" xfId="0" applyNumberFormat="1" applyFont="1" applyBorder="1" applyAlignment="1">
      <alignment vertical="center"/>
    </xf>
    <xf numFmtId="0" fontId="4" fillId="0" borderId="0" xfId="0" applyFont="1" applyBorder="1" applyAlignment="1" applyProtection="1">
      <alignment vertical="center"/>
      <protection hidden="1"/>
    </xf>
    <xf numFmtId="0" fontId="5" fillId="0" borderId="0" xfId="0" applyFont="1" applyBorder="1" applyAlignment="1">
      <alignment vertical="center"/>
    </xf>
    <xf numFmtId="2" fontId="0" fillId="0" borderId="0" xfId="0" applyNumberFormat="1" applyFont="1" applyBorder="1" applyAlignment="1">
      <alignment vertical="center"/>
    </xf>
    <xf numFmtId="0" fontId="4" fillId="5" borderId="7" xfId="0" applyFont="1" applyFill="1" applyBorder="1" applyAlignment="1">
      <alignment vertical="center"/>
    </xf>
    <xf numFmtId="0" fontId="9" fillId="0" borderId="7" xfId="0" applyFont="1" applyBorder="1" applyAlignment="1">
      <alignment vertical="center"/>
    </xf>
    <xf numFmtId="2" fontId="0" fillId="0" borderId="0" xfId="0" applyNumberFormat="1" applyBorder="1" applyAlignment="1" applyProtection="1">
      <alignment horizontal="center" vertical="center"/>
      <protection hidden="1"/>
    </xf>
    <xf numFmtId="1" fontId="0" fillId="0" borderId="0" xfId="0" applyNumberFormat="1" applyFont="1" applyBorder="1" applyAlignment="1" applyProtection="1">
      <alignment horizontal="right" vertical="center"/>
      <protection hidden="1"/>
    </xf>
    <xf numFmtId="165" fontId="0" fillId="0" borderId="0" xfId="0" applyNumberFormat="1" applyFont="1" applyAlignment="1">
      <alignment vertical="center"/>
    </xf>
    <xf numFmtId="2" fontId="10" fillId="0" borderId="1" xfId="0" applyNumberFormat="1" applyFont="1" applyBorder="1" applyAlignment="1">
      <alignment horizontal="right" vertical="center"/>
    </xf>
    <xf numFmtId="0" fontId="0" fillId="0" borderId="12" xfId="0" applyFont="1" applyBorder="1" applyAlignment="1">
      <alignment vertical="center"/>
    </xf>
    <xf numFmtId="0" fontId="0" fillId="0" borderId="0" xfId="0" applyFont="1" applyBorder="1" applyAlignment="1">
      <alignment vertical="center"/>
    </xf>
    <xf numFmtId="2" fontId="22" fillId="0" borderId="0" xfId="0" applyNumberFormat="1" applyFont="1" applyBorder="1" applyAlignment="1">
      <alignment horizontal="right" vertical="center"/>
    </xf>
    <xf numFmtId="2" fontId="8" fillId="6" borderId="0" xfId="0" applyNumberFormat="1" applyFont="1" applyFill="1" applyBorder="1" applyAlignment="1">
      <alignment vertical="center"/>
    </xf>
    <xf numFmtId="2" fontId="8" fillId="6" borderId="5" xfId="0" applyNumberFormat="1" applyFont="1" applyFill="1" applyBorder="1" applyAlignment="1">
      <alignment vertical="center"/>
    </xf>
    <xf numFmtId="2" fontId="8" fillId="6" borderId="12" xfId="0" applyNumberFormat="1" applyFont="1" applyFill="1" applyBorder="1" applyAlignment="1">
      <alignment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2" fontId="0" fillId="0" borderId="1" xfId="0" applyNumberFormat="1" applyFont="1" applyBorder="1" applyAlignment="1">
      <alignment vertical="center"/>
    </xf>
    <xf numFmtId="2" fontId="0" fillId="0" borderId="4" xfId="0" applyNumberFormat="1" applyFont="1" applyBorder="1" applyAlignment="1">
      <alignment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2" fontId="29" fillId="0" borderId="3" xfId="0" applyNumberFormat="1" applyFont="1" applyBorder="1" applyAlignment="1">
      <alignment vertical="center"/>
    </xf>
    <xf numFmtId="0" fontId="0" fillId="0" borderId="0" xfId="0" applyFont="1" applyAlignment="1">
      <alignment vertical="center"/>
    </xf>
    <xf numFmtId="165" fontId="0" fillId="0" borderId="0" xfId="0" applyNumberFormat="1" applyFont="1" applyAlignment="1">
      <alignment vertical="center"/>
    </xf>
    <xf numFmtId="2" fontId="4" fillId="5" borderId="1" xfId="0" applyNumberFormat="1" applyFont="1" applyFill="1" applyBorder="1" applyAlignment="1">
      <alignment vertical="center"/>
    </xf>
    <xf numFmtId="1" fontId="31" fillId="6" borderId="1" xfId="0" applyNumberFormat="1" applyFont="1" applyFill="1" applyBorder="1" applyAlignment="1">
      <alignment horizontal="right" vertical="center"/>
    </xf>
    <xf numFmtId="165" fontId="0" fillId="0" borderId="0" xfId="0" applyNumberFormat="1" applyFont="1" applyBorder="1" applyAlignment="1">
      <alignment vertical="center"/>
    </xf>
    <xf numFmtId="2" fontId="5" fillId="0" borderId="0" xfId="0" applyNumberFormat="1" applyFont="1" applyBorder="1" applyAlignment="1">
      <alignment vertical="center"/>
    </xf>
    <xf numFmtId="1" fontId="0" fillId="0" borderId="0" xfId="0" applyNumberFormat="1" applyBorder="1" applyAlignment="1">
      <alignment horizontal="left" vertical="center"/>
    </xf>
    <xf numFmtId="1" fontId="0" fillId="0" borderId="0" xfId="0" applyNumberFormat="1" applyFont="1" applyBorder="1" applyAlignment="1">
      <alignment horizontal="left" vertical="center"/>
    </xf>
    <xf numFmtId="165" fontId="0" fillId="0" borderId="0" xfId="0" applyNumberFormat="1" applyAlignment="1">
      <alignment vertical="center"/>
    </xf>
    <xf numFmtId="0" fontId="33" fillId="0" borderId="0" xfId="0" applyFont="1" applyBorder="1" applyAlignment="1">
      <alignment vertical="center"/>
    </xf>
    <xf numFmtId="2" fontId="33" fillId="0" borderId="0" xfId="0" applyNumberFormat="1" applyFont="1" applyBorder="1" applyAlignment="1">
      <alignment vertical="center"/>
    </xf>
    <xf numFmtId="2" fontId="10" fillId="5" borderId="1" xfId="0" applyNumberFormat="1" applyFont="1" applyFill="1" applyBorder="1" applyAlignment="1">
      <alignment vertical="center"/>
    </xf>
    <xf numFmtId="2" fontId="31" fillId="6" borderId="1" xfId="0" applyNumberFormat="1" applyFont="1" applyFill="1" applyBorder="1" applyAlignment="1">
      <alignment horizontal="right" vertical="center"/>
    </xf>
    <xf numFmtId="0" fontId="10" fillId="0" borderId="1" xfId="0" applyFont="1" applyBorder="1" applyAlignment="1">
      <alignment horizontal="right" vertical="center"/>
    </xf>
    <xf numFmtId="2" fontId="10" fillId="0" borderId="5" xfId="0" applyNumberFormat="1" applyFont="1" applyBorder="1" applyAlignment="1">
      <alignment horizontal="right" vertical="center"/>
    </xf>
    <xf numFmtId="0" fontId="10" fillId="0" borderId="0" xfId="0" applyFont="1" applyAlignment="1">
      <alignment horizontal="center" vertical="center"/>
    </xf>
    <xf numFmtId="2" fontId="8" fillId="6" borderId="4" xfId="0" applyNumberFormat="1" applyFont="1" applyFill="1" applyBorder="1" applyAlignment="1">
      <alignment vertical="center"/>
    </xf>
    <xf numFmtId="2" fontId="9" fillId="5" borderId="7" xfId="0" applyNumberFormat="1" applyFont="1" applyFill="1" applyBorder="1" applyAlignment="1">
      <alignment horizontal="center" vertical="center"/>
    </xf>
    <xf numFmtId="1" fontId="31" fillId="6" borderId="7" xfId="0" applyNumberFormat="1" applyFont="1" applyFill="1" applyBorder="1" applyAlignment="1">
      <alignment horizontal="right" vertical="center"/>
    </xf>
    <xf numFmtId="2" fontId="9" fillId="0" borderId="0" xfId="0" applyNumberFormat="1" applyFont="1" applyBorder="1" applyAlignment="1">
      <alignment horizontal="center" vertical="center"/>
    </xf>
    <xf numFmtId="1" fontId="8" fillId="0" borderId="0" xfId="0" applyNumberFormat="1" applyFont="1" applyBorder="1" applyAlignment="1">
      <alignment horizontal="right" vertical="center"/>
    </xf>
    <xf numFmtId="2" fontId="0" fillId="5" borderId="7" xfId="0" applyNumberFormat="1" applyFont="1" applyFill="1" applyBorder="1" applyAlignment="1" applyProtection="1">
      <alignment horizontal="center" vertical="center"/>
      <protection hidden="1"/>
    </xf>
    <xf numFmtId="1" fontId="9" fillId="0" borderId="1" xfId="0" applyNumberFormat="1" applyFont="1" applyBorder="1" applyAlignment="1" applyProtection="1">
      <alignment horizontal="right" vertical="center"/>
      <protection hidden="1"/>
    </xf>
    <xf numFmtId="2" fontId="22" fillId="0" borderId="0" xfId="0" applyNumberFormat="1" applyFont="1" applyBorder="1" applyAlignment="1">
      <alignment horizontal="left" vertical="center"/>
    </xf>
    <xf numFmtId="2" fontId="37" fillId="0" borderId="0" xfId="0" applyNumberFormat="1" applyFont="1" applyBorder="1" applyAlignment="1">
      <alignment vertical="center"/>
    </xf>
    <xf numFmtId="0" fontId="10" fillId="0" borderId="7" xfId="2" applyFont="1" applyBorder="1" applyAlignment="1">
      <alignment horizontal="center" vertical="center"/>
    </xf>
    <xf numFmtId="0" fontId="38" fillId="0" borderId="0" xfId="0" applyFont="1" applyBorder="1" applyAlignment="1">
      <alignment vertical="center"/>
    </xf>
    <xf numFmtId="0" fontId="39" fillId="0" borderId="0" xfId="0" applyFont="1" applyBorder="1" applyAlignment="1">
      <alignment vertical="center"/>
    </xf>
    <xf numFmtId="0" fontId="39" fillId="0" borderId="0" xfId="2" applyFont="1" applyBorder="1" applyAlignment="1">
      <alignment vertical="center"/>
    </xf>
    <xf numFmtId="0" fontId="39" fillId="0" borderId="0" xfId="2" applyFont="1" applyAlignment="1">
      <alignment vertical="center"/>
    </xf>
    <xf numFmtId="0" fontId="38" fillId="0" borderId="0" xfId="0" applyFont="1" applyBorder="1" applyAlignment="1">
      <alignment horizontal="center" vertical="center"/>
    </xf>
    <xf numFmtId="0" fontId="39" fillId="0" borderId="0" xfId="2" applyFont="1" applyAlignment="1">
      <alignment vertical="center"/>
    </xf>
    <xf numFmtId="0" fontId="33" fillId="5" borderId="1" xfId="0" applyFont="1" applyFill="1" applyBorder="1" applyAlignment="1">
      <alignment vertical="center"/>
    </xf>
    <xf numFmtId="0" fontId="39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2" fontId="4" fillId="0" borderId="4" xfId="0" applyNumberFormat="1" applyFont="1" applyBorder="1" applyAlignment="1">
      <alignment vertical="center"/>
    </xf>
    <xf numFmtId="0" fontId="4" fillId="0" borderId="0" xfId="0" applyFont="1" applyBorder="1" applyAlignment="1">
      <alignment horizontal="right" vertical="center"/>
    </xf>
    <xf numFmtId="0" fontId="8" fillId="0" borderId="0" xfId="0" applyFont="1" applyBorder="1" applyAlignment="1">
      <alignment horizontal="right" vertical="center"/>
    </xf>
    <xf numFmtId="2" fontId="9" fillId="0" borderId="0" xfId="0" applyNumberFormat="1" applyFont="1" applyBorder="1" applyAlignment="1">
      <alignment vertical="center"/>
    </xf>
    <xf numFmtId="2" fontId="4" fillId="0" borderId="7" xfId="0" applyNumberFormat="1" applyFont="1" applyBorder="1" applyAlignment="1">
      <alignment vertical="center"/>
    </xf>
    <xf numFmtId="2" fontId="4" fillId="0" borderId="12" xfId="0" applyNumberFormat="1" applyFont="1" applyBorder="1" applyAlignment="1">
      <alignment vertical="center"/>
    </xf>
    <xf numFmtId="2" fontId="4" fillId="0" borderId="0" xfId="0" applyNumberFormat="1" applyFont="1" applyBorder="1" applyAlignment="1">
      <alignment horizontal="left" vertical="center"/>
    </xf>
    <xf numFmtId="2" fontId="4" fillId="0" borderId="0" xfId="0" applyNumberFormat="1" applyFont="1" applyBorder="1" applyAlignment="1" applyProtection="1">
      <alignment horizontal="left" vertical="center"/>
      <protection hidden="1"/>
    </xf>
    <xf numFmtId="2" fontId="4" fillId="0" borderId="5" xfId="0" applyNumberFormat="1" applyFont="1" applyBorder="1" applyAlignment="1">
      <alignment vertical="center"/>
    </xf>
    <xf numFmtId="2" fontId="8" fillId="0" borderId="0" xfId="0" applyNumberFormat="1" applyFont="1" applyBorder="1" applyAlignment="1">
      <alignment horizontal="right" vertical="center"/>
    </xf>
    <xf numFmtId="2" fontId="4" fillId="0" borderId="6" xfId="0" applyNumberFormat="1" applyFont="1" applyBorder="1" applyAlignment="1">
      <alignment vertical="center"/>
    </xf>
    <xf numFmtId="2" fontId="6" fillId="5" borderId="1" xfId="0" applyNumberFormat="1" applyFont="1" applyFill="1" applyBorder="1" applyAlignment="1">
      <alignment vertical="center"/>
    </xf>
    <xf numFmtId="2" fontId="30" fillId="6" borderId="1" xfId="0" applyNumberFormat="1" applyFont="1" applyFill="1" applyBorder="1" applyAlignment="1">
      <alignment horizontal="right" vertical="center"/>
    </xf>
    <xf numFmtId="2" fontId="6" fillId="0" borderId="0" xfId="0" applyNumberFormat="1" applyFont="1" applyBorder="1" applyAlignment="1">
      <alignment vertical="center"/>
    </xf>
    <xf numFmtId="0" fontId="33" fillId="0" borderId="0" xfId="0" applyFont="1" applyBorder="1" applyAlignment="1">
      <alignment vertical="center"/>
    </xf>
    <xf numFmtId="2" fontId="7" fillId="0" borderId="0" xfId="0" applyNumberFormat="1" applyFont="1" applyBorder="1" applyAlignment="1">
      <alignment horizontal="right" vertical="center"/>
    </xf>
    <xf numFmtId="2" fontId="40" fillId="0" borderId="0" xfId="0" applyNumberFormat="1" applyFont="1" applyBorder="1" applyAlignment="1">
      <alignment vertical="center"/>
    </xf>
    <xf numFmtId="0" fontId="39" fillId="0" borderId="0" xfId="2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41" fillId="0" borderId="0" xfId="0" applyFont="1" applyBorder="1" applyAlignment="1">
      <alignment vertical="center"/>
    </xf>
    <xf numFmtId="0" fontId="41" fillId="0" borderId="0" xfId="0" applyFont="1" applyBorder="1" applyAlignment="1">
      <alignment horizontal="center" vertical="center"/>
    </xf>
    <xf numFmtId="2" fontId="38" fillId="0" borderId="0" xfId="0" applyNumberFormat="1" applyFont="1" applyBorder="1" applyAlignment="1">
      <alignment vertical="center"/>
    </xf>
    <xf numFmtId="0" fontId="0" fillId="0" borderId="1" xfId="2" applyFont="1" applyBorder="1" applyAlignment="1">
      <alignment horizontal="center" vertical="center"/>
    </xf>
    <xf numFmtId="0" fontId="0" fillId="5" borderId="2" xfId="2" applyFont="1" applyFill="1" applyBorder="1" applyAlignment="1">
      <alignment vertical="center"/>
    </xf>
    <xf numFmtId="0" fontId="0" fillId="0" borderId="4" xfId="2" applyFont="1" applyBorder="1" applyAlignment="1">
      <alignment vertical="center"/>
    </xf>
    <xf numFmtId="0" fontId="0" fillId="5" borderId="7" xfId="2" applyFont="1" applyFill="1" applyBorder="1" applyAlignment="1">
      <alignment horizontal="center" vertical="center"/>
    </xf>
    <xf numFmtId="0" fontId="0" fillId="0" borderId="7" xfId="2" applyFont="1" applyBorder="1" applyAlignment="1">
      <alignment vertical="center"/>
    </xf>
    <xf numFmtId="0" fontId="0" fillId="0" borderId="1" xfId="2" applyFont="1" applyBorder="1" applyAlignment="1">
      <alignment horizontal="left" vertical="center"/>
    </xf>
    <xf numFmtId="0" fontId="33" fillId="5" borderId="2" xfId="2" applyFont="1" applyFill="1" applyBorder="1" applyAlignment="1">
      <alignment vertical="center"/>
    </xf>
    <xf numFmtId="0" fontId="0" fillId="0" borderId="0" xfId="2" applyFont="1" applyBorder="1" applyAlignment="1">
      <alignment horizontal="right" vertical="center"/>
    </xf>
    <xf numFmtId="0" fontId="0" fillId="0" borderId="2" xfId="2" applyFont="1" applyBorder="1" applyAlignment="1">
      <alignment horizontal="left" vertical="center"/>
    </xf>
    <xf numFmtId="0" fontId="0" fillId="14" borderId="1" xfId="2" applyFont="1" applyFill="1" applyBorder="1" applyAlignment="1">
      <alignment vertical="center"/>
    </xf>
    <xf numFmtId="0" fontId="0" fillId="14" borderId="1" xfId="2" applyFont="1" applyFill="1" applyBorder="1" applyAlignment="1">
      <alignment horizontal="center" vertical="center"/>
    </xf>
    <xf numFmtId="0" fontId="4" fillId="0" borderId="1" xfId="0" applyFont="1" applyBorder="1" applyAlignment="1" applyProtection="1">
      <alignment horizontal="right" vertical="center"/>
      <protection hidden="1"/>
    </xf>
    <xf numFmtId="2" fontId="8" fillId="6" borderId="6" xfId="0" applyNumberFormat="1" applyFont="1" applyFill="1" applyBorder="1" applyAlignment="1" applyProtection="1">
      <alignment horizontal="left" vertical="center"/>
      <protection hidden="1"/>
    </xf>
    <xf numFmtId="2" fontId="4" fillId="0" borderId="12" xfId="0" applyNumberFormat="1" applyFont="1" applyBorder="1" applyAlignment="1" applyProtection="1">
      <alignment vertical="center"/>
      <protection hidden="1"/>
    </xf>
    <xf numFmtId="2" fontId="8" fillId="6" borderId="12" xfId="0" applyNumberFormat="1" applyFont="1" applyFill="1" applyBorder="1" applyAlignment="1" applyProtection="1">
      <alignment horizontal="left" vertical="center"/>
      <protection hidden="1"/>
    </xf>
    <xf numFmtId="0" fontId="22" fillId="6" borderId="1" xfId="2" applyFont="1" applyFill="1" applyBorder="1" applyAlignment="1">
      <alignment vertical="center"/>
    </xf>
    <xf numFmtId="0" fontId="22" fillId="6" borderId="0" xfId="0" applyFont="1" applyFill="1" applyBorder="1" applyAlignment="1">
      <alignment vertical="center"/>
    </xf>
    <xf numFmtId="1" fontId="0" fillId="0" borderId="1" xfId="2" applyNumberFormat="1" applyFont="1" applyBorder="1" applyAlignment="1">
      <alignment vertical="center"/>
    </xf>
    <xf numFmtId="2" fontId="37" fillId="5" borderId="1" xfId="0" applyNumberFormat="1" applyFont="1" applyFill="1" applyBorder="1" applyAlignment="1">
      <alignment horizontal="center" vertical="center"/>
    </xf>
    <xf numFmtId="2" fontId="37" fillId="5" borderId="1" xfId="0" applyNumberFormat="1" applyFont="1" applyFill="1" applyBorder="1" applyAlignment="1">
      <alignment vertical="center"/>
    </xf>
    <xf numFmtId="0" fontId="10" fillId="0" borderId="0" xfId="2" applyFont="1" applyAlignment="1">
      <alignment horizontal="center" vertical="center"/>
    </xf>
    <xf numFmtId="0" fontId="0" fillId="0" borderId="5" xfId="2" applyFont="1" applyBorder="1" applyAlignment="1">
      <alignment horizontal="center" vertical="center"/>
    </xf>
    <xf numFmtId="0" fontId="10" fillId="0" borderId="5" xfId="2" applyFont="1" applyBorder="1" applyAlignment="1">
      <alignment horizontal="center" vertical="center"/>
    </xf>
    <xf numFmtId="0" fontId="10" fillId="0" borderId="1" xfId="2" applyFont="1" applyBorder="1" applyAlignment="1">
      <alignment horizontal="center" vertical="center"/>
    </xf>
    <xf numFmtId="2" fontId="37" fillId="0" borderId="0" xfId="0" applyNumberFormat="1" applyFont="1" applyBorder="1" applyAlignment="1">
      <alignment horizontal="center" vertical="center"/>
    </xf>
    <xf numFmtId="0" fontId="0" fillId="0" borderId="2" xfId="2" applyFont="1" applyBorder="1" applyAlignment="1">
      <alignment horizontal="center" vertical="center"/>
    </xf>
    <xf numFmtId="0" fontId="0" fillId="0" borderId="1" xfId="2" applyFont="1" applyBorder="1" applyAlignment="1">
      <alignment horizontal="center" vertical="center"/>
    </xf>
    <xf numFmtId="0" fontId="10" fillId="0" borderId="1" xfId="2" applyFont="1" applyBorder="1" applyAlignment="1">
      <alignment horizontal="center" vertical="center"/>
    </xf>
    <xf numFmtId="0" fontId="33" fillId="0" borderId="0" xfId="0" applyFont="1" applyAlignment="1">
      <alignment vertical="center"/>
    </xf>
    <xf numFmtId="2" fontId="42" fillId="0" borderId="0" xfId="0" applyNumberFormat="1" applyFont="1" applyBorder="1" applyAlignment="1">
      <alignment horizontal="center" vertical="center"/>
    </xf>
    <xf numFmtId="0" fontId="0" fillId="0" borderId="5" xfId="2" applyFont="1" applyBorder="1" applyAlignment="1">
      <alignment vertical="center"/>
    </xf>
    <xf numFmtId="0" fontId="10" fillId="0" borderId="5" xfId="2" applyFont="1" applyBorder="1" applyAlignment="1">
      <alignment vertical="center"/>
    </xf>
    <xf numFmtId="0" fontId="23" fillId="0" borderId="1" xfId="0" applyFont="1" applyBorder="1" applyAlignment="1">
      <alignment vertical="center"/>
    </xf>
    <xf numFmtId="0" fontId="0" fillId="0" borderId="3" xfId="2" applyFont="1" applyBorder="1" applyAlignment="1">
      <alignment horizontal="left" vertical="center"/>
    </xf>
    <xf numFmtId="0" fontId="23" fillId="0" borderId="2" xfId="0" applyFont="1" applyBorder="1" applyAlignment="1">
      <alignment vertical="center"/>
    </xf>
    <xf numFmtId="0" fontId="23" fillId="0" borderId="9" xfId="0" applyFont="1" applyBorder="1" applyAlignment="1">
      <alignment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1" xfId="0" applyNumberFormat="1" applyFont="1" applyBorder="1" applyAlignment="1">
      <alignment horizontal="center" vertical="center"/>
    </xf>
    <xf numFmtId="0" fontId="23" fillId="0" borderId="8" xfId="0" applyFont="1" applyBorder="1" applyAlignment="1">
      <alignment vertical="center"/>
    </xf>
    <xf numFmtId="0" fontId="23" fillId="0" borderId="7" xfId="0" applyFont="1" applyBorder="1" applyAlignment="1">
      <alignment vertical="center"/>
    </xf>
    <xf numFmtId="0" fontId="0" fillId="0" borderId="0" xfId="2" applyFont="1" applyBorder="1" applyAlignment="1">
      <alignment horizontal="left" vertical="center"/>
    </xf>
    <xf numFmtId="2" fontId="37" fillId="0" borderId="7" xfId="0" applyNumberFormat="1" applyFont="1" applyBorder="1" applyAlignment="1">
      <alignment horizontal="center" vertical="center"/>
    </xf>
    <xf numFmtId="0" fontId="22" fillId="6" borderId="0" xfId="2" applyFont="1" applyFill="1" applyBorder="1" applyAlignment="1">
      <alignment vertical="center"/>
    </xf>
    <xf numFmtId="0" fontId="0" fillId="0" borderId="12" xfId="2" applyFont="1" applyBorder="1" applyAlignment="1">
      <alignment horizontal="left" vertical="center"/>
    </xf>
    <xf numFmtId="0" fontId="0" fillId="0" borderId="9" xfId="0" applyBorder="1" applyAlignment="1">
      <alignment vertical="center"/>
    </xf>
    <xf numFmtId="0" fontId="0" fillId="0" borderId="8" xfId="0" applyBorder="1" applyAlignment="1">
      <alignment vertical="center"/>
    </xf>
    <xf numFmtId="2" fontId="0" fillId="0" borderId="1" xfId="0" applyNumberFormat="1" applyBorder="1" applyAlignment="1">
      <alignment horizontal="center" vertical="center"/>
    </xf>
    <xf numFmtId="0" fontId="0" fillId="0" borderId="9" xfId="2" applyFont="1" applyBorder="1" applyAlignment="1">
      <alignment vertical="center"/>
    </xf>
    <xf numFmtId="0" fontId="0" fillId="0" borderId="9" xfId="2" applyFont="1" applyBorder="1" applyAlignment="1">
      <alignment horizontal="center" vertical="center"/>
    </xf>
    <xf numFmtId="0" fontId="0" fillId="0" borderId="8" xfId="2" applyFont="1" applyBorder="1" applyAlignment="1">
      <alignment horizontal="center" vertical="center"/>
    </xf>
    <xf numFmtId="0" fontId="0" fillId="0" borderId="9" xfId="2" applyFont="1" applyBorder="1" applyAlignment="1">
      <alignment horizontal="center" vertical="center"/>
    </xf>
    <xf numFmtId="0" fontId="10" fillId="0" borderId="9" xfId="2" applyFont="1" applyBorder="1" applyAlignment="1">
      <alignment horizontal="center" vertical="center"/>
    </xf>
    <xf numFmtId="0" fontId="10" fillId="0" borderId="8" xfId="2" applyFont="1" applyBorder="1" applyAlignment="1">
      <alignment horizontal="center" vertical="center"/>
    </xf>
    <xf numFmtId="0" fontId="10" fillId="0" borderId="1" xfId="2" applyFont="1" applyBorder="1" applyAlignment="1">
      <alignment vertical="center"/>
    </xf>
    <xf numFmtId="0" fontId="22" fillId="0" borderId="0" xfId="0" applyFont="1" applyBorder="1" applyAlignment="1">
      <alignment horizontal="center" vertical="center"/>
    </xf>
    <xf numFmtId="0" fontId="0" fillId="0" borderId="4" xfId="2" applyFont="1" applyBorder="1" applyAlignment="1">
      <alignment horizontal="left"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1" fontId="0" fillId="0" borderId="0" xfId="0" applyNumberFormat="1" applyFont="1" applyBorder="1" applyAlignment="1">
      <alignment vertical="center"/>
    </xf>
    <xf numFmtId="0" fontId="0" fillId="0" borderId="14" xfId="2" applyFont="1" applyBorder="1" applyAlignment="1">
      <alignment horizontal="left" vertical="center"/>
    </xf>
    <xf numFmtId="0" fontId="0" fillId="0" borderId="14" xfId="2" applyFont="1" applyBorder="1" applyAlignment="1">
      <alignment horizontal="center" vertical="center"/>
    </xf>
    <xf numFmtId="0" fontId="0" fillId="0" borderId="2" xfId="2" applyFont="1" applyBorder="1" applyAlignment="1">
      <alignment horizontal="left" vertical="center"/>
    </xf>
    <xf numFmtId="0" fontId="0" fillId="0" borderId="8" xfId="2" applyFont="1" applyBorder="1" applyAlignment="1">
      <alignment horizontal="center" vertical="center"/>
    </xf>
    <xf numFmtId="0" fontId="0" fillId="0" borderId="7" xfId="2" applyFont="1" applyBorder="1" applyAlignment="1">
      <alignment horizontal="center" vertical="center"/>
    </xf>
    <xf numFmtId="0" fontId="10" fillId="0" borderId="7" xfId="2" applyFont="1" applyBorder="1" applyAlignment="1">
      <alignment horizontal="center" vertical="center"/>
    </xf>
    <xf numFmtId="2" fontId="10" fillId="0" borderId="9" xfId="2" applyNumberFormat="1" applyFont="1" applyBorder="1" applyAlignment="1">
      <alignment horizontal="center" vertical="center"/>
    </xf>
    <xf numFmtId="0" fontId="10" fillId="0" borderId="9" xfId="2" applyFont="1" applyBorder="1" applyAlignment="1">
      <alignment horizontal="center" vertical="center"/>
    </xf>
    <xf numFmtId="0" fontId="10" fillId="0" borderId="8" xfId="2" applyFont="1" applyBorder="1" applyAlignment="1">
      <alignment horizontal="center" vertical="center"/>
    </xf>
    <xf numFmtId="0" fontId="22" fillId="6" borderId="1" xfId="2" applyFont="1" applyFill="1" applyBorder="1" applyAlignment="1">
      <alignment horizontal="left" vertical="center"/>
    </xf>
    <xf numFmtId="0" fontId="0" fillId="0" borderId="3" xfId="2" applyFont="1" applyBorder="1" applyAlignment="1">
      <alignment vertical="center"/>
    </xf>
    <xf numFmtId="0" fontId="10" fillId="0" borderId="10" xfId="2" applyFont="1" applyBorder="1" applyAlignment="1">
      <alignment vertical="center"/>
    </xf>
    <xf numFmtId="0" fontId="0" fillId="11" borderId="1" xfId="2" applyFont="1" applyFill="1" applyBorder="1" applyAlignment="1">
      <alignment vertical="center"/>
    </xf>
    <xf numFmtId="0" fontId="0" fillId="11" borderId="1" xfId="2" applyFont="1" applyFill="1" applyBorder="1" applyAlignment="1">
      <alignment horizontal="center" vertical="center"/>
    </xf>
    <xf numFmtId="0" fontId="0" fillId="11" borderId="2" xfId="2" applyFont="1" applyFill="1" applyBorder="1" applyAlignment="1">
      <alignment horizontal="left" vertical="center"/>
    </xf>
    <xf numFmtId="0" fontId="0" fillId="11" borderId="9" xfId="2" applyFont="1" applyFill="1" applyBorder="1" applyAlignment="1">
      <alignment horizontal="center" vertical="center"/>
    </xf>
    <xf numFmtId="0" fontId="0" fillId="11" borderId="8" xfId="2" applyFont="1" applyFill="1" applyBorder="1" applyAlignment="1">
      <alignment horizontal="center" vertical="center"/>
    </xf>
    <xf numFmtId="0" fontId="0" fillId="11" borderId="7" xfId="2" applyFont="1" applyFill="1" applyBorder="1" applyAlignment="1">
      <alignment horizontal="left" vertical="center"/>
    </xf>
    <xf numFmtId="0" fontId="0" fillId="11" borderId="7" xfId="2" applyFont="1" applyFill="1" applyBorder="1" applyAlignment="1">
      <alignment horizontal="center" vertical="center"/>
    </xf>
    <xf numFmtId="0" fontId="10" fillId="11" borderId="7" xfId="2" applyFont="1" applyFill="1" applyBorder="1" applyAlignment="1">
      <alignment horizontal="center" vertical="center"/>
    </xf>
    <xf numFmtId="0" fontId="10" fillId="11" borderId="1" xfId="2" applyFont="1" applyFill="1" applyBorder="1" applyAlignment="1">
      <alignment horizontal="center" vertical="center"/>
    </xf>
    <xf numFmtId="0" fontId="10" fillId="11" borderId="1" xfId="2" applyFont="1" applyFill="1" applyBorder="1" applyAlignment="1">
      <alignment vertical="center"/>
    </xf>
    <xf numFmtId="0" fontId="0" fillId="0" borderId="4" xfId="2" applyFont="1" applyBorder="1" applyAlignment="1">
      <alignment vertical="center"/>
    </xf>
    <xf numFmtId="0" fontId="10" fillId="0" borderId="15" xfId="2" applyFont="1" applyBorder="1" applyAlignment="1">
      <alignment vertical="center"/>
    </xf>
    <xf numFmtId="0" fontId="10" fillId="0" borderId="8" xfId="2" applyFont="1" applyBorder="1" applyAlignment="1">
      <alignment vertical="center"/>
    </xf>
    <xf numFmtId="0" fontId="0" fillId="16" borderId="0" xfId="2" applyFont="1" applyFill="1" applyBorder="1" applyAlignment="1">
      <alignment horizontal="center" vertical="center"/>
    </xf>
    <xf numFmtId="0" fontId="0" fillId="0" borderId="8" xfId="2" applyFont="1" applyBorder="1" applyAlignment="1">
      <alignment vertical="center"/>
    </xf>
    <xf numFmtId="2" fontId="10" fillId="0" borderId="0" xfId="2" applyNumberFormat="1" applyFont="1" applyBorder="1" applyAlignment="1">
      <alignment horizontal="center" vertical="center"/>
    </xf>
    <xf numFmtId="0" fontId="0" fillId="0" borderId="8" xfId="2" applyFont="1" applyBorder="1" applyAlignment="1">
      <alignment vertical="center"/>
    </xf>
    <xf numFmtId="0" fontId="0" fillId="16" borderId="1" xfId="2" applyFont="1" applyFill="1" applyBorder="1" applyAlignment="1">
      <alignment vertical="center"/>
    </xf>
    <xf numFmtId="0" fontId="0" fillId="16" borderId="1" xfId="2" applyFont="1" applyFill="1" applyBorder="1" applyAlignment="1">
      <alignment horizontal="center" vertical="center"/>
    </xf>
    <xf numFmtId="0" fontId="0" fillId="16" borderId="2" xfId="2" applyFont="1" applyFill="1" applyBorder="1" applyAlignment="1">
      <alignment vertical="center"/>
    </xf>
    <xf numFmtId="0" fontId="0" fillId="16" borderId="9" xfId="2" applyFont="1" applyFill="1" applyBorder="1" applyAlignment="1">
      <alignment vertical="center"/>
    </xf>
    <xf numFmtId="0" fontId="0" fillId="16" borderId="8" xfId="2" applyFont="1" applyFill="1" applyBorder="1" applyAlignment="1">
      <alignment vertical="center"/>
    </xf>
    <xf numFmtId="0" fontId="0" fillId="16" borderId="5" xfId="2" applyFont="1" applyFill="1" applyBorder="1" applyAlignment="1">
      <alignment horizontal="center" vertical="center"/>
    </xf>
    <xf numFmtId="0" fontId="0" fillId="16" borderId="4" xfId="2" applyFont="1" applyFill="1" applyBorder="1" applyAlignment="1">
      <alignment vertical="center"/>
    </xf>
    <xf numFmtId="0" fontId="0" fillId="16" borderId="14" xfId="2" applyFont="1" applyFill="1" applyBorder="1" applyAlignment="1">
      <alignment vertical="center"/>
    </xf>
    <xf numFmtId="0" fontId="0" fillId="16" borderId="15" xfId="2" applyFont="1" applyFill="1" applyBorder="1" applyAlignment="1">
      <alignment vertical="center"/>
    </xf>
    <xf numFmtId="0" fontId="10" fillId="16" borderId="1" xfId="2" applyFont="1" applyFill="1" applyBorder="1" applyAlignment="1">
      <alignment horizontal="center" vertical="center"/>
    </xf>
    <xf numFmtId="0" fontId="10" fillId="16" borderId="8" xfId="2" applyFont="1" applyFill="1" applyBorder="1" applyAlignment="1">
      <alignment vertical="center"/>
    </xf>
    <xf numFmtId="0" fontId="0" fillId="0" borderId="13" xfId="2" applyFont="1" applyBorder="1" applyAlignment="1">
      <alignment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center" vertical="center"/>
    </xf>
    <xf numFmtId="2" fontId="4" fillId="0" borderId="0" xfId="0" applyNumberFormat="1" applyFont="1" applyBorder="1" applyAlignment="1">
      <alignment horizontal="right" vertical="center"/>
    </xf>
    <xf numFmtId="0" fontId="22" fillId="6" borderId="2" xfId="0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164" fontId="4" fillId="0" borderId="0" xfId="0" applyNumberFormat="1" applyFont="1" applyBorder="1" applyAlignment="1">
      <alignment vertical="center"/>
    </xf>
    <xf numFmtId="0" fontId="43" fillId="0" borderId="0" xfId="0" applyFont="1" applyAlignment="1">
      <alignment vertical="center"/>
    </xf>
    <xf numFmtId="1" fontId="4" fillId="0" borderId="1" xfId="0" applyNumberFormat="1" applyFont="1" applyBorder="1" applyAlignment="1">
      <alignment horizontal="right" vertical="center"/>
    </xf>
    <xf numFmtId="2" fontId="44" fillId="6" borderId="1" xfId="0" applyNumberFormat="1" applyFont="1" applyFill="1" applyBorder="1" applyAlignment="1">
      <alignment horizontal="right" vertical="center"/>
    </xf>
    <xf numFmtId="2" fontId="4" fillId="0" borderId="0" xfId="0" applyNumberFormat="1" applyFont="1" applyAlignment="1">
      <alignment vertical="center"/>
    </xf>
    <xf numFmtId="2" fontId="9" fillId="0" borderId="0" xfId="0" applyNumberFormat="1" applyFont="1" applyAlignment="1">
      <alignment vertical="center"/>
    </xf>
    <xf numFmtId="2" fontId="8" fillId="0" borderId="0" xfId="0" applyNumberFormat="1" applyFont="1" applyAlignment="1">
      <alignment vertical="center"/>
    </xf>
    <xf numFmtId="2" fontId="4" fillId="0" borderId="0" xfId="0" applyNumberFormat="1" applyFont="1" applyAlignment="1">
      <alignment horizontal="left" vertical="center"/>
    </xf>
    <xf numFmtId="165" fontId="4" fillId="0" borderId="0" xfId="0" applyNumberFormat="1" applyFont="1" applyAlignment="1">
      <alignment vertical="center"/>
    </xf>
    <xf numFmtId="2" fontId="37" fillId="0" borderId="0" xfId="0" applyNumberFormat="1" applyFont="1" applyBorder="1" applyAlignment="1" applyProtection="1">
      <alignment vertical="center"/>
      <protection hidden="1"/>
    </xf>
    <xf numFmtId="0" fontId="23" fillId="5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right" vertical="center"/>
    </xf>
    <xf numFmtId="0" fontId="23" fillId="0" borderId="0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43" fillId="0" borderId="0" xfId="0" applyFont="1" applyBorder="1" applyAlignment="1" applyProtection="1">
      <alignment vertical="center"/>
      <protection hidden="1"/>
    </xf>
    <xf numFmtId="2" fontId="4" fillId="0" borderId="0" xfId="0" applyNumberFormat="1" applyFont="1" applyAlignment="1" applyProtection="1">
      <alignment vertical="center"/>
      <protection hidden="1"/>
    </xf>
    <xf numFmtId="2" fontId="8" fillId="6" borderId="7" xfId="0" applyNumberFormat="1" applyFont="1" applyFill="1" applyBorder="1" applyAlignment="1" applyProtection="1">
      <alignment horizontal="left" vertical="center"/>
      <protection hidden="1"/>
    </xf>
    <xf numFmtId="0" fontId="45" fillId="0" borderId="0" xfId="0" applyFont="1" applyBorder="1" applyAlignment="1" applyProtection="1">
      <alignment vertical="center"/>
      <protection hidden="1"/>
    </xf>
    <xf numFmtId="164" fontId="4" fillId="0" borderId="1" xfId="0" applyNumberFormat="1" applyFont="1" applyBorder="1" applyAlignment="1" applyProtection="1">
      <alignment horizontal="left" vertical="center"/>
      <protection hidden="1"/>
    </xf>
    <xf numFmtId="164" fontId="4" fillId="0" borderId="0" xfId="0" applyNumberFormat="1" applyFont="1" applyBorder="1" applyAlignment="1" applyProtection="1">
      <alignment horizontal="left" vertical="center"/>
      <protection hidden="1"/>
    </xf>
    <xf numFmtId="0" fontId="0" fillId="0" borderId="0" xfId="0" applyBorder="1" applyAlignment="1" applyProtection="1">
      <alignment horizontal="left" vertical="center"/>
      <protection hidden="1"/>
    </xf>
    <xf numFmtId="0" fontId="0" fillId="0" borderId="0" xfId="0" applyBorder="1" applyAlignment="1" applyProtection="1">
      <alignment horizontal="left" vertical="center"/>
      <protection hidden="1"/>
    </xf>
    <xf numFmtId="0" fontId="0" fillId="17" borderId="2" xfId="0" applyFont="1" applyFill="1" applyBorder="1" applyAlignment="1"/>
    <xf numFmtId="0" fontId="0" fillId="17" borderId="8" xfId="0" applyFill="1" applyBorder="1" applyAlignment="1"/>
    <xf numFmtId="0" fontId="0" fillId="17" borderId="0" xfId="0" applyFill="1" applyBorder="1" applyAlignment="1">
      <alignment vertical="center"/>
    </xf>
    <xf numFmtId="0" fontId="0" fillId="17" borderId="0" xfId="0" applyFill="1" applyBorder="1" applyAlignment="1" applyProtection="1">
      <alignment horizontal="left" vertical="center"/>
      <protection hidden="1"/>
    </xf>
    <xf numFmtId="0" fontId="0" fillId="0" borderId="1" xfId="0" applyBorder="1" applyAlignment="1">
      <alignment horizontal="right"/>
    </xf>
    <xf numFmtId="2" fontId="8" fillId="6" borderId="2" xfId="0" applyNumberFormat="1" applyFont="1" applyFill="1" applyBorder="1" applyAlignment="1" applyProtection="1">
      <alignment horizontal="left" vertical="center"/>
      <protection hidden="1"/>
    </xf>
    <xf numFmtId="0" fontId="0" fillId="5" borderId="3" xfId="0" applyFill="1" applyBorder="1" applyAlignment="1">
      <alignment horizontal="left" vertical="center"/>
    </xf>
    <xf numFmtId="0" fontId="0" fillId="5" borderId="13" xfId="0" applyFill="1" applyBorder="1" applyAlignment="1">
      <alignment horizontal="left" vertical="center"/>
    </xf>
    <xf numFmtId="2" fontId="4" fillId="5" borderId="13" xfId="0" applyNumberFormat="1" applyFont="1" applyFill="1" applyBorder="1" applyAlignment="1" applyProtection="1">
      <alignment horizontal="left" vertical="center"/>
      <protection hidden="1"/>
    </xf>
    <xf numFmtId="0" fontId="0" fillId="5" borderId="13" xfId="0" applyFill="1" applyBorder="1" applyAlignment="1" applyProtection="1">
      <alignment vertical="center"/>
      <protection hidden="1"/>
    </xf>
    <xf numFmtId="2" fontId="4" fillId="5" borderId="13" xfId="0" applyNumberFormat="1" applyFont="1" applyFill="1" applyBorder="1" applyAlignment="1" applyProtection="1">
      <alignment vertical="center"/>
      <protection hidden="1"/>
    </xf>
    <xf numFmtId="2" fontId="4" fillId="5" borderId="10" xfId="0" applyNumberFormat="1" applyFont="1" applyFill="1" applyBorder="1" applyAlignment="1" applyProtection="1">
      <alignment vertical="center"/>
      <protection hidden="1"/>
    </xf>
    <xf numFmtId="0" fontId="0" fillId="5" borderId="12" xfId="0" applyFill="1" applyBorder="1" applyAlignment="1">
      <alignment horizontal="left" vertical="center"/>
    </xf>
    <xf numFmtId="0" fontId="0" fillId="5" borderId="0" xfId="0" applyFill="1" applyBorder="1" applyAlignment="1">
      <alignment horizontal="left" vertical="center"/>
    </xf>
    <xf numFmtId="2" fontId="4" fillId="5" borderId="0" xfId="0" applyNumberFormat="1" applyFont="1" applyFill="1" applyBorder="1" applyAlignment="1" applyProtection="1">
      <alignment horizontal="left" vertical="center"/>
      <protection hidden="1"/>
    </xf>
    <xf numFmtId="0" fontId="0" fillId="5" borderId="0" xfId="0" applyFill="1" applyBorder="1" applyAlignment="1" applyProtection="1">
      <alignment vertical="center"/>
      <protection hidden="1"/>
    </xf>
    <xf numFmtId="2" fontId="4" fillId="5" borderId="0" xfId="0" applyNumberFormat="1" applyFont="1" applyFill="1" applyBorder="1" applyAlignment="1" applyProtection="1">
      <alignment vertical="center"/>
      <protection hidden="1"/>
    </xf>
    <xf numFmtId="2" fontId="4" fillId="5" borderId="11" xfId="0" applyNumberFormat="1" applyFont="1" applyFill="1" applyBorder="1" applyAlignment="1" applyProtection="1">
      <alignment vertical="center"/>
      <protection hidden="1"/>
    </xf>
    <xf numFmtId="2" fontId="8" fillId="6" borderId="5" xfId="0" applyNumberFormat="1" applyFont="1" applyFill="1" applyBorder="1" applyAlignment="1" applyProtection="1">
      <alignment horizontal="left" vertical="center"/>
      <protection hidden="1"/>
    </xf>
    <xf numFmtId="1" fontId="4" fillId="5" borderId="0" xfId="0" applyNumberFormat="1" applyFont="1" applyFill="1" applyBorder="1" applyAlignment="1">
      <alignment horizontal="left" vertical="center"/>
    </xf>
    <xf numFmtId="1" fontId="4" fillId="5" borderId="11" xfId="0" applyNumberFormat="1" applyFont="1" applyFill="1" applyBorder="1" applyAlignment="1">
      <alignment horizontal="left" vertical="center"/>
    </xf>
    <xf numFmtId="1" fontId="4" fillId="0" borderId="0" xfId="0" applyNumberFormat="1" applyFont="1" applyBorder="1" applyAlignment="1">
      <alignment horizontal="left" vertical="center"/>
    </xf>
    <xf numFmtId="2" fontId="4" fillId="0" borderId="2" xfId="0" applyNumberFormat="1" applyFont="1" applyBorder="1" applyAlignment="1" applyProtection="1">
      <alignment horizontal="right" vertical="center"/>
      <protection hidden="1"/>
    </xf>
    <xf numFmtId="2" fontId="8" fillId="6" borderId="0" xfId="0" applyNumberFormat="1" applyFont="1" applyFill="1" applyBorder="1" applyAlignment="1" applyProtection="1">
      <alignment horizontal="left" vertical="center"/>
      <protection hidden="1"/>
    </xf>
    <xf numFmtId="2" fontId="8" fillId="0" borderId="0" xfId="0" applyNumberFormat="1" applyFont="1" applyBorder="1" applyAlignment="1" applyProtection="1">
      <alignment horizontal="left" vertical="center"/>
      <protection hidden="1"/>
    </xf>
    <xf numFmtId="1" fontId="4" fillId="0" borderId="2" xfId="0" applyNumberFormat="1" applyFont="1" applyBorder="1" applyAlignment="1">
      <alignment horizontal="right" vertical="center"/>
    </xf>
    <xf numFmtId="2" fontId="31" fillId="6" borderId="2" xfId="0" applyNumberFormat="1" applyFont="1" applyFill="1" applyBorder="1" applyAlignment="1">
      <alignment horizontal="right" vertical="center"/>
    </xf>
    <xf numFmtId="0" fontId="0" fillId="0" borderId="2" xfId="0" applyBorder="1" applyAlignment="1">
      <alignment vertical="center"/>
    </xf>
    <xf numFmtId="0" fontId="0" fillId="5" borderId="4" xfId="0" applyFill="1" applyBorder="1" applyAlignment="1">
      <alignment horizontal="left" vertical="center"/>
    </xf>
    <xf numFmtId="0" fontId="0" fillId="5" borderId="2" xfId="0" applyFill="1" applyBorder="1" applyAlignment="1">
      <alignment horizontal="left" vertical="center"/>
    </xf>
    <xf numFmtId="0" fontId="0" fillId="5" borderId="9" xfId="0" applyFill="1" applyBorder="1" applyAlignment="1">
      <alignment horizontal="left" vertical="center"/>
    </xf>
    <xf numFmtId="1" fontId="4" fillId="5" borderId="9" xfId="0" applyNumberFormat="1" applyFont="1" applyFill="1" applyBorder="1" applyAlignment="1">
      <alignment horizontal="left" vertical="center"/>
    </xf>
    <xf numFmtId="1" fontId="4" fillId="5" borderId="8" xfId="0" applyNumberFormat="1" applyFont="1" applyFill="1" applyBorder="1" applyAlignment="1">
      <alignment horizontal="left" vertical="center"/>
    </xf>
    <xf numFmtId="2" fontId="4" fillId="0" borderId="0" xfId="0" applyNumberFormat="1" applyFont="1" applyAlignment="1">
      <alignment vertical="center"/>
    </xf>
    <xf numFmtId="2" fontId="4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right" vertical="center"/>
    </xf>
    <xf numFmtId="165" fontId="4" fillId="0" borderId="0" xfId="0" applyNumberFormat="1" applyFont="1" applyAlignment="1">
      <alignment vertical="center"/>
    </xf>
    <xf numFmtId="2" fontId="9" fillId="0" borderId="0" xfId="0" applyNumberFormat="1" applyFont="1" applyAlignment="1">
      <alignment vertical="center"/>
    </xf>
    <xf numFmtId="2" fontId="8" fillId="0" borderId="0" xfId="0" applyNumberFormat="1" applyFont="1" applyAlignment="1">
      <alignment vertical="center"/>
    </xf>
    <xf numFmtId="2" fontId="42" fillId="0" borderId="0" xfId="0" applyNumberFormat="1" applyFont="1" applyBorder="1" applyAlignment="1" applyProtection="1">
      <alignment vertical="center"/>
      <protection hidden="1"/>
    </xf>
    <xf numFmtId="2" fontId="8" fillId="0" borderId="0" xfId="0" applyNumberFormat="1" applyFont="1" applyAlignment="1" applyProtection="1">
      <alignment vertical="center"/>
      <protection hidden="1"/>
    </xf>
    <xf numFmtId="2" fontId="8" fillId="0" borderId="0" xfId="0" applyNumberFormat="1" applyFont="1" applyBorder="1" applyAlignment="1" applyProtection="1">
      <alignment vertical="center"/>
      <protection hidden="1"/>
    </xf>
    <xf numFmtId="0" fontId="22" fillId="6" borderId="6" xfId="2" applyFont="1" applyFill="1" applyBorder="1" applyAlignment="1">
      <alignment vertical="center"/>
    </xf>
    <xf numFmtId="164" fontId="4" fillId="0" borderId="0" xfId="0" applyNumberFormat="1" applyFont="1" applyBorder="1" applyAlignment="1" applyProtection="1">
      <alignment vertical="center"/>
      <protection hidden="1"/>
    </xf>
    <xf numFmtId="2" fontId="22" fillId="6" borderId="6" xfId="0" applyNumberFormat="1" applyFont="1" applyFill="1" applyBorder="1" applyAlignment="1" applyProtection="1">
      <alignment vertical="center"/>
      <protection hidden="1"/>
    </xf>
    <xf numFmtId="2" fontId="22" fillId="6" borderId="7" xfId="0" applyNumberFormat="1" applyFont="1" applyFill="1" applyBorder="1" applyAlignment="1" applyProtection="1">
      <alignment vertical="center"/>
      <protection hidden="1"/>
    </xf>
    <xf numFmtId="2" fontId="12" fillId="0" borderId="0" xfId="0" applyNumberFormat="1" applyFont="1" applyBorder="1" applyAlignment="1" applyProtection="1">
      <alignment vertical="center"/>
      <protection hidden="1"/>
    </xf>
    <xf numFmtId="2" fontId="22" fillId="6" borderId="0" xfId="0" applyNumberFormat="1" applyFont="1" applyFill="1" applyBorder="1" applyAlignment="1" applyProtection="1">
      <alignment vertical="center"/>
      <protection hidden="1"/>
    </xf>
    <xf numFmtId="2" fontId="22" fillId="6" borderId="1" xfId="0" applyNumberFormat="1" applyFont="1" applyFill="1" applyBorder="1" applyAlignment="1" applyProtection="1">
      <alignment vertical="center"/>
      <protection hidden="1"/>
    </xf>
    <xf numFmtId="2" fontId="8" fillId="6" borderId="5" xfId="0" applyNumberFormat="1" applyFont="1" applyFill="1" applyBorder="1" applyAlignment="1" applyProtection="1">
      <alignment vertical="center"/>
      <protection hidden="1"/>
    </xf>
    <xf numFmtId="2" fontId="8" fillId="6" borderId="7" xfId="0" applyNumberFormat="1" applyFont="1" applyFill="1" applyBorder="1" applyAlignment="1" applyProtection="1">
      <alignment vertical="center"/>
      <protection hidden="1"/>
    </xf>
    <xf numFmtId="2" fontId="4" fillId="5" borderId="8" xfId="0" applyNumberFormat="1" applyFont="1" applyFill="1" applyBorder="1" applyAlignment="1" applyProtection="1">
      <alignment horizontal="center" vertical="center"/>
      <protection hidden="1"/>
    </xf>
    <xf numFmtId="1" fontId="4" fillId="0" borderId="0" xfId="0" applyNumberFormat="1" applyFont="1" applyBorder="1" applyAlignment="1" applyProtection="1">
      <alignment horizontal="center" vertical="center"/>
      <protection hidden="1"/>
    </xf>
    <xf numFmtId="0" fontId="9" fillId="0" borderId="0" xfId="0" applyFont="1" applyBorder="1" applyAlignment="1" applyProtection="1">
      <alignment vertical="center"/>
      <protection hidden="1"/>
    </xf>
    <xf numFmtId="2" fontId="9" fillId="0" borderId="0" xfId="0" applyNumberFormat="1" applyFont="1" applyAlignment="1" applyProtection="1">
      <alignment vertical="center"/>
      <protection hidden="1"/>
    </xf>
    <xf numFmtId="0" fontId="0" fillId="0" borderId="0" xfId="0" applyBorder="1" applyAlignment="1" applyProtection="1">
      <alignment horizontal="center" vertical="center"/>
      <protection hidden="1"/>
    </xf>
    <xf numFmtId="0" fontId="0" fillId="0" borderId="1" xfId="0" applyFont="1" applyBorder="1" applyAlignment="1">
      <alignment horizontal="center" vertical="center"/>
    </xf>
    <xf numFmtId="165" fontId="4" fillId="0" borderId="0" xfId="0" applyNumberFormat="1" applyFont="1" applyBorder="1" applyAlignment="1">
      <alignment vertical="center"/>
    </xf>
    <xf numFmtId="0" fontId="22" fillId="6" borderId="5" xfId="0" applyFont="1" applyFill="1" applyBorder="1" applyAlignment="1">
      <alignment vertical="center"/>
    </xf>
    <xf numFmtId="0" fontId="0" fillId="5" borderId="2" xfId="0" applyFont="1" applyFill="1" applyBorder="1" applyAlignment="1">
      <alignment vertical="center"/>
    </xf>
    <xf numFmtId="0" fontId="0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right" vertical="center"/>
    </xf>
    <xf numFmtId="2" fontId="37" fillId="0" borderId="0" xfId="0" applyNumberFormat="1" applyFont="1" applyBorder="1" applyAlignment="1" applyProtection="1">
      <alignment horizontal="center" vertical="center"/>
      <protection hidden="1"/>
    </xf>
    <xf numFmtId="2" fontId="9" fillId="0" borderId="0" xfId="0" applyNumberFormat="1" applyFont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0" fontId="22" fillId="0" borderId="0" xfId="0" applyFont="1" applyBorder="1" applyAlignment="1">
      <alignment vertical="center"/>
    </xf>
    <xf numFmtId="2" fontId="9" fillId="0" borderId="0" xfId="0" applyNumberFormat="1" applyFont="1" applyBorder="1" applyAlignment="1">
      <alignment horizontal="left" vertical="center"/>
    </xf>
    <xf numFmtId="2" fontId="8" fillId="6" borderId="0" xfId="0" applyNumberFormat="1" applyFont="1" applyFill="1" applyBorder="1" applyAlignment="1">
      <alignment horizontal="left" vertical="center"/>
    </xf>
    <xf numFmtId="2" fontId="4" fillId="0" borderId="1" xfId="0" applyNumberFormat="1" applyFont="1" applyBorder="1" applyAlignment="1">
      <alignment horizontal="right" vertical="center"/>
    </xf>
    <xf numFmtId="1" fontId="4" fillId="5" borderId="1" xfId="0" applyNumberFormat="1" applyFont="1" applyFill="1" applyBorder="1" applyAlignment="1" applyProtection="1">
      <alignment horizontal="center" vertical="center"/>
      <protection hidden="1"/>
    </xf>
    <xf numFmtId="1" fontId="31" fillId="6" borderId="1" xfId="0" applyNumberFormat="1" applyFont="1" applyFill="1" applyBorder="1" applyAlignment="1" applyProtection="1">
      <alignment horizontal="right" vertical="center"/>
      <protection hidden="1"/>
    </xf>
    <xf numFmtId="2" fontId="5" fillId="0" borderId="0" xfId="0" applyNumberFormat="1" applyFont="1" applyBorder="1" applyAlignment="1" applyProtection="1">
      <alignment horizontal="center" vertical="center"/>
      <protection hidden="1"/>
    </xf>
    <xf numFmtId="1" fontId="4" fillId="0" borderId="1" xfId="0" applyNumberFormat="1" applyFont="1" applyBorder="1" applyAlignment="1" applyProtection="1">
      <alignment vertical="center"/>
      <protection hidden="1"/>
    </xf>
    <xf numFmtId="1" fontId="8" fillId="6" borderId="1" xfId="0" applyNumberFormat="1" applyFont="1" applyFill="1" applyBorder="1" applyAlignment="1" applyProtection="1">
      <alignment vertical="center"/>
      <protection hidden="1"/>
    </xf>
    <xf numFmtId="1" fontId="4" fillId="0" borderId="0" xfId="0" applyNumberFormat="1" applyFont="1" applyBorder="1" applyAlignment="1">
      <alignment horizontal="right" vertical="center"/>
    </xf>
    <xf numFmtId="1" fontId="4" fillId="5" borderId="2" xfId="0" applyNumberFormat="1" applyFont="1" applyFill="1" applyBorder="1" applyAlignment="1" applyProtection="1">
      <alignment horizontal="center" vertical="center"/>
      <protection hidden="1"/>
    </xf>
    <xf numFmtId="1" fontId="4" fillId="0" borderId="1" xfId="0" applyNumberFormat="1" applyFont="1" applyBorder="1" applyAlignment="1" applyProtection="1">
      <alignment horizontal="left" vertical="center"/>
      <protection hidden="1"/>
    </xf>
    <xf numFmtId="2" fontId="5" fillId="0" borderId="0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 applyProtection="1">
      <alignment horizontal="right" vertical="center"/>
      <protection hidden="1"/>
    </xf>
    <xf numFmtId="1" fontId="0" fillId="0" borderId="0" xfId="0" applyNumberFormat="1" applyFont="1" applyBorder="1" applyAlignment="1" applyProtection="1">
      <alignment vertical="center"/>
      <protection hidden="1"/>
    </xf>
    <xf numFmtId="2" fontId="31" fillId="6" borderId="1" xfId="0" applyNumberFormat="1" applyFont="1" applyFill="1" applyBorder="1" applyAlignment="1" applyProtection="1">
      <alignment horizontal="right" vertical="center"/>
      <protection hidden="1"/>
    </xf>
    <xf numFmtId="0" fontId="5" fillId="0" borderId="0" xfId="0" applyFont="1" applyAlignment="1">
      <alignment vertical="center"/>
    </xf>
    <xf numFmtId="0" fontId="9" fillId="20" borderId="1" xfId="0" applyFont="1" applyFill="1" applyBorder="1"/>
    <xf numFmtId="0" fontId="0" fillId="20" borderId="1" xfId="0" applyFont="1" applyFill="1" applyBorder="1" applyAlignment="1">
      <alignment vertical="center"/>
    </xf>
    <xf numFmtId="0" fontId="4" fillId="0" borderId="0" xfId="0" applyFont="1" applyAlignment="1"/>
    <xf numFmtId="0" fontId="0" fillId="20" borderId="1" xfId="0" applyFill="1" applyBorder="1" applyAlignment="1">
      <alignment horizontal="right" vertical="center"/>
    </xf>
    <xf numFmtId="0" fontId="0" fillId="20" borderId="1" xfId="0" applyFont="1" applyFill="1" applyBorder="1" applyAlignment="1">
      <alignment horizontal="right" vertical="center"/>
    </xf>
    <xf numFmtId="0" fontId="12" fillId="20" borderId="1" xfId="0" applyFont="1" applyFill="1" applyBorder="1" applyAlignment="1">
      <alignment horizontal="right" vertical="center"/>
    </xf>
    <xf numFmtId="0" fontId="9" fillId="0" borderId="0" xfId="0" applyFont="1" applyAlignment="1">
      <alignment horizontal="left"/>
    </xf>
    <xf numFmtId="0" fontId="0" fillId="20" borderId="5" xfId="0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0" fillId="0" borderId="0" xfId="0"/>
    <xf numFmtId="2" fontId="0" fillId="21" borderId="0" xfId="2" applyNumberFormat="1" applyFont="1" applyFill="1" applyAlignment="1"/>
    <xf numFmtId="2" fontId="0" fillId="21" borderId="1" xfId="0" applyNumberFormat="1" applyFont="1" applyFill="1" applyBorder="1" applyAlignment="1"/>
    <xf numFmtId="2" fontId="0" fillId="0" borderId="1" xfId="0" applyNumberFormat="1" applyFon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0" fontId="33" fillId="16" borderId="2" xfId="2" applyFont="1" applyFill="1" applyBorder="1" applyAlignment="1"/>
    <xf numFmtId="0" fontId="0" fillId="16" borderId="1" xfId="2" applyFont="1" applyFill="1" applyBorder="1" applyAlignment="1">
      <alignment horizontal="center"/>
    </xf>
    <xf numFmtId="0" fontId="0" fillId="16" borderId="5" xfId="2" applyFont="1" applyFill="1" applyBorder="1" applyAlignment="1"/>
    <xf numFmtId="2" fontId="0" fillId="22" borderId="5" xfId="0" applyNumberFormat="1" applyFont="1" applyFill="1" applyBorder="1" applyAlignment="1"/>
    <xf numFmtId="0" fontId="0" fillId="0" borderId="6" xfId="2" applyFont="1" applyBorder="1" applyAlignment="1"/>
    <xf numFmtId="0" fontId="0" fillId="0" borderId="0" xfId="2" applyFont="1" applyBorder="1" applyAlignment="1"/>
    <xf numFmtId="0" fontId="0" fillId="0" borderId="0" xfId="2" applyFont="1" applyAlignment="1"/>
    <xf numFmtId="0" fontId="0" fillId="0" borderId="0" xfId="0" applyAlignment="1"/>
    <xf numFmtId="1" fontId="0" fillId="22" borderId="1" xfId="0" applyNumberFormat="1" applyFont="1" applyFill="1" applyBorder="1" applyAlignment="1"/>
    <xf numFmtId="1" fontId="0" fillId="22" borderId="1" xfId="2" applyNumberFormat="1" applyFont="1" applyFill="1" applyBorder="1" applyAlignment="1"/>
    <xf numFmtId="2" fontId="10" fillId="16" borderId="1" xfId="2" applyNumberFormat="1" applyFont="1" applyFill="1" applyBorder="1" applyAlignment="1"/>
    <xf numFmtId="0" fontId="0" fillId="16" borderId="1" xfId="2" applyFont="1" applyFill="1" applyBorder="1" applyAlignment="1"/>
    <xf numFmtId="0" fontId="22" fillId="16" borderId="1" xfId="2" applyFont="1" applyFill="1" applyBorder="1" applyAlignment="1"/>
    <xf numFmtId="0" fontId="0" fillId="0" borderId="1" xfId="2" applyFont="1" applyBorder="1" applyAlignment="1">
      <alignment horizontal="left"/>
    </xf>
    <xf numFmtId="0" fontId="0" fillId="0" borderId="0" xfId="2" applyFont="1" applyAlignment="1"/>
    <xf numFmtId="0" fontId="0" fillId="0" borderId="6" xfId="2" applyFont="1" applyBorder="1" applyAlignment="1"/>
    <xf numFmtId="0" fontId="0" fillId="0" borderId="1" xfId="2" applyFont="1" applyBorder="1" applyAlignment="1"/>
    <xf numFmtId="0" fontId="0" fillId="0" borderId="1" xfId="2" applyFont="1" applyBorder="1" applyAlignment="1"/>
    <xf numFmtId="2" fontId="33" fillId="0" borderId="1" xfId="0" applyNumberFormat="1" applyFont="1" applyBorder="1" applyAlignment="1">
      <alignment horizontal="center" vertical="center"/>
    </xf>
    <xf numFmtId="2" fontId="4" fillId="0" borderId="0" xfId="0" applyNumberFormat="1" applyFont="1" applyBorder="1" applyAlignment="1" applyProtection="1">
      <protection hidden="1"/>
    </xf>
    <xf numFmtId="0" fontId="0" fillId="0" borderId="2" xfId="2" applyFont="1" applyBorder="1" applyAlignment="1">
      <alignment horizontal="left"/>
    </xf>
    <xf numFmtId="0" fontId="0" fillId="0" borderId="8" xfId="2" applyFont="1" applyBorder="1" applyAlignment="1">
      <alignment horizontal="left"/>
    </xf>
    <xf numFmtId="0" fontId="0" fillId="0" borderId="12" xfId="2" applyFont="1" applyBorder="1" applyAlignment="1"/>
    <xf numFmtId="2" fontId="0" fillId="22" borderId="2" xfId="0" applyNumberFormat="1" applyFont="1" applyFill="1" applyBorder="1" applyAlignment="1"/>
    <xf numFmtId="2" fontId="0" fillId="22" borderId="1" xfId="0" applyNumberFormat="1" applyFont="1" applyFill="1" applyBorder="1" applyAlignment="1"/>
    <xf numFmtId="0" fontId="0" fillId="13" borderId="2" xfId="2" applyFont="1" applyFill="1" applyBorder="1" applyAlignment="1">
      <alignment vertical="center"/>
    </xf>
    <xf numFmtId="0" fontId="0" fillId="13" borderId="1" xfId="2" applyFont="1" applyFill="1" applyBorder="1" applyAlignment="1">
      <alignment horizontal="center" vertical="center"/>
    </xf>
    <xf numFmtId="1" fontId="0" fillId="13" borderId="1" xfId="0" applyNumberFormat="1" applyFont="1" applyFill="1" applyBorder="1" applyAlignment="1"/>
    <xf numFmtId="1" fontId="0" fillId="13" borderId="1" xfId="2" applyNumberFormat="1" applyFont="1" applyFill="1" applyBorder="1" applyAlignment="1"/>
    <xf numFmtId="1" fontId="0" fillId="23" borderId="1" xfId="0" applyNumberFormat="1" applyFont="1" applyFill="1" applyBorder="1" applyAlignment="1"/>
    <xf numFmtId="1" fontId="0" fillId="23" borderId="1" xfId="2" applyNumberFormat="1" applyFont="1" applyFill="1" applyBorder="1" applyAlignment="1"/>
    <xf numFmtId="0" fontId="0" fillId="11" borderId="2" xfId="2" applyFont="1" applyFill="1" applyBorder="1" applyAlignment="1">
      <alignment vertical="center"/>
    </xf>
    <xf numFmtId="2" fontId="0" fillId="22" borderId="1" xfId="2" applyNumberFormat="1" applyFont="1" applyFill="1" applyBorder="1" applyAlignment="1">
      <alignment horizontal="right" vertical="center"/>
    </xf>
    <xf numFmtId="2" fontId="0" fillId="0" borderId="0" xfId="0" applyNumberFormat="1"/>
    <xf numFmtId="2" fontId="0" fillId="24" borderId="1" xfId="0" applyNumberFormat="1" applyFill="1" applyBorder="1"/>
    <xf numFmtId="2" fontId="0" fillId="11" borderId="1" xfId="0" applyNumberFormat="1" applyFill="1" applyBorder="1"/>
    <xf numFmtId="0" fontId="0" fillId="11" borderId="1" xfId="2" applyFont="1" applyFill="1" applyBorder="1" applyAlignment="1"/>
    <xf numFmtId="0" fontId="0" fillId="11" borderId="1" xfId="0" applyFill="1" applyBorder="1"/>
    <xf numFmtId="0" fontId="0" fillId="0" borderId="2" xfId="2" applyFont="1" applyBorder="1" applyAlignment="1"/>
    <xf numFmtId="0" fontId="0" fillId="0" borderId="1" xfId="2" applyFont="1" applyBorder="1" applyAlignment="1">
      <alignment horizontal="center"/>
    </xf>
    <xf numFmtId="2" fontId="0" fillId="24" borderId="1" xfId="2" applyNumberFormat="1" applyFont="1" applyFill="1" applyBorder="1" applyAlignment="1">
      <alignment horizontal="right"/>
    </xf>
    <xf numFmtId="0" fontId="0" fillId="16" borderId="1" xfId="0" applyFill="1" applyBorder="1" applyAlignment="1" applyProtection="1">
      <protection hidden="1"/>
    </xf>
    <xf numFmtId="0" fontId="0" fillId="0" borderId="2" xfId="2" applyFont="1" applyBorder="1" applyAlignment="1"/>
    <xf numFmtId="0" fontId="0" fillId="0" borderId="1" xfId="2" applyFont="1" applyBorder="1" applyAlignment="1">
      <alignment horizontal="center"/>
    </xf>
    <xf numFmtId="2" fontId="0" fillId="0" borderId="2" xfId="2" applyNumberFormat="1" applyFont="1" applyBorder="1" applyAlignment="1">
      <alignment horizontal="right"/>
    </xf>
    <xf numFmtId="2" fontId="0" fillId="0" borderId="1" xfId="2" applyNumberFormat="1" applyFont="1" applyBorder="1" applyAlignment="1">
      <alignment horizontal="right"/>
    </xf>
    <xf numFmtId="2" fontId="10" fillId="0" borderId="1" xfId="2" applyNumberFormat="1" applyFont="1" applyBorder="1" applyAlignment="1"/>
    <xf numFmtId="0" fontId="0" fillId="0" borderId="1" xfId="0" applyBorder="1" applyAlignment="1" applyProtection="1">
      <protection hidden="1"/>
    </xf>
    <xf numFmtId="2" fontId="0" fillId="0" borderId="2" xfId="0" applyNumberFormat="1" applyFont="1" applyBorder="1" applyAlignment="1"/>
    <xf numFmtId="2" fontId="0" fillId="0" borderId="1" xfId="0" applyNumberFormat="1" applyFont="1" applyBorder="1" applyAlignment="1"/>
    <xf numFmtId="2" fontId="0" fillId="24" borderId="0" xfId="0" applyNumberFormat="1" applyFill="1" applyBorder="1"/>
    <xf numFmtId="0" fontId="0" fillId="11" borderId="2" xfId="2" applyFont="1" applyFill="1" applyBorder="1" applyAlignment="1"/>
    <xf numFmtId="0" fontId="0" fillId="11" borderId="1" xfId="2" applyFont="1" applyFill="1" applyBorder="1" applyAlignment="1">
      <alignment horizontal="center"/>
    </xf>
    <xf numFmtId="0" fontId="0" fillId="22" borderId="1" xfId="2" applyFont="1" applyFill="1" applyBorder="1" applyAlignment="1">
      <alignment vertical="center"/>
    </xf>
    <xf numFmtId="165" fontId="0" fillId="22" borderId="1" xfId="2" applyNumberFormat="1" applyFont="1" applyFill="1" applyBorder="1" applyAlignment="1"/>
    <xf numFmtId="2" fontId="0" fillId="22" borderId="1" xfId="2" applyNumberFormat="1" applyFont="1" applyFill="1" applyBorder="1" applyAlignment="1"/>
    <xf numFmtId="1" fontId="0" fillId="22" borderId="2" xfId="2" applyNumberFormat="1" applyFont="1" applyFill="1" applyBorder="1" applyAlignment="1"/>
    <xf numFmtId="1" fontId="0" fillId="24" borderId="1" xfId="0" applyNumberFormat="1" applyFill="1" applyBorder="1"/>
    <xf numFmtId="0" fontId="0" fillId="11" borderId="2" xfId="2" applyFont="1" applyFill="1" applyBorder="1" applyAlignment="1">
      <alignment horizontal="left"/>
    </xf>
    <xf numFmtId="0" fontId="0" fillId="11" borderId="2" xfId="2" applyFont="1" applyFill="1" applyBorder="1" applyAlignment="1">
      <alignment horizontal="center"/>
    </xf>
    <xf numFmtId="2" fontId="0" fillId="11" borderId="1" xfId="0" applyNumberFormat="1" applyFont="1" applyFill="1" applyBorder="1" applyAlignment="1"/>
    <xf numFmtId="1" fontId="0" fillId="25" borderId="1" xfId="0" applyNumberFormat="1" applyFont="1" applyFill="1" applyBorder="1" applyAlignment="1"/>
    <xf numFmtId="2" fontId="0" fillId="22" borderId="1" xfId="0" applyNumberFormat="1" applyFill="1" applyBorder="1"/>
    <xf numFmtId="0" fontId="0" fillId="0" borderId="2" xfId="2" applyFont="1" applyBorder="1" applyAlignment="1">
      <alignment vertical="center" wrapText="1"/>
    </xf>
    <xf numFmtId="0" fontId="0" fillId="0" borderId="9" xfId="2" applyFont="1" applyBorder="1" applyAlignment="1"/>
    <xf numFmtId="2" fontId="0" fillId="22" borderId="2" xfId="2" applyNumberFormat="1" applyFont="1" applyFill="1" applyBorder="1" applyAlignment="1"/>
    <xf numFmtId="0" fontId="33" fillId="16" borderId="2" xfId="2" applyFont="1" applyFill="1" applyBorder="1" applyAlignment="1">
      <alignment vertical="center"/>
    </xf>
    <xf numFmtId="0" fontId="33" fillId="16" borderId="8" xfId="2" applyFont="1" applyFill="1" applyBorder="1" applyAlignment="1">
      <alignment vertical="center"/>
    </xf>
    <xf numFmtId="2" fontId="0" fillId="0" borderId="0" xfId="2" applyNumberFormat="1" applyFont="1" applyAlignment="1"/>
    <xf numFmtId="165" fontId="0" fillId="0" borderId="0" xfId="2" applyNumberFormat="1" applyFont="1" applyAlignment="1"/>
    <xf numFmtId="0" fontId="0" fillId="26" borderId="2" xfId="2" applyFont="1" applyFill="1" applyBorder="1" applyAlignment="1"/>
    <xf numFmtId="0" fontId="0" fillId="26" borderId="1" xfId="2" applyFont="1" applyFill="1" applyBorder="1" applyAlignment="1">
      <alignment horizontal="center"/>
    </xf>
    <xf numFmtId="2" fontId="0" fillId="26" borderId="1" xfId="0" applyNumberFormat="1" applyFill="1" applyBorder="1"/>
    <xf numFmtId="2" fontId="0" fillId="26" borderId="1" xfId="0" applyNumberFormat="1" applyFont="1" applyFill="1" applyBorder="1" applyAlignment="1"/>
    <xf numFmtId="0" fontId="0" fillId="26" borderId="1" xfId="0" applyFill="1" applyBorder="1" applyAlignment="1">
      <alignment horizontal="center"/>
    </xf>
    <xf numFmtId="165" fontId="0" fillId="26" borderId="1" xfId="0" applyNumberFormat="1" applyFill="1" applyBorder="1"/>
    <xf numFmtId="0" fontId="0" fillId="26" borderId="1" xfId="0" applyFill="1" applyBorder="1"/>
    <xf numFmtId="0" fontId="0" fillId="27" borderId="0" xfId="2" applyFont="1" applyFill="1" applyAlignment="1"/>
    <xf numFmtId="0" fontId="22" fillId="27" borderId="0" xfId="2" applyFont="1" applyFill="1" applyAlignment="1"/>
    <xf numFmtId="2" fontId="10" fillId="27" borderId="0" xfId="2" applyNumberFormat="1" applyFont="1" applyFill="1" applyAlignment="1"/>
    <xf numFmtId="2" fontId="33" fillId="0" borderId="0" xfId="0" applyNumberFormat="1" applyFont="1" applyBorder="1" applyAlignment="1">
      <alignment horizontal="center"/>
    </xf>
    <xf numFmtId="0" fontId="0" fillId="10" borderId="2" xfId="2" applyFont="1" applyFill="1" applyBorder="1" applyAlignment="1"/>
    <xf numFmtId="0" fontId="0" fillId="10" borderId="1" xfId="0" applyFill="1" applyBorder="1" applyAlignment="1">
      <alignment horizontal="center"/>
    </xf>
    <xf numFmtId="165" fontId="0" fillId="10" borderId="1" xfId="0" applyNumberFormat="1" applyFill="1" applyBorder="1"/>
    <xf numFmtId="165" fontId="0" fillId="0" borderId="0" xfId="0" applyNumberFormat="1"/>
    <xf numFmtId="0" fontId="0" fillId="0" borderId="11" xfId="2" applyFont="1" applyBorder="1" applyAlignment="1">
      <alignment horizontal="center" vertical="center"/>
    </xf>
    <xf numFmtId="0" fontId="0" fillId="28" borderId="2" xfId="2" applyFont="1" applyFill="1" applyBorder="1" applyAlignment="1"/>
    <xf numFmtId="0" fontId="0" fillId="28" borderId="1" xfId="0" applyFill="1" applyBorder="1" applyAlignment="1">
      <alignment horizontal="center"/>
    </xf>
    <xf numFmtId="165" fontId="0" fillId="28" borderId="1" xfId="0" applyNumberFormat="1" applyFill="1" applyBorder="1"/>
    <xf numFmtId="0" fontId="22" fillId="29" borderId="2" xfId="2" applyFont="1" applyFill="1" applyBorder="1" applyAlignment="1"/>
    <xf numFmtId="0" fontId="22" fillId="29" borderId="1" xfId="0" applyFont="1" applyFill="1" applyBorder="1" applyAlignment="1">
      <alignment horizontal="center"/>
    </xf>
    <xf numFmtId="165" fontId="22" fillId="29" borderId="1" xfId="0" applyNumberFormat="1" applyFont="1" applyFill="1" applyBorder="1"/>
    <xf numFmtId="165" fontId="22" fillId="29" borderId="0" xfId="2" applyNumberFormat="1" applyFont="1" applyFill="1" applyAlignment="1"/>
    <xf numFmtId="165" fontId="29" fillId="29" borderId="0" xfId="2" applyNumberFormat="1" applyFont="1" applyFill="1" applyAlignment="1"/>
    <xf numFmtId="165" fontId="29" fillId="29" borderId="0" xfId="0" applyNumberFormat="1" applyFont="1" applyFill="1"/>
    <xf numFmtId="2" fontId="33" fillId="11" borderId="2" xfId="0" applyNumberFormat="1" applyFont="1" applyFill="1" applyBorder="1" applyAlignment="1"/>
    <xf numFmtId="2" fontId="0" fillId="11" borderId="1" xfId="0" applyNumberFormat="1" applyFont="1" applyFill="1" applyBorder="1" applyAlignment="1">
      <alignment horizontal="center"/>
    </xf>
    <xf numFmtId="2" fontId="0" fillId="11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left"/>
    </xf>
    <xf numFmtId="2" fontId="0" fillId="0" borderId="8" xfId="0" applyNumberFormat="1" applyFont="1" applyBorder="1" applyAlignment="1">
      <alignment horizontal="center"/>
    </xf>
    <xf numFmtId="2" fontId="22" fillId="27" borderId="0" xfId="2" applyNumberFormat="1" applyFont="1" applyFill="1" applyAlignment="1"/>
    <xf numFmtId="2" fontId="0" fillId="0" borderId="2" xfId="0" applyNumberFormat="1" applyFont="1" applyBorder="1" applyAlignment="1">
      <alignment horizontal="left" vertical="center"/>
    </xf>
    <xf numFmtId="2" fontId="0" fillId="0" borderId="1" xfId="0" applyNumberFormat="1" applyFont="1" applyBorder="1" applyAlignment="1">
      <alignment horizontal="center" vertical="center"/>
    </xf>
    <xf numFmtId="2" fontId="0" fillId="8" borderId="2" xfId="0" applyNumberFormat="1" applyFont="1" applyFill="1" applyBorder="1" applyAlignment="1">
      <alignment horizontal="left" vertical="center"/>
    </xf>
    <xf numFmtId="2" fontId="0" fillId="8" borderId="1" xfId="0" applyNumberFormat="1" applyFont="1" applyFill="1" applyBorder="1" applyAlignment="1">
      <alignment horizontal="center" vertical="center"/>
    </xf>
    <xf numFmtId="2" fontId="0" fillId="8" borderId="1" xfId="0" applyNumberFormat="1" applyFont="1" applyFill="1" applyBorder="1" applyAlignment="1"/>
    <xf numFmtId="0" fontId="0" fillId="8" borderId="1" xfId="0" applyFill="1" applyBorder="1"/>
    <xf numFmtId="2" fontId="0" fillId="19" borderId="2" xfId="0" applyNumberFormat="1" applyFont="1" applyFill="1" applyBorder="1" applyAlignment="1">
      <alignment horizontal="left" vertical="center"/>
    </xf>
    <xf numFmtId="2" fontId="0" fillId="19" borderId="1" xfId="0" applyNumberFormat="1" applyFont="1" applyFill="1" applyBorder="1" applyAlignment="1">
      <alignment horizontal="center" vertical="center"/>
    </xf>
    <xf numFmtId="0" fontId="0" fillId="22" borderId="1" xfId="0" applyFill="1" applyBorder="1"/>
    <xf numFmtId="2" fontId="0" fillId="19" borderId="1" xfId="0" applyNumberFormat="1" applyFont="1" applyFill="1" applyBorder="1" applyAlignment="1"/>
    <xf numFmtId="2" fontId="0" fillId="22" borderId="2" xfId="0" applyNumberFormat="1" applyFont="1" applyFill="1" applyBorder="1" applyAlignment="1">
      <alignment horizontal="center"/>
    </xf>
    <xf numFmtId="2" fontId="0" fillId="0" borderId="9" xfId="0" applyNumberFormat="1" applyFont="1" applyBorder="1" applyAlignment="1"/>
    <xf numFmtId="2" fontId="0" fillId="0" borderId="8" xfId="0" applyNumberFormat="1" applyFont="1" applyBorder="1" applyAlignment="1"/>
    <xf numFmtId="2" fontId="0" fillId="0" borderId="0" xfId="0" applyNumberFormat="1" applyFont="1" applyBorder="1" applyAlignment="1"/>
    <xf numFmtId="2" fontId="0" fillId="0" borderId="12" xfId="0" applyNumberFormat="1" applyFont="1" applyBorder="1" applyAlignment="1">
      <alignment horizontal="left" vertical="center"/>
    </xf>
    <xf numFmtId="2" fontId="0" fillId="0" borderId="8" xfId="0" applyNumberFormat="1" applyBorder="1"/>
    <xf numFmtId="2" fontId="0" fillId="0" borderId="3" xfId="0" applyNumberFormat="1" applyFont="1" applyBorder="1" applyAlignment="1">
      <alignment horizontal="left" vertical="center"/>
    </xf>
    <xf numFmtId="0" fontId="0" fillId="0" borderId="1" xfId="0" applyBorder="1" applyAlignment="1">
      <alignment horizontal="center"/>
    </xf>
    <xf numFmtId="2" fontId="0" fillId="30" borderId="1" xfId="0" applyNumberFormat="1" applyFont="1" applyFill="1" applyBorder="1" applyAlignment="1">
      <alignment horizontal="right" vertical="center"/>
    </xf>
    <xf numFmtId="0" fontId="0" fillId="0" borderId="1" xfId="0" applyBorder="1"/>
    <xf numFmtId="0" fontId="0" fillId="0" borderId="1" xfId="0" applyBorder="1"/>
    <xf numFmtId="0" fontId="0" fillId="0" borderId="8" xfId="0" applyBorder="1"/>
    <xf numFmtId="2" fontId="0" fillId="26" borderId="1" xfId="0" applyNumberFormat="1" applyFont="1" applyFill="1" applyBorder="1" applyAlignment="1">
      <alignment horizontal="right" vertical="center"/>
    </xf>
    <xf numFmtId="2" fontId="0" fillId="24" borderId="1" xfId="0" applyNumberFormat="1" applyFill="1" applyBorder="1" applyAlignment="1">
      <alignment horizontal="right" vertical="center"/>
    </xf>
    <xf numFmtId="2" fontId="0" fillId="26" borderId="1" xfId="0" applyNumberFormat="1" applyFill="1" applyBorder="1" applyAlignment="1">
      <alignment horizontal="right" vertical="center"/>
    </xf>
    <xf numFmtId="2" fontId="33" fillId="0" borderId="0" xfId="0" applyNumberFormat="1" applyFont="1" applyBorder="1" applyAlignment="1"/>
    <xf numFmtId="2" fontId="0" fillId="10" borderId="0" xfId="0" applyNumberFormat="1" applyFont="1" applyFill="1" applyBorder="1" applyAlignment="1"/>
    <xf numFmtId="2" fontId="0" fillId="31" borderId="0" xfId="0" applyNumberFormat="1" applyFont="1" applyFill="1" applyBorder="1" applyAlignment="1"/>
    <xf numFmtId="0" fontId="0" fillId="11" borderId="4" xfId="2" applyFont="1" applyFill="1" applyBorder="1" applyAlignment="1">
      <alignment vertical="center"/>
    </xf>
    <xf numFmtId="165" fontId="0" fillId="11" borderId="1" xfId="2" applyNumberFormat="1" applyFont="1" applyFill="1" applyBorder="1" applyAlignment="1">
      <alignment vertical="center"/>
    </xf>
    <xf numFmtId="1" fontId="0" fillId="0" borderId="8" xfId="2" applyNumberFormat="1" applyFont="1" applyBorder="1" applyAlignment="1"/>
    <xf numFmtId="2" fontId="33" fillId="0" borderId="1" xfId="0" applyNumberFormat="1" applyFont="1" applyBorder="1" applyAlignment="1"/>
    <xf numFmtId="2" fontId="0" fillId="0" borderId="1" xfId="0" applyNumberFormat="1" applyFont="1" applyBorder="1" applyAlignment="1"/>
    <xf numFmtId="2" fontId="4" fillId="0" borderId="4" xfId="0" applyNumberFormat="1" applyFont="1" applyBorder="1" applyAlignment="1" applyProtection="1">
      <alignment vertical="center"/>
      <protection hidden="1"/>
    </xf>
    <xf numFmtId="2" fontId="0" fillId="0" borderId="1" xfId="0" applyNumberFormat="1" applyFont="1" applyBorder="1" applyAlignment="1" applyProtection="1">
      <alignment vertical="center"/>
      <protection hidden="1"/>
    </xf>
    <xf numFmtId="2" fontId="0" fillId="0" borderId="1" xfId="0" applyNumberFormat="1" applyBorder="1"/>
    <xf numFmtId="2" fontId="0" fillId="22" borderId="11" xfId="0" applyNumberFormat="1" applyFont="1" applyFill="1" applyBorder="1" applyAlignment="1"/>
    <xf numFmtId="2" fontId="4" fillId="31" borderId="1" xfId="0" applyNumberFormat="1" applyFont="1" applyFill="1" applyBorder="1" applyAlignment="1" applyProtection="1">
      <protection hidden="1"/>
    </xf>
    <xf numFmtId="2" fontId="4" fillId="0" borderId="3" xfId="0" applyNumberFormat="1" applyFont="1" applyBorder="1" applyAlignment="1" applyProtection="1">
      <alignment vertical="center"/>
      <protection hidden="1"/>
    </xf>
    <xf numFmtId="2" fontId="0" fillId="31" borderId="1" xfId="0" applyNumberFormat="1" applyFont="1" applyFill="1" applyBorder="1" applyAlignment="1"/>
    <xf numFmtId="2" fontId="0" fillId="0" borderId="1" xfId="2" applyNumberFormat="1" applyFont="1" applyBorder="1" applyAlignment="1"/>
    <xf numFmtId="0" fontId="33" fillId="11" borderId="1" xfId="2" applyFont="1" applyFill="1" applyBorder="1" applyAlignment="1">
      <alignment horizontal="left" vertical="center"/>
    </xf>
    <xf numFmtId="0" fontId="33" fillId="11" borderId="1" xfId="2" applyFont="1" applyFill="1" applyBorder="1" applyAlignment="1">
      <alignment horizontal="center" vertical="center"/>
    </xf>
    <xf numFmtId="0" fontId="0" fillId="0" borderId="8" xfId="2" applyFont="1" applyBorder="1" applyAlignment="1"/>
    <xf numFmtId="0" fontId="0" fillId="24" borderId="1" xfId="2" applyFont="1" applyFill="1" applyBorder="1" applyAlignment="1">
      <alignment vertical="center"/>
    </xf>
    <xf numFmtId="2" fontId="33" fillId="0" borderId="6" xfId="0" applyNumberFormat="1" applyFont="1" applyBorder="1" applyAlignment="1"/>
    <xf numFmtId="0" fontId="0" fillId="32" borderId="1" xfId="2" applyFont="1" applyFill="1" applyBorder="1" applyAlignment="1"/>
    <xf numFmtId="1" fontId="0" fillId="11" borderId="1" xfId="2" applyNumberFormat="1" applyFont="1" applyFill="1" applyBorder="1" applyAlignment="1"/>
    <xf numFmtId="0" fontId="0" fillId="33" borderId="1" xfId="2" applyFont="1" applyFill="1" applyBorder="1" applyAlignment="1"/>
    <xf numFmtId="0" fontId="0" fillId="33" borderId="1" xfId="2" applyFont="1" applyFill="1" applyBorder="1" applyAlignment="1">
      <alignment horizontal="center"/>
    </xf>
    <xf numFmtId="0" fontId="0" fillId="33" borderId="1" xfId="2" applyFont="1" applyFill="1" applyBorder="1" applyAlignment="1">
      <alignment vertical="center"/>
    </xf>
    <xf numFmtId="0" fontId="0" fillId="33" borderId="0" xfId="0" applyFill="1"/>
    <xf numFmtId="1" fontId="0" fillId="33" borderId="1" xfId="2" applyNumberFormat="1" applyFont="1" applyFill="1" applyBorder="1" applyAlignment="1"/>
    <xf numFmtId="165" fontId="0" fillId="33" borderId="1" xfId="2" applyNumberFormat="1" applyFont="1" applyFill="1" applyBorder="1" applyAlignment="1"/>
    <xf numFmtId="165" fontId="0" fillId="0" borderId="1" xfId="2" applyNumberFormat="1" applyFont="1" applyBorder="1" applyAlignment="1"/>
    <xf numFmtId="0" fontId="0" fillId="33" borderId="1" xfId="0" applyFill="1" applyBorder="1"/>
    <xf numFmtId="0" fontId="0" fillId="33" borderId="5" xfId="0" applyFill="1" applyBorder="1"/>
    <xf numFmtId="2" fontId="0" fillId="0" borderId="5" xfId="0" applyNumberFormat="1" applyBorder="1"/>
    <xf numFmtId="2" fontId="0" fillId="33" borderId="5" xfId="0" applyNumberFormat="1" applyFill="1" applyBorder="1"/>
    <xf numFmtId="2" fontId="0" fillId="33" borderId="1" xfId="0" applyNumberFormat="1" applyFill="1" applyBorder="1"/>
    <xf numFmtId="2" fontId="0" fillId="0" borderId="0" xfId="0" applyNumberFormat="1" applyBorder="1"/>
    <xf numFmtId="165" fontId="0" fillId="0" borderId="1" xfId="2" applyNumberFormat="1" applyFont="1" applyBorder="1" applyAlignment="1"/>
    <xf numFmtId="2" fontId="0" fillId="33" borderId="0" xfId="0" applyNumberFormat="1" applyFill="1" applyBorder="1"/>
    <xf numFmtId="2" fontId="0" fillId="0" borderId="1" xfId="0" applyNumberFormat="1" applyBorder="1"/>
    <xf numFmtId="0" fontId="0" fillId="28" borderId="1" xfId="2" applyFont="1" applyFill="1" applyBorder="1" applyAlignment="1"/>
    <xf numFmtId="0" fontId="0" fillId="28" borderId="1" xfId="2" applyFont="1" applyFill="1" applyBorder="1" applyAlignment="1">
      <alignment horizontal="center"/>
    </xf>
    <xf numFmtId="2" fontId="0" fillId="28" borderId="1" xfId="0" applyNumberFormat="1" applyFill="1" applyBorder="1"/>
    <xf numFmtId="2" fontId="0" fillId="28" borderId="5" xfId="0" applyNumberFormat="1" applyFill="1" applyBorder="1"/>
    <xf numFmtId="2" fontId="0" fillId="0" borderId="12" xfId="0" applyNumberFormat="1" applyBorder="1"/>
    <xf numFmtId="2" fontId="0" fillId="0" borderId="6" xfId="0" applyNumberFormat="1" applyBorder="1"/>
    <xf numFmtId="165" fontId="0" fillId="0" borderId="0" xfId="0" applyNumberFormat="1"/>
    <xf numFmtId="2" fontId="0" fillId="0" borderId="5" xfId="0" applyNumberFormat="1" applyBorder="1"/>
    <xf numFmtId="2" fontId="0" fillId="24" borderId="1" xfId="2" applyNumberFormat="1" applyFont="1" applyFill="1" applyBorder="1" applyAlignment="1">
      <alignment vertical="center"/>
    </xf>
    <xf numFmtId="0" fontId="0" fillId="20" borderId="1" xfId="2" applyFont="1" applyFill="1" applyBorder="1" applyAlignment="1"/>
    <xf numFmtId="0" fontId="0" fillId="20" borderId="1" xfId="2" applyFont="1" applyFill="1" applyBorder="1" applyAlignment="1">
      <alignment horizontal="center"/>
    </xf>
    <xf numFmtId="2" fontId="0" fillId="20" borderId="1" xfId="0" applyNumberFormat="1" applyFill="1" applyBorder="1"/>
    <xf numFmtId="2" fontId="0" fillId="20" borderId="5" xfId="0" applyNumberFormat="1" applyFill="1" applyBorder="1"/>
    <xf numFmtId="0" fontId="0" fillId="0" borderId="1" xfId="0" applyFont="1" applyBorder="1" applyAlignment="1">
      <alignment wrapText="1"/>
    </xf>
    <xf numFmtId="0" fontId="4" fillId="0" borderId="2" xfId="2" applyFont="1" applyBorder="1" applyAlignment="1">
      <alignment wrapText="1"/>
    </xf>
    <xf numFmtId="0" fontId="0" fillId="26" borderId="1" xfId="2" applyFont="1" applyFill="1" applyBorder="1" applyAlignment="1"/>
    <xf numFmtId="2" fontId="0" fillId="26" borderId="5" xfId="0" applyNumberFormat="1" applyFill="1" applyBorder="1"/>
    <xf numFmtId="0" fontId="0" fillId="32" borderId="1" xfId="2" applyFont="1" applyFill="1" applyBorder="1" applyAlignment="1">
      <alignment horizontal="center"/>
    </xf>
    <xf numFmtId="2" fontId="0" fillId="32" borderId="1" xfId="0" applyNumberFormat="1" applyFill="1" applyBorder="1"/>
    <xf numFmtId="0" fontId="10" fillId="31" borderId="1" xfId="0" applyFont="1" applyFill="1" applyBorder="1"/>
    <xf numFmtId="0" fontId="0" fillId="31" borderId="1" xfId="2" applyFont="1" applyFill="1" applyBorder="1" applyAlignment="1">
      <alignment horizontal="center"/>
    </xf>
    <xf numFmtId="2" fontId="0" fillId="31" borderId="1" xfId="0" applyNumberFormat="1" applyFill="1" applyBorder="1"/>
    <xf numFmtId="0" fontId="10" fillId="5" borderId="1" xfId="0" applyFont="1" applyFill="1" applyBorder="1"/>
    <xf numFmtId="0" fontId="0" fillId="5" borderId="1" xfId="2" applyFont="1" applyFill="1" applyBorder="1" applyAlignment="1">
      <alignment horizontal="center"/>
    </xf>
    <xf numFmtId="2" fontId="0" fillId="5" borderId="1" xfId="0" applyNumberFormat="1" applyFill="1" applyBorder="1"/>
    <xf numFmtId="0" fontId="0" fillId="5" borderId="1" xfId="0" applyFont="1" applyFill="1" applyBorder="1"/>
    <xf numFmtId="2" fontId="0" fillId="5" borderId="5" xfId="0" applyNumberFormat="1" applyFill="1" applyBorder="1"/>
    <xf numFmtId="0" fontId="0" fillId="31" borderId="1" xfId="0" applyFont="1" applyFill="1" applyBorder="1"/>
    <xf numFmtId="2" fontId="0" fillId="31" borderId="5" xfId="0" applyNumberFormat="1" applyFill="1" applyBorder="1"/>
    <xf numFmtId="0" fontId="0" fillId="34" borderId="1" xfId="0" applyFont="1" applyFill="1" applyBorder="1"/>
    <xf numFmtId="0" fontId="0" fillId="34" borderId="1" xfId="2" applyFont="1" applyFill="1" applyBorder="1" applyAlignment="1">
      <alignment horizontal="center"/>
    </xf>
    <xf numFmtId="2" fontId="0" fillId="34" borderId="1" xfId="0" applyNumberFormat="1" applyFill="1" applyBorder="1"/>
    <xf numFmtId="0" fontId="0" fillId="34" borderId="0" xfId="0" applyFill="1"/>
    <xf numFmtId="2" fontId="0" fillId="34" borderId="5" xfId="0" applyNumberFormat="1" applyFill="1" applyBorder="1"/>
    <xf numFmtId="165" fontId="0" fillId="34" borderId="1" xfId="2" applyNumberFormat="1" applyFont="1" applyFill="1" applyBorder="1" applyAlignment="1"/>
    <xf numFmtId="0" fontId="0" fillId="32" borderId="1" xfId="0" applyFont="1" applyFill="1" applyBorder="1"/>
    <xf numFmtId="2" fontId="0" fillId="13" borderId="1" xfId="0" applyNumberFormat="1" applyFill="1" applyBorder="1"/>
    <xf numFmtId="0" fontId="0" fillId="22" borderId="1" xfId="2" applyFont="1" applyFill="1" applyBorder="1" applyAlignment="1">
      <alignment horizontal="center"/>
    </xf>
    <xf numFmtId="2" fontId="0" fillId="22" borderId="5" xfId="0" applyNumberFormat="1" applyFill="1" applyBorder="1"/>
    <xf numFmtId="0" fontId="0" fillId="22" borderId="1" xfId="2" applyFont="1" applyFill="1" applyBorder="1" applyAlignment="1"/>
    <xf numFmtId="2" fontId="0" fillId="13" borderId="5" xfId="0" applyNumberFormat="1" applyFill="1" applyBorder="1"/>
    <xf numFmtId="2" fontId="0" fillId="32" borderId="0" xfId="0" applyNumberFormat="1" applyFill="1"/>
    <xf numFmtId="2" fontId="0" fillId="32" borderId="5" xfId="0" applyNumberFormat="1" applyFill="1" applyBorder="1"/>
    <xf numFmtId="0" fontId="0" fillId="32" borderId="0" xfId="0" applyFill="1"/>
    <xf numFmtId="165" fontId="0" fillId="32" borderId="1" xfId="2" applyNumberFormat="1" applyFont="1" applyFill="1" applyBorder="1" applyAlignment="1"/>
    <xf numFmtId="0" fontId="10" fillId="26" borderId="1" xfId="0" applyFont="1" applyFill="1" applyBorder="1"/>
    <xf numFmtId="2" fontId="0" fillId="35" borderId="5" xfId="0" applyNumberFormat="1" applyFill="1" applyBorder="1"/>
    <xf numFmtId="0" fontId="0" fillId="35" borderId="1" xfId="2" applyFont="1" applyFill="1" applyBorder="1" applyAlignment="1"/>
    <xf numFmtId="0" fontId="0" fillId="35" borderId="1" xfId="2" applyFont="1" applyFill="1" applyBorder="1" applyAlignment="1">
      <alignment horizontal="center"/>
    </xf>
    <xf numFmtId="2" fontId="0" fillId="35" borderId="1" xfId="0" applyNumberFormat="1" applyFill="1" applyBorder="1"/>
    <xf numFmtId="0" fontId="4" fillId="0" borderId="7" xfId="0" applyFont="1" applyBorder="1" applyAlignment="1">
      <alignment horizontal="center" vertical="center"/>
    </xf>
    <xf numFmtId="2" fontId="6" fillId="0" borderId="0" xfId="0" applyNumberFormat="1" applyFont="1" applyBorder="1" applyAlignment="1" applyProtection="1">
      <alignment horizontal="center" vertical="center" wrapText="1"/>
      <protection hidden="1"/>
    </xf>
    <xf numFmtId="2" fontId="6" fillId="0" borderId="1" xfId="0" applyNumberFormat="1" applyFont="1" applyBorder="1" applyAlignment="1" applyProtection="1">
      <alignment horizontal="center" vertical="center" wrapText="1"/>
      <protection hidden="1"/>
    </xf>
    <xf numFmtId="2" fontId="9" fillId="11" borderId="1" xfId="0" applyNumberFormat="1" applyFont="1" applyFill="1" applyBorder="1" applyAlignment="1" applyProtection="1">
      <alignment horizontal="left" vertical="center" wrapText="1"/>
      <protection hidden="1"/>
    </xf>
    <xf numFmtId="2" fontId="9" fillId="11" borderId="7" xfId="0" applyNumberFormat="1" applyFont="1" applyFill="1" applyBorder="1" applyAlignment="1" applyProtection="1">
      <alignment horizontal="center" vertical="center" wrapText="1"/>
      <protection hidden="1"/>
    </xf>
    <xf numFmtId="2" fontId="9" fillId="11" borderId="1" xfId="0" applyNumberFormat="1" applyFont="1" applyFill="1" applyBorder="1" applyAlignment="1" applyProtection="1">
      <alignment horizontal="left" wrapText="1"/>
      <protection hidden="1"/>
    </xf>
    <xf numFmtId="2" fontId="9" fillId="11" borderId="1" xfId="0" applyNumberFormat="1" applyFont="1" applyFill="1" applyBorder="1" applyAlignment="1" applyProtection="1">
      <alignment horizontal="center" wrapText="1"/>
      <protection hidden="1"/>
    </xf>
    <xf numFmtId="165" fontId="0" fillId="22" borderId="1" xfId="0" applyNumberFormat="1" applyFont="1" applyFill="1" applyBorder="1" applyAlignment="1"/>
    <xf numFmtId="2" fontId="9" fillId="0" borderId="1" xfId="0" applyNumberFormat="1" applyFont="1" applyBorder="1" applyAlignment="1" applyProtection="1">
      <alignment horizontal="left" wrapText="1"/>
      <protection hidden="1"/>
    </xf>
    <xf numFmtId="2" fontId="9" fillId="0" borderId="7" xfId="0" applyNumberFormat="1" applyFont="1" applyBorder="1" applyAlignment="1" applyProtection="1">
      <alignment horizontal="center" wrapText="1"/>
      <protection hidden="1"/>
    </xf>
    <xf numFmtId="2" fontId="9" fillId="22" borderId="7" xfId="0" applyNumberFormat="1" applyFont="1" applyFill="1" applyBorder="1" applyAlignment="1" applyProtection="1">
      <alignment horizontal="right" wrapText="1"/>
      <protection hidden="1"/>
    </xf>
    <xf numFmtId="2" fontId="9" fillId="22" borderId="1" xfId="0" applyNumberFormat="1" applyFont="1" applyFill="1" applyBorder="1" applyAlignment="1" applyProtection="1">
      <alignment horizontal="right" wrapText="1"/>
      <protection hidden="1"/>
    </xf>
    <xf numFmtId="2" fontId="9" fillId="0" borderId="1" xfId="0" applyNumberFormat="1" applyFont="1" applyBorder="1" applyAlignment="1" applyProtection="1">
      <alignment horizontal="right" wrapText="1"/>
      <protection hidden="1"/>
    </xf>
    <xf numFmtId="0" fontId="0" fillId="0" borderId="0" xfId="0" applyAlignment="1">
      <alignment wrapText="1"/>
    </xf>
    <xf numFmtId="2" fontId="4" fillId="22" borderId="1" xfId="0" applyNumberFormat="1" applyFont="1" applyFill="1" applyBorder="1" applyAlignment="1">
      <alignment horizontal="right" wrapText="1"/>
    </xf>
    <xf numFmtId="2" fontId="0" fillId="0" borderId="1" xfId="0" applyNumberFormat="1" applyFont="1" applyBorder="1" applyAlignment="1">
      <alignment horizontal="center" wrapText="1"/>
    </xf>
    <xf numFmtId="2" fontId="33" fillId="19" borderId="1" xfId="2" applyNumberFormat="1" applyFont="1" applyFill="1" applyBorder="1" applyAlignment="1">
      <alignment horizontal="center" wrapText="1"/>
    </xf>
    <xf numFmtId="0" fontId="0" fillId="37" borderId="1" xfId="0" applyFont="1" applyFill="1" applyBorder="1"/>
    <xf numFmtId="2" fontId="4" fillId="37" borderId="7" xfId="0" applyNumberFormat="1" applyFont="1" applyFill="1" applyBorder="1" applyAlignment="1" applyProtection="1">
      <alignment horizontal="center"/>
      <protection hidden="1"/>
    </xf>
    <xf numFmtId="1" fontId="4" fillId="37" borderId="1" xfId="0" applyNumberFormat="1" applyFont="1" applyFill="1" applyBorder="1" applyAlignment="1" applyProtection="1">
      <alignment wrapText="1"/>
      <protection hidden="1"/>
    </xf>
    <xf numFmtId="0" fontId="0" fillId="0" borderId="0" xfId="0" applyBorder="1"/>
    <xf numFmtId="1" fontId="0" fillId="37" borderId="1" xfId="0" applyNumberFormat="1" applyFont="1" applyFill="1" applyBorder="1" applyAlignment="1"/>
    <xf numFmtId="2" fontId="33" fillId="19" borderId="1" xfId="2" applyNumberFormat="1" applyFont="1" applyFill="1" applyBorder="1" applyAlignment="1">
      <alignment horizontal="center" vertical="center"/>
    </xf>
    <xf numFmtId="2" fontId="4" fillId="37" borderId="1" xfId="0" applyNumberFormat="1" applyFont="1" applyFill="1" applyBorder="1" applyAlignment="1" applyProtection="1">
      <alignment horizontal="center"/>
      <protection hidden="1"/>
    </xf>
    <xf numFmtId="2" fontId="4" fillId="21" borderId="0" xfId="0" applyNumberFormat="1" applyFont="1" applyFill="1" applyBorder="1" applyAlignment="1">
      <alignment horizontal="center" wrapText="1"/>
    </xf>
    <xf numFmtId="2" fontId="4" fillId="26" borderId="1" xfId="0" applyNumberFormat="1" applyFont="1" applyFill="1" applyBorder="1" applyAlignment="1" applyProtection="1">
      <alignment horizontal="center"/>
      <protection hidden="1"/>
    </xf>
    <xf numFmtId="1" fontId="4" fillId="26" borderId="1" xfId="0" applyNumberFormat="1" applyFont="1" applyFill="1" applyBorder="1" applyAlignment="1" applyProtection="1">
      <alignment wrapText="1"/>
      <protection hidden="1"/>
    </xf>
    <xf numFmtId="1" fontId="0" fillId="26" borderId="1" xfId="0" applyNumberFormat="1" applyFont="1" applyFill="1" applyBorder="1" applyAlignment="1"/>
    <xf numFmtId="2" fontId="4" fillId="0" borderId="7" xfId="0" applyNumberFormat="1" applyFont="1" applyBorder="1" applyProtection="1">
      <protection hidden="1"/>
    </xf>
    <xf numFmtId="2" fontId="4" fillId="0" borderId="8" xfId="0" applyNumberFormat="1" applyFont="1" applyBorder="1" applyAlignment="1"/>
    <xf numFmtId="2" fontId="0" fillId="0" borderId="0" xfId="0" applyNumberFormat="1"/>
    <xf numFmtId="2" fontId="4" fillId="34" borderId="1" xfId="0" applyNumberFormat="1" applyFont="1" applyFill="1" applyBorder="1" applyProtection="1">
      <protection hidden="1"/>
    </xf>
    <xf numFmtId="2" fontId="4" fillId="34" borderId="1" xfId="0" applyNumberFormat="1" applyFont="1" applyFill="1" applyBorder="1" applyAlignment="1" applyProtection="1">
      <alignment horizontal="center"/>
      <protection hidden="1"/>
    </xf>
    <xf numFmtId="2" fontId="4" fillId="34" borderId="7" xfId="0" applyNumberFormat="1" applyFont="1" applyFill="1" applyBorder="1" applyProtection="1">
      <protection hidden="1"/>
    </xf>
    <xf numFmtId="2" fontId="4" fillId="0" borderId="5" xfId="0" applyNumberFormat="1" applyFont="1" applyBorder="1" applyAlignment="1" applyProtection="1">
      <alignment horizontal="center"/>
      <protection hidden="1"/>
    </xf>
    <xf numFmtId="1" fontId="4" fillId="22" borderId="1" xfId="0" applyNumberFormat="1" applyFont="1" applyFill="1" applyBorder="1" applyAlignment="1" applyProtection="1">
      <alignment wrapText="1"/>
      <protection hidden="1"/>
    </xf>
    <xf numFmtId="2" fontId="4" fillId="0" borderId="5" xfId="0" applyNumberFormat="1" applyFont="1" applyBorder="1" applyAlignment="1" applyProtection="1">
      <alignment horizontal="left" vertical="center"/>
      <protection hidden="1"/>
    </xf>
    <xf numFmtId="1" fontId="0" fillId="36" borderId="1" xfId="0" applyNumberFormat="1" applyFont="1" applyFill="1" applyBorder="1" applyProtection="1">
      <protection hidden="1"/>
    </xf>
    <xf numFmtId="1" fontId="0" fillId="36" borderId="1" xfId="0" applyNumberFormat="1" applyFont="1" applyFill="1" applyBorder="1" applyAlignment="1" applyProtection="1">
      <alignment horizontal="center"/>
      <protection hidden="1"/>
    </xf>
    <xf numFmtId="1" fontId="0" fillId="0" borderId="0" xfId="0" applyNumberFormat="1" applyFont="1"/>
    <xf numFmtId="1" fontId="0" fillId="36" borderId="2" xfId="0" applyNumberFormat="1" applyFont="1" applyFill="1" applyBorder="1" applyAlignment="1" applyProtection="1">
      <alignment horizontal="center"/>
      <protection hidden="1"/>
    </xf>
    <xf numFmtId="1" fontId="0" fillId="0" borderId="1" xfId="0" applyNumberFormat="1" applyFont="1" applyBorder="1" applyProtection="1">
      <protection hidden="1"/>
    </xf>
    <xf numFmtId="1" fontId="0" fillId="0" borderId="1" xfId="0" applyNumberFormat="1" applyFont="1" applyBorder="1" applyAlignment="1" applyProtection="1">
      <alignment horizontal="center"/>
      <protection hidden="1"/>
    </xf>
    <xf numFmtId="2" fontId="0" fillId="0" borderId="1" xfId="0" applyNumberFormat="1" applyFont="1" applyBorder="1" applyProtection="1">
      <protection hidden="1"/>
    </xf>
    <xf numFmtId="1" fontId="0" fillId="0" borderId="7" xfId="0" applyNumberFormat="1" applyFont="1" applyBorder="1" applyProtection="1">
      <protection hidden="1"/>
    </xf>
    <xf numFmtId="1" fontId="0" fillId="0" borderId="0" xfId="0" applyNumberFormat="1" applyFont="1" applyBorder="1" applyProtection="1">
      <protection hidden="1"/>
    </xf>
    <xf numFmtId="1" fontId="0" fillId="0" borderId="0" xfId="0" applyNumberFormat="1" applyFont="1" applyBorder="1" applyAlignment="1" applyProtection="1">
      <alignment horizontal="center"/>
      <protection hidden="1"/>
    </xf>
    <xf numFmtId="1" fontId="0" fillId="0" borderId="2" xfId="0" applyNumberFormat="1" applyFont="1" applyBorder="1" applyAlignment="1" applyProtection="1">
      <alignment horizontal="left"/>
      <protection hidden="1"/>
    </xf>
    <xf numFmtId="1" fontId="0" fillId="0" borderId="0" xfId="0" applyNumberFormat="1" applyFont="1" applyProtection="1">
      <protection hidden="1"/>
    </xf>
    <xf numFmtId="1" fontId="0" fillId="0" borderId="1" xfId="0" applyNumberFormat="1" applyFont="1" applyBorder="1" applyAlignment="1" applyProtection="1">
      <protection hidden="1"/>
    </xf>
    <xf numFmtId="1" fontId="0" fillId="0" borderId="1" xfId="0" applyNumberFormat="1" applyFont="1" applyBorder="1" applyProtection="1">
      <protection hidden="1"/>
    </xf>
    <xf numFmtId="1" fontId="0" fillId="0" borderId="2" xfId="0" applyNumberFormat="1" applyFont="1" applyBorder="1" applyAlignment="1" applyProtection="1">
      <alignment horizontal="center"/>
      <protection hidden="1"/>
    </xf>
    <xf numFmtId="1" fontId="0" fillId="0" borderId="2" xfId="0" applyNumberFormat="1" applyFont="1" applyBorder="1" applyAlignment="1" applyProtection="1">
      <alignment horizontal="center"/>
      <protection hidden="1"/>
    </xf>
    <xf numFmtId="1" fontId="0" fillId="0" borderId="0" xfId="0" applyNumberFormat="1" applyFont="1" applyAlignment="1" applyProtection="1">
      <alignment horizontal="center"/>
      <protection hidden="1"/>
    </xf>
    <xf numFmtId="1" fontId="0" fillId="0" borderId="0" xfId="0" applyNumberFormat="1" applyFont="1" applyProtection="1">
      <protection hidden="1"/>
    </xf>
    <xf numFmtId="1" fontId="13" fillId="0" borderId="1" xfId="0" applyNumberFormat="1" applyFont="1" applyBorder="1" applyAlignment="1" applyProtection="1">
      <alignment horizontal="center"/>
      <protection hidden="1"/>
    </xf>
    <xf numFmtId="1" fontId="0" fillId="0" borderId="0" xfId="0" applyNumberFormat="1" applyFont="1"/>
    <xf numFmtId="2" fontId="4" fillId="0" borderId="0" xfId="0" applyNumberFormat="1" applyFont="1" applyProtection="1">
      <protection hidden="1"/>
    </xf>
    <xf numFmtId="2" fontId="4" fillId="0" borderId="0" xfId="0" applyNumberFormat="1" applyFont="1" applyProtection="1">
      <protection hidden="1"/>
    </xf>
    <xf numFmtId="165" fontId="4" fillId="0" borderId="0" xfId="0" applyNumberFormat="1" applyFont="1" applyProtection="1">
      <protection hidden="1"/>
    </xf>
    <xf numFmtId="2" fontId="0" fillId="0" borderId="0" xfId="0" applyNumberFormat="1" applyFont="1" applyAlignment="1"/>
    <xf numFmtId="2" fontId="0" fillId="0" borderId="0" xfId="0" applyNumberFormat="1" applyFont="1" applyAlignment="1">
      <alignment horizontal="center"/>
    </xf>
    <xf numFmtId="2" fontId="0" fillId="0" borderId="0" xfId="0" applyNumberFormat="1" applyFont="1" applyAlignment="1">
      <alignment horizontal="right"/>
    </xf>
    <xf numFmtId="2" fontId="0" fillId="16" borderId="2" xfId="0" applyNumberFormat="1" applyFont="1" applyFill="1" applyBorder="1" applyAlignment="1">
      <alignment vertical="center"/>
    </xf>
    <xf numFmtId="2" fontId="0" fillId="22" borderId="1" xfId="0" applyNumberFormat="1" applyFont="1" applyFill="1" applyBorder="1" applyAlignment="1">
      <alignment horizontal="center" vertical="center"/>
    </xf>
    <xf numFmtId="2" fontId="0" fillId="0" borderId="1" xfId="0" applyNumberFormat="1" applyFont="1" applyBorder="1" applyAlignment="1">
      <alignment horizontal="center" vertical="center"/>
    </xf>
    <xf numFmtId="2" fontId="0" fillId="16" borderId="9" xfId="0" applyNumberFormat="1" applyFont="1" applyFill="1" applyBorder="1" applyAlignment="1">
      <alignment vertical="center"/>
    </xf>
    <xf numFmtId="2" fontId="0" fillId="16" borderId="8" xfId="0" applyNumberFormat="1" applyFont="1" applyFill="1" applyBorder="1" applyAlignment="1">
      <alignment vertical="center"/>
    </xf>
    <xf numFmtId="2" fontId="0" fillId="0" borderId="9" xfId="0" applyNumberFormat="1" applyFont="1" applyBorder="1" applyAlignment="1">
      <alignment horizontal="right" vertical="center"/>
    </xf>
    <xf numFmtId="2" fontId="0" fillId="0" borderId="9" xfId="0" applyNumberFormat="1" applyFont="1" applyBorder="1" applyAlignment="1">
      <alignment vertical="center"/>
    </xf>
    <xf numFmtId="2" fontId="0" fillId="5" borderId="0" xfId="0" applyNumberFormat="1" applyFont="1" applyFill="1" applyAlignment="1"/>
    <xf numFmtId="0" fontId="33" fillId="16" borderId="1" xfId="2" applyFont="1" applyFill="1" applyBorder="1" applyAlignment="1">
      <alignment horizontal="center" vertical="center"/>
    </xf>
    <xf numFmtId="0" fontId="0" fillId="17" borderId="1" xfId="0" applyFont="1" applyFill="1" applyBorder="1"/>
    <xf numFmtId="2" fontId="0" fillId="0" borderId="13" xfId="0" applyNumberFormat="1" applyFont="1" applyBorder="1" applyAlignment="1">
      <alignment horizontal="right" vertical="center"/>
    </xf>
    <xf numFmtId="2" fontId="0" fillId="0" borderId="13" xfId="0" applyNumberFormat="1" applyFont="1" applyBorder="1" applyAlignment="1">
      <alignment vertical="center"/>
    </xf>
    <xf numFmtId="2" fontId="0" fillId="5" borderId="13" xfId="0" applyNumberFormat="1" applyFont="1" applyFill="1" applyBorder="1" applyAlignment="1">
      <alignment vertical="center"/>
    </xf>
    <xf numFmtId="0" fontId="33" fillId="16" borderId="3" xfId="2" applyFont="1" applyFill="1" applyBorder="1" applyAlignment="1">
      <alignment vertical="center"/>
    </xf>
    <xf numFmtId="0" fontId="33" fillId="16" borderId="13" xfId="2" applyFont="1" applyFill="1" applyBorder="1" applyAlignment="1">
      <alignment vertical="center"/>
    </xf>
    <xf numFmtId="0" fontId="33" fillId="16" borderId="10" xfId="2" applyFont="1" applyFill="1" applyBorder="1" applyAlignment="1">
      <alignment vertical="center"/>
    </xf>
    <xf numFmtId="0" fontId="0" fillId="16" borderId="5" xfId="2" applyFont="1" applyFill="1" applyBorder="1" applyAlignment="1">
      <alignment vertical="center" wrapText="1"/>
    </xf>
    <xf numFmtId="0" fontId="39" fillId="17" borderId="1" xfId="0" applyFont="1" applyFill="1" applyBorder="1"/>
    <xf numFmtId="2" fontId="0" fillId="0" borderId="2" xfId="0" applyNumberFormat="1" applyFont="1" applyBorder="1" applyAlignment="1">
      <alignment vertical="center"/>
    </xf>
    <xf numFmtId="2" fontId="0" fillId="0" borderId="7" xfId="0" applyNumberFormat="1" applyFont="1" applyBorder="1" applyAlignment="1">
      <alignment horizontal="center" vertical="center"/>
    </xf>
    <xf numFmtId="2" fontId="0" fillId="0" borderId="7" xfId="0" applyNumberFormat="1" applyFont="1" applyBorder="1" applyAlignment="1">
      <alignment horizontal="center" vertical="center"/>
    </xf>
    <xf numFmtId="2" fontId="0" fillId="0" borderId="0" xfId="0" applyNumberFormat="1" applyFont="1" applyBorder="1" applyAlignment="1">
      <alignment horizontal="left" vertical="center"/>
    </xf>
    <xf numFmtId="2" fontId="0" fillId="0" borderId="0" xfId="0" applyNumberFormat="1" applyFont="1" applyBorder="1" applyAlignment="1">
      <alignment horizontal="right" vertical="center"/>
    </xf>
    <xf numFmtId="2" fontId="0" fillId="5" borderId="0" xfId="0" applyNumberFormat="1" applyFont="1" applyFill="1" applyBorder="1" applyAlignment="1">
      <alignment horizontal="left" vertical="center"/>
    </xf>
    <xf numFmtId="0" fontId="33" fillId="16" borderId="4" xfId="2" applyFont="1" applyFill="1" applyBorder="1" applyAlignment="1">
      <alignment vertical="center"/>
    </xf>
    <xf numFmtId="0" fontId="33" fillId="16" borderId="14" xfId="2" applyFont="1" applyFill="1" applyBorder="1" applyAlignment="1">
      <alignment vertical="center"/>
    </xf>
    <xf numFmtId="0" fontId="33" fillId="16" borderId="15" xfId="2" applyFont="1" applyFill="1" applyBorder="1" applyAlignment="1">
      <alignment vertical="center"/>
    </xf>
    <xf numFmtId="0" fontId="0" fillId="16" borderId="7" xfId="2" applyFont="1" applyFill="1" applyBorder="1" applyAlignment="1">
      <alignment vertical="center" wrapText="1"/>
    </xf>
    <xf numFmtId="2" fontId="0" fillId="0" borderId="1" xfId="2" applyNumberFormat="1" applyFont="1" applyBorder="1" applyAlignment="1">
      <alignment horizontal="center" vertical="center"/>
    </xf>
    <xf numFmtId="2" fontId="9" fillId="0" borderId="1" xfId="0" applyNumberFormat="1" applyFont="1" applyBorder="1" applyAlignment="1" applyProtection="1">
      <alignment vertical="center"/>
      <protection hidden="1"/>
    </xf>
    <xf numFmtId="2" fontId="4" fillId="0" borderId="1" xfId="2" applyNumberFormat="1" applyFont="1" applyBorder="1" applyAlignment="1">
      <alignment vertical="center"/>
    </xf>
    <xf numFmtId="2" fontId="4" fillId="0" borderId="9" xfId="0" applyNumberFormat="1" applyFont="1" applyBorder="1" applyAlignment="1" applyProtection="1">
      <alignment vertical="center"/>
      <protection hidden="1"/>
    </xf>
    <xf numFmtId="2" fontId="4" fillId="0" borderId="8" xfId="0" applyNumberFormat="1" applyFont="1" applyBorder="1" applyAlignment="1" applyProtection="1">
      <alignment vertical="center"/>
      <protection hidden="1"/>
    </xf>
    <xf numFmtId="0" fontId="0" fillId="0" borderId="9" xfId="2" applyFont="1" applyBorder="1" applyAlignment="1">
      <alignment vertical="center"/>
    </xf>
    <xf numFmtId="0" fontId="0" fillId="17" borderId="12" xfId="0" applyFill="1" applyBorder="1"/>
    <xf numFmtId="0" fontId="0" fillId="17" borderId="11" xfId="0" applyFill="1" applyBorder="1"/>
    <xf numFmtId="2" fontId="0" fillId="0" borderId="0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wrapText="1"/>
    </xf>
    <xf numFmtId="2" fontId="9" fillId="0" borderId="1" xfId="0" applyNumberFormat="1" applyFont="1" applyBorder="1" applyAlignment="1" applyProtection="1">
      <alignment horizontal="center" vertical="center"/>
      <protection hidden="1"/>
    </xf>
    <xf numFmtId="2" fontId="9" fillId="0" borderId="2" xfId="0" applyNumberFormat="1" applyFont="1" applyBorder="1" applyAlignment="1" applyProtection="1">
      <alignment vertical="center"/>
      <protection hidden="1"/>
    </xf>
    <xf numFmtId="2" fontId="9" fillId="0" borderId="9" xfId="0" applyNumberFormat="1" applyFont="1" applyBorder="1" applyAlignment="1" applyProtection="1">
      <alignment vertical="center"/>
      <protection hidden="1"/>
    </xf>
    <xf numFmtId="2" fontId="9" fillId="0" borderId="8" xfId="0" applyNumberFormat="1" applyFont="1" applyBorder="1" applyAlignment="1" applyProtection="1">
      <alignment vertical="center"/>
      <protection hidden="1"/>
    </xf>
    <xf numFmtId="2" fontId="0" fillId="0" borderId="0" xfId="2" applyNumberFormat="1" applyFont="1" applyAlignment="1"/>
    <xf numFmtId="2" fontId="0" fillId="0" borderId="1" xfId="2" applyNumberFormat="1" applyFont="1" applyBorder="1" applyAlignment="1">
      <alignment horizontal="left" vertical="center"/>
    </xf>
    <xf numFmtId="2" fontId="0" fillId="0" borderId="1" xfId="2" applyNumberFormat="1" applyFont="1" applyBorder="1" applyAlignment="1">
      <alignment horizontal="center" vertical="center"/>
    </xf>
    <xf numFmtId="2" fontId="0" fillId="0" borderId="2" xfId="2" applyNumberFormat="1" applyFont="1" applyBorder="1" applyAlignment="1"/>
    <xf numFmtId="2" fontId="0" fillId="0" borderId="1" xfId="2" applyNumberFormat="1" applyFont="1" applyBorder="1" applyAlignment="1"/>
    <xf numFmtId="2" fontId="0" fillId="0" borderId="1" xfId="2" applyNumberFormat="1" applyFont="1" applyBorder="1" applyAlignment="1">
      <alignment horizontal="center"/>
    </xf>
    <xf numFmtId="2" fontId="0" fillId="0" borderId="2" xfId="2" applyNumberFormat="1" applyFont="1" applyBorder="1" applyAlignment="1">
      <alignment horizontal="left"/>
    </xf>
    <xf numFmtId="2" fontId="0" fillId="0" borderId="7" xfId="2" applyNumberFormat="1" applyFont="1" applyBorder="1" applyAlignment="1">
      <alignment horizontal="center"/>
    </xf>
    <xf numFmtId="2" fontId="0" fillId="0" borderId="0" xfId="2" applyNumberFormat="1" applyFont="1" applyBorder="1" applyAlignment="1"/>
    <xf numFmtId="2" fontId="33" fillId="16" borderId="1" xfId="2" applyNumberFormat="1" applyFont="1" applyFill="1" applyBorder="1" applyAlignment="1">
      <alignment horizontal="right" vertical="center"/>
    </xf>
    <xf numFmtId="2" fontId="0" fillId="22" borderId="1" xfId="2" applyNumberFormat="1" applyFont="1" applyFill="1" applyBorder="1" applyAlignment="1">
      <alignment vertical="center"/>
    </xf>
    <xf numFmtId="2" fontId="0" fillId="22" borderId="7" xfId="0" applyNumberFormat="1" applyFont="1" applyFill="1" applyBorder="1" applyAlignment="1">
      <alignment horizontal="center" vertical="center"/>
    </xf>
    <xf numFmtId="0" fontId="0" fillId="17" borderId="4" xfId="0" applyFont="1" applyFill="1" applyBorder="1"/>
    <xf numFmtId="0" fontId="0" fillId="17" borderId="15" xfId="0" applyFill="1" applyBorder="1"/>
    <xf numFmtId="2" fontId="0" fillId="16" borderId="1" xfId="0" applyNumberFormat="1" applyFont="1" applyFill="1" applyBorder="1" applyAlignment="1">
      <alignment horizontal="left"/>
    </xf>
    <xf numFmtId="2" fontId="0" fillId="16" borderId="1" xfId="0" applyNumberFormat="1" applyFont="1" applyFill="1" applyBorder="1" applyAlignment="1">
      <alignment horizontal="center"/>
    </xf>
    <xf numFmtId="2" fontId="33" fillId="0" borderId="0" xfId="0" applyNumberFormat="1" applyFont="1" applyBorder="1" applyAlignment="1">
      <alignment horizontal="center" vertical="center"/>
    </xf>
    <xf numFmtId="2" fontId="0" fillId="0" borderId="1" xfId="0" applyNumberFormat="1" applyFont="1" applyBorder="1" applyAlignment="1">
      <alignment horizontal="left" vertical="center"/>
    </xf>
    <xf numFmtId="2" fontId="0" fillId="5" borderId="0" xfId="0" applyNumberFormat="1" applyFont="1" applyFill="1" applyAlignment="1" applyProtection="1">
      <protection hidden="1"/>
    </xf>
    <xf numFmtId="2" fontId="0" fillId="22" borderId="1" xfId="0" applyNumberFormat="1" applyFont="1" applyFill="1" applyBorder="1" applyAlignment="1">
      <alignment horizontal="center"/>
    </xf>
    <xf numFmtId="2" fontId="0" fillId="0" borderId="0" xfId="0" applyNumberFormat="1" applyFont="1" applyBorder="1" applyAlignment="1"/>
    <xf numFmtId="2" fontId="0" fillId="5" borderId="0" xfId="0" applyNumberFormat="1" applyFont="1" applyFill="1" applyAlignment="1">
      <alignment horizontal="right"/>
    </xf>
    <xf numFmtId="2" fontId="0" fillId="22" borderId="0" xfId="0" applyNumberFormat="1" applyFont="1" applyFill="1" applyBorder="1" applyAlignment="1"/>
    <xf numFmtId="2" fontId="0" fillId="38" borderId="1" xfId="2" applyNumberFormat="1" applyFont="1" applyFill="1" applyBorder="1" applyAlignment="1"/>
    <xf numFmtId="2" fontId="0" fillId="38" borderId="1" xfId="2" applyNumberFormat="1" applyFont="1" applyFill="1" applyBorder="1" applyAlignment="1">
      <alignment horizontal="center"/>
    </xf>
    <xf numFmtId="2" fontId="0" fillId="38" borderId="1" xfId="0" applyNumberFormat="1" applyFont="1" applyFill="1" applyBorder="1" applyAlignment="1">
      <alignment horizontal="center"/>
    </xf>
    <xf numFmtId="2" fontId="0" fillId="26" borderId="1" xfId="2" applyNumberFormat="1" applyFont="1" applyFill="1" applyBorder="1" applyAlignment="1"/>
    <xf numFmtId="0" fontId="0" fillId="16" borderId="1" xfId="2" applyFont="1" applyFill="1" applyBorder="1" applyAlignment="1">
      <alignment horizontal="center" vertical="center" wrapText="1"/>
    </xf>
    <xf numFmtId="2" fontId="0" fillId="38" borderId="1" xfId="0" applyNumberFormat="1" applyFont="1" applyFill="1" applyBorder="1" applyAlignment="1"/>
    <xf numFmtId="2" fontId="0" fillId="26" borderId="1" xfId="2" applyNumberFormat="1" applyFont="1" applyFill="1" applyBorder="1" applyAlignment="1">
      <alignment horizontal="center"/>
    </xf>
    <xf numFmtId="2" fontId="0" fillId="26" borderId="1" xfId="0" applyNumberFormat="1" applyFont="1" applyFill="1" applyBorder="1" applyAlignment="1">
      <alignment horizontal="center"/>
    </xf>
    <xf numFmtId="2" fontId="10" fillId="26" borderId="1" xfId="0" applyNumberFormat="1" applyFont="1" applyFill="1" applyBorder="1" applyAlignment="1"/>
    <xf numFmtId="2" fontId="0" fillId="0" borderId="1" xfId="2" applyNumberFormat="1" applyFont="1" applyBorder="1" applyAlignment="1">
      <alignment horizontal="left"/>
    </xf>
    <xf numFmtId="2" fontId="0" fillId="0" borderId="5" xfId="0" applyNumberFormat="1" applyFont="1" applyBorder="1" applyAlignment="1"/>
    <xf numFmtId="2" fontId="0" fillId="0" borderId="0" xfId="0" applyNumberFormat="1" applyFont="1" applyBorder="1" applyAlignment="1">
      <alignment horizontal="right"/>
    </xf>
    <xf numFmtId="2" fontId="0" fillId="26" borderId="1" xfId="0" applyNumberFormat="1" applyFont="1" applyFill="1" applyBorder="1" applyAlignment="1" applyProtection="1">
      <protection hidden="1"/>
    </xf>
    <xf numFmtId="2" fontId="0" fillId="0" borderId="1" xfId="0" applyNumberFormat="1" applyFont="1" applyBorder="1" applyAlignment="1">
      <alignment horizontal="right"/>
    </xf>
    <xf numFmtId="2" fontId="0" fillId="0" borderId="2" xfId="0" applyNumberFormat="1" applyFont="1" applyBorder="1" applyAlignment="1"/>
    <xf numFmtId="2" fontId="0" fillId="32" borderId="1" xfId="0" applyNumberFormat="1" applyFont="1" applyFill="1" applyBorder="1" applyAlignment="1"/>
    <xf numFmtId="2" fontId="0" fillId="32" borderId="1" xfId="2" applyNumberFormat="1" applyFont="1" applyFill="1" applyBorder="1" applyAlignment="1">
      <alignment horizontal="left"/>
    </xf>
    <xf numFmtId="2" fontId="0" fillId="32" borderId="1" xfId="2" applyNumberFormat="1" applyFont="1" applyFill="1" applyBorder="1" applyAlignment="1">
      <alignment horizontal="center"/>
    </xf>
    <xf numFmtId="2" fontId="0" fillId="32" borderId="1" xfId="0" applyNumberFormat="1" applyFont="1" applyFill="1" applyBorder="1" applyAlignment="1">
      <alignment horizontal="center"/>
    </xf>
    <xf numFmtId="2" fontId="0" fillId="0" borderId="0" xfId="2" applyNumberFormat="1" applyFont="1" applyAlignment="1">
      <alignment horizontal="right"/>
    </xf>
    <xf numFmtId="2" fontId="0" fillId="32" borderId="2" xfId="2" applyNumberFormat="1" applyFont="1" applyFill="1" applyBorder="1" applyAlignment="1">
      <alignment horizontal="center"/>
    </xf>
    <xf numFmtId="2" fontId="0" fillId="0" borderId="0" xfId="2" applyNumberFormat="1" applyFont="1" applyBorder="1" applyAlignment="1">
      <alignment horizontal="right"/>
    </xf>
    <xf numFmtId="2" fontId="0" fillId="32" borderId="2" xfId="2" applyNumberFormat="1" applyFont="1" applyFill="1" applyBorder="1" applyAlignment="1">
      <alignment horizontal="left"/>
    </xf>
    <xf numFmtId="2" fontId="0" fillId="26" borderId="0" xfId="0" applyNumberFormat="1" applyFont="1" applyFill="1" applyBorder="1" applyAlignment="1" applyProtection="1">
      <protection hidden="1"/>
    </xf>
    <xf numFmtId="2" fontId="0" fillId="26" borderId="0" xfId="0" applyNumberFormat="1" applyFont="1" applyFill="1" applyAlignment="1"/>
    <xf numFmtId="2" fontId="0" fillId="0" borderId="0" xfId="0" applyNumberFormat="1" applyFont="1" applyAlignment="1" applyProtection="1">
      <protection hidden="1"/>
    </xf>
    <xf numFmtId="2" fontId="0" fillId="0" borderId="1" xfId="2" applyNumberFormat="1" applyFont="1" applyBorder="1" applyAlignment="1">
      <alignment vertical="center"/>
    </xf>
    <xf numFmtId="2" fontId="10" fillId="0" borderId="0" xfId="0" applyNumberFormat="1" applyFont="1" applyBorder="1" applyAlignment="1">
      <alignment horizontal="right"/>
    </xf>
    <xf numFmtId="2" fontId="0" fillId="32" borderId="0" xfId="0" applyNumberFormat="1" applyFont="1" applyFill="1" applyAlignment="1">
      <alignment horizontal="center"/>
    </xf>
    <xf numFmtId="2" fontId="0" fillId="32" borderId="2" xfId="2" applyNumberFormat="1" applyFont="1" applyFill="1" applyBorder="1" applyAlignment="1"/>
    <xf numFmtId="2" fontId="0" fillId="32" borderId="1" xfId="2" applyNumberFormat="1" applyFont="1" applyFill="1" applyBorder="1" applyAlignment="1"/>
    <xf numFmtId="2" fontId="10" fillId="13" borderId="2" xfId="0" applyNumberFormat="1" applyFont="1" applyFill="1" applyBorder="1" applyAlignment="1"/>
    <xf numFmtId="2" fontId="10" fillId="13" borderId="2" xfId="0" applyNumberFormat="1" applyFont="1" applyFill="1" applyBorder="1" applyAlignment="1">
      <alignment horizontal="center"/>
    </xf>
    <xf numFmtId="2" fontId="0" fillId="13" borderId="1" xfId="2" applyNumberFormat="1" applyFont="1" applyFill="1" applyBorder="1" applyAlignment="1">
      <alignment horizontal="center"/>
    </xf>
    <xf numFmtId="2" fontId="10" fillId="13" borderId="1" xfId="0" applyNumberFormat="1" applyFont="1" applyFill="1" applyBorder="1" applyAlignment="1"/>
    <xf numFmtId="2" fontId="0" fillId="13" borderId="1" xfId="0" applyNumberFormat="1" applyFont="1" applyFill="1" applyBorder="1" applyAlignment="1"/>
    <xf numFmtId="2" fontId="0" fillId="13" borderId="2" xfId="2" applyNumberFormat="1" applyFont="1" applyFill="1" applyBorder="1" applyAlignment="1"/>
    <xf numFmtId="2" fontId="0" fillId="13" borderId="2" xfId="2" applyNumberFormat="1" applyFont="1" applyFill="1" applyBorder="1" applyAlignment="1">
      <alignment horizontal="center"/>
    </xf>
    <xf numFmtId="2" fontId="0" fillId="13" borderId="1" xfId="0" applyNumberFormat="1" applyFont="1" applyFill="1" applyBorder="1" applyAlignment="1" applyProtection="1">
      <alignment horizontal="center"/>
      <protection hidden="1"/>
    </xf>
    <xf numFmtId="2" fontId="0" fillId="13" borderId="1" xfId="2" applyNumberFormat="1" applyFont="1" applyFill="1" applyBorder="1" applyAlignment="1"/>
    <xf numFmtId="2" fontId="46" fillId="0" borderId="0" xfId="0" applyNumberFormat="1" applyFont="1" applyAlignment="1">
      <alignment horizontal="right"/>
    </xf>
    <xf numFmtId="2" fontId="0" fillId="0" borderId="5" xfId="0" applyNumberFormat="1" applyFont="1" applyBorder="1" applyAlignment="1">
      <alignment horizontal="right"/>
    </xf>
    <xf numFmtId="2" fontId="0" fillId="16" borderId="2" xfId="0" applyNumberFormat="1" applyFont="1" applyFill="1" applyBorder="1" applyAlignment="1"/>
    <xf numFmtId="2" fontId="0" fillId="16" borderId="1" xfId="2" applyNumberFormat="1" applyFont="1" applyFill="1" applyBorder="1" applyAlignment="1">
      <alignment horizontal="center"/>
    </xf>
    <xf numFmtId="2" fontId="0" fillId="16" borderId="1" xfId="2" applyNumberFormat="1" applyFont="1" applyFill="1" applyBorder="1" applyAlignment="1"/>
    <xf numFmtId="2" fontId="0" fillId="32" borderId="1" xfId="0" applyNumberFormat="1" applyFont="1" applyFill="1" applyBorder="1" applyAlignment="1">
      <alignment horizontal="right"/>
    </xf>
    <xf numFmtId="2" fontId="0" fillId="32" borderId="6" xfId="0" applyNumberFormat="1" applyFont="1" applyFill="1" applyBorder="1" applyAlignment="1"/>
    <xf numFmtId="2" fontId="0" fillId="28" borderId="1" xfId="0" applyNumberFormat="1" applyFont="1" applyFill="1" applyBorder="1" applyAlignment="1"/>
    <xf numFmtId="2" fontId="0" fillId="28" borderId="0" xfId="0" applyNumberFormat="1" applyFont="1" applyFill="1" applyBorder="1" applyAlignment="1"/>
    <xf numFmtId="2" fontId="0" fillId="26" borderId="1" xfId="2" applyNumberFormat="1" applyFont="1" applyFill="1" applyBorder="1" applyAlignment="1">
      <alignment horizontal="right"/>
    </xf>
    <xf numFmtId="2" fontId="0" fillId="26" borderId="1" xfId="0" applyNumberFormat="1" applyFont="1" applyFill="1" applyBorder="1" applyAlignment="1" applyProtection="1">
      <alignment horizontal="right"/>
      <protection hidden="1"/>
    </xf>
    <xf numFmtId="2" fontId="0" fillId="26" borderId="1" xfId="0" applyNumberFormat="1" applyFont="1" applyFill="1" applyBorder="1" applyAlignment="1">
      <alignment horizontal="right"/>
    </xf>
    <xf numFmtId="2" fontId="0" fillId="26" borderId="5" xfId="0" applyNumberFormat="1" applyFont="1" applyFill="1" applyBorder="1" applyAlignment="1"/>
    <xf numFmtId="2" fontId="0" fillId="26" borderId="5" xfId="0" applyNumberFormat="1" applyFont="1" applyFill="1" applyBorder="1" applyAlignment="1" applyProtection="1">
      <protection hidden="1"/>
    </xf>
    <xf numFmtId="2" fontId="0" fillId="0" borderId="1" xfId="0" applyNumberFormat="1" applyFont="1" applyBorder="1" applyAlignment="1">
      <alignment horizontal="right"/>
    </xf>
    <xf numFmtId="2" fontId="0" fillId="0" borderId="9" xfId="2" applyNumberFormat="1" applyFont="1" applyBorder="1" applyAlignment="1"/>
    <xf numFmtId="2" fontId="0" fillId="26" borderId="7" xfId="0" applyNumberFormat="1" applyFont="1" applyFill="1" applyBorder="1" applyAlignment="1">
      <alignment horizontal="right"/>
    </xf>
    <xf numFmtId="2" fontId="0" fillId="0" borderId="7" xfId="0" applyNumberFormat="1" applyFont="1" applyBorder="1" applyAlignment="1">
      <alignment horizontal="right"/>
    </xf>
    <xf numFmtId="2" fontId="0" fillId="26" borderId="7" xfId="0" applyNumberFormat="1" applyFont="1" applyFill="1" applyBorder="1" applyAlignment="1" applyProtection="1">
      <alignment horizontal="right"/>
      <protection hidden="1"/>
    </xf>
    <xf numFmtId="2" fontId="0" fillId="0" borderId="9" xfId="2" applyNumberFormat="1" applyFont="1" applyBorder="1" applyAlignment="1">
      <alignment horizontal="center"/>
    </xf>
    <xf numFmtId="2" fontId="0" fillId="0" borderId="8" xfId="2" applyNumberFormat="1" applyFont="1" applyBorder="1" applyAlignment="1"/>
    <xf numFmtId="2" fontId="0" fillId="26" borderId="7" xfId="0" applyNumberFormat="1" applyFont="1" applyFill="1" applyBorder="1" applyAlignment="1"/>
    <xf numFmtId="2" fontId="0" fillId="0" borderId="7" xfId="0" applyNumberFormat="1" applyFont="1" applyBorder="1" applyAlignment="1">
      <alignment horizontal="right"/>
    </xf>
    <xf numFmtId="2" fontId="0" fillId="0" borderId="2" xfId="0" applyNumberFormat="1" applyFont="1" applyBorder="1" applyAlignment="1">
      <alignment wrapText="1"/>
    </xf>
    <xf numFmtId="2" fontId="0" fillId="0" borderId="1" xfId="2" applyNumberFormat="1" applyFont="1" applyBorder="1" applyAlignment="1">
      <alignment wrapText="1"/>
    </xf>
    <xf numFmtId="2" fontId="0" fillId="11" borderId="1" xfId="2" applyNumberFormat="1" applyFont="1" applyFill="1" applyBorder="1" applyAlignment="1">
      <alignment horizontal="center"/>
    </xf>
    <xf numFmtId="2" fontId="0" fillId="11" borderId="1" xfId="2" applyNumberFormat="1" applyFont="1" applyFill="1" applyBorder="1" applyAlignment="1"/>
    <xf numFmtId="2" fontId="22" fillId="2" borderId="1" xfId="2" applyNumberFormat="1" applyFont="1" applyFill="1" applyBorder="1" applyAlignment="1">
      <alignment horizontal="left"/>
    </xf>
    <xf numFmtId="2" fontId="22" fillId="2" borderId="7" xfId="2" applyNumberFormat="1" applyFont="1" applyFill="1" applyBorder="1" applyAlignment="1">
      <alignment horizontal="center"/>
    </xf>
    <xf numFmtId="2" fontId="22" fillId="2" borderId="1" xfId="2" applyNumberFormat="1" applyFont="1" applyFill="1" applyBorder="1" applyAlignment="1">
      <alignment horizontal="center"/>
    </xf>
    <xf numFmtId="2" fontId="0" fillId="11" borderId="1" xfId="2" applyNumberFormat="1" applyFont="1" applyFill="1" applyBorder="1" applyAlignment="1">
      <alignment horizontal="center" vertical="center"/>
    </xf>
    <xf numFmtId="2" fontId="36" fillId="0" borderId="7" xfId="2" applyNumberFormat="1" applyFont="1" applyBorder="1" applyAlignment="1"/>
    <xf numFmtId="2" fontId="0" fillId="0" borderId="7" xfId="2" applyNumberFormat="1" applyFont="1" applyBorder="1" applyAlignment="1"/>
    <xf numFmtId="2" fontId="0" fillId="0" borderId="1" xfId="2" applyNumberFormat="1" applyFont="1" applyBorder="1" applyAlignment="1">
      <alignment horizontal="left"/>
    </xf>
    <xf numFmtId="2" fontId="0" fillId="0" borderId="1" xfId="0" applyNumberFormat="1" applyFont="1" applyBorder="1" applyAlignment="1">
      <alignment horizontal="center"/>
    </xf>
    <xf numFmtId="2" fontId="0" fillId="0" borderId="0" xfId="2" applyNumberFormat="1" applyFont="1" applyBorder="1" applyAlignment="1">
      <alignment horizontal="center"/>
    </xf>
    <xf numFmtId="2" fontId="0" fillId="11" borderId="1" xfId="2" applyNumberFormat="1" applyFont="1" applyFill="1" applyBorder="1" applyAlignment="1">
      <alignment horizontal="left"/>
    </xf>
    <xf numFmtId="2" fontId="0" fillId="11" borderId="7" xfId="2" applyNumberFormat="1" applyFont="1" applyFill="1" applyBorder="1" applyAlignment="1">
      <alignment horizontal="center"/>
    </xf>
    <xf numFmtId="2" fontId="0" fillId="11" borderId="9" xfId="2" applyNumberFormat="1" applyFont="1" applyFill="1" applyBorder="1" applyAlignment="1">
      <alignment horizontal="center"/>
    </xf>
    <xf numFmtId="2" fontId="0" fillId="11" borderId="2" xfId="0" applyNumberFormat="1" applyFont="1" applyFill="1" applyBorder="1" applyAlignment="1"/>
    <xf numFmtId="2" fontId="0" fillId="11" borderId="9" xfId="0" applyNumberFormat="1" applyFont="1" applyFill="1" applyBorder="1" applyAlignment="1"/>
    <xf numFmtId="2" fontId="0" fillId="32" borderId="1" xfId="0" applyNumberFormat="1" applyFont="1" applyFill="1" applyBorder="1" applyAlignment="1" applyProtection="1">
      <protection hidden="1"/>
    </xf>
    <xf numFmtId="2" fontId="0" fillId="0" borderId="7" xfId="2" applyNumberFormat="1" applyFont="1" applyBorder="1" applyAlignment="1">
      <alignment horizontal="center"/>
    </xf>
    <xf numFmtId="2" fontId="0" fillId="0" borderId="2" xfId="2" applyNumberFormat="1" applyFont="1" applyBorder="1" applyAlignment="1">
      <alignment horizontal="center"/>
    </xf>
    <xf numFmtId="2" fontId="0" fillId="0" borderId="8" xfId="2" applyNumberFormat="1" applyFont="1" applyBorder="1" applyAlignment="1">
      <alignment horizontal="center"/>
    </xf>
    <xf numFmtId="2" fontId="0" fillId="31" borderId="1" xfId="2" applyNumberFormat="1" applyFont="1" applyFill="1" applyBorder="1" applyAlignment="1">
      <alignment horizontal="right"/>
    </xf>
    <xf numFmtId="2" fontId="0" fillId="31" borderId="1" xfId="0" applyNumberFormat="1" applyFont="1" applyFill="1" applyBorder="1" applyAlignment="1" applyProtection="1">
      <alignment horizontal="right"/>
      <protection hidden="1"/>
    </xf>
    <xf numFmtId="2" fontId="0" fillId="31" borderId="1" xfId="0" applyNumberFormat="1" applyFont="1" applyFill="1" applyBorder="1" applyAlignment="1">
      <alignment horizontal="right"/>
    </xf>
    <xf numFmtId="2" fontId="0" fillId="0" borderId="1" xfId="0" applyNumberFormat="1" applyFont="1" applyBorder="1" applyAlignment="1" applyProtection="1">
      <protection hidden="1"/>
    </xf>
    <xf numFmtId="2" fontId="0" fillId="0" borderId="0" xfId="0" applyNumberFormat="1" applyFont="1" applyAlignment="1" applyProtection="1">
      <protection hidden="1"/>
    </xf>
    <xf numFmtId="2" fontId="0" fillId="0" borderId="0" xfId="0" applyNumberFormat="1" applyFont="1" applyAlignment="1"/>
    <xf numFmtId="2" fontId="10" fillId="0" borderId="1" xfId="2" applyNumberFormat="1" applyFont="1" applyBorder="1" applyAlignment="1">
      <alignment horizontal="left"/>
    </xf>
    <xf numFmtId="2" fontId="10" fillId="11" borderId="7" xfId="2" applyNumberFormat="1" applyFont="1" applyFill="1" applyBorder="1" applyAlignment="1">
      <alignment horizontal="center"/>
    </xf>
    <xf numFmtId="2" fontId="10" fillId="0" borderId="1" xfId="0" applyNumberFormat="1" applyFont="1" applyBorder="1" applyAlignment="1">
      <alignment horizontal="center"/>
    </xf>
    <xf numFmtId="2" fontId="10" fillId="0" borderId="1" xfId="0" applyNumberFormat="1" applyFont="1" applyBorder="1" applyAlignment="1"/>
    <xf numFmtId="2" fontId="0" fillId="0" borderId="1" xfId="0" applyNumberFormat="1" applyFont="1" applyBorder="1" applyAlignment="1" applyProtection="1">
      <protection hidden="1"/>
    </xf>
    <xf numFmtId="2" fontId="10" fillId="0" borderId="1" xfId="2" applyNumberFormat="1" applyFont="1" applyBorder="1" applyAlignment="1">
      <alignment horizontal="center"/>
    </xf>
    <xf numFmtId="2" fontId="46" fillId="32" borderId="1" xfId="0" applyNumberFormat="1" applyFont="1" applyFill="1" applyBorder="1" applyAlignment="1" applyProtection="1">
      <protection hidden="1"/>
    </xf>
    <xf numFmtId="2" fontId="46" fillId="32" borderId="1" xfId="0" applyNumberFormat="1" applyFont="1" applyFill="1" applyBorder="1" applyAlignment="1"/>
    <xf numFmtId="2" fontId="10" fillId="0" borderId="1" xfId="2" applyNumberFormat="1" applyFont="1" applyBorder="1" applyAlignment="1"/>
    <xf numFmtId="2" fontId="0" fillId="32" borderId="0" xfId="0" applyNumberFormat="1" applyFont="1" applyFill="1" applyAlignment="1" applyProtection="1">
      <protection hidden="1"/>
    </xf>
    <xf numFmtId="2" fontId="0" fillId="10" borderId="1" xfId="2" applyNumberFormat="1" applyFont="1" applyFill="1" applyBorder="1" applyAlignment="1">
      <alignment horizontal="center"/>
    </xf>
    <xf numFmtId="2" fontId="0" fillId="10" borderId="1" xfId="2" applyNumberFormat="1" applyFont="1" applyFill="1" applyBorder="1" applyAlignment="1">
      <alignment horizontal="right"/>
    </xf>
    <xf numFmtId="2" fontId="0" fillId="10" borderId="1" xfId="0" applyNumberFormat="1" applyFont="1" applyFill="1" applyBorder="1" applyAlignment="1">
      <alignment horizontal="right"/>
    </xf>
    <xf numFmtId="2" fontId="29" fillId="39" borderId="1" xfId="0" applyNumberFormat="1" applyFont="1" applyFill="1" applyBorder="1" applyAlignment="1" applyProtection="1">
      <alignment horizontal="center"/>
      <protection hidden="1"/>
    </xf>
    <xf numFmtId="2" fontId="0" fillId="20" borderId="1" xfId="0" applyNumberFormat="1" applyFont="1" applyFill="1" applyBorder="1" applyAlignment="1">
      <alignment horizontal="center"/>
    </xf>
    <xf numFmtId="2" fontId="0" fillId="20" borderId="1" xfId="2" applyNumberFormat="1" applyFont="1" applyFill="1" applyBorder="1" applyAlignment="1">
      <alignment horizontal="right"/>
    </xf>
    <xf numFmtId="2" fontId="0" fillId="20" borderId="1" xfId="0" applyNumberFormat="1" applyFont="1" applyFill="1" applyBorder="1" applyAlignment="1">
      <alignment horizontal="right"/>
    </xf>
    <xf numFmtId="2" fontId="0" fillId="20" borderId="1" xfId="0" applyNumberFormat="1" applyFont="1" applyFill="1" applyBorder="1" applyAlignment="1" applyProtection="1">
      <alignment horizontal="right"/>
      <protection hidden="1"/>
    </xf>
    <xf numFmtId="2" fontId="10" fillId="11" borderId="1" xfId="2" applyNumberFormat="1" applyFont="1" applyFill="1" applyBorder="1" applyAlignment="1">
      <alignment horizontal="center"/>
    </xf>
    <xf numFmtId="2" fontId="0" fillId="32" borderId="0" xfId="0" applyNumberFormat="1" applyFont="1" applyFill="1" applyBorder="1" applyAlignment="1" applyProtection="1">
      <protection hidden="1"/>
    </xf>
    <xf numFmtId="2" fontId="0" fillId="32" borderId="0" xfId="0" applyNumberFormat="1" applyFont="1" applyFill="1" applyBorder="1" applyAlignment="1"/>
    <xf numFmtId="2" fontId="10" fillId="0" borderId="7" xfId="2" applyNumberFormat="1" applyFont="1" applyBorder="1" applyAlignment="1">
      <alignment horizontal="center"/>
    </xf>
    <xf numFmtId="2" fontId="10" fillId="0" borderId="1" xfId="2" applyNumberFormat="1" applyFont="1" applyBorder="1" applyAlignment="1">
      <alignment horizontal="center"/>
    </xf>
    <xf numFmtId="2" fontId="10" fillId="0" borderId="1" xfId="0" applyNumberFormat="1" applyFont="1" applyBorder="1" applyAlignment="1"/>
    <xf numFmtId="2" fontId="0" fillId="0" borderId="0" xfId="0" applyNumberFormat="1" applyFont="1" applyBorder="1" applyAlignment="1" applyProtection="1">
      <protection hidden="1"/>
    </xf>
    <xf numFmtId="2" fontId="0" fillId="37" borderId="1" xfId="0" applyNumberFormat="1" applyFont="1" applyFill="1" applyBorder="1" applyAlignment="1"/>
    <xf numFmtId="2" fontId="0" fillId="37" borderId="0" xfId="0" applyNumberFormat="1" applyFont="1" applyFill="1" applyBorder="1" applyAlignment="1"/>
    <xf numFmtId="2" fontId="0" fillId="34" borderId="1" xfId="0" applyNumberFormat="1" applyFont="1" applyFill="1" applyBorder="1" applyAlignment="1" applyProtection="1">
      <protection hidden="1"/>
    </xf>
    <xf numFmtId="2" fontId="0" fillId="32" borderId="1" xfId="2" applyNumberFormat="1" applyFont="1" applyFill="1" applyBorder="1" applyAlignment="1">
      <alignment horizontal="right"/>
    </xf>
    <xf numFmtId="2" fontId="10" fillId="32" borderId="7" xfId="2" applyNumberFormat="1" applyFont="1" applyFill="1" applyBorder="1" applyAlignment="1">
      <alignment horizontal="center"/>
    </xf>
    <xf numFmtId="2" fontId="10" fillId="32" borderId="1" xfId="2" applyNumberFormat="1" applyFont="1" applyFill="1" applyBorder="1" applyAlignment="1">
      <alignment horizontal="center"/>
    </xf>
    <xf numFmtId="2" fontId="10" fillId="37" borderId="1" xfId="0" applyNumberFormat="1" applyFont="1" applyFill="1" applyBorder="1" applyAlignment="1"/>
    <xf numFmtId="2" fontId="0" fillId="37" borderId="1" xfId="2" applyNumberFormat="1" applyFont="1" applyFill="1" applyBorder="1" applyAlignment="1">
      <alignment horizontal="center"/>
    </xf>
    <xf numFmtId="2" fontId="46" fillId="32" borderId="1" xfId="0" applyNumberFormat="1" applyFont="1" applyFill="1" applyBorder="1" applyAlignment="1">
      <alignment horizontal="right"/>
    </xf>
    <xf numFmtId="2" fontId="46" fillId="32" borderId="0" xfId="0" applyNumberFormat="1" applyFont="1" applyFill="1" applyBorder="1" applyAlignment="1">
      <alignment horizontal="right"/>
    </xf>
    <xf numFmtId="2" fontId="0" fillId="32" borderId="0" xfId="2" applyNumberFormat="1" applyFont="1" applyFill="1" applyBorder="1" applyAlignment="1">
      <alignment horizontal="right"/>
    </xf>
    <xf numFmtId="2" fontId="0" fillId="0" borderId="0" xfId="0" applyNumberFormat="1" applyFont="1" applyBorder="1" applyAlignment="1" applyProtection="1">
      <protection hidden="1"/>
    </xf>
    <xf numFmtId="2" fontId="0" fillId="37" borderId="1" xfId="2" applyNumberFormat="1" applyFont="1" applyFill="1" applyBorder="1" applyAlignment="1">
      <alignment horizontal="right"/>
    </xf>
    <xf numFmtId="2" fontId="0" fillId="32" borderId="0" xfId="0" applyNumberFormat="1" applyFont="1" applyFill="1" applyBorder="1" applyAlignment="1">
      <alignment horizontal="right"/>
    </xf>
    <xf numFmtId="2" fontId="0" fillId="37" borderId="0" xfId="2" applyNumberFormat="1" applyFont="1" applyFill="1" applyBorder="1" applyAlignment="1">
      <alignment horizontal="center"/>
    </xf>
    <xf numFmtId="2" fontId="10" fillId="11" borderId="1" xfId="2" applyNumberFormat="1" applyFont="1" applyFill="1" applyBorder="1" applyAlignment="1">
      <alignment horizontal="left"/>
    </xf>
    <xf numFmtId="2" fontId="0" fillId="11" borderId="1" xfId="0" applyNumberFormat="1" applyFont="1" applyFill="1" applyBorder="1" applyAlignment="1" applyProtection="1">
      <alignment horizontal="center"/>
      <protection hidden="1"/>
    </xf>
    <xf numFmtId="2" fontId="0" fillId="0" borderId="9" xfId="0" applyNumberFormat="1" applyFont="1" applyBorder="1" applyAlignment="1">
      <alignment horizontal="center"/>
    </xf>
    <xf numFmtId="2" fontId="0" fillId="0" borderId="5" xfId="2" applyNumberFormat="1" applyFont="1" applyBorder="1" applyAlignment="1">
      <alignment horizontal="left"/>
    </xf>
    <xf numFmtId="2" fontId="0" fillId="30" borderId="1" xfId="0" applyNumberFormat="1" applyFont="1" applyFill="1" applyBorder="1" applyAlignment="1"/>
    <xf numFmtId="2" fontId="0" fillId="30" borderId="1" xfId="0" applyNumberFormat="1" applyFont="1" applyFill="1" applyBorder="1" applyAlignment="1" applyProtection="1">
      <protection hidden="1"/>
    </xf>
    <xf numFmtId="2" fontId="29" fillId="2" borderId="5" xfId="2" applyNumberFormat="1" applyFont="1" applyFill="1" applyBorder="1" applyAlignment="1">
      <alignment horizontal="left"/>
    </xf>
    <xf numFmtId="2" fontId="29" fillId="2" borderId="7" xfId="2" applyNumberFormat="1" applyFont="1" applyFill="1" applyBorder="1" applyAlignment="1">
      <alignment horizontal="center"/>
    </xf>
    <xf numFmtId="2" fontId="29" fillId="2" borderId="1" xfId="2" applyNumberFormat="1" applyFont="1" applyFill="1" applyBorder="1" applyAlignment="1">
      <alignment horizontal="center"/>
    </xf>
    <xf numFmtId="2" fontId="29" fillId="2" borderId="1" xfId="0" applyNumberFormat="1" applyFont="1" applyFill="1" applyBorder="1" applyAlignment="1"/>
    <xf numFmtId="2" fontId="29" fillId="2" borderId="1" xfId="2" applyNumberFormat="1" applyFont="1" applyFill="1" applyBorder="1" applyAlignment="1"/>
    <xf numFmtId="2" fontId="0" fillId="32" borderId="5" xfId="2" applyNumberFormat="1" applyFont="1" applyFill="1" applyBorder="1" applyAlignment="1">
      <alignment horizontal="left"/>
    </xf>
    <xf numFmtId="2" fontId="0" fillId="32" borderId="7" xfId="2" applyNumberFormat="1" applyFont="1" applyFill="1" applyBorder="1" applyAlignment="1">
      <alignment horizontal="center"/>
    </xf>
    <xf numFmtId="2" fontId="0" fillId="11" borderId="6" xfId="2" applyNumberFormat="1" applyFont="1" applyFill="1" applyBorder="1" applyAlignment="1">
      <alignment horizontal="center"/>
    </xf>
    <xf numFmtId="2" fontId="0" fillId="0" borderId="5" xfId="2" applyNumberFormat="1" applyFont="1" applyBorder="1" applyAlignment="1">
      <alignment horizontal="center"/>
    </xf>
    <xf numFmtId="2" fontId="0" fillId="0" borderId="5" xfId="2" applyNumberFormat="1" applyFont="1" applyBorder="1" applyAlignment="1"/>
    <xf numFmtId="2" fontId="0" fillId="11" borderId="2" xfId="2" applyNumberFormat="1" applyFont="1" applyFill="1" applyBorder="1" applyAlignment="1"/>
    <xf numFmtId="2" fontId="0" fillId="11" borderId="8" xfId="2" applyNumberFormat="1" applyFont="1" applyFill="1" applyBorder="1" applyAlignment="1">
      <alignment horizontal="center"/>
    </xf>
    <xf numFmtId="2" fontId="0" fillId="0" borderId="2" xfId="2" applyNumberFormat="1" applyFont="1" applyBorder="1" applyAlignment="1">
      <alignment horizontal="left"/>
    </xf>
    <xf numFmtId="2" fontId="0" fillId="10" borderId="2" xfId="2" applyNumberFormat="1" applyFont="1" applyFill="1" applyBorder="1" applyAlignment="1">
      <alignment horizontal="left"/>
    </xf>
    <xf numFmtId="2" fontId="0" fillId="10" borderId="1" xfId="0" applyNumberFormat="1" applyFont="1" applyFill="1" applyBorder="1" applyAlignment="1">
      <alignment horizontal="center"/>
    </xf>
    <xf numFmtId="2" fontId="0" fillId="10" borderId="1" xfId="0" applyNumberFormat="1" applyFont="1" applyFill="1" applyBorder="1" applyAlignment="1"/>
    <xf numFmtId="2" fontId="0" fillId="10" borderId="1" xfId="2" applyNumberFormat="1" applyFont="1" applyFill="1" applyBorder="1" applyAlignment="1"/>
    <xf numFmtId="2" fontId="0" fillId="10" borderId="2" xfId="2" applyNumberFormat="1" applyFont="1" applyFill="1" applyBorder="1" applyAlignment="1"/>
    <xf numFmtId="2" fontId="0" fillId="26" borderId="2" xfId="2" applyNumberFormat="1" applyFont="1" applyFill="1" applyBorder="1" applyAlignment="1"/>
    <xf numFmtId="2" fontId="0" fillId="26" borderId="2" xfId="2" applyNumberFormat="1" applyFont="1" applyFill="1" applyBorder="1" applyAlignment="1">
      <alignment horizontal="left"/>
    </xf>
    <xf numFmtId="2" fontId="0" fillId="0" borderId="2" xfId="2" applyNumberFormat="1" applyFont="1" applyBorder="1" applyAlignment="1"/>
    <xf numFmtId="2" fontId="0" fillId="38" borderId="7" xfId="2" applyNumberFormat="1" applyFont="1" applyFill="1" applyBorder="1" applyAlignment="1">
      <alignment horizontal="center"/>
    </xf>
    <xf numFmtId="2" fontId="0" fillId="38" borderId="1" xfId="0" applyNumberFormat="1" applyFont="1" applyFill="1" applyBorder="1" applyAlignment="1" applyProtection="1">
      <protection hidden="1"/>
    </xf>
    <xf numFmtId="2" fontId="0" fillId="17" borderId="1" xfId="0" applyNumberFormat="1" applyFont="1" applyFill="1" applyBorder="1" applyAlignment="1"/>
    <xf numFmtId="2" fontId="0" fillId="17" borderId="1" xfId="0" applyNumberFormat="1" applyFont="1" applyFill="1" applyBorder="1" applyAlignment="1" applyProtection="1">
      <protection hidden="1"/>
    </xf>
    <xf numFmtId="2" fontId="0" fillId="38" borderId="0" xfId="0" applyNumberFormat="1" applyFont="1" applyFill="1" applyAlignment="1"/>
    <xf numFmtId="2" fontId="0" fillId="38" borderId="6" xfId="2" applyNumberFormat="1" applyFont="1" applyFill="1" applyBorder="1" applyAlignment="1">
      <alignment horizontal="center" vertical="center"/>
    </xf>
    <xf numFmtId="2" fontId="0" fillId="38" borderId="9" xfId="0" applyNumberFormat="1" applyFont="1" applyFill="1" applyBorder="1" applyAlignment="1">
      <alignment horizontal="center"/>
    </xf>
    <xf numFmtId="2" fontId="0" fillId="0" borderId="6" xfId="2" applyNumberFormat="1" applyFont="1" applyBorder="1" applyAlignment="1">
      <alignment horizontal="center" vertical="center"/>
    </xf>
    <xf numFmtId="2" fontId="0" fillId="0" borderId="7" xfId="2" applyNumberFormat="1" applyFont="1" applyBorder="1" applyAlignment="1">
      <alignment horizontal="center" vertical="center"/>
    </xf>
    <xf numFmtId="2" fontId="0" fillId="38" borderId="7" xfId="2" applyNumberFormat="1" applyFont="1" applyFill="1" applyBorder="1" applyAlignment="1">
      <alignment horizontal="left" vertical="center"/>
    </xf>
    <xf numFmtId="2" fontId="0" fillId="30" borderId="7" xfId="2" applyNumberFormat="1" applyFont="1" applyFill="1" applyBorder="1" applyAlignment="1">
      <alignment horizontal="center"/>
    </xf>
    <xf numFmtId="2" fontId="0" fillId="30" borderId="1" xfId="2" applyNumberFormat="1" applyFont="1" applyFill="1" applyBorder="1" applyAlignment="1">
      <alignment horizontal="center"/>
    </xf>
    <xf numFmtId="2" fontId="0" fillId="34" borderId="1" xfId="0" applyNumberFormat="1" applyFont="1" applyFill="1" applyBorder="1" applyAlignment="1">
      <alignment horizontal="left"/>
    </xf>
    <xf numFmtId="2" fontId="0" fillId="34" borderId="7" xfId="0" applyNumberFormat="1" applyFont="1" applyFill="1" applyBorder="1" applyAlignment="1">
      <alignment horizontal="center"/>
    </xf>
    <xf numFmtId="2" fontId="0" fillId="34" borderId="1" xfId="0" applyNumberFormat="1" applyFont="1" applyFill="1" applyBorder="1" applyAlignment="1">
      <alignment horizontal="center"/>
    </xf>
    <xf numFmtId="2" fontId="0" fillId="34" borderId="1" xfId="0" applyNumberFormat="1" applyFont="1" applyFill="1" applyBorder="1" applyAlignment="1"/>
    <xf numFmtId="2" fontId="0" fillId="34" borderId="1" xfId="2" applyNumberFormat="1" applyFont="1" applyFill="1" applyBorder="1" applyAlignment="1"/>
    <xf numFmtId="2" fontId="0" fillId="34" borderId="9" xfId="0" applyNumberFormat="1" applyFont="1" applyFill="1" applyBorder="1" applyAlignment="1">
      <alignment horizontal="center"/>
    </xf>
    <xf numFmtId="2" fontId="0" fillId="34" borderId="0" xfId="0" applyNumberFormat="1" applyFont="1" applyFill="1" applyAlignment="1"/>
    <xf numFmtId="2" fontId="0" fillId="0" borderId="1" xfId="0" applyNumberFormat="1" applyFont="1" applyBorder="1" applyAlignment="1">
      <alignment horizontal="left"/>
    </xf>
    <xf numFmtId="2" fontId="0" fillId="30" borderId="7" xfId="0" applyNumberFormat="1" applyFont="1" applyFill="1" applyBorder="1" applyAlignment="1">
      <alignment horizontal="center"/>
    </xf>
    <xf numFmtId="2" fontId="0" fillId="30" borderId="1" xfId="0" applyNumberFormat="1" applyFont="1" applyFill="1" applyBorder="1" applyAlignment="1">
      <alignment horizontal="center"/>
    </xf>
    <xf numFmtId="2" fontId="0" fillId="0" borderId="7" xfId="0" applyNumberFormat="1" applyFont="1" applyBorder="1" applyAlignment="1">
      <alignment horizontal="center"/>
    </xf>
    <xf numFmtId="2" fontId="0" fillId="0" borderId="7" xfId="0" applyNumberFormat="1" applyFont="1" applyBorder="1" applyAlignment="1"/>
    <xf numFmtId="2" fontId="29" fillId="29" borderId="1" xfId="0" applyNumberFormat="1" applyFont="1" applyFill="1" applyBorder="1" applyAlignment="1">
      <alignment horizontal="left"/>
    </xf>
    <xf numFmtId="2" fontId="29" fillId="29" borderId="7" xfId="0" applyNumberFormat="1" applyFont="1" applyFill="1" applyBorder="1" applyAlignment="1">
      <alignment horizontal="center"/>
    </xf>
    <xf numFmtId="2" fontId="29" fillId="29" borderId="1" xfId="0" applyNumberFormat="1" applyFont="1" applyFill="1" applyBorder="1" applyAlignment="1">
      <alignment horizontal="center"/>
    </xf>
    <xf numFmtId="2" fontId="29" fillId="29" borderId="1" xfId="0" applyNumberFormat="1" applyFont="1" applyFill="1" applyBorder="1" applyAlignment="1"/>
    <xf numFmtId="2" fontId="29" fillId="29" borderId="1" xfId="2" applyNumberFormat="1" applyFont="1" applyFill="1" applyBorder="1" applyAlignment="1"/>
    <xf numFmtId="2" fontId="0" fillId="33" borderId="1" xfId="0" applyNumberFormat="1" applyFont="1" applyFill="1" applyBorder="1" applyAlignment="1"/>
    <xf numFmtId="2" fontId="0" fillId="33" borderId="1" xfId="2" applyNumberFormat="1" applyFont="1" applyFill="1" applyBorder="1" applyAlignment="1">
      <alignment horizontal="center"/>
    </xf>
    <xf numFmtId="2" fontId="0" fillId="33" borderId="1" xfId="0" applyNumberFormat="1" applyFont="1" applyFill="1" applyBorder="1" applyAlignment="1">
      <alignment horizontal="center"/>
    </xf>
    <xf numFmtId="2" fontId="0" fillId="33" borderId="1" xfId="2" applyNumberFormat="1" applyFont="1" applyFill="1" applyBorder="1" applyAlignment="1"/>
    <xf numFmtId="2" fontId="0" fillId="27" borderId="1" xfId="0" applyNumberFormat="1" applyFont="1" applyFill="1" applyBorder="1" applyAlignment="1">
      <alignment horizontal="left"/>
    </xf>
    <xf numFmtId="2" fontId="0" fillId="27" borderId="1" xfId="0" applyNumberFormat="1" applyFont="1" applyFill="1" applyBorder="1" applyAlignment="1">
      <alignment horizontal="center"/>
    </xf>
    <xf numFmtId="2" fontId="0" fillId="27" borderId="1" xfId="0" applyNumberFormat="1" applyFont="1" applyFill="1" applyBorder="1" applyAlignment="1">
      <alignment horizontal="right"/>
    </xf>
    <xf numFmtId="2" fontId="0" fillId="35" borderId="1" xfId="0" applyNumberFormat="1" applyFont="1" applyFill="1" applyBorder="1" applyAlignment="1">
      <alignment horizontal="left"/>
    </xf>
    <xf numFmtId="2" fontId="0" fillId="35" borderId="1" xfId="0" applyNumberFormat="1" applyFont="1" applyFill="1" applyBorder="1" applyAlignment="1">
      <alignment horizontal="center"/>
    </xf>
    <xf numFmtId="2" fontId="0" fillId="35" borderId="1" xfId="0" applyNumberFormat="1" applyFont="1" applyFill="1" applyBorder="1" applyAlignment="1">
      <alignment horizontal="right"/>
    </xf>
    <xf numFmtId="2" fontId="22" fillId="40" borderId="1" xfId="2" applyNumberFormat="1" applyFont="1" applyFill="1" applyBorder="1" applyAlignment="1">
      <alignment horizontal="left"/>
    </xf>
    <xf numFmtId="2" fontId="22" fillId="40" borderId="7" xfId="2" applyNumberFormat="1" applyFont="1" applyFill="1" applyBorder="1" applyAlignment="1">
      <alignment horizontal="center"/>
    </xf>
    <xf numFmtId="2" fontId="22" fillId="40" borderId="1" xfId="2" applyNumberFormat="1" applyFont="1" applyFill="1" applyBorder="1" applyAlignment="1">
      <alignment horizontal="center"/>
    </xf>
    <xf numFmtId="2" fontId="22" fillId="40" borderId="1" xfId="0" applyNumberFormat="1" applyFont="1" applyFill="1" applyBorder="1" applyAlignment="1"/>
    <xf numFmtId="2" fontId="22" fillId="40" borderId="1" xfId="2" applyNumberFormat="1" applyFont="1" applyFill="1" applyBorder="1" applyAlignment="1"/>
    <xf numFmtId="2" fontId="10" fillId="32" borderId="1" xfId="2" applyNumberFormat="1" applyFont="1" applyFill="1" applyBorder="1" applyAlignment="1"/>
    <xf numFmtId="2" fontId="22" fillId="29" borderId="1" xfId="0" applyNumberFormat="1" applyFont="1" applyFill="1" applyBorder="1" applyAlignment="1"/>
    <xf numFmtId="2" fontId="22" fillId="29" borderId="7" xfId="2" applyNumberFormat="1" applyFont="1" applyFill="1" applyBorder="1" applyAlignment="1">
      <alignment horizontal="center"/>
    </xf>
    <xf numFmtId="2" fontId="22" fillId="29" borderId="1" xfId="2" applyNumberFormat="1" applyFont="1" applyFill="1" applyBorder="1" applyAlignment="1">
      <alignment horizontal="center"/>
    </xf>
    <xf numFmtId="2" fontId="22" fillId="29" borderId="1" xfId="2" applyNumberFormat="1" applyFont="1" applyFill="1" applyBorder="1" applyAlignment="1"/>
    <xf numFmtId="2" fontId="22" fillId="12" borderId="1" xfId="2" applyNumberFormat="1" applyFont="1" applyFill="1" applyBorder="1" applyAlignment="1">
      <alignment horizontal="left"/>
    </xf>
    <xf numFmtId="2" fontId="22" fillId="12" borderId="7" xfId="2" applyNumberFormat="1" applyFont="1" applyFill="1" applyBorder="1" applyAlignment="1">
      <alignment horizontal="center"/>
    </xf>
    <xf numFmtId="2" fontId="22" fillId="12" borderId="1" xfId="2" applyNumberFormat="1" applyFont="1" applyFill="1" applyBorder="1" applyAlignment="1">
      <alignment horizontal="center"/>
    </xf>
    <xf numFmtId="2" fontId="22" fillId="12" borderId="1" xfId="0" applyNumberFormat="1" applyFont="1" applyFill="1" applyBorder="1" applyAlignment="1"/>
    <xf numFmtId="2" fontId="22" fillId="12" borderId="1" xfId="2" applyNumberFormat="1" applyFont="1" applyFill="1" applyBorder="1" applyAlignment="1"/>
    <xf numFmtId="2" fontId="22" fillId="2" borderId="1" xfId="0" applyNumberFormat="1" applyFont="1" applyFill="1" applyBorder="1" applyAlignment="1"/>
    <xf numFmtId="2" fontId="22" fillId="2" borderId="1" xfId="2" applyNumberFormat="1" applyFont="1" applyFill="1" applyBorder="1" applyAlignment="1"/>
    <xf numFmtId="2" fontId="29" fillId="3" borderId="1" xfId="2" applyNumberFormat="1" applyFont="1" applyFill="1" applyBorder="1" applyAlignment="1">
      <alignment horizontal="left"/>
    </xf>
    <xf numFmtId="2" fontId="29" fillId="3" borderId="7" xfId="2" applyNumberFormat="1" applyFont="1" applyFill="1" applyBorder="1" applyAlignment="1">
      <alignment horizontal="center"/>
    </xf>
    <xf numFmtId="2" fontId="29" fillId="3" borderId="1" xfId="2" applyNumberFormat="1" applyFont="1" applyFill="1" applyBorder="1" applyAlignment="1">
      <alignment horizontal="center"/>
    </xf>
    <xf numFmtId="2" fontId="29" fillId="3" borderId="1" xfId="0" applyNumberFormat="1" applyFont="1" applyFill="1" applyBorder="1" applyAlignment="1"/>
    <xf numFmtId="2" fontId="29" fillId="3" borderId="1" xfId="2" applyNumberFormat="1" applyFont="1" applyFill="1" applyBorder="1" applyAlignment="1"/>
    <xf numFmtId="2" fontId="22" fillId="30" borderId="1" xfId="2" applyNumberFormat="1" applyFont="1" applyFill="1" applyBorder="1" applyAlignment="1">
      <alignment horizontal="left"/>
    </xf>
    <xf numFmtId="2" fontId="22" fillId="30" borderId="1" xfId="2" applyNumberFormat="1" applyFont="1" applyFill="1" applyBorder="1" applyAlignment="1">
      <alignment horizontal="center"/>
    </xf>
    <xf numFmtId="2" fontId="22" fillId="30" borderId="1" xfId="0" applyNumberFormat="1" applyFont="1" applyFill="1" applyBorder="1" applyAlignment="1"/>
    <xf numFmtId="2" fontId="22" fillId="30" borderId="1" xfId="2" applyNumberFormat="1" applyFont="1" applyFill="1" applyBorder="1" applyAlignment="1"/>
    <xf numFmtId="2" fontId="0" fillId="41" borderId="1" xfId="0" applyNumberFormat="1" applyFont="1" applyFill="1" applyBorder="1" applyAlignment="1">
      <alignment horizontal="center"/>
    </xf>
    <xf numFmtId="2" fontId="0" fillId="41" borderId="1" xfId="0" applyNumberFormat="1" applyFont="1" applyFill="1" applyBorder="1" applyAlignment="1"/>
    <xf numFmtId="2" fontId="22" fillId="30" borderId="7" xfId="2" applyNumberFormat="1" applyFont="1" applyFill="1" applyBorder="1" applyAlignment="1">
      <alignment horizontal="center"/>
    </xf>
    <xf numFmtId="2" fontId="0" fillId="30" borderId="9" xfId="0" applyNumberFormat="1" applyFont="1" applyFill="1" applyBorder="1" applyAlignment="1"/>
    <xf numFmtId="2" fontId="0" fillId="30" borderId="8" xfId="0" applyNumberFormat="1" applyFont="1" applyFill="1" applyBorder="1" applyAlignment="1" applyProtection="1">
      <protection hidden="1"/>
    </xf>
    <xf numFmtId="2" fontId="0" fillId="11" borderId="2" xfId="0" applyNumberFormat="1" applyFont="1" applyFill="1" applyBorder="1" applyAlignment="1">
      <alignment horizontal="center"/>
    </xf>
    <xf numFmtId="2" fontId="0" fillId="11" borderId="9" xfId="0" applyNumberFormat="1" applyFont="1" applyFill="1" applyBorder="1" applyAlignment="1">
      <alignment horizontal="center"/>
    </xf>
    <xf numFmtId="2" fontId="0" fillId="11" borderId="8" xfId="0" applyNumberFormat="1" applyFont="1" applyFill="1" applyBorder="1" applyAlignment="1">
      <alignment horizontal="center"/>
    </xf>
    <xf numFmtId="2" fontId="0" fillId="11" borderId="1" xfId="0" applyNumberFormat="1" applyFont="1" applyFill="1" applyBorder="1" applyAlignment="1" applyProtection="1">
      <protection hidden="1"/>
    </xf>
    <xf numFmtId="2" fontId="0" fillId="33" borderId="1" xfId="2" applyNumberFormat="1" applyFont="1" applyFill="1" applyBorder="1" applyAlignment="1">
      <alignment horizontal="left"/>
    </xf>
    <xf numFmtId="2" fontId="0" fillId="41" borderId="1" xfId="2" applyNumberFormat="1" applyFont="1" applyFill="1" applyBorder="1" applyAlignment="1"/>
    <xf numFmtId="2" fontId="0" fillId="0" borderId="9" xfId="0" applyNumberFormat="1" applyFont="1" applyBorder="1" applyAlignment="1"/>
    <xf numFmtId="2" fontId="0" fillId="33" borderId="2" xfId="0" applyNumberFormat="1" applyFont="1" applyFill="1" applyBorder="1" applyAlignment="1"/>
    <xf numFmtId="2" fontId="0" fillId="33" borderId="8" xfId="2" applyNumberFormat="1" applyFont="1" applyFill="1" applyBorder="1" applyAlignment="1">
      <alignment horizontal="center"/>
    </xf>
    <xf numFmtId="2" fontId="0" fillId="31" borderId="1" xfId="2" applyNumberFormat="1" applyFont="1" applyFill="1" applyBorder="1" applyAlignment="1">
      <alignment horizontal="center"/>
    </xf>
    <xf numFmtId="2" fontId="0" fillId="31" borderId="1" xfId="2" applyNumberFormat="1" applyFont="1" applyFill="1" applyBorder="1" applyAlignment="1"/>
    <xf numFmtId="2" fontId="0" fillId="31" borderId="3" xfId="2" applyNumberFormat="1" applyFont="1" applyFill="1" applyBorder="1" applyAlignment="1">
      <alignment horizontal="center"/>
    </xf>
    <xf numFmtId="2" fontId="0" fillId="34" borderId="2" xfId="0" applyNumberFormat="1" applyFont="1" applyFill="1" applyBorder="1" applyAlignment="1"/>
    <xf numFmtId="2" fontId="0" fillId="34" borderId="9" xfId="0" applyNumberFormat="1" applyFont="1" applyFill="1" applyBorder="1" applyAlignment="1" applyProtection="1">
      <protection hidden="1"/>
    </xf>
    <xf numFmtId="2" fontId="0" fillId="31" borderId="7" xfId="2" applyNumberFormat="1" applyFont="1" applyFill="1" applyBorder="1" applyAlignment="1">
      <alignment horizontal="center" vertical="center"/>
    </xf>
    <xf numFmtId="2" fontId="0" fillId="31" borderId="7" xfId="2" applyNumberFormat="1" applyFont="1" applyFill="1" applyBorder="1" applyAlignment="1">
      <alignment horizontal="center"/>
    </xf>
    <xf numFmtId="2" fontId="0" fillId="0" borderId="7" xfId="2" applyNumberFormat="1" applyFont="1" applyBorder="1" applyAlignment="1">
      <alignment horizontal="left" vertical="center"/>
    </xf>
    <xf numFmtId="2" fontId="0" fillId="0" borderId="1" xfId="2" applyNumberFormat="1" applyFont="1" applyBorder="1" applyAlignment="1">
      <alignment horizontal="center"/>
    </xf>
    <xf numFmtId="2" fontId="22" fillId="40" borderId="8" xfId="0" applyNumberFormat="1" applyFont="1" applyFill="1" applyBorder="1" applyAlignment="1"/>
    <xf numFmtId="2" fontId="22" fillId="29" borderId="1" xfId="0" applyNumberFormat="1" applyFont="1" applyFill="1" applyBorder="1" applyAlignment="1">
      <alignment horizontal="center"/>
    </xf>
    <xf numFmtId="2" fontId="22" fillId="29" borderId="8" xfId="0" applyNumberFormat="1" applyFont="1" applyFill="1" applyBorder="1" applyAlignment="1"/>
    <xf numFmtId="2" fontId="0" fillId="41" borderId="9" xfId="0" applyNumberFormat="1" applyFont="1" applyFill="1" applyBorder="1" applyAlignment="1">
      <alignment horizontal="center"/>
    </xf>
    <xf numFmtId="2" fontId="0" fillId="30" borderId="0" xfId="0" applyNumberFormat="1" applyFont="1" applyFill="1" applyAlignment="1"/>
    <xf numFmtId="2" fontId="0" fillId="30" borderId="0" xfId="0" applyNumberFormat="1" applyFont="1" applyFill="1" applyBorder="1" applyAlignment="1"/>
    <xf numFmtId="2" fontId="10" fillId="32" borderId="1" xfId="0" applyNumberFormat="1" applyFont="1" applyFill="1" applyBorder="1" applyAlignment="1"/>
    <xf numFmtId="2" fontId="0" fillId="12" borderId="1" xfId="0" applyNumberFormat="1" applyFont="1" applyFill="1" applyBorder="1" applyAlignment="1">
      <alignment horizontal="center"/>
    </xf>
    <xf numFmtId="2" fontId="22" fillId="12" borderId="1" xfId="0" applyNumberFormat="1" applyFont="1" applyFill="1" applyBorder="1" applyAlignment="1">
      <alignment horizontal="center"/>
    </xf>
    <xf numFmtId="2" fontId="22" fillId="12" borderId="1" xfId="2" applyNumberFormat="1" applyFont="1" applyFill="1" applyBorder="1" applyAlignment="1">
      <alignment horizontal="right"/>
    </xf>
    <xf numFmtId="2" fontId="22" fillId="12" borderId="1" xfId="0" applyNumberFormat="1" applyFont="1" applyFill="1" applyBorder="1" applyAlignment="1" applyProtection="1">
      <protection hidden="1"/>
    </xf>
    <xf numFmtId="2" fontId="22" fillId="12" borderId="0" xfId="0" applyNumberFormat="1" applyFont="1" applyFill="1" applyBorder="1" applyAlignment="1">
      <alignment horizontal="center"/>
    </xf>
    <xf numFmtId="2" fontId="0" fillId="34" borderId="0" xfId="0" applyNumberFormat="1" applyFont="1" applyFill="1" applyBorder="1" applyAlignment="1" applyProtection="1">
      <protection hidden="1"/>
    </xf>
    <xf numFmtId="2" fontId="0" fillId="34" borderId="0" xfId="0" applyNumberFormat="1" applyFont="1" applyFill="1" applyBorder="1" applyAlignment="1"/>
    <xf numFmtId="2" fontId="22" fillId="2" borderId="1" xfId="0" applyNumberFormat="1" applyFont="1" applyFill="1" applyBorder="1" applyAlignment="1">
      <alignment horizontal="center"/>
    </xf>
    <xf numFmtId="2" fontId="29" fillId="3" borderId="0" xfId="0" applyNumberFormat="1" applyFont="1" applyFill="1" applyAlignment="1"/>
    <xf numFmtId="2" fontId="29" fillId="3" borderId="1" xfId="0" applyNumberFormat="1" applyFont="1" applyFill="1" applyBorder="1" applyAlignment="1">
      <alignment horizontal="center"/>
    </xf>
    <xf numFmtId="2" fontId="29" fillId="12" borderId="1" xfId="2" applyNumberFormat="1" applyFont="1" applyFill="1" applyBorder="1" applyAlignment="1">
      <alignment horizontal="left"/>
    </xf>
    <xf numFmtId="2" fontId="29" fillId="12" borderId="1" xfId="0" applyNumberFormat="1" applyFont="1" applyFill="1" applyBorder="1" applyAlignment="1">
      <alignment horizontal="center"/>
    </xf>
    <xf numFmtId="2" fontId="29" fillId="12" borderId="1" xfId="0" applyNumberFormat="1" applyFont="1" applyFill="1" applyBorder="1" applyAlignment="1"/>
    <xf numFmtId="2" fontId="29" fillId="12" borderId="1" xfId="2" applyNumberFormat="1" applyFont="1" applyFill="1" applyBorder="1" applyAlignment="1">
      <alignment horizontal="right"/>
    </xf>
    <xf numFmtId="2" fontId="29" fillId="12" borderId="0" xfId="0" applyNumberFormat="1" applyFont="1" applyFill="1" applyBorder="1" applyAlignment="1">
      <alignment horizontal="center"/>
    </xf>
    <xf numFmtId="2" fontId="29" fillId="0" borderId="0" xfId="0" applyNumberFormat="1" applyFont="1" applyAlignment="1" applyProtection="1">
      <protection hidden="1"/>
    </xf>
    <xf numFmtId="2" fontId="29" fillId="12" borderId="1" xfId="2" applyNumberFormat="1" applyFont="1" applyFill="1" applyBorder="1" applyAlignment="1"/>
    <xf numFmtId="2" fontId="29" fillId="12" borderId="1" xfId="2" applyNumberFormat="1" applyFont="1" applyFill="1" applyBorder="1" applyAlignment="1">
      <alignment horizontal="center"/>
    </xf>
    <xf numFmtId="2" fontId="29" fillId="12" borderId="1" xfId="0" applyNumberFormat="1" applyFont="1" applyFill="1" applyBorder="1" applyAlignment="1">
      <alignment horizontal="right"/>
    </xf>
    <xf numFmtId="2" fontId="29" fillId="12" borderId="8" xfId="0" applyNumberFormat="1" applyFont="1" applyFill="1" applyBorder="1" applyAlignment="1"/>
    <xf numFmtId="2" fontId="29" fillId="0" borderId="8" xfId="0" applyNumberFormat="1" applyFont="1" applyBorder="1" applyAlignment="1"/>
    <xf numFmtId="2" fontId="29" fillId="0" borderId="0" xfId="0" applyNumberFormat="1" applyFont="1" applyBorder="1" applyAlignment="1"/>
    <xf numFmtId="2" fontId="29" fillId="0" borderId="1" xfId="2" applyNumberFormat="1" applyFont="1" applyBorder="1" applyAlignment="1">
      <alignment horizontal="center"/>
    </xf>
    <xf numFmtId="2" fontId="29" fillId="0" borderId="1" xfId="2" applyNumberFormat="1" applyFont="1" applyBorder="1" applyAlignment="1"/>
    <xf numFmtId="2" fontId="29" fillId="0" borderId="1" xfId="0" applyNumberFormat="1" applyFont="1" applyBorder="1" applyAlignment="1"/>
    <xf numFmtId="2" fontId="10" fillId="0" borderId="0" xfId="2" applyNumberFormat="1" applyFont="1" applyBorder="1" applyAlignment="1">
      <alignment horizontal="center"/>
    </xf>
    <xf numFmtId="2" fontId="0" fillId="0" borderId="0" xfId="2" applyNumberFormat="1" applyFont="1" applyBorder="1" applyAlignment="1"/>
    <xf numFmtId="2" fontId="29" fillId="12" borderId="8" xfId="2" applyNumberFormat="1" applyFont="1" applyFill="1" applyBorder="1" applyAlignment="1"/>
    <xf numFmtId="2" fontId="29" fillId="0" borderId="8" xfId="2" applyNumberFormat="1" applyFont="1" applyBorder="1" applyAlignment="1"/>
    <xf numFmtId="2" fontId="29" fillId="0" borderId="1" xfId="0" applyNumberFormat="1" applyFont="1" applyBorder="1" applyAlignment="1">
      <alignment horizontal="right"/>
    </xf>
    <xf numFmtId="2" fontId="29" fillId="0" borderId="1" xfId="2" applyNumberFormat="1" applyFont="1" applyBorder="1" applyAlignment="1">
      <alignment horizontal="right"/>
    </xf>
    <xf numFmtId="2" fontId="29" fillId="12" borderId="0" xfId="2" applyNumberFormat="1" applyFont="1" applyFill="1" applyBorder="1" applyAlignment="1"/>
    <xf numFmtId="2" fontId="29" fillId="0" borderId="0" xfId="2" applyNumberFormat="1" applyFont="1" applyBorder="1" applyAlignment="1">
      <alignment horizontal="right"/>
    </xf>
    <xf numFmtId="2" fontId="29" fillId="0" borderId="0" xfId="0" applyNumberFormat="1" applyFont="1" applyBorder="1" applyAlignment="1">
      <alignment horizontal="center"/>
    </xf>
    <xf numFmtId="2" fontId="29" fillId="0" borderId="0" xfId="2" applyNumberFormat="1" applyFont="1" applyBorder="1" applyAlignment="1"/>
    <xf numFmtId="2" fontId="29" fillId="0" borderId="0" xfId="2" applyNumberFormat="1" applyFont="1" applyBorder="1" applyAlignment="1">
      <alignment horizontal="left"/>
    </xf>
    <xf numFmtId="2" fontId="29" fillId="0" borderId="0" xfId="2" applyNumberFormat="1" applyFont="1" applyBorder="1" applyAlignment="1">
      <alignment horizontal="center"/>
    </xf>
    <xf numFmtId="2" fontId="47" fillId="0" borderId="0" xfId="2" applyNumberFormat="1" applyFont="1" applyBorder="1" applyAlignment="1">
      <alignment horizontal="right"/>
    </xf>
    <xf numFmtId="2" fontId="47" fillId="0" borderId="0" xfId="0" applyNumberFormat="1" applyFont="1" applyBorder="1" applyAlignment="1">
      <alignment horizontal="center"/>
    </xf>
    <xf numFmtId="2" fontId="47" fillId="0" borderId="0" xfId="2" applyNumberFormat="1" applyFont="1" applyBorder="1" applyAlignment="1"/>
    <xf numFmtId="2" fontId="47" fillId="0" borderId="0" xfId="0" applyNumberFormat="1" applyFont="1" applyBorder="1" applyAlignment="1"/>
    <xf numFmtId="2" fontId="47" fillId="0" borderId="0" xfId="2" applyNumberFormat="1" applyFont="1" applyBorder="1" applyAlignment="1">
      <alignment horizontal="center"/>
    </xf>
    <xf numFmtId="2" fontId="47" fillId="0" borderId="0" xfId="0" applyNumberFormat="1" applyFont="1" applyBorder="1" applyAlignment="1" applyProtection="1">
      <protection hidden="1"/>
    </xf>
    <xf numFmtId="2" fontId="10" fillId="0" borderId="0" xfId="0" applyNumberFormat="1" applyFont="1" applyBorder="1" applyAlignment="1" applyProtection="1">
      <protection hidden="1"/>
    </xf>
    <xf numFmtId="2" fontId="10" fillId="0" borderId="1" xfId="0" applyNumberFormat="1" applyFont="1" applyBorder="1" applyAlignment="1">
      <alignment horizontal="center"/>
    </xf>
    <xf numFmtId="2" fontId="10" fillId="33" borderId="1" xfId="2" applyNumberFormat="1" applyFont="1" applyFill="1" applyBorder="1" applyAlignment="1">
      <alignment horizontal="left"/>
    </xf>
    <xf numFmtId="2" fontId="10" fillId="33" borderId="1" xfId="2" applyNumberFormat="1" applyFont="1" applyFill="1" applyBorder="1" applyAlignment="1">
      <alignment horizontal="center"/>
    </xf>
    <xf numFmtId="2" fontId="10" fillId="33" borderId="1" xfId="0" applyNumberFormat="1" applyFont="1" applyFill="1" applyBorder="1" applyAlignment="1">
      <alignment horizontal="center"/>
    </xf>
    <xf numFmtId="2" fontId="10" fillId="33" borderId="1" xfId="2" applyNumberFormat="1" applyFont="1" applyFill="1" applyBorder="1" applyAlignment="1"/>
    <xf numFmtId="2" fontId="10" fillId="10" borderId="1" xfId="2" applyNumberFormat="1" applyFont="1" applyFill="1" applyBorder="1" applyAlignment="1">
      <alignment horizontal="left"/>
    </xf>
    <xf numFmtId="2" fontId="10" fillId="10" borderId="1" xfId="2" applyNumberFormat="1" applyFont="1" applyFill="1" applyBorder="1" applyAlignment="1">
      <alignment horizontal="center"/>
    </xf>
    <xf numFmtId="2" fontId="10" fillId="10" borderId="1" xfId="0" applyNumberFormat="1" applyFont="1" applyFill="1" applyBorder="1" applyAlignment="1">
      <alignment horizontal="center"/>
    </xf>
    <xf numFmtId="2" fontId="10" fillId="10" borderId="1" xfId="2" applyNumberFormat="1" applyFont="1" applyFill="1" applyBorder="1" applyAlignment="1"/>
    <xf numFmtId="2" fontId="10" fillId="33" borderId="1" xfId="0" applyNumberFormat="1" applyFont="1" applyFill="1" applyBorder="1" applyAlignment="1"/>
    <xf numFmtId="2" fontId="10" fillId="10" borderId="1" xfId="0" applyNumberFormat="1" applyFont="1" applyFill="1" applyBorder="1" applyAlignment="1"/>
    <xf numFmtId="2" fontId="10" fillId="26" borderId="5" xfId="2" applyNumberFormat="1" applyFont="1" applyFill="1" applyBorder="1" applyAlignment="1">
      <alignment horizontal="left"/>
    </xf>
    <xf numFmtId="2" fontId="10" fillId="26" borderId="1" xfId="2" applyNumberFormat="1" applyFont="1" applyFill="1" applyBorder="1" applyAlignment="1">
      <alignment horizontal="center"/>
    </xf>
    <xf numFmtId="2" fontId="10" fillId="26" borderId="1" xfId="0" applyNumberFormat="1" applyFont="1" applyFill="1" applyBorder="1" applyAlignment="1">
      <alignment horizontal="center"/>
    </xf>
    <xf numFmtId="2" fontId="10" fillId="26" borderId="1" xfId="2" applyNumberFormat="1" applyFont="1" applyFill="1" applyBorder="1" applyAlignment="1"/>
    <xf numFmtId="2" fontId="10" fillId="26" borderId="1" xfId="2" applyNumberFormat="1" applyFont="1" applyFill="1" applyBorder="1" applyAlignment="1">
      <alignment horizontal="left"/>
    </xf>
    <xf numFmtId="2" fontId="10" fillId="0" borderId="0" xfId="2" applyNumberFormat="1" applyFont="1" applyBorder="1" applyAlignment="1">
      <alignment horizontal="left"/>
    </xf>
    <xf numFmtId="2" fontId="10" fillId="0" borderId="0" xfId="0" applyNumberFormat="1" applyFont="1" applyBorder="1" applyAlignment="1">
      <alignment horizontal="center"/>
    </xf>
    <xf numFmtId="2" fontId="10" fillId="0" borderId="0" xfId="2" applyNumberFormat="1" applyFont="1" applyBorder="1" applyAlignment="1"/>
    <xf numFmtId="2" fontId="29" fillId="9" borderId="0" xfId="2" applyNumberFormat="1" applyFont="1" applyFill="1" applyBorder="1" applyAlignment="1">
      <alignment horizontal="left"/>
    </xf>
    <xf numFmtId="2" fontId="22" fillId="9" borderId="0" xfId="2" applyNumberFormat="1" applyFont="1" applyFill="1" applyBorder="1" applyAlignment="1">
      <alignment horizontal="center"/>
    </xf>
    <xf numFmtId="2" fontId="22" fillId="9" borderId="0" xfId="0" applyNumberFormat="1" applyFont="1" applyFill="1" applyBorder="1" applyAlignment="1">
      <alignment horizontal="center"/>
    </xf>
    <xf numFmtId="2" fontId="22" fillId="9" borderId="0" xfId="2" applyNumberFormat="1" applyFont="1" applyFill="1" applyBorder="1" applyAlignment="1"/>
    <xf numFmtId="2" fontId="29" fillId="9" borderId="0" xfId="0" applyNumberFormat="1" applyFont="1" applyFill="1" applyBorder="1" applyAlignment="1"/>
    <xf numFmtId="2" fontId="29" fillId="9" borderId="0" xfId="2" applyNumberFormat="1" applyFont="1" applyFill="1" applyBorder="1" applyAlignment="1">
      <alignment horizontal="right"/>
    </xf>
    <xf numFmtId="2" fontId="29" fillId="9" borderId="0" xfId="0" applyNumberFormat="1" applyFont="1" applyFill="1" applyBorder="1" applyAlignment="1">
      <alignment horizontal="center"/>
    </xf>
    <xf numFmtId="2" fontId="29" fillId="9" borderId="0" xfId="0" applyNumberFormat="1" applyFont="1" applyFill="1" applyAlignment="1" applyProtection="1">
      <protection hidden="1"/>
    </xf>
    <xf numFmtId="2" fontId="33" fillId="16" borderId="4" xfId="2" applyNumberFormat="1" applyFont="1" applyFill="1" applyBorder="1" applyAlignment="1"/>
    <xf numFmtId="2" fontId="33" fillId="16" borderId="14" xfId="2" applyNumberFormat="1" applyFont="1" applyFill="1" applyBorder="1" applyAlignment="1">
      <alignment horizontal="center"/>
    </xf>
    <xf numFmtId="2" fontId="0" fillId="22" borderId="7" xfId="2" applyNumberFormat="1" applyFont="1" applyFill="1" applyBorder="1" applyAlignment="1">
      <alignment horizontal="center"/>
    </xf>
    <xf numFmtId="2" fontId="0" fillId="18" borderId="1" xfId="2" applyNumberFormat="1" applyFont="1" applyFill="1" applyBorder="1" applyAlignment="1">
      <alignment vertical="center"/>
    </xf>
    <xf numFmtId="2" fontId="0" fillId="18" borderId="1" xfId="0" applyNumberFormat="1" applyFont="1" applyFill="1" applyBorder="1" applyAlignment="1" applyProtection="1">
      <protection hidden="1"/>
    </xf>
    <xf numFmtId="2" fontId="0" fillId="18" borderId="1" xfId="2" applyNumberFormat="1" applyFont="1" applyFill="1" applyBorder="1" applyAlignment="1"/>
    <xf numFmtId="2" fontId="33" fillId="0" borderId="0" xfId="0" applyNumberFormat="1" applyFont="1" applyBorder="1" applyAlignment="1">
      <alignment horizontal="right" vertical="center"/>
    </xf>
    <xf numFmtId="2" fontId="0" fillId="0" borderId="7" xfId="2" applyNumberFormat="1" applyFont="1" applyBorder="1" applyAlignment="1">
      <alignment vertical="center"/>
    </xf>
    <xf numFmtId="2" fontId="0" fillId="0" borderId="7" xfId="0" applyNumberFormat="1" applyFont="1" applyBorder="1" applyAlignment="1" applyProtection="1">
      <protection hidden="1"/>
    </xf>
    <xf numFmtId="2" fontId="33" fillId="16" borderId="2" xfId="2" applyNumberFormat="1" applyFont="1" applyFill="1" applyBorder="1" applyAlignment="1">
      <alignment vertical="center"/>
    </xf>
    <xf numFmtId="2" fontId="0" fillId="22" borderId="1" xfId="2" applyNumberFormat="1" applyFont="1" applyFill="1" applyBorder="1" applyAlignment="1">
      <alignment horizontal="center" vertical="center"/>
    </xf>
    <xf numFmtId="2" fontId="0" fillId="0" borderId="1" xfId="0" applyNumberFormat="1" applyFont="1" applyBorder="1" applyAlignment="1" applyProtection="1">
      <alignment horizontal="center"/>
      <protection hidden="1"/>
    </xf>
    <xf numFmtId="2" fontId="33" fillId="0" borderId="1" xfId="2" applyNumberFormat="1" applyFont="1" applyBorder="1" applyAlignment="1">
      <alignment vertical="center"/>
    </xf>
    <xf numFmtId="2" fontId="33" fillId="16" borderId="3" xfId="2" applyNumberFormat="1" applyFont="1" applyFill="1" applyBorder="1" applyAlignment="1">
      <alignment vertical="center"/>
    </xf>
    <xf numFmtId="2" fontId="0" fillId="22" borderId="2" xfId="2" applyNumberFormat="1" applyFont="1" applyFill="1" applyBorder="1" applyAlignment="1">
      <alignment horizontal="right" vertical="center"/>
    </xf>
    <xf numFmtId="2" fontId="0" fillId="28" borderId="9" xfId="0" applyNumberFormat="1" applyFont="1" applyFill="1" applyBorder="1" applyAlignment="1" applyProtection="1">
      <protection hidden="1"/>
    </xf>
    <xf numFmtId="2" fontId="0" fillId="0" borderId="0" xfId="2" applyNumberFormat="1" applyFont="1" applyAlignment="1">
      <alignment horizontal="right" vertical="center"/>
    </xf>
    <xf numFmtId="2" fontId="10" fillId="0" borderId="1" xfId="2" applyNumberFormat="1" applyFont="1" applyBorder="1" applyAlignment="1">
      <alignment vertical="center"/>
    </xf>
    <xf numFmtId="2" fontId="0" fillId="0" borderId="1" xfId="2" applyNumberFormat="1" applyFont="1" applyBorder="1" applyAlignment="1">
      <alignment horizontal="right" vertical="center"/>
    </xf>
    <xf numFmtId="2" fontId="33" fillId="0" borderId="9" xfId="2" applyNumberFormat="1" applyFont="1" applyBorder="1" applyAlignment="1">
      <alignment horizontal="center" vertical="center"/>
    </xf>
    <xf numFmtId="2" fontId="33" fillId="0" borderId="1" xfId="2" applyNumberFormat="1" applyFont="1" applyBorder="1" applyAlignment="1">
      <alignment horizontal="center" vertical="center"/>
    </xf>
    <xf numFmtId="2" fontId="33" fillId="0" borderId="1" xfId="2" applyNumberFormat="1" applyFont="1" applyBorder="1" applyAlignment="1">
      <alignment horizontal="right" vertical="center"/>
    </xf>
    <xf numFmtId="2" fontId="10" fillId="0" borderId="2" xfId="0" applyNumberFormat="1" applyFont="1" applyBorder="1" applyAlignment="1" applyProtection="1">
      <alignment vertical="center"/>
      <protection hidden="1"/>
    </xf>
    <xf numFmtId="2" fontId="10" fillId="0" borderId="1" xfId="2" applyNumberFormat="1" applyFont="1" applyBorder="1" applyAlignment="1">
      <alignment vertical="center"/>
    </xf>
    <xf numFmtId="2" fontId="0" fillId="0" borderId="0" xfId="2" applyNumberFormat="1" applyFont="1" applyAlignment="1">
      <alignment horizontal="right" vertical="center"/>
    </xf>
    <xf numFmtId="2" fontId="0" fillId="26" borderId="1" xfId="0" applyNumberFormat="1" applyFont="1" applyFill="1" applyBorder="1" applyAlignment="1">
      <alignment vertical="center"/>
    </xf>
    <xf numFmtId="2" fontId="0" fillId="26" borderId="1" xfId="0" applyNumberFormat="1" applyFont="1" applyFill="1" applyBorder="1" applyAlignment="1">
      <alignment horizontal="center" vertical="center"/>
    </xf>
    <xf numFmtId="2" fontId="33" fillId="26" borderId="1" xfId="2" applyNumberFormat="1" applyFont="1" applyFill="1" applyBorder="1" applyAlignment="1">
      <alignment horizontal="right" vertical="center"/>
    </xf>
    <xf numFmtId="2" fontId="0" fillId="26" borderId="1" xfId="2" applyNumberFormat="1" applyFont="1" applyFill="1" applyBorder="1" applyAlignment="1">
      <alignment vertical="center"/>
    </xf>
    <xf numFmtId="2" fontId="0" fillId="26" borderId="0" xfId="2" applyNumberFormat="1" applyFont="1" applyFill="1" applyBorder="1" applyAlignment="1">
      <alignment vertical="center"/>
    </xf>
    <xf numFmtId="2" fontId="0" fillId="26" borderId="0" xfId="2" applyNumberFormat="1" applyFont="1" applyFill="1" applyAlignment="1">
      <alignment horizontal="right" vertical="center"/>
    </xf>
    <xf numFmtId="2" fontId="33" fillId="26" borderId="1" xfId="2" applyNumberFormat="1" applyFont="1" applyFill="1" applyBorder="1" applyAlignment="1">
      <alignment horizontal="center" vertical="center"/>
    </xf>
    <xf numFmtId="2" fontId="0" fillId="26" borderId="1" xfId="0" applyNumberFormat="1" applyFont="1" applyFill="1" applyBorder="1" applyAlignment="1" applyProtection="1">
      <alignment horizontal="center" vertical="center"/>
      <protection hidden="1"/>
    </xf>
    <xf numFmtId="2" fontId="10" fillId="26" borderId="1" xfId="0" applyNumberFormat="1" applyFont="1" applyFill="1" applyBorder="1" applyAlignment="1" applyProtection="1">
      <protection hidden="1"/>
    </xf>
    <xf numFmtId="2" fontId="10" fillId="26" borderId="0" xfId="0" applyNumberFormat="1" applyFont="1" applyFill="1" applyBorder="1" applyAlignment="1" applyProtection="1">
      <protection hidden="1"/>
    </xf>
    <xf numFmtId="2" fontId="0" fillId="26" borderId="1" xfId="2" applyNumberFormat="1" applyFont="1" applyFill="1" applyBorder="1" applyAlignment="1">
      <alignment horizontal="right" vertical="center"/>
    </xf>
    <xf numFmtId="2" fontId="0" fillId="26" borderId="0" xfId="2" applyNumberFormat="1" applyFont="1" applyFill="1" applyBorder="1" applyAlignment="1">
      <alignment horizontal="right" vertical="center"/>
    </xf>
    <xf numFmtId="2" fontId="0" fillId="26" borderId="1" xfId="0" applyNumberFormat="1" applyFont="1" applyFill="1" applyBorder="1" applyAlignment="1" applyProtection="1">
      <alignment vertical="center"/>
      <protection hidden="1"/>
    </xf>
    <xf numFmtId="2" fontId="33" fillId="26" borderId="0" xfId="0" applyNumberFormat="1" applyFont="1" applyFill="1" applyBorder="1" applyAlignment="1">
      <alignment vertical="center"/>
    </xf>
    <xf numFmtId="2" fontId="0" fillId="26" borderId="0" xfId="0" applyNumberFormat="1" applyFont="1" applyFill="1" applyAlignment="1">
      <alignment horizontal="center"/>
    </xf>
    <xf numFmtId="2" fontId="0" fillId="16" borderId="1" xfId="2" applyNumberFormat="1" applyFont="1" applyFill="1" applyBorder="1" applyAlignment="1">
      <alignment vertical="center"/>
    </xf>
    <xf numFmtId="2" fontId="0" fillId="16" borderId="1" xfId="2" applyNumberFormat="1" applyFont="1" applyFill="1" applyBorder="1" applyAlignment="1">
      <alignment horizontal="center" vertical="center"/>
    </xf>
    <xf numFmtId="2" fontId="10" fillId="0" borderId="1" xfId="0" applyNumberFormat="1" applyFont="1" applyBorder="1" applyAlignment="1" applyProtection="1">
      <alignment horizontal="center" vertical="center"/>
      <protection hidden="1"/>
    </xf>
    <xf numFmtId="2" fontId="0" fillId="0" borderId="2" xfId="0" applyNumberFormat="1" applyFont="1" applyBorder="1" applyAlignment="1" applyProtection="1">
      <protection hidden="1"/>
    </xf>
    <xf numFmtId="2" fontId="0" fillId="0" borderId="1" xfId="0" applyNumberFormat="1" applyFont="1" applyBorder="1" applyAlignment="1" applyProtection="1">
      <alignment horizontal="center" vertical="center"/>
      <protection hidden="1"/>
    </xf>
    <xf numFmtId="2" fontId="10" fillId="22" borderId="1" xfId="0" applyNumberFormat="1" applyFont="1" applyFill="1" applyBorder="1" applyAlignment="1" applyProtection="1">
      <alignment vertical="center"/>
      <protection hidden="1"/>
    </xf>
    <xf numFmtId="2" fontId="0" fillId="22" borderId="0" xfId="2" applyNumberFormat="1" applyFont="1" applyFill="1" applyBorder="1" applyAlignment="1">
      <alignment vertical="center"/>
    </xf>
    <xf numFmtId="2" fontId="0" fillId="0" borderId="0" xfId="2" applyNumberFormat="1" applyFont="1" applyAlignment="1">
      <alignment horizontal="center" vertical="center"/>
    </xf>
    <xf numFmtId="2" fontId="10" fillId="0" borderId="0" xfId="2" applyNumberFormat="1" applyFont="1" applyBorder="1" applyAlignment="1">
      <alignment vertical="center"/>
    </xf>
    <xf numFmtId="2" fontId="0" fillId="0" borderId="1" xfId="0" applyNumberFormat="1" applyFont="1" applyBorder="1" applyAlignment="1" applyProtection="1">
      <alignment horizontal="center" vertical="center"/>
      <protection hidden="1"/>
    </xf>
    <xf numFmtId="2" fontId="0" fillId="0" borderId="2" xfId="0" applyNumberFormat="1" applyFont="1" applyBorder="1" applyAlignment="1" applyProtection="1">
      <protection hidden="1"/>
    </xf>
    <xf numFmtId="2" fontId="0" fillId="0" borderId="9" xfId="2" applyNumberFormat="1" applyFont="1" applyBorder="1" applyAlignment="1">
      <alignment horizontal="right" vertical="center"/>
    </xf>
    <xf numFmtId="2" fontId="0" fillId="0" borderId="1" xfId="2" applyNumberFormat="1" applyFont="1" applyBorder="1" applyAlignment="1">
      <alignment horizontal="right" vertical="center"/>
    </xf>
    <xf numFmtId="2" fontId="10" fillId="0" borderId="1" xfId="0" applyNumberFormat="1" applyFont="1" applyBorder="1" applyAlignment="1" applyProtection="1">
      <protection hidden="1"/>
    </xf>
    <xf numFmtId="2" fontId="0" fillId="0" borderId="0" xfId="0" applyNumberFormat="1" applyFont="1" applyBorder="1" applyAlignment="1">
      <alignment horizontal="right"/>
    </xf>
    <xf numFmtId="2" fontId="10" fillId="0" borderId="0" xfId="0" applyNumberFormat="1" applyFont="1" applyBorder="1" applyAlignment="1" applyProtection="1">
      <alignment horizontal="right"/>
      <protection hidden="1"/>
    </xf>
    <xf numFmtId="2" fontId="0" fillId="0" borderId="1" xfId="0" applyNumberFormat="1" applyFont="1" applyBorder="1" applyAlignment="1" applyProtection="1">
      <alignment vertical="center"/>
      <protection hidden="1"/>
    </xf>
    <xf numFmtId="2" fontId="33" fillId="10" borderId="0" xfId="0" applyNumberFormat="1" applyFont="1" applyFill="1" applyBorder="1" applyAlignment="1">
      <alignment vertical="center"/>
    </xf>
    <xf numFmtId="2" fontId="0" fillId="28" borderId="1" xfId="2" applyNumberFormat="1" applyFont="1" applyFill="1" applyBorder="1" applyAlignment="1">
      <alignment vertical="center"/>
    </xf>
    <xf numFmtId="2" fontId="0" fillId="28" borderId="1" xfId="2" applyNumberFormat="1" applyFont="1" applyFill="1" applyBorder="1" applyAlignment="1">
      <alignment horizontal="center" vertical="center"/>
    </xf>
    <xf numFmtId="2" fontId="0" fillId="28" borderId="1" xfId="0" applyNumberFormat="1" applyFont="1" applyFill="1" applyBorder="1" applyAlignment="1" applyProtection="1">
      <alignment horizontal="center"/>
      <protection hidden="1"/>
    </xf>
    <xf numFmtId="2" fontId="33" fillId="28" borderId="0" xfId="0" applyNumberFormat="1" applyFont="1" applyFill="1" applyBorder="1" applyAlignment="1">
      <alignment vertical="center"/>
    </xf>
    <xf numFmtId="2" fontId="0" fillId="28" borderId="0" xfId="0" applyNumberFormat="1" applyFont="1" applyFill="1" applyBorder="1" applyAlignment="1">
      <alignment horizontal="right"/>
    </xf>
    <xf numFmtId="2" fontId="0" fillId="28" borderId="1" xfId="0" applyNumberFormat="1" applyFont="1" applyFill="1" applyBorder="1" applyAlignment="1">
      <alignment vertical="center"/>
    </xf>
    <xf numFmtId="2" fontId="0" fillId="28" borderId="1" xfId="0" applyNumberFormat="1" applyFont="1" applyFill="1" applyBorder="1" applyAlignment="1">
      <alignment horizontal="right" vertical="center"/>
    </xf>
    <xf numFmtId="2" fontId="0" fillId="11" borderId="2" xfId="0" applyNumberFormat="1" applyFont="1" applyFill="1" applyBorder="1" applyAlignment="1" applyProtection="1">
      <protection hidden="1"/>
    </xf>
    <xf numFmtId="2" fontId="0" fillId="28" borderId="1" xfId="0" applyNumberFormat="1" applyFont="1" applyFill="1" applyBorder="1" applyAlignment="1" applyProtection="1">
      <alignment horizontal="right"/>
      <protection hidden="1"/>
    </xf>
    <xf numFmtId="2" fontId="0" fillId="32" borderId="1" xfId="2" applyNumberFormat="1" applyFont="1" applyFill="1" applyBorder="1" applyAlignment="1">
      <alignment vertical="center"/>
    </xf>
    <xf numFmtId="2" fontId="0" fillId="32" borderId="1" xfId="2" applyNumberFormat="1" applyFont="1" applyFill="1" applyBorder="1" applyAlignment="1">
      <alignment horizontal="center" vertical="center"/>
    </xf>
    <xf numFmtId="2" fontId="33" fillId="32" borderId="0" xfId="0" applyNumberFormat="1" applyFont="1" applyFill="1" applyBorder="1" applyAlignment="1">
      <alignment vertical="center"/>
    </xf>
    <xf numFmtId="2" fontId="0" fillId="32" borderId="1" xfId="2" applyNumberFormat="1" applyFont="1" applyFill="1" applyBorder="1" applyAlignment="1">
      <alignment horizontal="right" vertical="center"/>
    </xf>
    <xf numFmtId="2" fontId="0" fillId="32" borderId="0" xfId="2" applyNumberFormat="1" applyFont="1" applyFill="1" applyBorder="1" applyAlignment="1">
      <alignment vertical="center"/>
    </xf>
    <xf numFmtId="2" fontId="0" fillId="32" borderId="0" xfId="0" applyNumberFormat="1" applyFont="1" applyFill="1" applyAlignment="1"/>
    <xf numFmtId="2" fontId="0" fillId="30" borderId="1" xfId="2" applyNumberFormat="1" applyFont="1" applyFill="1" applyBorder="1" applyAlignment="1">
      <alignment vertical="center"/>
    </xf>
    <xf numFmtId="2" fontId="0" fillId="30" borderId="1" xfId="2" applyNumberFormat="1" applyFont="1" applyFill="1" applyBorder="1" applyAlignment="1">
      <alignment horizontal="center" vertical="center"/>
    </xf>
    <xf numFmtId="2" fontId="0" fillId="30" borderId="1" xfId="0" applyNumberFormat="1" applyFont="1" applyFill="1" applyBorder="1" applyAlignment="1" applyProtection="1">
      <alignment horizontal="center"/>
      <protection hidden="1"/>
    </xf>
    <xf numFmtId="2" fontId="0" fillId="30" borderId="1" xfId="0" applyNumberFormat="1" applyFont="1" applyFill="1" applyBorder="1" applyAlignment="1" applyProtection="1">
      <alignment vertical="center"/>
      <protection hidden="1"/>
    </xf>
    <xf numFmtId="2" fontId="33" fillId="30" borderId="0" xfId="0" applyNumberFormat="1" applyFont="1" applyFill="1" applyBorder="1" applyAlignment="1">
      <alignment vertical="center"/>
    </xf>
    <xf numFmtId="2" fontId="0" fillId="30" borderId="0" xfId="0" applyNumberFormat="1" applyFont="1" applyFill="1" applyBorder="1" applyAlignment="1">
      <alignment horizontal="right"/>
    </xf>
    <xf numFmtId="2" fontId="0" fillId="30" borderId="2" xfId="0" applyNumberFormat="1" applyFont="1" applyFill="1" applyBorder="1" applyAlignment="1" applyProtection="1">
      <protection hidden="1"/>
    </xf>
    <xf numFmtId="2" fontId="0" fillId="30" borderId="1" xfId="0" applyNumberFormat="1" applyFont="1" applyFill="1" applyBorder="1" applyAlignment="1" applyProtection="1">
      <alignment horizontal="right"/>
      <protection hidden="1"/>
    </xf>
    <xf numFmtId="2" fontId="29" fillId="3" borderId="0" xfId="0" applyNumberFormat="1" applyFont="1" applyFill="1" applyBorder="1" applyAlignment="1">
      <alignment horizontal="right"/>
    </xf>
    <xf numFmtId="2" fontId="29" fillId="9" borderId="0" xfId="0" applyNumberFormat="1" applyFont="1" applyFill="1" applyBorder="1" applyAlignment="1" applyProtection="1">
      <alignment vertical="center"/>
      <protection hidden="1"/>
    </xf>
    <xf numFmtId="2" fontId="22" fillId="9" borderId="0" xfId="0" applyNumberFormat="1" applyFont="1" applyFill="1" applyBorder="1" applyAlignment="1" applyProtection="1">
      <alignment horizontal="center" vertical="center"/>
      <protection hidden="1"/>
    </xf>
    <xf numFmtId="2" fontId="22" fillId="9" borderId="0" xfId="0" applyNumberFormat="1" applyFont="1" applyFill="1" applyBorder="1" applyAlignment="1" applyProtection="1">
      <alignment horizontal="center"/>
      <protection hidden="1"/>
    </xf>
    <xf numFmtId="2" fontId="22" fillId="9" borderId="0" xfId="0" applyNumberFormat="1" applyFont="1" applyFill="1" applyBorder="1" applyAlignment="1" applyProtection="1">
      <protection hidden="1"/>
    </xf>
    <xf numFmtId="2" fontId="22" fillId="9" borderId="0" xfId="2" applyNumberFormat="1" applyFont="1" applyFill="1" applyBorder="1" applyAlignment="1">
      <alignment horizontal="center" vertical="center"/>
    </xf>
    <xf numFmtId="2" fontId="22" fillId="9" borderId="0" xfId="0" applyNumberFormat="1" applyFont="1" applyFill="1" applyAlignment="1"/>
    <xf numFmtId="2" fontId="22" fillId="9" borderId="0" xfId="2" applyNumberFormat="1" applyFont="1" applyFill="1" applyBorder="1" applyAlignment="1">
      <alignment vertical="center"/>
    </xf>
    <xf numFmtId="2" fontId="22" fillId="9" borderId="0" xfId="2" applyNumberFormat="1" applyFont="1" applyFill="1" applyAlignment="1">
      <alignment vertical="center"/>
    </xf>
    <xf numFmtId="2" fontId="0" fillId="9" borderId="0" xfId="0" applyNumberFormat="1" applyFont="1" applyFill="1" applyAlignment="1" applyProtection="1">
      <protection hidden="1"/>
    </xf>
    <xf numFmtId="2" fontId="33" fillId="0" borderId="2" xfId="2" applyNumberFormat="1" applyFont="1" applyBorder="1" applyAlignment="1">
      <alignment vertical="center"/>
    </xf>
    <xf numFmtId="2" fontId="33" fillId="0" borderId="9" xfId="2" applyNumberFormat="1" applyFont="1" applyBorder="1" applyAlignment="1">
      <alignment vertical="center"/>
    </xf>
    <xf numFmtId="2" fontId="33" fillId="0" borderId="14" xfId="2" applyNumberFormat="1" applyFont="1" applyBorder="1" applyAlignment="1">
      <alignment vertical="center"/>
    </xf>
    <xf numFmtId="2" fontId="33" fillId="0" borderId="8" xfId="2" applyNumberFormat="1" applyFont="1" applyBorder="1" applyAlignment="1">
      <alignment vertical="center"/>
    </xf>
    <xf numFmtId="2" fontId="0" fillId="0" borderId="1" xfId="0" applyNumberFormat="1" applyFont="1" applyBorder="1" applyAlignment="1" applyProtection="1">
      <alignment horizontal="left" vertical="center"/>
      <protection hidden="1"/>
    </xf>
    <xf numFmtId="2" fontId="0" fillId="0" borderId="8" xfId="0" applyNumberFormat="1" applyFont="1" applyBorder="1" applyAlignment="1" applyProtection="1">
      <alignment horizontal="center" vertical="center"/>
      <protection hidden="1"/>
    </xf>
    <xf numFmtId="2" fontId="0" fillId="0" borderId="5" xfId="2" applyNumberFormat="1" applyFont="1" applyBorder="1" applyAlignment="1">
      <alignment horizontal="center"/>
    </xf>
    <xf numFmtId="2" fontId="0" fillId="0" borderId="5" xfId="2" applyNumberFormat="1" applyFont="1" applyBorder="1" applyAlignment="1"/>
    <xf numFmtId="2" fontId="33" fillId="0" borderId="0" xfId="0" applyNumberFormat="1" applyFont="1" applyBorder="1" applyAlignment="1" applyProtection="1">
      <alignment vertical="center"/>
      <protection hidden="1"/>
    </xf>
    <xf numFmtId="2" fontId="0" fillId="0" borderId="0" xfId="0" applyNumberFormat="1" applyFont="1" applyAlignment="1">
      <alignment horizontal="right"/>
    </xf>
    <xf numFmtId="2" fontId="0" fillId="0" borderId="8" xfId="2" applyNumberFormat="1" applyFont="1" applyBorder="1" applyAlignment="1">
      <alignment horizontal="center" vertical="center"/>
    </xf>
    <xf numFmtId="2" fontId="0" fillId="0" borderId="5" xfId="0" applyNumberFormat="1" applyFont="1" applyBorder="1" applyAlignment="1" applyProtection="1">
      <alignment vertical="center"/>
      <protection hidden="1"/>
    </xf>
    <xf numFmtId="2" fontId="0" fillId="9" borderId="0" xfId="0" applyNumberFormat="1" applyFont="1" applyFill="1" applyBorder="1" applyAlignment="1" applyProtection="1">
      <protection hidden="1"/>
    </xf>
    <xf numFmtId="2" fontId="0" fillId="10" borderId="0" xfId="2" applyNumberFormat="1" applyFont="1" applyFill="1" applyBorder="1" applyAlignment="1">
      <alignment vertical="center"/>
    </xf>
    <xf numFmtId="2" fontId="0" fillId="0" borderId="1" xfId="0" applyNumberFormat="1" applyFont="1" applyBorder="1" applyAlignment="1" applyProtection="1">
      <alignment horizontal="right"/>
      <protection hidden="1"/>
    </xf>
    <xf numFmtId="2" fontId="0" fillId="9" borderId="0" xfId="0" applyNumberFormat="1" applyFont="1" applyFill="1" applyAlignment="1"/>
    <xf numFmtId="2" fontId="0" fillId="0" borderId="1" xfId="0" applyNumberFormat="1" applyFont="1" applyBorder="1" applyAlignment="1" applyProtection="1">
      <alignment horizontal="center"/>
      <protection hidden="1"/>
    </xf>
    <xf numFmtId="2" fontId="0" fillId="0" borderId="3" xfId="0" applyNumberFormat="1" applyFont="1" applyBorder="1" applyAlignment="1" applyProtection="1">
      <alignment vertical="center"/>
      <protection hidden="1"/>
    </xf>
    <xf numFmtId="2" fontId="29" fillId="9" borderId="0" xfId="2" applyNumberFormat="1" applyFont="1" applyFill="1" applyAlignment="1">
      <alignment vertical="center"/>
    </xf>
    <xf numFmtId="2" fontId="29" fillId="9" borderId="0" xfId="2" applyNumberFormat="1" applyFont="1" applyFill="1" applyAlignment="1">
      <alignment horizontal="center" vertical="center"/>
    </xf>
    <xf numFmtId="2" fontId="29" fillId="9" borderId="0" xfId="2" applyNumberFormat="1" applyFont="1" applyFill="1" applyBorder="1" applyAlignment="1">
      <alignment vertical="center"/>
    </xf>
    <xf numFmtId="2" fontId="29" fillId="9" borderId="0" xfId="0" applyNumberFormat="1" applyFont="1" applyFill="1" applyBorder="1" applyAlignment="1">
      <alignment horizontal="right" vertical="center"/>
    </xf>
    <xf numFmtId="2" fontId="29" fillId="9" borderId="0" xfId="0" applyNumberFormat="1" applyFont="1" applyFill="1" applyAlignment="1"/>
    <xf numFmtId="2" fontId="29" fillId="9" borderId="0" xfId="0" applyNumberFormat="1" applyFont="1" applyFill="1" applyBorder="1" applyAlignment="1" applyProtection="1">
      <protection hidden="1"/>
    </xf>
    <xf numFmtId="2" fontId="29" fillId="0" borderId="0" xfId="0" applyNumberFormat="1" applyFont="1" applyBorder="1" applyAlignment="1" applyProtection="1">
      <protection hidden="1"/>
    </xf>
    <xf numFmtId="2" fontId="29" fillId="0" borderId="0" xfId="0" applyNumberFormat="1" applyFont="1" applyAlignment="1"/>
    <xf numFmtId="2" fontId="0" fillId="9" borderId="0" xfId="2" applyNumberFormat="1" applyFont="1" applyFill="1" applyBorder="1" applyAlignment="1">
      <alignment vertical="center"/>
    </xf>
    <xf numFmtId="2" fontId="0" fillId="9" borderId="0" xfId="2" applyNumberFormat="1" applyFont="1" applyFill="1" applyBorder="1" applyAlignment="1">
      <alignment horizontal="center" vertical="center"/>
    </xf>
    <xf numFmtId="2" fontId="0" fillId="9" borderId="0" xfId="0" applyNumberFormat="1" applyFont="1" applyFill="1" applyBorder="1" applyAlignment="1">
      <alignment horizontal="right" vertical="center"/>
    </xf>
    <xf numFmtId="2" fontId="0" fillId="9" borderId="0" xfId="2" applyNumberFormat="1" applyFont="1" applyFill="1" applyAlignment="1"/>
    <xf numFmtId="2" fontId="0" fillId="9" borderId="0" xfId="2" applyNumberFormat="1" applyFont="1" applyFill="1" applyBorder="1" applyAlignment="1">
      <alignment horizontal="right"/>
    </xf>
    <xf numFmtId="2" fontId="0" fillId="9" borderId="0" xfId="2" applyNumberFormat="1" applyFont="1" applyFill="1" applyBorder="1" applyAlignment="1"/>
    <xf numFmtId="2" fontId="33" fillId="9" borderId="0" xfId="0" applyNumberFormat="1" applyFont="1" applyFill="1" applyBorder="1" applyAlignment="1">
      <alignment horizontal="center" vertical="center"/>
    </xf>
    <xf numFmtId="2" fontId="29" fillId="9" borderId="1" xfId="2" applyNumberFormat="1" applyFont="1" applyFill="1" applyBorder="1" applyAlignment="1">
      <alignment horizontal="left" vertical="center"/>
    </xf>
    <xf numFmtId="2" fontId="22" fillId="9" borderId="1" xfId="2" applyNumberFormat="1" applyFont="1" applyFill="1" applyBorder="1" applyAlignment="1">
      <alignment horizontal="center" vertical="center"/>
    </xf>
    <xf numFmtId="2" fontId="22" fillId="9" borderId="2" xfId="0" applyNumberFormat="1" applyFont="1" applyFill="1" applyBorder="1" applyAlignment="1"/>
    <xf numFmtId="2" fontId="22" fillId="9" borderId="6" xfId="2" applyNumberFormat="1" applyFont="1" applyFill="1" applyBorder="1" applyAlignment="1">
      <alignment horizontal="left" vertical="center"/>
    </xf>
    <xf numFmtId="2" fontId="22" fillId="9" borderId="0" xfId="2" applyNumberFormat="1" applyFont="1" applyFill="1" applyAlignment="1">
      <alignment horizontal="center" vertical="center"/>
    </xf>
    <xf numFmtId="2" fontId="22" fillId="9" borderId="0" xfId="0" applyNumberFormat="1" applyFont="1" applyFill="1" applyBorder="1" applyAlignment="1">
      <alignment horizontal="center" vertical="center"/>
    </xf>
    <xf numFmtId="2" fontId="22" fillId="9" borderId="0" xfId="2" applyNumberFormat="1" applyFont="1" applyFill="1" applyBorder="1" applyAlignment="1">
      <alignment horizontal="right" vertical="center"/>
    </xf>
    <xf numFmtId="2" fontId="22" fillId="9" borderId="0" xfId="2" applyNumberFormat="1" applyFont="1" applyFill="1" applyAlignment="1"/>
    <xf numFmtId="2" fontId="22" fillId="9" borderId="0" xfId="0" applyNumberFormat="1" applyFont="1" applyFill="1" applyBorder="1" applyAlignment="1"/>
    <xf numFmtId="2" fontId="22" fillId="9" borderId="0" xfId="2" applyNumberFormat="1" applyFont="1" applyFill="1" applyBorder="1" applyAlignment="1">
      <alignment horizontal="left" vertical="center"/>
    </xf>
    <xf numFmtId="2" fontId="22" fillId="9" borderId="1" xfId="2" applyNumberFormat="1" applyFont="1" applyFill="1" applyBorder="1" applyAlignment="1">
      <alignment vertical="center"/>
    </xf>
    <xf numFmtId="2" fontId="22" fillId="9" borderId="0" xfId="2" applyNumberFormat="1" applyFont="1" applyFill="1" applyBorder="1" applyAlignment="1">
      <alignment horizontal="right"/>
    </xf>
    <xf numFmtId="2" fontId="29" fillId="9" borderId="0" xfId="0" applyNumberFormat="1" applyFont="1" applyFill="1" applyBorder="1" applyAlignment="1">
      <alignment horizontal="center" vertical="center"/>
    </xf>
    <xf numFmtId="2" fontId="22" fillId="9" borderId="1" xfId="2" applyNumberFormat="1" applyFont="1" applyFill="1" applyBorder="1" applyAlignment="1">
      <alignment horizontal="center"/>
    </xf>
    <xf numFmtId="2" fontId="22" fillId="9" borderId="1" xfId="0" applyNumberFormat="1" applyFont="1" applyFill="1" applyBorder="1" applyAlignment="1"/>
    <xf numFmtId="2" fontId="29" fillId="9" borderId="0" xfId="0" applyNumberFormat="1" applyFont="1" applyFill="1" applyBorder="1" applyAlignment="1">
      <alignment horizontal="right"/>
    </xf>
    <xf numFmtId="2" fontId="22" fillId="9" borderId="1" xfId="2" applyNumberFormat="1" applyFont="1" applyFill="1" applyBorder="1" applyAlignment="1">
      <alignment horizontal="left" vertical="center"/>
    </xf>
    <xf numFmtId="2" fontId="22" fillId="29" borderId="0" xfId="2" applyNumberFormat="1" applyFont="1" applyFill="1" applyAlignment="1">
      <alignment horizontal="center" vertical="center"/>
    </xf>
    <xf numFmtId="2" fontId="22" fillId="2" borderId="0" xfId="2" applyNumberFormat="1" applyFont="1" applyFill="1" applyAlignment="1">
      <alignment horizontal="center" vertical="center"/>
    </xf>
    <xf numFmtId="2" fontId="22" fillId="2" borderId="0" xfId="0" applyNumberFormat="1" applyFont="1" applyFill="1" applyBorder="1" applyAlignment="1">
      <alignment horizontal="center"/>
    </xf>
    <xf numFmtId="2" fontId="22" fillId="9" borderId="1" xfId="2" applyNumberFormat="1" applyFont="1" applyFill="1" applyBorder="1" applyAlignment="1"/>
    <xf numFmtId="2" fontId="22" fillId="9" borderId="2" xfId="2" applyNumberFormat="1" applyFont="1" applyFill="1" applyBorder="1" applyAlignment="1">
      <alignment vertical="center"/>
    </xf>
    <xf numFmtId="2" fontId="22" fillId="9" borderId="0" xfId="2" applyNumberFormat="1" applyFont="1" applyFill="1" applyAlignment="1">
      <alignment horizontal="right"/>
    </xf>
    <xf numFmtId="2" fontId="22" fillId="9" borderId="5" xfId="2" applyNumberFormat="1" applyFont="1" applyFill="1" applyBorder="1" applyAlignment="1">
      <alignment horizontal="left" vertical="center"/>
    </xf>
    <xf numFmtId="2" fontId="22" fillId="9" borderId="5" xfId="2" applyNumberFormat="1" applyFont="1" applyFill="1" applyBorder="1" applyAlignment="1">
      <alignment horizontal="center" vertical="center"/>
    </xf>
    <xf numFmtId="2" fontId="22" fillId="9" borderId="7" xfId="2" applyNumberFormat="1" applyFont="1" applyFill="1" applyBorder="1" applyAlignment="1"/>
    <xf numFmtId="2" fontId="22" fillId="9" borderId="7" xfId="2" applyNumberFormat="1" applyFont="1" applyFill="1" applyBorder="1" applyAlignment="1">
      <alignment horizontal="center"/>
    </xf>
    <xf numFmtId="2" fontId="0" fillId="9" borderId="0" xfId="0" applyNumberFormat="1" applyFont="1" applyFill="1" applyBorder="1" applyAlignment="1"/>
    <xf numFmtId="2" fontId="29" fillId="9" borderId="1" xfId="0" applyNumberFormat="1" applyFont="1" applyFill="1" applyBorder="1" applyAlignment="1">
      <alignment horizontal="center"/>
    </xf>
    <xf numFmtId="2" fontId="22" fillId="9" borderId="1" xfId="0" applyNumberFormat="1" applyFont="1" applyFill="1" applyBorder="1" applyAlignment="1">
      <alignment horizontal="center"/>
    </xf>
    <xf numFmtId="2" fontId="22" fillId="9" borderId="1" xfId="0" applyNumberFormat="1" applyFont="1" applyFill="1" applyBorder="1" applyAlignment="1">
      <alignment horizontal="right"/>
    </xf>
    <xf numFmtId="2" fontId="22" fillId="9" borderId="2" xfId="2" applyNumberFormat="1" applyFont="1" applyFill="1" applyBorder="1" applyAlignment="1">
      <alignment horizontal="left"/>
    </xf>
    <xf numFmtId="2" fontId="22" fillId="9" borderId="8" xfId="2" applyNumberFormat="1" applyFont="1" applyFill="1" applyBorder="1" applyAlignment="1">
      <alignment horizontal="center"/>
    </xf>
    <xf numFmtId="2" fontId="22" fillId="9" borderId="0" xfId="0" applyNumberFormat="1" applyFont="1" applyFill="1" applyBorder="1" applyAlignment="1">
      <alignment horizontal="right"/>
    </xf>
    <xf numFmtId="2" fontId="22" fillId="9" borderId="2" xfId="0" applyNumberFormat="1" applyFont="1" applyFill="1" applyBorder="1" applyAlignment="1">
      <alignment horizontal="left"/>
    </xf>
    <xf numFmtId="2" fontId="22" fillId="9" borderId="8" xfId="0" applyNumberFormat="1" applyFont="1" applyFill="1" applyBorder="1" applyAlignment="1">
      <alignment horizontal="center"/>
    </xf>
    <xf numFmtId="2" fontId="0" fillId="9" borderId="0" xfId="0" applyNumberFormat="1" applyFont="1" applyFill="1" applyAlignment="1">
      <alignment horizontal="center"/>
    </xf>
    <xf numFmtId="2" fontId="22" fillId="9" borderId="2" xfId="0" applyNumberFormat="1" applyFont="1" applyFill="1" applyBorder="1" applyAlignment="1">
      <alignment horizontal="center"/>
    </xf>
    <xf numFmtId="2" fontId="29" fillId="9" borderId="2" xfId="0" applyNumberFormat="1" applyFont="1" applyFill="1" applyBorder="1" applyAlignment="1">
      <alignment horizontal="right"/>
    </xf>
    <xf numFmtId="2" fontId="29" fillId="9" borderId="1" xfId="0" applyNumberFormat="1" applyFont="1" applyFill="1" applyBorder="1" applyAlignment="1"/>
    <xf numFmtId="2" fontId="22" fillId="9" borderId="0" xfId="0" applyNumberFormat="1" applyFont="1" applyFill="1" applyBorder="1" applyAlignment="1">
      <alignment horizontal="left"/>
    </xf>
    <xf numFmtId="2" fontId="22" fillId="9" borderId="0" xfId="2" applyNumberFormat="1" applyFont="1" applyFill="1" applyBorder="1" applyAlignment="1">
      <alignment horizontal="left"/>
    </xf>
    <xf numFmtId="2" fontId="29" fillId="9" borderId="1" xfId="2" applyNumberFormat="1" applyFont="1" applyFill="1" applyBorder="1" applyAlignment="1">
      <alignment horizontal="left"/>
    </xf>
    <xf numFmtId="2" fontId="29" fillId="9" borderId="1" xfId="2" applyNumberFormat="1" applyFont="1" applyFill="1" applyBorder="1" applyAlignment="1">
      <alignment horizontal="center"/>
    </xf>
    <xf numFmtId="2" fontId="22" fillId="9" borderId="0" xfId="0" applyNumberFormat="1" applyFont="1" applyFill="1" applyAlignment="1">
      <alignment horizontal="center"/>
    </xf>
    <xf numFmtId="2" fontId="29" fillId="9" borderId="1" xfId="2" applyNumberFormat="1" applyFont="1" applyFill="1" applyBorder="1" applyAlignment="1"/>
    <xf numFmtId="2" fontId="29" fillId="9" borderId="0" xfId="2" applyNumberFormat="1" applyFont="1" applyFill="1" applyBorder="1" applyAlignment="1"/>
    <xf numFmtId="2" fontId="29" fillId="9" borderId="1" xfId="0" applyNumberFormat="1" applyFont="1" applyFill="1" applyBorder="1" applyAlignment="1">
      <alignment horizontal="right"/>
    </xf>
    <xf numFmtId="2" fontId="29" fillId="9" borderId="1" xfId="0" applyNumberFormat="1" applyFont="1" applyFill="1" applyBorder="1" applyAlignment="1">
      <alignment horizontal="left"/>
    </xf>
    <xf numFmtId="2" fontId="29" fillId="9" borderId="0" xfId="0" applyNumberFormat="1" applyFont="1" applyFill="1" applyBorder="1" applyAlignment="1">
      <alignment horizontal="left"/>
    </xf>
    <xf numFmtId="2" fontId="22" fillId="9" borderId="0" xfId="0" applyNumberFormat="1" applyFont="1" applyFill="1" applyAlignment="1">
      <alignment horizontal="right"/>
    </xf>
    <xf numFmtId="2" fontId="29" fillId="9" borderId="0" xfId="2" applyNumberFormat="1" applyFont="1" applyFill="1" applyAlignment="1"/>
    <xf numFmtId="2" fontId="29" fillId="9" borderId="0" xfId="2" applyNumberFormat="1" applyFont="1" applyFill="1" applyAlignment="1">
      <alignment horizontal="center"/>
    </xf>
    <xf numFmtId="2" fontId="47" fillId="16" borderId="2" xfId="0" applyNumberFormat="1" applyFont="1" applyFill="1" applyBorder="1" applyAlignment="1" applyProtection="1">
      <protection hidden="1"/>
    </xf>
    <xf numFmtId="2" fontId="47" fillId="16" borderId="9" xfId="0" applyNumberFormat="1" applyFont="1" applyFill="1" applyBorder="1" applyAlignment="1" applyProtection="1">
      <alignment horizontal="center"/>
      <protection hidden="1"/>
    </xf>
    <xf numFmtId="2" fontId="47" fillId="16" borderId="9" xfId="0" applyNumberFormat="1" applyFont="1" applyFill="1" applyBorder="1" applyAlignment="1" applyProtection="1">
      <protection hidden="1"/>
    </xf>
    <xf numFmtId="2" fontId="47" fillId="16" borderId="8" xfId="0" applyNumberFormat="1" applyFont="1" applyFill="1" applyBorder="1" applyAlignment="1" applyProtection="1">
      <protection hidden="1"/>
    </xf>
    <xf numFmtId="2" fontId="47" fillId="16" borderId="9" xfId="0" applyNumberFormat="1" applyFont="1" applyFill="1" applyBorder="1" applyAlignment="1" applyProtection="1">
      <alignment horizontal="right"/>
      <protection hidden="1"/>
    </xf>
    <xf numFmtId="2" fontId="0" fillId="38" borderId="1" xfId="0" applyNumberFormat="1" applyFont="1" applyFill="1" applyBorder="1" applyAlignment="1" applyProtection="1">
      <alignment horizontal="center"/>
      <protection hidden="1"/>
    </xf>
    <xf numFmtId="2" fontId="0" fillId="38" borderId="1" xfId="0" applyNumberFormat="1" applyFont="1" applyFill="1" applyBorder="1" applyAlignment="1" applyProtection="1">
      <alignment horizontal="right"/>
      <protection hidden="1"/>
    </xf>
    <xf numFmtId="2" fontId="0" fillId="22" borderId="1" xfId="0" applyNumberFormat="1" applyFont="1" applyFill="1" applyBorder="1" applyAlignment="1" applyProtection="1">
      <alignment horizontal="center"/>
      <protection hidden="1"/>
    </xf>
    <xf numFmtId="2" fontId="0" fillId="22" borderId="1" xfId="0" applyNumberFormat="1" applyFont="1" applyFill="1" applyBorder="1" applyAlignment="1" applyProtection="1">
      <protection hidden="1"/>
    </xf>
    <xf numFmtId="2" fontId="0" fillId="24" borderId="1" xfId="0" applyNumberFormat="1" applyFont="1" applyFill="1" applyBorder="1" applyAlignment="1" applyProtection="1">
      <protection hidden="1"/>
    </xf>
    <xf numFmtId="2" fontId="0" fillId="22" borderId="1" xfId="0" applyNumberFormat="1" applyFont="1" applyFill="1" applyBorder="1" applyAlignment="1" applyProtection="1">
      <alignment horizontal="right"/>
      <protection hidden="1"/>
    </xf>
    <xf numFmtId="2" fontId="0" fillId="0" borderId="9" xfId="0" applyNumberFormat="1" applyFont="1" applyBorder="1" applyAlignment="1" applyProtection="1">
      <alignment horizontal="center"/>
      <protection hidden="1"/>
    </xf>
    <xf numFmtId="2" fontId="0" fillId="0" borderId="9" xfId="0" applyNumberFormat="1" applyFont="1" applyBorder="1" applyAlignment="1" applyProtection="1">
      <protection hidden="1"/>
    </xf>
    <xf numFmtId="2" fontId="0" fillId="0" borderId="8" xfId="0" applyNumberFormat="1" applyFont="1" applyBorder="1" applyAlignment="1" applyProtection="1">
      <protection hidden="1"/>
    </xf>
    <xf numFmtId="2" fontId="0" fillId="0" borderId="0" xfId="0" applyNumberFormat="1" applyFont="1" applyBorder="1" applyAlignment="1" applyProtection="1">
      <alignment horizontal="right"/>
      <protection hidden="1"/>
    </xf>
    <xf numFmtId="2" fontId="0" fillId="0" borderId="9" xfId="0" applyNumberFormat="1" applyFont="1" applyBorder="1" applyAlignment="1" applyProtection="1">
      <alignment horizontal="center"/>
      <protection hidden="1"/>
    </xf>
    <xf numFmtId="2" fontId="0" fillId="0" borderId="9" xfId="0" applyNumberFormat="1" applyFont="1" applyBorder="1" applyAlignment="1" applyProtection="1">
      <protection hidden="1"/>
    </xf>
    <xf numFmtId="2" fontId="0" fillId="0" borderId="8" xfId="0" applyNumberFormat="1" applyFont="1" applyBorder="1" applyAlignment="1" applyProtection="1">
      <protection hidden="1"/>
    </xf>
    <xf numFmtId="2" fontId="0" fillId="0" borderId="9" xfId="0" applyNumberFormat="1" applyFont="1" applyBorder="1" applyAlignment="1" applyProtection="1">
      <alignment horizontal="right"/>
      <protection hidden="1"/>
    </xf>
    <xf numFmtId="2" fontId="29" fillId="9" borderId="0" xfId="0" applyNumberFormat="1" applyFont="1" applyFill="1" applyBorder="1" applyAlignment="1" applyProtection="1">
      <alignment horizontal="left"/>
      <protection hidden="1"/>
    </xf>
    <xf numFmtId="2" fontId="29" fillId="9" borderId="0" xfId="0" applyNumberFormat="1" applyFont="1" applyFill="1" applyBorder="1" applyAlignment="1" applyProtection="1">
      <alignment horizontal="center"/>
      <protection hidden="1"/>
    </xf>
    <xf numFmtId="2" fontId="29" fillId="9" borderId="0" xfId="0" applyNumberFormat="1" applyFont="1" applyFill="1" applyBorder="1" applyAlignment="1" applyProtection="1">
      <alignment horizontal="right"/>
      <protection hidden="1"/>
    </xf>
    <xf numFmtId="2" fontId="22" fillId="9" borderId="0" xfId="0" applyNumberFormat="1" applyFont="1" applyFill="1" applyBorder="1" applyAlignment="1" applyProtection="1">
      <alignment horizontal="right"/>
      <protection hidden="1"/>
    </xf>
    <xf numFmtId="2" fontId="33" fillId="0" borderId="0" xfId="0" applyNumberFormat="1" applyFont="1" applyBorder="1" applyAlignment="1" applyProtection="1">
      <protection hidden="1"/>
    </xf>
    <xf numFmtId="2" fontId="33" fillId="0" borderId="0" xfId="0" applyNumberFormat="1" applyFont="1" applyBorder="1" applyAlignment="1" applyProtection="1">
      <alignment horizontal="right"/>
      <protection hidden="1"/>
    </xf>
    <xf numFmtId="2" fontId="0" fillId="38" borderId="0" xfId="0" applyNumberFormat="1" applyFont="1" applyFill="1" applyAlignment="1" applyProtection="1">
      <protection hidden="1"/>
    </xf>
    <xf numFmtId="2" fontId="0" fillId="38" borderId="2" xfId="0" applyNumberFormat="1" applyFont="1" applyFill="1" applyBorder="1" applyAlignment="1" applyProtection="1">
      <alignment horizontal="left"/>
      <protection hidden="1"/>
    </xf>
    <xf numFmtId="2" fontId="0" fillId="38" borderId="8" xfId="0" applyNumberFormat="1" applyFont="1" applyFill="1" applyBorder="1" applyAlignment="1" applyProtection="1">
      <protection hidden="1"/>
    </xf>
    <xf numFmtId="2" fontId="33" fillId="22" borderId="1" xfId="0" applyNumberFormat="1" applyFont="1" applyFill="1" applyBorder="1" applyAlignment="1" applyProtection="1">
      <alignment horizontal="center"/>
      <protection hidden="1"/>
    </xf>
    <xf numFmtId="2" fontId="33" fillId="22" borderId="1" xfId="0" applyNumberFormat="1" applyFont="1" applyFill="1" applyBorder="1" applyAlignment="1" applyProtection="1">
      <protection hidden="1"/>
    </xf>
    <xf numFmtId="2" fontId="33" fillId="22" borderId="1" xfId="0" applyNumberFormat="1" applyFont="1" applyFill="1" applyBorder="1" applyAlignment="1" applyProtection="1">
      <alignment horizontal="right"/>
      <protection hidden="1"/>
    </xf>
    <xf numFmtId="2" fontId="33" fillId="0" borderId="1" xfId="0" applyNumberFormat="1" applyFont="1" applyBorder="1" applyAlignment="1" applyProtection="1">
      <protection hidden="1"/>
    </xf>
    <xf numFmtId="2" fontId="0" fillId="15" borderId="1" xfId="0" applyNumberFormat="1" applyFont="1" applyFill="1" applyBorder="1" applyAlignment="1" applyProtection="1">
      <protection hidden="1"/>
    </xf>
    <xf numFmtId="2" fontId="0" fillId="15" borderId="1" xfId="0" applyNumberFormat="1" applyFont="1" applyFill="1" applyBorder="1" applyAlignment="1" applyProtection="1">
      <alignment horizontal="center"/>
      <protection hidden="1"/>
    </xf>
    <xf numFmtId="2" fontId="0" fillId="15" borderId="2" xfId="0" applyNumberFormat="1" applyFont="1" applyFill="1" applyBorder="1" applyAlignment="1" applyProtection="1">
      <alignment horizontal="center"/>
      <protection hidden="1"/>
    </xf>
    <xf numFmtId="2" fontId="0" fillId="15" borderId="2" xfId="0" applyNumberFormat="1" applyFont="1" applyFill="1" applyBorder="1" applyAlignment="1" applyProtection="1">
      <protection hidden="1"/>
    </xf>
    <xf numFmtId="2" fontId="0" fillId="22" borderId="2" xfId="0" applyNumberFormat="1" applyFont="1" applyFill="1" applyBorder="1" applyAlignment="1" applyProtection="1">
      <alignment horizontal="center"/>
      <protection hidden="1"/>
    </xf>
    <xf numFmtId="2" fontId="0" fillId="0" borderId="6" xfId="0" applyNumberFormat="1" applyFont="1" applyBorder="1" applyAlignment="1" applyProtection="1">
      <alignment vertical="center"/>
      <protection hidden="1"/>
    </xf>
    <xf numFmtId="2" fontId="0" fillId="0" borderId="7" xfId="0" applyNumberFormat="1" applyFont="1" applyBorder="1" applyAlignment="1" applyProtection="1">
      <alignment vertical="center"/>
      <protection hidden="1"/>
    </xf>
    <xf numFmtId="2" fontId="0" fillId="0" borderId="0" xfId="0" applyNumberFormat="1" applyFont="1" applyBorder="1" applyAlignment="1" applyProtection="1">
      <alignment horizontal="center"/>
      <protection hidden="1"/>
    </xf>
    <xf numFmtId="2" fontId="0" fillId="22" borderId="0" xfId="0" applyNumberFormat="1" applyFont="1" applyFill="1" applyBorder="1" applyAlignment="1" applyProtection="1">
      <alignment horizontal="center"/>
      <protection hidden="1"/>
    </xf>
    <xf numFmtId="2" fontId="33" fillId="0" borderId="0" xfId="0" applyNumberFormat="1" applyFont="1" applyBorder="1" applyAlignment="1" applyProtection="1">
      <alignment horizontal="center"/>
      <protection hidden="1"/>
    </xf>
    <xf numFmtId="2" fontId="33" fillId="0" borderId="0" xfId="0" applyNumberFormat="1" applyFont="1" applyBorder="1" applyAlignment="1" applyProtection="1">
      <alignment horizontal="center" vertical="center"/>
      <protection hidden="1"/>
    </xf>
    <xf numFmtId="2" fontId="33" fillId="0" borderId="0" xfId="0" applyNumberFormat="1" applyFont="1" applyBorder="1" applyAlignment="1" applyProtection="1">
      <alignment horizontal="right" vertical="center"/>
      <protection hidden="1"/>
    </xf>
    <xf numFmtId="2" fontId="33" fillId="24" borderId="3" xfId="0" applyNumberFormat="1" applyFont="1" applyFill="1" applyBorder="1" applyAlignment="1" applyProtection="1">
      <alignment vertical="center"/>
      <protection hidden="1"/>
    </xf>
    <xf numFmtId="2" fontId="33" fillId="24" borderId="13" xfId="0" applyNumberFormat="1" applyFont="1" applyFill="1" applyBorder="1" applyAlignment="1" applyProtection="1">
      <alignment horizontal="center" vertical="center"/>
      <protection hidden="1"/>
    </xf>
    <xf numFmtId="2" fontId="33" fillId="24" borderId="13" xfId="0" applyNumberFormat="1" applyFont="1" applyFill="1" applyBorder="1" applyAlignment="1" applyProtection="1">
      <alignment vertical="center"/>
      <protection hidden="1"/>
    </xf>
    <xf numFmtId="2" fontId="33" fillId="24" borderId="10" xfId="0" applyNumberFormat="1" applyFont="1" applyFill="1" applyBorder="1" applyAlignment="1" applyProtection="1">
      <alignment horizontal="right" vertical="center"/>
      <protection hidden="1"/>
    </xf>
    <xf numFmtId="2" fontId="48" fillId="0" borderId="0" xfId="0" applyNumberFormat="1" applyFont="1" applyAlignment="1" applyProtection="1">
      <alignment vertical="top"/>
      <protection hidden="1"/>
    </xf>
    <xf numFmtId="2" fontId="46" fillId="0" borderId="1" xfId="0" applyNumberFormat="1" applyFont="1" applyBorder="1" applyAlignment="1" applyProtection="1">
      <protection hidden="1"/>
    </xf>
    <xf numFmtId="2" fontId="0" fillId="0" borderId="2" xfId="0" applyNumberFormat="1" applyFont="1" applyBorder="1" applyAlignment="1" applyProtection="1">
      <alignment horizontal="right"/>
      <protection hidden="1"/>
    </xf>
    <xf numFmtId="2" fontId="33" fillId="24" borderId="4" xfId="0" applyNumberFormat="1" applyFont="1" applyFill="1" applyBorder="1" applyAlignment="1" applyProtection="1">
      <alignment vertical="center"/>
      <protection hidden="1"/>
    </xf>
    <xf numFmtId="2" fontId="33" fillId="24" borderId="14" xfId="0" applyNumberFormat="1" applyFont="1" applyFill="1" applyBorder="1" applyAlignment="1" applyProtection="1">
      <alignment horizontal="center" vertical="center"/>
      <protection hidden="1"/>
    </xf>
    <xf numFmtId="2" fontId="33" fillId="24" borderId="14" xfId="0" applyNumberFormat="1" applyFont="1" applyFill="1" applyBorder="1" applyAlignment="1" applyProtection="1">
      <alignment vertical="center"/>
      <protection hidden="1"/>
    </xf>
    <xf numFmtId="2" fontId="33" fillId="24" borderId="15" xfId="0" applyNumberFormat="1" applyFont="1" applyFill="1" applyBorder="1" applyAlignment="1" applyProtection="1">
      <alignment horizontal="right" vertical="center"/>
      <protection hidden="1"/>
    </xf>
    <xf numFmtId="2" fontId="0" fillId="0" borderId="3" xfId="0" applyNumberFormat="1" applyFont="1" applyBorder="1" applyAlignment="1">
      <alignment vertical="center"/>
    </xf>
    <xf numFmtId="2" fontId="0" fillId="0" borderId="13" xfId="0" applyNumberFormat="1" applyFont="1" applyBorder="1" applyAlignment="1">
      <alignment horizontal="center" vertical="center"/>
    </xf>
    <xf numFmtId="2" fontId="0" fillId="0" borderId="13" xfId="0" applyNumberFormat="1" applyFont="1" applyBorder="1" applyAlignment="1">
      <alignment vertical="center"/>
    </xf>
    <xf numFmtId="2" fontId="0" fillId="0" borderId="10" xfId="0" applyNumberFormat="1" applyFont="1" applyBorder="1" applyAlignment="1">
      <alignment vertical="center"/>
    </xf>
    <xf numFmtId="2" fontId="0" fillId="37" borderId="1" xfId="0" applyNumberFormat="1" applyFont="1" applyFill="1" applyBorder="1" applyAlignment="1">
      <alignment horizontal="center" vertical="center"/>
    </xf>
    <xf numFmtId="2" fontId="0" fillId="0" borderId="1" xfId="0" applyNumberFormat="1" applyFont="1" applyBorder="1" applyAlignment="1" applyProtection="1">
      <alignment horizontal="right" vertical="center"/>
      <protection hidden="1"/>
    </xf>
    <xf numFmtId="2" fontId="48" fillId="0" borderId="0" xfId="0" applyNumberFormat="1" applyFont="1" applyAlignment="1" applyProtection="1">
      <alignment vertical="top"/>
      <protection hidden="1"/>
    </xf>
    <xf numFmtId="2" fontId="46" fillId="0" borderId="0" xfId="0" applyNumberFormat="1" applyFont="1" applyAlignment="1" applyProtection="1">
      <protection hidden="1"/>
    </xf>
    <xf numFmtId="2" fontId="0" fillId="0" borderId="0" xfId="0" applyNumberFormat="1" applyFont="1" applyBorder="1" applyAlignment="1" applyProtection="1">
      <alignment horizontal="right"/>
      <protection hidden="1"/>
    </xf>
    <xf numFmtId="2" fontId="49" fillId="0" borderId="1" xfId="0" applyNumberFormat="1" applyFont="1" applyBorder="1" applyAlignment="1" applyProtection="1">
      <alignment vertical="top"/>
      <protection hidden="1"/>
    </xf>
    <xf numFmtId="2" fontId="0" fillId="0" borderId="8" xfId="0" applyNumberFormat="1" applyFont="1" applyBorder="1" applyAlignment="1" applyProtection="1">
      <alignment horizontal="center"/>
      <protection hidden="1"/>
    </xf>
    <xf numFmtId="2" fontId="0" fillId="22" borderId="2" xfId="0" applyNumberFormat="1" applyFont="1" applyFill="1" applyBorder="1" applyAlignment="1" applyProtection="1">
      <protection hidden="1"/>
    </xf>
    <xf numFmtId="2" fontId="0" fillId="0" borderId="5" xfId="0" applyNumberFormat="1" applyFont="1" applyBorder="1" applyAlignment="1" applyProtection="1">
      <alignment horizontal="center"/>
      <protection hidden="1"/>
    </xf>
    <xf numFmtId="2" fontId="0" fillId="0" borderId="5" xfId="0" applyNumberFormat="1" applyFont="1" applyBorder="1" applyAlignment="1" applyProtection="1">
      <alignment horizontal="left"/>
      <protection hidden="1"/>
    </xf>
    <xf numFmtId="2" fontId="0" fillId="24" borderId="2" xfId="0" applyNumberFormat="1" applyFont="1" applyFill="1" applyBorder="1" applyAlignment="1" applyProtection="1">
      <protection hidden="1"/>
    </xf>
    <xf numFmtId="2" fontId="0" fillId="24" borderId="9" xfId="0" applyNumberFormat="1" applyFont="1" applyFill="1" applyBorder="1" applyAlignment="1" applyProtection="1">
      <alignment horizontal="center"/>
      <protection hidden="1"/>
    </xf>
    <xf numFmtId="2" fontId="0" fillId="24" borderId="8" xfId="0" applyNumberFormat="1" applyFont="1" applyFill="1" applyBorder="1" applyAlignment="1" applyProtection="1">
      <alignment horizontal="center"/>
      <protection hidden="1"/>
    </xf>
    <xf numFmtId="2" fontId="46" fillId="0" borderId="1" xfId="0" applyNumberFormat="1" applyFont="1" applyBorder="1" applyAlignment="1"/>
    <xf numFmtId="2" fontId="0" fillId="0" borderId="1" xfId="0" applyNumberFormat="1" applyFont="1" applyBorder="1" applyAlignment="1" applyProtection="1">
      <alignment horizontal="left"/>
      <protection hidden="1"/>
    </xf>
    <xf numFmtId="2" fontId="0" fillId="32" borderId="1" xfId="0" applyNumberFormat="1" applyFont="1" applyFill="1" applyBorder="1" applyAlignment="1" applyProtection="1">
      <alignment horizontal="left"/>
      <protection hidden="1"/>
    </xf>
    <xf numFmtId="2" fontId="0" fillId="32" borderId="1" xfId="0" applyNumberFormat="1" applyFont="1" applyFill="1" applyBorder="1" applyAlignment="1" applyProtection="1">
      <alignment horizontal="center"/>
      <protection hidden="1"/>
    </xf>
    <xf numFmtId="2" fontId="10" fillId="24" borderId="2" xfId="0" applyNumberFormat="1" applyFont="1" applyFill="1" applyBorder="1" applyAlignment="1" applyProtection="1">
      <protection hidden="1"/>
    </xf>
    <xf numFmtId="2" fontId="10" fillId="24" borderId="9" xfId="0" applyNumberFormat="1" applyFont="1" applyFill="1" applyBorder="1" applyAlignment="1" applyProtection="1">
      <alignment horizontal="center"/>
      <protection hidden="1"/>
    </xf>
    <xf numFmtId="2" fontId="10" fillId="24" borderId="8" xfId="0" applyNumberFormat="1" applyFont="1" applyFill="1" applyBorder="1" applyAlignment="1" applyProtection="1">
      <alignment horizontal="center"/>
      <protection hidden="1"/>
    </xf>
    <xf numFmtId="2" fontId="0" fillId="35" borderId="1" xfId="0" applyNumberFormat="1" applyFont="1" applyFill="1" applyBorder="1" applyAlignment="1" applyProtection="1">
      <alignment horizontal="center"/>
      <protection hidden="1"/>
    </xf>
    <xf numFmtId="2" fontId="0" fillId="0" borderId="5" xfId="0" applyNumberFormat="1" applyFont="1" applyBorder="1" applyAlignment="1" applyProtection="1">
      <protection hidden="1"/>
    </xf>
    <xf numFmtId="2" fontId="0" fillId="35" borderId="5" xfId="0" applyNumberFormat="1" applyFont="1" applyFill="1" applyBorder="1" applyAlignment="1" applyProtection="1">
      <alignment horizontal="center"/>
      <protection hidden="1"/>
    </xf>
    <xf numFmtId="2" fontId="33" fillId="24" borderId="2" xfId="0" applyNumberFormat="1" applyFont="1" applyFill="1" applyBorder="1" applyAlignment="1" applyProtection="1">
      <protection hidden="1"/>
    </xf>
    <xf numFmtId="2" fontId="33" fillId="24" borderId="9" xfId="0" applyNumberFormat="1" applyFont="1" applyFill="1" applyBorder="1" applyAlignment="1" applyProtection="1">
      <alignment horizontal="center"/>
      <protection hidden="1"/>
    </xf>
    <xf numFmtId="2" fontId="33" fillId="24" borderId="9" xfId="0" applyNumberFormat="1" applyFont="1" applyFill="1" applyBorder="1" applyAlignment="1" applyProtection="1">
      <protection hidden="1"/>
    </xf>
    <xf numFmtId="2" fontId="33" fillId="24" borderId="9" xfId="0" applyNumberFormat="1" applyFont="1" applyFill="1" applyBorder="1" applyAlignment="1" applyProtection="1">
      <alignment horizontal="right"/>
      <protection hidden="1"/>
    </xf>
    <xf numFmtId="2" fontId="33" fillId="24" borderId="8" xfId="0" applyNumberFormat="1" applyFont="1" applyFill="1" applyBorder="1" applyAlignment="1" applyProtection="1">
      <protection hidden="1"/>
    </xf>
    <xf numFmtId="2" fontId="0" fillId="0" borderId="8" xfId="0" applyNumberFormat="1" applyFont="1" applyBorder="1" applyAlignment="1" applyProtection="1">
      <alignment horizontal="right"/>
      <protection hidden="1"/>
    </xf>
    <xf numFmtId="2" fontId="0" fillId="0" borderId="10" xfId="0" applyNumberFormat="1" applyFont="1" applyBorder="1" applyAlignment="1" applyProtection="1">
      <alignment horizontal="right"/>
      <protection hidden="1"/>
    </xf>
    <xf numFmtId="2" fontId="0" fillId="0" borderId="4" xfId="0" applyNumberFormat="1" applyFont="1" applyBorder="1" applyAlignment="1" applyProtection="1">
      <protection hidden="1"/>
    </xf>
    <xf numFmtId="2" fontId="0" fillId="0" borderId="15" xfId="0" applyNumberFormat="1" applyFont="1" applyBorder="1" applyAlignment="1" applyProtection="1">
      <alignment horizontal="right"/>
      <protection hidden="1"/>
    </xf>
    <xf numFmtId="2" fontId="0" fillId="0" borderId="0" xfId="0" applyNumberFormat="1" applyFont="1" applyBorder="1" applyAlignment="1" applyProtection="1">
      <alignment horizontal="left"/>
      <protection hidden="1"/>
    </xf>
    <xf numFmtId="2" fontId="0" fillId="0" borderId="0" xfId="0" applyNumberFormat="1" applyFont="1" applyAlignment="1" applyProtection="1">
      <alignment horizontal="right"/>
      <protection hidden="1"/>
    </xf>
    <xf numFmtId="2" fontId="0" fillId="0" borderId="0" xfId="0" applyNumberFormat="1" applyFont="1" applyAlignment="1" applyProtection="1">
      <alignment horizontal="center"/>
      <protection hidden="1"/>
    </xf>
    <xf numFmtId="2" fontId="33" fillId="24" borderId="1" xfId="0" applyNumberFormat="1" applyFont="1" applyFill="1" applyBorder="1" applyAlignment="1" applyProtection="1">
      <protection hidden="1"/>
    </xf>
    <xf numFmtId="2" fontId="0" fillId="0" borderId="2" xfId="0" applyNumberFormat="1" applyFont="1" applyBorder="1" applyAlignment="1" applyProtection="1">
      <alignment horizontal="center"/>
      <protection hidden="1"/>
    </xf>
    <xf numFmtId="2" fontId="33" fillId="37" borderId="3" xfId="0" applyNumberFormat="1" applyFont="1" applyFill="1" applyBorder="1" applyAlignment="1" applyProtection="1">
      <alignment vertical="center"/>
      <protection hidden="1"/>
    </xf>
    <xf numFmtId="2" fontId="33" fillId="37" borderId="13" xfId="0" applyNumberFormat="1" applyFont="1" applyFill="1" applyBorder="1" applyAlignment="1" applyProtection="1">
      <alignment horizontal="center" vertical="center"/>
      <protection hidden="1"/>
    </xf>
    <xf numFmtId="2" fontId="33" fillId="37" borderId="13" xfId="0" applyNumberFormat="1" applyFont="1" applyFill="1" applyBorder="1" applyAlignment="1" applyProtection="1">
      <alignment vertical="center"/>
      <protection hidden="1"/>
    </xf>
    <xf numFmtId="2" fontId="33" fillId="37" borderId="13" xfId="0" applyNumberFormat="1" applyFont="1" applyFill="1" applyBorder="1" applyAlignment="1" applyProtection="1">
      <alignment horizontal="right" vertical="center"/>
      <protection hidden="1"/>
    </xf>
    <xf numFmtId="2" fontId="33" fillId="37" borderId="10" xfId="0" applyNumberFormat="1" applyFont="1" applyFill="1" applyBorder="1" applyAlignment="1" applyProtection="1">
      <alignment vertical="center"/>
      <protection hidden="1"/>
    </xf>
    <xf numFmtId="2" fontId="33" fillId="37" borderId="4" xfId="0" applyNumberFormat="1" applyFont="1" applyFill="1" applyBorder="1" applyAlignment="1" applyProtection="1">
      <alignment vertical="center"/>
      <protection hidden="1"/>
    </xf>
    <xf numFmtId="2" fontId="33" fillId="37" borderId="14" xfId="0" applyNumberFormat="1" applyFont="1" applyFill="1" applyBorder="1" applyAlignment="1" applyProtection="1">
      <alignment horizontal="center" vertical="center"/>
      <protection hidden="1"/>
    </xf>
    <xf numFmtId="2" fontId="33" fillId="37" borderId="14" xfId="0" applyNumberFormat="1" applyFont="1" applyFill="1" applyBorder="1" applyAlignment="1" applyProtection="1">
      <alignment vertical="center"/>
      <protection hidden="1"/>
    </xf>
    <xf numFmtId="2" fontId="33" fillId="37" borderId="14" xfId="0" applyNumberFormat="1" applyFont="1" applyFill="1" applyBorder="1" applyAlignment="1" applyProtection="1">
      <alignment horizontal="right" vertical="center"/>
      <protection hidden="1"/>
    </xf>
    <xf numFmtId="2" fontId="33" fillId="37" borderId="15" xfId="0" applyNumberFormat="1" applyFont="1" applyFill="1" applyBorder="1" applyAlignment="1" applyProtection="1">
      <alignment vertical="center"/>
      <protection hidden="1"/>
    </xf>
    <xf numFmtId="2" fontId="0" fillId="37" borderId="5" xfId="0" applyNumberFormat="1" applyFont="1" applyFill="1" applyBorder="1" applyAlignment="1">
      <alignment horizontal="center" vertical="center"/>
    </xf>
    <xf numFmtId="2" fontId="0" fillId="37" borderId="0" xfId="0" applyNumberFormat="1" applyFont="1" applyFill="1" applyBorder="1" applyAlignment="1">
      <alignment horizontal="center" vertical="center"/>
    </xf>
    <xf numFmtId="2" fontId="0" fillId="0" borderId="5" xfId="0" applyNumberFormat="1" applyFont="1" applyBorder="1" applyAlignment="1" applyProtection="1">
      <alignment horizontal="left" vertical="center"/>
      <protection hidden="1"/>
    </xf>
    <xf numFmtId="2" fontId="0" fillId="37" borderId="2" xfId="0" applyNumberFormat="1" applyFont="1" applyFill="1" applyBorder="1" applyAlignment="1" applyProtection="1">
      <protection hidden="1"/>
    </xf>
    <xf numFmtId="2" fontId="0" fillId="37" borderId="9" xfId="0" applyNumberFormat="1" applyFont="1" applyFill="1" applyBorder="1" applyAlignment="1" applyProtection="1">
      <alignment horizontal="center"/>
      <protection hidden="1"/>
    </xf>
    <xf numFmtId="2" fontId="0" fillId="37" borderId="8" xfId="0" applyNumberFormat="1" applyFont="1" applyFill="1" applyBorder="1" applyAlignment="1" applyProtection="1">
      <alignment horizontal="center"/>
      <protection hidden="1"/>
    </xf>
    <xf numFmtId="2" fontId="0" fillId="37" borderId="9" xfId="0" applyNumberFormat="1" applyFont="1" applyFill="1" applyBorder="1" applyAlignment="1" applyProtection="1">
      <protection hidden="1"/>
    </xf>
    <xf numFmtId="2" fontId="0" fillId="37" borderId="9" xfId="0" applyNumberFormat="1" applyFont="1" applyFill="1" applyBorder="1" applyAlignment="1" applyProtection="1">
      <alignment horizontal="right"/>
      <protection hidden="1"/>
    </xf>
    <xf numFmtId="2" fontId="0" fillId="37" borderId="8" xfId="0" applyNumberFormat="1" applyFont="1" applyFill="1" applyBorder="1" applyAlignment="1" applyProtection="1">
      <protection hidden="1"/>
    </xf>
    <xf numFmtId="2" fontId="0" fillId="37" borderId="1" xfId="0" applyNumberFormat="1" applyFont="1" applyFill="1" applyBorder="1" applyAlignment="1" applyProtection="1">
      <protection hidden="1"/>
    </xf>
    <xf numFmtId="2" fontId="0" fillId="42" borderId="1" xfId="0" applyNumberFormat="1" applyFont="1" applyFill="1" applyBorder="1" applyAlignment="1"/>
    <xf numFmtId="2" fontId="0" fillId="0" borderId="7" xfId="0" applyNumberFormat="1" applyFont="1" applyBorder="1" applyAlignment="1" applyProtection="1">
      <alignment horizontal="left"/>
      <protection hidden="1"/>
    </xf>
    <xf numFmtId="2" fontId="0" fillId="0" borderId="7" xfId="0" applyNumberFormat="1" applyFont="1" applyBorder="1" applyAlignment="1" applyProtection="1">
      <alignment horizontal="center"/>
      <protection hidden="1"/>
    </xf>
    <xf numFmtId="2" fontId="0" fillId="0" borderId="7" xfId="0" applyNumberFormat="1" applyFont="1" applyBorder="1" applyAlignment="1" applyProtection="1">
      <protection hidden="1"/>
    </xf>
    <xf numFmtId="2" fontId="0" fillId="0" borderId="13" xfId="0" applyNumberFormat="1" applyFont="1" applyBorder="1" applyAlignment="1" applyProtection="1">
      <protection hidden="1"/>
    </xf>
    <xf numFmtId="2" fontId="0" fillId="0" borderId="6" xfId="0" applyNumberFormat="1" applyFont="1" applyBorder="1" applyAlignment="1" applyProtection="1">
      <protection hidden="1"/>
    </xf>
    <xf numFmtId="2" fontId="0" fillId="17" borderId="4" xfId="0" applyNumberFormat="1" applyFont="1" applyFill="1" applyBorder="1" applyAlignment="1" applyProtection="1">
      <protection hidden="1"/>
    </xf>
    <xf numFmtId="2" fontId="0" fillId="17" borderId="14" xfId="0" applyNumberFormat="1" applyFont="1" applyFill="1" applyBorder="1" applyAlignment="1" applyProtection="1">
      <protection hidden="1"/>
    </xf>
    <xf numFmtId="2" fontId="0" fillId="17" borderId="15" xfId="0" applyNumberFormat="1" applyFont="1" applyFill="1" applyBorder="1" applyAlignment="1" applyProtection="1">
      <alignment horizontal="right"/>
      <protection hidden="1"/>
    </xf>
    <xf numFmtId="2" fontId="0" fillId="17" borderId="0" xfId="0" applyNumberFormat="1" applyFont="1" applyFill="1" applyAlignment="1"/>
    <xf numFmtId="2" fontId="0" fillId="17" borderId="7" xfId="0" applyNumberFormat="1" applyFont="1" applyFill="1" applyBorder="1" applyAlignment="1" applyProtection="1">
      <protection hidden="1"/>
    </xf>
    <xf numFmtId="2" fontId="0" fillId="5" borderId="2" xfId="0" applyNumberFormat="1" applyFont="1" applyFill="1" applyBorder="1" applyAlignment="1" applyProtection="1">
      <protection hidden="1"/>
    </xf>
    <xf numFmtId="2" fontId="0" fillId="5" borderId="9" xfId="0" applyNumberFormat="1" applyFont="1" applyFill="1" applyBorder="1" applyAlignment="1" applyProtection="1">
      <protection hidden="1"/>
    </xf>
    <xf numFmtId="2" fontId="0" fillId="5" borderId="9" xfId="0" applyNumberFormat="1" applyFont="1" applyFill="1" applyBorder="1" applyAlignment="1"/>
    <xf numFmtId="2" fontId="0" fillId="5" borderId="8" xfId="0" applyNumberFormat="1" applyFont="1" applyFill="1" applyBorder="1" applyAlignment="1"/>
    <xf numFmtId="2" fontId="0" fillId="5" borderId="0" xfId="0" applyNumberFormat="1" applyFont="1" applyFill="1" applyAlignment="1" applyProtection="1">
      <alignment horizontal="right"/>
      <protection hidden="1"/>
    </xf>
    <xf numFmtId="2" fontId="0" fillId="5" borderId="12" xfId="0" applyNumberFormat="1" applyFont="1" applyFill="1" applyBorder="1" applyAlignment="1" applyProtection="1">
      <protection hidden="1"/>
    </xf>
    <xf numFmtId="2" fontId="0" fillId="5" borderId="0" xfId="0" applyNumberFormat="1" applyFont="1" applyFill="1" applyBorder="1" applyAlignment="1" applyProtection="1">
      <protection hidden="1"/>
    </xf>
    <xf numFmtId="2" fontId="0" fillId="5" borderId="0" xfId="0" applyNumberFormat="1" applyFont="1" applyFill="1" applyBorder="1" applyAlignment="1"/>
    <xf numFmtId="2" fontId="0" fillId="5" borderId="11" xfId="0" applyNumberFormat="1" applyFont="1" applyFill="1" applyBorder="1" applyAlignment="1"/>
    <xf numFmtId="2" fontId="0" fillId="5" borderId="1" xfId="0" applyNumberFormat="1" applyFont="1" applyFill="1" applyBorder="1" applyAlignment="1"/>
    <xf numFmtId="2" fontId="0" fillId="5" borderId="8" xfId="0" applyNumberFormat="1" applyFont="1" applyFill="1" applyBorder="1" applyAlignment="1" applyProtection="1">
      <alignment horizontal="right"/>
      <protection hidden="1"/>
    </xf>
    <xf numFmtId="2" fontId="9" fillId="5" borderId="1" xfId="0" applyNumberFormat="1" applyFont="1" applyFill="1" applyBorder="1" applyAlignment="1" applyProtection="1">
      <alignment horizontal="left" vertical="center"/>
      <protection hidden="1"/>
    </xf>
    <xf numFmtId="2" fontId="4" fillId="5" borderId="1" xfId="0" applyNumberFormat="1" applyFont="1" applyFill="1" applyBorder="1" applyAlignment="1" applyProtection="1">
      <alignment horizontal="left"/>
      <protection hidden="1"/>
    </xf>
    <xf numFmtId="2" fontId="0" fillId="5" borderId="4" xfId="0" applyNumberFormat="1" applyFont="1" applyFill="1" applyBorder="1" applyAlignment="1" applyProtection="1">
      <protection hidden="1"/>
    </xf>
    <xf numFmtId="2" fontId="0" fillId="5" borderId="14" xfId="0" applyNumberFormat="1" applyFont="1" applyFill="1" applyBorder="1" applyAlignment="1" applyProtection="1">
      <protection hidden="1"/>
    </xf>
    <xf numFmtId="2" fontId="0" fillId="5" borderId="14" xfId="0" applyNumberFormat="1" applyFont="1" applyFill="1" applyBorder="1" applyAlignment="1"/>
    <xf numFmtId="2" fontId="0" fillId="5" borderId="15" xfId="0" applyNumberFormat="1" applyFont="1" applyFill="1" applyBorder="1" applyAlignment="1"/>
    <xf numFmtId="2" fontId="4" fillId="5" borderId="1" xfId="0" applyNumberFormat="1" applyFont="1" applyFill="1" applyBorder="1" applyAlignment="1" applyProtection="1">
      <alignment horizontal="left" vertical="center"/>
      <protection hidden="1"/>
    </xf>
    <xf numFmtId="2" fontId="0" fillId="5" borderId="1" xfId="0" applyNumberFormat="1" applyFont="1" applyFill="1" applyBorder="1" applyAlignment="1" applyProtection="1">
      <alignment horizontal="right"/>
      <protection hidden="1"/>
    </xf>
    <xf numFmtId="2" fontId="0" fillId="0" borderId="14" xfId="0" applyNumberFormat="1" applyFont="1" applyBorder="1" applyAlignment="1" applyProtection="1">
      <protection hidden="1"/>
    </xf>
    <xf numFmtId="2" fontId="33" fillId="37" borderId="1" xfId="0" applyNumberFormat="1" applyFont="1" applyFill="1" applyBorder="1" applyAlignment="1" applyProtection="1">
      <protection hidden="1"/>
    </xf>
    <xf numFmtId="2" fontId="33" fillId="19" borderId="3" xfId="0" applyNumberFormat="1" applyFont="1" applyFill="1" applyBorder="1" applyAlignment="1" applyProtection="1">
      <alignment vertical="center"/>
      <protection hidden="1"/>
    </xf>
    <xf numFmtId="2" fontId="33" fillId="19" borderId="13" xfId="0" applyNumberFormat="1" applyFont="1" applyFill="1" applyBorder="1" applyAlignment="1" applyProtection="1">
      <alignment horizontal="center" vertical="center"/>
      <protection hidden="1"/>
    </xf>
    <xf numFmtId="2" fontId="33" fillId="19" borderId="13" xfId="0" applyNumberFormat="1" applyFont="1" applyFill="1" applyBorder="1" applyAlignment="1" applyProtection="1">
      <alignment vertical="center"/>
      <protection hidden="1"/>
    </xf>
    <xf numFmtId="2" fontId="33" fillId="19" borderId="13" xfId="0" applyNumberFormat="1" applyFont="1" applyFill="1" applyBorder="1" applyAlignment="1" applyProtection="1">
      <alignment horizontal="right" vertical="center"/>
      <protection hidden="1"/>
    </xf>
    <xf numFmtId="2" fontId="33" fillId="19" borderId="10" xfId="0" applyNumberFormat="1" applyFont="1" applyFill="1" applyBorder="1" applyAlignment="1" applyProtection="1">
      <alignment vertical="center"/>
      <protection hidden="1"/>
    </xf>
    <xf numFmtId="2" fontId="33" fillId="19" borderId="4" xfId="0" applyNumberFormat="1" applyFont="1" applyFill="1" applyBorder="1" applyAlignment="1" applyProtection="1">
      <alignment vertical="center"/>
      <protection hidden="1"/>
    </xf>
    <xf numFmtId="2" fontId="33" fillId="19" borderId="14" xfId="0" applyNumberFormat="1" applyFont="1" applyFill="1" applyBorder="1" applyAlignment="1" applyProtection="1">
      <alignment horizontal="center" vertical="center"/>
      <protection hidden="1"/>
    </xf>
    <xf numFmtId="2" fontId="33" fillId="19" borderId="14" xfId="0" applyNumberFormat="1" applyFont="1" applyFill="1" applyBorder="1" applyAlignment="1" applyProtection="1">
      <alignment vertical="center"/>
      <protection hidden="1"/>
    </xf>
    <xf numFmtId="2" fontId="33" fillId="19" borderId="14" xfId="0" applyNumberFormat="1" applyFont="1" applyFill="1" applyBorder="1" applyAlignment="1" applyProtection="1">
      <alignment horizontal="right" vertical="center"/>
      <protection hidden="1"/>
    </xf>
    <xf numFmtId="2" fontId="33" fillId="19" borderId="15" xfId="0" applyNumberFormat="1" applyFont="1" applyFill="1" applyBorder="1" applyAlignment="1" applyProtection="1">
      <alignment vertical="center"/>
      <protection hidden="1"/>
    </xf>
    <xf numFmtId="2" fontId="0" fillId="22" borderId="1" xfId="0" applyNumberFormat="1" applyFont="1" applyFill="1" applyBorder="1" applyAlignment="1" applyProtection="1">
      <alignment horizontal="right" vertical="center"/>
      <protection hidden="1"/>
    </xf>
    <xf numFmtId="2" fontId="10" fillId="0" borderId="0" xfId="0" applyNumberFormat="1" applyFont="1" applyAlignment="1" applyProtection="1">
      <alignment vertical="top"/>
      <protection hidden="1"/>
    </xf>
    <xf numFmtId="2" fontId="10" fillId="0" borderId="0" xfId="0" applyNumberFormat="1" applyFont="1" applyAlignment="1" applyProtection="1">
      <protection hidden="1"/>
    </xf>
    <xf numFmtId="2" fontId="10" fillId="0" borderId="0" xfId="0" applyNumberFormat="1" applyFont="1" applyAlignment="1" applyProtection="1">
      <alignment horizontal="right"/>
      <protection hidden="1"/>
    </xf>
    <xf numFmtId="2" fontId="10" fillId="22" borderId="1" xfId="0" applyNumberFormat="1" applyFont="1" applyFill="1" applyBorder="1" applyAlignment="1" applyProtection="1">
      <alignment horizontal="right" vertical="center"/>
      <protection hidden="1"/>
    </xf>
    <xf numFmtId="2" fontId="10" fillId="0" borderId="5" xfId="0" applyNumberFormat="1" applyFont="1" applyBorder="1" applyAlignment="1" applyProtection="1">
      <alignment vertical="top"/>
      <protection hidden="1"/>
    </xf>
    <xf numFmtId="2" fontId="10" fillId="0" borderId="1" xfId="0" applyNumberFormat="1" applyFont="1" applyBorder="1" applyAlignment="1" applyProtection="1">
      <alignment vertical="top"/>
      <protection hidden="1"/>
    </xf>
    <xf numFmtId="2" fontId="0" fillId="19" borderId="2" xfId="0" applyNumberFormat="1" applyFont="1" applyFill="1" applyBorder="1" applyAlignment="1" applyProtection="1">
      <protection hidden="1"/>
    </xf>
    <xf numFmtId="2" fontId="0" fillId="19" borderId="9" xfId="0" applyNumberFormat="1" applyFont="1" applyFill="1" applyBorder="1" applyAlignment="1" applyProtection="1">
      <alignment horizontal="center"/>
      <protection hidden="1"/>
    </xf>
    <xf numFmtId="2" fontId="0" fillId="19" borderId="8" xfId="0" applyNumberFormat="1" applyFont="1" applyFill="1" applyBorder="1" applyAlignment="1" applyProtection="1">
      <alignment horizontal="center"/>
      <protection hidden="1"/>
    </xf>
    <xf numFmtId="2" fontId="0" fillId="19" borderId="1" xfId="0" applyNumberFormat="1" applyFont="1" applyFill="1" applyBorder="1" applyAlignment="1" applyProtection="1">
      <alignment horizontal="left"/>
      <protection hidden="1"/>
    </xf>
    <xf numFmtId="2" fontId="0" fillId="19" borderId="1" xfId="0" applyNumberFormat="1" applyFont="1" applyFill="1" applyBorder="1" applyAlignment="1" applyProtection="1">
      <alignment horizontal="center"/>
      <protection hidden="1"/>
    </xf>
    <xf numFmtId="2" fontId="0" fillId="19" borderId="1" xfId="0" applyNumberFormat="1" applyFont="1" applyFill="1" applyBorder="1" applyAlignment="1" applyProtection="1">
      <protection hidden="1"/>
    </xf>
    <xf numFmtId="165" fontId="0" fillId="0" borderId="1" xfId="0" applyNumberFormat="1" applyFont="1" applyBorder="1" applyAlignment="1" applyProtection="1">
      <alignment horizontal="center"/>
      <protection hidden="1"/>
    </xf>
    <xf numFmtId="164" fontId="0" fillId="0" borderId="1" xfId="0" applyNumberFormat="1" applyFont="1" applyBorder="1" applyAlignment="1"/>
    <xf numFmtId="1" fontId="0" fillId="0" borderId="1" xfId="0" applyNumberFormat="1" applyFont="1" applyBorder="1" applyAlignment="1"/>
    <xf numFmtId="164" fontId="0" fillId="0" borderId="0" xfId="0" applyNumberFormat="1" applyFont="1" applyBorder="1" applyAlignment="1"/>
    <xf numFmtId="165" fontId="0" fillId="0" borderId="0" xfId="0" applyNumberFormat="1" applyFont="1" applyBorder="1" applyAlignment="1" applyProtection="1">
      <alignment horizontal="center"/>
      <protection hidden="1"/>
    </xf>
    <xf numFmtId="165" fontId="0" fillId="0" borderId="0" xfId="0" applyNumberFormat="1" applyFont="1" applyBorder="1" applyAlignment="1" applyProtection="1">
      <protection hidden="1"/>
    </xf>
    <xf numFmtId="2" fontId="0" fillId="0" borderId="8" xfId="0" applyNumberFormat="1" applyFont="1" applyBorder="1" applyAlignment="1"/>
    <xf numFmtId="165" fontId="0" fillId="0" borderId="1" xfId="0" applyNumberFormat="1" applyFont="1" applyBorder="1" applyAlignment="1" applyProtection="1">
      <protection hidden="1"/>
    </xf>
    <xf numFmtId="2" fontId="0" fillId="19" borderId="8" xfId="0" applyNumberFormat="1" applyFont="1" applyFill="1" applyBorder="1" applyAlignment="1" applyProtection="1">
      <alignment horizontal="right"/>
      <protection hidden="1"/>
    </xf>
    <xf numFmtId="165" fontId="0" fillId="0" borderId="0" xfId="0" applyNumberFormat="1" applyFont="1" applyBorder="1" applyAlignment="1" applyProtection="1">
      <alignment horizontal="right"/>
      <protection hidden="1"/>
    </xf>
    <xf numFmtId="2" fontId="0" fillId="0" borderId="0" xfId="0" applyNumberFormat="1" applyFont="1" applyBorder="1" applyAlignment="1">
      <alignment horizontal="center"/>
    </xf>
    <xf numFmtId="165" fontId="0" fillId="0" borderId="2" xfId="0" applyNumberFormat="1" applyFont="1" applyBorder="1" applyAlignment="1" applyProtection="1">
      <protection hidden="1"/>
    </xf>
    <xf numFmtId="165" fontId="0" fillId="0" borderId="8" xfId="0" applyNumberFormat="1" applyFont="1" applyBorder="1" applyAlignment="1" applyProtection="1">
      <alignment horizontal="right"/>
      <protection hidden="1"/>
    </xf>
    <xf numFmtId="165" fontId="0" fillId="0" borderId="1" xfId="0" applyNumberFormat="1" applyFont="1" applyBorder="1" applyAlignment="1">
      <alignment horizontal="right"/>
    </xf>
    <xf numFmtId="165" fontId="0" fillId="0" borderId="1" xfId="0" applyNumberFormat="1" applyFont="1" applyBorder="1" applyAlignment="1"/>
    <xf numFmtId="165" fontId="0" fillId="0" borderId="7" xfId="0" applyNumberFormat="1" applyFont="1" applyBorder="1" applyAlignment="1" applyProtection="1">
      <alignment horizontal="center"/>
      <protection hidden="1"/>
    </xf>
    <xf numFmtId="2" fontId="0" fillId="0" borderId="7" xfId="0" applyNumberFormat="1" applyFont="1" applyBorder="1" applyAlignment="1"/>
    <xf numFmtId="165" fontId="0" fillId="0" borderId="7" xfId="0" applyNumberFormat="1" applyFont="1" applyBorder="1" applyAlignment="1" applyProtection="1">
      <protection hidden="1"/>
    </xf>
    <xf numFmtId="165" fontId="0" fillId="0" borderId="7" xfId="0" applyNumberFormat="1" applyFont="1" applyBorder="1" applyAlignment="1" applyProtection="1">
      <alignment horizontal="right"/>
      <protection hidden="1"/>
    </xf>
    <xf numFmtId="2" fontId="46" fillId="0" borderId="0" xfId="0" applyNumberFormat="1" applyFont="1" applyBorder="1" applyAlignment="1" applyProtection="1">
      <alignment horizontal="left"/>
      <protection hidden="1"/>
    </xf>
    <xf numFmtId="2" fontId="0" fillId="0" borderId="0" xfId="0" applyNumberFormat="1" applyFont="1" applyAlignment="1">
      <alignment horizontal="left"/>
    </xf>
    <xf numFmtId="2" fontId="0" fillId="0" borderId="0" xfId="0" applyNumberFormat="1" applyFont="1" applyBorder="1" applyAlignment="1" applyProtection="1">
      <alignment horizontal="left"/>
      <protection hidden="1"/>
    </xf>
    <xf numFmtId="2" fontId="0" fillId="0" borderId="7" xfId="0" applyNumberFormat="1" applyBorder="1" applyAlignment="1"/>
    <xf numFmtId="2" fontId="0" fillId="19" borderId="7" xfId="0" applyNumberFormat="1" applyFont="1" applyFill="1" applyBorder="1" applyAlignment="1" applyProtection="1">
      <alignment horizontal="center"/>
      <protection hidden="1"/>
    </xf>
    <xf numFmtId="2" fontId="0" fillId="19" borderId="7" xfId="0" applyNumberFormat="1" applyFont="1" applyFill="1" applyBorder="1" applyAlignment="1" applyProtection="1">
      <protection hidden="1"/>
    </xf>
    <xf numFmtId="2" fontId="0" fillId="19" borderId="9" xfId="0" applyNumberFormat="1" applyFont="1" applyFill="1" applyBorder="1" applyAlignment="1" applyProtection="1">
      <alignment horizontal="right"/>
      <protection hidden="1"/>
    </xf>
    <xf numFmtId="165" fontId="0" fillId="0" borderId="0" xfId="0" applyNumberFormat="1" applyFont="1" applyAlignment="1" applyProtection="1">
      <protection hidden="1"/>
    </xf>
    <xf numFmtId="165" fontId="0" fillId="0" borderId="2" xfId="0" applyNumberFormat="1" applyFont="1" applyBorder="1" applyAlignment="1"/>
    <xf numFmtId="165" fontId="0" fillId="0" borderId="8" xfId="0" applyNumberFormat="1" applyFont="1" applyBorder="1" applyAlignment="1">
      <alignment horizontal="right"/>
    </xf>
    <xf numFmtId="165" fontId="0" fillId="0" borderId="3" xfId="0" applyNumberFormat="1" applyFont="1" applyBorder="1" applyAlignment="1" applyProtection="1">
      <protection hidden="1"/>
    </xf>
    <xf numFmtId="165" fontId="0" fillId="0" borderId="10" xfId="0" applyNumberFormat="1" applyFont="1" applyBorder="1" applyAlignment="1" applyProtection="1">
      <alignment horizontal="right"/>
      <protection hidden="1"/>
    </xf>
    <xf numFmtId="165" fontId="0" fillId="0" borderId="5" xfId="0" applyNumberFormat="1" applyFont="1" applyBorder="1" applyAlignment="1" applyProtection="1">
      <protection hidden="1"/>
    </xf>
    <xf numFmtId="165" fontId="0" fillId="0" borderId="0" xfId="0" applyNumberFormat="1" applyFont="1" applyAlignment="1">
      <alignment horizontal="center"/>
    </xf>
    <xf numFmtId="165" fontId="0" fillId="0" borderId="0" xfId="0" applyNumberFormat="1" applyFont="1" applyAlignment="1"/>
    <xf numFmtId="2" fontId="33" fillId="19" borderId="1" xfId="0" applyNumberFormat="1" applyFont="1" applyFill="1" applyBorder="1" applyAlignment="1" applyProtection="1">
      <protection hidden="1"/>
    </xf>
    <xf numFmtId="2" fontId="0" fillId="0" borderId="0" xfId="0" applyNumberFormat="1" applyFont="1" applyAlignment="1" applyProtection="1">
      <alignment horizontal="center"/>
      <protection hidden="1"/>
    </xf>
    <xf numFmtId="2" fontId="0" fillId="0" borderId="0" xfId="0" applyNumberFormat="1" applyFont="1" applyAlignment="1" applyProtection="1">
      <alignment horizontal="right"/>
      <protection hidden="1"/>
    </xf>
    <xf numFmtId="2" fontId="33" fillId="18" borderId="3" xfId="0" applyNumberFormat="1" applyFont="1" applyFill="1" applyBorder="1" applyAlignment="1" applyProtection="1">
      <alignment vertical="center"/>
      <protection hidden="1"/>
    </xf>
    <xf numFmtId="2" fontId="33" fillId="18" borderId="13" xfId="0" applyNumberFormat="1" applyFont="1" applyFill="1" applyBorder="1" applyAlignment="1" applyProtection="1">
      <alignment horizontal="center" vertical="center"/>
      <protection hidden="1"/>
    </xf>
    <xf numFmtId="2" fontId="33" fillId="18" borderId="13" xfId="0" applyNumberFormat="1" applyFont="1" applyFill="1" applyBorder="1" applyAlignment="1" applyProtection="1">
      <alignment vertical="center"/>
      <protection hidden="1"/>
    </xf>
    <xf numFmtId="2" fontId="33" fillId="18" borderId="13" xfId="0" applyNumberFormat="1" applyFont="1" applyFill="1" applyBorder="1" applyAlignment="1" applyProtection="1">
      <alignment horizontal="right" vertical="center"/>
      <protection hidden="1"/>
    </xf>
    <xf numFmtId="2" fontId="33" fillId="18" borderId="10" xfId="0" applyNumberFormat="1" applyFont="1" applyFill="1" applyBorder="1" applyAlignment="1" applyProtection="1">
      <alignment vertical="center"/>
      <protection hidden="1"/>
    </xf>
    <xf numFmtId="2" fontId="33" fillId="18" borderId="4" xfId="0" applyNumberFormat="1" applyFont="1" applyFill="1" applyBorder="1" applyAlignment="1" applyProtection="1">
      <alignment vertical="center"/>
      <protection hidden="1"/>
    </xf>
    <xf numFmtId="2" fontId="33" fillId="18" borderId="14" xfId="0" applyNumberFormat="1" applyFont="1" applyFill="1" applyBorder="1" applyAlignment="1" applyProtection="1">
      <alignment horizontal="center" vertical="center"/>
      <protection hidden="1"/>
    </xf>
    <xf numFmtId="2" fontId="33" fillId="18" borderId="14" xfId="0" applyNumberFormat="1" applyFont="1" applyFill="1" applyBorder="1" applyAlignment="1" applyProtection="1">
      <alignment vertical="center"/>
      <protection hidden="1"/>
    </xf>
    <xf numFmtId="2" fontId="33" fillId="18" borderId="14" xfId="0" applyNumberFormat="1" applyFont="1" applyFill="1" applyBorder="1" applyAlignment="1" applyProtection="1">
      <alignment horizontal="right" vertical="center"/>
      <protection hidden="1"/>
    </xf>
    <xf numFmtId="2" fontId="33" fillId="18" borderId="15" xfId="0" applyNumberFormat="1" applyFont="1" applyFill="1" applyBorder="1" applyAlignment="1" applyProtection="1">
      <alignment vertical="center"/>
      <protection hidden="1"/>
    </xf>
    <xf numFmtId="2" fontId="0" fillId="0" borderId="14" xfId="0" applyNumberFormat="1" applyFont="1" applyBorder="1" applyAlignment="1">
      <alignment horizontal="center" vertical="center"/>
    </xf>
    <xf numFmtId="2" fontId="0" fillId="0" borderId="14" xfId="0" applyNumberFormat="1" applyFont="1" applyBorder="1" applyAlignment="1">
      <alignment vertical="center"/>
    </xf>
    <xf numFmtId="2" fontId="0" fillId="0" borderId="15" xfId="0" applyNumberFormat="1" applyFont="1" applyBorder="1" applyAlignment="1">
      <alignment vertical="center"/>
    </xf>
    <xf numFmtId="2" fontId="0" fillId="37" borderId="7" xfId="0" applyNumberFormat="1" applyFont="1" applyFill="1" applyBorder="1" applyAlignment="1">
      <alignment horizontal="center" vertical="center"/>
    </xf>
    <xf numFmtId="2" fontId="0" fillId="18" borderId="2" xfId="0" applyNumberFormat="1" applyFont="1" applyFill="1" applyBorder="1" applyAlignment="1" applyProtection="1">
      <protection hidden="1"/>
    </xf>
    <xf numFmtId="2" fontId="0" fillId="18" borderId="9" xfId="0" applyNumberFormat="1" applyFont="1" applyFill="1" applyBorder="1" applyAlignment="1" applyProtection="1">
      <alignment horizontal="center"/>
      <protection hidden="1"/>
    </xf>
    <xf numFmtId="2" fontId="0" fillId="18" borderId="8" xfId="0" applyNumberFormat="1" applyFont="1" applyFill="1" applyBorder="1" applyAlignment="1" applyProtection="1">
      <alignment horizontal="center"/>
      <protection hidden="1"/>
    </xf>
    <xf numFmtId="2" fontId="0" fillId="18" borderId="1" xfId="0" applyNumberFormat="1" applyFont="1" applyFill="1" applyBorder="1" applyAlignment="1" applyProtection="1">
      <alignment horizontal="left"/>
      <protection hidden="1"/>
    </xf>
    <xf numFmtId="2" fontId="0" fillId="18" borderId="1" xfId="0" applyNumberFormat="1" applyFont="1" applyFill="1" applyBorder="1" applyAlignment="1" applyProtection="1">
      <alignment horizontal="center"/>
      <protection hidden="1"/>
    </xf>
    <xf numFmtId="2" fontId="0" fillId="18" borderId="8" xfId="0" applyNumberFormat="1" applyFont="1" applyFill="1" applyBorder="1" applyAlignment="1" applyProtection="1">
      <alignment horizontal="right"/>
      <protection hidden="1"/>
    </xf>
    <xf numFmtId="2" fontId="0" fillId="0" borderId="2" xfId="0" applyNumberFormat="1" applyFont="1" applyBorder="1" applyAlignment="1" applyProtection="1">
      <alignment horizontal="left"/>
      <protection hidden="1"/>
    </xf>
    <xf numFmtId="2" fontId="33" fillId="18" borderId="1" xfId="0" applyNumberFormat="1" applyFont="1" applyFill="1" applyBorder="1" applyAlignment="1" applyProtection="1">
      <protection hidden="1"/>
    </xf>
    <xf numFmtId="2" fontId="33" fillId="36" borderId="3" xfId="0" applyNumberFormat="1" applyFont="1" applyFill="1" applyBorder="1" applyAlignment="1" applyProtection="1">
      <alignment vertical="center"/>
      <protection hidden="1"/>
    </xf>
    <xf numFmtId="2" fontId="33" fillId="36" borderId="13" xfId="0" applyNumberFormat="1" applyFont="1" applyFill="1" applyBorder="1" applyAlignment="1" applyProtection="1">
      <alignment horizontal="center" vertical="center"/>
      <protection hidden="1"/>
    </xf>
    <xf numFmtId="2" fontId="33" fillId="36" borderId="13" xfId="0" applyNumberFormat="1" applyFont="1" applyFill="1" applyBorder="1" applyAlignment="1" applyProtection="1">
      <alignment vertical="center"/>
      <protection hidden="1"/>
    </xf>
    <xf numFmtId="2" fontId="33" fillId="36" borderId="13" xfId="0" applyNumberFormat="1" applyFont="1" applyFill="1" applyBorder="1" applyAlignment="1" applyProtection="1">
      <alignment horizontal="right" vertical="center"/>
      <protection hidden="1"/>
    </xf>
    <xf numFmtId="2" fontId="33" fillId="36" borderId="10" xfId="0" applyNumberFormat="1" applyFont="1" applyFill="1" applyBorder="1" applyAlignment="1" applyProtection="1">
      <alignment vertical="center"/>
      <protection hidden="1"/>
    </xf>
    <xf numFmtId="2" fontId="0" fillId="0" borderId="8" xfId="0" applyNumberFormat="1" applyFont="1" applyBorder="1" applyAlignment="1" applyProtection="1">
      <alignment horizontal="center"/>
      <protection hidden="1"/>
    </xf>
    <xf numFmtId="2" fontId="0" fillId="36" borderId="2" xfId="0" applyNumberFormat="1" applyFont="1" applyFill="1" applyBorder="1" applyAlignment="1" applyProtection="1">
      <protection hidden="1"/>
    </xf>
    <xf numFmtId="2" fontId="0" fillId="36" borderId="9" xfId="0" applyNumberFormat="1" applyFont="1" applyFill="1" applyBorder="1" applyAlignment="1" applyProtection="1">
      <alignment horizontal="center"/>
      <protection hidden="1"/>
    </xf>
    <xf numFmtId="2" fontId="0" fillId="36" borderId="8" xfId="0" applyNumberFormat="1" applyFont="1" applyFill="1" applyBorder="1" applyAlignment="1" applyProtection="1">
      <alignment horizontal="center"/>
      <protection hidden="1"/>
    </xf>
    <xf numFmtId="2" fontId="0" fillId="0" borderId="0" xfId="0" applyNumberFormat="1" applyFont="1" applyBorder="1" applyAlignment="1" applyProtection="1">
      <alignment horizontal="center"/>
      <protection hidden="1"/>
    </xf>
    <xf numFmtId="2" fontId="0" fillId="0" borderId="1" xfId="0" applyNumberFormat="1" applyFont="1" applyBorder="1" applyAlignment="1" applyProtection="1">
      <alignment horizontal="right"/>
      <protection hidden="1"/>
    </xf>
    <xf numFmtId="2" fontId="0" fillId="36" borderId="1" xfId="0" applyNumberFormat="1" applyFont="1" applyFill="1" applyBorder="1" applyAlignment="1" applyProtection="1">
      <alignment horizontal="left"/>
      <protection hidden="1"/>
    </xf>
    <xf numFmtId="2" fontId="0" fillId="36" borderId="1" xfId="0" applyNumberFormat="1" applyFont="1" applyFill="1" applyBorder="1" applyAlignment="1" applyProtection="1">
      <alignment horizontal="center"/>
      <protection hidden="1"/>
    </xf>
    <xf numFmtId="2" fontId="0" fillId="36" borderId="1" xfId="0" applyNumberFormat="1" applyFont="1" applyFill="1" applyBorder="1" applyAlignment="1" applyProtection="1">
      <protection hidden="1"/>
    </xf>
    <xf numFmtId="2" fontId="0" fillId="36" borderId="9" xfId="0" applyNumberFormat="1" applyFont="1" applyFill="1" applyBorder="1" applyAlignment="1" applyProtection="1">
      <protection hidden="1"/>
    </xf>
    <xf numFmtId="2" fontId="0" fillId="36" borderId="8" xfId="0" applyNumberFormat="1" applyFont="1" applyFill="1" applyBorder="1" applyAlignment="1" applyProtection="1">
      <alignment horizontal="right"/>
      <protection hidden="1"/>
    </xf>
    <xf numFmtId="2" fontId="33" fillId="36" borderId="1" xfId="0" applyNumberFormat="1" applyFont="1" applyFill="1" applyBorder="1" applyAlignment="1" applyProtection="1">
      <protection hidden="1"/>
    </xf>
    <xf numFmtId="2" fontId="0" fillId="0" borderId="9" xfId="0" applyNumberFormat="1" applyFont="1" applyBorder="1" applyAlignment="1" applyProtection="1">
      <alignment horizontal="left"/>
      <protection hidden="1"/>
    </xf>
    <xf numFmtId="1" fontId="0" fillId="0" borderId="1" xfId="0" applyNumberFormat="1" applyFont="1" applyBorder="1" applyAlignment="1" applyProtection="1">
      <alignment horizontal="right"/>
      <protection hidden="1"/>
    </xf>
    <xf numFmtId="1" fontId="0" fillId="0" borderId="0" xfId="0" applyNumberFormat="1" applyFont="1" applyAlignment="1" applyProtection="1">
      <protection hidden="1"/>
    </xf>
    <xf numFmtId="1" fontId="0" fillId="0" borderId="0" xfId="0" applyNumberFormat="1" applyFont="1" applyAlignment="1" applyProtection="1">
      <protection hidden="1"/>
    </xf>
    <xf numFmtId="1" fontId="0" fillId="0" borderId="0" xfId="0" applyNumberFormat="1" applyFont="1" applyAlignment="1" applyProtection="1">
      <alignment horizontal="right"/>
      <protection hidden="1"/>
    </xf>
    <xf numFmtId="1" fontId="0" fillId="0" borderId="0" xfId="0" applyNumberFormat="1" applyFont="1" applyBorder="1" applyAlignment="1" applyProtection="1">
      <alignment horizontal="left"/>
      <protection hidden="1"/>
    </xf>
    <xf numFmtId="1" fontId="0" fillId="0" borderId="0" xfId="0" applyNumberFormat="1" applyFont="1" applyBorder="1" applyAlignment="1" applyProtection="1">
      <alignment horizontal="right"/>
      <protection hidden="1"/>
    </xf>
    <xf numFmtId="1" fontId="0" fillId="0" borderId="0" xfId="0" applyNumberFormat="1" applyFont="1" applyBorder="1" applyAlignment="1" applyProtection="1">
      <protection hidden="1"/>
    </xf>
    <xf numFmtId="2" fontId="33" fillId="16" borderId="5" xfId="2" applyNumberFormat="1" applyFont="1" applyFill="1" applyBorder="1" applyAlignment="1">
      <alignment vertical="center"/>
    </xf>
    <xf numFmtId="2" fontId="0" fillId="16" borderId="5" xfId="2" applyNumberFormat="1" applyFont="1" applyFill="1" applyBorder="1" applyAlignment="1">
      <alignment horizontal="center" vertical="center"/>
    </xf>
    <xf numFmtId="2" fontId="0" fillId="22" borderId="1" xfId="2" applyNumberFormat="1" applyFont="1" applyFill="1" applyBorder="1" applyAlignment="1">
      <alignment horizontal="center"/>
    </xf>
    <xf numFmtId="2" fontId="0" fillId="0" borderId="5" xfId="2" applyNumberFormat="1" applyFont="1" applyBorder="1" applyAlignment="1">
      <alignment horizontal="left" vertical="center"/>
    </xf>
    <xf numFmtId="2" fontId="0" fillId="0" borderId="5" xfId="2" applyNumberFormat="1" applyFont="1" applyBorder="1" applyAlignment="1">
      <alignment horizontal="center" vertical="center"/>
    </xf>
    <xf numFmtId="2" fontId="0" fillId="22" borderId="5" xfId="2" applyNumberFormat="1" applyFont="1" applyFill="1" applyBorder="1" applyAlignment="1">
      <alignment horizontal="center" vertical="center"/>
    </xf>
    <xf numFmtId="2" fontId="0" fillId="0" borderId="2" xfId="2" applyNumberFormat="1" applyFont="1" applyBorder="1" applyAlignment="1">
      <alignment horizontal="left" vertical="center"/>
    </xf>
    <xf numFmtId="2" fontId="22" fillId="2" borderId="0" xfId="0" applyNumberFormat="1" applyFont="1" applyFill="1" applyAlignment="1" applyProtection="1">
      <alignment horizontal="center"/>
      <protection hidden="1"/>
    </xf>
    <xf numFmtId="2" fontId="33" fillId="16" borderId="9" xfId="2" applyNumberFormat="1" applyFont="1" applyFill="1" applyBorder="1" applyAlignment="1">
      <alignment horizontal="center" vertical="center"/>
    </xf>
    <xf numFmtId="2" fontId="33" fillId="16" borderId="9" xfId="2" applyNumberFormat="1" applyFont="1" applyFill="1" applyBorder="1" applyAlignment="1">
      <alignment vertical="center"/>
    </xf>
    <xf numFmtId="2" fontId="33" fillId="16" borderId="8" xfId="2" applyNumberFormat="1" applyFont="1" applyFill="1" applyBorder="1" applyAlignment="1">
      <alignment vertical="center"/>
    </xf>
    <xf numFmtId="2" fontId="0" fillId="16" borderId="9" xfId="0" applyNumberFormat="1" applyFont="1" applyFill="1" applyBorder="1" applyAlignment="1">
      <alignment horizontal="center" vertical="center"/>
    </xf>
    <xf numFmtId="2" fontId="33" fillId="0" borderId="2" xfId="2" applyNumberFormat="1" applyFont="1" applyBorder="1" applyAlignment="1">
      <alignment horizontal="center" vertical="center"/>
    </xf>
    <xf numFmtId="2" fontId="33" fillId="0" borderId="8" xfId="2" applyNumberFormat="1" applyFont="1" applyBorder="1" applyAlignment="1">
      <alignment horizontal="center" vertical="center"/>
    </xf>
    <xf numFmtId="2" fontId="33" fillId="0" borderId="7" xfId="2" applyNumberFormat="1" applyFont="1" applyBorder="1" applyAlignment="1">
      <alignment horizontal="center" vertical="center"/>
    </xf>
    <xf numFmtId="2" fontId="33" fillId="0" borderId="0" xfId="2" applyNumberFormat="1" applyFont="1" applyBorder="1" applyAlignment="1">
      <alignment horizontal="center" vertical="center"/>
    </xf>
    <xf numFmtId="2" fontId="10" fillId="0" borderId="0" xfId="2" applyNumberFormat="1" applyFont="1" applyAlignment="1">
      <alignment vertical="center"/>
    </xf>
    <xf numFmtId="2" fontId="0" fillId="0" borderId="9" xfId="0" applyNumberFormat="1" applyFont="1" applyBorder="1" applyAlignment="1">
      <alignment horizontal="center" vertical="center"/>
    </xf>
    <xf numFmtId="2" fontId="0" fillId="0" borderId="8" xfId="0" applyNumberFormat="1" applyFont="1" applyBorder="1" applyAlignment="1">
      <alignment horizontal="center" vertical="center"/>
    </xf>
    <xf numFmtId="2" fontId="0" fillId="16" borderId="2" xfId="2" applyNumberFormat="1" applyFont="1" applyFill="1" applyBorder="1" applyAlignment="1">
      <alignment vertical="center"/>
    </xf>
    <xf numFmtId="2" fontId="0" fillId="16" borderId="9" xfId="2" applyNumberFormat="1" applyFont="1" applyFill="1" applyBorder="1" applyAlignment="1">
      <alignment horizontal="center" vertical="center"/>
    </xf>
    <xf numFmtId="2" fontId="0" fillId="16" borderId="8" xfId="2" applyNumberFormat="1" applyFont="1" applyFill="1" applyBorder="1" applyAlignment="1">
      <alignment horizontal="center" vertical="center"/>
    </xf>
    <xf numFmtId="2" fontId="0" fillId="16" borderId="7" xfId="2" applyNumberFormat="1" applyFont="1" applyFill="1" applyBorder="1" applyAlignment="1">
      <alignment horizontal="center" vertical="center"/>
    </xf>
    <xf numFmtId="2" fontId="10" fillId="0" borderId="9" xfId="0" applyNumberFormat="1" applyFont="1" applyBorder="1" applyAlignment="1" applyProtection="1">
      <alignment vertical="center"/>
      <protection hidden="1"/>
    </xf>
    <xf numFmtId="2" fontId="10" fillId="0" borderId="9" xfId="0" applyNumberFormat="1" applyFont="1" applyBorder="1" applyAlignment="1" applyProtection="1">
      <alignment horizontal="center" vertical="center"/>
      <protection hidden="1"/>
    </xf>
    <xf numFmtId="2" fontId="10" fillId="0" borderId="15" xfId="0" applyNumberFormat="1" applyFont="1" applyBorder="1" applyAlignment="1" applyProtection="1">
      <alignment vertical="center"/>
      <protection hidden="1"/>
    </xf>
    <xf numFmtId="2" fontId="10" fillId="0" borderId="7" xfId="0" applyNumberFormat="1" applyFont="1" applyBorder="1" applyAlignment="1" applyProtection="1">
      <alignment vertical="center"/>
      <protection hidden="1"/>
    </xf>
    <xf numFmtId="2" fontId="0" fillId="22" borderId="0" xfId="2" applyNumberFormat="1" applyFont="1" applyFill="1" applyBorder="1" applyAlignment="1"/>
    <xf numFmtId="2" fontId="10" fillId="0" borderId="8" xfId="0" applyNumberFormat="1" applyFont="1" applyBorder="1" applyAlignment="1" applyProtection="1">
      <alignment horizontal="center" vertical="center"/>
      <protection hidden="1"/>
    </xf>
    <xf numFmtId="2" fontId="0" fillId="0" borderId="9" xfId="2" applyNumberFormat="1" applyFont="1" applyBorder="1" applyAlignment="1">
      <alignment vertical="center"/>
    </xf>
    <xf numFmtId="2" fontId="0" fillId="0" borderId="9" xfId="2" applyNumberFormat="1" applyFont="1" applyBorder="1" applyAlignment="1">
      <alignment horizontal="center" vertical="center"/>
    </xf>
    <xf numFmtId="2" fontId="0" fillId="0" borderId="8" xfId="2" applyNumberFormat="1" applyFont="1" applyBorder="1" applyAlignment="1">
      <alignment vertical="center"/>
    </xf>
    <xf numFmtId="2" fontId="10" fillId="0" borderId="0" xfId="0" applyNumberFormat="1" applyFont="1" applyBorder="1" applyAlignment="1" applyProtection="1">
      <alignment vertical="center"/>
      <protection hidden="1"/>
    </xf>
    <xf numFmtId="2" fontId="0" fillId="0" borderId="2" xfId="0" applyNumberFormat="1" applyFont="1" applyBorder="1" applyAlignment="1" applyProtection="1">
      <alignment vertical="center"/>
      <protection hidden="1"/>
    </xf>
    <xf numFmtId="2" fontId="0" fillId="0" borderId="9" xfId="0" applyNumberFormat="1" applyFont="1" applyBorder="1" applyAlignment="1" applyProtection="1">
      <alignment horizontal="center" vertical="center"/>
      <protection hidden="1"/>
    </xf>
    <xf numFmtId="2" fontId="0" fillId="21" borderId="0" xfId="2" applyNumberFormat="1" applyFont="1" applyFill="1" applyAlignment="1">
      <alignment vertical="center"/>
    </xf>
    <xf numFmtId="2" fontId="0" fillId="0" borderId="0" xfId="0" applyNumberFormat="1" applyFont="1" applyAlignment="1" applyProtection="1">
      <alignment vertical="center"/>
      <protection hidden="1"/>
    </xf>
    <xf numFmtId="2" fontId="0" fillId="0" borderId="0" xfId="0" applyNumberFormat="1" applyFont="1" applyBorder="1" applyAlignment="1" applyProtection="1">
      <alignment vertical="center"/>
      <protection hidden="1"/>
    </xf>
    <xf numFmtId="2" fontId="0" fillId="0" borderId="2" xfId="2" applyNumberFormat="1" applyFont="1" applyBorder="1" applyAlignment="1">
      <alignment vertical="center"/>
    </xf>
    <xf numFmtId="2" fontId="0" fillId="0" borderId="8" xfId="2" applyNumberFormat="1" applyFont="1" applyBorder="1" applyAlignment="1">
      <alignment horizontal="center" vertical="center"/>
    </xf>
    <xf numFmtId="2" fontId="0" fillId="0" borderId="13" xfId="0" applyNumberFormat="1" applyFont="1" applyBorder="1" applyAlignment="1" applyProtection="1">
      <alignment horizontal="center" vertical="center"/>
      <protection hidden="1"/>
    </xf>
    <xf numFmtId="2" fontId="0" fillId="0" borderId="10" xfId="0" applyNumberFormat="1" applyFont="1" applyBorder="1" applyAlignment="1" applyProtection="1">
      <alignment horizontal="center" vertical="center"/>
      <protection hidden="1"/>
    </xf>
    <xf numFmtId="2" fontId="0" fillId="0" borderId="4" xfId="0" applyNumberFormat="1" applyFont="1" applyBorder="1" applyAlignment="1" applyProtection="1">
      <alignment vertical="center"/>
      <protection hidden="1"/>
    </xf>
    <xf numFmtId="2" fontId="0" fillId="0" borderId="14" xfId="0" applyNumberFormat="1" applyFont="1" applyBorder="1" applyAlignment="1" applyProtection="1">
      <alignment horizontal="center" vertical="center"/>
      <protection hidden="1"/>
    </xf>
    <xf numFmtId="2" fontId="0" fillId="0" borderId="15" xfId="0" applyNumberFormat="1" applyFont="1" applyBorder="1" applyAlignment="1" applyProtection="1">
      <alignment horizontal="center" vertical="center"/>
      <protection hidden="1"/>
    </xf>
    <xf numFmtId="2" fontId="0" fillId="0" borderId="0" xfId="2" applyNumberFormat="1" applyFont="1" applyAlignment="1">
      <alignment horizontal="center" vertical="center"/>
    </xf>
    <xf numFmtId="2" fontId="33" fillId="21" borderId="0" xfId="0" applyNumberFormat="1" applyFont="1" applyFill="1" applyBorder="1" applyAlignment="1">
      <alignment horizontal="right" vertical="center"/>
    </xf>
    <xf numFmtId="2" fontId="47" fillId="36" borderId="3" xfId="0" applyNumberFormat="1" applyFont="1" applyFill="1" applyBorder="1" applyAlignment="1" applyProtection="1">
      <alignment vertical="center"/>
      <protection hidden="1"/>
    </xf>
    <xf numFmtId="2" fontId="47" fillId="36" borderId="13" xfId="0" applyNumberFormat="1" applyFont="1" applyFill="1" applyBorder="1" applyAlignment="1" applyProtection="1">
      <alignment horizontal="center" vertical="center"/>
      <protection hidden="1"/>
    </xf>
    <xf numFmtId="2" fontId="47" fillId="36" borderId="13" xfId="0" applyNumberFormat="1" applyFont="1" applyFill="1" applyBorder="1" applyAlignment="1" applyProtection="1">
      <alignment vertical="center"/>
      <protection hidden="1"/>
    </xf>
    <xf numFmtId="2" fontId="47" fillId="36" borderId="13" xfId="0" applyNumberFormat="1" applyFont="1" applyFill="1" applyBorder="1" applyAlignment="1" applyProtection="1">
      <alignment horizontal="right" vertical="center"/>
      <protection hidden="1"/>
    </xf>
    <xf numFmtId="2" fontId="47" fillId="36" borderId="10" xfId="0" applyNumberFormat="1" applyFont="1" applyFill="1" applyBorder="1" applyAlignment="1" applyProtection="1">
      <alignment vertical="center"/>
      <protection hidden="1"/>
    </xf>
    <xf numFmtId="2" fontId="47" fillId="0" borderId="0" xfId="0" applyNumberFormat="1" applyFont="1" applyBorder="1" applyAlignment="1" applyProtection="1">
      <alignment horizontal="right" vertical="center"/>
      <protection hidden="1"/>
    </xf>
    <xf numFmtId="2" fontId="47" fillId="0" borderId="0" xfId="0" applyNumberFormat="1" applyFont="1" applyBorder="1" applyAlignment="1" applyProtection="1">
      <alignment horizontal="center" vertical="center"/>
      <protection hidden="1"/>
    </xf>
    <xf numFmtId="2" fontId="10" fillId="0" borderId="1" xfId="0" applyNumberFormat="1" applyFont="1" applyBorder="1" applyAlignment="1" applyProtection="1">
      <alignment horizontal="left" vertical="center"/>
      <protection hidden="1"/>
    </xf>
    <xf numFmtId="2" fontId="10" fillId="0" borderId="7" xfId="0" applyNumberFormat="1" applyFont="1" applyBorder="1" applyAlignment="1" applyProtection="1">
      <alignment horizontal="center" vertical="center"/>
      <protection hidden="1"/>
    </xf>
    <xf numFmtId="2" fontId="10" fillId="22" borderId="1" xfId="0" applyNumberFormat="1" applyFont="1" applyFill="1" applyBorder="1" applyAlignment="1" applyProtection="1">
      <alignment horizontal="left" vertical="center"/>
      <protection hidden="1"/>
    </xf>
    <xf numFmtId="2" fontId="10" fillId="0" borderId="0" xfId="0" applyNumberFormat="1" applyFont="1" applyBorder="1" applyAlignment="1" applyProtection="1">
      <alignment horizontal="center" vertical="center"/>
      <protection hidden="1"/>
    </xf>
    <xf numFmtId="2" fontId="10" fillId="0" borderId="0" xfId="0" applyNumberFormat="1" applyFont="1" applyBorder="1" applyAlignment="1" applyProtection="1">
      <alignment horizontal="left" vertical="center"/>
      <protection hidden="1"/>
    </xf>
    <xf numFmtId="2" fontId="22" fillId="0" borderId="0" xfId="0" applyNumberFormat="1" applyFont="1" applyBorder="1" applyAlignment="1" applyProtection="1">
      <alignment horizontal="center"/>
      <protection hidden="1"/>
    </xf>
    <xf numFmtId="2" fontId="0" fillId="0" borderId="8" xfId="0" applyNumberFormat="1" applyFont="1" applyBorder="1" applyAlignment="1" applyProtection="1">
      <alignment horizontal="left"/>
      <protection hidden="1"/>
    </xf>
    <xf numFmtId="2" fontId="0" fillId="0" borderId="8" xfId="0" applyNumberFormat="1" applyFont="1" applyBorder="1" applyAlignment="1" applyProtection="1">
      <alignment horizontal="right"/>
      <protection hidden="1"/>
    </xf>
    <xf numFmtId="2" fontId="0" fillId="0" borderId="13" xfId="0" applyNumberFormat="1" applyFont="1" applyBorder="1" applyAlignment="1" applyProtection="1">
      <alignment horizontal="right"/>
      <protection hidden="1"/>
    </xf>
    <xf numFmtId="2" fontId="33" fillId="21" borderId="0" xfId="0" applyNumberFormat="1" applyFont="1" applyFill="1" applyBorder="1" applyAlignment="1">
      <alignment horizontal="right"/>
    </xf>
    <xf numFmtId="2" fontId="33" fillId="0" borderId="13" xfId="2" applyNumberFormat="1" applyFont="1" applyBorder="1" applyAlignment="1">
      <alignment horizontal="center" vertical="center"/>
    </xf>
    <xf numFmtId="2" fontId="0" fillId="16" borderId="1" xfId="2" applyNumberFormat="1" applyFont="1" applyFill="1" applyBorder="1" applyAlignment="1">
      <alignment wrapText="1"/>
    </xf>
    <xf numFmtId="2" fontId="0" fillId="16" borderId="2" xfId="2" applyNumberFormat="1" applyFont="1" applyFill="1" applyBorder="1" applyAlignment="1">
      <alignment horizontal="center"/>
    </xf>
    <xf numFmtId="2" fontId="0" fillId="0" borderId="0" xfId="0" applyNumberFormat="1" applyFont="1" applyBorder="1"/>
    <xf numFmtId="2" fontId="0" fillId="0" borderId="1" xfId="2" applyNumberFormat="1" applyFont="1" applyBorder="1" applyAlignment="1">
      <alignment wrapText="1"/>
    </xf>
    <xf numFmtId="2" fontId="0" fillId="0" borderId="0" xfId="2" applyNumberFormat="1" applyFont="1" applyAlignment="1">
      <alignment wrapText="1"/>
    </xf>
    <xf numFmtId="2" fontId="0" fillId="0" borderId="0" xfId="2" applyNumberFormat="1" applyFont="1" applyAlignment="1">
      <alignment horizontal="center"/>
    </xf>
    <xf numFmtId="2" fontId="0" fillId="0" borderId="1" xfId="2" applyNumberFormat="1" applyFont="1" applyBorder="1" applyAlignment="1">
      <alignment vertical="center" wrapText="1"/>
    </xf>
    <xf numFmtId="2" fontId="0" fillId="0" borderId="1" xfId="2" applyNumberFormat="1" applyFont="1" applyBorder="1" applyAlignment="1">
      <alignment horizontal="center" vertical="center" wrapText="1"/>
    </xf>
    <xf numFmtId="2" fontId="0" fillId="0" borderId="5" xfId="0" applyNumberFormat="1" applyFont="1" applyBorder="1" applyAlignment="1" applyProtection="1">
      <protection hidden="1"/>
    </xf>
    <xf numFmtId="2" fontId="0" fillId="0" borderId="5" xfId="0" applyNumberFormat="1" applyFont="1" applyBorder="1" applyAlignment="1" applyProtection="1">
      <alignment horizontal="center"/>
      <protection hidden="1"/>
    </xf>
    <xf numFmtId="2" fontId="0" fillId="0" borderId="10" xfId="0" applyNumberFormat="1" applyFont="1" applyBorder="1" applyAlignment="1" applyProtection="1">
      <protection hidden="1"/>
    </xf>
    <xf numFmtId="164" fontId="0" fillId="0" borderId="0" xfId="0" applyNumberFormat="1" applyFont="1" applyBorder="1" applyAlignment="1" applyProtection="1">
      <alignment horizontal="right"/>
      <protection hidden="1"/>
    </xf>
    <xf numFmtId="2" fontId="0" fillId="26" borderId="1" xfId="0" applyNumberFormat="1" applyFont="1" applyFill="1" applyBorder="1" applyAlignment="1" applyProtection="1">
      <alignment horizontal="center"/>
      <protection hidden="1"/>
    </xf>
    <xf numFmtId="2" fontId="0" fillId="10" borderId="1" xfId="0" applyNumberFormat="1" applyFont="1" applyFill="1" applyBorder="1" applyAlignment="1" applyProtection="1">
      <protection hidden="1"/>
    </xf>
    <xf numFmtId="2" fontId="0" fillId="10" borderId="1" xfId="0" applyNumberFormat="1" applyFont="1" applyFill="1" applyBorder="1" applyAlignment="1" applyProtection="1">
      <alignment horizontal="center"/>
      <protection hidden="1"/>
    </xf>
    <xf numFmtId="2" fontId="0" fillId="10" borderId="1" xfId="0" applyNumberFormat="1" applyFont="1" applyFill="1" applyBorder="1" applyAlignment="1" applyProtection="1">
      <alignment horizontal="right"/>
      <protection hidden="1"/>
    </xf>
    <xf numFmtId="2" fontId="0" fillId="0" borderId="5" xfId="0" applyNumberFormat="1" applyFont="1" applyBorder="1" applyAlignment="1">
      <alignment horizontal="center"/>
    </xf>
    <xf numFmtId="2" fontId="22" fillId="2" borderId="0" xfId="0" applyNumberFormat="1" applyFont="1" applyFill="1" applyAlignment="1"/>
    <xf numFmtId="2" fontId="22" fillId="2" borderId="0" xfId="0" applyNumberFormat="1" applyFont="1" applyFill="1" applyBorder="1" applyAlignment="1"/>
    <xf numFmtId="2" fontId="3" fillId="2" borderId="0" xfId="0" applyNumberFormat="1" applyFont="1" applyFill="1" applyAlignment="1">
      <alignment horizontal="right"/>
    </xf>
    <xf numFmtId="2" fontId="22" fillId="2" borderId="0" xfId="0" applyNumberFormat="1" applyFont="1" applyFill="1" applyAlignment="1">
      <alignment horizontal="center"/>
    </xf>
    <xf numFmtId="2" fontId="33" fillId="4" borderId="1" xfId="0" applyNumberFormat="1" applyFont="1" applyFill="1" applyBorder="1" applyAlignment="1" applyProtection="1">
      <alignment vertical="center"/>
      <protection hidden="1"/>
    </xf>
    <xf numFmtId="2" fontId="33" fillId="4" borderId="1" xfId="0" applyNumberFormat="1" applyFont="1" applyFill="1" applyBorder="1" applyAlignment="1" applyProtection="1">
      <alignment horizontal="center" vertical="center"/>
      <protection hidden="1"/>
    </xf>
    <xf numFmtId="2" fontId="33" fillId="4" borderId="1" xfId="0" applyNumberFormat="1" applyFont="1" applyFill="1" applyBorder="1" applyAlignment="1" applyProtection="1">
      <alignment horizontal="right" vertical="center"/>
      <protection hidden="1"/>
    </xf>
    <xf numFmtId="2" fontId="0" fillId="4" borderId="1" xfId="0" applyNumberFormat="1" applyFont="1" applyFill="1" applyBorder="1" applyAlignment="1">
      <alignment horizontal="center" vertical="center"/>
    </xf>
    <xf numFmtId="2" fontId="0" fillId="4" borderId="1" xfId="0" applyNumberFormat="1" applyFont="1" applyFill="1" applyBorder="1" applyAlignment="1" applyProtection="1">
      <protection hidden="1"/>
    </xf>
    <xf numFmtId="2" fontId="0" fillId="4" borderId="1" xfId="0" applyNumberFormat="1" applyFont="1" applyFill="1" applyBorder="1" applyAlignment="1" applyProtection="1">
      <alignment horizontal="center"/>
      <protection hidden="1"/>
    </xf>
    <xf numFmtId="2" fontId="48" fillId="4" borderId="1" xfId="0" applyNumberFormat="1" applyFont="1" applyFill="1" applyBorder="1" applyAlignment="1" applyProtection="1">
      <alignment vertical="top"/>
      <protection hidden="1"/>
    </xf>
    <xf numFmtId="2" fontId="0" fillId="4" borderId="1" xfId="0" applyNumberFormat="1" applyFont="1" applyFill="1" applyBorder="1" applyAlignment="1" applyProtection="1">
      <alignment horizontal="right"/>
      <protection hidden="1"/>
    </xf>
    <xf numFmtId="2" fontId="0" fillId="4" borderId="1" xfId="0" applyNumberFormat="1" applyFont="1" applyFill="1" applyBorder="1" applyAlignment="1" applyProtection="1">
      <alignment vertical="center"/>
      <protection hidden="1"/>
    </xf>
    <xf numFmtId="2" fontId="0" fillId="4" borderId="1" xfId="0" applyNumberFormat="1" applyFont="1" applyFill="1" applyBorder="1" applyAlignment="1" applyProtection="1">
      <alignment horizontal="left" vertical="center"/>
      <protection hidden="1"/>
    </xf>
    <xf numFmtId="2" fontId="0" fillId="0" borderId="6" xfId="0" applyNumberFormat="1" applyFont="1" applyBorder="1" applyAlignment="1" applyProtection="1">
      <alignment horizontal="left" vertical="center"/>
      <protection hidden="1"/>
    </xf>
    <xf numFmtId="2" fontId="0" fillId="4" borderId="7" xfId="0" applyNumberFormat="1" applyFont="1" applyFill="1" applyBorder="1" applyAlignment="1" applyProtection="1">
      <protection hidden="1"/>
    </xf>
    <xf numFmtId="2" fontId="0" fillId="4" borderId="0" xfId="0" applyNumberFormat="1" applyFont="1" applyFill="1" applyBorder="1" applyAlignment="1" applyProtection="1">
      <protection hidden="1"/>
    </xf>
    <xf numFmtId="2" fontId="0" fillId="4" borderId="0" xfId="0" applyNumberFormat="1" applyFont="1" applyFill="1" applyBorder="1" applyAlignment="1" applyProtection="1">
      <alignment horizontal="center"/>
      <protection hidden="1"/>
    </xf>
    <xf numFmtId="2" fontId="0" fillId="0" borderId="0" xfId="0" applyNumberFormat="1" applyBorder="1" applyAlignment="1" applyProtection="1">
      <alignment horizontal="center"/>
      <protection hidden="1"/>
    </xf>
    <xf numFmtId="2" fontId="0" fillId="4" borderId="1" xfId="0" applyNumberFormat="1" applyFont="1" applyFill="1" applyBorder="1" applyAlignment="1" applyProtection="1">
      <alignment horizontal="left"/>
      <protection hidden="1"/>
    </xf>
    <xf numFmtId="2" fontId="0" fillId="4" borderId="5" xfId="0" applyNumberFormat="1" applyFont="1" applyFill="1" applyBorder="1" applyAlignment="1" applyProtection="1">
      <alignment horizontal="left"/>
      <protection hidden="1"/>
    </xf>
    <xf numFmtId="2" fontId="0" fillId="4" borderId="5" xfId="0" applyNumberFormat="1" applyFont="1" applyFill="1" applyBorder="1" applyAlignment="1" applyProtection="1">
      <alignment horizontal="center"/>
      <protection hidden="1"/>
    </xf>
    <xf numFmtId="2" fontId="0" fillId="16" borderId="7" xfId="0" applyNumberFormat="1" applyFont="1" applyFill="1" applyBorder="1" applyAlignment="1">
      <alignment horizontal="left"/>
    </xf>
    <xf numFmtId="2" fontId="12" fillId="16" borderId="7" xfId="0" applyNumberFormat="1" applyFont="1" applyFill="1" applyBorder="1" applyAlignment="1">
      <alignment wrapText="1"/>
    </xf>
    <xf numFmtId="2" fontId="0" fillId="0" borderId="0" xfId="0" applyNumberFormat="1" applyFont="1" applyBorder="1" applyAlignment="1">
      <alignment wrapText="1"/>
    </xf>
    <xf numFmtId="0" fontId="0" fillId="0" borderId="8" xfId="2" applyFont="1" applyBorder="1"/>
    <xf numFmtId="2" fontId="0" fillId="22" borderId="1" xfId="0" applyNumberFormat="1" applyFont="1" applyFill="1" applyBorder="1" applyAlignment="1">
      <alignment wrapText="1"/>
    </xf>
    <xf numFmtId="0" fontId="0" fillId="0" borderId="0" xfId="2" applyFont="1" applyBorder="1"/>
    <xf numFmtId="0" fontId="0" fillId="0" borderId="0" xfId="2" applyFont="1"/>
    <xf numFmtId="2" fontId="10" fillId="0" borderId="0" xfId="0" applyNumberFormat="1" applyFont="1" applyBorder="1" applyAlignment="1">
      <alignment wrapText="1"/>
    </xf>
    <xf numFmtId="0" fontId="0" fillId="0" borderId="8" xfId="2" applyFont="1" applyBorder="1" applyAlignment="1"/>
    <xf numFmtId="2" fontId="10" fillId="0" borderId="2" xfId="0" applyNumberFormat="1" applyFont="1" applyBorder="1" applyAlignment="1">
      <alignment wrapText="1"/>
    </xf>
    <xf numFmtId="2" fontId="0" fillId="0" borderId="0" xfId="0" applyNumberFormat="1" applyFont="1" applyBorder="1" applyAlignment="1">
      <alignment horizontal="center" wrapText="1"/>
    </xf>
    <xf numFmtId="2" fontId="10" fillId="16" borderId="2" xfId="0" applyNumberFormat="1" applyFont="1" applyFill="1" applyBorder="1" applyAlignment="1">
      <alignment wrapText="1"/>
    </xf>
    <xf numFmtId="0" fontId="0" fillId="16" borderId="1" xfId="2" applyFont="1" applyFill="1" applyBorder="1"/>
    <xf numFmtId="1" fontId="10" fillId="0" borderId="0" xfId="0" applyNumberFormat="1" applyFont="1" applyBorder="1" applyAlignment="1">
      <alignment wrapText="1"/>
    </xf>
    <xf numFmtId="1" fontId="0" fillId="22" borderId="1" xfId="2" applyNumberFormat="1" applyFont="1" applyFill="1" applyBorder="1"/>
    <xf numFmtId="1" fontId="0" fillId="16" borderId="1" xfId="2" applyNumberFormat="1" applyFont="1" applyFill="1" applyBorder="1"/>
    <xf numFmtId="2" fontId="0" fillId="22" borderId="2" xfId="0" applyNumberFormat="1" applyFont="1" applyFill="1" applyBorder="1" applyAlignment="1">
      <alignment wrapText="1"/>
    </xf>
    <xf numFmtId="0" fontId="33" fillId="0" borderId="0" xfId="2" applyFont="1" applyBorder="1" applyAlignment="1"/>
    <xf numFmtId="0" fontId="0" fillId="16" borderId="2" xfId="2" applyFont="1" applyFill="1" applyBorder="1"/>
    <xf numFmtId="0" fontId="0" fillId="0" borderId="1" xfId="2" applyFont="1" applyBorder="1"/>
    <xf numFmtId="0" fontId="0" fillId="0" borderId="0" xfId="2" applyFont="1" applyBorder="1"/>
    <xf numFmtId="2" fontId="33" fillId="0" borderId="0" xfId="0" applyNumberFormat="1" applyFont="1" applyBorder="1" applyAlignment="1">
      <alignment vertical="center" wrapText="1"/>
    </xf>
    <xf numFmtId="0" fontId="0" fillId="0" borderId="12" xfId="2" applyFont="1" applyBorder="1" applyAlignment="1">
      <alignment vertical="center" wrapText="1"/>
    </xf>
    <xf numFmtId="0" fontId="0" fillId="0" borderId="0" xfId="2" applyFont="1" applyAlignment="1">
      <alignment vertical="center" wrapText="1"/>
    </xf>
    <xf numFmtId="0" fontId="0" fillId="0" borderId="0" xfId="2" applyFont="1" applyAlignment="1">
      <alignment wrapText="1"/>
    </xf>
    <xf numFmtId="2" fontId="33" fillId="0" borderId="0" xfId="0" applyNumberFormat="1" applyFont="1" applyBorder="1" applyAlignment="1">
      <alignment horizontal="center" vertical="center" wrapText="1"/>
    </xf>
    <xf numFmtId="0" fontId="0" fillId="0" borderId="0" xfId="2" applyFont="1" applyBorder="1" applyAlignment="1"/>
    <xf numFmtId="0" fontId="33" fillId="16" borderId="1" xfId="2" applyFont="1" applyFill="1" applyBorder="1" applyAlignment="1">
      <alignment horizontal="center"/>
    </xf>
    <xf numFmtId="0" fontId="0" fillId="0" borderId="1" xfId="2" applyFont="1" applyBorder="1" applyAlignment="1">
      <alignment horizontal="left"/>
    </xf>
    <xf numFmtId="0" fontId="0" fillId="0" borderId="7" xfId="2" applyFont="1" applyBorder="1" applyAlignment="1">
      <alignment horizontal="center"/>
    </xf>
    <xf numFmtId="2" fontId="0" fillId="0" borderId="7" xfId="2" applyNumberFormat="1" applyFont="1" applyBorder="1"/>
    <xf numFmtId="0" fontId="0" fillId="0" borderId="1" xfId="2" applyFont="1" applyBorder="1"/>
    <xf numFmtId="0" fontId="0" fillId="0" borderId="0" xfId="2" applyFont="1" applyBorder="1" applyAlignment="1">
      <alignment horizontal="left"/>
    </xf>
    <xf numFmtId="0" fontId="0" fillId="0" borderId="0" xfId="2" applyFont="1" applyBorder="1" applyAlignment="1">
      <alignment horizontal="center"/>
    </xf>
    <xf numFmtId="0" fontId="0" fillId="0" borderId="0" xfId="2" applyFont="1" applyBorder="1" applyAlignment="1">
      <alignment wrapText="1"/>
    </xf>
    <xf numFmtId="2" fontId="9" fillId="0" borderId="7" xfId="0" applyNumberFormat="1" applyFont="1" applyBorder="1" applyAlignment="1" applyProtection="1">
      <alignment vertical="center"/>
      <protection hidden="1"/>
    </xf>
    <xf numFmtId="0" fontId="4" fillId="0" borderId="0" xfId="0" applyFont="1" applyAlignment="1" applyProtection="1">
      <alignment vertical="center"/>
      <protection hidden="1"/>
    </xf>
    <xf numFmtId="2" fontId="4" fillId="0" borderId="13" xfId="0" applyNumberFormat="1" applyFont="1" applyBorder="1" applyAlignment="1" applyProtection="1">
      <alignment vertical="center"/>
      <protection hidden="1"/>
    </xf>
    <xf numFmtId="2" fontId="4" fillId="0" borderId="10" xfId="0" applyNumberFormat="1" applyFont="1" applyBorder="1" applyAlignment="1" applyProtection="1">
      <alignment vertical="center"/>
      <protection hidden="1"/>
    </xf>
    <xf numFmtId="2" fontId="4" fillId="0" borderId="14" xfId="0" applyNumberFormat="1" applyFont="1" applyBorder="1" applyAlignment="1" applyProtection="1">
      <alignment vertical="center"/>
      <protection hidden="1"/>
    </xf>
    <xf numFmtId="2" fontId="4" fillId="0" borderId="15" xfId="0" applyNumberFormat="1" applyFont="1" applyBorder="1" applyAlignment="1" applyProtection="1">
      <alignment vertical="center"/>
      <protection hidden="1"/>
    </xf>
    <xf numFmtId="165" fontId="10" fillId="0" borderId="1" xfId="0" applyNumberFormat="1" applyFont="1" applyBorder="1" applyAlignment="1" applyProtection="1">
      <alignment vertical="center"/>
      <protection hidden="1"/>
    </xf>
    <xf numFmtId="2" fontId="9" fillId="22" borderId="8" xfId="0" applyNumberFormat="1" applyFont="1" applyFill="1" applyBorder="1" applyAlignment="1" applyProtection="1">
      <alignment vertical="center"/>
      <protection hidden="1"/>
    </xf>
    <xf numFmtId="2" fontId="50" fillId="0" borderId="0" xfId="0" applyNumberFormat="1" applyFont="1" applyBorder="1" applyAlignment="1" applyProtection="1">
      <alignment vertical="center"/>
      <protection hidden="1"/>
    </xf>
    <xf numFmtId="165" fontId="0" fillId="0" borderId="1" xfId="2" applyNumberFormat="1" applyFont="1" applyBorder="1" applyAlignment="1">
      <alignment vertical="center"/>
    </xf>
    <xf numFmtId="2" fontId="0" fillId="0" borderId="0" xfId="0" applyNumberFormat="1" applyFont="1" applyBorder="1" applyAlignment="1">
      <alignment vertical="center" wrapText="1"/>
    </xf>
    <xf numFmtId="165" fontId="0" fillId="0" borderId="1" xfId="2" applyNumberFormat="1" applyFont="1" applyBorder="1" applyAlignment="1">
      <alignment vertical="center"/>
    </xf>
    <xf numFmtId="165" fontId="0" fillId="0" borderId="1" xfId="0" applyNumberFormat="1" applyFont="1" applyBorder="1" applyAlignment="1" applyProtection="1">
      <alignment vertical="center"/>
      <protection hidden="1"/>
    </xf>
    <xf numFmtId="0" fontId="10" fillId="0" borderId="0" xfId="0" applyFont="1" applyAlignment="1" applyProtection="1">
      <protection hidden="1"/>
    </xf>
    <xf numFmtId="0" fontId="10" fillId="0" borderId="0" xfId="0" applyFont="1" applyBorder="1" applyAlignment="1" applyProtection="1">
      <protection hidden="1"/>
    </xf>
    <xf numFmtId="0" fontId="0" fillId="0" borderId="0" xfId="0" applyFont="1" applyBorder="1" applyAlignment="1" applyProtection="1">
      <alignment vertical="center"/>
      <protection hidden="1"/>
    </xf>
    <xf numFmtId="0" fontId="0" fillId="0" borderId="0" xfId="0" applyBorder="1" applyAlignment="1" applyProtection="1">
      <protection hidden="1"/>
    </xf>
    <xf numFmtId="1" fontId="10" fillId="0" borderId="2" xfId="0" applyNumberFormat="1" applyFont="1" applyBorder="1" applyAlignment="1" applyProtection="1">
      <alignment vertical="center"/>
      <protection hidden="1"/>
    </xf>
    <xf numFmtId="2" fontId="0" fillId="0" borderId="0" xfId="0" applyNumberFormat="1" applyBorder="1" applyAlignment="1">
      <alignment horizontal="center" wrapText="1"/>
    </xf>
    <xf numFmtId="0" fontId="33" fillId="16" borderId="8" xfId="2" applyFont="1" applyFill="1" applyBorder="1" applyAlignment="1"/>
    <xf numFmtId="0" fontId="0" fillId="0" borderId="6" xfId="2" applyFont="1" applyBorder="1"/>
    <xf numFmtId="0" fontId="0" fillId="0" borderId="6" xfId="2" applyFont="1" applyBorder="1"/>
    <xf numFmtId="0" fontId="0" fillId="0" borderId="0" xfId="0" applyBorder="1" applyProtection="1">
      <protection hidden="1"/>
    </xf>
    <xf numFmtId="2" fontId="33" fillId="0" borderId="0" xfId="0" applyNumberFormat="1" applyFont="1" applyBorder="1" applyAlignment="1">
      <alignment horizontal="center" wrapText="1"/>
    </xf>
    <xf numFmtId="2" fontId="0" fillId="22" borderId="1" xfId="0" applyNumberFormat="1" applyFont="1" applyFill="1" applyBorder="1" applyAlignment="1">
      <alignment horizontal="center" wrapText="1"/>
    </xf>
    <xf numFmtId="2" fontId="33" fillId="16" borderId="2" xfId="0" applyNumberFormat="1" applyFont="1" applyFill="1" applyBorder="1" applyAlignment="1"/>
    <xf numFmtId="2" fontId="33" fillId="16" borderId="8" xfId="0" applyNumberFormat="1" applyFont="1" applyFill="1" applyBorder="1" applyAlignment="1"/>
    <xf numFmtId="2" fontId="0" fillId="16" borderId="1" xfId="0" applyNumberFormat="1" applyFont="1" applyFill="1" applyBorder="1" applyAlignment="1">
      <alignment horizontal="right"/>
    </xf>
    <xf numFmtId="2" fontId="0" fillId="0" borderId="0" xfId="0" applyNumberFormat="1" applyFont="1" applyBorder="1" applyAlignment="1">
      <alignment horizontal="left"/>
    </xf>
    <xf numFmtId="2" fontId="0" fillId="0" borderId="8" xfId="0" applyNumberFormat="1" applyFont="1" applyBorder="1" applyAlignment="1">
      <alignment horizontal="left" vertical="center"/>
    </xf>
    <xf numFmtId="2" fontId="0" fillId="0" borderId="8" xfId="0" applyNumberFormat="1" applyBorder="1" applyAlignment="1">
      <alignment horizontal="left" vertical="center"/>
    </xf>
    <xf numFmtId="0" fontId="33" fillId="16" borderId="1" xfId="2" applyFont="1" applyFill="1" applyBorder="1" applyAlignment="1">
      <alignment horizontal="left" vertical="center"/>
    </xf>
    <xf numFmtId="0" fontId="0" fillId="0" borderId="6" xfId="2" applyFont="1" applyBorder="1" applyAlignment="1">
      <alignment horizontal="left" vertical="center"/>
    </xf>
    <xf numFmtId="2" fontId="0" fillId="0" borderId="0" xfId="0" applyNumberFormat="1" applyFont="1" applyBorder="1" applyAlignment="1">
      <alignment horizontal="center" vertical="center" wrapText="1"/>
    </xf>
    <xf numFmtId="0" fontId="0" fillId="22" borderId="1" xfId="2" applyFont="1" applyFill="1" applyBorder="1" applyAlignment="1">
      <alignment horizontal="center" vertical="center"/>
    </xf>
    <xf numFmtId="0" fontId="0" fillId="0" borderId="5" xfId="2" applyFont="1" applyBorder="1" applyAlignment="1">
      <alignment horizontal="left" vertical="center"/>
    </xf>
    <xf numFmtId="0" fontId="0" fillId="0" borderId="6" xfId="2" applyFont="1" applyBorder="1" applyAlignment="1">
      <alignment horizontal="center" vertical="center"/>
    </xf>
    <xf numFmtId="0" fontId="0" fillId="16" borderId="1" xfId="2" applyFont="1" applyFill="1" applyBorder="1" applyAlignment="1">
      <alignment horizontal="left" vertical="center"/>
    </xf>
    <xf numFmtId="0" fontId="0" fillId="0" borderId="1" xfId="2" applyFont="1" applyBorder="1" applyAlignment="1">
      <alignment horizontal="right" vertical="center"/>
    </xf>
    <xf numFmtId="0" fontId="0" fillId="0" borderId="6" xfId="2" applyFont="1" applyBorder="1" applyAlignment="1">
      <alignment horizontal="center" vertical="center"/>
    </xf>
    <xf numFmtId="2" fontId="33" fillId="16" borderId="1" xfId="0" applyNumberFormat="1" applyFont="1" applyFill="1" applyBorder="1" applyAlignment="1">
      <alignment horizontal="center"/>
    </xf>
    <xf numFmtId="2" fontId="0" fillId="0" borderId="2" xfId="0" applyNumberFormat="1" applyFont="1" applyBorder="1" applyAlignment="1">
      <alignment horizontal="left"/>
    </xf>
    <xf numFmtId="2" fontId="0" fillId="0" borderId="8" xfId="0" applyNumberFormat="1" applyBorder="1" applyAlignment="1">
      <alignment horizontal="left"/>
    </xf>
    <xf numFmtId="2" fontId="0" fillId="0" borderId="8" xfId="0" applyNumberFormat="1" applyFont="1" applyBorder="1" applyAlignment="1">
      <alignment horizontal="left"/>
    </xf>
    <xf numFmtId="0" fontId="33" fillId="16" borderId="1" xfId="2" applyFont="1" applyFill="1" applyBorder="1" applyAlignment="1">
      <alignment horizontal="left"/>
    </xf>
    <xf numFmtId="0" fontId="0" fillId="0" borderId="7" xfId="2" applyFont="1" applyBorder="1"/>
    <xf numFmtId="2" fontId="0" fillId="0" borderId="0" xfId="0" applyNumberFormat="1" applyBorder="1" applyAlignment="1">
      <alignment horizontal="center"/>
    </xf>
    <xf numFmtId="0" fontId="33" fillId="16" borderId="1" xfId="2" applyFont="1" applyFill="1" applyBorder="1" applyAlignment="1">
      <alignment vertical="center"/>
    </xf>
    <xf numFmtId="0" fontId="33" fillId="16" borderId="5" xfId="2" applyFont="1" applyFill="1" applyBorder="1" applyAlignment="1">
      <alignment vertical="center"/>
    </xf>
    <xf numFmtId="0" fontId="0" fillId="16" borderId="5" xfId="2" applyFont="1" applyFill="1" applyBorder="1" applyAlignment="1">
      <alignment vertical="center"/>
    </xf>
    <xf numFmtId="0" fontId="0" fillId="16" borderId="0" xfId="2" applyFont="1" applyFill="1" applyAlignment="1"/>
    <xf numFmtId="0" fontId="0" fillId="0" borderId="7" xfId="2" applyFont="1" applyBorder="1"/>
    <xf numFmtId="0" fontId="0" fillId="0" borderId="8" xfId="2" applyFont="1" applyBorder="1" applyAlignment="1">
      <alignment horizontal="left"/>
    </xf>
    <xf numFmtId="0" fontId="0" fillId="16" borderId="0" xfId="2" applyFont="1" applyFill="1"/>
    <xf numFmtId="0" fontId="0" fillId="16" borderId="6" xfId="2" applyFont="1" applyFill="1" applyBorder="1"/>
    <xf numFmtId="0" fontId="0" fillId="0" borderId="5" xfId="2" applyFont="1" applyBorder="1" applyAlignment="1">
      <alignment horizontal="center"/>
    </xf>
    <xf numFmtId="0" fontId="0" fillId="0" borderId="5" xfId="2" applyFont="1" applyBorder="1"/>
    <xf numFmtId="2" fontId="4" fillId="38" borderId="1" xfId="0" applyNumberFormat="1" applyFont="1" applyFill="1" applyBorder="1" applyAlignment="1" applyProtection="1">
      <protection hidden="1"/>
    </xf>
    <xf numFmtId="2" fontId="4" fillId="38" borderId="1" xfId="0" applyNumberFormat="1" applyFont="1" applyFill="1" applyBorder="1" applyProtection="1">
      <protection hidden="1"/>
    </xf>
    <xf numFmtId="2" fontId="4" fillId="38" borderId="1" xfId="0" applyNumberFormat="1" applyFont="1" applyFill="1" applyBorder="1" applyAlignment="1" applyProtection="1">
      <alignment wrapText="1"/>
      <protection hidden="1"/>
    </xf>
    <xf numFmtId="2" fontId="4" fillId="0" borderId="0" xfId="0" applyNumberFormat="1" applyFont="1" applyBorder="1" applyProtection="1">
      <protection hidden="1"/>
    </xf>
    <xf numFmtId="2" fontId="4" fillId="22" borderId="1" xfId="0" applyNumberFormat="1" applyFont="1" applyFill="1" applyBorder="1" applyProtection="1">
      <protection hidden="1"/>
    </xf>
    <xf numFmtId="2" fontId="4" fillId="22" borderId="1" xfId="0" applyNumberFormat="1" applyFont="1" applyFill="1" applyBorder="1" applyAlignment="1" applyProtection="1">
      <alignment wrapText="1"/>
      <protection hidden="1"/>
    </xf>
    <xf numFmtId="2" fontId="4" fillId="0" borderId="1" xfId="0" applyNumberFormat="1" applyFont="1" applyBorder="1" applyAlignment="1" applyProtection="1">
      <alignment wrapText="1"/>
      <protection hidden="1"/>
    </xf>
    <xf numFmtId="2" fontId="4" fillId="0" borderId="0" xfId="0" applyNumberFormat="1" applyFont="1" applyBorder="1" applyAlignment="1" applyProtection="1">
      <protection hidden="1"/>
    </xf>
    <xf numFmtId="2" fontId="4" fillId="0" borderId="0" xfId="0" applyNumberFormat="1" applyFont="1" applyBorder="1" applyAlignment="1" applyProtection="1">
      <alignment horizontal="right"/>
      <protection hidden="1"/>
    </xf>
    <xf numFmtId="2" fontId="4" fillId="0" borderId="1" xfId="0" applyNumberFormat="1" applyFont="1" applyBorder="1" applyProtection="1">
      <protection hidden="1"/>
    </xf>
    <xf numFmtId="2" fontId="4" fillId="0" borderId="1" xfId="0" applyNumberFormat="1" applyFont="1" applyBorder="1" applyAlignment="1" applyProtection="1">
      <alignment wrapText="1"/>
      <protection hidden="1"/>
    </xf>
    <xf numFmtId="2" fontId="4" fillId="0" borderId="0" xfId="0" applyNumberFormat="1" applyFont="1" applyBorder="1" applyProtection="1">
      <protection hidden="1"/>
    </xf>
    <xf numFmtId="2" fontId="5" fillId="0" borderId="0" xfId="0" applyNumberFormat="1" applyFont="1" applyBorder="1" applyAlignment="1" applyProtection="1">
      <alignment horizontal="right"/>
      <protection hidden="1"/>
    </xf>
    <xf numFmtId="2" fontId="5" fillId="0" borderId="0" xfId="0" applyNumberFormat="1" applyFont="1" applyBorder="1" applyAlignment="1" applyProtection="1">
      <alignment horizontal="right" wrapText="1"/>
      <protection hidden="1"/>
    </xf>
    <xf numFmtId="2" fontId="5" fillId="0" borderId="0" xfId="0" applyNumberFormat="1" applyFont="1" applyBorder="1" applyAlignment="1" applyProtection="1">
      <alignment wrapText="1"/>
      <protection hidden="1"/>
    </xf>
    <xf numFmtId="2" fontId="5" fillId="0" borderId="0" xfId="0" applyNumberFormat="1" applyFont="1" applyBorder="1" applyAlignment="1" applyProtection="1">
      <alignment horizontal="right" wrapText="1"/>
      <protection hidden="1"/>
    </xf>
    <xf numFmtId="2" fontId="5" fillId="0" borderId="0" xfId="0" applyNumberFormat="1" applyFont="1" applyBorder="1" applyAlignment="1" applyProtection="1">
      <alignment horizontal="right"/>
      <protection hidden="1"/>
    </xf>
    <xf numFmtId="2" fontId="5" fillId="0" borderId="0" xfId="0" applyNumberFormat="1" applyFont="1" applyBorder="1" applyProtection="1">
      <protection hidden="1"/>
    </xf>
    <xf numFmtId="2" fontId="4" fillId="38" borderId="0" xfId="0" applyNumberFormat="1" applyFont="1" applyFill="1" applyAlignment="1" applyProtection="1">
      <alignment wrapText="1"/>
      <protection hidden="1"/>
    </xf>
    <xf numFmtId="2" fontId="5" fillId="22" borderId="1" xfId="0" applyNumberFormat="1" applyFont="1" applyFill="1" applyBorder="1" applyProtection="1">
      <protection hidden="1"/>
    </xf>
    <xf numFmtId="2" fontId="5" fillId="22" borderId="1" xfId="0" applyNumberFormat="1" applyFont="1" applyFill="1" applyBorder="1" applyAlignment="1" applyProtection="1">
      <alignment wrapText="1"/>
      <protection hidden="1"/>
    </xf>
    <xf numFmtId="2" fontId="5" fillId="0" borderId="1" xfId="0" applyNumberFormat="1" applyFont="1" applyBorder="1" applyProtection="1">
      <protection hidden="1"/>
    </xf>
    <xf numFmtId="2" fontId="4" fillId="15" borderId="1" xfId="0" applyNumberFormat="1" applyFont="1" applyFill="1" applyBorder="1" applyAlignment="1" applyProtection="1">
      <protection hidden="1"/>
    </xf>
    <xf numFmtId="2" fontId="4" fillId="15" borderId="1" xfId="0" applyNumberFormat="1" applyFont="1" applyFill="1" applyBorder="1" applyProtection="1">
      <protection hidden="1"/>
    </xf>
    <xf numFmtId="2" fontId="4" fillId="15" borderId="1" xfId="0" applyNumberFormat="1" applyFont="1" applyFill="1" applyBorder="1" applyAlignment="1" applyProtection="1">
      <alignment wrapText="1"/>
      <protection hidden="1"/>
    </xf>
    <xf numFmtId="2" fontId="5" fillId="0" borderId="0" xfId="0" applyNumberFormat="1" applyFont="1" applyBorder="1" applyAlignment="1" applyProtection="1">
      <alignment horizontal="center" wrapText="1"/>
      <protection hidden="1"/>
    </xf>
    <xf numFmtId="2" fontId="4" fillId="0" borderId="7" xfId="0" applyNumberFormat="1" applyFont="1" applyBorder="1" applyAlignment="1" applyProtection="1">
      <alignment wrapText="1"/>
      <protection hidden="1"/>
    </xf>
    <xf numFmtId="2" fontId="5" fillId="0" borderId="0" xfId="0" applyNumberFormat="1" applyFont="1" applyBorder="1" applyAlignment="1" applyProtection="1">
      <alignment horizontal="center" vertical="center" wrapText="1"/>
      <protection hidden="1"/>
    </xf>
    <xf numFmtId="0" fontId="0" fillId="0" borderId="0" xfId="0" applyBorder="1" applyAlignment="1" applyProtection="1">
      <alignment horizontal="center"/>
      <protection hidden="1"/>
    </xf>
    <xf numFmtId="2" fontId="4" fillId="0" borderId="1" xfId="0" applyNumberFormat="1" applyFont="1" applyBorder="1" applyAlignment="1" applyProtection="1">
      <alignment horizontal="left" wrapText="1"/>
      <protection hidden="1"/>
    </xf>
    <xf numFmtId="2" fontId="4" fillId="35" borderId="1" xfId="0" applyNumberFormat="1" applyFont="1" applyFill="1" applyBorder="1" applyProtection="1">
      <protection hidden="1"/>
    </xf>
    <xf numFmtId="2" fontId="4" fillId="35" borderId="5" xfId="0" applyNumberFormat="1" applyFont="1" applyFill="1" applyBorder="1" applyProtection="1">
      <protection hidden="1"/>
    </xf>
    <xf numFmtId="2" fontId="5" fillId="24" borderId="1" xfId="0" applyNumberFormat="1" applyFont="1" applyFill="1" applyBorder="1" applyAlignment="1" applyProtection="1">
      <protection hidden="1"/>
    </xf>
    <xf numFmtId="0" fontId="0" fillId="22" borderId="1" xfId="0" applyFill="1" applyBorder="1" applyProtection="1">
      <protection hidden="1"/>
    </xf>
    <xf numFmtId="2" fontId="4" fillId="0" borderId="0" xfId="0" applyNumberFormat="1" applyFont="1" applyAlignment="1" applyProtection="1">
      <alignment wrapText="1"/>
      <protection hidden="1"/>
    </xf>
    <xf numFmtId="2" fontId="23" fillId="37" borderId="5" xfId="0" applyNumberFormat="1" applyFont="1" applyFill="1" applyBorder="1" applyAlignment="1">
      <alignment horizontal="center" vertical="center"/>
    </xf>
    <xf numFmtId="0" fontId="23" fillId="37" borderId="7" xfId="0" applyFont="1" applyFill="1" applyBorder="1" applyAlignment="1">
      <alignment horizontal="center" vertical="center"/>
    </xf>
    <xf numFmtId="2" fontId="4" fillId="0" borderId="7" xfId="0" applyNumberFormat="1" applyFont="1" applyBorder="1" applyAlignment="1" applyProtection="1">
      <protection hidden="1"/>
    </xf>
    <xf numFmtId="2" fontId="4" fillId="0" borderId="7" xfId="0" applyNumberFormat="1" applyFont="1" applyBorder="1" applyProtection="1">
      <protection hidden="1"/>
    </xf>
    <xf numFmtId="2" fontId="4" fillId="0" borderId="7" xfId="0" applyNumberFormat="1" applyFont="1" applyBorder="1" applyAlignment="1" applyProtection="1">
      <alignment wrapText="1"/>
      <protection hidden="1"/>
    </xf>
    <xf numFmtId="2" fontId="4" fillId="0" borderId="0" xfId="0" applyNumberFormat="1" applyFont="1" applyAlignment="1" applyProtection="1">
      <alignment wrapText="1"/>
      <protection hidden="1"/>
    </xf>
    <xf numFmtId="2" fontId="4" fillId="0" borderId="2" xfId="0" applyNumberFormat="1" applyFont="1" applyBorder="1" applyAlignment="1" applyProtection="1">
      <alignment horizontal="left"/>
      <protection hidden="1"/>
    </xf>
    <xf numFmtId="2" fontId="4" fillId="0" borderId="8" xfId="0" applyNumberFormat="1" applyFont="1" applyBorder="1" applyAlignment="1" applyProtection="1">
      <alignment horizontal="left"/>
      <protection hidden="1"/>
    </xf>
    <xf numFmtId="2" fontId="4" fillId="0" borderId="2" xfId="0" applyNumberFormat="1" applyFont="1" applyBorder="1" applyAlignment="1" applyProtection="1">
      <alignment horizontal="center"/>
      <protection hidden="1"/>
    </xf>
    <xf numFmtId="2" fontId="4" fillId="0" borderId="8" xfId="0" applyNumberFormat="1" applyFont="1" applyBorder="1" applyAlignment="1" applyProtection="1">
      <alignment horizontal="center"/>
      <protection hidden="1"/>
    </xf>
    <xf numFmtId="1" fontId="4" fillId="0" borderId="1" xfId="0" applyNumberFormat="1" applyFont="1" applyBorder="1" applyProtection="1">
      <protection hidden="1"/>
    </xf>
    <xf numFmtId="2" fontId="4" fillId="0" borderId="0" xfId="0" applyNumberFormat="1" applyFont="1" applyAlignment="1" applyProtection="1">
      <protection hidden="1"/>
    </xf>
    <xf numFmtId="2" fontId="37" fillId="36" borderId="1" xfId="0" applyNumberFormat="1" applyFont="1" applyFill="1" applyBorder="1" applyAlignment="1" applyProtection="1">
      <alignment horizontal="center" vertical="center"/>
      <protection hidden="1"/>
    </xf>
    <xf numFmtId="2" fontId="4" fillId="0" borderId="7" xfId="0" applyNumberFormat="1" applyFont="1" applyBorder="1" applyAlignment="1" applyProtection="1">
      <alignment horizontal="left" vertical="center"/>
      <protection hidden="1"/>
    </xf>
    <xf numFmtId="2" fontId="4" fillId="36" borderId="1" xfId="0" applyNumberFormat="1" applyFont="1" applyFill="1" applyBorder="1" applyProtection="1">
      <protection hidden="1"/>
    </xf>
    <xf numFmtId="165" fontId="4" fillId="0" borderId="1" xfId="0" applyNumberFormat="1" applyFont="1" applyBorder="1" applyProtection="1">
      <protection hidden="1"/>
    </xf>
    <xf numFmtId="165" fontId="4" fillId="0" borderId="0" xfId="0" applyNumberFormat="1" applyFont="1" applyBorder="1" applyProtection="1">
      <protection hidden="1"/>
    </xf>
    <xf numFmtId="165" fontId="4" fillId="0" borderId="7" xfId="0" applyNumberFormat="1" applyFont="1" applyBorder="1" applyProtection="1">
      <protection hidden="1"/>
    </xf>
    <xf numFmtId="2" fontId="5" fillId="36" borderId="1" xfId="0" applyNumberFormat="1" applyFont="1" applyFill="1" applyBorder="1" applyAlignment="1" applyProtection="1">
      <protection hidden="1"/>
    </xf>
    <xf numFmtId="2" fontId="23" fillId="37" borderId="6" xfId="0" applyNumberFormat="1" applyFont="1" applyFill="1" applyBorder="1" applyAlignment="1">
      <alignment horizontal="center" vertical="center"/>
    </xf>
    <xf numFmtId="2" fontId="4" fillId="0" borderId="1" xfId="0" applyNumberFormat="1" applyFont="1" applyBorder="1" applyAlignment="1" applyProtection="1">
      <alignment horizontal="left" vertical="center"/>
      <protection hidden="1"/>
    </xf>
    <xf numFmtId="2" fontId="4" fillId="32" borderId="1" xfId="0" applyNumberFormat="1" applyFont="1" applyFill="1" applyBorder="1" applyAlignment="1" applyProtection="1">
      <alignment horizontal="center"/>
      <protection hidden="1"/>
    </xf>
    <xf numFmtId="2" fontId="4" fillId="32" borderId="0" xfId="0" applyNumberFormat="1" applyFont="1" applyFill="1" applyBorder="1" applyProtection="1">
      <protection hidden="1"/>
    </xf>
    <xf numFmtId="2" fontId="4" fillId="32" borderId="1" xfId="0" applyNumberFormat="1" applyFont="1" applyFill="1" applyBorder="1" applyAlignment="1" applyProtection="1">
      <alignment wrapText="1"/>
      <protection hidden="1"/>
    </xf>
    <xf numFmtId="2" fontId="4" fillId="0" borderId="0" xfId="0" applyNumberFormat="1" applyFont="1" applyBorder="1" applyAlignment="1" applyProtection="1">
      <alignment wrapText="1"/>
      <protection hidden="1"/>
    </xf>
    <xf numFmtId="2" fontId="4" fillId="0" borderId="0" xfId="0" applyNumberFormat="1" applyFont="1" applyBorder="1" applyAlignment="1" applyProtection="1">
      <alignment wrapText="1"/>
      <protection hidden="1"/>
    </xf>
    <xf numFmtId="2" fontId="4" fillId="32" borderId="1" xfId="0" applyNumberFormat="1" applyFont="1" applyFill="1" applyBorder="1" applyProtection="1">
      <protection hidden="1"/>
    </xf>
    <xf numFmtId="2" fontId="4" fillId="26" borderId="5" xfId="0" applyNumberFormat="1" applyFont="1" applyFill="1" applyBorder="1" applyAlignment="1" applyProtection="1">
      <alignment horizontal="left"/>
      <protection hidden="1"/>
    </xf>
    <xf numFmtId="2" fontId="4" fillId="26" borderId="5" xfId="0" applyNumberFormat="1" applyFont="1" applyFill="1" applyBorder="1" applyAlignment="1" applyProtection="1">
      <alignment horizontal="center"/>
      <protection hidden="1"/>
    </xf>
    <xf numFmtId="2" fontId="4" fillId="26" borderId="5" xfId="0" applyNumberFormat="1" applyFont="1" applyFill="1" applyBorder="1" applyProtection="1">
      <protection hidden="1"/>
    </xf>
    <xf numFmtId="2" fontId="4" fillId="26" borderId="1" xfId="0" applyNumberFormat="1" applyFont="1" applyFill="1" applyBorder="1" applyProtection="1">
      <protection hidden="1"/>
    </xf>
    <xf numFmtId="2" fontId="4" fillId="0" borderId="2" xfId="0" applyNumberFormat="1" applyFont="1" applyBorder="1" applyProtection="1">
      <protection hidden="1"/>
    </xf>
    <xf numFmtId="2" fontId="4" fillId="0" borderId="2" xfId="0" applyNumberFormat="1" applyFont="1" applyBorder="1" applyAlignment="1" applyProtection="1">
      <protection hidden="1"/>
    </xf>
    <xf numFmtId="2" fontId="4" fillId="0" borderId="8" xfId="0" applyNumberFormat="1" applyFont="1" applyBorder="1" applyAlignment="1" applyProtection="1">
      <protection hidden="1"/>
    </xf>
    <xf numFmtId="2" fontId="4" fillId="0" borderId="0" xfId="0" applyNumberFormat="1" applyFont="1" applyBorder="1" applyAlignment="1" applyProtection="1">
      <alignment horizontal="center"/>
      <protection hidden="1"/>
    </xf>
    <xf numFmtId="1" fontId="4" fillId="0" borderId="0" xfId="0" applyNumberFormat="1" applyFont="1" applyBorder="1" applyProtection="1">
      <protection hidden="1"/>
    </xf>
    <xf numFmtId="2" fontId="5" fillId="26" borderId="1" xfId="0" applyNumberFormat="1" applyFont="1" applyFill="1" applyBorder="1" applyAlignment="1" applyProtection="1">
      <protection hidden="1"/>
    </xf>
    <xf numFmtId="0" fontId="23" fillId="37" borderId="5" xfId="0" applyFont="1" applyFill="1" applyBorder="1" applyAlignment="1">
      <alignment horizontal="center" vertical="center"/>
    </xf>
    <xf numFmtId="2" fontId="4" fillId="22" borderId="8" xfId="0" applyNumberFormat="1" applyFont="1" applyFill="1" applyBorder="1" applyAlignment="1" applyProtection="1">
      <alignment horizontal="center" vertical="center"/>
      <protection hidden="1"/>
    </xf>
    <xf numFmtId="2" fontId="4" fillId="36" borderId="1" xfId="0" applyNumberFormat="1" applyFont="1" applyFill="1" applyBorder="1" applyAlignment="1" applyProtection="1">
      <alignment horizontal="center"/>
      <protection hidden="1"/>
    </xf>
    <xf numFmtId="2" fontId="24" fillId="0" borderId="0" xfId="0" applyNumberFormat="1" applyFont="1" applyBorder="1" applyAlignment="1" applyProtection="1">
      <alignment horizontal="center" vertical="center"/>
      <protection hidden="1"/>
    </xf>
    <xf numFmtId="2" fontId="4" fillId="0" borderId="8" xfId="0" applyNumberFormat="1" applyFont="1" applyBorder="1" applyAlignment="1" applyProtection="1">
      <alignment horizontal="left" vertical="center"/>
      <protection hidden="1"/>
    </xf>
    <xf numFmtId="0" fontId="0" fillId="0" borderId="0" xfId="0" applyBorder="1"/>
    <xf numFmtId="2" fontId="4" fillId="11" borderId="1" xfId="0" applyNumberFormat="1" applyFont="1" applyFill="1" applyBorder="1" applyAlignment="1" applyProtection="1">
      <protection hidden="1"/>
    </xf>
    <xf numFmtId="2" fontId="4" fillId="0" borderId="0" xfId="0" applyNumberFormat="1" applyFont="1"/>
    <xf numFmtId="2" fontId="4" fillId="0" borderId="0" xfId="0" applyNumberFormat="1" applyFont="1" applyAlignment="1">
      <alignment horizontal="center"/>
    </xf>
    <xf numFmtId="2" fontId="5" fillId="11" borderId="1" xfId="0" applyNumberFormat="1" applyFont="1" applyFill="1" applyBorder="1"/>
    <xf numFmtId="2" fontId="5" fillId="11" borderId="1" xfId="0" applyNumberFormat="1" applyFont="1" applyFill="1" applyBorder="1" applyAlignment="1">
      <alignment horizontal="center"/>
    </xf>
    <xf numFmtId="2" fontId="4" fillId="11" borderId="1" xfId="0" applyNumberFormat="1" applyFont="1" applyFill="1" applyBorder="1"/>
    <xf numFmtId="2" fontId="4" fillId="0" borderId="5" xfId="0" applyNumberFormat="1" applyFont="1" applyBorder="1" applyAlignment="1" applyProtection="1">
      <protection hidden="1"/>
    </xf>
    <xf numFmtId="2" fontId="9" fillId="22" borderId="1" xfId="0" applyNumberFormat="1" applyFont="1" applyFill="1" applyBorder="1" applyAlignment="1" applyProtection="1">
      <alignment horizontal="right" vertical="center"/>
      <protection hidden="1"/>
    </xf>
    <xf numFmtId="2" fontId="9" fillId="0" borderId="0" xfId="0" applyNumberFormat="1" applyFont="1" applyAlignment="1" applyProtection="1">
      <alignment vertical="top"/>
      <protection hidden="1"/>
    </xf>
    <xf numFmtId="2" fontId="9" fillId="0" borderId="0" xfId="0" applyNumberFormat="1" applyFont="1" applyBorder="1" applyAlignment="1" applyProtection="1">
      <protection hidden="1"/>
    </xf>
    <xf numFmtId="2" fontId="9" fillId="0" borderId="0" xfId="0" applyNumberFormat="1" applyFont="1" applyAlignment="1" applyProtection="1">
      <protection hidden="1"/>
    </xf>
    <xf numFmtId="2" fontId="9" fillId="0" borderId="0" xfId="0" applyNumberFormat="1" applyFont="1" applyAlignment="1" applyProtection="1">
      <alignment horizontal="right"/>
      <protection hidden="1"/>
    </xf>
    <xf numFmtId="2" fontId="4" fillId="0" borderId="0" xfId="0" applyNumberFormat="1" applyFont="1" applyAlignment="1" applyProtection="1">
      <protection hidden="1"/>
    </xf>
    <xf numFmtId="2" fontId="4" fillId="22" borderId="1" xfId="0" applyNumberFormat="1" applyFont="1" applyFill="1" applyBorder="1" applyAlignment="1" applyProtection="1">
      <protection hidden="1"/>
    </xf>
    <xf numFmtId="2" fontId="5" fillId="11" borderId="5" xfId="0" applyNumberFormat="1" applyFont="1" applyFill="1" applyBorder="1" applyAlignment="1" applyProtection="1">
      <protection hidden="1"/>
    </xf>
    <xf numFmtId="2" fontId="5" fillId="11" borderId="5" xfId="0" applyNumberFormat="1" applyFont="1" applyFill="1" applyBorder="1" applyAlignment="1" applyProtection="1">
      <alignment horizontal="center"/>
      <protection hidden="1"/>
    </xf>
    <xf numFmtId="2" fontId="9" fillId="11" borderId="1" xfId="0" applyNumberFormat="1" applyFont="1" applyFill="1" applyBorder="1" applyAlignment="1" applyProtection="1">
      <alignment vertical="top"/>
      <protection hidden="1"/>
    </xf>
    <xf numFmtId="2" fontId="9" fillId="11" borderId="1" xfId="0" applyNumberFormat="1" applyFont="1" applyFill="1" applyBorder="1" applyAlignment="1" applyProtection="1">
      <protection hidden="1"/>
    </xf>
    <xf numFmtId="2" fontId="4" fillId="11" borderId="1" xfId="0" applyNumberFormat="1" applyFont="1" applyFill="1" applyBorder="1" applyAlignment="1">
      <alignment horizontal="right"/>
    </xf>
    <xf numFmtId="2" fontId="9" fillId="0" borderId="1" xfId="0" applyNumberFormat="1" applyFont="1" applyBorder="1" applyAlignment="1" applyProtection="1">
      <alignment vertical="top"/>
      <protection hidden="1"/>
    </xf>
    <xf numFmtId="2" fontId="9" fillId="0" borderId="1" xfId="0" applyNumberFormat="1" applyFont="1" applyBorder="1" applyAlignment="1" applyProtection="1">
      <protection hidden="1"/>
    </xf>
    <xf numFmtId="2" fontId="4" fillId="0" borderId="0" xfId="0" applyNumberFormat="1" applyFont="1" applyAlignment="1">
      <alignment horizontal="right"/>
    </xf>
    <xf numFmtId="2" fontId="5" fillId="11" borderId="5" xfId="0" applyNumberFormat="1" applyFont="1" applyFill="1" applyBorder="1" applyAlignment="1" applyProtection="1">
      <alignment horizontal="left"/>
      <protection hidden="1"/>
    </xf>
    <xf numFmtId="2" fontId="9" fillId="0" borderId="0" xfId="0" applyNumberFormat="1" applyFont="1" applyAlignment="1" applyProtection="1">
      <protection hidden="1"/>
    </xf>
    <xf numFmtId="2" fontId="5" fillId="11" borderId="1" xfId="0" applyNumberFormat="1" applyFont="1" applyFill="1" applyBorder="1" applyAlignment="1" applyProtection="1">
      <protection hidden="1"/>
    </xf>
    <xf numFmtId="2" fontId="5" fillId="11" borderId="1" xfId="0" applyNumberFormat="1" applyFont="1" applyFill="1" applyBorder="1" applyAlignment="1" applyProtection="1">
      <alignment horizontal="center"/>
      <protection hidden="1"/>
    </xf>
    <xf numFmtId="2" fontId="4" fillId="22" borderId="1" xfId="0" applyNumberFormat="1" applyFont="1" applyFill="1" applyBorder="1"/>
    <xf numFmtId="2" fontId="4" fillId="13" borderId="1" xfId="0" applyNumberFormat="1" applyFont="1" applyFill="1" applyBorder="1" applyAlignment="1" applyProtection="1">
      <alignment horizontal="center"/>
      <protection hidden="1"/>
    </xf>
    <xf numFmtId="2" fontId="4" fillId="13" borderId="1" xfId="0" applyNumberFormat="1" applyFont="1" applyFill="1" applyBorder="1" applyAlignment="1" applyProtection="1">
      <alignment horizontal="right"/>
      <protection hidden="1"/>
    </xf>
    <xf numFmtId="2" fontId="4" fillId="26" borderId="1" xfId="0" applyNumberFormat="1" applyFont="1" applyFill="1" applyBorder="1" applyAlignment="1" applyProtection="1">
      <alignment horizontal="right"/>
      <protection hidden="1"/>
    </xf>
    <xf numFmtId="2" fontId="0" fillId="31" borderId="1" xfId="0" applyNumberFormat="1" applyFont="1" applyFill="1" applyBorder="1" applyAlignment="1">
      <alignment horizontal="center"/>
    </xf>
    <xf numFmtId="2" fontId="4" fillId="31" borderId="1" xfId="0" applyNumberFormat="1" applyFont="1" applyFill="1" applyBorder="1" applyAlignment="1">
      <alignment horizontal="right"/>
    </xf>
    <xf numFmtId="2" fontId="4" fillId="31" borderId="1" xfId="0" applyNumberFormat="1" applyFont="1" applyFill="1" applyBorder="1" applyAlignment="1" applyProtection="1">
      <alignment horizontal="right"/>
      <protection hidden="1"/>
    </xf>
    <xf numFmtId="2" fontId="0" fillId="8" borderId="1" xfId="0" applyNumberFormat="1" applyFont="1" applyFill="1" applyBorder="1" applyAlignment="1">
      <alignment horizontal="center"/>
    </xf>
    <xf numFmtId="2" fontId="4" fillId="8" borderId="1" xfId="0" applyNumberFormat="1" applyFont="1" applyFill="1" applyBorder="1" applyAlignment="1">
      <alignment horizontal="right"/>
    </xf>
    <xf numFmtId="2" fontId="4" fillId="8" borderId="1" xfId="0" applyNumberFormat="1" applyFont="1" applyFill="1" applyBorder="1" applyAlignment="1" applyProtection="1">
      <alignment horizontal="right"/>
      <protection hidden="1"/>
    </xf>
    <xf numFmtId="2" fontId="4" fillId="19" borderId="1" xfId="0" applyNumberFormat="1" applyFont="1" applyFill="1" applyBorder="1" applyAlignment="1"/>
    <xf numFmtId="2" fontId="4" fillId="19" borderId="1" xfId="0" applyNumberFormat="1" applyFont="1" applyFill="1" applyBorder="1" applyAlignment="1">
      <alignment horizontal="center"/>
    </xf>
    <xf numFmtId="2" fontId="4" fillId="19" borderId="1" xfId="0" applyNumberFormat="1" applyFont="1" applyFill="1" applyBorder="1"/>
    <xf numFmtId="2" fontId="4" fillId="19" borderId="1" xfId="0" applyNumberFormat="1" applyFont="1" applyFill="1" applyBorder="1" applyAlignment="1">
      <alignment horizontal="right"/>
    </xf>
    <xf numFmtId="2" fontId="4" fillId="43" borderId="1" xfId="0" applyNumberFormat="1" applyFont="1" applyFill="1" applyBorder="1" applyAlignment="1" applyProtection="1">
      <alignment horizontal="left"/>
      <protection hidden="1"/>
    </xf>
    <xf numFmtId="2" fontId="4" fillId="43" borderId="1" xfId="0" applyNumberFormat="1" applyFont="1" applyFill="1" applyBorder="1" applyAlignment="1" applyProtection="1">
      <alignment horizontal="center"/>
      <protection hidden="1"/>
    </xf>
    <xf numFmtId="2" fontId="4" fillId="43" borderId="1" xfId="0" applyNumberFormat="1" applyFont="1" applyFill="1" applyBorder="1"/>
    <xf numFmtId="2" fontId="4" fillId="43" borderId="1" xfId="0" applyNumberFormat="1" applyFont="1" applyFill="1" applyBorder="1" applyAlignment="1" applyProtection="1">
      <alignment horizontal="right"/>
      <protection hidden="1"/>
    </xf>
    <xf numFmtId="2" fontId="4" fillId="43" borderId="0" xfId="0" applyNumberFormat="1" applyFont="1" applyFill="1"/>
    <xf numFmtId="2" fontId="4" fillId="37" borderId="1" xfId="0" applyNumberFormat="1" applyFont="1" applyFill="1" applyBorder="1" applyAlignment="1" applyProtection="1">
      <alignment horizontal="right"/>
      <protection hidden="1"/>
    </xf>
    <xf numFmtId="2" fontId="4" fillId="0" borderId="7" xfId="0" applyNumberFormat="1" applyFont="1" applyBorder="1" applyAlignment="1" applyProtection="1">
      <alignment horizontal="center"/>
      <protection hidden="1"/>
    </xf>
    <xf numFmtId="2" fontId="4" fillId="0" borderId="7" xfId="0" applyNumberFormat="1" applyFont="1" applyBorder="1" applyAlignment="1" applyProtection="1">
      <alignment horizontal="right"/>
      <protection hidden="1"/>
    </xf>
    <xf numFmtId="2" fontId="4" fillId="19" borderId="1" xfId="0" applyNumberFormat="1" applyFont="1" applyFill="1" applyBorder="1" applyAlignment="1" applyProtection="1">
      <alignment horizontal="center"/>
      <protection hidden="1"/>
    </xf>
    <xf numFmtId="2" fontId="4" fillId="19" borderId="1" xfId="0" applyNumberFormat="1" applyFont="1" applyFill="1" applyBorder="1" applyAlignment="1" applyProtection="1">
      <alignment horizontal="right"/>
      <protection hidden="1"/>
    </xf>
    <xf numFmtId="2" fontId="4" fillId="31" borderId="1" xfId="0" applyNumberFormat="1" applyFont="1" applyFill="1" applyBorder="1" applyAlignment="1" applyProtection="1">
      <alignment horizontal="center"/>
      <protection hidden="1"/>
    </xf>
    <xf numFmtId="2" fontId="0" fillId="28" borderId="1" xfId="0" applyNumberFormat="1" applyFont="1" applyFill="1" applyBorder="1" applyAlignment="1">
      <alignment horizontal="center"/>
    </xf>
    <xf numFmtId="2" fontId="4" fillId="28" borderId="1" xfId="0" applyNumberFormat="1" applyFont="1" applyFill="1" applyBorder="1" applyAlignment="1">
      <alignment horizontal="right"/>
    </xf>
    <xf numFmtId="2" fontId="4" fillId="28" borderId="1" xfId="0" applyNumberFormat="1" applyFont="1" applyFill="1" applyBorder="1" applyAlignment="1" applyProtection="1">
      <alignment horizontal="right"/>
      <protection hidden="1"/>
    </xf>
    <xf numFmtId="2" fontId="0" fillId="43" borderId="1" xfId="0" applyNumberFormat="1" applyFont="1" applyFill="1" applyBorder="1" applyAlignment="1"/>
    <xf numFmtId="2" fontId="0" fillId="43" borderId="1" xfId="0" applyNumberFormat="1" applyFont="1" applyFill="1" applyBorder="1" applyAlignment="1">
      <alignment horizontal="center"/>
    </xf>
    <xf numFmtId="2" fontId="4" fillId="43" borderId="1" xfId="0" applyNumberFormat="1" applyFont="1" applyFill="1" applyBorder="1" applyAlignment="1">
      <alignment horizontal="right"/>
    </xf>
    <xf numFmtId="2" fontId="4" fillId="26" borderId="1" xfId="0" applyNumberFormat="1" applyFont="1" applyFill="1" applyBorder="1" applyAlignment="1"/>
    <xf numFmtId="2" fontId="4" fillId="26" borderId="1" xfId="0" applyNumberFormat="1" applyFont="1" applyFill="1" applyBorder="1" applyAlignment="1">
      <alignment horizontal="center"/>
    </xf>
    <xf numFmtId="2" fontId="4" fillId="26" borderId="1" xfId="0" applyNumberFormat="1" applyFont="1" applyFill="1" applyBorder="1"/>
    <xf numFmtId="2" fontId="4" fillId="26" borderId="1" xfId="0" applyNumberFormat="1" applyFont="1" applyFill="1" applyBorder="1" applyAlignment="1">
      <alignment horizontal="right"/>
    </xf>
    <xf numFmtId="2" fontId="0" fillId="35" borderId="1" xfId="0" applyNumberFormat="1" applyFont="1" applyFill="1" applyBorder="1" applyAlignment="1"/>
    <xf numFmtId="2" fontId="4" fillId="35" borderId="1" xfId="0" applyNumberFormat="1" applyFont="1" applyFill="1" applyBorder="1" applyAlignment="1" applyProtection="1">
      <alignment horizontal="center"/>
      <protection hidden="1"/>
    </xf>
    <xf numFmtId="2" fontId="4" fillId="35" borderId="1" xfId="0" applyNumberFormat="1" applyFont="1" applyFill="1" applyBorder="1" applyAlignment="1" applyProtection="1">
      <alignment horizontal="right"/>
      <protection hidden="1"/>
    </xf>
    <xf numFmtId="2" fontId="4" fillId="0" borderId="7" xfId="0" applyNumberFormat="1" applyFont="1" applyBorder="1" applyAlignment="1" applyProtection="1">
      <alignment horizontal="left"/>
      <protection hidden="1"/>
    </xf>
    <xf numFmtId="2" fontId="0" fillId="36" borderId="1" xfId="0" applyNumberFormat="1" applyFont="1" applyFill="1" applyBorder="1" applyAlignment="1"/>
    <xf numFmtId="2" fontId="4" fillId="36" borderId="1" xfId="0" applyNumberFormat="1" applyFont="1" applyFill="1" applyBorder="1" applyAlignment="1" applyProtection="1">
      <alignment horizontal="right"/>
      <protection hidden="1"/>
    </xf>
    <xf numFmtId="2" fontId="4" fillId="28" borderId="1" xfId="0" applyNumberFormat="1" applyFont="1" applyFill="1" applyBorder="1" applyAlignment="1" applyProtection="1">
      <alignment horizontal="center"/>
      <protection hidden="1"/>
    </xf>
    <xf numFmtId="2" fontId="4" fillId="30" borderId="1" xfId="0" applyNumberFormat="1" applyFont="1" applyFill="1" applyBorder="1" applyAlignment="1">
      <alignment horizontal="right"/>
    </xf>
    <xf numFmtId="2" fontId="4" fillId="30" borderId="1" xfId="0" applyNumberFormat="1" applyFont="1" applyFill="1" applyBorder="1" applyAlignment="1" applyProtection="1">
      <alignment horizontal="right"/>
      <protection hidden="1"/>
    </xf>
    <xf numFmtId="2" fontId="0" fillId="44" borderId="1" xfId="0" applyNumberFormat="1" applyFont="1" applyFill="1" applyBorder="1" applyAlignment="1"/>
    <xf numFmtId="2" fontId="0" fillId="44" borderId="1" xfId="0" applyNumberFormat="1" applyFont="1" applyFill="1" applyBorder="1" applyAlignment="1">
      <alignment horizontal="center"/>
    </xf>
    <xf numFmtId="2" fontId="4" fillId="44" borderId="1" xfId="0" applyNumberFormat="1" applyFont="1" applyFill="1" applyBorder="1" applyAlignment="1">
      <alignment horizontal="right"/>
    </xf>
    <xf numFmtId="2" fontId="4" fillId="44" borderId="1" xfId="0" applyNumberFormat="1" applyFont="1" applyFill="1" applyBorder="1" applyAlignment="1" applyProtection="1">
      <alignment horizontal="right"/>
      <protection hidden="1"/>
    </xf>
    <xf numFmtId="2" fontId="4" fillId="36" borderId="1" xfId="0" applyNumberFormat="1" applyFont="1" applyFill="1" applyBorder="1" applyAlignment="1"/>
    <xf numFmtId="2" fontId="4" fillId="36" borderId="1" xfId="0" applyNumberFormat="1" applyFont="1" applyFill="1" applyBorder="1" applyAlignment="1">
      <alignment horizontal="center"/>
    </xf>
    <xf numFmtId="2" fontId="4" fillId="28" borderId="1" xfId="0" applyNumberFormat="1" applyFont="1" applyFill="1" applyBorder="1"/>
    <xf numFmtId="166" fontId="4" fillId="0" borderId="1" xfId="0" applyNumberFormat="1" applyFont="1" applyBorder="1"/>
    <xf numFmtId="2" fontId="4" fillId="0" borderId="7" xfId="0" applyNumberFormat="1" applyFont="1" applyBorder="1"/>
    <xf numFmtId="2" fontId="12" fillId="0" borderId="1" xfId="0" applyNumberFormat="1" applyFont="1" applyBorder="1" applyAlignment="1" applyProtection="1">
      <alignment horizontal="left"/>
      <protection hidden="1"/>
    </xf>
    <xf numFmtId="2" fontId="12" fillId="0" borderId="1" xfId="0" applyNumberFormat="1" applyFont="1" applyBorder="1" applyAlignment="1" applyProtection="1">
      <alignment horizontal="center"/>
      <protection hidden="1"/>
    </xf>
    <xf numFmtId="2" fontId="12" fillId="0" borderId="1" xfId="0" applyNumberFormat="1" applyFont="1" applyBorder="1" applyAlignment="1" applyProtection="1">
      <protection hidden="1"/>
    </xf>
    <xf numFmtId="2" fontId="4" fillId="0" borderId="0" xfId="0" applyNumberFormat="1" applyFont="1" applyAlignment="1"/>
    <xf numFmtId="2" fontId="4" fillId="0" borderId="0" xfId="0" applyNumberFormat="1" applyFont="1"/>
    <xf numFmtId="0" fontId="0" fillId="0" borderId="0" xfId="0" applyAlignment="1"/>
    <xf numFmtId="2" fontId="12" fillId="16" borderId="7" xfId="0" applyNumberFormat="1" applyFont="1" applyFill="1" applyBorder="1" applyAlignment="1"/>
    <xf numFmtId="0" fontId="0" fillId="0" borderId="0" xfId="0" applyAlignment="1" applyProtection="1">
      <protection hidden="1"/>
    </xf>
    <xf numFmtId="2" fontId="10" fillId="0" borderId="0" xfId="0" applyNumberFormat="1" applyFont="1" applyBorder="1" applyAlignment="1"/>
    <xf numFmtId="2" fontId="10" fillId="0" borderId="2" xfId="0" applyNumberFormat="1" applyFont="1" applyBorder="1" applyAlignment="1"/>
    <xf numFmtId="2" fontId="10" fillId="16" borderId="2" xfId="0" applyNumberFormat="1" applyFont="1" applyFill="1" applyBorder="1" applyAlignment="1"/>
    <xf numFmtId="1" fontId="10" fillId="0" borderId="0" xfId="0" applyNumberFormat="1" applyFont="1" applyBorder="1" applyAlignment="1"/>
    <xf numFmtId="1" fontId="0" fillId="0" borderId="1" xfId="2" applyNumberFormat="1" applyFont="1" applyBorder="1" applyAlignment="1"/>
    <xf numFmtId="0" fontId="0" fillId="16" borderId="2" xfId="2" applyFont="1" applyFill="1" applyBorder="1" applyAlignment="1"/>
    <xf numFmtId="0" fontId="0" fillId="22" borderId="2" xfId="2" applyFont="1" applyFill="1" applyBorder="1" applyAlignment="1"/>
    <xf numFmtId="0" fontId="0" fillId="0" borderId="12" xfId="2" applyFont="1" applyBorder="1" applyAlignment="1">
      <alignment vertical="center"/>
    </xf>
    <xf numFmtId="2" fontId="0" fillId="0" borderId="7" xfId="2" applyNumberFormat="1" applyFont="1" applyBorder="1" applyAlignment="1"/>
    <xf numFmtId="1" fontId="9" fillId="22" borderId="15" xfId="0" applyNumberFormat="1" applyFont="1" applyFill="1" applyBorder="1" applyAlignment="1" applyProtection="1">
      <alignment vertical="center"/>
      <protection hidden="1"/>
    </xf>
    <xf numFmtId="165" fontId="4" fillId="22" borderId="1" xfId="0" applyNumberFormat="1" applyFont="1" applyFill="1" applyBorder="1" applyAlignment="1" applyProtection="1">
      <alignment vertical="center"/>
      <protection hidden="1"/>
    </xf>
    <xf numFmtId="0" fontId="0" fillId="22" borderId="8" xfId="2" applyFont="1" applyFill="1" applyBorder="1" applyAlignment="1">
      <alignment vertical="center"/>
    </xf>
    <xf numFmtId="165" fontId="0" fillId="22" borderId="1" xfId="0" applyNumberFormat="1" applyFont="1" applyFill="1" applyBorder="1" applyAlignment="1" applyProtection="1">
      <alignment vertical="center"/>
      <protection hidden="1"/>
    </xf>
    <xf numFmtId="0" fontId="0" fillId="22" borderId="8" xfId="0" applyFont="1" applyFill="1" applyBorder="1" applyAlignment="1" applyProtection="1">
      <protection hidden="1"/>
    </xf>
    <xf numFmtId="0" fontId="33" fillId="0" borderId="1" xfId="2" applyFont="1" applyBorder="1" applyAlignment="1">
      <alignment horizontal="center" vertical="center"/>
    </xf>
    <xf numFmtId="165" fontId="0" fillId="22" borderId="1" xfId="2" applyNumberFormat="1" applyFont="1" applyFill="1" applyBorder="1" applyAlignment="1">
      <alignment vertical="center"/>
    </xf>
    <xf numFmtId="0" fontId="0" fillId="22" borderId="8" xfId="0" applyFont="1" applyFill="1" applyBorder="1" applyAlignment="1" applyProtection="1">
      <alignment vertical="center"/>
      <protection hidden="1"/>
    </xf>
    <xf numFmtId="0" fontId="0" fillId="22" borderId="1" xfId="2" applyFont="1" applyFill="1" applyBorder="1" applyAlignment="1">
      <alignment horizontal="right" vertical="center"/>
    </xf>
    <xf numFmtId="0" fontId="0" fillId="0" borderId="7" xfId="2" applyFont="1" applyBorder="1" applyAlignment="1"/>
    <xf numFmtId="2" fontId="5" fillId="0" borderId="0" xfId="0" applyNumberFormat="1" applyFont="1" applyBorder="1" applyAlignment="1" applyProtection="1">
      <protection hidden="1"/>
    </xf>
    <xf numFmtId="2" fontId="5" fillId="0" borderId="0" xfId="0" applyNumberFormat="1" applyFont="1" applyBorder="1" applyAlignment="1" applyProtection="1">
      <protection hidden="1"/>
    </xf>
    <xf numFmtId="0" fontId="33" fillId="0" borderId="0" xfId="0" applyFont="1" applyBorder="1" applyAlignment="1" applyProtection="1">
      <protection hidden="1"/>
    </xf>
    <xf numFmtId="2" fontId="5" fillId="15" borderId="1" xfId="0" applyNumberFormat="1" applyFont="1" applyFill="1" applyBorder="1" applyAlignment="1" applyProtection="1">
      <protection hidden="1"/>
    </xf>
    <xf numFmtId="2" fontId="5" fillId="0" borderId="0" xfId="0" applyNumberFormat="1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protection hidden="1"/>
    </xf>
    <xf numFmtId="2" fontId="33" fillId="0" borderId="0" xfId="0" applyNumberFormat="1" applyFont="1" applyBorder="1" applyAlignment="1" applyProtection="1">
      <protection hidden="1"/>
    </xf>
    <xf numFmtId="0" fontId="4" fillId="0" borderId="0" xfId="0" applyFont="1" applyAlignment="1" applyProtection="1">
      <protection hidden="1"/>
    </xf>
    <xf numFmtId="1" fontId="4" fillId="37" borderId="5" xfId="0" applyNumberFormat="1" applyFont="1" applyFill="1" applyBorder="1" applyAlignment="1">
      <alignment vertical="center"/>
    </xf>
    <xf numFmtId="0" fontId="5" fillId="0" borderId="0" xfId="0" applyFont="1" applyBorder="1" applyAlignment="1" applyProtection="1">
      <alignment horizontal="center" vertical="center"/>
      <protection hidden="1"/>
    </xf>
    <xf numFmtId="0" fontId="4" fillId="0" borderId="0" xfId="0" applyFont="1" applyAlignment="1" applyProtection="1">
      <protection hidden="1"/>
    </xf>
    <xf numFmtId="1" fontId="4" fillId="37" borderId="7" xfId="0" applyNumberFormat="1" applyFont="1" applyFill="1" applyBorder="1" applyAlignment="1">
      <alignment vertical="center"/>
    </xf>
    <xf numFmtId="0" fontId="4" fillId="0" borderId="7" xfId="0" applyFont="1" applyBorder="1" applyAlignment="1" applyProtection="1">
      <alignment horizontal="center" vertical="center"/>
      <protection hidden="1"/>
    </xf>
    <xf numFmtId="0" fontId="4" fillId="22" borderId="1" xfId="0" applyFont="1" applyFill="1" applyBorder="1" applyAlignment="1" applyProtection="1">
      <protection hidden="1"/>
    </xf>
    <xf numFmtId="0" fontId="4" fillId="0" borderId="0" xfId="0" applyFont="1" applyBorder="1" applyAlignment="1" applyProtection="1">
      <protection hidden="1"/>
    </xf>
    <xf numFmtId="1" fontId="4" fillId="0" borderId="1" xfId="0" applyNumberFormat="1" applyFont="1" applyBorder="1" applyAlignment="1" applyProtection="1">
      <protection hidden="1"/>
    </xf>
    <xf numFmtId="0" fontId="4" fillId="0" borderId="1" xfId="0" applyFont="1" applyBorder="1" applyAlignment="1" applyProtection="1">
      <protection hidden="1"/>
    </xf>
    <xf numFmtId="1" fontId="4" fillId="0" borderId="1" xfId="0" applyNumberFormat="1" applyFont="1" applyBorder="1" applyAlignment="1" applyProtection="1">
      <protection hidden="1"/>
    </xf>
    <xf numFmtId="0" fontId="0" fillId="0" borderId="0" xfId="0" applyAlignment="1" applyProtection="1">
      <protection hidden="1"/>
    </xf>
    <xf numFmtId="2" fontId="5" fillId="0" borderId="1" xfId="0" applyNumberFormat="1" applyFont="1" applyBorder="1" applyAlignment="1" applyProtection="1">
      <protection hidden="1"/>
    </xf>
    <xf numFmtId="0" fontId="0" fillId="0" borderId="1" xfId="0" applyBorder="1" applyAlignment="1"/>
    <xf numFmtId="165" fontId="0" fillId="0" borderId="1" xfId="0" applyNumberFormat="1" applyBorder="1" applyAlignment="1">
      <alignment horizontal="right"/>
    </xf>
    <xf numFmtId="2" fontId="4" fillId="0" borderId="5" xfId="0" applyNumberFormat="1" applyFont="1" applyBorder="1" applyAlignment="1" applyProtection="1">
      <alignment horizontal="right"/>
      <protection hidden="1"/>
    </xf>
    <xf numFmtId="2" fontId="4" fillId="0" borderId="3" xfId="0" applyNumberFormat="1" applyFont="1" applyBorder="1" applyAlignment="1" applyProtection="1">
      <alignment horizontal="center"/>
      <protection hidden="1"/>
    </xf>
    <xf numFmtId="2" fontId="4" fillId="0" borderId="10" xfId="0" applyNumberFormat="1" applyFont="1" applyBorder="1" applyAlignment="1" applyProtection="1">
      <alignment horizontal="center"/>
      <protection hidden="1"/>
    </xf>
    <xf numFmtId="0" fontId="0" fillId="0" borderId="0" xfId="0" applyBorder="1" applyAlignment="1"/>
    <xf numFmtId="2" fontId="0" fillId="0" borderId="1" xfId="0" applyNumberFormat="1" applyBorder="1" applyAlignment="1" applyProtection="1">
      <protection hidden="1"/>
    </xf>
    <xf numFmtId="0" fontId="5" fillId="18" borderId="7" xfId="0" applyFont="1" applyFill="1" applyBorder="1" applyAlignment="1" applyProtection="1">
      <protection hidden="1"/>
    </xf>
    <xf numFmtId="0" fontId="0" fillId="22" borderId="7" xfId="0" applyFill="1" applyBorder="1" applyAlignment="1" applyProtection="1">
      <protection hidden="1"/>
    </xf>
    <xf numFmtId="0" fontId="37" fillId="0" borderId="0" xfId="0" applyFont="1" applyBorder="1" applyAlignment="1" applyProtection="1">
      <alignment horizontal="center" vertical="center"/>
      <protection hidden="1"/>
    </xf>
    <xf numFmtId="0" fontId="0" fillId="0" borderId="0" xfId="0" applyFont="1" applyAlignment="1" applyProtection="1">
      <alignment horizontal="center"/>
      <protection hidden="1"/>
    </xf>
    <xf numFmtId="2" fontId="4" fillId="22" borderId="1" xfId="0" applyNumberFormat="1" applyFont="1" applyFill="1" applyBorder="1" applyAlignment="1" applyProtection="1">
      <alignment horizontal="right"/>
      <protection hidden="1"/>
    </xf>
    <xf numFmtId="2" fontId="4" fillId="0" borderId="7" xfId="0" applyNumberFormat="1" applyFont="1" applyBorder="1" applyAlignment="1" applyProtection="1">
      <protection hidden="1"/>
    </xf>
    <xf numFmtId="0" fontId="0" fillId="22" borderId="1" xfId="0" applyFill="1" applyBorder="1" applyAlignment="1" applyProtection="1">
      <protection hidden="1"/>
    </xf>
    <xf numFmtId="0" fontId="46" fillId="0" borderId="0" xfId="0" applyFont="1" applyAlignment="1" applyProtection="1">
      <protection hidden="1"/>
    </xf>
    <xf numFmtId="0" fontId="0" fillId="45" borderId="0" xfId="0" applyFill="1" applyAlignment="1" applyProtection="1">
      <protection hidden="1"/>
    </xf>
    <xf numFmtId="2" fontId="4" fillId="0" borderId="5" xfId="0" applyNumberFormat="1" applyFont="1" applyBorder="1" applyAlignment="1" applyProtection="1">
      <alignment horizontal="center" vertical="center"/>
      <protection hidden="1"/>
    </xf>
    <xf numFmtId="2" fontId="4" fillId="22" borderId="7" xfId="0" applyNumberFormat="1" applyFont="1" applyFill="1" applyBorder="1" applyAlignment="1" applyProtection="1">
      <alignment horizontal="right"/>
      <protection hidden="1"/>
    </xf>
    <xf numFmtId="1" fontId="0" fillId="22" borderId="1" xfId="0" applyNumberFormat="1" applyFont="1" applyFill="1" applyBorder="1" applyAlignment="1" applyProtection="1">
      <alignment horizontal="right"/>
      <protection hidden="1"/>
    </xf>
    <xf numFmtId="2" fontId="0" fillId="11" borderId="7" xfId="0" applyNumberFormat="1" applyFont="1" applyFill="1" applyBorder="1" applyAlignment="1">
      <alignment horizontal="center"/>
    </xf>
    <xf numFmtId="2" fontId="0" fillId="22" borderId="7" xfId="0" applyNumberFormat="1" applyFont="1" applyFill="1" applyBorder="1" applyAlignment="1">
      <alignment horizontal="right" wrapText="1"/>
    </xf>
    <xf numFmtId="2" fontId="0" fillId="22" borderId="1" xfId="0" applyNumberFormat="1" applyFont="1" applyFill="1" applyBorder="1" applyAlignment="1">
      <alignment horizontal="right" wrapText="1"/>
    </xf>
    <xf numFmtId="2" fontId="0" fillId="22" borderId="1" xfId="0" applyNumberFormat="1" applyFont="1" applyFill="1" applyBorder="1" applyAlignment="1" applyProtection="1">
      <alignment wrapText="1"/>
      <protection hidden="1"/>
    </xf>
    <xf numFmtId="2" fontId="0" fillId="11" borderId="5" xfId="0" applyNumberFormat="1" applyFont="1" applyFill="1" applyBorder="1" applyAlignment="1" applyProtection="1">
      <alignment horizontal="center"/>
      <protection hidden="1"/>
    </xf>
    <xf numFmtId="2" fontId="0" fillId="22" borderId="5" xfId="0" applyNumberFormat="1" applyFont="1" applyFill="1" applyBorder="1" applyAlignment="1" applyProtection="1">
      <alignment wrapText="1"/>
      <protection hidden="1"/>
    </xf>
    <xf numFmtId="1" fontId="0" fillId="22" borderId="1" xfId="0" applyNumberFormat="1" applyFill="1" applyBorder="1" applyAlignment="1" applyProtection="1">
      <protection hidden="1"/>
    </xf>
    <xf numFmtId="2" fontId="4" fillId="11" borderId="1" xfId="0" applyNumberFormat="1" applyFont="1" applyFill="1" applyBorder="1" applyAlignment="1"/>
    <xf numFmtId="1" fontId="0" fillId="22" borderId="1" xfId="0" applyNumberFormat="1" applyFont="1" applyFill="1" applyBorder="1" applyAlignment="1">
      <alignment horizontal="right" wrapText="1"/>
    </xf>
    <xf numFmtId="2" fontId="4" fillId="0" borderId="2" xfId="0" applyNumberFormat="1" applyFont="1" applyBorder="1" applyAlignment="1"/>
    <xf numFmtId="2" fontId="4" fillId="11" borderId="1" xfId="0" applyNumberFormat="1" applyFont="1" applyFill="1" applyBorder="1" applyAlignment="1">
      <alignment horizontal="center"/>
    </xf>
    <xf numFmtId="2" fontId="4" fillId="22" borderId="1" xfId="0" applyNumberFormat="1" applyFont="1" applyFill="1" applyBorder="1" applyAlignment="1">
      <alignment wrapText="1"/>
    </xf>
    <xf numFmtId="2" fontId="4" fillId="11" borderId="1" xfId="0" applyNumberFormat="1" applyFont="1" applyFill="1" applyBorder="1" applyAlignment="1" applyProtection="1">
      <alignment horizontal="center"/>
      <protection hidden="1"/>
    </xf>
    <xf numFmtId="2" fontId="4" fillId="11" borderId="5" xfId="0" applyNumberFormat="1" applyFont="1" applyFill="1" applyBorder="1" applyAlignment="1" applyProtection="1">
      <alignment horizontal="center"/>
      <protection hidden="1"/>
    </xf>
    <xf numFmtId="2" fontId="4" fillId="22" borderId="5" xfId="0" applyNumberFormat="1" applyFont="1" applyFill="1" applyBorder="1" applyAlignment="1" applyProtection="1">
      <alignment wrapText="1"/>
      <protection hidden="1"/>
    </xf>
    <xf numFmtId="2" fontId="10" fillId="11" borderId="2" xfId="0" applyNumberFormat="1" applyFont="1" applyFill="1" applyBorder="1" applyAlignment="1">
      <alignment wrapText="1"/>
    </xf>
    <xf numFmtId="2" fontId="10" fillId="22" borderId="1" xfId="0" applyNumberFormat="1" applyFont="1" applyFill="1" applyBorder="1" applyAlignment="1">
      <alignment wrapText="1"/>
    </xf>
    <xf numFmtId="0" fontId="0" fillId="22" borderId="1" xfId="0" applyFont="1" applyFill="1" applyBorder="1"/>
    <xf numFmtId="2" fontId="5" fillId="0" borderId="5" xfId="0" applyNumberFormat="1" applyFont="1" applyBorder="1" applyAlignment="1" applyProtection="1">
      <protection hidden="1"/>
    </xf>
    <xf numFmtId="1" fontId="0" fillId="0" borderId="1" xfId="0" applyNumberFormat="1" applyBorder="1" applyAlignment="1"/>
    <xf numFmtId="2" fontId="5" fillId="27" borderId="1" xfId="0" applyNumberFormat="1" applyFont="1" applyFill="1" applyBorder="1" applyAlignment="1" applyProtection="1">
      <protection hidden="1"/>
    </xf>
    <xf numFmtId="0" fontId="23" fillId="37" borderId="5" xfId="0" applyFont="1" applyFill="1" applyBorder="1" applyAlignment="1">
      <alignment vertical="center"/>
    </xf>
    <xf numFmtId="0" fontId="23" fillId="37" borderId="7" xfId="0" applyFont="1" applyFill="1" applyBorder="1" applyAlignment="1">
      <alignment vertical="center"/>
    </xf>
    <xf numFmtId="2" fontId="4" fillId="22" borderId="1" xfId="0" applyNumberFormat="1" applyFont="1" applyFill="1" applyBorder="1" applyAlignment="1" applyProtection="1">
      <alignment horizontal="right" vertical="center"/>
      <protection hidden="1"/>
    </xf>
    <xf numFmtId="2" fontId="0" fillId="0" borderId="0" xfId="0" applyNumberFormat="1" applyAlignment="1" applyProtection="1">
      <protection hidden="1"/>
    </xf>
    <xf numFmtId="2" fontId="0" fillId="22" borderId="1" xfId="0" applyNumberFormat="1" applyFill="1" applyBorder="1" applyAlignment="1" applyProtection="1">
      <protection hidden="1"/>
    </xf>
    <xf numFmtId="2" fontId="4" fillId="0" borderId="2" xfId="0" applyNumberFormat="1" applyFont="1" applyBorder="1" applyAlignment="1" applyProtection="1">
      <protection hidden="1"/>
    </xf>
    <xf numFmtId="2" fontId="4" fillId="0" borderId="8" xfId="0" applyNumberFormat="1" applyFont="1" applyBorder="1" applyAlignment="1" applyProtection="1">
      <protection hidden="1"/>
    </xf>
    <xf numFmtId="2" fontId="4" fillId="0" borderId="0" xfId="0" applyNumberFormat="1" applyFont="1" applyBorder="1" applyAlignment="1" applyProtection="1">
      <alignment horizontal="left"/>
      <protection hidden="1"/>
    </xf>
    <xf numFmtId="2" fontId="4" fillId="0" borderId="7" xfId="0" applyNumberFormat="1" applyFont="1" applyBorder="1" applyAlignment="1" applyProtection="1">
      <alignment horizontal="right"/>
      <protection hidden="1"/>
    </xf>
    <xf numFmtId="0" fontId="4" fillId="0" borderId="0" xfId="0" applyFont="1" applyBorder="1" applyAlignment="1" applyProtection="1">
      <protection hidden="1"/>
    </xf>
    <xf numFmtId="0" fontId="0" fillId="0" borderId="0" xfId="0" applyBorder="1" applyAlignment="1" applyProtection="1">
      <protection hidden="1"/>
    </xf>
    <xf numFmtId="0" fontId="33" fillId="16" borderId="2" xfId="2" applyFont="1" applyFill="1" applyBorder="1" applyAlignment="1">
      <alignment horizontal="center"/>
    </xf>
    <xf numFmtId="0" fontId="33" fillId="16" borderId="8" xfId="2" applyFont="1" applyFill="1" applyBorder="1" applyAlignment="1">
      <alignment horizontal="center"/>
    </xf>
    <xf numFmtId="0" fontId="0" fillId="18" borderId="2" xfId="2" applyFont="1" applyFill="1" applyBorder="1" applyAlignment="1">
      <alignment horizontal="left"/>
    </xf>
    <xf numFmtId="0" fontId="0" fillId="18" borderId="8" xfId="2" applyFont="1" applyFill="1" applyBorder="1" applyAlignment="1">
      <alignment horizontal="left"/>
    </xf>
    <xf numFmtId="0" fontId="0" fillId="18" borderId="1" xfId="2" applyFont="1" applyFill="1" applyBorder="1" applyAlignment="1"/>
    <xf numFmtId="0" fontId="0" fillId="18" borderId="1" xfId="2" applyFont="1" applyFill="1" applyBorder="1" applyAlignment="1">
      <alignment horizontal="center"/>
    </xf>
    <xf numFmtId="0" fontId="0" fillId="44" borderId="2" xfId="2" applyFont="1" applyFill="1" applyBorder="1" applyAlignment="1">
      <alignment horizontal="left"/>
    </xf>
    <xf numFmtId="0" fontId="0" fillId="44" borderId="8" xfId="2" applyFont="1" applyFill="1" applyBorder="1" applyAlignment="1">
      <alignment horizontal="left"/>
    </xf>
    <xf numFmtId="0" fontId="0" fillId="44" borderId="1" xfId="2" applyFont="1" applyFill="1" applyBorder="1" applyAlignment="1"/>
    <xf numFmtId="0" fontId="0" fillId="44" borderId="1" xfId="2" applyFont="1" applyFill="1" applyBorder="1" applyAlignment="1">
      <alignment horizontal="center"/>
    </xf>
    <xf numFmtId="0" fontId="0" fillId="44" borderId="1" xfId="0" applyFill="1" applyBorder="1" applyAlignment="1" applyProtection="1">
      <protection hidden="1"/>
    </xf>
    <xf numFmtId="0" fontId="0" fillId="44" borderId="7" xfId="2" applyFont="1" applyFill="1" applyBorder="1" applyAlignment="1"/>
    <xf numFmtId="0" fontId="0" fillId="44" borderId="7" xfId="0" applyFill="1" applyBorder="1" applyAlignment="1" applyProtection="1">
      <protection hidden="1"/>
    </xf>
    <xf numFmtId="0" fontId="0" fillId="0" borderId="7" xfId="2" applyFont="1" applyBorder="1" applyAlignment="1"/>
    <xf numFmtId="0" fontId="0" fillId="22" borderId="7" xfId="2" applyFont="1" applyFill="1" applyBorder="1" applyAlignment="1"/>
    <xf numFmtId="0" fontId="0" fillId="0" borderId="2" xfId="2" applyFont="1" applyBorder="1" applyAlignment="1">
      <alignment horizontal="left"/>
    </xf>
    <xf numFmtId="0" fontId="0" fillId="0" borderId="1" xfId="0" applyBorder="1" applyAlignment="1" applyProtection="1">
      <protection hidden="1"/>
    </xf>
    <xf numFmtId="2" fontId="0" fillId="0" borderId="0" xfId="0" applyNumberFormat="1" applyBorder="1" applyAlignment="1"/>
    <xf numFmtId="0" fontId="0" fillId="0" borderId="0" xfId="2" applyFont="1" applyBorder="1" applyAlignment="1">
      <alignment horizontal="center"/>
    </xf>
    <xf numFmtId="2" fontId="4" fillId="0" borderId="4" xfId="0" applyNumberFormat="1" applyFont="1" applyBorder="1" applyAlignment="1" applyProtection="1">
      <alignment horizontal="left"/>
      <protection hidden="1"/>
    </xf>
    <xf numFmtId="2" fontId="4" fillId="0" borderId="15" xfId="0" applyNumberFormat="1" applyFont="1" applyBorder="1" applyAlignment="1" applyProtection="1">
      <alignment horizontal="center"/>
      <protection hidden="1"/>
    </xf>
    <xf numFmtId="0" fontId="0" fillId="0" borderId="1" xfId="0" applyFont="1" applyBorder="1" applyAlignment="1" applyProtection="1">
      <alignment horizontal="center"/>
      <protection hidden="1"/>
    </xf>
    <xf numFmtId="0" fontId="0" fillId="0" borderId="5" xfId="0" applyBorder="1" applyAlignment="1" applyProtection="1">
      <protection hidden="1"/>
    </xf>
    <xf numFmtId="2" fontId="0" fillId="0" borderId="1" xfId="0" applyNumberFormat="1" applyBorder="1" applyAlignment="1" applyProtection="1">
      <protection hidden="1"/>
    </xf>
    <xf numFmtId="2" fontId="4" fillId="0" borderId="7" xfId="0" applyNumberFormat="1" applyFont="1" applyBorder="1" applyAlignment="1" applyProtection="1">
      <alignment horizontal="center"/>
      <protection hidden="1"/>
    </xf>
    <xf numFmtId="2" fontId="4" fillId="0" borderId="0" xfId="0" applyNumberFormat="1" applyFont="1" applyBorder="1" applyAlignment="1" applyProtection="1">
      <alignment horizontal="center"/>
      <protection hidden="1"/>
    </xf>
    <xf numFmtId="2" fontId="4" fillId="16" borderId="7" xfId="0" applyNumberFormat="1" applyFont="1" applyFill="1" applyBorder="1" applyAlignment="1">
      <alignment horizontal="left"/>
    </xf>
    <xf numFmtId="2" fontId="4" fillId="16" borderId="7" xfId="0" applyNumberFormat="1" applyFont="1" applyFill="1" applyBorder="1" applyAlignment="1">
      <alignment wrapText="1"/>
    </xf>
    <xf numFmtId="2" fontId="4" fillId="0" borderId="0" xfId="0" applyNumberFormat="1" applyFont="1" applyBorder="1" applyAlignment="1">
      <alignment wrapText="1"/>
    </xf>
    <xf numFmtId="2" fontId="5" fillId="0" borderId="0" xfId="0" applyNumberFormat="1" applyFont="1" applyBorder="1" applyAlignment="1">
      <alignment horizontal="center" vertical="center"/>
    </xf>
    <xf numFmtId="0" fontId="4" fillId="0" borderId="8" xfId="2" applyFont="1" applyBorder="1"/>
    <xf numFmtId="0" fontId="4" fillId="0" borderId="0" xfId="2" applyFont="1" applyBorder="1"/>
    <xf numFmtId="0" fontId="4" fillId="0" borderId="0" xfId="2" applyFont="1"/>
    <xf numFmtId="2" fontId="4" fillId="0" borderId="0" xfId="0" applyNumberFormat="1" applyFont="1" applyBorder="1"/>
    <xf numFmtId="2" fontId="4" fillId="0" borderId="0" xfId="0" applyNumberFormat="1" applyFont="1" applyBorder="1" applyAlignment="1"/>
    <xf numFmtId="2" fontId="4" fillId="0" borderId="0" xfId="0" applyNumberFormat="1" applyFont="1" applyBorder="1" applyAlignment="1">
      <alignment horizontal="right"/>
    </xf>
    <xf numFmtId="2" fontId="9" fillId="0" borderId="0" xfId="0" applyNumberFormat="1" applyFont="1" applyBorder="1" applyAlignment="1">
      <alignment wrapText="1"/>
    </xf>
    <xf numFmtId="0" fontId="4" fillId="0" borderId="8" xfId="2" applyFont="1" applyBorder="1" applyAlignment="1"/>
    <xf numFmtId="0" fontId="4" fillId="0" borderId="0" xfId="2" applyFont="1" applyAlignment="1"/>
    <xf numFmtId="0" fontId="4" fillId="0" borderId="8" xfId="2" applyFont="1" applyBorder="1" applyAlignment="1">
      <alignment horizontal="left"/>
    </xf>
    <xf numFmtId="2" fontId="9" fillId="0" borderId="2" xfId="0" applyNumberFormat="1" applyFont="1" applyBorder="1" applyAlignment="1">
      <alignment wrapText="1"/>
    </xf>
    <xf numFmtId="2" fontId="4" fillId="0" borderId="0" xfId="0" applyNumberFormat="1" applyFont="1" applyBorder="1" applyAlignment="1">
      <alignment horizontal="center" wrapText="1"/>
    </xf>
    <xf numFmtId="2" fontId="9" fillId="16" borderId="2" xfId="0" applyNumberFormat="1" applyFont="1" applyFill="1" applyBorder="1" applyAlignment="1">
      <alignment wrapText="1"/>
    </xf>
    <xf numFmtId="0" fontId="4" fillId="16" borderId="1" xfId="2" applyFont="1" applyFill="1" applyBorder="1"/>
    <xf numFmtId="1" fontId="9" fillId="0" borderId="0" xfId="0" applyNumberFormat="1" applyFont="1" applyBorder="1" applyAlignment="1">
      <alignment wrapText="1"/>
    </xf>
    <xf numFmtId="0" fontId="4" fillId="0" borderId="2" xfId="2" applyFont="1" applyBorder="1" applyAlignment="1"/>
    <xf numFmtId="1" fontId="4" fillId="22" borderId="1" xfId="2" applyNumberFormat="1" applyFont="1" applyFill="1" applyBorder="1"/>
    <xf numFmtId="2" fontId="4" fillId="16" borderId="1" xfId="0" applyNumberFormat="1" applyFont="1" applyFill="1" applyBorder="1" applyAlignment="1">
      <alignment horizontal="center"/>
    </xf>
    <xf numFmtId="0" fontId="4" fillId="16" borderId="1" xfId="2" applyFont="1" applyFill="1" applyBorder="1" applyAlignment="1">
      <alignment horizontal="center"/>
    </xf>
    <xf numFmtId="1" fontId="4" fillId="16" borderId="1" xfId="2" applyNumberFormat="1" applyFont="1" applyFill="1" applyBorder="1"/>
    <xf numFmtId="2" fontId="4" fillId="22" borderId="2" xfId="0" applyNumberFormat="1" applyFont="1" applyFill="1" applyBorder="1" applyAlignment="1">
      <alignment wrapText="1"/>
    </xf>
    <xf numFmtId="0" fontId="4" fillId="0" borderId="1" xfId="2" applyFont="1" applyBorder="1" applyAlignment="1"/>
    <xf numFmtId="0" fontId="4" fillId="16" borderId="1" xfId="2" applyFont="1" applyFill="1" applyBorder="1" applyAlignment="1"/>
    <xf numFmtId="0" fontId="4" fillId="0" borderId="1" xfId="2" applyFont="1" applyBorder="1" applyAlignment="1"/>
    <xf numFmtId="0" fontId="5" fillId="0" borderId="0" xfId="2" applyFont="1" applyBorder="1" applyAlignment="1"/>
    <xf numFmtId="0" fontId="4" fillId="16" borderId="2" xfId="2" applyFont="1" applyFill="1" applyBorder="1"/>
    <xf numFmtId="0" fontId="4" fillId="0" borderId="1" xfId="2" applyFont="1" applyBorder="1"/>
    <xf numFmtId="0" fontId="4" fillId="0" borderId="0" xfId="2" applyFont="1" applyBorder="1"/>
    <xf numFmtId="2" fontId="5" fillId="0" borderId="0" xfId="0" applyNumberFormat="1" applyFont="1" applyBorder="1" applyAlignment="1">
      <alignment vertical="center" wrapText="1"/>
    </xf>
    <xf numFmtId="0" fontId="4" fillId="0" borderId="12" xfId="2" applyFont="1" applyBorder="1" applyAlignment="1">
      <alignment vertical="center" wrapText="1"/>
    </xf>
    <xf numFmtId="0" fontId="4" fillId="0" borderId="0" xfId="2" applyFont="1" applyAlignment="1">
      <alignment vertical="center" wrapText="1"/>
    </xf>
    <xf numFmtId="0" fontId="4" fillId="0" borderId="0" xfId="2" applyFont="1" applyAlignment="1">
      <alignment wrapText="1"/>
    </xf>
    <xf numFmtId="2" fontId="5" fillId="0" borderId="0" xfId="0" applyNumberFormat="1" applyFont="1" applyBorder="1" applyAlignment="1">
      <alignment horizontal="center" vertical="center" wrapText="1"/>
    </xf>
    <xf numFmtId="0" fontId="4" fillId="0" borderId="0" xfId="2" applyFont="1" applyBorder="1" applyAlignment="1"/>
    <xf numFmtId="0" fontId="4" fillId="0" borderId="0" xfId="2" applyFont="1" applyBorder="1" applyAlignment="1"/>
    <xf numFmtId="0" fontId="4" fillId="0" borderId="0" xfId="2" applyFont="1" applyBorder="1" applyAlignment="1">
      <alignment vertical="center"/>
    </xf>
    <xf numFmtId="0" fontId="4" fillId="0" borderId="7" xfId="2" applyFont="1" applyBorder="1" applyAlignment="1">
      <alignment horizontal="center"/>
    </xf>
    <xf numFmtId="2" fontId="4" fillId="0" borderId="7" xfId="2" applyNumberFormat="1" applyFont="1" applyBorder="1"/>
    <xf numFmtId="0" fontId="4" fillId="0" borderId="1" xfId="2" applyFont="1" applyBorder="1"/>
    <xf numFmtId="0" fontId="4" fillId="0" borderId="0" xfId="2" applyFont="1" applyBorder="1" applyAlignment="1">
      <alignment horizontal="left"/>
    </xf>
    <xf numFmtId="0" fontId="4" fillId="0" borderId="0" xfId="2" applyFont="1" applyBorder="1" applyAlignment="1">
      <alignment horizontal="center"/>
    </xf>
    <xf numFmtId="0" fontId="4" fillId="0" borderId="0" xfId="2" applyFont="1" applyBorder="1" applyAlignment="1">
      <alignment wrapText="1"/>
    </xf>
    <xf numFmtId="0" fontId="5" fillId="16" borderId="1" xfId="2" applyFont="1" applyFill="1" applyBorder="1" applyAlignment="1">
      <alignment horizontal="center" vertical="center"/>
    </xf>
    <xf numFmtId="0" fontId="4" fillId="22" borderId="1" xfId="2" applyFont="1" applyFill="1" applyBorder="1" applyAlignment="1">
      <alignment vertical="center"/>
    </xf>
    <xf numFmtId="0" fontId="4" fillId="0" borderId="1" xfId="2" applyFont="1" applyBorder="1" applyAlignment="1">
      <alignment horizontal="left" vertical="center"/>
    </xf>
    <xf numFmtId="0" fontId="4" fillId="0" borderId="2" xfId="2" applyFont="1" applyBorder="1" applyAlignment="1">
      <alignment vertical="center"/>
    </xf>
    <xf numFmtId="0" fontId="4" fillId="0" borderId="9" xfId="2" applyFont="1" applyBorder="1" applyAlignment="1">
      <alignment vertical="center"/>
    </xf>
    <xf numFmtId="0" fontId="4" fillId="0" borderId="8" xfId="2" applyFont="1" applyBorder="1" applyAlignment="1">
      <alignment vertical="center"/>
    </xf>
    <xf numFmtId="2" fontId="6" fillId="0" borderId="0" xfId="0" applyNumberFormat="1" applyFont="1" applyBorder="1" applyAlignment="1" applyProtection="1">
      <alignment vertical="center"/>
      <protection hidden="1"/>
    </xf>
    <xf numFmtId="0" fontId="4" fillId="0" borderId="1" xfId="2" applyFont="1" applyBorder="1" applyAlignment="1">
      <alignment horizontal="left" vertical="center"/>
    </xf>
    <xf numFmtId="0" fontId="4" fillId="0" borderId="1" xfId="2" applyFont="1" applyBorder="1" applyAlignment="1">
      <alignment horizontal="center" vertical="center"/>
    </xf>
    <xf numFmtId="165" fontId="4" fillId="0" borderId="1" xfId="2" applyNumberFormat="1" applyFont="1" applyBorder="1" applyAlignment="1">
      <alignment vertical="center"/>
    </xf>
    <xf numFmtId="2" fontId="4" fillId="0" borderId="0" xfId="0" applyNumberFormat="1" applyFont="1" applyBorder="1" applyAlignment="1">
      <alignment vertical="center" wrapText="1"/>
    </xf>
    <xf numFmtId="0" fontId="9" fillId="0" borderId="0" xfId="2" applyFont="1" applyAlignment="1">
      <alignment vertical="center"/>
    </xf>
    <xf numFmtId="165" fontId="4" fillId="0" borderId="1" xfId="2" applyNumberFormat="1" applyFont="1" applyBorder="1" applyAlignment="1">
      <alignment vertical="center"/>
    </xf>
    <xf numFmtId="0" fontId="9" fillId="0" borderId="0" xfId="0" applyFont="1" applyAlignment="1" applyProtection="1">
      <protection hidden="1"/>
    </xf>
    <xf numFmtId="0" fontId="9" fillId="0" borderId="0" xfId="0" applyFont="1" applyBorder="1" applyAlignment="1" applyProtection="1">
      <protection hidden="1"/>
    </xf>
    <xf numFmtId="1" fontId="9" fillId="0" borderId="2" xfId="0" applyNumberFormat="1" applyFont="1" applyBorder="1" applyAlignment="1" applyProtection="1">
      <alignment vertical="center"/>
      <protection hidden="1"/>
    </xf>
    <xf numFmtId="0" fontId="4" fillId="0" borderId="8" xfId="2" applyFont="1" applyBorder="1" applyAlignment="1">
      <alignment horizontal="center" vertical="center"/>
    </xf>
    <xf numFmtId="0" fontId="4" fillId="0" borderId="2" xfId="2" applyFont="1" applyBorder="1" applyAlignment="1">
      <alignment vertical="center"/>
    </xf>
    <xf numFmtId="0" fontId="4" fillId="0" borderId="9" xfId="2" applyFont="1" applyBorder="1" applyAlignment="1">
      <alignment vertical="center"/>
    </xf>
    <xf numFmtId="0" fontId="4" fillId="0" borderId="8" xfId="2" applyFont="1" applyBorder="1" applyAlignment="1">
      <alignment vertical="center"/>
    </xf>
    <xf numFmtId="0" fontId="5" fillId="16" borderId="2" xfId="2" applyFont="1" applyFill="1" applyBorder="1" applyAlignment="1"/>
    <xf numFmtId="0" fontId="5" fillId="16" borderId="8" xfId="2" applyFont="1" applyFill="1" applyBorder="1" applyAlignment="1"/>
    <xf numFmtId="0" fontId="4" fillId="0" borderId="6" xfId="2" applyFont="1" applyBorder="1"/>
    <xf numFmtId="0" fontId="4" fillId="0" borderId="9" xfId="2" applyFont="1" applyBorder="1" applyAlignment="1"/>
    <xf numFmtId="0" fontId="4" fillId="0" borderId="6" xfId="2" applyFont="1" applyBorder="1"/>
    <xf numFmtId="0" fontId="4" fillId="0" borderId="0" xfId="0" applyFont="1" applyBorder="1" applyProtection="1">
      <protection hidden="1"/>
    </xf>
    <xf numFmtId="2" fontId="4" fillId="0" borderId="0" xfId="0" applyNumberFormat="1" applyFont="1" applyBorder="1" applyAlignment="1"/>
    <xf numFmtId="0" fontId="5" fillId="16" borderId="2" xfId="2" applyFont="1" applyFill="1" applyBorder="1" applyAlignment="1">
      <alignment vertical="center"/>
    </xf>
    <xf numFmtId="0" fontId="5" fillId="16" borderId="8" xfId="2" applyFont="1" applyFill="1" applyBorder="1" applyAlignment="1">
      <alignment vertical="center"/>
    </xf>
    <xf numFmtId="0" fontId="4" fillId="16" borderId="1" xfId="2" applyFont="1" applyFill="1" applyBorder="1" applyAlignment="1">
      <alignment horizontal="center" vertical="center"/>
    </xf>
    <xf numFmtId="2" fontId="5" fillId="0" borderId="0" xfId="0" applyNumberFormat="1" applyFont="1" applyBorder="1" applyAlignment="1"/>
    <xf numFmtId="2" fontId="5" fillId="0" borderId="0" xfId="0" applyNumberFormat="1" applyFont="1" applyBorder="1" applyAlignment="1">
      <alignment horizontal="center" wrapText="1"/>
    </xf>
    <xf numFmtId="0" fontId="4" fillId="0" borderId="1" xfId="2" applyFont="1" applyBorder="1" applyAlignment="1">
      <alignment horizontal="center"/>
    </xf>
    <xf numFmtId="2" fontId="4" fillId="22" borderId="1" xfId="0" applyNumberFormat="1" applyFont="1" applyFill="1" applyBorder="1" applyAlignment="1">
      <alignment horizontal="center" wrapText="1"/>
    </xf>
    <xf numFmtId="2" fontId="4" fillId="0" borderId="9" xfId="0" applyNumberFormat="1" applyFont="1" applyBorder="1" applyAlignment="1"/>
    <xf numFmtId="2" fontId="4" fillId="0" borderId="1" xfId="0" applyNumberFormat="1" applyFont="1" applyBorder="1" applyAlignment="1">
      <alignment horizontal="center" wrapText="1"/>
    </xf>
    <xf numFmtId="2" fontId="5" fillId="16" borderId="2" xfId="0" applyNumberFormat="1" applyFont="1" applyFill="1" applyBorder="1" applyAlignment="1"/>
    <xf numFmtId="2" fontId="5" fillId="16" borderId="8" xfId="0" applyNumberFormat="1" applyFont="1" applyFill="1" applyBorder="1" applyAlignment="1"/>
    <xf numFmtId="2" fontId="4" fillId="16" borderId="1" xfId="0" applyNumberFormat="1" applyFont="1" applyFill="1" applyBorder="1" applyAlignment="1">
      <alignment horizontal="right"/>
    </xf>
    <xf numFmtId="2" fontId="4" fillId="0" borderId="0" xfId="0" applyNumberFormat="1" applyFont="1" applyBorder="1" applyAlignment="1">
      <alignment horizontal="left"/>
    </xf>
    <xf numFmtId="2" fontId="4" fillId="0" borderId="2" xfId="0" applyNumberFormat="1" applyFont="1" applyBorder="1" applyAlignment="1">
      <alignment horizontal="left" vertical="center"/>
    </xf>
    <xf numFmtId="2" fontId="4" fillId="0" borderId="8" xfId="0" applyNumberFormat="1" applyFont="1" applyBorder="1" applyAlignment="1">
      <alignment horizontal="left" vertical="center"/>
    </xf>
    <xf numFmtId="0" fontId="5" fillId="16" borderId="1" xfId="2" applyFont="1" applyFill="1" applyBorder="1" applyAlignment="1">
      <alignment horizontal="left" vertical="center"/>
    </xf>
    <xf numFmtId="0" fontId="4" fillId="0" borderId="0" xfId="2" applyFont="1" applyAlignment="1"/>
    <xf numFmtId="0" fontId="4" fillId="0" borderId="6" xfId="2" applyFont="1" applyBorder="1" applyAlignment="1">
      <alignment horizontal="left" vertical="center"/>
    </xf>
    <xf numFmtId="2" fontId="4" fillId="0" borderId="0" xfId="0" applyNumberFormat="1" applyFont="1" applyBorder="1" applyAlignment="1">
      <alignment horizontal="center" vertical="center" wrapText="1"/>
    </xf>
    <xf numFmtId="0" fontId="4" fillId="22" borderId="1" xfId="2" applyFont="1" applyFill="1" applyBorder="1" applyAlignment="1">
      <alignment horizontal="center" vertical="center"/>
    </xf>
    <xf numFmtId="0" fontId="4" fillId="0" borderId="0" xfId="2" applyFont="1" applyBorder="1" applyAlignment="1">
      <alignment horizontal="center" vertical="center"/>
    </xf>
    <xf numFmtId="0" fontId="4" fillId="0" borderId="5" xfId="2" applyFont="1" applyBorder="1" applyAlignment="1">
      <alignment horizontal="left" vertical="center"/>
    </xf>
    <xf numFmtId="0" fontId="4" fillId="0" borderId="6" xfId="2" applyFont="1" applyBorder="1" applyAlignment="1">
      <alignment horizontal="center" vertical="center"/>
    </xf>
    <xf numFmtId="0" fontId="4" fillId="16" borderId="1" xfId="2" applyFont="1" applyFill="1" applyBorder="1" applyAlignment="1">
      <alignment horizontal="left" vertical="center"/>
    </xf>
    <xf numFmtId="0" fontId="4" fillId="0" borderId="5" xfId="2" applyFont="1" applyBorder="1" applyAlignment="1">
      <alignment horizontal="center" vertical="center"/>
    </xf>
    <xf numFmtId="0" fontId="4" fillId="0" borderId="1" xfId="2" applyFont="1" applyBorder="1" applyAlignment="1">
      <alignment horizontal="right" vertical="center"/>
    </xf>
    <xf numFmtId="0" fontId="4" fillId="0" borderId="6" xfId="2" applyFont="1" applyBorder="1" applyAlignment="1">
      <alignment horizontal="center" vertical="center"/>
    </xf>
    <xf numFmtId="0" fontId="4" fillId="0" borderId="7" xfId="2" applyFont="1" applyBorder="1" applyAlignment="1">
      <alignment horizontal="center" vertical="center"/>
    </xf>
    <xf numFmtId="2" fontId="5" fillId="16" borderId="1" xfId="0" applyNumberFormat="1" applyFont="1" applyFill="1" applyBorder="1" applyAlignment="1">
      <alignment horizontal="center"/>
    </xf>
    <xf numFmtId="0" fontId="4" fillId="0" borderId="2" xfId="2" applyFont="1" applyBorder="1" applyAlignment="1">
      <alignment horizontal="left"/>
    </xf>
    <xf numFmtId="2" fontId="4" fillId="0" borderId="2" xfId="0" applyNumberFormat="1" applyFont="1" applyBorder="1" applyAlignment="1">
      <alignment horizontal="left"/>
    </xf>
    <xf numFmtId="2" fontId="4" fillId="0" borderId="8" xfId="0" applyNumberFormat="1" applyFont="1" applyBorder="1" applyAlignment="1">
      <alignment horizontal="left"/>
    </xf>
    <xf numFmtId="2" fontId="4" fillId="0" borderId="1" xfId="2" applyNumberFormat="1" applyFont="1" applyBorder="1" applyAlignment="1"/>
    <xf numFmtId="0" fontId="5" fillId="16" borderId="1" xfId="2" applyFont="1" applyFill="1" applyBorder="1" applyAlignment="1">
      <alignment horizontal="left"/>
    </xf>
    <xf numFmtId="0" fontId="4" fillId="0" borderId="7" xfId="2" applyFont="1" applyBorder="1"/>
    <xf numFmtId="165" fontId="5" fillId="0" borderId="0" xfId="0" applyNumberFormat="1" applyFont="1" applyBorder="1" applyAlignment="1" applyProtection="1">
      <alignment horizontal="right"/>
      <protection hidden="1"/>
    </xf>
    <xf numFmtId="165" fontId="4" fillId="15" borderId="1" xfId="0" applyNumberFormat="1" applyFont="1" applyFill="1" applyBorder="1" applyAlignment="1" applyProtection="1">
      <protection hidden="1"/>
    </xf>
    <xf numFmtId="2" fontId="5" fillId="0" borderId="0" xfId="0" applyNumberFormat="1" applyFont="1" applyBorder="1" applyAlignment="1" applyProtection="1">
      <alignment wrapText="1"/>
      <protection hidden="1"/>
    </xf>
    <xf numFmtId="2" fontId="6" fillId="36" borderId="13" xfId="0" applyNumberFormat="1" applyFont="1" applyFill="1" applyBorder="1" applyAlignment="1" applyProtection="1">
      <alignment vertical="center" wrapText="1"/>
      <protection hidden="1"/>
    </xf>
    <xf numFmtId="2" fontId="6" fillId="36" borderId="10" xfId="0" applyNumberFormat="1" applyFont="1" applyFill="1" applyBorder="1" applyAlignment="1" applyProtection="1">
      <alignment vertical="center" wrapText="1"/>
      <protection hidden="1"/>
    </xf>
    <xf numFmtId="0" fontId="4" fillId="37" borderId="5" xfId="0" applyFont="1" applyFill="1" applyBorder="1" applyAlignment="1">
      <alignment horizontal="center" vertical="center"/>
    </xf>
    <xf numFmtId="2" fontId="9" fillId="0" borderId="1" xfId="0" applyNumberFormat="1" applyFont="1" applyBorder="1" applyAlignment="1" applyProtection="1">
      <alignment horizontal="left" vertical="center" wrapText="1"/>
      <protection hidden="1"/>
    </xf>
    <xf numFmtId="2" fontId="9" fillId="0" borderId="7" xfId="0" applyNumberFormat="1" applyFont="1" applyBorder="1" applyAlignment="1" applyProtection="1">
      <alignment horizontal="left" vertical="center" wrapText="1"/>
      <protection hidden="1"/>
    </xf>
    <xf numFmtId="2" fontId="9" fillId="22" borderId="1" xfId="0" applyNumberFormat="1" applyFont="1" applyFill="1" applyBorder="1" applyAlignment="1" applyProtection="1">
      <alignment horizontal="left" vertical="center" wrapText="1"/>
      <protection hidden="1"/>
    </xf>
    <xf numFmtId="2" fontId="9" fillId="0" borderId="0" xfId="0" applyNumberFormat="1" applyFont="1" applyBorder="1" applyAlignment="1" applyProtection="1">
      <alignment horizontal="center" vertical="center" wrapText="1"/>
      <protection hidden="1"/>
    </xf>
    <xf numFmtId="2" fontId="9" fillId="0" borderId="0" xfId="0" applyNumberFormat="1" applyFont="1" applyBorder="1" applyAlignment="1" applyProtection="1">
      <alignment horizontal="left" vertical="center" wrapText="1"/>
      <protection hidden="1"/>
    </xf>
    <xf numFmtId="1" fontId="4" fillId="32" borderId="1" xfId="0" applyNumberFormat="1" applyFont="1" applyFill="1" applyBorder="1" applyAlignment="1" applyProtection="1">
      <alignment wrapText="1"/>
      <protection hidden="1"/>
    </xf>
    <xf numFmtId="0" fontId="4" fillId="0" borderId="0" xfId="0" applyFont="1" applyProtection="1">
      <protection hidden="1"/>
    </xf>
    <xf numFmtId="0" fontId="4" fillId="0" borderId="0" xfId="0" applyFont="1" applyBorder="1" applyAlignment="1" applyProtection="1">
      <alignment horizontal="center"/>
      <protection hidden="1"/>
    </xf>
    <xf numFmtId="2" fontId="4" fillId="0" borderId="5" xfId="0" applyNumberFormat="1" applyFont="1" applyBorder="1" applyAlignment="1" applyProtection="1">
      <alignment vertical="center"/>
      <protection hidden="1"/>
    </xf>
    <xf numFmtId="165" fontId="4" fillId="36" borderId="1" xfId="0" applyNumberFormat="1" applyFont="1" applyFill="1" applyBorder="1" applyProtection="1">
      <protection hidden="1"/>
    </xf>
    <xf numFmtId="2" fontId="4" fillId="0" borderId="2" xfId="0" applyNumberFormat="1" applyFont="1" applyBorder="1"/>
    <xf numFmtId="165" fontId="4" fillId="0" borderId="0" xfId="0" applyNumberFormat="1" applyFont="1" applyProtection="1">
      <protection hidden="1"/>
    </xf>
    <xf numFmtId="1" fontId="4" fillId="0" borderId="5" xfId="0" applyNumberFormat="1" applyFont="1" applyBorder="1" applyProtection="1">
      <protection hidden="1"/>
    </xf>
    <xf numFmtId="0" fontId="4" fillId="37" borderId="7" xfId="0" applyFont="1" applyFill="1" applyBorder="1" applyAlignment="1">
      <alignment horizontal="center" vertical="center"/>
    </xf>
    <xf numFmtId="2" fontId="4" fillId="0" borderId="6" xfId="0" applyNumberFormat="1" applyFont="1" applyBorder="1" applyAlignment="1" applyProtection="1">
      <alignment vertical="center"/>
      <protection hidden="1"/>
    </xf>
    <xf numFmtId="165" fontId="4" fillId="32" borderId="7" xfId="0" applyNumberFormat="1" applyFont="1" applyFill="1" applyBorder="1" applyAlignment="1" applyProtection="1">
      <alignment wrapText="1"/>
      <protection hidden="1"/>
    </xf>
    <xf numFmtId="0" fontId="8" fillId="0" borderId="0" xfId="0" applyFont="1" applyProtection="1">
      <protection hidden="1"/>
    </xf>
    <xf numFmtId="0" fontId="9" fillId="0" borderId="0" xfId="0" applyFont="1" applyBorder="1" applyAlignment="1" applyProtection="1">
      <alignment horizontal="center"/>
      <protection hidden="1"/>
    </xf>
    <xf numFmtId="2" fontId="9" fillId="0" borderId="0" xfId="0" applyNumberFormat="1" applyFont="1" applyBorder="1" applyProtection="1">
      <protection hidden="1"/>
    </xf>
    <xf numFmtId="2" fontId="6" fillId="0" borderId="0" xfId="0" applyNumberFormat="1" applyFont="1" applyBorder="1" applyProtection="1">
      <protection hidden="1"/>
    </xf>
    <xf numFmtId="165" fontId="4" fillId="22" borderId="7" xfId="0" applyNumberFormat="1" applyFont="1" applyFill="1" applyBorder="1" applyAlignment="1" applyProtection="1">
      <alignment wrapText="1"/>
      <protection hidden="1"/>
    </xf>
    <xf numFmtId="165" fontId="4" fillId="0" borderId="1" xfId="0" applyNumberFormat="1" applyFont="1" applyBorder="1" applyAlignment="1" applyProtection="1">
      <alignment wrapText="1"/>
      <protection hidden="1"/>
    </xf>
    <xf numFmtId="165" fontId="4" fillId="0" borderId="7" xfId="0" applyNumberFormat="1" applyFont="1" applyBorder="1" applyAlignment="1" applyProtection="1">
      <alignment wrapText="1"/>
      <protection hidden="1"/>
    </xf>
    <xf numFmtId="2" fontId="4" fillId="10" borderId="1" xfId="0" applyNumberFormat="1" applyFont="1" applyFill="1" applyBorder="1" applyProtection="1">
      <protection hidden="1"/>
    </xf>
    <xf numFmtId="165" fontId="4" fillId="10" borderId="1" xfId="0" applyNumberFormat="1" applyFont="1" applyFill="1" applyBorder="1" applyProtection="1">
      <protection hidden="1"/>
    </xf>
    <xf numFmtId="2" fontId="4" fillId="0" borderId="2" xfId="0" applyNumberFormat="1" applyFont="1" applyBorder="1" applyAlignment="1" applyProtection="1">
      <alignment horizontal="left"/>
      <protection hidden="1"/>
    </xf>
    <xf numFmtId="2" fontId="4" fillId="0" borderId="8" xfId="0" applyNumberFormat="1" applyFont="1" applyBorder="1" applyAlignment="1" applyProtection="1">
      <alignment horizontal="left"/>
      <protection hidden="1"/>
    </xf>
    <xf numFmtId="1" fontId="4" fillId="0" borderId="1" xfId="0" applyNumberFormat="1" applyFont="1" applyBorder="1" applyProtection="1">
      <protection hidden="1"/>
    </xf>
    <xf numFmtId="2" fontId="9" fillId="22" borderId="1" xfId="0" applyNumberFormat="1" applyFont="1" applyFill="1" applyBorder="1" applyAlignment="1" applyProtection="1">
      <alignment horizontal="center" vertical="center" wrapText="1"/>
      <protection hidden="1"/>
    </xf>
    <xf numFmtId="2" fontId="4" fillId="32" borderId="7" xfId="0" applyNumberFormat="1" applyFont="1" applyFill="1" applyBorder="1" applyAlignment="1" applyProtection="1">
      <alignment wrapText="1"/>
      <protection hidden="1"/>
    </xf>
    <xf numFmtId="2" fontId="8" fillId="0" borderId="0" xfId="0" applyNumberFormat="1" applyFont="1" applyProtection="1">
      <protection hidden="1"/>
    </xf>
    <xf numFmtId="2" fontId="9" fillId="0" borderId="0" xfId="0" applyNumberFormat="1" applyFont="1" applyBorder="1" applyAlignment="1" applyProtection="1">
      <alignment horizontal="center"/>
      <protection hidden="1"/>
    </xf>
    <xf numFmtId="2" fontId="4" fillId="22" borderId="7" xfId="0" applyNumberFormat="1" applyFont="1" applyFill="1" applyBorder="1" applyAlignment="1" applyProtection="1">
      <alignment wrapText="1"/>
      <protection hidden="1"/>
    </xf>
    <xf numFmtId="2" fontId="4" fillId="10" borderId="2" xfId="0" applyNumberFormat="1" applyFont="1" applyFill="1" applyBorder="1" applyAlignment="1" applyProtection="1">
      <alignment horizontal="center"/>
      <protection hidden="1"/>
    </xf>
    <xf numFmtId="2" fontId="4" fillId="10" borderId="8" xfId="0" applyNumberFormat="1" applyFont="1" applyFill="1" applyBorder="1" applyAlignment="1" applyProtection="1">
      <alignment horizontal="center"/>
      <protection hidden="1"/>
    </xf>
    <xf numFmtId="2" fontId="4" fillId="37" borderId="5" xfId="0" applyNumberFormat="1" applyFont="1" applyFill="1" applyBorder="1" applyAlignment="1">
      <alignment horizontal="center" vertical="center"/>
    </xf>
    <xf numFmtId="164" fontId="4" fillId="32" borderId="1" xfId="0" applyNumberFormat="1" applyFont="1" applyFill="1" applyBorder="1" applyAlignment="1" applyProtection="1">
      <alignment wrapText="1"/>
      <protection hidden="1"/>
    </xf>
    <xf numFmtId="164" fontId="4" fillId="0" borderId="1" xfId="0" applyNumberFormat="1" applyFont="1" applyBorder="1" applyProtection="1">
      <protection hidden="1"/>
    </xf>
    <xf numFmtId="164" fontId="4" fillId="22" borderId="1" xfId="0" applyNumberFormat="1" applyFont="1" applyFill="1" applyBorder="1" applyAlignment="1" applyProtection="1">
      <alignment wrapText="1"/>
      <protection hidden="1"/>
    </xf>
    <xf numFmtId="2" fontId="4" fillId="0" borderId="10" xfId="0" applyNumberFormat="1" applyFont="1" applyBorder="1" applyAlignment="1" applyProtection="1">
      <protection hidden="1"/>
    </xf>
    <xf numFmtId="2" fontId="4" fillId="0" borderId="15" xfId="0" applyNumberFormat="1" applyFont="1" applyBorder="1" applyAlignment="1" applyProtection="1">
      <protection hidden="1"/>
    </xf>
    <xf numFmtId="2" fontId="4" fillId="0" borderId="2" xfId="0" applyNumberFormat="1" applyFont="1" applyBorder="1" applyAlignment="1" applyProtection="1">
      <alignment horizontal="center"/>
      <protection hidden="1"/>
    </xf>
    <xf numFmtId="2" fontId="4" fillId="0" borderId="8" xfId="0" applyNumberFormat="1" applyFont="1" applyBorder="1" applyAlignment="1" applyProtection="1">
      <alignment horizontal="center"/>
      <protection hidden="1"/>
    </xf>
    <xf numFmtId="2" fontId="4" fillId="0" borderId="2" xfId="0" applyNumberFormat="1" applyFont="1" applyBorder="1" applyProtection="1">
      <protection hidden="1"/>
    </xf>
    <xf numFmtId="2" fontId="4" fillId="36" borderId="2" xfId="0" applyNumberFormat="1" applyFont="1" applyFill="1" applyBorder="1" applyAlignment="1" applyProtection="1">
      <protection hidden="1"/>
    </xf>
    <xf numFmtId="165" fontId="0" fillId="0" borderId="0" xfId="0" applyNumberFormat="1" applyAlignment="1">
      <alignment horizontal="right"/>
    </xf>
    <xf numFmtId="165" fontId="25" fillId="2" borderId="1" xfId="0" applyNumberFormat="1" applyFont="1" applyFill="1" applyBorder="1" applyAlignment="1">
      <alignment horizontal="right"/>
    </xf>
    <xf numFmtId="165" fontId="25" fillId="2" borderId="5" xfId="0" applyNumberFormat="1" applyFont="1" applyFill="1" applyBorder="1" applyAlignment="1">
      <alignment horizontal="right"/>
    </xf>
    <xf numFmtId="165" fontId="42" fillId="0" borderId="0" xfId="0" applyNumberFormat="1" applyFont="1" applyBorder="1" applyAlignment="1">
      <alignment horizontal="center" vertical="center"/>
    </xf>
    <xf numFmtId="165" fontId="25" fillId="0" borderId="0" xfId="0" applyNumberFormat="1" applyFont="1" applyBorder="1" applyAlignment="1">
      <alignment horizontal="center"/>
    </xf>
    <xf numFmtId="165" fontId="25" fillId="0" borderId="0" xfId="0" applyNumberFormat="1" applyFont="1" applyBorder="1" applyAlignment="1">
      <alignment horizontal="right"/>
    </xf>
    <xf numFmtId="165" fontId="0" fillId="0" borderId="0" xfId="0" applyNumberFormat="1" applyBorder="1"/>
    <xf numFmtId="165" fontId="7" fillId="6" borderId="7" xfId="2" applyNumberFormat="1" applyFont="1" applyFill="1" applyBorder="1" applyAlignment="1">
      <alignment horizontal="center"/>
    </xf>
    <xf numFmtId="165" fontId="8" fillId="6" borderId="7" xfId="2" applyNumberFormat="1" applyFont="1" applyFill="1" applyBorder="1" applyAlignment="1">
      <alignment horizontal="center"/>
    </xf>
    <xf numFmtId="165" fontId="7" fillId="6" borderId="7" xfId="0" applyNumberFormat="1" applyFont="1" applyFill="1" applyBorder="1" applyAlignment="1">
      <alignment horizontal="center"/>
    </xf>
    <xf numFmtId="165" fontId="52" fillId="6" borderId="7" xfId="0" applyNumberFormat="1" applyFont="1" applyFill="1" applyBorder="1" applyAlignment="1">
      <alignment horizontal="left"/>
    </xf>
    <xf numFmtId="165" fontId="29" fillId="6" borderId="1" xfId="2" applyNumberFormat="1" applyFont="1" applyFill="1" applyBorder="1" applyAlignment="1">
      <alignment horizontal="right"/>
    </xf>
    <xf numFmtId="165" fontId="54" fillId="6" borderId="1" xfId="0" applyNumberFormat="1" applyFont="1" applyFill="1" applyBorder="1" applyAlignment="1">
      <alignment horizontal="right"/>
    </xf>
    <xf numFmtId="165" fontId="0" fillId="0" borderId="1" xfId="2" applyNumberFormat="1" applyFont="1" applyBorder="1" applyAlignment="1">
      <alignment horizontal="left"/>
    </xf>
    <xf numFmtId="165" fontId="22" fillId="6" borderId="1" xfId="2" applyNumberFormat="1" applyFont="1" applyFill="1" applyBorder="1" applyAlignment="1">
      <alignment horizontal="center"/>
    </xf>
    <xf numFmtId="165" fontId="0" fillId="0" borderId="1" xfId="2" applyNumberFormat="1" applyFont="1" applyBorder="1" applyAlignment="1">
      <alignment horizontal="right"/>
    </xf>
    <xf numFmtId="165" fontId="55" fillId="6" borderId="1" xfId="2" applyNumberFormat="1" applyFont="1" applyFill="1" applyBorder="1" applyAlignment="1">
      <alignment horizontal="right"/>
    </xf>
    <xf numFmtId="165" fontId="55" fillId="6" borderId="1" xfId="0" applyNumberFormat="1" applyFont="1" applyFill="1" applyBorder="1" applyAlignment="1">
      <alignment horizontal="right"/>
    </xf>
    <xf numFmtId="165" fontId="54" fillId="6" borderId="1" xfId="2" applyNumberFormat="1" applyFont="1" applyFill="1" applyBorder="1" applyAlignment="1">
      <alignment horizontal="right"/>
    </xf>
    <xf numFmtId="165" fontId="0" fillId="6" borderId="1" xfId="2" applyNumberFormat="1" applyFont="1" applyFill="1" applyBorder="1" applyAlignment="1">
      <alignment horizontal="right"/>
    </xf>
    <xf numFmtId="165" fontId="0" fillId="6" borderId="5" xfId="2" applyNumberFormat="1" applyFont="1" applyFill="1" applyBorder="1" applyAlignment="1">
      <alignment horizontal="right"/>
    </xf>
    <xf numFmtId="165" fontId="55" fillId="6" borderId="5" xfId="2" applyNumberFormat="1" applyFont="1" applyFill="1" applyBorder="1" applyAlignment="1">
      <alignment horizontal="right"/>
    </xf>
    <xf numFmtId="165" fontId="25" fillId="6" borderId="1" xfId="2" applyNumberFormat="1" applyFont="1" applyFill="1" applyBorder="1" applyAlignment="1">
      <alignment horizontal="center" vertical="center"/>
    </xf>
    <xf numFmtId="165" fontId="8" fillId="6" borderId="1" xfId="0" applyNumberFormat="1" applyFont="1" applyFill="1" applyBorder="1" applyAlignment="1">
      <alignment horizontal="center" vertical="center"/>
    </xf>
    <xf numFmtId="165" fontId="22" fillId="6" borderId="1" xfId="0" applyNumberFormat="1" applyFont="1" applyFill="1" applyBorder="1" applyAlignment="1">
      <alignment horizontal="center" vertical="center" wrapText="1"/>
    </xf>
    <xf numFmtId="165" fontId="8" fillId="6" borderId="1" xfId="2" applyNumberFormat="1" applyFont="1" applyFill="1" applyBorder="1" applyAlignment="1">
      <alignment horizontal="center" vertical="center"/>
    </xf>
    <xf numFmtId="165" fontId="22" fillId="0" borderId="0" xfId="2" applyNumberFormat="1" applyFont="1" applyBorder="1" applyAlignment="1">
      <alignment horizontal="right"/>
    </xf>
    <xf numFmtId="165" fontId="8" fillId="6" borderId="1" xfId="0" applyNumberFormat="1" applyFont="1" applyFill="1" applyBorder="1" applyAlignment="1">
      <alignment horizontal="center"/>
    </xf>
    <xf numFmtId="165" fontId="0" fillId="0" borderId="1" xfId="0" applyNumberFormat="1" applyFont="1" applyBorder="1"/>
    <xf numFmtId="165" fontId="22" fillId="0" borderId="0" xfId="0" applyNumberFormat="1" applyFont="1" applyAlignment="1">
      <alignment horizontal="right"/>
    </xf>
    <xf numFmtId="165" fontId="8" fillId="6" borderId="0" xfId="2" applyNumberFormat="1" applyFont="1" applyFill="1" applyBorder="1" applyAlignment="1">
      <alignment horizontal="center"/>
    </xf>
    <xf numFmtId="165" fontId="8" fillId="6" borderId="0" xfId="2" applyNumberFormat="1" applyFont="1" applyFill="1" applyBorder="1" applyAlignment="1">
      <alignment horizontal="right"/>
    </xf>
    <xf numFmtId="165" fontId="56" fillId="6" borderId="0" xfId="0" applyNumberFormat="1" applyFont="1" applyFill="1" applyBorder="1" applyAlignment="1">
      <alignment horizontal="right"/>
    </xf>
    <xf numFmtId="165" fontId="0" fillId="0" borderId="0" xfId="0" applyNumberFormat="1" applyFont="1"/>
    <xf numFmtId="165" fontId="22" fillId="6" borderId="1" xfId="0" applyNumberFormat="1" applyFont="1" applyFill="1" applyBorder="1" applyAlignment="1">
      <alignment horizontal="center"/>
    </xf>
    <xf numFmtId="165" fontId="57" fillId="0" borderId="1" xfId="0" applyNumberFormat="1" applyFont="1" applyBorder="1"/>
    <xf numFmtId="165" fontId="8" fillId="6" borderId="1" xfId="2" applyNumberFormat="1" applyFont="1" applyFill="1" applyBorder="1" applyAlignment="1">
      <alignment horizontal="center" vertical="center" wrapText="1"/>
    </xf>
    <xf numFmtId="165" fontId="8" fillId="6" borderId="1" xfId="0" applyNumberFormat="1" applyFont="1" applyFill="1" applyBorder="1" applyAlignment="1">
      <alignment horizontal="center" vertical="center" wrapText="1"/>
    </xf>
    <xf numFmtId="165" fontId="0" fillId="0" borderId="1" xfId="0" applyNumberFormat="1" applyFont="1" applyBorder="1"/>
    <xf numFmtId="165" fontId="8" fillId="6" borderId="1" xfId="2" applyNumberFormat="1" applyFont="1" applyFill="1" applyBorder="1" applyAlignment="1">
      <alignment horizontal="center"/>
    </xf>
    <xf numFmtId="165" fontId="8" fillId="6" borderId="1" xfId="2" applyNumberFormat="1" applyFont="1" applyFill="1" applyBorder="1" applyAlignment="1">
      <alignment horizontal="right"/>
    </xf>
    <xf numFmtId="165" fontId="56" fillId="6" borderId="1" xfId="0" applyNumberFormat="1" applyFont="1" applyFill="1" applyBorder="1" applyAlignment="1">
      <alignment horizontal="right"/>
    </xf>
    <xf numFmtId="165" fontId="3" fillId="6" borderId="1" xfId="2" applyNumberFormat="1" applyFont="1" applyFill="1" applyBorder="1" applyAlignment="1">
      <alignment horizontal="center" vertical="center" wrapText="1"/>
    </xf>
    <xf numFmtId="165" fontId="8" fillId="6" borderId="1" xfId="2" applyNumberFormat="1" applyFont="1" applyFill="1" applyBorder="1" applyAlignment="1">
      <alignment horizontal="center" wrapText="1"/>
    </xf>
    <xf numFmtId="2" fontId="29" fillId="6" borderId="5" xfId="0" applyNumberFormat="1" applyFont="1" applyFill="1" applyBorder="1" applyAlignment="1">
      <alignment wrapText="1"/>
    </xf>
    <xf numFmtId="0" fontId="0" fillId="0" borderId="2" xfId="0" applyBorder="1" applyAlignment="1"/>
    <xf numFmtId="0" fontId="0" fillId="0" borderId="8" xfId="0" applyFont="1" applyBorder="1" applyAlignment="1"/>
    <xf numFmtId="2" fontId="29" fillId="6" borderId="7" xfId="0" applyNumberFormat="1" applyFont="1" applyFill="1" applyBorder="1" applyAlignment="1">
      <alignment wrapText="1"/>
    </xf>
    <xf numFmtId="2" fontId="29" fillId="6" borderId="1" xfId="0" applyNumberFormat="1" applyFont="1" applyFill="1" applyBorder="1" applyAlignment="1">
      <alignment wrapText="1"/>
    </xf>
    <xf numFmtId="2" fontId="29" fillId="6" borderId="1" xfId="0" applyNumberFormat="1" applyFont="1" applyFill="1" applyBorder="1" applyAlignment="1">
      <alignment horizontal="right" wrapText="1"/>
    </xf>
    <xf numFmtId="0" fontId="0" fillId="0" borderId="1" xfId="0" applyBorder="1" applyAlignment="1"/>
    <xf numFmtId="0" fontId="0" fillId="0" borderId="0" xfId="0" applyBorder="1" applyAlignment="1"/>
    <xf numFmtId="0" fontId="0" fillId="0" borderId="1" xfId="0" applyFont="1" applyBorder="1" applyAlignment="1">
      <alignment horizontal="center"/>
    </xf>
    <xf numFmtId="0" fontId="0" fillId="0" borderId="7" xfId="0" applyFont="1" applyBorder="1" applyAlignment="1"/>
    <xf numFmtId="0" fontId="0" fillId="0" borderId="12" xfId="2" applyFont="1" applyBorder="1" applyAlignment="1"/>
    <xf numFmtId="1" fontId="0" fillId="0" borderId="0" xfId="0" applyNumberFormat="1" applyBorder="1" applyAlignment="1"/>
    <xf numFmtId="0" fontId="0" fillId="0" borderId="6" xfId="0" applyFont="1" applyBorder="1" applyAlignment="1"/>
    <xf numFmtId="0" fontId="0" fillId="32" borderId="1" xfId="0" applyFont="1" applyFill="1" applyBorder="1" applyAlignment="1"/>
    <xf numFmtId="167" fontId="0" fillId="0" borderId="1" xfId="0" applyNumberFormat="1" applyBorder="1" applyAlignment="1"/>
    <xf numFmtId="0" fontId="4" fillId="0" borderId="16" xfId="2" applyFont="1" applyBorder="1" applyAlignment="1">
      <alignment wrapText="1"/>
    </xf>
    <xf numFmtId="0" fontId="4" fillId="5" borderId="17" xfId="2" applyFont="1" applyFill="1" applyBorder="1" applyAlignment="1">
      <alignment horizontal="center"/>
    </xf>
    <xf numFmtId="2" fontId="4" fillId="0" borderId="18" xfId="2" applyNumberFormat="1" applyFont="1" applyBorder="1" applyAlignment="1"/>
    <xf numFmtId="0" fontId="4" fillId="0" borderId="19" xfId="2" applyFont="1" applyBorder="1" applyAlignment="1">
      <alignment wrapText="1"/>
    </xf>
    <xf numFmtId="0" fontId="4" fillId="5" borderId="20" xfId="2" applyFont="1" applyFill="1" applyBorder="1" applyAlignment="1">
      <alignment horizontal="center"/>
    </xf>
    <xf numFmtId="2" fontId="4" fillId="0" borderId="21" xfId="2" applyNumberFormat="1" applyFont="1" applyBorder="1" applyAlignment="1"/>
    <xf numFmtId="0" fontId="0" fillId="17" borderId="1" xfId="0" applyFill="1" applyBorder="1" applyAlignment="1"/>
    <xf numFmtId="1" fontId="0" fillId="17" borderId="1" xfId="0" applyNumberFormat="1" applyFill="1" applyBorder="1" applyAlignment="1"/>
    <xf numFmtId="2" fontId="0" fillId="17" borderId="1" xfId="0" applyNumberFormat="1" applyFill="1" applyBorder="1" applyAlignment="1"/>
    <xf numFmtId="1" fontId="0" fillId="0" borderId="0" xfId="0" applyNumberFormat="1" applyAlignment="1"/>
    <xf numFmtId="0" fontId="0" fillId="0" borderId="5" xfId="0" applyFont="1" applyBorder="1" applyAlignment="1"/>
    <xf numFmtId="0" fontId="0" fillId="17" borderId="5" xfId="0" applyFill="1" applyBorder="1" applyAlignment="1"/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0" borderId="0" xfId="0" applyFont="1" applyBorder="1" applyAlignment="1">
      <alignment vertical="center"/>
    </xf>
    <xf numFmtId="0" fontId="0" fillId="0" borderId="3" xfId="0" applyFont="1" applyBorder="1" applyAlignment="1"/>
    <xf numFmtId="0" fontId="0" fillId="0" borderId="4" xfId="0" applyFont="1" applyBorder="1" applyAlignment="1"/>
    <xf numFmtId="0" fontId="10" fillId="0" borderId="7" xfId="0" applyFont="1" applyBorder="1" applyAlignment="1">
      <alignment horizontal="center" vertical="center"/>
    </xf>
    <xf numFmtId="0" fontId="47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1" xfId="0" applyFont="1" applyBorder="1" applyAlignment="1"/>
    <xf numFmtId="0" fontId="10" fillId="0" borderId="1" xfId="0" applyFont="1" applyBorder="1" applyAlignment="1">
      <alignment horizontal="left"/>
    </xf>
    <xf numFmtId="0" fontId="0" fillId="0" borderId="1" xfId="0" applyFont="1" applyBorder="1" applyAlignment="1">
      <alignment horizontal="center"/>
    </xf>
    <xf numFmtId="0" fontId="0" fillId="0" borderId="1" xfId="0" applyFont="1" applyBorder="1" applyAlignment="1"/>
    <xf numFmtId="0" fontId="10" fillId="4" borderId="1" xfId="0" applyFont="1" applyFill="1" applyBorder="1" applyAlignment="1">
      <alignment vertical="center"/>
    </xf>
    <xf numFmtId="164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9" fillId="0" borderId="0" xfId="0" applyFont="1" applyBorder="1" applyAlignment="1">
      <alignment horizontal="center"/>
    </xf>
    <xf numFmtId="2" fontId="4" fillId="0" borderId="0" xfId="0" applyNumberFormat="1" applyFont="1" applyBorder="1" applyAlignment="1" applyProtection="1">
      <alignment horizontal="left"/>
      <protection hidden="1"/>
    </xf>
    <xf numFmtId="165" fontId="4" fillId="0" borderId="0" xfId="0" applyNumberFormat="1" applyFont="1" applyBorder="1" applyAlignment="1">
      <alignment horizontal="right"/>
    </xf>
    <xf numFmtId="0" fontId="29" fillId="32" borderId="0" xfId="0" applyFont="1" applyFill="1" applyBorder="1" applyAlignment="1">
      <alignment horizontal="center"/>
    </xf>
    <xf numFmtId="0" fontId="47" fillId="0" borderId="0" xfId="0" applyFont="1" applyBorder="1" applyAlignment="1">
      <alignment horizontal="center"/>
    </xf>
    <xf numFmtId="0" fontId="22" fillId="0" borderId="0" xfId="0" applyFont="1" applyBorder="1" applyAlignment="1"/>
    <xf numFmtId="0" fontId="10" fillId="32" borderId="0" xfId="0" applyFont="1" applyFill="1" applyBorder="1" applyAlignment="1">
      <alignment horizontal="left"/>
    </xf>
    <xf numFmtId="164" fontId="10" fillId="0" borderId="0" xfId="0" applyNumberFormat="1" applyFont="1" applyBorder="1" applyAlignment="1">
      <alignment horizontal="center" vertical="center"/>
    </xf>
    <xf numFmtId="165" fontId="4" fillId="0" borderId="0" xfId="0" applyNumberFormat="1" applyFont="1" applyBorder="1" applyAlignment="1" applyProtection="1">
      <alignment horizontal="right"/>
      <protection hidden="1"/>
    </xf>
    <xf numFmtId="0" fontId="4" fillId="4" borderId="1" xfId="2" applyFont="1" applyFill="1" applyBorder="1" applyAlignment="1">
      <alignment horizontal="left" vertical="center"/>
    </xf>
    <xf numFmtId="1" fontId="4" fillId="4" borderId="1" xfId="2" applyNumberFormat="1" applyFont="1" applyFill="1" applyBorder="1" applyAlignment="1">
      <alignment horizontal="right" vertical="distributed" wrapText="1"/>
    </xf>
    <xf numFmtId="165" fontId="4" fillId="0" borderId="1" xfId="0" applyNumberFormat="1" applyFont="1" applyBorder="1" applyAlignment="1" applyProtection="1">
      <alignment horizontal="left"/>
      <protection hidden="1"/>
    </xf>
    <xf numFmtId="0" fontId="0" fillId="0" borderId="0" xfId="0" applyFont="1" applyBorder="1" applyAlignment="1"/>
    <xf numFmtId="2" fontId="9" fillId="16" borderId="1" xfId="0" applyNumberFormat="1" applyFont="1" applyFill="1" applyBorder="1" applyAlignment="1">
      <alignment horizontal="center"/>
    </xf>
    <xf numFmtId="0" fontId="4" fillId="16" borderId="2" xfId="2" applyFont="1" applyFill="1" applyBorder="1" applyAlignment="1">
      <alignment horizontal="center"/>
    </xf>
    <xf numFmtId="0" fontId="0" fillId="11" borderId="1" xfId="0" applyFont="1" applyFill="1" applyBorder="1" applyAlignment="1">
      <alignment horizontal="center"/>
    </xf>
    <xf numFmtId="0" fontId="10" fillId="11" borderId="7" xfId="0" applyFont="1" applyFill="1" applyBorder="1" applyAlignment="1">
      <alignment horizontal="left"/>
    </xf>
    <xf numFmtId="0" fontId="4" fillId="11" borderId="7" xfId="2" applyFont="1" applyFill="1" applyBorder="1" applyAlignment="1">
      <alignment horizontal="center"/>
    </xf>
    <xf numFmtId="0" fontId="0" fillId="11" borderId="7" xfId="0" applyFont="1" applyFill="1" applyBorder="1" applyAlignment="1"/>
    <xf numFmtId="2" fontId="4" fillId="22" borderId="1" xfId="0" applyNumberFormat="1" applyFont="1" applyFill="1" applyBorder="1" applyAlignment="1"/>
    <xf numFmtId="1" fontId="4" fillId="22" borderId="2" xfId="0" applyNumberFormat="1" applyFont="1" applyFill="1" applyBorder="1" applyAlignment="1"/>
    <xf numFmtId="0" fontId="4" fillId="11" borderId="1" xfId="2" applyFont="1" applyFill="1" applyBorder="1" applyAlignment="1">
      <alignment horizontal="center"/>
    </xf>
    <xf numFmtId="1" fontId="4" fillId="22" borderId="1" xfId="0" applyNumberFormat="1" applyFont="1" applyFill="1" applyBorder="1" applyAlignment="1"/>
    <xf numFmtId="2" fontId="9" fillId="0" borderId="0" xfId="0" applyNumberFormat="1" applyFont="1" applyBorder="1" applyAlignment="1">
      <alignment horizontal="center"/>
    </xf>
    <xf numFmtId="1" fontId="4" fillId="0" borderId="0" xfId="0" applyNumberFormat="1" applyFont="1" applyBorder="1" applyAlignment="1"/>
    <xf numFmtId="3" fontId="9" fillId="4" borderId="1" xfId="0" applyNumberFormat="1" applyFont="1" applyFill="1" applyBorder="1" applyAlignment="1">
      <alignment horizontal="center" vertical="center"/>
    </xf>
    <xf numFmtId="3" fontId="9" fillId="4" borderId="1" xfId="0" applyNumberFormat="1" applyFont="1" applyFill="1" applyBorder="1" applyAlignment="1">
      <alignment horizontal="right" vertical="center"/>
    </xf>
    <xf numFmtId="0" fontId="9" fillId="4" borderId="1" xfId="0" applyFont="1" applyFill="1" applyBorder="1" applyAlignment="1">
      <alignment horizontal="right" vertical="center"/>
    </xf>
    <xf numFmtId="4" fontId="9" fillId="4" borderId="1" xfId="0" applyNumberFormat="1" applyFont="1" applyFill="1" applyBorder="1" applyAlignment="1">
      <alignment horizontal="center" vertical="center"/>
    </xf>
    <xf numFmtId="2" fontId="4" fillId="45" borderId="6" xfId="0" applyNumberFormat="1" applyFont="1" applyFill="1" applyBorder="1" applyAlignment="1" applyProtection="1">
      <protection hidden="1"/>
    </xf>
    <xf numFmtId="0" fontId="0" fillId="45" borderId="0" xfId="0" applyFill="1" applyAlignment="1"/>
    <xf numFmtId="0" fontId="4" fillId="45" borderId="1" xfId="0" applyFont="1" applyFill="1" applyBorder="1" applyAlignment="1">
      <alignment horizontal="left" vertical="center"/>
    </xf>
    <xf numFmtId="0" fontId="4" fillId="22" borderId="6" xfId="0" applyFont="1" applyFill="1" applyBorder="1" applyAlignment="1">
      <alignment horizontal="left" vertical="center" wrapText="1"/>
    </xf>
    <xf numFmtId="0" fontId="9" fillId="4" borderId="2" xfId="0" applyFont="1" applyFill="1" applyBorder="1" applyAlignment="1">
      <alignment horizontal="right" vertical="center"/>
    </xf>
    <xf numFmtId="0" fontId="4" fillId="0" borderId="5" xfId="3" applyFont="1" applyBorder="1" applyAlignment="1">
      <alignment horizontal="center"/>
    </xf>
    <xf numFmtId="0" fontId="0" fillId="17" borderId="0" xfId="0" applyFill="1" applyAlignment="1"/>
    <xf numFmtId="166" fontId="4" fillId="0" borderId="1" xfId="0" applyNumberFormat="1" applyFont="1" applyBorder="1" applyAlignment="1" applyProtection="1">
      <alignment horizontal="left"/>
      <protection hidden="1"/>
    </xf>
    <xf numFmtId="2" fontId="4" fillId="17" borderId="1" xfId="0" applyNumberFormat="1" applyFont="1" applyFill="1" applyBorder="1" applyAlignment="1" applyProtection="1">
      <alignment horizontal="left"/>
      <protection hidden="1"/>
    </xf>
    <xf numFmtId="166" fontId="4" fillId="17" borderId="1" xfId="0" applyNumberFormat="1" applyFont="1" applyFill="1" applyBorder="1" applyAlignment="1" applyProtection="1">
      <alignment horizontal="left"/>
      <protection hidden="1"/>
    </xf>
    <xf numFmtId="1" fontId="0" fillId="17" borderId="1" xfId="0" applyNumberFormat="1" applyFill="1" applyBorder="1" applyAlignment="1">
      <alignment horizontal="left"/>
    </xf>
    <xf numFmtId="2" fontId="4" fillId="17" borderId="1" xfId="0" applyNumberFormat="1" applyFont="1" applyFill="1" applyBorder="1" applyAlignment="1" applyProtection="1">
      <protection hidden="1"/>
    </xf>
    <xf numFmtId="0" fontId="0" fillId="17" borderId="12" xfId="0" applyFill="1" applyBorder="1" applyAlignment="1"/>
    <xf numFmtId="1" fontId="33" fillId="0" borderId="0" xfId="0" applyNumberFormat="1" applyFont="1" applyAlignment="1"/>
    <xf numFmtId="2" fontId="0" fillId="5" borderId="1" xfId="0" applyNumberFormat="1" applyFont="1" applyFill="1" applyBorder="1" applyAlignment="1">
      <alignment vertical="center" wrapText="1"/>
    </xf>
    <xf numFmtId="2" fontId="12" fillId="5" borderId="1" xfId="0" applyNumberFormat="1" applyFont="1" applyFill="1" applyBorder="1" applyAlignment="1">
      <alignment horizontal="center" vertical="center" wrapText="1"/>
    </xf>
    <xf numFmtId="2" fontId="12" fillId="5" borderId="2" xfId="0" applyNumberFormat="1" applyFont="1" applyFill="1" applyBorder="1" applyAlignment="1">
      <alignment horizontal="center" vertical="center" wrapText="1"/>
    </xf>
    <xf numFmtId="2" fontId="12" fillId="5" borderId="9" xfId="0" applyNumberFormat="1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/>
    </xf>
    <xf numFmtId="2" fontId="0" fillId="0" borderId="1" xfId="0" applyNumberFormat="1" applyFont="1" applyBorder="1" applyAlignment="1">
      <alignment vertical="center" wrapText="1"/>
    </xf>
    <xf numFmtId="2" fontId="0" fillId="4" borderId="1" xfId="0" applyNumberFormat="1" applyFill="1" applyBorder="1" applyAlignment="1"/>
    <xf numFmtId="0" fontId="0" fillId="0" borderId="1" xfId="0" applyBorder="1" applyAlignment="1">
      <alignment horizontal="left" vertical="center"/>
    </xf>
    <xf numFmtId="0" fontId="6" fillId="0" borderId="0" xfId="0" applyFont="1"/>
    <xf numFmtId="0" fontId="9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2" fontId="0" fillId="0" borderId="1" xfId="0" applyNumberFormat="1" applyBorder="1" applyAlignment="1">
      <alignment horizontal="right" vertical="center"/>
    </xf>
    <xf numFmtId="0" fontId="0" fillId="0" borderId="2" xfId="0" applyFont="1" applyBorder="1" applyAlignment="1">
      <alignment horizontal="right" vertical="center"/>
    </xf>
    <xf numFmtId="0" fontId="0" fillId="0" borderId="0" xfId="0" applyFont="1" applyAlignment="1">
      <alignment horizontal="right"/>
    </xf>
    <xf numFmtId="0" fontId="5" fillId="0" borderId="0" xfId="0" applyFont="1" applyAlignment="1"/>
    <xf numFmtId="0" fontId="6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2" fontId="0" fillId="0" borderId="1" xfId="0" applyNumberFormat="1" applyBorder="1" applyProtection="1">
      <protection hidden="1"/>
    </xf>
    <xf numFmtId="2" fontId="5" fillId="0" borderId="2" xfId="0" applyNumberFormat="1" applyFont="1" applyBorder="1" applyAlignment="1" applyProtection="1">
      <alignment horizontal="left"/>
      <protection hidden="1"/>
    </xf>
    <xf numFmtId="2" fontId="5" fillId="0" borderId="8" xfId="0" applyNumberFormat="1" applyFont="1" applyBorder="1" applyAlignment="1" applyProtection="1">
      <alignment horizontal="left"/>
      <protection hidden="1"/>
    </xf>
    <xf numFmtId="2" fontId="4" fillId="22" borderId="1" xfId="0" applyNumberFormat="1" applyFont="1" applyFill="1" applyBorder="1" applyAlignment="1" applyProtection="1">
      <alignment horizontal="center" vertical="center"/>
      <protection hidden="1"/>
    </xf>
    <xf numFmtId="2" fontId="4" fillId="0" borderId="0" xfId="0" applyNumberFormat="1" applyFont="1" applyBorder="1" applyAlignment="1" applyProtection="1">
      <alignment horizontal="right"/>
      <protection hidden="1"/>
    </xf>
    <xf numFmtId="2" fontId="4" fillId="16" borderId="1" xfId="0" applyNumberFormat="1" applyFont="1" applyFill="1" applyBorder="1" applyProtection="1">
      <protection hidden="1"/>
    </xf>
    <xf numFmtId="2" fontId="4" fillId="0" borderId="8" xfId="0" applyNumberFormat="1" applyFont="1" applyBorder="1" applyProtection="1">
      <protection hidden="1"/>
    </xf>
    <xf numFmtId="2" fontId="4" fillId="0" borderId="7" xfId="0" applyNumberFormat="1" applyFont="1" applyBorder="1" applyAlignment="1" applyProtection="1">
      <alignment horizontal="left"/>
      <protection hidden="1"/>
    </xf>
    <xf numFmtId="2" fontId="4" fillId="0" borderId="6" xfId="0" applyNumberFormat="1" applyFont="1" applyBorder="1" applyProtection="1">
      <protection hidden="1"/>
    </xf>
    <xf numFmtId="2" fontId="37" fillId="36" borderId="7" xfId="0" applyNumberFormat="1" applyFont="1" applyFill="1" applyBorder="1" applyAlignment="1" applyProtection="1">
      <alignment horizontal="center" vertical="center"/>
      <protection hidden="1"/>
    </xf>
    <xf numFmtId="2" fontId="37" fillId="36" borderId="0" xfId="0" applyNumberFormat="1" applyFont="1" applyFill="1" applyBorder="1" applyAlignment="1" applyProtection="1">
      <alignment horizontal="center" vertical="center"/>
      <protection hidden="1"/>
    </xf>
    <xf numFmtId="2" fontId="4" fillId="22" borderId="7" xfId="0" applyNumberFormat="1" applyFont="1" applyFill="1" applyBorder="1" applyAlignment="1" applyProtection="1">
      <alignment horizontal="left" vertical="center"/>
      <protection hidden="1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/>
    <xf numFmtId="0" fontId="4" fillId="0" borderId="0" xfId="0" applyFont="1" applyAlignment="1">
      <alignment horizontal="right"/>
    </xf>
    <xf numFmtId="2" fontId="9" fillId="0" borderId="0" xfId="0" applyNumberFormat="1" applyFont="1" applyAlignment="1"/>
    <xf numFmtId="0" fontId="4" fillId="47" borderId="0" xfId="0" applyFont="1" applyFill="1" applyAlignment="1"/>
    <xf numFmtId="0" fontId="4" fillId="0" borderId="22" xfId="0" applyFont="1" applyBorder="1" applyAlignment="1"/>
    <xf numFmtId="0" fontId="4" fillId="0" borderId="22" xfId="0" applyFont="1" applyBorder="1" applyAlignment="1"/>
    <xf numFmtId="1" fontId="5" fillId="0" borderId="22" xfId="0" applyNumberFormat="1" applyFont="1" applyBorder="1" applyAlignment="1">
      <alignment horizontal="left"/>
    </xf>
    <xf numFmtId="0" fontId="4" fillId="0" borderId="23" xfId="0" applyFont="1" applyBorder="1" applyAlignment="1">
      <alignment horizontal="center"/>
    </xf>
    <xf numFmtId="2" fontId="4" fillId="0" borderId="24" xfId="0" applyNumberFormat="1" applyFont="1" applyBorder="1" applyAlignment="1"/>
    <xf numFmtId="2" fontId="4" fillId="0" borderId="24" xfId="0" applyNumberFormat="1" applyFont="1" applyBorder="1" applyAlignment="1">
      <alignment horizontal="right"/>
    </xf>
    <xf numFmtId="2" fontId="9" fillId="0" borderId="24" xfId="0" applyNumberFormat="1" applyFont="1" applyBorder="1" applyAlignment="1"/>
    <xf numFmtId="0" fontId="4" fillId="47" borderId="25" xfId="0" applyFont="1" applyFill="1" applyBorder="1" applyAlignment="1"/>
    <xf numFmtId="0" fontId="4" fillId="0" borderId="23" xfId="0" applyFont="1" applyBorder="1" applyAlignment="1"/>
    <xf numFmtId="2" fontId="4" fillId="0" borderId="22" xfId="0" applyNumberFormat="1" applyFont="1" applyBorder="1" applyAlignment="1">
      <alignment horizontal="right"/>
    </xf>
    <xf numFmtId="2" fontId="9" fillId="0" borderId="22" xfId="0" applyNumberFormat="1" applyFont="1" applyBorder="1" applyAlignment="1">
      <alignment horizontal="right"/>
    </xf>
    <xf numFmtId="0" fontId="4" fillId="0" borderId="22" xfId="0" applyFont="1" applyBorder="1" applyAlignment="1">
      <alignment horizontal="center"/>
    </xf>
    <xf numFmtId="2" fontId="4" fillId="0" borderId="26" xfId="0" applyNumberFormat="1" applyFont="1" applyBorder="1" applyAlignment="1"/>
    <xf numFmtId="0" fontId="9" fillId="0" borderId="26" xfId="0" applyFont="1" applyBorder="1" applyAlignment="1">
      <alignment horizontal="right"/>
    </xf>
    <xf numFmtId="2" fontId="9" fillId="0" borderId="26" xfId="0" applyNumberFormat="1" applyFont="1" applyBorder="1" applyAlignment="1"/>
    <xf numFmtId="0" fontId="4" fillId="47" borderId="22" xfId="0" applyFont="1" applyFill="1" applyBorder="1" applyAlignment="1"/>
    <xf numFmtId="0" fontId="6" fillId="0" borderId="22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2" fontId="6" fillId="0" borderId="24" xfId="0" applyNumberFormat="1" applyFont="1" applyBorder="1" applyAlignment="1"/>
    <xf numFmtId="0" fontId="6" fillId="0" borderId="24" xfId="0" applyFont="1" applyBorder="1" applyAlignment="1">
      <alignment horizontal="right"/>
    </xf>
    <xf numFmtId="2" fontId="6" fillId="0" borderId="24" xfId="0" applyNumberFormat="1" applyFont="1" applyBorder="1" applyAlignment="1">
      <alignment horizontal="center"/>
    </xf>
    <xf numFmtId="0" fontId="4" fillId="0" borderId="24" xfId="0" applyFont="1" applyBorder="1" applyAlignment="1"/>
    <xf numFmtId="0" fontId="4" fillId="0" borderId="27" xfId="0" applyFont="1" applyBorder="1" applyAlignment="1"/>
    <xf numFmtId="0" fontId="4" fillId="0" borderId="27" xfId="0" applyFont="1" applyBorder="1" applyAlignment="1">
      <alignment horizontal="center" vertical="center"/>
    </xf>
    <xf numFmtId="0" fontId="4" fillId="47" borderId="28" xfId="0" applyFont="1" applyFill="1" applyBorder="1" applyAlignment="1"/>
    <xf numFmtId="0" fontId="4" fillId="0" borderId="25" xfId="0" applyFont="1" applyBorder="1" applyAlignment="1"/>
    <xf numFmtId="2" fontId="51" fillId="0" borderId="22" xfId="0" applyNumberFormat="1" applyFont="1" applyBorder="1" applyAlignment="1" applyProtection="1">
      <alignment horizontal="center"/>
      <protection hidden="1"/>
    </xf>
    <xf numFmtId="2" fontId="8" fillId="0" borderId="22" xfId="0" applyNumberFormat="1" applyFont="1" applyBorder="1" applyAlignment="1" applyProtection="1">
      <alignment vertical="center"/>
      <protection hidden="1"/>
    </xf>
    <xf numFmtId="2" fontId="4" fillId="47" borderId="23" xfId="0" applyNumberFormat="1" applyFont="1" applyFill="1" applyBorder="1" applyAlignment="1"/>
    <xf numFmtId="0" fontId="4" fillId="0" borderId="0" xfId="0" applyFont="1" applyBorder="1" applyAlignment="1"/>
    <xf numFmtId="0" fontId="4" fillId="0" borderId="26" xfId="0" applyFont="1" applyBorder="1" applyAlignment="1">
      <alignment horizontal="center" vertical="center"/>
    </xf>
    <xf numFmtId="0" fontId="5" fillId="0" borderId="29" xfId="0" applyFont="1" applyBorder="1" applyAlignment="1">
      <alignment horizontal="left"/>
    </xf>
    <xf numFmtId="2" fontId="8" fillId="0" borderId="29" xfId="0" applyNumberFormat="1" applyFont="1" applyBorder="1" applyAlignment="1" applyProtection="1">
      <alignment horizontal="center"/>
      <protection hidden="1"/>
    </xf>
    <xf numFmtId="2" fontId="4" fillId="47" borderId="30" xfId="0" applyNumberFormat="1" applyFont="1" applyFill="1" applyBorder="1" applyAlignment="1"/>
    <xf numFmtId="0" fontId="4" fillId="11" borderId="1" xfId="0" applyFont="1" applyFill="1" applyBorder="1" applyAlignment="1"/>
    <xf numFmtId="0" fontId="4" fillId="0" borderId="23" xfId="0" applyFont="1" applyBorder="1" applyAlignment="1">
      <alignment horizontal="center" vertical="center"/>
    </xf>
    <xf numFmtId="2" fontId="4" fillId="4" borderId="2" xfId="0" applyNumberFormat="1" applyFont="1" applyFill="1" applyBorder="1" applyAlignment="1" applyProtection="1">
      <protection hidden="1"/>
    </xf>
    <xf numFmtId="0" fontId="4" fillId="47" borderId="1" xfId="0" applyFont="1" applyFill="1" applyBorder="1" applyAlignment="1"/>
    <xf numFmtId="2" fontId="9" fillId="0" borderId="1" xfId="0" applyNumberFormat="1" applyFont="1" applyBorder="1" applyAlignment="1" applyProtection="1">
      <alignment vertical="top"/>
      <protection hidden="1"/>
    </xf>
    <xf numFmtId="0" fontId="6" fillId="0" borderId="1" xfId="0" applyFont="1" applyBorder="1" applyAlignment="1">
      <alignment horizontal="right" vertical="center"/>
    </xf>
    <xf numFmtId="0" fontId="6" fillId="0" borderId="2" xfId="0" applyFont="1" applyBorder="1" applyAlignment="1">
      <alignment horizontal="right" vertical="center"/>
    </xf>
    <xf numFmtId="165" fontId="5" fillId="0" borderId="29" xfId="0" applyNumberFormat="1" applyFont="1" applyBorder="1" applyAlignment="1" applyProtection="1">
      <alignment horizontal="left"/>
      <protection hidden="1"/>
    </xf>
    <xf numFmtId="2" fontId="4" fillId="47" borderId="31" xfId="0" applyNumberFormat="1" applyFont="1" applyFill="1" applyBorder="1" applyAlignment="1"/>
    <xf numFmtId="0" fontId="4" fillId="0" borderId="26" xfId="0" applyFont="1" applyBorder="1" applyAlignment="1"/>
    <xf numFmtId="0" fontId="4" fillId="0" borderId="32" xfId="0" applyFont="1" applyBorder="1" applyAlignment="1"/>
    <xf numFmtId="0" fontId="4" fillId="0" borderId="22" xfId="0" applyFont="1" applyBorder="1" applyAlignment="1">
      <alignment horizontal="center" vertical="center"/>
    </xf>
    <xf numFmtId="0" fontId="4" fillId="0" borderId="25" xfId="0" applyFont="1" applyBorder="1" applyAlignment="1"/>
    <xf numFmtId="0" fontId="4" fillId="0" borderId="23" xfId="0" applyFont="1" applyBorder="1" applyAlignment="1"/>
    <xf numFmtId="2" fontId="51" fillId="0" borderId="26" xfId="0" applyNumberFormat="1" applyFont="1" applyBorder="1" applyAlignment="1" applyProtection="1">
      <alignment horizontal="center"/>
      <protection hidden="1"/>
    </xf>
    <xf numFmtId="2" fontId="8" fillId="0" borderId="26" xfId="0" applyNumberFormat="1" applyFont="1" applyBorder="1" applyAlignment="1" applyProtection="1">
      <alignment vertical="center"/>
      <protection hidden="1"/>
    </xf>
    <xf numFmtId="2" fontId="4" fillId="47" borderId="33" xfId="0" applyNumberFormat="1" applyFont="1" applyFill="1" applyBorder="1" applyAlignment="1"/>
    <xf numFmtId="0" fontId="5" fillId="0" borderId="24" xfId="0" applyFont="1" applyBorder="1" applyAlignment="1">
      <alignment horizontal="left"/>
    </xf>
    <xf numFmtId="2" fontId="8" fillId="0" borderId="24" xfId="0" applyNumberFormat="1" applyFont="1" applyBorder="1" applyAlignment="1" applyProtection="1">
      <alignment horizontal="center"/>
      <protection hidden="1"/>
    </xf>
    <xf numFmtId="0" fontId="4" fillId="0" borderId="24" xfId="0" applyFont="1" applyBorder="1" applyAlignment="1"/>
    <xf numFmtId="0" fontId="4" fillId="0" borderId="27" xfId="0" applyFont="1" applyBorder="1" applyAlignment="1"/>
    <xf numFmtId="0" fontId="4" fillId="0" borderId="24" xfId="0" applyFont="1" applyBorder="1" applyAlignment="1">
      <alignment horizontal="left"/>
    </xf>
    <xf numFmtId="0" fontId="4" fillId="0" borderId="1" xfId="0" applyFont="1" applyBorder="1" applyAlignment="1" applyProtection="1">
      <alignment horizontal="center"/>
      <protection hidden="1"/>
    </xf>
    <xf numFmtId="0" fontId="4" fillId="0" borderId="28" xfId="0" applyFont="1" applyBorder="1" applyAlignment="1"/>
    <xf numFmtId="165" fontId="51" fillId="0" borderId="26" xfId="0" applyNumberFormat="1" applyFont="1" applyBorder="1" applyAlignment="1" applyProtection="1">
      <alignment horizontal="center"/>
      <protection hidden="1"/>
    </xf>
    <xf numFmtId="2" fontId="8" fillId="0" borderId="26" xfId="0" applyNumberFormat="1" applyFont="1" applyBorder="1" applyAlignment="1">
      <alignment horizontal="center" vertical="center"/>
    </xf>
    <xf numFmtId="2" fontId="7" fillId="0" borderId="24" xfId="0" applyNumberFormat="1" applyFont="1" applyBorder="1" applyAlignment="1" applyProtection="1">
      <alignment vertical="center"/>
      <protection hidden="1"/>
    </xf>
    <xf numFmtId="165" fontId="4" fillId="0" borderId="1" xfId="0" applyNumberFormat="1" applyFont="1" applyBorder="1" applyAlignment="1" applyProtection="1">
      <alignment horizontal="center"/>
      <protection hidden="1"/>
    </xf>
    <xf numFmtId="2" fontId="8" fillId="0" borderId="29" xfId="0" applyNumberFormat="1" applyFont="1" applyBorder="1" applyAlignment="1" applyProtection="1">
      <protection hidden="1"/>
    </xf>
    <xf numFmtId="0" fontId="4" fillId="0" borderId="26" xfId="0" applyFont="1" applyBorder="1" applyAlignment="1"/>
    <xf numFmtId="0" fontId="4" fillId="0" borderId="32" xfId="0" applyFont="1" applyBorder="1" applyAlignment="1"/>
    <xf numFmtId="1" fontId="4" fillId="0" borderId="1" xfId="0" applyNumberFormat="1" applyFont="1" applyBorder="1" applyAlignment="1" applyProtection="1">
      <alignment horizontal="right"/>
      <protection hidden="1"/>
    </xf>
    <xf numFmtId="0" fontId="58" fillId="0" borderId="0" xfId="0" applyFont="1" applyBorder="1" applyAlignment="1">
      <alignment horizontal="center" vertical="center"/>
    </xf>
    <xf numFmtId="2" fontId="8" fillId="0" borderId="0" xfId="0" applyNumberFormat="1" applyFont="1" applyBorder="1" applyAlignment="1" applyProtection="1">
      <protection hidden="1"/>
    </xf>
    <xf numFmtId="0" fontId="5" fillId="0" borderId="0" xfId="0" applyFont="1" applyBorder="1" applyAlignment="1">
      <alignment horizontal="left"/>
    </xf>
    <xf numFmtId="2" fontId="9" fillId="0" borderId="1" xfId="0" applyNumberFormat="1" applyFont="1" applyBorder="1" applyAlignment="1">
      <alignment horizontal="left" vertical="center"/>
    </xf>
    <xf numFmtId="2" fontId="9" fillId="0" borderId="1" xfId="0" applyNumberFormat="1" applyFont="1" applyBorder="1" applyAlignment="1">
      <alignment vertical="center"/>
    </xf>
    <xf numFmtId="2" fontId="6" fillId="0" borderId="0" xfId="0" applyNumberFormat="1" applyFont="1" applyBorder="1" applyAlignment="1">
      <alignment horizontal="left" vertical="center"/>
    </xf>
    <xf numFmtId="2" fontId="7" fillId="0" borderId="26" xfId="0" applyNumberFormat="1" applyFont="1" applyBorder="1" applyAlignment="1" applyProtection="1">
      <alignment vertical="center"/>
      <protection hidden="1"/>
    </xf>
    <xf numFmtId="165" fontId="5" fillId="0" borderId="24" xfId="0" applyNumberFormat="1" applyFont="1" applyBorder="1" applyAlignment="1" applyProtection="1">
      <alignment horizontal="left"/>
      <protection hidden="1"/>
    </xf>
    <xf numFmtId="2" fontId="8" fillId="0" borderId="24" xfId="0" applyNumberFormat="1" applyFont="1" applyBorder="1" applyAlignment="1" applyProtection="1">
      <protection hidden="1"/>
    </xf>
    <xf numFmtId="1" fontId="4" fillId="0" borderId="1" xfId="0" applyNumberFormat="1" applyFont="1" applyBorder="1" applyAlignment="1"/>
    <xf numFmtId="2" fontId="9" fillId="0" borderId="2" xfId="0" applyNumberFormat="1" applyFont="1" applyBorder="1" applyAlignment="1" applyProtection="1">
      <alignment horizontal="right"/>
      <protection hidden="1"/>
    </xf>
    <xf numFmtId="2" fontId="9" fillId="0" borderId="2" xfId="0" applyNumberFormat="1" applyFont="1" applyBorder="1" applyAlignment="1" applyProtection="1">
      <protection hidden="1"/>
    </xf>
    <xf numFmtId="2" fontId="8" fillId="0" borderId="30" xfId="0" applyNumberFormat="1" applyFont="1" applyBorder="1" applyAlignment="1" applyProtection="1">
      <protection hidden="1"/>
    </xf>
    <xf numFmtId="0" fontId="4" fillId="0" borderId="33" xfId="0" applyFont="1" applyBorder="1" applyAlignment="1"/>
    <xf numFmtId="165" fontId="51" fillId="0" borderId="26" xfId="0" applyNumberFormat="1" applyFont="1" applyBorder="1" applyAlignment="1" applyProtection="1">
      <alignment horizontal="right"/>
      <protection hidden="1"/>
    </xf>
    <xf numFmtId="165" fontId="5" fillId="0" borderId="24" xfId="0" applyNumberFormat="1" applyFont="1" applyBorder="1" applyAlignment="1" applyProtection="1">
      <alignment horizontal="right"/>
      <protection hidden="1"/>
    </xf>
    <xf numFmtId="0" fontId="4" fillId="47" borderId="34" xfId="0" applyFont="1" applyFill="1" applyBorder="1" applyAlignment="1"/>
    <xf numFmtId="165" fontId="5" fillId="0" borderId="29" xfId="0" applyNumberFormat="1" applyFont="1" applyBorder="1" applyAlignment="1" applyProtection="1">
      <alignment horizontal="right"/>
      <protection hidden="1"/>
    </xf>
    <xf numFmtId="2" fontId="22" fillId="0" borderId="0" xfId="0" applyNumberFormat="1" applyFont="1" applyBorder="1" applyAlignment="1"/>
    <xf numFmtId="0" fontId="8" fillId="0" borderId="25" xfId="0" applyFont="1" applyBorder="1" applyAlignment="1"/>
    <xf numFmtId="2" fontId="22" fillId="4" borderId="0" xfId="0" applyNumberFormat="1" applyFont="1" applyFill="1" applyBorder="1" applyAlignment="1" applyProtection="1">
      <protection hidden="1"/>
    </xf>
    <xf numFmtId="2" fontId="22" fillId="0" borderId="11" xfId="0" applyNumberFormat="1" applyFont="1" applyBorder="1" applyAlignment="1"/>
    <xf numFmtId="0" fontId="8" fillId="0" borderId="22" xfId="0" applyFont="1" applyBorder="1" applyAlignment="1"/>
    <xf numFmtId="2" fontId="22" fillId="0" borderId="0" xfId="0" applyNumberFormat="1" applyFont="1" applyBorder="1" applyAlignment="1" applyProtection="1">
      <protection hidden="1"/>
    </xf>
    <xf numFmtId="0" fontId="8" fillId="0" borderId="0" xfId="0" applyFont="1" applyBorder="1" applyAlignment="1"/>
    <xf numFmtId="0" fontId="6" fillId="0" borderId="0" xfId="0" applyFont="1" applyBorder="1" applyAlignment="1">
      <alignment horizontal="right" vertical="center"/>
    </xf>
    <xf numFmtId="2" fontId="22" fillId="4" borderId="0" xfId="0" applyNumberFormat="1" applyFont="1" applyFill="1" applyBorder="1" applyAlignment="1"/>
    <xf numFmtId="2" fontId="8" fillId="4" borderId="0" xfId="0" applyNumberFormat="1" applyFont="1" applyFill="1" applyBorder="1" applyAlignment="1" applyProtection="1">
      <alignment horizontal="left" vertical="center"/>
      <protection hidden="1"/>
    </xf>
    <xf numFmtId="2" fontId="8" fillId="4" borderId="0" xfId="0" applyNumberFormat="1" applyFont="1" applyFill="1" applyBorder="1" applyAlignment="1" applyProtection="1">
      <alignment horizontal="left"/>
      <protection hidden="1"/>
    </xf>
    <xf numFmtId="165" fontId="4" fillId="0" borderId="0" xfId="0" applyNumberFormat="1" applyFont="1" applyBorder="1" applyAlignment="1" applyProtection="1">
      <protection hidden="1"/>
    </xf>
    <xf numFmtId="2" fontId="8" fillId="0" borderId="0" xfId="0" applyNumberFormat="1" applyFont="1" applyBorder="1" applyAlignment="1" applyProtection="1">
      <alignment horizontal="right"/>
      <protection hidden="1"/>
    </xf>
    <xf numFmtId="2" fontId="0" fillId="4" borderId="0" xfId="0" applyNumberFormat="1" applyFont="1" applyFill="1" applyAlignment="1" applyProtection="1">
      <protection hidden="1"/>
    </xf>
    <xf numFmtId="2" fontId="9" fillId="0" borderId="0" xfId="0" applyNumberFormat="1" applyFont="1" applyBorder="1" applyAlignment="1" applyProtection="1">
      <alignment horizontal="right"/>
      <protection hidden="1"/>
    </xf>
    <xf numFmtId="2" fontId="4" fillId="47" borderId="1" xfId="0" applyNumberFormat="1" applyFont="1" applyFill="1" applyBorder="1" applyAlignment="1"/>
    <xf numFmtId="0" fontId="8" fillId="4" borderId="25" xfId="0" applyFont="1" applyFill="1" applyBorder="1" applyAlignment="1"/>
    <xf numFmtId="0" fontId="8" fillId="4" borderId="22" xfId="0" applyFont="1" applyFill="1" applyBorder="1" applyAlignment="1"/>
    <xf numFmtId="0" fontId="8" fillId="4" borderId="0" xfId="0" applyFont="1" applyFill="1" applyBorder="1" applyAlignment="1"/>
    <xf numFmtId="2" fontId="4" fillId="47" borderId="0" xfId="0" applyNumberFormat="1" applyFont="1" applyFill="1" applyBorder="1" applyAlignment="1"/>
    <xf numFmtId="0" fontId="58" fillId="0" borderId="33" xfId="0" applyFont="1" applyBorder="1" applyAlignment="1">
      <alignment horizontal="center" vertical="center"/>
    </xf>
    <xf numFmtId="2" fontId="8" fillId="0" borderId="26" xfId="0" applyNumberFormat="1" applyFont="1" applyBorder="1" applyAlignment="1" applyProtection="1">
      <protection hidden="1"/>
    </xf>
    <xf numFmtId="2" fontId="6" fillId="0" borderId="8" xfId="0" applyNumberFormat="1" applyFont="1" applyBorder="1" applyAlignment="1">
      <alignment horizontal="right" vertical="center"/>
    </xf>
    <xf numFmtId="165" fontId="4" fillId="0" borderId="29" xfId="0" applyNumberFormat="1" applyFont="1" applyBorder="1" applyAlignment="1" applyProtection="1">
      <alignment horizontal="left"/>
      <protection hidden="1"/>
    </xf>
    <xf numFmtId="2" fontId="9" fillId="0" borderId="8" xfId="0" applyNumberFormat="1" applyFont="1" applyBorder="1" applyAlignment="1">
      <alignment horizontal="right" vertical="center"/>
    </xf>
    <xf numFmtId="0" fontId="58" fillId="0" borderId="0" xfId="0" applyFont="1" applyBorder="1" applyAlignment="1">
      <alignment horizontal="right" vertical="center"/>
    </xf>
    <xf numFmtId="2" fontId="8" fillId="4" borderId="0" xfId="0" applyNumberFormat="1" applyFont="1" applyFill="1" applyBorder="1" applyAlignment="1" applyProtection="1">
      <alignment horizontal="right"/>
      <protection hidden="1"/>
    </xf>
    <xf numFmtId="2" fontId="4" fillId="47" borderId="25" xfId="0" applyNumberFormat="1" applyFont="1" applyFill="1" applyBorder="1" applyAlignment="1"/>
    <xf numFmtId="0" fontId="9" fillId="0" borderId="1" xfId="0" applyFont="1" applyBorder="1" applyAlignment="1">
      <alignment horizontal="center" vertical="center"/>
    </xf>
    <xf numFmtId="2" fontId="4" fillId="0" borderId="1" xfId="2" applyNumberFormat="1" applyFont="1" applyBorder="1" applyAlignment="1">
      <alignment horizontal="left" vertical="center"/>
    </xf>
    <xf numFmtId="2" fontId="4" fillId="0" borderId="1" xfId="2" applyNumberFormat="1" applyFont="1" applyBorder="1" applyAlignment="1">
      <alignment horizontal="center" vertical="center"/>
    </xf>
    <xf numFmtId="2" fontId="4" fillId="0" borderId="1" xfId="2" applyNumberFormat="1" applyFont="1" applyBorder="1" applyAlignment="1">
      <alignment horizontal="right" vertical="center"/>
    </xf>
    <xf numFmtId="2" fontId="9" fillId="0" borderId="1" xfId="2" applyNumberFormat="1" applyFont="1" applyBorder="1" applyAlignment="1">
      <alignment horizontal="right"/>
    </xf>
    <xf numFmtId="165" fontId="51" fillId="0" borderId="0" xfId="0" applyNumberFormat="1" applyFont="1" applyBorder="1" applyAlignment="1" applyProtection="1">
      <alignment horizontal="right"/>
      <protection hidden="1"/>
    </xf>
    <xf numFmtId="165" fontId="5" fillId="0" borderId="27" xfId="0" applyNumberFormat="1" applyFont="1" applyBorder="1" applyAlignment="1" applyProtection="1">
      <alignment horizontal="left"/>
      <protection hidden="1"/>
    </xf>
    <xf numFmtId="2" fontId="8" fillId="0" borderId="24" xfId="0" applyNumberFormat="1" applyFont="1" applyBorder="1" applyAlignment="1" applyProtection="1">
      <protection hidden="1"/>
    </xf>
    <xf numFmtId="165" fontId="5" fillId="0" borderId="0" xfId="0" applyNumberFormat="1" applyFont="1" applyBorder="1" applyAlignment="1" applyProtection="1">
      <alignment horizontal="left"/>
      <protection hidden="1"/>
    </xf>
    <xf numFmtId="165" fontId="58" fillId="0" borderId="26" xfId="0" applyNumberFormat="1" applyFont="1" applyBorder="1" applyAlignment="1" applyProtection="1">
      <alignment horizontal="center"/>
      <protection hidden="1"/>
    </xf>
    <xf numFmtId="165" fontId="58" fillId="0" borderId="26" xfId="0" applyNumberFormat="1" applyFont="1" applyBorder="1" applyAlignment="1" applyProtection="1">
      <alignment horizontal="right"/>
      <protection hidden="1"/>
    </xf>
    <xf numFmtId="165" fontId="9" fillId="0" borderId="1" xfId="0" applyNumberFormat="1" applyFont="1" applyBorder="1" applyAlignment="1" applyProtection="1">
      <alignment horizontal="center" vertical="center"/>
      <protection hidden="1"/>
    </xf>
    <xf numFmtId="165" fontId="9" fillId="0" borderId="1" xfId="0" applyNumberFormat="1" applyFont="1" applyBorder="1" applyAlignment="1" applyProtection="1">
      <alignment horizontal="right" vertical="center"/>
      <protection hidden="1"/>
    </xf>
    <xf numFmtId="0" fontId="51" fillId="0" borderId="26" xfId="0" applyFont="1" applyBorder="1" applyAlignment="1">
      <alignment horizontal="center"/>
    </xf>
    <xf numFmtId="0" fontId="51" fillId="0" borderId="26" xfId="0" applyFont="1" applyBorder="1" applyAlignment="1">
      <alignment horizontal="right"/>
    </xf>
    <xf numFmtId="2" fontId="8" fillId="0" borderId="26" xfId="0" applyNumberFormat="1" applyFont="1" applyBorder="1" applyAlignment="1"/>
    <xf numFmtId="165" fontId="6" fillId="0" borderId="29" xfId="0" applyNumberFormat="1" applyFont="1" applyBorder="1" applyAlignment="1" applyProtection="1">
      <alignment horizontal="right"/>
      <protection hidden="1"/>
    </xf>
    <xf numFmtId="165" fontId="6" fillId="0" borderId="0" xfId="0" applyNumberFormat="1" applyFont="1" applyBorder="1" applyAlignment="1" applyProtection="1">
      <alignment horizontal="right"/>
      <protection hidden="1"/>
    </xf>
    <xf numFmtId="0" fontId="6" fillId="0" borderId="1" xfId="0" applyFont="1" applyBorder="1" applyAlignment="1">
      <alignment horizontal="left" vertical="center"/>
    </xf>
    <xf numFmtId="2" fontId="8" fillId="0" borderId="1" xfId="0" applyNumberFormat="1" applyFont="1" applyBorder="1" applyAlignment="1" applyProtection="1">
      <alignment horizontal="right"/>
      <protection hidden="1"/>
    </xf>
    <xf numFmtId="0" fontId="9" fillId="0" borderId="1" xfId="0" applyFont="1" applyBorder="1" applyAlignment="1">
      <alignment horizontal="right" vertical="center"/>
    </xf>
    <xf numFmtId="2" fontId="4" fillId="4" borderId="0" xfId="0" applyNumberFormat="1" applyFont="1" applyFill="1" applyBorder="1" applyAlignment="1"/>
    <xf numFmtId="2" fontId="8" fillId="0" borderId="1" xfId="0" applyNumberFormat="1" applyFont="1" applyBorder="1" applyAlignment="1" applyProtection="1">
      <protection hidden="1"/>
    </xf>
    <xf numFmtId="0" fontId="4" fillId="0" borderId="29" xfId="0" applyFont="1" applyBorder="1" applyAlignment="1"/>
    <xf numFmtId="0" fontId="4" fillId="0" borderId="30" xfId="0" applyFont="1" applyBorder="1" applyAlignment="1"/>
    <xf numFmtId="0" fontId="9" fillId="0" borderId="1" xfId="0" applyFont="1" applyBorder="1" applyAlignment="1">
      <alignment horizontal="left" vertical="center"/>
    </xf>
    <xf numFmtId="0" fontId="58" fillId="0" borderId="36" xfId="0" applyFont="1" applyBorder="1" applyAlignment="1">
      <alignment horizontal="center" vertical="center"/>
    </xf>
    <xf numFmtId="2" fontId="8" fillId="0" borderId="24" xfId="0" applyNumberFormat="1" applyFont="1" applyBorder="1" applyProtection="1">
      <protection hidden="1"/>
    </xf>
    <xf numFmtId="2" fontId="4" fillId="0" borderId="1" xfId="0" applyNumberFormat="1" applyFont="1" applyBorder="1" applyAlignment="1" applyProtection="1">
      <alignment horizontal="right" wrapText="1"/>
      <protection hidden="1"/>
    </xf>
    <xf numFmtId="165" fontId="4" fillId="0" borderId="8" xfId="0" applyNumberFormat="1" applyFont="1" applyBorder="1" applyAlignment="1" applyProtection="1">
      <alignment horizontal="center"/>
      <protection hidden="1"/>
    </xf>
    <xf numFmtId="165" fontId="4" fillId="0" borderId="1" xfId="0" applyNumberFormat="1" applyFont="1" applyBorder="1" applyAlignment="1" applyProtection="1">
      <alignment horizontal="left" vertical="center"/>
      <protection hidden="1"/>
    </xf>
    <xf numFmtId="2" fontId="9" fillId="0" borderId="1" xfId="2" applyNumberFormat="1" applyFont="1" applyBorder="1" applyAlignment="1"/>
    <xf numFmtId="165" fontId="4" fillId="5" borderId="1" xfId="0" applyNumberFormat="1" applyFont="1" applyFill="1" applyBorder="1" applyAlignment="1" applyProtection="1">
      <protection hidden="1"/>
    </xf>
    <xf numFmtId="2" fontId="4" fillId="0" borderId="1" xfId="2" applyNumberFormat="1" applyFont="1" applyBorder="1" applyAlignment="1">
      <alignment vertical="center" wrapText="1"/>
    </xf>
    <xf numFmtId="2" fontId="9" fillId="0" borderId="2" xfId="0" applyNumberFormat="1" applyFont="1" applyBorder="1" applyAlignment="1">
      <alignment horizontal="left" vertical="center"/>
    </xf>
    <xf numFmtId="2" fontId="9" fillId="0" borderId="2" xfId="0" applyNumberFormat="1" applyFont="1" applyBorder="1" applyAlignment="1">
      <alignment horizontal="right" vertical="center"/>
    </xf>
    <xf numFmtId="2" fontId="9" fillId="0" borderId="2" xfId="0" applyNumberFormat="1" applyFont="1" applyBorder="1" applyAlignment="1">
      <alignment horizontal="center" vertical="center"/>
    </xf>
    <xf numFmtId="165" fontId="4" fillId="0" borderId="8" xfId="0" applyNumberFormat="1" applyFont="1" applyBorder="1" applyAlignment="1" applyProtection="1">
      <alignment horizontal="right"/>
      <protection hidden="1"/>
    </xf>
    <xf numFmtId="0" fontId="51" fillId="0" borderId="0" xfId="0" applyFont="1" applyBorder="1" applyAlignment="1">
      <alignment horizontal="right"/>
    </xf>
    <xf numFmtId="2" fontId="8" fillId="0" borderId="0" xfId="0" applyNumberFormat="1" applyFont="1" applyAlignment="1"/>
    <xf numFmtId="2" fontId="4" fillId="47" borderId="34" xfId="0" applyNumberFormat="1" applyFont="1" applyFill="1" applyBorder="1" applyAlignment="1"/>
    <xf numFmtId="0" fontId="4" fillId="4" borderId="1" xfId="0" applyFont="1" applyFill="1" applyBorder="1" applyAlignment="1"/>
    <xf numFmtId="2" fontId="4" fillId="0" borderId="1" xfId="2" applyNumberFormat="1" applyFont="1" applyBorder="1" applyAlignment="1">
      <alignment horizontal="center" vertical="center" wrapText="1"/>
    </xf>
    <xf numFmtId="2" fontId="9" fillId="0" borderId="1" xfId="0" applyNumberFormat="1" applyFont="1" applyBorder="1" applyAlignment="1"/>
    <xf numFmtId="0" fontId="51" fillId="0" borderId="0" xfId="0" applyFont="1" applyBorder="1" applyAlignment="1">
      <alignment horizontal="center"/>
    </xf>
    <xf numFmtId="2" fontId="4" fillId="0" borderId="8" xfId="0" applyNumberFormat="1" applyFont="1" applyBorder="1" applyAlignment="1" applyProtection="1">
      <alignment horizontal="right"/>
      <protection hidden="1"/>
    </xf>
    <xf numFmtId="0" fontId="4" fillId="0" borderId="36" xfId="0" applyFont="1" applyBorder="1" applyAlignment="1">
      <alignment horizontal="center"/>
    </xf>
    <xf numFmtId="2" fontId="4" fillId="0" borderId="36" xfId="0" applyNumberFormat="1" applyFont="1" applyBorder="1" applyAlignment="1"/>
    <xf numFmtId="2" fontId="4" fillId="0" borderId="33" xfId="0" applyNumberFormat="1" applyFont="1" applyBorder="1" applyAlignment="1">
      <alignment horizontal="right"/>
    </xf>
    <xf numFmtId="2" fontId="9" fillId="0" borderId="26" xfId="0" applyNumberFormat="1" applyFont="1" applyBorder="1" applyAlignment="1"/>
    <xf numFmtId="0" fontId="4" fillId="0" borderId="25" xfId="0" applyFont="1" applyBorder="1" applyAlignment="1">
      <alignment horizontal="right" vertical="center"/>
    </xf>
    <xf numFmtId="2" fontId="9" fillId="0" borderId="22" xfId="0" applyNumberFormat="1" applyFont="1" applyBorder="1" applyAlignment="1">
      <alignment horizontal="right" vertical="center"/>
    </xf>
    <xf numFmtId="0" fontId="4" fillId="0" borderId="23" xfId="0" applyFont="1" applyBorder="1" applyAlignment="1">
      <alignment horizontal="right" vertical="center"/>
    </xf>
    <xf numFmtId="0" fontId="4" fillId="0" borderId="34" xfId="0" applyFont="1" applyBorder="1" applyAlignment="1">
      <alignment horizontal="center" vertical="center"/>
    </xf>
    <xf numFmtId="2" fontId="4" fillId="0" borderId="34" xfId="0" applyNumberFormat="1" applyFont="1" applyBorder="1" applyAlignment="1">
      <alignment vertical="center"/>
    </xf>
    <xf numFmtId="2" fontId="4" fillId="0" borderId="25" xfId="0" applyNumberFormat="1" applyFont="1" applyBorder="1" applyAlignment="1">
      <alignment horizontal="right" vertical="center"/>
    </xf>
    <xf numFmtId="0" fontId="4" fillId="0" borderId="22" xfId="0" applyFont="1" applyBorder="1" applyAlignment="1">
      <alignment horizontal="center"/>
    </xf>
    <xf numFmtId="2" fontId="4" fillId="0" borderId="22" xfId="0" applyNumberFormat="1" applyFont="1" applyBorder="1" applyAlignment="1"/>
    <xf numFmtId="3" fontId="4" fillId="0" borderId="22" xfId="0" applyNumberFormat="1" applyFont="1" applyBorder="1" applyAlignment="1">
      <alignment horizontal="right"/>
    </xf>
    <xf numFmtId="2" fontId="9" fillId="0" borderId="22" xfId="0" applyNumberFormat="1" applyFont="1" applyBorder="1" applyAlignment="1"/>
    <xf numFmtId="0" fontId="4" fillId="0" borderId="22" xfId="0" applyFont="1" applyBorder="1" applyAlignment="1">
      <alignment horizontal="right"/>
    </xf>
    <xf numFmtId="0" fontId="0" fillId="4" borderId="0" xfId="0" applyFill="1"/>
    <xf numFmtId="0" fontId="0" fillId="4" borderId="0" xfId="0" applyFill="1" applyAlignment="1">
      <alignment horizontal="center"/>
    </xf>
    <xf numFmtId="165" fontId="0" fillId="4" borderId="0" xfId="0" applyNumberFormat="1" applyFill="1" applyAlignment="1">
      <alignment horizontal="center"/>
    </xf>
    <xf numFmtId="2" fontId="0" fillId="4" borderId="0" xfId="0" applyNumberFormat="1" applyFill="1" applyAlignment="1">
      <alignment horizontal="center"/>
    </xf>
    <xf numFmtId="2" fontId="0" fillId="4" borderId="0" xfId="0" applyNumberFormat="1" applyFill="1" applyAlignment="1">
      <alignment horizontal="right"/>
    </xf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165" fontId="0" fillId="4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2" fontId="22" fillId="4" borderId="0" xfId="0" applyNumberFormat="1" applyFont="1" applyFill="1"/>
    <xf numFmtId="2" fontId="22" fillId="4" borderId="1" xfId="0" applyNumberFormat="1" applyFont="1" applyFill="1" applyBorder="1"/>
    <xf numFmtId="0" fontId="0" fillId="4" borderId="1" xfId="0" applyFill="1" applyBorder="1" applyAlignment="1">
      <alignment horizontal="right"/>
    </xf>
    <xf numFmtId="2" fontId="0" fillId="4" borderId="1" xfId="0" applyNumberFormat="1" applyFill="1" applyBorder="1"/>
    <xf numFmtId="2" fontId="22" fillId="4" borderId="0" xfId="0" applyNumberFormat="1" applyFont="1" applyFill="1" applyAlignment="1">
      <alignment horizontal="center"/>
    </xf>
    <xf numFmtId="2" fontId="22" fillId="4" borderId="1" xfId="0" applyNumberFormat="1" applyFont="1" applyFill="1" applyBorder="1" applyAlignment="1">
      <alignment horizontal="center"/>
    </xf>
    <xf numFmtId="2" fontId="0" fillId="4" borderId="0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0" fontId="0" fillId="4" borderId="0" xfId="0" applyFill="1" applyBorder="1" applyAlignment="1"/>
    <xf numFmtId="2" fontId="0" fillId="4" borderId="1" xfId="0" applyNumberFormat="1" applyFill="1" applyBorder="1" applyAlignment="1">
      <alignment horizontal="left"/>
    </xf>
    <xf numFmtId="2" fontId="22" fillId="4" borderId="11" xfId="0" applyNumberFormat="1" applyFont="1" applyFill="1" applyBorder="1"/>
    <xf numFmtId="0" fontId="0" fillId="4" borderId="2" xfId="0" applyFill="1" applyBorder="1" applyAlignment="1"/>
    <xf numFmtId="0" fontId="0" fillId="4" borderId="2" xfId="0" applyFill="1" applyBorder="1" applyAlignment="1">
      <alignment horizontal="center"/>
    </xf>
    <xf numFmtId="0" fontId="0" fillId="4" borderId="1" xfId="0" applyFill="1" applyBorder="1" applyAlignment="1"/>
    <xf numFmtId="0" fontId="0" fillId="4" borderId="0" xfId="0" applyFill="1" applyBorder="1"/>
    <xf numFmtId="2" fontId="0" fillId="4" borderId="0" xfId="0" applyNumberFormat="1" applyFill="1"/>
    <xf numFmtId="2" fontId="22" fillId="0" borderId="0" xfId="0" applyNumberFormat="1" applyFont="1"/>
    <xf numFmtId="0" fontId="0" fillId="0" borderId="0" xfId="0" applyBorder="1" applyAlignment="1">
      <alignment horizontal="right"/>
    </xf>
    <xf numFmtId="2" fontId="0" fillId="0" borderId="0" xfId="0" applyNumberFormat="1" applyBorder="1"/>
    <xf numFmtId="2" fontId="22" fillId="0" borderId="1" xfId="0" applyNumberFormat="1" applyFont="1" applyBorder="1"/>
    <xf numFmtId="2" fontId="8" fillId="3" borderId="1" xfId="0" applyNumberFormat="1" applyFont="1" applyFill="1" applyBorder="1" applyAlignment="1">
      <alignment horizontal="right" vertical="center" wrapText="1"/>
    </xf>
    <xf numFmtId="0" fontId="7" fillId="3" borderId="5" xfId="0" applyFont="1" applyFill="1" applyBorder="1" applyAlignment="1">
      <alignment horizontal="left"/>
    </xf>
    <xf numFmtId="0" fontId="7" fillId="3" borderId="7" xfId="0" applyFont="1" applyFill="1" applyBorder="1" applyAlignment="1">
      <alignment horizontal="left"/>
    </xf>
    <xf numFmtId="0" fontId="4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wrapText="1"/>
    </xf>
    <xf numFmtId="0" fontId="0" fillId="5" borderId="1" xfId="0" applyFont="1" applyFill="1" applyBorder="1" applyAlignment="1">
      <alignment horizontal="left" wrapText="1"/>
    </xf>
    <xf numFmtId="0" fontId="4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center"/>
    </xf>
    <xf numFmtId="0" fontId="7" fillId="3" borderId="10" xfId="0" applyFont="1" applyFill="1" applyBorder="1" applyAlignment="1">
      <alignment horizontal="left"/>
    </xf>
    <xf numFmtId="0" fontId="7" fillId="3" borderId="11" xfId="0" applyFont="1" applyFill="1" applyBorder="1" applyAlignment="1">
      <alignment horizontal="left"/>
    </xf>
    <xf numFmtId="2" fontId="7" fillId="3" borderId="11" xfId="3" applyNumberFormat="1" applyFont="1" applyFill="1" applyBorder="1" applyAlignment="1" applyProtection="1">
      <alignment horizontal="left"/>
      <protection hidden="1"/>
    </xf>
    <xf numFmtId="0" fontId="7" fillId="3" borderId="8" xfId="0" applyFont="1" applyFill="1" applyBorder="1" applyAlignment="1">
      <alignment horizontal="left"/>
    </xf>
    <xf numFmtId="0" fontId="4" fillId="8" borderId="1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left" vertical="center"/>
    </xf>
    <xf numFmtId="0" fontId="7" fillId="3" borderId="10" xfId="0" applyFont="1" applyFill="1" applyBorder="1" applyAlignment="1" applyProtection="1">
      <alignment horizontal="left" vertical="center" wrapText="1" readingOrder="1"/>
      <protection locked="0"/>
    </xf>
    <xf numFmtId="0" fontId="7" fillId="3" borderId="11" xfId="0" applyFont="1" applyFill="1" applyBorder="1" applyAlignment="1">
      <alignment horizontal="left" vertical="center"/>
    </xf>
    <xf numFmtId="0" fontId="9" fillId="5" borderId="1" xfId="0" applyFont="1" applyFill="1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/>
    </xf>
    <xf numFmtId="2" fontId="7" fillId="3" borderId="0" xfId="0" applyNumberFormat="1" applyFont="1" applyFill="1" applyBorder="1" applyAlignment="1" applyProtection="1">
      <alignment horizontal="left" vertical="center"/>
      <protection hidden="1"/>
    </xf>
    <xf numFmtId="0" fontId="4" fillId="5" borderId="7" xfId="0" applyFont="1" applyFill="1" applyBorder="1" applyAlignment="1">
      <alignment horizontal="left"/>
    </xf>
    <xf numFmtId="0" fontId="8" fillId="3" borderId="0" xfId="0" applyFont="1" applyFill="1" applyBorder="1" applyAlignment="1">
      <alignment horizontal="left" vertical="center"/>
    </xf>
    <xf numFmtId="2" fontId="7" fillId="3" borderId="0" xfId="0" applyNumberFormat="1" applyFont="1" applyFill="1" applyBorder="1" applyAlignment="1">
      <alignment horizontal="left" vertical="center"/>
    </xf>
    <xf numFmtId="0" fontId="7" fillId="9" borderId="1" xfId="0" applyFont="1" applyFill="1" applyBorder="1" applyAlignment="1">
      <alignment horizontal="left"/>
    </xf>
    <xf numFmtId="2" fontId="23" fillId="0" borderId="8" xfId="0" applyNumberFormat="1" applyFont="1" applyBorder="1" applyAlignment="1">
      <alignment horizontal="center" vertical="center"/>
    </xf>
    <xf numFmtId="2" fontId="24" fillId="6" borderId="1" xfId="0" applyNumberFormat="1" applyFont="1" applyFill="1" applyBorder="1" applyAlignment="1">
      <alignment horizontal="center" vertical="center"/>
    </xf>
    <xf numFmtId="2" fontId="10" fillId="5" borderId="1" xfId="0" applyNumberFormat="1" applyFont="1" applyFill="1" applyBorder="1" applyAlignment="1">
      <alignment horizontal="center" vertical="center"/>
    </xf>
    <xf numFmtId="0" fontId="5" fillId="5" borderId="1" xfId="2" applyFont="1" applyFill="1" applyBorder="1" applyAlignment="1">
      <alignment horizontal="left" vertical="center"/>
    </xf>
    <xf numFmtId="0" fontId="28" fillId="5" borderId="1" xfId="2" applyFont="1" applyFill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2" fontId="31" fillId="6" borderId="8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  <xf numFmtId="2" fontId="4" fillId="5" borderId="1" xfId="0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31" fillId="6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left" vertical="center"/>
    </xf>
    <xf numFmtId="0" fontId="0" fillId="5" borderId="6" xfId="2" applyFont="1" applyFill="1" applyBorder="1" applyAlignment="1">
      <alignment horizontal="center" vertical="center"/>
    </xf>
    <xf numFmtId="0" fontId="0" fillId="5" borderId="1" xfId="2" applyFont="1" applyFill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/>
    </xf>
    <xf numFmtId="2" fontId="31" fillId="6" borderId="1" xfId="0" applyNumberFormat="1" applyFont="1" applyFill="1" applyBorder="1" applyAlignment="1">
      <alignment horizontal="center" vertical="center"/>
    </xf>
    <xf numFmtId="2" fontId="4" fillId="0" borderId="0" xfId="0" applyNumberFormat="1" applyFont="1" applyBorder="1" applyAlignment="1">
      <alignment horizontal="center" vertical="center"/>
    </xf>
    <xf numFmtId="0" fontId="22" fillId="6" borderId="1" xfId="0" applyFont="1" applyFill="1" applyBorder="1" applyAlignment="1">
      <alignment horizontal="left" vertical="center"/>
    </xf>
    <xf numFmtId="2" fontId="4" fillId="5" borderId="1" xfId="0" applyNumberFormat="1" applyFont="1" applyFill="1" applyBorder="1" applyAlignment="1" applyProtection="1">
      <alignment horizontal="center" vertical="center"/>
      <protection hidden="1"/>
    </xf>
    <xf numFmtId="2" fontId="8" fillId="6" borderId="1" xfId="0" applyNumberFormat="1" applyFont="1" applyFill="1" applyBorder="1" applyAlignment="1" applyProtection="1">
      <alignment horizontal="left" vertical="center"/>
      <protection hidden="1"/>
    </xf>
    <xf numFmtId="2" fontId="4" fillId="0" borderId="1" xfId="0" applyNumberFormat="1" applyFont="1" applyBorder="1" applyAlignment="1" applyProtection="1">
      <alignment horizontal="center" vertical="center"/>
      <protection hidden="1"/>
    </xf>
    <xf numFmtId="2" fontId="4" fillId="0" borderId="1" xfId="0" applyNumberFormat="1" applyFont="1" applyBorder="1" applyAlignment="1" applyProtection="1">
      <alignment horizontal="left" vertical="center"/>
      <protection hidden="1"/>
    </xf>
    <xf numFmtId="1" fontId="4" fillId="0" borderId="1" xfId="0" applyNumberFormat="1" applyFont="1" applyBorder="1" applyAlignment="1" applyProtection="1">
      <alignment horizontal="center" vertical="center"/>
      <protection hidden="1"/>
    </xf>
    <xf numFmtId="0" fontId="12" fillId="4" borderId="1" xfId="0" applyFont="1" applyFill="1" applyBorder="1" applyAlignment="1">
      <alignment horizontal="center" vertical="center" wrapText="1"/>
    </xf>
    <xf numFmtId="0" fontId="32" fillId="5" borderId="1" xfId="2" applyFont="1" applyFill="1" applyBorder="1" applyAlignment="1">
      <alignment horizontal="center" vertical="center" wrapText="1"/>
    </xf>
    <xf numFmtId="0" fontId="8" fillId="12" borderId="1" xfId="2" applyFont="1" applyFill="1" applyBorder="1" applyAlignment="1">
      <alignment horizontal="center" vertical="center" wrapText="1"/>
    </xf>
    <xf numFmtId="0" fontId="4" fillId="0" borderId="1" xfId="2" applyFont="1" applyBorder="1" applyAlignment="1">
      <alignment horizontal="center" vertical="center"/>
    </xf>
    <xf numFmtId="0" fontId="4" fillId="13" borderId="1" xfId="2" applyFont="1" applyFill="1" applyBorder="1" applyAlignment="1">
      <alignment horizontal="center" vertical="center"/>
    </xf>
    <xf numFmtId="0" fontId="22" fillId="6" borderId="0" xfId="0" applyFont="1" applyFill="1" applyBorder="1" applyAlignment="1">
      <alignment horizontal="center" vertical="center" wrapText="1"/>
    </xf>
    <xf numFmtId="0" fontId="22" fillId="6" borderId="12" xfId="0" applyFont="1" applyFill="1" applyBorder="1" applyAlignment="1">
      <alignment horizontal="center" vertical="center" wrapText="1"/>
    </xf>
    <xf numFmtId="0" fontId="5" fillId="5" borderId="1" xfId="2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2" fontId="4" fillId="5" borderId="1" xfId="2" applyNumberFormat="1" applyFont="1" applyFill="1" applyBorder="1" applyAlignment="1">
      <alignment horizontal="center" vertical="center" wrapText="1"/>
    </xf>
    <xf numFmtId="0" fontId="0" fillId="5" borderId="10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33" fillId="5" borderId="1" xfId="2" applyFont="1" applyFill="1" applyBorder="1" applyAlignment="1">
      <alignment horizontal="left" vertical="center"/>
    </xf>
    <xf numFmtId="0" fontId="33" fillId="5" borderId="1" xfId="2" applyFont="1" applyFill="1" applyBorder="1" applyAlignment="1">
      <alignment horizontal="center" vertical="center"/>
    </xf>
    <xf numFmtId="0" fontId="32" fillId="5" borderId="1" xfId="2" applyFont="1" applyFill="1" applyBorder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/>
    </xf>
    <xf numFmtId="0" fontId="0" fillId="0" borderId="0" xfId="2" applyFont="1" applyBorder="1" applyAlignment="1">
      <alignment horizontal="center" vertical="center"/>
    </xf>
    <xf numFmtId="2" fontId="0" fillId="5" borderId="1" xfId="0" applyNumberFormat="1" applyFont="1" applyFill="1" applyBorder="1" applyAlignment="1">
      <alignment horizontal="center" vertical="center" wrapText="1"/>
    </xf>
    <xf numFmtId="2" fontId="12" fillId="5" borderId="1" xfId="0" applyNumberFormat="1" applyFont="1" applyFill="1" applyBorder="1" applyAlignment="1">
      <alignment horizontal="center" vertical="center"/>
    </xf>
    <xf numFmtId="2" fontId="22" fillId="0" borderId="0" xfId="0" applyNumberFormat="1" applyFont="1" applyBorder="1" applyAlignment="1">
      <alignment horizontal="center" vertical="center"/>
    </xf>
    <xf numFmtId="0" fontId="0" fillId="5" borderId="1" xfId="2" applyFont="1" applyFill="1" applyBorder="1" applyAlignment="1">
      <alignment horizontal="center" vertical="center" wrapText="1"/>
    </xf>
    <xf numFmtId="0" fontId="0" fillId="0" borderId="0" xfId="2" applyFont="1" applyBorder="1" applyAlignment="1">
      <alignment horizontal="right" vertical="center"/>
    </xf>
    <xf numFmtId="0" fontId="4" fillId="5" borderId="1" xfId="0" applyFont="1" applyFill="1" applyBorder="1" applyAlignment="1">
      <alignment horizontal="center" vertical="center" wrapText="1"/>
    </xf>
    <xf numFmtId="0" fontId="23" fillId="0" borderId="0" xfId="2" applyFont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0" fontId="37" fillId="14" borderId="1" xfId="0" applyFont="1" applyFill="1" applyBorder="1" applyAlignment="1">
      <alignment horizontal="center" vertical="center"/>
    </xf>
    <xf numFmtId="0" fontId="4" fillId="5" borderId="7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left" vertical="center"/>
    </xf>
    <xf numFmtId="0" fontId="5" fillId="14" borderId="1" xfId="0" applyFont="1" applyFill="1" applyBorder="1" applyAlignment="1">
      <alignment horizontal="left" vertical="center"/>
    </xf>
    <xf numFmtId="1" fontId="4" fillId="0" borderId="0" xfId="0" applyNumberFormat="1" applyFont="1" applyBorder="1" applyAlignment="1">
      <alignment horizontal="center" vertical="center"/>
    </xf>
    <xf numFmtId="2" fontId="8" fillId="6" borderId="5" xfId="0" applyNumberFormat="1" applyFont="1" applyFill="1" applyBorder="1" applyAlignment="1">
      <alignment horizontal="left" vertical="center"/>
    </xf>
    <xf numFmtId="2" fontId="9" fillId="0" borderId="1" xfId="0" applyNumberFormat="1" applyFont="1" applyBorder="1" applyAlignment="1">
      <alignment horizontal="left" vertical="center"/>
    </xf>
    <xf numFmtId="2" fontId="8" fillId="6" borderId="6" xfId="0" applyNumberFormat="1" applyFont="1" applyFill="1" applyBorder="1" applyAlignment="1">
      <alignment horizontal="left" vertical="center"/>
    </xf>
    <xf numFmtId="2" fontId="5" fillId="14" borderId="1" xfId="0" applyNumberFormat="1" applyFont="1" applyFill="1" applyBorder="1" applyAlignment="1">
      <alignment horizontal="left" vertical="center"/>
    </xf>
    <xf numFmtId="2" fontId="37" fillId="14" borderId="1" xfId="0" applyNumberFormat="1" applyFont="1" applyFill="1" applyBorder="1" applyAlignment="1">
      <alignment horizontal="center" vertical="center"/>
    </xf>
    <xf numFmtId="2" fontId="5" fillId="5" borderId="1" xfId="0" applyNumberFormat="1" applyFont="1" applyFill="1" applyBorder="1" applyAlignment="1">
      <alignment horizontal="left" vertical="center"/>
    </xf>
    <xf numFmtId="0" fontId="0" fillId="0" borderId="1" xfId="2" applyFont="1" applyBorder="1" applyAlignment="1">
      <alignment horizontal="left" vertical="center"/>
    </xf>
    <xf numFmtId="0" fontId="0" fillId="0" borderId="8" xfId="2" applyFont="1" applyBorder="1" applyAlignment="1">
      <alignment horizontal="left" vertical="center"/>
    </xf>
    <xf numFmtId="2" fontId="37" fillId="15" borderId="1" xfId="0" applyNumberFormat="1" applyFont="1" applyFill="1" applyBorder="1" applyAlignment="1">
      <alignment horizontal="center" vertical="center"/>
    </xf>
    <xf numFmtId="0" fontId="0" fillId="0" borderId="5" xfId="2" applyFont="1" applyBorder="1" applyAlignment="1">
      <alignment horizontal="center" vertical="center"/>
    </xf>
    <xf numFmtId="0" fontId="10" fillId="0" borderId="5" xfId="2" applyFont="1" applyBorder="1" applyAlignment="1">
      <alignment horizontal="center" vertical="center"/>
    </xf>
    <xf numFmtId="0" fontId="0" fillId="0" borderId="1" xfId="2" applyFont="1" applyBorder="1" applyAlignment="1">
      <alignment horizontal="center" vertical="center"/>
    </xf>
    <xf numFmtId="0" fontId="5" fillId="15" borderId="1" xfId="2" applyFont="1" applyFill="1" applyBorder="1" applyAlignment="1">
      <alignment horizontal="left" vertical="center"/>
    </xf>
    <xf numFmtId="2" fontId="5" fillId="15" borderId="1" xfId="0" applyNumberFormat="1" applyFont="1" applyFill="1" applyBorder="1" applyAlignment="1">
      <alignment horizontal="left" vertical="center"/>
    </xf>
    <xf numFmtId="2" fontId="37" fillId="15" borderId="1" xfId="0" applyNumberFormat="1" applyFont="1" applyFill="1" applyBorder="1" applyAlignment="1" applyProtection="1">
      <alignment horizontal="center" vertical="center"/>
      <protection hidden="1"/>
    </xf>
    <xf numFmtId="2" fontId="9" fillId="0" borderId="1" xfId="0" applyNumberFormat="1" applyFont="1" applyBorder="1" applyAlignment="1" applyProtection="1">
      <alignment horizontal="left" vertical="center"/>
      <protection hidden="1"/>
    </xf>
    <xf numFmtId="2" fontId="8" fillId="6" borderId="1" xfId="0" applyNumberFormat="1" applyFont="1" applyFill="1" applyBorder="1" applyAlignment="1" applyProtection="1">
      <alignment horizontal="left"/>
      <protection hidden="1"/>
    </xf>
    <xf numFmtId="2" fontId="4" fillId="0" borderId="1" xfId="0" applyNumberFormat="1" applyFont="1" applyBorder="1" applyAlignment="1" applyProtection="1">
      <alignment horizontal="left"/>
      <protection hidden="1"/>
    </xf>
    <xf numFmtId="2" fontId="8" fillId="6" borderId="5" xfId="0" applyNumberFormat="1" applyFont="1" applyFill="1" applyBorder="1" applyAlignment="1" applyProtection="1">
      <alignment horizontal="left" vertical="center"/>
      <protection hidden="1"/>
    </xf>
    <xf numFmtId="2" fontId="37" fillId="18" borderId="1" xfId="0" applyNumberFormat="1" applyFont="1" applyFill="1" applyBorder="1" applyAlignment="1" applyProtection="1">
      <alignment horizontal="center" vertical="center"/>
      <protection hidden="1"/>
    </xf>
    <xf numFmtId="2" fontId="0" fillId="5" borderId="1" xfId="0" applyNumberFormat="1" applyFont="1" applyFill="1" applyBorder="1" applyAlignment="1" applyProtection="1">
      <alignment horizontal="center" vertical="center"/>
      <protection hidden="1"/>
    </xf>
    <xf numFmtId="2" fontId="5" fillId="18" borderId="1" xfId="0" applyNumberFormat="1" applyFont="1" applyFill="1" applyBorder="1" applyAlignment="1">
      <alignment horizontal="left" vertical="center"/>
    </xf>
    <xf numFmtId="2" fontId="37" fillId="18" borderId="1" xfId="0" applyNumberFormat="1" applyFont="1" applyFill="1" applyBorder="1" applyAlignment="1">
      <alignment horizontal="center" vertical="center"/>
    </xf>
    <xf numFmtId="2" fontId="9" fillId="5" borderId="1" xfId="0" applyNumberFormat="1" applyFont="1" applyFill="1" applyBorder="1" applyAlignment="1">
      <alignment horizontal="left" vertical="center"/>
    </xf>
    <xf numFmtId="2" fontId="37" fillId="19" borderId="1" xfId="0" applyNumberFormat="1" applyFont="1" applyFill="1" applyBorder="1" applyAlignment="1" applyProtection="1">
      <alignment horizontal="center" vertical="center"/>
      <protection hidden="1"/>
    </xf>
    <xf numFmtId="2" fontId="5" fillId="19" borderId="1" xfId="0" applyNumberFormat="1" applyFont="1" applyFill="1" applyBorder="1" applyAlignment="1">
      <alignment horizontal="left" vertical="center"/>
    </xf>
    <xf numFmtId="0" fontId="0" fillId="0" borderId="1" xfId="2" applyFont="1" applyBorder="1" applyAlignment="1">
      <alignment horizontal="left"/>
    </xf>
    <xf numFmtId="0" fontId="0" fillId="11" borderId="1" xfId="2" applyFont="1" applyFill="1" applyBorder="1" applyAlignment="1">
      <alignment horizontal="center" vertical="center"/>
    </xf>
    <xf numFmtId="0" fontId="0" fillId="0" borderId="1" xfId="2" applyFont="1" applyBorder="1" applyAlignment="1">
      <alignment horizontal="right" vertical="center"/>
    </xf>
    <xf numFmtId="0" fontId="0" fillId="0" borderId="8" xfId="2" applyFont="1" applyBorder="1" applyAlignment="1">
      <alignment horizontal="center" vertical="center"/>
    </xf>
    <xf numFmtId="0" fontId="0" fillId="11" borderId="1" xfId="0" applyFill="1" applyBorder="1" applyAlignment="1">
      <alignment horizontal="center"/>
    </xf>
    <xf numFmtId="2" fontId="6" fillId="36" borderId="1" xfId="0" applyNumberFormat="1" applyFont="1" applyFill="1" applyBorder="1" applyAlignment="1" applyProtection="1">
      <alignment horizontal="center" vertical="center" wrapText="1"/>
      <protection hidden="1"/>
    </xf>
    <xf numFmtId="2" fontId="6" fillId="26" borderId="1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7" xfId="0" applyFont="1" applyBorder="1" applyAlignment="1">
      <alignment horizontal="center" vertical="center"/>
    </xf>
    <xf numFmtId="0" fontId="33" fillId="16" borderId="1" xfId="2" applyFont="1" applyFill="1" applyBorder="1" applyAlignment="1">
      <alignment horizontal="center" vertical="center"/>
    </xf>
    <xf numFmtId="0" fontId="4" fillId="16" borderId="1" xfId="2" applyFont="1" applyFill="1" applyBorder="1" applyAlignment="1">
      <alignment horizontal="center" vertical="center" wrapText="1"/>
    </xf>
    <xf numFmtId="2" fontId="0" fillId="0" borderId="1" xfId="2" applyNumberFormat="1" applyFont="1" applyBorder="1" applyAlignment="1">
      <alignment horizontal="left" vertical="center"/>
    </xf>
    <xf numFmtId="0" fontId="0" fillId="16" borderId="1" xfId="2" applyFont="1" applyFill="1" applyBorder="1" applyAlignment="1">
      <alignment horizontal="center" vertical="center" wrapText="1"/>
    </xf>
    <xf numFmtId="2" fontId="0" fillId="0" borderId="1" xfId="2" applyNumberFormat="1" applyFont="1" applyBorder="1" applyAlignment="1">
      <alignment horizontal="center" vertical="center"/>
    </xf>
    <xf numFmtId="0" fontId="33" fillId="16" borderId="7" xfId="2" applyFont="1" applyFill="1" applyBorder="1" applyAlignment="1">
      <alignment horizontal="center" vertical="center"/>
    </xf>
    <xf numFmtId="0" fontId="0" fillId="16" borderId="7" xfId="2" applyFont="1" applyFill="1" applyBorder="1" applyAlignment="1">
      <alignment horizontal="center" vertical="center" wrapText="1"/>
    </xf>
    <xf numFmtId="2" fontId="0" fillId="0" borderId="14" xfId="2" applyNumberFormat="1" applyFont="1" applyBorder="1" applyAlignment="1">
      <alignment horizontal="center"/>
    </xf>
    <xf numFmtId="2" fontId="0" fillId="11" borderId="1" xfId="2" applyNumberFormat="1" applyFont="1" applyFill="1" applyBorder="1" applyAlignment="1">
      <alignment horizontal="center"/>
    </xf>
    <xf numFmtId="2" fontId="0" fillId="10" borderId="1" xfId="2" applyNumberFormat="1" applyFont="1" applyFill="1" applyBorder="1" applyAlignment="1">
      <alignment horizontal="center"/>
    </xf>
    <xf numFmtId="2" fontId="29" fillId="39" borderId="1" xfId="0" applyNumberFormat="1" applyFont="1" applyFill="1" applyBorder="1" applyAlignment="1" applyProtection="1">
      <alignment horizontal="center"/>
      <protection hidden="1"/>
    </xf>
    <xf numFmtId="2" fontId="0" fillId="20" borderId="1" xfId="0" applyNumberFormat="1" applyFont="1" applyFill="1" applyBorder="1" applyAlignment="1">
      <alignment horizontal="center"/>
    </xf>
    <xf numFmtId="2" fontId="0" fillId="37" borderId="1" xfId="2" applyNumberFormat="1" applyFont="1" applyFill="1" applyBorder="1" applyAlignment="1">
      <alignment horizontal="center"/>
    </xf>
    <xf numFmtId="2" fontId="0" fillId="37" borderId="1" xfId="0" applyNumberFormat="1" applyFont="1" applyFill="1" applyBorder="1" applyAlignment="1">
      <alignment horizontal="center"/>
    </xf>
    <xf numFmtId="2" fontId="0" fillId="38" borderId="1" xfId="2" applyNumberFormat="1" applyFont="1" applyFill="1" applyBorder="1" applyAlignment="1">
      <alignment horizontal="center" vertical="center"/>
    </xf>
    <xf numFmtId="2" fontId="0" fillId="41" borderId="2" xfId="0" applyNumberFormat="1" applyFont="1" applyFill="1" applyBorder="1" applyAlignment="1">
      <alignment horizontal="center"/>
    </xf>
    <xf numFmtId="2" fontId="0" fillId="31" borderId="1" xfId="2" applyNumberFormat="1" applyFont="1" applyFill="1" applyBorder="1" applyAlignment="1">
      <alignment horizontal="center"/>
    </xf>
    <xf numFmtId="2" fontId="0" fillId="0" borderId="1" xfId="0" applyNumberFormat="1" applyFont="1" applyBorder="1" applyAlignment="1" applyProtection="1">
      <alignment horizontal="center" vertical="center" wrapText="1"/>
      <protection hidden="1"/>
    </xf>
    <xf numFmtId="2" fontId="0" fillId="0" borderId="1" xfId="0" applyNumberFormat="1" applyFont="1" applyBorder="1" applyAlignment="1" applyProtection="1">
      <alignment horizontal="center" wrapText="1"/>
      <protection hidden="1"/>
    </xf>
    <xf numFmtId="2" fontId="0" fillId="0" borderId="0" xfId="0" applyNumberFormat="1" applyFont="1" applyBorder="1" applyAlignment="1" applyProtection="1">
      <alignment horizontal="center"/>
      <protection hidden="1"/>
    </xf>
    <xf numFmtId="2" fontId="22" fillId="2" borderId="0" xfId="0" applyNumberFormat="1" applyFont="1" applyFill="1" applyBorder="1" applyAlignment="1">
      <alignment horizontal="center"/>
    </xf>
    <xf numFmtId="2" fontId="0" fillId="0" borderId="1" xfId="0" applyNumberFormat="1" applyFont="1" applyBorder="1" applyAlignment="1">
      <alignment horizontal="left" vertical="center"/>
    </xf>
    <xf numFmtId="0" fontId="0" fillId="0" borderId="8" xfId="2" applyFont="1" applyBorder="1" applyAlignment="1">
      <alignment horizontal="left"/>
    </xf>
    <xf numFmtId="2" fontId="10" fillId="16" borderId="1" xfId="0" applyNumberFormat="1" applyFont="1" applyFill="1" applyBorder="1" applyAlignment="1">
      <alignment horizontal="left" wrapText="1"/>
    </xf>
    <xf numFmtId="2" fontId="0" fillId="16" borderId="1" xfId="0" applyNumberFormat="1" applyFont="1" applyFill="1" applyBorder="1" applyAlignment="1">
      <alignment horizontal="center"/>
    </xf>
    <xf numFmtId="2" fontId="0" fillId="0" borderId="1" xfId="0" applyNumberFormat="1" applyFont="1" applyBorder="1" applyAlignment="1">
      <alignment horizontal="left"/>
    </xf>
    <xf numFmtId="0" fontId="0" fillId="0" borderId="1" xfId="2" applyFont="1" applyBorder="1" applyAlignment="1">
      <alignment horizontal="right"/>
    </xf>
    <xf numFmtId="2" fontId="0" fillId="16" borderId="1" xfId="0" applyNumberFormat="1" applyFont="1" applyFill="1" applyBorder="1" applyAlignment="1">
      <alignment horizontal="center" wrapText="1"/>
    </xf>
    <xf numFmtId="2" fontId="0" fillId="0" borderId="1" xfId="0" applyNumberFormat="1" applyFont="1" applyBorder="1" applyAlignment="1">
      <alignment horizontal="left" wrapText="1"/>
    </xf>
    <xf numFmtId="0" fontId="0" fillId="16" borderId="1" xfId="2" applyFont="1" applyFill="1" applyBorder="1" applyAlignment="1">
      <alignment horizontal="center"/>
    </xf>
    <xf numFmtId="0" fontId="0" fillId="0" borderId="1" xfId="2" applyFont="1" applyBorder="1" applyAlignment="1">
      <alignment horizontal="center" vertical="center" wrapText="1"/>
    </xf>
    <xf numFmtId="0" fontId="0" fillId="0" borderId="0" xfId="2" applyFont="1" applyBorder="1" applyAlignment="1">
      <alignment horizontal="center" vertical="center" textRotation="90"/>
    </xf>
    <xf numFmtId="0" fontId="0" fillId="0" borderId="1" xfId="2" applyFont="1" applyBorder="1" applyAlignment="1">
      <alignment wrapText="1"/>
    </xf>
    <xf numFmtId="0" fontId="0" fillId="0" borderId="1" xfId="2" applyFont="1" applyBorder="1" applyAlignment="1"/>
    <xf numFmtId="0" fontId="33" fillId="16" borderId="1" xfId="2" applyFont="1" applyFill="1" applyBorder="1" applyAlignment="1">
      <alignment horizontal="center"/>
    </xf>
    <xf numFmtId="2" fontId="10" fillId="0" borderId="1" xfId="0" applyNumberFormat="1" applyFont="1" applyBorder="1" applyAlignment="1" applyProtection="1">
      <alignment horizontal="left" vertical="center"/>
      <protection hidden="1"/>
    </xf>
    <xf numFmtId="0" fontId="0" fillId="0" borderId="9" xfId="2" applyFont="1" applyBorder="1" applyAlignment="1">
      <alignment horizontal="left" vertical="center"/>
    </xf>
    <xf numFmtId="0" fontId="33" fillId="16" borderId="1" xfId="2" applyFont="1" applyFill="1" applyBorder="1" applyAlignment="1">
      <alignment horizontal="left"/>
    </xf>
    <xf numFmtId="2" fontId="51" fillId="0" borderId="1" xfId="0" applyNumberFormat="1" applyFont="1" applyBorder="1" applyAlignment="1" applyProtection="1">
      <alignment horizontal="center" vertical="center"/>
      <protection hidden="1"/>
    </xf>
    <xf numFmtId="2" fontId="4" fillId="22" borderId="1" xfId="0" applyNumberFormat="1" applyFont="1" applyFill="1" applyBorder="1" applyAlignment="1" applyProtection="1">
      <alignment horizontal="center"/>
      <protection hidden="1"/>
    </xf>
    <xf numFmtId="2" fontId="6" fillId="16" borderId="1" xfId="0" applyNumberFormat="1" applyFont="1" applyFill="1" applyBorder="1" applyAlignment="1" applyProtection="1">
      <alignment horizontal="center" wrapText="1"/>
      <protection hidden="1"/>
    </xf>
    <xf numFmtId="2" fontId="4" fillId="0" borderId="1" xfId="0" applyNumberFormat="1" applyFont="1" applyBorder="1" applyAlignment="1" applyProtection="1">
      <alignment horizontal="right"/>
      <protection hidden="1"/>
    </xf>
    <xf numFmtId="2" fontId="4" fillId="38" borderId="1" xfId="0" applyNumberFormat="1" applyFont="1" applyFill="1" applyBorder="1" applyAlignment="1" applyProtection="1">
      <alignment horizontal="center" wrapText="1"/>
      <protection hidden="1"/>
    </xf>
    <xf numFmtId="2" fontId="4" fillId="15" borderId="1" xfId="0" applyNumberFormat="1" applyFont="1" applyFill="1" applyBorder="1" applyAlignment="1" applyProtection="1">
      <alignment horizontal="center" wrapText="1"/>
      <protection hidden="1"/>
    </xf>
    <xf numFmtId="2" fontId="4" fillId="15" borderId="1" xfId="0" applyNumberFormat="1" applyFont="1" applyFill="1" applyBorder="1" applyAlignment="1" applyProtection="1">
      <alignment horizontal="center"/>
      <protection hidden="1"/>
    </xf>
    <xf numFmtId="2" fontId="4" fillId="0" borderId="1" xfId="0" applyNumberFormat="1" applyFont="1" applyBorder="1" applyAlignment="1" applyProtection="1">
      <alignment horizontal="center" vertical="center" wrapText="1"/>
      <protection hidden="1"/>
    </xf>
    <xf numFmtId="2" fontId="4" fillId="22" borderId="1" xfId="0" applyNumberFormat="1" applyFont="1" applyFill="1" applyBorder="1" applyAlignment="1" applyProtection="1">
      <alignment horizontal="center" wrapText="1"/>
      <protection hidden="1"/>
    </xf>
    <xf numFmtId="2" fontId="4" fillId="24" borderId="1" xfId="0" applyNumberFormat="1" applyFont="1" applyFill="1" applyBorder="1" applyAlignment="1" applyProtection="1">
      <alignment horizontal="center"/>
      <protection hidden="1"/>
    </xf>
    <xf numFmtId="2" fontId="9" fillId="24" borderId="1" xfId="0" applyNumberFormat="1" applyFont="1" applyFill="1" applyBorder="1" applyAlignment="1" applyProtection="1">
      <alignment horizontal="center" wrapText="1"/>
      <protection hidden="1"/>
    </xf>
    <xf numFmtId="0" fontId="0" fillId="0" borderId="1" xfId="0" applyFont="1" applyBorder="1" applyAlignment="1" applyProtection="1">
      <alignment horizontal="center"/>
      <protection hidden="1"/>
    </xf>
    <xf numFmtId="2" fontId="37" fillId="24" borderId="1" xfId="0" applyNumberFormat="1" applyFont="1" applyFill="1" applyBorder="1" applyAlignment="1" applyProtection="1">
      <alignment horizontal="center" vertical="center"/>
      <protection hidden="1"/>
    </xf>
    <xf numFmtId="0" fontId="23" fillId="0" borderId="7" xfId="0" applyFont="1" applyBorder="1" applyAlignment="1">
      <alignment horizontal="center" vertical="center"/>
    </xf>
    <xf numFmtId="2" fontId="4" fillId="0" borderId="1" xfId="0" applyNumberFormat="1" applyFont="1" applyBorder="1" applyAlignment="1" applyProtection="1">
      <alignment horizontal="center"/>
      <protection hidden="1"/>
    </xf>
    <xf numFmtId="2" fontId="37" fillId="36" borderId="1" xfId="0" applyNumberFormat="1" applyFont="1" applyFill="1" applyBorder="1" applyAlignment="1" applyProtection="1">
      <alignment horizontal="center" vertical="center"/>
      <protection hidden="1"/>
    </xf>
    <xf numFmtId="2" fontId="37" fillId="26" borderId="1" xfId="0" applyNumberFormat="1" applyFont="1" applyFill="1" applyBorder="1" applyAlignment="1" applyProtection="1">
      <alignment horizontal="center" vertical="center"/>
      <protection hidden="1"/>
    </xf>
    <xf numFmtId="2" fontId="4" fillId="26" borderId="1" xfId="0" applyNumberFormat="1" applyFont="1" applyFill="1" applyBorder="1" applyAlignment="1" applyProtection="1">
      <alignment horizontal="center"/>
      <protection hidden="1"/>
    </xf>
    <xf numFmtId="2" fontId="9" fillId="26" borderId="1" xfId="0" applyNumberFormat="1" applyFont="1" applyFill="1" applyBorder="1" applyAlignment="1" applyProtection="1">
      <alignment horizontal="center" wrapText="1"/>
      <protection hidden="1"/>
    </xf>
    <xf numFmtId="2" fontId="4" fillId="26" borderId="1" xfId="0" applyNumberFormat="1" applyFont="1" applyFill="1" applyBorder="1" applyAlignment="1" applyProtection="1">
      <alignment horizontal="left"/>
      <protection hidden="1"/>
    </xf>
    <xf numFmtId="2" fontId="4" fillId="0" borderId="1" xfId="0" applyNumberFormat="1" applyFont="1" applyBorder="1" applyAlignment="1" applyProtection="1">
      <alignment horizontal="left" wrapText="1"/>
      <protection hidden="1"/>
    </xf>
    <xf numFmtId="2" fontId="4" fillId="36" borderId="1" xfId="0" applyNumberFormat="1" applyFont="1" applyFill="1" applyBorder="1" applyAlignment="1" applyProtection="1">
      <alignment horizontal="center"/>
      <protection hidden="1"/>
    </xf>
    <xf numFmtId="2" fontId="10" fillId="16" borderId="1" xfId="0" applyNumberFormat="1" applyFont="1" applyFill="1" applyBorder="1" applyAlignment="1">
      <alignment horizontal="left"/>
    </xf>
    <xf numFmtId="0" fontId="0" fillId="0" borderId="0" xfId="2" applyFont="1" applyBorder="1" applyAlignment="1">
      <alignment horizontal="right" vertical="center" textRotation="90"/>
    </xf>
    <xf numFmtId="2" fontId="0" fillId="0" borderId="1" xfId="0" applyNumberFormat="1" applyFont="1" applyBorder="1" applyAlignment="1">
      <alignment horizontal="right"/>
    </xf>
    <xf numFmtId="2" fontId="16" fillId="16" borderId="1" xfId="0" applyNumberFormat="1" applyFont="1" applyFill="1" applyBorder="1" applyAlignment="1" applyProtection="1">
      <alignment horizontal="center"/>
      <protection hidden="1"/>
    </xf>
    <xf numFmtId="2" fontId="5" fillId="0" borderId="7" xfId="0" applyNumberFormat="1" applyFont="1" applyBorder="1" applyAlignment="1" applyProtection="1">
      <alignment horizontal="center" vertical="center"/>
      <protection hidden="1"/>
    </xf>
    <xf numFmtId="2" fontId="5" fillId="0" borderId="7" xfId="0" applyNumberFormat="1" applyFont="1" applyBorder="1" applyAlignment="1" applyProtection="1">
      <alignment horizontal="center"/>
      <protection hidden="1"/>
    </xf>
    <xf numFmtId="2" fontId="0" fillId="22" borderId="1" xfId="0" applyNumberFormat="1" applyFill="1" applyBorder="1" applyAlignment="1" applyProtection="1">
      <alignment horizontal="center"/>
      <protection hidden="1"/>
    </xf>
    <xf numFmtId="2" fontId="5" fillId="15" borderId="1" xfId="0" applyNumberFormat="1" applyFont="1" applyFill="1" applyBorder="1" applyAlignment="1" applyProtection="1">
      <alignment horizontal="center"/>
      <protection hidden="1"/>
    </xf>
    <xf numFmtId="2" fontId="5" fillId="0" borderId="0" xfId="0" applyNumberFormat="1" applyFont="1" applyBorder="1" applyAlignment="1" applyProtection="1">
      <alignment horizontal="center"/>
      <protection hidden="1"/>
    </xf>
    <xf numFmtId="0" fontId="37" fillId="18" borderId="1" xfId="0" applyFont="1" applyFill="1" applyBorder="1" applyAlignment="1" applyProtection="1">
      <alignment horizontal="center" vertical="center"/>
      <protection hidden="1"/>
    </xf>
    <xf numFmtId="0" fontId="4" fillId="0" borderId="0" xfId="0" applyFont="1" applyBorder="1" applyAlignment="1">
      <alignment horizontal="center" vertical="center"/>
    </xf>
    <xf numFmtId="2" fontId="4" fillId="18" borderId="1" xfId="0" applyNumberFormat="1" applyFont="1" applyFill="1" applyBorder="1" applyAlignment="1" applyProtection="1">
      <alignment horizontal="center"/>
      <protection hidden="1"/>
    </xf>
    <xf numFmtId="2" fontId="5" fillId="0" borderId="1" xfId="0" applyNumberFormat="1" applyFont="1" applyBorder="1" applyAlignment="1" applyProtection="1">
      <alignment horizontal="center"/>
      <protection hidden="1"/>
    </xf>
    <xf numFmtId="0" fontId="0" fillId="0" borderId="0" xfId="0" applyFont="1" applyBorder="1" applyAlignment="1" applyProtection="1">
      <alignment horizontal="center"/>
      <protection hidden="1"/>
    </xf>
    <xf numFmtId="0" fontId="0" fillId="0" borderId="7" xfId="0" applyFont="1" applyBorder="1" applyAlignment="1" applyProtection="1">
      <alignment horizontal="center"/>
      <protection hidden="1"/>
    </xf>
    <xf numFmtId="0" fontId="37" fillId="15" borderId="1" xfId="0" applyFont="1" applyFill="1" applyBorder="1" applyAlignment="1" applyProtection="1">
      <alignment horizontal="center" vertical="center"/>
      <protection hidden="1"/>
    </xf>
    <xf numFmtId="0" fontId="23" fillId="37" borderId="1" xfId="0" applyFont="1" applyFill="1" applyBorder="1" applyAlignment="1">
      <alignment horizontal="center" vertical="center"/>
    </xf>
    <xf numFmtId="2" fontId="9" fillId="15" borderId="1" xfId="0" applyNumberFormat="1" applyFont="1" applyFill="1" applyBorder="1" applyAlignment="1" applyProtection="1">
      <alignment horizontal="center"/>
      <protection hidden="1"/>
    </xf>
    <xf numFmtId="0" fontId="37" fillId="27" borderId="5" xfId="0" applyFont="1" applyFill="1" applyBorder="1" applyAlignment="1" applyProtection="1">
      <alignment horizontal="center" vertical="center"/>
      <protection hidden="1"/>
    </xf>
    <xf numFmtId="0" fontId="23" fillId="0" borderId="1" xfId="0" applyFont="1" applyBorder="1" applyAlignment="1">
      <alignment horizontal="center" vertical="center"/>
    </xf>
    <xf numFmtId="2" fontId="5" fillId="27" borderId="5" xfId="0" applyNumberFormat="1" applyFont="1" applyFill="1" applyBorder="1" applyAlignment="1" applyProtection="1">
      <alignment horizontal="center"/>
      <protection hidden="1"/>
    </xf>
    <xf numFmtId="2" fontId="6" fillId="27" borderId="1" xfId="0" applyNumberFormat="1" applyFont="1" applyFill="1" applyBorder="1" applyAlignment="1" applyProtection="1">
      <alignment horizontal="center"/>
      <protection hidden="1"/>
    </xf>
    <xf numFmtId="2" fontId="4" fillId="27" borderId="1" xfId="0" applyNumberFormat="1" applyFont="1" applyFill="1" applyBorder="1" applyAlignment="1" applyProtection="1">
      <alignment horizontal="center"/>
      <protection hidden="1"/>
    </xf>
    <xf numFmtId="2" fontId="6" fillId="15" borderId="1" xfId="0" applyNumberFormat="1" applyFont="1" applyFill="1" applyBorder="1" applyAlignment="1" applyProtection="1">
      <alignment horizontal="center"/>
      <protection hidden="1"/>
    </xf>
    <xf numFmtId="0" fontId="4" fillId="15" borderId="1" xfId="0" applyFont="1" applyFill="1" applyBorder="1" applyAlignment="1" applyProtection="1">
      <alignment horizontal="center"/>
      <protection hidden="1"/>
    </xf>
    <xf numFmtId="0" fontId="0" fillId="18" borderId="1" xfId="2" applyFont="1" applyFill="1" applyBorder="1" applyAlignment="1">
      <alignment horizontal="left"/>
    </xf>
    <xf numFmtId="0" fontId="0" fillId="44" borderId="1" xfId="2" applyFont="1" applyFill="1" applyBorder="1" applyAlignment="1">
      <alignment horizontal="left"/>
    </xf>
    <xf numFmtId="0" fontId="0" fillId="0" borderId="2" xfId="2" applyFont="1" applyBorder="1" applyAlignment="1">
      <alignment horizontal="center"/>
    </xf>
    <xf numFmtId="0" fontId="32" fillId="33" borderId="1" xfId="0" applyFont="1" applyFill="1" applyBorder="1" applyAlignment="1" applyProtection="1">
      <alignment horizontal="center" vertical="center"/>
      <protection hidden="1"/>
    </xf>
    <xf numFmtId="2" fontId="4" fillId="27" borderId="6" xfId="0" applyNumberFormat="1" applyFont="1" applyFill="1" applyBorder="1" applyAlignment="1" applyProtection="1">
      <alignment horizontal="center"/>
      <protection hidden="1"/>
    </xf>
    <xf numFmtId="2" fontId="4" fillId="46" borderId="1" xfId="0" applyNumberFormat="1" applyFont="1" applyFill="1" applyBorder="1" applyAlignment="1" applyProtection="1">
      <alignment horizontal="center"/>
      <protection hidden="1"/>
    </xf>
    <xf numFmtId="2" fontId="4" fillId="38" borderId="1" xfId="0" applyNumberFormat="1" applyFont="1" applyFill="1" applyBorder="1" applyAlignment="1" applyProtection="1">
      <alignment horizontal="center"/>
      <protection hidden="1"/>
    </xf>
    <xf numFmtId="0" fontId="4" fillId="0" borderId="1" xfId="2" applyFont="1" applyBorder="1" applyAlignment="1">
      <alignment horizontal="left"/>
    </xf>
    <xf numFmtId="0" fontId="4" fillId="0" borderId="8" xfId="2" applyFont="1" applyBorder="1" applyAlignment="1">
      <alignment horizontal="left"/>
    </xf>
    <xf numFmtId="2" fontId="9" fillId="16" borderId="1" xfId="0" applyNumberFormat="1" applyFont="1" applyFill="1" applyBorder="1" applyAlignment="1">
      <alignment horizontal="left" wrapText="1"/>
    </xf>
    <xf numFmtId="2" fontId="4" fillId="16" borderId="1" xfId="0" applyNumberFormat="1" applyFont="1" applyFill="1" applyBorder="1" applyAlignment="1">
      <alignment horizontal="center"/>
    </xf>
    <xf numFmtId="2" fontId="4" fillId="0" borderId="1" xfId="0" applyNumberFormat="1" applyFont="1" applyBorder="1" applyAlignment="1">
      <alignment horizontal="left"/>
    </xf>
    <xf numFmtId="0" fontId="4" fillId="0" borderId="1" xfId="2" applyFont="1" applyBorder="1" applyAlignment="1">
      <alignment horizontal="right"/>
    </xf>
    <xf numFmtId="2" fontId="4" fillId="16" borderId="1" xfId="0" applyNumberFormat="1" applyFont="1" applyFill="1" applyBorder="1" applyAlignment="1">
      <alignment horizontal="center" wrapText="1"/>
    </xf>
    <xf numFmtId="2" fontId="4" fillId="0" borderId="1" xfId="0" applyNumberFormat="1" applyFont="1" applyBorder="1" applyAlignment="1">
      <alignment horizontal="left" wrapText="1"/>
    </xf>
    <xf numFmtId="0" fontId="4" fillId="16" borderId="1" xfId="2" applyFont="1" applyFill="1" applyBorder="1" applyAlignment="1">
      <alignment horizontal="center"/>
    </xf>
    <xf numFmtId="0" fontId="4" fillId="0" borderId="1" xfId="2" applyFont="1" applyBorder="1" applyAlignment="1">
      <alignment horizontal="center" vertical="center" wrapText="1"/>
    </xf>
    <xf numFmtId="0" fontId="4" fillId="0" borderId="0" xfId="2" applyFont="1" applyBorder="1" applyAlignment="1">
      <alignment horizontal="center" vertical="center" textRotation="90"/>
    </xf>
    <xf numFmtId="0" fontId="4" fillId="0" borderId="1" xfId="2" applyFont="1" applyBorder="1" applyAlignment="1">
      <alignment wrapText="1"/>
    </xf>
    <xf numFmtId="0" fontId="4" fillId="0" borderId="1" xfId="2" applyFont="1" applyBorder="1" applyAlignment="1"/>
    <xf numFmtId="0" fontId="5" fillId="16" borderId="1" xfId="2" applyFont="1" applyFill="1" applyBorder="1" applyAlignment="1">
      <alignment horizontal="center"/>
    </xf>
    <xf numFmtId="0" fontId="5" fillId="16" borderId="1" xfId="2" applyFont="1" applyFill="1" applyBorder="1" applyAlignment="1">
      <alignment horizontal="center" vertical="center"/>
    </xf>
    <xf numFmtId="0" fontId="4" fillId="0" borderId="8" xfId="2" applyFont="1" applyBorder="1" applyAlignment="1">
      <alignment horizontal="left" vertical="center"/>
    </xf>
    <xf numFmtId="0" fontId="4" fillId="0" borderId="1" xfId="2" applyFont="1" applyBorder="1" applyAlignment="1">
      <alignment horizontal="left" vertical="center"/>
    </xf>
    <xf numFmtId="0" fontId="4" fillId="0" borderId="9" xfId="2" applyFont="1" applyBorder="1" applyAlignment="1">
      <alignment horizontal="left" vertical="center"/>
    </xf>
    <xf numFmtId="0" fontId="4" fillId="0" borderId="1" xfId="2" applyFont="1" applyBorder="1" applyAlignment="1">
      <alignment horizontal="right" vertical="center"/>
    </xf>
    <xf numFmtId="0" fontId="4" fillId="0" borderId="8" xfId="2" applyFont="1" applyBorder="1" applyAlignment="1">
      <alignment horizontal="center" vertical="center"/>
    </xf>
    <xf numFmtId="2" fontId="6" fillId="36" borderId="3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0" xfId="0" applyFont="1" applyBorder="1" applyAlignment="1" applyProtection="1">
      <alignment horizontal="center"/>
      <protection hidden="1"/>
    </xf>
    <xf numFmtId="2" fontId="6" fillId="10" borderId="1" xfId="0" applyNumberFormat="1" applyFont="1" applyFill="1" applyBorder="1" applyAlignment="1" applyProtection="1">
      <alignment horizontal="center" vertical="center" wrapText="1"/>
      <protection hidden="1"/>
    </xf>
    <xf numFmtId="2" fontId="4" fillId="10" borderId="1" xfId="0" applyNumberFormat="1" applyFont="1" applyFill="1" applyBorder="1" applyAlignment="1" applyProtection="1">
      <alignment horizontal="center"/>
      <protection hidden="1"/>
    </xf>
    <xf numFmtId="165" fontId="42" fillId="2" borderId="7" xfId="0" applyNumberFormat="1" applyFont="1" applyFill="1" applyBorder="1" applyAlignment="1">
      <alignment horizontal="center" vertical="center"/>
    </xf>
    <xf numFmtId="165" fontId="25" fillId="2" borderId="1" xfId="0" applyNumberFormat="1" applyFont="1" applyFill="1" applyBorder="1" applyAlignment="1">
      <alignment horizontal="center"/>
    </xf>
    <xf numFmtId="165" fontId="25" fillId="2" borderId="5" xfId="0" applyNumberFormat="1" applyFont="1" applyFill="1" applyBorder="1" applyAlignment="1">
      <alignment horizontal="center"/>
    </xf>
    <xf numFmtId="165" fontId="53" fillId="6" borderId="1" xfId="2" applyNumberFormat="1" applyFont="1" applyFill="1" applyBorder="1" applyAlignment="1">
      <alignment horizontal="center"/>
    </xf>
    <xf numFmtId="165" fontId="53" fillId="6" borderId="5" xfId="2" applyNumberFormat="1" applyFont="1" applyFill="1" applyBorder="1" applyAlignment="1">
      <alignment horizontal="center"/>
    </xf>
    <xf numFmtId="165" fontId="42" fillId="6" borderId="1" xfId="2" applyNumberFormat="1" applyFont="1" applyFill="1" applyBorder="1" applyAlignment="1">
      <alignment horizontal="center"/>
    </xf>
    <xf numFmtId="2" fontId="33" fillId="11" borderId="1" xfId="0" applyNumberFormat="1" applyFont="1" applyFill="1" applyBorder="1" applyAlignment="1">
      <alignment horizontal="center" wrapText="1"/>
    </xf>
    <xf numFmtId="0" fontId="0" fillId="0" borderId="1" xfId="0" applyFont="1" applyBorder="1" applyAlignment="1">
      <alignment horizontal="center"/>
    </xf>
    <xf numFmtId="2" fontId="5" fillId="0" borderId="1" xfId="0" applyNumberFormat="1" applyFont="1" applyBorder="1" applyAlignment="1" applyProtection="1">
      <alignment horizontal="left"/>
      <protection hidden="1"/>
    </xf>
    <xf numFmtId="2" fontId="4" fillId="16" borderId="1" xfId="0" applyNumberFormat="1" applyFont="1" applyFill="1" applyBorder="1" applyAlignment="1" applyProtection="1">
      <alignment horizontal="left"/>
      <protection hidden="1"/>
    </xf>
    <xf numFmtId="2" fontId="4" fillId="0" borderId="22" xfId="0" applyNumberFormat="1" applyFont="1" applyBorder="1" applyAlignment="1">
      <alignment horizontal="right"/>
    </xf>
    <xf numFmtId="0" fontId="6" fillId="0" borderId="22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2" fontId="51" fillId="0" borderId="22" xfId="0" applyNumberFormat="1" applyFont="1" applyBorder="1" applyAlignment="1" applyProtection="1">
      <alignment horizontal="center"/>
      <protection hidden="1"/>
    </xf>
    <xf numFmtId="0" fontId="5" fillId="0" borderId="29" xfId="0" applyFont="1" applyBorder="1" applyAlignment="1">
      <alignment horizontal="left"/>
    </xf>
    <xf numFmtId="0" fontId="6" fillId="0" borderId="1" xfId="0" applyFont="1" applyBorder="1" applyAlignment="1">
      <alignment horizontal="right" vertical="center"/>
    </xf>
    <xf numFmtId="165" fontId="5" fillId="0" borderId="29" xfId="0" applyNumberFormat="1" applyFont="1" applyBorder="1" applyAlignment="1" applyProtection="1">
      <alignment horizontal="left"/>
      <protection hidden="1"/>
    </xf>
    <xf numFmtId="2" fontId="51" fillId="0" borderId="26" xfId="0" applyNumberFormat="1" applyFont="1" applyBorder="1" applyAlignment="1" applyProtection="1">
      <alignment horizontal="center"/>
      <protection hidden="1"/>
    </xf>
    <xf numFmtId="0" fontId="5" fillId="0" borderId="24" xfId="0" applyFont="1" applyBorder="1" applyAlignment="1">
      <alignment horizontal="left"/>
    </xf>
    <xf numFmtId="165" fontId="51" fillId="0" borderId="26" xfId="0" applyNumberFormat="1" applyFont="1" applyBorder="1" applyAlignment="1" applyProtection="1">
      <alignment horizontal="center"/>
      <protection hidden="1"/>
    </xf>
    <xf numFmtId="0" fontId="58" fillId="0" borderId="13" xfId="0" applyFont="1" applyBorder="1" applyAlignment="1">
      <alignment horizontal="center" vertical="center"/>
    </xf>
    <xf numFmtId="2" fontId="6" fillId="0" borderId="13" xfId="0" applyNumberFormat="1" applyFont="1" applyBorder="1" applyAlignment="1">
      <alignment horizontal="left" vertical="center"/>
    </xf>
    <xf numFmtId="165" fontId="5" fillId="0" borderId="24" xfId="0" applyNumberFormat="1" applyFont="1" applyBorder="1" applyAlignment="1" applyProtection="1">
      <alignment horizontal="left"/>
      <protection hidden="1"/>
    </xf>
    <xf numFmtId="0" fontId="6" fillId="0" borderId="14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165" fontId="5" fillId="0" borderId="1" xfId="0" applyNumberFormat="1" applyFont="1" applyBorder="1" applyAlignment="1" applyProtection="1">
      <alignment horizontal="right"/>
      <protection hidden="1"/>
    </xf>
    <xf numFmtId="0" fontId="58" fillId="0" borderId="35" xfId="0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right" vertical="center"/>
    </xf>
    <xf numFmtId="0" fontId="58" fillId="0" borderId="0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right" vertical="center"/>
    </xf>
    <xf numFmtId="165" fontId="5" fillId="0" borderId="27" xfId="0" applyNumberFormat="1" applyFont="1" applyBorder="1" applyAlignment="1" applyProtection="1">
      <alignment horizontal="left"/>
      <protection hidden="1"/>
    </xf>
    <xf numFmtId="0" fontId="6" fillId="0" borderId="2" xfId="0" applyFont="1" applyBorder="1" applyAlignment="1">
      <alignment horizontal="right" vertical="center"/>
    </xf>
    <xf numFmtId="165" fontId="58" fillId="0" borderId="26" xfId="0" applyNumberFormat="1" applyFont="1" applyBorder="1" applyAlignment="1" applyProtection="1">
      <alignment horizontal="center"/>
      <protection hidden="1"/>
    </xf>
    <xf numFmtId="0" fontId="51" fillId="0" borderId="26" xfId="0" applyFont="1" applyBorder="1" applyAlignment="1">
      <alignment horizontal="center"/>
    </xf>
    <xf numFmtId="165" fontId="6" fillId="0" borderId="29" xfId="0" applyNumberFormat="1" applyFont="1" applyBorder="1" applyAlignment="1" applyProtection="1">
      <alignment horizontal="left"/>
      <protection hidden="1"/>
    </xf>
    <xf numFmtId="0" fontId="6" fillId="0" borderId="1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58" fillId="0" borderId="36" xfId="0" applyFont="1" applyBorder="1" applyAlignment="1">
      <alignment horizontal="center" vertical="center"/>
    </xf>
    <xf numFmtId="165" fontId="4" fillId="0" borderId="1" xfId="0" applyNumberFormat="1" applyFont="1" applyBorder="1" applyAlignment="1" applyProtection="1">
      <alignment horizontal="center"/>
      <protection hidden="1"/>
    </xf>
    <xf numFmtId="165" fontId="4" fillId="0" borderId="1" xfId="0" applyNumberFormat="1" applyFont="1" applyBorder="1" applyAlignment="1" applyProtection="1">
      <alignment horizontal="right"/>
      <protection hidden="1"/>
    </xf>
    <xf numFmtId="0" fontId="51" fillId="0" borderId="14" xfId="0" applyFont="1" applyBorder="1" applyAlignment="1">
      <alignment horizontal="center"/>
    </xf>
    <xf numFmtId="0" fontId="4" fillId="0" borderId="22" xfId="0" applyFont="1" applyBorder="1" applyAlignment="1">
      <alignment horizontal="right" vertical="center"/>
    </xf>
    <xf numFmtId="2" fontId="4" fillId="0" borderId="22" xfId="0" applyNumberFormat="1" applyFont="1" applyBorder="1" applyAlignment="1">
      <alignment horizontal="right" vertical="center"/>
    </xf>
    <xf numFmtId="0" fontId="4" fillId="0" borderId="22" xfId="0" applyFont="1" applyBorder="1" applyAlignment="1">
      <alignment horizontal="left"/>
    </xf>
    <xf numFmtId="0" fontId="0" fillId="4" borderId="0" xfId="0" applyFill="1" applyBorder="1" applyAlignment="1">
      <alignment horizontal="right"/>
    </xf>
    <xf numFmtId="0" fontId="0" fillId="4" borderId="0" xfId="0" applyFill="1" applyBorder="1" applyAlignment="1">
      <alignment horizontal="center"/>
    </xf>
    <xf numFmtId="0" fontId="59" fillId="4" borderId="0" xfId="0" applyFont="1" applyFill="1" applyBorder="1" applyAlignment="1">
      <alignment horizontal="center"/>
    </xf>
    <xf numFmtId="0" fontId="10" fillId="4" borderId="0" xfId="0" applyFont="1" applyFill="1" applyBorder="1" applyAlignment="1">
      <alignment horizontal="left"/>
    </xf>
    <xf numFmtId="0" fontId="0" fillId="4" borderId="1" xfId="0" applyFill="1" applyBorder="1" applyAlignment="1">
      <alignment horizontal="right"/>
    </xf>
    <xf numFmtId="0" fontId="0" fillId="4" borderId="0" xfId="0" applyFill="1" applyBorder="1" applyAlignment="1">
      <alignment horizontal="left"/>
    </xf>
    <xf numFmtId="0" fontId="23" fillId="4" borderId="13" xfId="0" applyFont="1" applyFill="1" applyBorder="1" applyAlignment="1">
      <alignment horizontal="center"/>
    </xf>
    <xf numFmtId="0" fontId="0" fillId="4" borderId="7" xfId="0" applyFill="1" applyBorder="1" applyAlignment="1">
      <alignment horizontal="right"/>
    </xf>
    <xf numFmtId="0" fontId="23" fillId="4" borderId="9" xfId="0" applyFont="1" applyFill="1" applyBorder="1" applyAlignment="1">
      <alignment horizontal="center"/>
    </xf>
    <xf numFmtId="0" fontId="0" fillId="4" borderId="13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23" fillId="4" borderId="3" xfId="0" applyFont="1" applyFill="1" applyBorder="1" applyAlignment="1">
      <alignment horizontal="center"/>
    </xf>
    <xf numFmtId="0" fontId="0" fillId="4" borderId="12" xfId="0" applyFill="1" applyBorder="1" applyAlignment="1">
      <alignment horizontal="left"/>
    </xf>
    <xf numFmtId="0" fontId="0" fillId="4" borderId="3" xfId="0" applyFill="1" applyBorder="1" applyAlignment="1">
      <alignment horizontal="left"/>
    </xf>
    <xf numFmtId="0" fontId="32" fillId="4" borderId="13" xfId="0" applyFont="1" applyFill="1" applyBorder="1" applyAlignment="1">
      <alignment horizontal="center"/>
    </xf>
    <xf numFmtId="0" fontId="0" fillId="4" borderId="2" xfId="0" applyFill="1" applyBorder="1" applyAlignment="1">
      <alignment horizontal="right"/>
    </xf>
    <xf numFmtId="0" fontId="23" fillId="4" borderId="12" xfId="0" applyFont="1" applyFill="1" applyBorder="1" applyAlignment="1">
      <alignment horizontal="center"/>
    </xf>
    <xf numFmtId="0" fontId="0" fillId="4" borderId="4" xfId="0" applyFill="1" applyBorder="1" applyAlignment="1">
      <alignment horizontal="right"/>
    </xf>
    <xf numFmtId="0" fontId="0" fillId="4" borderId="1" xfId="0" applyFill="1" applyBorder="1" applyAlignment="1">
      <alignment horizontal="center"/>
    </xf>
    <xf numFmtId="0" fontId="23" fillId="4" borderId="1" xfId="0" applyFont="1" applyFill="1" applyBorder="1" applyAlignment="1">
      <alignment horizontal="center"/>
    </xf>
    <xf numFmtId="0" fontId="23" fillId="4" borderId="9" xfId="0" applyFont="1" applyFill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23" fillId="0" borderId="3" xfId="0" applyFont="1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3" xfId="0" applyBorder="1" applyAlignment="1">
      <alignment horizontal="left"/>
    </xf>
    <xf numFmtId="0" fontId="23" fillId="0" borderId="12" xfId="0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0" fillId="0" borderId="12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1" xfId="0" applyBorder="1" applyAlignment="1">
      <alignment horizontal="center"/>
    </xf>
    <xf numFmtId="0" fontId="23" fillId="0" borderId="13" xfId="0" applyFont="1" applyBorder="1" applyAlignment="1">
      <alignment horizontal="left"/>
    </xf>
  </cellXfs>
  <cellStyles count="5">
    <cellStyle name="Hyperlink" xfId="1" builtinId="8"/>
    <cellStyle name="Normal" xfId="0" builtinId="0"/>
    <cellStyle name="Обычный 2" xfId="2" xr:uid="{00000000-0005-0000-0000-000006000000}"/>
    <cellStyle name="Обычный 3" xfId="3" xr:uid="{00000000-0005-0000-0000-000007000000}"/>
    <cellStyle name="Обычный 6" xfId="4" xr:uid="{00000000-0005-0000-0000-000008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DDD9C3"/>
      <rgbColor rgb="FF0000FF"/>
      <rgbColor rgb="FFFFFF00"/>
      <rgbColor rgb="FFE6E0EC"/>
      <rgbColor rgb="FFB7DEE8"/>
      <rgbColor rgb="FF800000"/>
      <rgbColor rgb="FFE6E3D2"/>
      <rgbColor rgb="FF0D0D0D"/>
      <rgbColor rgb="FF77933C"/>
      <rgbColor rgb="FFF2F2F2"/>
      <rgbColor rgb="FF9BBB59"/>
      <rgbColor rgb="FFBFBFBF"/>
      <rgbColor rgb="FF808080"/>
      <rgbColor rgb="FF8EB4E3"/>
      <rgbColor rgb="FF948A54"/>
      <rgbColor rgb="FFFAFAE6"/>
      <rgbColor rgb="FFDBEEF4"/>
      <rgbColor rgb="FF660066"/>
      <rgbColor rgb="FFD99694"/>
      <rgbColor rgb="FF0070C0"/>
      <rgbColor rgb="FFC6D9F1"/>
      <rgbColor rgb="FF000080"/>
      <rgbColor rgb="FFEEECE1"/>
      <rgbColor rgb="FFFCD5B5"/>
      <rgbColor rgb="FFC3D69B"/>
      <rgbColor rgb="FF800080"/>
      <rgbColor rgb="FF800000"/>
      <rgbColor rgb="FFD9D9D9"/>
      <rgbColor rgb="FF0000FF"/>
      <rgbColor rgb="FF00B0F0"/>
      <rgbColor rgb="FFDCE6F2"/>
      <rgbColor rgb="FFD7E4BD"/>
      <rgbColor rgb="FFFDEADA"/>
      <rgbColor rgb="FF93CDDD"/>
      <rgbColor rgb="FFE6B9B8"/>
      <rgbColor rgb="FFB3A2C7"/>
      <rgbColor rgb="FFFAC090"/>
      <rgbColor rgb="FFB9CDE5"/>
      <rgbColor rgb="FF95B3D7"/>
      <rgbColor rgb="FF92D050"/>
      <rgbColor rgb="FFFFC000"/>
      <rgbColor rgb="FFC4BD97"/>
      <rgbColor rgb="FFE46C0A"/>
      <rgbColor rgb="FF376092"/>
      <rgbColor rgb="FFA6A6A6"/>
      <rgbColor rgb="FF17375E"/>
      <rgbColor rgb="FF4F6228"/>
      <rgbColor rgb="FF10243E"/>
      <rgbColor rgb="FF1E1C11"/>
      <rgbColor rgb="FF4A452A"/>
      <rgbColor rgb="FFCCC1DA"/>
      <rgbColor rgb="FF444444"/>
      <rgbColor rgb="FF404040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18</xdr:col>
      <xdr:colOff>494280</xdr:colOff>
      <xdr:row>23</xdr:row>
      <xdr:rowOff>46800</xdr:rowOff>
    </xdr:to>
    <xdr:pic>
      <xdr:nvPicPr>
        <xdr:cNvPr id="2" name="Рисунок 1" descr="Smetadom.com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124400" y="190440"/>
          <a:ext cx="5028480" cy="4742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38160</xdr:colOff>
      <xdr:row>47</xdr:row>
      <xdr:rowOff>0</xdr:rowOff>
    </xdr:from>
    <xdr:to>
      <xdr:col>0</xdr:col>
      <xdr:colOff>609480</xdr:colOff>
      <xdr:row>47</xdr:row>
      <xdr:rowOff>0</xdr:rowOff>
    </xdr:to>
    <xdr:pic>
      <xdr:nvPicPr>
        <xdr:cNvPr id="2" name="Рисунок 1" descr="IMG_0080_Спецблок 1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160" y="780840"/>
          <a:ext cx="57132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190440</xdr:colOff>
      <xdr:row>27</xdr:row>
      <xdr:rowOff>0</xdr:rowOff>
    </xdr:from>
    <xdr:to>
      <xdr:col>0</xdr:col>
      <xdr:colOff>609120</xdr:colOff>
      <xdr:row>27</xdr:row>
      <xdr:rowOff>0</xdr:rowOff>
    </xdr:to>
    <xdr:pic>
      <xdr:nvPicPr>
        <xdr:cNvPr id="3" name="Рисунок 3" descr="IMG_0079_Половинчатый 2.jp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90440" y="399960"/>
          <a:ext cx="41868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66600</xdr:colOff>
      <xdr:row>140</xdr:row>
      <xdr:rowOff>0</xdr:rowOff>
    </xdr:from>
    <xdr:to>
      <xdr:col>0</xdr:col>
      <xdr:colOff>609120</xdr:colOff>
      <xdr:row>140</xdr:row>
      <xdr:rowOff>0</xdr:rowOff>
    </xdr:to>
    <xdr:pic>
      <xdr:nvPicPr>
        <xdr:cNvPr id="4" name="Рисунок 4" descr="thbig-42882 (1)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66600" y="2876400"/>
          <a:ext cx="54252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114480</xdr:colOff>
      <xdr:row>140</xdr:row>
      <xdr:rowOff>0</xdr:rowOff>
    </xdr:from>
    <xdr:to>
      <xdr:col>0</xdr:col>
      <xdr:colOff>609480</xdr:colOff>
      <xdr:row>140</xdr:row>
      <xdr:rowOff>0</xdr:rowOff>
    </xdr:to>
    <xdr:pic>
      <xdr:nvPicPr>
        <xdr:cNvPr id="5" name="Рисунок 5" descr="thbig-42882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114480" y="2876400"/>
          <a:ext cx="49500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76320</xdr:colOff>
      <xdr:row>27</xdr:row>
      <xdr:rowOff>0</xdr:rowOff>
    </xdr:from>
    <xdr:to>
      <xdr:col>0</xdr:col>
      <xdr:colOff>609480</xdr:colOff>
      <xdr:row>27</xdr:row>
      <xdr:rowOff>0</xdr:rowOff>
    </xdr:to>
    <xdr:pic>
      <xdr:nvPicPr>
        <xdr:cNvPr id="6" name="Рисунок 11" descr="IMG_0066_Угловой2 - копия.jp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76320" y="399960"/>
          <a:ext cx="53316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162000</xdr:colOff>
      <xdr:row>27</xdr:row>
      <xdr:rowOff>0</xdr:rowOff>
    </xdr:from>
    <xdr:to>
      <xdr:col>0</xdr:col>
      <xdr:colOff>609480</xdr:colOff>
      <xdr:row>27</xdr:row>
      <xdr:rowOff>0</xdr:rowOff>
    </xdr:to>
    <xdr:pic>
      <xdr:nvPicPr>
        <xdr:cNvPr id="7" name="Рисунок 12" descr="IMG_0079_Половинчатый 2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2000" y="399960"/>
          <a:ext cx="44748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57240</xdr:colOff>
      <xdr:row>27</xdr:row>
      <xdr:rowOff>0</xdr:rowOff>
    </xdr:from>
    <xdr:to>
      <xdr:col>0</xdr:col>
      <xdr:colOff>609480</xdr:colOff>
      <xdr:row>27</xdr:row>
      <xdr:rowOff>0</xdr:rowOff>
    </xdr:to>
    <xdr:pic>
      <xdr:nvPicPr>
        <xdr:cNvPr id="8" name="Рисунок 14" descr="IMG_0066_Угловой2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57240" y="399960"/>
          <a:ext cx="55224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162000</xdr:colOff>
      <xdr:row>27</xdr:row>
      <xdr:rowOff>0</xdr:rowOff>
    </xdr:from>
    <xdr:to>
      <xdr:col>0</xdr:col>
      <xdr:colOff>609480</xdr:colOff>
      <xdr:row>27</xdr:row>
      <xdr:rowOff>0</xdr:rowOff>
    </xdr:to>
    <xdr:pic>
      <xdr:nvPicPr>
        <xdr:cNvPr id="9" name="Рисунок 17" descr="IMG_0079_Половинчатый 2.jp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2000" y="399960"/>
          <a:ext cx="44748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66600</xdr:colOff>
      <xdr:row>105</xdr:row>
      <xdr:rowOff>0</xdr:rowOff>
    </xdr:from>
    <xdr:to>
      <xdr:col>0</xdr:col>
      <xdr:colOff>609120</xdr:colOff>
      <xdr:row>105</xdr:row>
      <xdr:rowOff>0</xdr:rowOff>
    </xdr:to>
    <xdr:pic>
      <xdr:nvPicPr>
        <xdr:cNvPr id="10" name="Рисунок 4" descr="thbig-42882 (1).jp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66600" y="2304720"/>
          <a:ext cx="54252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114480</xdr:colOff>
      <xdr:row>105</xdr:row>
      <xdr:rowOff>0</xdr:rowOff>
    </xdr:from>
    <xdr:to>
      <xdr:col>0</xdr:col>
      <xdr:colOff>609480</xdr:colOff>
      <xdr:row>105</xdr:row>
      <xdr:rowOff>0</xdr:rowOff>
    </xdr:to>
    <xdr:pic>
      <xdr:nvPicPr>
        <xdr:cNvPr id="11" name="Рисунок 5" descr="thbig-42882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114480" y="2304720"/>
          <a:ext cx="495000" cy="0"/>
        </a:xfrm>
        <a:prstGeom prst="rect">
          <a:avLst/>
        </a:prstGeom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415</xdr:row>
      <xdr:rowOff>19080</xdr:rowOff>
    </xdr:from>
    <xdr:to>
      <xdr:col>28</xdr:col>
      <xdr:colOff>171360</xdr:colOff>
      <xdr:row>415</xdr:row>
      <xdr:rowOff>38160</xdr:rowOff>
    </xdr:to>
    <xdr:sp macro="" textlink="">
      <xdr:nvSpPr>
        <xdr:cNvPr id="11" name="Прямая соединительная линия 1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 flipH="1" flipV="1">
          <a:off x="9549000" y="8524440"/>
          <a:ext cx="22046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21</xdr:col>
      <xdr:colOff>57600</xdr:colOff>
      <xdr:row>145</xdr:row>
      <xdr:rowOff>57240</xdr:rowOff>
    </xdr:from>
    <xdr:to>
      <xdr:col>31</xdr:col>
      <xdr:colOff>142920</xdr:colOff>
      <xdr:row>145</xdr:row>
      <xdr:rowOff>57600</xdr:rowOff>
    </xdr:to>
    <xdr:sp macro="" textlink="">
      <xdr:nvSpPr>
        <xdr:cNvPr id="12" name="Прямая со стрелкой 5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 flipV="1">
          <a:off x="10292760" y="6404400"/>
          <a:ext cx="2009160" cy="3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5875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162000</xdr:colOff>
      <xdr:row>145</xdr:row>
      <xdr:rowOff>57240</xdr:rowOff>
    </xdr:from>
    <xdr:to>
      <xdr:col>20</xdr:col>
      <xdr:colOff>228240</xdr:colOff>
      <xdr:row>145</xdr:row>
      <xdr:rowOff>57600</xdr:rowOff>
    </xdr:to>
    <xdr:sp macro="" textlink="">
      <xdr:nvSpPr>
        <xdr:cNvPr id="13" name="Прямая со стрелкой 7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 flipH="1" flipV="1">
          <a:off x="8042760" y="6404400"/>
          <a:ext cx="2118600" cy="3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5875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360</xdr:colOff>
      <xdr:row>415</xdr:row>
      <xdr:rowOff>133200</xdr:rowOff>
    </xdr:from>
    <xdr:to>
      <xdr:col>17</xdr:col>
      <xdr:colOff>162000</xdr:colOff>
      <xdr:row>415</xdr:row>
      <xdr:rowOff>142560</xdr:rowOff>
    </xdr:to>
    <xdr:sp macro="" textlink="">
      <xdr:nvSpPr>
        <xdr:cNvPr id="14" name="Прямая соединительная линия 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 flipH="1">
          <a:off x="8266320" y="8638920"/>
          <a:ext cx="112356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0</xdr:colOff>
      <xdr:row>415</xdr:row>
      <xdr:rowOff>85680</xdr:rowOff>
    </xdr:from>
    <xdr:to>
      <xdr:col>23</xdr:col>
      <xdr:colOff>16920</xdr:colOff>
      <xdr:row>415</xdr:row>
      <xdr:rowOff>85680</xdr:rowOff>
    </xdr:to>
    <xdr:sp macro="" textlink="">
      <xdr:nvSpPr>
        <xdr:cNvPr id="15" name="Прямая соединительная линия 1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 flipH="1">
          <a:off x="8266320" y="8591400"/>
          <a:ext cx="237096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28</xdr:col>
      <xdr:colOff>171360</xdr:colOff>
      <xdr:row>415</xdr:row>
      <xdr:rowOff>142920</xdr:rowOff>
    </xdr:from>
    <xdr:to>
      <xdr:col>28</xdr:col>
      <xdr:colOff>192240</xdr:colOff>
      <xdr:row>415</xdr:row>
      <xdr:rowOff>162000</xdr:rowOff>
    </xdr:to>
    <xdr:sp macro="" textlink="">
      <xdr:nvSpPr>
        <xdr:cNvPr id="16" name="Прямая соединительная линия 12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 flipH="1">
          <a:off x="11753640" y="8648280"/>
          <a:ext cx="2088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0</xdr:colOff>
      <xdr:row>415</xdr:row>
      <xdr:rowOff>0</xdr:rowOff>
    </xdr:from>
    <xdr:to>
      <xdr:col>18</xdr:col>
      <xdr:colOff>18720</xdr:colOff>
      <xdr:row>415</xdr:row>
      <xdr:rowOff>142560</xdr:rowOff>
    </xdr:to>
    <xdr:sp macro="" textlink="">
      <xdr:nvSpPr>
        <xdr:cNvPr id="17" name="Прямая соединительная линия 13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 flipH="1">
          <a:off x="7881480" y="8505720"/>
          <a:ext cx="1686240" cy="1425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37800</xdr:colOff>
      <xdr:row>415</xdr:row>
      <xdr:rowOff>86040</xdr:rowOff>
    </xdr:from>
    <xdr:to>
      <xdr:col>22</xdr:col>
      <xdr:colOff>192600</xdr:colOff>
      <xdr:row>415</xdr:row>
      <xdr:rowOff>105120</xdr:rowOff>
    </xdr:to>
    <xdr:sp macro="" textlink="">
      <xdr:nvSpPr>
        <xdr:cNvPr id="18" name="Прямая соединительная линия 14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 flipH="1" flipV="1">
          <a:off x="8304120" y="8591400"/>
          <a:ext cx="231624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0</xdr:colOff>
      <xdr:row>415</xdr:row>
      <xdr:rowOff>38160</xdr:rowOff>
    </xdr:from>
    <xdr:to>
      <xdr:col>29</xdr:col>
      <xdr:colOff>9360</xdr:colOff>
      <xdr:row>415</xdr:row>
      <xdr:rowOff>95400</xdr:rowOff>
    </xdr:to>
    <xdr:sp macro="" textlink="">
      <xdr:nvSpPr>
        <xdr:cNvPr id="19" name="Прямая соединительная линия 16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 flipV="1">
          <a:off x="10620360" y="8543520"/>
          <a:ext cx="116352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0</xdr:colOff>
      <xdr:row>415</xdr:row>
      <xdr:rowOff>9720</xdr:rowOff>
    </xdr:from>
    <xdr:to>
      <xdr:col>23</xdr:col>
      <xdr:colOff>0</xdr:colOff>
      <xdr:row>415</xdr:row>
      <xdr:rowOff>152640</xdr:rowOff>
    </xdr:to>
    <xdr:sp macro="" textlink="">
      <xdr:nvSpPr>
        <xdr:cNvPr id="20" name="Прямая соединительная линия 17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10620360" y="8515080"/>
          <a:ext cx="0" cy="1429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0</xdr:colOff>
      <xdr:row>415</xdr:row>
      <xdr:rowOff>19080</xdr:rowOff>
    </xdr:from>
    <xdr:to>
      <xdr:col>18</xdr:col>
      <xdr:colOff>0</xdr:colOff>
      <xdr:row>415</xdr:row>
      <xdr:rowOff>162000</xdr:rowOff>
    </xdr:to>
    <xdr:sp macro="" textlink="">
      <xdr:nvSpPr>
        <xdr:cNvPr id="21" name="Прямая соединительная линия 19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9549000" y="8524440"/>
          <a:ext cx="0" cy="1429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28440</xdr:colOff>
      <xdr:row>415</xdr:row>
      <xdr:rowOff>37800</xdr:rowOff>
    </xdr:from>
    <xdr:to>
      <xdr:col>17</xdr:col>
      <xdr:colOff>152280</xdr:colOff>
      <xdr:row>415</xdr:row>
      <xdr:rowOff>75960</xdr:rowOff>
    </xdr:to>
    <xdr:sp macro="" textlink="">
      <xdr:nvSpPr>
        <xdr:cNvPr id="22" name="Прямая соединительная линия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 flipH="1">
          <a:off x="8294760" y="8543520"/>
          <a:ext cx="108576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11</xdr:col>
      <xdr:colOff>123840</xdr:colOff>
      <xdr:row>415</xdr:row>
      <xdr:rowOff>9360</xdr:rowOff>
    </xdr:from>
    <xdr:to>
      <xdr:col>21</xdr:col>
      <xdr:colOff>161640</xdr:colOff>
      <xdr:row>415</xdr:row>
      <xdr:rowOff>18360</xdr:rowOff>
    </xdr:to>
    <xdr:sp macro="" textlink="">
      <xdr:nvSpPr>
        <xdr:cNvPr id="23" name="Прямая со стрелкой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8197560" y="8515080"/>
          <a:ext cx="2199600" cy="900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104040</xdr:colOff>
      <xdr:row>415</xdr:row>
      <xdr:rowOff>28440</xdr:rowOff>
    </xdr:from>
    <xdr:to>
      <xdr:col>18</xdr:col>
      <xdr:colOff>104400</xdr:colOff>
      <xdr:row>415</xdr:row>
      <xdr:rowOff>85320</xdr:rowOff>
    </xdr:to>
    <xdr:sp macro="" textlink="">
      <xdr:nvSpPr>
        <xdr:cNvPr id="24" name="Прямая со стрелкой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 flipH="1">
          <a:off x="9653040" y="8534160"/>
          <a:ext cx="360" cy="5688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114840</xdr:colOff>
      <xdr:row>415</xdr:row>
      <xdr:rowOff>152280</xdr:rowOff>
    </xdr:from>
    <xdr:to>
      <xdr:col>29</xdr:col>
      <xdr:colOff>66960</xdr:colOff>
      <xdr:row>415</xdr:row>
      <xdr:rowOff>161280</xdr:rowOff>
    </xdr:to>
    <xdr:sp macro="" textlink="">
      <xdr:nvSpPr>
        <xdr:cNvPr id="25" name="Прямая со стрелкой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 flipV="1">
          <a:off x="10734840" y="8657280"/>
          <a:ext cx="1106280" cy="900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37800</xdr:colOff>
      <xdr:row>457</xdr:row>
      <xdr:rowOff>0</xdr:rowOff>
    </xdr:from>
    <xdr:to>
      <xdr:col>21</xdr:col>
      <xdr:colOff>18720</xdr:colOff>
      <xdr:row>457</xdr:row>
      <xdr:rowOff>18720</xdr:rowOff>
    </xdr:to>
    <xdr:sp macro="" textlink="">
      <xdr:nv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 flipH="1" flipV="1">
          <a:off x="8688960" y="8865000"/>
          <a:ext cx="1565280" cy="18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9360</xdr:colOff>
      <xdr:row>457</xdr:row>
      <xdr:rowOff>9720</xdr:rowOff>
    </xdr:from>
    <xdr:to>
      <xdr:col>14</xdr:col>
      <xdr:colOff>18720</xdr:colOff>
      <xdr:row>457</xdr:row>
      <xdr:rowOff>114480</xdr:rowOff>
    </xdr:to>
    <xdr:sp macro="" textlink="">
      <xdr:nvSpPr>
        <xdr:cNvPr id="27" name="Прямая соединительная линия 27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8660520" y="8874360"/>
          <a:ext cx="936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15</xdr:col>
      <xdr:colOff>360</xdr:colOff>
      <xdr:row>457</xdr:row>
      <xdr:rowOff>9720</xdr:rowOff>
    </xdr:from>
    <xdr:to>
      <xdr:col>23</xdr:col>
      <xdr:colOff>28800</xdr:colOff>
      <xdr:row>457</xdr:row>
      <xdr:rowOff>105120</xdr:rowOff>
    </xdr:to>
    <xdr:sp macro="" textlink="">
      <xdr:nvSpPr>
        <xdr:cNvPr id="28" name="Прямая соединительная линия 29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 flipH="1">
          <a:off x="8843400" y="8874360"/>
          <a:ext cx="1805400" cy="954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13</xdr:col>
      <xdr:colOff>18720</xdr:colOff>
      <xdr:row>457</xdr:row>
      <xdr:rowOff>360</xdr:rowOff>
    </xdr:from>
    <xdr:to>
      <xdr:col>13</xdr:col>
      <xdr:colOff>171360</xdr:colOff>
      <xdr:row>457</xdr:row>
      <xdr:rowOff>114480</xdr:rowOff>
    </xdr:to>
    <xdr:sp macro="" textlink="">
      <xdr:nvSpPr>
        <xdr:cNvPr id="29" name="Прямая соединительная линия 32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 flipH="1" flipV="1">
          <a:off x="8477280" y="8865000"/>
          <a:ext cx="152640" cy="114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19080</xdr:colOff>
      <xdr:row>457</xdr:row>
      <xdr:rowOff>18720</xdr:rowOff>
    </xdr:from>
    <xdr:to>
      <xdr:col>32</xdr:col>
      <xdr:colOff>123840</xdr:colOff>
      <xdr:row>457</xdr:row>
      <xdr:rowOff>95040</xdr:rowOff>
    </xdr:to>
    <xdr:sp macro="" textlink="">
      <xdr:nvSpPr>
        <xdr:cNvPr id="30" name="Прямая соединительная линия 33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 flipH="1" flipV="1">
          <a:off x="10639080" y="8883720"/>
          <a:ext cx="183636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28</xdr:col>
      <xdr:colOff>18720</xdr:colOff>
      <xdr:row>457</xdr:row>
      <xdr:rowOff>85680</xdr:rowOff>
    </xdr:from>
    <xdr:to>
      <xdr:col>31</xdr:col>
      <xdr:colOff>75960</xdr:colOff>
      <xdr:row>457</xdr:row>
      <xdr:rowOff>85680</xdr:rowOff>
    </xdr:to>
    <xdr:sp macro="" textlink="">
      <xdr:nvSpPr>
        <xdr:cNvPr id="31" name="Прямая соединительная линия 34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11601000" y="8950680"/>
          <a:ext cx="63432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15</xdr:col>
      <xdr:colOff>171720</xdr:colOff>
      <xdr:row>457</xdr:row>
      <xdr:rowOff>95400</xdr:rowOff>
    </xdr:from>
    <xdr:to>
      <xdr:col>31</xdr:col>
      <xdr:colOff>86040</xdr:colOff>
      <xdr:row>457</xdr:row>
      <xdr:rowOff>162000</xdr:rowOff>
    </xdr:to>
    <xdr:sp macro="" textlink="">
      <xdr:nvSpPr>
        <xdr:cNvPr id="32" name="Прямая соединительная линия 35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 flipH="1" flipV="1">
          <a:off x="9014760" y="8960040"/>
          <a:ext cx="3230280" cy="666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28</xdr:col>
      <xdr:colOff>9360</xdr:colOff>
      <xdr:row>457</xdr:row>
      <xdr:rowOff>161640</xdr:rowOff>
    </xdr:from>
    <xdr:to>
      <xdr:col>31</xdr:col>
      <xdr:colOff>66600</xdr:colOff>
      <xdr:row>457</xdr:row>
      <xdr:rowOff>161640</xdr:rowOff>
    </xdr:to>
    <xdr:sp macro="" textlink="">
      <xdr:nvSpPr>
        <xdr:cNvPr id="33" name="Прямая соединительная линия 37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11591640" y="9026640"/>
          <a:ext cx="6343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13</xdr:col>
      <xdr:colOff>19080</xdr:colOff>
      <xdr:row>457</xdr:row>
      <xdr:rowOff>142920</xdr:rowOff>
    </xdr:from>
    <xdr:to>
      <xdr:col>13</xdr:col>
      <xdr:colOff>38160</xdr:colOff>
      <xdr:row>457</xdr:row>
      <xdr:rowOff>142920</xdr:rowOff>
    </xdr:to>
    <xdr:sp macro="" textlink="">
      <xdr:nvSpPr>
        <xdr:cNvPr id="34" name="Прямая соединительная линия 3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 flipV="1">
          <a:off x="8487000" y="8998200"/>
          <a:ext cx="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15</xdr:col>
      <xdr:colOff>171360</xdr:colOff>
      <xdr:row>457</xdr:row>
      <xdr:rowOff>38160</xdr:rowOff>
    </xdr:from>
    <xdr:to>
      <xdr:col>31</xdr:col>
      <xdr:colOff>75960</xdr:colOff>
      <xdr:row>457</xdr:row>
      <xdr:rowOff>86040</xdr:rowOff>
    </xdr:to>
    <xdr:sp macro="" textlink="">
      <xdr:nvSpPr>
        <xdr:cNvPr id="35" name="Прямая соединительная линия 41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 flipH="1" flipV="1">
          <a:off x="9014760" y="8902800"/>
          <a:ext cx="3220560" cy="478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15</xdr:col>
      <xdr:colOff>145080</xdr:colOff>
      <xdr:row>457</xdr:row>
      <xdr:rowOff>95040</xdr:rowOff>
    </xdr:from>
    <xdr:to>
      <xdr:col>16</xdr:col>
      <xdr:colOff>47520</xdr:colOff>
      <xdr:row>457</xdr:row>
      <xdr:rowOff>95040</xdr:rowOff>
    </xdr:to>
    <xdr:sp macro="" textlink="">
      <xdr:nvSpPr>
        <xdr:cNvPr id="36" name="Прямая соединительная линия 42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 flipV="1">
          <a:off x="9036000" y="8912520"/>
          <a:ext cx="0" cy="950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13</xdr:col>
      <xdr:colOff>47520</xdr:colOff>
      <xdr:row>457</xdr:row>
      <xdr:rowOff>95040</xdr:rowOff>
    </xdr:from>
    <xdr:to>
      <xdr:col>15</xdr:col>
      <xdr:colOff>180720</xdr:colOff>
      <xdr:row>457</xdr:row>
      <xdr:rowOff>95040</xdr:rowOff>
    </xdr:to>
    <xdr:sp macro="" textlink="">
      <xdr:nvSpPr>
        <xdr:cNvPr id="37" name="Прямая соединительная линия 43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8506080" y="8960040"/>
          <a:ext cx="51804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19080</xdr:colOff>
      <xdr:row>457</xdr:row>
      <xdr:rowOff>9360</xdr:rowOff>
    </xdr:from>
    <xdr:to>
      <xdr:col>28</xdr:col>
      <xdr:colOff>105120</xdr:colOff>
      <xdr:row>457</xdr:row>
      <xdr:rowOff>9360</xdr:rowOff>
    </xdr:to>
    <xdr:sp macro="" textlink="">
      <xdr:nvSpPr>
        <xdr:cNvPr id="38" name="Прямая соединительная линия 44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 flipH="1">
          <a:off x="10639080" y="8874360"/>
          <a:ext cx="10479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11</xdr:col>
      <xdr:colOff>133560</xdr:colOff>
      <xdr:row>457</xdr:row>
      <xdr:rowOff>19080</xdr:rowOff>
    </xdr:from>
    <xdr:to>
      <xdr:col>23</xdr:col>
      <xdr:colOff>38160</xdr:colOff>
      <xdr:row>457</xdr:row>
      <xdr:rowOff>114480</xdr:rowOff>
    </xdr:to>
    <xdr:sp macro="" textlink="">
      <xdr:nvSpPr>
        <xdr:cNvPr id="39" name="Прямая соединительная линия 45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 flipV="1">
          <a:off x="8206920" y="8883720"/>
          <a:ext cx="2451240" cy="954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142560</xdr:colOff>
      <xdr:row>457</xdr:row>
      <xdr:rowOff>9360</xdr:rowOff>
    </xdr:from>
    <xdr:to>
      <xdr:col>23</xdr:col>
      <xdr:colOff>47520</xdr:colOff>
      <xdr:row>457</xdr:row>
      <xdr:rowOff>9360</xdr:rowOff>
    </xdr:to>
    <xdr:sp macro="" textlink="">
      <xdr:nvSpPr>
        <xdr:cNvPr id="40" name="Прямая соединительная линия 46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8408880" y="8874360"/>
          <a:ext cx="225900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218880</xdr:colOff>
      <xdr:row>457</xdr:row>
      <xdr:rowOff>360</xdr:rowOff>
    </xdr:from>
    <xdr:to>
      <xdr:col>23</xdr:col>
      <xdr:colOff>37800</xdr:colOff>
      <xdr:row>457</xdr:row>
      <xdr:rowOff>76320</xdr:rowOff>
    </xdr:to>
    <xdr:sp macro="" textlink="">
      <xdr:nvSpPr>
        <xdr:cNvPr id="41" name="Прямая соединительная линия 47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 flipV="1">
          <a:off x="10152720" y="8865000"/>
          <a:ext cx="50544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13</xdr:col>
      <xdr:colOff>162000</xdr:colOff>
      <xdr:row>457</xdr:row>
      <xdr:rowOff>9360</xdr:rowOff>
    </xdr:from>
    <xdr:to>
      <xdr:col>20</xdr:col>
      <xdr:colOff>75960</xdr:colOff>
      <xdr:row>457</xdr:row>
      <xdr:rowOff>151920</xdr:rowOff>
    </xdr:to>
    <xdr:sp macro="" textlink="">
      <xdr:nvSpPr>
        <xdr:cNvPr id="42" name="Прямая со стрелкой 48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8620560" y="8874360"/>
          <a:ext cx="1389240" cy="1425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28</xdr:col>
      <xdr:colOff>85680</xdr:colOff>
      <xdr:row>457</xdr:row>
      <xdr:rowOff>123840</xdr:rowOff>
    </xdr:from>
    <xdr:to>
      <xdr:col>31</xdr:col>
      <xdr:colOff>161640</xdr:colOff>
      <xdr:row>457</xdr:row>
      <xdr:rowOff>151920</xdr:rowOff>
    </xdr:to>
    <xdr:sp macro="" textlink="">
      <xdr:nvSpPr>
        <xdr:cNvPr id="43" name="Прямая со стрелкой 5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 flipH="1">
          <a:off x="11667960" y="8988840"/>
          <a:ext cx="653040" cy="2808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16</xdr:col>
      <xdr:colOff>9360</xdr:colOff>
      <xdr:row>457</xdr:row>
      <xdr:rowOff>85680</xdr:rowOff>
    </xdr:from>
    <xdr:to>
      <xdr:col>31</xdr:col>
      <xdr:colOff>85320</xdr:colOff>
      <xdr:row>457</xdr:row>
      <xdr:rowOff>86040</xdr:rowOff>
    </xdr:to>
    <xdr:sp macro="" textlink="">
      <xdr:nvSpPr>
        <xdr:cNvPr id="44" name="Прямая со стрелкой 54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9045360" y="8950680"/>
          <a:ext cx="3199320" cy="3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9720</xdr:colOff>
      <xdr:row>457</xdr:row>
      <xdr:rowOff>66600</xdr:rowOff>
    </xdr:from>
    <xdr:to>
      <xdr:col>21</xdr:col>
      <xdr:colOff>9720</xdr:colOff>
      <xdr:row>457</xdr:row>
      <xdr:rowOff>75960</xdr:rowOff>
    </xdr:to>
    <xdr:sp macro="" textlink="">
      <xdr:nvSpPr>
        <xdr:cNvPr id="45" name="Прямая соединительная линия 6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 flipH="1" flipV="1">
          <a:off x="8660520" y="8931600"/>
          <a:ext cx="15843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21</xdr:col>
      <xdr:colOff>360</xdr:colOff>
      <xdr:row>457</xdr:row>
      <xdr:rowOff>19080</xdr:rowOff>
    </xdr:from>
    <xdr:to>
      <xdr:col>28</xdr:col>
      <xdr:colOff>19080</xdr:colOff>
      <xdr:row>457</xdr:row>
      <xdr:rowOff>66960</xdr:rowOff>
    </xdr:to>
    <xdr:sp macro="" textlink="">
      <xdr:nvSpPr>
        <xdr:cNvPr id="46" name="Прямая соединительная линия 6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/>
      </xdr:nvSpPr>
      <xdr:spPr>
        <a:xfrm flipH="1">
          <a:off x="10235520" y="8883720"/>
          <a:ext cx="136548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28</xdr:col>
      <xdr:colOff>28440</xdr:colOff>
      <xdr:row>457</xdr:row>
      <xdr:rowOff>9360</xdr:rowOff>
    </xdr:from>
    <xdr:to>
      <xdr:col>31</xdr:col>
      <xdr:colOff>85680</xdr:colOff>
      <xdr:row>457</xdr:row>
      <xdr:rowOff>9360</xdr:rowOff>
    </xdr:to>
    <xdr:sp macro="" textlink="">
      <xdr:nvSpPr>
        <xdr:cNvPr id="47" name="Прямая соединительная линия 6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11610720" y="8874360"/>
          <a:ext cx="6343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13</xdr:col>
      <xdr:colOff>9360</xdr:colOff>
      <xdr:row>457</xdr:row>
      <xdr:rowOff>133200</xdr:rowOff>
    </xdr:from>
    <xdr:to>
      <xdr:col>15</xdr:col>
      <xdr:colOff>161640</xdr:colOff>
      <xdr:row>457</xdr:row>
      <xdr:rowOff>133200</xdr:rowOff>
    </xdr:to>
    <xdr:sp macro="" textlink="">
      <xdr:nvSpPr>
        <xdr:cNvPr id="48" name="Прямая соединительная линия 65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8467920" y="8998200"/>
          <a:ext cx="53712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32</xdr:col>
      <xdr:colOff>161280</xdr:colOff>
      <xdr:row>457</xdr:row>
      <xdr:rowOff>85680</xdr:rowOff>
    </xdr:from>
    <xdr:to>
      <xdr:col>32</xdr:col>
      <xdr:colOff>170280</xdr:colOff>
      <xdr:row>457</xdr:row>
      <xdr:rowOff>161640</xdr:rowOff>
    </xdr:to>
    <xdr:sp macro="" textlink="">
      <xdr:nvSpPr>
        <xdr:cNvPr id="49" name="Прямая со стрелкой 66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/>
      </xdr:nvSpPr>
      <xdr:spPr>
        <a:xfrm flipH="1">
          <a:off x="12513240" y="8950680"/>
          <a:ext cx="9000" cy="759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152280</xdr:colOff>
      <xdr:row>511</xdr:row>
      <xdr:rowOff>162000</xdr:rowOff>
    </xdr:from>
    <xdr:to>
      <xdr:col>14</xdr:col>
      <xdr:colOff>47160</xdr:colOff>
      <xdr:row>511</xdr:row>
      <xdr:rowOff>162360</xdr:rowOff>
    </xdr:to>
    <xdr:sp macro="" textlink="">
      <xdr:nvSpPr>
        <xdr:cNvPr id="50" name="Прямая со стрелкой 7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7841160" y="9386640"/>
          <a:ext cx="857160" cy="3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114120</xdr:colOff>
      <xdr:row>145</xdr:row>
      <xdr:rowOff>57240</xdr:rowOff>
    </xdr:from>
    <xdr:to>
      <xdr:col>9</xdr:col>
      <xdr:colOff>114120</xdr:colOff>
      <xdr:row>145</xdr:row>
      <xdr:rowOff>114480</xdr:rowOff>
    </xdr:to>
    <xdr:sp macro="" textlink="">
      <xdr:nvSpPr>
        <xdr:cNvPr id="51" name="Прямая соединительная линия 82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7803000" y="6404760"/>
          <a:ext cx="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19080</xdr:colOff>
      <xdr:row>415</xdr:row>
      <xdr:rowOff>9720</xdr:rowOff>
    </xdr:from>
    <xdr:to>
      <xdr:col>22</xdr:col>
      <xdr:colOff>162000</xdr:colOff>
      <xdr:row>415</xdr:row>
      <xdr:rowOff>28800</xdr:rowOff>
    </xdr:to>
    <xdr:sp macro="" textlink="">
      <xdr:nvSpPr>
        <xdr:cNvPr id="52" name="Прямая соединительная линия 9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 flipH="1" flipV="1">
          <a:off x="8285040" y="8515080"/>
          <a:ext cx="230436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0</xdr:colOff>
      <xdr:row>415</xdr:row>
      <xdr:rowOff>152280</xdr:rowOff>
    </xdr:from>
    <xdr:to>
      <xdr:col>28</xdr:col>
      <xdr:colOff>192240</xdr:colOff>
      <xdr:row>415</xdr:row>
      <xdr:rowOff>161640</xdr:rowOff>
    </xdr:to>
    <xdr:sp macro="" textlink="">
      <xdr:nvSpPr>
        <xdr:cNvPr id="53" name="Прямая соединительная линия 9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 flipV="1">
          <a:off x="10620360" y="8658000"/>
          <a:ext cx="11541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28440</xdr:colOff>
      <xdr:row>415</xdr:row>
      <xdr:rowOff>28440</xdr:rowOff>
    </xdr:from>
    <xdr:to>
      <xdr:col>18</xdr:col>
      <xdr:colOff>18720</xdr:colOff>
      <xdr:row>415</xdr:row>
      <xdr:rowOff>28440</xdr:rowOff>
    </xdr:to>
    <xdr:sp macro="" textlink="">
      <xdr:nvSpPr>
        <xdr:cNvPr id="54" name="Прямая соединительная линия 9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 flipH="1">
          <a:off x="8294760" y="8534160"/>
          <a:ext cx="127296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24</xdr:col>
      <xdr:colOff>0</xdr:colOff>
      <xdr:row>889</xdr:row>
      <xdr:rowOff>75960</xdr:rowOff>
    </xdr:from>
    <xdr:to>
      <xdr:col>33</xdr:col>
      <xdr:colOff>47520</xdr:colOff>
      <xdr:row>889</xdr:row>
      <xdr:rowOff>114120</xdr:rowOff>
    </xdr:to>
    <xdr:sp macro="" textlink="">
      <xdr:nvSpPr>
        <xdr:cNvPr id="55" name="Прямая соединительная линия 95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 flipV="1">
          <a:off x="10812600" y="11457000"/>
          <a:ext cx="177912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0</xdr:colOff>
      <xdr:row>889</xdr:row>
      <xdr:rowOff>18720</xdr:rowOff>
    </xdr:from>
    <xdr:to>
      <xdr:col>18</xdr:col>
      <xdr:colOff>9360</xdr:colOff>
      <xdr:row>889</xdr:row>
      <xdr:rowOff>18720</xdr:rowOff>
    </xdr:to>
    <xdr:sp macro="" textlink="">
      <xdr:nvSpPr>
        <xdr:cNvPr id="56" name="Прямая соединительная линия 96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 flipH="1">
          <a:off x="9549000" y="11399760"/>
          <a:ext cx="936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152280</xdr:colOff>
      <xdr:row>889</xdr:row>
      <xdr:rowOff>28440</xdr:rowOff>
    </xdr:from>
    <xdr:to>
      <xdr:col>23</xdr:col>
      <xdr:colOff>171000</xdr:colOff>
      <xdr:row>889</xdr:row>
      <xdr:rowOff>94680</xdr:rowOff>
    </xdr:to>
    <xdr:sp macro="" textlink="">
      <xdr:nvSpPr>
        <xdr:cNvPr id="57" name="Прямая со стрелкой 97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7334640" y="11409480"/>
          <a:ext cx="3456720" cy="6624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24</xdr:col>
      <xdr:colOff>36360</xdr:colOff>
      <xdr:row>889</xdr:row>
      <xdr:rowOff>114120</xdr:rowOff>
    </xdr:from>
    <xdr:to>
      <xdr:col>24</xdr:col>
      <xdr:colOff>45720</xdr:colOff>
      <xdr:row>889</xdr:row>
      <xdr:rowOff>123480</xdr:rowOff>
    </xdr:to>
    <xdr:sp macro="" textlink="">
      <xdr:nvSpPr>
        <xdr:cNvPr id="58" name="Прямая соединительная линия 99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10848960" y="11495160"/>
          <a:ext cx="93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285480</xdr:colOff>
      <xdr:row>889</xdr:row>
      <xdr:rowOff>28800</xdr:rowOff>
    </xdr:from>
    <xdr:to>
      <xdr:col>7</xdr:col>
      <xdr:colOff>314280</xdr:colOff>
      <xdr:row>889</xdr:row>
      <xdr:rowOff>57240</xdr:rowOff>
    </xdr:to>
    <xdr:sp macro="" textlink="">
      <xdr:nvSpPr>
        <xdr:cNvPr id="59" name="Прямая соединительная линия 100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7467840" y="11409480"/>
          <a:ext cx="28800" cy="284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33</xdr:col>
      <xdr:colOff>28440</xdr:colOff>
      <xdr:row>889</xdr:row>
      <xdr:rowOff>57240</xdr:rowOff>
    </xdr:from>
    <xdr:to>
      <xdr:col>33</xdr:col>
      <xdr:colOff>28440</xdr:colOff>
      <xdr:row>889</xdr:row>
      <xdr:rowOff>66960</xdr:rowOff>
    </xdr:to>
    <xdr:sp macro="" textlink="">
      <xdr:nvSpPr>
        <xdr:cNvPr id="60" name="Прямая соединительная линия 101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12572640" y="11437920"/>
          <a:ext cx="0" cy="9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360</xdr:colOff>
      <xdr:row>889</xdr:row>
      <xdr:rowOff>37800</xdr:rowOff>
    </xdr:from>
    <xdr:to>
      <xdr:col>23</xdr:col>
      <xdr:colOff>192600</xdr:colOff>
      <xdr:row>889</xdr:row>
      <xdr:rowOff>114120</xdr:rowOff>
    </xdr:to>
    <xdr:sp macro="" textlink="">
      <xdr:nvSpPr>
        <xdr:cNvPr id="61" name="Прямая соединительная линия 102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 flipH="1" flipV="1">
          <a:off x="7496640" y="11418840"/>
          <a:ext cx="331596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161640</xdr:colOff>
      <xdr:row>889</xdr:row>
      <xdr:rowOff>28440</xdr:rowOff>
    </xdr:from>
    <xdr:to>
      <xdr:col>33</xdr:col>
      <xdr:colOff>28440</xdr:colOff>
      <xdr:row>889</xdr:row>
      <xdr:rowOff>114120</xdr:rowOff>
    </xdr:to>
    <xdr:sp macro="" textlink="">
      <xdr:nvSpPr>
        <xdr:cNvPr id="62" name="Прямая соединительная линия 103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 flipV="1">
          <a:off x="10782000" y="11409480"/>
          <a:ext cx="1790640" cy="856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19080</xdr:colOff>
      <xdr:row>889</xdr:row>
      <xdr:rowOff>9360</xdr:rowOff>
    </xdr:from>
    <xdr:to>
      <xdr:col>17</xdr:col>
      <xdr:colOff>321120</xdr:colOff>
      <xdr:row>889</xdr:row>
      <xdr:rowOff>18720</xdr:rowOff>
    </xdr:to>
    <xdr:sp macro="" textlink="">
      <xdr:nvSpPr>
        <xdr:cNvPr id="63" name="Прямая соединительная линия 104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 flipH="1">
          <a:off x="7515360" y="11390400"/>
          <a:ext cx="203364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360</xdr:colOff>
      <xdr:row>889</xdr:row>
      <xdr:rowOff>28440</xdr:rowOff>
    </xdr:from>
    <xdr:to>
      <xdr:col>33</xdr:col>
      <xdr:colOff>38160</xdr:colOff>
      <xdr:row>889</xdr:row>
      <xdr:rowOff>37800</xdr:rowOff>
    </xdr:to>
    <xdr:sp macro="" textlink="">
      <xdr:nvSpPr>
        <xdr:cNvPr id="64" name="Прямая соединительная линия 105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 flipH="1" flipV="1">
          <a:off x="9549000" y="11409480"/>
          <a:ext cx="303300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162000</xdr:colOff>
      <xdr:row>889</xdr:row>
      <xdr:rowOff>9360</xdr:rowOff>
    </xdr:from>
    <xdr:to>
      <xdr:col>20</xdr:col>
      <xdr:colOff>171000</xdr:colOff>
      <xdr:row>889</xdr:row>
      <xdr:rowOff>85320</xdr:rowOff>
    </xdr:to>
    <xdr:sp macro="" textlink="">
      <xdr:nvSpPr>
        <xdr:cNvPr id="65" name="Прямая со стрелкой 106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10095840" y="11390400"/>
          <a:ext cx="9000" cy="759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360</xdr:colOff>
      <xdr:row>889</xdr:row>
      <xdr:rowOff>47880</xdr:rowOff>
    </xdr:from>
    <xdr:to>
      <xdr:col>23</xdr:col>
      <xdr:colOff>192600</xdr:colOff>
      <xdr:row>889</xdr:row>
      <xdr:rowOff>123840</xdr:rowOff>
    </xdr:to>
    <xdr:sp macro="" textlink="">
      <xdr:nvSpPr>
        <xdr:cNvPr id="66" name="Прямая соединительная линия 107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 flipH="1" flipV="1">
          <a:off x="7496640" y="11428560"/>
          <a:ext cx="331596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9360</xdr:colOff>
      <xdr:row>889</xdr:row>
      <xdr:rowOff>9360</xdr:rowOff>
    </xdr:from>
    <xdr:to>
      <xdr:col>33</xdr:col>
      <xdr:colOff>47520</xdr:colOff>
      <xdr:row>889</xdr:row>
      <xdr:rowOff>56880</xdr:rowOff>
    </xdr:to>
    <xdr:sp macro="" textlink="">
      <xdr:nvSpPr>
        <xdr:cNvPr id="67" name="Прямая соединительная линия 108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 flipH="1" flipV="1">
          <a:off x="9558360" y="11390400"/>
          <a:ext cx="3033360" cy="4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276480</xdr:colOff>
      <xdr:row>889</xdr:row>
      <xdr:rowOff>19080</xdr:rowOff>
    </xdr:from>
    <xdr:to>
      <xdr:col>18</xdr:col>
      <xdr:colOff>9720</xdr:colOff>
      <xdr:row>889</xdr:row>
      <xdr:rowOff>38160</xdr:rowOff>
    </xdr:to>
    <xdr:sp macro="" textlink="">
      <xdr:nvSpPr>
        <xdr:cNvPr id="68" name="Прямая соединительная линия 109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/>
      </xdr:nvSpPr>
      <xdr:spPr>
        <a:xfrm flipV="1">
          <a:off x="7458480" y="11399760"/>
          <a:ext cx="209988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9360</xdr:colOff>
      <xdr:row>889</xdr:row>
      <xdr:rowOff>0</xdr:rowOff>
    </xdr:from>
    <xdr:to>
      <xdr:col>18</xdr:col>
      <xdr:colOff>18720</xdr:colOff>
      <xdr:row>889</xdr:row>
      <xdr:rowOff>9360</xdr:rowOff>
    </xdr:to>
    <xdr:sp macro="" textlink="">
      <xdr:nvSpPr>
        <xdr:cNvPr id="69" name="Прямая соединительная линия 110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 flipH="1">
          <a:off x="9558360" y="11381040"/>
          <a:ext cx="93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11</xdr:col>
      <xdr:colOff>95400</xdr:colOff>
      <xdr:row>889</xdr:row>
      <xdr:rowOff>85680</xdr:rowOff>
    </xdr:from>
    <xdr:to>
      <xdr:col>21</xdr:col>
      <xdr:colOff>142560</xdr:colOff>
      <xdr:row>889</xdr:row>
      <xdr:rowOff>86040</xdr:rowOff>
    </xdr:to>
    <xdr:sp macro="" textlink="">
      <xdr:nvSpPr>
        <xdr:cNvPr id="70" name="Прямая со стрелкой 111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/>
      </xdr:nvSpPr>
      <xdr:spPr>
        <a:xfrm flipH="1" flipV="1">
          <a:off x="8169120" y="11466000"/>
          <a:ext cx="2208960" cy="3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5875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123840</xdr:colOff>
      <xdr:row>236</xdr:row>
      <xdr:rowOff>0</xdr:rowOff>
    </xdr:from>
    <xdr:to>
      <xdr:col>14</xdr:col>
      <xdr:colOff>6480</xdr:colOff>
      <xdr:row>236</xdr:row>
      <xdr:rowOff>142560</xdr:rowOff>
    </xdr:to>
    <xdr:sp macro="" textlink="">
      <xdr:nvSpPr>
        <xdr:cNvPr id="71" name="Прямая соединительная линия 113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/>
      </xdr:nvSpPr>
      <xdr:spPr>
        <a:xfrm flipH="1">
          <a:off x="7620120" y="7067880"/>
          <a:ext cx="103716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6120</xdr:colOff>
      <xdr:row>236</xdr:row>
      <xdr:rowOff>360</xdr:rowOff>
    </xdr:from>
    <xdr:to>
      <xdr:col>19</xdr:col>
      <xdr:colOff>66600</xdr:colOff>
      <xdr:row>236</xdr:row>
      <xdr:rowOff>66960</xdr:rowOff>
    </xdr:to>
    <xdr:sp macro="" textlink="">
      <xdr:nvSpPr>
        <xdr:cNvPr id="72" name="Прямая соединительная линия 115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 flipH="1" flipV="1">
          <a:off x="8657280" y="7067880"/>
          <a:ext cx="115056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27</xdr:col>
      <xdr:colOff>133560</xdr:colOff>
      <xdr:row>236</xdr:row>
      <xdr:rowOff>19080</xdr:rowOff>
    </xdr:from>
    <xdr:to>
      <xdr:col>33</xdr:col>
      <xdr:colOff>95400</xdr:colOff>
      <xdr:row>236</xdr:row>
      <xdr:rowOff>76320</xdr:rowOff>
    </xdr:to>
    <xdr:sp macro="" textlink="">
      <xdr:nvSpPr>
        <xdr:cNvPr id="73" name="Прямая соединительная линия 116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 flipH="1" flipV="1">
          <a:off x="11522880" y="7086600"/>
          <a:ext cx="111636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123840</xdr:colOff>
      <xdr:row>236</xdr:row>
      <xdr:rowOff>28440</xdr:rowOff>
    </xdr:from>
    <xdr:to>
      <xdr:col>16</xdr:col>
      <xdr:colOff>171720</xdr:colOff>
      <xdr:row>236</xdr:row>
      <xdr:rowOff>104760</xdr:rowOff>
    </xdr:to>
    <xdr:sp macro="" textlink="">
      <xdr:nvSpPr>
        <xdr:cNvPr id="74" name="Прямая соединительная линия 118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/>
      </xdr:nvSpPr>
      <xdr:spPr>
        <a:xfrm flipH="1">
          <a:off x="7812360" y="7096320"/>
          <a:ext cx="139500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9360</xdr:colOff>
      <xdr:row>236</xdr:row>
      <xdr:rowOff>6480</xdr:rowOff>
    </xdr:from>
    <xdr:to>
      <xdr:col>27</xdr:col>
      <xdr:colOff>142560</xdr:colOff>
      <xdr:row>236</xdr:row>
      <xdr:rowOff>142920</xdr:rowOff>
    </xdr:to>
    <xdr:sp macro="" textlink="">
      <xdr:nvSpPr>
        <xdr:cNvPr id="75" name="Прямая соединительная линия 119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/>
      </xdr:nvSpPr>
      <xdr:spPr>
        <a:xfrm flipH="1">
          <a:off x="10437120" y="7074000"/>
          <a:ext cx="1095120" cy="136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27</xdr:col>
      <xdr:colOff>114120</xdr:colOff>
      <xdr:row>236</xdr:row>
      <xdr:rowOff>66960</xdr:rowOff>
    </xdr:from>
    <xdr:to>
      <xdr:col>33</xdr:col>
      <xdr:colOff>56880</xdr:colOff>
      <xdr:row>236</xdr:row>
      <xdr:rowOff>95400</xdr:rowOff>
    </xdr:to>
    <xdr:sp macro="" textlink="">
      <xdr:nvSpPr>
        <xdr:cNvPr id="76" name="Прямая соединительная линия 121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 flipH="1" flipV="1">
          <a:off x="11503800" y="7134480"/>
          <a:ext cx="109728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41040</xdr:colOff>
      <xdr:row>236</xdr:row>
      <xdr:rowOff>133200</xdr:rowOff>
    </xdr:from>
    <xdr:to>
      <xdr:col>22</xdr:col>
      <xdr:colOff>9360</xdr:colOff>
      <xdr:row>236</xdr:row>
      <xdr:rowOff>139680</xdr:rowOff>
    </xdr:to>
    <xdr:sp macro="" textlink="">
      <xdr:nvSpPr>
        <xdr:cNvPr id="77" name="Прямая соединительная линия 123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 flipH="1">
          <a:off x="9269280" y="7201080"/>
          <a:ext cx="1167840" cy="64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112320</xdr:colOff>
      <xdr:row>236</xdr:row>
      <xdr:rowOff>9360</xdr:rowOff>
    </xdr:from>
    <xdr:to>
      <xdr:col>22</xdr:col>
      <xdr:colOff>2880</xdr:colOff>
      <xdr:row>236</xdr:row>
      <xdr:rowOff>18720</xdr:rowOff>
    </xdr:to>
    <xdr:sp macro="" textlink="">
      <xdr:nvSpPr>
        <xdr:cNvPr id="78" name="Прямая соединительная линия 125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/>
      </xdr:nvSpPr>
      <xdr:spPr>
        <a:xfrm flipH="1">
          <a:off x="9340560" y="7077240"/>
          <a:ext cx="109008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13</xdr:col>
      <xdr:colOff>171360</xdr:colOff>
      <xdr:row>236</xdr:row>
      <xdr:rowOff>9720</xdr:rowOff>
    </xdr:from>
    <xdr:to>
      <xdr:col>19</xdr:col>
      <xdr:colOff>50760</xdr:colOff>
      <xdr:row>236</xdr:row>
      <xdr:rowOff>76320</xdr:rowOff>
    </xdr:to>
    <xdr:sp macro="" textlink="">
      <xdr:nvSpPr>
        <xdr:cNvPr id="79" name="Прямая соединительная линия 126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/>
      </xdr:nvSpPr>
      <xdr:spPr>
        <a:xfrm flipH="1" flipV="1">
          <a:off x="8629920" y="7077240"/>
          <a:ext cx="116208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19</xdr:col>
      <xdr:colOff>56880</xdr:colOff>
      <xdr:row>236</xdr:row>
      <xdr:rowOff>57240</xdr:rowOff>
    </xdr:from>
    <xdr:to>
      <xdr:col>19</xdr:col>
      <xdr:colOff>56880</xdr:colOff>
      <xdr:row>236</xdr:row>
      <xdr:rowOff>105120</xdr:rowOff>
    </xdr:to>
    <xdr:sp macro="" textlink="">
      <xdr:nvSpPr>
        <xdr:cNvPr id="80" name="Прямая соединительная линия 128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/>
      </xdr:nvSpPr>
      <xdr:spPr>
        <a:xfrm>
          <a:off x="9798120" y="7124760"/>
          <a:ext cx="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33</xdr:col>
      <xdr:colOff>85680</xdr:colOff>
      <xdr:row>236</xdr:row>
      <xdr:rowOff>66600</xdr:rowOff>
    </xdr:from>
    <xdr:to>
      <xdr:col>33</xdr:col>
      <xdr:colOff>85680</xdr:colOff>
      <xdr:row>236</xdr:row>
      <xdr:rowOff>114120</xdr:rowOff>
    </xdr:to>
    <xdr:sp macro="" textlink="">
      <xdr:nvSpPr>
        <xdr:cNvPr id="81" name="Прямая соединительная линия 129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12629880" y="7134480"/>
          <a:ext cx="0" cy="4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26</xdr:col>
      <xdr:colOff>57240</xdr:colOff>
      <xdr:row>236</xdr:row>
      <xdr:rowOff>75960</xdr:rowOff>
    </xdr:from>
    <xdr:to>
      <xdr:col>31</xdr:col>
      <xdr:colOff>146160</xdr:colOff>
      <xdr:row>236</xdr:row>
      <xdr:rowOff>75960</xdr:rowOff>
    </xdr:to>
    <xdr:sp macro="" textlink="">
      <xdr:nvSpPr>
        <xdr:cNvPr id="82" name="Прямая соединительная линия 134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 flipH="1">
          <a:off x="11254320" y="7143840"/>
          <a:ext cx="105084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123480</xdr:colOff>
      <xdr:row>272</xdr:row>
      <xdr:rowOff>18720</xdr:rowOff>
    </xdr:from>
    <xdr:to>
      <xdr:col>17</xdr:col>
      <xdr:colOff>28440</xdr:colOff>
      <xdr:row>272</xdr:row>
      <xdr:rowOff>142560</xdr:rowOff>
    </xdr:to>
    <xdr:sp macro="" textlink="">
      <xdr:nvSpPr>
        <xdr:cNvPr id="83" name="Прямая соединительная линия 135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/>
      </xdr:nvSpPr>
      <xdr:spPr>
        <a:xfrm flipH="1">
          <a:off x="7620120" y="7446240"/>
          <a:ext cx="1636560" cy="123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9360</xdr:colOff>
      <xdr:row>272</xdr:row>
      <xdr:rowOff>37800</xdr:rowOff>
    </xdr:from>
    <xdr:to>
      <xdr:col>19</xdr:col>
      <xdr:colOff>66600</xdr:colOff>
      <xdr:row>272</xdr:row>
      <xdr:rowOff>66600</xdr:rowOff>
    </xdr:to>
    <xdr:sp macro="" textlink="">
      <xdr:nvSpPr>
        <xdr:cNvPr id="84" name="Прямая соединительная линия 137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/>
      </xdr:nvSpPr>
      <xdr:spPr>
        <a:xfrm flipH="1" flipV="1">
          <a:off x="9237600" y="7465320"/>
          <a:ext cx="570240" cy="28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9720</xdr:colOff>
      <xdr:row>272</xdr:row>
      <xdr:rowOff>133200</xdr:rowOff>
    </xdr:from>
    <xdr:to>
      <xdr:col>24</xdr:col>
      <xdr:colOff>19080</xdr:colOff>
      <xdr:row>272</xdr:row>
      <xdr:rowOff>142560</xdr:rowOff>
    </xdr:to>
    <xdr:sp macro="" textlink="">
      <xdr:nvSpPr>
        <xdr:cNvPr id="85" name="Прямая соединительная линия 14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/>
      </xdr:nvSpPr>
      <xdr:spPr>
        <a:xfrm flipH="1">
          <a:off x="10437120" y="7560720"/>
          <a:ext cx="39420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133200</xdr:colOff>
      <xdr:row>272</xdr:row>
      <xdr:rowOff>133200</xdr:rowOff>
    </xdr:from>
    <xdr:to>
      <xdr:col>22</xdr:col>
      <xdr:colOff>9360</xdr:colOff>
      <xdr:row>272</xdr:row>
      <xdr:rowOff>142560</xdr:rowOff>
    </xdr:to>
    <xdr:sp macro="" textlink="">
      <xdr:nvSpPr>
        <xdr:cNvPr id="86" name="Прямая соединительная линия 142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 flipH="1">
          <a:off x="7629840" y="7560720"/>
          <a:ext cx="280728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142560</xdr:colOff>
      <xdr:row>272</xdr:row>
      <xdr:rowOff>9360</xdr:rowOff>
    </xdr:from>
    <xdr:to>
      <xdr:col>22</xdr:col>
      <xdr:colOff>2880</xdr:colOff>
      <xdr:row>272</xdr:row>
      <xdr:rowOff>133200</xdr:rowOff>
    </xdr:to>
    <xdr:sp macro="" textlink="">
      <xdr:nvSpPr>
        <xdr:cNvPr id="87" name="Прямая соединительная линия 144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/>
      </xdr:nvSpPr>
      <xdr:spPr>
        <a:xfrm flipH="1">
          <a:off x="7639200" y="7436880"/>
          <a:ext cx="2791440" cy="1238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19</xdr:col>
      <xdr:colOff>56880</xdr:colOff>
      <xdr:row>272</xdr:row>
      <xdr:rowOff>57240</xdr:rowOff>
    </xdr:from>
    <xdr:to>
      <xdr:col>19</xdr:col>
      <xdr:colOff>56880</xdr:colOff>
      <xdr:row>272</xdr:row>
      <xdr:rowOff>105120</xdr:rowOff>
    </xdr:to>
    <xdr:sp macro="" textlink="">
      <xdr:nvSpPr>
        <xdr:cNvPr id="88" name="Прямая соединительная линия 146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/>
      </xdr:nvSpPr>
      <xdr:spPr>
        <a:xfrm>
          <a:off x="9798120" y="7484400"/>
          <a:ext cx="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33</xdr:col>
      <xdr:colOff>85680</xdr:colOff>
      <xdr:row>272</xdr:row>
      <xdr:rowOff>66600</xdr:rowOff>
    </xdr:from>
    <xdr:to>
      <xdr:col>33</xdr:col>
      <xdr:colOff>85680</xdr:colOff>
      <xdr:row>272</xdr:row>
      <xdr:rowOff>114120</xdr:rowOff>
    </xdr:to>
    <xdr:sp macro="" textlink="">
      <xdr:nvSpPr>
        <xdr:cNvPr id="89" name="Прямая соединительная линия 147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12629880" y="7494120"/>
          <a:ext cx="0" cy="4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18720</xdr:colOff>
      <xdr:row>272</xdr:row>
      <xdr:rowOff>12600</xdr:rowOff>
    </xdr:from>
    <xdr:to>
      <xdr:col>33</xdr:col>
      <xdr:colOff>75960</xdr:colOff>
      <xdr:row>272</xdr:row>
      <xdr:rowOff>66600</xdr:rowOff>
    </xdr:to>
    <xdr:sp macro="" textlink="">
      <xdr:nvSpPr>
        <xdr:cNvPr id="90" name="Прямая соединительная линия 151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/>
      </xdr:nvSpPr>
      <xdr:spPr>
        <a:xfrm flipH="1" flipV="1">
          <a:off x="10446480" y="7440120"/>
          <a:ext cx="2173680" cy="540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47880</xdr:colOff>
      <xdr:row>352</xdr:row>
      <xdr:rowOff>56880</xdr:rowOff>
    </xdr:from>
    <xdr:to>
      <xdr:col>23</xdr:col>
      <xdr:colOff>133560</xdr:colOff>
      <xdr:row>352</xdr:row>
      <xdr:rowOff>133200</xdr:rowOff>
    </xdr:to>
    <xdr:sp macro="" textlink="">
      <xdr:nvSpPr>
        <xdr:cNvPr id="91" name="Прямая соединительная линия 154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/>
      </xdr:nvSpPr>
      <xdr:spPr>
        <a:xfrm flipH="1">
          <a:off x="8313840" y="8202960"/>
          <a:ext cx="243972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13</xdr:col>
      <xdr:colOff>56880</xdr:colOff>
      <xdr:row>352</xdr:row>
      <xdr:rowOff>47520</xdr:rowOff>
    </xdr:from>
    <xdr:to>
      <xdr:col>23</xdr:col>
      <xdr:colOff>104760</xdr:colOff>
      <xdr:row>352</xdr:row>
      <xdr:rowOff>56880</xdr:rowOff>
    </xdr:to>
    <xdr:sp macro="" textlink="">
      <xdr:nvSpPr>
        <xdr:cNvPr id="92" name="Прямая соединительная линия 156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/>
      </xdr:nvSpPr>
      <xdr:spPr>
        <a:xfrm flipH="1">
          <a:off x="8515440" y="8193600"/>
          <a:ext cx="220968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105120</xdr:colOff>
      <xdr:row>352</xdr:row>
      <xdr:rowOff>47880</xdr:rowOff>
    </xdr:from>
    <xdr:to>
      <xdr:col>13</xdr:col>
      <xdr:colOff>95400</xdr:colOff>
      <xdr:row>352</xdr:row>
      <xdr:rowOff>123840</xdr:rowOff>
    </xdr:to>
    <xdr:sp macro="" textlink="">
      <xdr:nvSpPr>
        <xdr:cNvPr id="93" name="Прямая соединительная линия 159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/>
      </xdr:nvSpPr>
      <xdr:spPr>
        <a:xfrm flipH="1">
          <a:off x="8371080" y="8193600"/>
          <a:ext cx="18252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21</xdr:col>
      <xdr:colOff>171360</xdr:colOff>
      <xdr:row>352</xdr:row>
      <xdr:rowOff>76320</xdr:rowOff>
    </xdr:from>
    <xdr:to>
      <xdr:col>26</xdr:col>
      <xdr:colOff>56880</xdr:colOff>
      <xdr:row>352</xdr:row>
      <xdr:rowOff>133560</xdr:rowOff>
    </xdr:to>
    <xdr:sp macro="" textlink="">
      <xdr:nvSpPr>
        <xdr:cNvPr id="94" name="Прямая соединительная линия 160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/>
      </xdr:nvSpPr>
      <xdr:spPr>
        <a:xfrm flipH="1">
          <a:off x="10406880" y="8222040"/>
          <a:ext cx="84744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26</xdr:col>
      <xdr:colOff>38160</xdr:colOff>
      <xdr:row>352</xdr:row>
      <xdr:rowOff>57240</xdr:rowOff>
    </xdr:from>
    <xdr:to>
      <xdr:col>33</xdr:col>
      <xdr:colOff>123840</xdr:colOff>
      <xdr:row>352</xdr:row>
      <xdr:rowOff>92160</xdr:rowOff>
    </xdr:to>
    <xdr:sp macro="" textlink="">
      <xdr:nvSpPr>
        <xdr:cNvPr id="95" name="Прямая соединительная линия 162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/>
      </xdr:nvSpPr>
      <xdr:spPr>
        <a:xfrm flipH="1">
          <a:off x="11235240" y="8202960"/>
          <a:ext cx="1432440" cy="349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21</xdr:col>
      <xdr:colOff>171720</xdr:colOff>
      <xdr:row>352</xdr:row>
      <xdr:rowOff>56880</xdr:rowOff>
    </xdr:from>
    <xdr:to>
      <xdr:col>33</xdr:col>
      <xdr:colOff>95400</xdr:colOff>
      <xdr:row>352</xdr:row>
      <xdr:rowOff>133200</xdr:rowOff>
    </xdr:to>
    <xdr:sp macro="" textlink="">
      <xdr:nvSpPr>
        <xdr:cNvPr id="96" name="Прямая соединительная линия 164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/>
      </xdr:nvSpPr>
      <xdr:spPr>
        <a:xfrm flipH="1">
          <a:off x="10406880" y="8202960"/>
          <a:ext cx="2232360" cy="763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19080</xdr:colOff>
      <xdr:row>352</xdr:row>
      <xdr:rowOff>9360</xdr:rowOff>
    </xdr:from>
    <xdr:to>
      <xdr:col>20</xdr:col>
      <xdr:colOff>105120</xdr:colOff>
      <xdr:row>352</xdr:row>
      <xdr:rowOff>18720</xdr:rowOff>
    </xdr:to>
    <xdr:sp macro="" textlink="">
      <xdr:nvSpPr>
        <xdr:cNvPr id="97" name="Прямая соединительная линия 168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/>
      </xdr:nvSpPr>
      <xdr:spPr>
        <a:xfrm flipH="1">
          <a:off x="9246960" y="8155440"/>
          <a:ext cx="79164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47880</xdr:colOff>
      <xdr:row>352</xdr:row>
      <xdr:rowOff>123480</xdr:rowOff>
    </xdr:from>
    <xdr:to>
      <xdr:col>8</xdr:col>
      <xdr:colOff>162000</xdr:colOff>
      <xdr:row>352</xdr:row>
      <xdr:rowOff>161640</xdr:rowOff>
    </xdr:to>
    <xdr:sp macro="" textlink="">
      <xdr:nvSpPr>
        <xdr:cNvPr id="98" name="Прямая соединительная линия 169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/>
      </xdr:nvSpPr>
      <xdr:spPr>
        <a:xfrm flipH="1">
          <a:off x="7544160" y="8269560"/>
          <a:ext cx="11412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0</xdr:colOff>
      <xdr:row>352</xdr:row>
      <xdr:rowOff>360</xdr:rowOff>
    </xdr:from>
    <xdr:to>
      <xdr:col>17</xdr:col>
      <xdr:colOff>0</xdr:colOff>
      <xdr:row>352</xdr:row>
      <xdr:rowOff>105120</xdr:rowOff>
    </xdr:to>
    <xdr:sp macro="" textlink="">
      <xdr:nvSpPr>
        <xdr:cNvPr id="99" name="Прямая соединительная линия 170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/>
      </xdr:nvSpPr>
      <xdr:spPr>
        <a:xfrm>
          <a:off x="9228240" y="8146080"/>
          <a:ext cx="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76320</xdr:colOff>
      <xdr:row>352</xdr:row>
      <xdr:rowOff>28440</xdr:rowOff>
    </xdr:from>
    <xdr:to>
      <xdr:col>20</xdr:col>
      <xdr:colOff>86040</xdr:colOff>
      <xdr:row>352</xdr:row>
      <xdr:rowOff>66600</xdr:rowOff>
    </xdr:to>
    <xdr:sp macro="" textlink="">
      <xdr:nvSpPr>
        <xdr:cNvPr id="100" name="Прямая соединительная линия 171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/>
      </xdr:nvSpPr>
      <xdr:spPr>
        <a:xfrm flipH="1">
          <a:off x="10009800" y="8174520"/>
          <a:ext cx="972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27000</xdr:colOff>
      <xdr:row>352</xdr:row>
      <xdr:rowOff>9720</xdr:rowOff>
    </xdr:from>
    <xdr:to>
      <xdr:col>20</xdr:col>
      <xdr:colOff>152640</xdr:colOff>
      <xdr:row>352</xdr:row>
      <xdr:rowOff>28800</xdr:rowOff>
    </xdr:to>
    <xdr:sp macro="" textlink="">
      <xdr:nvSpPr>
        <xdr:cNvPr id="101" name="Прямая соединительная линия 174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/>
      </xdr:nvSpPr>
      <xdr:spPr>
        <a:xfrm flipH="1">
          <a:off x="9254880" y="8155440"/>
          <a:ext cx="8312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19080</xdr:colOff>
      <xdr:row>352</xdr:row>
      <xdr:rowOff>86040</xdr:rowOff>
    </xdr:from>
    <xdr:to>
      <xdr:col>11</xdr:col>
      <xdr:colOff>171720</xdr:colOff>
      <xdr:row>352</xdr:row>
      <xdr:rowOff>92160</xdr:rowOff>
    </xdr:to>
    <xdr:sp macro="" textlink="">
      <xdr:nvSpPr>
        <xdr:cNvPr id="102" name="Прямая соединительная линия 175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/>
      </xdr:nvSpPr>
      <xdr:spPr>
        <a:xfrm flipH="1">
          <a:off x="7515360" y="8231760"/>
          <a:ext cx="729720" cy="6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9360</xdr:colOff>
      <xdr:row>352</xdr:row>
      <xdr:rowOff>123840</xdr:rowOff>
    </xdr:from>
    <xdr:to>
      <xdr:col>12</xdr:col>
      <xdr:colOff>133200</xdr:colOff>
      <xdr:row>352</xdr:row>
      <xdr:rowOff>133560</xdr:rowOff>
    </xdr:to>
    <xdr:sp macro="" textlink="">
      <xdr:nvSpPr>
        <xdr:cNvPr id="103" name="Прямая соединительная линия 176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/>
      </xdr:nvSpPr>
      <xdr:spPr>
        <a:xfrm flipH="1">
          <a:off x="7698240" y="8269560"/>
          <a:ext cx="701280" cy="9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171360</xdr:colOff>
      <xdr:row>8</xdr:row>
      <xdr:rowOff>9720</xdr:rowOff>
    </xdr:from>
    <xdr:to>
      <xdr:col>14</xdr:col>
      <xdr:colOff>192240</xdr:colOff>
      <xdr:row>26</xdr:row>
      <xdr:rowOff>95400</xdr:rowOff>
    </xdr:to>
    <xdr:sp macro="" textlink="">
      <xdr:nvSpPr>
        <xdr:cNvPr id="104" name="Прямая соединительная линия 177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/>
      </xdr:nvSpPr>
      <xdr:spPr>
        <a:xfrm>
          <a:off x="8822520" y="1505160"/>
          <a:ext cx="20880" cy="33202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9360</xdr:colOff>
      <xdr:row>25</xdr:row>
      <xdr:rowOff>66960</xdr:rowOff>
    </xdr:from>
    <xdr:to>
      <xdr:col>33</xdr:col>
      <xdr:colOff>171360</xdr:colOff>
      <xdr:row>27</xdr:row>
      <xdr:rowOff>146160</xdr:rowOff>
    </xdr:to>
    <xdr:sp macro="" textlink="">
      <xdr:nvSpPr>
        <xdr:cNvPr id="105" name="Прямая соединительная линия 178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/>
      </xdr:nvSpPr>
      <xdr:spPr>
        <a:xfrm flipH="1">
          <a:off x="10629720" y="4617360"/>
          <a:ext cx="2085840" cy="438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15</xdr:col>
      <xdr:colOff>9360</xdr:colOff>
      <xdr:row>23</xdr:row>
      <xdr:rowOff>142560</xdr:rowOff>
    </xdr:from>
    <xdr:to>
      <xdr:col>25</xdr:col>
      <xdr:colOff>18720</xdr:colOff>
      <xdr:row>26</xdr:row>
      <xdr:rowOff>50760</xdr:rowOff>
    </xdr:to>
    <xdr:sp macro="" textlink="">
      <xdr:nvSpPr>
        <xdr:cNvPr id="106" name="Прямая соединительная линия 179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/>
      </xdr:nvSpPr>
      <xdr:spPr>
        <a:xfrm flipH="1">
          <a:off x="8852760" y="4334040"/>
          <a:ext cx="2170800" cy="447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171720</xdr:colOff>
      <xdr:row>26</xdr:row>
      <xdr:rowOff>95040</xdr:rowOff>
    </xdr:from>
    <xdr:to>
      <xdr:col>23</xdr:col>
      <xdr:colOff>17280</xdr:colOff>
      <xdr:row>27</xdr:row>
      <xdr:rowOff>142560</xdr:rowOff>
    </xdr:to>
    <xdr:sp macro="" textlink="">
      <xdr:nvSpPr>
        <xdr:cNvPr id="107" name="Прямая соединительная линия 180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/>
      </xdr:nvSpPr>
      <xdr:spPr>
        <a:xfrm flipH="1" flipV="1">
          <a:off x="8822520" y="4825440"/>
          <a:ext cx="1814760" cy="22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24</xdr:col>
      <xdr:colOff>171720</xdr:colOff>
      <xdr:row>23</xdr:row>
      <xdr:rowOff>152640</xdr:rowOff>
    </xdr:from>
    <xdr:to>
      <xdr:col>33</xdr:col>
      <xdr:colOff>162000</xdr:colOff>
      <xdr:row>25</xdr:row>
      <xdr:rowOff>47880</xdr:rowOff>
    </xdr:to>
    <xdr:sp macro="" textlink="">
      <xdr:nvSpPr>
        <xdr:cNvPr id="108" name="Прямая соединительная линия 181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/>
      </xdr:nvSpPr>
      <xdr:spPr>
        <a:xfrm flipH="1" flipV="1">
          <a:off x="10983960" y="4343760"/>
          <a:ext cx="1721880" cy="2545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190440</xdr:colOff>
      <xdr:row>16</xdr:row>
      <xdr:rowOff>104760</xdr:rowOff>
    </xdr:from>
    <xdr:to>
      <xdr:col>33</xdr:col>
      <xdr:colOff>171360</xdr:colOff>
      <xdr:row>19</xdr:row>
      <xdr:rowOff>31680</xdr:rowOff>
    </xdr:to>
    <xdr:sp macro="" textlink="">
      <xdr:nvSpPr>
        <xdr:cNvPr id="109" name="Прямая соединительная линия 182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SpPr/>
      </xdr:nvSpPr>
      <xdr:spPr>
        <a:xfrm flipH="1">
          <a:off x="10618200" y="3038400"/>
          <a:ext cx="2097360" cy="465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162000</xdr:colOff>
      <xdr:row>17</xdr:row>
      <xdr:rowOff>133560</xdr:rowOff>
    </xdr:from>
    <xdr:to>
      <xdr:col>23</xdr:col>
      <xdr:colOff>7560</xdr:colOff>
      <xdr:row>19</xdr:row>
      <xdr:rowOff>28800</xdr:rowOff>
    </xdr:to>
    <xdr:sp macro="" textlink="">
      <xdr:nvSpPr>
        <xdr:cNvPr id="110" name="Прямая соединительная линия 183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SpPr/>
      </xdr:nvSpPr>
      <xdr:spPr>
        <a:xfrm flipH="1" flipV="1">
          <a:off x="8812800" y="3246480"/>
          <a:ext cx="1814760" cy="254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19440</xdr:colOff>
      <xdr:row>26</xdr:row>
      <xdr:rowOff>66600</xdr:rowOff>
    </xdr:from>
    <xdr:to>
      <xdr:col>34</xdr:col>
      <xdr:colOff>76320</xdr:colOff>
      <xdr:row>29</xdr:row>
      <xdr:rowOff>28080</xdr:rowOff>
    </xdr:to>
    <xdr:sp macro="" textlink="">
      <xdr:nvSpPr>
        <xdr:cNvPr id="111" name="Прямая со стрелкой 184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SpPr/>
      </xdr:nvSpPr>
      <xdr:spPr>
        <a:xfrm flipV="1">
          <a:off x="10639440" y="4795920"/>
          <a:ext cx="2301480" cy="5007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15</xdr:col>
      <xdr:colOff>0</xdr:colOff>
      <xdr:row>27</xdr:row>
      <xdr:rowOff>123840</xdr:rowOff>
    </xdr:from>
    <xdr:to>
      <xdr:col>22</xdr:col>
      <xdr:colOff>85320</xdr:colOff>
      <xdr:row>29</xdr:row>
      <xdr:rowOff>37800</xdr:rowOff>
    </xdr:to>
    <xdr:sp macro="" textlink="">
      <xdr:nvSpPr>
        <xdr:cNvPr id="112" name="Прямая со стрелкой 185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/>
      </xdr:nvSpPr>
      <xdr:spPr>
        <a:xfrm>
          <a:off x="8843400" y="5034240"/>
          <a:ext cx="1669680" cy="27324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19</xdr:col>
      <xdr:colOff>360</xdr:colOff>
      <xdr:row>11</xdr:row>
      <xdr:rowOff>142920</xdr:rowOff>
    </xdr:from>
    <xdr:to>
      <xdr:col>19</xdr:col>
      <xdr:colOff>9360</xdr:colOff>
      <xdr:row>18</xdr:row>
      <xdr:rowOff>56880</xdr:rowOff>
    </xdr:to>
    <xdr:sp macro="" textlink="">
      <xdr:nvSpPr>
        <xdr:cNvPr id="113" name="Прямая со стрелкой 186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SpPr/>
      </xdr:nvSpPr>
      <xdr:spPr>
        <a:xfrm flipV="1">
          <a:off x="9741240" y="2177280"/>
          <a:ext cx="9000" cy="117180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19</xdr:col>
      <xdr:colOff>0</xdr:colOff>
      <xdr:row>19</xdr:row>
      <xdr:rowOff>123840</xdr:rowOff>
    </xdr:from>
    <xdr:to>
      <xdr:col>19</xdr:col>
      <xdr:colOff>360</xdr:colOff>
      <xdr:row>26</xdr:row>
      <xdr:rowOff>18720</xdr:rowOff>
    </xdr:to>
    <xdr:sp macro="" textlink="">
      <xdr:nvSpPr>
        <xdr:cNvPr id="114" name="Прямая со стрелкой 187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SpPr/>
      </xdr:nvSpPr>
      <xdr:spPr>
        <a:xfrm flipH="1" flipV="1">
          <a:off x="9740520" y="3596400"/>
          <a:ext cx="360" cy="115272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66600</xdr:colOff>
      <xdr:row>272</xdr:row>
      <xdr:rowOff>75960</xdr:rowOff>
    </xdr:from>
    <xdr:to>
      <xdr:col>31</xdr:col>
      <xdr:colOff>37800</xdr:colOff>
      <xdr:row>272</xdr:row>
      <xdr:rowOff>129960</xdr:rowOff>
    </xdr:to>
    <xdr:sp macro="" textlink="">
      <xdr:nvSpPr>
        <xdr:cNvPr id="115" name="Прямая соединительная линия 188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SpPr/>
      </xdr:nvSpPr>
      <xdr:spPr>
        <a:xfrm flipH="1" flipV="1">
          <a:off x="10000440" y="7503480"/>
          <a:ext cx="2196720" cy="540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161640</xdr:colOff>
      <xdr:row>272</xdr:row>
      <xdr:rowOff>75960</xdr:rowOff>
    </xdr:from>
    <xdr:to>
      <xdr:col>21</xdr:col>
      <xdr:colOff>171360</xdr:colOff>
      <xdr:row>272</xdr:row>
      <xdr:rowOff>129960</xdr:rowOff>
    </xdr:to>
    <xdr:sp macro="" textlink="">
      <xdr:nvSpPr>
        <xdr:cNvPr id="116" name="Прямая соединительная линия 189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SpPr/>
      </xdr:nvSpPr>
      <xdr:spPr>
        <a:xfrm flipH="1" flipV="1">
          <a:off x="8043120" y="7503480"/>
          <a:ext cx="2363760" cy="540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133200</xdr:colOff>
      <xdr:row>272</xdr:row>
      <xdr:rowOff>28440</xdr:rowOff>
    </xdr:from>
    <xdr:to>
      <xdr:col>17</xdr:col>
      <xdr:colOff>18720</xdr:colOff>
      <xdr:row>272</xdr:row>
      <xdr:rowOff>37440</xdr:rowOff>
    </xdr:to>
    <xdr:sp macro="" textlink="">
      <xdr:nvSpPr>
        <xdr:cNvPr id="117" name="Прямая со стрелкой 193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SpPr/>
      </xdr:nvSpPr>
      <xdr:spPr>
        <a:xfrm flipH="1" flipV="1">
          <a:off x="8013960" y="7455240"/>
          <a:ext cx="1232280" cy="900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66600</xdr:colOff>
      <xdr:row>272</xdr:row>
      <xdr:rowOff>38160</xdr:rowOff>
    </xdr:from>
    <xdr:to>
      <xdr:col>19</xdr:col>
      <xdr:colOff>47160</xdr:colOff>
      <xdr:row>272</xdr:row>
      <xdr:rowOff>85320</xdr:rowOff>
    </xdr:to>
    <xdr:sp macro="" textlink="">
      <xdr:nvSpPr>
        <xdr:cNvPr id="118" name="Прямая со стрелкой 196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SpPr/>
      </xdr:nvSpPr>
      <xdr:spPr>
        <a:xfrm flipH="1" flipV="1">
          <a:off x="9294120" y="7464960"/>
          <a:ext cx="493560" cy="471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19</xdr:col>
      <xdr:colOff>47520</xdr:colOff>
      <xdr:row>272</xdr:row>
      <xdr:rowOff>0</xdr:rowOff>
    </xdr:from>
    <xdr:to>
      <xdr:col>21</xdr:col>
      <xdr:colOff>180360</xdr:colOff>
      <xdr:row>272</xdr:row>
      <xdr:rowOff>75960</xdr:rowOff>
    </xdr:to>
    <xdr:sp macro="" textlink="">
      <xdr:nvSpPr>
        <xdr:cNvPr id="119" name="Прямая со стрелкой 197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SpPr/>
      </xdr:nvSpPr>
      <xdr:spPr>
        <a:xfrm flipV="1">
          <a:off x="9788760" y="7426800"/>
          <a:ext cx="627120" cy="759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24</xdr:col>
      <xdr:colOff>142920</xdr:colOff>
      <xdr:row>272</xdr:row>
      <xdr:rowOff>9360</xdr:rowOff>
    </xdr:from>
    <xdr:to>
      <xdr:col>33</xdr:col>
      <xdr:colOff>161640</xdr:colOff>
      <xdr:row>272</xdr:row>
      <xdr:rowOff>85320</xdr:rowOff>
    </xdr:to>
    <xdr:sp macro="" textlink="">
      <xdr:nvSpPr>
        <xdr:cNvPr id="120" name="Прямая со стрелкой 19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SpPr/>
      </xdr:nvSpPr>
      <xdr:spPr>
        <a:xfrm flipH="1" flipV="1">
          <a:off x="10955520" y="7436160"/>
          <a:ext cx="1750320" cy="759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104760</xdr:colOff>
      <xdr:row>236</xdr:row>
      <xdr:rowOff>76320</xdr:rowOff>
    </xdr:from>
    <xdr:to>
      <xdr:col>21</xdr:col>
      <xdr:colOff>66240</xdr:colOff>
      <xdr:row>236</xdr:row>
      <xdr:rowOff>95040</xdr:rowOff>
    </xdr:to>
    <xdr:sp macro="" textlink="">
      <xdr:nvSpPr>
        <xdr:cNvPr id="121" name="Прямая со стрелкой 207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SpPr/>
      </xdr:nvSpPr>
      <xdr:spPr>
        <a:xfrm flipH="1" flipV="1">
          <a:off x="10037880" y="7144200"/>
          <a:ext cx="263160" cy="1872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27</xdr:col>
      <xdr:colOff>124200</xdr:colOff>
      <xdr:row>236</xdr:row>
      <xdr:rowOff>104760</xdr:rowOff>
    </xdr:from>
    <xdr:to>
      <xdr:col>27</xdr:col>
      <xdr:colOff>124560</xdr:colOff>
      <xdr:row>236</xdr:row>
      <xdr:rowOff>113760</xdr:rowOff>
    </xdr:to>
    <xdr:sp macro="" textlink="">
      <xdr:nvSpPr>
        <xdr:cNvPr id="122" name="Прямая со стрелкой 208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SpPr/>
      </xdr:nvSpPr>
      <xdr:spPr>
        <a:xfrm flipV="1">
          <a:off x="11513520" y="7171920"/>
          <a:ext cx="360" cy="900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124200</xdr:colOff>
      <xdr:row>352</xdr:row>
      <xdr:rowOff>114480</xdr:rowOff>
    </xdr:from>
    <xdr:to>
      <xdr:col>23</xdr:col>
      <xdr:colOff>66600</xdr:colOff>
      <xdr:row>352</xdr:row>
      <xdr:rowOff>142560</xdr:rowOff>
    </xdr:to>
    <xdr:sp macro="" textlink="">
      <xdr:nvSpPr>
        <xdr:cNvPr id="123" name="Прямая со стрелкой 213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SpPr/>
      </xdr:nvSpPr>
      <xdr:spPr>
        <a:xfrm flipV="1">
          <a:off x="8390160" y="8260560"/>
          <a:ext cx="2296440" cy="2808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200520</xdr:colOff>
      <xdr:row>352</xdr:row>
      <xdr:rowOff>19080</xdr:rowOff>
    </xdr:from>
    <xdr:to>
      <xdr:col>11</xdr:col>
      <xdr:colOff>38160</xdr:colOff>
      <xdr:row>352</xdr:row>
      <xdr:rowOff>85320</xdr:rowOff>
    </xdr:to>
    <xdr:sp macro="" textlink="">
      <xdr:nvSpPr>
        <xdr:cNvPr id="124" name="Прямая со стрелкой 214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SpPr/>
      </xdr:nvSpPr>
      <xdr:spPr>
        <a:xfrm flipV="1">
          <a:off x="7382520" y="8165160"/>
          <a:ext cx="729000" cy="6624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171360</xdr:colOff>
      <xdr:row>352</xdr:row>
      <xdr:rowOff>47520</xdr:rowOff>
    </xdr:from>
    <xdr:to>
      <xdr:col>12</xdr:col>
      <xdr:colOff>191880</xdr:colOff>
      <xdr:row>352</xdr:row>
      <xdr:rowOff>75600</xdr:rowOff>
    </xdr:to>
    <xdr:sp macro="" textlink="">
      <xdr:nvSpPr>
        <xdr:cNvPr id="125" name="Прямая со стрелкой 217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SpPr/>
      </xdr:nvSpPr>
      <xdr:spPr>
        <a:xfrm flipH="1" flipV="1">
          <a:off x="8436960" y="8193600"/>
          <a:ext cx="20520" cy="2808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47520</xdr:colOff>
      <xdr:row>352</xdr:row>
      <xdr:rowOff>19080</xdr:rowOff>
    </xdr:from>
    <xdr:to>
      <xdr:col>17</xdr:col>
      <xdr:colOff>56520</xdr:colOff>
      <xdr:row>352</xdr:row>
      <xdr:rowOff>28080</xdr:rowOff>
    </xdr:to>
    <xdr:sp macro="" textlink="">
      <xdr:nvSpPr>
        <xdr:cNvPr id="126" name="Прямая со стрелкой 222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SpPr/>
      </xdr:nvSpPr>
      <xdr:spPr>
        <a:xfrm>
          <a:off x="7736400" y="8165160"/>
          <a:ext cx="1548360" cy="900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21</xdr:col>
      <xdr:colOff>162000</xdr:colOff>
      <xdr:row>352</xdr:row>
      <xdr:rowOff>0</xdr:rowOff>
    </xdr:from>
    <xdr:to>
      <xdr:col>30</xdr:col>
      <xdr:colOff>95040</xdr:colOff>
      <xdr:row>352</xdr:row>
      <xdr:rowOff>47160</xdr:rowOff>
    </xdr:to>
    <xdr:sp macro="" textlink="">
      <xdr:nvSpPr>
        <xdr:cNvPr id="127" name="Прямая со стрелкой 223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SpPr/>
      </xdr:nvSpPr>
      <xdr:spPr>
        <a:xfrm>
          <a:off x="10397520" y="8146080"/>
          <a:ext cx="1664640" cy="471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24</xdr:col>
      <xdr:colOff>9360</xdr:colOff>
      <xdr:row>1</xdr:row>
      <xdr:rowOff>57240</xdr:rowOff>
    </xdr:from>
    <xdr:to>
      <xdr:col>29</xdr:col>
      <xdr:colOff>28080</xdr:colOff>
      <xdr:row>2</xdr:row>
      <xdr:rowOff>18720</xdr:rowOff>
    </xdr:to>
    <xdr:sp macro="" textlink="">
      <xdr:nvSpPr>
        <xdr:cNvPr id="128" name="Стрелка вправо 224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/>
      </xdr:nvSpPr>
      <xdr:spPr>
        <a:xfrm>
          <a:off x="10821960" y="236880"/>
          <a:ext cx="980640" cy="141120"/>
        </a:xfrm>
        <a:prstGeom prst="rightArrow">
          <a:avLst>
            <a:gd name="adj1" fmla="val 50000"/>
            <a:gd name="adj2" fmla="val 50000"/>
          </a:avLst>
        </a:prstGeom>
        <a:solidFill>
          <a:schemeClr val="bg1"/>
        </a:solidFill>
        <a:ln>
          <a:solidFill>
            <a:srgbClr val="00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85680</xdr:colOff>
      <xdr:row>352</xdr:row>
      <xdr:rowOff>66960</xdr:rowOff>
    </xdr:from>
    <xdr:to>
      <xdr:col>17</xdr:col>
      <xdr:colOff>95040</xdr:colOff>
      <xdr:row>352</xdr:row>
      <xdr:rowOff>86040</xdr:rowOff>
    </xdr:to>
    <xdr:sp macro="" textlink="">
      <xdr:nvSpPr>
        <xdr:cNvPr id="129" name="Прямая соединительная линия 225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SpPr/>
      </xdr:nvSpPr>
      <xdr:spPr>
        <a:xfrm>
          <a:off x="9313920" y="8212680"/>
          <a:ext cx="936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86040</xdr:colOff>
      <xdr:row>352</xdr:row>
      <xdr:rowOff>85680</xdr:rowOff>
    </xdr:from>
    <xdr:to>
      <xdr:col>19</xdr:col>
      <xdr:colOff>142920</xdr:colOff>
      <xdr:row>352</xdr:row>
      <xdr:rowOff>85680</xdr:rowOff>
    </xdr:to>
    <xdr:sp macro="" textlink="">
      <xdr:nvSpPr>
        <xdr:cNvPr id="130" name="Прямая соединительная линия 226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SpPr/>
      </xdr:nvSpPr>
      <xdr:spPr>
        <a:xfrm flipH="1">
          <a:off x="9313920" y="8231760"/>
          <a:ext cx="56988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15</xdr:col>
      <xdr:colOff>19080</xdr:colOff>
      <xdr:row>352</xdr:row>
      <xdr:rowOff>38160</xdr:rowOff>
    </xdr:from>
    <xdr:to>
      <xdr:col>15</xdr:col>
      <xdr:colOff>19440</xdr:colOff>
      <xdr:row>352</xdr:row>
      <xdr:rowOff>114120</xdr:rowOff>
    </xdr:to>
    <xdr:sp macro="" textlink="">
      <xdr:nvSpPr>
        <xdr:cNvPr id="131" name="Прямая со стрелкой 227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SpPr/>
      </xdr:nvSpPr>
      <xdr:spPr>
        <a:xfrm flipH="1" flipV="1">
          <a:off x="8861760" y="8183520"/>
          <a:ext cx="360" cy="759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360</xdr:colOff>
      <xdr:row>352</xdr:row>
      <xdr:rowOff>123840</xdr:rowOff>
    </xdr:from>
    <xdr:to>
      <xdr:col>12</xdr:col>
      <xdr:colOff>105120</xdr:colOff>
      <xdr:row>352</xdr:row>
      <xdr:rowOff>142920</xdr:rowOff>
    </xdr:to>
    <xdr:sp macro="" textlink="">
      <xdr:nvSpPr>
        <xdr:cNvPr id="132" name="Прямая соединительная линия 229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SpPr/>
      </xdr:nvSpPr>
      <xdr:spPr>
        <a:xfrm flipH="1">
          <a:off x="7688880" y="8269560"/>
          <a:ext cx="68220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171360</xdr:colOff>
      <xdr:row>352</xdr:row>
      <xdr:rowOff>9360</xdr:rowOff>
    </xdr:from>
    <xdr:to>
      <xdr:col>17</xdr:col>
      <xdr:colOff>85680</xdr:colOff>
      <xdr:row>352</xdr:row>
      <xdr:rowOff>47520</xdr:rowOff>
    </xdr:to>
    <xdr:sp macro="" textlink="">
      <xdr:nvSpPr>
        <xdr:cNvPr id="133" name="Прямая соединительная линия 230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SpPr/>
      </xdr:nvSpPr>
      <xdr:spPr>
        <a:xfrm flipH="1" flipV="1">
          <a:off x="7668000" y="8155440"/>
          <a:ext cx="164592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123840</xdr:colOff>
      <xdr:row>311</xdr:row>
      <xdr:rowOff>114480</xdr:rowOff>
    </xdr:from>
    <xdr:to>
      <xdr:col>16</xdr:col>
      <xdr:colOff>171720</xdr:colOff>
      <xdr:row>311</xdr:row>
      <xdr:rowOff>142920</xdr:rowOff>
    </xdr:to>
    <xdr:sp macro="" textlink="">
      <xdr:nvSpPr>
        <xdr:cNvPr id="134" name="Прямая соединительная линия 231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SpPr/>
      </xdr:nvSpPr>
      <xdr:spPr>
        <a:xfrm flipH="1">
          <a:off x="7620120" y="7900920"/>
          <a:ext cx="1587240" cy="284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16</xdr:col>
      <xdr:colOff>171720</xdr:colOff>
      <xdr:row>311</xdr:row>
      <xdr:rowOff>18720</xdr:rowOff>
    </xdr:from>
    <xdr:to>
      <xdr:col>24</xdr:col>
      <xdr:colOff>19080</xdr:colOff>
      <xdr:row>311</xdr:row>
      <xdr:rowOff>95040</xdr:rowOff>
    </xdr:to>
    <xdr:sp macro="" textlink="">
      <xdr:nvSpPr>
        <xdr:cNvPr id="135" name="Прямая соединительная линия 232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SpPr/>
      </xdr:nvSpPr>
      <xdr:spPr>
        <a:xfrm flipH="1">
          <a:off x="9207360" y="7805520"/>
          <a:ext cx="162396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24</xdr:col>
      <xdr:colOff>9360</xdr:colOff>
      <xdr:row>311</xdr:row>
      <xdr:rowOff>9720</xdr:rowOff>
    </xdr:from>
    <xdr:to>
      <xdr:col>33</xdr:col>
      <xdr:colOff>95040</xdr:colOff>
      <xdr:row>311</xdr:row>
      <xdr:rowOff>76320</xdr:rowOff>
    </xdr:to>
    <xdr:sp macro="" textlink="">
      <xdr:nvSpPr>
        <xdr:cNvPr id="136" name="Прямая соединительная линия 234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SpPr/>
      </xdr:nvSpPr>
      <xdr:spPr>
        <a:xfrm flipH="1" flipV="1">
          <a:off x="10821960" y="7796160"/>
          <a:ext cx="181728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9720</xdr:colOff>
      <xdr:row>311</xdr:row>
      <xdr:rowOff>18720</xdr:rowOff>
    </xdr:from>
    <xdr:to>
      <xdr:col>24</xdr:col>
      <xdr:colOff>9720</xdr:colOff>
      <xdr:row>311</xdr:row>
      <xdr:rowOff>142560</xdr:rowOff>
    </xdr:to>
    <xdr:sp macro="" textlink="">
      <xdr:nvSpPr>
        <xdr:cNvPr id="137" name="Прямая соединительная линия 2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SpPr/>
      </xdr:nvSpPr>
      <xdr:spPr>
        <a:xfrm flipH="1">
          <a:off x="10437120" y="7805520"/>
          <a:ext cx="384840" cy="1238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133200</xdr:colOff>
      <xdr:row>311</xdr:row>
      <xdr:rowOff>133200</xdr:rowOff>
    </xdr:from>
    <xdr:to>
      <xdr:col>22</xdr:col>
      <xdr:colOff>9360</xdr:colOff>
      <xdr:row>311</xdr:row>
      <xdr:rowOff>142560</xdr:rowOff>
    </xdr:to>
    <xdr:sp macro="" textlink="">
      <xdr:nvSpPr>
        <xdr:cNvPr id="138" name="Прямая соединительная линия 238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/>
      </xdr:nvSpPr>
      <xdr:spPr>
        <a:xfrm flipH="1">
          <a:off x="7629840" y="7920000"/>
          <a:ext cx="280728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33</xdr:col>
      <xdr:colOff>219240</xdr:colOff>
      <xdr:row>311</xdr:row>
      <xdr:rowOff>9360</xdr:rowOff>
    </xdr:from>
    <xdr:to>
      <xdr:col>34</xdr:col>
      <xdr:colOff>171360</xdr:colOff>
      <xdr:row>311</xdr:row>
      <xdr:rowOff>75600</xdr:rowOff>
    </xdr:to>
    <xdr:sp macro="" textlink="">
      <xdr:nvSpPr>
        <xdr:cNvPr id="139" name="Прямая со стрелкой 240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SpPr/>
      </xdr:nvSpPr>
      <xdr:spPr>
        <a:xfrm flipH="1" flipV="1">
          <a:off x="12763440" y="7796160"/>
          <a:ext cx="272880" cy="6624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16</xdr:col>
      <xdr:colOff>86040</xdr:colOff>
      <xdr:row>311</xdr:row>
      <xdr:rowOff>19080</xdr:rowOff>
    </xdr:from>
    <xdr:to>
      <xdr:col>24</xdr:col>
      <xdr:colOff>19080</xdr:colOff>
      <xdr:row>311</xdr:row>
      <xdr:rowOff>85320</xdr:rowOff>
    </xdr:to>
    <xdr:sp macro="" textlink="">
      <xdr:nvSpPr>
        <xdr:cNvPr id="140" name="Прямая со стрелкой 241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SpPr/>
      </xdr:nvSpPr>
      <xdr:spPr>
        <a:xfrm flipV="1">
          <a:off x="9121680" y="7805880"/>
          <a:ext cx="1709640" cy="6624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19</xdr:col>
      <xdr:colOff>47880</xdr:colOff>
      <xdr:row>311</xdr:row>
      <xdr:rowOff>56880</xdr:rowOff>
    </xdr:from>
    <xdr:to>
      <xdr:col>20</xdr:col>
      <xdr:colOff>19080</xdr:colOff>
      <xdr:row>311</xdr:row>
      <xdr:rowOff>133200</xdr:rowOff>
    </xdr:to>
    <xdr:sp macro="" textlink="">
      <xdr:nvSpPr>
        <xdr:cNvPr id="141" name="Прямая соединительная линия 242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SpPr/>
      </xdr:nvSpPr>
      <xdr:spPr>
        <a:xfrm flipH="1" flipV="1">
          <a:off x="9788760" y="7843680"/>
          <a:ext cx="16380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33</xdr:col>
      <xdr:colOff>66960</xdr:colOff>
      <xdr:row>311</xdr:row>
      <xdr:rowOff>75960</xdr:rowOff>
    </xdr:from>
    <xdr:to>
      <xdr:col>34</xdr:col>
      <xdr:colOff>123840</xdr:colOff>
      <xdr:row>311</xdr:row>
      <xdr:rowOff>152280</xdr:rowOff>
    </xdr:to>
    <xdr:sp macro="" textlink="">
      <xdr:nvSpPr>
        <xdr:cNvPr id="142" name="Прямая соединительная линия 243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SpPr/>
      </xdr:nvSpPr>
      <xdr:spPr>
        <a:xfrm flipH="1" flipV="1">
          <a:off x="12610800" y="7862760"/>
          <a:ext cx="37764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19</xdr:col>
      <xdr:colOff>152280</xdr:colOff>
      <xdr:row>311</xdr:row>
      <xdr:rowOff>19080</xdr:rowOff>
    </xdr:from>
    <xdr:to>
      <xdr:col>21</xdr:col>
      <xdr:colOff>9360</xdr:colOff>
      <xdr:row>311</xdr:row>
      <xdr:rowOff>66960</xdr:rowOff>
    </xdr:to>
    <xdr:sp macro="" textlink="">
      <xdr:nvSpPr>
        <xdr:cNvPr id="143" name="Прямая соединительная линия 248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SpPr/>
      </xdr:nvSpPr>
      <xdr:spPr>
        <a:xfrm flipH="1">
          <a:off x="9893520" y="7805520"/>
          <a:ext cx="351360" cy="478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</xdr:col>
      <xdr:colOff>324000</xdr:colOff>
      <xdr:row>311</xdr:row>
      <xdr:rowOff>38160</xdr:rowOff>
    </xdr:from>
    <xdr:to>
      <xdr:col>7</xdr:col>
      <xdr:colOff>9360</xdr:colOff>
      <xdr:row>311</xdr:row>
      <xdr:rowOff>104400</xdr:rowOff>
    </xdr:to>
    <xdr:sp macro="" textlink="">
      <xdr:nvSpPr>
        <xdr:cNvPr id="144" name="Соединительная линия уступом 249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SpPr/>
      </xdr:nvSpPr>
      <xdr:spPr>
        <a:xfrm>
          <a:off x="4819680" y="7824960"/>
          <a:ext cx="2372040" cy="66240"/>
        </a:xfrm>
        <a:prstGeom prst="bentConnector3">
          <a:avLst>
            <a:gd name="adj1" fmla="val 63527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</xdr:col>
      <xdr:colOff>590400</xdr:colOff>
      <xdr:row>311</xdr:row>
      <xdr:rowOff>47520</xdr:rowOff>
    </xdr:from>
    <xdr:to>
      <xdr:col>8</xdr:col>
      <xdr:colOff>56520</xdr:colOff>
      <xdr:row>311</xdr:row>
      <xdr:rowOff>56520</xdr:rowOff>
    </xdr:to>
    <xdr:sp macro="" textlink="">
      <xdr:nvSpPr>
        <xdr:cNvPr id="145" name="Соединительная линия уступом 250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SpPr/>
      </xdr:nvSpPr>
      <xdr:spPr>
        <a:xfrm>
          <a:off x="5086080" y="7834320"/>
          <a:ext cx="2467080" cy="9000"/>
        </a:xfrm>
        <a:prstGeom prst="bentConnector3">
          <a:avLst>
            <a:gd name="adj1" fmla="val 85349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24</xdr:col>
      <xdr:colOff>133200</xdr:colOff>
      <xdr:row>311</xdr:row>
      <xdr:rowOff>28440</xdr:rowOff>
    </xdr:from>
    <xdr:to>
      <xdr:col>33</xdr:col>
      <xdr:colOff>94680</xdr:colOff>
      <xdr:row>311</xdr:row>
      <xdr:rowOff>85320</xdr:rowOff>
    </xdr:to>
    <xdr:sp macro="" textlink="">
      <xdr:nvSpPr>
        <xdr:cNvPr id="146" name="Прямая со стрелкой 252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SpPr/>
      </xdr:nvSpPr>
      <xdr:spPr>
        <a:xfrm>
          <a:off x="10945800" y="7815240"/>
          <a:ext cx="1693080" cy="5688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85680</xdr:colOff>
      <xdr:row>10</xdr:row>
      <xdr:rowOff>38160</xdr:rowOff>
    </xdr:from>
    <xdr:to>
      <xdr:col>18</xdr:col>
      <xdr:colOff>28080</xdr:colOff>
      <xdr:row>11</xdr:row>
      <xdr:rowOff>114120</xdr:rowOff>
    </xdr:to>
    <xdr:sp macro="" textlink="">
      <xdr:nvSpPr>
        <xdr:cNvPr id="147" name="Соединительная линия уступом 253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SpPr/>
      </xdr:nvSpPr>
      <xdr:spPr>
        <a:xfrm>
          <a:off x="7268040" y="1893600"/>
          <a:ext cx="2309040" cy="2556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161640</xdr:colOff>
      <xdr:row>18</xdr:row>
      <xdr:rowOff>86040</xdr:rowOff>
    </xdr:from>
    <xdr:to>
      <xdr:col>22</xdr:col>
      <xdr:colOff>180720</xdr:colOff>
      <xdr:row>19</xdr:row>
      <xdr:rowOff>133560</xdr:rowOff>
    </xdr:to>
    <xdr:sp macro="" textlink="">
      <xdr:nvSpPr>
        <xdr:cNvPr id="148" name="Прямая соединительная линия 254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SpPr/>
      </xdr:nvSpPr>
      <xdr:spPr>
        <a:xfrm flipH="1" flipV="1">
          <a:off x="8812800" y="3378600"/>
          <a:ext cx="1795680" cy="227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15</xdr:col>
      <xdr:colOff>0</xdr:colOff>
      <xdr:row>25</xdr:row>
      <xdr:rowOff>142560</xdr:rowOff>
    </xdr:from>
    <xdr:to>
      <xdr:col>23</xdr:col>
      <xdr:colOff>18720</xdr:colOff>
      <xdr:row>27</xdr:row>
      <xdr:rowOff>37800</xdr:rowOff>
    </xdr:to>
    <xdr:sp macro="" textlink="">
      <xdr:nvSpPr>
        <xdr:cNvPr id="149" name="Прямая соединительная линия 255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SpPr/>
      </xdr:nvSpPr>
      <xdr:spPr>
        <a:xfrm flipH="1" flipV="1">
          <a:off x="8843400" y="4693320"/>
          <a:ext cx="1795680" cy="254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19080</xdr:colOff>
      <xdr:row>24</xdr:row>
      <xdr:rowOff>133200</xdr:rowOff>
    </xdr:from>
    <xdr:to>
      <xdr:col>33</xdr:col>
      <xdr:colOff>190800</xdr:colOff>
      <xdr:row>27</xdr:row>
      <xdr:rowOff>31680</xdr:rowOff>
    </xdr:to>
    <xdr:sp macro="" textlink="">
      <xdr:nvSpPr>
        <xdr:cNvPr id="150" name="Прямая соединительная линия 256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SpPr/>
      </xdr:nvSpPr>
      <xdr:spPr>
        <a:xfrm flipH="1">
          <a:off x="10639080" y="4504320"/>
          <a:ext cx="2095560" cy="437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9360</xdr:colOff>
      <xdr:row>17</xdr:row>
      <xdr:rowOff>86040</xdr:rowOff>
    </xdr:from>
    <xdr:to>
      <xdr:col>33</xdr:col>
      <xdr:colOff>171360</xdr:colOff>
      <xdr:row>19</xdr:row>
      <xdr:rowOff>136800</xdr:rowOff>
    </xdr:to>
    <xdr:sp macro="" textlink="">
      <xdr:nvSpPr>
        <xdr:cNvPr id="151" name="Прямая соединительная линия 257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SpPr/>
      </xdr:nvSpPr>
      <xdr:spPr>
        <a:xfrm flipH="1">
          <a:off x="10629720" y="3198960"/>
          <a:ext cx="2085840" cy="4100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47520</xdr:colOff>
      <xdr:row>17</xdr:row>
      <xdr:rowOff>47520</xdr:rowOff>
    </xdr:from>
    <xdr:to>
      <xdr:col>14</xdr:col>
      <xdr:colOff>151920</xdr:colOff>
      <xdr:row>18</xdr:row>
      <xdr:rowOff>94680</xdr:rowOff>
    </xdr:to>
    <xdr:sp macro="" textlink="">
      <xdr:nvSpPr>
        <xdr:cNvPr id="152" name="Соединительная линия уступом 258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SpPr/>
      </xdr:nvSpPr>
      <xdr:spPr>
        <a:xfrm>
          <a:off x="7229880" y="3160800"/>
          <a:ext cx="1573200" cy="226800"/>
        </a:xfrm>
        <a:prstGeom prst="bentConnector3">
          <a:avLst>
            <a:gd name="adj1" fmla="val 33974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85680</xdr:colOff>
      <xdr:row>25</xdr:row>
      <xdr:rowOff>38160</xdr:rowOff>
    </xdr:from>
    <xdr:to>
      <xdr:col>14</xdr:col>
      <xdr:colOff>94680</xdr:colOff>
      <xdr:row>26</xdr:row>
      <xdr:rowOff>85320</xdr:rowOff>
    </xdr:to>
    <xdr:sp macro="" textlink="">
      <xdr:nvSpPr>
        <xdr:cNvPr id="153" name="Соединительная линия уступом 259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SpPr/>
      </xdr:nvSpPr>
      <xdr:spPr>
        <a:xfrm>
          <a:off x="7268040" y="4588920"/>
          <a:ext cx="1477800" cy="226800"/>
        </a:xfrm>
        <a:prstGeom prst="bentConnector3">
          <a:avLst>
            <a:gd name="adj1" fmla="val 34247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85680</xdr:colOff>
      <xdr:row>21</xdr:row>
      <xdr:rowOff>28440</xdr:rowOff>
    </xdr:from>
    <xdr:to>
      <xdr:col>14</xdr:col>
      <xdr:colOff>171000</xdr:colOff>
      <xdr:row>25</xdr:row>
      <xdr:rowOff>142560</xdr:rowOff>
    </xdr:to>
    <xdr:sp macro="" textlink="">
      <xdr:nvSpPr>
        <xdr:cNvPr id="154" name="Соединительная линия уступом 260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/>
      </xdr:nvSpPr>
      <xdr:spPr>
        <a:xfrm>
          <a:off x="7268040" y="3860640"/>
          <a:ext cx="1554120" cy="8326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5</xdr:col>
      <xdr:colOff>399960</xdr:colOff>
      <xdr:row>236</xdr:row>
      <xdr:rowOff>9360</xdr:rowOff>
    </xdr:from>
    <xdr:to>
      <xdr:col>8</xdr:col>
      <xdr:colOff>94680</xdr:colOff>
      <xdr:row>236</xdr:row>
      <xdr:rowOff>113760</xdr:rowOff>
    </xdr:to>
    <xdr:sp macro="" textlink="">
      <xdr:nvSpPr>
        <xdr:cNvPr id="155" name="Соединительная линия уступом 262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SpPr/>
      </xdr:nvSpPr>
      <xdr:spPr>
        <a:xfrm>
          <a:off x="6261480" y="7077240"/>
          <a:ext cx="1329840" cy="104400"/>
        </a:xfrm>
        <a:prstGeom prst="bentConnector3">
          <a:avLst>
            <a:gd name="adj1" fmla="val 53077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76320</xdr:colOff>
      <xdr:row>272</xdr:row>
      <xdr:rowOff>28440</xdr:rowOff>
    </xdr:from>
    <xdr:to>
      <xdr:col>16</xdr:col>
      <xdr:colOff>75960</xdr:colOff>
      <xdr:row>272</xdr:row>
      <xdr:rowOff>47160</xdr:rowOff>
    </xdr:to>
    <xdr:sp macro="" textlink="">
      <xdr:nvSpPr>
        <xdr:cNvPr id="156" name="Соединительная линия уступом 263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SpPr/>
      </xdr:nvSpPr>
      <xdr:spPr>
        <a:xfrm>
          <a:off x="7258680" y="7455960"/>
          <a:ext cx="1853280" cy="187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4</xdr:col>
      <xdr:colOff>257040</xdr:colOff>
      <xdr:row>272</xdr:row>
      <xdr:rowOff>57240</xdr:rowOff>
    </xdr:from>
    <xdr:to>
      <xdr:col>8</xdr:col>
      <xdr:colOff>47160</xdr:colOff>
      <xdr:row>272</xdr:row>
      <xdr:rowOff>142560</xdr:rowOff>
    </xdr:to>
    <xdr:sp macro="" textlink="">
      <xdr:nvSpPr>
        <xdr:cNvPr id="157" name="Соединительная линия уступом 264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SpPr/>
      </xdr:nvSpPr>
      <xdr:spPr>
        <a:xfrm>
          <a:off x="5445360" y="7484760"/>
          <a:ext cx="2098440" cy="85320"/>
        </a:xfrm>
        <a:prstGeom prst="bentConnector3">
          <a:avLst>
            <a:gd name="adj1" fmla="val 73494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4</xdr:col>
      <xdr:colOff>371520</xdr:colOff>
      <xdr:row>352</xdr:row>
      <xdr:rowOff>47520</xdr:rowOff>
    </xdr:from>
    <xdr:to>
      <xdr:col>11</xdr:col>
      <xdr:colOff>161640</xdr:colOff>
      <xdr:row>352</xdr:row>
      <xdr:rowOff>123480</xdr:rowOff>
    </xdr:to>
    <xdr:sp macro="" textlink="">
      <xdr:nvSpPr>
        <xdr:cNvPr id="158" name="Соединительная линия уступом 265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SpPr/>
      </xdr:nvSpPr>
      <xdr:spPr>
        <a:xfrm>
          <a:off x="5559840" y="8193600"/>
          <a:ext cx="2675520" cy="759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4</xdr:col>
      <xdr:colOff>352440</xdr:colOff>
      <xdr:row>352</xdr:row>
      <xdr:rowOff>47520</xdr:rowOff>
    </xdr:from>
    <xdr:to>
      <xdr:col>7</xdr:col>
      <xdr:colOff>313920</xdr:colOff>
      <xdr:row>352</xdr:row>
      <xdr:rowOff>151920</xdr:rowOff>
    </xdr:to>
    <xdr:sp macro="" textlink="">
      <xdr:nvSpPr>
        <xdr:cNvPr id="159" name="Соединительная линия уступом 266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SpPr/>
      </xdr:nvSpPr>
      <xdr:spPr>
        <a:xfrm>
          <a:off x="5540760" y="8193600"/>
          <a:ext cx="1955520" cy="104400"/>
        </a:xfrm>
        <a:prstGeom prst="bentConnector3">
          <a:avLst>
            <a:gd name="adj1" fmla="val 71192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57240</xdr:colOff>
      <xdr:row>352</xdr:row>
      <xdr:rowOff>28440</xdr:rowOff>
    </xdr:from>
    <xdr:to>
      <xdr:col>21</xdr:col>
      <xdr:colOff>123480</xdr:colOff>
      <xdr:row>352</xdr:row>
      <xdr:rowOff>113760</xdr:rowOff>
    </xdr:to>
    <xdr:sp macro="" textlink="">
      <xdr:nvSpPr>
        <xdr:cNvPr id="160" name="Соединительная линия уступом 267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SpPr/>
      </xdr:nvSpPr>
      <xdr:spPr>
        <a:xfrm>
          <a:off x="9285480" y="8174520"/>
          <a:ext cx="1073520" cy="853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152640</xdr:colOff>
      <xdr:row>415</xdr:row>
      <xdr:rowOff>19080</xdr:rowOff>
    </xdr:from>
    <xdr:to>
      <xdr:col>30</xdr:col>
      <xdr:colOff>133560</xdr:colOff>
      <xdr:row>415</xdr:row>
      <xdr:rowOff>105120</xdr:rowOff>
    </xdr:to>
    <xdr:sp macro="" textlink="">
      <xdr:nvSpPr>
        <xdr:cNvPr id="161" name="Прямая соединительная линия 269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SpPr/>
      </xdr:nvSpPr>
      <xdr:spPr>
        <a:xfrm flipH="1">
          <a:off x="10580040" y="8524440"/>
          <a:ext cx="1520280" cy="860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75960</xdr:colOff>
      <xdr:row>415</xdr:row>
      <xdr:rowOff>76320</xdr:rowOff>
    </xdr:from>
    <xdr:to>
      <xdr:col>16</xdr:col>
      <xdr:colOff>123480</xdr:colOff>
      <xdr:row>415</xdr:row>
      <xdr:rowOff>86040</xdr:rowOff>
    </xdr:to>
    <xdr:sp macro="" textlink="">
      <xdr:nvSpPr>
        <xdr:cNvPr id="162" name="Прямая соединительная линия 270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SpPr/>
      </xdr:nvSpPr>
      <xdr:spPr>
        <a:xfrm flipH="1">
          <a:off x="7572600" y="8581680"/>
          <a:ext cx="1586880" cy="9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180720</xdr:colOff>
      <xdr:row>415</xdr:row>
      <xdr:rowOff>9720</xdr:rowOff>
    </xdr:from>
    <xdr:to>
      <xdr:col>22</xdr:col>
      <xdr:colOff>180720</xdr:colOff>
      <xdr:row>415</xdr:row>
      <xdr:rowOff>114480</xdr:rowOff>
    </xdr:to>
    <xdr:sp macro="" textlink="">
      <xdr:nvSpPr>
        <xdr:cNvPr id="163" name="Прямая соединительная линия 273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SpPr/>
      </xdr:nvSpPr>
      <xdr:spPr>
        <a:xfrm>
          <a:off x="10608480" y="8515080"/>
          <a:ext cx="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66600</xdr:colOff>
      <xdr:row>415</xdr:row>
      <xdr:rowOff>28800</xdr:rowOff>
    </xdr:from>
    <xdr:to>
      <xdr:col>8</xdr:col>
      <xdr:colOff>66600</xdr:colOff>
      <xdr:row>415</xdr:row>
      <xdr:rowOff>133560</xdr:rowOff>
    </xdr:to>
    <xdr:sp macro="" textlink="">
      <xdr:nvSpPr>
        <xdr:cNvPr id="164" name="Прямая соединительная линия 274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SpPr/>
      </xdr:nvSpPr>
      <xdr:spPr>
        <a:xfrm>
          <a:off x="7563240" y="8534160"/>
          <a:ext cx="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16</xdr:col>
      <xdr:colOff>85680</xdr:colOff>
      <xdr:row>415</xdr:row>
      <xdr:rowOff>9720</xdr:rowOff>
    </xdr:from>
    <xdr:to>
      <xdr:col>16</xdr:col>
      <xdr:colOff>85680</xdr:colOff>
      <xdr:row>415</xdr:row>
      <xdr:rowOff>114480</xdr:rowOff>
    </xdr:to>
    <xdr:sp macro="" textlink="">
      <xdr:nvSpPr>
        <xdr:cNvPr id="165" name="Прямая соединительная линия 275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SpPr/>
      </xdr:nvSpPr>
      <xdr:spPr>
        <a:xfrm>
          <a:off x="9121680" y="8515080"/>
          <a:ext cx="0" cy="104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66960</xdr:colOff>
      <xdr:row>415</xdr:row>
      <xdr:rowOff>19080</xdr:rowOff>
    </xdr:from>
    <xdr:to>
      <xdr:col>22</xdr:col>
      <xdr:colOff>181080</xdr:colOff>
      <xdr:row>415</xdr:row>
      <xdr:rowOff>28800</xdr:rowOff>
    </xdr:to>
    <xdr:sp macro="" textlink="">
      <xdr:nvSpPr>
        <xdr:cNvPr id="166" name="Прямая соединительная линия 277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SpPr/>
      </xdr:nvSpPr>
      <xdr:spPr>
        <a:xfrm flipH="1" flipV="1">
          <a:off x="7563240" y="8524440"/>
          <a:ext cx="3045240" cy="9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16</xdr:col>
      <xdr:colOff>86040</xdr:colOff>
      <xdr:row>415</xdr:row>
      <xdr:rowOff>57240</xdr:rowOff>
    </xdr:from>
    <xdr:to>
      <xdr:col>30</xdr:col>
      <xdr:colOff>114480</xdr:colOff>
      <xdr:row>415</xdr:row>
      <xdr:rowOff>123840</xdr:rowOff>
    </xdr:to>
    <xdr:sp macro="" textlink="">
      <xdr:nvSpPr>
        <xdr:cNvPr id="167" name="Прямая соединительная линия 278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SpPr/>
      </xdr:nvSpPr>
      <xdr:spPr>
        <a:xfrm flipH="1" flipV="1">
          <a:off x="9121680" y="8562600"/>
          <a:ext cx="295956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47520</xdr:colOff>
      <xdr:row>415</xdr:row>
      <xdr:rowOff>38160</xdr:rowOff>
    </xdr:from>
    <xdr:to>
      <xdr:col>8</xdr:col>
      <xdr:colOff>66240</xdr:colOff>
      <xdr:row>415</xdr:row>
      <xdr:rowOff>38520</xdr:rowOff>
    </xdr:to>
    <xdr:sp macro="" textlink="">
      <xdr:nvSpPr>
        <xdr:cNvPr id="168" name="Соединительная линия уступом 282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SpPr/>
      </xdr:nvSpPr>
      <xdr:spPr>
        <a:xfrm>
          <a:off x="6582240" y="8543880"/>
          <a:ext cx="980640" cy="3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37800</xdr:colOff>
      <xdr:row>415</xdr:row>
      <xdr:rowOff>76320</xdr:rowOff>
    </xdr:from>
    <xdr:to>
      <xdr:col>23</xdr:col>
      <xdr:colOff>18720</xdr:colOff>
      <xdr:row>415</xdr:row>
      <xdr:rowOff>95400</xdr:rowOff>
    </xdr:to>
    <xdr:sp macro="" textlink="">
      <xdr:nvSpPr>
        <xdr:cNvPr id="169" name="Прямая соединительная линия 285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SpPr/>
      </xdr:nvSpPr>
      <xdr:spPr>
        <a:xfrm flipH="1" flipV="1">
          <a:off x="8304120" y="8581680"/>
          <a:ext cx="233496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162000</xdr:colOff>
      <xdr:row>415</xdr:row>
      <xdr:rowOff>9360</xdr:rowOff>
    </xdr:from>
    <xdr:to>
      <xdr:col>28</xdr:col>
      <xdr:colOff>162000</xdr:colOff>
      <xdr:row>415</xdr:row>
      <xdr:rowOff>18720</xdr:rowOff>
    </xdr:to>
    <xdr:sp macro="" textlink="">
      <xdr:nvSpPr>
        <xdr:cNvPr id="170" name="Прямая соединительная линия 286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SpPr/>
      </xdr:nvSpPr>
      <xdr:spPr>
        <a:xfrm flipV="1">
          <a:off x="10589400" y="8515080"/>
          <a:ext cx="115452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18720</xdr:colOff>
      <xdr:row>415</xdr:row>
      <xdr:rowOff>66600</xdr:rowOff>
    </xdr:from>
    <xdr:to>
      <xdr:col>28</xdr:col>
      <xdr:colOff>171360</xdr:colOff>
      <xdr:row>415</xdr:row>
      <xdr:rowOff>114120</xdr:rowOff>
    </xdr:to>
    <xdr:sp macro="" textlink="">
      <xdr:nvSpPr>
        <xdr:cNvPr id="171" name="Прямая соединительная линия 287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SpPr/>
      </xdr:nvSpPr>
      <xdr:spPr>
        <a:xfrm flipV="1">
          <a:off x="10639080" y="8572320"/>
          <a:ext cx="1114560" cy="4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34</xdr:col>
      <xdr:colOff>0</xdr:colOff>
      <xdr:row>415</xdr:row>
      <xdr:rowOff>123120</xdr:rowOff>
    </xdr:from>
    <xdr:to>
      <xdr:col>39</xdr:col>
      <xdr:colOff>109080</xdr:colOff>
      <xdr:row>416</xdr:row>
      <xdr:rowOff>66960</xdr:rowOff>
    </xdr:to>
    <xdr:sp macro="" textlink="">
      <xdr:nvSpPr>
        <xdr:cNvPr id="172" name="Соединительная линия уступом 290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SpPr/>
      </xdr:nvSpPr>
      <xdr:spPr>
        <a:xfrm rot="10800000" flipV="1">
          <a:off x="11793960" y="8505360"/>
          <a:ext cx="1071000" cy="1234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29</xdr:col>
      <xdr:colOff>19440</xdr:colOff>
      <xdr:row>415</xdr:row>
      <xdr:rowOff>0</xdr:rowOff>
    </xdr:from>
    <xdr:to>
      <xdr:col>33</xdr:col>
      <xdr:colOff>162000</xdr:colOff>
      <xdr:row>415</xdr:row>
      <xdr:rowOff>360</xdr:rowOff>
    </xdr:to>
    <xdr:sp macro="" textlink="">
      <xdr:nvSpPr>
        <xdr:cNvPr id="173" name="Соединительная линия уступом 291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SpPr/>
      </xdr:nvSpPr>
      <xdr:spPr>
        <a:xfrm rot="10800000">
          <a:off x="11793960" y="8505360"/>
          <a:ext cx="912240" cy="3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33</xdr:col>
      <xdr:colOff>257040</xdr:colOff>
      <xdr:row>415</xdr:row>
      <xdr:rowOff>95400</xdr:rowOff>
    </xdr:from>
    <xdr:to>
      <xdr:col>38</xdr:col>
      <xdr:colOff>192960</xdr:colOff>
      <xdr:row>415</xdr:row>
      <xdr:rowOff>152280</xdr:rowOff>
    </xdr:to>
    <xdr:sp macro="" textlink="">
      <xdr:nvSpPr>
        <xdr:cNvPr id="174" name="Соединительная линия уступом 292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SpPr/>
      </xdr:nvSpPr>
      <xdr:spPr>
        <a:xfrm rot="10800000" flipV="1">
          <a:off x="11774880" y="8544240"/>
          <a:ext cx="1026360" cy="568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33</xdr:col>
      <xdr:colOff>152280</xdr:colOff>
      <xdr:row>415</xdr:row>
      <xdr:rowOff>161280</xdr:rowOff>
    </xdr:from>
    <xdr:to>
      <xdr:col>37</xdr:col>
      <xdr:colOff>166680</xdr:colOff>
      <xdr:row>416</xdr:row>
      <xdr:rowOff>143280</xdr:rowOff>
    </xdr:to>
    <xdr:sp macro="" textlink="">
      <xdr:nvSpPr>
        <xdr:cNvPr id="175" name="Соединительная линия уступом 294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SpPr/>
      </xdr:nvSpPr>
      <xdr:spPr>
        <a:xfrm rot="10800000" flipV="1">
          <a:off x="11784240" y="8505360"/>
          <a:ext cx="912240" cy="1616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74160</xdr:colOff>
      <xdr:row>352</xdr:row>
      <xdr:rowOff>56880</xdr:rowOff>
    </xdr:from>
    <xdr:to>
      <xdr:col>20</xdr:col>
      <xdr:colOff>85680</xdr:colOff>
      <xdr:row>352</xdr:row>
      <xdr:rowOff>85680</xdr:rowOff>
    </xdr:to>
    <xdr:sp macro="" textlink="">
      <xdr:nvSpPr>
        <xdr:cNvPr id="176" name="Прямая соединительная линия 295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SpPr/>
      </xdr:nvSpPr>
      <xdr:spPr>
        <a:xfrm flipH="1">
          <a:off x="9302400" y="8202960"/>
          <a:ext cx="717120" cy="28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5</xdr:col>
      <xdr:colOff>343080</xdr:colOff>
      <xdr:row>236</xdr:row>
      <xdr:rowOff>47520</xdr:rowOff>
    </xdr:from>
    <xdr:to>
      <xdr:col>8</xdr:col>
      <xdr:colOff>37800</xdr:colOff>
      <xdr:row>236</xdr:row>
      <xdr:rowOff>161280</xdr:rowOff>
    </xdr:to>
    <xdr:sp macro="" textlink="">
      <xdr:nvSpPr>
        <xdr:cNvPr id="177" name="Соединительная линия уступом 296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SpPr/>
      </xdr:nvSpPr>
      <xdr:spPr>
        <a:xfrm>
          <a:off x="6204600" y="7115400"/>
          <a:ext cx="1329840" cy="1137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4</xdr:col>
      <xdr:colOff>314280</xdr:colOff>
      <xdr:row>272</xdr:row>
      <xdr:rowOff>38160</xdr:rowOff>
    </xdr:from>
    <xdr:to>
      <xdr:col>8</xdr:col>
      <xdr:colOff>75960</xdr:colOff>
      <xdr:row>272</xdr:row>
      <xdr:rowOff>151920</xdr:rowOff>
    </xdr:to>
    <xdr:sp macro="" textlink="">
      <xdr:nvSpPr>
        <xdr:cNvPr id="178" name="Соединительная линия уступом 297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SpPr/>
      </xdr:nvSpPr>
      <xdr:spPr>
        <a:xfrm>
          <a:off x="5502600" y="7465680"/>
          <a:ext cx="2070000" cy="1137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11</xdr:col>
      <xdr:colOff>123840</xdr:colOff>
      <xdr:row>352</xdr:row>
      <xdr:rowOff>47880</xdr:rowOff>
    </xdr:from>
    <xdr:to>
      <xdr:col>12</xdr:col>
      <xdr:colOff>123840</xdr:colOff>
      <xdr:row>352</xdr:row>
      <xdr:rowOff>82800</xdr:rowOff>
    </xdr:to>
    <xdr:sp macro="" textlink="">
      <xdr:nvSpPr>
        <xdr:cNvPr id="179" name="Прямая соединительная линия 298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SpPr/>
      </xdr:nvSpPr>
      <xdr:spPr>
        <a:xfrm flipH="1">
          <a:off x="8197200" y="8193600"/>
          <a:ext cx="192600" cy="349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85680</xdr:colOff>
      <xdr:row>352</xdr:row>
      <xdr:rowOff>19080</xdr:rowOff>
    </xdr:from>
    <xdr:to>
      <xdr:col>17</xdr:col>
      <xdr:colOff>85680</xdr:colOff>
      <xdr:row>352</xdr:row>
      <xdr:rowOff>114480</xdr:rowOff>
    </xdr:to>
    <xdr:sp macro="" textlink="">
      <xdr:nvSpPr>
        <xdr:cNvPr id="180" name="Прямая соединительная линия 299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SpPr/>
      </xdr:nvSpPr>
      <xdr:spPr>
        <a:xfrm>
          <a:off x="9313920" y="8164800"/>
          <a:ext cx="0" cy="95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171720</xdr:colOff>
      <xdr:row>352</xdr:row>
      <xdr:rowOff>85680</xdr:rowOff>
    </xdr:from>
    <xdr:to>
      <xdr:col>17</xdr:col>
      <xdr:colOff>162000</xdr:colOff>
      <xdr:row>352</xdr:row>
      <xdr:rowOff>142560</xdr:rowOff>
    </xdr:to>
    <xdr:sp macro="" textlink="">
      <xdr:nvSpPr>
        <xdr:cNvPr id="181" name="Прямая соединительная линия 300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SpPr/>
      </xdr:nvSpPr>
      <xdr:spPr>
        <a:xfrm flipH="1" flipV="1">
          <a:off x="8437680" y="8231760"/>
          <a:ext cx="952200" cy="568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152640</xdr:colOff>
      <xdr:row>352</xdr:row>
      <xdr:rowOff>95400</xdr:rowOff>
    </xdr:from>
    <xdr:to>
      <xdr:col>13</xdr:col>
      <xdr:colOff>9720</xdr:colOff>
      <xdr:row>352</xdr:row>
      <xdr:rowOff>123840</xdr:rowOff>
    </xdr:to>
    <xdr:sp macro="" textlink="">
      <xdr:nvSpPr>
        <xdr:cNvPr id="182" name="Прямая соединительная линия 301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SpPr/>
      </xdr:nvSpPr>
      <xdr:spPr>
        <a:xfrm flipH="1">
          <a:off x="7648920" y="8241120"/>
          <a:ext cx="81900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9360</xdr:colOff>
      <xdr:row>352</xdr:row>
      <xdr:rowOff>66600</xdr:rowOff>
    </xdr:from>
    <xdr:to>
      <xdr:col>9</xdr:col>
      <xdr:colOff>9360</xdr:colOff>
      <xdr:row>352</xdr:row>
      <xdr:rowOff>75960</xdr:rowOff>
    </xdr:to>
    <xdr:sp macro="" textlink="">
      <xdr:nvSpPr>
        <xdr:cNvPr id="183" name="Прямая соединительная линия 302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SpPr/>
      </xdr:nvSpPr>
      <xdr:spPr>
        <a:xfrm>
          <a:off x="7698240" y="8212680"/>
          <a:ext cx="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4</xdr:col>
      <xdr:colOff>295200</xdr:colOff>
      <xdr:row>352</xdr:row>
      <xdr:rowOff>47520</xdr:rowOff>
    </xdr:from>
    <xdr:to>
      <xdr:col>8</xdr:col>
      <xdr:colOff>9000</xdr:colOff>
      <xdr:row>352</xdr:row>
      <xdr:rowOff>113760</xdr:rowOff>
    </xdr:to>
    <xdr:sp macro="" textlink="">
      <xdr:nvSpPr>
        <xdr:cNvPr id="184" name="Соединительная линия уступом 303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SpPr/>
      </xdr:nvSpPr>
      <xdr:spPr>
        <a:xfrm>
          <a:off x="5483520" y="8193600"/>
          <a:ext cx="2022120" cy="662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4</xdr:col>
      <xdr:colOff>228600</xdr:colOff>
      <xdr:row>352</xdr:row>
      <xdr:rowOff>38160</xdr:rowOff>
    </xdr:from>
    <xdr:to>
      <xdr:col>8</xdr:col>
      <xdr:colOff>191880</xdr:colOff>
      <xdr:row>352</xdr:row>
      <xdr:rowOff>152280</xdr:rowOff>
    </xdr:to>
    <xdr:sp macro="" textlink="">
      <xdr:nvSpPr>
        <xdr:cNvPr id="185" name="Соединительная линия уступом 304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SpPr/>
      </xdr:nvSpPr>
      <xdr:spPr>
        <a:xfrm flipV="1">
          <a:off x="5416920" y="8183520"/>
          <a:ext cx="2271600" cy="1141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75960</xdr:colOff>
      <xdr:row>311</xdr:row>
      <xdr:rowOff>9720</xdr:rowOff>
    </xdr:from>
    <xdr:to>
      <xdr:col>8</xdr:col>
      <xdr:colOff>171360</xdr:colOff>
      <xdr:row>311</xdr:row>
      <xdr:rowOff>28800</xdr:rowOff>
    </xdr:to>
    <xdr:sp macro="" textlink="">
      <xdr:nvSpPr>
        <xdr:cNvPr id="186" name="Прямая соединительная линия 306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SpPr/>
      </xdr:nvSpPr>
      <xdr:spPr>
        <a:xfrm flipV="1">
          <a:off x="7258320" y="7796160"/>
          <a:ext cx="40968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9720</xdr:colOff>
      <xdr:row>311</xdr:row>
      <xdr:rowOff>360</xdr:rowOff>
    </xdr:from>
    <xdr:to>
      <xdr:col>19</xdr:col>
      <xdr:colOff>47880</xdr:colOff>
      <xdr:row>311</xdr:row>
      <xdr:rowOff>76320</xdr:rowOff>
    </xdr:to>
    <xdr:sp macro="" textlink="">
      <xdr:nvSpPr>
        <xdr:cNvPr id="187" name="Прямая соединительная линия 307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SpPr/>
      </xdr:nvSpPr>
      <xdr:spPr>
        <a:xfrm flipH="1" flipV="1">
          <a:off x="7698240" y="7786800"/>
          <a:ext cx="209052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133200</xdr:colOff>
      <xdr:row>457</xdr:row>
      <xdr:rowOff>9720</xdr:rowOff>
    </xdr:from>
    <xdr:to>
      <xdr:col>20</xdr:col>
      <xdr:colOff>218880</xdr:colOff>
      <xdr:row>457</xdr:row>
      <xdr:rowOff>76320</xdr:rowOff>
    </xdr:to>
    <xdr:sp macro="" textlink="">
      <xdr:nvSpPr>
        <xdr:cNvPr id="188" name="Прямая соединительная линия 309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SpPr/>
      </xdr:nvSpPr>
      <xdr:spPr>
        <a:xfrm flipH="1" flipV="1">
          <a:off x="8399520" y="8874360"/>
          <a:ext cx="175320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28</xdr:col>
      <xdr:colOff>142560</xdr:colOff>
      <xdr:row>457</xdr:row>
      <xdr:rowOff>76320</xdr:rowOff>
    </xdr:from>
    <xdr:to>
      <xdr:col>32</xdr:col>
      <xdr:colOff>133200</xdr:colOff>
      <xdr:row>457</xdr:row>
      <xdr:rowOff>133560</xdr:rowOff>
    </xdr:to>
    <xdr:sp macro="" textlink="">
      <xdr:nvSpPr>
        <xdr:cNvPr id="189" name="Прямая соединительная линия 311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SpPr/>
      </xdr:nvSpPr>
      <xdr:spPr>
        <a:xfrm flipV="1">
          <a:off x="11724840" y="8940960"/>
          <a:ext cx="76032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11</xdr:col>
      <xdr:colOff>123480</xdr:colOff>
      <xdr:row>457</xdr:row>
      <xdr:rowOff>104760</xdr:rowOff>
    </xdr:from>
    <xdr:to>
      <xdr:col>15</xdr:col>
      <xdr:colOff>9360</xdr:colOff>
      <xdr:row>457</xdr:row>
      <xdr:rowOff>104760</xdr:rowOff>
    </xdr:to>
    <xdr:sp macro="" textlink="">
      <xdr:nvSpPr>
        <xdr:cNvPr id="190" name="Прямая соединительная линия 313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SpPr/>
      </xdr:nvSpPr>
      <xdr:spPr>
        <a:xfrm>
          <a:off x="8197200" y="8969760"/>
          <a:ext cx="6555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123480</xdr:colOff>
      <xdr:row>457</xdr:row>
      <xdr:rowOff>95400</xdr:rowOff>
    </xdr:from>
    <xdr:to>
      <xdr:col>23</xdr:col>
      <xdr:colOff>54720</xdr:colOff>
      <xdr:row>457</xdr:row>
      <xdr:rowOff>105120</xdr:rowOff>
    </xdr:to>
    <xdr:sp macro="" textlink="">
      <xdr:nvSpPr>
        <xdr:cNvPr id="191" name="Прямая соединительная линия 314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SpPr/>
      </xdr:nvSpPr>
      <xdr:spPr>
        <a:xfrm flipV="1">
          <a:off x="8389800" y="8960040"/>
          <a:ext cx="2285280" cy="9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28</xdr:col>
      <xdr:colOff>123480</xdr:colOff>
      <xdr:row>457</xdr:row>
      <xdr:rowOff>9720</xdr:rowOff>
    </xdr:from>
    <xdr:to>
      <xdr:col>32</xdr:col>
      <xdr:colOff>114120</xdr:colOff>
      <xdr:row>457</xdr:row>
      <xdr:rowOff>66960</xdr:rowOff>
    </xdr:to>
    <xdr:sp macro="" textlink="">
      <xdr:nvSpPr>
        <xdr:cNvPr id="192" name="Прямая соединительная линия 317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SpPr/>
      </xdr:nvSpPr>
      <xdr:spPr>
        <a:xfrm flipV="1">
          <a:off x="11705760" y="8874360"/>
          <a:ext cx="76032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11</xdr:col>
      <xdr:colOff>142920</xdr:colOff>
      <xdr:row>457</xdr:row>
      <xdr:rowOff>57240</xdr:rowOff>
    </xdr:from>
    <xdr:to>
      <xdr:col>12</xdr:col>
      <xdr:colOff>142920</xdr:colOff>
      <xdr:row>457</xdr:row>
      <xdr:rowOff>123840</xdr:rowOff>
    </xdr:to>
    <xdr:sp macro="" textlink="">
      <xdr:nvSpPr>
        <xdr:cNvPr id="193" name="Прямая соединительная линия 318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SpPr/>
      </xdr:nvSpPr>
      <xdr:spPr>
        <a:xfrm flipH="1" flipV="1">
          <a:off x="8216280" y="8921880"/>
          <a:ext cx="19260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218880</xdr:colOff>
      <xdr:row>457</xdr:row>
      <xdr:rowOff>75960</xdr:rowOff>
    </xdr:from>
    <xdr:to>
      <xdr:col>23</xdr:col>
      <xdr:colOff>37800</xdr:colOff>
      <xdr:row>457</xdr:row>
      <xdr:rowOff>152280</xdr:rowOff>
    </xdr:to>
    <xdr:sp macro="" textlink="">
      <xdr:nvSpPr>
        <xdr:cNvPr id="194" name="Прямая соединительная линия 324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SpPr/>
      </xdr:nvSpPr>
      <xdr:spPr>
        <a:xfrm flipV="1">
          <a:off x="10152720" y="8940960"/>
          <a:ext cx="505440" cy="763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11</xdr:col>
      <xdr:colOff>133200</xdr:colOff>
      <xdr:row>457</xdr:row>
      <xdr:rowOff>56880</xdr:rowOff>
    </xdr:from>
    <xdr:to>
      <xdr:col>15</xdr:col>
      <xdr:colOff>18720</xdr:colOff>
      <xdr:row>457</xdr:row>
      <xdr:rowOff>56880</xdr:rowOff>
    </xdr:to>
    <xdr:sp macro="" textlink="">
      <xdr:nvSpPr>
        <xdr:cNvPr id="195" name="Прямая соединительная линия 329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SpPr/>
      </xdr:nvSpPr>
      <xdr:spPr>
        <a:xfrm>
          <a:off x="8206920" y="8921880"/>
          <a:ext cx="65520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28440</xdr:colOff>
      <xdr:row>457</xdr:row>
      <xdr:rowOff>28800</xdr:rowOff>
    </xdr:from>
    <xdr:to>
      <xdr:col>23</xdr:col>
      <xdr:colOff>28440</xdr:colOff>
      <xdr:row>457</xdr:row>
      <xdr:rowOff>133560</xdr:rowOff>
    </xdr:to>
    <xdr:sp macro="" textlink="">
      <xdr:nvSpPr>
        <xdr:cNvPr id="196" name="Прямая соединительная линия 331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SpPr/>
      </xdr:nvSpPr>
      <xdr:spPr>
        <a:xfrm>
          <a:off x="10648800" y="8893440"/>
          <a:ext cx="0" cy="104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13</xdr:col>
      <xdr:colOff>18720</xdr:colOff>
      <xdr:row>457</xdr:row>
      <xdr:rowOff>0</xdr:rowOff>
    </xdr:from>
    <xdr:to>
      <xdr:col>13</xdr:col>
      <xdr:colOff>18720</xdr:colOff>
      <xdr:row>457</xdr:row>
      <xdr:rowOff>9360</xdr:rowOff>
    </xdr:to>
    <xdr:sp macro="" textlink="">
      <xdr:nvSpPr>
        <xdr:cNvPr id="197" name="Прямая соединительная линия 336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SpPr/>
      </xdr:nvSpPr>
      <xdr:spPr>
        <a:xfrm>
          <a:off x="8477280" y="8865000"/>
          <a:ext cx="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152280</xdr:colOff>
      <xdr:row>457</xdr:row>
      <xdr:rowOff>9360</xdr:rowOff>
    </xdr:from>
    <xdr:to>
      <xdr:col>16</xdr:col>
      <xdr:colOff>26280</xdr:colOff>
      <xdr:row>457</xdr:row>
      <xdr:rowOff>9360</xdr:rowOff>
    </xdr:to>
    <xdr:sp macro="" textlink="">
      <xdr:nvSpPr>
        <xdr:cNvPr id="198" name="Прямая соединительная линия 337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SpPr/>
      </xdr:nvSpPr>
      <xdr:spPr>
        <a:xfrm>
          <a:off x="8418600" y="8874360"/>
          <a:ext cx="64368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0</xdr:colOff>
      <xdr:row>457</xdr:row>
      <xdr:rowOff>47520</xdr:rowOff>
    </xdr:from>
    <xdr:to>
      <xdr:col>20</xdr:col>
      <xdr:colOff>276120</xdr:colOff>
      <xdr:row>457</xdr:row>
      <xdr:rowOff>85680</xdr:rowOff>
    </xdr:to>
    <xdr:sp macro="" textlink="">
      <xdr:nvSpPr>
        <xdr:cNvPr id="199" name="Прямая соединительная линия 33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/>
      </xdr:nvSpPr>
      <xdr:spPr>
        <a:xfrm flipH="1" flipV="1">
          <a:off x="8651160" y="8912520"/>
          <a:ext cx="155880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38160</xdr:colOff>
      <xdr:row>457</xdr:row>
      <xdr:rowOff>38160</xdr:rowOff>
    </xdr:from>
    <xdr:to>
      <xdr:col>21</xdr:col>
      <xdr:colOff>28800</xdr:colOff>
      <xdr:row>457</xdr:row>
      <xdr:rowOff>57240</xdr:rowOff>
    </xdr:to>
    <xdr:sp macro="" textlink="">
      <xdr:nvSpPr>
        <xdr:cNvPr id="200" name="Прямая соединительная линия 33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/>
      </xdr:nvSpPr>
      <xdr:spPr>
        <a:xfrm flipH="1" flipV="1">
          <a:off x="8688960" y="8902800"/>
          <a:ext cx="157500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28</xdr:col>
      <xdr:colOff>37800</xdr:colOff>
      <xdr:row>457</xdr:row>
      <xdr:rowOff>9360</xdr:rowOff>
    </xdr:from>
    <xdr:to>
      <xdr:col>31</xdr:col>
      <xdr:colOff>95040</xdr:colOff>
      <xdr:row>457</xdr:row>
      <xdr:rowOff>9360</xdr:rowOff>
    </xdr:to>
    <xdr:sp macro="" textlink="">
      <xdr:nvSpPr>
        <xdr:cNvPr id="201" name="Прямая соединительная линия 342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SpPr/>
      </xdr:nvSpPr>
      <xdr:spPr>
        <a:xfrm>
          <a:off x="11620080" y="8874360"/>
          <a:ext cx="6343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28</xdr:col>
      <xdr:colOff>9360</xdr:colOff>
      <xdr:row>457</xdr:row>
      <xdr:rowOff>9360</xdr:rowOff>
    </xdr:from>
    <xdr:to>
      <xdr:col>31</xdr:col>
      <xdr:colOff>66600</xdr:colOff>
      <xdr:row>457</xdr:row>
      <xdr:rowOff>9360</xdr:rowOff>
    </xdr:to>
    <xdr:sp macro="" textlink="">
      <xdr:nvSpPr>
        <xdr:cNvPr id="202" name="Прямая соединительная линия 343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SpPr/>
      </xdr:nvSpPr>
      <xdr:spPr>
        <a:xfrm>
          <a:off x="11591640" y="8874360"/>
          <a:ext cx="6343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13</xdr:col>
      <xdr:colOff>18720</xdr:colOff>
      <xdr:row>457</xdr:row>
      <xdr:rowOff>114120</xdr:rowOff>
    </xdr:from>
    <xdr:to>
      <xdr:col>15</xdr:col>
      <xdr:colOff>171360</xdr:colOff>
      <xdr:row>457</xdr:row>
      <xdr:rowOff>114120</xdr:rowOff>
    </xdr:to>
    <xdr:sp macro="" textlink="">
      <xdr:nvSpPr>
        <xdr:cNvPr id="203" name="Прямая соединительная линия 347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SpPr/>
      </xdr:nvSpPr>
      <xdr:spPr>
        <a:xfrm>
          <a:off x="8477280" y="8979120"/>
          <a:ext cx="53748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76320</xdr:colOff>
      <xdr:row>457</xdr:row>
      <xdr:rowOff>66600</xdr:rowOff>
    </xdr:from>
    <xdr:to>
      <xdr:col>12</xdr:col>
      <xdr:colOff>171360</xdr:colOff>
      <xdr:row>457</xdr:row>
      <xdr:rowOff>94680</xdr:rowOff>
    </xdr:to>
    <xdr:sp macro="" textlink="">
      <xdr:nvSpPr>
        <xdr:cNvPr id="204" name="Соединительная линия уступом 351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/>
      </xdr:nvSpPr>
      <xdr:spPr>
        <a:xfrm>
          <a:off x="6611040" y="8931600"/>
          <a:ext cx="1826640" cy="280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57240</xdr:colOff>
      <xdr:row>457</xdr:row>
      <xdr:rowOff>28440</xdr:rowOff>
    </xdr:from>
    <xdr:to>
      <xdr:col>13</xdr:col>
      <xdr:colOff>28440</xdr:colOff>
      <xdr:row>457</xdr:row>
      <xdr:rowOff>94680</xdr:rowOff>
    </xdr:to>
    <xdr:sp macro="" textlink="">
      <xdr:nvSpPr>
        <xdr:cNvPr id="205" name="Соединительная линия уступом 353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/>
      </xdr:nvSpPr>
      <xdr:spPr>
        <a:xfrm>
          <a:off x="6591960" y="8893440"/>
          <a:ext cx="1895040" cy="662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47520</xdr:colOff>
      <xdr:row>457</xdr:row>
      <xdr:rowOff>47520</xdr:rowOff>
    </xdr:from>
    <xdr:to>
      <xdr:col>13</xdr:col>
      <xdr:colOff>142560</xdr:colOff>
      <xdr:row>457</xdr:row>
      <xdr:rowOff>123480</xdr:rowOff>
    </xdr:to>
    <xdr:sp macro="" textlink="">
      <xdr:nvSpPr>
        <xdr:cNvPr id="206" name="Соединительная линия уступом 354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SpPr/>
      </xdr:nvSpPr>
      <xdr:spPr>
        <a:xfrm>
          <a:off x="6582240" y="8912520"/>
          <a:ext cx="2018880" cy="759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38160</xdr:colOff>
      <xdr:row>457</xdr:row>
      <xdr:rowOff>28440</xdr:rowOff>
    </xdr:from>
    <xdr:to>
      <xdr:col>11</xdr:col>
      <xdr:colOff>123480</xdr:colOff>
      <xdr:row>457</xdr:row>
      <xdr:rowOff>94680</xdr:rowOff>
    </xdr:to>
    <xdr:sp macro="" textlink="">
      <xdr:nvSpPr>
        <xdr:cNvPr id="207" name="Соединительная линия уступом 355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/>
      </xdr:nvSpPr>
      <xdr:spPr>
        <a:xfrm>
          <a:off x="6572880" y="8893440"/>
          <a:ext cx="1624320" cy="662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0</xdr:colOff>
      <xdr:row>272</xdr:row>
      <xdr:rowOff>57240</xdr:rowOff>
    </xdr:from>
    <xdr:to>
      <xdr:col>17</xdr:col>
      <xdr:colOff>0</xdr:colOff>
      <xdr:row>272</xdr:row>
      <xdr:rowOff>105120</xdr:rowOff>
    </xdr:to>
    <xdr:sp macro="" textlink="">
      <xdr:nvSpPr>
        <xdr:cNvPr id="208" name="Прямая соединительная линия 359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/>
      </xdr:nvSpPr>
      <xdr:spPr>
        <a:xfrm>
          <a:off x="9228240" y="7484400"/>
          <a:ext cx="0" cy="478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55080</xdr:colOff>
      <xdr:row>272</xdr:row>
      <xdr:rowOff>28440</xdr:rowOff>
    </xdr:from>
    <xdr:to>
      <xdr:col>24</xdr:col>
      <xdr:colOff>9360</xdr:colOff>
      <xdr:row>272</xdr:row>
      <xdr:rowOff>104760</xdr:rowOff>
    </xdr:to>
    <xdr:sp macro="" textlink="">
      <xdr:nvSpPr>
        <xdr:cNvPr id="209" name="Прямая соединительная линия 360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/>
      </xdr:nvSpPr>
      <xdr:spPr>
        <a:xfrm flipH="1">
          <a:off x="9283320" y="7455960"/>
          <a:ext cx="1538640" cy="763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24</xdr:col>
      <xdr:colOff>0</xdr:colOff>
      <xdr:row>272</xdr:row>
      <xdr:rowOff>360</xdr:rowOff>
    </xdr:from>
    <xdr:to>
      <xdr:col>33</xdr:col>
      <xdr:colOff>56880</xdr:colOff>
      <xdr:row>272</xdr:row>
      <xdr:rowOff>66960</xdr:rowOff>
    </xdr:to>
    <xdr:sp macro="" textlink="">
      <xdr:nvSpPr>
        <xdr:cNvPr id="210" name="Прямая соединительная линия 362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/>
      </xdr:nvSpPr>
      <xdr:spPr>
        <a:xfrm flipH="1" flipV="1">
          <a:off x="10812600" y="7427520"/>
          <a:ext cx="1788480" cy="666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55440</xdr:colOff>
      <xdr:row>272</xdr:row>
      <xdr:rowOff>86040</xdr:rowOff>
    </xdr:from>
    <xdr:to>
      <xdr:col>19</xdr:col>
      <xdr:colOff>38160</xdr:colOff>
      <xdr:row>272</xdr:row>
      <xdr:rowOff>114480</xdr:rowOff>
    </xdr:to>
    <xdr:sp macro="" textlink="">
      <xdr:nvSpPr>
        <xdr:cNvPr id="211" name="Прямая соединительная линия 363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/>
      </xdr:nvSpPr>
      <xdr:spPr>
        <a:xfrm flipH="1" flipV="1">
          <a:off x="9283320" y="7513200"/>
          <a:ext cx="49572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9720</xdr:colOff>
      <xdr:row>272</xdr:row>
      <xdr:rowOff>9360</xdr:rowOff>
    </xdr:from>
    <xdr:to>
      <xdr:col>24</xdr:col>
      <xdr:colOff>19080</xdr:colOff>
      <xdr:row>272</xdr:row>
      <xdr:rowOff>18720</xdr:rowOff>
    </xdr:to>
    <xdr:sp macro="" textlink="">
      <xdr:nvSpPr>
        <xdr:cNvPr id="212" name="Прямая соединительная линия 364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SpPr/>
      </xdr:nvSpPr>
      <xdr:spPr>
        <a:xfrm flipH="1">
          <a:off x="10437120" y="7436880"/>
          <a:ext cx="39420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66600</xdr:colOff>
      <xdr:row>272</xdr:row>
      <xdr:rowOff>47520</xdr:rowOff>
    </xdr:from>
    <xdr:to>
      <xdr:col>16</xdr:col>
      <xdr:colOff>151920</xdr:colOff>
      <xdr:row>272</xdr:row>
      <xdr:rowOff>113760</xdr:rowOff>
    </xdr:to>
    <xdr:sp macro="" textlink="">
      <xdr:nvSpPr>
        <xdr:cNvPr id="213" name="Соединительная линия уступом 365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/>
      </xdr:nvSpPr>
      <xdr:spPr>
        <a:xfrm>
          <a:off x="7248960" y="7475040"/>
          <a:ext cx="1938960" cy="66240"/>
        </a:xfrm>
        <a:prstGeom prst="bentConnector3">
          <a:avLst>
            <a:gd name="adj1" fmla="val 35938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34</xdr:col>
      <xdr:colOff>114120</xdr:colOff>
      <xdr:row>311</xdr:row>
      <xdr:rowOff>133560</xdr:rowOff>
    </xdr:from>
    <xdr:to>
      <xdr:col>34</xdr:col>
      <xdr:colOff>114120</xdr:colOff>
      <xdr:row>311</xdr:row>
      <xdr:rowOff>152640</xdr:rowOff>
    </xdr:to>
    <xdr:sp macro="" textlink="">
      <xdr:nvSpPr>
        <xdr:cNvPr id="214" name="Прямая соединительная линия 366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SpPr/>
      </xdr:nvSpPr>
      <xdr:spPr>
        <a:xfrm>
          <a:off x="12979080" y="7920000"/>
          <a:ext cx="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21</xdr:col>
      <xdr:colOff>0</xdr:colOff>
      <xdr:row>311</xdr:row>
      <xdr:rowOff>0</xdr:rowOff>
    </xdr:from>
    <xdr:to>
      <xdr:col>21</xdr:col>
      <xdr:colOff>0</xdr:colOff>
      <xdr:row>311</xdr:row>
      <xdr:rowOff>18720</xdr:rowOff>
    </xdr:to>
    <xdr:sp macro="" textlink="">
      <xdr:nvSpPr>
        <xdr:cNvPr id="215" name="Прямая соединительная линия 367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/>
      </xdr:nvSpPr>
      <xdr:spPr>
        <a:xfrm>
          <a:off x="10235520" y="7786800"/>
          <a:ext cx="0" cy="18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56880</xdr:colOff>
      <xdr:row>311</xdr:row>
      <xdr:rowOff>0</xdr:rowOff>
    </xdr:from>
    <xdr:to>
      <xdr:col>7</xdr:col>
      <xdr:colOff>56880</xdr:colOff>
      <xdr:row>311</xdr:row>
      <xdr:rowOff>18720</xdr:rowOff>
    </xdr:to>
    <xdr:sp macro="" textlink="">
      <xdr:nvSpPr>
        <xdr:cNvPr id="216" name="Прямая соединительная линия 368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SpPr/>
      </xdr:nvSpPr>
      <xdr:spPr>
        <a:xfrm>
          <a:off x="7239240" y="7786800"/>
          <a:ext cx="0" cy="18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19</xdr:col>
      <xdr:colOff>37800</xdr:colOff>
      <xdr:row>311</xdr:row>
      <xdr:rowOff>28800</xdr:rowOff>
    </xdr:from>
    <xdr:to>
      <xdr:col>19</xdr:col>
      <xdr:colOff>37800</xdr:colOff>
      <xdr:row>311</xdr:row>
      <xdr:rowOff>133560</xdr:rowOff>
    </xdr:to>
    <xdr:sp macro="" textlink="">
      <xdr:nvSpPr>
        <xdr:cNvPr id="217" name="Прямая соединительная линия 369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/>
      </xdr:nvSpPr>
      <xdr:spPr>
        <a:xfrm>
          <a:off x="9779040" y="7815240"/>
          <a:ext cx="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161640</xdr:colOff>
      <xdr:row>311</xdr:row>
      <xdr:rowOff>19080</xdr:rowOff>
    </xdr:from>
    <xdr:to>
      <xdr:col>8</xdr:col>
      <xdr:colOff>161640</xdr:colOff>
      <xdr:row>311</xdr:row>
      <xdr:rowOff>38160</xdr:rowOff>
    </xdr:to>
    <xdr:sp macro="" textlink="">
      <xdr:nvSpPr>
        <xdr:cNvPr id="218" name="Прямая соединительная линия 370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SpPr/>
      </xdr:nvSpPr>
      <xdr:spPr>
        <a:xfrm>
          <a:off x="7658280" y="7805520"/>
          <a:ext cx="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28440</xdr:colOff>
      <xdr:row>311</xdr:row>
      <xdr:rowOff>360</xdr:rowOff>
    </xdr:from>
    <xdr:to>
      <xdr:col>34</xdr:col>
      <xdr:colOff>120600</xdr:colOff>
      <xdr:row>311</xdr:row>
      <xdr:rowOff>146160</xdr:rowOff>
    </xdr:to>
    <xdr:sp macro="" textlink="">
      <xdr:nvSpPr>
        <xdr:cNvPr id="219" name="Прямая соединительная линия 371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SpPr/>
      </xdr:nvSpPr>
      <xdr:spPr>
        <a:xfrm flipH="1">
          <a:off x="9962280" y="7786800"/>
          <a:ext cx="3023280" cy="145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75960</xdr:colOff>
      <xdr:row>311</xdr:row>
      <xdr:rowOff>56880</xdr:rowOff>
    </xdr:from>
    <xdr:to>
      <xdr:col>19</xdr:col>
      <xdr:colOff>123480</xdr:colOff>
      <xdr:row>311</xdr:row>
      <xdr:rowOff>142560</xdr:rowOff>
    </xdr:to>
    <xdr:sp macro="" textlink="">
      <xdr:nvSpPr>
        <xdr:cNvPr id="220" name="Прямая соединительная линия 372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SpPr/>
      </xdr:nvSpPr>
      <xdr:spPr>
        <a:xfrm flipH="1">
          <a:off x="7258320" y="7843680"/>
          <a:ext cx="2606400" cy="856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133560</xdr:colOff>
      <xdr:row>311</xdr:row>
      <xdr:rowOff>28800</xdr:rowOff>
    </xdr:from>
    <xdr:to>
      <xdr:col>21</xdr:col>
      <xdr:colOff>19080</xdr:colOff>
      <xdr:row>311</xdr:row>
      <xdr:rowOff>86040</xdr:rowOff>
    </xdr:to>
    <xdr:sp macro="" textlink="">
      <xdr:nvSpPr>
        <xdr:cNvPr id="221" name="Прямая соединительная линия 373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/>
      </xdr:nvSpPr>
      <xdr:spPr>
        <a:xfrm flipH="1">
          <a:off x="9682200" y="7815240"/>
          <a:ext cx="572040" cy="572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33</xdr:col>
      <xdr:colOff>56880</xdr:colOff>
      <xdr:row>311</xdr:row>
      <xdr:rowOff>114480</xdr:rowOff>
    </xdr:from>
    <xdr:to>
      <xdr:col>33</xdr:col>
      <xdr:colOff>56880</xdr:colOff>
      <xdr:row>311</xdr:row>
      <xdr:rowOff>133560</xdr:rowOff>
    </xdr:to>
    <xdr:sp macro="" textlink="">
      <xdr:nvSpPr>
        <xdr:cNvPr id="222" name="Прямая соединительная линия 374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SpPr/>
      </xdr:nvSpPr>
      <xdr:spPr>
        <a:xfrm>
          <a:off x="12601080" y="7900920"/>
          <a:ext cx="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16</xdr:col>
      <xdr:colOff>152640</xdr:colOff>
      <xdr:row>311</xdr:row>
      <xdr:rowOff>104760</xdr:rowOff>
    </xdr:from>
    <xdr:to>
      <xdr:col>19</xdr:col>
      <xdr:colOff>38160</xdr:colOff>
      <xdr:row>311</xdr:row>
      <xdr:rowOff>114120</xdr:rowOff>
    </xdr:to>
    <xdr:sp macro="" textlink="">
      <xdr:nvSpPr>
        <xdr:cNvPr id="223" name="Прямая соединительная линия 375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/>
      </xdr:nvSpPr>
      <xdr:spPr>
        <a:xfrm flipH="1" flipV="1">
          <a:off x="9188280" y="7891560"/>
          <a:ext cx="59076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162000</xdr:colOff>
      <xdr:row>311</xdr:row>
      <xdr:rowOff>104760</xdr:rowOff>
    </xdr:from>
    <xdr:to>
      <xdr:col>16</xdr:col>
      <xdr:colOff>181080</xdr:colOff>
      <xdr:row>311</xdr:row>
      <xdr:rowOff>152280</xdr:rowOff>
    </xdr:to>
    <xdr:sp macro="" textlink="">
      <xdr:nvSpPr>
        <xdr:cNvPr id="224" name="Прямая соединительная линия 376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/>
      </xdr:nvSpPr>
      <xdr:spPr>
        <a:xfrm flipH="1">
          <a:off x="7658280" y="7891560"/>
          <a:ext cx="1558440" cy="475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16</xdr:col>
      <xdr:colOff>142920</xdr:colOff>
      <xdr:row>311</xdr:row>
      <xdr:rowOff>47880</xdr:rowOff>
    </xdr:from>
    <xdr:to>
      <xdr:col>24</xdr:col>
      <xdr:colOff>9720</xdr:colOff>
      <xdr:row>311</xdr:row>
      <xdr:rowOff>114480</xdr:rowOff>
    </xdr:to>
    <xdr:sp macro="" textlink="">
      <xdr:nvSpPr>
        <xdr:cNvPr id="225" name="Прямая соединительная линия 377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SpPr/>
      </xdr:nvSpPr>
      <xdr:spPr>
        <a:xfrm flipH="1">
          <a:off x="9178560" y="7834320"/>
          <a:ext cx="1643400" cy="666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24</xdr:col>
      <xdr:colOff>0</xdr:colOff>
      <xdr:row>311</xdr:row>
      <xdr:rowOff>37800</xdr:rowOff>
    </xdr:from>
    <xdr:to>
      <xdr:col>33</xdr:col>
      <xdr:colOff>47520</xdr:colOff>
      <xdr:row>311</xdr:row>
      <xdr:rowOff>75960</xdr:rowOff>
    </xdr:to>
    <xdr:sp macro="" textlink="">
      <xdr:nvSpPr>
        <xdr:cNvPr id="226" name="Прямая соединительная линия 378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/>
      </xdr:nvSpPr>
      <xdr:spPr>
        <a:xfrm flipH="1" flipV="1">
          <a:off x="10812600" y="7824600"/>
          <a:ext cx="177912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33</xdr:col>
      <xdr:colOff>37800</xdr:colOff>
      <xdr:row>311</xdr:row>
      <xdr:rowOff>75960</xdr:rowOff>
    </xdr:from>
    <xdr:to>
      <xdr:col>34</xdr:col>
      <xdr:colOff>95040</xdr:colOff>
      <xdr:row>311</xdr:row>
      <xdr:rowOff>152280</xdr:rowOff>
    </xdr:to>
    <xdr:sp macro="" textlink="">
      <xdr:nvSpPr>
        <xdr:cNvPr id="227" name="Прямая соединительная линия 379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SpPr/>
      </xdr:nvSpPr>
      <xdr:spPr>
        <a:xfrm flipH="1" flipV="1">
          <a:off x="12582000" y="7862760"/>
          <a:ext cx="378000" cy="763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24</xdr:col>
      <xdr:colOff>0</xdr:colOff>
      <xdr:row>311</xdr:row>
      <xdr:rowOff>18720</xdr:rowOff>
    </xdr:from>
    <xdr:to>
      <xdr:col>24</xdr:col>
      <xdr:colOff>0</xdr:colOff>
      <xdr:row>311</xdr:row>
      <xdr:rowOff>47520</xdr:rowOff>
    </xdr:to>
    <xdr:sp macro="" textlink="">
      <xdr:nvSpPr>
        <xdr:cNvPr id="228" name="Прямая соединительная линия 380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SpPr/>
      </xdr:nvSpPr>
      <xdr:spPr>
        <a:xfrm>
          <a:off x="10812600" y="7805520"/>
          <a:ext cx="0" cy="288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16</xdr:col>
      <xdr:colOff>161640</xdr:colOff>
      <xdr:row>311</xdr:row>
      <xdr:rowOff>105120</xdr:rowOff>
    </xdr:from>
    <xdr:to>
      <xdr:col>16</xdr:col>
      <xdr:colOff>161640</xdr:colOff>
      <xdr:row>311</xdr:row>
      <xdr:rowOff>133560</xdr:rowOff>
    </xdr:to>
    <xdr:sp macro="" textlink="">
      <xdr:nvSpPr>
        <xdr:cNvPr id="229" name="Прямая соединительная линия 381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SpPr/>
      </xdr:nvSpPr>
      <xdr:spPr>
        <a:xfrm>
          <a:off x="9197640" y="7891560"/>
          <a:ext cx="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18720</xdr:colOff>
      <xdr:row>311</xdr:row>
      <xdr:rowOff>360</xdr:rowOff>
    </xdr:from>
    <xdr:to>
      <xdr:col>22</xdr:col>
      <xdr:colOff>18720</xdr:colOff>
      <xdr:row>311</xdr:row>
      <xdr:rowOff>28800</xdr:rowOff>
    </xdr:to>
    <xdr:sp macro="" textlink="">
      <xdr:nvSpPr>
        <xdr:cNvPr id="230" name="Прямая соединительная линия 382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SpPr/>
      </xdr:nvSpPr>
      <xdr:spPr>
        <a:xfrm>
          <a:off x="10446480" y="7786800"/>
          <a:ext cx="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</xdr:col>
      <xdr:colOff>542880</xdr:colOff>
      <xdr:row>311</xdr:row>
      <xdr:rowOff>66600</xdr:rowOff>
    </xdr:from>
    <xdr:to>
      <xdr:col>8</xdr:col>
      <xdr:colOff>94680</xdr:colOff>
      <xdr:row>311</xdr:row>
      <xdr:rowOff>123480</xdr:rowOff>
    </xdr:to>
    <xdr:sp macro="" textlink="">
      <xdr:nvSpPr>
        <xdr:cNvPr id="231" name="Соединительная линия уступом 385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SpPr/>
      </xdr:nvSpPr>
      <xdr:spPr>
        <a:xfrm>
          <a:off x="5038560" y="7853400"/>
          <a:ext cx="2552760" cy="568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26280</xdr:colOff>
      <xdr:row>415</xdr:row>
      <xdr:rowOff>360</xdr:rowOff>
    </xdr:from>
    <xdr:to>
      <xdr:col>26</xdr:col>
      <xdr:colOff>95040</xdr:colOff>
      <xdr:row>415</xdr:row>
      <xdr:rowOff>123840</xdr:rowOff>
    </xdr:to>
    <xdr:sp macro="" textlink="">
      <xdr:nvSpPr>
        <xdr:cNvPr id="232" name="Прямая соединительная линия 389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SpPr/>
      </xdr:nvSpPr>
      <xdr:spPr>
        <a:xfrm flipH="1">
          <a:off x="10646640" y="8505720"/>
          <a:ext cx="645840" cy="1234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360</xdr:colOff>
      <xdr:row>415</xdr:row>
      <xdr:rowOff>76320</xdr:rowOff>
    </xdr:from>
    <xdr:to>
      <xdr:col>18</xdr:col>
      <xdr:colOff>19080</xdr:colOff>
      <xdr:row>415</xdr:row>
      <xdr:rowOff>95400</xdr:rowOff>
    </xdr:to>
    <xdr:sp macro="" textlink="">
      <xdr:nvSpPr>
        <xdr:cNvPr id="233" name="Прямая соединительная линия 392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SpPr/>
      </xdr:nvSpPr>
      <xdr:spPr>
        <a:xfrm flipH="1">
          <a:off x="8266320" y="8581680"/>
          <a:ext cx="130140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55080</xdr:colOff>
      <xdr:row>311</xdr:row>
      <xdr:rowOff>9360</xdr:rowOff>
    </xdr:from>
    <xdr:to>
      <xdr:col>33</xdr:col>
      <xdr:colOff>47520</xdr:colOff>
      <xdr:row>311</xdr:row>
      <xdr:rowOff>95040</xdr:rowOff>
    </xdr:to>
    <xdr:sp macro="" textlink="">
      <xdr:nvSpPr>
        <xdr:cNvPr id="234" name="Прямая соединительная линия 395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SpPr/>
      </xdr:nvSpPr>
      <xdr:spPr>
        <a:xfrm flipH="1" flipV="1">
          <a:off x="10482840" y="7796160"/>
          <a:ext cx="2108880" cy="856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360</xdr:colOff>
      <xdr:row>415</xdr:row>
      <xdr:rowOff>47520</xdr:rowOff>
    </xdr:from>
    <xdr:to>
      <xdr:col>17</xdr:col>
      <xdr:colOff>123840</xdr:colOff>
      <xdr:row>415</xdr:row>
      <xdr:rowOff>85680</xdr:rowOff>
    </xdr:to>
    <xdr:sp macro="" textlink="">
      <xdr:nvSpPr>
        <xdr:cNvPr id="235" name="Прямая соединительная линия 397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SpPr/>
      </xdr:nvSpPr>
      <xdr:spPr>
        <a:xfrm flipH="1">
          <a:off x="8266320" y="8553240"/>
          <a:ext cx="108540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66960</xdr:colOff>
      <xdr:row>889</xdr:row>
      <xdr:rowOff>66960</xdr:rowOff>
    </xdr:from>
    <xdr:to>
      <xdr:col>19</xdr:col>
      <xdr:colOff>47880</xdr:colOff>
      <xdr:row>889</xdr:row>
      <xdr:rowOff>142920</xdr:rowOff>
    </xdr:to>
    <xdr:sp macro="" textlink="">
      <xdr:nvSpPr>
        <xdr:cNvPr id="236" name="Прямая соединительная линия 406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SpPr/>
      </xdr:nvSpPr>
      <xdr:spPr>
        <a:xfrm flipV="1">
          <a:off x="7948080" y="11447640"/>
          <a:ext cx="184068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86040</xdr:colOff>
      <xdr:row>889</xdr:row>
      <xdr:rowOff>9360</xdr:rowOff>
    </xdr:from>
    <xdr:to>
      <xdr:col>32</xdr:col>
      <xdr:colOff>66960</xdr:colOff>
      <xdr:row>889</xdr:row>
      <xdr:rowOff>18720</xdr:rowOff>
    </xdr:to>
    <xdr:sp macro="" textlink="">
      <xdr:nvSpPr>
        <xdr:cNvPr id="237" name="Прямая соединительная линия 408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SpPr/>
      </xdr:nvSpPr>
      <xdr:spPr>
        <a:xfrm flipH="1" flipV="1">
          <a:off x="9634680" y="11390400"/>
          <a:ext cx="278388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0</xdr:colOff>
      <xdr:row>889</xdr:row>
      <xdr:rowOff>104760</xdr:rowOff>
    </xdr:from>
    <xdr:to>
      <xdr:col>23</xdr:col>
      <xdr:colOff>114120</xdr:colOff>
      <xdr:row>889</xdr:row>
      <xdr:rowOff>123480</xdr:rowOff>
    </xdr:to>
    <xdr:sp macro="" textlink="">
      <xdr:nvSpPr>
        <xdr:cNvPr id="238" name="Прямая соединительная линия 409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SpPr/>
      </xdr:nvSpPr>
      <xdr:spPr>
        <a:xfrm flipH="1" flipV="1">
          <a:off x="7688880" y="11485800"/>
          <a:ext cx="3045600" cy="18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66600</xdr:colOff>
      <xdr:row>5</xdr:row>
      <xdr:rowOff>57240</xdr:rowOff>
    </xdr:from>
    <xdr:to>
      <xdr:col>14</xdr:col>
      <xdr:colOff>47160</xdr:colOff>
      <xdr:row>8</xdr:row>
      <xdr:rowOff>47520</xdr:rowOff>
    </xdr:to>
    <xdr:sp macro="" textlink="">
      <xdr:nvSpPr>
        <xdr:cNvPr id="239" name="Соединительная линия уступом 410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SpPr/>
      </xdr:nvSpPr>
      <xdr:spPr>
        <a:xfrm>
          <a:off x="7248960" y="1014120"/>
          <a:ext cx="1449360" cy="5292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76320</xdr:colOff>
      <xdr:row>13</xdr:row>
      <xdr:rowOff>19080</xdr:rowOff>
    </xdr:from>
    <xdr:to>
      <xdr:col>14</xdr:col>
      <xdr:colOff>95040</xdr:colOff>
      <xdr:row>17</xdr:row>
      <xdr:rowOff>123480</xdr:rowOff>
    </xdr:to>
    <xdr:sp macro="" textlink="">
      <xdr:nvSpPr>
        <xdr:cNvPr id="240" name="Соединительная линия уступом 411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SpPr/>
      </xdr:nvSpPr>
      <xdr:spPr>
        <a:xfrm>
          <a:off x="7258680" y="2413440"/>
          <a:ext cx="1487520" cy="8233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161640</xdr:colOff>
      <xdr:row>236</xdr:row>
      <xdr:rowOff>18720</xdr:rowOff>
    </xdr:from>
    <xdr:to>
      <xdr:col>19</xdr:col>
      <xdr:colOff>56880</xdr:colOff>
      <xdr:row>236</xdr:row>
      <xdr:rowOff>85680</xdr:rowOff>
    </xdr:to>
    <xdr:sp macro="" textlink="">
      <xdr:nvSpPr>
        <xdr:cNvPr id="241" name="Прямая соединительная линия 412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SpPr/>
      </xdr:nvSpPr>
      <xdr:spPr>
        <a:xfrm flipH="1" flipV="1">
          <a:off x="7658280" y="7086600"/>
          <a:ext cx="2139840" cy="669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9360</xdr:colOff>
      <xdr:row>236</xdr:row>
      <xdr:rowOff>28440</xdr:rowOff>
    </xdr:from>
    <xdr:to>
      <xdr:col>11</xdr:col>
      <xdr:colOff>161280</xdr:colOff>
      <xdr:row>236</xdr:row>
      <xdr:rowOff>104400</xdr:rowOff>
    </xdr:to>
    <xdr:sp macro="" textlink="">
      <xdr:nvSpPr>
        <xdr:cNvPr id="242" name="Дуга 413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SpPr/>
      </xdr:nvSpPr>
      <xdr:spPr>
        <a:xfrm>
          <a:off x="7506000" y="7096320"/>
          <a:ext cx="729000" cy="75960"/>
        </a:xfrm>
        <a:prstGeom prst="arc">
          <a:avLst>
            <a:gd name="adj1" fmla="val 16550924"/>
            <a:gd name="adj2" fmla="val 0"/>
          </a:avLst>
        </a:prstGeom>
        <a:noFill/>
        <a:ln w="31750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95400</xdr:colOff>
      <xdr:row>272</xdr:row>
      <xdr:rowOff>0</xdr:rowOff>
    </xdr:from>
    <xdr:to>
      <xdr:col>24</xdr:col>
      <xdr:colOff>66600</xdr:colOff>
      <xdr:row>272</xdr:row>
      <xdr:rowOff>75960</xdr:rowOff>
    </xdr:to>
    <xdr:sp macro="" textlink="">
      <xdr:nvSpPr>
        <xdr:cNvPr id="243" name="Дуга 415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SpPr/>
      </xdr:nvSpPr>
      <xdr:spPr>
        <a:xfrm>
          <a:off x="10029240" y="7427520"/>
          <a:ext cx="849960" cy="75960"/>
        </a:xfrm>
        <a:prstGeom prst="arc">
          <a:avLst>
            <a:gd name="adj1" fmla="val 16550924"/>
            <a:gd name="adj2" fmla="val 0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13</xdr:col>
      <xdr:colOff>18720</xdr:colOff>
      <xdr:row>457</xdr:row>
      <xdr:rowOff>142560</xdr:rowOff>
    </xdr:from>
    <xdr:to>
      <xdr:col>16</xdr:col>
      <xdr:colOff>73800</xdr:colOff>
      <xdr:row>457</xdr:row>
      <xdr:rowOff>142560</xdr:rowOff>
    </xdr:to>
    <xdr:sp macro="" textlink="">
      <xdr:nvSpPr>
        <xdr:cNvPr id="244" name="Прямая соединительная линия 418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SpPr/>
      </xdr:nvSpPr>
      <xdr:spPr>
        <a:xfrm>
          <a:off x="8477280" y="9007560"/>
          <a:ext cx="63252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9720</xdr:colOff>
      <xdr:row>457</xdr:row>
      <xdr:rowOff>86040</xdr:rowOff>
    </xdr:from>
    <xdr:to>
      <xdr:col>21</xdr:col>
      <xdr:colOff>47880</xdr:colOff>
      <xdr:row>457</xdr:row>
      <xdr:rowOff>123840</xdr:rowOff>
    </xdr:to>
    <xdr:sp macro="" textlink="">
      <xdr:nvSpPr>
        <xdr:cNvPr id="245" name="Прямая соединительная линия 420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SpPr/>
      </xdr:nvSpPr>
      <xdr:spPr>
        <a:xfrm flipH="1" flipV="1">
          <a:off x="8660520" y="8950680"/>
          <a:ext cx="1622520" cy="378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237960</xdr:colOff>
      <xdr:row>415</xdr:row>
      <xdr:rowOff>38160</xdr:rowOff>
    </xdr:from>
    <xdr:to>
      <xdr:col>16</xdr:col>
      <xdr:colOff>75600</xdr:colOff>
      <xdr:row>415</xdr:row>
      <xdr:rowOff>50400</xdr:rowOff>
    </xdr:to>
    <xdr:sp macro="" textlink="">
      <xdr:nvSpPr>
        <xdr:cNvPr id="246" name="Соединительная линия уступом 422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SpPr/>
      </xdr:nvSpPr>
      <xdr:spPr>
        <a:xfrm>
          <a:off x="6772680" y="8543880"/>
          <a:ext cx="2338920" cy="122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47880</xdr:colOff>
      <xdr:row>272</xdr:row>
      <xdr:rowOff>0</xdr:rowOff>
    </xdr:from>
    <xdr:to>
      <xdr:col>16</xdr:col>
      <xdr:colOff>9360</xdr:colOff>
      <xdr:row>272</xdr:row>
      <xdr:rowOff>18720</xdr:rowOff>
    </xdr:to>
    <xdr:sp macro="" textlink="">
      <xdr:nvSpPr>
        <xdr:cNvPr id="247" name="Соединительная линия уступом 423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SpPr/>
      </xdr:nvSpPr>
      <xdr:spPr>
        <a:xfrm flipV="1">
          <a:off x="6582240" y="7427160"/>
          <a:ext cx="2462760" cy="187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28</xdr:col>
      <xdr:colOff>86400</xdr:colOff>
      <xdr:row>457</xdr:row>
      <xdr:rowOff>28800</xdr:rowOff>
    </xdr:from>
    <xdr:to>
      <xdr:col>28</xdr:col>
      <xdr:colOff>192600</xdr:colOff>
      <xdr:row>457</xdr:row>
      <xdr:rowOff>75960</xdr:rowOff>
    </xdr:to>
    <xdr:sp macro="" textlink="">
      <xdr:nvSpPr>
        <xdr:cNvPr id="248" name="Соединительная линия уступом 430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SpPr/>
      </xdr:nvSpPr>
      <xdr:spPr>
        <a:xfrm rot="5400000">
          <a:off x="11697840" y="8863920"/>
          <a:ext cx="47160" cy="1062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38160</xdr:colOff>
      <xdr:row>311</xdr:row>
      <xdr:rowOff>38160</xdr:rowOff>
    </xdr:from>
    <xdr:to>
      <xdr:col>8</xdr:col>
      <xdr:colOff>85320</xdr:colOff>
      <xdr:row>311</xdr:row>
      <xdr:rowOff>75960</xdr:rowOff>
    </xdr:to>
    <xdr:sp macro="" textlink="">
      <xdr:nvSpPr>
        <xdr:cNvPr id="249" name="Прямая со стрелкой 431">
          <a:extLst>
            <a:ext uri="{FF2B5EF4-FFF2-40B4-BE49-F238E27FC236}">
              <a16:creationId xmlns:a16="http://schemas.microsoft.com/office/drawing/2014/main" id="{00000000-0008-0000-0200-0000F9000000}"/>
            </a:ext>
          </a:extLst>
        </xdr:cNvPr>
        <xdr:cNvSpPr/>
      </xdr:nvSpPr>
      <xdr:spPr>
        <a:xfrm flipH="1" flipV="1">
          <a:off x="7220520" y="7824240"/>
          <a:ext cx="361440" cy="3780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66600</xdr:colOff>
      <xdr:row>311</xdr:row>
      <xdr:rowOff>47520</xdr:rowOff>
    </xdr:from>
    <xdr:to>
      <xdr:col>23</xdr:col>
      <xdr:colOff>18720</xdr:colOff>
      <xdr:row>311</xdr:row>
      <xdr:rowOff>123480</xdr:rowOff>
    </xdr:to>
    <xdr:sp macro="" textlink="">
      <xdr:nvSpPr>
        <xdr:cNvPr id="250" name="Прямая со стрелкой 432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SpPr/>
      </xdr:nvSpPr>
      <xdr:spPr>
        <a:xfrm flipV="1">
          <a:off x="10000440" y="7833600"/>
          <a:ext cx="638640" cy="759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38160</xdr:colOff>
      <xdr:row>352</xdr:row>
      <xdr:rowOff>38160</xdr:rowOff>
    </xdr:from>
    <xdr:to>
      <xdr:col>27</xdr:col>
      <xdr:colOff>192240</xdr:colOff>
      <xdr:row>415</xdr:row>
      <xdr:rowOff>37800</xdr:rowOff>
    </xdr:to>
    <xdr:sp macro="" textlink="">
      <xdr:nvSpPr>
        <xdr:cNvPr id="251" name="Дуга 435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SpPr/>
      </xdr:nvSpPr>
      <xdr:spPr>
        <a:xfrm>
          <a:off x="9972000" y="8184240"/>
          <a:ext cx="1609920" cy="359280"/>
        </a:xfrm>
        <a:prstGeom prst="arc">
          <a:avLst>
            <a:gd name="adj1" fmla="val 16550924"/>
            <a:gd name="adj2" fmla="val 18688810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38160</xdr:colOff>
      <xdr:row>415</xdr:row>
      <xdr:rowOff>28440</xdr:rowOff>
    </xdr:from>
    <xdr:to>
      <xdr:col>16</xdr:col>
      <xdr:colOff>111960</xdr:colOff>
      <xdr:row>415</xdr:row>
      <xdr:rowOff>28800</xdr:rowOff>
    </xdr:to>
    <xdr:sp macro="" textlink="">
      <xdr:nvSpPr>
        <xdr:cNvPr id="252" name="Дуга 436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SpPr/>
      </xdr:nvSpPr>
      <xdr:spPr>
        <a:xfrm>
          <a:off x="8689320" y="8534160"/>
          <a:ext cx="458640" cy="36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247680</xdr:colOff>
      <xdr:row>616</xdr:row>
      <xdr:rowOff>38160</xdr:rowOff>
    </xdr:from>
    <xdr:to>
      <xdr:col>8</xdr:col>
      <xdr:colOff>95040</xdr:colOff>
      <xdr:row>616</xdr:row>
      <xdr:rowOff>114120</xdr:rowOff>
    </xdr:to>
    <xdr:sp macro="" textlink="">
      <xdr:nvSpPr>
        <xdr:cNvPr id="253" name="Соединительная линия уступом 439">
          <a:extLst>
            <a:ext uri="{FF2B5EF4-FFF2-40B4-BE49-F238E27FC236}">
              <a16:creationId xmlns:a16="http://schemas.microsoft.com/office/drawing/2014/main" id="{00000000-0008-0000-0200-0000FD000000}"/>
            </a:ext>
          </a:extLst>
        </xdr:cNvPr>
        <xdr:cNvSpPr/>
      </xdr:nvSpPr>
      <xdr:spPr>
        <a:xfrm>
          <a:off x="6782400" y="9622080"/>
          <a:ext cx="809280" cy="759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38160</xdr:colOff>
      <xdr:row>889</xdr:row>
      <xdr:rowOff>66600</xdr:rowOff>
    </xdr:from>
    <xdr:to>
      <xdr:col>18</xdr:col>
      <xdr:colOff>192600</xdr:colOff>
      <xdr:row>889</xdr:row>
      <xdr:rowOff>114120</xdr:rowOff>
    </xdr:to>
    <xdr:sp macro="" textlink="">
      <xdr:nvSpPr>
        <xdr:cNvPr id="254" name="Прямая соединительная линия 441">
          <a:extLst>
            <a:ext uri="{FF2B5EF4-FFF2-40B4-BE49-F238E27FC236}">
              <a16:creationId xmlns:a16="http://schemas.microsoft.com/office/drawing/2014/main" id="{00000000-0008-0000-0200-0000FE000000}"/>
            </a:ext>
          </a:extLst>
        </xdr:cNvPr>
        <xdr:cNvSpPr/>
      </xdr:nvSpPr>
      <xdr:spPr>
        <a:xfrm flipH="1">
          <a:off x="7919280" y="11447640"/>
          <a:ext cx="1821960" cy="475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66960</xdr:colOff>
      <xdr:row>889</xdr:row>
      <xdr:rowOff>57240</xdr:rowOff>
    </xdr:from>
    <xdr:to>
      <xdr:col>30</xdr:col>
      <xdr:colOff>192600</xdr:colOff>
      <xdr:row>889</xdr:row>
      <xdr:rowOff>66960</xdr:rowOff>
    </xdr:to>
    <xdr:sp macro="" textlink="">
      <xdr:nvSpPr>
        <xdr:cNvPr id="255" name="Прямая соединительная линия 442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SpPr/>
      </xdr:nvSpPr>
      <xdr:spPr>
        <a:xfrm flipH="1">
          <a:off x="10494360" y="11437920"/>
          <a:ext cx="1665000" cy="9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28800</xdr:colOff>
      <xdr:row>889</xdr:row>
      <xdr:rowOff>9720</xdr:rowOff>
    </xdr:from>
    <xdr:to>
      <xdr:col>32</xdr:col>
      <xdr:colOff>47880</xdr:colOff>
      <xdr:row>889</xdr:row>
      <xdr:rowOff>114480</xdr:rowOff>
    </xdr:to>
    <xdr:sp macro="" textlink="">
      <xdr:nvSpPr>
        <xdr:cNvPr id="256" name="Прямая соединительная линия 443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SpPr/>
      </xdr:nvSpPr>
      <xdr:spPr>
        <a:xfrm flipH="1" flipV="1">
          <a:off x="9577440" y="11390400"/>
          <a:ext cx="2822040" cy="104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36720</xdr:colOff>
      <xdr:row>889</xdr:row>
      <xdr:rowOff>76320</xdr:rowOff>
    </xdr:from>
    <xdr:to>
      <xdr:col>23</xdr:col>
      <xdr:colOff>66960</xdr:colOff>
      <xdr:row>889</xdr:row>
      <xdr:rowOff>86040</xdr:rowOff>
    </xdr:to>
    <xdr:sp macro="" textlink="">
      <xdr:nvSpPr>
        <xdr:cNvPr id="257" name="Прямая соединительная линия 444">
          <a:extLst>
            <a:ext uri="{FF2B5EF4-FFF2-40B4-BE49-F238E27FC236}">
              <a16:creationId xmlns:a16="http://schemas.microsoft.com/office/drawing/2014/main" id="{00000000-0008-0000-0200-000001010000}"/>
            </a:ext>
          </a:extLst>
        </xdr:cNvPr>
        <xdr:cNvSpPr/>
      </xdr:nvSpPr>
      <xdr:spPr>
        <a:xfrm flipH="1" flipV="1">
          <a:off x="7725240" y="11457000"/>
          <a:ext cx="2961720" cy="9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152280</xdr:colOff>
      <xdr:row>889</xdr:row>
      <xdr:rowOff>76320</xdr:rowOff>
    </xdr:from>
    <xdr:to>
      <xdr:col>22</xdr:col>
      <xdr:colOff>152280</xdr:colOff>
      <xdr:row>889</xdr:row>
      <xdr:rowOff>86040</xdr:rowOff>
    </xdr:to>
    <xdr:sp macro="" textlink="">
      <xdr:nvSpPr>
        <xdr:cNvPr id="258" name="Прямая соединительная линия 449">
          <a:extLst>
            <a:ext uri="{FF2B5EF4-FFF2-40B4-BE49-F238E27FC236}">
              <a16:creationId xmlns:a16="http://schemas.microsoft.com/office/drawing/2014/main" id="{00000000-0008-0000-0200-000002010000}"/>
            </a:ext>
          </a:extLst>
        </xdr:cNvPr>
        <xdr:cNvSpPr/>
      </xdr:nvSpPr>
      <xdr:spPr>
        <a:xfrm>
          <a:off x="10580040" y="11457000"/>
          <a:ext cx="0" cy="9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9360</xdr:colOff>
      <xdr:row>889</xdr:row>
      <xdr:rowOff>9360</xdr:rowOff>
    </xdr:from>
    <xdr:to>
      <xdr:col>18</xdr:col>
      <xdr:colOff>9360</xdr:colOff>
      <xdr:row>889</xdr:row>
      <xdr:rowOff>18720</xdr:rowOff>
    </xdr:to>
    <xdr:sp macro="" textlink="">
      <xdr:nvSpPr>
        <xdr:cNvPr id="259" name="Прямая соединительная линия 451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SpPr/>
      </xdr:nvSpPr>
      <xdr:spPr>
        <a:xfrm>
          <a:off x="9558360" y="11390400"/>
          <a:ext cx="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162000</xdr:colOff>
      <xdr:row>23</xdr:row>
      <xdr:rowOff>56880</xdr:rowOff>
    </xdr:from>
    <xdr:to>
      <xdr:col>24</xdr:col>
      <xdr:colOff>171720</xdr:colOff>
      <xdr:row>25</xdr:row>
      <xdr:rowOff>117360</xdr:rowOff>
    </xdr:to>
    <xdr:sp macro="" textlink="">
      <xdr:nvSpPr>
        <xdr:cNvPr id="260" name="Прямая соединительная линия 452">
          <a:extLst>
            <a:ext uri="{FF2B5EF4-FFF2-40B4-BE49-F238E27FC236}">
              <a16:creationId xmlns:a16="http://schemas.microsoft.com/office/drawing/2014/main" id="{00000000-0008-0000-0200-000004010000}"/>
            </a:ext>
          </a:extLst>
        </xdr:cNvPr>
        <xdr:cNvSpPr/>
      </xdr:nvSpPr>
      <xdr:spPr>
        <a:xfrm flipH="1">
          <a:off x="8812800" y="4248360"/>
          <a:ext cx="2171160" cy="419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24</xdr:col>
      <xdr:colOff>161640</xdr:colOff>
      <xdr:row>23</xdr:row>
      <xdr:rowOff>56880</xdr:rowOff>
    </xdr:from>
    <xdr:to>
      <xdr:col>33</xdr:col>
      <xdr:colOff>152280</xdr:colOff>
      <xdr:row>24</xdr:row>
      <xdr:rowOff>123480</xdr:rowOff>
    </xdr:to>
    <xdr:sp macro="" textlink="">
      <xdr:nvSpPr>
        <xdr:cNvPr id="261" name="Прямая соединительная линия 453">
          <a:extLst>
            <a:ext uri="{FF2B5EF4-FFF2-40B4-BE49-F238E27FC236}">
              <a16:creationId xmlns:a16="http://schemas.microsoft.com/office/drawing/2014/main" id="{00000000-0008-0000-0200-000005010000}"/>
            </a:ext>
          </a:extLst>
        </xdr:cNvPr>
        <xdr:cNvSpPr/>
      </xdr:nvSpPr>
      <xdr:spPr>
        <a:xfrm flipH="1" flipV="1">
          <a:off x="10974240" y="4248360"/>
          <a:ext cx="1722240" cy="2462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25</xdr:col>
      <xdr:colOff>360</xdr:colOff>
      <xdr:row>16</xdr:row>
      <xdr:rowOff>28800</xdr:rowOff>
    </xdr:from>
    <xdr:to>
      <xdr:col>33</xdr:col>
      <xdr:colOff>162000</xdr:colOff>
      <xdr:row>17</xdr:row>
      <xdr:rowOff>76320</xdr:rowOff>
    </xdr:to>
    <xdr:sp macro="" textlink="">
      <xdr:nvSpPr>
        <xdr:cNvPr id="262" name="Прямая соединительная линия 454">
          <a:extLst>
            <a:ext uri="{FF2B5EF4-FFF2-40B4-BE49-F238E27FC236}">
              <a16:creationId xmlns:a16="http://schemas.microsoft.com/office/drawing/2014/main" id="{00000000-0008-0000-0200-000006010000}"/>
            </a:ext>
          </a:extLst>
        </xdr:cNvPr>
        <xdr:cNvSpPr/>
      </xdr:nvSpPr>
      <xdr:spPr>
        <a:xfrm flipH="1" flipV="1">
          <a:off x="11004840" y="2962080"/>
          <a:ext cx="1701000" cy="227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24</xdr:col>
      <xdr:colOff>171720</xdr:colOff>
      <xdr:row>15</xdr:row>
      <xdr:rowOff>75960</xdr:rowOff>
    </xdr:from>
    <xdr:to>
      <xdr:col>33</xdr:col>
      <xdr:colOff>152640</xdr:colOff>
      <xdr:row>16</xdr:row>
      <xdr:rowOff>123480</xdr:rowOff>
    </xdr:to>
    <xdr:sp macro="" textlink="">
      <xdr:nvSpPr>
        <xdr:cNvPr id="263" name="Прямая соединительная линия 455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SpPr/>
      </xdr:nvSpPr>
      <xdr:spPr>
        <a:xfrm flipH="1" flipV="1">
          <a:off x="10983960" y="2829600"/>
          <a:ext cx="1712520" cy="2275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38160</xdr:colOff>
      <xdr:row>457</xdr:row>
      <xdr:rowOff>95400</xdr:rowOff>
    </xdr:from>
    <xdr:to>
      <xdr:col>21</xdr:col>
      <xdr:colOff>161640</xdr:colOff>
      <xdr:row>457</xdr:row>
      <xdr:rowOff>133200</xdr:rowOff>
    </xdr:to>
    <xdr:sp macro="" textlink="">
      <xdr:nvSpPr>
        <xdr:cNvPr id="264" name="Дуга 465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SpPr/>
      </xdr:nvSpPr>
      <xdr:spPr>
        <a:xfrm>
          <a:off x="9266400" y="8960400"/>
          <a:ext cx="1130760" cy="37800"/>
        </a:xfrm>
        <a:prstGeom prst="arc">
          <a:avLst>
            <a:gd name="adj1" fmla="val 16315971"/>
            <a:gd name="adj2" fmla="val 18118213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27</xdr:col>
      <xdr:colOff>0</xdr:colOff>
      <xdr:row>457</xdr:row>
      <xdr:rowOff>85680</xdr:rowOff>
    </xdr:from>
    <xdr:to>
      <xdr:col>33</xdr:col>
      <xdr:colOff>75960</xdr:colOff>
      <xdr:row>457</xdr:row>
      <xdr:rowOff>104400</xdr:rowOff>
    </xdr:to>
    <xdr:sp macro="" textlink="">
      <xdr:nvSpPr>
        <xdr:cNvPr id="265" name="Дуга 466">
          <a:extLst>
            <a:ext uri="{FF2B5EF4-FFF2-40B4-BE49-F238E27FC236}">
              <a16:creationId xmlns:a16="http://schemas.microsoft.com/office/drawing/2014/main" id="{00000000-0008-0000-0200-000009010000}"/>
            </a:ext>
          </a:extLst>
        </xdr:cNvPr>
        <xdr:cNvSpPr/>
      </xdr:nvSpPr>
      <xdr:spPr>
        <a:xfrm flipH="1">
          <a:off x="11389680" y="8950680"/>
          <a:ext cx="1230480" cy="18720"/>
        </a:xfrm>
        <a:prstGeom prst="arc">
          <a:avLst>
            <a:gd name="adj1" fmla="val 16550924"/>
            <a:gd name="adj2" fmla="val 18688810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31</xdr:col>
      <xdr:colOff>0</xdr:colOff>
      <xdr:row>236</xdr:row>
      <xdr:rowOff>360</xdr:rowOff>
    </xdr:from>
    <xdr:to>
      <xdr:col>31</xdr:col>
      <xdr:colOff>0</xdr:colOff>
      <xdr:row>236</xdr:row>
      <xdr:rowOff>38160</xdr:rowOff>
    </xdr:to>
    <xdr:sp macro="" textlink="">
      <xdr:nvSpPr>
        <xdr:cNvPr id="266" name="Прямая соединительная линия 469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SpPr/>
      </xdr:nvSpPr>
      <xdr:spPr>
        <a:xfrm>
          <a:off x="12159360" y="7067880"/>
          <a:ext cx="0" cy="37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11</xdr:col>
      <xdr:colOff>75960</xdr:colOff>
      <xdr:row>236</xdr:row>
      <xdr:rowOff>18720</xdr:rowOff>
    </xdr:from>
    <xdr:to>
      <xdr:col>11</xdr:col>
      <xdr:colOff>75960</xdr:colOff>
      <xdr:row>236</xdr:row>
      <xdr:rowOff>133200</xdr:rowOff>
    </xdr:to>
    <xdr:sp macro="" textlink="">
      <xdr:nvSpPr>
        <xdr:cNvPr id="267" name="Прямая соединительная линия 470">
          <a:extLst>
            <a:ext uri="{FF2B5EF4-FFF2-40B4-BE49-F238E27FC236}">
              <a16:creationId xmlns:a16="http://schemas.microsoft.com/office/drawing/2014/main" id="{00000000-0008-0000-0200-00000B010000}"/>
            </a:ext>
          </a:extLst>
        </xdr:cNvPr>
        <xdr:cNvSpPr/>
      </xdr:nvSpPr>
      <xdr:spPr>
        <a:xfrm>
          <a:off x="8149680" y="7086600"/>
          <a:ext cx="0" cy="1144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5</xdr:col>
      <xdr:colOff>380880</xdr:colOff>
      <xdr:row>236</xdr:row>
      <xdr:rowOff>0</xdr:rowOff>
    </xdr:from>
    <xdr:to>
      <xdr:col>17</xdr:col>
      <xdr:colOff>142560</xdr:colOff>
      <xdr:row>236</xdr:row>
      <xdr:rowOff>66240</xdr:rowOff>
    </xdr:to>
    <xdr:sp macro="" textlink="">
      <xdr:nvSpPr>
        <xdr:cNvPr id="268" name="Соединительная линия уступом 1570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SpPr/>
      </xdr:nvSpPr>
      <xdr:spPr>
        <a:xfrm flipV="1">
          <a:off x="6242400" y="7067520"/>
          <a:ext cx="3128400" cy="66240"/>
        </a:xfrm>
        <a:prstGeom prst="bentConnector3">
          <a:avLst>
            <a:gd name="adj1" fmla="val 88312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0</xdr:colOff>
      <xdr:row>9</xdr:row>
      <xdr:rowOff>56880</xdr:rowOff>
    </xdr:from>
    <xdr:to>
      <xdr:col>23</xdr:col>
      <xdr:colOff>18720</xdr:colOff>
      <xdr:row>27</xdr:row>
      <xdr:rowOff>142560</xdr:rowOff>
    </xdr:to>
    <xdr:sp macro="" textlink="">
      <xdr:nvSpPr>
        <xdr:cNvPr id="269" name="Прямая соединительная линия 474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SpPr/>
      </xdr:nvSpPr>
      <xdr:spPr>
        <a:xfrm>
          <a:off x="10620360" y="1732320"/>
          <a:ext cx="18720" cy="33206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33</xdr:col>
      <xdr:colOff>162000</xdr:colOff>
      <xdr:row>7</xdr:row>
      <xdr:rowOff>360</xdr:rowOff>
    </xdr:from>
    <xdr:to>
      <xdr:col>33</xdr:col>
      <xdr:colOff>171720</xdr:colOff>
      <xdr:row>25</xdr:row>
      <xdr:rowOff>86040</xdr:rowOff>
    </xdr:to>
    <xdr:sp macro="" textlink="">
      <xdr:nvSpPr>
        <xdr:cNvPr id="270" name="Прямая соединительная линия 475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SpPr/>
      </xdr:nvSpPr>
      <xdr:spPr>
        <a:xfrm>
          <a:off x="12705840" y="1316160"/>
          <a:ext cx="9720" cy="33202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161640</xdr:colOff>
      <xdr:row>8</xdr:row>
      <xdr:rowOff>133560</xdr:rowOff>
    </xdr:from>
    <xdr:to>
      <xdr:col>22</xdr:col>
      <xdr:colOff>171360</xdr:colOff>
      <xdr:row>10</xdr:row>
      <xdr:rowOff>57240</xdr:rowOff>
    </xdr:to>
    <xdr:sp macro="" textlink="">
      <xdr:nvSpPr>
        <xdr:cNvPr id="271" name="Прямая соединительная линия 476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SpPr/>
      </xdr:nvSpPr>
      <xdr:spPr>
        <a:xfrm flipH="1" flipV="1">
          <a:off x="8812800" y="1629000"/>
          <a:ext cx="1786320" cy="283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171360</xdr:colOff>
      <xdr:row>8</xdr:row>
      <xdr:rowOff>28800</xdr:rowOff>
    </xdr:from>
    <xdr:to>
      <xdr:col>23</xdr:col>
      <xdr:colOff>18720</xdr:colOff>
      <xdr:row>9</xdr:row>
      <xdr:rowOff>76320</xdr:rowOff>
    </xdr:to>
    <xdr:sp macro="" textlink="">
      <xdr:nvSpPr>
        <xdr:cNvPr id="272" name="Прямая соединительная линия 477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SpPr/>
      </xdr:nvSpPr>
      <xdr:spPr>
        <a:xfrm flipH="1" flipV="1">
          <a:off x="8822520" y="1524240"/>
          <a:ext cx="1816560" cy="227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9720</xdr:colOff>
      <xdr:row>7</xdr:row>
      <xdr:rowOff>9720</xdr:rowOff>
    </xdr:from>
    <xdr:to>
      <xdr:col>33</xdr:col>
      <xdr:colOff>162000</xdr:colOff>
      <xdr:row>9</xdr:row>
      <xdr:rowOff>76320</xdr:rowOff>
    </xdr:to>
    <xdr:sp macro="" textlink="">
      <xdr:nvSpPr>
        <xdr:cNvPr id="273" name="Прямая соединительная линия 478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SpPr/>
      </xdr:nvSpPr>
      <xdr:spPr>
        <a:xfrm flipH="1">
          <a:off x="10629720" y="1325520"/>
          <a:ext cx="2076120" cy="425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18720</xdr:colOff>
      <xdr:row>7</xdr:row>
      <xdr:rowOff>123840</xdr:rowOff>
    </xdr:from>
    <xdr:to>
      <xdr:col>33</xdr:col>
      <xdr:colOff>133200</xdr:colOff>
      <xdr:row>10</xdr:row>
      <xdr:rowOff>57240</xdr:rowOff>
    </xdr:to>
    <xdr:sp macro="" textlink="">
      <xdr:nvSpPr>
        <xdr:cNvPr id="274" name="Прямая соединительная линия 479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SpPr/>
      </xdr:nvSpPr>
      <xdr:spPr>
        <a:xfrm flipH="1">
          <a:off x="10639080" y="1439640"/>
          <a:ext cx="2038320" cy="4726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24</xdr:col>
      <xdr:colOff>171360</xdr:colOff>
      <xdr:row>5</xdr:row>
      <xdr:rowOff>86040</xdr:rowOff>
    </xdr:from>
    <xdr:to>
      <xdr:col>24</xdr:col>
      <xdr:colOff>171360</xdr:colOff>
      <xdr:row>24</xdr:row>
      <xdr:rowOff>28800</xdr:rowOff>
    </xdr:to>
    <xdr:sp macro="" textlink="">
      <xdr:nvSpPr>
        <xdr:cNvPr id="275" name="Прямая соединительная линия 480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SpPr/>
      </xdr:nvSpPr>
      <xdr:spPr>
        <a:xfrm>
          <a:off x="10983960" y="1042560"/>
          <a:ext cx="0" cy="33570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24</xdr:col>
      <xdr:colOff>162000</xdr:colOff>
      <xdr:row>5</xdr:row>
      <xdr:rowOff>95040</xdr:rowOff>
    </xdr:from>
    <xdr:to>
      <xdr:col>33</xdr:col>
      <xdr:colOff>133560</xdr:colOff>
      <xdr:row>6</xdr:row>
      <xdr:rowOff>179640</xdr:rowOff>
    </xdr:to>
    <xdr:sp macro="" textlink="">
      <xdr:nvSpPr>
        <xdr:cNvPr id="276" name="Прямая соединительная линия 481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SpPr/>
      </xdr:nvSpPr>
      <xdr:spPr>
        <a:xfrm flipH="1" flipV="1">
          <a:off x="10974240" y="1051920"/>
          <a:ext cx="1703160" cy="264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171720</xdr:colOff>
      <xdr:row>5</xdr:row>
      <xdr:rowOff>104760</xdr:rowOff>
    </xdr:from>
    <xdr:to>
      <xdr:col>24</xdr:col>
      <xdr:colOff>152640</xdr:colOff>
      <xdr:row>8</xdr:row>
      <xdr:rowOff>41040</xdr:rowOff>
    </xdr:to>
    <xdr:sp macro="" textlink="">
      <xdr:nvSpPr>
        <xdr:cNvPr id="277" name="Прямая соединительная линия 482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SpPr/>
      </xdr:nvSpPr>
      <xdr:spPr>
        <a:xfrm flipH="1">
          <a:off x="8822520" y="1061640"/>
          <a:ext cx="2142360" cy="4752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162000</xdr:colOff>
      <xdr:row>6</xdr:row>
      <xdr:rowOff>75960</xdr:rowOff>
    </xdr:from>
    <xdr:to>
      <xdr:col>24</xdr:col>
      <xdr:colOff>171720</xdr:colOff>
      <xdr:row>8</xdr:row>
      <xdr:rowOff>136440</xdr:rowOff>
    </xdr:to>
    <xdr:sp macro="" textlink="">
      <xdr:nvSpPr>
        <xdr:cNvPr id="278" name="Прямая соединительная линия 483">
          <a:extLst>
            <a:ext uri="{FF2B5EF4-FFF2-40B4-BE49-F238E27FC236}">
              <a16:creationId xmlns:a16="http://schemas.microsoft.com/office/drawing/2014/main" id="{00000000-0008-0000-0200-000016010000}"/>
            </a:ext>
          </a:extLst>
        </xdr:cNvPr>
        <xdr:cNvSpPr/>
      </xdr:nvSpPr>
      <xdr:spPr>
        <a:xfrm flipH="1">
          <a:off x="8812800" y="1212480"/>
          <a:ext cx="2171160" cy="419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15</xdr:col>
      <xdr:colOff>0</xdr:colOff>
      <xdr:row>15</xdr:row>
      <xdr:rowOff>85680</xdr:rowOff>
    </xdr:from>
    <xdr:to>
      <xdr:col>25</xdr:col>
      <xdr:colOff>9360</xdr:colOff>
      <xdr:row>17</xdr:row>
      <xdr:rowOff>145800</xdr:rowOff>
    </xdr:to>
    <xdr:sp macro="" textlink="">
      <xdr:nvSpPr>
        <xdr:cNvPr id="279" name="Прямая соединительная линия 484">
          <a:extLst>
            <a:ext uri="{FF2B5EF4-FFF2-40B4-BE49-F238E27FC236}">
              <a16:creationId xmlns:a16="http://schemas.microsoft.com/office/drawing/2014/main" id="{00000000-0008-0000-0200-000017010000}"/>
            </a:ext>
          </a:extLst>
        </xdr:cNvPr>
        <xdr:cNvSpPr/>
      </xdr:nvSpPr>
      <xdr:spPr>
        <a:xfrm flipH="1">
          <a:off x="8843400" y="2839320"/>
          <a:ext cx="2170800" cy="419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152280</xdr:colOff>
      <xdr:row>16</xdr:row>
      <xdr:rowOff>28800</xdr:rowOff>
    </xdr:from>
    <xdr:to>
      <xdr:col>24</xdr:col>
      <xdr:colOff>161640</xdr:colOff>
      <xdr:row>18</xdr:row>
      <xdr:rowOff>88920</xdr:rowOff>
    </xdr:to>
    <xdr:sp macro="" textlink="">
      <xdr:nvSpPr>
        <xdr:cNvPr id="280" name="Прямая соединительная линия 485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SpPr/>
      </xdr:nvSpPr>
      <xdr:spPr>
        <a:xfrm flipH="1">
          <a:off x="8803440" y="2962080"/>
          <a:ext cx="2170800" cy="419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24</xdr:col>
      <xdr:colOff>152640</xdr:colOff>
      <xdr:row>6</xdr:row>
      <xdr:rowOff>75960</xdr:rowOff>
    </xdr:from>
    <xdr:to>
      <xdr:col>33</xdr:col>
      <xdr:colOff>181080</xdr:colOff>
      <xdr:row>7</xdr:row>
      <xdr:rowOff>142560</xdr:rowOff>
    </xdr:to>
    <xdr:sp macro="" textlink="">
      <xdr:nvSpPr>
        <xdr:cNvPr id="281" name="Прямая соединительная линия 486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SpPr/>
      </xdr:nvSpPr>
      <xdr:spPr>
        <a:xfrm flipH="1" flipV="1">
          <a:off x="10964880" y="1212480"/>
          <a:ext cx="1760040" cy="2462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31</xdr:col>
      <xdr:colOff>0</xdr:colOff>
      <xdr:row>236</xdr:row>
      <xdr:rowOff>18720</xdr:rowOff>
    </xdr:from>
    <xdr:to>
      <xdr:col>31</xdr:col>
      <xdr:colOff>0</xdr:colOff>
      <xdr:row>236</xdr:row>
      <xdr:rowOff>133200</xdr:rowOff>
    </xdr:to>
    <xdr:sp macro="" textlink="">
      <xdr:nvSpPr>
        <xdr:cNvPr id="282" name="Прямая соединительная линия 487">
          <a:extLst>
            <a:ext uri="{FF2B5EF4-FFF2-40B4-BE49-F238E27FC236}">
              <a16:creationId xmlns:a16="http://schemas.microsoft.com/office/drawing/2014/main" id="{00000000-0008-0000-0200-00001A010000}"/>
            </a:ext>
          </a:extLst>
        </xdr:cNvPr>
        <xdr:cNvSpPr/>
      </xdr:nvSpPr>
      <xdr:spPr>
        <a:xfrm>
          <a:off x="12159360" y="7086600"/>
          <a:ext cx="0" cy="1144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123840</xdr:colOff>
      <xdr:row>616</xdr:row>
      <xdr:rowOff>0</xdr:rowOff>
    </xdr:from>
    <xdr:to>
      <xdr:col>13</xdr:col>
      <xdr:colOff>6480</xdr:colOff>
      <xdr:row>616</xdr:row>
      <xdr:rowOff>142560</xdr:rowOff>
    </xdr:to>
    <xdr:sp macro="" textlink="">
      <xdr:nvSpPr>
        <xdr:cNvPr id="283" name="Прямая соединительная линия 488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SpPr/>
      </xdr:nvSpPr>
      <xdr:spPr>
        <a:xfrm flipH="1">
          <a:off x="7305840" y="9583920"/>
          <a:ext cx="115884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13</xdr:col>
      <xdr:colOff>6480</xdr:colOff>
      <xdr:row>616</xdr:row>
      <xdr:rowOff>360</xdr:rowOff>
    </xdr:from>
    <xdr:to>
      <xdr:col>18</xdr:col>
      <xdr:colOff>66960</xdr:colOff>
      <xdr:row>616</xdr:row>
      <xdr:rowOff>66960</xdr:rowOff>
    </xdr:to>
    <xdr:sp macro="" textlink="">
      <xdr:nvSpPr>
        <xdr:cNvPr id="284" name="Прямая соединительная линия 490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SpPr/>
      </xdr:nvSpPr>
      <xdr:spPr>
        <a:xfrm flipH="1" flipV="1">
          <a:off x="8464680" y="9583920"/>
          <a:ext cx="115092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21</xdr:col>
      <xdr:colOff>133200</xdr:colOff>
      <xdr:row>616</xdr:row>
      <xdr:rowOff>19080</xdr:rowOff>
    </xdr:from>
    <xdr:to>
      <xdr:col>26</xdr:col>
      <xdr:colOff>171360</xdr:colOff>
      <xdr:row>616</xdr:row>
      <xdr:rowOff>76320</xdr:rowOff>
    </xdr:to>
    <xdr:sp macro="" textlink="">
      <xdr:nvSpPr>
        <xdr:cNvPr id="285" name="Прямая соединительная линия 491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SpPr/>
      </xdr:nvSpPr>
      <xdr:spPr>
        <a:xfrm flipH="1" flipV="1">
          <a:off x="10368720" y="9602640"/>
          <a:ext cx="100008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285840</xdr:colOff>
      <xdr:row>616</xdr:row>
      <xdr:rowOff>19080</xdr:rowOff>
    </xdr:from>
    <xdr:to>
      <xdr:col>10</xdr:col>
      <xdr:colOff>192600</xdr:colOff>
      <xdr:row>616</xdr:row>
      <xdr:rowOff>123840</xdr:rowOff>
    </xdr:to>
    <xdr:sp macro="" textlink="">
      <xdr:nvSpPr>
        <xdr:cNvPr id="286" name="Прямая соединительная линия 493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SpPr/>
      </xdr:nvSpPr>
      <xdr:spPr>
        <a:xfrm flipH="1">
          <a:off x="7467840" y="9602640"/>
          <a:ext cx="60588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114120</xdr:colOff>
      <xdr:row>616</xdr:row>
      <xdr:rowOff>114480</xdr:rowOff>
    </xdr:from>
    <xdr:to>
      <xdr:col>19</xdr:col>
      <xdr:colOff>152280</xdr:colOff>
      <xdr:row>616</xdr:row>
      <xdr:rowOff>133560</xdr:rowOff>
    </xdr:to>
    <xdr:sp macro="" textlink="">
      <xdr:nvSpPr>
        <xdr:cNvPr id="287" name="Прямая соединительная линия 495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SpPr/>
      </xdr:nvSpPr>
      <xdr:spPr>
        <a:xfrm flipH="1" flipV="1">
          <a:off x="8765280" y="9698040"/>
          <a:ext cx="11282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162000</xdr:colOff>
      <xdr:row>616</xdr:row>
      <xdr:rowOff>28800</xdr:rowOff>
    </xdr:from>
    <xdr:to>
      <xdr:col>25</xdr:col>
      <xdr:colOff>192960</xdr:colOff>
      <xdr:row>616</xdr:row>
      <xdr:rowOff>142920</xdr:rowOff>
    </xdr:to>
    <xdr:sp macro="" textlink="">
      <xdr:nvSpPr>
        <xdr:cNvPr id="288" name="Прямая соединительная линия 496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SpPr/>
      </xdr:nvSpPr>
      <xdr:spPr>
        <a:xfrm flipH="1">
          <a:off x="9389880" y="9612360"/>
          <a:ext cx="1807560" cy="114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142560</xdr:colOff>
      <xdr:row>616</xdr:row>
      <xdr:rowOff>18720</xdr:rowOff>
    </xdr:from>
    <xdr:to>
      <xdr:col>16</xdr:col>
      <xdr:colOff>75960</xdr:colOff>
      <xdr:row>616</xdr:row>
      <xdr:rowOff>56880</xdr:rowOff>
    </xdr:to>
    <xdr:sp macro="" textlink="">
      <xdr:nvSpPr>
        <xdr:cNvPr id="289" name="Прямая соединительная линия 499">
          <a:extLst>
            <a:ext uri="{FF2B5EF4-FFF2-40B4-BE49-F238E27FC236}">
              <a16:creationId xmlns:a16="http://schemas.microsoft.com/office/drawing/2014/main" id="{00000000-0008-0000-0200-000021010000}"/>
            </a:ext>
          </a:extLst>
        </xdr:cNvPr>
        <xdr:cNvSpPr/>
      </xdr:nvSpPr>
      <xdr:spPr>
        <a:xfrm flipH="1">
          <a:off x="8024040" y="9602640"/>
          <a:ext cx="108792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13</xdr:col>
      <xdr:colOff>74160</xdr:colOff>
      <xdr:row>616</xdr:row>
      <xdr:rowOff>47880</xdr:rowOff>
    </xdr:from>
    <xdr:to>
      <xdr:col>18</xdr:col>
      <xdr:colOff>50760</xdr:colOff>
      <xdr:row>616</xdr:row>
      <xdr:rowOff>76320</xdr:rowOff>
    </xdr:to>
    <xdr:sp macro="" textlink="">
      <xdr:nvSpPr>
        <xdr:cNvPr id="290" name="Прямая соединительная линия 500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/>
      </xdr:nvSpPr>
      <xdr:spPr>
        <a:xfrm flipH="1" flipV="1">
          <a:off x="8532720" y="9631440"/>
          <a:ext cx="1067040" cy="284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56880</xdr:colOff>
      <xdr:row>616</xdr:row>
      <xdr:rowOff>57240</xdr:rowOff>
    </xdr:from>
    <xdr:to>
      <xdr:col>18</xdr:col>
      <xdr:colOff>56880</xdr:colOff>
      <xdr:row>616</xdr:row>
      <xdr:rowOff>105120</xdr:rowOff>
    </xdr:to>
    <xdr:sp macro="" textlink="">
      <xdr:nvSpPr>
        <xdr:cNvPr id="291" name="Прямая соединительная линия 502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/>
      </xdr:nvSpPr>
      <xdr:spPr>
        <a:xfrm>
          <a:off x="9605880" y="9640800"/>
          <a:ext cx="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26</xdr:col>
      <xdr:colOff>171360</xdr:colOff>
      <xdr:row>616</xdr:row>
      <xdr:rowOff>57240</xdr:rowOff>
    </xdr:from>
    <xdr:to>
      <xdr:col>26</xdr:col>
      <xdr:colOff>171360</xdr:colOff>
      <xdr:row>616</xdr:row>
      <xdr:rowOff>105120</xdr:rowOff>
    </xdr:to>
    <xdr:sp macro="" textlink="">
      <xdr:nvSpPr>
        <xdr:cNvPr id="292" name="Прямая соединительная линия 503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/>
      </xdr:nvSpPr>
      <xdr:spPr>
        <a:xfrm>
          <a:off x="11368800" y="9640800"/>
          <a:ext cx="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180720</xdr:colOff>
      <xdr:row>616</xdr:row>
      <xdr:rowOff>57240</xdr:rowOff>
    </xdr:from>
    <xdr:to>
      <xdr:col>18</xdr:col>
      <xdr:colOff>192240</xdr:colOff>
      <xdr:row>616</xdr:row>
      <xdr:rowOff>105120</xdr:rowOff>
    </xdr:to>
    <xdr:sp macro="" textlink="">
      <xdr:nvSpPr>
        <xdr:cNvPr id="293" name="Прямая соединительная линия 508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SpPr/>
      </xdr:nvSpPr>
      <xdr:spPr>
        <a:xfrm>
          <a:off x="9729720" y="9640800"/>
          <a:ext cx="1152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19</xdr:col>
      <xdr:colOff>360</xdr:colOff>
      <xdr:row>616</xdr:row>
      <xdr:rowOff>85680</xdr:rowOff>
    </xdr:from>
    <xdr:to>
      <xdr:col>26</xdr:col>
      <xdr:colOff>9720</xdr:colOff>
      <xdr:row>616</xdr:row>
      <xdr:rowOff>95040</xdr:rowOff>
    </xdr:to>
    <xdr:sp macro="" textlink="">
      <xdr:nvSpPr>
        <xdr:cNvPr id="294" name="Прямая соединительная линия 512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SpPr/>
      </xdr:nvSpPr>
      <xdr:spPr>
        <a:xfrm flipH="1">
          <a:off x="9741240" y="9669600"/>
          <a:ext cx="14655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104760</xdr:colOff>
      <xdr:row>616</xdr:row>
      <xdr:rowOff>19080</xdr:rowOff>
    </xdr:from>
    <xdr:to>
      <xdr:col>17</xdr:col>
      <xdr:colOff>104760</xdr:colOff>
      <xdr:row>616</xdr:row>
      <xdr:rowOff>114480</xdr:rowOff>
    </xdr:to>
    <xdr:sp macro="" textlink="">
      <xdr:nvSpPr>
        <xdr:cNvPr id="295" name="Прямая соединительная линия 513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SpPr/>
      </xdr:nvSpPr>
      <xdr:spPr>
        <a:xfrm>
          <a:off x="9333000" y="9602640"/>
          <a:ext cx="0" cy="95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25</xdr:col>
      <xdr:colOff>171360</xdr:colOff>
      <xdr:row>616</xdr:row>
      <xdr:rowOff>0</xdr:rowOff>
    </xdr:from>
    <xdr:to>
      <xdr:col>25</xdr:col>
      <xdr:colOff>171360</xdr:colOff>
      <xdr:row>616</xdr:row>
      <xdr:rowOff>133200</xdr:rowOff>
    </xdr:to>
    <xdr:sp macro="" textlink="">
      <xdr:nvSpPr>
        <xdr:cNvPr id="296" name="Прямая соединительная линия 517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SpPr/>
      </xdr:nvSpPr>
      <xdr:spPr>
        <a:xfrm>
          <a:off x="11176200" y="9583920"/>
          <a:ext cx="0" cy="1332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19</xdr:col>
      <xdr:colOff>360</xdr:colOff>
      <xdr:row>616</xdr:row>
      <xdr:rowOff>47880</xdr:rowOff>
    </xdr:from>
    <xdr:to>
      <xdr:col>25</xdr:col>
      <xdr:colOff>162000</xdr:colOff>
      <xdr:row>616</xdr:row>
      <xdr:rowOff>123840</xdr:rowOff>
    </xdr:to>
    <xdr:sp macro="" textlink="">
      <xdr:nvSpPr>
        <xdr:cNvPr id="297" name="Прямая соединительная линия 519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SpPr/>
      </xdr:nvSpPr>
      <xdr:spPr>
        <a:xfrm flipH="1">
          <a:off x="9741240" y="9631440"/>
          <a:ext cx="142524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85680</xdr:colOff>
      <xdr:row>616</xdr:row>
      <xdr:rowOff>28440</xdr:rowOff>
    </xdr:from>
    <xdr:to>
      <xdr:col>26</xdr:col>
      <xdr:colOff>18720</xdr:colOff>
      <xdr:row>616</xdr:row>
      <xdr:rowOff>152280</xdr:rowOff>
    </xdr:to>
    <xdr:sp macro="" textlink="">
      <xdr:nvSpPr>
        <xdr:cNvPr id="298" name="Прямая соединительная линия 522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SpPr/>
      </xdr:nvSpPr>
      <xdr:spPr>
        <a:xfrm flipH="1" flipV="1">
          <a:off x="9313920" y="9612360"/>
          <a:ext cx="1902240" cy="1238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180720</xdr:colOff>
      <xdr:row>616</xdr:row>
      <xdr:rowOff>104760</xdr:rowOff>
    </xdr:from>
    <xdr:to>
      <xdr:col>25</xdr:col>
      <xdr:colOff>180720</xdr:colOff>
      <xdr:row>616</xdr:row>
      <xdr:rowOff>114120</xdr:rowOff>
    </xdr:to>
    <xdr:sp macro="" textlink="">
      <xdr:nvSpPr>
        <xdr:cNvPr id="299" name="Прямая соединительная линия 529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SpPr/>
      </xdr:nvSpPr>
      <xdr:spPr>
        <a:xfrm flipH="1">
          <a:off x="9729720" y="9688680"/>
          <a:ext cx="145584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152640</xdr:colOff>
      <xdr:row>616</xdr:row>
      <xdr:rowOff>18720</xdr:rowOff>
    </xdr:from>
    <xdr:to>
      <xdr:col>17</xdr:col>
      <xdr:colOff>105120</xdr:colOff>
      <xdr:row>616</xdr:row>
      <xdr:rowOff>117360</xdr:rowOff>
    </xdr:to>
    <xdr:sp macro="" textlink="">
      <xdr:nvSpPr>
        <xdr:cNvPr id="300" name="Прямая соединительная линия 531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SpPr/>
      </xdr:nvSpPr>
      <xdr:spPr>
        <a:xfrm flipH="1">
          <a:off x="8033760" y="9602640"/>
          <a:ext cx="1299240" cy="986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152640</xdr:colOff>
      <xdr:row>616</xdr:row>
      <xdr:rowOff>56880</xdr:rowOff>
    </xdr:from>
    <xdr:to>
      <xdr:col>17</xdr:col>
      <xdr:colOff>105120</xdr:colOff>
      <xdr:row>616</xdr:row>
      <xdr:rowOff>155520</xdr:rowOff>
    </xdr:to>
    <xdr:sp macro="" textlink="">
      <xdr:nvSpPr>
        <xdr:cNvPr id="301" name="Прямая соединительная линия 532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SpPr/>
      </xdr:nvSpPr>
      <xdr:spPr>
        <a:xfrm flipH="1">
          <a:off x="8033760" y="9640800"/>
          <a:ext cx="1299240" cy="986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95040</xdr:colOff>
      <xdr:row>616</xdr:row>
      <xdr:rowOff>66960</xdr:rowOff>
    </xdr:from>
    <xdr:to>
      <xdr:col>26</xdr:col>
      <xdr:colOff>9360</xdr:colOff>
      <xdr:row>616</xdr:row>
      <xdr:rowOff>86040</xdr:rowOff>
    </xdr:to>
    <xdr:sp macro="" textlink="">
      <xdr:nvSpPr>
        <xdr:cNvPr id="302" name="Прямая соединительная линия 534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SpPr/>
      </xdr:nvSpPr>
      <xdr:spPr>
        <a:xfrm flipH="1" flipV="1">
          <a:off x="9323280" y="9650520"/>
          <a:ext cx="188352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114120</xdr:colOff>
      <xdr:row>616</xdr:row>
      <xdr:rowOff>28800</xdr:rowOff>
    </xdr:from>
    <xdr:to>
      <xdr:col>25</xdr:col>
      <xdr:colOff>171360</xdr:colOff>
      <xdr:row>616</xdr:row>
      <xdr:rowOff>47880</xdr:rowOff>
    </xdr:to>
    <xdr:sp macro="" textlink="">
      <xdr:nvSpPr>
        <xdr:cNvPr id="303" name="Прямая соединительная линия 535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SpPr/>
      </xdr:nvSpPr>
      <xdr:spPr>
        <a:xfrm flipH="1" flipV="1">
          <a:off x="9342360" y="9612360"/>
          <a:ext cx="18338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31</xdr:col>
      <xdr:colOff>0</xdr:colOff>
      <xdr:row>616</xdr:row>
      <xdr:rowOff>66600</xdr:rowOff>
    </xdr:from>
    <xdr:to>
      <xdr:col>34</xdr:col>
      <xdr:colOff>25560</xdr:colOff>
      <xdr:row>616</xdr:row>
      <xdr:rowOff>123480</xdr:rowOff>
    </xdr:to>
    <xdr:sp macro="" textlink="">
      <xdr:nvSpPr>
        <xdr:cNvPr id="304" name="Соединительная линия уступом 543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SpPr/>
      </xdr:nvSpPr>
      <xdr:spPr>
        <a:xfrm rot="10800000" flipV="1">
          <a:off x="11428200" y="9593640"/>
          <a:ext cx="731160" cy="568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142920</xdr:colOff>
      <xdr:row>616</xdr:row>
      <xdr:rowOff>38160</xdr:rowOff>
    </xdr:from>
    <xdr:to>
      <xdr:col>18</xdr:col>
      <xdr:colOff>142560</xdr:colOff>
      <xdr:row>616</xdr:row>
      <xdr:rowOff>56880</xdr:rowOff>
    </xdr:to>
    <xdr:sp macro="" textlink="">
      <xdr:nvSpPr>
        <xdr:cNvPr id="305" name="Соединительная линия уступом 545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SpPr/>
      </xdr:nvSpPr>
      <xdr:spPr>
        <a:xfrm>
          <a:off x="7325280" y="9622080"/>
          <a:ext cx="2366280" cy="187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16</xdr:col>
      <xdr:colOff>95400</xdr:colOff>
      <xdr:row>616</xdr:row>
      <xdr:rowOff>104760</xdr:rowOff>
    </xdr:from>
    <xdr:to>
      <xdr:col>20</xdr:col>
      <xdr:colOff>18720</xdr:colOff>
      <xdr:row>616</xdr:row>
      <xdr:rowOff>142560</xdr:rowOff>
    </xdr:to>
    <xdr:sp macro="" textlink="">
      <xdr:nvSpPr>
        <xdr:cNvPr id="306" name="Дуга 546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SpPr/>
      </xdr:nvSpPr>
      <xdr:spPr>
        <a:xfrm>
          <a:off x="9131400" y="9688680"/>
          <a:ext cx="821160" cy="37800"/>
        </a:xfrm>
        <a:prstGeom prst="arc">
          <a:avLst>
            <a:gd name="adj1" fmla="val 16315971"/>
            <a:gd name="adj2" fmla="val 18118213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26</xdr:col>
      <xdr:colOff>47520</xdr:colOff>
      <xdr:row>311</xdr:row>
      <xdr:rowOff>57240</xdr:rowOff>
    </xdr:from>
    <xdr:to>
      <xdr:col>32</xdr:col>
      <xdr:colOff>123480</xdr:colOff>
      <xdr:row>311</xdr:row>
      <xdr:rowOff>114120</xdr:rowOff>
    </xdr:to>
    <xdr:sp macro="" textlink="">
      <xdr:nvSpPr>
        <xdr:cNvPr id="307" name="Дуга 548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SpPr/>
      </xdr:nvSpPr>
      <xdr:spPr>
        <a:xfrm flipH="1">
          <a:off x="11244960" y="7844040"/>
          <a:ext cx="1230480" cy="5688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34</xdr:col>
      <xdr:colOff>9360</xdr:colOff>
      <xdr:row>311</xdr:row>
      <xdr:rowOff>57240</xdr:rowOff>
    </xdr:from>
    <xdr:to>
      <xdr:col>41</xdr:col>
      <xdr:colOff>118440</xdr:colOff>
      <xdr:row>311</xdr:row>
      <xdr:rowOff>114120</xdr:rowOff>
    </xdr:to>
    <xdr:sp macro="" textlink="">
      <xdr:nvSpPr>
        <xdr:cNvPr id="308" name="Соединительная линия уступом 549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SpPr/>
      </xdr:nvSpPr>
      <xdr:spPr>
        <a:xfrm rot="10800000" flipV="1">
          <a:off x="11418480" y="7787160"/>
          <a:ext cx="1455840" cy="568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27</xdr:col>
      <xdr:colOff>9360</xdr:colOff>
      <xdr:row>352</xdr:row>
      <xdr:rowOff>56880</xdr:rowOff>
    </xdr:from>
    <xdr:to>
      <xdr:col>30</xdr:col>
      <xdr:colOff>192240</xdr:colOff>
      <xdr:row>352</xdr:row>
      <xdr:rowOff>142560</xdr:rowOff>
    </xdr:to>
    <xdr:sp macro="" textlink="">
      <xdr:nvSpPr>
        <xdr:cNvPr id="309" name="Прямая соединительная линия 551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SpPr/>
      </xdr:nvSpPr>
      <xdr:spPr>
        <a:xfrm flipH="1" flipV="1">
          <a:off x="11399040" y="8202960"/>
          <a:ext cx="760320" cy="856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66600</xdr:colOff>
      <xdr:row>352</xdr:row>
      <xdr:rowOff>47520</xdr:rowOff>
    </xdr:from>
    <xdr:to>
      <xdr:col>27</xdr:col>
      <xdr:colOff>9360</xdr:colOff>
      <xdr:row>352</xdr:row>
      <xdr:rowOff>85680</xdr:rowOff>
    </xdr:to>
    <xdr:sp macro="" textlink="">
      <xdr:nvSpPr>
        <xdr:cNvPr id="310" name="Прямая соединительная линия 552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SpPr/>
      </xdr:nvSpPr>
      <xdr:spPr>
        <a:xfrm flipV="1">
          <a:off x="10686960" y="8193600"/>
          <a:ext cx="71208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23</xdr:col>
      <xdr:colOff>95400</xdr:colOff>
      <xdr:row>352</xdr:row>
      <xdr:rowOff>86040</xdr:rowOff>
    </xdr:from>
    <xdr:to>
      <xdr:col>30</xdr:col>
      <xdr:colOff>171720</xdr:colOff>
      <xdr:row>352</xdr:row>
      <xdr:rowOff>123840</xdr:rowOff>
    </xdr:to>
    <xdr:sp macro="" textlink="">
      <xdr:nvSpPr>
        <xdr:cNvPr id="311" name="Прямая соединительная линия 553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SpPr/>
      </xdr:nvSpPr>
      <xdr:spPr>
        <a:xfrm flipH="1" flipV="1">
          <a:off x="10715400" y="8231760"/>
          <a:ext cx="1423080" cy="378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85680</xdr:colOff>
      <xdr:row>415</xdr:row>
      <xdr:rowOff>28440</xdr:rowOff>
    </xdr:from>
    <xdr:to>
      <xdr:col>13</xdr:col>
      <xdr:colOff>123480</xdr:colOff>
      <xdr:row>415</xdr:row>
      <xdr:rowOff>37440</xdr:rowOff>
    </xdr:to>
    <xdr:sp macro="" textlink="">
      <xdr:nvSpPr>
        <xdr:cNvPr id="312" name="Соединительная линия уступом 554">
          <a:extLst>
            <a:ext uri="{FF2B5EF4-FFF2-40B4-BE49-F238E27FC236}">
              <a16:creationId xmlns:a16="http://schemas.microsoft.com/office/drawing/2014/main" id="{00000000-0008-0000-0200-000038010000}"/>
            </a:ext>
          </a:extLst>
        </xdr:cNvPr>
        <xdr:cNvSpPr/>
      </xdr:nvSpPr>
      <xdr:spPr>
        <a:xfrm flipV="1">
          <a:off x="7268040" y="8533440"/>
          <a:ext cx="1314000" cy="90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95400</xdr:colOff>
      <xdr:row>145</xdr:row>
      <xdr:rowOff>95040</xdr:rowOff>
    </xdr:from>
    <xdr:to>
      <xdr:col>19</xdr:col>
      <xdr:colOff>133560</xdr:colOff>
      <xdr:row>145</xdr:row>
      <xdr:rowOff>95040</xdr:rowOff>
    </xdr:to>
    <xdr:sp macro="" textlink="">
      <xdr:nvSpPr>
        <xdr:cNvPr id="313" name="Прямая соединительная линия 556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SpPr/>
      </xdr:nvSpPr>
      <xdr:spPr>
        <a:xfrm flipH="1">
          <a:off x="7783920" y="6442920"/>
          <a:ext cx="20905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141480</xdr:colOff>
      <xdr:row>193</xdr:row>
      <xdr:rowOff>30240</xdr:rowOff>
    </xdr:from>
    <xdr:to>
      <xdr:col>28</xdr:col>
      <xdr:colOff>174960</xdr:colOff>
      <xdr:row>193</xdr:row>
      <xdr:rowOff>95400</xdr:rowOff>
    </xdr:to>
    <xdr:sp macro="" textlink="">
      <xdr:nvSpPr>
        <xdr:cNvPr id="314" name="Прямая соединительная линия 660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SpPr/>
      </xdr:nvSpPr>
      <xdr:spPr>
        <a:xfrm flipH="1" flipV="1">
          <a:off x="8792280" y="6738480"/>
          <a:ext cx="2964600" cy="65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43560</xdr:colOff>
      <xdr:row>193</xdr:row>
      <xdr:rowOff>0</xdr:rowOff>
    </xdr:from>
    <xdr:to>
      <xdr:col>17</xdr:col>
      <xdr:colOff>43920</xdr:colOff>
      <xdr:row>193</xdr:row>
      <xdr:rowOff>56880</xdr:rowOff>
    </xdr:to>
    <xdr:sp macro="" textlink="">
      <xdr:nvSpPr>
        <xdr:cNvPr id="315" name="Прямая со стрелкой 665">
          <a:extLst>
            <a:ext uri="{FF2B5EF4-FFF2-40B4-BE49-F238E27FC236}">
              <a16:creationId xmlns:a16="http://schemas.microsoft.com/office/drawing/2014/main" id="{00000000-0008-0000-0200-00003B010000}"/>
            </a:ext>
          </a:extLst>
        </xdr:cNvPr>
        <xdr:cNvSpPr/>
      </xdr:nvSpPr>
      <xdr:spPr>
        <a:xfrm flipH="1">
          <a:off x="9271800" y="6708600"/>
          <a:ext cx="360" cy="5688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28</xdr:col>
      <xdr:colOff>149040</xdr:colOff>
      <xdr:row>193</xdr:row>
      <xdr:rowOff>71280</xdr:rowOff>
    </xdr:from>
    <xdr:to>
      <xdr:col>28</xdr:col>
      <xdr:colOff>149040</xdr:colOff>
      <xdr:row>193</xdr:row>
      <xdr:rowOff>141120</xdr:rowOff>
    </xdr:to>
    <xdr:sp macro="" textlink="">
      <xdr:nvSpPr>
        <xdr:cNvPr id="316" name="Прямая соединительная линия 669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SpPr/>
      </xdr:nvSpPr>
      <xdr:spPr>
        <a:xfrm>
          <a:off x="11731320" y="6779880"/>
          <a:ext cx="0" cy="69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7920</xdr:colOff>
      <xdr:row>193</xdr:row>
      <xdr:rowOff>9360</xdr:rowOff>
    </xdr:from>
    <xdr:to>
      <xdr:col>7</xdr:col>
      <xdr:colOff>9360</xdr:colOff>
      <xdr:row>193</xdr:row>
      <xdr:rowOff>9360</xdr:rowOff>
    </xdr:to>
    <xdr:sp macro="" textlink="">
      <xdr:nvSpPr>
        <xdr:cNvPr id="317" name="Прямая соединительная линия 671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SpPr/>
      </xdr:nvSpPr>
      <xdr:spPr>
        <a:xfrm flipH="1">
          <a:off x="7190280" y="6717960"/>
          <a:ext cx="14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150840</xdr:colOff>
      <xdr:row>193</xdr:row>
      <xdr:rowOff>38160</xdr:rowOff>
    </xdr:from>
    <xdr:to>
      <xdr:col>14</xdr:col>
      <xdr:colOff>152640</xdr:colOff>
      <xdr:row>193</xdr:row>
      <xdr:rowOff>79560</xdr:rowOff>
    </xdr:to>
    <xdr:sp macro="" textlink="">
      <xdr:nvSpPr>
        <xdr:cNvPr id="318" name="Прямая соединительная линия 672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SpPr/>
      </xdr:nvSpPr>
      <xdr:spPr>
        <a:xfrm flipH="1">
          <a:off x="8801640" y="6746400"/>
          <a:ext cx="1800" cy="41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133560</xdr:colOff>
      <xdr:row>193</xdr:row>
      <xdr:rowOff>18720</xdr:rowOff>
    </xdr:from>
    <xdr:to>
      <xdr:col>28</xdr:col>
      <xdr:colOff>162000</xdr:colOff>
      <xdr:row>193</xdr:row>
      <xdr:rowOff>85680</xdr:rowOff>
    </xdr:to>
    <xdr:sp macro="" textlink="">
      <xdr:nvSpPr>
        <xdr:cNvPr id="319" name="Прямая соединительная линия 675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SpPr/>
      </xdr:nvSpPr>
      <xdr:spPr>
        <a:xfrm flipH="1" flipV="1">
          <a:off x="8784360" y="6727320"/>
          <a:ext cx="2959560" cy="66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257400</xdr:colOff>
      <xdr:row>193</xdr:row>
      <xdr:rowOff>84240</xdr:rowOff>
    </xdr:from>
    <xdr:to>
      <xdr:col>28</xdr:col>
      <xdr:colOff>135000</xdr:colOff>
      <xdr:row>193</xdr:row>
      <xdr:rowOff>173160</xdr:rowOff>
    </xdr:to>
    <xdr:sp macro="" textlink="">
      <xdr:nvSpPr>
        <xdr:cNvPr id="320" name="Прямая соединительная линия 676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SpPr/>
      </xdr:nvSpPr>
      <xdr:spPr>
        <a:xfrm flipH="1">
          <a:off x="10190880" y="6792480"/>
          <a:ext cx="1526040" cy="889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188640</xdr:colOff>
      <xdr:row>193</xdr:row>
      <xdr:rowOff>123480</xdr:rowOff>
    </xdr:from>
    <xdr:to>
      <xdr:col>20</xdr:col>
      <xdr:colOff>188640</xdr:colOff>
      <xdr:row>193</xdr:row>
      <xdr:rowOff>174600</xdr:rowOff>
    </xdr:to>
    <xdr:sp macro="" textlink="">
      <xdr:nvSpPr>
        <xdr:cNvPr id="321" name="Прямая соединительная линия 677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SpPr/>
      </xdr:nvSpPr>
      <xdr:spPr>
        <a:xfrm>
          <a:off x="10122480" y="6832080"/>
          <a:ext cx="0" cy="51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6480</xdr:colOff>
      <xdr:row>193</xdr:row>
      <xdr:rowOff>36720</xdr:rowOff>
    </xdr:from>
    <xdr:to>
      <xdr:col>27</xdr:col>
      <xdr:colOff>167040</xdr:colOff>
      <xdr:row>193</xdr:row>
      <xdr:rowOff>142920</xdr:rowOff>
    </xdr:to>
    <xdr:sp macro="" textlink="">
      <xdr:nvSpPr>
        <xdr:cNvPr id="322" name="Прямая соединительная линия 690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SpPr/>
      </xdr:nvSpPr>
      <xdr:spPr>
        <a:xfrm flipH="1" flipV="1">
          <a:off x="8657280" y="6744960"/>
          <a:ext cx="2899080" cy="1062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55440</xdr:colOff>
      <xdr:row>193</xdr:row>
      <xdr:rowOff>147960</xdr:rowOff>
    </xdr:from>
    <xdr:to>
      <xdr:col>15</xdr:col>
      <xdr:colOff>74520</xdr:colOff>
      <xdr:row>193</xdr:row>
      <xdr:rowOff>167040</xdr:rowOff>
    </xdr:to>
    <xdr:sp macro="" textlink="">
      <xdr:nvSpPr>
        <xdr:cNvPr id="323" name="Прямая соединительная линия 691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SpPr/>
      </xdr:nvSpPr>
      <xdr:spPr>
        <a:xfrm flipH="1">
          <a:off x="7744320" y="6856200"/>
          <a:ext cx="117360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171360</xdr:colOff>
      <xdr:row>193</xdr:row>
      <xdr:rowOff>28440</xdr:rowOff>
    </xdr:from>
    <xdr:to>
      <xdr:col>14</xdr:col>
      <xdr:colOff>9000</xdr:colOff>
      <xdr:row>193</xdr:row>
      <xdr:rowOff>85320</xdr:rowOff>
    </xdr:to>
    <xdr:sp macro="" textlink="">
      <xdr:nvSpPr>
        <xdr:cNvPr id="324" name="Дуга 697">
          <a:extLst>
            <a:ext uri="{FF2B5EF4-FFF2-40B4-BE49-F238E27FC236}">
              <a16:creationId xmlns:a16="http://schemas.microsoft.com/office/drawing/2014/main" id="{00000000-0008-0000-0200-000044010000}"/>
            </a:ext>
          </a:extLst>
        </xdr:cNvPr>
        <xdr:cNvSpPr/>
      </xdr:nvSpPr>
      <xdr:spPr>
        <a:xfrm>
          <a:off x="8052840" y="6737040"/>
          <a:ext cx="607320" cy="5688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19</xdr:col>
      <xdr:colOff>119160</xdr:colOff>
      <xdr:row>193</xdr:row>
      <xdr:rowOff>39600</xdr:rowOff>
    </xdr:from>
    <xdr:to>
      <xdr:col>27</xdr:col>
      <xdr:colOff>19080</xdr:colOff>
      <xdr:row>193</xdr:row>
      <xdr:rowOff>63360</xdr:rowOff>
    </xdr:to>
    <xdr:sp macro="" textlink="">
      <xdr:nvSpPr>
        <xdr:cNvPr id="325" name="Прямая соединительная линия 711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SpPr/>
      </xdr:nvSpPr>
      <xdr:spPr>
        <a:xfrm flipH="1">
          <a:off x="9860040" y="6748200"/>
          <a:ext cx="1548360" cy="23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181080</xdr:colOff>
      <xdr:row>193</xdr:row>
      <xdr:rowOff>37800</xdr:rowOff>
    </xdr:from>
    <xdr:to>
      <xdr:col>26</xdr:col>
      <xdr:colOff>38160</xdr:colOff>
      <xdr:row>193</xdr:row>
      <xdr:rowOff>37800</xdr:rowOff>
    </xdr:to>
    <xdr:sp macro="" textlink="">
      <xdr:nvSpPr>
        <xdr:cNvPr id="326" name="Прямая соединительная линия 727">
          <a:extLst>
            <a:ext uri="{FF2B5EF4-FFF2-40B4-BE49-F238E27FC236}">
              <a16:creationId xmlns:a16="http://schemas.microsoft.com/office/drawing/2014/main" id="{00000000-0008-0000-0200-000046010000}"/>
            </a:ext>
          </a:extLst>
        </xdr:cNvPr>
        <xdr:cNvSpPr/>
      </xdr:nvSpPr>
      <xdr:spPr>
        <a:xfrm flipH="1">
          <a:off x="10114560" y="6746400"/>
          <a:ext cx="112068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37800</xdr:colOff>
      <xdr:row>193</xdr:row>
      <xdr:rowOff>38160</xdr:rowOff>
    </xdr:from>
    <xdr:to>
      <xdr:col>15</xdr:col>
      <xdr:colOff>56880</xdr:colOff>
      <xdr:row>193</xdr:row>
      <xdr:rowOff>57240</xdr:rowOff>
    </xdr:to>
    <xdr:sp macro="" textlink="">
      <xdr:nvSpPr>
        <xdr:cNvPr id="327" name="Прямая соединительная линия 733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SpPr/>
      </xdr:nvSpPr>
      <xdr:spPr>
        <a:xfrm flipH="1">
          <a:off x="7726680" y="6746400"/>
          <a:ext cx="117360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141480</xdr:colOff>
      <xdr:row>193</xdr:row>
      <xdr:rowOff>30240</xdr:rowOff>
    </xdr:from>
    <xdr:to>
      <xdr:col>28</xdr:col>
      <xdr:colOff>174960</xdr:colOff>
      <xdr:row>193</xdr:row>
      <xdr:rowOff>95400</xdr:rowOff>
    </xdr:to>
    <xdr:sp macro="" textlink="">
      <xdr:nvSpPr>
        <xdr:cNvPr id="328" name="Прямая соединительная линия 742">
          <a:extLst>
            <a:ext uri="{FF2B5EF4-FFF2-40B4-BE49-F238E27FC236}">
              <a16:creationId xmlns:a16="http://schemas.microsoft.com/office/drawing/2014/main" id="{00000000-0008-0000-0200-000048010000}"/>
            </a:ext>
          </a:extLst>
        </xdr:cNvPr>
        <xdr:cNvSpPr/>
      </xdr:nvSpPr>
      <xdr:spPr>
        <a:xfrm flipH="1" flipV="1">
          <a:off x="8792280" y="6738480"/>
          <a:ext cx="2964600" cy="65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43560</xdr:colOff>
      <xdr:row>193</xdr:row>
      <xdr:rowOff>0</xdr:rowOff>
    </xdr:from>
    <xdr:to>
      <xdr:col>17</xdr:col>
      <xdr:colOff>43920</xdr:colOff>
      <xdr:row>193</xdr:row>
      <xdr:rowOff>56880</xdr:rowOff>
    </xdr:to>
    <xdr:sp macro="" textlink="">
      <xdr:nvSpPr>
        <xdr:cNvPr id="329" name="Прямая со стрелкой 744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SpPr/>
      </xdr:nvSpPr>
      <xdr:spPr>
        <a:xfrm flipH="1">
          <a:off x="9271800" y="6708600"/>
          <a:ext cx="360" cy="5688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28</xdr:col>
      <xdr:colOff>149040</xdr:colOff>
      <xdr:row>193</xdr:row>
      <xdr:rowOff>71280</xdr:rowOff>
    </xdr:from>
    <xdr:to>
      <xdr:col>28</xdr:col>
      <xdr:colOff>149040</xdr:colOff>
      <xdr:row>193</xdr:row>
      <xdr:rowOff>141120</xdr:rowOff>
    </xdr:to>
    <xdr:sp macro="" textlink="">
      <xdr:nvSpPr>
        <xdr:cNvPr id="330" name="Прямая соединительная линия 748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SpPr/>
      </xdr:nvSpPr>
      <xdr:spPr>
        <a:xfrm>
          <a:off x="11731320" y="6779880"/>
          <a:ext cx="0" cy="69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17280</xdr:colOff>
      <xdr:row>193</xdr:row>
      <xdr:rowOff>37800</xdr:rowOff>
    </xdr:from>
    <xdr:to>
      <xdr:col>7</xdr:col>
      <xdr:colOff>18720</xdr:colOff>
      <xdr:row>193</xdr:row>
      <xdr:rowOff>37800</xdr:rowOff>
    </xdr:to>
    <xdr:sp macro="" textlink="">
      <xdr:nvSpPr>
        <xdr:cNvPr id="331" name="Прямая соединительная линия 750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SpPr/>
      </xdr:nvSpPr>
      <xdr:spPr>
        <a:xfrm flipH="1">
          <a:off x="7199640" y="6746400"/>
          <a:ext cx="14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150840</xdr:colOff>
      <xdr:row>193</xdr:row>
      <xdr:rowOff>38160</xdr:rowOff>
    </xdr:from>
    <xdr:to>
      <xdr:col>14</xdr:col>
      <xdr:colOff>152640</xdr:colOff>
      <xdr:row>193</xdr:row>
      <xdr:rowOff>79560</xdr:rowOff>
    </xdr:to>
    <xdr:sp macro="" textlink="">
      <xdr:nvSpPr>
        <xdr:cNvPr id="332" name="Прямая соединительная линия 751">
          <a:extLst>
            <a:ext uri="{FF2B5EF4-FFF2-40B4-BE49-F238E27FC236}">
              <a16:creationId xmlns:a16="http://schemas.microsoft.com/office/drawing/2014/main" id="{00000000-0008-0000-0200-00004C010000}"/>
            </a:ext>
          </a:extLst>
        </xdr:cNvPr>
        <xdr:cNvSpPr/>
      </xdr:nvSpPr>
      <xdr:spPr>
        <a:xfrm flipH="1">
          <a:off x="8801640" y="6746400"/>
          <a:ext cx="1800" cy="41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133560</xdr:colOff>
      <xdr:row>193</xdr:row>
      <xdr:rowOff>18720</xdr:rowOff>
    </xdr:from>
    <xdr:to>
      <xdr:col>28</xdr:col>
      <xdr:colOff>162000</xdr:colOff>
      <xdr:row>193</xdr:row>
      <xdr:rowOff>85680</xdr:rowOff>
    </xdr:to>
    <xdr:sp macro="" textlink="">
      <xdr:nvSpPr>
        <xdr:cNvPr id="333" name="Прямая соединительная линия 754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SpPr/>
      </xdr:nvSpPr>
      <xdr:spPr>
        <a:xfrm flipH="1" flipV="1">
          <a:off x="8784360" y="6727320"/>
          <a:ext cx="2959560" cy="66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257400</xdr:colOff>
      <xdr:row>193</xdr:row>
      <xdr:rowOff>84240</xdr:rowOff>
    </xdr:from>
    <xdr:to>
      <xdr:col>28</xdr:col>
      <xdr:colOff>135000</xdr:colOff>
      <xdr:row>193</xdr:row>
      <xdr:rowOff>173160</xdr:rowOff>
    </xdr:to>
    <xdr:sp macro="" textlink="">
      <xdr:nvSpPr>
        <xdr:cNvPr id="334" name="Прямая соединительная линия 755">
          <a:extLst>
            <a:ext uri="{FF2B5EF4-FFF2-40B4-BE49-F238E27FC236}">
              <a16:creationId xmlns:a16="http://schemas.microsoft.com/office/drawing/2014/main" id="{00000000-0008-0000-0200-00004E010000}"/>
            </a:ext>
          </a:extLst>
        </xdr:cNvPr>
        <xdr:cNvSpPr/>
      </xdr:nvSpPr>
      <xdr:spPr>
        <a:xfrm flipH="1">
          <a:off x="10190880" y="6792480"/>
          <a:ext cx="1526040" cy="889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188640</xdr:colOff>
      <xdr:row>193</xdr:row>
      <xdr:rowOff>123480</xdr:rowOff>
    </xdr:from>
    <xdr:to>
      <xdr:col>20</xdr:col>
      <xdr:colOff>188640</xdr:colOff>
      <xdr:row>193</xdr:row>
      <xdr:rowOff>174600</xdr:rowOff>
    </xdr:to>
    <xdr:sp macro="" textlink="">
      <xdr:nvSpPr>
        <xdr:cNvPr id="335" name="Прямая соединительная линия 756">
          <a:extLst>
            <a:ext uri="{FF2B5EF4-FFF2-40B4-BE49-F238E27FC236}">
              <a16:creationId xmlns:a16="http://schemas.microsoft.com/office/drawing/2014/main" id="{00000000-0008-0000-0200-00004F010000}"/>
            </a:ext>
          </a:extLst>
        </xdr:cNvPr>
        <xdr:cNvSpPr/>
      </xdr:nvSpPr>
      <xdr:spPr>
        <a:xfrm>
          <a:off x="10122480" y="6832080"/>
          <a:ext cx="0" cy="51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6480</xdr:colOff>
      <xdr:row>193</xdr:row>
      <xdr:rowOff>36720</xdr:rowOff>
    </xdr:from>
    <xdr:to>
      <xdr:col>27</xdr:col>
      <xdr:colOff>167040</xdr:colOff>
      <xdr:row>193</xdr:row>
      <xdr:rowOff>142920</xdr:rowOff>
    </xdr:to>
    <xdr:sp macro="" textlink="">
      <xdr:nvSpPr>
        <xdr:cNvPr id="336" name="Прямая соединительная линия 759">
          <a:extLst>
            <a:ext uri="{FF2B5EF4-FFF2-40B4-BE49-F238E27FC236}">
              <a16:creationId xmlns:a16="http://schemas.microsoft.com/office/drawing/2014/main" id="{00000000-0008-0000-0200-000050010000}"/>
            </a:ext>
          </a:extLst>
        </xdr:cNvPr>
        <xdr:cNvSpPr/>
      </xdr:nvSpPr>
      <xdr:spPr>
        <a:xfrm flipH="1" flipV="1">
          <a:off x="8657280" y="6744960"/>
          <a:ext cx="2899080" cy="1062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55440</xdr:colOff>
      <xdr:row>193</xdr:row>
      <xdr:rowOff>147960</xdr:rowOff>
    </xdr:from>
    <xdr:to>
      <xdr:col>15</xdr:col>
      <xdr:colOff>74520</xdr:colOff>
      <xdr:row>193</xdr:row>
      <xdr:rowOff>167040</xdr:rowOff>
    </xdr:to>
    <xdr:sp macro="" textlink="">
      <xdr:nvSpPr>
        <xdr:cNvPr id="337" name="Прямая соединительная линия 760">
          <a:extLst>
            <a:ext uri="{FF2B5EF4-FFF2-40B4-BE49-F238E27FC236}">
              <a16:creationId xmlns:a16="http://schemas.microsoft.com/office/drawing/2014/main" id="{00000000-0008-0000-0200-000051010000}"/>
            </a:ext>
          </a:extLst>
        </xdr:cNvPr>
        <xdr:cNvSpPr/>
      </xdr:nvSpPr>
      <xdr:spPr>
        <a:xfrm flipH="1">
          <a:off x="7744320" y="6856200"/>
          <a:ext cx="117360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171360</xdr:colOff>
      <xdr:row>193</xdr:row>
      <xdr:rowOff>28440</xdr:rowOff>
    </xdr:from>
    <xdr:to>
      <xdr:col>14</xdr:col>
      <xdr:colOff>9000</xdr:colOff>
      <xdr:row>193</xdr:row>
      <xdr:rowOff>85320</xdr:rowOff>
    </xdr:to>
    <xdr:sp macro="" textlink="">
      <xdr:nvSpPr>
        <xdr:cNvPr id="338" name="Дуга 762">
          <a:extLst>
            <a:ext uri="{FF2B5EF4-FFF2-40B4-BE49-F238E27FC236}">
              <a16:creationId xmlns:a16="http://schemas.microsoft.com/office/drawing/2014/main" id="{00000000-0008-0000-0200-000052010000}"/>
            </a:ext>
          </a:extLst>
        </xdr:cNvPr>
        <xdr:cNvSpPr/>
      </xdr:nvSpPr>
      <xdr:spPr>
        <a:xfrm>
          <a:off x="8052840" y="6737040"/>
          <a:ext cx="607320" cy="5688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19</xdr:col>
      <xdr:colOff>119160</xdr:colOff>
      <xdr:row>193</xdr:row>
      <xdr:rowOff>39600</xdr:rowOff>
    </xdr:from>
    <xdr:to>
      <xdr:col>27</xdr:col>
      <xdr:colOff>19080</xdr:colOff>
      <xdr:row>193</xdr:row>
      <xdr:rowOff>63360</xdr:rowOff>
    </xdr:to>
    <xdr:sp macro="" textlink="">
      <xdr:nvSpPr>
        <xdr:cNvPr id="339" name="Прямая соединительная линия 764">
          <a:extLst>
            <a:ext uri="{FF2B5EF4-FFF2-40B4-BE49-F238E27FC236}">
              <a16:creationId xmlns:a16="http://schemas.microsoft.com/office/drawing/2014/main" id="{00000000-0008-0000-0200-000053010000}"/>
            </a:ext>
          </a:extLst>
        </xdr:cNvPr>
        <xdr:cNvSpPr/>
      </xdr:nvSpPr>
      <xdr:spPr>
        <a:xfrm flipH="1">
          <a:off x="9860040" y="6748200"/>
          <a:ext cx="1548360" cy="23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181080</xdr:colOff>
      <xdr:row>193</xdr:row>
      <xdr:rowOff>37800</xdr:rowOff>
    </xdr:from>
    <xdr:to>
      <xdr:col>26</xdr:col>
      <xdr:colOff>38160</xdr:colOff>
      <xdr:row>193</xdr:row>
      <xdr:rowOff>37800</xdr:rowOff>
    </xdr:to>
    <xdr:sp macro="" textlink="">
      <xdr:nvSpPr>
        <xdr:cNvPr id="340" name="Прямая соединительная линия 769">
          <a:extLst>
            <a:ext uri="{FF2B5EF4-FFF2-40B4-BE49-F238E27FC236}">
              <a16:creationId xmlns:a16="http://schemas.microsoft.com/office/drawing/2014/main" id="{00000000-0008-0000-0200-000054010000}"/>
            </a:ext>
          </a:extLst>
        </xdr:cNvPr>
        <xdr:cNvSpPr/>
      </xdr:nvSpPr>
      <xdr:spPr>
        <a:xfrm flipH="1">
          <a:off x="10114560" y="6746400"/>
          <a:ext cx="112068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37800</xdr:colOff>
      <xdr:row>193</xdr:row>
      <xdr:rowOff>38160</xdr:rowOff>
    </xdr:from>
    <xdr:to>
      <xdr:col>15</xdr:col>
      <xdr:colOff>56880</xdr:colOff>
      <xdr:row>193</xdr:row>
      <xdr:rowOff>57240</xdr:rowOff>
    </xdr:to>
    <xdr:sp macro="" textlink="">
      <xdr:nvSpPr>
        <xdr:cNvPr id="341" name="Прямая соединительная линия 770">
          <a:extLst>
            <a:ext uri="{FF2B5EF4-FFF2-40B4-BE49-F238E27FC236}">
              <a16:creationId xmlns:a16="http://schemas.microsoft.com/office/drawing/2014/main" id="{00000000-0008-0000-0200-000055010000}"/>
            </a:ext>
          </a:extLst>
        </xdr:cNvPr>
        <xdr:cNvSpPr/>
      </xdr:nvSpPr>
      <xdr:spPr>
        <a:xfrm flipH="1">
          <a:off x="7726680" y="6746400"/>
          <a:ext cx="117360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38160</xdr:colOff>
      <xdr:row>352</xdr:row>
      <xdr:rowOff>9360</xdr:rowOff>
    </xdr:from>
    <xdr:to>
      <xdr:col>25</xdr:col>
      <xdr:colOff>171000</xdr:colOff>
      <xdr:row>352</xdr:row>
      <xdr:rowOff>85320</xdr:rowOff>
    </xdr:to>
    <xdr:sp macro="" textlink="">
      <xdr:nvSpPr>
        <xdr:cNvPr id="342" name="Соединительная линия уступом 811">
          <a:extLst>
            <a:ext uri="{FF2B5EF4-FFF2-40B4-BE49-F238E27FC236}">
              <a16:creationId xmlns:a16="http://schemas.microsoft.com/office/drawing/2014/main" id="{00000000-0008-0000-0200-000056010000}"/>
            </a:ext>
          </a:extLst>
        </xdr:cNvPr>
        <xdr:cNvSpPr/>
      </xdr:nvSpPr>
      <xdr:spPr>
        <a:xfrm flipV="1">
          <a:off x="9266400" y="8154720"/>
          <a:ext cx="1909440" cy="759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95400</xdr:colOff>
      <xdr:row>145</xdr:row>
      <xdr:rowOff>75960</xdr:rowOff>
    </xdr:from>
    <xdr:to>
      <xdr:col>19</xdr:col>
      <xdr:colOff>133560</xdr:colOff>
      <xdr:row>145</xdr:row>
      <xdr:rowOff>75960</xdr:rowOff>
    </xdr:to>
    <xdr:sp macro="" textlink="">
      <xdr:nvSpPr>
        <xdr:cNvPr id="343" name="Прямая соединительная линия 607">
          <a:extLst>
            <a:ext uri="{FF2B5EF4-FFF2-40B4-BE49-F238E27FC236}">
              <a16:creationId xmlns:a16="http://schemas.microsoft.com/office/drawing/2014/main" id="{00000000-0008-0000-0200-000057010000}"/>
            </a:ext>
          </a:extLst>
        </xdr:cNvPr>
        <xdr:cNvSpPr/>
      </xdr:nvSpPr>
      <xdr:spPr>
        <a:xfrm flipH="1">
          <a:off x="7783920" y="6423840"/>
          <a:ext cx="20905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28440</xdr:colOff>
      <xdr:row>145</xdr:row>
      <xdr:rowOff>66600</xdr:rowOff>
    </xdr:from>
    <xdr:to>
      <xdr:col>22</xdr:col>
      <xdr:colOff>28440</xdr:colOff>
      <xdr:row>145</xdr:row>
      <xdr:rowOff>123480</xdr:rowOff>
    </xdr:to>
    <xdr:sp macro="" textlink="">
      <xdr:nvSpPr>
        <xdr:cNvPr id="344" name="Прямая соединительная линия 611">
          <a:extLst>
            <a:ext uri="{FF2B5EF4-FFF2-40B4-BE49-F238E27FC236}">
              <a16:creationId xmlns:a16="http://schemas.microsoft.com/office/drawing/2014/main" id="{00000000-0008-0000-0200-000058010000}"/>
            </a:ext>
          </a:extLst>
        </xdr:cNvPr>
        <xdr:cNvSpPr/>
      </xdr:nvSpPr>
      <xdr:spPr>
        <a:xfrm>
          <a:off x="10456200" y="6414480"/>
          <a:ext cx="0" cy="56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33</xdr:col>
      <xdr:colOff>18720</xdr:colOff>
      <xdr:row>145</xdr:row>
      <xdr:rowOff>57240</xdr:rowOff>
    </xdr:from>
    <xdr:to>
      <xdr:col>33</xdr:col>
      <xdr:colOff>18720</xdr:colOff>
      <xdr:row>145</xdr:row>
      <xdr:rowOff>114480</xdr:rowOff>
    </xdr:to>
    <xdr:sp macro="" textlink="">
      <xdr:nvSpPr>
        <xdr:cNvPr id="345" name="Прямая соединительная линия 612">
          <a:extLst>
            <a:ext uri="{FF2B5EF4-FFF2-40B4-BE49-F238E27FC236}">
              <a16:creationId xmlns:a16="http://schemas.microsoft.com/office/drawing/2014/main" id="{00000000-0008-0000-0200-000059010000}"/>
            </a:ext>
          </a:extLst>
        </xdr:cNvPr>
        <xdr:cNvSpPr/>
      </xdr:nvSpPr>
      <xdr:spPr>
        <a:xfrm>
          <a:off x="12562920" y="6404760"/>
          <a:ext cx="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19</xdr:col>
      <xdr:colOff>123480</xdr:colOff>
      <xdr:row>145</xdr:row>
      <xdr:rowOff>57240</xdr:rowOff>
    </xdr:from>
    <xdr:to>
      <xdr:col>19</xdr:col>
      <xdr:colOff>123480</xdr:colOff>
      <xdr:row>145</xdr:row>
      <xdr:rowOff>114480</xdr:rowOff>
    </xdr:to>
    <xdr:sp macro="" textlink="">
      <xdr:nvSpPr>
        <xdr:cNvPr id="346" name="Прямая соединительная линия 613">
          <a:extLst>
            <a:ext uri="{FF2B5EF4-FFF2-40B4-BE49-F238E27FC236}">
              <a16:creationId xmlns:a16="http://schemas.microsoft.com/office/drawing/2014/main" id="{00000000-0008-0000-0200-00005A010000}"/>
            </a:ext>
          </a:extLst>
        </xdr:cNvPr>
        <xdr:cNvSpPr/>
      </xdr:nvSpPr>
      <xdr:spPr>
        <a:xfrm>
          <a:off x="9864720" y="6404760"/>
          <a:ext cx="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28440</xdr:colOff>
      <xdr:row>145</xdr:row>
      <xdr:rowOff>75960</xdr:rowOff>
    </xdr:from>
    <xdr:to>
      <xdr:col>33</xdr:col>
      <xdr:colOff>9360</xdr:colOff>
      <xdr:row>145</xdr:row>
      <xdr:rowOff>75960</xdr:rowOff>
    </xdr:to>
    <xdr:sp macro="" textlink="">
      <xdr:nvSpPr>
        <xdr:cNvPr id="347" name="Прямая соединительная линия 614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SpPr/>
      </xdr:nvSpPr>
      <xdr:spPr>
        <a:xfrm flipH="1">
          <a:off x="10456200" y="6423840"/>
          <a:ext cx="20973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47520</xdr:colOff>
      <xdr:row>145</xdr:row>
      <xdr:rowOff>104760</xdr:rowOff>
    </xdr:from>
    <xdr:to>
      <xdr:col>33</xdr:col>
      <xdr:colOff>28440</xdr:colOff>
      <xdr:row>145</xdr:row>
      <xdr:rowOff>104760</xdr:rowOff>
    </xdr:to>
    <xdr:sp macro="" textlink="">
      <xdr:nvSpPr>
        <xdr:cNvPr id="348" name="Прямая соединительная линия 615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SpPr/>
      </xdr:nvSpPr>
      <xdr:spPr>
        <a:xfrm flipH="1">
          <a:off x="10475280" y="6452640"/>
          <a:ext cx="20973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57240</xdr:colOff>
      <xdr:row>616</xdr:row>
      <xdr:rowOff>76320</xdr:rowOff>
    </xdr:from>
    <xdr:to>
      <xdr:col>17</xdr:col>
      <xdr:colOff>57600</xdr:colOff>
      <xdr:row>616</xdr:row>
      <xdr:rowOff>76680</xdr:rowOff>
    </xdr:to>
    <xdr:sp macro="" textlink="">
      <xdr:nvSpPr>
        <xdr:cNvPr id="349" name="Прямая со стрелкой 646">
          <a:extLst>
            <a:ext uri="{FF2B5EF4-FFF2-40B4-BE49-F238E27FC236}">
              <a16:creationId xmlns:a16="http://schemas.microsoft.com/office/drawing/2014/main" id="{00000000-0008-0000-0200-00005D010000}"/>
            </a:ext>
          </a:extLst>
        </xdr:cNvPr>
        <xdr:cNvSpPr/>
      </xdr:nvSpPr>
      <xdr:spPr>
        <a:xfrm>
          <a:off x="9285480" y="9660240"/>
          <a:ext cx="360" cy="3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27</xdr:col>
      <xdr:colOff>139680</xdr:colOff>
      <xdr:row>616</xdr:row>
      <xdr:rowOff>99720</xdr:rowOff>
    </xdr:from>
    <xdr:to>
      <xdr:col>27</xdr:col>
      <xdr:colOff>139680</xdr:colOff>
      <xdr:row>616</xdr:row>
      <xdr:rowOff>169560</xdr:rowOff>
    </xdr:to>
    <xdr:sp macro="" textlink="">
      <xdr:nvSpPr>
        <xdr:cNvPr id="350" name="Прямая соединительная линия 650">
          <a:extLst>
            <a:ext uri="{FF2B5EF4-FFF2-40B4-BE49-F238E27FC236}">
              <a16:creationId xmlns:a16="http://schemas.microsoft.com/office/drawing/2014/main" id="{00000000-0008-0000-0200-00005E010000}"/>
            </a:ext>
          </a:extLst>
        </xdr:cNvPr>
        <xdr:cNvSpPr/>
      </xdr:nvSpPr>
      <xdr:spPr>
        <a:xfrm>
          <a:off x="11529360" y="9683640"/>
          <a:ext cx="0" cy="69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27000</xdr:colOff>
      <xdr:row>616</xdr:row>
      <xdr:rowOff>0</xdr:rowOff>
    </xdr:from>
    <xdr:to>
      <xdr:col>7</xdr:col>
      <xdr:colOff>28440</xdr:colOff>
      <xdr:row>616</xdr:row>
      <xdr:rowOff>0</xdr:rowOff>
    </xdr:to>
    <xdr:sp macro="" textlink="">
      <xdr:nvSpPr>
        <xdr:cNvPr id="351" name="Прямая соединительная линия 652">
          <a:extLst>
            <a:ext uri="{FF2B5EF4-FFF2-40B4-BE49-F238E27FC236}">
              <a16:creationId xmlns:a16="http://schemas.microsoft.com/office/drawing/2014/main" id="{00000000-0008-0000-0200-00005F010000}"/>
            </a:ext>
          </a:extLst>
        </xdr:cNvPr>
        <xdr:cNvSpPr/>
      </xdr:nvSpPr>
      <xdr:spPr>
        <a:xfrm flipH="1">
          <a:off x="7209360" y="9583920"/>
          <a:ext cx="14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13</xdr:col>
      <xdr:colOff>150840</xdr:colOff>
      <xdr:row>616</xdr:row>
      <xdr:rowOff>38160</xdr:rowOff>
    </xdr:from>
    <xdr:to>
      <xdr:col>13</xdr:col>
      <xdr:colOff>152640</xdr:colOff>
      <xdr:row>616</xdr:row>
      <xdr:rowOff>79560</xdr:rowOff>
    </xdr:to>
    <xdr:sp macro="" textlink="">
      <xdr:nvSpPr>
        <xdr:cNvPr id="352" name="Прямая соединительная линия 653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SpPr/>
      </xdr:nvSpPr>
      <xdr:spPr>
        <a:xfrm flipH="1">
          <a:off x="8609040" y="9621720"/>
          <a:ext cx="1800" cy="41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13</xdr:col>
      <xdr:colOff>133560</xdr:colOff>
      <xdr:row>616</xdr:row>
      <xdr:rowOff>66960</xdr:rowOff>
    </xdr:from>
    <xdr:to>
      <xdr:col>27</xdr:col>
      <xdr:colOff>162000</xdr:colOff>
      <xdr:row>616</xdr:row>
      <xdr:rowOff>133560</xdr:rowOff>
    </xdr:to>
    <xdr:sp macro="" textlink="">
      <xdr:nvSpPr>
        <xdr:cNvPr id="353" name="Прямая соединительная линия 657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SpPr/>
      </xdr:nvSpPr>
      <xdr:spPr>
        <a:xfrm flipH="1" flipV="1">
          <a:off x="8591760" y="9650520"/>
          <a:ext cx="295956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188640</xdr:colOff>
      <xdr:row>616</xdr:row>
      <xdr:rowOff>123480</xdr:rowOff>
    </xdr:from>
    <xdr:to>
      <xdr:col>20</xdr:col>
      <xdr:colOff>188640</xdr:colOff>
      <xdr:row>616</xdr:row>
      <xdr:rowOff>174600</xdr:rowOff>
    </xdr:to>
    <xdr:sp macro="" textlink="">
      <xdr:nvSpPr>
        <xdr:cNvPr id="354" name="Прямая соединительная линия 661">
          <a:extLst>
            <a:ext uri="{FF2B5EF4-FFF2-40B4-BE49-F238E27FC236}">
              <a16:creationId xmlns:a16="http://schemas.microsoft.com/office/drawing/2014/main" id="{00000000-0008-0000-0200-000062010000}"/>
            </a:ext>
          </a:extLst>
        </xdr:cNvPr>
        <xdr:cNvSpPr/>
      </xdr:nvSpPr>
      <xdr:spPr>
        <a:xfrm>
          <a:off x="10122480" y="9707400"/>
          <a:ext cx="0" cy="51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6480</xdr:colOff>
      <xdr:row>616</xdr:row>
      <xdr:rowOff>36720</xdr:rowOff>
    </xdr:from>
    <xdr:to>
      <xdr:col>27</xdr:col>
      <xdr:colOff>167040</xdr:colOff>
      <xdr:row>616</xdr:row>
      <xdr:rowOff>142920</xdr:rowOff>
    </xdr:to>
    <xdr:sp macro="" textlink="">
      <xdr:nvSpPr>
        <xdr:cNvPr id="355" name="Прямая соединительная линия 679">
          <a:extLst>
            <a:ext uri="{FF2B5EF4-FFF2-40B4-BE49-F238E27FC236}">
              <a16:creationId xmlns:a16="http://schemas.microsoft.com/office/drawing/2014/main" id="{00000000-0008-0000-0200-000063010000}"/>
            </a:ext>
          </a:extLst>
        </xdr:cNvPr>
        <xdr:cNvSpPr/>
      </xdr:nvSpPr>
      <xdr:spPr>
        <a:xfrm flipH="1" flipV="1">
          <a:off x="8657280" y="9620280"/>
          <a:ext cx="2899080" cy="1062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55440</xdr:colOff>
      <xdr:row>616</xdr:row>
      <xdr:rowOff>147960</xdr:rowOff>
    </xdr:from>
    <xdr:to>
      <xdr:col>15</xdr:col>
      <xdr:colOff>74520</xdr:colOff>
      <xdr:row>616</xdr:row>
      <xdr:rowOff>167040</xdr:rowOff>
    </xdr:to>
    <xdr:sp macro="" textlink="">
      <xdr:nvSpPr>
        <xdr:cNvPr id="356" name="Прямая соединительная линия 680">
          <a:extLst>
            <a:ext uri="{FF2B5EF4-FFF2-40B4-BE49-F238E27FC236}">
              <a16:creationId xmlns:a16="http://schemas.microsoft.com/office/drawing/2014/main" id="{00000000-0008-0000-0200-000064010000}"/>
            </a:ext>
          </a:extLst>
        </xdr:cNvPr>
        <xdr:cNvSpPr/>
      </xdr:nvSpPr>
      <xdr:spPr>
        <a:xfrm flipH="1">
          <a:off x="7744320" y="9731520"/>
          <a:ext cx="117360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171360</xdr:colOff>
      <xdr:row>616</xdr:row>
      <xdr:rowOff>28440</xdr:rowOff>
    </xdr:from>
    <xdr:to>
      <xdr:col>14</xdr:col>
      <xdr:colOff>9000</xdr:colOff>
      <xdr:row>616</xdr:row>
      <xdr:rowOff>85320</xdr:rowOff>
    </xdr:to>
    <xdr:sp macro="" textlink="">
      <xdr:nvSpPr>
        <xdr:cNvPr id="357" name="Дуга 682">
          <a:extLst>
            <a:ext uri="{FF2B5EF4-FFF2-40B4-BE49-F238E27FC236}">
              <a16:creationId xmlns:a16="http://schemas.microsoft.com/office/drawing/2014/main" id="{00000000-0008-0000-0200-000065010000}"/>
            </a:ext>
          </a:extLst>
        </xdr:cNvPr>
        <xdr:cNvSpPr/>
      </xdr:nvSpPr>
      <xdr:spPr>
        <a:xfrm>
          <a:off x="8052840" y="9612360"/>
          <a:ext cx="607320" cy="5688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19</xdr:col>
      <xdr:colOff>75960</xdr:colOff>
      <xdr:row>616</xdr:row>
      <xdr:rowOff>66600</xdr:rowOff>
    </xdr:from>
    <xdr:to>
      <xdr:col>25</xdr:col>
      <xdr:colOff>192600</xdr:colOff>
      <xdr:row>616</xdr:row>
      <xdr:rowOff>66600</xdr:rowOff>
    </xdr:to>
    <xdr:sp macro="" textlink="">
      <xdr:nvSpPr>
        <xdr:cNvPr id="358" name="Прямая соединительная линия 684">
          <a:extLst>
            <a:ext uri="{FF2B5EF4-FFF2-40B4-BE49-F238E27FC236}">
              <a16:creationId xmlns:a16="http://schemas.microsoft.com/office/drawing/2014/main" id="{00000000-0008-0000-0200-000066010000}"/>
            </a:ext>
          </a:extLst>
        </xdr:cNvPr>
        <xdr:cNvSpPr/>
      </xdr:nvSpPr>
      <xdr:spPr>
        <a:xfrm flipH="1">
          <a:off x="9817200" y="9650520"/>
          <a:ext cx="138024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20</xdr:col>
      <xdr:colOff>171720</xdr:colOff>
      <xdr:row>616</xdr:row>
      <xdr:rowOff>9360</xdr:rowOff>
    </xdr:from>
    <xdr:to>
      <xdr:col>26</xdr:col>
      <xdr:colOff>28800</xdr:colOff>
      <xdr:row>616</xdr:row>
      <xdr:rowOff>9360</xdr:rowOff>
    </xdr:to>
    <xdr:sp macro="" textlink="">
      <xdr:nvSpPr>
        <xdr:cNvPr id="359" name="Прямая соединительная линия 693">
          <a:extLst>
            <a:ext uri="{FF2B5EF4-FFF2-40B4-BE49-F238E27FC236}">
              <a16:creationId xmlns:a16="http://schemas.microsoft.com/office/drawing/2014/main" id="{00000000-0008-0000-0200-000067010000}"/>
            </a:ext>
          </a:extLst>
        </xdr:cNvPr>
        <xdr:cNvSpPr/>
      </xdr:nvSpPr>
      <xdr:spPr>
        <a:xfrm flipH="1">
          <a:off x="10105200" y="9593280"/>
          <a:ext cx="112068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47520</xdr:colOff>
      <xdr:row>616</xdr:row>
      <xdr:rowOff>0</xdr:rowOff>
    </xdr:from>
    <xdr:to>
      <xdr:col>15</xdr:col>
      <xdr:colOff>66600</xdr:colOff>
      <xdr:row>616</xdr:row>
      <xdr:rowOff>18720</xdr:rowOff>
    </xdr:to>
    <xdr:sp macro="" textlink="">
      <xdr:nvSpPr>
        <xdr:cNvPr id="360" name="Прямая соединительная линия 694">
          <a:extLst>
            <a:ext uri="{FF2B5EF4-FFF2-40B4-BE49-F238E27FC236}">
              <a16:creationId xmlns:a16="http://schemas.microsoft.com/office/drawing/2014/main" id="{00000000-0008-0000-0200-000068010000}"/>
            </a:ext>
          </a:extLst>
        </xdr:cNvPr>
        <xdr:cNvSpPr/>
      </xdr:nvSpPr>
      <xdr:spPr>
        <a:xfrm flipH="1">
          <a:off x="7736400" y="9583920"/>
          <a:ext cx="1173600" cy="18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15</xdr:col>
      <xdr:colOff>47880</xdr:colOff>
      <xdr:row>616</xdr:row>
      <xdr:rowOff>360</xdr:rowOff>
    </xdr:from>
    <xdr:to>
      <xdr:col>26</xdr:col>
      <xdr:colOff>9720</xdr:colOff>
      <xdr:row>616</xdr:row>
      <xdr:rowOff>162000</xdr:rowOff>
    </xdr:to>
    <xdr:sp macro="" textlink="">
      <xdr:nvSpPr>
        <xdr:cNvPr id="361" name="Прямая соединительная линия 695">
          <a:extLst>
            <a:ext uri="{FF2B5EF4-FFF2-40B4-BE49-F238E27FC236}">
              <a16:creationId xmlns:a16="http://schemas.microsoft.com/office/drawing/2014/main" id="{00000000-0008-0000-0200-000069010000}"/>
            </a:ext>
          </a:extLst>
        </xdr:cNvPr>
        <xdr:cNvSpPr/>
      </xdr:nvSpPr>
      <xdr:spPr>
        <a:xfrm flipH="1" flipV="1">
          <a:off x="8890920" y="9583920"/>
          <a:ext cx="2315880" cy="1616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171720</xdr:colOff>
      <xdr:row>616</xdr:row>
      <xdr:rowOff>28440</xdr:rowOff>
    </xdr:from>
    <xdr:to>
      <xdr:col>10</xdr:col>
      <xdr:colOff>172080</xdr:colOff>
      <xdr:row>616</xdr:row>
      <xdr:rowOff>47160</xdr:rowOff>
    </xdr:to>
    <xdr:sp macro="" textlink="">
      <xdr:nvSpPr>
        <xdr:cNvPr id="362" name="Прямая со стрелкой 732">
          <a:extLst>
            <a:ext uri="{FF2B5EF4-FFF2-40B4-BE49-F238E27FC236}">
              <a16:creationId xmlns:a16="http://schemas.microsoft.com/office/drawing/2014/main" id="{00000000-0008-0000-0200-00006A010000}"/>
            </a:ext>
          </a:extLst>
        </xdr:cNvPr>
        <xdr:cNvSpPr/>
      </xdr:nvSpPr>
      <xdr:spPr>
        <a:xfrm flipV="1">
          <a:off x="8052840" y="9612360"/>
          <a:ext cx="360" cy="1872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11</xdr:col>
      <xdr:colOff>18720</xdr:colOff>
      <xdr:row>692</xdr:row>
      <xdr:rowOff>28800</xdr:rowOff>
    </xdr:from>
    <xdr:to>
      <xdr:col>11</xdr:col>
      <xdr:colOff>18720</xdr:colOff>
      <xdr:row>692</xdr:row>
      <xdr:rowOff>142920</xdr:rowOff>
    </xdr:to>
    <xdr:sp macro="" textlink="">
      <xdr:nvSpPr>
        <xdr:cNvPr id="363" name="Прямая соединительная линия 781">
          <a:extLst>
            <a:ext uri="{FF2B5EF4-FFF2-40B4-BE49-F238E27FC236}">
              <a16:creationId xmlns:a16="http://schemas.microsoft.com/office/drawing/2014/main" id="{00000000-0008-0000-0200-00006B010000}"/>
            </a:ext>
          </a:extLst>
        </xdr:cNvPr>
        <xdr:cNvSpPr/>
      </xdr:nvSpPr>
      <xdr:spPr>
        <a:xfrm>
          <a:off x="8092440" y="9971640"/>
          <a:ext cx="0" cy="114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18720</xdr:colOff>
      <xdr:row>692</xdr:row>
      <xdr:rowOff>360</xdr:rowOff>
    </xdr:from>
    <xdr:to>
      <xdr:col>18</xdr:col>
      <xdr:colOff>18720</xdr:colOff>
      <xdr:row>692</xdr:row>
      <xdr:rowOff>76320</xdr:rowOff>
    </xdr:to>
    <xdr:sp macro="" textlink="">
      <xdr:nvSpPr>
        <xdr:cNvPr id="364" name="Прямая соединительная линия 783">
          <a:extLst>
            <a:ext uri="{FF2B5EF4-FFF2-40B4-BE49-F238E27FC236}">
              <a16:creationId xmlns:a16="http://schemas.microsoft.com/office/drawing/2014/main" id="{00000000-0008-0000-0200-00006C010000}"/>
            </a:ext>
          </a:extLst>
        </xdr:cNvPr>
        <xdr:cNvSpPr/>
      </xdr:nvSpPr>
      <xdr:spPr>
        <a:xfrm>
          <a:off x="9567720" y="9943200"/>
          <a:ext cx="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16</xdr:col>
      <xdr:colOff>114480</xdr:colOff>
      <xdr:row>692</xdr:row>
      <xdr:rowOff>19080</xdr:rowOff>
    </xdr:from>
    <xdr:to>
      <xdr:col>23</xdr:col>
      <xdr:colOff>28800</xdr:colOff>
      <xdr:row>692</xdr:row>
      <xdr:rowOff>105120</xdr:rowOff>
    </xdr:to>
    <xdr:sp macro="" textlink="">
      <xdr:nvSpPr>
        <xdr:cNvPr id="365" name="Прямая соединительная линия 784">
          <a:extLst>
            <a:ext uri="{FF2B5EF4-FFF2-40B4-BE49-F238E27FC236}">
              <a16:creationId xmlns:a16="http://schemas.microsoft.com/office/drawing/2014/main" id="{00000000-0008-0000-0200-00006D010000}"/>
            </a:ext>
          </a:extLst>
        </xdr:cNvPr>
        <xdr:cNvSpPr/>
      </xdr:nvSpPr>
      <xdr:spPr>
        <a:xfrm flipH="1">
          <a:off x="9150120" y="9961920"/>
          <a:ext cx="1498680" cy="860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171360</xdr:colOff>
      <xdr:row>692</xdr:row>
      <xdr:rowOff>75960</xdr:rowOff>
    </xdr:from>
    <xdr:to>
      <xdr:col>16</xdr:col>
      <xdr:colOff>133200</xdr:colOff>
      <xdr:row>692</xdr:row>
      <xdr:rowOff>161640</xdr:rowOff>
    </xdr:to>
    <xdr:sp macro="" textlink="">
      <xdr:nvSpPr>
        <xdr:cNvPr id="366" name="Прямая соединительная линия 786">
          <a:extLst>
            <a:ext uri="{FF2B5EF4-FFF2-40B4-BE49-F238E27FC236}">
              <a16:creationId xmlns:a16="http://schemas.microsoft.com/office/drawing/2014/main" id="{00000000-0008-0000-0200-00006E010000}"/>
            </a:ext>
          </a:extLst>
        </xdr:cNvPr>
        <xdr:cNvSpPr/>
      </xdr:nvSpPr>
      <xdr:spPr>
        <a:xfrm flipH="1">
          <a:off x="7668000" y="10019160"/>
          <a:ext cx="1501200" cy="8568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171360</xdr:colOff>
      <xdr:row>692</xdr:row>
      <xdr:rowOff>37800</xdr:rowOff>
    </xdr:from>
    <xdr:to>
      <xdr:col>18</xdr:col>
      <xdr:colOff>9360</xdr:colOff>
      <xdr:row>692</xdr:row>
      <xdr:rowOff>152280</xdr:rowOff>
    </xdr:to>
    <xdr:sp macro="" textlink="">
      <xdr:nvSpPr>
        <xdr:cNvPr id="367" name="Прямая соединительная линия 789">
          <a:extLst>
            <a:ext uri="{FF2B5EF4-FFF2-40B4-BE49-F238E27FC236}">
              <a16:creationId xmlns:a16="http://schemas.microsoft.com/office/drawing/2014/main" id="{00000000-0008-0000-0200-00006F010000}"/>
            </a:ext>
          </a:extLst>
        </xdr:cNvPr>
        <xdr:cNvSpPr/>
      </xdr:nvSpPr>
      <xdr:spPr>
        <a:xfrm flipH="1" flipV="1">
          <a:off x="8052840" y="9981000"/>
          <a:ext cx="1505520" cy="11448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16</xdr:col>
      <xdr:colOff>85680</xdr:colOff>
      <xdr:row>692</xdr:row>
      <xdr:rowOff>0</xdr:rowOff>
    </xdr:from>
    <xdr:to>
      <xdr:col>16</xdr:col>
      <xdr:colOff>95040</xdr:colOff>
      <xdr:row>692</xdr:row>
      <xdr:rowOff>133200</xdr:rowOff>
    </xdr:to>
    <xdr:sp macro="" textlink="">
      <xdr:nvSpPr>
        <xdr:cNvPr id="368" name="Прямая соединительная линия 799">
          <a:extLst>
            <a:ext uri="{FF2B5EF4-FFF2-40B4-BE49-F238E27FC236}">
              <a16:creationId xmlns:a16="http://schemas.microsoft.com/office/drawing/2014/main" id="{00000000-0008-0000-0200-000070010000}"/>
            </a:ext>
          </a:extLst>
        </xdr:cNvPr>
        <xdr:cNvSpPr/>
      </xdr:nvSpPr>
      <xdr:spPr>
        <a:xfrm flipH="1">
          <a:off x="9121680" y="9943200"/>
          <a:ext cx="9360" cy="13320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285840</xdr:colOff>
      <xdr:row>692</xdr:row>
      <xdr:rowOff>123480</xdr:rowOff>
    </xdr:from>
    <xdr:to>
      <xdr:col>15</xdr:col>
      <xdr:colOff>47880</xdr:colOff>
      <xdr:row>692</xdr:row>
      <xdr:rowOff>161640</xdr:rowOff>
    </xdr:to>
    <xdr:sp macro="" textlink="">
      <xdr:nvSpPr>
        <xdr:cNvPr id="369" name="Прямая соединительная линия 803">
          <a:extLst>
            <a:ext uri="{FF2B5EF4-FFF2-40B4-BE49-F238E27FC236}">
              <a16:creationId xmlns:a16="http://schemas.microsoft.com/office/drawing/2014/main" id="{00000000-0008-0000-0200-000071010000}"/>
            </a:ext>
          </a:extLst>
        </xdr:cNvPr>
        <xdr:cNvSpPr/>
      </xdr:nvSpPr>
      <xdr:spPr>
        <a:xfrm flipH="1">
          <a:off x="7467840" y="10066680"/>
          <a:ext cx="142308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152280</xdr:colOff>
      <xdr:row>692</xdr:row>
      <xdr:rowOff>56880</xdr:rowOff>
    </xdr:from>
    <xdr:to>
      <xdr:col>25</xdr:col>
      <xdr:colOff>104760</xdr:colOff>
      <xdr:row>692</xdr:row>
      <xdr:rowOff>95040</xdr:rowOff>
    </xdr:to>
    <xdr:sp macro="" textlink="">
      <xdr:nvSpPr>
        <xdr:cNvPr id="370" name="Прямая соединительная линия 806">
          <a:extLst>
            <a:ext uri="{FF2B5EF4-FFF2-40B4-BE49-F238E27FC236}">
              <a16:creationId xmlns:a16="http://schemas.microsoft.com/office/drawing/2014/main" id="{00000000-0008-0000-0200-000072010000}"/>
            </a:ext>
          </a:extLst>
        </xdr:cNvPr>
        <xdr:cNvSpPr/>
      </xdr:nvSpPr>
      <xdr:spPr>
        <a:xfrm flipH="1">
          <a:off x="9701280" y="10000080"/>
          <a:ext cx="140832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9720</xdr:colOff>
      <xdr:row>692</xdr:row>
      <xdr:rowOff>360</xdr:rowOff>
    </xdr:from>
    <xdr:to>
      <xdr:col>19</xdr:col>
      <xdr:colOff>9720</xdr:colOff>
      <xdr:row>692</xdr:row>
      <xdr:rowOff>114480</xdr:rowOff>
    </xdr:to>
    <xdr:sp macro="" textlink="">
      <xdr:nvSpPr>
        <xdr:cNvPr id="371" name="Прямая соединительная линия 812">
          <a:extLst>
            <a:ext uri="{FF2B5EF4-FFF2-40B4-BE49-F238E27FC236}">
              <a16:creationId xmlns:a16="http://schemas.microsoft.com/office/drawing/2014/main" id="{00000000-0008-0000-0200-000073010000}"/>
            </a:ext>
          </a:extLst>
        </xdr:cNvPr>
        <xdr:cNvSpPr/>
      </xdr:nvSpPr>
      <xdr:spPr>
        <a:xfrm flipH="1" flipV="1">
          <a:off x="7506000" y="9943200"/>
          <a:ext cx="2244600" cy="114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152280</xdr:colOff>
      <xdr:row>692</xdr:row>
      <xdr:rowOff>18720</xdr:rowOff>
    </xdr:from>
    <xdr:to>
      <xdr:col>25</xdr:col>
      <xdr:colOff>104760</xdr:colOff>
      <xdr:row>692</xdr:row>
      <xdr:rowOff>56880</xdr:rowOff>
    </xdr:to>
    <xdr:sp macro="" textlink="">
      <xdr:nvSpPr>
        <xdr:cNvPr id="372" name="Прямая соединительная линия 817">
          <a:extLst>
            <a:ext uri="{FF2B5EF4-FFF2-40B4-BE49-F238E27FC236}">
              <a16:creationId xmlns:a16="http://schemas.microsoft.com/office/drawing/2014/main" id="{00000000-0008-0000-0200-000074010000}"/>
            </a:ext>
          </a:extLst>
        </xdr:cNvPr>
        <xdr:cNvSpPr/>
      </xdr:nvSpPr>
      <xdr:spPr>
        <a:xfrm flipH="1">
          <a:off x="9701280" y="9961920"/>
          <a:ext cx="140832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360</xdr:colOff>
      <xdr:row>692</xdr:row>
      <xdr:rowOff>66600</xdr:rowOff>
    </xdr:from>
    <xdr:to>
      <xdr:col>15</xdr:col>
      <xdr:colOff>57240</xdr:colOff>
      <xdr:row>692</xdr:row>
      <xdr:rowOff>104760</xdr:rowOff>
    </xdr:to>
    <xdr:sp macro="" textlink="">
      <xdr:nvSpPr>
        <xdr:cNvPr id="373" name="Прямая соединительная линия 818">
          <a:extLst>
            <a:ext uri="{FF2B5EF4-FFF2-40B4-BE49-F238E27FC236}">
              <a16:creationId xmlns:a16="http://schemas.microsoft.com/office/drawing/2014/main" id="{00000000-0008-0000-0200-000075010000}"/>
            </a:ext>
          </a:extLst>
        </xdr:cNvPr>
        <xdr:cNvSpPr/>
      </xdr:nvSpPr>
      <xdr:spPr>
        <a:xfrm flipH="1">
          <a:off x="7496640" y="10009800"/>
          <a:ext cx="1403640" cy="3816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16</xdr:col>
      <xdr:colOff>85680</xdr:colOff>
      <xdr:row>692</xdr:row>
      <xdr:rowOff>123480</xdr:rowOff>
    </xdr:from>
    <xdr:to>
      <xdr:col>16</xdr:col>
      <xdr:colOff>85680</xdr:colOff>
      <xdr:row>692</xdr:row>
      <xdr:rowOff>152280</xdr:rowOff>
    </xdr:to>
    <xdr:sp macro="" textlink="">
      <xdr:nvSpPr>
        <xdr:cNvPr id="374" name="Прямая соединительная линия 821">
          <a:extLst>
            <a:ext uri="{FF2B5EF4-FFF2-40B4-BE49-F238E27FC236}">
              <a16:creationId xmlns:a16="http://schemas.microsoft.com/office/drawing/2014/main" id="{00000000-0008-0000-0200-000076010000}"/>
            </a:ext>
          </a:extLst>
        </xdr:cNvPr>
        <xdr:cNvSpPr/>
      </xdr:nvSpPr>
      <xdr:spPr>
        <a:xfrm>
          <a:off x="9121680" y="10066680"/>
          <a:ext cx="0" cy="28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171720</xdr:colOff>
      <xdr:row>692</xdr:row>
      <xdr:rowOff>38160</xdr:rowOff>
    </xdr:from>
    <xdr:to>
      <xdr:col>22</xdr:col>
      <xdr:colOff>192960</xdr:colOff>
      <xdr:row>692</xdr:row>
      <xdr:rowOff>95400</xdr:rowOff>
    </xdr:to>
    <xdr:sp macro="" textlink="">
      <xdr:nvSpPr>
        <xdr:cNvPr id="375" name="Прямая соединительная линия 822">
          <a:extLst>
            <a:ext uri="{FF2B5EF4-FFF2-40B4-BE49-F238E27FC236}">
              <a16:creationId xmlns:a16="http://schemas.microsoft.com/office/drawing/2014/main" id="{00000000-0008-0000-0200-000077010000}"/>
            </a:ext>
          </a:extLst>
        </xdr:cNvPr>
        <xdr:cNvSpPr/>
      </xdr:nvSpPr>
      <xdr:spPr>
        <a:xfrm flipH="1">
          <a:off x="10599120" y="9981000"/>
          <a:ext cx="2124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47880</xdr:colOff>
      <xdr:row>692</xdr:row>
      <xdr:rowOff>123480</xdr:rowOff>
    </xdr:from>
    <xdr:to>
      <xdr:col>16</xdr:col>
      <xdr:colOff>105120</xdr:colOff>
      <xdr:row>692</xdr:row>
      <xdr:rowOff>161640</xdr:rowOff>
    </xdr:to>
    <xdr:sp macro="" textlink="">
      <xdr:nvSpPr>
        <xdr:cNvPr id="376" name="Прямая соединительная линия 825">
          <a:extLst>
            <a:ext uri="{FF2B5EF4-FFF2-40B4-BE49-F238E27FC236}">
              <a16:creationId xmlns:a16="http://schemas.microsoft.com/office/drawing/2014/main" id="{00000000-0008-0000-0200-000078010000}"/>
            </a:ext>
          </a:extLst>
        </xdr:cNvPr>
        <xdr:cNvSpPr/>
      </xdr:nvSpPr>
      <xdr:spPr>
        <a:xfrm flipH="1">
          <a:off x="7736400" y="10066680"/>
          <a:ext cx="1404360" cy="3816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16</xdr:col>
      <xdr:colOff>142920</xdr:colOff>
      <xdr:row>692</xdr:row>
      <xdr:rowOff>95400</xdr:rowOff>
    </xdr:from>
    <xdr:to>
      <xdr:col>22</xdr:col>
      <xdr:colOff>192960</xdr:colOff>
      <xdr:row>692</xdr:row>
      <xdr:rowOff>105120</xdr:rowOff>
    </xdr:to>
    <xdr:sp macro="" textlink="">
      <xdr:nvSpPr>
        <xdr:cNvPr id="377" name="Прямая соединительная линия 826">
          <a:extLst>
            <a:ext uri="{FF2B5EF4-FFF2-40B4-BE49-F238E27FC236}">
              <a16:creationId xmlns:a16="http://schemas.microsoft.com/office/drawing/2014/main" id="{00000000-0008-0000-0200-000079010000}"/>
            </a:ext>
          </a:extLst>
        </xdr:cNvPr>
        <xdr:cNvSpPr/>
      </xdr:nvSpPr>
      <xdr:spPr>
        <a:xfrm flipH="1">
          <a:off x="9178560" y="10038240"/>
          <a:ext cx="1441800" cy="972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11</xdr:col>
      <xdr:colOff>18720</xdr:colOff>
      <xdr:row>692</xdr:row>
      <xdr:rowOff>28800</xdr:rowOff>
    </xdr:from>
    <xdr:to>
      <xdr:col>11</xdr:col>
      <xdr:colOff>18720</xdr:colOff>
      <xdr:row>692</xdr:row>
      <xdr:rowOff>142920</xdr:rowOff>
    </xdr:to>
    <xdr:sp macro="" textlink="">
      <xdr:nvSpPr>
        <xdr:cNvPr id="378" name="Прямая соединительная линия 841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SpPr/>
      </xdr:nvSpPr>
      <xdr:spPr>
        <a:xfrm>
          <a:off x="8092440" y="9971640"/>
          <a:ext cx="0" cy="114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18720</xdr:colOff>
      <xdr:row>692</xdr:row>
      <xdr:rowOff>360</xdr:rowOff>
    </xdr:from>
    <xdr:to>
      <xdr:col>18</xdr:col>
      <xdr:colOff>18720</xdr:colOff>
      <xdr:row>692</xdr:row>
      <xdr:rowOff>76320</xdr:rowOff>
    </xdr:to>
    <xdr:sp macro="" textlink="">
      <xdr:nvSpPr>
        <xdr:cNvPr id="379" name="Прямая соединительная линия 842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SpPr/>
      </xdr:nvSpPr>
      <xdr:spPr>
        <a:xfrm>
          <a:off x="9567720" y="9943200"/>
          <a:ext cx="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9720</xdr:colOff>
      <xdr:row>692</xdr:row>
      <xdr:rowOff>19080</xdr:rowOff>
    </xdr:from>
    <xdr:to>
      <xdr:col>23</xdr:col>
      <xdr:colOff>28800</xdr:colOff>
      <xdr:row>692</xdr:row>
      <xdr:rowOff>162000</xdr:rowOff>
    </xdr:to>
    <xdr:sp macro="" textlink="">
      <xdr:nvSpPr>
        <xdr:cNvPr id="380" name="Прямая соединительная линия 843">
          <a:extLst>
            <a:ext uri="{FF2B5EF4-FFF2-40B4-BE49-F238E27FC236}">
              <a16:creationId xmlns:a16="http://schemas.microsoft.com/office/drawing/2014/main" id="{00000000-0008-0000-0200-00007C010000}"/>
            </a:ext>
          </a:extLst>
        </xdr:cNvPr>
        <xdr:cNvSpPr/>
      </xdr:nvSpPr>
      <xdr:spPr>
        <a:xfrm flipH="1">
          <a:off x="9558360" y="9961920"/>
          <a:ext cx="1090440" cy="14292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15</xdr:col>
      <xdr:colOff>9720</xdr:colOff>
      <xdr:row>692</xdr:row>
      <xdr:rowOff>28440</xdr:rowOff>
    </xdr:from>
    <xdr:to>
      <xdr:col>25</xdr:col>
      <xdr:colOff>66960</xdr:colOff>
      <xdr:row>692</xdr:row>
      <xdr:rowOff>114120</xdr:rowOff>
    </xdr:to>
    <xdr:sp macro="" textlink="">
      <xdr:nvSpPr>
        <xdr:cNvPr id="381" name="Прямая соединительная линия 845">
          <a:extLst>
            <a:ext uri="{FF2B5EF4-FFF2-40B4-BE49-F238E27FC236}">
              <a16:creationId xmlns:a16="http://schemas.microsoft.com/office/drawing/2014/main" id="{00000000-0008-0000-0200-00007D010000}"/>
            </a:ext>
          </a:extLst>
        </xdr:cNvPr>
        <xdr:cNvSpPr/>
      </xdr:nvSpPr>
      <xdr:spPr>
        <a:xfrm flipH="1" flipV="1">
          <a:off x="8852760" y="9971640"/>
          <a:ext cx="2218680" cy="8568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16</xdr:col>
      <xdr:colOff>85680</xdr:colOff>
      <xdr:row>692</xdr:row>
      <xdr:rowOff>76320</xdr:rowOff>
    </xdr:from>
    <xdr:to>
      <xdr:col>16</xdr:col>
      <xdr:colOff>85680</xdr:colOff>
      <xdr:row>692</xdr:row>
      <xdr:rowOff>133560</xdr:rowOff>
    </xdr:to>
    <xdr:sp macro="" textlink="">
      <xdr:nvSpPr>
        <xdr:cNvPr id="382" name="Прямая соединительная линия 851">
          <a:extLst>
            <a:ext uri="{FF2B5EF4-FFF2-40B4-BE49-F238E27FC236}">
              <a16:creationId xmlns:a16="http://schemas.microsoft.com/office/drawing/2014/main" id="{00000000-0008-0000-0200-00007E010000}"/>
            </a:ext>
          </a:extLst>
        </xdr:cNvPr>
        <xdr:cNvSpPr/>
      </xdr:nvSpPr>
      <xdr:spPr>
        <a:xfrm>
          <a:off x="9121680" y="10019160"/>
          <a:ext cx="0" cy="572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16</xdr:col>
      <xdr:colOff>85680</xdr:colOff>
      <xdr:row>692</xdr:row>
      <xdr:rowOff>152280</xdr:rowOff>
    </xdr:from>
    <xdr:to>
      <xdr:col>16</xdr:col>
      <xdr:colOff>85680</xdr:colOff>
      <xdr:row>692</xdr:row>
      <xdr:rowOff>152280</xdr:rowOff>
    </xdr:to>
    <xdr:sp macro="" textlink="">
      <xdr:nvSpPr>
        <xdr:cNvPr id="383" name="Прямая соединительная линия 864">
          <a:extLst>
            <a:ext uri="{FF2B5EF4-FFF2-40B4-BE49-F238E27FC236}">
              <a16:creationId xmlns:a16="http://schemas.microsoft.com/office/drawing/2014/main" id="{00000000-0008-0000-0200-00007F010000}"/>
            </a:ext>
          </a:extLst>
        </xdr:cNvPr>
        <xdr:cNvSpPr/>
      </xdr:nvSpPr>
      <xdr:spPr>
        <a:xfrm>
          <a:off x="9121680" y="10095480"/>
          <a:ext cx="360" cy="360"/>
        </a:xfrm>
        <a:custGeom>
          <a:avLst/>
          <a:gdLst/>
          <a:ahLst/>
          <a:cxnLst/>
          <a:rect l="0" t="0" r="r" b="b"/>
          <a:pathLst>
            <a:path w="1" h="1">
              <a:moveTo>
                <a:pt x="0" y="0"/>
              </a:moveTo>
              <a:lnTo>
                <a:pt x="0" y="0"/>
              </a:lnTo>
            </a:path>
          </a:pathLst>
        </a:custGeom>
        <a:ln w="38100">
          <a:solidFill>
            <a:srgbClr val="000000"/>
          </a:solidFill>
          <a:round/>
        </a:ln>
      </xdr:spPr>
    </xdr:sp>
    <xdr:clientData/>
  </xdr:twoCellAnchor>
  <xdr:twoCellAnchor>
    <xdr:from>
      <xdr:col>22</xdr:col>
      <xdr:colOff>171720</xdr:colOff>
      <xdr:row>692</xdr:row>
      <xdr:rowOff>38160</xdr:rowOff>
    </xdr:from>
    <xdr:to>
      <xdr:col>22</xdr:col>
      <xdr:colOff>192960</xdr:colOff>
      <xdr:row>692</xdr:row>
      <xdr:rowOff>95400</xdr:rowOff>
    </xdr:to>
    <xdr:sp macro="" textlink="">
      <xdr:nvSpPr>
        <xdr:cNvPr id="384" name="Прямая соединительная линия 865">
          <a:extLst>
            <a:ext uri="{FF2B5EF4-FFF2-40B4-BE49-F238E27FC236}">
              <a16:creationId xmlns:a16="http://schemas.microsoft.com/office/drawing/2014/main" id="{00000000-0008-0000-0200-000080010000}"/>
            </a:ext>
          </a:extLst>
        </xdr:cNvPr>
        <xdr:cNvSpPr/>
      </xdr:nvSpPr>
      <xdr:spPr>
        <a:xfrm flipH="1">
          <a:off x="10599120" y="9981000"/>
          <a:ext cx="2124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85680</xdr:colOff>
      <xdr:row>692</xdr:row>
      <xdr:rowOff>75960</xdr:rowOff>
    </xdr:from>
    <xdr:to>
      <xdr:col>25</xdr:col>
      <xdr:colOff>18720</xdr:colOff>
      <xdr:row>692</xdr:row>
      <xdr:rowOff>114120</xdr:rowOff>
    </xdr:to>
    <xdr:sp macro="" textlink="">
      <xdr:nvSpPr>
        <xdr:cNvPr id="385" name="Прямая соединительная линия 893">
          <a:extLst>
            <a:ext uri="{FF2B5EF4-FFF2-40B4-BE49-F238E27FC236}">
              <a16:creationId xmlns:a16="http://schemas.microsoft.com/office/drawing/2014/main" id="{00000000-0008-0000-0200-000081010000}"/>
            </a:ext>
          </a:extLst>
        </xdr:cNvPr>
        <xdr:cNvSpPr/>
      </xdr:nvSpPr>
      <xdr:spPr>
        <a:xfrm flipH="1">
          <a:off x="9634680" y="10019160"/>
          <a:ext cx="138888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95400</xdr:colOff>
      <xdr:row>692</xdr:row>
      <xdr:rowOff>28440</xdr:rowOff>
    </xdr:from>
    <xdr:to>
      <xdr:col>25</xdr:col>
      <xdr:colOff>28800</xdr:colOff>
      <xdr:row>692</xdr:row>
      <xdr:rowOff>66600</xdr:rowOff>
    </xdr:to>
    <xdr:sp macro="" textlink="">
      <xdr:nvSpPr>
        <xdr:cNvPr id="386" name="Прямая соединительная линия 894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SpPr/>
      </xdr:nvSpPr>
      <xdr:spPr>
        <a:xfrm flipH="1">
          <a:off x="9644040" y="9971640"/>
          <a:ext cx="138924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257400</xdr:colOff>
      <xdr:row>692</xdr:row>
      <xdr:rowOff>38160</xdr:rowOff>
    </xdr:from>
    <xdr:to>
      <xdr:col>15</xdr:col>
      <xdr:colOff>38160</xdr:colOff>
      <xdr:row>692</xdr:row>
      <xdr:rowOff>95400</xdr:rowOff>
    </xdr:to>
    <xdr:sp macro="" textlink="">
      <xdr:nvSpPr>
        <xdr:cNvPr id="387" name="Прямая соединительная линия 895">
          <a:extLst>
            <a:ext uri="{FF2B5EF4-FFF2-40B4-BE49-F238E27FC236}">
              <a16:creationId xmlns:a16="http://schemas.microsoft.com/office/drawing/2014/main" id="{00000000-0008-0000-0200-000083010000}"/>
            </a:ext>
          </a:extLst>
        </xdr:cNvPr>
        <xdr:cNvSpPr/>
      </xdr:nvSpPr>
      <xdr:spPr>
        <a:xfrm flipH="1">
          <a:off x="7439400" y="9981000"/>
          <a:ext cx="1441800" cy="572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9360</xdr:colOff>
      <xdr:row>145</xdr:row>
      <xdr:rowOff>360</xdr:rowOff>
    </xdr:from>
    <xdr:to>
      <xdr:col>8</xdr:col>
      <xdr:colOff>9360</xdr:colOff>
      <xdr:row>145</xdr:row>
      <xdr:rowOff>152640</xdr:rowOff>
    </xdr:to>
    <xdr:sp macro="" textlink="">
      <xdr:nvSpPr>
        <xdr:cNvPr id="388" name="Прямая соединительная линия 714">
          <a:extLst>
            <a:ext uri="{FF2B5EF4-FFF2-40B4-BE49-F238E27FC236}">
              <a16:creationId xmlns:a16="http://schemas.microsoft.com/office/drawing/2014/main" id="{00000000-0008-0000-0200-000084010000}"/>
            </a:ext>
          </a:extLst>
        </xdr:cNvPr>
        <xdr:cNvSpPr/>
      </xdr:nvSpPr>
      <xdr:spPr>
        <a:xfrm>
          <a:off x="7506000" y="6347880"/>
          <a:ext cx="0" cy="15228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14</xdr:col>
      <xdr:colOff>9360</xdr:colOff>
      <xdr:row>145</xdr:row>
      <xdr:rowOff>9720</xdr:rowOff>
    </xdr:from>
    <xdr:to>
      <xdr:col>14</xdr:col>
      <xdr:colOff>9360</xdr:colOff>
      <xdr:row>145</xdr:row>
      <xdr:rowOff>162000</xdr:rowOff>
    </xdr:to>
    <xdr:sp macro="" textlink="">
      <xdr:nvSpPr>
        <xdr:cNvPr id="389" name="Прямая соединительная линия 715">
          <a:extLst>
            <a:ext uri="{FF2B5EF4-FFF2-40B4-BE49-F238E27FC236}">
              <a16:creationId xmlns:a16="http://schemas.microsoft.com/office/drawing/2014/main" id="{00000000-0008-0000-0200-000085010000}"/>
            </a:ext>
          </a:extLst>
        </xdr:cNvPr>
        <xdr:cNvSpPr/>
      </xdr:nvSpPr>
      <xdr:spPr>
        <a:xfrm>
          <a:off x="8660520" y="6357240"/>
          <a:ext cx="0" cy="15228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8</xdr:col>
      <xdr:colOff>360</xdr:colOff>
      <xdr:row>145</xdr:row>
      <xdr:rowOff>142560</xdr:rowOff>
    </xdr:from>
    <xdr:to>
      <xdr:col>14</xdr:col>
      <xdr:colOff>9720</xdr:colOff>
      <xdr:row>145</xdr:row>
      <xdr:rowOff>142560</xdr:rowOff>
    </xdr:to>
    <xdr:sp macro="" textlink="">
      <xdr:nvSpPr>
        <xdr:cNvPr id="390" name="Прямая соединительная линия 716">
          <a:extLst>
            <a:ext uri="{FF2B5EF4-FFF2-40B4-BE49-F238E27FC236}">
              <a16:creationId xmlns:a16="http://schemas.microsoft.com/office/drawing/2014/main" id="{00000000-0008-0000-0200-000086010000}"/>
            </a:ext>
          </a:extLst>
        </xdr:cNvPr>
        <xdr:cNvSpPr/>
      </xdr:nvSpPr>
      <xdr:spPr>
        <a:xfrm flipH="1">
          <a:off x="7496640" y="6490440"/>
          <a:ext cx="116388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22</xdr:col>
      <xdr:colOff>171360</xdr:colOff>
      <xdr:row>145</xdr:row>
      <xdr:rowOff>360</xdr:rowOff>
    </xdr:from>
    <xdr:to>
      <xdr:col>22</xdr:col>
      <xdr:colOff>171360</xdr:colOff>
      <xdr:row>145</xdr:row>
      <xdr:rowOff>152640</xdr:rowOff>
    </xdr:to>
    <xdr:sp macro="" textlink="">
      <xdr:nvSpPr>
        <xdr:cNvPr id="391" name="Прямая соединительная линия 722">
          <a:extLst>
            <a:ext uri="{FF2B5EF4-FFF2-40B4-BE49-F238E27FC236}">
              <a16:creationId xmlns:a16="http://schemas.microsoft.com/office/drawing/2014/main" id="{00000000-0008-0000-0200-000087010000}"/>
            </a:ext>
          </a:extLst>
        </xdr:cNvPr>
        <xdr:cNvSpPr/>
      </xdr:nvSpPr>
      <xdr:spPr>
        <a:xfrm>
          <a:off x="10599120" y="6347880"/>
          <a:ext cx="0" cy="15228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19080</xdr:colOff>
      <xdr:row>145</xdr:row>
      <xdr:rowOff>133200</xdr:rowOff>
    </xdr:from>
    <xdr:to>
      <xdr:col>23</xdr:col>
      <xdr:colOff>9720</xdr:colOff>
      <xdr:row>145</xdr:row>
      <xdr:rowOff>133200</xdr:rowOff>
    </xdr:to>
    <xdr:sp macro="" textlink="">
      <xdr:nvSpPr>
        <xdr:cNvPr id="392" name="Прямая соединительная линия 723">
          <a:extLst>
            <a:ext uri="{FF2B5EF4-FFF2-40B4-BE49-F238E27FC236}">
              <a16:creationId xmlns:a16="http://schemas.microsoft.com/office/drawing/2014/main" id="{00000000-0008-0000-0200-000088010000}"/>
            </a:ext>
          </a:extLst>
        </xdr:cNvPr>
        <xdr:cNvSpPr/>
      </xdr:nvSpPr>
      <xdr:spPr>
        <a:xfrm flipH="1">
          <a:off x="9246960" y="6481080"/>
          <a:ext cx="138276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19</xdr:col>
      <xdr:colOff>152280</xdr:colOff>
      <xdr:row>145</xdr:row>
      <xdr:rowOff>18720</xdr:rowOff>
    </xdr:from>
    <xdr:to>
      <xdr:col>22</xdr:col>
      <xdr:colOff>171360</xdr:colOff>
      <xdr:row>145</xdr:row>
      <xdr:rowOff>18720</xdr:rowOff>
    </xdr:to>
    <xdr:sp macro="" textlink="">
      <xdr:nvSpPr>
        <xdr:cNvPr id="393" name="Прямая соединительная линия 724">
          <a:extLst>
            <a:ext uri="{FF2B5EF4-FFF2-40B4-BE49-F238E27FC236}">
              <a16:creationId xmlns:a16="http://schemas.microsoft.com/office/drawing/2014/main" id="{00000000-0008-0000-0200-000089010000}"/>
            </a:ext>
          </a:extLst>
        </xdr:cNvPr>
        <xdr:cNvSpPr/>
      </xdr:nvSpPr>
      <xdr:spPr>
        <a:xfrm flipH="1">
          <a:off x="9893520" y="6366600"/>
          <a:ext cx="70560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9720</xdr:colOff>
      <xdr:row>145</xdr:row>
      <xdr:rowOff>19080</xdr:rowOff>
    </xdr:from>
    <xdr:to>
      <xdr:col>19</xdr:col>
      <xdr:colOff>171720</xdr:colOff>
      <xdr:row>145</xdr:row>
      <xdr:rowOff>162000</xdr:rowOff>
    </xdr:to>
    <xdr:sp macro="" textlink="">
      <xdr:nvSpPr>
        <xdr:cNvPr id="394" name="Прямая соединительная линия 726">
          <a:extLst>
            <a:ext uri="{FF2B5EF4-FFF2-40B4-BE49-F238E27FC236}">
              <a16:creationId xmlns:a16="http://schemas.microsoft.com/office/drawing/2014/main" id="{00000000-0008-0000-0200-00008A010000}"/>
            </a:ext>
          </a:extLst>
        </xdr:cNvPr>
        <xdr:cNvSpPr/>
      </xdr:nvSpPr>
      <xdr:spPr>
        <a:xfrm flipH="1">
          <a:off x="9237600" y="6366600"/>
          <a:ext cx="675000" cy="14292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26</xdr:col>
      <xdr:colOff>9360</xdr:colOff>
      <xdr:row>145</xdr:row>
      <xdr:rowOff>9720</xdr:rowOff>
    </xdr:from>
    <xdr:to>
      <xdr:col>26</xdr:col>
      <xdr:colOff>9360</xdr:colOff>
      <xdr:row>145</xdr:row>
      <xdr:rowOff>162000</xdr:rowOff>
    </xdr:to>
    <xdr:sp macro="" textlink="">
      <xdr:nvSpPr>
        <xdr:cNvPr id="395" name="Прямая соединительная линия 729">
          <a:extLst>
            <a:ext uri="{FF2B5EF4-FFF2-40B4-BE49-F238E27FC236}">
              <a16:creationId xmlns:a16="http://schemas.microsoft.com/office/drawing/2014/main" id="{00000000-0008-0000-0200-00008B010000}"/>
            </a:ext>
          </a:extLst>
        </xdr:cNvPr>
        <xdr:cNvSpPr/>
      </xdr:nvSpPr>
      <xdr:spPr>
        <a:xfrm>
          <a:off x="11206800" y="6357240"/>
          <a:ext cx="0" cy="15228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26</xdr:col>
      <xdr:colOff>9720</xdr:colOff>
      <xdr:row>145</xdr:row>
      <xdr:rowOff>28440</xdr:rowOff>
    </xdr:from>
    <xdr:to>
      <xdr:col>32</xdr:col>
      <xdr:colOff>19080</xdr:colOff>
      <xdr:row>145</xdr:row>
      <xdr:rowOff>28440</xdr:rowOff>
    </xdr:to>
    <xdr:sp macro="" textlink="">
      <xdr:nvSpPr>
        <xdr:cNvPr id="396" name="Прямая соединительная линия 730">
          <a:extLst>
            <a:ext uri="{FF2B5EF4-FFF2-40B4-BE49-F238E27FC236}">
              <a16:creationId xmlns:a16="http://schemas.microsoft.com/office/drawing/2014/main" id="{00000000-0008-0000-0200-00008C010000}"/>
            </a:ext>
          </a:extLst>
        </xdr:cNvPr>
        <xdr:cNvSpPr/>
      </xdr:nvSpPr>
      <xdr:spPr>
        <a:xfrm flipH="1">
          <a:off x="11206800" y="6376320"/>
          <a:ext cx="116388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26</xdr:col>
      <xdr:colOff>9720</xdr:colOff>
      <xdr:row>145</xdr:row>
      <xdr:rowOff>152280</xdr:rowOff>
    </xdr:from>
    <xdr:to>
      <xdr:col>32</xdr:col>
      <xdr:colOff>19080</xdr:colOff>
      <xdr:row>145</xdr:row>
      <xdr:rowOff>152280</xdr:rowOff>
    </xdr:to>
    <xdr:sp macro="" textlink="">
      <xdr:nvSpPr>
        <xdr:cNvPr id="397" name="Прямая соединительная линия 731">
          <a:extLst>
            <a:ext uri="{FF2B5EF4-FFF2-40B4-BE49-F238E27FC236}">
              <a16:creationId xmlns:a16="http://schemas.microsoft.com/office/drawing/2014/main" id="{00000000-0008-0000-0200-00008D010000}"/>
            </a:ext>
          </a:extLst>
        </xdr:cNvPr>
        <xdr:cNvSpPr/>
      </xdr:nvSpPr>
      <xdr:spPr>
        <a:xfrm flipH="1">
          <a:off x="11206800" y="6500160"/>
          <a:ext cx="116388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12</xdr:col>
      <xdr:colOff>18720</xdr:colOff>
      <xdr:row>692</xdr:row>
      <xdr:rowOff>28800</xdr:rowOff>
    </xdr:from>
    <xdr:to>
      <xdr:col>12</xdr:col>
      <xdr:colOff>18720</xdr:colOff>
      <xdr:row>692</xdr:row>
      <xdr:rowOff>142920</xdr:rowOff>
    </xdr:to>
    <xdr:sp macro="" textlink="">
      <xdr:nvSpPr>
        <xdr:cNvPr id="398" name="Прямая соединительная линия 734">
          <a:extLst>
            <a:ext uri="{FF2B5EF4-FFF2-40B4-BE49-F238E27FC236}">
              <a16:creationId xmlns:a16="http://schemas.microsoft.com/office/drawing/2014/main" id="{00000000-0008-0000-0200-00008E010000}"/>
            </a:ext>
          </a:extLst>
        </xdr:cNvPr>
        <xdr:cNvSpPr/>
      </xdr:nvSpPr>
      <xdr:spPr>
        <a:xfrm>
          <a:off x="8285040" y="9971640"/>
          <a:ext cx="0" cy="114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19</xdr:col>
      <xdr:colOff>18720</xdr:colOff>
      <xdr:row>692</xdr:row>
      <xdr:rowOff>360</xdr:rowOff>
    </xdr:from>
    <xdr:to>
      <xdr:col>19</xdr:col>
      <xdr:colOff>18720</xdr:colOff>
      <xdr:row>692</xdr:row>
      <xdr:rowOff>76320</xdr:rowOff>
    </xdr:to>
    <xdr:sp macro="" textlink="">
      <xdr:nvSpPr>
        <xdr:cNvPr id="399" name="Прямая соединительная линия 736">
          <a:extLst>
            <a:ext uri="{FF2B5EF4-FFF2-40B4-BE49-F238E27FC236}">
              <a16:creationId xmlns:a16="http://schemas.microsoft.com/office/drawing/2014/main" id="{00000000-0008-0000-0200-00008F010000}"/>
            </a:ext>
          </a:extLst>
        </xdr:cNvPr>
        <xdr:cNvSpPr/>
      </xdr:nvSpPr>
      <xdr:spPr>
        <a:xfrm>
          <a:off x="9759960" y="9943200"/>
          <a:ext cx="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19</xdr:col>
      <xdr:colOff>9720</xdr:colOff>
      <xdr:row>692</xdr:row>
      <xdr:rowOff>19080</xdr:rowOff>
    </xdr:from>
    <xdr:to>
      <xdr:col>24</xdr:col>
      <xdr:colOff>28800</xdr:colOff>
      <xdr:row>692</xdr:row>
      <xdr:rowOff>162000</xdr:rowOff>
    </xdr:to>
    <xdr:sp macro="" textlink="">
      <xdr:nvSpPr>
        <xdr:cNvPr id="400" name="Прямая соединительная линия 737">
          <a:extLst>
            <a:ext uri="{FF2B5EF4-FFF2-40B4-BE49-F238E27FC236}">
              <a16:creationId xmlns:a16="http://schemas.microsoft.com/office/drawing/2014/main" id="{00000000-0008-0000-0200-000090010000}"/>
            </a:ext>
          </a:extLst>
        </xdr:cNvPr>
        <xdr:cNvSpPr/>
      </xdr:nvSpPr>
      <xdr:spPr>
        <a:xfrm flipH="1">
          <a:off x="9750600" y="9961920"/>
          <a:ext cx="1090440" cy="14292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16</xdr:col>
      <xdr:colOff>9720</xdr:colOff>
      <xdr:row>692</xdr:row>
      <xdr:rowOff>28440</xdr:rowOff>
    </xdr:from>
    <xdr:to>
      <xdr:col>26</xdr:col>
      <xdr:colOff>66960</xdr:colOff>
      <xdr:row>692</xdr:row>
      <xdr:rowOff>114120</xdr:rowOff>
    </xdr:to>
    <xdr:sp macro="" textlink="">
      <xdr:nvSpPr>
        <xdr:cNvPr id="401" name="Прямая соединительная линия 739">
          <a:extLst>
            <a:ext uri="{FF2B5EF4-FFF2-40B4-BE49-F238E27FC236}">
              <a16:creationId xmlns:a16="http://schemas.microsoft.com/office/drawing/2014/main" id="{00000000-0008-0000-0200-000091010000}"/>
            </a:ext>
          </a:extLst>
        </xdr:cNvPr>
        <xdr:cNvSpPr/>
      </xdr:nvSpPr>
      <xdr:spPr>
        <a:xfrm flipH="1" flipV="1">
          <a:off x="9045360" y="9971640"/>
          <a:ext cx="2218680" cy="8568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0</xdr:colOff>
      <xdr:row>692</xdr:row>
      <xdr:rowOff>28440</xdr:rowOff>
    </xdr:from>
    <xdr:to>
      <xdr:col>16</xdr:col>
      <xdr:colOff>192240</xdr:colOff>
      <xdr:row>692</xdr:row>
      <xdr:rowOff>104760</xdr:rowOff>
    </xdr:to>
    <xdr:sp macro="" textlink="">
      <xdr:nvSpPr>
        <xdr:cNvPr id="402" name="Прямая соединительная линия 776">
          <a:extLst>
            <a:ext uri="{FF2B5EF4-FFF2-40B4-BE49-F238E27FC236}">
              <a16:creationId xmlns:a16="http://schemas.microsoft.com/office/drawing/2014/main" id="{00000000-0008-0000-0200-000092010000}"/>
            </a:ext>
          </a:extLst>
        </xdr:cNvPr>
        <xdr:cNvSpPr/>
      </xdr:nvSpPr>
      <xdr:spPr>
        <a:xfrm flipH="1">
          <a:off x="7688880" y="9971640"/>
          <a:ext cx="153936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85680</xdr:colOff>
      <xdr:row>692</xdr:row>
      <xdr:rowOff>76320</xdr:rowOff>
    </xdr:from>
    <xdr:to>
      <xdr:col>17</xdr:col>
      <xdr:colOff>85680</xdr:colOff>
      <xdr:row>692</xdr:row>
      <xdr:rowOff>133560</xdr:rowOff>
    </xdr:to>
    <xdr:sp macro="" textlink="">
      <xdr:nvSpPr>
        <xdr:cNvPr id="403" name="Прямая соединительная линия 777">
          <a:extLst>
            <a:ext uri="{FF2B5EF4-FFF2-40B4-BE49-F238E27FC236}">
              <a16:creationId xmlns:a16="http://schemas.microsoft.com/office/drawing/2014/main" id="{00000000-0008-0000-0200-000093010000}"/>
            </a:ext>
          </a:extLst>
        </xdr:cNvPr>
        <xdr:cNvSpPr/>
      </xdr:nvSpPr>
      <xdr:spPr>
        <a:xfrm>
          <a:off x="9313920" y="10019160"/>
          <a:ext cx="0" cy="572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85680</xdr:colOff>
      <xdr:row>692</xdr:row>
      <xdr:rowOff>152280</xdr:rowOff>
    </xdr:from>
    <xdr:to>
      <xdr:col>17</xdr:col>
      <xdr:colOff>85680</xdr:colOff>
      <xdr:row>692</xdr:row>
      <xdr:rowOff>152280</xdr:rowOff>
    </xdr:to>
    <xdr:sp macro="" textlink="">
      <xdr:nvSpPr>
        <xdr:cNvPr id="404" name="Прямая соединительная линия 788">
          <a:extLst>
            <a:ext uri="{FF2B5EF4-FFF2-40B4-BE49-F238E27FC236}">
              <a16:creationId xmlns:a16="http://schemas.microsoft.com/office/drawing/2014/main" id="{00000000-0008-0000-0200-000094010000}"/>
            </a:ext>
          </a:extLst>
        </xdr:cNvPr>
        <xdr:cNvSpPr/>
      </xdr:nvSpPr>
      <xdr:spPr>
        <a:xfrm>
          <a:off x="9313920" y="10095480"/>
          <a:ext cx="360" cy="360"/>
        </a:xfrm>
        <a:custGeom>
          <a:avLst/>
          <a:gdLst/>
          <a:ahLst/>
          <a:cxnLst/>
          <a:rect l="0" t="0" r="r" b="b"/>
          <a:pathLst>
            <a:path w="1" h="1">
              <a:moveTo>
                <a:pt x="0" y="0"/>
              </a:moveTo>
              <a:lnTo>
                <a:pt x="0" y="0"/>
              </a:lnTo>
            </a:path>
          </a:pathLst>
        </a:custGeom>
        <a:ln w="38100">
          <a:solidFill>
            <a:srgbClr val="000000"/>
          </a:solidFill>
          <a:round/>
        </a:ln>
      </xdr:spPr>
    </xdr:sp>
    <xdr:clientData/>
  </xdr:twoCellAnchor>
  <xdr:twoCellAnchor>
    <xdr:from>
      <xdr:col>23</xdr:col>
      <xdr:colOff>171360</xdr:colOff>
      <xdr:row>692</xdr:row>
      <xdr:rowOff>38160</xdr:rowOff>
    </xdr:from>
    <xdr:to>
      <xdr:col>23</xdr:col>
      <xdr:colOff>192240</xdr:colOff>
      <xdr:row>692</xdr:row>
      <xdr:rowOff>95400</xdr:rowOff>
    </xdr:to>
    <xdr:sp macro="" textlink="">
      <xdr:nvSpPr>
        <xdr:cNvPr id="405" name="Прямая соединительная линия 793">
          <a:extLst>
            <a:ext uri="{FF2B5EF4-FFF2-40B4-BE49-F238E27FC236}">
              <a16:creationId xmlns:a16="http://schemas.microsoft.com/office/drawing/2014/main" id="{00000000-0008-0000-0200-000095010000}"/>
            </a:ext>
          </a:extLst>
        </xdr:cNvPr>
        <xdr:cNvSpPr/>
      </xdr:nvSpPr>
      <xdr:spPr>
        <a:xfrm flipH="1">
          <a:off x="10791720" y="9981000"/>
          <a:ext cx="2088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16</xdr:col>
      <xdr:colOff>171720</xdr:colOff>
      <xdr:row>692</xdr:row>
      <xdr:rowOff>37800</xdr:rowOff>
    </xdr:from>
    <xdr:to>
      <xdr:col>18</xdr:col>
      <xdr:colOff>133560</xdr:colOff>
      <xdr:row>692</xdr:row>
      <xdr:rowOff>152280</xdr:rowOff>
    </xdr:to>
    <xdr:sp macro="" textlink="">
      <xdr:nvSpPr>
        <xdr:cNvPr id="406" name="Прямая соединительная линия 809">
          <a:extLst>
            <a:ext uri="{FF2B5EF4-FFF2-40B4-BE49-F238E27FC236}">
              <a16:creationId xmlns:a16="http://schemas.microsoft.com/office/drawing/2014/main" id="{00000000-0008-0000-0200-000096010000}"/>
            </a:ext>
          </a:extLst>
        </xdr:cNvPr>
        <xdr:cNvSpPr/>
      </xdr:nvSpPr>
      <xdr:spPr>
        <a:xfrm flipH="1" flipV="1">
          <a:off x="9207360" y="9981000"/>
          <a:ext cx="474840" cy="1144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123480</xdr:colOff>
      <xdr:row>692</xdr:row>
      <xdr:rowOff>75960</xdr:rowOff>
    </xdr:from>
    <xdr:to>
      <xdr:col>26</xdr:col>
      <xdr:colOff>18720</xdr:colOff>
      <xdr:row>692</xdr:row>
      <xdr:rowOff>152280</xdr:rowOff>
    </xdr:to>
    <xdr:sp macro="" textlink="">
      <xdr:nvSpPr>
        <xdr:cNvPr id="407" name="Прямая соединительная линия 814">
          <a:extLst>
            <a:ext uri="{FF2B5EF4-FFF2-40B4-BE49-F238E27FC236}">
              <a16:creationId xmlns:a16="http://schemas.microsoft.com/office/drawing/2014/main" id="{00000000-0008-0000-0200-000097010000}"/>
            </a:ext>
          </a:extLst>
        </xdr:cNvPr>
        <xdr:cNvSpPr/>
      </xdr:nvSpPr>
      <xdr:spPr>
        <a:xfrm flipH="1">
          <a:off x="9672480" y="10019160"/>
          <a:ext cx="154368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18</xdr:col>
      <xdr:colOff>105120</xdr:colOff>
      <xdr:row>692</xdr:row>
      <xdr:rowOff>28800</xdr:rowOff>
    </xdr:from>
    <xdr:to>
      <xdr:col>26</xdr:col>
      <xdr:colOff>28800</xdr:colOff>
      <xdr:row>692</xdr:row>
      <xdr:rowOff>133560</xdr:rowOff>
    </xdr:to>
    <xdr:sp macro="" textlink="">
      <xdr:nvSpPr>
        <xdr:cNvPr id="408" name="Прямая соединительная линия 815">
          <a:extLst>
            <a:ext uri="{FF2B5EF4-FFF2-40B4-BE49-F238E27FC236}">
              <a16:creationId xmlns:a16="http://schemas.microsoft.com/office/drawing/2014/main" id="{00000000-0008-0000-0200-000098010000}"/>
            </a:ext>
          </a:extLst>
        </xdr:cNvPr>
        <xdr:cNvSpPr/>
      </xdr:nvSpPr>
      <xdr:spPr>
        <a:xfrm flipH="1">
          <a:off x="9653760" y="9971640"/>
          <a:ext cx="157212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65160</xdr:colOff>
      <xdr:row>692</xdr:row>
      <xdr:rowOff>38160</xdr:rowOff>
    </xdr:from>
    <xdr:to>
      <xdr:col>16</xdr:col>
      <xdr:colOff>38160</xdr:colOff>
      <xdr:row>692</xdr:row>
      <xdr:rowOff>95400</xdr:rowOff>
    </xdr:to>
    <xdr:sp macro="" textlink="">
      <xdr:nvSpPr>
        <xdr:cNvPr id="409" name="Прямая соединительная линия 823">
          <a:extLst>
            <a:ext uri="{FF2B5EF4-FFF2-40B4-BE49-F238E27FC236}">
              <a16:creationId xmlns:a16="http://schemas.microsoft.com/office/drawing/2014/main" id="{00000000-0008-0000-0200-000099010000}"/>
            </a:ext>
          </a:extLst>
        </xdr:cNvPr>
        <xdr:cNvSpPr/>
      </xdr:nvSpPr>
      <xdr:spPr>
        <a:xfrm flipH="1">
          <a:off x="7753680" y="9981000"/>
          <a:ext cx="1320120" cy="572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28800</xdr:colOff>
      <xdr:row>692</xdr:row>
      <xdr:rowOff>66960</xdr:rowOff>
    </xdr:from>
    <xdr:to>
      <xdr:col>18</xdr:col>
      <xdr:colOff>152640</xdr:colOff>
      <xdr:row>692</xdr:row>
      <xdr:rowOff>133560</xdr:rowOff>
    </xdr:to>
    <xdr:sp macro="" textlink="">
      <xdr:nvSpPr>
        <xdr:cNvPr id="410" name="Прямая соединительная линия 824">
          <a:extLst>
            <a:ext uri="{FF2B5EF4-FFF2-40B4-BE49-F238E27FC236}">
              <a16:creationId xmlns:a16="http://schemas.microsoft.com/office/drawing/2014/main" id="{00000000-0008-0000-0200-00009A010000}"/>
            </a:ext>
          </a:extLst>
        </xdr:cNvPr>
        <xdr:cNvSpPr/>
      </xdr:nvSpPr>
      <xdr:spPr>
        <a:xfrm flipH="1" flipV="1">
          <a:off x="7717320" y="10009800"/>
          <a:ext cx="198396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0</xdr:colOff>
      <xdr:row>692</xdr:row>
      <xdr:rowOff>114480</xdr:rowOff>
    </xdr:from>
    <xdr:to>
      <xdr:col>18</xdr:col>
      <xdr:colOff>114120</xdr:colOff>
      <xdr:row>692</xdr:row>
      <xdr:rowOff>142920</xdr:rowOff>
    </xdr:to>
    <xdr:sp macro="" textlink="">
      <xdr:nvSpPr>
        <xdr:cNvPr id="411" name="Прямая соединительная линия 827">
          <a:extLst>
            <a:ext uri="{FF2B5EF4-FFF2-40B4-BE49-F238E27FC236}">
              <a16:creationId xmlns:a16="http://schemas.microsoft.com/office/drawing/2014/main" id="{00000000-0008-0000-0200-00009B010000}"/>
            </a:ext>
          </a:extLst>
        </xdr:cNvPr>
        <xdr:cNvSpPr/>
      </xdr:nvSpPr>
      <xdr:spPr>
        <a:xfrm flipH="1" flipV="1">
          <a:off x="7688880" y="10057320"/>
          <a:ext cx="1974240" cy="284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9360</xdr:colOff>
      <xdr:row>511</xdr:row>
      <xdr:rowOff>0</xdr:rowOff>
    </xdr:from>
    <xdr:to>
      <xdr:col>7</xdr:col>
      <xdr:colOff>9360</xdr:colOff>
      <xdr:row>511</xdr:row>
      <xdr:rowOff>133200</xdr:rowOff>
    </xdr:to>
    <xdr:sp macro="" textlink="">
      <xdr:nvSpPr>
        <xdr:cNvPr id="412" name="Прямая соединительная линия 828">
          <a:extLst>
            <a:ext uri="{FF2B5EF4-FFF2-40B4-BE49-F238E27FC236}">
              <a16:creationId xmlns:a16="http://schemas.microsoft.com/office/drawing/2014/main" id="{00000000-0008-0000-0200-00009C010000}"/>
            </a:ext>
          </a:extLst>
        </xdr:cNvPr>
        <xdr:cNvSpPr/>
      </xdr:nvSpPr>
      <xdr:spPr>
        <a:xfrm>
          <a:off x="7191720" y="9224640"/>
          <a:ext cx="0" cy="1332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0</xdr:colOff>
      <xdr:row>511</xdr:row>
      <xdr:rowOff>0</xdr:rowOff>
    </xdr:from>
    <xdr:to>
      <xdr:col>17</xdr:col>
      <xdr:colOff>0</xdr:colOff>
      <xdr:row>511</xdr:row>
      <xdr:rowOff>142560</xdr:rowOff>
    </xdr:to>
    <xdr:sp macro="" textlink="">
      <xdr:nvSpPr>
        <xdr:cNvPr id="413" name="Прямая соединительная линия 830">
          <a:extLst>
            <a:ext uri="{FF2B5EF4-FFF2-40B4-BE49-F238E27FC236}">
              <a16:creationId xmlns:a16="http://schemas.microsoft.com/office/drawing/2014/main" id="{00000000-0008-0000-0200-00009D010000}"/>
            </a:ext>
          </a:extLst>
        </xdr:cNvPr>
        <xdr:cNvSpPr/>
      </xdr:nvSpPr>
      <xdr:spPr>
        <a:xfrm>
          <a:off x="9228240" y="9224640"/>
          <a:ext cx="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9720</xdr:colOff>
      <xdr:row>511</xdr:row>
      <xdr:rowOff>18720</xdr:rowOff>
    </xdr:from>
    <xdr:to>
      <xdr:col>16</xdr:col>
      <xdr:colOff>192600</xdr:colOff>
      <xdr:row>511</xdr:row>
      <xdr:rowOff>18720</xdr:rowOff>
    </xdr:to>
    <xdr:sp macro="" textlink="">
      <xdr:nvSpPr>
        <xdr:cNvPr id="414" name="Прямая соединительная линия 831">
          <a:extLst>
            <a:ext uri="{FF2B5EF4-FFF2-40B4-BE49-F238E27FC236}">
              <a16:creationId xmlns:a16="http://schemas.microsoft.com/office/drawing/2014/main" id="{00000000-0008-0000-0200-00009E010000}"/>
            </a:ext>
          </a:extLst>
        </xdr:cNvPr>
        <xdr:cNvSpPr/>
      </xdr:nvSpPr>
      <xdr:spPr>
        <a:xfrm flipH="1">
          <a:off x="7191720" y="9243360"/>
          <a:ext cx="20365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0</xdr:colOff>
      <xdr:row>511</xdr:row>
      <xdr:rowOff>152280</xdr:rowOff>
    </xdr:from>
    <xdr:to>
      <xdr:col>11</xdr:col>
      <xdr:colOff>9360</xdr:colOff>
      <xdr:row>511</xdr:row>
      <xdr:rowOff>152280</xdr:rowOff>
    </xdr:to>
    <xdr:sp macro="" textlink="">
      <xdr:nvSpPr>
        <xdr:cNvPr id="415" name="Прямая соединительная линия 837">
          <a:extLst>
            <a:ext uri="{FF2B5EF4-FFF2-40B4-BE49-F238E27FC236}">
              <a16:creationId xmlns:a16="http://schemas.microsoft.com/office/drawing/2014/main" id="{00000000-0008-0000-0200-00009F010000}"/>
            </a:ext>
          </a:extLst>
        </xdr:cNvPr>
        <xdr:cNvSpPr/>
      </xdr:nvSpPr>
      <xdr:spPr>
        <a:xfrm flipH="1">
          <a:off x="7182360" y="9376920"/>
          <a:ext cx="9007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161640</xdr:colOff>
      <xdr:row>511</xdr:row>
      <xdr:rowOff>123480</xdr:rowOff>
    </xdr:from>
    <xdr:to>
      <xdr:col>16</xdr:col>
      <xdr:colOff>192240</xdr:colOff>
      <xdr:row>511</xdr:row>
      <xdr:rowOff>123480</xdr:rowOff>
    </xdr:to>
    <xdr:sp macro="" textlink="">
      <xdr:nvSpPr>
        <xdr:cNvPr id="416" name="Прямая соединительная линия 854">
          <a:extLst>
            <a:ext uri="{FF2B5EF4-FFF2-40B4-BE49-F238E27FC236}">
              <a16:creationId xmlns:a16="http://schemas.microsoft.com/office/drawing/2014/main" id="{00000000-0008-0000-0200-0000A0010000}"/>
            </a:ext>
          </a:extLst>
        </xdr:cNvPr>
        <xdr:cNvSpPr/>
      </xdr:nvSpPr>
      <xdr:spPr>
        <a:xfrm flipH="1">
          <a:off x="8043120" y="9348120"/>
          <a:ext cx="11851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419040</xdr:colOff>
      <xdr:row>511</xdr:row>
      <xdr:rowOff>19080</xdr:rowOff>
    </xdr:from>
    <xdr:to>
      <xdr:col>6</xdr:col>
      <xdr:colOff>419040</xdr:colOff>
      <xdr:row>511</xdr:row>
      <xdr:rowOff>152640</xdr:rowOff>
    </xdr:to>
    <xdr:sp macro="" textlink="">
      <xdr:nvSpPr>
        <xdr:cNvPr id="417" name="Прямая соединительная линия 860">
          <a:extLst>
            <a:ext uri="{FF2B5EF4-FFF2-40B4-BE49-F238E27FC236}">
              <a16:creationId xmlns:a16="http://schemas.microsoft.com/office/drawing/2014/main" id="{00000000-0008-0000-0200-0000A1010000}"/>
            </a:ext>
          </a:extLst>
        </xdr:cNvPr>
        <xdr:cNvSpPr/>
      </xdr:nvSpPr>
      <xdr:spPr>
        <a:xfrm>
          <a:off x="6953760" y="9243360"/>
          <a:ext cx="0" cy="13356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209520</xdr:colOff>
      <xdr:row>511</xdr:row>
      <xdr:rowOff>28440</xdr:rowOff>
    </xdr:from>
    <xdr:to>
      <xdr:col>17</xdr:col>
      <xdr:colOff>209520</xdr:colOff>
      <xdr:row>511</xdr:row>
      <xdr:rowOff>161640</xdr:rowOff>
    </xdr:to>
    <xdr:sp macro="" textlink="">
      <xdr:nvSpPr>
        <xdr:cNvPr id="418" name="Прямая соединительная линия 867">
          <a:extLst>
            <a:ext uri="{FF2B5EF4-FFF2-40B4-BE49-F238E27FC236}">
              <a16:creationId xmlns:a16="http://schemas.microsoft.com/office/drawing/2014/main" id="{00000000-0008-0000-0200-0000A2010000}"/>
            </a:ext>
          </a:extLst>
        </xdr:cNvPr>
        <xdr:cNvSpPr/>
      </xdr:nvSpPr>
      <xdr:spPr>
        <a:xfrm>
          <a:off x="9437760" y="925308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409320</xdr:colOff>
      <xdr:row>511</xdr:row>
      <xdr:rowOff>28440</xdr:rowOff>
    </xdr:from>
    <xdr:to>
      <xdr:col>17</xdr:col>
      <xdr:colOff>218880</xdr:colOff>
      <xdr:row>511</xdr:row>
      <xdr:rowOff>28440</xdr:rowOff>
    </xdr:to>
    <xdr:sp macro="" textlink="">
      <xdr:nvSpPr>
        <xdr:cNvPr id="419" name="Прямая соединительная линия 874">
          <a:extLst>
            <a:ext uri="{FF2B5EF4-FFF2-40B4-BE49-F238E27FC236}">
              <a16:creationId xmlns:a16="http://schemas.microsoft.com/office/drawing/2014/main" id="{00000000-0008-0000-0200-0000A3010000}"/>
            </a:ext>
          </a:extLst>
        </xdr:cNvPr>
        <xdr:cNvSpPr/>
      </xdr:nvSpPr>
      <xdr:spPr>
        <a:xfrm>
          <a:off x="6944040" y="9253080"/>
          <a:ext cx="250308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419040</xdr:colOff>
      <xdr:row>511</xdr:row>
      <xdr:rowOff>142560</xdr:rowOff>
    </xdr:from>
    <xdr:to>
      <xdr:col>17</xdr:col>
      <xdr:colOff>228600</xdr:colOff>
      <xdr:row>511</xdr:row>
      <xdr:rowOff>142560</xdr:rowOff>
    </xdr:to>
    <xdr:sp macro="" textlink="">
      <xdr:nvSpPr>
        <xdr:cNvPr id="420" name="Прямая соединительная линия 877">
          <a:extLst>
            <a:ext uri="{FF2B5EF4-FFF2-40B4-BE49-F238E27FC236}">
              <a16:creationId xmlns:a16="http://schemas.microsoft.com/office/drawing/2014/main" id="{00000000-0008-0000-0200-0000A4010000}"/>
            </a:ext>
          </a:extLst>
        </xdr:cNvPr>
        <xdr:cNvSpPr/>
      </xdr:nvSpPr>
      <xdr:spPr>
        <a:xfrm>
          <a:off x="6953760" y="9367200"/>
          <a:ext cx="250308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11</xdr:col>
      <xdr:colOff>142560</xdr:colOff>
      <xdr:row>511</xdr:row>
      <xdr:rowOff>28440</xdr:rowOff>
    </xdr:from>
    <xdr:to>
      <xdr:col>11</xdr:col>
      <xdr:colOff>142560</xdr:colOff>
      <xdr:row>511</xdr:row>
      <xdr:rowOff>161640</xdr:rowOff>
    </xdr:to>
    <xdr:sp macro="" textlink="">
      <xdr:nvSpPr>
        <xdr:cNvPr id="421" name="Прямая соединительная линия 879">
          <a:extLst>
            <a:ext uri="{FF2B5EF4-FFF2-40B4-BE49-F238E27FC236}">
              <a16:creationId xmlns:a16="http://schemas.microsoft.com/office/drawing/2014/main" id="{00000000-0008-0000-0200-0000A5010000}"/>
            </a:ext>
          </a:extLst>
        </xdr:cNvPr>
        <xdr:cNvSpPr/>
      </xdr:nvSpPr>
      <xdr:spPr>
        <a:xfrm>
          <a:off x="8216280" y="925308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18360</xdr:colOff>
      <xdr:row>511</xdr:row>
      <xdr:rowOff>0</xdr:rowOff>
    </xdr:from>
    <xdr:to>
      <xdr:col>19</xdr:col>
      <xdr:colOff>122760</xdr:colOff>
      <xdr:row>511</xdr:row>
      <xdr:rowOff>360</xdr:rowOff>
    </xdr:to>
    <xdr:sp macro="" textlink="">
      <xdr:nvSpPr>
        <xdr:cNvPr id="422" name="Прямая со стрелкой 882">
          <a:extLst>
            <a:ext uri="{FF2B5EF4-FFF2-40B4-BE49-F238E27FC236}">
              <a16:creationId xmlns:a16="http://schemas.microsoft.com/office/drawing/2014/main" id="{00000000-0008-0000-0200-0000A6010000}"/>
            </a:ext>
          </a:extLst>
        </xdr:cNvPr>
        <xdr:cNvSpPr/>
      </xdr:nvSpPr>
      <xdr:spPr>
        <a:xfrm flipH="1">
          <a:off x="9246600" y="9224640"/>
          <a:ext cx="617400" cy="3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228600</xdr:colOff>
      <xdr:row>511</xdr:row>
      <xdr:rowOff>57240</xdr:rowOff>
    </xdr:from>
    <xdr:to>
      <xdr:col>19</xdr:col>
      <xdr:colOff>104400</xdr:colOff>
      <xdr:row>511</xdr:row>
      <xdr:rowOff>57600</xdr:rowOff>
    </xdr:to>
    <xdr:sp macro="" textlink="">
      <xdr:nvSpPr>
        <xdr:cNvPr id="423" name="Прямая со стрелкой 884">
          <a:extLst>
            <a:ext uri="{FF2B5EF4-FFF2-40B4-BE49-F238E27FC236}">
              <a16:creationId xmlns:a16="http://schemas.microsoft.com/office/drawing/2014/main" id="{00000000-0008-0000-0200-0000A7010000}"/>
            </a:ext>
          </a:extLst>
        </xdr:cNvPr>
        <xdr:cNvSpPr/>
      </xdr:nvSpPr>
      <xdr:spPr>
        <a:xfrm flipH="1">
          <a:off x="9456840" y="9281880"/>
          <a:ext cx="388800" cy="3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9360</xdr:colOff>
      <xdr:row>511</xdr:row>
      <xdr:rowOff>0</xdr:rowOff>
    </xdr:from>
    <xdr:to>
      <xdr:col>7</xdr:col>
      <xdr:colOff>9360</xdr:colOff>
      <xdr:row>511</xdr:row>
      <xdr:rowOff>142560</xdr:rowOff>
    </xdr:to>
    <xdr:sp macro="" textlink="">
      <xdr:nvSpPr>
        <xdr:cNvPr id="424" name="Прямая соединительная линия 918">
          <a:extLst>
            <a:ext uri="{FF2B5EF4-FFF2-40B4-BE49-F238E27FC236}">
              <a16:creationId xmlns:a16="http://schemas.microsoft.com/office/drawing/2014/main" id="{00000000-0008-0000-0200-0000A8010000}"/>
            </a:ext>
          </a:extLst>
        </xdr:cNvPr>
        <xdr:cNvSpPr/>
      </xdr:nvSpPr>
      <xdr:spPr>
        <a:xfrm>
          <a:off x="7191720" y="9224640"/>
          <a:ext cx="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0</xdr:colOff>
      <xdr:row>511</xdr:row>
      <xdr:rowOff>0</xdr:rowOff>
    </xdr:from>
    <xdr:to>
      <xdr:col>17</xdr:col>
      <xdr:colOff>0</xdr:colOff>
      <xdr:row>511</xdr:row>
      <xdr:rowOff>142560</xdr:rowOff>
    </xdr:to>
    <xdr:sp macro="" textlink="">
      <xdr:nvSpPr>
        <xdr:cNvPr id="425" name="Прямая соединительная линия 919">
          <a:extLst>
            <a:ext uri="{FF2B5EF4-FFF2-40B4-BE49-F238E27FC236}">
              <a16:creationId xmlns:a16="http://schemas.microsoft.com/office/drawing/2014/main" id="{00000000-0008-0000-0200-0000A9010000}"/>
            </a:ext>
          </a:extLst>
        </xdr:cNvPr>
        <xdr:cNvSpPr/>
      </xdr:nvSpPr>
      <xdr:spPr>
        <a:xfrm>
          <a:off x="9228240" y="9224640"/>
          <a:ext cx="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9720</xdr:colOff>
      <xdr:row>511</xdr:row>
      <xdr:rowOff>18720</xdr:rowOff>
    </xdr:from>
    <xdr:to>
      <xdr:col>16</xdr:col>
      <xdr:colOff>192600</xdr:colOff>
      <xdr:row>511</xdr:row>
      <xdr:rowOff>18720</xdr:rowOff>
    </xdr:to>
    <xdr:sp macro="" textlink="">
      <xdr:nvSpPr>
        <xdr:cNvPr id="426" name="Прямая соединительная линия 920">
          <a:extLst>
            <a:ext uri="{FF2B5EF4-FFF2-40B4-BE49-F238E27FC236}">
              <a16:creationId xmlns:a16="http://schemas.microsoft.com/office/drawing/2014/main" id="{00000000-0008-0000-0200-0000AA010000}"/>
            </a:ext>
          </a:extLst>
        </xdr:cNvPr>
        <xdr:cNvSpPr/>
      </xdr:nvSpPr>
      <xdr:spPr>
        <a:xfrm flipH="1">
          <a:off x="7191720" y="9243360"/>
          <a:ext cx="20365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9</xdr:col>
      <xdr:colOff>152280</xdr:colOff>
      <xdr:row>511</xdr:row>
      <xdr:rowOff>66600</xdr:rowOff>
    </xdr:from>
    <xdr:to>
      <xdr:col>14</xdr:col>
      <xdr:colOff>95040</xdr:colOff>
      <xdr:row>511</xdr:row>
      <xdr:rowOff>66600</xdr:rowOff>
    </xdr:to>
    <xdr:sp macro="" textlink="">
      <xdr:nvSpPr>
        <xdr:cNvPr id="427" name="Прямая соединительная линия 921">
          <a:extLst>
            <a:ext uri="{FF2B5EF4-FFF2-40B4-BE49-F238E27FC236}">
              <a16:creationId xmlns:a16="http://schemas.microsoft.com/office/drawing/2014/main" id="{00000000-0008-0000-0200-0000AB010000}"/>
            </a:ext>
          </a:extLst>
        </xdr:cNvPr>
        <xdr:cNvSpPr/>
      </xdr:nvSpPr>
      <xdr:spPr>
        <a:xfrm flipH="1">
          <a:off x="7841160" y="9291240"/>
          <a:ext cx="905040" cy="0"/>
        </a:xfrm>
        <a:prstGeom prst="line">
          <a:avLst/>
        </a:prstGeom>
        <a:ln w="38100">
          <a:solidFill>
            <a:srgbClr val="1F497D">
              <a:lumMod val="60000"/>
              <a:lumOff val="4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9720</xdr:colOff>
      <xdr:row>511</xdr:row>
      <xdr:rowOff>123480</xdr:rowOff>
    </xdr:from>
    <xdr:to>
      <xdr:col>16</xdr:col>
      <xdr:colOff>192600</xdr:colOff>
      <xdr:row>511</xdr:row>
      <xdr:rowOff>123480</xdr:rowOff>
    </xdr:to>
    <xdr:sp macro="" textlink="">
      <xdr:nvSpPr>
        <xdr:cNvPr id="428" name="Прямая соединительная линия 922">
          <a:extLst>
            <a:ext uri="{FF2B5EF4-FFF2-40B4-BE49-F238E27FC236}">
              <a16:creationId xmlns:a16="http://schemas.microsoft.com/office/drawing/2014/main" id="{00000000-0008-0000-0200-0000AC010000}"/>
            </a:ext>
          </a:extLst>
        </xdr:cNvPr>
        <xdr:cNvSpPr/>
      </xdr:nvSpPr>
      <xdr:spPr>
        <a:xfrm flipH="1">
          <a:off x="7191720" y="9348120"/>
          <a:ext cx="20365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419040</xdr:colOff>
      <xdr:row>511</xdr:row>
      <xdr:rowOff>19080</xdr:rowOff>
    </xdr:from>
    <xdr:to>
      <xdr:col>6</xdr:col>
      <xdr:colOff>419040</xdr:colOff>
      <xdr:row>511</xdr:row>
      <xdr:rowOff>152640</xdr:rowOff>
    </xdr:to>
    <xdr:sp macro="" textlink="">
      <xdr:nvSpPr>
        <xdr:cNvPr id="429" name="Прямая соединительная линия 924">
          <a:extLst>
            <a:ext uri="{FF2B5EF4-FFF2-40B4-BE49-F238E27FC236}">
              <a16:creationId xmlns:a16="http://schemas.microsoft.com/office/drawing/2014/main" id="{00000000-0008-0000-0200-0000AD010000}"/>
            </a:ext>
          </a:extLst>
        </xdr:cNvPr>
        <xdr:cNvSpPr/>
      </xdr:nvSpPr>
      <xdr:spPr>
        <a:xfrm>
          <a:off x="6953760" y="9243360"/>
          <a:ext cx="0" cy="13356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209520</xdr:colOff>
      <xdr:row>511</xdr:row>
      <xdr:rowOff>28440</xdr:rowOff>
    </xdr:from>
    <xdr:to>
      <xdr:col>17</xdr:col>
      <xdr:colOff>209520</xdr:colOff>
      <xdr:row>511</xdr:row>
      <xdr:rowOff>161640</xdr:rowOff>
    </xdr:to>
    <xdr:sp macro="" textlink="">
      <xdr:nvSpPr>
        <xdr:cNvPr id="430" name="Прямая соединительная линия 925">
          <a:extLst>
            <a:ext uri="{FF2B5EF4-FFF2-40B4-BE49-F238E27FC236}">
              <a16:creationId xmlns:a16="http://schemas.microsoft.com/office/drawing/2014/main" id="{00000000-0008-0000-0200-0000AE010000}"/>
            </a:ext>
          </a:extLst>
        </xdr:cNvPr>
        <xdr:cNvSpPr/>
      </xdr:nvSpPr>
      <xdr:spPr>
        <a:xfrm>
          <a:off x="9437760" y="925308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409320</xdr:colOff>
      <xdr:row>511</xdr:row>
      <xdr:rowOff>28440</xdr:rowOff>
    </xdr:from>
    <xdr:to>
      <xdr:col>17</xdr:col>
      <xdr:colOff>218880</xdr:colOff>
      <xdr:row>511</xdr:row>
      <xdr:rowOff>28440</xdr:rowOff>
    </xdr:to>
    <xdr:sp macro="" textlink="">
      <xdr:nvSpPr>
        <xdr:cNvPr id="431" name="Прямая соединительная линия 926">
          <a:extLst>
            <a:ext uri="{FF2B5EF4-FFF2-40B4-BE49-F238E27FC236}">
              <a16:creationId xmlns:a16="http://schemas.microsoft.com/office/drawing/2014/main" id="{00000000-0008-0000-0200-0000AF010000}"/>
            </a:ext>
          </a:extLst>
        </xdr:cNvPr>
        <xdr:cNvSpPr/>
      </xdr:nvSpPr>
      <xdr:spPr>
        <a:xfrm>
          <a:off x="6944040" y="9253080"/>
          <a:ext cx="250308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419040</xdr:colOff>
      <xdr:row>511</xdr:row>
      <xdr:rowOff>142560</xdr:rowOff>
    </xdr:from>
    <xdr:to>
      <xdr:col>17</xdr:col>
      <xdr:colOff>228600</xdr:colOff>
      <xdr:row>511</xdr:row>
      <xdr:rowOff>142560</xdr:rowOff>
    </xdr:to>
    <xdr:sp macro="" textlink="">
      <xdr:nvSpPr>
        <xdr:cNvPr id="432" name="Прямая соединительная линия 927">
          <a:extLst>
            <a:ext uri="{FF2B5EF4-FFF2-40B4-BE49-F238E27FC236}">
              <a16:creationId xmlns:a16="http://schemas.microsoft.com/office/drawing/2014/main" id="{00000000-0008-0000-0200-0000B0010000}"/>
            </a:ext>
          </a:extLst>
        </xdr:cNvPr>
        <xdr:cNvSpPr/>
      </xdr:nvSpPr>
      <xdr:spPr>
        <a:xfrm>
          <a:off x="6953760" y="9367200"/>
          <a:ext cx="250308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11</xdr:col>
      <xdr:colOff>142560</xdr:colOff>
      <xdr:row>511</xdr:row>
      <xdr:rowOff>28440</xdr:rowOff>
    </xdr:from>
    <xdr:to>
      <xdr:col>11</xdr:col>
      <xdr:colOff>142560</xdr:colOff>
      <xdr:row>511</xdr:row>
      <xdr:rowOff>161640</xdr:rowOff>
    </xdr:to>
    <xdr:sp macro="" textlink="">
      <xdr:nvSpPr>
        <xdr:cNvPr id="433" name="Прямая соединительная линия 928">
          <a:extLst>
            <a:ext uri="{FF2B5EF4-FFF2-40B4-BE49-F238E27FC236}">
              <a16:creationId xmlns:a16="http://schemas.microsoft.com/office/drawing/2014/main" id="{00000000-0008-0000-0200-0000B1010000}"/>
            </a:ext>
          </a:extLst>
        </xdr:cNvPr>
        <xdr:cNvSpPr/>
      </xdr:nvSpPr>
      <xdr:spPr>
        <a:xfrm>
          <a:off x="8216280" y="925308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18360</xdr:colOff>
      <xdr:row>511</xdr:row>
      <xdr:rowOff>0</xdr:rowOff>
    </xdr:from>
    <xdr:to>
      <xdr:col>19</xdr:col>
      <xdr:colOff>122760</xdr:colOff>
      <xdr:row>511</xdr:row>
      <xdr:rowOff>360</xdr:rowOff>
    </xdr:to>
    <xdr:sp macro="" textlink="">
      <xdr:nvSpPr>
        <xdr:cNvPr id="434" name="Прямая со стрелкой 929">
          <a:extLst>
            <a:ext uri="{FF2B5EF4-FFF2-40B4-BE49-F238E27FC236}">
              <a16:creationId xmlns:a16="http://schemas.microsoft.com/office/drawing/2014/main" id="{00000000-0008-0000-0200-0000B2010000}"/>
            </a:ext>
          </a:extLst>
        </xdr:cNvPr>
        <xdr:cNvSpPr/>
      </xdr:nvSpPr>
      <xdr:spPr>
        <a:xfrm flipH="1">
          <a:off x="9246600" y="9224640"/>
          <a:ext cx="617400" cy="3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228600</xdr:colOff>
      <xdr:row>511</xdr:row>
      <xdr:rowOff>57240</xdr:rowOff>
    </xdr:from>
    <xdr:to>
      <xdr:col>19</xdr:col>
      <xdr:colOff>104400</xdr:colOff>
      <xdr:row>511</xdr:row>
      <xdr:rowOff>57600</xdr:rowOff>
    </xdr:to>
    <xdr:sp macro="" textlink="">
      <xdr:nvSpPr>
        <xdr:cNvPr id="435" name="Прямая со стрелкой 930">
          <a:extLst>
            <a:ext uri="{FF2B5EF4-FFF2-40B4-BE49-F238E27FC236}">
              <a16:creationId xmlns:a16="http://schemas.microsoft.com/office/drawing/2014/main" id="{00000000-0008-0000-0200-0000B3010000}"/>
            </a:ext>
          </a:extLst>
        </xdr:cNvPr>
        <xdr:cNvSpPr/>
      </xdr:nvSpPr>
      <xdr:spPr>
        <a:xfrm flipH="1">
          <a:off x="9456840" y="9281880"/>
          <a:ext cx="388800" cy="3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600120</xdr:colOff>
      <xdr:row>511</xdr:row>
      <xdr:rowOff>123480</xdr:rowOff>
    </xdr:from>
    <xdr:to>
      <xdr:col>10</xdr:col>
      <xdr:colOff>192600</xdr:colOff>
      <xdr:row>511</xdr:row>
      <xdr:rowOff>123480</xdr:rowOff>
    </xdr:to>
    <xdr:sp macro="" textlink="">
      <xdr:nvSpPr>
        <xdr:cNvPr id="436" name="Прямая соединительная линия 937">
          <a:extLst>
            <a:ext uri="{FF2B5EF4-FFF2-40B4-BE49-F238E27FC236}">
              <a16:creationId xmlns:a16="http://schemas.microsoft.com/office/drawing/2014/main" id="{00000000-0008-0000-0200-0000B4010000}"/>
            </a:ext>
          </a:extLst>
        </xdr:cNvPr>
        <xdr:cNvSpPr/>
      </xdr:nvSpPr>
      <xdr:spPr>
        <a:xfrm flipH="1">
          <a:off x="7134480" y="9348120"/>
          <a:ext cx="939240" cy="0"/>
        </a:xfrm>
        <a:prstGeom prst="line">
          <a:avLst/>
        </a:prstGeom>
        <a:ln w="38100">
          <a:solidFill>
            <a:srgbClr val="1F497D">
              <a:lumMod val="60000"/>
              <a:lumOff val="4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9360</xdr:colOff>
      <xdr:row>511</xdr:row>
      <xdr:rowOff>0</xdr:rowOff>
    </xdr:from>
    <xdr:to>
      <xdr:col>7</xdr:col>
      <xdr:colOff>9360</xdr:colOff>
      <xdr:row>511</xdr:row>
      <xdr:rowOff>133200</xdr:rowOff>
    </xdr:to>
    <xdr:sp macro="" textlink="">
      <xdr:nvSpPr>
        <xdr:cNvPr id="437" name="Прямая соединительная линия 938">
          <a:extLst>
            <a:ext uri="{FF2B5EF4-FFF2-40B4-BE49-F238E27FC236}">
              <a16:creationId xmlns:a16="http://schemas.microsoft.com/office/drawing/2014/main" id="{00000000-0008-0000-0200-0000B5010000}"/>
            </a:ext>
          </a:extLst>
        </xdr:cNvPr>
        <xdr:cNvSpPr/>
      </xdr:nvSpPr>
      <xdr:spPr>
        <a:xfrm>
          <a:off x="7191720" y="9224640"/>
          <a:ext cx="0" cy="133200"/>
        </a:xfrm>
        <a:prstGeom prst="line">
          <a:avLst/>
        </a:prstGeom>
        <a:ln w="38100">
          <a:solidFill>
            <a:srgbClr val="1F497D">
              <a:lumMod val="60000"/>
              <a:lumOff val="4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362160</xdr:colOff>
      <xdr:row>511</xdr:row>
      <xdr:rowOff>0</xdr:rowOff>
    </xdr:from>
    <xdr:to>
      <xdr:col>6</xdr:col>
      <xdr:colOff>362520</xdr:colOff>
      <xdr:row>511</xdr:row>
      <xdr:rowOff>75960</xdr:rowOff>
    </xdr:to>
    <xdr:sp macro="" textlink="">
      <xdr:nvSpPr>
        <xdr:cNvPr id="438" name="Прямая со стрелкой 942">
          <a:extLst>
            <a:ext uri="{FF2B5EF4-FFF2-40B4-BE49-F238E27FC236}">
              <a16:creationId xmlns:a16="http://schemas.microsoft.com/office/drawing/2014/main" id="{00000000-0008-0000-0200-0000B6010000}"/>
            </a:ext>
          </a:extLst>
        </xdr:cNvPr>
        <xdr:cNvSpPr/>
      </xdr:nvSpPr>
      <xdr:spPr>
        <a:xfrm flipV="1">
          <a:off x="6896520" y="9223920"/>
          <a:ext cx="360" cy="759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590400</xdr:colOff>
      <xdr:row>511</xdr:row>
      <xdr:rowOff>76320</xdr:rowOff>
    </xdr:from>
    <xdr:to>
      <xdr:col>10</xdr:col>
      <xdr:colOff>123480</xdr:colOff>
      <xdr:row>511</xdr:row>
      <xdr:rowOff>76680</xdr:rowOff>
    </xdr:to>
    <xdr:sp macro="" textlink="">
      <xdr:nvSpPr>
        <xdr:cNvPr id="439" name="Прямая со стрелкой 944">
          <a:extLst>
            <a:ext uri="{FF2B5EF4-FFF2-40B4-BE49-F238E27FC236}">
              <a16:creationId xmlns:a16="http://schemas.microsoft.com/office/drawing/2014/main" id="{00000000-0008-0000-0200-0000B7010000}"/>
            </a:ext>
          </a:extLst>
        </xdr:cNvPr>
        <xdr:cNvSpPr/>
      </xdr:nvSpPr>
      <xdr:spPr>
        <a:xfrm>
          <a:off x="7125120" y="9300960"/>
          <a:ext cx="879840" cy="3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9360</xdr:colOff>
      <xdr:row>616</xdr:row>
      <xdr:rowOff>0</xdr:rowOff>
    </xdr:from>
    <xdr:to>
      <xdr:col>7</xdr:col>
      <xdr:colOff>9360</xdr:colOff>
      <xdr:row>616</xdr:row>
      <xdr:rowOff>133200</xdr:rowOff>
    </xdr:to>
    <xdr:sp macro="" textlink="">
      <xdr:nvSpPr>
        <xdr:cNvPr id="440" name="Прямая соединительная линия 950">
          <a:extLst>
            <a:ext uri="{FF2B5EF4-FFF2-40B4-BE49-F238E27FC236}">
              <a16:creationId xmlns:a16="http://schemas.microsoft.com/office/drawing/2014/main" id="{00000000-0008-0000-0200-0000B8010000}"/>
            </a:ext>
          </a:extLst>
        </xdr:cNvPr>
        <xdr:cNvSpPr/>
      </xdr:nvSpPr>
      <xdr:spPr>
        <a:xfrm>
          <a:off x="7191720" y="9583920"/>
          <a:ext cx="0" cy="1332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0</xdr:colOff>
      <xdr:row>616</xdr:row>
      <xdr:rowOff>0</xdr:rowOff>
    </xdr:from>
    <xdr:to>
      <xdr:col>17</xdr:col>
      <xdr:colOff>0</xdr:colOff>
      <xdr:row>616</xdr:row>
      <xdr:rowOff>142560</xdr:rowOff>
    </xdr:to>
    <xdr:sp macro="" textlink="">
      <xdr:nvSpPr>
        <xdr:cNvPr id="441" name="Прямая соединительная линия 951">
          <a:extLst>
            <a:ext uri="{FF2B5EF4-FFF2-40B4-BE49-F238E27FC236}">
              <a16:creationId xmlns:a16="http://schemas.microsoft.com/office/drawing/2014/main" id="{00000000-0008-0000-0200-0000B9010000}"/>
            </a:ext>
          </a:extLst>
        </xdr:cNvPr>
        <xdr:cNvSpPr/>
      </xdr:nvSpPr>
      <xdr:spPr>
        <a:xfrm>
          <a:off x="9228240" y="9583920"/>
          <a:ext cx="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9720</xdr:colOff>
      <xdr:row>616</xdr:row>
      <xdr:rowOff>18720</xdr:rowOff>
    </xdr:from>
    <xdr:to>
      <xdr:col>16</xdr:col>
      <xdr:colOff>192600</xdr:colOff>
      <xdr:row>616</xdr:row>
      <xdr:rowOff>18720</xdr:rowOff>
    </xdr:to>
    <xdr:sp macro="" textlink="">
      <xdr:nvSpPr>
        <xdr:cNvPr id="442" name="Прямая соединительная линия 952">
          <a:extLst>
            <a:ext uri="{FF2B5EF4-FFF2-40B4-BE49-F238E27FC236}">
              <a16:creationId xmlns:a16="http://schemas.microsoft.com/office/drawing/2014/main" id="{00000000-0008-0000-0200-0000BA010000}"/>
            </a:ext>
          </a:extLst>
        </xdr:cNvPr>
        <xdr:cNvSpPr/>
      </xdr:nvSpPr>
      <xdr:spPr>
        <a:xfrm flipH="1">
          <a:off x="7191720" y="9602640"/>
          <a:ext cx="20365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0</xdr:colOff>
      <xdr:row>616</xdr:row>
      <xdr:rowOff>152280</xdr:rowOff>
    </xdr:from>
    <xdr:to>
      <xdr:col>11</xdr:col>
      <xdr:colOff>9360</xdr:colOff>
      <xdr:row>616</xdr:row>
      <xdr:rowOff>152280</xdr:rowOff>
    </xdr:to>
    <xdr:sp macro="" textlink="">
      <xdr:nvSpPr>
        <xdr:cNvPr id="443" name="Прямая соединительная линия 953">
          <a:extLst>
            <a:ext uri="{FF2B5EF4-FFF2-40B4-BE49-F238E27FC236}">
              <a16:creationId xmlns:a16="http://schemas.microsoft.com/office/drawing/2014/main" id="{00000000-0008-0000-0200-0000BB010000}"/>
            </a:ext>
          </a:extLst>
        </xdr:cNvPr>
        <xdr:cNvSpPr/>
      </xdr:nvSpPr>
      <xdr:spPr>
        <a:xfrm flipH="1">
          <a:off x="7182360" y="9736200"/>
          <a:ext cx="9007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10</xdr:col>
      <xdr:colOff>161640</xdr:colOff>
      <xdr:row>616</xdr:row>
      <xdr:rowOff>123480</xdr:rowOff>
    </xdr:from>
    <xdr:to>
      <xdr:col>16</xdr:col>
      <xdr:colOff>192240</xdr:colOff>
      <xdr:row>616</xdr:row>
      <xdr:rowOff>123480</xdr:rowOff>
    </xdr:to>
    <xdr:sp macro="" textlink="">
      <xdr:nvSpPr>
        <xdr:cNvPr id="444" name="Прямая соединительная линия 954">
          <a:extLst>
            <a:ext uri="{FF2B5EF4-FFF2-40B4-BE49-F238E27FC236}">
              <a16:creationId xmlns:a16="http://schemas.microsoft.com/office/drawing/2014/main" id="{00000000-0008-0000-0200-0000BC010000}"/>
            </a:ext>
          </a:extLst>
        </xdr:cNvPr>
        <xdr:cNvSpPr/>
      </xdr:nvSpPr>
      <xdr:spPr>
        <a:xfrm flipH="1">
          <a:off x="8043120" y="9707400"/>
          <a:ext cx="11851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419040</xdr:colOff>
      <xdr:row>616</xdr:row>
      <xdr:rowOff>19080</xdr:rowOff>
    </xdr:from>
    <xdr:to>
      <xdr:col>6</xdr:col>
      <xdr:colOff>419040</xdr:colOff>
      <xdr:row>616</xdr:row>
      <xdr:rowOff>152640</xdr:rowOff>
    </xdr:to>
    <xdr:sp macro="" textlink="">
      <xdr:nvSpPr>
        <xdr:cNvPr id="445" name="Прямая соединительная линия 956">
          <a:extLst>
            <a:ext uri="{FF2B5EF4-FFF2-40B4-BE49-F238E27FC236}">
              <a16:creationId xmlns:a16="http://schemas.microsoft.com/office/drawing/2014/main" id="{00000000-0008-0000-0200-0000BD010000}"/>
            </a:ext>
          </a:extLst>
        </xdr:cNvPr>
        <xdr:cNvSpPr/>
      </xdr:nvSpPr>
      <xdr:spPr>
        <a:xfrm>
          <a:off x="6953760" y="9602640"/>
          <a:ext cx="0" cy="13356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209520</xdr:colOff>
      <xdr:row>616</xdr:row>
      <xdr:rowOff>28440</xdr:rowOff>
    </xdr:from>
    <xdr:to>
      <xdr:col>17</xdr:col>
      <xdr:colOff>209520</xdr:colOff>
      <xdr:row>616</xdr:row>
      <xdr:rowOff>161640</xdr:rowOff>
    </xdr:to>
    <xdr:sp macro="" textlink="">
      <xdr:nvSpPr>
        <xdr:cNvPr id="446" name="Прямая соединительная линия 957">
          <a:extLst>
            <a:ext uri="{FF2B5EF4-FFF2-40B4-BE49-F238E27FC236}">
              <a16:creationId xmlns:a16="http://schemas.microsoft.com/office/drawing/2014/main" id="{00000000-0008-0000-0200-0000BE010000}"/>
            </a:ext>
          </a:extLst>
        </xdr:cNvPr>
        <xdr:cNvSpPr/>
      </xdr:nvSpPr>
      <xdr:spPr>
        <a:xfrm>
          <a:off x="9437760" y="961236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409320</xdr:colOff>
      <xdr:row>616</xdr:row>
      <xdr:rowOff>28440</xdr:rowOff>
    </xdr:from>
    <xdr:to>
      <xdr:col>17</xdr:col>
      <xdr:colOff>218880</xdr:colOff>
      <xdr:row>616</xdr:row>
      <xdr:rowOff>28440</xdr:rowOff>
    </xdr:to>
    <xdr:sp macro="" textlink="">
      <xdr:nvSpPr>
        <xdr:cNvPr id="447" name="Прямая соединительная линия 958">
          <a:extLst>
            <a:ext uri="{FF2B5EF4-FFF2-40B4-BE49-F238E27FC236}">
              <a16:creationId xmlns:a16="http://schemas.microsoft.com/office/drawing/2014/main" id="{00000000-0008-0000-0200-0000BF010000}"/>
            </a:ext>
          </a:extLst>
        </xdr:cNvPr>
        <xdr:cNvSpPr/>
      </xdr:nvSpPr>
      <xdr:spPr>
        <a:xfrm>
          <a:off x="6944040" y="9612360"/>
          <a:ext cx="250308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419040</xdr:colOff>
      <xdr:row>616</xdr:row>
      <xdr:rowOff>142560</xdr:rowOff>
    </xdr:from>
    <xdr:to>
      <xdr:col>17</xdr:col>
      <xdr:colOff>228600</xdr:colOff>
      <xdr:row>616</xdr:row>
      <xdr:rowOff>142560</xdr:rowOff>
    </xdr:to>
    <xdr:sp macro="" textlink="">
      <xdr:nvSpPr>
        <xdr:cNvPr id="448" name="Прямая соединительная линия 959">
          <a:extLst>
            <a:ext uri="{FF2B5EF4-FFF2-40B4-BE49-F238E27FC236}">
              <a16:creationId xmlns:a16="http://schemas.microsoft.com/office/drawing/2014/main" id="{00000000-0008-0000-0200-0000C0010000}"/>
            </a:ext>
          </a:extLst>
        </xdr:cNvPr>
        <xdr:cNvSpPr/>
      </xdr:nvSpPr>
      <xdr:spPr>
        <a:xfrm>
          <a:off x="6953760" y="9726480"/>
          <a:ext cx="250308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11</xdr:col>
      <xdr:colOff>142560</xdr:colOff>
      <xdr:row>616</xdr:row>
      <xdr:rowOff>28440</xdr:rowOff>
    </xdr:from>
    <xdr:to>
      <xdr:col>11</xdr:col>
      <xdr:colOff>142560</xdr:colOff>
      <xdr:row>616</xdr:row>
      <xdr:rowOff>161640</xdr:rowOff>
    </xdr:to>
    <xdr:sp macro="" textlink="">
      <xdr:nvSpPr>
        <xdr:cNvPr id="449" name="Прямая соединительная линия 960">
          <a:extLst>
            <a:ext uri="{FF2B5EF4-FFF2-40B4-BE49-F238E27FC236}">
              <a16:creationId xmlns:a16="http://schemas.microsoft.com/office/drawing/2014/main" id="{00000000-0008-0000-0200-0000C1010000}"/>
            </a:ext>
          </a:extLst>
        </xdr:cNvPr>
        <xdr:cNvSpPr/>
      </xdr:nvSpPr>
      <xdr:spPr>
        <a:xfrm>
          <a:off x="8216280" y="961236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18360</xdr:colOff>
      <xdr:row>616</xdr:row>
      <xdr:rowOff>0</xdr:rowOff>
    </xdr:from>
    <xdr:to>
      <xdr:col>19</xdr:col>
      <xdr:colOff>122760</xdr:colOff>
      <xdr:row>616</xdr:row>
      <xdr:rowOff>360</xdr:rowOff>
    </xdr:to>
    <xdr:sp macro="" textlink="">
      <xdr:nvSpPr>
        <xdr:cNvPr id="450" name="Прямая со стрелкой 961">
          <a:extLst>
            <a:ext uri="{FF2B5EF4-FFF2-40B4-BE49-F238E27FC236}">
              <a16:creationId xmlns:a16="http://schemas.microsoft.com/office/drawing/2014/main" id="{00000000-0008-0000-0200-0000C2010000}"/>
            </a:ext>
          </a:extLst>
        </xdr:cNvPr>
        <xdr:cNvSpPr/>
      </xdr:nvSpPr>
      <xdr:spPr>
        <a:xfrm flipH="1">
          <a:off x="9246600" y="9583920"/>
          <a:ext cx="617400" cy="3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17</xdr:col>
      <xdr:colOff>228600</xdr:colOff>
      <xdr:row>616</xdr:row>
      <xdr:rowOff>57240</xdr:rowOff>
    </xdr:from>
    <xdr:to>
      <xdr:col>19</xdr:col>
      <xdr:colOff>104400</xdr:colOff>
      <xdr:row>616</xdr:row>
      <xdr:rowOff>57600</xdr:rowOff>
    </xdr:to>
    <xdr:sp macro="" textlink="">
      <xdr:nvSpPr>
        <xdr:cNvPr id="451" name="Прямая со стрелкой 962">
          <a:extLst>
            <a:ext uri="{FF2B5EF4-FFF2-40B4-BE49-F238E27FC236}">
              <a16:creationId xmlns:a16="http://schemas.microsoft.com/office/drawing/2014/main" id="{00000000-0008-0000-0200-0000C3010000}"/>
            </a:ext>
          </a:extLst>
        </xdr:cNvPr>
        <xdr:cNvSpPr/>
      </xdr:nvSpPr>
      <xdr:spPr>
        <a:xfrm flipH="1">
          <a:off x="9456840" y="9641160"/>
          <a:ext cx="388800" cy="3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600120</xdr:colOff>
      <xdr:row>616</xdr:row>
      <xdr:rowOff>123480</xdr:rowOff>
    </xdr:from>
    <xdr:to>
      <xdr:col>10</xdr:col>
      <xdr:colOff>192600</xdr:colOff>
      <xdr:row>616</xdr:row>
      <xdr:rowOff>123480</xdr:rowOff>
    </xdr:to>
    <xdr:sp macro="" textlink="">
      <xdr:nvSpPr>
        <xdr:cNvPr id="452" name="Прямая соединительная линия 963">
          <a:extLst>
            <a:ext uri="{FF2B5EF4-FFF2-40B4-BE49-F238E27FC236}">
              <a16:creationId xmlns:a16="http://schemas.microsoft.com/office/drawing/2014/main" id="{00000000-0008-0000-0200-0000C4010000}"/>
            </a:ext>
          </a:extLst>
        </xdr:cNvPr>
        <xdr:cNvSpPr/>
      </xdr:nvSpPr>
      <xdr:spPr>
        <a:xfrm flipH="1">
          <a:off x="7134480" y="9707400"/>
          <a:ext cx="939240" cy="0"/>
        </a:xfrm>
        <a:prstGeom prst="line">
          <a:avLst/>
        </a:prstGeom>
        <a:ln w="38100">
          <a:solidFill>
            <a:srgbClr val="1F497D">
              <a:lumMod val="60000"/>
              <a:lumOff val="4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9360</xdr:colOff>
      <xdr:row>616</xdr:row>
      <xdr:rowOff>0</xdr:rowOff>
    </xdr:from>
    <xdr:to>
      <xdr:col>7</xdr:col>
      <xdr:colOff>9360</xdr:colOff>
      <xdr:row>616</xdr:row>
      <xdr:rowOff>133200</xdr:rowOff>
    </xdr:to>
    <xdr:sp macro="" textlink="">
      <xdr:nvSpPr>
        <xdr:cNvPr id="453" name="Прямая соединительная линия 964">
          <a:extLst>
            <a:ext uri="{FF2B5EF4-FFF2-40B4-BE49-F238E27FC236}">
              <a16:creationId xmlns:a16="http://schemas.microsoft.com/office/drawing/2014/main" id="{00000000-0008-0000-0200-0000C5010000}"/>
            </a:ext>
          </a:extLst>
        </xdr:cNvPr>
        <xdr:cNvSpPr/>
      </xdr:nvSpPr>
      <xdr:spPr>
        <a:xfrm>
          <a:off x="7191720" y="9583920"/>
          <a:ext cx="0" cy="133200"/>
        </a:xfrm>
        <a:prstGeom prst="line">
          <a:avLst/>
        </a:prstGeom>
        <a:ln w="38100">
          <a:solidFill>
            <a:srgbClr val="1F497D">
              <a:lumMod val="60000"/>
              <a:lumOff val="4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362160</xdr:colOff>
      <xdr:row>616</xdr:row>
      <xdr:rowOff>0</xdr:rowOff>
    </xdr:from>
    <xdr:to>
      <xdr:col>6</xdr:col>
      <xdr:colOff>362520</xdr:colOff>
      <xdr:row>616</xdr:row>
      <xdr:rowOff>75960</xdr:rowOff>
    </xdr:to>
    <xdr:sp macro="" textlink="">
      <xdr:nvSpPr>
        <xdr:cNvPr id="454" name="Прямая со стрелкой 965">
          <a:extLst>
            <a:ext uri="{FF2B5EF4-FFF2-40B4-BE49-F238E27FC236}">
              <a16:creationId xmlns:a16="http://schemas.microsoft.com/office/drawing/2014/main" id="{00000000-0008-0000-0200-0000C6010000}"/>
            </a:ext>
          </a:extLst>
        </xdr:cNvPr>
        <xdr:cNvSpPr/>
      </xdr:nvSpPr>
      <xdr:spPr>
        <a:xfrm flipV="1">
          <a:off x="6896520" y="9583200"/>
          <a:ext cx="360" cy="759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6</xdr:col>
      <xdr:colOff>590400</xdr:colOff>
      <xdr:row>616</xdr:row>
      <xdr:rowOff>76320</xdr:rowOff>
    </xdr:from>
    <xdr:to>
      <xdr:col>10</xdr:col>
      <xdr:colOff>123480</xdr:colOff>
      <xdr:row>616</xdr:row>
      <xdr:rowOff>76680</xdr:rowOff>
    </xdr:to>
    <xdr:sp macro="" textlink="">
      <xdr:nvSpPr>
        <xdr:cNvPr id="455" name="Прямая со стрелкой 966">
          <a:extLst>
            <a:ext uri="{FF2B5EF4-FFF2-40B4-BE49-F238E27FC236}">
              <a16:creationId xmlns:a16="http://schemas.microsoft.com/office/drawing/2014/main" id="{00000000-0008-0000-0200-0000C7010000}"/>
            </a:ext>
          </a:extLst>
        </xdr:cNvPr>
        <xdr:cNvSpPr/>
      </xdr:nvSpPr>
      <xdr:spPr>
        <a:xfrm>
          <a:off x="7125120" y="9660240"/>
          <a:ext cx="879840" cy="36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4</xdr:col>
      <xdr:colOff>142920</xdr:colOff>
      <xdr:row>990</xdr:row>
      <xdr:rowOff>9360</xdr:rowOff>
    </xdr:from>
    <xdr:to>
      <xdr:col>6</xdr:col>
      <xdr:colOff>580680</xdr:colOff>
      <xdr:row>990</xdr:row>
      <xdr:rowOff>28080</xdr:rowOff>
    </xdr:to>
    <xdr:sp macro="" textlink="">
      <xdr:nvSpPr>
        <xdr:cNvPr id="456" name="Соединительная линия уступом 853">
          <a:extLst>
            <a:ext uri="{FF2B5EF4-FFF2-40B4-BE49-F238E27FC236}">
              <a16:creationId xmlns:a16="http://schemas.microsoft.com/office/drawing/2014/main" id="{00000000-0008-0000-0200-0000C8010000}"/>
            </a:ext>
          </a:extLst>
        </xdr:cNvPr>
        <xdr:cNvSpPr/>
      </xdr:nvSpPr>
      <xdr:spPr>
        <a:xfrm flipV="1">
          <a:off x="5331240" y="11749680"/>
          <a:ext cx="1784160" cy="18720"/>
        </a:xfrm>
        <a:prstGeom prst="bentConnector3">
          <a:avLst>
            <a:gd name="adj1" fmla="val 71667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4</xdr:col>
      <xdr:colOff>276120</xdr:colOff>
      <xdr:row>990</xdr:row>
      <xdr:rowOff>9360</xdr:rowOff>
    </xdr:from>
    <xdr:to>
      <xdr:col>6</xdr:col>
      <xdr:colOff>513720</xdr:colOff>
      <xdr:row>990</xdr:row>
      <xdr:rowOff>47160</xdr:rowOff>
    </xdr:to>
    <xdr:sp macro="" textlink="">
      <xdr:nvSpPr>
        <xdr:cNvPr id="457" name="Соединительная линия уступом 858">
          <a:extLst>
            <a:ext uri="{FF2B5EF4-FFF2-40B4-BE49-F238E27FC236}">
              <a16:creationId xmlns:a16="http://schemas.microsoft.com/office/drawing/2014/main" id="{00000000-0008-0000-0200-0000C9010000}"/>
            </a:ext>
          </a:extLst>
        </xdr:cNvPr>
        <xdr:cNvSpPr/>
      </xdr:nvSpPr>
      <xdr:spPr>
        <a:xfrm flipV="1">
          <a:off x="5464440" y="11748960"/>
          <a:ext cx="1584000" cy="378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4</xdr:col>
      <xdr:colOff>352440</xdr:colOff>
      <xdr:row>990</xdr:row>
      <xdr:rowOff>28440</xdr:rowOff>
    </xdr:from>
    <xdr:to>
      <xdr:col>6</xdr:col>
      <xdr:colOff>590040</xdr:colOff>
      <xdr:row>990</xdr:row>
      <xdr:rowOff>28800</xdr:rowOff>
    </xdr:to>
    <xdr:sp macro="" textlink="">
      <xdr:nvSpPr>
        <xdr:cNvPr id="458" name="Соединительная линия уступом 861">
          <a:extLst>
            <a:ext uri="{FF2B5EF4-FFF2-40B4-BE49-F238E27FC236}">
              <a16:creationId xmlns:a16="http://schemas.microsoft.com/office/drawing/2014/main" id="{00000000-0008-0000-0200-0000CA010000}"/>
            </a:ext>
          </a:extLst>
        </xdr:cNvPr>
        <xdr:cNvSpPr/>
      </xdr:nvSpPr>
      <xdr:spPr>
        <a:xfrm>
          <a:off x="5540760" y="11768760"/>
          <a:ext cx="1584000" cy="3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4</xdr:col>
      <xdr:colOff>380880</xdr:colOff>
      <xdr:row>990</xdr:row>
      <xdr:rowOff>0</xdr:rowOff>
    </xdr:from>
    <xdr:to>
      <xdr:col>11</xdr:col>
      <xdr:colOff>94680</xdr:colOff>
      <xdr:row>990</xdr:row>
      <xdr:rowOff>28080</xdr:rowOff>
    </xdr:to>
    <xdr:sp macro="" textlink="">
      <xdr:nvSpPr>
        <xdr:cNvPr id="459" name="Соединительная линия уступом 863">
          <a:extLst>
            <a:ext uri="{FF2B5EF4-FFF2-40B4-BE49-F238E27FC236}">
              <a16:creationId xmlns:a16="http://schemas.microsoft.com/office/drawing/2014/main" id="{00000000-0008-0000-0200-0000CB010000}"/>
            </a:ext>
          </a:extLst>
        </xdr:cNvPr>
        <xdr:cNvSpPr/>
      </xdr:nvSpPr>
      <xdr:spPr>
        <a:xfrm flipV="1">
          <a:off x="5569200" y="11739960"/>
          <a:ext cx="2599200" cy="280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162000</xdr:colOff>
      <xdr:row>131</xdr:row>
      <xdr:rowOff>105120</xdr:rowOff>
    </xdr:from>
    <xdr:to>
      <xdr:col>10</xdr:col>
      <xdr:colOff>162000</xdr:colOff>
      <xdr:row>131</xdr:row>
      <xdr:rowOff>140040</xdr:rowOff>
    </xdr:to>
    <xdr:sp macro="" textlink="">
      <xdr:nvSpPr>
        <xdr:cNvPr id="460" name="Прямая соединительная линия 1">
          <a:extLst>
            <a:ext uri="{FF2B5EF4-FFF2-40B4-BE49-F238E27FC236}">
              <a16:creationId xmlns:a16="http://schemas.microsoft.com/office/drawing/2014/main" id="{00000000-0008-0000-0B00-0000CC010000}"/>
            </a:ext>
          </a:extLst>
        </xdr:cNvPr>
        <xdr:cNvSpPr/>
      </xdr:nvSpPr>
      <xdr:spPr>
        <a:xfrm flipH="1">
          <a:off x="9019800" y="26094960"/>
          <a:ext cx="600120" cy="349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20"/>
  <sheetViews>
    <sheetView zoomScale="60" zoomScaleNormal="60" workbookViewId="0">
      <selection activeCell="E16" sqref="E16"/>
    </sheetView>
  </sheetViews>
  <sheetFormatPr baseColWidth="10" defaultColWidth="9.1640625" defaultRowHeight="15"/>
  <cols>
    <col min="1" max="1024" width="9.1640625" style="15"/>
  </cols>
  <sheetData>
    <row r="1" spans="1:11" ht="15" customHeight="1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</row>
    <row r="2" spans="1:11" ht="15" customHeight="1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</row>
    <row r="3" spans="1:11" ht="15" customHeight="1">
      <c r="A3" s="13" t="s">
        <v>1</v>
      </c>
      <c r="B3" s="13"/>
      <c r="C3" s="13"/>
      <c r="D3" s="13"/>
      <c r="E3" s="13"/>
      <c r="F3" s="13"/>
      <c r="G3" s="13"/>
      <c r="H3" s="13"/>
      <c r="I3" s="13"/>
      <c r="J3" s="13"/>
      <c r="K3" s="13"/>
    </row>
    <row r="4" spans="1:11" ht="15" customHeight="1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</row>
    <row r="5" spans="1:11" ht="18.75" customHeight="1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</row>
    <row r="6" spans="1:11" ht="15" customHeight="1">
      <c r="A6" s="13" t="s">
        <v>2</v>
      </c>
      <c r="B6" s="13"/>
      <c r="C6" s="13"/>
      <c r="D6" s="13"/>
      <c r="E6" s="13"/>
      <c r="F6" s="13"/>
      <c r="G6" s="13"/>
      <c r="H6" s="13"/>
      <c r="I6" s="13"/>
      <c r="J6" s="13"/>
      <c r="K6" s="13"/>
    </row>
    <row r="7" spans="1:11" ht="15" customHeight="1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1:11" ht="18.7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</row>
    <row r="9" spans="1:11" ht="18.75" customHeight="1">
      <c r="A9" s="13" t="s">
        <v>3</v>
      </c>
      <c r="B9" s="13"/>
      <c r="C9" s="13"/>
      <c r="D9" s="13"/>
      <c r="E9" s="13"/>
      <c r="F9" s="13"/>
      <c r="G9" s="13"/>
      <c r="H9" s="13"/>
      <c r="I9" s="13"/>
      <c r="J9" s="13"/>
      <c r="K9" s="13"/>
    </row>
    <row r="10" spans="1:11" ht="18.75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</row>
    <row r="11" spans="1:11" ht="18.75" customHeight="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</row>
    <row r="12" spans="1:11" ht="18.75" customHeight="1"/>
    <row r="13" spans="1:11" ht="18.75" customHeight="1"/>
    <row r="14" spans="1:11" ht="18.75" customHeight="1"/>
    <row r="15" spans="1:11" ht="18.75" customHeight="1"/>
    <row r="16" spans="1:11" ht="18.75" customHeight="1"/>
    <row r="17" ht="18.75" customHeight="1"/>
    <row r="18" ht="15" customHeight="1"/>
    <row r="19" ht="15" customHeight="1"/>
    <row r="20" ht="15" customHeight="1"/>
  </sheetData>
  <sheetProtection password="EBED" sheet="1" objects="1" scenarios="1"/>
  <mergeCells count="4">
    <mergeCell ref="A1:K2"/>
    <mergeCell ref="A3:K5"/>
    <mergeCell ref="A6:K8"/>
    <mergeCell ref="A9:K11"/>
  </mergeCells>
  <pageMargins left="0.7" right="0.7" top="0.75" bottom="0.75" header="0.51180555555555496" footer="0.51180555555555496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AMJ3045"/>
  <sheetViews>
    <sheetView topLeftCell="A68" zoomScale="60" zoomScaleNormal="60" workbookViewId="0">
      <selection activeCell="F1274" sqref="F1274"/>
    </sheetView>
  </sheetViews>
  <sheetFormatPr baseColWidth="10" defaultColWidth="9.1640625" defaultRowHeight="16" outlineLevelRow="1"/>
  <cols>
    <col min="1" max="1" width="20" style="16" customWidth="1"/>
    <col min="2" max="2" width="65.83203125" style="17" customWidth="1"/>
    <col min="3" max="3" width="10.6640625" style="18" customWidth="1"/>
    <col min="4" max="4" width="26.5" style="19" customWidth="1"/>
    <col min="5" max="5" width="11.1640625" style="19" customWidth="1"/>
    <col min="6" max="6" width="12.6640625" style="20" customWidth="1"/>
    <col min="7" max="7" width="15.33203125" style="20" customWidth="1"/>
    <col min="8" max="8" width="18.33203125" style="16" customWidth="1"/>
    <col min="9" max="9" width="16.1640625" style="16" customWidth="1"/>
    <col min="10" max="1024" width="9.1640625" style="16"/>
  </cols>
  <sheetData>
    <row r="1" spans="1:7" ht="31.5" customHeight="1">
      <c r="A1" s="21" t="s">
        <v>4</v>
      </c>
      <c r="B1" s="22" t="s">
        <v>5</v>
      </c>
      <c r="C1" s="23" t="s">
        <v>6</v>
      </c>
      <c r="D1" s="24" t="s">
        <v>7</v>
      </c>
      <c r="E1" s="24" t="s">
        <v>8</v>
      </c>
      <c r="F1" s="25" t="s">
        <v>9</v>
      </c>
      <c r="G1" s="25" t="s">
        <v>10</v>
      </c>
    </row>
    <row r="2" spans="1:7" ht="15.75" hidden="1" customHeight="1" outlineLevel="1">
      <c r="A2" s="26" t="s">
        <v>11</v>
      </c>
      <c r="B2" s="27"/>
      <c r="C2" s="28" t="s">
        <v>12</v>
      </c>
      <c r="D2" s="29"/>
      <c r="E2" s="29"/>
      <c r="F2" s="30"/>
      <c r="G2" s="30"/>
    </row>
    <row r="3" spans="1:7" ht="15" hidden="1" customHeight="1" outlineLevel="1">
      <c r="A3" s="31"/>
      <c r="B3" s="32" t="s">
        <v>13</v>
      </c>
      <c r="C3" s="33">
        <v>3.1E-2</v>
      </c>
      <c r="D3" s="34">
        <v>32.25</v>
      </c>
      <c r="E3" s="34">
        <v>217</v>
      </c>
      <c r="F3" s="34">
        <v>7000</v>
      </c>
      <c r="G3" s="35"/>
    </row>
    <row r="4" spans="1:7" ht="15" hidden="1" customHeight="1" outlineLevel="1">
      <c r="A4" s="31"/>
      <c r="B4" s="32" t="s">
        <v>14</v>
      </c>
      <c r="C4" s="33">
        <v>4.7E-2</v>
      </c>
      <c r="D4" s="34">
        <v>21.27</v>
      </c>
      <c r="E4" s="34">
        <v>370</v>
      </c>
      <c r="F4" s="34">
        <v>7872.34</v>
      </c>
      <c r="G4" s="35">
        <v>2582</v>
      </c>
    </row>
    <row r="5" spans="1:7" ht="15" hidden="1" customHeight="1" outlineLevel="1">
      <c r="A5" s="31"/>
      <c r="B5" s="32" t="s">
        <v>15</v>
      </c>
      <c r="C5" s="33">
        <v>1.6E-2</v>
      </c>
      <c r="D5" s="34">
        <v>62.5</v>
      </c>
      <c r="E5" s="34">
        <v>125</v>
      </c>
      <c r="F5" s="34">
        <v>7812.5</v>
      </c>
      <c r="G5" s="35"/>
    </row>
    <row r="6" spans="1:7" ht="15" hidden="1" customHeight="1" outlineLevel="1">
      <c r="A6" s="31"/>
      <c r="B6" s="36" t="s">
        <v>16</v>
      </c>
      <c r="C6" s="33">
        <v>4.7E-2</v>
      </c>
      <c r="D6" s="34">
        <v>21.27</v>
      </c>
      <c r="E6" s="34">
        <v>370</v>
      </c>
      <c r="F6" s="34">
        <v>7872.34</v>
      </c>
      <c r="G6" s="35" t="s">
        <v>17</v>
      </c>
    </row>
    <row r="7" spans="1:7" ht="15" hidden="1" customHeight="1" outlineLevel="1">
      <c r="A7" s="31"/>
      <c r="B7" s="17" t="s">
        <v>18</v>
      </c>
      <c r="C7" s="33">
        <v>2.7E-2</v>
      </c>
      <c r="D7" s="34">
        <v>37.03</v>
      </c>
      <c r="E7" s="20">
        <v>191</v>
      </c>
      <c r="F7" s="20">
        <v>7074.07</v>
      </c>
      <c r="G7" s="35"/>
    </row>
    <row r="8" spans="1:7" ht="15" hidden="1" customHeight="1" outlineLevel="1">
      <c r="A8" s="31"/>
      <c r="B8" s="17" t="s">
        <v>19</v>
      </c>
      <c r="C8" s="33">
        <v>3.5999999999999997E-2</v>
      </c>
      <c r="D8" s="34">
        <v>27.77</v>
      </c>
      <c r="E8" s="20">
        <v>298</v>
      </c>
      <c r="F8" s="20">
        <v>8277.77</v>
      </c>
      <c r="G8" s="35">
        <v>2273</v>
      </c>
    </row>
    <row r="9" spans="1:7" ht="15" hidden="1" customHeight="1" outlineLevel="1">
      <c r="A9" s="31"/>
      <c r="B9" s="17" t="s">
        <v>20</v>
      </c>
      <c r="C9" s="33">
        <v>1.4E-2</v>
      </c>
      <c r="D9" s="34">
        <v>71.430000000000007</v>
      </c>
      <c r="E9" s="20">
        <v>118</v>
      </c>
      <c r="F9" s="20">
        <v>8428.57</v>
      </c>
      <c r="G9" s="35"/>
    </row>
    <row r="10" spans="1:7" ht="15" hidden="1" customHeight="1" outlineLevel="1">
      <c r="A10" s="31"/>
      <c r="B10" s="37" t="s">
        <v>21</v>
      </c>
      <c r="C10" s="38">
        <v>2.3E-2</v>
      </c>
      <c r="D10" s="39">
        <v>43.47</v>
      </c>
      <c r="E10" s="20">
        <v>165</v>
      </c>
      <c r="F10" s="20">
        <v>7173.91</v>
      </c>
      <c r="G10" s="40"/>
    </row>
    <row r="11" spans="1:7" ht="15" hidden="1" customHeight="1" outlineLevel="1">
      <c r="A11" s="31"/>
      <c r="B11" s="37" t="s">
        <v>22</v>
      </c>
      <c r="C11" s="38">
        <v>2.9000000000000001E-2</v>
      </c>
      <c r="D11" s="39">
        <v>34.479999999999997</v>
      </c>
      <c r="E11" s="20">
        <v>244</v>
      </c>
      <c r="F11" s="20">
        <v>8413.7900000000009</v>
      </c>
      <c r="G11" s="41">
        <v>1964</v>
      </c>
    </row>
    <row r="12" spans="1:7" ht="15" hidden="1" customHeight="1" outlineLevel="1">
      <c r="A12" s="31"/>
      <c r="B12" s="37" t="s">
        <v>23</v>
      </c>
      <c r="C12" s="38">
        <v>1.2E-2</v>
      </c>
      <c r="D12" s="39">
        <v>83.33</v>
      </c>
      <c r="E12" s="20">
        <v>105</v>
      </c>
      <c r="F12" s="20">
        <v>8750</v>
      </c>
      <c r="G12" s="41"/>
    </row>
    <row r="13" spans="1:7" ht="15" hidden="1" customHeight="1" outlineLevel="1">
      <c r="A13" s="31"/>
      <c r="B13" s="37"/>
      <c r="C13" s="38"/>
      <c r="D13" s="39"/>
      <c r="E13" s="20"/>
      <c r="G13" s="41"/>
    </row>
    <row r="14" spans="1:7" ht="15" hidden="1" customHeight="1" outlineLevel="1">
      <c r="A14" s="31"/>
      <c r="B14" s="37"/>
      <c r="C14" s="38"/>
      <c r="D14" s="39"/>
      <c r="E14" s="20"/>
      <c r="G14" s="41"/>
    </row>
    <row r="15" spans="1:7" ht="15" hidden="1" customHeight="1" outlineLevel="1">
      <c r="A15" s="31"/>
      <c r="B15" s="37"/>
      <c r="C15" s="38"/>
      <c r="D15" s="39"/>
      <c r="E15" s="20"/>
      <c r="G15" s="41"/>
    </row>
    <row r="16" spans="1:7" ht="15" hidden="1" customHeight="1" outlineLevel="1">
      <c r="A16" s="42" t="s">
        <v>24</v>
      </c>
      <c r="B16" s="43"/>
      <c r="C16" s="28" t="s">
        <v>12</v>
      </c>
      <c r="D16" s="44"/>
      <c r="E16" s="44"/>
      <c r="F16" s="44"/>
      <c r="G16" s="44"/>
    </row>
    <row r="17" spans="1:7" ht="15" hidden="1" customHeight="1" outlineLevel="1">
      <c r="A17" s="45"/>
      <c r="B17" s="32" t="s">
        <v>25</v>
      </c>
      <c r="C17" s="33">
        <v>3.2000000000000001E-2</v>
      </c>
      <c r="D17" s="34">
        <v>31.25</v>
      </c>
      <c r="E17" s="20">
        <v>196</v>
      </c>
      <c r="F17" s="20">
        <v>6125</v>
      </c>
      <c r="G17" s="35"/>
    </row>
    <row r="18" spans="1:7" ht="15" hidden="1" customHeight="1" outlineLevel="1">
      <c r="A18" s="46"/>
      <c r="B18" s="32" t="s">
        <v>26</v>
      </c>
      <c r="C18" s="33">
        <v>4.8000000000000001E-2</v>
      </c>
      <c r="D18" s="34">
        <v>20.83</v>
      </c>
      <c r="E18" s="20">
        <v>331</v>
      </c>
      <c r="F18" s="20">
        <v>6895.83</v>
      </c>
      <c r="G18" s="35">
        <v>2332.4</v>
      </c>
    </row>
    <row r="19" spans="1:7" ht="15" hidden="1" customHeight="1" outlineLevel="1">
      <c r="A19" s="46"/>
      <c r="B19" s="32" t="s">
        <v>27</v>
      </c>
      <c r="C19" s="33">
        <v>1.6E-2</v>
      </c>
      <c r="D19" s="34">
        <v>62.5</v>
      </c>
      <c r="E19" s="20">
        <v>106</v>
      </c>
      <c r="F19" s="20">
        <v>6625</v>
      </c>
      <c r="G19" s="35"/>
    </row>
    <row r="20" spans="1:7" ht="15" hidden="1" customHeight="1" outlineLevel="1">
      <c r="A20" s="46"/>
      <c r="B20" s="32" t="s">
        <v>28</v>
      </c>
      <c r="C20" s="33">
        <v>2.8000000000000001E-2</v>
      </c>
      <c r="D20" s="34">
        <v>35.71</v>
      </c>
      <c r="E20" s="34">
        <v>160</v>
      </c>
      <c r="F20" s="34">
        <v>5713.6</v>
      </c>
      <c r="G20" s="35"/>
    </row>
    <row r="21" spans="1:7" ht="15" hidden="1" customHeight="1" outlineLevel="1">
      <c r="A21" s="46"/>
      <c r="B21" s="32" t="s">
        <v>29</v>
      </c>
      <c r="C21" s="33">
        <v>3.7999999999999999E-2</v>
      </c>
      <c r="D21" s="34">
        <v>26.31</v>
      </c>
      <c r="E21" s="34">
        <v>254</v>
      </c>
      <c r="F21" s="34">
        <v>6682.74</v>
      </c>
      <c r="G21" s="35">
        <v>2000</v>
      </c>
    </row>
    <row r="22" spans="1:7" ht="15" hidden="1" customHeight="1" outlineLevel="1">
      <c r="A22" s="46"/>
      <c r="B22" s="32" t="s">
        <v>30</v>
      </c>
      <c r="C22" s="33">
        <v>0.14000000000000001</v>
      </c>
      <c r="D22" s="34">
        <v>71.430000000000007</v>
      </c>
      <c r="E22" s="34">
        <v>88</v>
      </c>
      <c r="F22" s="34">
        <v>5714.4</v>
      </c>
      <c r="G22" s="35"/>
    </row>
    <row r="23" spans="1:7" ht="15" hidden="1" customHeight="1" outlineLevel="1">
      <c r="A23" s="46"/>
      <c r="B23" s="32" t="s">
        <v>31</v>
      </c>
      <c r="C23" s="33">
        <v>2.4E-2</v>
      </c>
      <c r="D23" s="34">
        <v>41.66</v>
      </c>
      <c r="E23" s="20">
        <v>150</v>
      </c>
      <c r="F23" s="20">
        <v>6250</v>
      </c>
      <c r="G23" s="35"/>
    </row>
    <row r="24" spans="1:7" ht="15" hidden="1" customHeight="1" outlineLevel="1">
      <c r="A24" s="46"/>
      <c r="B24" s="32" t="s">
        <v>32</v>
      </c>
      <c r="C24" s="33">
        <v>0.03</v>
      </c>
      <c r="D24" s="34">
        <v>33.33</v>
      </c>
      <c r="E24" s="20">
        <v>210</v>
      </c>
      <c r="F24" s="20">
        <v>7000</v>
      </c>
      <c r="G24" s="47">
        <v>1785</v>
      </c>
    </row>
    <row r="25" spans="1:7" ht="15" hidden="1" customHeight="1" outlineLevel="1">
      <c r="A25" s="46"/>
      <c r="B25" s="32" t="s">
        <v>33</v>
      </c>
      <c r="C25" s="33">
        <v>1.2E-2</v>
      </c>
      <c r="D25" s="34">
        <v>83.33</v>
      </c>
      <c r="E25" s="20">
        <v>84</v>
      </c>
      <c r="F25" s="20">
        <v>7000</v>
      </c>
      <c r="G25" s="47"/>
    </row>
    <row r="26" spans="1:7" ht="15" hidden="1" customHeight="1" outlineLevel="1">
      <c r="A26" s="46"/>
      <c r="B26" s="32"/>
      <c r="C26" s="33"/>
      <c r="D26" s="34"/>
      <c r="E26" s="20"/>
      <c r="G26" s="47"/>
    </row>
    <row r="27" spans="1:7" ht="15" hidden="1" customHeight="1" outlineLevel="1">
      <c r="A27" s="46"/>
      <c r="B27" s="32"/>
      <c r="C27" s="33"/>
      <c r="D27" s="34"/>
      <c r="E27" s="20"/>
      <c r="G27" s="47"/>
    </row>
    <row r="28" spans="1:7" ht="15" customHeight="1">
      <c r="A28" s="48" t="s">
        <v>24</v>
      </c>
      <c r="B28" s="49"/>
      <c r="C28" s="33"/>
      <c r="D28" s="34"/>
      <c r="E28" s="20"/>
      <c r="G28" s="47"/>
    </row>
    <row r="29" spans="1:7" ht="15" hidden="1" customHeight="1" outlineLevel="1">
      <c r="A29" s="50" t="s">
        <v>34</v>
      </c>
      <c r="B29" s="43"/>
      <c r="C29" s="28" t="s">
        <v>12</v>
      </c>
      <c r="D29" s="44"/>
      <c r="E29" s="44"/>
      <c r="F29" s="44"/>
      <c r="G29" s="44"/>
    </row>
    <row r="30" spans="1:7" ht="15" hidden="1" customHeight="1" outlineLevel="1">
      <c r="A30" s="45"/>
      <c r="B30" s="32" t="s">
        <v>13</v>
      </c>
      <c r="C30" s="33">
        <v>3.1E-2</v>
      </c>
      <c r="D30" s="34">
        <v>32.25</v>
      </c>
      <c r="E30" s="34">
        <v>137</v>
      </c>
      <c r="F30" s="34">
        <v>4419.3500000000004</v>
      </c>
      <c r="G30" s="35"/>
    </row>
    <row r="31" spans="1:7" ht="15" hidden="1" customHeight="1" outlineLevel="1">
      <c r="A31" s="46"/>
      <c r="B31" s="32" t="s">
        <v>14</v>
      </c>
      <c r="C31" s="33">
        <v>4.7E-2</v>
      </c>
      <c r="D31" s="34">
        <v>21.27</v>
      </c>
      <c r="E31" s="34">
        <v>209</v>
      </c>
      <c r="F31" s="34">
        <v>4446.8</v>
      </c>
      <c r="G31" s="35">
        <v>1630.3</v>
      </c>
    </row>
    <row r="32" spans="1:7" ht="15" hidden="1" customHeight="1" outlineLevel="1">
      <c r="A32" s="46"/>
      <c r="B32" s="32" t="s">
        <v>15</v>
      </c>
      <c r="C32" s="33">
        <v>1.6E-2</v>
      </c>
      <c r="D32" s="34">
        <v>62.5</v>
      </c>
      <c r="E32" s="34">
        <v>71</v>
      </c>
      <c r="F32" s="34">
        <v>4434.78</v>
      </c>
      <c r="G32" s="35"/>
    </row>
    <row r="33" spans="1:7" ht="15" hidden="1" customHeight="1" outlineLevel="1">
      <c r="A33" s="46"/>
      <c r="B33" s="17" t="s">
        <v>18</v>
      </c>
      <c r="C33" s="33">
        <v>2.7E-2</v>
      </c>
      <c r="D33" s="34">
        <v>37.03</v>
      </c>
      <c r="E33" s="34">
        <v>119</v>
      </c>
      <c r="F33" s="34">
        <v>4407.41</v>
      </c>
      <c r="G33" s="35"/>
    </row>
    <row r="34" spans="1:7" ht="15" hidden="1" customHeight="1" outlineLevel="1">
      <c r="A34" s="46"/>
      <c r="B34" s="17" t="s">
        <v>19</v>
      </c>
      <c r="C34" s="33">
        <v>3.5999999999999997E-2</v>
      </c>
      <c r="D34" s="34">
        <v>27.77</v>
      </c>
      <c r="E34" s="34">
        <v>162</v>
      </c>
      <c r="F34" s="34">
        <v>4498.74</v>
      </c>
      <c r="G34" s="35">
        <v>1416.1</v>
      </c>
    </row>
    <row r="35" spans="1:7" ht="15" hidden="1" customHeight="1" outlineLevel="1">
      <c r="A35" s="46"/>
      <c r="B35" s="17" t="s">
        <v>20</v>
      </c>
      <c r="C35" s="33">
        <v>1.4E-2</v>
      </c>
      <c r="D35" s="34">
        <v>71.430000000000007</v>
      </c>
      <c r="E35" s="34">
        <v>70</v>
      </c>
      <c r="F35" s="34">
        <v>5000.1000000000004</v>
      </c>
      <c r="G35" s="35"/>
    </row>
    <row r="36" spans="1:7" ht="15" hidden="1" customHeight="1" outlineLevel="1">
      <c r="A36" s="46"/>
      <c r="B36" s="32" t="s">
        <v>21</v>
      </c>
      <c r="C36" s="33">
        <v>2.3E-2</v>
      </c>
      <c r="D36" s="34">
        <v>43.47</v>
      </c>
      <c r="E36" s="34">
        <v>102</v>
      </c>
      <c r="F36" s="34">
        <v>4434.78</v>
      </c>
      <c r="G36" s="35"/>
    </row>
    <row r="37" spans="1:7" ht="15" hidden="1" customHeight="1" outlineLevel="1">
      <c r="A37" s="46"/>
      <c r="B37" s="32" t="s">
        <v>22</v>
      </c>
      <c r="C37" s="33">
        <v>2.9000000000000001E-2</v>
      </c>
      <c r="D37" s="34">
        <v>34.479999999999997</v>
      </c>
      <c r="E37" s="34">
        <v>131</v>
      </c>
      <c r="F37" s="34">
        <v>4517.24</v>
      </c>
      <c r="G37" s="35">
        <v>1213.8</v>
      </c>
    </row>
    <row r="38" spans="1:7" ht="15" hidden="1" customHeight="1" outlineLevel="1">
      <c r="A38" s="46"/>
      <c r="B38" s="32" t="s">
        <v>23</v>
      </c>
      <c r="C38" s="33">
        <v>1.2E-2</v>
      </c>
      <c r="D38" s="34">
        <v>83.33</v>
      </c>
      <c r="E38" s="34">
        <v>55</v>
      </c>
      <c r="F38" s="34">
        <v>4583.33</v>
      </c>
      <c r="G38" s="47"/>
    </row>
    <row r="39" spans="1:7" ht="15" hidden="1" customHeight="1" outlineLevel="1">
      <c r="A39" s="46"/>
      <c r="B39" s="32"/>
      <c r="C39" s="33"/>
      <c r="D39" s="34"/>
      <c r="E39" s="34"/>
      <c r="F39" s="34"/>
      <c r="G39" s="47"/>
    </row>
    <row r="40" spans="1:7" ht="15" hidden="1" customHeight="1" outlineLevel="1">
      <c r="A40" s="46"/>
      <c r="B40" s="32"/>
      <c r="C40" s="33"/>
      <c r="D40" s="34"/>
      <c r="E40" s="34"/>
      <c r="F40" s="34"/>
      <c r="G40" s="47"/>
    </row>
    <row r="41" spans="1:7" ht="15" customHeight="1">
      <c r="A41" s="48" t="s">
        <v>34</v>
      </c>
      <c r="B41" s="49"/>
      <c r="C41" s="33"/>
      <c r="D41" s="34"/>
      <c r="E41" s="34"/>
      <c r="F41" s="34"/>
      <c r="G41" s="47"/>
    </row>
    <row r="42" spans="1:7" ht="15" hidden="1" customHeight="1" outlineLevel="1">
      <c r="A42" s="51" t="s">
        <v>35</v>
      </c>
      <c r="B42" s="52"/>
      <c r="C42" s="28" t="s">
        <v>12</v>
      </c>
      <c r="D42" s="53"/>
      <c r="E42" s="53"/>
      <c r="F42" s="53"/>
      <c r="G42" s="53"/>
    </row>
    <row r="43" spans="1:7" ht="15" hidden="1" customHeight="1" outlineLevel="1">
      <c r="A43" s="45"/>
      <c r="B43" s="32" t="s">
        <v>36</v>
      </c>
      <c r="C43" s="33">
        <v>3.1E-2</v>
      </c>
      <c r="D43" s="34">
        <v>32.25</v>
      </c>
      <c r="E43" s="20">
        <v>160</v>
      </c>
      <c r="F43" s="20">
        <v>5161.3</v>
      </c>
      <c r="G43" s="34"/>
    </row>
    <row r="44" spans="1:7" ht="15" hidden="1" customHeight="1" outlineLevel="1">
      <c r="A44" s="46"/>
      <c r="B44" s="32" t="s">
        <v>14</v>
      </c>
      <c r="C44" s="33">
        <v>4.7E-2</v>
      </c>
      <c r="D44" s="34">
        <v>21.27</v>
      </c>
      <c r="E44" s="20">
        <v>310</v>
      </c>
      <c r="F44" s="20">
        <v>6595.74</v>
      </c>
      <c r="G44" s="34"/>
    </row>
    <row r="45" spans="1:7" ht="15" hidden="1" customHeight="1" outlineLevel="1">
      <c r="A45" s="46"/>
      <c r="B45" s="32" t="s">
        <v>37</v>
      </c>
      <c r="C45" s="33">
        <v>3.5999999999999997E-2</v>
      </c>
      <c r="D45" s="34">
        <v>27.77</v>
      </c>
      <c r="E45" s="34">
        <v>242</v>
      </c>
      <c r="F45" s="34">
        <v>6720.34</v>
      </c>
      <c r="G45" s="34"/>
    </row>
    <row r="46" spans="1:7" ht="15" hidden="1" customHeight="1" outlineLevel="1">
      <c r="A46" s="46"/>
      <c r="B46" s="32" t="s">
        <v>22</v>
      </c>
      <c r="C46" s="33">
        <v>2.9000000000000001E-2</v>
      </c>
      <c r="D46" s="34">
        <v>34.479999999999997</v>
      </c>
      <c r="E46" s="20">
        <v>205</v>
      </c>
      <c r="F46" s="20">
        <v>7068.96</v>
      </c>
      <c r="G46" s="34"/>
    </row>
    <row r="47" spans="1:7" ht="15" hidden="1" customHeight="1" outlineLevel="1">
      <c r="A47" s="46"/>
      <c r="B47" s="54"/>
      <c r="C47" s="33"/>
      <c r="D47" s="34"/>
      <c r="E47" s="20"/>
      <c r="G47" s="34"/>
    </row>
    <row r="48" spans="1:7" ht="15" customHeight="1">
      <c r="A48" s="55" t="s">
        <v>35</v>
      </c>
      <c r="B48" s="56"/>
      <c r="C48" s="57"/>
      <c r="D48" s="34"/>
      <c r="E48" s="20"/>
      <c r="G48" s="34"/>
    </row>
    <row r="49" spans="1:7" ht="15" hidden="1" customHeight="1" outlineLevel="1">
      <c r="A49" s="58" t="s">
        <v>38</v>
      </c>
      <c r="B49" s="59"/>
      <c r="C49" s="28" t="s">
        <v>12</v>
      </c>
      <c r="D49" s="53"/>
      <c r="E49" s="53"/>
      <c r="F49" s="53"/>
      <c r="G49" s="53"/>
    </row>
    <row r="50" spans="1:7" ht="15" hidden="1" customHeight="1" outlineLevel="1">
      <c r="A50" s="45"/>
      <c r="B50" s="32" t="s">
        <v>39</v>
      </c>
      <c r="C50" s="33">
        <v>2.4E-2</v>
      </c>
      <c r="D50" s="34"/>
      <c r="E50" s="34">
        <v>100.8</v>
      </c>
      <c r="F50" s="34">
        <v>4200</v>
      </c>
      <c r="G50" s="34"/>
    </row>
    <row r="51" spans="1:7" ht="15" hidden="1" customHeight="1" outlineLevel="1">
      <c r="A51" s="46"/>
      <c r="B51" s="32" t="s">
        <v>40</v>
      </c>
      <c r="C51" s="33">
        <v>3.2000000000000001E-2</v>
      </c>
      <c r="D51" s="34"/>
      <c r="E51" s="34">
        <v>134.4</v>
      </c>
      <c r="F51" s="34">
        <v>4200</v>
      </c>
      <c r="G51" s="34"/>
    </row>
    <row r="52" spans="1:7" ht="15" hidden="1" customHeight="1" outlineLevel="1">
      <c r="A52" s="46"/>
      <c r="B52" s="54"/>
      <c r="C52" s="33"/>
      <c r="D52" s="34"/>
      <c r="E52" s="34"/>
      <c r="F52" s="34"/>
      <c r="G52" s="34"/>
    </row>
    <row r="53" spans="1:7" ht="15" customHeight="1">
      <c r="A53" s="60" t="s">
        <v>38</v>
      </c>
      <c r="B53" s="56"/>
      <c r="C53" s="57"/>
      <c r="D53" s="34"/>
      <c r="E53" s="34"/>
      <c r="F53" s="34"/>
      <c r="G53" s="34"/>
    </row>
    <row r="54" spans="1:7" ht="15" hidden="1" customHeight="1" outlineLevel="1">
      <c r="A54" s="58" t="s">
        <v>41</v>
      </c>
      <c r="B54" s="59"/>
      <c r="C54" s="28" t="s">
        <v>12</v>
      </c>
      <c r="D54" s="53"/>
      <c r="E54" s="53"/>
      <c r="F54" s="53"/>
      <c r="G54" s="53"/>
    </row>
    <row r="55" spans="1:7" ht="15" hidden="1" customHeight="1" outlineLevel="1">
      <c r="A55" s="45"/>
      <c r="B55" s="32" t="s">
        <v>42</v>
      </c>
      <c r="C55" s="33">
        <v>2.4E-2</v>
      </c>
      <c r="D55" s="34"/>
      <c r="E55" s="34">
        <v>100.8</v>
      </c>
      <c r="F55" s="34">
        <v>4200</v>
      </c>
      <c r="G55" s="34"/>
    </row>
    <row r="56" spans="1:7" ht="15" hidden="1" customHeight="1" outlineLevel="1">
      <c r="A56" s="46"/>
      <c r="B56" s="32" t="s">
        <v>43</v>
      </c>
      <c r="C56" s="33">
        <v>3.2000000000000001E-2</v>
      </c>
      <c r="D56" s="34"/>
      <c r="E56" s="34">
        <v>134.4</v>
      </c>
      <c r="F56" s="34">
        <v>4200</v>
      </c>
      <c r="G56" s="34"/>
    </row>
    <row r="57" spans="1:7" ht="15" hidden="1" customHeight="1" outlineLevel="1">
      <c r="A57" s="46"/>
      <c r="B57" s="54"/>
      <c r="C57" s="33"/>
      <c r="D57" s="34"/>
      <c r="E57" s="34"/>
      <c r="F57" s="34"/>
      <c r="G57" s="34"/>
    </row>
    <row r="58" spans="1:7" ht="15" customHeight="1">
      <c r="A58" s="60" t="s">
        <v>41</v>
      </c>
      <c r="B58" s="56"/>
      <c r="C58" s="57"/>
      <c r="D58" s="34"/>
      <c r="E58" s="34"/>
      <c r="F58" s="34"/>
      <c r="G58" s="34"/>
    </row>
    <row r="59" spans="1:7" ht="15" hidden="1" customHeight="1" outlineLevel="1">
      <c r="A59" s="58" t="s">
        <v>44</v>
      </c>
      <c r="B59" s="59"/>
      <c r="C59" s="28" t="s">
        <v>12</v>
      </c>
      <c r="D59" s="53"/>
      <c r="E59" s="53"/>
      <c r="F59" s="53"/>
      <c r="G59" s="53"/>
    </row>
    <row r="60" spans="1:7" ht="15" hidden="1" customHeight="1" outlineLevel="1">
      <c r="A60" s="45"/>
      <c r="B60" s="32" t="s">
        <v>45</v>
      </c>
      <c r="C60" s="33">
        <v>2.4E-2</v>
      </c>
      <c r="D60" s="34"/>
      <c r="E60" s="34">
        <v>100.8</v>
      </c>
      <c r="F60" s="34">
        <v>4200</v>
      </c>
      <c r="G60" s="34"/>
    </row>
    <row r="61" spans="1:7" ht="15" hidden="1" customHeight="1" outlineLevel="1">
      <c r="A61" s="46"/>
      <c r="B61" s="32" t="s">
        <v>46</v>
      </c>
      <c r="C61" s="33">
        <v>3.2000000000000001E-2</v>
      </c>
      <c r="D61" s="34"/>
      <c r="E61" s="34">
        <v>134.4</v>
      </c>
      <c r="F61" s="34">
        <v>4200</v>
      </c>
      <c r="G61" s="34"/>
    </row>
    <row r="62" spans="1:7" ht="15" hidden="1" customHeight="1" outlineLevel="1">
      <c r="A62" s="46"/>
      <c r="B62" s="54"/>
      <c r="C62" s="33"/>
      <c r="D62" s="34"/>
      <c r="E62" s="34"/>
      <c r="F62" s="34"/>
      <c r="G62" s="34"/>
    </row>
    <row r="63" spans="1:7" ht="15" customHeight="1">
      <c r="A63" s="60" t="s">
        <v>44</v>
      </c>
      <c r="B63" s="56"/>
      <c r="C63" s="57"/>
      <c r="D63" s="34"/>
      <c r="E63" s="34"/>
      <c r="F63" s="34"/>
      <c r="G63" s="34"/>
    </row>
    <row r="64" spans="1:7" ht="15" hidden="1" customHeight="1" outlineLevel="1">
      <c r="A64" s="58" t="s">
        <v>47</v>
      </c>
      <c r="B64" s="59"/>
      <c r="C64" s="28" t="s">
        <v>12</v>
      </c>
      <c r="D64" s="53"/>
      <c r="E64" s="53"/>
      <c r="F64" s="53"/>
      <c r="G64" s="53"/>
    </row>
    <row r="65" spans="1:7" ht="15" hidden="1" customHeight="1" outlineLevel="1">
      <c r="A65" s="45"/>
      <c r="B65" s="32" t="s">
        <v>48</v>
      </c>
      <c r="C65" s="33">
        <v>2.4E-2</v>
      </c>
      <c r="D65" s="34"/>
      <c r="E65" s="34">
        <v>100.8</v>
      </c>
      <c r="F65" s="34">
        <v>4200</v>
      </c>
      <c r="G65" s="34"/>
    </row>
    <row r="66" spans="1:7" ht="15" hidden="1" customHeight="1" outlineLevel="1">
      <c r="A66" s="46"/>
      <c r="B66" s="32" t="s">
        <v>49</v>
      </c>
      <c r="C66" s="33">
        <v>3.2000000000000001E-2</v>
      </c>
      <c r="D66" s="34"/>
      <c r="E66" s="34">
        <v>134.4</v>
      </c>
      <c r="F66" s="34">
        <v>4200</v>
      </c>
      <c r="G66" s="34"/>
    </row>
    <row r="67" spans="1:7" ht="15" hidden="1" customHeight="1" outlineLevel="1">
      <c r="A67" s="46"/>
      <c r="B67" s="54"/>
      <c r="C67" s="33"/>
      <c r="D67" s="34"/>
      <c r="E67" s="34"/>
      <c r="F67" s="34"/>
      <c r="G67" s="34"/>
    </row>
    <row r="68" spans="1:7" ht="15" customHeight="1">
      <c r="A68" s="60" t="s">
        <v>47</v>
      </c>
      <c r="B68" s="56"/>
      <c r="C68" s="57"/>
      <c r="D68" s="34"/>
      <c r="E68" s="34"/>
      <c r="F68" s="34"/>
      <c r="G68" s="34"/>
    </row>
    <row r="69" spans="1:7" ht="15" hidden="1" customHeight="1" outlineLevel="1">
      <c r="A69" s="61" t="s">
        <v>50</v>
      </c>
      <c r="B69" s="59"/>
      <c r="C69" s="28" t="s">
        <v>12</v>
      </c>
      <c r="D69" s="53"/>
      <c r="E69" s="53"/>
      <c r="F69" s="53"/>
      <c r="G69" s="53"/>
    </row>
    <row r="70" spans="1:7" ht="15" hidden="1" customHeight="1" outlineLevel="1">
      <c r="A70" s="45"/>
      <c r="B70" s="32" t="s">
        <v>51</v>
      </c>
      <c r="C70" s="33">
        <v>2.4E-2</v>
      </c>
      <c r="D70" s="34"/>
      <c r="E70" s="34">
        <v>92.4</v>
      </c>
      <c r="F70" s="34">
        <v>4050</v>
      </c>
      <c r="G70" s="34"/>
    </row>
    <row r="71" spans="1:7" ht="15" hidden="1" customHeight="1" outlineLevel="1">
      <c r="A71" s="46"/>
      <c r="B71" s="32" t="s">
        <v>52</v>
      </c>
      <c r="C71" s="33">
        <v>3.2000000000000001E-2</v>
      </c>
      <c r="D71" s="34"/>
      <c r="E71" s="34">
        <v>123.2</v>
      </c>
      <c r="F71" s="34">
        <v>4050</v>
      </c>
      <c r="G71" s="34"/>
    </row>
    <row r="72" spans="1:7" ht="15" hidden="1" customHeight="1" outlineLevel="1">
      <c r="A72" s="46"/>
      <c r="B72" s="54"/>
      <c r="C72" s="33"/>
      <c r="D72" s="34"/>
      <c r="E72" s="34"/>
      <c r="F72" s="34"/>
      <c r="G72" s="34"/>
    </row>
    <row r="73" spans="1:7" ht="15" customHeight="1">
      <c r="A73" s="12" t="s">
        <v>50</v>
      </c>
      <c r="B73" s="12"/>
      <c r="C73" s="33"/>
      <c r="D73" s="34"/>
      <c r="E73" s="34"/>
      <c r="F73" s="34"/>
      <c r="G73" s="34"/>
    </row>
    <row r="74" spans="1:7" ht="15" hidden="1" customHeight="1" outlineLevel="1">
      <c r="A74" s="62" t="s">
        <v>53</v>
      </c>
      <c r="B74" s="63"/>
      <c r="C74" s="28" t="s">
        <v>12</v>
      </c>
      <c r="D74" s="64" t="s">
        <v>54</v>
      </c>
      <c r="E74" s="64" t="s">
        <v>55</v>
      </c>
      <c r="F74" s="64" t="s">
        <v>56</v>
      </c>
      <c r="G74" s="64" t="s">
        <v>57</v>
      </c>
    </row>
    <row r="75" spans="1:7" s="70" customFormat="1" ht="15" hidden="1" customHeight="1" outlineLevel="1">
      <c r="A75" s="65"/>
      <c r="B75" s="66" t="s">
        <v>58</v>
      </c>
      <c r="C75" s="67">
        <f t="shared" ref="C75:C89" si="0">D75*E75*F75/1000000000</f>
        <v>1.5625E-2</v>
      </c>
      <c r="D75" s="68">
        <v>625</v>
      </c>
      <c r="E75" s="69">
        <v>100</v>
      </c>
      <c r="F75" s="69">
        <v>250</v>
      </c>
      <c r="G75" s="69">
        <v>4100</v>
      </c>
    </row>
    <row r="76" spans="1:7" ht="15" hidden="1" customHeight="1" outlineLevel="1">
      <c r="A76" s="71"/>
      <c r="B76" s="66" t="s">
        <v>58</v>
      </c>
      <c r="C76" s="67">
        <f t="shared" si="0"/>
        <v>3.125E-2</v>
      </c>
      <c r="D76" s="68">
        <v>625</v>
      </c>
      <c r="E76" s="69">
        <v>200</v>
      </c>
      <c r="F76" s="69">
        <v>250</v>
      </c>
      <c r="G76" s="69">
        <v>4100</v>
      </c>
    </row>
    <row r="77" spans="1:7" ht="15" hidden="1" customHeight="1" outlineLevel="1">
      <c r="A77" s="71"/>
      <c r="B77" s="66" t="s">
        <v>58</v>
      </c>
      <c r="C77" s="67">
        <f t="shared" si="0"/>
        <v>3.7499999999999999E-2</v>
      </c>
      <c r="D77" s="68">
        <v>625</v>
      </c>
      <c r="E77" s="69">
        <v>240</v>
      </c>
      <c r="F77" s="69">
        <v>250</v>
      </c>
      <c r="G77" s="69">
        <v>4100</v>
      </c>
    </row>
    <row r="78" spans="1:7" ht="15" hidden="1" customHeight="1" outlineLevel="1">
      <c r="A78" s="71"/>
      <c r="B78" s="66" t="s">
        <v>58</v>
      </c>
      <c r="C78" s="67">
        <f t="shared" si="0"/>
        <v>4.6875E-2</v>
      </c>
      <c r="D78" s="68">
        <v>625</v>
      </c>
      <c r="E78" s="69">
        <v>300</v>
      </c>
      <c r="F78" s="69">
        <v>250</v>
      </c>
      <c r="G78" s="69">
        <v>4100</v>
      </c>
    </row>
    <row r="79" spans="1:7" ht="15" hidden="1" customHeight="1" outlineLevel="1">
      <c r="A79" s="71"/>
      <c r="B79" s="66" t="s">
        <v>58</v>
      </c>
      <c r="C79" s="67">
        <f t="shared" si="0"/>
        <v>6.25E-2</v>
      </c>
      <c r="D79" s="68">
        <v>625</v>
      </c>
      <c r="E79" s="69">
        <v>400</v>
      </c>
      <c r="F79" s="69">
        <v>250</v>
      </c>
      <c r="G79" s="69">
        <v>4100</v>
      </c>
    </row>
    <row r="80" spans="1:7" ht="15" hidden="1" customHeight="1" outlineLevel="1">
      <c r="A80" s="71"/>
      <c r="B80" s="66" t="s">
        <v>59</v>
      </c>
      <c r="C80" s="67">
        <f t="shared" si="0"/>
        <v>1.5625E-2</v>
      </c>
      <c r="D80" s="68">
        <v>625</v>
      </c>
      <c r="E80" s="69">
        <v>100</v>
      </c>
      <c r="F80" s="69">
        <v>250</v>
      </c>
      <c r="G80" s="69">
        <v>4200</v>
      </c>
    </row>
    <row r="81" spans="1:7" ht="15" hidden="1" customHeight="1" outlineLevel="1">
      <c r="A81" s="71"/>
      <c r="B81" s="66" t="s">
        <v>59</v>
      </c>
      <c r="C81" s="67">
        <f t="shared" si="0"/>
        <v>3.125E-2</v>
      </c>
      <c r="D81" s="68">
        <v>625</v>
      </c>
      <c r="E81" s="69">
        <v>200</v>
      </c>
      <c r="F81" s="69">
        <v>250</v>
      </c>
      <c r="G81" s="69">
        <v>4200</v>
      </c>
    </row>
    <row r="82" spans="1:7" ht="15" hidden="1" customHeight="1" outlineLevel="1">
      <c r="A82" s="71"/>
      <c r="B82" s="66" t="s">
        <v>59</v>
      </c>
      <c r="C82" s="67">
        <f t="shared" si="0"/>
        <v>3.7499999999999999E-2</v>
      </c>
      <c r="D82" s="68">
        <v>625</v>
      </c>
      <c r="E82" s="69">
        <v>240</v>
      </c>
      <c r="F82" s="69">
        <v>250</v>
      </c>
      <c r="G82" s="69">
        <v>4200</v>
      </c>
    </row>
    <row r="83" spans="1:7" ht="15" hidden="1" customHeight="1" outlineLevel="1">
      <c r="A83" s="71"/>
      <c r="B83" s="66" t="s">
        <v>59</v>
      </c>
      <c r="C83" s="67">
        <f t="shared" si="0"/>
        <v>4.6875E-2</v>
      </c>
      <c r="D83" s="68">
        <v>625</v>
      </c>
      <c r="E83" s="69">
        <v>300</v>
      </c>
      <c r="F83" s="69">
        <v>250</v>
      </c>
      <c r="G83" s="69">
        <v>4200</v>
      </c>
    </row>
    <row r="84" spans="1:7" ht="15" hidden="1" customHeight="1" outlineLevel="1">
      <c r="A84" s="71"/>
      <c r="B84" s="66" t="s">
        <v>59</v>
      </c>
      <c r="C84" s="67">
        <f t="shared" si="0"/>
        <v>6.25E-2</v>
      </c>
      <c r="D84" s="68">
        <v>625</v>
      </c>
      <c r="E84" s="69">
        <v>400</v>
      </c>
      <c r="F84" s="69">
        <v>250</v>
      </c>
      <c r="G84" s="69">
        <v>4200</v>
      </c>
    </row>
    <row r="85" spans="1:7" ht="15" hidden="1" customHeight="1" outlineLevel="1">
      <c r="A85" s="71"/>
      <c r="B85" s="66" t="s">
        <v>60</v>
      </c>
      <c r="C85" s="67">
        <f t="shared" si="0"/>
        <v>1.5625E-2</v>
      </c>
      <c r="D85" s="68">
        <v>625</v>
      </c>
      <c r="E85" s="69">
        <v>100</v>
      </c>
      <c r="F85" s="69">
        <v>250</v>
      </c>
      <c r="G85" s="69">
        <v>4350</v>
      </c>
    </row>
    <row r="86" spans="1:7" ht="15" hidden="1" customHeight="1" outlineLevel="1">
      <c r="A86" s="71"/>
      <c r="B86" s="66" t="s">
        <v>60</v>
      </c>
      <c r="C86" s="67">
        <f t="shared" si="0"/>
        <v>3.125E-2</v>
      </c>
      <c r="D86" s="68">
        <v>625</v>
      </c>
      <c r="E86" s="69">
        <v>200</v>
      </c>
      <c r="F86" s="69">
        <v>250</v>
      </c>
      <c r="G86" s="69">
        <v>4350</v>
      </c>
    </row>
    <row r="87" spans="1:7" ht="15" hidden="1" customHeight="1" outlineLevel="1">
      <c r="A87" s="71"/>
      <c r="B87" s="66" t="s">
        <v>60</v>
      </c>
      <c r="C87" s="67">
        <f t="shared" si="0"/>
        <v>3.7499999999999999E-2</v>
      </c>
      <c r="D87" s="68">
        <v>625</v>
      </c>
      <c r="E87" s="69">
        <v>240</v>
      </c>
      <c r="F87" s="69">
        <v>250</v>
      </c>
      <c r="G87" s="69">
        <v>4350</v>
      </c>
    </row>
    <row r="88" spans="1:7" ht="15" hidden="1" customHeight="1" outlineLevel="1">
      <c r="A88" s="71"/>
      <c r="B88" s="66" t="s">
        <v>60</v>
      </c>
      <c r="C88" s="67">
        <f t="shared" si="0"/>
        <v>4.6875E-2</v>
      </c>
      <c r="D88" s="68">
        <v>625</v>
      </c>
      <c r="E88" s="69">
        <v>300</v>
      </c>
      <c r="F88" s="69">
        <v>250</v>
      </c>
      <c r="G88" s="69">
        <v>4350</v>
      </c>
    </row>
    <row r="89" spans="1:7" ht="15" hidden="1" customHeight="1" outlineLevel="1">
      <c r="A89" s="71"/>
      <c r="B89" s="66" t="s">
        <v>60</v>
      </c>
      <c r="C89" s="67">
        <f t="shared" si="0"/>
        <v>6.25E-2</v>
      </c>
      <c r="D89" s="68">
        <v>625</v>
      </c>
      <c r="E89" s="69">
        <v>400</v>
      </c>
      <c r="F89" s="69">
        <v>250</v>
      </c>
      <c r="G89" s="69">
        <v>4350</v>
      </c>
    </row>
    <row r="90" spans="1:7" ht="15" hidden="1" customHeight="1" outlineLevel="1">
      <c r="A90" s="71"/>
      <c r="B90" s="72"/>
      <c r="C90" s="67"/>
      <c r="D90" s="68"/>
      <c r="E90" s="69"/>
      <c r="F90" s="69"/>
      <c r="G90" s="69"/>
    </row>
    <row r="91" spans="1:7" ht="15" customHeight="1">
      <c r="A91" s="11" t="s">
        <v>53</v>
      </c>
      <c r="B91" s="11"/>
      <c r="C91" s="67"/>
      <c r="D91" s="68"/>
      <c r="E91" s="69"/>
      <c r="F91" s="69"/>
      <c r="G91" s="69"/>
    </row>
    <row r="92" spans="1:7" ht="15" hidden="1" customHeight="1" outlineLevel="1">
      <c r="A92" s="73" t="s">
        <v>61</v>
      </c>
      <c r="B92" s="74"/>
      <c r="C92" s="28" t="s">
        <v>12</v>
      </c>
      <c r="D92" s="75"/>
      <c r="E92" s="75"/>
      <c r="F92" s="75"/>
      <c r="G92" s="75"/>
    </row>
    <row r="93" spans="1:7" ht="15" hidden="1" customHeight="1" outlineLevel="1">
      <c r="A93" s="45"/>
      <c r="B93" s="32" t="s">
        <v>62</v>
      </c>
      <c r="C93" s="33">
        <v>1.2E-2</v>
      </c>
      <c r="D93" s="34">
        <v>83.3</v>
      </c>
      <c r="E93" s="34">
        <v>200</v>
      </c>
      <c r="F93" s="34">
        <f>1/C93*E93</f>
        <v>16666.666666666664</v>
      </c>
      <c r="G93" s="34"/>
    </row>
    <row r="94" spans="1:7" ht="15" hidden="1" customHeight="1" outlineLevel="1">
      <c r="A94" s="46"/>
      <c r="B94" s="32" t="s">
        <v>63</v>
      </c>
      <c r="C94" s="33">
        <v>3.2000000000000001E-2</v>
      </c>
      <c r="D94" s="34"/>
      <c r="E94" s="34">
        <v>250</v>
      </c>
      <c r="F94" s="34">
        <v>7812.5</v>
      </c>
    </row>
    <row r="95" spans="1:7" ht="15" hidden="1" customHeight="1" outlineLevel="1">
      <c r="A95" s="46"/>
      <c r="B95" s="54"/>
      <c r="C95" s="33"/>
      <c r="D95" s="34"/>
      <c r="E95" s="34"/>
      <c r="F95" s="34"/>
    </row>
    <row r="96" spans="1:7" ht="15" customHeight="1">
      <c r="A96" s="12" t="s">
        <v>61</v>
      </c>
      <c r="B96" s="12"/>
      <c r="C96" s="33"/>
      <c r="D96" s="34"/>
      <c r="E96" s="34"/>
      <c r="F96" s="34"/>
    </row>
    <row r="97" spans="1:7" ht="15" hidden="1" customHeight="1" outlineLevel="1">
      <c r="A97" s="10" t="s">
        <v>64</v>
      </c>
      <c r="B97" s="10"/>
      <c r="C97" s="28" t="s">
        <v>12</v>
      </c>
      <c r="D97" s="64" t="s">
        <v>54</v>
      </c>
      <c r="E97" s="64" t="s">
        <v>55</v>
      </c>
      <c r="F97" s="64" t="s">
        <v>56</v>
      </c>
      <c r="G97" s="64" t="s">
        <v>57</v>
      </c>
    </row>
    <row r="98" spans="1:7" ht="15" hidden="1" customHeight="1" outlineLevel="1">
      <c r="A98" s="45"/>
      <c r="B98" s="32" t="s">
        <v>65</v>
      </c>
      <c r="C98" s="33"/>
      <c r="D98" s="34"/>
      <c r="E98" s="20"/>
      <c r="F98" s="34"/>
      <c r="G98" s="34">
        <v>7150</v>
      </c>
    </row>
    <row r="99" spans="1:7" ht="15" hidden="1" customHeight="1" outlineLevel="1">
      <c r="A99" s="46"/>
      <c r="B99" s="32" t="s">
        <v>66</v>
      </c>
      <c r="C99" s="33"/>
      <c r="D99" s="34"/>
      <c r="E99" s="20"/>
      <c r="F99" s="34"/>
      <c r="G99" s="34">
        <v>6580</v>
      </c>
    </row>
    <row r="100" spans="1:7" ht="15" hidden="1" customHeight="1" outlineLevel="1">
      <c r="A100" s="46"/>
      <c r="B100" s="32" t="s">
        <v>67</v>
      </c>
      <c r="C100" s="33"/>
      <c r="D100" s="34"/>
      <c r="E100" s="20"/>
      <c r="F100" s="34"/>
      <c r="G100" s="34">
        <v>5300</v>
      </c>
    </row>
    <row r="101" spans="1:7" ht="15" hidden="1" customHeight="1" outlineLevel="1">
      <c r="A101" s="46"/>
      <c r="B101" s="32" t="s">
        <v>68</v>
      </c>
      <c r="C101" s="33"/>
      <c r="D101" s="34"/>
      <c r="E101" s="20"/>
      <c r="F101" s="34"/>
      <c r="G101" s="34">
        <v>2670</v>
      </c>
    </row>
    <row r="102" spans="1:7" ht="15" hidden="1" customHeight="1" outlineLevel="1">
      <c r="A102" s="46"/>
      <c r="B102" s="32" t="s">
        <v>69</v>
      </c>
      <c r="C102" s="33"/>
      <c r="D102" s="34"/>
      <c r="E102" s="20"/>
      <c r="F102" s="34"/>
      <c r="G102" s="34">
        <v>2300</v>
      </c>
    </row>
    <row r="103" spans="1:7" ht="15" hidden="1" customHeight="1" outlineLevel="1">
      <c r="A103" s="46"/>
      <c r="B103" s="32" t="s">
        <v>70</v>
      </c>
      <c r="C103" s="33"/>
      <c r="D103" s="34"/>
      <c r="E103" s="20"/>
      <c r="F103" s="34"/>
      <c r="G103" s="34">
        <v>1900</v>
      </c>
    </row>
    <row r="104" spans="1:7" ht="15" hidden="1" customHeight="1" outlineLevel="1">
      <c r="A104" s="46"/>
      <c r="B104" s="32" t="s">
        <v>71</v>
      </c>
      <c r="C104" s="33"/>
      <c r="D104" s="34"/>
      <c r="E104" s="20"/>
      <c r="F104" s="34"/>
      <c r="G104" s="34"/>
    </row>
    <row r="105" spans="1:7" ht="15" hidden="1" customHeight="1" outlineLevel="1">
      <c r="A105" s="76"/>
      <c r="B105" s="32" t="s">
        <v>72</v>
      </c>
      <c r="C105" s="33"/>
      <c r="D105" s="34"/>
      <c r="E105" s="20"/>
      <c r="F105" s="34"/>
      <c r="G105" s="34"/>
    </row>
    <row r="106" spans="1:7" ht="15" customHeight="1">
      <c r="A106" s="12" t="s">
        <v>64</v>
      </c>
      <c r="B106" s="12"/>
      <c r="C106" s="33"/>
      <c r="D106" s="34"/>
      <c r="E106" s="20"/>
      <c r="F106" s="34"/>
      <c r="G106" s="34"/>
    </row>
    <row r="107" spans="1:7" ht="15" hidden="1" customHeight="1" outlineLevel="1">
      <c r="A107" s="10" t="s">
        <v>73</v>
      </c>
      <c r="B107" s="10"/>
      <c r="C107" s="28" t="s">
        <v>12</v>
      </c>
      <c r="D107" s="64"/>
      <c r="E107" s="64"/>
      <c r="F107" s="64" t="s">
        <v>56</v>
      </c>
      <c r="G107" s="64" t="s">
        <v>57</v>
      </c>
    </row>
    <row r="108" spans="1:7" ht="22.5" hidden="1" customHeight="1" outlineLevel="1">
      <c r="A108" s="45"/>
      <c r="B108" s="32" t="s">
        <v>74</v>
      </c>
      <c r="C108" s="33">
        <v>1.4E-2</v>
      </c>
      <c r="D108" s="34">
        <v>71.42</v>
      </c>
      <c r="E108" s="34">
        <v>51</v>
      </c>
      <c r="G108" s="34">
        <v>3642.85</v>
      </c>
    </row>
    <row r="109" spans="1:7" ht="21" hidden="1" customHeight="1" outlineLevel="1">
      <c r="A109" s="46"/>
      <c r="B109" s="32" t="s">
        <v>75</v>
      </c>
      <c r="C109" s="33">
        <v>8.9999999999999993E-3</v>
      </c>
      <c r="D109" s="34">
        <v>111.11</v>
      </c>
      <c r="E109" s="34">
        <v>41</v>
      </c>
      <c r="G109" s="34">
        <v>4555.55</v>
      </c>
    </row>
    <row r="110" spans="1:7" ht="15" hidden="1" customHeight="1" outlineLevel="1">
      <c r="A110" s="46"/>
      <c r="B110" s="32" t="s">
        <v>76</v>
      </c>
      <c r="C110" s="33" t="s">
        <v>77</v>
      </c>
      <c r="D110" s="34"/>
      <c r="E110" s="34" t="s">
        <v>78</v>
      </c>
      <c r="F110" s="34"/>
    </row>
    <row r="111" spans="1:7" ht="15" hidden="1" customHeight="1" outlineLevel="1">
      <c r="A111" s="46"/>
      <c r="B111" s="32"/>
      <c r="C111" s="33"/>
      <c r="D111" s="34"/>
      <c r="E111" s="34"/>
      <c r="F111" s="34"/>
    </row>
    <row r="112" spans="1:7" ht="15" hidden="1" customHeight="1" outlineLevel="1">
      <c r="A112" s="46"/>
      <c r="B112" s="54"/>
      <c r="C112" s="33"/>
      <c r="D112" s="34"/>
      <c r="E112" s="34"/>
      <c r="F112" s="34"/>
    </row>
    <row r="113" spans="1:7" ht="15" customHeight="1">
      <c r="A113" s="12" t="s">
        <v>73</v>
      </c>
      <c r="B113" s="12"/>
      <c r="C113" s="33"/>
      <c r="D113" s="34"/>
      <c r="E113" s="34"/>
      <c r="F113" s="34"/>
    </row>
    <row r="114" spans="1:7" ht="15" hidden="1" customHeight="1" outlineLevel="1">
      <c r="A114" s="9" t="s">
        <v>79</v>
      </c>
      <c r="B114" s="9"/>
      <c r="C114" s="77"/>
      <c r="D114" s="53"/>
      <c r="E114" s="53"/>
      <c r="F114" s="53" t="s">
        <v>80</v>
      </c>
      <c r="G114" s="64" t="s">
        <v>81</v>
      </c>
    </row>
    <row r="115" spans="1:7" ht="15" hidden="1" customHeight="1" outlineLevel="1">
      <c r="A115" s="45"/>
      <c r="B115" s="17" t="s">
        <v>82</v>
      </c>
      <c r="C115" s="17"/>
      <c r="D115" s="17"/>
      <c r="E115" s="17"/>
      <c r="F115" s="17">
        <v>0</v>
      </c>
      <c r="G115" s="17">
        <v>0</v>
      </c>
    </row>
    <row r="116" spans="1:7" ht="15" hidden="1" customHeight="1" outlineLevel="1">
      <c r="A116" s="46"/>
      <c r="B116" s="32" t="s">
        <v>83</v>
      </c>
      <c r="C116" s="33"/>
      <c r="D116" s="34"/>
      <c r="E116" s="34"/>
      <c r="F116" s="20">
        <v>5000</v>
      </c>
      <c r="G116" s="34">
        <v>19000</v>
      </c>
    </row>
    <row r="117" spans="1:7" ht="15" hidden="1" customHeight="1" outlineLevel="1">
      <c r="A117" s="46"/>
      <c r="B117" s="32" t="s">
        <v>84</v>
      </c>
      <c r="C117" s="33"/>
      <c r="D117" s="34"/>
      <c r="E117" s="34"/>
      <c r="G117" s="34">
        <v>30000</v>
      </c>
    </row>
    <row r="118" spans="1:7" ht="15" hidden="1" customHeight="1" outlineLevel="1">
      <c r="A118" s="46"/>
      <c r="B118" s="32" t="s">
        <v>85</v>
      </c>
      <c r="C118" s="33"/>
      <c r="D118" s="34"/>
      <c r="E118" s="34"/>
      <c r="G118" s="34">
        <v>50000</v>
      </c>
    </row>
    <row r="119" spans="1:7" ht="15" hidden="1" customHeight="1" outlineLevel="1">
      <c r="A119" s="46"/>
      <c r="B119" s="32" t="s">
        <v>86</v>
      </c>
      <c r="C119" s="33"/>
      <c r="D119" s="34"/>
      <c r="E119" s="34"/>
      <c r="G119" s="34">
        <v>90000</v>
      </c>
    </row>
    <row r="120" spans="1:7" ht="15" hidden="1" customHeight="1" outlineLevel="1">
      <c r="A120" s="46"/>
      <c r="B120" s="32" t="s">
        <v>87</v>
      </c>
      <c r="C120" s="33"/>
      <c r="D120" s="34"/>
      <c r="E120" s="34"/>
      <c r="G120" s="34">
        <v>120000</v>
      </c>
    </row>
    <row r="121" spans="1:7" ht="15" hidden="1" customHeight="1" outlineLevel="1">
      <c r="A121" s="46"/>
      <c r="B121" s="32" t="s">
        <v>88</v>
      </c>
      <c r="D121" s="20"/>
      <c r="E121" s="20"/>
      <c r="G121" s="20">
        <v>5000</v>
      </c>
    </row>
    <row r="122" spans="1:7" ht="15" hidden="1" customHeight="1" outlineLevel="1">
      <c r="A122" s="46"/>
      <c r="B122" s="32" t="s">
        <v>89</v>
      </c>
      <c r="D122" s="20"/>
      <c r="E122" s="20"/>
      <c r="G122" s="20">
        <v>7000</v>
      </c>
    </row>
    <row r="123" spans="1:7" ht="15" hidden="1" customHeight="1" outlineLevel="1">
      <c r="A123" s="46"/>
      <c r="B123" s="32" t="s">
        <v>90</v>
      </c>
      <c r="D123" s="20"/>
      <c r="E123" s="20"/>
      <c r="G123" s="20">
        <v>10000</v>
      </c>
    </row>
    <row r="124" spans="1:7" ht="15" hidden="1" customHeight="1" outlineLevel="1">
      <c r="A124" s="76"/>
      <c r="B124" s="32" t="s">
        <v>91</v>
      </c>
      <c r="D124" s="20"/>
      <c r="E124" s="20"/>
      <c r="G124" s="20">
        <v>12000</v>
      </c>
    </row>
    <row r="125" spans="1:7" ht="15" customHeight="1">
      <c r="A125" s="12" t="s">
        <v>79</v>
      </c>
      <c r="B125" s="12"/>
      <c r="D125" s="20"/>
      <c r="E125" s="20"/>
    </row>
    <row r="126" spans="1:7" ht="15" hidden="1" customHeight="1" outlineLevel="1">
      <c r="A126" s="9" t="s">
        <v>92</v>
      </c>
      <c r="B126" s="9"/>
      <c r="C126" s="28" t="s">
        <v>12</v>
      </c>
      <c r="D126" s="78" t="s">
        <v>54</v>
      </c>
      <c r="E126" s="53"/>
      <c r="F126" s="53"/>
      <c r="G126" s="64" t="s">
        <v>81</v>
      </c>
    </row>
    <row r="127" spans="1:7" s="70" customFormat="1" ht="15" hidden="1" customHeight="1" outlineLevel="1">
      <c r="A127" s="65"/>
      <c r="B127" s="79" t="s">
        <v>93</v>
      </c>
      <c r="C127" s="80"/>
      <c r="D127" s="69"/>
      <c r="E127" s="81"/>
      <c r="F127" s="20"/>
      <c r="G127" s="81">
        <v>0</v>
      </c>
    </row>
    <row r="128" spans="1:7" ht="15" hidden="1" customHeight="1" outlineLevel="1">
      <c r="A128" s="71"/>
      <c r="B128" s="32" t="s">
        <v>94</v>
      </c>
      <c r="C128" s="33">
        <v>0.10100000000000001</v>
      </c>
      <c r="D128" s="34">
        <v>2600</v>
      </c>
      <c r="E128" s="20"/>
      <c r="G128" s="34">
        <v>2500</v>
      </c>
    </row>
    <row r="129" spans="1:10" ht="15" hidden="1" customHeight="1" outlineLevel="1">
      <c r="A129" s="71"/>
      <c r="B129" s="32" t="s">
        <v>95</v>
      </c>
      <c r="C129" s="33">
        <v>0.10100000000000001</v>
      </c>
      <c r="D129" s="34">
        <v>2600</v>
      </c>
      <c r="E129" s="20"/>
      <c r="G129" s="34">
        <v>2500</v>
      </c>
    </row>
    <row r="130" spans="1:10" ht="15" hidden="1" customHeight="1" outlineLevel="1">
      <c r="A130" s="71"/>
      <c r="B130" s="32" t="s">
        <v>96</v>
      </c>
      <c r="C130" s="33">
        <v>9.2999999999999999E-2</v>
      </c>
      <c r="D130" s="34">
        <v>2400</v>
      </c>
      <c r="E130" s="20"/>
      <c r="G130" s="34">
        <v>2100</v>
      </c>
    </row>
    <row r="131" spans="1:10" ht="15" hidden="1" customHeight="1" outlineLevel="1">
      <c r="A131" s="71"/>
      <c r="B131" s="32" t="s">
        <v>97</v>
      </c>
      <c r="C131" s="33">
        <v>9.2999999999999999E-2</v>
      </c>
      <c r="D131" s="34">
        <v>2400</v>
      </c>
      <c r="E131" s="20"/>
      <c r="G131" s="34">
        <v>2100</v>
      </c>
    </row>
    <row r="132" spans="1:10" ht="15" hidden="1" customHeight="1" outlineLevel="1">
      <c r="A132" s="71"/>
      <c r="B132" s="32" t="s">
        <v>98</v>
      </c>
      <c r="C132" s="33">
        <v>8.5000000000000006E-2</v>
      </c>
      <c r="D132" s="34">
        <v>2200</v>
      </c>
      <c r="E132" s="20"/>
      <c r="G132" s="34">
        <v>1760</v>
      </c>
    </row>
    <row r="133" spans="1:10" ht="15" hidden="1" customHeight="1" outlineLevel="1">
      <c r="A133" s="71"/>
      <c r="B133" s="32" t="s">
        <v>99</v>
      </c>
      <c r="C133" s="33">
        <v>8.5000000000000006E-2</v>
      </c>
      <c r="D133" s="34">
        <v>2200</v>
      </c>
      <c r="E133" s="20"/>
      <c r="G133" s="34">
        <v>1865</v>
      </c>
    </row>
    <row r="134" spans="1:10" ht="15" hidden="1" customHeight="1" outlineLevel="1">
      <c r="A134" s="71"/>
      <c r="B134" s="32" t="s">
        <v>100</v>
      </c>
      <c r="C134" s="33">
        <v>7.6999999999999999E-2</v>
      </c>
      <c r="D134" s="34">
        <v>2000</v>
      </c>
      <c r="E134" s="20"/>
      <c r="G134" s="34">
        <v>1645</v>
      </c>
    </row>
    <row r="135" spans="1:10" ht="15" hidden="1" customHeight="1" outlineLevel="1">
      <c r="A135" s="71"/>
      <c r="B135" s="32" t="s">
        <v>101</v>
      </c>
      <c r="C135" s="33">
        <v>7.6999999999999999E-2</v>
      </c>
      <c r="D135" s="34">
        <v>2000</v>
      </c>
      <c r="E135" s="20"/>
      <c r="G135" s="34">
        <v>1750</v>
      </c>
    </row>
    <row r="136" spans="1:10" ht="15" hidden="1" customHeight="1" outlineLevel="1">
      <c r="A136" s="71"/>
      <c r="B136" s="32" t="s">
        <v>102</v>
      </c>
      <c r="C136" s="33">
        <v>5.3999999999999999E-2</v>
      </c>
      <c r="D136" s="34">
        <v>1400</v>
      </c>
      <c r="E136" s="20"/>
      <c r="G136" s="34">
        <v>1308</v>
      </c>
    </row>
    <row r="137" spans="1:10" ht="15" hidden="1" customHeight="1" outlineLevel="1">
      <c r="A137" s="71"/>
      <c r="B137" s="32" t="s">
        <v>103</v>
      </c>
      <c r="C137" s="33">
        <v>5.3999999999999999E-2</v>
      </c>
      <c r="D137" s="34">
        <v>1400</v>
      </c>
      <c r="E137" s="20"/>
      <c r="G137" s="34">
        <v>1350</v>
      </c>
    </row>
    <row r="138" spans="1:10" ht="15" hidden="1" customHeight="1" outlineLevel="1">
      <c r="A138" s="71"/>
      <c r="B138" s="17" t="s">
        <v>104</v>
      </c>
      <c r="C138" s="33">
        <v>0.126</v>
      </c>
      <c r="D138" s="34">
        <v>2200</v>
      </c>
      <c r="E138" s="20"/>
      <c r="G138" s="34">
        <v>3200</v>
      </c>
    </row>
    <row r="139" spans="1:10" ht="15" hidden="1" customHeight="1" outlineLevel="1">
      <c r="A139" s="71"/>
      <c r="B139" s="17" t="s">
        <v>105</v>
      </c>
      <c r="C139" s="33">
        <v>0.115</v>
      </c>
      <c r="D139" s="34">
        <v>2000</v>
      </c>
      <c r="E139" s="20"/>
      <c r="G139" s="34">
        <v>2700</v>
      </c>
    </row>
    <row r="140" spans="1:10" ht="15" hidden="1" customHeight="1" outlineLevel="1">
      <c r="A140" s="82"/>
      <c r="B140" s="17" t="s">
        <v>106</v>
      </c>
      <c r="C140" s="33">
        <v>0.08</v>
      </c>
      <c r="D140" s="34">
        <v>1400</v>
      </c>
      <c r="E140" s="20"/>
      <c r="G140" s="34">
        <v>2400</v>
      </c>
    </row>
    <row r="141" spans="1:10" s="16" customFormat="1" ht="15" customHeight="1">
      <c r="A141" s="12" t="s">
        <v>107</v>
      </c>
      <c r="B141" s="12"/>
    </row>
    <row r="142" spans="1:10" ht="17.25" hidden="1" customHeight="1" outlineLevel="1">
      <c r="A142" s="8" t="s">
        <v>108</v>
      </c>
      <c r="B142" s="8"/>
      <c r="C142" s="28" t="s">
        <v>12</v>
      </c>
      <c r="D142" s="64" t="s">
        <v>54</v>
      </c>
      <c r="E142" s="64" t="s">
        <v>55</v>
      </c>
      <c r="F142" s="64" t="s">
        <v>56</v>
      </c>
      <c r="G142" s="64" t="s">
        <v>81</v>
      </c>
    </row>
    <row r="143" spans="1:10" ht="15" hidden="1" customHeight="1" outlineLevel="1">
      <c r="A143" s="83"/>
      <c r="B143" s="66" t="s">
        <v>109</v>
      </c>
      <c r="C143" s="84">
        <f t="shared" ref="C143:C152" si="1">D143*E143*F143/1000000000</f>
        <v>0.1875</v>
      </c>
      <c r="D143" s="68">
        <v>2500</v>
      </c>
      <c r="E143" s="68">
        <v>300</v>
      </c>
      <c r="F143" s="20">
        <v>250</v>
      </c>
      <c r="G143" s="68">
        <v>2850</v>
      </c>
      <c r="J143" s="85"/>
    </row>
    <row r="144" spans="1:10" ht="15" hidden="1" customHeight="1" outlineLevel="1">
      <c r="A144" s="86"/>
      <c r="B144" s="66" t="s">
        <v>110</v>
      </c>
      <c r="C144" s="84">
        <f t="shared" si="1"/>
        <v>0.15</v>
      </c>
      <c r="D144" s="68">
        <v>2000</v>
      </c>
      <c r="E144" s="68">
        <v>300</v>
      </c>
      <c r="F144" s="20">
        <v>250</v>
      </c>
      <c r="G144" s="68">
        <v>2350</v>
      </c>
    </row>
    <row r="145" spans="1:7" ht="15" hidden="1" customHeight="1" outlineLevel="1">
      <c r="A145" s="86"/>
      <c r="B145" s="66" t="s">
        <v>111</v>
      </c>
      <c r="C145" s="84">
        <f t="shared" si="1"/>
        <v>0.1125</v>
      </c>
      <c r="D145" s="68">
        <v>1500</v>
      </c>
      <c r="E145" s="68">
        <v>300</v>
      </c>
      <c r="F145" s="20">
        <v>250</v>
      </c>
      <c r="G145" s="68">
        <v>1750</v>
      </c>
    </row>
    <row r="146" spans="1:7" ht="15" hidden="1" customHeight="1" outlineLevel="1">
      <c r="A146" s="86"/>
      <c r="B146" s="66" t="s">
        <v>112</v>
      </c>
      <c r="C146" s="84">
        <f t="shared" si="1"/>
        <v>0.125</v>
      </c>
      <c r="D146" s="68">
        <v>2500</v>
      </c>
      <c r="E146" s="68">
        <v>200</v>
      </c>
      <c r="F146" s="20">
        <v>250</v>
      </c>
      <c r="G146" s="68">
        <v>1850</v>
      </c>
    </row>
    <row r="147" spans="1:7" ht="15" hidden="1" customHeight="1" outlineLevel="1">
      <c r="A147" s="86"/>
      <c r="B147" s="66" t="s">
        <v>113</v>
      </c>
      <c r="C147" s="84">
        <f t="shared" si="1"/>
        <v>0.1</v>
      </c>
      <c r="D147" s="68">
        <v>2000</v>
      </c>
      <c r="E147" s="68">
        <v>200</v>
      </c>
      <c r="F147" s="20">
        <v>250</v>
      </c>
      <c r="G147" s="68">
        <v>1650</v>
      </c>
    </row>
    <row r="148" spans="1:7" ht="15" hidden="1" customHeight="1" outlineLevel="1">
      <c r="A148" s="86"/>
      <c r="B148" s="66" t="s">
        <v>114</v>
      </c>
      <c r="C148" s="84">
        <f t="shared" si="1"/>
        <v>7.4999999999999997E-2</v>
      </c>
      <c r="D148" s="68">
        <v>1500</v>
      </c>
      <c r="E148" s="68">
        <v>200</v>
      </c>
      <c r="F148" s="20">
        <v>250</v>
      </c>
      <c r="G148" s="68">
        <v>1450</v>
      </c>
    </row>
    <row r="149" spans="1:7" ht="15" hidden="1" customHeight="1" outlineLevel="1">
      <c r="A149" s="86"/>
      <c r="B149" s="66" t="s">
        <v>115</v>
      </c>
      <c r="C149" s="84">
        <f t="shared" si="1"/>
        <v>9.375E-2</v>
      </c>
      <c r="D149" s="68">
        <v>2500</v>
      </c>
      <c r="E149" s="68">
        <v>150</v>
      </c>
      <c r="F149" s="20">
        <v>250</v>
      </c>
      <c r="G149" s="68">
        <v>1600</v>
      </c>
    </row>
    <row r="150" spans="1:7" ht="15" hidden="1" customHeight="1" outlineLevel="1">
      <c r="A150" s="86"/>
      <c r="B150" s="66" t="s">
        <v>116</v>
      </c>
      <c r="C150" s="84">
        <f t="shared" si="1"/>
        <v>7.03125E-2</v>
      </c>
      <c r="D150" s="68">
        <v>1875</v>
      </c>
      <c r="E150" s="68">
        <v>150</v>
      </c>
      <c r="F150" s="20">
        <v>250</v>
      </c>
      <c r="G150" s="68">
        <v>1450</v>
      </c>
    </row>
    <row r="151" spans="1:7" ht="15" hidden="1" customHeight="1" outlineLevel="1">
      <c r="A151" s="86"/>
      <c r="B151" s="66" t="s">
        <v>117</v>
      </c>
      <c r="C151" s="84">
        <f t="shared" si="1"/>
        <v>6.25E-2</v>
      </c>
      <c r="D151" s="68">
        <v>2500</v>
      </c>
      <c r="E151" s="68">
        <v>100</v>
      </c>
      <c r="F151" s="20">
        <v>250</v>
      </c>
      <c r="G151" s="68">
        <v>1450</v>
      </c>
    </row>
    <row r="152" spans="1:7" ht="15" hidden="1" customHeight="1" outlineLevel="1">
      <c r="A152" s="86"/>
      <c r="B152" s="66" t="s">
        <v>118</v>
      </c>
      <c r="C152" s="84">
        <f t="shared" si="1"/>
        <v>4.6875E-2</v>
      </c>
      <c r="D152" s="68">
        <v>1875</v>
      </c>
      <c r="E152" s="68">
        <v>100</v>
      </c>
      <c r="F152" s="20">
        <v>250</v>
      </c>
      <c r="G152" s="68">
        <v>1300</v>
      </c>
    </row>
    <row r="153" spans="1:7" ht="15" hidden="1" customHeight="1" outlineLevel="1">
      <c r="A153" s="86"/>
      <c r="B153" s="72"/>
      <c r="C153" s="84"/>
      <c r="D153" s="68"/>
      <c r="E153" s="68"/>
      <c r="G153" s="68"/>
    </row>
    <row r="154" spans="1:7" ht="15" customHeight="1">
      <c r="A154" s="7" t="s">
        <v>108</v>
      </c>
      <c r="B154" s="7"/>
      <c r="C154" s="84"/>
      <c r="D154" s="68"/>
      <c r="E154" s="68"/>
      <c r="G154" s="68"/>
    </row>
    <row r="155" spans="1:7" ht="15" hidden="1" customHeight="1" outlineLevel="1">
      <c r="A155" s="6" t="s">
        <v>119</v>
      </c>
      <c r="B155" s="6"/>
      <c r="C155" s="87" t="s">
        <v>120</v>
      </c>
      <c r="D155" s="88" t="s">
        <v>121</v>
      </c>
      <c r="E155" s="53" t="s">
        <v>122</v>
      </c>
      <c r="F155" s="53" t="s">
        <v>123</v>
      </c>
      <c r="G155" s="53" t="s">
        <v>124</v>
      </c>
    </row>
    <row r="156" spans="1:7" ht="15" hidden="1" customHeight="1" outlineLevel="1">
      <c r="A156" s="45"/>
      <c r="B156" s="89" t="s">
        <v>125</v>
      </c>
      <c r="C156" s="90" t="s">
        <v>126</v>
      </c>
      <c r="D156" s="91">
        <v>25</v>
      </c>
      <c r="E156" s="91" t="s">
        <v>127</v>
      </c>
      <c r="F156" s="91" t="s">
        <v>128</v>
      </c>
      <c r="G156" s="92">
        <v>185</v>
      </c>
    </row>
    <row r="157" spans="1:7" ht="15" hidden="1" customHeight="1" outlineLevel="1">
      <c r="A157" s="46"/>
      <c r="B157" s="89" t="s">
        <v>129</v>
      </c>
      <c r="C157" s="90" t="s">
        <v>126</v>
      </c>
      <c r="D157" s="91">
        <v>25</v>
      </c>
      <c r="E157" s="91" t="s">
        <v>130</v>
      </c>
      <c r="F157" s="91" t="s">
        <v>128</v>
      </c>
      <c r="G157" s="92">
        <v>215</v>
      </c>
    </row>
    <row r="158" spans="1:7" ht="15" hidden="1" customHeight="1" outlineLevel="1">
      <c r="A158" s="46"/>
      <c r="B158" s="93"/>
      <c r="C158" s="90"/>
      <c r="D158" s="91"/>
      <c r="E158" s="91"/>
      <c r="F158" s="91"/>
      <c r="G158" s="92"/>
    </row>
    <row r="159" spans="1:7" ht="15" customHeight="1">
      <c r="A159" s="12" t="s">
        <v>119</v>
      </c>
      <c r="B159" s="12"/>
      <c r="C159" s="90"/>
      <c r="D159" s="91"/>
      <c r="E159" s="91"/>
      <c r="F159" s="91"/>
      <c r="G159" s="92"/>
    </row>
    <row r="160" spans="1:7" ht="15" hidden="1" customHeight="1" outlineLevel="1">
      <c r="A160" s="5" t="s">
        <v>131</v>
      </c>
      <c r="B160" s="5"/>
      <c r="C160" s="77" t="s">
        <v>120</v>
      </c>
      <c r="D160" s="88"/>
      <c r="E160" s="53"/>
      <c r="F160" s="53"/>
      <c r="G160" s="53" t="s">
        <v>132</v>
      </c>
    </row>
    <row r="161" spans="1:7" ht="15" hidden="1" customHeight="1" outlineLevel="1">
      <c r="A161" s="46"/>
      <c r="B161" s="89" t="s">
        <v>131</v>
      </c>
      <c r="C161" s="90" t="s">
        <v>133</v>
      </c>
      <c r="D161" s="91"/>
      <c r="E161" s="91"/>
      <c r="F161" s="91"/>
      <c r="G161" s="92">
        <v>1400</v>
      </c>
    </row>
    <row r="162" spans="1:7" ht="15" hidden="1" customHeight="1" outlineLevel="1">
      <c r="A162" s="46"/>
      <c r="B162" s="93" t="s">
        <v>134</v>
      </c>
      <c r="C162" s="90" t="s">
        <v>135</v>
      </c>
      <c r="D162" s="91"/>
      <c r="E162" s="91"/>
      <c r="F162" s="91"/>
      <c r="G162" s="92">
        <v>1200</v>
      </c>
    </row>
    <row r="163" spans="1:7" ht="15" customHeight="1">
      <c r="A163" s="12" t="s">
        <v>131</v>
      </c>
      <c r="B163" s="12"/>
      <c r="C163" s="90"/>
      <c r="D163" s="91"/>
      <c r="E163" s="91"/>
      <c r="F163" s="91"/>
      <c r="G163" s="92"/>
    </row>
    <row r="164" spans="1:7" ht="15" hidden="1" customHeight="1" outlineLevel="1">
      <c r="A164" s="6" t="s">
        <v>136</v>
      </c>
      <c r="B164" s="6"/>
      <c r="C164" s="77" t="s">
        <v>120</v>
      </c>
      <c r="D164" s="88"/>
      <c r="E164" s="53"/>
      <c r="F164" s="53"/>
      <c r="G164" s="53" t="s">
        <v>137</v>
      </c>
    </row>
    <row r="165" spans="1:7" s="70" customFormat="1" ht="15" hidden="1" customHeight="1" outlineLevel="1">
      <c r="A165" s="94"/>
      <c r="B165" s="95" t="s">
        <v>138</v>
      </c>
      <c r="C165" s="38" t="s">
        <v>135</v>
      </c>
      <c r="D165" s="96"/>
      <c r="E165" s="39"/>
      <c r="F165" s="39"/>
      <c r="G165" s="39">
        <v>250</v>
      </c>
    </row>
    <row r="166" spans="1:7" s="70" customFormat="1" ht="15" hidden="1" customHeight="1" outlineLevel="1">
      <c r="A166" s="97"/>
      <c r="B166" s="95" t="s">
        <v>139</v>
      </c>
      <c r="C166" s="38" t="s">
        <v>140</v>
      </c>
      <c r="D166" s="96"/>
      <c r="E166" s="39"/>
      <c r="F166" s="39"/>
      <c r="G166" s="39">
        <v>5000</v>
      </c>
    </row>
    <row r="167" spans="1:7" ht="15" hidden="1" customHeight="1" outlineLevel="1">
      <c r="A167" s="97"/>
      <c r="B167" s="98" t="s">
        <v>141</v>
      </c>
      <c r="C167" s="99" t="s">
        <v>140</v>
      </c>
      <c r="D167" s="69"/>
      <c r="E167" s="69"/>
      <c r="F167" s="69"/>
      <c r="G167" s="100">
        <v>10000</v>
      </c>
    </row>
    <row r="168" spans="1:7" ht="15" hidden="1" customHeight="1" outlineLevel="1">
      <c r="A168" s="97"/>
      <c r="B168" s="98" t="s">
        <v>142</v>
      </c>
      <c r="C168" s="99" t="s">
        <v>140</v>
      </c>
      <c r="D168" s="69"/>
      <c r="E168" s="69"/>
      <c r="F168" s="69"/>
      <c r="G168" s="100">
        <v>6000</v>
      </c>
    </row>
    <row r="169" spans="1:7" ht="15" hidden="1" customHeight="1" outlineLevel="1">
      <c r="A169" s="97"/>
      <c r="B169" s="98" t="s">
        <v>143</v>
      </c>
      <c r="C169" s="99" t="s">
        <v>140</v>
      </c>
      <c r="D169" s="69"/>
      <c r="E169" s="69"/>
      <c r="F169" s="69"/>
      <c r="G169" s="100">
        <v>15000</v>
      </c>
    </row>
    <row r="170" spans="1:7" ht="15" hidden="1" customHeight="1" outlineLevel="1">
      <c r="A170" s="97"/>
      <c r="B170" s="98" t="s">
        <v>144</v>
      </c>
      <c r="C170" s="99" t="s">
        <v>140</v>
      </c>
      <c r="D170" s="69"/>
      <c r="E170" s="69"/>
      <c r="F170" s="69"/>
      <c r="G170" s="100">
        <v>7500</v>
      </c>
    </row>
    <row r="171" spans="1:7" ht="15" hidden="1" customHeight="1" outlineLevel="1">
      <c r="A171" s="97"/>
      <c r="B171" s="98" t="s">
        <v>145</v>
      </c>
      <c r="C171" s="99" t="s">
        <v>140</v>
      </c>
      <c r="D171" s="69"/>
      <c r="E171" s="69"/>
      <c r="F171" s="69"/>
      <c r="G171" s="100">
        <v>12000</v>
      </c>
    </row>
    <row r="172" spans="1:7" ht="15" hidden="1" customHeight="1" outlineLevel="1">
      <c r="A172" s="97"/>
      <c r="B172" s="98" t="s">
        <v>146</v>
      </c>
      <c r="C172" s="99" t="s">
        <v>140</v>
      </c>
      <c r="D172" s="100"/>
      <c r="E172" s="69"/>
      <c r="F172" s="69"/>
      <c r="G172" s="69">
        <v>7000</v>
      </c>
    </row>
    <row r="173" spans="1:7" ht="15" hidden="1" customHeight="1" outlineLevel="1">
      <c r="A173" s="97"/>
      <c r="B173" s="98" t="s">
        <v>147</v>
      </c>
      <c r="C173" s="99" t="s">
        <v>140</v>
      </c>
      <c r="D173" s="100"/>
      <c r="E173" s="69"/>
      <c r="F173" s="69"/>
      <c r="G173" s="69">
        <v>16000</v>
      </c>
    </row>
    <row r="174" spans="1:7" ht="15" hidden="1" customHeight="1" outlineLevel="1">
      <c r="A174" s="97"/>
      <c r="B174" s="98" t="s">
        <v>148</v>
      </c>
      <c r="C174" s="99" t="s">
        <v>140</v>
      </c>
      <c r="D174" s="100"/>
      <c r="E174" s="69"/>
      <c r="F174" s="69"/>
      <c r="G174" s="69">
        <v>8000</v>
      </c>
    </row>
    <row r="175" spans="1:7" ht="15" hidden="1" customHeight="1" outlineLevel="1">
      <c r="A175" s="97"/>
      <c r="B175" s="98" t="s">
        <v>149</v>
      </c>
      <c r="C175" s="99" t="s">
        <v>150</v>
      </c>
      <c r="D175" s="100"/>
      <c r="E175" s="69"/>
      <c r="F175" s="69"/>
      <c r="G175" s="69">
        <v>250</v>
      </c>
    </row>
    <row r="176" spans="1:7" ht="15" hidden="1" customHeight="1" outlineLevel="1">
      <c r="A176" s="97"/>
      <c r="B176" s="98"/>
      <c r="C176" s="99"/>
      <c r="D176" s="100"/>
      <c r="E176" s="69"/>
      <c r="F176" s="69"/>
      <c r="G176" s="69"/>
    </row>
    <row r="177" spans="1:7" ht="15" hidden="1" customHeight="1" outlineLevel="1">
      <c r="A177" s="97"/>
      <c r="B177" s="101"/>
      <c r="C177" s="99"/>
      <c r="D177" s="100"/>
      <c r="E177" s="69"/>
      <c r="F177" s="69"/>
      <c r="G177" s="69"/>
    </row>
    <row r="178" spans="1:7" ht="15" customHeight="1">
      <c r="A178" s="4" t="s">
        <v>136</v>
      </c>
      <c r="B178" s="4"/>
      <c r="C178" s="99"/>
      <c r="D178" s="100"/>
      <c r="E178" s="69"/>
      <c r="F178" s="69"/>
      <c r="G178" s="69"/>
    </row>
    <row r="179" spans="1:7" ht="15" hidden="1" customHeight="1" outlineLevel="1">
      <c r="A179" s="6" t="s">
        <v>151</v>
      </c>
      <c r="B179" s="6"/>
      <c r="C179" s="77" t="s">
        <v>120</v>
      </c>
      <c r="D179" s="88"/>
      <c r="E179" s="53"/>
      <c r="F179" s="53"/>
      <c r="G179" s="53" t="s">
        <v>137</v>
      </c>
    </row>
    <row r="180" spans="1:7" s="70" customFormat="1" ht="15" hidden="1" customHeight="1" outlineLevel="1">
      <c r="A180" s="94"/>
      <c r="B180" s="102" t="s">
        <v>152</v>
      </c>
      <c r="C180" s="38"/>
      <c r="D180" s="96"/>
      <c r="E180" s="39"/>
      <c r="F180" s="39"/>
      <c r="G180" s="39">
        <v>0</v>
      </c>
    </row>
    <row r="181" spans="1:7" ht="15" hidden="1" customHeight="1" outlineLevel="1">
      <c r="A181" s="97"/>
      <c r="B181" s="98" t="s">
        <v>153</v>
      </c>
      <c r="C181" s="99" t="s">
        <v>154</v>
      </c>
      <c r="D181" s="69"/>
      <c r="E181" s="69"/>
      <c r="F181" s="69"/>
      <c r="G181" s="100">
        <v>2200</v>
      </c>
    </row>
    <row r="182" spans="1:7" ht="15" hidden="1" customHeight="1" outlineLevel="1">
      <c r="A182" s="97"/>
      <c r="B182" s="98" t="s">
        <v>155</v>
      </c>
      <c r="C182" s="99" t="s">
        <v>156</v>
      </c>
      <c r="D182" s="69"/>
      <c r="E182" s="69"/>
      <c r="F182" s="69"/>
      <c r="G182" s="100">
        <v>300</v>
      </c>
    </row>
    <row r="183" spans="1:7" ht="15" hidden="1" customHeight="1" outlineLevel="1">
      <c r="A183" s="97"/>
      <c r="B183" s="98" t="s">
        <v>157</v>
      </c>
      <c r="C183" s="99" t="s">
        <v>156</v>
      </c>
      <c r="D183" s="69"/>
      <c r="E183" s="69"/>
      <c r="F183" s="69"/>
      <c r="G183" s="100">
        <v>1700</v>
      </c>
    </row>
    <row r="184" spans="1:7" ht="15" hidden="1" customHeight="1" outlineLevel="1">
      <c r="A184" s="97"/>
      <c r="B184" s="98" t="s">
        <v>158</v>
      </c>
      <c r="C184" s="99" t="s">
        <v>159</v>
      </c>
      <c r="D184" s="69"/>
      <c r="E184" s="69"/>
      <c r="F184" s="69"/>
      <c r="G184" s="100">
        <v>2500</v>
      </c>
    </row>
    <row r="185" spans="1:7" ht="15" hidden="1" customHeight="1" outlineLevel="1">
      <c r="A185" s="97"/>
      <c r="B185" s="98" t="s">
        <v>160</v>
      </c>
      <c r="C185" s="99" t="s">
        <v>159</v>
      </c>
      <c r="D185" s="69"/>
      <c r="E185" s="69"/>
      <c r="F185" s="69"/>
      <c r="G185" s="100">
        <v>2000</v>
      </c>
    </row>
    <row r="186" spans="1:7" ht="15" hidden="1" customHeight="1" outlineLevel="1">
      <c r="A186" s="97"/>
      <c r="B186" s="98" t="s">
        <v>161</v>
      </c>
      <c r="C186" s="99" t="s">
        <v>159</v>
      </c>
      <c r="D186" s="69"/>
      <c r="E186" s="69"/>
      <c r="F186" s="69"/>
      <c r="G186" s="100">
        <v>2500</v>
      </c>
    </row>
    <row r="187" spans="1:7" ht="15" hidden="1" customHeight="1" outlineLevel="1">
      <c r="A187" s="97"/>
      <c r="B187" s="98" t="s">
        <v>162</v>
      </c>
      <c r="C187" s="99" t="s">
        <v>159</v>
      </c>
      <c r="D187" s="69"/>
      <c r="E187" s="69"/>
      <c r="F187" s="69"/>
      <c r="G187" s="100">
        <v>500</v>
      </c>
    </row>
    <row r="188" spans="1:7" ht="15" hidden="1" customHeight="1" outlineLevel="1">
      <c r="A188" s="97"/>
      <c r="B188" s="98" t="s">
        <v>163</v>
      </c>
      <c r="C188" s="99" t="s">
        <v>154</v>
      </c>
      <c r="D188" s="69"/>
      <c r="E188" s="69"/>
      <c r="F188" s="69"/>
      <c r="G188" s="100">
        <v>3500</v>
      </c>
    </row>
    <row r="189" spans="1:7" ht="15" hidden="1" customHeight="1" outlineLevel="1">
      <c r="A189" s="97"/>
      <c r="B189" s="98" t="s">
        <v>164</v>
      </c>
      <c r="C189" s="99" t="s">
        <v>154</v>
      </c>
      <c r="D189" s="69"/>
      <c r="E189" s="69"/>
      <c r="F189" s="69"/>
      <c r="G189" s="100">
        <v>1700</v>
      </c>
    </row>
    <row r="190" spans="1:7" ht="15" hidden="1" customHeight="1" outlineLevel="1">
      <c r="A190" s="97"/>
      <c r="B190" s="98" t="s">
        <v>165</v>
      </c>
      <c r="C190" s="99" t="s">
        <v>159</v>
      </c>
      <c r="D190" s="69"/>
      <c r="E190" s="69"/>
      <c r="F190" s="69"/>
      <c r="G190" s="100">
        <v>2500</v>
      </c>
    </row>
    <row r="191" spans="1:7" ht="15" hidden="1" customHeight="1" outlineLevel="1">
      <c r="A191" s="97"/>
      <c r="B191" s="98" t="s">
        <v>166</v>
      </c>
      <c r="C191" s="99" t="s">
        <v>154</v>
      </c>
      <c r="D191" s="69"/>
      <c r="E191" s="69"/>
      <c r="F191" s="69"/>
      <c r="G191" s="100">
        <v>1200</v>
      </c>
    </row>
    <row r="192" spans="1:7" ht="15" hidden="1" customHeight="1" outlineLevel="1">
      <c r="A192" s="97"/>
      <c r="B192" s="98" t="s">
        <v>167</v>
      </c>
      <c r="C192" s="99" t="s">
        <v>154</v>
      </c>
      <c r="D192" s="69"/>
      <c r="E192" s="69"/>
      <c r="F192" s="69"/>
      <c r="G192" s="100">
        <v>500</v>
      </c>
    </row>
    <row r="193" spans="1:7" ht="15" hidden="1" customHeight="1" outlineLevel="1">
      <c r="A193" s="97"/>
      <c r="B193" s="98" t="s">
        <v>168</v>
      </c>
      <c r="C193" s="99" t="s">
        <v>159</v>
      </c>
      <c r="D193" s="69"/>
      <c r="E193" s="69"/>
      <c r="F193" s="69"/>
      <c r="G193" s="100">
        <v>15000</v>
      </c>
    </row>
    <row r="194" spans="1:7" ht="15" hidden="1" customHeight="1" outlineLevel="1">
      <c r="A194" s="97"/>
      <c r="B194" s="98" t="s">
        <v>169</v>
      </c>
      <c r="C194" s="99" t="s">
        <v>159</v>
      </c>
      <c r="D194" s="69"/>
      <c r="E194" s="69"/>
      <c r="F194" s="69"/>
      <c r="G194" s="100">
        <v>5000</v>
      </c>
    </row>
    <row r="195" spans="1:7" ht="15" hidden="1" customHeight="1" outlineLevel="1">
      <c r="A195" s="97"/>
      <c r="B195" s="98"/>
      <c r="C195" s="99"/>
      <c r="D195" s="69"/>
      <c r="E195" s="69"/>
      <c r="F195" s="69"/>
      <c r="G195" s="100"/>
    </row>
    <row r="196" spans="1:7" ht="15" hidden="1" customHeight="1" outlineLevel="1">
      <c r="A196" s="97"/>
      <c r="B196" s="101"/>
      <c r="C196" s="99"/>
      <c r="D196" s="69"/>
      <c r="E196" s="69"/>
      <c r="F196" s="69"/>
      <c r="G196" s="100"/>
    </row>
    <row r="197" spans="1:7" ht="15" customHeight="1">
      <c r="A197" s="4" t="s">
        <v>151</v>
      </c>
      <c r="B197" s="4"/>
      <c r="C197" s="99"/>
      <c r="D197" s="69"/>
      <c r="E197" s="69"/>
      <c r="F197" s="69"/>
      <c r="G197" s="100"/>
    </row>
    <row r="198" spans="1:7" ht="15" hidden="1" customHeight="1" outlineLevel="1">
      <c r="A198" s="6" t="s">
        <v>170</v>
      </c>
      <c r="B198" s="6"/>
      <c r="C198" s="77" t="s">
        <v>120</v>
      </c>
      <c r="D198" s="53"/>
      <c r="E198" s="53" t="s">
        <v>171</v>
      </c>
      <c r="F198" s="53" t="s">
        <v>172</v>
      </c>
      <c r="G198" s="53" t="s">
        <v>137</v>
      </c>
    </row>
    <row r="199" spans="1:7" ht="15" hidden="1" customHeight="1" outlineLevel="1">
      <c r="A199" s="45"/>
      <c r="B199" s="103" t="s">
        <v>173</v>
      </c>
      <c r="C199" s="104" t="s">
        <v>156</v>
      </c>
      <c r="D199" s="68"/>
      <c r="E199" s="68">
        <v>0</v>
      </c>
      <c r="F199" s="68">
        <v>0</v>
      </c>
      <c r="G199" s="68">
        <v>0</v>
      </c>
    </row>
    <row r="200" spans="1:7" ht="15" hidden="1" customHeight="1" outlineLevel="1">
      <c r="A200" s="46"/>
      <c r="B200" s="17" t="s">
        <v>174</v>
      </c>
      <c r="C200" s="104" t="s">
        <v>156</v>
      </c>
      <c r="D200" s="3" t="s">
        <v>175</v>
      </c>
      <c r="E200" s="68">
        <v>43500</v>
      </c>
      <c r="F200" s="68">
        <v>0.222</v>
      </c>
      <c r="G200" s="68">
        <f t="shared" ref="G200:G210" si="2">E200/(1000/F200)</f>
        <v>9.657</v>
      </c>
    </row>
    <row r="201" spans="1:7" ht="15" hidden="1" customHeight="1" outlineLevel="1">
      <c r="A201" s="46"/>
      <c r="B201" s="17" t="s">
        <v>176</v>
      </c>
      <c r="C201" s="104" t="s">
        <v>156</v>
      </c>
      <c r="D201" s="3"/>
      <c r="E201" s="68">
        <v>44400</v>
      </c>
      <c r="F201" s="68">
        <v>0.39500000000000002</v>
      </c>
      <c r="G201" s="68">
        <f t="shared" si="2"/>
        <v>17.538</v>
      </c>
    </row>
    <row r="202" spans="1:7" ht="15" hidden="1" customHeight="1" outlineLevel="1">
      <c r="A202" s="46"/>
      <c r="B202" s="17" t="s">
        <v>177</v>
      </c>
      <c r="C202" s="104" t="s">
        <v>156</v>
      </c>
      <c r="D202" s="3"/>
      <c r="E202" s="68">
        <v>42500</v>
      </c>
      <c r="F202" s="68">
        <v>0.61699999999999999</v>
      </c>
      <c r="G202" s="68">
        <f t="shared" si="2"/>
        <v>26.222499999999997</v>
      </c>
    </row>
    <row r="203" spans="1:7" ht="15" hidden="1" customHeight="1" outlineLevel="1">
      <c r="A203" s="46"/>
      <c r="B203" s="103" t="s">
        <v>178</v>
      </c>
      <c r="C203" s="104" t="s">
        <v>156</v>
      </c>
      <c r="D203" s="3"/>
      <c r="E203" s="68">
        <v>40600</v>
      </c>
      <c r="F203" s="68">
        <v>0.222</v>
      </c>
      <c r="G203" s="68">
        <f t="shared" si="2"/>
        <v>9.0131999999999994</v>
      </c>
    </row>
    <row r="204" spans="1:7" ht="15" hidden="1" customHeight="1" outlineLevel="1">
      <c r="A204" s="46"/>
      <c r="B204" s="103" t="s">
        <v>179</v>
      </c>
      <c r="C204" s="104" t="s">
        <v>156</v>
      </c>
      <c r="D204" s="3"/>
      <c r="E204" s="68">
        <v>40600</v>
      </c>
      <c r="F204" s="68">
        <v>0.39500000000000002</v>
      </c>
      <c r="G204" s="68">
        <f t="shared" si="2"/>
        <v>16.037000000000003</v>
      </c>
    </row>
    <row r="205" spans="1:7" ht="15" hidden="1" customHeight="1" outlineLevel="1">
      <c r="A205" s="46"/>
      <c r="B205" s="103" t="s">
        <v>180</v>
      </c>
      <c r="C205" s="104" t="s">
        <v>156</v>
      </c>
      <c r="D205" s="3"/>
      <c r="E205" s="68">
        <v>34100</v>
      </c>
      <c r="F205" s="68">
        <v>0.61699999999999999</v>
      </c>
      <c r="G205" s="68">
        <f t="shared" si="2"/>
        <v>21.0397</v>
      </c>
    </row>
    <row r="206" spans="1:7" ht="15" hidden="1" customHeight="1" outlineLevel="1">
      <c r="A206" s="46"/>
      <c r="B206" s="103" t="s">
        <v>181</v>
      </c>
      <c r="C206" s="104" t="s">
        <v>156</v>
      </c>
      <c r="D206" s="3"/>
      <c r="E206" s="68">
        <v>32900</v>
      </c>
      <c r="F206" s="68">
        <v>0.88800000000000001</v>
      </c>
      <c r="G206" s="68">
        <f t="shared" si="2"/>
        <v>29.215199999999999</v>
      </c>
    </row>
    <row r="207" spans="1:7" ht="15" hidden="1" customHeight="1" outlineLevel="1">
      <c r="A207" s="46"/>
      <c r="B207" s="103" t="s">
        <v>182</v>
      </c>
      <c r="C207" s="104" t="s">
        <v>156</v>
      </c>
      <c r="D207" s="3"/>
      <c r="E207" s="68">
        <v>32400</v>
      </c>
      <c r="F207" s="68">
        <v>1.21</v>
      </c>
      <c r="G207" s="68">
        <f t="shared" si="2"/>
        <v>39.204000000000001</v>
      </c>
    </row>
    <row r="208" spans="1:7" ht="15" hidden="1" customHeight="1" outlineLevel="1">
      <c r="A208" s="46"/>
      <c r="B208" s="103" t="s">
        <v>183</v>
      </c>
      <c r="C208" s="104" t="s">
        <v>156</v>
      </c>
      <c r="D208" s="3"/>
      <c r="E208" s="68">
        <v>32400</v>
      </c>
      <c r="F208" s="68">
        <v>1.58</v>
      </c>
      <c r="G208" s="68">
        <f t="shared" si="2"/>
        <v>51.192000000000007</v>
      </c>
    </row>
    <row r="209" spans="1:7" ht="15" hidden="1" customHeight="1" outlineLevel="1">
      <c r="A209" s="46"/>
      <c r="B209" s="103" t="s">
        <v>184</v>
      </c>
      <c r="C209" s="104" t="s">
        <v>156</v>
      </c>
      <c r="D209" s="3"/>
      <c r="E209" s="68">
        <v>32400</v>
      </c>
      <c r="F209" s="68">
        <v>2</v>
      </c>
      <c r="G209" s="68">
        <f t="shared" si="2"/>
        <v>64.8</v>
      </c>
    </row>
    <row r="210" spans="1:7" ht="15" hidden="1" customHeight="1" outlineLevel="1">
      <c r="A210" s="46"/>
      <c r="B210" s="103" t="s">
        <v>185</v>
      </c>
      <c r="C210" s="104" t="s">
        <v>156</v>
      </c>
      <c r="D210" s="3"/>
      <c r="E210" s="68">
        <v>32400</v>
      </c>
      <c r="F210" s="68">
        <v>2.4700000000000002</v>
      </c>
      <c r="G210" s="68">
        <f t="shared" si="2"/>
        <v>80.028000000000006</v>
      </c>
    </row>
    <row r="211" spans="1:7" ht="15" hidden="1" customHeight="1" outlineLevel="1">
      <c r="A211" s="46"/>
      <c r="B211" s="103" t="s">
        <v>186</v>
      </c>
      <c r="C211" s="104" t="s">
        <v>133</v>
      </c>
      <c r="D211" s="68"/>
      <c r="E211" s="68"/>
      <c r="F211" s="68"/>
      <c r="G211" s="68">
        <v>70</v>
      </c>
    </row>
    <row r="212" spans="1:7" ht="15" hidden="1" customHeight="1" outlineLevel="1">
      <c r="A212" s="46"/>
      <c r="B212" s="103" t="s">
        <v>187</v>
      </c>
      <c r="C212" s="104" t="s">
        <v>188</v>
      </c>
      <c r="D212" s="68"/>
      <c r="E212" s="68"/>
      <c r="F212" s="68"/>
      <c r="G212" s="68">
        <v>80</v>
      </c>
    </row>
    <row r="213" spans="1:7" ht="15" hidden="1" customHeight="1" outlineLevel="1">
      <c r="A213" s="46"/>
      <c r="B213" s="103" t="s">
        <v>189</v>
      </c>
      <c r="C213" s="104" t="s">
        <v>159</v>
      </c>
      <c r="D213" s="68"/>
      <c r="E213" s="68"/>
      <c r="F213" s="68"/>
      <c r="G213" s="68">
        <v>2</v>
      </c>
    </row>
    <row r="214" spans="1:7" ht="15" hidden="1" customHeight="1" outlineLevel="1">
      <c r="A214" s="46"/>
      <c r="B214" s="103" t="s">
        <v>190</v>
      </c>
      <c r="C214" s="104" t="s">
        <v>159</v>
      </c>
      <c r="D214" s="68"/>
      <c r="E214" s="68"/>
      <c r="F214" s="68"/>
      <c r="G214" s="68">
        <v>5</v>
      </c>
    </row>
    <row r="215" spans="1:7" ht="15" hidden="1" customHeight="1" outlineLevel="1">
      <c r="A215" s="46"/>
      <c r="B215" s="103" t="s">
        <v>191</v>
      </c>
      <c r="C215" s="104" t="s">
        <v>133</v>
      </c>
      <c r="D215" s="68"/>
      <c r="E215" s="68"/>
      <c r="F215" s="68"/>
      <c r="G215" s="68">
        <v>15</v>
      </c>
    </row>
    <row r="216" spans="1:7" ht="15" hidden="1" customHeight="1" outlineLevel="1">
      <c r="A216" s="46"/>
      <c r="B216" s="103" t="s">
        <v>192</v>
      </c>
      <c r="C216" s="104" t="s">
        <v>156</v>
      </c>
      <c r="D216" s="68"/>
      <c r="E216" s="68"/>
      <c r="F216" s="68"/>
      <c r="G216" s="68">
        <v>500</v>
      </c>
    </row>
    <row r="217" spans="1:7" ht="15" hidden="1" customHeight="1" outlineLevel="1">
      <c r="A217" s="46"/>
      <c r="B217" s="103" t="s">
        <v>193</v>
      </c>
      <c r="C217" s="104" t="s">
        <v>156</v>
      </c>
      <c r="D217" s="68"/>
      <c r="E217" s="68"/>
      <c r="F217" s="68"/>
      <c r="G217" s="68">
        <v>50</v>
      </c>
    </row>
    <row r="218" spans="1:7" ht="15" hidden="1" customHeight="1" outlineLevel="1">
      <c r="A218" s="46"/>
      <c r="B218" s="103" t="s">
        <v>194</v>
      </c>
      <c r="C218" s="104" t="s">
        <v>188</v>
      </c>
      <c r="D218" s="68"/>
      <c r="E218" s="68"/>
      <c r="F218" s="68"/>
      <c r="G218" s="68">
        <v>100</v>
      </c>
    </row>
    <row r="219" spans="1:7" ht="15" hidden="1" customHeight="1" outlineLevel="1">
      <c r="A219" s="46"/>
      <c r="B219" s="103" t="s">
        <v>195</v>
      </c>
      <c r="C219" s="104" t="s">
        <v>188</v>
      </c>
      <c r="D219" s="68"/>
      <c r="E219" s="68"/>
      <c r="F219" s="68"/>
      <c r="G219" s="68">
        <v>100</v>
      </c>
    </row>
    <row r="220" spans="1:7" ht="15" hidden="1" customHeight="1" outlineLevel="1">
      <c r="A220" s="46"/>
      <c r="B220" s="103" t="s">
        <v>196</v>
      </c>
      <c r="C220" s="104" t="s">
        <v>159</v>
      </c>
      <c r="D220" s="68"/>
      <c r="E220" s="68"/>
      <c r="F220" s="68"/>
      <c r="G220" s="68">
        <v>20</v>
      </c>
    </row>
    <row r="221" spans="1:7" ht="15" hidden="1" customHeight="1" outlineLevel="1">
      <c r="A221" s="46"/>
      <c r="B221" s="103" t="s">
        <v>197</v>
      </c>
      <c r="C221" s="104" t="s">
        <v>159</v>
      </c>
      <c r="D221" s="68"/>
      <c r="E221" s="68"/>
      <c r="F221" s="68"/>
      <c r="G221" s="68">
        <v>10</v>
      </c>
    </row>
    <row r="222" spans="1:7" ht="15" hidden="1" customHeight="1" outlineLevel="1">
      <c r="A222" s="46"/>
      <c r="B222" s="105"/>
      <c r="C222" s="104"/>
      <c r="D222" s="68"/>
      <c r="E222" s="68"/>
      <c r="F222" s="68"/>
      <c r="G222" s="68"/>
    </row>
    <row r="223" spans="1:7" ht="15" customHeight="1">
      <c r="A223" s="12" t="s">
        <v>170</v>
      </c>
      <c r="B223" s="12"/>
      <c r="C223" s="104"/>
      <c r="D223" s="68"/>
      <c r="E223" s="68"/>
      <c r="F223" s="68"/>
      <c r="G223" s="68"/>
    </row>
    <row r="224" spans="1:7" ht="15" hidden="1" customHeight="1" outlineLevel="1">
      <c r="A224" s="106" t="s">
        <v>198</v>
      </c>
      <c r="B224" s="107"/>
      <c r="C224" s="77" t="s">
        <v>120</v>
      </c>
      <c r="D224" s="88"/>
      <c r="E224" s="53"/>
      <c r="F224" s="53"/>
      <c r="G224" s="53" t="s">
        <v>137</v>
      </c>
    </row>
    <row r="225" spans="1:7" ht="15" hidden="1" customHeight="1" outlineLevel="1">
      <c r="A225" s="45"/>
      <c r="B225" s="98" t="s">
        <v>199</v>
      </c>
      <c r="C225" s="99" t="s">
        <v>135</v>
      </c>
      <c r="D225" s="100"/>
      <c r="E225" s="69"/>
      <c r="F225" s="69"/>
      <c r="G225" s="69">
        <v>2500</v>
      </c>
    </row>
    <row r="226" spans="1:7" ht="15" hidden="1" customHeight="1" outlineLevel="1">
      <c r="A226" s="46"/>
      <c r="B226" s="98" t="s">
        <v>200</v>
      </c>
      <c r="C226" s="99" t="s">
        <v>135</v>
      </c>
      <c r="D226" s="100"/>
      <c r="E226" s="69"/>
      <c r="F226" s="69"/>
      <c r="G226" s="69">
        <v>2750</v>
      </c>
    </row>
    <row r="227" spans="1:7" ht="15" hidden="1" customHeight="1" outlineLevel="1">
      <c r="A227" s="46"/>
      <c r="B227" s="98" t="s">
        <v>201</v>
      </c>
      <c r="C227" s="99" t="s">
        <v>135</v>
      </c>
      <c r="D227" s="100"/>
      <c r="E227" s="69"/>
      <c r="F227" s="69"/>
      <c r="G227" s="69">
        <v>3000</v>
      </c>
    </row>
    <row r="228" spans="1:7" ht="15" hidden="1" customHeight="1" outlineLevel="1">
      <c r="A228" s="46"/>
      <c r="B228" s="98" t="s">
        <v>202</v>
      </c>
      <c r="C228" s="99" t="s">
        <v>135</v>
      </c>
      <c r="D228" s="100"/>
      <c r="E228" s="69"/>
      <c r="F228" s="69"/>
      <c r="G228" s="69">
        <v>3500</v>
      </c>
    </row>
    <row r="229" spans="1:7" ht="15" hidden="1" customHeight="1" outlineLevel="1">
      <c r="A229" s="46"/>
      <c r="B229" s="98" t="s">
        <v>203</v>
      </c>
      <c r="C229" s="99" t="s">
        <v>135</v>
      </c>
      <c r="D229" s="20"/>
      <c r="E229" s="20"/>
      <c r="G229" s="20">
        <v>2100</v>
      </c>
    </row>
    <row r="230" spans="1:7" ht="15" hidden="1" customHeight="1" outlineLevel="1">
      <c r="A230" s="46"/>
      <c r="B230" s="98" t="s">
        <v>204</v>
      </c>
      <c r="C230" s="99" t="s">
        <v>135</v>
      </c>
      <c r="D230" s="20"/>
      <c r="E230" s="20"/>
      <c r="G230" s="20">
        <v>2500</v>
      </c>
    </row>
    <row r="231" spans="1:7" ht="15" hidden="1" customHeight="1" outlineLevel="1">
      <c r="A231" s="46"/>
      <c r="B231" s="98" t="s">
        <v>205</v>
      </c>
      <c r="C231" s="99" t="s">
        <v>135</v>
      </c>
      <c r="D231" s="20"/>
      <c r="E231" s="20"/>
      <c r="G231" s="20">
        <v>3000</v>
      </c>
    </row>
    <row r="232" spans="1:7" ht="15" hidden="1" customHeight="1" outlineLevel="1">
      <c r="A232" s="46"/>
      <c r="B232" s="98" t="s">
        <v>206</v>
      </c>
      <c r="C232" s="99" t="s">
        <v>135</v>
      </c>
      <c r="D232" s="20"/>
      <c r="E232" s="20"/>
      <c r="G232" s="20">
        <v>3500</v>
      </c>
    </row>
    <row r="233" spans="1:7" ht="15" hidden="1" customHeight="1" outlineLevel="1">
      <c r="A233" s="46"/>
      <c r="B233" s="101"/>
      <c r="C233" s="99"/>
      <c r="D233" s="20"/>
      <c r="E233" s="20"/>
    </row>
    <row r="234" spans="1:7" ht="15" customHeight="1">
      <c r="A234" s="12" t="s">
        <v>198</v>
      </c>
      <c r="B234" s="12"/>
      <c r="C234" s="99"/>
      <c r="D234" s="20"/>
      <c r="E234" s="20"/>
    </row>
    <row r="235" spans="1:7" ht="15" hidden="1" customHeight="1" outlineLevel="1">
      <c r="A235" s="108" t="s">
        <v>207</v>
      </c>
      <c r="B235" s="109"/>
      <c r="C235" s="77" t="s">
        <v>208</v>
      </c>
      <c r="D235" s="78" t="s">
        <v>56</v>
      </c>
      <c r="E235" s="78" t="s">
        <v>55</v>
      </c>
      <c r="F235" s="78" t="s">
        <v>209</v>
      </c>
      <c r="G235" s="78" t="s">
        <v>57</v>
      </c>
    </row>
    <row r="236" spans="1:7" ht="15" hidden="1" customHeight="1" outlineLevel="1">
      <c r="A236" s="110"/>
      <c r="B236" s="111" t="s">
        <v>210</v>
      </c>
      <c r="C236" s="112" t="s">
        <v>135</v>
      </c>
      <c r="D236" s="69">
        <v>200</v>
      </c>
      <c r="E236" s="113">
        <v>400</v>
      </c>
      <c r="F236" s="113">
        <v>600</v>
      </c>
      <c r="G236" s="113">
        <v>3950</v>
      </c>
    </row>
    <row r="237" spans="1:7" ht="15" hidden="1" customHeight="1" outlineLevel="1">
      <c r="A237" s="114"/>
      <c r="B237" s="111" t="s">
        <v>211</v>
      </c>
      <c r="C237" s="112" t="s">
        <v>135</v>
      </c>
      <c r="D237" s="69">
        <v>200</v>
      </c>
      <c r="E237" s="113">
        <v>300</v>
      </c>
      <c r="F237" s="113">
        <v>600</v>
      </c>
      <c r="G237" s="113">
        <v>3650</v>
      </c>
    </row>
    <row r="238" spans="1:7" ht="15" hidden="1" customHeight="1" outlineLevel="1">
      <c r="A238" s="114"/>
      <c r="B238" s="111" t="s">
        <v>212</v>
      </c>
      <c r="C238" s="112" t="s">
        <v>135</v>
      </c>
      <c r="D238" s="69">
        <v>200</v>
      </c>
      <c r="E238" s="113">
        <v>200</v>
      </c>
      <c r="F238" s="113">
        <v>600</v>
      </c>
      <c r="G238" s="113">
        <v>3950</v>
      </c>
    </row>
    <row r="239" spans="1:7" ht="15" hidden="1" customHeight="1" outlineLevel="1">
      <c r="A239" s="114"/>
      <c r="B239" s="111" t="s">
        <v>213</v>
      </c>
      <c r="C239" s="112" t="s">
        <v>135</v>
      </c>
      <c r="D239" s="69">
        <v>200</v>
      </c>
      <c r="E239" s="113">
        <v>150</v>
      </c>
      <c r="F239" s="113">
        <v>600</v>
      </c>
      <c r="G239" s="113">
        <v>3950</v>
      </c>
    </row>
    <row r="240" spans="1:7" ht="15" hidden="1" customHeight="1" outlineLevel="1">
      <c r="A240" s="114"/>
      <c r="B240" s="111" t="s">
        <v>214</v>
      </c>
      <c r="C240" s="112" t="s">
        <v>135</v>
      </c>
      <c r="D240" s="69">
        <v>200</v>
      </c>
      <c r="E240" s="113">
        <v>100</v>
      </c>
      <c r="F240" s="113">
        <v>600</v>
      </c>
      <c r="G240" s="113">
        <v>3950</v>
      </c>
    </row>
    <row r="241" spans="1:7" ht="15" hidden="1" customHeight="1" outlineLevel="1">
      <c r="A241" s="114"/>
      <c r="B241" s="111" t="s">
        <v>215</v>
      </c>
      <c r="C241" s="112" t="s">
        <v>135</v>
      </c>
      <c r="D241" s="69">
        <v>200</v>
      </c>
      <c r="E241" s="113">
        <v>400</v>
      </c>
      <c r="F241" s="113">
        <v>600</v>
      </c>
      <c r="G241" s="113">
        <v>3950</v>
      </c>
    </row>
    <row r="242" spans="1:7" ht="15" hidden="1" customHeight="1" outlineLevel="1">
      <c r="A242" s="114"/>
      <c r="B242" s="111" t="s">
        <v>216</v>
      </c>
      <c r="C242" s="112" t="s">
        <v>135</v>
      </c>
      <c r="D242" s="69">
        <v>150</v>
      </c>
      <c r="E242" s="113">
        <v>300</v>
      </c>
      <c r="F242" s="113">
        <v>600</v>
      </c>
      <c r="G242" s="113">
        <v>3750</v>
      </c>
    </row>
    <row r="243" spans="1:7" ht="15" hidden="1" customHeight="1" outlineLevel="1">
      <c r="A243" s="114"/>
      <c r="B243" s="111" t="s">
        <v>217</v>
      </c>
      <c r="C243" s="112" t="s">
        <v>135</v>
      </c>
      <c r="D243" s="69">
        <v>150</v>
      </c>
      <c r="E243" s="113">
        <v>200</v>
      </c>
      <c r="F243" s="113">
        <v>600</v>
      </c>
      <c r="G243" s="113">
        <v>3750</v>
      </c>
    </row>
    <row r="244" spans="1:7" ht="15" hidden="1" customHeight="1" outlineLevel="1">
      <c r="A244" s="114"/>
      <c r="B244" s="111" t="s">
        <v>218</v>
      </c>
      <c r="C244" s="112" t="s">
        <v>135</v>
      </c>
      <c r="D244" s="69">
        <v>150</v>
      </c>
      <c r="E244" s="113">
        <v>150</v>
      </c>
      <c r="F244" s="113">
        <v>600</v>
      </c>
      <c r="G244" s="113">
        <v>3750</v>
      </c>
    </row>
    <row r="245" spans="1:7" ht="15" hidden="1" customHeight="1" outlineLevel="1">
      <c r="A245" s="114"/>
      <c r="B245" s="111" t="s">
        <v>219</v>
      </c>
      <c r="C245" s="112" t="s">
        <v>135</v>
      </c>
      <c r="D245" s="69">
        <v>150</v>
      </c>
      <c r="E245" s="113">
        <v>100</v>
      </c>
      <c r="F245" s="113">
        <v>600</v>
      </c>
      <c r="G245" s="113">
        <v>3750</v>
      </c>
    </row>
    <row r="246" spans="1:7" ht="15" hidden="1" customHeight="1" outlineLevel="1">
      <c r="A246" s="114"/>
      <c r="B246" s="111" t="s">
        <v>220</v>
      </c>
      <c r="C246" s="112" t="s">
        <v>135</v>
      </c>
      <c r="D246" s="69">
        <v>100</v>
      </c>
      <c r="E246" s="113">
        <v>400</v>
      </c>
      <c r="F246" s="113">
        <v>600</v>
      </c>
      <c r="G246" s="113">
        <v>3750</v>
      </c>
    </row>
    <row r="247" spans="1:7" ht="15" hidden="1" customHeight="1" outlineLevel="1">
      <c r="A247" s="114"/>
      <c r="B247" s="111" t="s">
        <v>221</v>
      </c>
      <c r="C247" s="112" t="s">
        <v>135</v>
      </c>
      <c r="D247" s="69">
        <v>100</v>
      </c>
      <c r="E247" s="113">
        <v>300</v>
      </c>
      <c r="F247" s="113">
        <v>600</v>
      </c>
      <c r="G247" s="113">
        <v>3950</v>
      </c>
    </row>
    <row r="248" spans="1:7" ht="15" hidden="1" customHeight="1" outlineLevel="1">
      <c r="A248" s="114"/>
      <c r="B248" s="111" t="s">
        <v>222</v>
      </c>
      <c r="C248" s="112" t="s">
        <v>135</v>
      </c>
      <c r="D248" s="69">
        <v>100</v>
      </c>
      <c r="E248" s="113">
        <v>200</v>
      </c>
      <c r="F248" s="113">
        <v>600</v>
      </c>
      <c r="G248" s="113">
        <v>3950</v>
      </c>
    </row>
    <row r="249" spans="1:7" ht="15" hidden="1" customHeight="1" outlineLevel="1">
      <c r="A249" s="114"/>
      <c r="B249" s="111" t="s">
        <v>223</v>
      </c>
      <c r="C249" s="112" t="s">
        <v>135</v>
      </c>
      <c r="D249" s="69">
        <v>100</v>
      </c>
      <c r="E249" s="113">
        <v>150</v>
      </c>
      <c r="F249" s="113">
        <v>600</v>
      </c>
      <c r="G249" s="113">
        <v>3950</v>
      </c>
    </row>
    <row r="250" spans="1:7" ht="15" hidden="1" customHeight="1" outlineLevel="1">
      <c r="A250" s="115"/>
      <c r="B250" s="111" t="s">
        <v>224</v>
      </c>
      <c r="C250" s="112" t="s">
        <v>135</v>
      </c>
      <c r="D250" s="69">
        <v>100</v>
      </c>
      <c r="E250" s="113">
        <v>100</v>
      </c>
      <c r="F250" s="113">
        <v>600</v>
      </c>
      <c r="G250" s="113">
        <v>3950</v>
      </c>
    </row>
    <row r="251" spans="1:7" ht="15" hidden="1" customHeight="1" outlineLevel="1">
      <c r="A251" s="115"/>
      <c r="B251" s="116" t="s">
        <v>225</v>
      </c>
      <c r="C251" s="112" t="s">
        <v>135</v>
      </c>
      <c r="D251" s="69">
        <v>188</v>
      </c>
      <c r="E251" s="113">
        <v>190</v>
      </c>
      <c r="F251" s="113">
        <v>390</v>
      </c>
      <c r="G251" s="113">
        <v>3200</v>
      </c>
    </row>
    <row r="252" spans="1:7" ht="15" hidden="1" customHeight="1" outlineLevel="1">
      <c r="A252" s="115"/>
      <c r="B252" s="116" t="s">
        <v>226</v>
      </c>
      <c r="C252" s="112" t="s">
        <v>135</v>
      </c>
      <c r="D252" s="69">
        <v>188</v>
      </c>
      <c r="E252" s="113">
        <v>290</v>
      </c>
      <c r="F252" s="113">
        <v>390</v>
      </c>
      <c r="G252" s="113">
        <v>3200</v>
      </c>
    </row>
    <row r="253" spans="1:7" ht="15" hidden="1" customHeight="1" outlineLevel="1">
      <c r="A253" s="115"/>
      <c r="B253" s="116" t="s">
        <v>227</v>
      </c>
      <c r="C253" s="112" t="s">
        <v>135</v>
      </c>
      <c r="D253" s="69">
        <v>188</v>
      </c>
      <c r="E253" s="113">
        <v>90</v>
      </c>
      <c r="F253" s="113">
        <v>390</v>
      </c>
      <c r="G253" s="113">
        <v>3200</v>
      </c>
    </row>
    <row r="254" spans="1:7" ht="15" hidden="1" customHeight="1" outlineLevel="1">
      <c r="A254" s="115"/>
      <c r="B254" s="111"/>
      <c r="C254" s="112"/>
      <c r="D254" s="69"/>
      <c r="E254" s="113"/>
      <c r="F254" s="113"/>
      <c r="G254" s="113"/>
    </row>
    <row r="255" spans="1:7" ht="15" hidden="1" customHeight="1" outlineLevel="1">
      <c r="A255" s="115"/>
      <c r="B255" s="117"/>
      <c r="C255" s="112"/>
      <c r="D255" s="69"/>
      <c r="E255" s="113"/>
      <c r="F255" s="113"/>
      <c r="G255" s="113"/>
    </row>
    <row r="256" spans="1:7" ht="15" customHeight="1">
      <c r="A256" s="12" t="s">
        <v>207</v>
      </c>
      <c r="B256" s="12"/>
      <c r="C256" s="112"/>
      <c r="D256" s="69"/>
      <c r="E256" s="113"/>
      <c r="F256" s="113"/>
      <c r="G256" s="113"/>
    </row>
    <row r="257" spans="1:7" ht="15" hidden="1" customHeight="1" outlineLevel="1">
      <c r="A257" s="118" t="s">
        <v>228</v>
      </c>
      <c r="B257" s="119"/>
      <c r="C257" s="77" t="s">
        <v>208</v>
      </c>
      <c r="D257" s="78" t="s">
        <v>229</v>
      </c>
      <c r="E257" s="78"/>
      <c r="F257" s="53"/>
      <c r="G257" s="78" t="s">
        <v>57</v>
      </c>
    </row>
    <row r="258" spans="1:7" s="70" customFormat="1" ht="15" hidden="1" customHeight="1" outlineLevel="1">
      <c r="A258" s="120"/>
      <c r="B258" s="121" t="s">
        <v>82</v>
      </c>
      <c r="C258" s="38" t="s">
        <v>133</v>
      </c>
      <c r="D258" s="40">
        <v>0</v>
      </c>
      <c r="E258" s="40">
        <v>0</v>
      </c>
      <c r="F258" s="39">
        <v>0</v>
      </c>
      <c r="G258" s="40">
        <v>0</v>
      </c>
    </row>
    <row r="259" spans="1:7" ht="15" hidden="1" customHeight="1" outlineLevel="1">
      <c r="A259" s="120"/>
      <c r="B259" s="111" t="s">
        <v>230</v>
      </c>
      <c r="C259" s="112" t="s">
        <v>133</v>
      </c>
      <c r="D259" s="113">
        <v>3</v>
      </c>
      <c r="E259" s="113"/>
      <c r="F259" s="69"/>
      <c r="G259" s="113">
        <v>800</v>
      </c>
    </row>
    <row r="260" spans="1:7" ht="15" hidden="1" customHeight="1" outlineLevel="1">
      <c r="A260" s="120"/>
      <c r="B260" s="111" t="s">
        <v>231</v>
      </c>
      <c r="C260" s="112" t="s">
        <v>133</v>
      </c>
      <c r="D260" s="113">
        <v>3</v>
      </c>
      <c r="E260" s="113"/>
      <c r="F260" s="69"/>
      <c r="G260" s="113">
        <v>1200</v>
      </c>
    </row>
    <row r="261" spans="1:7" ht="15" hidden="1" customHeight="1" outlineLevel="1">
      <c r="A261" s="120"/>
      <c r="B261" s="111" t="s">
        <v>232</v>
      </c>
      <c r="C261" s="112" t="s">
        <v>133</v>
      </c>
      <c r="D261" s="113">
        <v>3</v>
      </c>
      <c r="E261" s="113"/>
      <c r="F261" s="69"/>
      <c r="G261" s="113">
        <v>1400</v>
      </c>
    </row>
    <row r="262" spans="1:7" ht="15" hidden="1" customHeight="1" outlineLevel="1">
      <c r="A262" s="120"/>
      <c r="B262" s="111" t="s">
        <v>233</v>
      </c>
      <c r="C262" s="112" t="s">
        <v>133</v>
      </c>
      <c r="D262" s="113">
        <v>3.5</v>
      </c>
      <c r="E262" s="113"/>
      <c r="F262" s="69"/>
      <c r="G262" s="113">
        <v>800</v>
      </c>
    </row>
    <row r="263" spans="1:7" ht="15" hidden="1" customHeight="1" outlineLevel="1">
      <c r="A263" s="120"/>
      <c r="B263" s="111" t="s">
        <v>234</v>
      </c>
      <c r="C263" s="112" t="s">
        <v>133</v>
      </c>
      <c r="D263" s="113">
        <v>3.5</v>
      </c>
      <c r="E263" s="113"/>
      <c r="F263" s="69"/>
      <c r="G263" s="113">
        <v>1200</v>
      </c>
    </row>
    <row r="264" spans="1:7" ht="15" hidden="1" customHeight="1" outlineLevel="1">
      <c r="A264" s="120"/>
      <c r="B264" s="111" t="s">
        <v>235</v>
      </c>
      <c r="C264" s="112" t="s">
        <v>133</v>
      </c>
      <c r="D264" s="113">
        <v>3.5</v>
      </c>
      <c r="E264" s="113"/>
      <c r="F264" s="69"/>
      <c r="G264" s="113">
        <v>1400</v>
      </c>
    </row>
    <row r="265" spans="1:7" ht="15" hidden="1" customHeight="1" outlineLevel="1">
      <c r="A265" s="120"/>
      <c r="B265" s="111" t="s">
        <v>236</v>
      </c>
      <c r="C265" s="112" t="s">
        <v>133</v>
      </c>
      <c r="D265" s="113">
        <v>3.75</v>
      </c>
      <c r="E265" s="113"/>
      <c r="F265" s="69"/>
      <c r="G265" s="113">
        <v>800</v>
      </c>
    </row>
    <row r="266" spans="1:7" ht="15" hidden="1" customHeight="1" outlineLevel="1">
      <c r="A266" s="120"/>
      <c r="B266" s="111" t="s">
        <v>237</v>
      </c>
      <c r="C266" s="112" t="s">
        <v>133</v>
      </c>
      <c r="D266" s="113">
        <v>3.75</v>
      </c>
      <c r="E266" s="113"/>
      <c r="F266" s="69"/>
      <c r="G266" s="113">
        <v>1200</v>
      </c>
    </row>
    <row r="267" spans="1:7" ht="15" hidden="1" customHeight="1" outlineLevel="1">
      <c r="A267" s="120"/>
      <c r="B267" s="111" t="s">
        <v>238</v>
      </c>
      <c r="C267" s="112" t="s">
        <v>133</v>
      </c>
      <c r="D267" s="113">
        <v>3.75</v>
      </c>
      <c r="E267" s="113"/>
      <c r="F267" s="69"/>
      <c r="G267" s="113">
        <v>1400</v>
      </c>
    </row>
    <row r="268" spans="1:7" ht="15" hidden="1" customHeight="1" outlineLevel="1">
      <c r="A268" s="120"/>
      <c r="B268" s="111" t="s">
        <v>239</v>
      </c>
      <c r="C268" s="112" t="s">
        <v>133</v>
      </c>
      <c r="D268" s="113">
        <v>1.5</v>
      </c>
      <c r="E268" s="113"/>
      <c r="F268" s="69"/>
      <c r="G268" s="113">
        <v>800</v>
      </c>
    </row>
    <row r="269" spans="1:7" ht="15" hidden="1" customHeight="1" outlineLevel="1">
      <c r="A269" s="120"/>
      <c r="B269" s="111" t="s">
        <v>240</v>
      </c>
      <c r="C269" s="112" t="s">
        <v>133</v>
      </c>
      <c r="D269" s="113">
        <v>1.5</v>
      </c>
      <c r="E269" s="113"/>
      <c r="F269" s="69"/>
      <c r="G269" s="113">
        <v>1200</v>
      </c>
    </row>
    <row r="270" spans="1:7" ht="15" hidden="1" customHeight="1" outlineLevel="1">
      <c r="A270" s="120"/>
      <c r="B270" s="111" t="s">
        <v>241</v>
      </c>
      <c r="C270" s="112" t="s">
        <v>133</v>
      </c>
      <c r="D270" s="113">
        <v>1.5</v>
      </c>
      <c r="E270" s="113"/>
      <c r="F270" s="69"/>
      <c r="G270" s="113">
        <v>1400</v>
      </c>
    </row>
    <row r="271" spans="1:7" ht="15" hidden="1" customHeight="1" outlineLevel="1">
      <c r="A271" s="120"/>
      <c r="B271" s="117"/>
      <c r="C271" s="112"/>
      <c r="D271" s="113"/>
      <c r="E271" s="113"/>
      <c r="F271" s="69"/>
      <c r="G271" s="113"/>
    </row>
    <row r="272" spans="1:7" ht="15" customHeight="1">
      <c r="A272" s="11" t="s">
        <v>228</v>
      </c>
      <c r="B272" s="11"/>
      <c r="C272" s="112"/>
      <c r="D272" s="113"/>
      <c r="E272" s="113"/>
      <c r="F272" s="69"/>
      <c r="G272" s="113"/>
    </row>
    <row r="273" spans="1:7" ht="15" hidden="1" customHeight="1" outlineLevel="1">
      <c r="A273" s="122" t="s">
        <v>242</v>
      </c>
      <c r="B273" s="119"/>
      <c r="C273" s="77" t="s">
        <v>208</v>
      </c>
      <c r="D273" s="78"/>
      <c r="E273" s="78"/>
      <c r="F273" s="53"/>
      <c r="G273" s="78" t="s">
        <v>57</v>
      </c>
    </row>
    <row r="274" spans="1:7" ht="15" hidden="1" customHeight="1" outlineLevel="1">
      <c r="A274" s="114"/>
      <c r="B274" s="123" t="s">
        <v>243</v>
      </c>
      <c r="C274" s="112" t="s">
        <v>156</v>
      </c>
      <c r="D274" s="113"/>
      <c r="E274" s="113"/>
      <c r="F274" s="69"/>
      <c r="G274" s="113">
        <v>303</v>
      </c>
    </row>
    <row r="275" spans="1:7" ht="15" hidden="1" customHeight="1" outlineLevel="1">
      <c r="A275" s="114"/>
      <c r="B275" s="123" t="s">
        <v>244</v>
      </c>
      <c r="C275" s="112" t="s">
        <v>156</v>
      </c>
      <c r="D275" s="113"/>
      <c r="E275" s="113"/>
      <c r="F275" s="69"/>
      <c r="G275" s="113">
        <v>355</v>
      </c>
    </row>
    <row r="276" spans="1:7" ht="15" hidden="1" customHeight="1" outlineLevel="1">
      <c r="A276" s="114"/>
      <c r="B276" s="123" t="s">
        <v>245</v>
      </c>
      <c r="C276" s="112" t="s">
        <v>156</v>
      </c>
      <c r="D276" s="113"/>
      <c r="E276" s="113"/>
      <c r="F276" s="69"/>
      <c r="G276" s="113">
        <v>287</v>
      </c>
    </row>
    <row r="277" spans="1:7" ht="15" hidden="1" customHeight="1" outlineLevel="1">
      <c r="A277" s="114"/>
      <c r="B277" s="123" t="s">
        <v>246</v>
      </c>
      <c r="C277" s="112" t="s">
        <v>156</v>
      </c>
      <c r="D277" s="113"/>
      <c r="E277" s="113"/>
      <c r="F277" s="69"/>
      <c r="G277" s="113">
        <v>315</v>
      </c>
    </row>
    <row r="278" spans="1:7" ht="15" hidden="1" customHeight="1" outlineLevel="1">
      <c r="A278" s="114"/>
      <c r="B278" s="123" t="s">
        <v>247</v>
      </c>
      <c r="C278" s="112" t="s">
        <v>156</v>
      </c>
      <c r="D278" s="113"/>
      <c r="E278" s="113"/>
      <c r="F278" s="69"/>
      <c r="G278" s="113">
        <v>273</v>
      </c>
    </row>
    <row r="279" spans="1:7" ht="15" hidden="1" customHeight="1" outlineLevel="1">
      <c r="A279" s="114"/>
      <c r="B279" s="123" t="s">
        <v>248</v>
      </c>
      <c r="C279" s="112" t="s">
        <v>156</v>
      </c>
      <c r="D279" s="113"/>
      <c r="E279" s="113"/>
      <c r="F279" s="69"/>
      <c r="G279" s="113">
        <v>315</v>
      </c>
    </row>
    <row r="280" spans="1:7" ht="15" hidden="1" customHeight="1" outlineLevel="1">
      <c r="A280" s="114"/>
      <c r="B280" s="123" t="s">
        <v>249</v>
      </c>
      <c r="C280" s="112" t="s">
        <v>156</v>
      </c>
      <c r="D280" s="113"/>
      <c r="E280" s="113"/>
      <c r="F280" s="69"/>
      <c r="G280" s="113">
        <v>263</v>
      </c>
    </row>
    <row r="281" spans="1:7" ht="15" hidden="1" customHeight="1" outlineLevel="1">
      <c r="A281" s="114"/>
      <c r="B281" s="123" t="s">
        <v>250</v>
      </c>
      <c r="C281" s="112" t="s">
        <v>156</v>
      </c>
      <c r="D281" s="113"/>
      <c r="E281" s="113"/>
      <c r="F281" s="69"/>
      <c r="G281" s="113">
        <v>291</v>
      </c>
    </row>
    <row r="282" spans="1:7" ht="15" hidden="1" customHeight="1" outlineLevel="1">
      <c r="A282" s="114"/>
      <c r="B282" s="123" t="s">
        <v>251</v>
      </c>
      <c r="C282" s="112" t="s">
        <v>156</v>
      </c>
      <c r="D282" s="113"/>
      <c r="E282" s="113"/>
      <c r="F282" s="69"/>
      <c r="G282" s="113">
        <v>250</v>
      </c>
    </row>
    <row r="283" spans="1:7" ht="15" hidden="1" customHeight="1" outlineLevel="1">
      <c r="A283" s="114"/>
      <c r="B283" s="123" t="s">
        <v>252</v>
      </c>
      <c r="C283" s="112" t="s">
        <v>156</v>
      </c>
      <c r="D283" s="113"/>
      <c r="E283" s="113"/>
      <c r="F283" s="69"/>
      <c r="G283" s="113">
        <v>280</v>
      </c>
    </row>
    <row r="284" spans="1:7" ht="15" hidden="1" customHeight="1" outlineLevel="1">
      <c r="A284" s="114"/>
      <c r="B284" s="123" t="s">
        <v>253</v>
      </c>
      <c r="C284" s="112" t="s">
        <v>156</v>
      </c>
      <c r="D284" s="113"/>
      <c r="E284" s="113"/>
      <c r="F284" s="69"/>
      <c r="G284" s="113">
        <v>220</v>
      </c>
    </row>
    <row r="285" spans="1:7" ht="15" hidden="1" customHeight="1" outlineLevel="1">
      <c r="A285" s="114"/>
      <c r="B285" s="123" t="s">
        <v>254</v>
      </c>
      <c r="C285" s="112" t="s">
        <v>156</v>
      </c>
      <c r="D285" s="113"/>
      <c r="E285" s="113"/>
      <c r="F285" s="69"/>
      <c r="G285" s="113">
        <v>250</v>
      </c>
    </row>
    <row r="286" spans="1:7" ht="15" hidden="1" customHeight="1" outlineLevel="1">
      <c r="A286" s="114"/>
    </row>
    <row r="287" spans="1:7" ht="15" hidden="1" customHeight="1" outlineLevel="1">
      <c r="A287" s="114"/>
    </row>
    <row r="288" spans="1:7" ht="15" hidden="1" customHeight="1" outlineLevel="1">
      <c r="A288" s="114"/>
      <c r="B288" s="124"/>
    </row>
    <row r="289" spans="1:7" ht="15" customHeight="1">
      <c r="A289" s="12" t="s">
        <v>242</v>
      </c>
      <c r="B289" s="12"/>
    </row>
    <row r="290" spans="1:7" ht="15" hidden="1" customHeight="1" outlineLevel="1">
      <c r="A290" s="2" t="s">
        <v>255</v>
      </c>
      <c r="B290" s="2"/>
      <c r="C290" s="77" t="s">
        <v>208</v>
      </c>
      <c r="D290" s="125" t="s">
        <v>256</v>
      </c>
      <c r="E290" s="125" t="s">
        <v>257</v>
      </c>
      <c r="F290" s="78" t="s">
        <v>258</v>
      </c>
      <c r="G290" s="78" t="s">
        <v>57</v>
      </c>
    </row>
    <row r="291" spans="1:7" ht="15" hidden="1" customHeight="1" outlineLevel="1">
      <c r="A291" s="114"/>
      <c r="B291" s="98" t="s">
        <v>259</v>
      </c>
      <c r="C291" s="126" t="s">
        <v>135</v>
      </c>
      <c r="D291" s="100"/>
      <c r="E291" s="127">
        <v>0.05</v>
      </c>
      <c r="F291" s="69"/>
      <c r="G291" s="69">
        <v>6500</v>
      </c>
    </row>
    <row r="292" spans="1:7" ht="15" hidden="1" customHeight="1" outlineLevel="1">
      <c r="A292" s="114"/>
      <c r="B292" s="98" t="s">
        <v>260</v>
      </c>
      <c r="C292" s="126" t="s">
        <v>135</v>
      </c>
      <c r="D292" s="100"/>
      <c r="E292" s="127">
        <v>0.05</v>
      </c>
      <c r="F292" s="69"/>
      <c r="G292" s="69">
        <v>6500</v>
      </c>
    </row>
    <row r="293" spans="1:7" ht="15" hidden="1" customHeight="1" outlineLevel="1">
      <c r="A293" s="114"/>
      <c r="B293" s="98" t="s">
        <v>261</v>
      </c>
      <c r="C293" s="126" t="s">
        <v>135</v>
      </c>
      <c r="D293" s="100"/>
      <c r="E293" s="127">
        <v>0.05</v>
      </c>
      <c r="F293" s="69"/>
      <c r="G293" s="69">
        <v>6500</v>
      </c>
    </row>
    <row r="294" spans="1:7" ht="15" hidden="1" customHeight="1" outlineLevel="1">
      <c r="A294" s="114"/>
      <c r="B294" s="98" t="s">
        <v>262</v>
      </c>
      <c r="C294" s="126" t="s">
        <v>135</v>
      </c>
      <c r="D294" s="100"/>
      <c r="E294" s="127">
        <v>0.05</v>
      </c>
      <c r="F294" s="69"/>
      <c r="G294" s="69">
        <v>6500</v>
      </c>
    </row>
    <row r="295" spans="1:7" ht="15" hidden="1" customHeight="1" outlineLevel="1">
      <c r="A295" s="114"/>
      <c r="B295" s="98" t="s">
        <v>263</v>
      </c>
      <c r="C295" s="126" t="s">
        <v>135</v>
      </c>
      <c r="D295" s="100"/>
      <c r="E295" s="127">
        <v>0.04</v>
      </c>
      <c r="F295" s="69"/>
      <c r="G295" s="69">
        <v>6500</v>
      </c>
    </row>
    <row r="296" spans="1:7" ht="15" hidden="1" customHeight="1" outlineLevel="1">
      <c r="A296" s="114"/>
      <c r="B296" s="98" t="s">
        <v>264</v>
      </c>
      <c r="C296" s="126" t="s">
        <v>135</v>
      </c>
      <c r="D296" s="100"/>
      <c r="E296" s="127">
        <v>0.04</v>
      </c>
      <c r="F296" s="69"/>
      <c r="G296" s="69">
        <v>6500</v>
      </c>
    </row>
    <row r="297" spans="1:7" ht="15" hidden="1" customHeight="1" outlineLevel="1">
      <c r="A297" s="114"/>
      <c r="B297" s="98" t="s">
        <v>265</v>
      </c>
      <c r="C297" s="126" t="s">
        <v>135</v>
      </c>
      <c r="D297" s="100"/>
      <c r="E297" s="127">
        <v>0.04</v>
      </c>
      <c r="F297" s="69"/>
      <c r="G297" s="69">
        <v>6500</v>
      </c>
    </row>
    <row r="298" spans="1:7" ht="15" hidden="1" customHeight="1" outlineLevel="1">
      <c r="A298" s="114"/>
      <c r="B298" s="98" t="s">
        <v>266</v>
      </c>
      <c r="C298" s="126" t="s">
        <v>135</v>
      </c>
      <c r="D298" s="100"/>
      <c r="E298" s="127">
        <v>0.04</v>
      </c>
      <c r="F298" s="69"/>
      <c r="G298" s="69">
        <v>6500</v>
      </c>
    </row>
    <row r="299" spans="1:7" ht="15" hidden="1" customHeight="1" outlineLevel="1">
      <c r="A299" s="114"/>
      <c r="B299" s="98" t="s">
        <v>267</v>
      </c>
      <c r="C299" s="126" t="s">
        <v>135</v>
      </c>
      <c r="D299" s="100"/>
      <c r="E299" s="127">
        <v>2.5000000000000001E-2</v>
      </c>
      <c r="F299" s="69"/>
      <c r="G299" s="69">
        <v>6500</v>
      </c>
    </row>
    <row r="300" spans="1:7" ht="15" hidden="1" customHeight="1" outlineLevel="1">
      <c r="A300" s="114"/>
      <c r="B300" s="98" t="s">
        <v>268</v>
      </c>
      <c r="C300" s="126" t="s">
        <v>135</v>
      </c>
      <c r="D300" s="100"/>
      <c r="E300" s="127">
        <v>2.5000000000000001E-2</v>
      </c>
      <c r="F300" s="69"/>
      <c r="G300" s="69">
        <v>6500</v>
      </c>
    </row>
    <row r="301" spans="1:7" ht="15" hidden="1" customHeight="1" outlineLevel="1">
      <c r="A301" s="114"/>
      <c r="B301" s="98" t="s">
        <v>269</v>
      </c>
      <c r="C301" s="126" t="s">
        <v>135</v>
      </c>
      <c r="D301" s="100"/>
      <c r="E301" s="127">
        <v>2.5000000000000001E-2</v>
      </c>
      <c r="F301" s="69"/>
      <c r="G301" s="69">
        <v>6500</v>
      </c>
    </row>
    <row r="302" spans="1:7" ht="15" hidden="1" customHeight="1" outlineLevel="1">
      <c r="A302" s="114"/>
      <c r="B302" s="98" t="s">
        <v>270</v>
      </c>
      <c r="C302" s="126" t="s">
        <v>135</v>
      </c>
      <c r="D302" s="100"/>
      <c r="E302" s="127">
        <v>2.5000000000000001E-2</v>
      </c>
      <c r="F302" s="69">
        <v>12</v>
      </c>
      <c r="G302" s="69">
        <v>6500</v>
      </c>
    </row>
    <row r="303" spans="1:7" ht="15" hidden="1" customHeight="1" outlineLevel="1">
      <c r="A303" s="114"/>
      <c r="B303" s="98" t="s">
        <v>271</v>
      </c>
      <c r="C303" s="126" t="s">
        <v>135</v>
      </c>
      <c r="D303" s="100"/>
      <c r="E303" s="127">
        <v>0.05</v>
      </c>
      <c r="F303" s="69">
        <v>15</v>
      </c>
      <c r="G303" s="69">
        <v>6500</v>
      </c>
    </row>
    <row r="304" spans="1:7" ht="15" hidden="1" customHeight="1" outlineLevel="1">
      <c r="A304" s="114"/>
      <c r="B304" s="98"/>
      <c r="C304" s="126"/>
      <c r="D304" s="100"/>
      <c r="E304" s="127"/>
      <c r="F304" s="69"/>
      <c r="G304" s="69"/>
    </row>
    <row r="305" spans="1:7" ht="15" hidden="1" customHeight="1" outlineLevel="1">
      <c r="A305" s="114"/>
      <c r="B305" s="101"/>
      <c r="C305" s="126"/>
      <c r="D305" s="100"/>
      <c r="E305" s="127"/>
      <c r="F305" s="69"/>
      <c r="G305" s="69"/>
    </row>
    <row r="306" spans="1:7" ht="15" customHeight="1">
      <c r="A306" s="12" t="s">
        <v>255</v>
      </c>
      <c r="B306" s="12"/>
      <c r="C306" s="126"/>
      <c r="D306" s="100"/>
      <c r="E306" s="127"/>
      <c r="F306" s="69"/>
      <c r="G306" s="69"/>
    </row>
    <row r="307" spans="1:7" ht="15" hidden="1" customHeight="1" outlineLevel="1">
      <c r="A307" s="2" t="s">
        <v>272</v>
      </c>
      <c r="B307" s="2"/>
      <c r="C307" s="77" t="s">
        <v>208</v>
      </c>
      <c r="D307" s="125" t="s">
        <v>256</v>
      </c>
      <c r="E307" s="125" t="s">
        <v>273</v>
      </c>
      <c r="F307" s="78" t="s">
        <v>258</v>
      </c>
      <c r="G307" s="78" t="s">
        <v>57</v>
      </c>
    </row>
    <row r="308" spans="1:7" ht="15" hidden="1" customHeight="1" outlineLevel="1">
      <c r="A308" s="45"/>
      <c r="B308" s="98" t="s">
        <v>274</v>
      </c>
      <c r="C308" s="126" t="s">
        <v>135</v>
      </c>
      <c r="D308" s="69"/>
      <c r="E308" s="127"/>
      <c r="F308" s="69"/>
      <c r="G308" s="69">
        <v>12500</v>
      </c>
    </row>
    <row r="309" spans="1:7" ht="15" hidden="1" customHeight="1" outlineLevel="1">
      <c r="A309" s="46"/>
      <c r="B309" s="98" t="s">
        <v>275</v>
      </c>
      <c r="C309" s="126" t="s">
        <v>135</v>
      </c>
      <c r="D309" s="100"/>
      <c r="E309" s="127"/>
      <c r="F309" s="69"/>
      <c r="G309" s="69">
        <v>12500</v>
      </c>
    </row>
    <row r="310" spans="1:7" ht="15" hidden="1" customHeight="1" outlineLevel="1">
      <c r="A310" s="46"/>
      <c r="B310" s="98" t="s">
        <v>276</v>
      </c>
      <c r="C310" s="126" t="s">
        <v>135</v>
      </c>
      <c r="D310" s="69"/>
      <c r="E310" s="127"/>
      <c r="F310" s="69"/>
      <c r="G310" s="69">
        <v>12500</v>
      </c>
    </row>
    <row r="311" spans="1:7" ht="15" hidden="1" customHeight="1" outlineLevel="1">
      <c r="A311" s="46"/>
      <c r="B311" s="98" t="s">
        <v>277</v>
      </c>
      <c r="C311" s="126" t="s">
        <v>135</v>
      </c>
      <c r="D311" s="100"/>
      <c r="E311" s="127"/>
      <c r="F311" s="69">
        <v>17</v>
      </c>
      <c r="G311" s="69">
        <v>12500</v>
      </c>
    </row>
    <row r="312" spans="1:7" ht="15" hidden="1" customHeight="1" outlineLevel="1">
      <c r="A312" s="46"/>
      <c r="B312" s="98"/>
      <c r="C312" s="126"/>
      <c r="D312" s="100"/>
      <c r="E312" s="127"/>
      <c r="F312" s="69"/>
      <c r="G312" s="69"/>
    </row>
    <row r="313" spans="1:7" ht="15" hidden="1" customHeight="1" outlineLevel="1">
      <c r="A313" s="46"/>
      <c r="B313" s="101"/>
      <c r="C313" s="126"/>
      <c r="D313" s="100"/>
      <c r="E313" s="127"/>
      <c r="F313" s="69"/>
      <c r="G313" s="69"/>
    </row>
    <row r="314" spans="1:7" ht="15" customHeight="1">
      <c r="A314" s="12" t="s">
        <v>272</v>
      </c>
      <c r="B314" s="12"/>
      <c r="C314" s="126"/>
      <c r="D314" s="100"/>
      <c r="E314" s="127"/>
      <c r="F314" s="69"/>
      <c r="G314" s="69"/>
    </row>
    <row r="315" spans="1:7" ht="15" hidden="1" customHeight="1" outlineLevel="1">
      <c r="A315" s="2" t="s">
        <v>278</v>
      </c>
      <c r="B315" s="2"/>
      <c r="C315" s="77" t="s">
        <v>208</v>
      </c>
      <c r="D315" s="125" t="s">
        <v>256</v>
      </c>
      <c r="E315" s="125" t="s">
        <v>273</v>
      </c>
      <c r="F315" s="78" t="s">
        <v>258</v>
      </c>
      <c r="G315" s="78" t="s">
        <v>57</v>
      </c>
    </row>
    <row r="316" spans="1:7" ht="15" hidden="1" customHeight="1" outlineLevel="1">
      <c r="A316" s="45"/>
      <c r="B316" s="98" t="s">
        <v>279</v>
      </c>
      <c r="C316" s="126" t="s">
        <v>135</v>
      </c>
      <c r="D316" s="100">
        <v>0.2</v>
      </c>
      <c r="E316" s="127">
        <v>0.05</v>
      </c>
      <c r="F316" s="69">
        <f t="shared" ref="F316:F328" si="3">G316/(1/D316/E316)</f>
        <v>90</v>
      </c>
      <c r="G316" s="69">
        <v>9000</v>
      </c>
    </row>
    <row r="317" spans="1:7" ht="15" hidden="1" customHeight="1" outlineLevel="1">
      <c r="A317" s="46"/>
      <c r="B317" s="98" t="s">
        <v>280</v>
      </c>
      <c r="C317" s="126" t="s">
        <v>135</v>
      </c>
      <c r="D317" s="100">
        <v>0.18</v>
      </c>
      <c r="E317" s="127">
        <v>0.05</v>
      </c>
      <c r="F317" s="69">
        <f t="shared" si="3"/>
        <v>81.000000000000014</v>
      </c>
      <c r="G317" s="69">
        <v>9000</v>
      </c>
    </row>
    <row r="318" spans="1:7" ht="15" hidden="1" customHeight="1" outlineLevel="1">
      <c r="A318" s="46"/>
      <c r="B318" s="98" t="s">
        <v>281</v>
      </c>
      <c r="C318" s="126" t="s">
        <v>135</v>
      </c>
      <c r="D318" s="100">
        <v>0.15</v>
      </c>
      <c r="E318" s="127">
        <v>0.05</v>
      </c>
      <c r="F318" s="69">
        <f t="shared" si="3"/>
        <v>67.5</v>
      </c>
      <c r="G318" s="69">
        <v>9000</v>
      </c>
    </row>
    <row r="319" spans="1:7" ht="15" hidden="1" customHeight="1" outlineLevel="1">
      <c r="A319" s="46"/>
      <c r="B319" s="98" t="s">
        <v>282</v>
      </c>
      <c r="C319" s="126" t="s">
        <v>135</v>
      </c>
      <c r="D319" s="100">
        <v>0.1</v>
      </c>
      <c r="E319" s="127">
        <v>0.05</v>
      </c>
      <c r="F319" s="69">
        <f t="shared" si="3"/>
        <v>45</v>
      </c>
      <c r="G319" s="69">
        <v>9000</v>
      </c>
    </row>
    <row r="320" spans="1:7" ht="15" hidden="1" customHeight="1" outlineLevel="1">
      <c r="A320" s="46"/>
      <c r="B320" s="98" t="s">
        <v>283</v>
      </c>
      <c r="C320" s="126" t="s">
        <v>135</v>
      </c>
      <c r="D320" s="100">
        <v>0.2</v>
      </c>
      <c r="E320" s="127">
        <v>0.04</v>
      </c>
      <c r="F320" s="69">
        <f t="shared" si="3"/>
        <v>72</v>
      </c>
      <c r="G320" s="69">
        <v>9000</v>
      </c>
    </row>
    <row r="321" spans="1:7" ht="15" hidden="1" customHeight="1" outlineLevel="1">
      <c r="A321" s="46"/>
      <c r="B321" s="98" t="s">
        <v>284</v>
      </c>
      <c r="C321" s="126" t="s">
        <v>135</v>
      </c>
      <c r="D321" s="100">
        <v>0.18</v>
      </c>
      <c r="E321" s="127">
        <v>0.04</v>
      </c>
      <c r="F321" s="69">
        <f t="shared" si="3"/>
        <v>64.8</v>
      </c>
      <c r="G321" s="69">
        <v>9000</v>
      </c>
    </row>
    <row r="322" spans="1:7" ht="15" hidden="1" customHeight="1" outlineLevel="1">
      <c r="A322" s="46"/>
      <c r="B322" s="98" t="s">
        <v>285</v>
      </c>
      <c r="C322" s="126" t="s">
        <v>135</v>
      </c>
      <c r="D322" s="100">
        <v>0.15</v>
      </c>
      <c r="E322" s="127">
        <v>0.04</v>
      </c>
      <c r="F322" s="69">
        <f t="shared" si="3"/>
        <v>54</v>
      </c>
      <c r="G322" s="69">
        <v>9000</v>
      </c>
    </row>
    <row r="323" spans="1:7" ht="15" hidden="1" customHeight="1" outlineLevel="1">
      <c r="A323" s="46"/>
      <c r="B323" s="98" t="s">
        <v>286</v>
      </c>
      <c r="C323" s="126" t="s">
        <v>135</v>
      </c>
      <c r="D323" s="100">
        <v>0.1</v>
      </c>
      <c r="E323" s="127">
        <v>0.04</v>
      </c>
      <c r="F323" s="69">
        <f t="shared" si="3"/>
        <v>36</v>
      </c>
      <c r="G323" s="69">
        <v>9000</v>
      </c>
    </row>
    <row r="324" spans="1:7" ht="15" hidden="1" customHeight="1" outlineLevel="1">
      <c r="A324" s="46"/>
      <c r="B324" s="98" t="s">
        <v>287</v>
      </c>
      <c r="C324" s="126" t="s">
        <v>135</v>
      </c>
      <c r="D324" s="100">
        <v>0.2</v>
      </c>
      <c r="E324" s="127">
        <v>2.5000000000000001E-2</v>
      </c>
      <c r="F324" s="69">
        <f t="shared" si="3"/>
        <v>45</v>
      </c>
      <c r="G324" s="69">
        <v>9000</v>
      </c>
    </row>
    <row r="325" spans="1:7" ht="15" hidden="1" customHeight="1" outlineLevel="1">
      <c r="A325" s="46"/>
      <c r="B325" s="98" t="s">
        <v>288</v>
      </c>
      <c r="C325" s="126" t="s">
        <v>135</v>
      </c>
      <c r="D325" s="100">
        <v>0.18</v>
      </c>
      <c r="E325" s="127">
        <v>2.5000000000000001E-2</v>
      </c>
      <c r="F325" s="69">
        <f t="shared" si="3"/>
        <v>40.500000000000007</v>
      </c>
      <c r="G325" s="69">
        <v>9000</v>
      </c>
    </row>
    <row r="326" spans="1:7" ht="15" hidden="1" customHeight="1" outlineLevel="1">
      <c r="A326" s="46"/>
      <c r="B326" s="98" t="s">
        <v>289</v>
      </c>
      <c r="C326" s="126" t="s">
        <v>135</v>
      </c>
      <c r="D326" s="100">
        <v>0.15</v>
      </c>
      <c r="E326" s="127">
        <v>2.5000000000000001E-2</v>
      </c>
      <c r="F326" s="69">
        <f t="shared" si="3"/>
        <v>33.75</v>
      </c>
      <c r="G326" s="69">
        <v>9000</v>
      </c>
    </row>
    <row r="327" spans="1:7" ht="15" hidden="1" customHeight="1" outlineLevel="1">
      <c r="A327" s="46"/>
      <c r="B327" s="98" t="s">
        <v>290</v>
      </c>
      <c r="C327" s="126" t="s">
        <v>135</v>
      </c>
      <c r="D327" s="100">
        <v>0.1</v>
      </c>
      <c r="E327" s="127">
        <v>2.5000000000000001E-2</v>
      </c>
      <c r="F327" s="69">
        <f t="shared" si="3"/>
        <v>22.5</v>
      </c>
      <c r="G327" s="69">
        <v>9000</v>
      </c>
    </row>
    <row r="328" spans="1:7" ht="15" hidden="1" customHeight="1" outlineLevel="1">
      <c r="A328" s="46"/>
      <c r="B328" s="98" t="s">
        <v>291</v>
      </c>
      <c r="C328" s="126" t="s">
        <v>135</v>
      </c>
      <c r="D328" s="69">
        <v>0.05</v>
      </c>
      <c r="E328" s="127">
        <v>0.05</v>
      </c>
      <c r="F328" s="69">
        <f t="shared" si="3"/>
        <v>22.5</v>
      </c>
      <c r="G328" s="69">
        <v>9000</v>
      </c>
    </row>
    <row r="329" spans="1:7" ht="15" hidden="1" customHeight="1" outlineLevel="1">
      <c r="A329" s="46"/>
      <c r="B329" s="98"/>
      <c r="C329" s="126"/>
      <c r="D329" s="69"/>
      <c r="E329" s="127"/>
      <c r="F329" s="69"/>
      <c r="G329" s="69"/>
    </row>
    <row r="330" spans="1:7" ht="15" hidden="1" customHeight="1" outlineLevel="1">
      <c r="A330" s="46"/>
      <c r="B330" s="101"/>
      <c r="C330" s="126"/>
      <c r="D330" s="69"/>
      <c r="E330" s="127"/>
      <c r="F330" s="69"/>
      <c r="G330" s="69"/>
    </row>
    <row r="331" spans="1:7" ht="15" customHeight="1">
      <c r="A331" s="12" t="s">
        <v>278</v>
      </c>
      <c r="B331" s="12"/>
      <c r="C331" s="126"/>
      <c r="D331" s="69"/>
      <c r="E331" s="127"/>
      <c r="F331" s="69"/>
      <c r="G331" s="69"/>
    </row>
    <row r="332" spans="1:7" ht="15" hidden="1" customHeight="1" outlineLevel="1">
      <c r="A332" s="2" t="s">
        <v>292</v>
      </c>
      <c r="B332" s="2"/>
      <c r="C332" s="77" t="s">
        <v>208</v>
      </c>
      <c r="D332" s="125" t="s">
        <v>293</v>
      </c>
      <c r="E332" s="125" t="s">
        <v>273</v>
      </c>
      <c r="F332" s="78" t="s">
        <v>257</v>
      </c>
      <c r="G332" s="78" t="s">
        <v>57</v>
      </c>
    </row>
    <row r="333" spans="1:7" s="70" customFormat="1" ht="15" hidden="1" customHeight="1" outlineLevel="1">
      <c r="A333" s="94"/>
      <c r="B333" s="98" t="s">
        <v>294</v>
      </c>
      <c r="C333" s="126" t="s">
        <v>135</v>
      </c>
      <c r="D333" s="128">
        <v>1</v>
      </c>
      <c r="E333" s="128">
        <v>1</v>
      </c>
      <c r="F333" s="41">
        <v>1</v>
      </c>
      <c r="G333" s="41">
        <v>0</v>
      </c>
    </row>
    <row r="334" spans="1:7" s="70" customFormat="1" ht="15" hidden="1" customHeight="1" outlineLevel="1">
      <c r="A334" s="97"/>
      <c r="B334" s="98" t="s">
        <v>295</v>
      </c>
      <c r="C334" s="126" t="s">
        <v>135</v>
      </c>
      <c r="D334" s="100">
        <v>0.2</v>
      </c>
      <c r="E334" s="100">
        <v>0.2</v>
      </c>
      <c r="F334" s="69">
        <f t="shared" ref="F334:F365" si="4">D334*E334</f>
        <v>4.0000000000000008E-2</v>
      </c>
      <c r="G334" s="69">
        <v>9000</v>
      </c>
    </row>
    <row r="335" spans="1:7" s="70" customFormat="1" ht="15" hidden="1" customHeight="1" outlineLevel="1">
      <c r="A335" s="97"/>
      <c r="B335" s="98" t="s">
        <v>296</v>
      </c>
      <c r="C335" s="126" t="s">
        <v>135</v>
      </c>
      <c r="D335" s="100">
        <v>0.2</v>
      </c>
      <c r="E335" s="100">
        <v>0.18</v>
      </c>
      <c r="F335" s="69">
        <f t="shared" si="4"/>
        <v>3.5999999999999997E-2</v>
      </c>
      <c r="G335" s="69">
        <v>8500</v>
      </c>
    </row>
    <row r="336" spans="1:7" s="70" customFormat="1" ht="15" hidden="1" customHeight="1" outlineLevel="1">
      <c r="A336" s="97"/>
      <c r="B336" s="98" t="s">
        <v>297</v>
      </c>
      <c r="C336" s="126" t="s">
        <v>135</v>
      </c>
      <c r="D336" s="100">
        <v>0.2</v>
      </c>
      <c r="E336" s="100">
        <v>0.15</v>
      </c>
      <c r="F336" s="69">
        <f t="shared" si="4"/>
        <v>0.03</v>
      </c>
      <c r="G336" s="69">
        <v>8500</v>
      </c>
    </row>
    <row r="337" spans="1:7" s="70" customFormat="1" ht="15" hidden="1" customHeight="1" outlineLevel="1">
      <c r="A337" s="97"/>
      <c r="B337" s="98" t="s">
        <v>298</v>
      </c>
      <c r="C337" s="126" t="s">
        <v>135</v>
      </c>
      <c r="D337" s="100">
        <v>0.2</v>
      </c>
      <c r="E337" s="100">
        <v>0.1</v>
      </c>
      <c r="F337" s="69">
        <f t="shared" si="4"/>
        <v>2.0000000000000004E-2</v>
      </c>
      <c r="G337" s="69">
        <v>8500</v>
      </c>
    </row>
    <row r="338" spans="1:7" s="70" customFormat="1" ht="15" hidden="1" customHeight="1" outlineLevel="1">
      <c r="A338" s="97"/>
      <c r="B338" s="98" t="s">
        <v>299</v>
      </c>
      <c r="C338" s="126" t="s">
        <v>135</v>
      </c>
      <c r="D338" s="100">
        <v>0.18</v>
      </c>
      <c r="E338" s="100">
        <v>0.18</v>
      </c>
      <c r="F338" s="69">
        <f t="shared" si="4"/>
        <v>3.2399999999999998E-2</v>
      </c>
      <c r="G338" s="69">
        <v>8500</v>
      </c>
    </row>
    <row r="339" spans="1:7" s="70" customFormat="1" ht="15" hidden="1" customHeight="1" outlineLevel="1">
      <c r="A339" s="97"/>
      <c r="B339" s="98" t="s">
        <v>300</v>
      </c>
      <c r="C339" s="126" t="s">
        <v>135</v>
      </c>
      <c r="D339" s="100">
        <v>0.18</v>
      </c>
      <c r="E339" s="100">
        <v>0.15</v>
      </c>
      <c r="F339" s="69">
        <f t="shared" si="4"/>
        <v>2.7E-2</v>
      </c>
      <c r="G339" s="69">
        <v>8500</v>
      </c>
    </row>
    <row r="340" spans="1:7" s="70" customFormat="1" ht="15" hidden="1" customHeight="1" outlineLevel="1">
      <c r="A340" s="97"/>
      <c r="B340" s="98" t="s">
        <v>301</v>
      </c>
      <c r="C340" s="126" t="s">
        <v>135</v>
      </c>
      <c r="D340" s="100">
        <v>0.18</v>
      </c>
      <c r="E340" s="100">
        <v>0.1</v>
      </c>
      <c r="F340" s="69">
        <f t="shared" si="4"/>
        <v>1.7999999999999999E-2</v>
      </c>
      <c r="G340" s="69">
        <v>8500</v>
      </c>
    </row>
    <row r="341" spans="1:7" s="70" customFormat="1" ht="15" hidden="1" customHeight="1" outlineLevel="1">
      <c r="A341" s="97"/>
      <c r="B341" s="98" t="s">
        <v>302</v>
      </c>
      <c r="C341" s="126" t="s">
        <v>135</v>
      </c>
      <c r="D341" s="100">
        <v>0.15</v>
      </c>
      <c r="E341" s="100">
        <v>0.15</v>
      </c>
      <c r="F341" s="69">
        <f t="shared" si="4"/>
        <v>2.2499999999999999E-2</v>
      </c>
      <c r="G341" s="69">
        <v>8500</v>
      </c>
    </row>
    <row r="342" spans="1:7" s="70" customFormat="1" ht="15" hidden="1" customHeight="1" outlineLevel="1">
      <c r="A342" s="97"/>
      <c r="B342" s="98" t="s">
        <v>303</v>
      </c>
      <c r="C342" s="126" t="s">
        <v>135</v>
      </c>
      <c r="D342" s="100">
        <v>0.15</v>
      </c>
      <c r="E342" s="100">
        <v>0.1</v>
      </c>
      <c r="F342" s="69">
        <f t="shared" si="4"/>
        <v>1.4999999999999999E-2</v>
      </c>
      <c r="G342" s="69">
        <v>8500</v>
      </c>
    </row>
    <row r="343" spans="1:7" s="70" customFormat="1" ht="15" hidden="1" customHeight="1" outlineLevel="1">
      <c r="A343" s="97"/>
      <c r="B343" s="98" t="s">
        <v>304</v>
      </c>
      <c r="C343" s="126" t="s">
        <v>135</v>
      </c>
      <c r="D343" s="100">
        <v>0.1</v>
      </c>
      <c r="E343" s="100">
        <v>0.1</v>
      </c>
      <c r="F343" s="69">
        <f t="shared" si="4"/>
        <v>1.0000000000000002E-2</v>
      </c>
      <c r="G343" s="69">
        <v>8500</v>
      </c>
    </row>
    <row r="344" spans="1:7" s="70" customFormat="1" ht="15" hidden="1" customHeight="1" outlineLevel="1">
      <c r="A344" s="97"/>
      <c r="B344" s="98" t="s">
        <v>305</v>
      </c>
      <c r="C344" s="126" t="s">
        <v>135</v>
      </c>
      <c r="D344" s="100">
        <v>0.2</v>
      </c>
      <c r="E344" s="100">
        <v>0.2</v>
      </c>
      <c r="F344" s="69">
        <f t="shared" si="4"/>
        <v>4.0000000000000008E-2</v>
      </c>
      <c r="G344" s="69">
        <v>6500</v>
      </c>
    </row>
    <row r="345" spans="1:7" s="70" customFormat="1" ht="15" hidden="1" customHeight="1" outlineLevel="1">
      <c r="A345" s="97"/>
      <c r="B345" s="98" t="s">
        <v>306</v>
      </c>
      <c r="C345" s="126" t="s">
        <v>135</v>
      </c>
      <c r="D345" s="100">
        <v>0.2</v>
      </c>
      <c r="E345" s="100">
        <v>0.18</v>
      </c>
      <c r="F345" s="69">
        <f t="shared" si="4"/>
        <v>3.5999999999999997E-2</v>
      </c>
      <c r="G345" s="69">
        <v>6500</v>
      </c>
    </row>
    <row r="346" spans="1:7" s="70" customFormat="1" ht="15" hidden="1" customHeight="1" outlineLevel="1">
      <c r="A346" s="97"/>
      <c r="B346" s="98" t="s">
        <v>307</v>
      </c>
      <c r="C346" s="126" t="s">
        <v>135</v>
      </c>
      <c r="D346" s="100">
        <v>0.2</v>
      </c>
      <c r="E346" s="100">
        <v>0.15</v>
      </c>
      <c r="F346" s="69">
        <f t="shared" si="4"/>
        <v>0.03</v>
      </c>
      <c r="G346" s="69">
        <v>6500</v>
      </c>
    </row>
    <row r="347" spans="1:7" s="70" customFormat="1" ht="15" hidden="1" customHeight="1" outlineLevel="1">
      <c r="A347" s="97"/>
      <c r="B347" s="98" t="s">
        <v>308</v>
      </c>
      <c r="C347" s="126" t="s">
        <v>135</v>
      </c>
      <c r="D347" s="100">
        <v>0.2</v>
      </c>
      <c r="E347" s="100">
        <v>0.1</v>
      </c>
      <c r="F347" s="69">
        <f t="shared" si="4"/>
        <v>2.0000000000000004E-2</v>
      </c>
      <c r="G347" s="69">
        <v>6500</v>
      </c>
    </row>
    <row r="348" spans="1:7" s="70" customFormat="1" ht="15" hidden="1" customHeight="1" outlineLevel="1">
      <c r="A348" s="97"/>
      <c r="B348" s="98" t="s">
        <v>309</v>
      </c>
      <c r="C348" s="126" t="s">
        <v>135</v>
      </c>
      <c r="D348" s="100">
        <v>0.18</v>
      </c>
      <c r="E348" s="100">
        <v>0.18</v>
      </c>
      <c r="F348" s="69">
        <f t="shared" si="4"/>
        <v>3.2399999999999998E-2</v>
      </c>
      <c r="G348" s="69">
        <v>6500</v>
      </c>
    </row>
    <row r="349" spans="1:7" s="70" customFormat="1" ht="15" hidden="1" customHeight="1" outlineLevel="1">
      <c r="A349" s="97"/>
      <c r="B349" s="98" t="s">
        <v>310</v>
      </c>
      <c r="C349" s="126" t="s">
        <v>135</v>
      </c>
      <c r="D349" s="100">
        <v>0.18</v>
      </c>
      <c r="E349" s="100">
        <v>0.15</v>
      </c>
      <c r="F349" s="69">
        <f t="shared" si="4"/>
        <v>2.7E-2</v>
      </c>
      <c r="G349" s="69">
        <v>6500</v>
      </c>
    </row>
    <row r="350" spans="1:7" s="70" customFormat="1" ht="15" hidden="1" customHeight="1" outlineLevel="1">
      <c r="A350" s="97"/>
      <c r="B350" s="98" t="s">
        <v>311</v>
      </c>
      <c r="C350" s="126" t="s">
        <v>135</v>
      </c>
      <c r="D350" s="100">
        <v>0.18</v>
      </c>
      <c r="E350" s="100">
        <v>0.1</v>
      </c>
      <c r="F350" s="69">
        <f t="shared" si="4"/>
        <v>1.7999999999999999E-2</v>
      </c>
      <c r="G350" s="69">
        <v>6500</v>
      </c>
    </row>
    <row r="351" spans="1:7" s="70" customFormat="1" ht="15" hidden="1" customHeight="1" outlineLevel="1">
      <c r="A351" s="97"/>
      <c r="B351" s="98" t="s">
        <v>312</v>
      </c>
      <c r="C351" s="126" t="s">
        <v>135</v>
      </c>
      <c r="D351" s="100">
        <v>0.15</v>
      </c>
      <c r="E351" s="100">
        <v>0.15</v>
      </c>
      <c r="F351" s="69">
        <f t="shared" si="4"/>
        <v>2.2499999999999999E-2</v>
      </c>
      <c r="G351" s="69">
        <v>6500</v>
      </c>
    </row>
    <row r="352" spans="1:7" s="70" customFormat="1" ht="15" hidden="1" customHeight="1" outlineLevel="1">
      <c r="A352" s="97"/>
      <c r="B352" s="98" t="s">
        <v>313</v>
      </c>
      <c r="C352" s="126" t="s">
        <v>135</v>
      </c>
      <c r="D352" s="100">
        <v>0.15</v>
      </c>
      <c r="E352" s="100">
        <v>0.1</v>
      </c>
      <c r="F352" s="69">
        <f t="shared" si="4"/>
        <v>1.4999999999999999E-2</v>
      </c>
      <c r="G352" s="69">
        <v>6500</v>
      </c>
    </row>
    <row r="353" spans="1:7" s="70" customFormat="1" ht="15" hidden="1" customHeight="1" outlineLevel="1">
      <c r="A353" s="97"/>
      <c r="B353" s="98" t="s">
        <v>314</v>
      </c>
      <c r="C353" s="126" t="s">
        <v>135</v>
      </c>
      <c r="D353" s="100">
        <v>0.1</v>
      </c>
      <c r="E353" s="100">
        <v>0.1</v>
      </c>
      <c r="F353" s="69">
        <f t="shared" si="4"/>
        <v>1.0000000000000002E-2</v>
      </c>
      <c r="G353" s="69">
        <v>6500</v>
      </c>
    </row>
    <row r="354" spans="1:7" ht="15" hidden="1" customHeight="1" outlineLevel="1">
      <c r="A354" s="97"/>
      <c r="B354" s="98" t="s">
        <v>315</v>
      </c>
      <c r="C354" s="99" t="s">
        <v>135</v>
      </c>
      <c r="D354" s="100">
        <v>0.27</v>
      </c>
      <c r="E354" s="127">
        <v>0.24</v>
      </c>
      <c r="F354" s="69">
        <f t="shared" si="4"/>
        <v>6.4799999999999996E-2</v>
      </c>
      <c r="G354" s="69">
        <v>24000</v>
      </c>
    </row>
    <row r="355" spans="1:7" ht="15" hidden="1" customHeight="1" outlineLevel="1">
      <c r="A355" s="97"/>
      <c r="B355" s="98" t="s">
        <v>316</v>
      </c>
      <c r="C355" s="99" t="s">
        <v>135</v>
      </c>
      <c r="D355" s="100">
        <v>0.27</v>
      </c>
      <c r="E355" s="127">
        <v>0.2</v>
      </c>
      <c r="F355" s="69">
        <f t="shared" si="4"/>
        <v>5.4000000000000006E-2</v>
      </c>
      <c r="G355" s="69">
        <v>24000</v>
      </c>
    </row>
    <row r="356" spans="1:7" ht="15" hidden="1" customHeight="1" outlineLevel="1">
      <c r="A356" s="97"/>
      <c r="B356" s="98" t="s">
        <v>317</v>
      </c>
      <c r="C356" s="99" t="s">
        <v>135</v>
      </c>
      <c r="D356" s="100">
        <v>0.27</v>
      </c>
      <c r="E356" s="127">
        <v>0.16</v>
      </c>
      <c r="F356" s="69">
        <f t="shared" si="4"/>
        <v>4.3200000000000002E-2</v>
      </c>
      <c r="G356" s="69">
        <v>24000</v>
      </c>
    </row>
    <row r="357" spans="1:7" ht="15" hidden="1" customHeight="1" outlineLevel="1">
      <c r="A357" s="97"/>
      <c r="B357" s="98" t="s">
        <v>318</v>
      </c>
      <c r="C357" s="99" t="s">
        <v>135</v>
      </c>
      <c r="D357" s="100">
        <v>0.27</v>
      </c>
      <c r="E357" s="127">
        <v>0.12</v>
      </c>
      <c r="F357" s="69">
        <f t="shared" si="4"/>
        <v>3.2399999999999998E-2</v>
      </c>
      <c r="G357" s="69">
        <v>24000</v>
      </c>
    </row>
    <row r="358" spans="1:7" ht="15" hidden="1" customHeight="1" outlineLevel="1">
      <c r="A358" s="97"/>
      <c r="B358" s="98" t="s">
        <v>319</v>
      </c>
      <c r="C358" s="99" t="s">
        <v>135</v>
      </c>
      <c r="D358" s="100">
        <v>0.23</v>
      </c>
      <c r="E358" s="127">
        <v>0.24</v>
      </c>
      <c r="F358" s="69">
        <f t="shared" si="4"/>
        <v>5.5199999999999999E-2</v>
      </c>
      <c r="G358" s="69">
        <v>24000</v>
      </c>
    </row>
    <row r="359" spans="1:7" ht="15" hidden="1" customHeight="1" outlineLevel="1">
      <c r="A359" s="97"/>
      <c r="B359" s="98" t="s">
        <v>320</v>
      </c>
      <c r="C359" s="99" t="s">
        <v>135</v>
      </c>
      <c r="D359" s="100">
        <v>0.23</v>
      </c>
      <c r="E359" s="127">
        <v>0.2</v>
      </c>
      <c r="F359" s="69">
        <f t="shared" si="4"/>
        <v>4.6000000000000006E-2</v>
      </c>
      <c r="G359" s="69">
        <v>24000</v>
      </c>
    </row>
    <row r="360" spans="1:7" ht="15" hidden="1" customHeight="1" outlineLevel="1">
      <c r="A360" s="97"/>
      <c r="B360" s="98" t="s">
        <v>321</v>
      </c>
      <c r="C360" s="99" t="s">
        <v>135</v>
      </c>
      <c r="D360" s="100">
        <v>0.23</v>
      </c>
      <c r="E360" s="127">
        <v>0.16</v>
      </c>
      <c r="F360" s="69">
        <f t="shared" si="4"/>
        <v>3.6799999999999999E-2</v>
      </c>
      <c r="G360" s="69">
        <v>24000</v>
      </c>
    </row>
    <row r="361" spans="1:7" ht="15" hidden="1" customHeight="1" outlineLevel="1">
      <c r="A361" s="97"/>
      <c r="B361" s="98" t="s">
        <v>322</v>
      </c>
      <c r="C361" s="99" t="s">
        <v>135</v>
      </c>
      <c r="D361" s="100">
        <v>0.23</v>
      </c>
      <c r="E361" s="127">
        <v>0.12</v>
      </c>
      <c r="F361" s="69">
        <f t="shared" si="4"/>
        <v>2.76E-2</v>
      </c>
      <c r="G361" s="69">
        <v>24000</v>
      </c>
    </row>
    <row r="362" spans="1:7" ht="15" hidden="1" customHeight="1" outlineLevel="1">
      <c r="A362" s="97"/>
      <c r="B362" s="98" t="s">
        <v>323</v>
      </c>
      <c r="C362" s="99" t="s">
        <v>135</v>
      </c>
      <c r="D362" s="100">
        <v>0.185</v>
      </c>
      <c r="E362" s="127">
        <v>0.24</v>
      </c>
      <c r="F362" s="69">
        <f t="shared" si="4"/>
        <v>4.4399999999999995E-2</v>
      </c>
      <c r="G362" s="69">
        <v>24000</v>
      </c>
    </row>
    <row r="363" spans="1:7" ht="15" hidden="1" customHeight="1" outlineLevel="1">
      <c r="A363" s="97"/>
      <c r="B363" s="98" t="s">
        <v>324</v>
      </c>
      <c r="C363" s="99" t="s">
        <v>135</v>
      </c>
      <c r="D363" s="100">
        <v>0.185</v>
      </c>
      <c r="E363" s="127">
        <v>0.2</v>
      </c>
      <c r="F363" s="69">
        <f t="shared" si="4"/>
        <v>3.6999999999999998E-2</v>
      </c>
      <c r="G363" s="69">
        <v>24000</v>
      </c>
    </row>
    <row r="364" spans="1:7" ht="15" hidden="1" customHeight="1" outlineLevel="1">
      <c r="A364" s="97"/>
      <c r="B364" s="98" t="s">
        <v>325</v>
      </c>
      <c r="C364" s="99" t="s">
        <v>135</v>
      </c>
      <c r="D364" s="100">
        <v>0.185</v>
      </c>
      <c r="E364" s="127">
        <v>0.16</v>
      </c>
      <c r="F364" s="69">
        <f t="shared" si="4"/>
        <v>2.9600000000000001E-2</v>
      </c>
      <c r="G364" s="69">
        <v>24000</v>
      </c>
    </row>
    <row r="365" spans="1:7" ht="15" hidden="1" customHeight="1" outlineLevel="1">
      <c r="A365" s="97"/>
      <c r="B365" s="98" t="s">
        <v>326</v>
      </c>
      <c r="C365" s="99" t="s">
        <v>135</v>
      </c>
      <c r="D365" s="100">
        <v>0.185</v>
      </c>
      <c r="E365" s="127">
        <v>0.12</v>
      </c>
      <c r="F365" s="69">
        <f t="shared" si="4"/>
        <v>2.2199999999999998E-2</v>
      </c>
      <c r="G365" s="69">
        <v>24000</v>
      </c>
    </row>
    <row r="366" spans="1:7" ht="15" hidden="1" customHeight="1" outlineLevel="1">
      <c r="A366" s="97"/>
      <c r="B366" s="98" t="s">
        <v>327</v>
      </c>
      <c r="C366" s="99" t="s">
        <v>135</v>
      </c>
      <c r="D366" s="100">
        <v>0.18</v>
      </c>
      <c r="E366" s="127">
        <v>0.24</v>
      </c>
      <c r="F366" s="69">
        <f t="shared" ref="F366:F397" si="5">D366*E366</f>
        <v>4.3199999999999995E-2</v>
      </c>
      <c r="G366" s="69">
        <v>24000</v>
      </c>
    </row>
    <row r="367" spans="1:7" ht="15" hidden="1" customHeight="1" outlineLevel="1">
      <c r="A367" s="97"/>
      <c r="B367" s="98" t="s">
        <v>328</v>
      </c>
      <c r="C367" s="99" t="s">
        <v>135</v>
      </c>
      <c r="D367" s="100">
        <v>0.18</v>
      </c>
      <c r="E367" s="127">
        <v>0.2</v>
      </c>
      <c r="F367" s="69">
        <f t="shared" si="5"/>
        <v>3.5999999999999997E-2</v>
      </c>
      <c r="G367" s="69">
        <v>24000</v>
      </c>
    </row>
    <row r="368" spans="1:7" ht="15" hidden="1" customHeight="1" outlineLevel="1">
      <c r="A368" s="97"/>
      <c r="B368" s="98" t="s">
        <v>329</v>
      </c>
      <c r="C368" s="99" t="s">
        <v>135</v>
      </c>
      <c r="D368" s="100">
        <v>0.18</v>
      </c>
      <c r="E368" s="127">
        <v>0.16</v>
      </c>
      <c r="F368" s="69">
        <f t="shared" si="5"/>
        <v>2.8799999999999999E-2</v>
      </c>
      <c r="G368" s="69">
        <v>24000</v>
      </c>
    </row>
    <row r="369" spans="1:7" ht="15" hidden="1" customHeight="1" outlineLevel="1">
      <c r="A369" s="97"/>
      <c r="B369" s="98" t="s">
        <v>330</v>
      </c>
      <c r="C369" s="99" t="s">
        <v>135</v>
      </c>
      <c r="D369" s="100">
        <v>0.18</v>
      </c>
      <c r="E369" s="127">
        <v>0.12</v>
      </c>
      <c r="F369" s="69">
        <f t="shared" si="5"/>
        <v>2.1599999999999998E-2</v>
      </c>
      <c r="G369" s="69">
        <v>24000</v>
      </c>
    </row>
    <row r="370" spans="1:7" ht="15" hidden="1" customHeight="1" outlineLevel="1">
      <c r="A370" s="97"/>
      <c r="B370" s="98" t="s">
        <v>331</v>
      </c>
      <c r="C370" s="99" t="s">
        <v>135</v>
      </c>
      <c r="D370" s="100">
        <v>0.16</v>
      </c>
      <c r="E370" s="127">
        <v>0.24</v>
      </c>
      <c r="F370" s="69">
        <f t="shared" si="5"/>
        <v>3.8399999999999997E-2</v>
      </c>
      <c r="G370" s="69">
        <v>24000</v>
      </c>
    </row>
    <row r="371" spans="1:7" ht="15" hidden="1" customHeight="1" outlineLevel="1">
      <c r="A371" s="97"/>
      <c r="B371" s="98" t="s">
        <v>332</v>
      </c>
      <c r="C371" s="99" t="s">
        <v>135</v>
      </c>
      <c r="D371" s="100">
        <v>0.16</v>
      </c>
      <c r="E371" s="127">
        <v>0.2</v>
      </c>
      <c r="F371" s="69">
        <f t="shared" si="5"/>
        <v>3.2000000000000001E-2</v>
      </c>
      <c r="G371" s="69">
        <v>24000</v>
      </c>
    </row>
    <row r="372" spans="1:7" ht="15" hidden="1" customHeight="1" outlineLevel="1">
      <c r="A372" s="97"/>
      <c r="B372" s="98" t="s">
        <v>333</v>
      </c>
      <c r="C372" s="99" t="s">
        <v>135</v>
      </c>
      <c r="D372" s="100">
        <v>0.16</v>
      </c>
      <c r="E372" s="127">
        <v>0.16</v>
      </c>
      <c r="F372" s="69">
        <f t="shared" si="5"/>
        <v>2.5600000000000001E-2</v>
      </c>
      <c r="G372" s="69">
        <v>24000</v>
      </c>
    </row>
    <row r="373" spans="1:7" ht="15" hidden="1" customHeight="1" outlineLevel="1">
      <c r="A373" s="97"/>
      <c r="B373" s="98" t="s">
        <v>334</v>
      </c>
      <c r="C373" s="99" t="s">
        <v>135</v>
      </c>
      <c r="D373" s="100">
        <v>0.16</v>
      </c>
      <c r="E373" s="127">
        <v>0.12</v>
      </c>
      <c r="F373" s="69">
        <f t="shared" si="5"/>
        <v>1.9199999999999998E-2</v>
      </c>
      <c r="G373" s="69">
        <v>24000</v>
      </c>
    </row>
    <row r="374" spans="1:7" ht="15" hidden="1" customHeight="1" outlineLevel="1">
      <c r="A374" s="97"/>
      <c r="B374" s="98" t="s">
        <v>335</v>
      </c>
      <c r="C374" s="99" t="s">
        <v>135</v>
      </c>
      <c r="D374" s="100">
        <v>0.14499999999999999</v>
      </c>
      <c r="E374" s="127">
        <v>0.24</v>
      </c>
      <c r="F374" s="69">
        <f t="shared" si="5"/>
        <v>3.4799999999999998E-2</v>
      </c>
      <c r="G374" s="69">
        <v>24000</v>
      </c>
    </row>
    <row r="375" spans="1:7" ht="15" hidden="1" customHeight="1" outlineLevel="1">
      <c r="A375" s="97"/>
      <c r="B375" s="98" t="s">
        <v>336</v>
      </c>
      <c r="C375" s="99" t="s">
        <v>135</v>
      </c>
      <c r="D375" s="100">
        <v>0.14499999999999999</v>
      </c>
      <c r="E375" s="127">
        <v>0.2</v>
      </c>
      <c r="F375" s="69">
        <f t="shared" si="5"/>
        <v>2.8999999999999998E-2</v>
      </c>
      <c r="G375" s="69">
        <v>24000</v>
      </c>
    </row>
    <row r="376" spans="1:7" ht="15" hidden="1" customHeight="1" outlineLevel="1">
      <c r="A376" s="97"/>
      <c r="B376" s="98" t="s">
        <v>337</v>
      </c>
      <c r="C376" s="99" t="s">
        <v>135</v>
      </c>
      <c r="D376" s="100">
        <v>0.14499999999999999</v>
      </c>
      <c r="E376" s="127">
        <v>0.16</v>
      </c>
      <c r="F376" s="69">
        <f t="shared" si="5"/>
        <v>2.3199999999999998E-2</v>
      </c>
      <c r="G376" s="69">
        <v>24000</v>
      </c>
    </row>
    <row r="377" spans="1:7" ht="15" hidden="1" customHeight="1" outlineLevel="1">
      <c r="A377" s="97"/>
      <c r="B377" s="98" t="s">
        <v>338</v>
      </c>
      <c r="C377" s="99" t="s">
        <v>135</v>
      </c>
      <c r="D377" s="100">
        <v>0.14499999999999999</v>
      </c>
      <c r="E377" s="127">
        <v>0.12</v>
      </c>
      <c r="F377" s="69">
        <f t="shared" si="5"/>
        <v>1.7399999999999999E-2</v>
      </c>
      <c r="G377" s="69">
        <v>24000</v>
      </c>
    </row>
    <row r="378" spans="1:7" ht="15" hidden="1" customHeight="1" outlineLevel="1">
      <c r="A378" s="97"/>
      <c r="B378" s="98" t="s">
        <v>339</v>
      </c>
      <c r="C378" s="99" t="s">
        <v>135</v>
      </c>
      <c r="D378" s="100">
        <v>0.14000000000000001</v>
      </c>
      <c r="E378" s="127">
        <v>0.24</v>
      </c>
      <c r="F378" s="69">
        <f t="shared" si="5"/>
        <v>3.3600000000000005E-2</v>
      </c>
      <c r="G378" s="69">
        <v>24000</v>
      </c>
    </row>
    <row r="379" spans="1:7" ht="15" hidden="1" customHeight="1" outlineLevel="1">
      <c r="A379" s="97"/>
      <c r="B379" s="98" t="s">
        <v>340</v>
      </c>
      <c r="C379" s="99" t="s">
        <v>135</v>
      </c>
      <c r="D379" s="100">
        <v>0.14000000000000001</v>
      </c>
      <c r="E379" s="127">
        <v>0.2</v>
      </c>
      <c r="F379" s="69">
        <f t="shared" si="5"/>
        <v>2.8000000000000004E-2</v>
      </c>
      <c r="G379" s="69">
        <v>24000</v>
      </c>
    </row>
    <row r="380" spans="1:7" ht="15" hidden="1" customHeight="1" outlineLevel="1">
      <c r="A380" s="97"/>
      <c r="B380" s="98" t="s">
        <v>341</v>
      </c>
      <c r="C380" s="99" t="s">
        <v>135</v>
      </c>
      <c r="D380" s="100">
        <v>0.14000000000000001</v>
      </c>
      <c r="E380" s="127">
        <v>0.16</v>
      </c>
      <c r="F380" s="69">
        <f t="shared" si="5"/>
        <v>2.2400000000000003E-2</v>
      </c>
      <c r="G380" s="69">
        <v>24000</v>
      </c>
    </row>
    <row r="381" spans="1:7" ht="15" hidden="1" customHeight="1" outlineLevel="1">
      <c r="A381" s="97"/>
      <c r="B381" s="98" t="s">
        <v>342</v>
      </c>
      <c r="C381" s="99" t="s">
        <v>135</v>
      </c>
      <c r="D381" s="100">
        <v>0.14000000000000001</v>
      </c>
      <c r="E381" s="127">
        <v>0.12</v>
      </c>
      <c r="F381" s="69">
        <f t="shared" si="5"/>
        <v>1.6800000000000002E-2</v>
      </c>
      <c r="G381" s="69">
        <v>24000</v>
      </c>
    </row>
    <row r="382" spans="1:7" ht="15" hidden="1" customHeight="1" outlineLevel="1">
      <c r="A382" s="97"/>
      <c r="B382" s="98" t="s">
        <v>343</v>
      </c>
      <c r="C382" s="99" t="s">
        <v>135</v>
      </c>
      <c r="D382" s="100">
        <v>0.14000000000000001</v>
      </c>
      <c r="E382" s="127">
        <v>0.24</v>
      </c>
      <c r="F382" s="69">
        <f t="shared" si="5"/>
        <v>3.3600000000000005E-2</v>
      </c>
      <c r="G382" s="69">
        <v>24000</v>
      </c>
    </row>
    <row r="383" spans="1:7" ht="15" hidden="1" customHeight="1" outlineLevel="1">
      <c r="A383" s="97"/>
      <c r="B383" s="98" t="s">
        <v>344</v>
      </c>
      <c r="C383" s="99" t="s">
        <v>135</v>
      </c>
      <c r="D383" s="100">
        <v>0.14000000000000001</v>
      </c>
      <c r="E383" s="127">
        <v>0.2</v>
      </c>
      <c r="F383" s="69">
        <f t="shared" si="5"/>
        <v>2.8000000000000004E-2</v>
      </c>
      <c r="G383" s="69">
        <v>24000</v>
      </c>
    </row>
    <row r="384" spans="1:7" ht="15" hidden="1" customHeight="1" outlineLevel="1">
      <c r="A384" s="97"/>
      <c r="B384" s="98" t="s">
        <v>345</v>
      </c>
      <c r="C384" s="99" t="s">
        <v>135</v>
      </c>
      <c r="D384" s="100">
        <v>0.14000000000000001</v>
      </c>
      <c r="E384" s="127">
        <v>0.16</v>
      </c>
      <c r="F384" s="69">
        <f t="shared" si="5"/>
        <v>2.2400000000000003E-2</v>
      </c>
      <c r="G384" s="69">
        <v>24000</v>
      </c>
    </row>
    <row r="385" spans="1:7" ht="15" hidden="1" customHeight="1" outlineLevel="1">
      <c r="A385" s="97"/>
      <c r="B385" s="98" t="s">
        <v>346</v>
      </c>
      <c r="C385" s="99" t="s">
        <v>135</v>
      </c>
      <c r="D385" s="100">
        <v>0.14000000000000001</v>
      </c>
      <c r="E385" s="127">
        <v>0.12</v>
      </c>
      <c r="F385" s="69">
        <f t="shared" si="5"/>
        <v>1.6800000000000002E-2</v>
      </c>
      <c r="G385" s="69">
        <v>24000</v>
      </c>
    </row>
    <row r="386" spans="1:7" ht="15" hidden="1" customHeight="1" outlineLevel="1">
      <c r="A386" s="97"/>
      <c r="B386" s="98" t="s">
        <v>347</v>
      </c>
      <c r="C386" s="99" t="s">
        <v>135</v>
      </c>
      <c r="D386" s="100">
        <v>0.14000000000000001</v>
      </c>
      <c r="E386" s="127">
        <v>0.24</v>
      </c>
      <c r="F386" s="69">
        <f t="shared" si="5"/>
        <v>3.3600000000000005E-2</v>
      </c>
      <c r="G386" s="69">
        <v>35000</v>
      </c>
    </row>
    <row r="387" spans="1:7" ht="15" hidden="1" customHeight="1" outlineLevel="1">
      <c r="A387" s="97"/>
      <c r="B387" s="98" t="s">
        <v>348</v>
      </c>
      <c r="C387" s="99" t="s">
        <v>135</v>
      </c>
      <c r="D387" s="100">
        <v>0.14000000000000001</v>
      </c>
      <c r="E387" s="127">
        <v>0.2</v>
      </c>
      <c r="F387" s="69">
        <f t="shared" si="5"/>
        <v>2.8000000000000004E-2</v>
      </c>
      <c r="G387" s="69">
        <v>35000</v>
      </c>
    </row>
    <row r="388" spans="1:7" ht="15" hidden="1" customHeight="1" outlineLevel="1">
      <c r="A388" s="97"/>
      <c r="B388" s="98" t="s">
        <v>349</v>
      </c>
      <c r="C388" s="99" t="s">
        <v>135</v>
      </c>
      <c r="D388" s="100">
        <v>0.14000000000000001</v>
      </c>
      <c r="E388" s="127">
        <v>0.16</v>
      </c>
      <c r="F388" s="69">
        <f t="shared" si="5"/>
        <v>2.2400000000000003E-2</v>
      </c>
      <c r="G388" s="69">
        <v>35000</v>
      </c>
    </row>
    <row r="389" spans="1:7" ht="15" hidden="1" customHeight="1" outlineLevel="1">
      <c r="A389" s="97"/>
      <c r="B389" s="98" t="s">
        <v>350</v>
      </c>
      <c r="C389" s="99" t="s">
        <v>135</v>
      </c>
      <c r="D389" s="100">
        <v>0.14000000000000001</v>
      </c>
      <c r="E389" s="127">
        <v>0.12</v>
      </c>
      <c r="F389" s="69">
        <f t="shared" si="5"/>
        <v>1.6800000000000002E-2</v>
      </c>
      <c r="G389" s="69">
        <v>35000</v>
      </c>
    </row>
    <row r="390" spans="1:7" ht="15" hidden="1" customHeight="1" outlineLevel="1">
      <c r="A390" s="97"/>
      <c r="B390" s="98" t="s">
        <v>351</v>
      </c>
      <c r="C390" s="126" t="s">
        <v>135</v>
      </c>
      <c r="D390" s="129">
        <v>0.8</v>
      </c>
      <c r="E390" s="129">
        <v>0.1</v>
      </c>
      <c r="F390" s="69">
        <f t="shared" si="5"/>
        <v>8.0000000000000016E-2</v>
      </c>
      <c r="G390" s="129">
        <v>11000</v>
      </c>
    </row>
    <row r="391" spans="1:7" ht="15" hidden="1" customHeight="1" outlineLevel="1">
      <c r="A391" s="97"/>
      <c r="B391" s="98" t="s">
        <v>352</v>
      </c>
      <c r="C391" s="126" t="s">
        <v>135</v>
      </c>
      <c r="D391" s="129">
        <v>0.8</v>
      </c>
      <c r="E391" s="129">
        <v>0.15</v>
      </c>
      <c r="F391" s="69">
        <f t="shared" si="5"/>
        <v>0.12</v>
      </c>
      <c r="G391" s="129">
        <v>11000</v>
      </c>
    </row>
    <row r="392" spans="1:7" ht="15" hidden="1" customHeight="1" outlineLevel="1">
      <c r="A392" s="97"/>
      <c r="B392" s="98" t="s">
        <v>353</v>
      </c>
      <c r="C392" s="126" t="s">
        <v>135</v>
      </c>
      <c r="D392" s="129">
        <v>0.1</v>
      </c>
      <c r="E392" s="129">
        <v>0.1</v>
      </c>
      <c r="F392" s="69">
        <f t="shared" si="5"/>
        <v>1.0000000000000002E-2</v>
      </c>
      <c r="G392" s="129">
        <v>11000</v>
      </c>
    </row>
    <row r="393" spans="1:7" ht="15" hidden="1" customHeight="1" outlineLevel="1">
      <c r="A393" s="97"/>
      <c r="B393" s="98" t="s">
        <v>354</v>
      </c>
      <c r="C393" s="126" t="s">
        <v>135</v>
      </c>
      <c r="D393" s="129">
        <v>0.1</v>
      </c>
      <c r="E393" s="129">
        <v>0.15</v>
      </c>
      <c r="F393" s="69">
        <f t="shared" si="5"/>
        <v>1.4999999999999999E-2</v>
      </c>
      <c r="G393" s="129">
        <v>11000</v>
      </c>
    </row>
    <row r="394" spans="1:7" ht="15" hidden="1" customHeight="1" outlineLevel="1">
      <c r="A394" s="97"/>
      <c r="B394" s="98" t="s">
        <v>355</v>
      </c>
      <c r="C394" s="126" t="s">
        <v>135</v>
      </c>
      <c r="D394" s="129">
        <v>0.14000000000000001</v>
      </c>
      <c r="E394" s="129">
        <v>0.12</v>
      </c>
      <c r="F394" s="69">
        <f t="shared" si="5"/>
        <v>1.6800000000000002E-2</v>
      </c>
      <c r="G394" s="129">
        <v>11000</v>
      </c>
    </row>
    <row r="395" spans="1:7" ht="15" hidden="1" customHeight="1" outlineLevel="1">
      <c r="A395" s="97"/>
      <c r="B395" s="98" t="s">
        <v>356</v>
      </c>
      <c r="C395" s="126" t="s">
        <v>135</v>
      </c>
      <c r="D395" s="129">
        <v>0.14000000000000001</v>
      </c>
      <c r="E395" s="129">
        <v>0.14000000000000001</v>
      </c>
      <c r="F395" s="69">
        <f t="shared" si="5"/>
        <v>1.9600000000000003E-2</v>
      </c>
      <c r="G395" s="129">
        <v>11000</v>
      </c>
    </row>
    <row r="396" spans="1:7" ht="15" hidden="1" customHeight="1" outlineLevel="1">
      <c r="A396" s="97"/>
      <c r="B396" s="98" t="s">
        <v>357</v>
      </c>
      <c r="C396" s="126" t="s">
        <v>135</v>
      </c>
      <c r="D396" s="129">
        <v>0.14000000000000001</v>
      </c>
      <c r="E396" s="129">
        <v>0.19</v>
      </c>
      <c r="F396" s="69">
        <f t="shared" si="5"/>
        <v>2.6600000000000002E-2</v>
      </c>
      <c r="G396" s="129">
        <v>11000</v>
      </c>
    </row>
    <row r="397" spans="1:7" ht="15" hidden="1" customHeight="1" outlineLevel="1">
      <c r="A397" s="97"/>
      <c r="B397" s="98" t="s">
        <v>358</v>
      </c>
      <c r="C397" s="126" t="s">
        <v>135</v>
      </c>
      <c r="D397" s="129">
        <v>0.15</v>
      </c>
      <c r="E397" s="129">
        <v>0.1</v>
      </c>
      <c r="F397" s="69">
        <f t="shared" si="5"/>
        <v>1.4999999999999999E-2</v>
      </c>
      <c r="G397" s="129">
        <v>11200</v>
      </c>
    </row>
    <row r="398" spans="1:7" ht="15" hidden="1" customHeight="1" outlineLevel="1">
      <c r="A398" s="97"/>
      <c r="B398" s="98" t="s">
        <v>359</v>
      </c>
      <c r="C398" s="126" t="s">
        <v>135</v>
      </c>
      <c r="D398" s="129">
        <v>0.15</v>
      </c>
      <c r="E398" s="129">
        <v>0.15</v>
      </c>
      <c r="F398" s="69">
        <f t="shared" ref="F398:F429" si="6">D398*E398</f>
        <v>2.2499999999999999E-2</v>
      </c>
      <c r="G398" s="129">
        <v>11200</v>
      </c>
    </row>
    <row r="399" spans="1:7" ht="15" hidden="1" customHeight="1" outlineLevel="1">
      <c r="A399" s="97"/>
      <c r="B399" s="98" t="s">
        <v>360</v>
      </c>
      <c r="C399" s="126" t="s">
        <v>135</v>
      </c>
      <c r="D399" s="129">
        <v>0.15</v>
      </c>
      <c r="E399" s="69">
        <v>0.18</v>
      </c>
      <c r="F399" s="69">
        <f t="shared" si="6"/>
        <v>2.7E-2</v>
      </c>
      <c r="G399" s="129">
        <v>11200</v>
      </c>
    </row>
    <row r="400" spans="1:7" ht="15" hidden="1" customHeight="1" outlineLevel="1">
      <c r="A400" s="97"/>
      <c r="B400" s="98" t="s">
        <v>361</v>
      </c>
      <c r="C400" s="126" t="s">
        <v>135</v>
      </c>
      <c r="D400" s="129">
        <v>0.2</v>
      </c>
      <c r="E400" s="129">
        <v>0.1</v>
      </c>
      <c r="F400" s="69">
        <f t="shared" si="6"/>
        <v>2.0000000000000004E-2</v>
      </c>
      <c r="G400" s="129">
        <v>11300</v>
      </c>
    </row>
    <row r="401" spans="1:7" ht="15" hidden="1" customHeight="1" outlineLevel="1">
      <c r="A401" s="97"/>
      <c r="B401" s="98" t="s">
        <v>362</v>
      </c>
      <c r="C401" s="126" t="s">
        <v>135</v>
      </c>
      <c r="D401" s="129">
        <v>0.2</v>
      </c>
      <c r="E401" s="129">
        <v>0.15</v>
      </c>
      <c r="F401" s="69">
        <f t="shared" si="6"/>
        <v>0.03</v>
      </c>
      <c r="G401" s="129">
        <v>11300</v>
      </c>
    </row>
    <row r="402" spans="1:7" ht="15" hidden="1" customHeight="1" outlineLevel="1">
      <c r="A402" s="97"/>
      <c r="B402" s="98" t="s">
        <v>363</v>
      </c>
      <c r="C402" s="126" t="s">
        <v>135</v>
      </c>
      <c r="D402" s="129">
        <v>0.2</v>
      </c>
      <c r="E402" s="69">
        <v>0.18</v>
      </c>
      <c r="F402" s="69">
        <f t="shared" si="6"/>
        <v>3.5999999999999997E-2</v>
      </c>
      <c r="G402" s="129">
        <v>11300</v>
      </c>
    </row>
    <row r="403" spans="1:7" ht="15" hidden="1" customHeight="1" outlineLevel="1">
      <c r="A403" s="97"/>
      <c r="B403" s="98" t="s">
        <v>364</v>
      </c>
      <c r="C403" s="126" t="s">
        <v>135</v>
      </c>
      <c r="D403" s="129">
        <v>0.8</v>
      </c>
      <c r="E403" s="129">
        <v>0.1</v>
      </c>
      <c r="F403" s="69">
        <f t="shared" si="6"/>
        <v>8.0000000000000016E-2</v>
      </c>
      <c r="G403" s="69">
        <v>9000</v>
      </c>
    </row>
    <row r="404" spans="1:7" ht="15" hidden="1" customHeight="1" outlineLevel="1">
      <c r="A404" s="97"/>
      <c r="B404" s="98" t="s">
        <v>365</v>
      </c>
      <c r="C404" s="126" t="s">
        <v>135</v>
      </c>
      <c r="D404" s="129">
        <v>0.8</v>
      </c>
      <c r="E404" s="129">
        <v>0.15</v>
      </c>
      <c r="F404" s="69">
        <f t="shared" si="6"/>
        <v>0.12</v>
      </c>
      <c r="G404" s="69">
        <v>9000</v>
      </c>
    </row>
    <row r="405" spans="1:7" ht="15" hidden="1" customHeight="1" outlineLevel="1">
      <c r="A405" s="97"/>
      <c r="B405" s="98" t="s">
        <v>366</v>
      </c>
      <c r="C405" s="126" t="s">
        <v>135</v>
      </c>
      <c r="D405" s="129">
        <v>0.1</v>
      </c>
      <c r="E405" s="129">
        <v>0.1</v>
      </c>
      <c r="F405" s="69">
        <f t="shared" si="6"/>
        <v>1.0000000000000002E-2</v>
      </c>
      <c r="G405" s="69">
        <v>9000</v>
      </c>
    </row>
    <row r="406" spans="1:7" ht="15" hidden="1" customHeight="1" outlineLevel="1">
      <c r="A406" s="97"/>
      <c r="B406" s="98" t="s">
        <v>367</v>
      </c>
      <c r="C406" s="126" t="s">
        <v>135</v>
      </c>
      <c r="D406" s="129">
        <v>0.1</v>
      </c>
      <c r="E406" s="129">
        <v>0.15</v>
      </c>
      <c r="F406" s="69">
        <f t="shared" si="6"/>
        <v>1.4999999999999999E-2</v>
      </c>
      <c r="G406" s="69">
        <v>9000</v>
      </c>
    </row>
    <row r="407" spans="1:7" ht="15" hidden="1" customHeight="1" outlineLevel="1">
      <c r="A407" s="97"/>
      <c r="B407" s="98" t="s">
        <v>368</v>
      </c>
      <c r="C407" s="126" t="s">
        <v>135</v>
      </c>
      <c r="D407" s="129">
        <v>0.14000000000000001</v>
      </c>
      <c r="E407" s="129">
        <v>0.14000000000000001</v>
      </c>
      <c r="F407" s="69">
        <f t="shared" si="6"/>
        <v>1.9600000000000003E-2</v>
      </c>
      <c r="G407" s="69">
        <v>9000</v>
      </c>
    </row>
    <row r="408" spans="1:7" ht="15" hidden="1" customHeight="1" outlineLevel="1">
      <c r="A408" s="97"/>
      <c r="B408" s="98" t="s">
        <v>369</v>
      </c>
      <c r="C408" s="126" t="s">
        <v>135</v>
      </c>
      <c r="D408" s="129">
        <v>0.14000000000000001</v>
      </c>
      <c r="E408" s="129">
        <v>0.19</v>
      </c>
      <c r="F408" s="69">
        <f t="shared" si="6"/>
        <v>2.6600000000000002E-2</v>
      </c>
      <c r="G408" s="69">
        <v>9000</v>
      </c>
    </row>
    <row r="409" spans="1:7" ht="15" hidden="1" customHeight="1" outlineLevel="1">
      <c r="A409" s="97"/>
      <c r="B409" s="98" t="s">
        <v>370</v>
      </c>
      <c r="C409" s="126" t="s">
        <v>135</v>
      </c>
      <c r="D409" s="129">
        <v>0.14000000000000001</v>
      </c>
      <c r="E409" s="129">
        <v>0.23</v>
      </c>
      <c r="F409" s="69">
        <f t="shared" si="6"/>
        <v>3.2200000000000006E-2</v>
      </c>
      <c r="G409" s="69">
        <v>9000</v>
      </c>
    </row>
    <row r="410" spans="1:7" ht="15" hidden="1" customHeight="1" outlineLevel="1">
      <c r="A410" s="97"/>
      <c r="B410" s="98" t="s">
        <v>371</v>
      </c>
      <c r="C410" s="126" t="s">
        <v>135</v>
      </c>
      <c r="D410" s="129">
        <v>0.14000000000000001</v>
      </c>
      <c r="E410" s="129">
        <v>0.25</v>
      </c>
      <c r="F410" s="69">
        <f t="shared" si="6"/>
        <v>3.5000000000000003E-2</v>
      </c>
      <c r="G410" s="69">
        <v>9000</v>
      </c>
    </row>
    <row r="411" spans="1:7" ht="15" hidden="1" customHeight="1" outlineLevel="1">
      <c r="A411" s="97"/>
      <c r="B411" s="98" t="s">
        <v>372</v>
      </c>
      <c r="C411" s="126" t="s">
        <v>135</v>
      </c>
      <c r="D411" s="129">
        <v>0.15</v>
      </c>
      <c r="E411" s="129">
        <v>0.1</v>
      </c>
      <c r="F411" s="69">
        <f t="shared" si="6"/>
        <v>1.4999999999999999E-2</v>
      </c>
      <c r="G411" s="69">
        <v>9200</v>
      </c>
    </row>
    <row r="412" spans="1:7" ht="15" hidden="1" customHeight="1" outlineLevel="1">
      <c r="A412" s="97"/>
      <c r="B412" s="98" t="s">
        <v>373</v>
      </c>
      <c r="C412" s="126" t="s">
        <v>135</v>
      </c>
      <c r="D412" s="129">
        <v>0.15</v>
      </c>
      <c r="E412" s="129">
        <v>0.15</v>
      </c>
      <c r="F412" s="69">
        <f t="shared" si="6"/>
        <v>2.2499999999999999E-2</v>
      </c>
      <c r="G412" s="69">
        <v>9200</v>
      </c>
    </row>
    <row r="413" spans="1:7" ht="15" hidden="1" customHeight="1" outlineLevel="1">
      <c r="A413" s="97"/>
      <c r="B413" s="98" t="s">
        <v>374</v>
      </c>
      <c r="C413" s="126" t="s">
        <v>135</v>
      </c>
      <c r="D413" s="129">
        <v>0.15</v>
      </c>
      <c r="E413" s="69">
        <v>0.18</v>
      </c>
      <c r="F413" s="69">
        <f t="shared" si="6"/>
        <v>2.7E-2</v>
      </c>
      <c r="G413" s="69">
        <v>9200</v>
      </c>
    </row>
    <row r="414" spans="1:7" ht="15" hidden="1" customHeight="1" outlineLevel="1">
      <c r="A414" s="97"/>
      <c r="B414" s="98" t="s">
        <v>375</v>
      </c>
      <c r="C414" s="126" t="s">
        <v>135</v>
      </c>
      <c r="D414" s="129">
        <v>0.19</v>
      </c>
      <c r="E414" s="129">
        <v>0.19</v>
      </c>
      <c r="F414" s="69">
        <f t="shared" si="6"/>
        <v>3.61E-2</v>
      </c>
      <c r="G414" s="69">
        <v>9200</v>
      </c>
    </row>
    <row r="415" spans="1:7" ht="15" hidden="1" customHeight="1" outlineLevel="1">
      <c r="A415" s="97"/>
      <c r="B415" s="98" t="s">
        <v>376</v>
      </c>
      <c r="C415" s="126" t="s">
        <v>135</v>
      </c>
      <c r="D415" s="129">
        <v>0.19</v>
      </c>
      <c r="E415" s="129">
        <v>0.23</v>
      </c>
      <c r="F415" s="69">
        <f t="shared" si="6"/>
        <v>4.3700000000000003E-2</v>
      </c>
      <c r="G415" s="69">
        <v>9200</v>
      </c>
    </row>
    <row r="416" spans="1:7" ht="15" hidden="1" customHeight="1" outlineLevel="1">
      <c r="A416" s="97"/>
      <c r="B416" s="98" t="s">
        <v>377</v>
      </c>
      <c r="C416" s="126" t="s">
        <v>135</v>
      </c>
      <c r="D416" s="129">
        <v>0.19</v>
      </c>
      <c r="E416" s="129">
        <v>0.25</v>
      </c>
      <c r="F416" s="69">
        <f t="shared" si="6"/>
        <v>4.7500000000000001E-2</v>
      </c>
      <c r="G416" s="69">
        <v>9200</v>
      </c>
    </row>
    <row r="417" spans="1:7" ht="15" hidden="1" customHeight="1" outlineLevel="1">
      <c r="A417" s="97"/>
      <c r="B417" s="98" t="s">
        <v>378</v>
      </c>
      <c r="C417" s="126" t="s">
        <v>135</v>
      </c>
      <c r="D417" s="129">
        <v>0.2</v>
      </c>
      <c r="E417" s="129">
        <v>0.1</v>
      </c>
      <c r="F417" s="69">
        <f t="shared" si="6"/>
        <v>2.0000000000000004E-2</v>
      </c>
      <c r="G417" s="69">
        <v>9300</v>
      </c>
    </row>
    <row r="418" spans="1:7" ht="15" hidden="1" customHeight="1" outlineLevel="1">
      <c r="A418" s="97"/>
      <c r="B418" s="98" t="s">
        <v>379</v>
      </c>
      <c r="C418" s="126" t="s">
        <v>135</v>
      </c>
      <c r="D418" s="129">
        <v>0.2</v>
      </c>
      <c r="E418" s="129">
        <v>0.15</v>
      </c>
      <c r="F418" s="69">
        <f t="shared" si="6"/>
        <v>0.03</v>
      </c>
      <c r="G418" s="69">
        <v>9300</v>
      </c>
    </row>
    <row r="419" spans="1:7" ht="15" hidden="1" customHeight="1" outlineLevel="1">
      <c r="A419" s="97"/>
      <c r="B419" s="98" t="s">
        <v>380</v>
      </c>
      <c r="C419" s="126" t="s">
        <v>135</v>
      </c>
      <c r="D419" s="129">
        <v>0.2</v>
      </c>
      <c r="E419" s="69">
        <v>0.18</v>
      </c>
      <c r="F419" s="69">
        <f t="shared" si="6"/>
        <v>3.5999999999999997E-2</v>
      </c>
      <c r="G419" s="69">
        <v>9300</v>
      </c>
    </row>
    <row r="420" spans="1:7" ht="15" hidden="1" customHeight="1" outlineLevel="1">
      <c r="A420" s="97"/>
      <c r="B420" s="98" t="s">
        <v>381</v>
      </c>
      <c r="C420" s="126" t="s">
        <v>156</v>
      </c>
      <c r="D420" s="129"/>
      <c r="E420" s="69"/>
      <c r="F420" s="69"/>
      <c r="G420" s="69">
        <v>0</v>
      </c>
    </row>
    <row r="421" spans="1:7" ht="15" hidden="1" customHeight="1" outlineLevel="1">
      <c r="A421" s="97"/>
      <c r="B421" s="98" t="s">
        <v>382</v>
      </c>
      <c r="C421" s="126" t="s">
        <v>156</v>
      </c>
      <c r="D421" s="129"/>
      <c r="E421" s="127">
        <v>0.24</v>
      </c>
      <c r="F421" s="69"/>
      <c r="G421" s="69">
        <v>400</v>
      </c>
    </row>
    <row r="422" spans="1:7" ht="15" hidden="1" customHeight="1" outlineLevel="1">
      <c r="A422" s="97"/>
      <c r="B422" s="98" t="s">
        <v>383</v>
      </c>
      <c r="C422" s="126" t="s">
        <v>156</v>
      </c>
      <c r="D422" s="129"/>
      <c r="E422" s="127">
        <v>0.2</v>
      </c>
      <c r="F422" s="69"/>
      <c r="G422" s="69">
        <v>350</v>
      </c>
    </row>
    <row r="423" spans="1:7" ht="15" hidden="1" customHeight="1" outlineLevel="1">
      <c r="A423" s="97"/>
      <c r="B423" s="98" t="s">
        <v>384</v>
      </c>
      <c r="C423" s="126" t="s">
        <v>156</v>
      </c>
      <c r="D423" s="129"/>
      <c r="E423" s="127">
        <v>0.16</v>
      </c>
      <c r="F423" s="69"/>
      <c r="G423" s="69">
        <v>300</v>
      </c>
    </row>
    <row r="424" spans="1:7" ht="15" hidden="1" customHeight="1" outlineLevel="1">
      <c r="A424" s="97"/>
      <c r="B424" s="98" t="s">
        <v>385</v>
      </c>
      <c r="C424" s="126" t="s">
        <v>156</v>
      </c>
      <c r="D424" s="129"/>
      <c r="E424" s="127">
        <v>0.12</v>
      </c>
      <c r="F424" s="69"/>
      <c r="G424" s="69">
        <v>250</v>
      </c>
    </row>
    <row r="425" spans="1:7" ht="15" hidden="1" customHeight="1" outlineLevel="1">
      <c r="A425" s="97"/>
      <c r="B425" s="98" t="s">
        <v>386</v>
      </c>
      <c r="C425" s="126" t="s">
        <v>159</v>
      </c>
      <c r="D425" s="100"/>
      <c r="E425" s="127"/>
      <c r="F425" s="69"/>
      <c r="G425" s="69">
        <v>6</v>
      </c>
    </row>
    <row r="426" spans="1:7" ht="15" hidden="1" customHeight="1" outlineLevel="1">
      <c r="A426" s="97"/>
      <c r="B426" s="98" t="s">
        <v>387</v>
      </c>
      <c r="C426" s="99" t="s">
        <v>388</v>
      </c>
      <c r="D426" s="100"/>
      <c r="E426" s="127"/>
      <c r="F426" s="69"/>
      <c r="G426" s="69">
        <v>130</v>
      </c>
    </row>
    <row r="427" spans="1:7" ht="15" hidden="1" customHeight="1" outlineLevel="1">
      <c r="A427" s="97"/>
      <c r="B427" s="98" t="s">
        <v>389</v>
      </c>
      <c r="C427" s="99" t="s">
        <v>159</v>
      </c>
      <c r="D427" s="100"/>
      <c r="E427" s="127"/>
      <c r="F427" s="69"/>
      <c r="G427" s="69">
        <v>54</v>
      </c>
    </row>
    <row r="428" spans="1:7" ht="15" hidden="1" customHeight="1" outlineLevel="1">
      <c r="A428" s="97"/>
      <c r="B428" s="130" t="s">
        <v>390</v>
      </c>
      <c r="C428" s="104" t="s">
        <v>388</v>
      </c>
      <c r="D428" s="96">
        <v>0.1</v>
      </c>
      <c r="E428" s="95">
        <v>0.05</v>
      </c>
      <c r="F428" s="131">
        <v>20</v>
      </c>
      <c r="G428" s="40">
        <v>110</v>
      </c>
    </row>
    <row r="429" spans="1:7" ht="15" hidden="1" customHeight="1" outlineLevel="1">
      <c r="A429" s="97"/>
      <c r="B429" s="130" t="s">
        <v>391</v>
      </c>
      <c r="C429" s="104" t="s">
        <v>388</v>
      </c>
      <c r="D429" s="96">
        <v>0.15</v>
      </c>
      <c r="E429" s="95">
        <v>0.05</v>
      </c>
      <c r="F429" s="131">
        <v>20</v>
      </c>
      <c r="G429" s="40">
        <v>140</v>
      </c>
    </row>
    <row r="430" spans="1:7" ht="15" hidden="1" customHeight="1" outlineLevel="1">
      <c r="A430" s="97"/>
      <c r="B430" s="130" t="s">
        <v>392</v>
      </c>
      <c r="C430" s="104" t="s">
        <v>388</v>
      </c>
      <c r="D430" s="96">
        <v>0.2</v>
      </c>
      <c r="E430" s="95">
        <v>0.05</v>
      </c>
      <c r="F430" s="131">
        <v>20</v>
      </c>
      <c r="G430" s="40">
        <v>175</v>
      </c>
    </row>
    <row r="431" spans="1:7" ht="15" hidden="1" customHeight="1" outlineLevel="1">
      <c r="A431" s="97"/>
      <c r="B431" s="130" t="s">
        <v>393</v>
      </c>
      <c r="C431" s="104" t="s">
        <v>388</v>
      </c>
      <c r="D431" s="96">
        <v>0.8</v>
      </c>
      <c r="E431" s="95">
        <v>0.05</v>
      </c>
      <c r="F431" s="131">
        <v>20</v>
      </c>
      <c r="G431" s="40">
        <v>750</v>
      </c>
    </row>
    <row r="432" spans="1:7" ht="15" hidden="1" customHeight="1" outlineLevel="1">
      <c r="A432" s="97"/>
      <c r="B432" s="130" t="s">
        <v>394</v>
      </c>
      <c r="C432" s="104" t="s">
        <v>388</v>
      </c>
      <c r="D432" s="96">
        <v>0.16</v>
      </c>
      <c r="E432" s="95">
        <v>0.05</v>
      </c>
      <c r="F432" s="131">
        <v>20</v>
      </c>
      <c r="G432" s="40">
        <v>1500</v>
      </c>
    </row>
    <row r="433" spans="1:7" ht="15" hidden="1" customHeight="1" outlineLevel="1">
      <c r="A433" s="97"/>
      <c r="B433" s="132" t="s">
        <v>395</v>
      </c>
      <c r="C433" s="99" t="s">
        <v>396</v>
      </c>
      <c r="D433" s="100"/>
      <c r="E433" s="127"/>
      <c r="F433" s="69"/>
      <c r="G433" s="69">
        <v>40</v>
      </c>
    </row>
    <row r="434" spans="1:7" ht="15" hidden="1" customHeight="1" outlineLevel="1">
      <c r="A434" s="97"/>
      <c r="B434" s="132" t="s">
        <v>397</v>
      </c>
      <c r="C434" s="99" t="s">
        <v>396</v>
      </c>
      <c r="D434" s="100"/>
      <c r="E434" s="127"/>
      <c r="F434" s="69"/>
      <c r="G434" s="69">
        <v>250</v>
      </c>
    </row>
    <row r="435" spans="1:7" ht="15" hidden="1" customHeight="1" outlineLevel="1">
      <c r="A435" s="97"/>
      <c r="B435" s="132" t="s">
        <v>398</v>
      </c>
      <c r="C435" s="99" t="s">
        <v>159</v>
      </c>
      <c r="D435" s="100"/>
      <c r="E435" s="127"/>
      <c r="F435" s="69"/>
      <c r="G435" s="69">
        <v>800</v>
      </c>
    </row>
    <row r="436" spans="1:7" ht="15" hidden="1" customHeight="1" outlineLevel="1">
      <c r="A436" s="97"/>
      <c r="B436" s="98"/>
      <c r="C436" s="99"/>
      <c r="D436" s="100"/>
      <c r="E436" s="127"/>
      <c r="F436" s="69"/>
      <c r="G436" s="69"/>
    </row>
    <row r="437" spans="1:7" ht="15" hidden="1" customHeight="1" outlineLevel="1">
      <c r="A437" s="97"/>
      <c r="B437" s="98"/>
      <c r="C437" s="99"/>
      <c r="D437" s="100"/>
      <c r="E437" s="127"/>
      <c r="F437" s="69"/>
      <c r="G437" s="69"/>
    </row>
    <row r="438" spans="1:7" ht="15" hidden="1" customHeight="1" outlineLevel="1">
      <c r="A438" s="97"/>
      <c r="B438" s="101"/>
      <c r="C438" s="99"/>
      <c r="D438" s="100"/>
      <c r="E438" s="127"/>
      <c r="F438" s="69"/>
      <c r="G438" s="69"/>
    </row>
    <row r="439" spans="1:7" ht="15" customHeight="1">
      <c r="A439" s="4" t="s">
        <v>292</v>
      </c>
      <c r="B439" s="4"/>
      <c r="C439" s="99"/>
      <c r="D439" s="100"/>
      <c r="E439" s="127"/>
      <c r="F439" s="69"/>
      <c r="G439" s="69"/>
    </row>
    <row r="440" spans="1:7" ht="15" hidden="1" customHeight="1" outlineLevel="1">
      <c r="A440" s="1" t="s">
        <v>399</v>
      </c>
      <c r="B440" s="1"/>
      <c r="C440" s="133" t="s">
        <v>208</v>
      </c>
      <c r="D440" s="125" t="s">
        <v>400</v>
      </c>
      <c r="E440" s="125" t="s">
        <v>273</v>
      </c>
      <c r="F440" s="3031" t="s">
        <v>57</v>
      </c>
      <c r="G440" s="3031"/>
    </row>
    <row r="441" spans="1:7" ht="15" hidden="1" customHeight="1" outlineLevel="1">
      <c r="A441" s="134"/>
      <c r="B441" s="103" t="s">
        <v>401</v>
      </c>
      <c r="C441" s="112" t="s">
        <v>135</v>
      </c>
      <c r="D441" s="39">
        <v>0.2</v>
      </c>
      <c r="E441" s="135"/>
      <c r="F441" s="68"/>
      <c r="G441" s="39">
        <v>8000</v>
      </c>
    </row>
    <row r="442" spans="1:7" ht="15" hidden="1" customHeight="1" outlineLevel="1">
      <c r="A442" s="136"/>
      <c r="B442" s="103" t="s">
        <v>402</v>
      </c>
      <c r="C442" s="112" t="s">
        <v>135</v>
      </c>
      <c r="D442" s="39">
        <v>0.22</v>
      </c>
      <c r="E442" s="135"/>
      <c r="F442" s="68"/>
      <c r="G442" s="39">
        <v>8000</v>
      </c>
    </row>
    <row r="443" spans="1:7" ht="15" hidden="1" customHeight="1" outlineLevel="1">
      <c r="A443" s="136"/>
      <c r="B443" s="103" t="s">
        <v>403</v>
      </c>
      <c r="C443" s="112" t="s">
        <v>135</v>
      </c>
      <c r="D443" s="39">
        <v>0.24</v>
      </c>
      <c r="E443" s="135"/>
      <c r="F443" s="68"/>
      <c r="G443" s="39">
        <v>8500</v>
      </c>
    </row>
    <row r="444" spans="1:7" ht="15" hidden="1" customHeight="1" outlineLevel="1">
      <c r="A444" s="136"/>
      <c r="B444" s="103" t="s">
        <v>404</v>
      </c>
      <c r="C444" s="112" t="s">
        <v>135</v>
      </c>
      <c r="D444" s="39">
        <v>0.26</v>
      </c>
      <c r="E444" s="135"/>
      <c r="F444" s="68"/>
      <c r="G444" s="39">
        <v>8500</v>
      </c>
    </row>
    <row r="445" spans="1:7" ht="15" hidden="1" customHeight="1" outlineLevel="1">
      <c r="A445" s="136"/>
      <c r="B445" s="103" t="s">
        <v>405</v>
      </c>
      <c r="C445" s="112" t="s">
        <v>135</v>
      </c>
      <c r="D445" s="68">
        <v>0.28000000000000003</v>
      </c>
      <c r="E445" s="137"/>
      <c r="F445" s="68"/>
      <c r="G445" s="68">
        <v>9000</v>
      </c>
    </row>
    <row r="446" spans="1:7" ht="15" hidden="1" customHeight="1" outlineLevel="1">
      <c r="A446" s="136"/>
      <c r="B446" s="103" t="s">
        <v>406</v>
      </c>
      <c r="C446" s="112" t="s">
        <v>135</v>
      </c>
      <c r="D446" s="68">
        <v>0.3</v>
      </c>
      <c r="E446" s="137"/>
      <c r="F446" s="68"/>
      <c r="G446" s="68">
        <v>9000</v>
      </c>
    </row>
    <row r="447" spans="1:7" ht="15" hidden="1" customHeight="1" outlineLevel="1">
      <c r="A447" s="136"/>
      <c r="B447" s="103" t="s">
        <v>407</v>
      </c>
      <c r="C447" s="112" t="s">
        <v>135</v>
      </c>
      <c r="D447" s="68">
        <v>0.32</v>
      </c>
      <c r="E447" s="137"/>
      <c r="F447" s="68"/>
      <c r="G447" s="68">
        <v>9500</v>
      </c>
    </row>
    <row r="448" spans="1:7" ht="15" hidden="1" customHeight="1" outlineLevel="1">
      <c r="A448" s="136"/>
      <c r="B448" s="103" t="s">
        <v>408</v>
      </c>
      <c r="C448" s="112" t="s">
        <v>135</v>
      </c>
      <c r="D448" s="68">
        <v>0.34</v>
      </c>
      <c r="E448" s="137"/>
      <c r="F448" s="68"/>
      <c r="G448" s="68">
        <v>9500</v>
      </c>
    </row>
    <row r="449" spans="1:7" ht="15" hidden="1" customHeight="1" outlineLevel="1">
      <c r="A449" s="136"/>
      <c r="B449" s="103" t="s">
        <v>409</v>
      </c>
      <c r="C449" s="112" t="s">
        <v>135</v>
      </c>
      <c r="D449" s="68">
        <v>0.36</v>
      </c>
      <c r="E449" s="137"/>
      <c r="F449" s="68"/>
      <c r="G449" s="68">
        <v>10500</v>
      </c>
    </row>
    <row r="450" spans="1:7" ht="15" hidden="1" customHeight="1" outlineLevel="1">
      <c r="A450" s="136"/>
      <c r="B450" s="103" t="s">
        <v>410</v>
      </c>
      <c r="C450" s="112" t="s">
        <v>135</v>
      </c>
      <c r="D450" s="68">
        <v>0.38</v>
      </c>
      <c r="E450" s="137"/>
      <c r="F450" s="68"/>
      <c r="G450" s="68">
        <v>10500</v>
      </c>
    </row>
    <row r="451" spans="1:7" ht="15" hidden="1" customHeight="1" outlineLevel="1">
      <c r="A451" s="136"/>
      <c r="B451" s="103" t="s">
        <v>411</v>
      </c>
      <c r="C451" s="112" t="s">
        <v>135</v>
      </c>
      <c r="D451" s="68">
        <v>0.4</v>
      </c>
      <c r="E451" s="137"/>
      <c r="F451" s="68"/>
      <c r="G451" s="68">
        <v>11000</v>
      </c>
    </row>
    <row r="452" spans="1:7" ht="15" hidden="1" customHeight="1" outlineLevel="1">
      <c r="A452" s="136"/>
      <c r="B452" s="103" t="s">
        <v>412</v>
      </c>
      <c r="C452" s="112" t="s">
        <v>135</v>
      </c>
      <c r="D452" s="68">
        <v>0.42</v>
      </c>
      <c r="E452" s="137"/>
      <c r="F452" s="68"/>
      <c r="G452" s="68">
        <v>11000</v>
      </c>
    </row>
    <row r="453" spans="1:7" ht="15" hidden="1" customHeight="1" outlineLevel="1">
      <c r="A453" s="136"/>
      <c r="B453" s="103" t="s">
        <v>413</v>
      </c>
      <c r="C453" s="112" t="s">
        <v>135</v>
      </c>
      <c r="D453" s="68">
        <v>0.44</v>
      </c>
      <c r="E453" s="137"/>
      <c r="F453" s="68"/>
      <c r="G453" s="68">
        <v>11500</v>
      </c>
    </row>
    <row r="454" spans="1:7" ht="15" hidden="1" customHeight="1" outlineLevel="1">
      <c r="A454" s="136"/>
      <c r="B454" s="103" t="s">
        <v>414</v>
      </c>
      <c r="C454" s="112" t="s">
        <v>135</v>
      </c>
      <c r="D454" s="68">
        <v>0.46</v>
      </c>
      <c r="E454" s="137"/>
      <c r="F454" s="68"/>
      <c r="G454" s="68">
        <v>11500</v>
      </c>
    </row>
    <row r="455" spans="1:7" ht="15" hidden="1" customHeight="1" outlineLevel="1">
      <c r="A455" s="136"/>
      <c r="B455" s="103" t="s">
        <v>415</v>
      </c>
      <c r="C455" s="112" t="s">
        <v>135</v>
      </c>
      <c r="D455" s="68">
        <v>0.48</v>
      </c>
      <c r="E455" s="137"/>
      <c r="F455" s="68"/>
      <c r="G455" s="68">
        <v>12000</v>
      </c>
    </row>
    <row r="456" spans="1:7" ht="15" hidden="1" customHeight="1" outlineLevel="1">
      <c r="A456" s="136"/>
      <c r="B456" s="103" t="s">
        <v>416</v>
      </c>
      <c r="C456" s="112" t="s">
        <v>135</v>
      </c>
      <c r="D456" s="68">
        <v>0.5</v>
      </c>
      <c r="E456" s="137"/>
      <c r="F456" s="68"/>
      <c r="G456" s="68">
        <v>12000</v>
      </c>
    </row>
    <row r="457" spans="1:7" ht="15" hidden="1" customHeight="1" outlineLevel="1">
      <c r="A457" s="136"/>
      <c r="B457" s="103" t="s">
        <v>417</v>
      </c>
      <c r="C457" s="112" t="s">
        <v>135</v>
      </c>
      <c r="D457" s="39">
        <v>0.2</v>
      </c>
      <c r="E457" s="137"/>
      <c r="F457" s="68"/>
      <c r="G457" s="68">
        <v>10000</v>
      </c>
    </row>
    <row r="458" spans="1:7" ht="15" hidden="1" customHeight="1" outlineLevel="1">
      <c r="A458" s="136"/>
      <c r="B458" s="103" t="s">
        <v>418</v>
      </c>
      <c r="C458" s="112" t="s">
        <v>135</v>
      </c>
      <c r="D458" s="39">
        <v>0.22</v>
      </c>
      <c r="E458" s="137"/>
      <c r="F458" s="68"/>
      <c r="G458" s="68">
        <v>10000</v>
      </c>
    </row>
    <row r="459" spans="1:7" ht="15" hidden="1" customHeight="1" outlineLevel="1">
      <c r="A459" s="136"/>
      <c r="B459" s="103" t="s">
        <v>419</v>
      </c>
      <c r="C459" s="112" t="s">
        <v>135</v>
      </c>
      <c r="D459" s="39">
        <v>0.24</v>
      </c>
      <c r="E459" s="137"/>
      <c r="F459" s="68"/>
      <c r="G459" s="68">
        <v>10500</v>
      </c>
    </row>
    <row r="460" spans="1:7" ht="15" hidden="1" customHeight="1" outlineLevel="1">
      <c r="A460" s="136"/>
      <c r="B460" s="103" t="s">
        <v>420</v>
      </c>
      <c r="C460" s="112" t="s">
        <v>135</v>
      </c>
      <c r="D460" s="39">
        <v>0.26</v>
      </c>
      <c r="E460" s="137"/>
      <c r="F460" s="68"/>
      <c r="G460" s="68">
        <v>10500</v>
      </c>
    </row>
    <row r="461" spans="1:7" ht="15" hidden="1" customHeight="1" outlineLevel="1">
      <c r="A461" s="136"/>
      <c r="B461" s="103" t="s">
        <v>421</v>
      </c>
      <c r="C461" s="112" t="s">
        <v>135</v>
      </c>
      <c r="D461" s="68">
        <v>0.28000000000000003</v>
      </c>
      <c r="E461" s="137"/>
      <c r="F461" s="68"/>
      <c r="G461" s="68">
        <v>11000</v>
      </c>
    </row>
    <row r="462" spans="1:7" ht="15" hidden="1" customHeight="1" outlineLevel="1">
      <c r="A462" s="136"/>
      <c r="B462" s="103" t="s">
        <v>422</v>
      </c>
      <c r="C462" s="112" t="s">
        <v>135</v>
      </c>
      <c r="D462" s="68">
        <v>0.3</v>
      </c>
      <c r="E462" s="137"/>
      <c r="F462" s="68"/>
      <c r="G462" s="68">
        <v>11000</v>
      </c>
    </row>
    <row r="463" spans="1:7" ht="15" hidden="1" customHeight="1" outlineLevel="1">
      <c r="A463" s="136"/>
      <c r="B463" s="103" t="s">
        <v>423</v>
      </c>
      <c r="C463" s="112" t="s">
        <v>135</v>
      </c>
      <c r="D463" s="68">
        <v>0.32</v>
      </c>
      <c r="E463" s="137"/>
      <c r="F463" s="68"/>
      <c r="G463" s="68">
        <v>11500</v>
      </c>
    </row>
    <row r="464" spans="1:7" ht="15" hidden="1" customHeight="1" outlineLevel="1">
      <c r="A464" s="136"/>
      <c r="B464" s="103" t="s">
        <v>424</v>
      </c>
      <c r="C464" s="112" t="s">
        <v>135</v>
      </c>
      <c r="D464" s="68">
        <v>0.34</v>
      </c>
      <c r="E464" s="137"/>
      <c r="F464" s="68"/>
      <c r="G464" s="68">
        <v>11500</v>
      </c>
    </row>
    <row r="465" spans="1:7" ht="15" hidden="1" customHeight="1" outlineLevel="1">
      <c r="A465" s="136"/>
      <c r="B465" s="103" t="s">
        <v>425</v>
      </c>
      <c r="C465" s="112" t="s">
        <v>135</v>
      </c>
      <c r="D465" s="68">
        <v>0.36</v>
      </c>
      <c r="E465" s="137"/>
      <c r="F465" s="68"/>
      <c r="G465" s="68">
        <v>12500</v>
      </c>
    </row>
    <row r="466" spans="1:7" ht="15" hidden="1" customHeight="1" outlineLevel="1">
      <c r="A466" s="136"/>
      <c r="B466" s="103" t="s">
        <v>426</v>
      </c>
      <c r="C466" s="112" t="s">
        <v>135</v>
      </c>
      <c r="D466" s="68">
        <v>0.38</v>
      </c>
      <c r="E466" s="137"/>
      <c r="F466" s="68"/>
      <c r="G466" s="68">
        <v>12500</v>
      </c>
    </row>
    <row r="467" spans="1:7" ht="15" hidden="1" customHeight="1" outlineLevel="1">
      <c r="A467" s="136"/>
      <c r="B467" s="103" t="s">
        <v>427</v>
      </c>
      <c r="C467" s="112" t="s">
        <v>135</v>
      </c>
      <c r="D467" s="68">
        <v>0.4</v>
      </c>
      <c r="E467" s="137"/>
      <c r="F467" s="68"/>
      <c r="G467" s="68">
        <v>13000</v>
      </c>
    </row>
    <row r="468" spans="1:7" ht="15" hidden="1" customHeight="1" outlineLevel="1">
      <c r="A468" s="136"/>
      <c r="B468" s="103" t="s">
        <v>428</v>
      </c>
      <c r="C468" s="112" t="s">
        <v>135</v>
      </c>
      <c r="D468" s="68">
        <v>0.42</v>
      </c>
      <c r="E468" s="137"/>
      <c r="F468" s="68"/>
      <c r="G468" s="68">
        <v>13000</v>
      </c>
    </row>
    <row r="469" spans="1:7" ht="15" hidden="1" customHeight="1" outlineLevel="1">
      <c r="A469" s="136"/>
      <c r="B469" s="103" t="s">
        <v>429</v>
      </c>
      <c r="C469" s="112" t="s">
        <v>135</v>
      </c>
      <c r="D469" s="68">
        <v>0.44</v>
      </c>
      <c r="E469" s="137"/>
      <c r="F469" s="68"/>
      <c r="G469" s="68">
        <v>13500</v>
      </c>
    </row>
    <row r="470" spans="1:7" ht="15" hidden="1" customHeight="1" outlineLevel="1">
      <c r="A470" s="136"/>
      <c r="B470" s="103" t="s">
        <v>430</v>
      </c>
      <c r="C470" s="112" t="s">
        <v>135</v>
      </c>
      <c r="D470" s="68">
        <v>0.46</v>
      </c>
      <c r="E470" s="137"/>
      <c r="F470" s="68"/>
      <c r="G470" s="68">
        <v>13500</v>
      </c>
    </row>
    <row r="471" spans="1:7" ht="15" hidden="1" customHeight="1" outlineLevel="1">
      <c r="A471" s="136"/>
      <c r="B471" s="103" t="s">
        <v>431</v>
      </c>
      <c r="C471" s="112" t="s">
        <v>135</v>
      </c>
      <c r="D471" s="68">
        <v>0.48</v>
      </c>
      <c r="E471" s="137"/>
      <c r="F471" s="68"/>
      <c r="G471" s="68">
        <v>14000</v>
      </c>
    </row>
    <row r="472" spans="1:7" ht="15" hidden="1" customHeight="1" outlineLevel="1">
      <c r="A472" s="136"/>
      <c r="B472" s="103" t="s">
        <v>432</v>
      </c>
      <c r="C472" s="112" t="s">
        <v>135</v>
      </c>
      <c r="D472" s="68">
        <v>0.5</v>
      </c>
      <c r="E472" s="137"/>
      <c r="F472" s="68"/>
      <c r="G472" s="68">
        <v>14000</v>
      </c>
    </row>
    <row r="473" spans="1:7" ht="15" hidden="1" customHeight="1" outlineLevel="1">
      <c r="A473" s="136"/>
      <c r="B473" s="103" t="s">
        <v>433</v>
      </c>
      <c r="C473" s="112" t="s">
        <v>135</v>
      </c>
      <c r="D473" s="68">
        <v>0.28000000000000003</v>
      </c>
      <c r="E473" s="137"/>
      <c r="F473" s="68"/>
      <c r="G473" s="68">
        <v>10000</v>
      </c>
    </row>
    <row r="474" spans="1:7" ht="15" hidden="1" customHeight="1" outlineLevel="1">
      <c r="A474" s="136"/>
      <c r="B474" s="103" t="s">
        <v>434</v>
      </c>
      <c r="C474" s="112" t="s">
        <v>135</v>
      </c>
      <c r="D474" s="68">
        <v>0.3</v>
      </c>
      <c r="E474" s="137"/>
      <c r="F474" s="68"/>
      <c r="G474" s="68">
        <v>10000</v>
      </c>
    </row>
    <row r="475" spans="1:7" ht="15" hidden="1" customHeight="1" outlineLevel="1">
      <c r="A475" s="136"/>
      <c r="B475" s="103" t="s">
        <v>435</v>
      </c>
      <c r="C475" s="112" t="s">
        <v>135</v>
      </c>
      <c r="D475" s="68">
        <v>0.32</v>
      </c>
      <c r="E475" s="135"/>
      <c r="F475" s="68"/>
      <c r="G475" s="68">
        <v>10500</v>
      </c>
    </row>
    <row r="476" spans="1:7" ht="15" hidden="1" customHeight="1" outlineLevel="1">
      <c r="A476" s="136"/>
      <c r="B476" s="103" t="s">
        <v>436</v>
      </c>
      <c r="C476" s="112" t="s">
        <v>135</v>
      </c>
      <c r="D476" s="68">
        <v>0.34</v>
      </c>
      <c r="E476" s="135"/>
      <c r="F476" s="68"/>
      <c r="G476" s="68">
        <v>10500</v>
      </c>
    </row>
    <row r="477" spans="1:7" ht="15" hidden="1" customHeight="1" outlineLevel="1">
      <c r="A477" s="136"/>
      <c r="B477" s="103" t="s">
        <v>437</v>
      </c>
      <c r="C477" s="112" t="s">
        <v>135</v>
      </c>
      <c r="D477" s="68">
        <v>0.36</v>
      </c>
      <c r="E477" s="135"/>
      <c r="F477" s="68"/>
      <c r="G477" s="68">
        <v>11000</v>
      </c>
    </row>
    <row r="478" spans="1:7" ht="15" hidden="1" customHeight="1" outlineLevel="1">
      <c r="A478" s="136"/>
      <c r="B478" s="103" t="s">
        <v>438</v>
      </c>
      <c r="C478" s="112" t="s">
        <v>135</v>
      </c>
      <c r="D478" s="68">
        <v>0.38</v>
      </c>
      <c r="E478" s="135"/>
      <c r="F478" s="68"/>
      <c r="G478" s="68">
        <v>11000</v>
      </c>
    </row>
    <row r="479" spans="1:7" ht="15" hidden="1" customHeight="1" outlineLevel="1">
      <c r="A479" s="136"/>
      <c r="B479" s="103" t="s">
        <v>439</v>
      </c>
      <c r="C479" s="112" t="s">
        <v>135</v>
      </c>
      <c r="D479" s="68">
        <v>0.4</v>
      </c>
      <c r="E479" s="135"/>
      <c r="F479" s="68"/>
      <c r="G479" s="68">
        <v>11500</v>
      </c>
    </row>
    <row r="480" spans="1:7" ht="15" hidden="1" customHeight="1" outlineLevel="1">
      <c r="A480" s="136"/>
      <c r="B480" s="103" t="s">
        <v>440</v>
      </c>
      <c r="C480" s="112" t="s">
        <v>135</v>
      </c>
      <c r="D480" s="68">
        <v>0.42</v>
      </c>
      <c r="E480" s="135"/>
      <c r="F480" s="68"/>
      <c r="G480" s="68">
        <v>11500</v>
      </c>
    </row>
    <row r="481" spans="1:7" ht="15" hidden="1" customHeight="1" outlineLevel="1">
      <c r="A481" s="136"/>
      <c r="B481" s="103" t="s">
        <v>441</v>
      </c>
      <c r="C481" s="112" t="s">
        <v>135</v>
      </c>
      <c r="D481" s="68">
        <v>0.44</v>
      </c>
      <c r="E481" s="135"/>
      <c r="F481" s="68"/>
      <c r="G481" s="68">
        <v>12000</v>
      </c>
    </row>
    <row r="482" spans="1:7" ht="15" hidden="1" customHeight="1" outlineLevel="1">
      <c r="A482" s="136"/>
      <c r="B482" s="103" t="s">
        <v>442</v>
      </c>
      <c r="C482" s="112" t="s">
        <v>135</v>
      </c>
      <c r="D482" s="68">
        <v>0.46</v>
      </c>
      <c r="E482" s="135"/>
      <c r="F482" s="68"/>
      <c r="G482" s="68">
        <v>12000</v>
      </c>
    </row>
    <row r="483" spans="1:7" ht="15" hidden="1" customHeight="1" outlineLevel="1">
      <c r="A483" s="136"/>
      <c r="B483" s="103" t="s">
        <v>443</v>
      </c>
      <c r="C483" s="112" t="s">
        <v>135</v>
      </c>
      <c r="D483" s="68">
        <v>0.48</v>
      </c>
      <c r="E483" s="135"/>
      <c r="F483" s="68"/>
      <c r="G483" s="68">
        <v>12500</v>
      </c>
    </row>
    <row r="484" spans="1:7" ht="15" hidden="1" customHeight="1" outlineLevel="1">
      <c r="A484" s="136"/>
      <c r="B484" s="103" t="s">
        <v>444</v>
      </c>
      <c r="C484" s="112" t="s">
        <v>135</v>
      </c>
      <c r="D484" s="68">
        <v>0.5</v>
      </c>
      <c r="E484" s="135"/>
      <c r="F484" s="68"/>
      <c r="G484" s="68">
        <v>12500</v>
      </c>
    </row>
    <row r="485" spans="1:7" ht="15" hidden="1" customHeight="1" outlineLevel="1">
      <c r="A485" s="136"/>
      <c r="B485" s="103" t="s">
        <v>445</v>
      </c>
      <c r="C485" s="112" t="s">
        <v>135</v>
      </c>
      <c r="D485" s="39">
        <v>0.2</v>
      </c>
      <c r="E485" s="135"/>
      <c r="F485" s="68"/>
      <c r="G485" s="39">
        <v>5000</v>
      </c>
    </row>
    <row r="486" spans="1:7" ht="15" hidden="1" customHeight="1" outlineLevel="1">
      <c r="A486" s="136"/>
      <c r="B486" s="103" t="s">
        <v>446</v>
      </c>
      <c r="C486" s="112" t="s">
        <v>135</v>
      </c>
      <c r="D486" s="39">
        <v>0.22</v>
      </c>
      <c r="E486" s="135"/>
      <c r="F486" s="68"/>
      <c r="G486" s="39">
        <v>5000</v>
      </c>
    </row>
    <row r="487" spans="1:7" ht="15" hidden="1" customHeight="1" outlineLevel="1">
      <c r="A487" s="136"/>
      <c r="B487" s="103" t="s">
        <v>447</v>
      </c>
      <c r="C487" s="112" t="s">
        <v>135</v>
      </c>
      <c r="D487" s="39">
        <v>0.24</v>
      </c>
      <c r="E487" s="135"/>
      <c r="F487" s="68"/>
      <c r="G487" s="39">
        <v>5000</v>
      </c>
    </row>
    <row r="488" spans="1:7" ht="15" hidden="1" customHeight="1" outlineLevel="1">
      <c r="A488" s="136"/>
      <c r="B488" s="103" t="s">
        <v>448</v>
      </c>
      <c r="C488" s="112" t="s">
        <v>135</v>
      </c>
      <c r="D488" s="39">
        <v>0.26</v>
      </c>
      <c r="E488" s="135"/>
      <c r="F488" s="68"/>
      <c r="G488" s="39">
        <v>5000</v>
      </c>
    </row>
    <row r="489" spans="1:7" ht="15" hidden="1" customHeight="1" outlineLevel="1">
      <c r="A489" s="136"/>
      <c r="B489" s="103" t="s">
        <v>449</v>
      </c>
      <c r="C489" s="112" t="s">
        <v>135</v>
      </c>
      <c r="D489" s="68">
        <v>0.28000000000000003</v>
      </c>
      <c r="E489" s="137"/>
      <c r="F489" s="68"/>
      <c r="G489" s="39">
        <v>5000</v>
      </c>
    </row>
    <row r="490" spans="1:7" ht="15" hidden="1" customHeight="1" outlineLevel="1">
      <c r="A490" s="136"/>
      <c r="B490" s="103" t="s">
        <v>450</v>
      </c>
      <c r="C490" s="112" t="s">
        <v>135</v>
      </c>
      <c r="D490" s="68">
        <v>0.3</v>
      </c>
      <c r="E490" s="137"/>
      <c r="F490" s="68"/>
      <c r="G490" s="39">
        <v>5000</v>
      </c>
    </row>
    <row r="491" spans="1:7" ht="15" hidden="1" customHeight="1" outlineLevel="1">
      <c r="A491" s="136"/>
      <c r="B491" s="103" t="s">
        <v>451</v>
      </c>
      <c r="C491" s="112" t="s">
        <v>135</v>
      </c>
      <c r="D491" s="68">
        <v>0.32</v>
      </c>
      <c r="E491" s="137"/>
      <c r="F491" s="68"/>
      <c r="G491" s="39">
        <v>5000</v>
      </c>
    </row>
    <row r="492" spans="1:7" ht="15" hidden="1" customHeight="1" outlineLevel="1">
      <c r="A492" s="136"/>
      <c r="B492" s="103" t="s">
        <v>452</v>
      </c>
      <c r="C492" s="112" t="s">
        <v>135</v>
      </c>
      <c r="D492" s="68">
        <v>0.34</v>
      </c>
      <c r="E492" s="137"/>
      <c r="F492" s="68"/>
      <c r="G492" s="39">
        <v>5000</v>
      </c>
    </row>
    <row r="493" spans="1:7" ht="15" hidden="1" customHeight="1" outlineLevel="1">
      <c r="A493" s="136"/>
      <c r="B493" s="103" t="s">
        <v>453</v>
      </c>
      <c r="C493" s="112" t="s">
        <v>135</v>
      </c>
      <c r="D493" s="68">
        <v>0.36</v>
      </c>
      <c r="E493" s="137"/>
      <c r="F493" s="68"/>
      <c r="G493" s="39">
        <v>5000</v>
      </c>
    </row>
    <row r="494" spans="1:7" ht="15" hidden="1" customHeight="1" outlineLevel="1">
      <c r="A494" s="136"/>
      <c r="B494" s="103" t="s">
        <v>454</v>
      </c>
      <c r="C494" s="112" t="s">
        <v>135</v>
      </c>
      <c r="D494" s="68">
        <v>0.38</v>
      </c>
      <c r="E494" s="137"/>
      <c r="F494" s="68"/>
      <c r="G494" s="39">
        <v>5000</v>
      </c>
    </row>
    <row r="495" spans="1:7" ht="15" hidden="1" customHeight="1" outlineLevel="1">
      <c r="A495" s="136"/>
      <c r="B495" s="103" t="s">
        <v>455</v>
      </c>
      <c r="C495" s="112" t="s">
        <v>135</v>
      </c>
      <c r="D495" s="68">
        <v>0.4</v>
      </c>
      <c r="E495" s="137"/>
      <c r="F495" s="68"/>
      <c r="G495" s="39">
        <v>5000</v>
      </c>
    </row>
    <row r="496" spans="1:7" ht="15" hidden="1" customHeight="1" outlineLevel="1">
      <c r="A496" s="136"/>
      <c r="B496" s="103" t="s">
        <v>456</v>
      </c>
      <c r="C496" s="112" t="s">
        <v>135</v>
      </c>
      <c r="D496" s="68">
        <v>0.42</v>
      </c>
      <c r="E496" s="137"/>
      <c r="F496" s="68"/>
      <c r="G496" s="39">
        <v>5000</v>
      </c>
    </row>
    <row r="497" spans="1:7" ht="15" hidden="1" customHeight="1" outlineLevel="1">
      <c r="A497" s="136"/>
      <c r="B497" s="103" t="s">
        <v>457</v>
      </c>
      <c r="C497" s="112" t="s">
        <v>135</v>
      </c>
      <c r="D497" s="68">
        <v>0.44</v>
      </c>
      <c r="E497" s="137"/>
      <c r="F497" s="68"/>
      <c r="G497" s="39">
        <v>5000</v>
      </c>
    </row>
    <row r="498" spans="1:7" ht="15" hidden="1" customHeight="1" outlineLevel="1">
      <c r="A498" s="136"/>
      <c r="B498" s="103" t="s">
        <v>458</v>
      </c>
      <c r="C498" s="112" t="s">
        <v>135</v>
      </c>
      <c r="D498" s="68">
        <v>0.46</v>
      </c>
      <c r="E498" s="137"/>
      <c r="F498" s="68"/>
      <c r="G498" s="39">
        <v>5000</v>
      </c>
    </row>
    <row r="499" spans="1:7" ht="15" hidden="1" customHeight="1" outlineLevel="1">
      <c r="A499" s="136"/>
      <c r="B499" s="103" t="s">
        <v>459</v>
      </c>
      <c r="C499" s="112" t="s">
        <v>135</v>
      </c>
      <c r="D499" s="68">
        <v>0.48</v>
      </c>
      <c r="E499" s="137"/>
      <c r="F499" s="68"/>
      <c r="G499" s="39">
        <v>5000</v>
      </c>
    </row>
    <row r="500" spans="1:7" ht="15" hidden="1" customHeight="1" outlineLevel="1">
      <c r="A500" s="136"/>
      <c r="B500" s="103" t="s">
        <v>460</v>
      </c>
      <c r="C500" s="112" t="s">
        <v>135</v>
      </c>
      <c r="D500" s="68">
        <v>0.5</v>
      </c>
      <c r="E500" s="137"/>
      <c r="F500" s="68"/>
      <c r="G500" s="39">
        <v>5000</v>
      </c>
    </row>
    <row r="501" spans="1:7" ht="15" hidden="1" customHeight="1" outlineLevel="1">
      <c r="A501" s="136"/>
      <c r="B501" s="103" t="s">
        <v>461</v>
      </c>
      <c r="C501" s="112" t="s">
        <v>135</v>
      </c>
      <c r="D501" s="39">
        <v>0.2</v>
      </c>
      <c r="E501" s="137"/>
      <c r="F501" s="68"/>
      <c r="G501" s="68">
        <v>6500</v>
      </c>
    </row>
    <row r="502" spans="1:7" ht="15" hidden="1" customHeight="1" outlineLevel="1">
      <c r="A502" s="136"/>
      <c r="B502" s="103" t="s">
        <v>462</v>
      </c>
      <c r="C502" s="112" t="s">
        <v>135</v>
      </c>
      <c r="D502" s="39">
        <v>0.22</v>
      </c>
      <c r="E502" s="137"/>
      <c r="F502" s="68"/>
      <c r="G502" s="68">
        <v>6500</v>
      </c>
    </row>
    <row r="503" spans="1:7" ht="15" hidden="1" customHeight="1" outlineLevel="1">
      <c r="A503" s="136"/>
      <c r="B503" s="103" t="s">
        <v>463</v>
      </c>
      <c r="C503" s="112" t="s">
        <v>135</v>
      </c>
      <c r="D503" s="39">
        <v>0.24</v>
      </c>
      <c r="E503" s="137"/>
      <c r="F503" s="68"/>
      <c r="G503" s="68">
        <v>6500</v>
      </c>
    </row>
    <row r="504" spans="1:7" ht="15" hidden="1" customHeight="1" outlineLevel="1">
      <c r="A504" s="136"/>
      <c r="B504" s="103" t="s">
        <v>464</v>
      </c>
      <c r="C504" s="112" t="s">
        <v>135</v>
      </c>
      <c r="D504" s="39">
        <v>0.26</v>
      </c>
      <c r="E504" s="137"/>
      <c r="F504" s="68"/>
      <c r="G504" s="68">
        <v>6500</v>
      </c>
    </row>
    <row r="505" spans="1:7" ht="15" hidden="1" customHeight="1" outlineLevel="1">
      <c r="A505" s="136"/>
      <c r="B505" s="103" t="s">
        <v>465</v>
      </c>
      <c r="C505" s="112" t="s">
        <v>135</v>
      </c>
      <c r="D505" s="68">
        <v>0.28000000000000003</v>
      </c>
      <c r="E505" s="137"/>
      <c r="F505" s="68"/>
      <c r="G505" s="68">
        <v>6500</v>
      </c>
    </row>
    <row r="506" spans="1:7" ht="15" hidden="1" customHeight="1" outlineLevel="1">
      <c r="A506" s="136"/>
      <c r="B506" s="103" t="s">
        <v>466</v>
      </c>
      <c r="C506" s="112" t="s">
        <v>135</v>
      </c>
      <c r="D506" s="68">
        <v>0.3</v>
      </c>
      <c r="E506" s="137"/>
      <c r="F506" s="68"/>
      <c r="G506" s="68">
        <v>6500</v>
      </c>
    </row>
    <row r="507" spans="1:7" ht="15" hidden="1" customHeight="1" outlineLevel="1">
      <c r="A507" s="136"/>
      <c r="B507" s="103" t="s">
        <v>467</v>
      </c>
      <c r="C507" s="112" t="s">
        <v>135</v>
      </c>
      <c r="D507" s="68">
        <v>0.32</v>
      </c>
      <c r="E507" s="137"/>
      <c r="F507" s="68"/>
      <c r="G507" s="68">
        <v>6500</v>
      </c>
    </row>
    <row r="508" spans="1:7" ht="15" hidden="1" customHeight="1" outlineLevel="1">
      <c r="A508" s="136"/>
      <c r="B508" s="103" t="s">
        <v>468</v>
      </c>
      <c r="C508" s="112" t="s">
        <v>135</v>
      </c>
      <c r="D508" s="68">
        <v>0.34</v>
      </c>
      <c r="E508" s="137"/>
      <c r="F508" s="68"/>
      <c r="G508" s="68">
        <v>6500</v>
      </c>
    </row>
    <row r="509" spans="1:7" ht="15" hidden="1" customHeight="1" outlineLevel="1">
      <c r="A509" s="136"/>
      <c r="B509" s="103" t="s">
        <v>469</v>
      </c>
      <c r="C509" s="112" t="s">
        <v>135</v>
      </c>
      <c r="D509" s="68">
        <v>0.36</v>
      </c>
      <c r="E509" s="137"/>
      <c r="F509" s="68"/>
      <c r="G509" s="68">
        <v>6500</v>
      </c>
    </row>
    <row r="510" spans="1:7" ht="15" hidden="1" customHeight="1" outlineLevel="1">
      <c r="A510" s="136"/>
      <c r="B510" s="103" t="s">
        <v>470</v>
      </c>
      <c r="C510" s="112" t="s">
        <v>135</v>
      </c>
      <c r="D510" s="68">
        <v>0.38</v>
      </c>
      <c r="E510" s="137"/>
      <c r="F510" s="68"/>
      <c r="G510" s="68">
        <v>6500</v>
      </c>
    </row>
    <row r="511" spans="1:7" ht="15" hidden="1" customHeight="1" outlineLevel="1">
      <c r="A511" s="136"/>
      <c r="B511" s="103" t="s">
        <v>471</v>
      </c>
      <c r="C511" s="112" t="s">
        <v>135</v>
      </c>
      <c r="D511" s="68">
        <v>0.4</v>
      </c>
      <c r="E511" s="137"/>
      <c r="F511" s="68"/>
      <c r="G511" s="68">
        <v>6500</v>
      </c>
    </row>
    <row r="512" spans="1:7" ht="15" hidden="1" customHeight="1" outlineLevel="1">
      <c r="A512" s="136"/>
      <c r="B512" s="103" t="s">
        <v>472</v>
      </c>
      <c r="C512" s="112" t="s">
        <v>135</v>
      </c>
      <c r="D512" s="68">
        <v>0.42</v>
      </c>
      <c r="E512" s="137"/>
      <c r="F512" s="68"/>
      <c r="G512" s="68">
        <v>6500</v>
      </c>
    </row>
    <row r="513" spans="1:7" ht="15" hidden="1" customHeight="1" outlineLevel="1">
      <c r="A513" s="136"/>
      <c r="B513" s="103" t="s">
        <v>473</v>
      </c>
      <c r="C513" s="112" t="s">
        <v>135</v>
      </c>
      <c r="D513" s="68">
        <v>0.44</v>
      </c>
      <c r="E513" s="137"/>
      <c r="F513" s="68"/>
      <c r="G513" s="68">
        <v>6500</v>
      </c>
    </row>
    <row r="514" spans="1:7" ht="15" hidden="1" customHeight="1" outlineLevel="1">
      <c r="A514" s="136"/>
      <c r="B514" s="103" t="s">
        <v>474</v>
      </c>
      <c r="C514" s="112" t="s">
        <v>135</v>
      </c>
      <c r="D514" s="68">
        <v>0.46</v>
      </c>
      <c r="E514" s="137"/>
      <c r="F514" s="68"/>
      <c r="G514" s="68">
        <v>6500</v>
      </c>
    </row>
    <row r="515" spans="1:7" ht="15" hidden="1" customHeight="1" outlineLevel="1">
      <c r="A515" s="136"/>
      <c r="B515" s="103" t="s">
        <v>475</v>
      </c>
      <c r="C515" s="112" t="s">
        <v>135</v>
      </c>
      <c r="D515" s="68">
        <v>0.48</v>
      </c>
      <c r="E515" s="137"/>
      <c r="F515" s="68"/>
      <c r="G515" s="68">
        <v>6500</v>
      </c>
    </row>
    <row r="516" spans="1:7" ht="15" hidden="1" customHeight="1" outlineLevel="1">
      <c r="A516" s="136"/>
      <c r="B516" s="103" t="s">
        <v>476</v>
      </c>
      <c r="C516" s="112" t="s">
        <v>135</v>
      </c>
      <c r="D516" s="68">
        <v>0.5</v>
      </c>
      <c r="E516" s="137"/>
      <c r="F516" s="68"/>
      <c r="G516" s="68">
        <v>6500</v>
      </c>
    </row>
    <row r="517" spans="1:7" ht="15" hidden="1" customHeight="1" outlineLevel="1">
      <c r="A517" s="136"/>
      <c r="B517" s="103" t="s">
        <v>477</v>
      </c>
      <c r="C517" s="112" t="s">
        <v>135</v>
      </c>
      <c r="D517" s="68">
        <v>0.28000000000000003</v>
      </c>
      <c r="E517" s="137"/>
      <c r="F517" s="68"/>
      <c r="G517" s="68">
        <v>6000</v>
      </c>
    </row>
    <row r="518" spans="1:7" ht="15" hidden="1" customHeight="1" outlineLevel="1">
      <c r="A518" s="136"/>
      <c r="B518" s="103" t="s">
        <v>478</v>
      </c>
      <c r="C518" s="112" t="s">
        <v>135</v>
      </c>
      <c r="D518" s="68">
        <v>0.3</v>
      </c>
      <c r="E518" s="137"/>
      <c r="F518" s="68"/>
      <c r="G518" s="68">
        <v>6000</v>
      </c>
    </row>
    <row r="519" spans="1:7" ht="15" hidden="1" customHeight="1" outlineLevel="1">
      <c r="A519" s="136"/>
      <c r="B519" s="103" t="s">
        <v>479</v>
      </c>
      <c r="C519" s="112" t="s">
        <v>135</v>
      </c>
      <c r="D519" s="68">
        <v>0.32</v>
      </c>
      <c r="E519" s="135"/>
      <c r="F519" s="68"/>
      <c r="G519" s="68">
        <v>6000</v>
      </c>
    </row>
    <row r="520" spans="1:7" ht="15" hidden="1" customHeight="1" outlineLevel="1">
      <c r="A520" s="136"/>
      <c r="B520" s="103" t="s">
        <v>480</v>
      </c>
      <c r="C520" s="112" t="s">
        <v>135</v>
      </c>
      <c r="D520" s="68">
        <v>0.34</v>
      </c>
      <c r="E520" s="135"/>
      <c r="F520" s="68"/>
      <c r="G520" s="68">
        <v>6000</v>
      </c>
    </row>
    <row r="521" spans="1:7" ht="15" hidden="1" customHeight="1" outlineLevel="1">
      <c r="A521" s="136"/>
      <c r="B521" s="103" t="s">
        <v>481</v>
      </c>
      <c r="C521" s="112" t="s">
        <v>135</v>
      </c>
      <c r="D521" s="68">
        <v>0.36</v>
      </c>
      <c r="E521" s="135"/>
      <c r="F521" s="68"/>
      <c r="G521" s="68">
        <v>6000</v>
      </c>
    </row>
    <row r="522" spans="1:7" ht="15" hidden="1" customHeight="1" outlineLevel="1">
      <c r="A522" s="136"/>
      <c r="B522" s="103" t="s">
        <v>482</v>
      </c>
      <c r="C522" s="112" t="s">
        <v>135</v>
      </c>
      <c r="D522" s="68">
        <v>0.38</v>
      </c>
      <c r="E522" s="135"/>
      <c r="F522" s="68"/>
      <c r="G522" s="68">
        <v>6000</v>
      </c>
    </row>
    <row r="523" spans="1:7" ht="15" hidden="1" customHeight="1" outlineLevel="1">
      <c r="A523" s="136"/>
      <c r="B523" s="103" t="s">
        <v>483</v>
      </c>
      <c r="C523" s="112" t="s">
        <v>135</v>
      </c>
      <c r="D523" s="68">
        <v>0.4</v>
      </c>
      <c r="E523" s="135"/>
      <c r="F523" s="68"/>
      <c r="G523" s="68">
        <v>6000</v>
      </c>
    </row>
    <row r="524" spans="1:7" ht="15" hidden="1" customHeight="1" outlineLevel="1">
      <c r="A524" s="136"/>
      <c r="B524" s="103" t="s">
        <v>484</v>
      </c>
      <c r="C524" s="112" t="s">
        <v>135</v>
      </c>
      <c r="D524" s="68">
        <v>0.42</v>
      </c>
      <c r="E524" s="135"/>
      <c r="F524" s="68"/>
      <c r="G524" s="68">
        <v>6000</v>
      </c>
    </row>
    <row r="525" spans="1:7" ht="15" hidden="1" customHeight="1" outlineLevel="1">
      <c r="A525" s="136"/>
      <c r="B525" s="103" t="s">
        <v>485</v>
      </c>
      <c r="C525" s="112" t="s">
        <v>135</v>
      </c>
      <c r="D525" s="68">
        <v>0.44</v>
      </c>
      <c r="E525" s="135"/>
      <c r="F525" s="68"/>
      <c r="G525" s="68">
        <v>6000</v>
      </c>
    </row>
    <row r="526" spans="1:7" ht="15" hidden="1" customHeight="1" outlineLevel="1">
      <c r="A526" s="136"/>
      <c r="B526" s="103" t="s">
        <v>486</v>
      </c>
      <c r="C526" s="112" t="s">
        <v>135</v>
      </c>
      <c r="D526" s="68">
        <v>0.46</v>
      </c>
      <c r="E526" s="135"/>
      <c r="F526" s="68"/>
      <c r="G526" s="68">
        <v>6000</v>
      </c>
    </row>
    <row r="527" spans="1:7" ht="15" hidden="1" customHeight="1" outlineLevel="1">
      <c r="A527" s="136"/>
      <c r="B527" s="103" t="s">
        <v>487</v>
      </c>
      <c r="C527" s="112" t="s">
        <v>135</v>
      </c>
      <c r="D527" s="68">
        <v>0.48</v>
      </c>
      <c r="E527" s="135"/>
      <c r="F527" s="68"/>
      <c r="G527" s="68">
        <v>6000</v>
      </c>
    </row>
    <row r="528" spans="1:7" ht="15" hidden="1" customHeight="1" outlineLevel="1">
      <c r="A528" s="136"/>
      <c r="B528" s="103" t="s">
        <v>488</v>
      </c>
      <c r="C528" s="112" t="s">
        <v>135</v>
      </c>
      <c r="D528" s="68">
        <v>0.5</v>
      </c>
      <c r="E528" s="135"/>
      <c r="F528" s="68"/>
      <c r="G528" s="68">
        <v>6000</v>
      </c>
    </row>
    <row r="529" spans="1:7" ht="15" hidden="1" customHeight="1" outlineLevel="1">
      <c r="A529" s="136"/>
      <c r="B529" s="103" t="s">
        <v>489</v>
      </c>
      <c r="C529" s="112" t="s">
        <v>159</v>
      </c>
      <c r="D529" s="68"/>
      <c r="E529" s="135"/>
      <c r="F529" s="68"/>
      <c r="G529" s="68">
        <v>50</v>
      </c>
    </row>
    <row r="530" spans="1:7" ht="15" hidden="1" customHeight="1" outlineLevel="1">
      <c r="A530" s="136"/>
      <c r="B530" s="103" t="s">
        <v>490</v>
      </c>
      <c r="C530" s="112" t="s">
        <v>159</v>
      </c>
      <c r="D530" s="68"/>
      <c r="E530" s="135"/>
      <c r="F530" s="68"/>
      <c r="G530" s="68">
        <v>450</v>
      </c>
    </row>
    <row r="531" spans="1:7" ht="15" hidden="1" customHeight="1" outlineLevel="1">
      <c r="A531" s="136"/>
      <c r="B531" s="103" t="s">
        <v>491</v>
      </c>
      <c r="C531" s="112" t="s">
        <v>159</v>
      </c>
      <c r="D531" s="68"/>
      <c r="E531" s="135"/>
      <c r="F531" s="68"/>
      <c r="G531" s="68">
        <v>51</v>
      </c>
    </row>
    <row r="532" spans="1:7" ht="15" hidden="1" customHeight="1" outlineLevel="1">
      <c r="A532" s="136"/>
      <c r="B532" s="103"/>
      <c r="C532" s="112"/>
      <c r="D532" s="68"/>
      <c r="E532" s="135"/>
      <c r="F532" s="68"/>
      <c r="G532" s="68"/>
    </row>
    <row r="533" spans="1:7" ht="15" hidden="1" customHeight="1" outlineLevel="1">
      <c r="A533" s="136"/>
      <c r="B533" s="105"/>
      <c r="C533" s="112"/>
      <c r="D533" s="68"/>
      <c r="E533" s="135"/>
      <c r="F533" s="68"/>
      <c r="G533" s="68"/>
    </row>
    <row r="534" spans="1:7" ht="15" customHeight="1">
      <c r="A534" s="12" t="s">
        <v>399</v>
      </c>
      <c r="B534" s="12"/>
      <c r="C534" s="112"/>
      <c r="D534" s="68"/>
      <c r="E534" s="135"/>
      <c r="F534" s="68"/>
      <c r="G534" s="68"/>
    </row>
    <row r="535" spans="1:7" ht="15" hidden="1" customHeight="1" outlineLevel="1">
      <c r="A535" s="3032" t="s">
        <v>492</v>
      </c>
      <c r="B535" s="3032"/>
      <c r="C535" s="77" t="s">
        <v>120</v>
      </c>
      <c r="D535" s="109"/>
      <c r="E535" s="138" t="s">
        <v>171</v>
      </c>
      <c r="F535" s="138" t="s">
        <v>172</v>
      </c>
      <c r="G535" s="139" t="s">
        <v>137</v>
      </c>
    </row>
    <row r="536" spans="1:7" ht="15" hidden="1" customHeight="1" outlineLevel="1">
      <c r="A536" s="140"/>
      <c r="B536" s="141" t="s">
        <v>493</v>
      </c>
      <c r="C536" s="18" t="s">
        <v>133</v>
      </c>
      <c r="D536" s="17"/>
      <c r="E536" s="142"/>
      <c r="F536" s="142"/>
      <c r="G536" s="143">
        <v>0</v>
      </c>
    </row>
    <row r="537" spans="1:7" ht="15" hidden="1" customHeight="1" outlineLevel="1">
      <c r="A537" s="140"/>
      <c r="B537" s="141" t="s">
        <v>494</v>
      </c>
      <c r="C537" s="18" t="s">
        <v>133</v>
      </c>
      <c r="D537" s="17"/>
      <c r="E537" s="142">
        <v>1200</v>
      </c>
      <c r="F537" s="142" t="s">
        <v>495</v>
      </c>
      <c r="G537" s="143">
        <v>154</v>
      </c>
    </row>
    <row r="538" spans="1:7" ht="15" hidden="1" customHeight="1" outlineLevel="1">
      <c r="A538" s="140"/>
      <c r="B538" s="141" t="s">
        <v>496</v>
      </c>
      <c r="C538" s="18" t="s">
        <v>133</v>
      </c>
      <c r="D538" s="17"/>
      <c r="E538" s="142">
        <v>1200</v>
      </c>
      <c r="F538" s="142" t="s">
        <v>497</v>
      </c>
      <c r="G538" s="143">
        <v>178</v>
      </c>
    </row>
    <row r="539" spans="1:7" ht="15" hidden="1" customHeight="1" outlineLevel="1">
      <c r="A539" s="140"/>
      <c r="B539" s="141" t="s">
        <v>498</v>
      </c>
      <c r="C539" s="18" t="s">
        <v>133</v>
      </c>
      <c r="D539" s="17"/>
      <c r="E539" s="142">
        <v>1200</v>
      </c>
      <c r="F539" s="142">
        <v>0.55000000000000004</v>
      </c>
      <c r="G539" s="143">
        <v>214</v>
      </c>
    </row>
    <row r="540" spans="1:7" ht="15" hidden="1" customHeight="1" outlineLevel="1">
      <c r="A540" s="140"/>
      <c r="B540" s="141" t="s">
        <v>499</v>
      </c>
      <c r="C540" s="18" t="s">
        <v>133</v>
      </c>
      <c r="D540" s="17"/>
      <c r="E540" s="142">
        <v>1200</v>
      </c>
      <c r="F540" s="142">
        <v>0.65</v>
      </c>
      <c r="G540" s="143">
        <v>249</v>
      </c>
    </row>
    <row r="541" spans="1:7" ht="15" hidden="1" customHeight="1" outlineLevel="1">
      <c r="A541" s="140"/>
      <c r="B541" s="141" t="s">
        <v>500</v>
      </c>
      <c r="C541" s="18" t="s">
        <v>133</v>
      </c>
      <c r="D541" s="17"/>
      <c r="E541" s="142">
        <v>1200</v>
      </c>
      <c r="F541" s="142">
        <v>0.7</v>
      </c>
      <c r="G541" s="143">
        <v>265</v>
      </c>
    </row>
    <row r="542" spans="1:7" ht="15" hidden="1" customHeight="1" outlineLevel="1">
      <c r="A542" s="140"/>
      <c r="B542" s="141" t="s">
        <v>501</v>
      </c>
      <c r="C542" s="18" t="s">
        <v>133</v>
      </c>
      <c r="D542" s="17"/>
      <c r="E542" s="142">
        <v>1051</v>
      </c>
      <c r="F542" s="142" t="s">
        <v>495</v>
      </c>
      <c r="G542" s="143">
        <v>177</v>
      </c>
    </row>
    <row r="543" spans="1:7" ht="15" hidden="1" customHeight="1" outlineLevel="1">
      <c r="A543" s="140"/>
      <c r="B543" s="141" t="s">
        <v>502</v>
      </c>
      <c r="C543" s="18" t="s">
        <v>133</v>
      </c>
      <c r="D543" s="17"/>
      <c r="E543" s="142">
        <v>1051</v>
      </c>
      <c r="F543" s="142">
        <v>0.55000000000000004</v>
      </c>
      <c r="G543" s="143">
        <v>244</v>
      </c>
    </row>
    <row r="544" spans="1:7" ht="15" hidden="1" customHeight="1" outlineLevel="1">
      <c r="A544" s="140"/>
      <c r="B544" s="141" t="s">
        <v>503</v>
      </c>
      <c r="C544" s="18" t="s">
        <v>133</v>
      </c>
      <c r="D544" s="17"/>
      <c r="E544" s="142">
        <v>1051</v>
      </c>
      <c r="F544" s="142">
        <v>0.65</v>
      </c>
      <c r="G544" s="143">
        <v>284</v>
      </c>
    </row>
    <row r="545" spans="1:7" ht="15" hidden="1" customHeight="1" outlineLevel="1">
      <c r="A545" s="140"/>
      <c r="B545" s="141" t="s">
        <v>504</v>
      </c>
      <c r="C545" s="18" t="s">
        <v>133</v>
      </c>
      <c r="D545" s="17"/>
      <c r="E545" s="142">
        <v>1051</v>
      </c>
      <c r="F545" s="142">
        <v>0.7</v>
      </c>
      <c r="G545" s="143">
        <v>302</v>
      </c>
    </row>
    <row r="546" spans="1:7" ht="15" hidden="1" customHeight="1" outlineLevel="1">
      <c r="A546" s="140"/>
      <c r="B546" s="141" t="s">
        <v>505</v>
      </c>
      <c r="C546" s="18" t="s">
        <v>133</v>
      </c>
      <c r="D546" s="17"/>
      <c r="E546" s="142">
        <v>1051</v>
      </c>
      <c r="F546" s="142">
        <v>0.75</v>
      </c>
      <c r="G546" s="143">
        <v>323</v>
      </c>
    </row>
    <row r="547" spans="1:7" ht="15" hidden="1" customHeight="1" outlineLevel="1">
      <c r="A547" s="140"/>
      <c r="B547" s="141" t="s">
        <v>501</v>
      </c>
      <c r="C547" s="18" t="s">
        <v>133</v>
      </c>
      <c r="D547" s="17"/>
      <c r="E547" s="142">
        <v>1051</v>
      </c>
      <c r="F547" s="142" t="s">
        <v>497</v>
      </c>
      <c r="G547" s="143">
        <v>203</v>
      </c>
    </row>
    <row r="548" spans="1:7" ht="15" hidden="1" customHeight="1" outlineLevel="1">
      <c r="A548" s="140"/>
      <c r="B548" s="141" t="s">
        <v>506</v>
      </c>
      <c r="C548" s="18" t="s">
        <v>133</v>
      </c>
      <c r="D548" s="17"/>
      <c r="E548" s="142">
        <v>1047</v>
      </c>
      <c r="F548" s="142">
        <v>0.65</v>
      </c>
      <c r="G548" s="143">
        <v>286</v>
      </c>
    </row>
    <row r="549" spans="1:7" ht="15" hidden="1" customHeight="1" outlineLevel="1">
      <c r="A549" s="140"/>
      <c r="B549" s="141" t="s">
        <v>507</v>
      </c>
      <c r="C549" s="18" t="s">
        <v>133</v>
      </c>
      <c r="D549" s="17"/>
      <c r="E549" s="142">
        <v>1047</v>
      </c>
      <c r="F549" s="142">
        <v>0.7</v>
      </c>
      <c r="G549" s="143">
        <v>304</v>
      </c>
    </row>
    <row r="550" spans="1:7" ht="15" hidden="1" customHeight="1" outlineLevel="1">
      <c r="A550" s="140"/>
      <c r="B550" s="141" t="s">
        <v>508</v>
      </c>
      <c r="C550" s="18" t="s">
        <v>133</v>
      </c>
      <c r="D550" s="17"/>
      <c r="E550" s="142">
        <v>1047</v>
      </c>
      <c r="F550" s="142">
        <v>0.75</v>
      </c>
      <c r="G550" s="143">
        <v>324</v>
      </c>
    </row>
    <row r="551" spans="1:7" ht="15" hidden="1" customHeight="1" outlineLevel="1">
      <c r="A551" s="140"/>
      <c r="B551" s="141" t="s">
        <v>509</v>
      </c>
      <c r="C551" s="18" t="s">
        <v>133</v>
      </c>
      <c r="D551" s="17"/>
      <c r="E551" s="142">
        <v>1047</v>
      </c>
      <c r="F551" s="142">
        <v>0.8</v>
      </c>
      <c r="G551" s="143">
        <v>342</v>
      </c>
    </row>
    <row r="552" spans="1:7" ht="15" hidden="1" customHeight="1" outlineLevel="1">
      <c r="A552" s="140"/>
      <c r="B552" s="141" t="s">
        <v>510</v>
      </c>
      <c r="C552" s="18" t="s">
        <v>133</v>
      </c>
      <c r="D552" s="17"/>
      <c r="E552" s="142">
        <v>1047</v>
      </c>
      <c r="F552" s="142" t="s">
        <v>497</v>
      </c>
      <c r="G552" s="143">
        <v>204</v>
      </c>
    </row>
    <row r="553" spans="1:7" ht="15" hidden="1" customHeight="1" outlineLevel="1">
      <c r="A553" s="140"/>
      <c r="B553" s="141"/>
      <c r="D553" s="17"/>
      <c r="E553" s="142"/>
      <c r="F553" s="142"/>
      <c r="G553" s="143"/>
    </row>
    <row r="554" spans="1:7" ht="15" hidden="1" customHeight="1" outlineLevel="1">
      <c r="A554" s="140"/>
      <c r="B554" s="144"/>
      <c r="D554" s="17"/>
      <c r="E554" s="142"/>
      <c r="F554" s="142"/>
      <c r="G554" s="143"/>
    </row>
    <row r="555" spans="1:7" ht="15" customHeight="1">
      <c r="A555" s="12" t="s">
        <v>492</v>
      </c>
      <c r="B555" s="12"/>
      <c r="C555" s="126"/>
      <c r="D555" s="145"/>
      <c r="E555" s="146"/>
      <c r="F555" s="146"/>
      <c r="G555" s="147"/>
    </row>
    <row r="556" spans="1:7" ht="15" hidden="1" customHeight="1" outlineLevel="1">
      <c r="A556" s="3033" t="s">
        <v>511</v>
      </c>
      <c r="B556" s="3033"/>
      <c r="C556" s="77" t="s">
        <v>120</v>
      </c>
      <c r="D556" s="109" t="s">
        <v>512</v>
      </c>
      <c r="E556" s="138" t="s">
        <v>513</v>
      </c>
      <c r="F556" s="138"/>
      <c r="G556" s="139" t="s">
        <v>137</v>
      </c>
    </row>
    <row r="557" spans="1:7" ht="15" hidden="1" customHeight="1" outlineLevel="1">
      <c r="A557" s="148"/>
      <c r="B557" s="149"/>
      <c r="C557" s="150"/>
      <c r="D557" s="151"/>
      <c r="E557" s="152"/>
      <c r="F557" s="152"/>
      <c r="G557" s="153"/>
    </row>
    <row r="558" spans="1:7" ht="15" hidden="1" customHeight="1" outlineLevel="1">
      <c r="A558" s="3034" t="s">
        <v>514</v>
      </c>
      <c r="B558" s="17" t="s">
        <v>515</v>
      </c>
      <c r="C558" s="18" t="s">
        <v>156</v>
      </c>
      <c r="D558" s="17">
        <v>2.59</v>
      </c>
      <c r="E558" s="142">
        <v>2.15</v>
      </c>
      <c r="F558" s="143">
        <f t="shared" ref="F558:F589" si="7">G558</f>
        <v>163</v>
      </c>
      <c r="G558" s="143">
        <v>163</v>
      </c>
    </row>
    <row r="559" spans="1:7" ht="15" hidden="1" customHeight="1" outlineLevel="1">
      <c r="A559" s="3034"/>
      <c r="B559" s="17" t="s">
        <v>516</v>
      </c>
      <c r="C559" s="18" t="s">
        <v>156</v>
      </c>
      <c r="D559" s="17">
        <v>3.21</v>
      </c>
      <c r="E559" s="142">
        <v>2.69</v>
      </c>
      <c r="F559" s="143">
        <f t="shared" si="7"/>
        <v>204</v>
      </c>
      <c r="G559" s="143">
        <v>204</v>
      </c>
    </row>
    <row r="560" spans="1:7" ht="15" hidden="1" customHeight="1" outlineLevel="1">
      <c r="A560" s="3034"/>
      <c r="B560" s="17" t="s">
        <v>517</v>
      </c>
      <c r="C560" s="18" t="s">
        <v>156</v>
      </c>
      <c r="D560" s="17">
        <v>4.2300000000000004</v>
      </c>
      <c r="E560" s="142">
        <v>3.58</v>
      </c>
      <c r="F560" s="143">
        <f t="shared" si="7"/>
        <v>272</v>
      </c>
      <c r="G560" s="143">
        <v>272</v>
      </c>
    </row>
    <row r="561" spans="1:7" ht="15" hidden="1" customHeight="1" outlineLevel="1">
      <c r="A561" s="3034"/>
      <c r="B561" s="17" t="s">
        <v>518</v>
      </c>
      <c r="C561" s="18" t="s">
        <v>156</v>
      </c>
      <c r="D561" s="17">
        <v>2.7</v>
      </c>
      <c r="E561" s="142">
        <v>2.36</v>
      </c>
      <c r="F561" s="143">
        <f t="shared" si="7"/>
        <v>179</v>
      </c>
      <c r="G561" s="143">
        <v>179</v>
      </c>
    </row>
    <row r="562" spans="1:7" ht="15" hidden="1" customHeight="1" outlineLevel="1">
      <c r="A562" s="3034"/>
      <c r="B562" s="17" t="s">
        <v>519</v>
      </c>
      <c r="C562" s="18" t="s">
        <v>156</v>
      </c>
      <c r="D562" s="17">
        <v>3.4</v>
      </c>
      <c r="E562" s="142">
        <v>2.95</v>
      </c>
      <c r="F562" s="143">
        <f t="shared" si="7"/>
        <v>224</v>
      </c>
      <c r="G562" s="143">
        <v>224</v>
      </c>
    </row>
    <row r="563" spans="1:7" ht="15" hidden="1" customHeight="1" outlineLevel="1">
      <c r="A563" s="3034"/>
      <c r="B563" s="17" t="s">
        <v>520</v>
      </c>
      <c r="C563" s="18" t="s">
        <v>156</v>
      </c>
      <c r="D563" s="17">
        <v>4.5599999999999996</v>
      </c>
      <c r="E563" s="142">
        <v>3.93</v>
      </c>
      <c r="F563" s="143">
        <f t="shared" si="7"/>
        <v>299</v>
      </c>
      <c r="G563" s="143">
        <v>299</v>
      </c>
    </row>
    <row r="564" spans="1:7" ht="15" hidden="1" customHeight="1" outlineLevel="1">
      <c r="A564" s="3034"/>
      <c r="B564" s="17" t="s">
        <v>521</v>
      </c>
      <c r="C564" s="18" t="s">
        <v>156</v>
      </c>
      <c r="D564" s="17">
        <v>3.19</v>
      </c>
      <c r="E564" s="142">
        <v>2.64</v>
      </c>
      <c r="F564" s="143">
        <f t="shared" si="7"/>
        <v>201</v>
      </c>
      <c r="G564" s="143">
        <v>201</v>
      </c>
    </row>
    <row r="565" spans="1:7" ht="15" hidden="1" customHeight="1" outlineLevel="1">
      <c r="A565" s="3034"/>
      <c r="B565" s="17" t="s">
        <v>522</v>
      </c>
      <c r="C565" s="18" t="s">
        <v>156</v>
      </c>
      <c r="D565" s="17">
        <v>3.96</v>
      </c>
      <c r="E565" s="142">
        <v>3.31</v>
      </c>
      <c r="F565" s="143">
        <f t="shared" si="7"/>
        <v>252</v>
      </c>
      <c r="G565" s="143">
        <v>252</v>
      </c>
    </row>
    <row r="566" spans="1:7" ht="15" hidden="1" customHeight="1" outlineLevel="1">
      <c r="A566" s="3034"/>
      <c r="B566" s="17" t="s">
        <v>523</v>
      </c>
      <c r="C566" s="18" t="s">
        <v>156</v>
      </c>
      <c r="D566" s="17">
        <v>5.23</v>
      </c>
      <c r="E566" s="142">
        <v>4.34</v>
      </c>
      <c r="F566" s="143">
        <f t="shared" si="7"/>
        <v>330</v>
      </c>
      <c r="G566" s="143">
        <v>330</v>
      </c>
    </row>
    <row r="567" spans="1:7" ht="15" hidden="1" customHeight="1" outlineLevel="1">
      <c r="A567" s="3034"/>
      <c r="B567" s="17" t="s">
        <v>524</v>
      </c>
      <c r="C567" s="18" t="s">
        <v>156</v>
      </c>
      <c r="D567" s="17">
        <v>3.26</v>
      </c>
      <c r="E567" s="142">
        <v>2.83</v>
      </c>
      <c r="F567" s="143">
        <f t="shared" si="7"/>
        <v>215</v>
      </c>
      <c r="G567" s="143">
        <v>215</v>
      </c>
    </row>
    <row r="568" spans="1:7" ht="15" hidden="1" customHeight="1" outlineLevel="1">
      <c r="A568" s="3034"/>
      <c r="B568" s="17" t="s">
        <v>525</v>
      </c>
      <c r="C568" s="18" t="s">
        <v>156</v>
      </c>
      <c r="D568" s="17">
        <v>4.0999999999999996</v>
      </c>
      <c r="E568" s="142">
        <v>3.54</v>
      </c>
      <c r="F568" s="143">
        <f t="shared" si="7"/>
        <v>269</v>
      </c>
      <c r="G568" s="143">
        <v>269</v>
      </c>
    </row>
    <row r="569" spans="1:7" ht="15" hidden="1" customHeight="1" outlineLevel="1">
      <c r="A569" s="3034"/>
      <c r="B569" s="17" t="s">
        <v>526</v>
      </c>
      <c r="C569" s="18" t="s">
        <v>156</v>
      </c>
      <c r="D569" s="17">
        <v>5.5</v>
      </c>
      <c r="E569" s="142">
        <v>4.71</v>
      </c>
      <c r="F569" s="143">
        <f t="shared" si="7"/>
        <v>358</v>
      </c>
      <c r="G569" s="143">
        <v>358</v>
      </c>
    </row>
    <row r="570" spans="1:7" ht="15" hidden="1" customHeight="1" outlineLevel="1">
      <c r="A570" s="3034"/>
      <c r="B570" s="17" t="s">
        <v>527</v>
      </c>
      <c r="C570" s="18" t="s">
        <v>156</v>
      </c>
      <c r="D570" s="17">
        <v>3.79</v>
      </c>
      <c r="E570" s="142">
        <v>3.15</v>
      </c>
      <c r="F570" s="143">
        <f t="shared" si="7"/>
        <v>239</v>
      </c>
      <c r="G570" s="143">
        <v>239</v>
      </c>
    </row>
    <row r="571" spans="1:7" ht="15" hidden="1" customHeight="1" outlineLevel="1">
      <c r="A571" s="3034"/>
      <c r="B571" s="17" t="s">
        <v>528</v>
      </c>
      <c r="C571" s="18" t="s">
        <v>156</v>
      </c>
      <c r="D571" s="17">
        <v>4.71</v>
      </c>
      <c r="E571" s="142">
        <v>3.93</v>
      </c>
      <c r="F571" s="143">
        <f t="shared" si="7"/>
        <v>299</v>
      </c>
      <c r="G571" s="143">
        <v>299</v>
      </c>
    </row>
    <row r="572" spans="1:7" ht="15" hidden="1" customHeight="1" outlineLevel="1">
      <c r="A572" s="3034"/>
      <c r="B572" s="17" t="s">
        <v>529</v>
      </c>
      <c r="C572" s="18" t="s">
        <v>156</v>
      </c>
      <c r="D572" s="17">
        <v>6.23</v>
      </c>
      <c r="E572" s="142">
        <v>5.22</v>
      </c>
      <c r="F572" s="143">
        <f t="shared" si="7"/>
        <v>397</v>
      </c>
      <c r="G572" s="143">
        <v>397</v>
      </c>
    </row>
    <row r="573" spans="1:7" ht="15" hidden="1" customHeight="1" outlineLevel="1">
      <c r="A573" s="3034"/>
      <c r="B573" s="17" t="s">
        <v>530</v>
      </c>
      <c r="C573" s="18" t="s">
        <v>156</v>
      </c>
      <c r="D573" s="17">
        <v>4.47</v>
      </c>
      <c r="E573" s="142">
        <v>3.61</v>
      </c>
      <c r="F573" s="143">
        <f t="shared" si="7"/>
        <v>274</v>
      </c>
      <c r="G573" s="143">
        <v>274</v>
      </c>
    </row>
    <row r="574" spans="1:7" ht="15" hidden="1" customHeight="1" outlineLevel="1">
      <c r="A574" s="3034"/>
      <c r="B574" s="17" t="s">
        <v>531</v>
      </c>
      <c r="C574" s="18" t="s">
        <v>156</v>
      </c>
      <c r="D574" s="17">
        <v>5.25</v>
      </c>
      <c r="E574" s="142">
        <v>4.5199999999999996</v>
      </c>
      <c r="F574" s="143">
        <f t="shared" si="7"/>
        <v>344</v>
      </c>
      <c r="G574" s="143">
        <v>344</v>
      </c>
    </row>
    <row r="575" spans="1:7" ht="15" hidden="1" customHeight="1" outlineLevel="1">
      <c r="A575" s="3034"/>
      <c r="B575" s="17" t="s">
        <v>532</v>
      </c>
      <c r="C575" s="18" t="s">
        <v>156</v>
      </c>
      <c r="D575" s="17">
        <v>7.36</v>
      </c>
      <c r="E575" s="142">
        <v>5.92</v>
      </c>
      <c r="F575" s="143">
        <f t="shared" si="7"/>
        <v>450</v>
      </c>
      <c r="G575" s="143">
        <v>450</v>
      </c>
    </row>
    <row r="576" spans="1:7" ht="15" hidden="1" customHeight="1" outlineLevel="1">
      <c r="A576" s="3034"/>
      <c r="B576" s="17" t="s">
        <v>533</v>
      </c>
      <c r="C576" s="18" t="s">
        <v>156</v>
      </c>
      <c r="D576" s="17">
        <v>4.5199999999999996</v>
      </c>
      <c r="E576" s="142">
        <v>3.86</v>
      </c>
      <c r="F576" s="143">
        <f t="shared" si="7"/>
        <v>293</v>
      </c>
      <c r="G576" s="143">
        <v>293</v>
      </c>
    </row>
    <row r="577" spans="1:7" ht="15" hidden="1" customHeight="1" outlineLevel="1">
      <c r="A577" s="3034"/>
      <c r="B577" s="17" t="s">
        <v>534</v>
      </c>
      <c r="C577" s="18" t="s">
        <v>156</v>
      </c>
      <c r="D577" s="17">
        <v>5.66</v>
      </c>
      <c r="E577" s="142">
        <v>4.83</v>
      </c>
      <c r="F577" s="143">
        <f t="shared" si="7"/>
        <v>367</v>
      </c>
      <c r="G577" s="143">
        <v>367</v>
      </c>
    </row>
    <row r="578" spans="1:7" ht="15" hidden="1" customHeight="1" outlineLevel="1">
      <c r="A578" s="3034"/>
      <c r="B578" s="17" t="s">
        <v>535</v>
      </c>
      <c r="C578" s="18" t="s">
        <v>156</v>
      </c>
      <c r="D578" s="17">
        <v>7.62</v>
      </c>
      <c r="E578" s="142">
        <v>6.44</v>
      </c>
      <c r="F578" s="143">
        <f t="shared" si="7"/>
        <v>489</v>
      </c>
      <c r="G578" s="143">
        <v>489</v>
      </c>
    </row>
    <row r="579" spans="1:7" ht="15" hidden="1" customHeight="1" outlineLevel="1">
      <c r="A579" s="3034" t="s">
        <v>536</v>
      </c>
      <c r="B579" s="17" t="s">
        <v>537</v>
      </c>
      <c r="C579" s="18" t="s">
        <v>156</v>
      </c>
      <c r="D579" s="17">
        <v>1.98</v>
      </c>
      <c r="E579" s="142">
        <v>1.67</v>
      </c>
      <c r="F579" s="143">
        <f t="shared" si="7"/>
        <v>127</v>
      </c>
      <c r="G579" s="143">
        <v>127</v>
      </c>
    </row>
    <row r="580" spans="1:7" ht="15" hidden="1" customHeight="1" outlineLevel="1">
      <c r="A580" s="3034"/>
      <c r="B580" s="17" t="s">
        <v>538</v>
      </c>
      <c r="C580" s="18" t="s">
        <v>156</v>
      </c>
      <c r="D580" s="17">
        <v>2.46</v>
      </c>
      <c r="E580" s="142">
        <v>2.08</v>
      </c>
      <c r="F580" s="143">
        <f t="shared" si="7"/>
        <v>158</v>
      </c>
      <c r="G580" s="143">
        <v>158</v>
      </c>
    </row>
    <row r="581" spans="1:7" ht="15" hidden="1" customHeight="1" outlineLevel="1">
      <c r="A581" s="3034"/>
      <c r="B581" s="17" t="s">
        <v>539</v>
      </c>
      <c r="C581" s="18" t="s">
        <v>156</v>
      </c>
      <c r="D581" s="17">
        <v>3.34</v>
      </c>
      <c r="E581" s="142">
        <v>2.62</v>
      </c>
      <c r="F581" s="143">
        <f t="shared" si="7"/>
        <v>199</v>
      </c>
      <c r="G581" s="143">
        <v>199</v>
      </c>
    </row>
    <row r="582" spans="1:7" ht="15" hidden="1" customHeight="1" outlineLevel="1">
      <c r="A582" s="3034"/>
      <c r="B582" s="17" t="s">
        <v>540</v>
      </c>
      <c r="C582" s="18" t="s">
        <v>156</v>
      </c>
      <c r="D582" s="17">
        <v>2.19</v>
      </c>
      <c r="E582" s="142">
        <v>1.72</v>
      </c>
      <c r="F582" s="143">
        <f t="shared" si="7"/>
        <v>131</v>
      </c>
      <c r="G582" s="143">
        <v>131</v>
      </c>
    </row>
    <row r="583" spans="1:7" ht="15" hidden="1" customHeight="1" outlineLevel="1">
      <c r="A583" s="3034"/>
      <c r="B583" s="17" t="s">
        <v>541</v>
      </c>
      <c r="C583" s="18" t="s">
        <v>156</v>
      </c>
      <c r="D583" s="17">
        <v>2.72</v>
      </c>
      <c r="E583" s="142">
        <v>2.14</v>
      </c>
      <c r="F583" s="143">
        <f t="shared" si="7"/>
        <v>163</v>
      </c>
      <c r="G583" s="143">
        <v>163</v>
      </c>
    </row>
    <row r="584" spans="1:7" ht="15" hidden="1" customHeight="1" outlineLevel="1">
      <c r="A584" s="3034"/>
      <c r="B584" s="17" t="s">
        <v>542</v>
      </c>
      <c r="C584" s="18" t="s">
        <v>156</v>
      </c>
      <c r="D584" s="17">
        <v>3.62</v>
      </c>
      <c r="E584" s="142">
        <v>2.84</v>
      </c>
      <c r="F584" s="143">
        <f t="shared" si="7"/>
        <v>216</v>
      </c>
      <c r="G584" s="143">
        <v>216</v>
      </c>
    </row>
    <row r="585" spans="1:7" ht="15" hidden="1" customHeight="1" outlineLevel="1">
      <c r="A585" s="3034"/>
      <c r="B585" s="17" t="s">
        <v>543</v>
      </c>
      <c r="C585" s="18" t="s">
        <v>156</v>
      </c>
      <c r="D585" s="17">
        <v>2.58</v>
      </c>
      <c r="E585" s="142">
        <v>2.15</v>
      </c>
      <c r="F585" s="143">
        <f t="shared" si="7"/>
        <v>163</v>
      </c>
      <c r="G585" s="143">
        <v>163</v>
      </c>
    </row>
    <row r="586" spans="1:7" ht="15" hidden="1" customHeight="1" outlineLevel="1">
      <c r="A586" s="3034"/>
      <c r="B586" s="17" t="s">
        <v>544</v>
      </c>
      <c r="C586" s="18" t="s">
        <v>156</v>
      </c>
      <c r="D586" s="17">
        <v>3.21</v>
      </c>
      <c r="E586" s="142">
        <v>2.67</v>
      </c>
      <c r="F586" s="143">
        <f t="shared" si="7"/>
        <v>203</v>
      </c>
      <c r="G586" s="143">
        <v>203</v>
      </c>
    </row>
    <row r="587" spans="1:7" ht="15" hidden="1" customHeight="1" outlineLevel="1">
      <c r="A587" s="3034"/>
      <c r="B587" s="17" t="s">
        <v>545</v>
      </c>
      <c r="C587" s="18" t="s">
        <v>156</v>
      </c>
      <c r="D587" s="17">
        <v>4.34</v>
      </c>
      <c r="E587" s="142">
        <v>3.41</v>
      </c>
      <c r="F587" s="143">
        <f t="shared" si="7"/>
        <v>259</v>
      </c>
      <c r="G587" s="143">
        <v>259</v>
      </c>
    </row>
    <row r="588" spans="1:7" ht="15" hidden="1" customHeight="1" outlineLevel="1">
      <c r="A588" s="3034"/>
      <c r="B588" s="17" t="s">
        <v>546</v>
      </c>
      <c r="C588" s="18" t="s">
        <v>156</v>
      </c>
      <c r="D588" s="17">
        <v>2.79</v>
      </c>
      <c r="E588" s="142">
        <v>2.19</v>
      </c>
      <c r="F588" s="143">
        <f t="shared" si="7"/>
        <v>166</v>
      </c>
      <c r="G588" s="143">
        <v>166</v>
      </c>
    </row>
    <row r="589" spans="1:7" ht="15" hidden="1" customHeight="1" outlineLevel="1">
      <c r="A589" s="3034"/>
      <c r="B589" s="17" t="s">
        <v>547</v>
      </c>
      <c r="C589" s="18" t="s">
        <v>156</v>
      </c>
      <c r="D589" s="17">
        <v>3.47</v>
      </c>
      <c r="E589" s="142">
        <v>2.72</v>
      </c>
      <c r="F589" s="143">
        <f t="shared" si="7"/>
        <v>207</v>
      </c>
      <c r="G589" s="143">
        <v>207</v>
      </c>
    </row>
    <row r="590" spans="1:7" ht="15" hidden="1" customHeight="1" outlineLevel="1">
      <c r="A590" s="3034"/>
      <c r="B590" s="17" t="s">
        <v>548</v>
      </c>
      <c r="C590" s="18" t="s">
        <v>156</v>
      </c>
      <c r="D590" s="17">
        <v>4.6100000000000003</v>
      </c>
      <c r="E590" s="142">
        <v>3.61</v>
      </c>
      <c r="F590" s="143">
        <f t="shared" ref="F590:F621" si="8">G590</f>
        <v>274</v>
      </c>
      <c r="G590" s="143">
        <v>274</v>
      </c>
    </row>
    <row r="591" spans="1:7" ht="15" hidden="1" customHeight="1" outlineLevel="1">
      <c r="A591" s="3034"/>
      <c r="B591" s="17" t="s">
        <v>549</v>
      </c>
      <c r="C591" s="18" t="s">
        <v>156</v>
      </c>
      <c r="D591" s="17">
        <v>3.18</v>
      </c>
      <c r="E591" s="142">
        <v>2.64</v>
      </c>
      <c r="F591" s="143">
        <f t="shared" si="8"/>
        <v>201</v>
      </c>
      <c r="G591" s="143">
        <v>201</v>
      </c>
    </row>
    <row r="592" spans="1:7" ht="15" hidden="1" customHeight="1" outlineLevel="1">
      <c r="A592" s="3034"/>
      <c r="B592" s="17" t="s">
        <v>550</v>
      </c>
      <c r="C592" s="18" t="s">
        <v>156</v>
      </c>
      <c r="D592" s="17">
        <v>3.96</v>
      </c>
      <c r="E592" s="142">
        <v>3.31</v>
      </c>
      <c r="F592" s="143">
        <f t="shared" si="8"/>
        <v>252</v>
      </c>
      <c r="G592" s="143">
        <v>252</v>
      </c>
    </row>
    <row r="593" spans="1:7" ht="15" hidden="1" customHeight="1" outlineLevel="1">
      <c r="A593" s="3034"/>
      <c r="B593" s="17" t="s">
        <v>551</v>
      </c>
      <c r="C593" s="18" t="s">
        <v>156</v>
      </c>
      <c r="D593" s="17">
        <v>5.34</v>
      </c>
      <c r="E593" s="142">
        <v>4.1900000000000004</v>
      </c>
      <c r="F593" s="143">
        <f t="shared" si="8"/>
        <v>318</v>
      </c>
      <c r="G593" s="143">
        <v>318</v>
      </c>
    </row>
    <row r="594" spans="1:7" ht="15" hidden="1" customHeight="1" outlineLevel="1">
      <c r="A594" s="3034"/>
      <c r="B594" s="17" t="s">
        <v>552</v>
      </c>
      <c r="C594" s="18" t="s">
        <v>156</v>
      </c>
      <c r="D594" s="17">
        <v>3.8</v>
      </c>
      <c r="E594" s="142">
        <v>2.98</v>
      </c>
      <c r="F594" s="143">
        <f t="shared" si="8"/>
        <v>226</v>
      </c>
      <c r="G594" s="143">
        <v>226</v>
      </c>
    </row>
    <row r="595" spans="1:7" ht="15" hidden="1" customHeight="1" outlineLevel="1">
      <c r="A595" s="3034"/>
      <c r="B595" s="17" t="s">
        <v>553</v>
      </c>
      <c r="C595" s="18" t="s">
        <v>156</v>
      </c>
      <c r="D595" s="17">
        <v>4.75</v>
      </c>
      <c r="E595" s="142">
        <v>3.73</v>
      </c>
      <c r="F595" s="143">
        <f t="shared" si="8"/>
        <v>283</v>
      </c>
      <c r="G595" s="143">
        <v>283</v>
      </c>
    </row>
    <row r="596" spans="1:7" ht="15" hidden="1" customHeight="1" outlineLevel="1">
      <c r="A596" s="3034"/>
      <c r="B596" s="17" t="s">
        <v>554</v>
      </c>
      <c r="C596" s="18" t="s">
        <v>156</v>
      </c>
      <c r="D596" s="17">
        <v>6.34</v>
      </c>
      <c r="E596" s="142">
        <v>4.9800000000000004</v>
      </c>
      <c r="F596" s="143">
        <f t="shared" si="8"/>
        <v>378</v>
      </c>
      <c r="G596" s="143">
        <v>378</v>
      </c>
    </row>
    <row r="597" spans="1:7" ht="15" hidden="1" customHeight="1" outlineLevel="1">
      <c r="A597" s="3034"/>
      <c r="B597" s="17" t="s">
        <v>555</v>
      </c>
      <c r="C597" s="18" t="s">
        <v>156</v>
      </c>
      <c r="D597" s="17">
        <v>4.6100000000000003</v>
      </c>
      <c r="E597" s="142">
        <v>3.62</v>
      </c>
      <c r="F597" s="143">
        <f t="shared" si="8"/>
        <v>275</v>
      </c>
      <c r="G597" s="143">
        <v>275</v>
      </c>
    </row>
    <row r="598" spans="1:7" ht="15" hidden="1" customHeight="1" outlineLevel="1">
      <c r="A598" s="3034"/>
      <c r="B598" s="17" t="s">
        <v>556</v>
      </c>
      <c r="C598" s="18" t="s">
        <v>156</v>
      </c>
      <c r="D598" s="17">
        <v>5.12</v>
      </c>
      <c r="E598" s="142">
        <v>4.0199999999999996</v>
      </c>
      <c r="F598" s="143">
        <f t="shared" si="8"/>
        <v>306</v>
      </c>
      <c r="G598" s="143">
        <v>306</v>
      </c>
    </row>
    <row r="599" spans="1:7" ht="15" hidden="1" customHeight="1" outlineLevel="1">
      <c r="A599" s="3034"/>
      <c r="B599" s="17" t="s">
        <v>557</v>
      </c>
      <c r="C599" s="18" t="s">
        <v>156</v>
      </c>
      <c r="D599" s="17">
        <v>6.81</v>
      </c>
      <c r="E599" s="142">
        <v>5.35</v>
      </c>
      <c r="F599" s="143">
        <f t="shared" si="8"/>
        <v>407</v>
      </c>
      <c r="G599" s="143">
        <v>407</v>
      </c>
    </row>
    <row r="600" spans="1:7" ht="15" hidden="1" customHeight="1" outlineLevel="1">
      <c r="A600" s="3034"/>
      <c r="B600" s="17" t="s">
        <v>558</v>
      </c>
      <c r="C600" s="18" t="s">
        <v>156</v>
      </c>
      <c r="D600" s="17">
        <v>2.37</v>
      </c>
      <c r="E600" s="142">
        <v>1.86</v>
      </c>
      <c r="F600" s="143">
        <f t="shared" si="8"/>
        <v>141</v>
      </c>
      <c r="G600" s="143">
        <v>141</v>
      </c>
    </row>
    <row r="601" spans="1:7" ht="15" hidden="1" customHeight="1" outlineLevel="1">
      <c r="A601" s="3034"/>
      <c r="B601" s="17" t="s">
        <v>559</v>
      </c>
      <c r="C601" s="18" t="s">
        <v>156</v>
      </c>
      <c r="D601" s="17">
        <v>2.98</v>
      </c>
      <c r="E601" s="142">
        <v>2.34</v>
      </c>
      <c r="F601" s="143">
        <f t="shared" si="8"/>
        <v>178</v>
      </c>
      <c r="G601" s="143">
        <v>178</v>
      </c>
    </row>
    <row r="602" spans="1:7" ht="15" hidden="1" customHeight="1" outlineLevel="1">
      <c r="A602" s="3034"/>
      <c r="B602" s="17" t="s">
        <v>560</v>
      </c>
      <c r="C602" s="18" t="s">
        <v>156</v>
      </c>
      <c r="D602" s="17">
        <v>3.98</v>
      </c>
      <c r="E602" s="142">
        <v>3.12</v>
      </c>
      <c r="F602" s="143">
        <f t="shared" si="8"/>
        <v>237</v>
      </c>
      <c r="G602" s="143">
        <v>237</v>
      </c>
    </row>
    <row r="603" spans="1:7" ht="15" hidden="1" customHeight="1" outlineLevel="1">
      <c r="A603" s="3034"/>
      <c r="B603" s="17" t="s">
        <v>561</v>
      </c>
      <c r="C603" s="18" t="s">
        <v>156</v>
      </c>
      <c r="D603" s="17">
        <v>2.5499999999999998</v>
      </c>
      <c r="E603" s="142">
        <v>2</v>
      </c>
      <c r="F603" s="143">
        <f t="shared" si="8"/>
        <v>152</v>
      </c>
      <c r="G603" s="143">
        <v>152</v>
      </c>
    </row>
    <row r="604" spans="1:7" ht="15" hidden="1" customHeight="1" outlineLevel="1">
      <c r="A604" s="3034"/>
      <c r="B604" s="17" t="s">
        <v>562</v>
      </c>
      <c r="C604" s="18" t="s">
        <v>156</v>
      </c>
      <c r="D604" s="17">
        <v>3.17</v>
      </c>
      <c r="E604" s="142">
        <v>2.4900000000000002</v>
      </c>
      <c r="F604" s="143">
        <f t="shared" si="8"/>
        <v>189</v>
      </c>
      <c r="G604" s="143">
        <v>189</v>
      </c>
    </row>
    <row r="605" spans="1:7" ht="15" hidden="1" customHeight="1" outlineLevel="1">
      <c r="A605" s="3034"/>
      <c r="B605" s="17" t="s">
        <v>563</v>
      </c>
      <c r="C605" s="18" t="s">
        <v>156</v>
      </c>
      <c r="D605" s="17">
        <v>4.21</v>
      </c>
      <c r="E605" s="142">
        <v>3.3</v>
      </c>
      <c r="F605" s="143">
        <f t="shared" si="8"/>
        <v>251</v>
      </c>
      <c r="G605" s="143">
        <v>251</v>
      </c>
    </row>
    <row r="606" spans="1:7" ht="15" hidden="1" customHeight="1" outlineLevel="1">
      <c r="A606" s="3034"/>
      <c r="B606" s="17" t="s">
        <v>564</v>
      </c>
      <c r="C606" s="18" t="s">
        <v>156</v>
      </c>
      <c r="D606" s="17">
        <v>2.98</v>
      </c>
      <c r="E606" s="142">
        <v>2.35</v>
      </c>
      <c r="F606" s="143">
        <f t="shared" si="8"/>
        <v>179</v>
      </c>
      <c r="G606" s="143">
        <v>179</v>
      </c>
    </row>
    <row r="607" spans="1:7" ht="15" hidden="1" customHeight="1" outlineLevel="1">
      <c r="A607" s="3034"/>
      <c r="B607" s="17" t="s">
        <v>565</v>
      </c>
      <c r="C607" s="18" t="s">
        <v>156</v>
      </c>
      <c r="D607" s="17">
        <v>3.73</v>
      </c>
      <c r="E607" s="142">
        <v>2.93</v>
      </c>
      <c r="F607" s="143">
        <f t="shared" si="8"/>
        <v>223</v>
      </c>
      <c r="G607" s="143">
        <v>223</v>
      </c>
    </row>
    <row r="608" spans="1:7" ht="15" hidden="1" customHeight="1" outlineLevel="1">
      <c r="A608" s="3034"/>
      <c r="B608" s="17" t="s">
        <v>566</v>
      </c>
      <c r="C608" s="18" t="s">
        <v>156</v>
      </c>
      <c r="D608" s="17">
        <v>4.9800000000000004</v>
      </c>
      <c r="E608" s="142">
        <v>3.91</v>
      </c>
      <c r="F608" s="143">
        <f t="shared" si="8"/>
        <v>297</v>
      </c>
      <c r="G608" s="143">
        <v>297</v>
      </c>
    </row>
    <row r="609" spans="1:7" ht="15" hidden="1" customHeight="1" outlineLevel="1">
      <c r="A609" s="3034"/>
      <c r="B609" s="17" t="s">
        <v>567</v>
      </c>
      <c r="C609" s="18" t="s">
        <v>156</v>
      </c>
      <c r="D609" s="17">
        <v>3.15</v>
      </c>
      <c r="E609" s="142">
        <v>2.4700000000000002</v>
      </c>
      <c r="F609" s="143">
        <f t="shared" si="8"/>
        <v>188</v>
      </c>
      <c r="G609" s="143">
        <v>188</v>
      </c>
    </row>
    <row r="610" spans="1:7" ht="15" hidden="1" customHeight="1" outlineLevel="1">
      <c r="A610" s="3034"/>
      <c r="B610" s="17" t="s">
        <v>568</v>
      </c>
      <c r="C610" s="18" t="s">
        <v>156</v>
      </c>
      <c r="D610" s="17">
        <v>3.92</v>
      </c>
      <c r="E610" s="142">
        <v>3.08</v>
      </c>
      <c r="F610" s="143">
        <f t="shared" si="8"/>
        <v>234</v>
      </c>
      <c r="G610" s="143">
        <v>234</v>
      </c>
    </row>
    <row r="611" spans="1:7" ht="15" hidden="1" customHeight="1" outlineLevel="1">
      <c r="A611" s="3034"/>
      <c r="B611" s="17" t="s">
        <v>569</v>
      </c>
      <c r="C611" s="18" t="s">
        <v>156</v>
      </c>
      <c r="D611" s="17">
        <v>5.21</v>
      </c>
      <c r="E611" s="142">
        <v>4.09</v>
      </c>
      <c r="F611" s="143">
        <f t="shared" si="8"/>
        <v>311</v>
      </c>
      <c r="G611" s="143">
        <v>311</v>
      </c>
    </row>
    <row r="612" spans="1:7" ht="15" hidden="1" customHeight="1" outlineLevel="1">
      <c r="A612" s="3034"/>
      <c r="B612" s="17" t="s">
        <v>570</v>
      </c>
      <c r="C612" s="18" t="s">
        <v>156</v>
      </c>
      <c r="D612" s="17">
        <v>3.58</v>
      </c>
      <c r="E612" s="142">
        <v>2.81</v>
      </c>
      <c r="F612" s="143">
        <f t="shared" si="8"/>
        <v>214</v>
      </c>
      <c r="G612" s="143">
        <v>214</v>
      </c>
    </row>
    <row r="613" spans="1:7" ht="15" hidden="1" customHeight="1" outlineLevel="1">
      <c r="A613" s="3034"/>
      <c r="B613" s="17" t="s">
        <v>571</v>
      </c>
      <c r="C613" s="18" t="s">
        <v>156</v>
      </c>
      <c r="D613" s="17">
        <v>4.4800000000000004</v>
      </c>
      <c r="E613" s="142">
        <v>3.52</v>
      </c>
      <c r="F613" s="143">
        <f t="shared" si="8"/>
        <v>268</v>
      </c>
      <c r="G613" s="143">
        <v>268</v>
      </c>
    </row>
    <row r="614" spans="1:7" ht="15" hidden="1" customHeight="1" outlineLevel="1">
      <c r="A614" s="3034"/>
      <c r="B614" s="17" t="s">
        <v>572</v>
      </c>
      <c r="C614" s="18" t="s">
        <v>156</v>
      </c>
      <c r="D614" s="17">
        <v>5.98</v>
      </c>
      <c r="E614" s="142">
        <v>4.6900000000000004</v>
      </c>
      <c r="F614" s="143">
        <f t="shared" si="8"/>
        <v>356</v>
      </c>
      <c r="G614" s="143">
        <v>356</v>
      </c>
    </row>
    <row r="615" spans="1:7" ht="15" hidden="1" customHeight="1" outlineLevel="1">
      <c r="A615" s="3034"/>
      <c r="B615" s="17" t="s">
        <v>573</v>
      </c>
      <c r="C615" s="18" t="s">
        <v>156</v>
      </c>
      <c r="D615" s="17">
        <v>4.18</v>
      </c>
      <c r="E615" s="142">
        <v>3.28</v>
      </c>
      <c r="F615" s="143">
        <f t="shared" si="8"/>
        <v>249</v>
      </c>
      <c r="G615" s="143">
        <v>249</v>
      </c>
    </row>
    <row r="616" spans="1:7" ht="15" hidden="1" customHeight="1" outlineLevel="1">
      <c r="A616" s="3034"/>
      <c r="B616" s="17" t="s">
        <v>574</v>
      </c>
      <c r="C616" s="18" t="s">
        <v>156</v>
      </c>
      <c r="D616" s="17">
        <v>5.23</v>
      </c>
      <c r="E616" s="142">
        <v>4.1100000000000003</v>
      </c>
      <c r="F616" s="143">
        <f t="shared" si="8"/>
        <v>312</v>
      </c>
      <c r="G616" s="143">
        <v>312</v>
      </c>
    </row>
    <row r="617" spans="1:7" ht="15" hidden="1" customHeight="1" outlineLevel="1">
      <c r="A617" s="3034"/>
      <c r="B617" s="17" t="s">
        <v>575</v>
      </c>
      <c r="C617" s="18" t="s">
        <v>156</v>
      </c>
      <c r="D617" s="17">
        <v>6.98</v>
      </c>
      <c r="E617" s="142">
        <v>5.48</v>
      </c>
      <c r="F617" s="143">
        <f t="shared" si="8"/>
        <v>416</v>
      </c>
      <c r="G617" s="143">
        <v>416</v>
      </c>
    </row>
    <row r="618" spans="1:7" ht="15" hidden="1" customHeight="1" outlineLevel="1">
      <c r="A618" s="3034"/>
      <c r="B618" s="17" t="s">
        <v>576</v>
      </c>
      <c r="C618" s="18" t="s">
        <v>156</v>
      </c>
      <c r="D618" s="17">
        <v>4.47</v>
      </c>
      <c r="E618" s="142">
        <v>3.51</v>
      </c>
      <c r="F618" s="143">
        <f t="shared" si="8"/>
        <v>267</v>
      </c>
      <c r="G618" s="143">
        <v>267</v>
      </c>
    </row>
    <row r="619" spans="1:7" ht="15" hidden="1" customHeight="1" outlineLevel="1">
      <c r="A619" s="3034"/>
      <c r="B619" s="17" t="s">
        <v>577</v>
      </c>
      <c r="C619" s="18" t="s">
        <v>156</v>
      </c>
      <c r="D619" s="17">
        <v>5.57</v>
      </c>
      <c r="E619" s="142">
        <v>4.37</v>
      </c>
      <c r="F619" s="143">
        <f t="shared" si="8"/>
        <v>332</v>
      </c>
      <c r="G619" s="143">
        <v>332</v>
      </c>
    </row>
    <row r="620" spans="1:7" ht="15" hidden="1" customHeight="1" outlineLevel="1">
      <c r="A620" s="3034"/>
      <c r="B620" s="17" t="s">
        <v>578</v>
      </c>
      <c r="C620" s="18" t="s">
        <v>156</v>
      </c>
      <c r="D620" s="17">
        <v>7.41</v>
      </c>
      <c r="E620" s="142">
        <v>5.82</v>
      </c>
      <c r="F620" s="143">
        <f t="shared" si="8"/>
        <v>442</v>
      </c>
      <c r="G620" s="143">
        <v>442</v>
      </c>
    </row>
    <row r="621" spans="1:7" ht="15" hidden="1" customHeight="1" outlineLevel="1">
      <c r="A621" s="3035" t="s">
        <v>579</v>
      </c>
      <c r="B621" s="17" t="s">
        <v>580</v>
      </c>
      <c r="C621" s="18" t="s">
        <v>156</v>
      </c>
      <c r="D621" s="17">
        <v>2.59</v>
      </c>
      <c r="E621" s="142">
        <v>2.15</v>
      </c>
      <c r="F621" s="143">
        <f t="shared" si="8"/>
        <v>163</v>
      </c>
      <c r="G621" s="143">
        <v>163</v>
      </c>
    </row>
    <row r="622" spans="1:7" ht="15" hidden="1" customHeight="1" outlineLevel="1">
      <c r="A622" s="3035"/>
      <c r="B622" s="145" t="s">
        <v>581</v>
      </c>
      <c r="C622" s="126" t="s">
        <v>156</v>
      </c>
      <c r="D622" s="145">
        <v>3.21</v>
      </c>
      <c r="E622" s="146">
        <v>2.69</v>
      </c>
      <c r="F622" s="143">
        <f t="shared" ref="F622:F653" si="9">G622</f>
        <v>204</v>
      </c>
      <c r="G622" s="147">
        <v>204</v>
      </c>
    </row>
    <row r="623" spans="1:7" ht="15" hidden="1" customHeight="1" outlineLevel="1">
      <c r="A623" s="3035"/>
      <c r="B623" s="145" t="s">
        <v>582</v>
      </c>
      <c r="C623" s="126" t="s">
        <v>156</v>
      </c>
      <c r="D623" s="145">
        <v>4.2300000000000004</v>
      </c>
      <c r="E623" s="146">
        <v>3.58</v>
      </c>
      <c r="F623" s="143">
        <f t="shared" si="9"/>
        <v>272</v>
      </c>
      <c r="G623" s="147">
        <v>272</v>
      </c>
    </row>
    <row r="624" spans="1:7" ht="15" hidden="1" customHeight="1" outlineLevel="1">
      <c r="A624" s="3035"/>
      <c r="B624" s="145" t="s">
        <v>583</v>
      </c>
      <c r="C624" s="126" t="s">
        <v>156</v>
      </c>
      <c r="D624" s="145">
        <v>3.19</v>
      </c>
      <c r="E624" s="146">
        <v>2.64</v>
      </c>
      <c r="F624" s="143">
        <f t="shared" si="9"/>
        <v>201</v>
      </c>
      <c r="G624" s="147">
        <v>201</v>
      </c>
    </row>
    <row r="625" spans="1:7" ht="15" hidden="1" customHeight="1" outlineLevel="1">
      <c r="A625" s="3035"/>
      <c r="B625" s="145" t="s">
        <v>584</v>
      </c>
      <c r="C625" s="126" t="s">
        <v>156</v>
      </c>
      <c r="D625" s="145">
        <v>3.96</v>
      </c>
      <c r="E625" s="146">
        <v>3.31</v>
      </c>
      <c r="F625" s="143">
        <f t="shared" si="9"/>
        <v>252</v>
      </c>
      <c r="G625" s="147">
        <v>252</v>
      </c>
    </row>
    <row r="626" spans="1:7" ht="15" hidden="1" customHeight="1" outlineLevel="1">
      <c r="A626" s="3035"/>
      <c r="B626" s="145" t="s">
        <v>585</v>
      </c>
      <c r="C626" s="126" t="s">
        <v>156</v>
      </c>
      <c r="D626" s="145">
        <v>5.23</v>
      </c>
      <c r="E626" s="146">
        <v>4.34</v>
      </c>
      <c r="F626" s="143">
        <f t="shared" si="9"/>
        <v>330</v>
      </c>
      <c r="G626" s="147">
        <v>330</v>
      </c>
    </row>
    <row r="627" spans="1:7" ht="15" hidden="1" customHeight="1" outlineLevel="1">
      <c r="A627" s="3035"/>
      <c r="B627" s="145" t="s">
        <v>586</v>
      </c>
      <c r="C627" s="126" t="s">
        <v>156</v>
      </c>
      <c r="D627" s="145">
        <v>3.79</v>
      </c>
      <c r="E627" s="146">
        <v>3.15</v>
      </c>
      <c r="F627" s="143">
        <f t="shared" si="9"/>
        <v>239</v>
      </c>
      <c r="G627" s="147">
        <v>239</v>
      </c>
    </row>
    <row r="628" spans="1:7" ht="15" hidden="1" customHeight="1" outlineLevel="1">
      <c r="A628" s="3035"/>
      <c r="B628" s="145" t="s">
        <v>587</v>
      </c>
      <c r="C628" s="126" t="s">
        <v>156</v>
      </c>
      <c r="D628" s="145">
        <v>4.71</v>
      </c>
      <c r="E628" s="146">
        <v>3.93</v>
      </c>
      <c r="F628" s="143">
        <f t="shared" si="9"/>
        <v>299</v>
      </c>
      <c r="G628" s="147">
        <v>299</v>
      </c>
    </row>
    <row r="629" spans="1:7" ht="15" hidden="1" customHeight="1" outlineLevel="1">
      <c r="A629" s="3035"/>
      <c r="B629" s="145" t="s">
        <v>588</v>
      </c>
      <c r="C629" s="126" t="s">
        <v>156</v>
      </c>
      <c r="D629" s="145">
        <v>6.23</v>
      </c>
      <c r="E629" s="146">
        <v>5.22</v>
      </c>
      <c r="F629" s="143">
        <f t="shared" si="9"/>
        <v>397</v>
      </c>
      <c r="G629" s="147">
        <v>397</v>
      </c>
    </row>
    <row r="630" spans="1:7" ht="15" hidden="1" customHeight="1" outlineLevel="1">
      <c r="A630" s="3036" t="s">
        <v>589</v>
      </c>
      <c r="B630" s="145" t="s">
        <v>590</v>
      </c>
      <c r="C630" s="126" t="s">
        <v>156</v>
      </c>
      <c r="D630" s="145"/>
      <c r="E630" s="146"/>
      <c r="F630" s="143">
        <f t="shared" si="9"/>
        <v>58</v>
      </c>
      <c r="G630" s="147">
        <v>58</v>
      </c>
    </row>
    <row r="631" spans="1:7" ht="15" hidden="1" customHeight="1" outlineLevel="1">
      <c r="A631" s="3036"/>
      <c r="B631" s="145" t="s">
        <v>591</v>
      </c>
      <c r="C631" s="126" t="s">
        <v>156</v>
      </c>
      <c r="D631" s="145"/>
      <c r="E631" s="146"/>
      <c r="F631" s="143">
        <f t="shared" si="9"/>
        <v>100</v>
      </c>
      <c r="G631" s="147">
        <v>100</v>
      </c>
    </row>
    <row r="632" spans="1:7" ht="15" hidden="1" customHeight="1" outlineLevel="1">
      <c r="A632" s="3036"/>
      <c r="B632" s="145" t="s">
        <v>592</v>
      </c>
      <c r="C632" s="126" t="s">
        <v>156</v>
      </c>
      <c r="D632" s="145"/>
      <c r="E632" s="146"/>
      <c r="F632" s="143">
        <f t="shared" si="9"/>
        <v>125</v>
      </c>
      <c r="G632" s="147">
        <v>125</v>
      </c>
    </row>
    <row r="633" spans="1:7" ht="15" hidden="1" customHeight="1" outlineLevel="1">
      <c r="A633" s="3036"/>
      <c r="B633" s="145" t="s">
        <v>593</v>
      </c>
      <c r="C633" s="126" t="s">
        <v>156</v>
      </c>
      <c r="D633" s="145">
        <v>0.91</v>
      </c>
      <c r="E633" s="146">
        <v>0.73</v>
      </c>
      <c r="F633" s="143">
        <f t="shared" si="9"/>
        <v>64</v>
      </c>
      <c r="G633" s="147">
        <v>64</v>
      </c>
    </row>
    <row r="634" spans="1:7" ht="15" hidden="1" customHeight="1" outlineLevel="1">
      <c r="A634" s="3036"/>
      <c r="B634" s="145" t="s">
        <v>594</v>
      </c>
      <c r="C634" s="126" t="s">
        <v>156</v>
      </c>
      <c r="D634" s="145">
        <v>1.56</v>
      </c>
      <c r="E634" s="146">
        <v>1.25</v>
      </c>
      <c r="F634" s="143">
        <f t="shared" si="9"/>
        <v>110</v>
      </c>
      <c r="G634" s="147">
        <v>110</v>
      </c>
    </row>
    <row r="635" spans="1:7" ht="15" hidden="1" customHeight="1" outlineLevel="1">
      <c r="A635" s="3036"/>
      <c r="B635" s="145" t="s">
        <v>595</v>
      </c>
      <c r="C635" s="126" t="s">
        <v>156</v>
      </c>
      <c r="D635" s="145">
        <v>1.95</v>
      </c>
      <c r="E635" s="146">
        <v>1.56</v>
      </c>
      <c r="F635" s="143">
        <f t="shared" si="9"/>
        <v>127</v>
      </c>
      <c r="G635" s="147">
        <v>127</v>
      </c>
    </row>
    <row r="636" spans="1:7" ht="15" hidden="1" customHeight="1" outlineLevel="1">
      <c r="A636" s="3036"/>
      <c r="B636" s="145" t="s">
        <v>596</v>
      </c>
      <c r="C636" s="126" t="s">
        <v>156</v>
      </c>
      <c r="D636" s="145">
        <v>2.6</v>
      </c>
      <c r="E636" s="146">
        <v>2.08</v>
      </c>
      <c r="F636" s="143">
        <f t="shared" si="9"/>
        <v>169</v>
      </c>
      <c r="G636" s="147">
        <v>169</v>
      </c>
    </row>
    <row r="637" spans="1:7" ht="15" hidden="1" customHeight="1" outlineLevel="1">
      <c r="A637" s="3036"/>
      <c r="B637" s="145" t="s">
        <v>597</v>
      </c>
      <c r="C637" s="126" t="s">
        <v>156</v>
      </c>
      <c r="D637" s="145">
        <v>1.29</v>
      </c>
      <c r="E637" s="146">
        <v>1.04</v>
      </c>
      <c r="F637" s="143">
        <f t="shared" si="9"/>
        <v>80</v>
      </c>
      <c r="G637" s="147">
        <v>80</v>
      </c>
    </row>
    <row r="638" spans="1:7" ht="15" hidden="1" customHeight="1" outlineLevel="1">
      <c r="A638" s="3036"/>
      <c r="B638" s="145" t="s">
        <v>598</v>
      </c>
      <c r="C638" s="126" t="s">
        <v>156</v>
      </c>
      <c r="D638" s="145">
        <v>1.83</v>
      </c>
      <c r="E638" s="146">
        <v>1.44</v>
      </c>
      <c r="F638" s="143">
        <f t="shared" si="9"/>
        <v>111</v>
      </c>
      <c r="G638" s="147">
        <v>111</v>
      </c>
    </row>
    <row r="639" spans="1:7" ht="15" hidden="1" customHeight="1" outlineLevel="1">
      <c r="A639" s="3036"/>
      <c r="B639" s="145" t="s">
        <v>599</v>
      </c>
      <c r="C639" s="126" t="s">
        <v>156</v>
      </c>
      <c r="D639" s="145">
        <v>2.19</v>
      </c>
      <c r="E639" s="146">
        <v>1.76</v>
      </c>
      <c r="F639" s="143">
        <f t="shared" si="9"/>
        <v>136</v>
      </c>
      <c r="G639" s="147">
        <v>136</v>
      </c>
    </row>
    <row r="640" spans="1:7" ht="15" hidden="1" customHeight="1" outlineLevel="1">
      <c r="A640" s="3036"/>
      <c r="B640" s="145" t="s">
        <v>600</v>
      </c>
      <c r="C640" s="126" t="s">
        <v>156</v>
      </c>
      <c r="D640" s="145">
        <v>2.71</v>
      </c>
      <c r="E640" s="146">
        <v>2.2000000000000002</v>
      </c>
      <c r="F640" s="143">
        <f t="shared" si="9"/>
        <v>169</v>
      </c>
      <c r="G640" s="147">
        <v>169</v>
      </c>
    </row>
    <row r="641" spans="1:7" ht="15" hidden="1" customHeight="1" outlineLevel="1">
      <c r="A641" s="3036"/>
      <c r="B641" s="145" t="s">
        <v>601</v>
      </c>
      <c r="C641" s="126" t="s">
        <v>156</v>
      </c>
      <c r="D641" s="145">
        <v>3.55</v>
      </c>
      <c r="E641" s="146">
        <v>2.94</v>
      </c>
      <c r="F641" s="143">
        <f t="shared" si="9"/>
        <v>226</v>
      </c>
      <c r="G641" s="147">
        <v>226</v>
      </c>
    </row>
    <row r="642" spans="1:7" ht="15" hidden="1" customHeight="1" outlineLevel="1">
      <c r="A642" s="3037" t="s">
        <v>602</v>
      </c>
      <c r="B642" s="145" t="s">
        <v>603</v>
      </c>
      <c r="C642" s="126" t="s">
        <v>156</v>
      </c>
      <c r="D642" s="145"/>
      <c r="E642" s="146"/>
      <c r="F642" s="143">
        <f t="shared" si="9"/>
        <v>77</v>
      </c>
      <c r="G642" s="147">
        <v>77</v>
      </c>
    </row>
    <row r="643" spans="1:7" ht="15" hidden="1" customHeight="1" outlineLevel="1">
      <c r="A643" s="3037"/>
      <c r="B643" s="17" t="s">
        <v>604</v>
      </c>
      <c r="C643" s="18" t="s">
        <v>156</v>
      </c>
      <c r="D643" s="17"/>
      <c r="E643" s="142"/>
      <c r="F643" s="143">
        <f t="shared" si="9"/>
        <v>96</v>
      </c>
      <c r="G643" s="143">
        <v>96</v>
      </c>
    </row>
    <row r="644" spans="1:7" ht="15" hidden="1" customHeight="1" outlineLevel="1">
      <c r="A644" s="3037"/>
      <c r="B644" s="17" t="s">
        <v>605</v>
      </c>
      <c r="C644" s="18" t="s">
        <v>156</v>
      </c>
      <c r="D644" s="17"/>
      <c r="E644" s="142"/>
      <c r="F644" s="143">
        <f t="shared" si="9"/>
        <v>128</v>
      </c>
      <c r="G644" s="143">
        <v>128</v>
      </c>
    </row>
    <row r="645" spans="1:7" ht="15" hidden="1" customHeight="1" outlineLevel="1">
      <c r="A645" s="3037"/>
      <c r="B645" s="17" t="s">
        <v>606</v>
      </c>
      <c r="C645" s="18" t="s">
        <v>156</v>
      </c>
      <c r="D645" s="17"/>
      <c r="E645" s="142"/>
      <c r="F645" s="143">
        <f t="shared" si="9"/>
        <v>115</v>
      </c>
      <c r="G645" s="143">
        <v>115</v>
      </c>
    </row>
    <row r="646" spans="1:7" ht="15" hidden="1" customHeight="1" outlineLevel="1">
      <c r="A646" s="3037"/>
      <c r="B646" s="17" t="s">
        <v>607</v>
      </c>
      <c r="C646" s="18" t="s">
        <v>156</v>
      </c>
      <c r="D646" s="17"/>
      <c r="E646" s="142"/>
      <c r="F646" s="143">
        <f t="shared" si="9"/>
        <v>144</v>
      </c>
      <c r="G646" s="143">
        <v>144</v>
      </c>
    </row>
    <row r="647" spans="1:7" ht="15" hidden="1" customHeight="1" outlineLevel="1">
      <c r="A647" s="3037"/>
      <c r="B647" s="17" t="s">
        <v>608</v>
      </c>
      <c r="C647" s="18" t="s">
        <v>156</v>
      </c>
      <c r="D647" s="17"/>
      <c r="E647" s="142"/>
      <c r="F647" s="143">
        <f t="shared" si="9"/>
        <v>192</v>
      </c>
      <c r="G647" s="143">
        <v>192</v>
      </c>
    </row>
    <row r="648" spans="1:7" ht="15" hidden="1" customHeight="1" outlineLevel="1">
      <c r="A648" s="3037"/>
      <c r="B648" s="17" t="s">
        <v>609</v>
      </c>
      <c r="C648" s="18" t="s">
        <v>156</v>
      </c>
      <c r="D648" s="17"/>
      <c r="E648" s="142"/>
      <c r="F648" s="143">
        <f t="shared" si="9"/>
        <v>154</v>
      </c>
      <c r="G648" s="143">
        <v>154</v>
      </c>
    </row>
    <row r="649" spans="1:7" ht="15" hidden="1" customHeight="1" outlineLevel="1">
      <c r="A649" s="3037"/>
      <c r="B649" s="17" t="s">
        <v>610</v>
      </c>
      <c r="C649" s="18" t="s">
        <v>156</v>
      </c>
      <c r="D649" s="17"/>
      <c r="E649" s="142"/>
      <c r="F649" s="143">
        <f t="shared" si="9"/>
        <v>192</v>
      </c>
      <c r="G649" s="143">
        <v>192</v>
      </c>
    </row>
    <row r="650" spans="1:7" ht="15" hidden="1" customHeight="1" outlineLevel="1">
      <c r="A650" s="3037"/>
      <c r="B650" s="17" t="s">
        <v>611</v>
      </c>
      <c r="C650" s="18" t="s">
        <v>156</v>
      </c>
      <c r="D650" s="17"/>
      <c r="E650" s="142"/>
      <c r="F650" s="143">
        <f t="shared" si="9"/>
        <v>256</v>
      </c>
      <c r="G650" s="143">
        <v>256</v>
      </c>
    </row>
    <row r="651" spans="1:7" ht="15" hidden="1" customHeight="1" outlineLevel="1">
      <c r="A651" s="3037"/>
      <c r="C651" s="18" t="s">
        <v>156</v>
      </c>
      <c r="D651" s="17"/>
      <c r="E651" s="142"/>
      <c r="F651" s="142"/>
      <c r="G651" s="143"/>
    </row>
    <row r="652" spans="1:7" ht="15" hidden="1" customHeight="1" outlineLevel="1">
      <c r="A652" s="154"/>
      <c r="B652" s="144"/>
      <c r="D652" s="17"/>
      <c r="E652" s="142"/>
      <c r="F652" s="142"/>
      <c r="G652" s="143"/>
    </row>
    <row r="653" spans="1:7" ht="15" hidden="1" customHeight="1" outlineLevel="1">
      <c r="A653" s="154"/>
      <c r="B653" s="144"/>
      <c r="D653" s="17"/>
      <c r="E653" s="142"/>
      <c r="F653" s="142"/>
      <c r="G653" s="143"/>
    </row>
    <row r="654" spans="1:7" ht="15" hidden="1" customHeight="1" outlineLevel="1">
      <c r="A654" s="154"/>
      <c r="B654" s="144"/>
      <c r="D654" s="17"/>
      <c r="E654" s="142"/>
      <c r="F654" s="142"/>
      <c r="G654" s="143"/>
    </row>
    <row r="655" spans="1:7" ht="15" customHeight="1">
      <c r="A655" s="3038" t="s">
        <v>511</v>
      </c>
      <c r="B655" s="3038"/>
      <c r="D655" s="17"/>
      <c r="E655" s="142"/>
      <c r="F655" s="142"/>
      <c r="G655" s="143"/>
    </row>
    <row r="656" spans="1:7" ht="15" hidden="1" customHeight="1" outlineLevel="1">
      <c r="A656" s="155" t="s">
        <v>612</v>
      </c>
      <c r="B656" s="156"/>
      <c r="C656" s="77" t="s">
        <v>120</v>
      </c>
      <c r="D656" s="109"/>
      <c r="E656" s="138"/>
      <c r="F656" s="138"/>
      <c r="G656" s="139" t="s">
        <v>613</v>
      </c>
    </row>
    <row r="657" spans="1:7" ht="15" hidden="1" customHeight="1" outlineLevel="1">
      <c r="A657" s="3039" t="s">
        <v>614</v>
      </c>
      <c r="B657" s="157" t="s">
        <v>615</v>
      </c>
      <c r="C657" s="18" t="s">
        <v>133</v>
      </c>
      <c r="D657" s="158"/>
      <c r="E657" s="159"/>
      <c r="F657" s="160"/>
      <c r="G657" s="161">
        <v>334</v>
      </c>
    </row>
    <row r="658" spans="1:7" ht="15" hidden="1" customHeight="1" outlineLevel="1">
      <c r="A658" s="3039"/>
      <c r="B658" s="162" t="s">
        <v>616</v>
      </c>
      <c r="C658" s="18" t="s">
        <v>133</v>
      </c>
      <c r="D658" s="158"/>
      <c r="E658" s="163"/>
      <c r="F658" s="164"/>
      <c r="G658" s="165">
        <v>501</v>
      </c>
    </row>
    <row r="659" spans="1:7" ht="15" hidden="1" customHeight="1" outlineLevel="1">
      <c r="A659" s="3039"/>
      <c r="B659" s="157" t="s">
        <v>617</v>
      </c>
      <c r="C659" s="18" t="s">
        <v>133</v>
      </c>
      <c r="D659" s="158"/>
      <c r="E659" s="159"/>
      <c r="F659" s="160"/>
      <c r="G659" s="161">
        <v>654</v>
      </c>
    </row>
    <row r="660" spans="1:7" ht="15" hidden="1" customHeight="1" outlineLevel="1">
      <c r="A660" s="3039"/>
      <c r="B660" s="162" t="s">
        <v>618</v>
      </c>
      <c r="C660" s="18" t="s">
        <v>133</v>
      </c>
      <c r="D660" s="158"/>
      <c r="E660" s="163"/>
      <c r="F660" s="164"/>
      <c r="G660" s="165">
        <v>889</v>
      </c>
    </row>
    <row r="661" spans="1:7" ht="15" hidden="1" customHeight="1" outlineLevel="1">
      <c r="A661" s="3039"/>
      <c r="B661" s="157" t="s">
        <v>619</v>
      </c>
      <c r="C661" s="18" t="s">
        <v>133</v>
      </c>
      <c r="D661" s="158"/>
      <c r="E661" s="159"/>
      <c r="F661" s="160"/>
      <c r="G661" s="161">
        <v>979</v>
      </c>
    </row>
    <row r="662" spans="1:7" ht="15" hidden="1" customHeight="1" outlineLevel="1">
      <c r="A662" s="3039"/>
      <c r="B662" s="162" t="s">
        <v>620</v>
      </c>
      <c r="C662" s="18" t="s">
        <v>133</v>
      </c>
      <c r="D662" s="158"/>
      <c r="E662" s="163"/>
      <c r="F662" s="164"/>
      <c r="G662" s="165">
        <v>1423</v>
      </c>
    </row>
    <row r="663" spans="1:7" ht="15" hidden="1" customHeight="1" outlineLevel="1">
      <c r="A663" s="3040" t="s">
        <v>621</v>
      </c>
      <c r="B663" s="166" t="s">
        <v>622</v>
      </c>
      <c r="C663" s="18" t="s">
        <v>133</v>
      </c>
      <c r="D663" s="17"/>
      <c r="E663" s="68"/>
      <c r="F663" s="167"/>
      <c r="G663" s="168" t="s">
        <v>623</v>
      </c>
    </row>
    <row r="664" spans="1:7" ht="15" hidden="1" customHeight="1" outlineLevel="1">
      <c r="A664" s="3040"/>
      <c r="B664" s="166" t="s">
        <v>624</v>
      </c>
      <c r="C664" s="18" t="s">
        <v>133</v>
      </c>
      <c r="D664" s="17"/>
      <c r="E664" s="68"/>
      <c r="F664" s="167"/>
      <c r="G664" s="168" t="s">
        <v>625</v>
      </c>
    </row>
    <row r="665" spans="1:7" ht="15" hidden="1" customHeight="1" outlineLevel="1">
      <c r="A665" s="3040"/>
      <c r="B665" s="166" t="s">
        <v>626</v>
      </c>
      <c r="C665" s="18" t="s">
        <v>133</v>
      </c>
      <c r="D665" s="17"/>
      <c r="E665" s="68"/>
      <c r="F665" s="167"/>
      <c r="G665" s="168" t="s">
        <v>627</v>
      </c>
    </row>
    <row r="666" spans="1:7" ht="15" hidden="1" customHeight="1" outlineLevel="1">
      <c r="A666" s="3040"/>
      <c r="B666" s="166" t="s">
        <v>628</v>
      </c>
      <c r="C666" s="18" t="s">
        <v>133</v>
      </c>
      <c r="D666" s="17"/>
      <c r="E666" s="68"/>
      <c r="F666" s="167"/>
      <c r="G666" s="168" t="s">
        <v>629</v>
      </c>
    </row>
    <row r="667" spans="1:7" ht="15" hidden="1" customHeight="1" outlineLevel="1">
      <c r="A667" s="3040"/>
      <c r="B667" s="166" t="s">
        <v>630</v>
      </c>
      <c r="C667" s="18" t="s">
        <v>133</v>
      </c>
      <c r="D667" s="17"/>
      <c r="E667" s="68"/>
      <c r="F667" s="167"/>
      <c r="G667" s="168" t="s">
        <v>631</v>
      </c>
    </row>
    <row r="668" spans="1:7" ht="15" hidden="1" customHeight="1" outlineLevel="1">
      <c r="A668" s="3041" t="s">
        <v>632</v>
      </c>
      <c r="B668" s="166" t="s">
        <v>633</v>
      </c>
      <c r="C668" s="18" t="s">
        <v>133</v>
      </c>
      <c r="D668" s="17"/>
      <c r="E668" s="68"/>
      <c r="F668" s="167"/>
      <c r="G668" s="168" t="s">
        <v>634</v>
      </c>
    </row>
    <row r="669" spans="1:7" ht="15" hidden="1" customHeight="1" outlineLevel="1">
      <c r="A669" s="3041"/>
      <c r="B669" s="166" t="s">
        <v>635</v>
      </c>
      <c r="C669" s="18" t="s">
        <v>133</v>
      </c>
      <c r="D669" s="17"/>
      <c r="E669" s="68"/>
      <c r="F669" s="167"/>
      <c r="G669" s="168" t="s">
        <v>636</v>
      </c>
    </row>
    <row r="670" spans="1:7" ht="15" hidden="1" customHeight="1" outlineLevel="1">
      <c r="A670" s="3041"/>
      <c r="B670" s="166" t="s">
        <v>637</v>
      </c>
      <c r="C670" s="18" t="s">
        <v>133</v>
      </c>
      <c r="D670" s="17"/>
      <c r="E670" s="68"/>
      <c r="F670" s="167"/>
      <c r="G670" s="168" t="s">
        <v>638</v>
      </c>
    </row>
    <row r="671" spans="1:7" ht="15" hidden="1" customHeight="1" outlineLevel="1">
      <c r="A671" s="3041"/>
      <c r="B671" s="166" t="s">
        <v>639</v>
      </c>
      <c r="C671" s="18" t="s">
        <v>133</v>
      </c>
      <c r="D671" s="17"/>
      <c r="E671" s="68"/>
      <c r="F671" s="167"/>
      <c r="G671" s="168" t="s">
        <v>640</v>
      </c>
    </row>
    <row r="672" spans="1:7" ht="15" hidden="1" customHeight="1" outlineLevel="1">
      <c r="A672" s="3041"/>
      <c r="B672" s="166" t="s">
        <v>641</v>
      </c>
      <c r="C672" s="18" t="s">
        <v>133</v>
      </c>
      <c r="D672" s="17"/>
      <c r="E672" s="68"/>
      <c r="F672" s="167"/>
      <c r="G672" s="168" t="s">
        <v>642</v>
      </c>
    </row>
    <row r="673" spans="1:7" ht="15" hidden="1" customHeight="1" outlineLevel="1">
      <c r="A673" s="3042" t="s">
        <v>643</v>
      </c>
      <c r="B673" s="166" t="s">
        <v>644</v>
      </c>
      <c r="C673" s="18" t="s">
        <v>133</v>
      </c>
      <c r="D673" s="17"/>
      <c r="E673" s="68"/>
      <c r="F673" s="167"/>
      <c r="G673" s="168" t="s">
        <v>645</v>
      </c>
    </row>
    <row r="674" spans="1:7" ht="15" hidden="1" customHeight="1" outlineLevel="1">
      <c r="A674" s="3042"/>
      <c r="B674" s="166" t="s">
        <v>646</v>
      </c>
      <c r="C674" s="18" t="s">
        <v>133</v>
      </c>
      <c r="D674" s="17"/>
      <c r="E674" s="68"/>
      <c r="F674" s="167"/>
      <c r="G674" s="168" t="s">
        <v>647</v>
      </c>
    </row>
    <row r="675" spans="1:7" ht="15" hidden="1" customHeight="1" outlineLevel="1">
      <c r="A675" s="3042"/>
      <c r="B675" s="166" t="s">
        <v>648</v>
      </c>
      <c r="C675" s="18" t="s">
        <v>133</v>
      </c>
      <c r="D675" s="17"/>
      <c r="E675" s="68"/>
      <c r="F675" s="167"/>
      <c r="G675" s="168" t="s">
        <v>649</v>
      </c>
    </row>
    <row r="676" spans="1:7" ht="15" hidden="1" customHeight="1" outlineLevel="1">
      <c r="A676" s="3042"/>
      <c r="B676" s="103"/>
      <c r="C676" s="18" t="s">
        <v>133</v>
      </c>
      <c r="D676" s="68"/>
      <c r="E676" s="68"/>
      <c r="F676" s="167"/>
      <c r="G676" s="169"/>
    </row>
    <row r="677" spans="1:7" ht="15" hidden="1" customHeight="1" outlineLevel="1">
      <c r="A677" s="3042"/>
      <c r="B677" s="103"/>
      <c r="C677" s="104"/>
      <c r="D677" s="68"/>
      <c r="E677" s="68"/>
      <c r="F677" s="167"/>
      <c r="G677" s="169"/>
    </row>
    <row r="678" spans="1:7" ht="15" hidden="1" customHeight="1" outlineLevel="1">
      <c r="A678" s="3042"/>
      <c r="B678" s="103"/>
      <c r="C678" s="112"/>
      <c r="D678" s="68"/>
      <c r="E678" s="135"/>
      <c r="F678" s="68"/>
      <c r="G678" s="68"/>
    </row>
    <row r="679" spans="1:7" ht="15" hidden="1" customHeight="1" outlineLevel="1">
      <c r="A679" s="3042"/>
      <c r="B679" s="103"/>
      <c r="C679" s="112"/>
      <c r="D679" s="68"/>
      <c r="E679" s="135"/>
      <c r="F679" s="68"/>
      <c r="G679" s="68"/>
    </row>
    <row r="680" spans="1:7" ht="15" hidden="1" customHeight="1" outlineLevel="1">
      <c r="A680" s="170"/>
      <c r="B680" s="103"/>
      <c r="C680" s="112"/>
      <c r="D680" s="68"/>
      <c r="E680" s="135"/>
      <c r="F680" s="68"/>
      <c r="G680" s="68"/>
    </row>
    <row r="681" spans="1:7" ht="15" hidden="1" customHeight="1" outlineLevel="1">
      <c r="A681" s="170"/>
      <c r="B681" s="105"/>
      <c r="C681" s="112"/>
      <c r="D681" s="68"/>
      <c r="E681" s="135"/>
      <c r="F681" s="68"/>
      <c r="G681" s="68"/>
    </row>
    <row r="682" spans="1:7" ht="15" customHeight="1">
      <c r="A682" s="3043" t="s">
        <v>612</v>
      </c>
      <c r="B682" s="3043"/>
      <c r="C682" s="112"/>
      <c r="D682" s="68"/>
      <c r="E682" s="135"/>
      <c r="F682" s="68"/>
      <c r="G682" s="68"/>
    </row>
    <row r="683" spans="1:7" ht="15" hidden="1" customHeight="1" outlineLevel="1">
      <c r="A683" s="3044" t="s">
        <v>650</v>
      </c>
      <c r="B683" s="3044"/>
      <c r="C683" s="77" t="s">
        <v>208</v>
      </c>
      <c r="D683" s="172" t="s">
        <v>209</v>
      </c>
      <c r="E683" s="172" t="s">
        <v>273</v>
      </c>
      <c r="F683" s="173" t="s">
        <v>257</v>
      </c>
      <c r="G683" s="174" t="s">
        <v>57</v>
      </c>
    </row>
    <row r="684" spans="1:7" s="70" customFormat="1" ht="15" hidden="1" customHeight="1" outlineLevel="1">
      <c r="A684" s="175"/>
      <c r="B684" s="37" t="s">
        <v>294</v>
      </c>
      <c r="C684" s="99" t="s">
        <v>133</v>
      </c>
      <c r="D684" s="176"/>
      <c r="E684" s="176"/>
      <c r="F684" s="177"/>
      <c r="G684" s="178">
        <v>0</v>
      </c>
    </row>
    <row r="685" spans="1:7" ht="15" hidden="1" customHeight="1" outlineLevel="1">
      <c r="A685" s="115"/>
      <c r="B685" s="98" t="s">
        <v>651</v>
      </c>
      <c r="C685" s="99" t="s">
        <v>133</v>
      </c>
      <c r="D685" s="179"/>
      <c r="E685" s="145"/>
      <c r="F685" s="146"/>
      <c r="G685" s="146">
        <v>660</v>
      </c>
    </row>
    <row r="686" spans="1:7" ht="15" hidden="1" customHeight="1" outlineLevel="1">
      <c r="A686" s="115"/>
      <c r="B686" s="98" t="s">
        <v>652</v>
      </c>
      <c r="C686" s="99" t="s">
        <v>133</v>
      </c>
      <c r="D686" s="179"/>
      <c r="E686" s="145"/>
      <c r="F686" s="146"/>
      <c r="G686" s="146">
        <v>720</v>
      </c>
    </row>
    <row r="687" spans="1:7" ht="15" hidden="1" customHeight="1" outlineLevel="1">
      <c r="A687" s="115"/>
      <c r="B687" s="98" t="s">
        <v>653</v>
      </c>
      <c r="C687" s="99" t="s">
        <v>133</v>
      </c>
      <c r="D687" s="179"/>
      <c r="E687" s="145"/>
      <c r="F687" s="146"/>
      <c r="G687" s="146">
        <v>450</v>
      </c>
    </row>
    <row r="688" spans="1:7" ht="15" hidden="1" customHeight="1" outlineLevel="1">
      <c r="A688" s="115"/>
      <c r="B688" s="98" t="s">
        <v>654</v>
      </c>
      <c r="C688" s="99" t="s">
        <v>133</v>
      </c>
      <c r="D688" s="179"/>
      <c r="E688" s="145"/>
      <c r="F688" s="146"/>
      <c r="G688" s="146">
        <v>480</v>
      </c>
    </row>
    <row r="689" spans="1:7" ht="15" hidden="1" customHeight="1" outlineLevel="1">
      <c r="A689" s="115"/>
      <c r="B689" s="98" t="s">
        <v>655</v>
      </c>
      <c r="C689" s="99" t="s">
        <v>133</v>
      </c>
      <c r="D689" s="179"/>
      <c r="E689" s="145"/>
      <c r="F689" s="146"/>
      <c r="G689" s="146">
        <v>250</v>
      </c>
    </row>
    <row r="690" spans="1:7" ht="15" hidden="1" customHeight="1" outlineLevel="1">
      <c r="A690" s="115"/>
      <c r="B690" s="98" t="s">
        <v>656</v>
      </c>
      <c r="C690" s="99" t="s">
        <v>133</v>
      </c>
      <c r="D690" s="179"/>
      <c r="E690" s="145"/>
      <c r="F690" s="146"/>
      <c r="G690" s="146">
        <v>275</v>
      </c>
    </row>
    <row r="691" spans="1:7" ht="15" hidden="1" customHeight="1" outlineLevel="1">
      <c r="A691" s="115"/>
      <c r="B691" s="98" t="s">
        <v>657</v>
      </c>
      <c r="C691" s="99" t="s">
        <v>133</v>
      </c>
      <c r="D691" s="179"/>
      <c r="E691" s="145"/>
      <c r="F691" s="146"/>
      <c r="G691" s="146">
        <v>720</v>
      </c>
    </row>
    <row r="692" spans="1:7" ht="15" hidden="1" customHeight="1" outlineLevel="1">
      <c r="A692" s="115"/>
      <c r="B692" s="98" t="s">
        <v>658</v>
      </c>
      <c r="C692" s="99" t="s">
        <v>133</v>
      </c>
      <c r="D692" s="179"/>
      <c r="E692" s="145"/>
      <c r="F692" s="146"/>
      <c r="G692" s="146">
        <v>480</v>
      </c>
    </row>
    <row r="693" spans="1:7" ht="15" hidden="1" customHeight="1" outlineLevel="1">
      <c r="A693" s="115"/>
      <c r="B693" s="98" t="s">
        <v>659</v>
      </c>
      <c r="C693" s="99" t="s">
        <v>133</v>
      </c>
      <c r="D693" s="179"/>
      <c r="E693" s="145"/>
      <c r="F693" s="146"/>
      <c r="G693" s="146">
        <v>275</v>
      </c>
    </row>
    <row r="694" spans="1:7" ht="15" hidden="1" customHeight="1" outlineLevel="1">
      <c r="A694" s="115"/>
      <c r="B694" s="98" t="s">
        <v>660</v>
      </c>
      <c r="C694" s="99" t="s">
        <v>133</v>
      </c>
      <c r="D694" s="179"/>
      <c r="E694" s="145"/>
      <c r="F694" s="146"/>
      <c r="G694" s="146">
        <v>950</v>
      </c>
    </row>
    <row r="695" spans="1:7" ht="15" hidden="1" customHeight="1" outlineLevel="1">
      <c r="A695" s="115"/>
      <c r="B695" s="98" t="s">
        <v>661</v>
      </c>
      <c r="C695" s="99" t="s">
        <v>133</v>
      </c>
      <c r="D695" s="179"/>
      <c r="E695" s="145"/>
      <c r="F695" s="146"/>
      <c r="G695" s="146">
        <v>645</v>
      </c>
    </row>
    <row r="696" spans="1:7" ht="15" hidden="1" customHeight="1" outlineLevel="1">
      <c r="A696" s="115"/>
      <c r="B696" s="98" t="s">
        <v>662</v>
      </c>
      <c r="C696" s="99" t="s">
        <v>133</v>
      </c>
      <c r="D696" s="179"/>
      <c r="E696" s="145"/>
      <c r="F696" s="146"/>
      <c r="G696" s="146">
        <v>325</v>
      </c>
    </row>
    <row r="697" spans="1:7" ht="15" hidden="1" customHeight="1" outlineLevel="1">
      <c r="A697" s="115"/>
      <c r="B697" s="98" t="s">
        <v>663</v>
      </c>
      <c r="C697" s="99" t="s">
        <v>133</v>
      </c>
      <c r="D697" s="179"/>
      <c r="E697" s="145"/>
      <c r="F697" s="146"/>
      <c r="G697" s="146">
        <v>555</v>
      </c>
    </row>
    <row r="698" spans="1:7" ht="15" hidden="1" customHeight="1" outlineLevel="1">
      <c r="A698" s="115"/>
      <c r="B698" s="98" t="s">
        <v>664</v>
      </c>
      <c r="C698" s="99" t="s">
        <v>133</v>
      </c>
      <c r="D698" s="179"/>
      <c r="E698" s="145"/>
      <c r="F698" s="146"/>
      <c r="G698" s="146">
        <v>720</v>
      </c>
    </row>
    <row r="699" spans="1:7" ht="15" hidden="1" customHeight="1" outlineLevel="1">
      <c r="A699" s="115"/>
      <c r="B699" s="98" t="s">
        <v>665</v>
      </c>
      <c r="C699" s="99" t="s">
        <v>133</v>
      </c>
      <c r="D699" s="179"/>
      <c r="E699" s="145"/>
      <c r="F699" s="146"/>
      <c r="G699" s="146">
        <v>385</v>
      </c>
    </row>
    <row r="700" spans="1:7" ht="15" hidden="1" customHeight="1" outlineLevel="1">
      <c r="A700" s="115"/>
      <c r="B700" s="98" t="s">
        <v>666</v>
      </c>
      <c r="C700" s="99" t="s">
        <v>133</v>
      </c>
      <c r="D700" s="179"/>
      <c r="E700" s="145"/>
      <c r="F700" s="146"/>
      <c r="G700" s="146">
        <v>480</v>
      </c>
    </row>
    <row r="701" spans="1:7" ht="15" hidden="1" customHeight="1" outlineLevel="1">
      <c r="A701" s="115"/>
      <c r="B701" s="98" t="s">
        <v>667</v>
      </c>
      <c r="C701" s="99" t="s">
        <v>133</v>
      </c>
      <c r="D701" s="179"/>
      <c r="E701" s="145"/>
      <c r="F701" s="146"/>
      <c r="G701" s="146">
        <v>210</v>
      </c>
    </row>
    <row r="702" spans="1:7" ht="15" hidden="1" customHeight="1" outlineLevel="1">
      <c r="A702" s="115"/>
      <c r="B702" s="98" t="s">
        <v>668</v>
      </c>
      <c r="C702" s="99" t="s">
        <v>133</v>
      </c>
      <c r="D702" s="179"/>
      <c r="E702" s="145"/>
      <c r="F702" s="146"/>
      <c r="G702" s="146">
        <v>275</v>
      </c>
    </row>
    <row r="703" spans="1:7" ht="15" hidden="1" customHeight="1" outlineLevel="1">
      <c r="A703" s="115"/>
      <c r="B703" s="98" t="s">
        <v>669</v>
      </c>
      <c r="C703" s="99" t="s">
        <v>133</v>
      </c>
      <c r="D703" s="179"/>
      <c r="E703" s="145"/>
      <c r="F703" s="146"/>
      <c r="G703" s="146">
        <v>440</v>
      </c>
    </row>
    <row r="704" spans="1:7" ht="15" hidden="1" customHeight="1" outlineLevel="1">
      <c r="A704" s="115"/>
      <c r="B704" s="98" t="s">
        <v>670</v>
      </c>
      <c r="C704" s="99" t="s">
        <v>133</v>
      </c>
      <c r="D704" s="179"/>
      <c r="E704" s="145"/>
      <c r="F704" s="146"/>
      <c r="G704" s="146">
        <v>525</v>
      </c>
    </row>
    <row r="705" spans="1:7" ht="15" hidden="1" customHeight="1" outlineLevel="1">
      <c r="A705" s="115"/>
      <c r="B705" s="98" t="s">
        <v>671</v>
      </c>
      <c r="C705" s="99" t="s">
        <v>133</v>
      </c>
      <c r="D705" s="179"/>
      <c r="E705" s="145"/>
      <c r="F705" s="146"/>
      <c r="G705" s="146">
        <v>329</v>
      </c>
    </row>
    <row r="706" spans="1:7" ht="15" hidden="1" customHeight="1" outlineLevel="1">
      <c r="A706" s="115"/>
      <c r="B706" s="98" t="s">
        <v>672</v>
      </c>
      <c r="C706" s="99" t="s">
        <v>133</v>
      </c>
      <c r="D706" s="179"/>
      <c r="E706" s="145"/>
      <c r="F706" s="146"/>
      <c r="G706" s="146">
        <v>365</v>
      </c>
    </row>
    <row r="707" spans="1:7" ht="15" hidden="1" customHeight="1" outlineLevel="1">
      <c r="A707" s="115"/>
      <c r="B707" s="98" t="s">
        <v>673</v>
      </c>
      <c r="C707" s="99" t="s">
        <v>133</v>
      </c>
      <c r="D707" s="179"/>
      <c r="E707" s="145"/>
      <c r="F707" s="146"/>
      <c r="G707" s="146">
        <v>185</v>
      </c>
    </row>
    <row r="708" spans="1:7" ht="15" hidden="1" customHeight="1" outlineLevel="1">
      <c r="A708" s="115"/>
      <c r="B708" s="98" t="s">
        <v>674</v>
      </c>
      <c r="C708" s="99" t="s">
        <v>133</v>
      </c>
      <c r="D708" s="179"/>
      <c r="E708" s="145"/>
      <c r="F708" s="146"/>
      <c r="G708" s="146">
        <v>195</v>
      </c>
    </row>
    <row r="709" spans="1:7" ht="15" hidden="1" customHeight="1" outlineLevel="1">
      <c r="A709" s="115"/>
      <c r="B709" s="98" t="s">
        <v>675</v>
      </c>
      <c r="C709" s="99" t="s">
        <v>133</v>
      </c>
      <c r="D709" s="179"/>
      <c r="E709" s="145"/>
      <c r="F709" s="146"/>
      <c r="G709" s="146">
        <v>555</v>
      </c>
    </row>
    <row r="710" spans="1:7" ht="15" hidden="1" customHeight="1" outlineLevel="1">
      <c r="A710" s="115"/>
      <c r="B710" s="98" t="s">
        <v>676</v>
      </c>
      <c r="C710" s="99" t="s">
        <v>133</v>
      </c>
      <c r="D710" s="179"/>
      <c r="E710" s="145"/>
      <c r="F710" s="146"/>
      <c r="G710" s="146">
        <v>365</v>
      </c>
    </row>
    <row r="711" spans="1:7" ht="15" hidden="1" customHeight="1" outlineLevel="1">
      <c r="A711" s="115"/>
      <c r="B711" s="98" t="s">
        <v>677</v>
      </c>
      <c r="C711" s="99" t="s">
        <v>133</v>
      </c>
      <c r="D711" s="179"/>
      <c r="E711" s="145"/>
      <c r="F711" s="146"/>
      <c r="G711" s="146">
        <v>185</v>
      </c>
    </row>
    <row r="712" spans="1:7" ht="15" hidden="1" customHeight="1" outlineLevel="1">
      <c r="A712" s="115"/>
      <c r="B712" s="98" t="s">
        <v>678</v>
      </c>
      <c r="C712" s="99" t="s">
        <v>133</v>
      </c>
      <c r="D712" s="179"/>
      <c r="E712" s="145"/>
      <c r="F712" s="146"/>
      <c r="G712" s="146">
        <v>555</v>
      </c>
    </row>
    <row r="713" spans="1:7" ht="15" hidden="1" customHeight="1" outlineLevel="1">
      <c r="A713" s="115"/>
      <c r="B713" s="98" t="s">
        <v>679</v>
      </c>
      <c r="C713" s="99" t="s">
        <v>133</v>
      </c>
      <c r="D713" s="179"/>
      <c r="E713" s="145"/>
      <c r="F713" s="146"/>
      <c r="G713" s="146">
        <v>385</v>
      </c>
    </row>
    <row r="714" spans="1:7" ht="15" hidden="1" customHeight="1" outlineLevel="1">
      <c r="A714" s="115"/>
      <c r="B714" s="98" t="s">
        <v>680</v>
      </c>
      <c r="C714" s="99" t="s">
        <v>133</v>
      </c>
      <c r="D714" s="179"/>
      <c r="E714" s="145"/>
      <c r="F714" s="146"/>
      <c r="G714" s="146">
        <v>210</v>
      </c>
    </row>
    <row r="715" spans="1:7" ht="15" hidden="1" customHeight="1" outlineLevel="1">
      <c r="A715" s="115"/>
      <c r="B715" s="145" t="s">
        <v>681</v>
      </c>
      <c r="C715" s="99" t="s">
        <v>156</v>
      </c>
      <c r="D715" s="179"/>
      <c r="E715" s="145"/>
      <c r="F715" s="146"/>
      <c r="G715" s="146">
        <v>35</v>
      </c>
    </row>
    <row r="716" spans="1:7" ht="15" hidden="1" customHeight="1" outlineLevel="1">
      <c r="A716" s="115"/>
      <c r="B716" s="145" t="s">
        <v>682</v>
      </c>
      <c r="C716" s="99" t="s">
        <v>156</v>
      </c>
      <c r="D716" s="179"/>
      <c r="E716" s="145"/>
      <c r="F716" s="146"/>
      <c r="G716" s="146">
        <v>27</v>
      </c>
    </row>
    <row r="717" spans="1:7" ht="15" hidden="1" customHeight="1" outlineLevel="1">
      <c r="A717" s="115"/>
      <c r="B717" s="145" t="s">
        <v>683</v>
      </c>
      <c r="C717" s="99" t="s">
        <v>156</v>
      </c>
      <c r="D717" s="179"/>
      <c r="E717" s="145"/>
      <c r="F717" s="146"/>
      <c r="G717" s="146">
        <v>0</v>
      </c>
    </row>
    <row r="718" spans="1:7" ht="15" hidden="1" customHeight="1" outlineLevel="1">
      <c r="A718" s="115"/>
      <c r="B718" s="98" t="s">
        <v>684</v>
      </c>
      <c r="C718" s="99" t="s">
        <v>156</v>
      </c>
      <c r="D718" s="179"/>
      <c r="E718" s="145"/>
      <c r="F718" s="146"/>
      <c r="G718" s="146">
        <v>65</v>
      </c>
    </row>
    <row r="719" spans="1:7" ht="15" hidden="1" customHeight="1" outlineLevel="1">
      <c r="A719" s="115"/>
      <c r="B719" s="98" t="s">
        <v>685</v>
      </c>
      <c r="C719" s="99" t="s">
        <v>156</v>
      </c>
      <c r="D719" s="179"/>
      <c r="E719" s="145"/>
      <c r="F719" s="146"/>
      <c r="G719" s="146">
        <v>78</v>
      </c>
    </row>
    <row r="720" spans="1:7" ht="15" hidden="1" customHeight="1" outlineLevel="1">
      <c r="A720" s="115"/>
      <c r="B720" s="98" t="s">
        <v>686</v>
      </c>
      <c r="C720" s="99" t="s">
        <v>156</v>
      </c>
      <c r="D720" s="179"/>
      <c r="E720" s="145"/>
      <c r="F720" s="146"/>
      <c r="G720" s="146">
        <v>90</v>
      </c>
    </row>
    <row r="721" spans="1:7" ht="15" hidden="1" customHeight="1" outlineLevel="1">
      <c r="A721" s="115"/>
      <c r="B721" s="98" t="s">
        <v>687</v>
      </c>
      <c r="C721" s="99" t="s">
        <v>156</v>
      </c>
      <c r="D721" s="68"/>
      <c r="E721" s="135"/>
      <c r="F721" s="68"/>
      <c r="G721" s="68">
        <v>80</v>
      </c>
    </row>
    <row r="722" spans="1:7" ht="15" hidden="1" customHeight="1" outlineLevel="1">
      <c r="A722" s="115"/>
      <c r="B722" s="98" t="s">
        <v>688</v>
      </c>
      <c r="C722" s="99" t="s">
        <v>156</v>
      </c>
      <c r="D722" s="68"/>
      <c r="E722" s="135"/>
      <c r="F722" s="68"/>
      <c r="G722" s="68">
        <v>88</v>
      </c>
    </row>
    <row r="723" spans="1:7" ht="15" hidden="1" customHeight="1" outlineLevel="1">
      <c r="A723" s="115"/>
      <c r="B723" s="98" t="s">
        <v>689</v>
      </c>
      <c r="C723" s="99" t="s">
        <v>156</v>
      </c>
      <c r="D723" s="68"/>
      <c r="E723" s="135"/>
      <c r="F723" s="68"/>
      <c r="G723" s="68">
        <v>101</v>
      </c>
    </row>
    <row r="724" spans="1:7" ht="15" hidden="1" customHeight="1" outlineLevel="1">
      <c r="A724" s="115"/>
      <c r="B724" s="98"/>
      <c r="C724" s="99"/>
      <c r="D724" s="68"/>
      <c r="E724" s="135"/>
      <c r="F724" s="68"/>
      <c r="G724" s="68"/>
    </row>
    <row r="725" spans="1:7" ht="15" hidden="1" customHeight="1" outlineLevel="1">
      <c r="A725" s="115"/>
      <c r="B725" s="101"/>
      <c r="C725" s="99"/>
      <c r="D725" s="68"/>
      <c r="E725" s="135"/>
      <c r="F725" s="68"/>
      <c r="G725" s="68"/>
    </row>
    <row r="726" spans="1:7" ht="15" customHeight="1">
      <c r="A726" s="12" t="s">
        <v>650</v>
      </c>
      <c r="B726" s="12"/>
      <c r="C726" s="112"/>
      <c r="D726" s="68"/>
      <c r="E726" s="135"/>
      <c r="F726" s="68"/>
      <c r="G726" s="68"/>
    </row>
    <row r="727" spans="1:7" ht="15" hidden="1" customHeight="1" outlineLevel="1">
      <c r="A727" s="3045" t="s">
        <v>690</v>
      </c>
      <c r="B727" s="3045"/>
      <c r="C727" s="77" t="s">
        <v>208</v>
      </c>
      <c r="D727" s="78"/>
      <c r="E727" s="180"/>
      <c r="F727" s="78"/>
      <c r="G727" s="78" t="s">
        <v>691</v>
      </c>
    </row>
    <row r="728" spans="1:7" s="70" customFormat="1" ht="15" hidden="1" customHeight="1" outlineLevel="1">
      <c r="A728" s="175"/>
      <c r="B728" s="37" t="s">
        <v>692</v>
      </c>
      <c r="C728" s="38" t="s">
        <v>693</v>
      </c>
      <c r="D728" s="181"/>
      <c r="E728" s="182"/>
      <c r="F728" s="181"/>
      <c r="G728" s="40">
        <v>0</v>
      </c>
    </row>
    <row r="729" spans="1:7" ht="15" hidden="1" customHeight="1" outlineLevel="1">
      <c r="A729" s="115"/>
      <c r="B729" s="183" t="s">
        <v>694</v>
      </c>
      <c r="C729" s="184" t="s">
        <v>693</v>
      </c>
      <c r="D729" s="68"/>
      <c r="E729" s="135"/>
      <c r="F729" s="185"/>
      <c r="G729" s="68">
        <v>108</v>
      </c>
    </row>
    <row r="730" spans="1:7" ht="15" hidden="1" customHeight="1" outlineLevel="1">
      <c r="A730" s="115"/>
      <c r="B730" s="183" t="s">
        <v>695</v>
      </c>
      <c r="C730" s="184" t="s">
        <v>693</v>
      </c>
      <c r="D730" s="68"/>
      <c r="E730" s="135"/>
      <c r="F730" s="185"/>
      <c r="G730" s="68">
        <v>99</v>
      </c>
    </row>
    <row r="731" spans="1:7" ht="15" hidden="1" customHeight="1" outlineLevel="1">
      <c r="A731" s="115"/>
      <c r="B731" s="183" t="s">
        <v>696</v>
      </c>
      <c r="C731" s="184" t="s">
        <v>693</v>
      </c>
      <c r="D731" s="68"/>
      <c r="E731" s="135"/>
      <c r="F731" s="185"/>
      <c r="G731" s="68">
        <v>470</v>
      </c>
    </row>
    <row r="732" spans="1:7" ht="15" hidden="1" customHeight="1" outlineLevel="1">
      <c r="A732" s="115"/>
      <c r="B732" s="183" t="s">
        <v>697</v>
      </c>
      <c r="C732" s="184" t="s">
        <v>693</v>
      </c>
      <c r="D732" s="68"/>
      <c r="E732" s="135"/>
      <c r="F732" s="185"/>
      <c r="G732" s="68">
        <v>49</v>
      </c>
    </row>
    <row r="733" spans="1:7" ht="15" hidden="1" customHeight="1" outlineLevel="1">
      <c r="A733" s="115"/>
      <c r="B733" s="183" t="s">
        <v>697</v>
      </c>
      <c r="C733" s="184" t="s">
        <v>693</v>
      </c>
      <c r="D733" s="68"/>
      <c r="E733" s="135"/>
      <c r="F733" s="185"/>
      <c r="G733" s="68">
        <v>46</v>
      </c>
    </row>
    <row r="734" spans="1:7" ht="15" hidden="1" customHeight="1" outlineLevel="1">
      <c r="A734" s="115"/>
      <c r="B734" s="183" t="s">
        <v>698</v>
      </c>
      <c r="C734" s="184" t="s">
        <v>693</v>
      </c>
      <c r="D734" s="68"/>
      <c r="E734" s="135"/>
      <c r="F734" s="185"/>
      <c r="G734" s="68">
        <v>42</v>
      </c>
    </row>
    <row r="735" spans="1:7" ht="15" hidden="1" customHeight="1" outlineLevel="1">
      <c r="A735" s="115"/>
      <c r="B735" s="183" t="s">
        <v>699</v>
      </c>
      <c r="C735" s="184" t="s">
        <v>693</v>
      </c>
      <c r="D735" s="68"/>
      <c r="E735" s="135"/>
      <c r="F735" s="185"/>
      <c r="G735" s="68">
        <v>33</v>
      </c>
    </row>
    <row r="736" spans="1:7" ht="15" hidden="1" customHeight="1" outlineLevel="1">
      <c r="A736" s="115"/>
      <c r="B736" s="183" t="s">
        <v>700</v>
      </c>
      <c r="C736" s="184" t="s">
        <v>693</v>
      </c>
      <c r="D736" s="68"/>
      <c r="E736" s="135"/>
      <c r="F736" s="185"/>
      <c r="G736" s="68">
        <v>70</v>
      </c>
    </row>
    <row r="737" spans="1:9" ht="15" hidden="1" customHeight="1" outlineLevel="1">
      <c r="A737" s="115"/>
      <c r="B737" s="183" t="s">
        <v>701</v>
      </c>
      <c r="C737" s="184" t="s">
        <v>693</v>
      </c>
      <c r="D737" s="68"/>
      <c r="E737" s="135"/>
      <c r="F737" s="185"/>
      <c r="G737" s="68">
        <v>41</v>
      </c>
    </row>
    <row r="738" spans="1:9" ht="15" hidden="1" customHeight="1" outlineLevel="1">
      <c r="A738" s="115"/>
      <c r="B738" s="186"/>
      <c r="C738" s="184"/>
      <c r="D738" s="68"/>
      <c r="E738" s="135"/>
      <c r="F738" s="185"/>
      <c r="G738" s="68"/>
    </row>
    <row r="739" spans="1:9" ht="15" hidden="1" customHeight="1" outlineLevel="1">
      <c r="A739" s="115"/>
      <c r="B739" s="186"/>
      <c r="C739" s="184"/>
      <c r="D739" s="68"/>
      <c r="E739" s="135"/>
      <c r="F739" s="185"/>
      <c r="G739" s="68"/>
    </row>
    <row r="740" spans="1:9" ht="15" hidden="1" customHeight="1" outlineLevel="1">
      <c r="A740" s="115"/>
      <c r="B740" s="186"/>
      <c r="C740" s="184"/>
      <c r="D740" s="68"/>
      <c r="E740" s="135"/>
      <c r="F740" s="185"/>
      <c r="G740" s="68"/>
    </row>
    <row r="741" spans="1:9" ht="15" hidden="1" customHeight="1" outlineLevel="1">
      <c r="A741" s="115"/>
      <c r="B741" s="187"/>
      <c r="C741" s="184"/>
      <c r="D741" s="68"/>
      <c r="E741" s="135"/>
      <c r="F741" s="185"/>
      <c r="G741" s="68"/>
    </row>
    <row r="742" spans="1:9" ht="15" customHeight="1">
      <c r="A742" s="12" t="s">
        <v>690</v>
      </c>
      <c r="B742" s="12"/>
      <c r="C742" s="184"/>
      <c r="D742" s="68"/>
      <c r="E742" s="135"/>
      <c r="F742" s="185"/>
      <c r="G742" s="68"/>
    </row>
    <row r="743" spans="1:9" ht="15" hidden="1" customHeight="1" outlineLevel="1">
      <c r="A743" s="3046" t="s">
        <v>702</v>
      </c>
      <c r="B743" s="3046"/>
      <c r="C743" s="188" t="s">
        <v>208</v>
      </c>
      <c r="D743" s="189" t="s">
        <v>257</v>
      </c>
      <c r="E743" s="190"/>
      <c r="F743" s="191" t="s">
        <v>703</v>
      </c>
      <c r="G743" s="191" t="s">
        <v>132</v>
      </c>
      <c r="H743" s="85"/>
      <c r="I743" s="85"/>
    </row>
    <row r="744" spans="1:9" ht="15" hidden="1" customHeight="1" outlineLevel="1">
      <c r="A744" s="45"/>
      <c r="B744" s="192" t="s">
        <v>294</v>
      </c>
      <c r="C744" s="193" t="s">
        <v>135</v>
      </c>
      <c r="D744" s="127">
        <v>0</v>
      </c>
      <c r="E744" s="194"/>
      <c r="F744" s="195"/>
      <c r="G744" s="195">
        <v>0</v>
      </c>
      <c r="H744" s="85"/>
      <c r="I744" s="85"/>
    </row>
    <row r="745" spans="1:9" ht="15" hidden="1" customHeight="1" outlineLevel="1">
      <c r="A745" s="46"/>
      <c r="B745" s="192" t="s">
        <v>704</v>
      </c>
      <c r="C745" s="193" t="s">
        <v>135</v>
      </c>
      <c r="D745" s="127">
        <v>0.05</v>
      </c>
      <c r="E745" s="127"/>
      <c r="F745" s="195" t="s">
        <v>705</v>
      </c>
      <c r="G745" s="69">
        <v>1700</v>
      </c>
      <c r="H745" s="85"/>
      <c r="I745" s="85"/>
    </row>
    <row r="746" spans="1:9" ht="15" hidden="1" customHeight="1" outlineLevel="1">
      <c r="A746" s="46"/>
      <c r="B746" s="192" t="s">
        <v>706</v>
      </c>
      <c r="C746" s="193" t="s">
        <v>135</v>
      </c>
      <c r="D746" s="127">
        <v>0.1</v>
      </c>
      <c r="E746" s="127"/>
      <c r="F746" s="195" t="s">
        <v>705</v>
      </c>
      <c r="G746" s="69">
        <v>1700</v>
      </c>
      <c r="H746" s="85"/>
      <c r="I746" s="85"/>
    </row>
    <row r="747" spans="1:9" ht="15" hidden="1" customHeight="1" outlineLevel="1">
      <c r="A747" s="46"/>
      <c r="B747" s="192" t="s">
        <v>707</v>
      </c>
      <c r="C747" s="193" t="s">
        <v>135</v>
      </c>
      <c r="D747" s="127">
        <v>0.15</v>
      </c>
      <c r="E747" s="127"/>
      <c r="F747" s="195" t="s">
        <v>705</v>
      </c>
      <c r="G747" s="69">
        <v>1700</v>
      </c>
      <c r="H747" s="85"/>
      <c r="I747" s="85"/>
    </row>
    <row r="748" spans="1:9" ht="15" hidden="1" customHeight="1" outlineLevel="1">
      <c r="A748" s="46"/>
      <c r="B748" s="192" t="s">
        <v>708</v>
      </c>
      <c r="C748" s="193" t="s">
        <v>135</v>
      </c>
      <c r="D748" s="127">
        <v>0.2</v>
      </c>
      <c r="E748" s="127"/>
      <c r="F748" s="195" t="s">
        <v>705</v>
      </c>
      <c r="G748" s="69">
        <v>1700</v>
      </c>
      <c r="H748" s="85"/>
      <c r="I748" s="85"/>
    </row>
    <row r="749" spans="1:9" ht="15" hidden="1" customHeight="1" outlineLevel="1">
      <c r="A749" s="46"/>
      <c r="B749" s="192" t="s">
        <v>709</v>
      </c>
      <c r="C749" s="193" t="s">
        <v>135</v>
      </c>
      <c r="D749" s="127">
        <v>0.25</v>
      </c>
      <c r="E749" s="127"/>
      <c r="F749" s="195"/>
      <c r="G749" s="69">
        <v>1700</v>
      </c>
      <c r="H749" s="85"/>
      <c r="I749" s="85"/>
    </row>
    <row r="750" spans="1:9" ht="15" hidden="1" customHeight="1" outlineLevel="1">
      <c r="A750" s="46"/>
      <c r="B750" s="192" t="s">
        <v>710</v>
      </c>
      <c r="C750" s="193" t="s">
        <v>135</v>
      </c>
      <c r="D750" s="127">
        <v>0.3</v>
      </c>
      <c r="E750" s="127"/>
      <c r="F750" s="195"/>
      <c r="G750" s="69">
        <v>1700</v>
      </c>
      <c r="H750" s="85"/>
      <c r="I750" s="85"/>
    </row>
    <row r="751" spans="1:9" ht="15" hidden="1" customHeight="1" outlineLevel="1">
      <c r="A751" s="46"/>
      <c r="B751" s="192" t="s">
        <v>711</v>
      </c>
      <c r="C751" s="193" t="s">
        <v>135</v>
      </c>
      <c r="D751" s="127">
        <v>0.05</v>
      </c>
      <c r="E751" s="127"/>
      <c r="F751" s="195" t="s">
        <v>712</v>
      </c>
      <c r="G751" s="69">
        <v>2500</v>
      </c>
      <c r="H751" s="85"/>
      <c r="I751" s="85"/>
    </row>
    <row r="752" spans="1:9" ht="15" hidden="1" customHeight="1" outlineLevel="1">
      <c r="A752" s="46"/>
      <c r="B752" s="192" t="s">
        <v>713</v>
      </c>
      <c r="C752" s="193" t="s">
        <v>135</v>
      </c>
      <c r="D752" s="127">
        <v>0.1</v>
      </c>
      <c r="E752" s="127"/>
      <c r="F752" s="195" t="s">
        <v>712</v>
      </c>
      <c r="G752" s="69">
        <v>2500</v>
      </c>
      <c r="H752" s="85"/>
      <c r="I752" s="85"/>
    </row>
    <row r="753" spans="1:9" ht="15" hidden="1" customHeight="1" outlineLevel="1">
      <c r="A753" s="46"/>
      <c r="B753" s="192" t="s">
        <v>714</v>
      </c>
      <c r="C753" s="193" t="s">
        <v>135</v>
      </c>
      <c r="D753" s="127">
        <v>0.15</v>
      </c>
      <c r="E753" s="127"/>
      <c r="F753" s="195" t="s">
        <v>712</v>
      </c>
      <c r="G753" s="69">
        <v>2500</v>
      </c>
      <c r="H753" s="85"/>
      <c r="I753" s="85"/>
    </row>
    <row r="754" spans="1:9" ht="15" hidden="1" customHeight="1" outlineLevel="1">
      <c r="A754" s="46"/>
      <c r="B754" s="192" t="s">
        <v>715</v>
      </c>
      <c r="C754" s="193" t="s">
        <v>135</v>
      </c>
      <c r="D754" s="127">
        <v>0.2</v>
      </c>
      <c r="E754" s="127"/>
      <c r="F754" s="195" t="s">
        <v>712</v>
      </c>
      <c r="G754" s="69">
        <v>2500</v>
      </c>
      <c r="H754" s="85"/>
      <c r="I754" s="85"/>
    </row>
    <row r="755" spans="1:9" ht="15" hidden="1" customHeight="1" outlineLevel="1">
      <c r="A755" s="46"/>
      <c r="B755" s="192" t="s">
        <v>716</v>
      </c>
      <c r="C755" s="193" t="s">
        <v>135</v>
      </c>
      <c r="D755" s="127">
        <v>0.25</v>
      </c>
      <c r="E755" s="127"/>
      <c r="F755" s="195"/>
      <c r="G755" s="69">
        <v>2500</v>
      </c>
      <c r="H755" s="85"/>
      <c r="I755" s="85"/>
    </row>
    <row r="756" spans="1:9" ht="15" hidden="1" customHeight="1" outlineLevel="1">
      <c r="A756" s="46"/>
      <c r="B756" s="192" t="s">
        <v>717</v>
      </c>
      <c r="C756" s="193" t="s">
        <v>135</v>
      </c>
      <c r="D756" s="127">
        <v>0.3</v>
      </c>
      <c r="E756" s="127"/>
      <c r="F756" s="195"/>
      <c r="G756" s="69">
        <v>2500</v>
      </c>
      <c r="H756" s="85"/>
      <c r="I756" s="85"/>
    </row>
    <row r="757" spans="1:9" ht="15" hidden="1" customHeight="1" outlineLevel="1">
      <c r="A757" s="46"/>
      <c r="B757" s="196" t="s">
        <v>718</v>
      </c>
      <c r="C757" s="193" t="s">
        <v>135</v>
      </c>
      <c r="D757" s="127">
        <v>0.05</v>
      </c>
      <c r="E757" s="194"/>
      <c r="F757" s="195" t="s">
        <v>719</v>
      </c>
      <c r="G757" s="195">
        <v>1400</v>
      </c>
      <c r="H757" s="85"/>
      <c r="I757" s="85"/>
    </row>
    <row r="758" spans="1:9" ht="15" hidden="1" customHeight="1" outlineLevel="1">
      <c r="A758" s="46"/>
      <c r="B758" s="196" t="s">
        <v>720</v>
      </c>
      <c r="C758" s="193" t="s">
        <v>135</v>
      </c>
      <c r="D758" s="127">
        <v>0.1</v>
      </c>
      <c r="E758" s="194"/>
      <c r="F758" s="195" t="s">
        <v>719</v>
      </c>
      <c r="G758" s="195">
        <v>1400</v>
      </c>
      <c r="H758" s="85"/>
      <c r="I758" s="85"/>
    </row>
    <row r="759" spans="1:9" ht="15" hidden="1" customHeight="1" outlineLevel="1">
      <c r="A759" s="46"/>
      <c r="B759" s="196" t="s">
        <v>721</v>
      </c>
      <c r="C759" s="193" t="s">
        <v>135</v>
      </c>
      <c r="D759" s="127">
        <v>0.15</v>
      </c>
      <c r="E759" s="194"/>
      <c r="F759" s="195" t="s">
        <v>719</v>
      </c>
      <c r="G759" s="195">
        <v>1400</v>
      </c>
      <c r="H759" s="85"/>
      <c r="I759" s="85"/>
    </row>
    <row r="760" spans="1:9" ht="15" hidden="1" customHeight="1" outlineLevel="1">
      <c r="A760" s="46"/>
      <c r="B760" s="196" t="s">
        <v>722</v>
      </c>
      <c r="C760" s="193" t="s">
        <v>135</v>
      </c>
      <c r="D760" s="127">
        <v>0.2</v>
      </c>
      <c r="E760" s="194"/>
      <c r="F760" s="195" t="s">
        <v>719</v>
      </c>
      <c r="G760" s="195">
        <v>1400</v>
      </c>
      <c r="H760" s="85"/>
      <c r="I760" s="85"/>
    </row>
    <row r="761" spans="1:9" ht="15" hidden="1" customHeight="1" outlineLevel="1">
      <c r="A761" s="46"/>
      <c r="B761" s="196" t="s">
        <v>723</v>
      </c>
      <c r="C761" s="193" t="s">
        <v>135</v>
      </c>
      <c r="D761" s="127">
        <v>0.25</v>
      </c>
      <c r="E761" s="194"/>
      <c r="F761" s="195" t="s">
        <v>719</v>
      </c>
      <c r="G761" s="195">
        <v>1400</v>
      </c>
      <c r="H761" s="85"/>
      <c r="I761" s="85"/>
    </row>
    <row r="762" spans="1:9" ht="15" hidden="1" customHeight="1" outlineLevel="1">
      <c r="A762" s="46"/>
      <c r="B762" s="196" t="s">
        <v>724</v>
      </c>
      <c r="C762" s="193" t="s">
        <v>135</v>
      </c>
      <c r="D762" s="127">
        <v>0.3</v>
      </c>
      <c r="E762" s="194"/>
      <c r="F762" s="195" t="s">
        <v>719</v>
      </c>
      <c r="G762" s="195">
        <v>1400</v>
      </c>
      <c r="H762" s="85"/>
      <c r="I762" s="85"/>
    </row>
    <row r="763" spans="1:9" ht="15" hidden="1" customHeight="1" outlineLevel="1">
      <c r="A763" s="46"/>
      <c r="B763" s="196" t="s">
        <v>725</v>
      </c>
      <c r="C763" s="193" t="s">
        <v>135</v>
      </c>
      <c r="D763" s="127">
        <v>0.05</v>
      </c>
      <c r="E763" s="194"/>
      <c r="F763" s="195" t="s">
        <v>705</v>
      </c>
      <c r="G763" s="195">
        <v>2200</v>
      </c>
      <c r="H763" s="85"/>
      <c r="I763" s="85"/>
    </row>
    <row r="764" spans="1:9" ht="15" hidden="1" customHeight="1" outlineLevel="1">
      <c r="A764" s="46"/>
      <c r="B764" s="196" t="s">
        <v>726</v>
      </c>
      <c r="C764" s="193" t="s">
        <v>135</v>
      </c>
      <c r="D764" s="127">
        <v>0.1</v>
      </c>
      <c r="E764" s="194"/>
      <c r="F764" s="195" t="s">
        <v>705</v>
      </c>
      <c r="G764" s="195">
        <v>2200</v>
      </c>
      <c r="H764" s="85"/>
      <c r="I764" s="85"/>
    </row>
    <row r="765" spans="1:9" ht="15" hidden="1" customHeight="1" outlineLevel="1">
      <c r="A765" s="46"/>
      <c r="B765" s="196" t="s">
        <v>727</v>
      </c>
      <c r="C765" s="193" t="s">
        <v>135</v>
      </c>
      <c r="D765" s="127">
        <v>0.15</v>
      </c>
      <c r="E765" s="194"/>
      <c r="F765" s="195" t="s">
        <v>705</v>
      </c>
      <c r="G765" s="195">
        <v>2200</v>
      </c>
      <c r="H765" s="85"/>
      <c r="I765" s="85"/>
    </row>
    <row r="766" spans="1:9" ht="15" hidden="1" customHeight="1" outlineLevel="1">
      <c r="A766" s="46"/>
      <c r="B766" s="196" t="s">
        <v>728</v>
      </c>
      <c r="C766" s="193" t="s">
        <v>135</v>
      </c>
      <c r="D766" s="127">
        <v>0.2</v>
      </c>
      <c r="E766" s="194"/>
      <c r="F766" s="195" t="s">
        <v>705</v>
      </c>
      <c r="G766" s="195">
        <v>2200</v>
      </c>
      <c r="H766" s="85"/>
      <c r="I766" s="85"/>
    </row>
    <row r="767" spans="1:9" ht="15" hidden="1" customHeight="1" outlineLevel="1">
      <c r="A767" s="46"/>
      <c r="B767" s="196" t="s">
        <v>729</v>
      </c>
      <c r="C767" s="193" t="s">
        <v>135</v>
      </c>
      <c r="D767" s="127">
        <v>0.25</v>
      </c>
      <c r="E767" s="194"/>
      <c r="F767" s="195" t="s">
        <v>705</v>
      </c>
      <c r="G767" s="195">
        <v>2200</v>
      </c>
      <c r="H767" s="85"/>
      <c r="I767" s="85"/>
    </row>
    <row r="768" spans="1:9" ht="15" hidden="1" customHeight="1" outlineLevel="1">
      <c r="A768" s="46"/>
      <c r="B768" s="196" t="s">
        <v>730</v>
      </c>
      <c r="C768" s="193" t="s">
        <v>135</v>
      </c>
      <c r="D768" s="127">
        <v>0.3</v>
      </c>
      <c r="E768" s="194"/>
      <c r="F768" s="195" t="s">
        <v>705</v>
      </c>
      <c r="G768" s="195">
        <v>2200</v>
      </c>
      <c r="H768" s="85"/>
      <c r="I768" s="85"/>
    </row>
    <row r="769" spans="1:9" ht="15" hidden="1" customHeight="1" outlineLevel="1">
      <c r="A769" s="46"/>
      <c r="B769" s="196" t="s">
        <v>731</v>
      </c>
      <c r="C769" s="193" t="s">
        <v>135</v>
      </c>
      <c r="D769" s="127">
        <v>0.05</v>
      </c>
      <c r="E769" s="194"/>
      <c r="F769" s="195" t="s">
        <v>712</v>
      </c>
      <c r="G769" s="195">
        <v>3400</v>
      </c>
      <c r="H769" s="85"/>
      <c r="I769" s="85"/>
    </row>
    <row r="770" spans="1:9" ht="15" hidden="1" customHeight="1" outlineLevel="1">
      <c r="A770" s="46"/>
      <c r="B770" s="196" t="s">
        <v>732</v>
      </c>
      <c r="C770" s="193" t="s">
        <v>135</v>
      </c>
      <c r="D770" s="127">
        <v>0.1</v>
      </c>
      <c r="E770" s="194"/>
      <c r="F770" s="195" t="s">
        <v>712</v>
      </c>
      <c r="G770" s="195">
        <v>3400</v>
      </c>
      <c r="H770" s="85"/>
      <c r="I770" s="85"/>
    </row>
    <row r="771" spans="1:9" ht="15" hidden="1" customHeight="1" outlineLevel="1">
      <c r="A771" s="46"/>
      <c r="B771" s="196" t="s">
        <v>733</v>
      </c>
      <c r="C771" s="193" t="s">
        <v>135</v>
      </c>
      <c r="D771" s="127">
        <v>0.15</v>
      </c>
      <c r="E771" s="194"/>
      <c r="F771" s="195" t="s">
        <v>712</v>
      </c>
      <c r="G771" s="195">
        <v>3400</v>
      </c>
      <c r="H771" s="85"/>
    </row>
    <row r="772" spans="1:9" ht="15" hidden="1" customHeight="1" outlineLevel="1">
      <c r="A772" s="46"/>
      <c r="B772" s="196" t="s">
        <v>734</v>
      </c>
      <c r="C772" s="193" t="s">
        <v>135</v>
      </c>
      <c r="D772" s="127">
        <v>0.2</v>
      </c>
      <c r="E772" s="194"/>
      <c r="F772" s="195" t="s">
        <v>712</v>
      </c>
      <c r="G772" s="195">
        <v>3400</v>
      </c>
      <c r="H772" s="85"/>
    </row>
    <row r="773" spans="1:9" ht="15" hidden="1" customHeight="1" outlineLevel="1">
      <c r="A773" s="46"/>
      <c r="B773" s="196" t="s">
        <v>735</v>
      </c>
      <c r="C773" s="193" t="s">
        <v>135</v>
      </c>
      <c r="D773" s="127">
        <v>0.25</v>
      </c>
      <c r="E773" s="194"/>
      <c r="F773" s="195" t="s">
        <v>712</v>
      </c>
      <c r="G773" s="195">
        <v>3400</v>
      </c>
      <c r="H773" s="85"/>
    </row>
    <row r="774" spans="1:9" ht="15" hidden="1" customHeight="1" outlineLevel="1">
      <c r="A774" s="46"/>
      <c r="B774" s="196" t="s">
        <v>736</v>
      </c>
      <c r="C774" s="193" t="s">
        <v>135</v>
      </c>
      <c r="D774" s="127">
        <v>0.3</v>
      </c>
      <c r="E774" s="194"/>
      <c r="F774" s="195" t="s">
        <v>712</v>
      </c>
      <c r="G774" s="195">
        <v>3400</v>
      </c>
      <c r="H774" s="85"/>
    </row>
    <row r="775" spans="1:9" ht="15" hidden="1" customHeight="1" outlineLevel="1">
      <c r="A775" s="46"/>
      <c r="B775" s="192" t="s">
        <v>737</v>
      </c>
      <c r="C775" s="193" t="s">
        <v>135</v>
      </c>
      <c r="D775" s="127">
        <v>0.05</v>
      </c>
      <c r="E775" s="127"/>
      <c r="F775" s="195" t="s">
        <v>712</v>
      </c>
      <c r="G775" s="69">
        <v>5000</v>
      </c>
      <c r="H775" s="85"/>
    </row>
    <row r="776" spans="1:9" ht="15" hidden="1" customHeight="1" outlineLevel="1">
      <c r="A776" s="46"/>
      <c r="B776" s="192" t="s">
        <v>738</v>
      </c>
      <c r="C776" s="193" t="s">
        <v>135</v>
      </c>
      <c r="D776" s="127">
        <v>0.1</v>
      </c>
      <c r="E776" s="127"/>
      <c r="F776" s="195" t="s">
        <v>712</v>
      </c>
      <c r="G776" s="69">
        <v>5000</v>
      </c>
      <c r="H776" s="85"/>
    </row>
    <row r="777" spans="1:9" ht="15" hidden="1" customHeight="1" outlineLevel="1">
      <c r="A777" s="46"/>
      <c r="B777" s="192" t="s">
        <v>739</v>
      </c>
      <c r="C777" s="193" t="s">
        <v>135</v>
      </c>
      <c r="D777" s="127">
        <v>0.15</v>
      </c>
      <c r="E777" s="127"/>
      <c r="F777" s="195" t="s">
        <v>712</v>
      </c>
      <c r="G777" s="69">
        <v>5000</v>
      </c>
      <c r="H777" s="85"/>
    </row>
    <row r="778" spans="1:9" ht="15" hidden="1" customHeight="1" outlineLevel="1">
      <c r="A778" s="46"/>
      <c r="B778" s="192" t="s">
        <v>740</v>
      </c>
      <c r="C778" s="193" t="s">
        <v>135</v>
      </c>
      <c r="D778" s="127">
        <v>0.2</v>
      </c>
      <c r="E778" s="127"/>
      <c r="F778" s="195" t="s">
        <v>712</v>
      </c>
      <c r="G778" s="69">
        <v>5000</v>
      </c>
      <c r="H778" s="85"/>
    </row>
    <row r="779" spans="1:9" ht="15" hidden="1" customHeight="1" outlineLevel="1">
      <c r="A779" s="46"/>
      <c r="B779" s="192" t="s">
        <v>741</v>
      </c>
      <c r="C779" s="193" t="s">
        <v>135</v>
      </c>
      <c r="D779" s="127">
        <v>0.05</v>
      </c>
      <c r="E779" s="127"/>
      <c r="F779" s="195" t="s">
        <v>705</v>
      </c>
      <c r="G779" s="69">
        <v>5000</v>
      </c>
      <c r="H779" s="85"/>
    </row>
    <row r="780" spans="1:9" ht="15" hidden="1" customHeight="1" outlineLevel="1">
      <c r="A780" s="46"/>
      <c r="B780" s="192" t="s">
        <v>742</v>
      </c>
      <c r="C780" s="193" t="s">
        <v>135</v>
      </c>
      <c r="D780" s="127">
        <v>0.1</v>
      </c>
      <c r="E780" s="127"/>
      <c r="F780" s="195" t="s">
        <v>705</v>
      </c>
      <c r="G780" s="69">
        <v>5000</v>
      </c>
      <c r="H780" s="85"/>
    </row>
    <row r="781" spans="1:9" ht="15" hidden="1" customHeight="1" outlineLevel="1">
      <c r="A781" s="46"/>
      <c r="B781" s="192" t="s">
        <v>743</v>
      </c>
      <c r="C781" s="193" t="s">
        <v>135</v>
      </c>
      <c r="D781" s="127">
        <v>0.15</v>
      </c>
      <c r="E781" s="127"/>
      <c r="F781" s="195" t="s">
        <v>705</v>
      </c>
      <c r="G781" s="69">
        <v>5000</v>
      </c>
      <c r="H781" s="85"/>
    </row>
    <row r="782" spans="1:9" ht="15" hidden="1" customHeight="1" outlineLevel="1">
      <c r="A782" s="46"/>
      <c r="B782" s="192" t="s">
        <v>744</v>
      </c>
      <c r="C782" s="193" t="s">
        <v>135</v>
      </c>
      <c r="D782" s="127">
        <v>0.2</v>
      </c>
      <c r="E782" s="127"/>
      <c r="F782" s="195" t="s">
        <v>705</v>
      </c>
      <c r="G782" s="69">
        <v>5000</v>
      </c>
      <c r="H782" s="85"/>
    </row>
    <row r="783" spans="1:9" ht="15" hidden="1" customHeight="1" outlineLevel="1">
      <c r="A783" s="46"/>
      <c r="B783" s="192" t="s">
        <v>745</v>
      </c>
      <c r="C783" s="193" t="s">
        <v>159</v>
      </c>
      <c r="D783" s="127"/>
      <c r="E783" s="127"/>
      <c r="F783" s="195"/>
      <c r="G783" s="69">
        <v>15</v>
      </c>
      <c r="H783" s="85"/>
    </row>
    <row r="784" spans="1:9" ht="15" hidden="1" customHeight="1" outlineLevel="1">
      <c r="A784" s="46"/>
      <c r="B784" s="192"/>
      <c r="C784" s="193"/>
      <c r="D784" s="127"/>
      <c r="E784" s="127"/>
      <c r="F784" s="195"/>
      <c r="G784" s="69"/>
      <c r="H784" s="85"/>
    </row>
    <row r="785" spans="1:8" ht="15" hidden="1" customHeight="1" outlineLevel="1">
      <c r="A785" s="46"/>
      <c r="B785" s="197"/>
      <c r="C785" s="193"/>
      <c r="D785" s="127"/>
      <c r="E785" s="127"/>
      <c r="F785" s="195"/>
      <c r="G785" s="69"/>
      <c r="H785" s="85"/>
    </row>
    <row r="786" spans="1:8" ht="15" customHeight="1">
      <c r="A786" s="12" t="s">
        <v>702</v>
      </c>
      <c r="B786" s="12"/>
      <c r="C786" s="193"/>
      <c r="D786" s="127"/>
      <c r="E786" s="127"/>
      <c r="F786" s="195"/>
      <c r="G786" s="69"/>
      <c r="H786" s="85"/>
    </row>
    <row r="787" spans="1:8" ht="15" hidden="1" customHeight="1" outlineLevel="1">
      <c r="A787" s="3047" t="s">
        <v>746</v>
      </c>
      <c r="B787" s="3047"/>
      <c r="C787" s="77" t="s">
        <v>208</v>
      </c>
      <c r="D787" s="78"/>
      <c r="E787" s="78"/>
      <c r="F787" s="53" t="s">
        <v>747</v>
      </c>
      <c r="G787" s="78" t="s">
        <v>57</v>
      </c>
      <c r="H787" s="85"/>
    </row>
    <row r="788" spans="1:8" ht="15" hidden="1" customHeight="1" outlineLevel="1">
      <c r="A788" s="45"/>
      <c r="B788" s="98" t="s">
        <v>748</v>
      </c>
      <c r="C788" s="99" t="s">
        <v>133</v>
      </c>
      <c r="D788" s="127"/>
      <c r="E788" s="127"/>
      <c r="F788" s="195"/>
      <c r="G788" s="69">
        <v>70</v>
      </c>
      <c r="H788" s="85"/>
    </row>
    <row r="789" spans="1:8" ht="15" hidden="1" customHeight="1" outlineLevel="1">
      <c r="A789" s="46"/>
      <c r="B789" s="98" t="s">
        <v>749</v>
      </c>
      <c r="C789" s="99" t="s">
        <v>396</v>
      </c>
      <c r="D789" s="127"/>
      <c r="E789" s="127"/>
      <c r="F789" s="195"/>
      <c r="G789" s="69">
        <v>60</v>
      </c>
      <c r="H789" s="85"/>
    </row>
    <row r="790" spans="1:8" ht="15" hidden="1" customHeight="1" outlineLevel="1">
      <c r="A790" s="46"/>
      <c r="B790" s="98" t="s">
        <v>750</v>
      </c>
      <c r="C790" s="99" t="s">
        <v>133</v>
      </c>
      <c r="D790" s="127"/>
      <c r="E790" s="127"/>
      <c r="F790" s="195"/>
      <c r="G790" s="69">
        <v>30</v>
      </c>
      <c r="H790" s="85"/>
    </row>
    <row r="791" spans="1:8" ht="15" hidden="1" customHeight="1" outlineLevel="1">
      <c r="A791" s="46"/>
      <c r="B791" s="98" t="s">
        <v>751</v>
      </c>
      <c r="C791" s="99" t="s">
        <v>133</v>
      </c>
      <c r="D791" s="127"/>
      <c r="E791" s="127"/>
      <c r="F791" s="195"/>
      <c r="G791" s="69">
        <v>100</v>
      </c>
      <c r="H791" s="85"/>
    </row>
    <row r="792" spans="1:8" ht="15" hidden="1" customHeight="1" outlineLevel="1">
      <c r="A792" s="46"/>
      <c r="B792" s="98" t="s">
        <v>752</v>
      </c>
      <c r="C792" s="99" t="s">
        <v>133</v>
      </c>
      <c r="D792" s="127"/>
      <c r="E792" s="127"/>
      <c r="F792" s="195"/>
      <c r="G792" s="69">
        <v>15</v>
      </c>
      <c r="H792" s="85"/>
    </row>
    <row r="793" spans="1:8" ht="15" hidden="1" customHeight="1" outlineLevel="1">
      <c r="A793" s="46"/>
      <c r="B793" s="98" t="s">
        <v>753</v>
      </c>
      <c r="C793" s="99" t="s">
        <v>133</v>
      </c>
      <c r="D793" s="127"/>
      <c r="E793" s="127"/>
      <c r="F793" s="195"/>
      <c r="G793" s="69">
        <v>0</v>
      </c>
      <c r="H793" s="85"/>
    </row>
    <row r="794" spans="1:8" ht="15" hidden="1" customHeight="1" outlineLevel="1">
      <c r="A794" s="46"/>
      <c r="B794" s="17" t="s">
        <v>754</v>
      </c>
      <c r="C794" s="99" t="s">
        <v>133</v>
      </c>
      <c r="D794" s="3048" t="s">
        <v>755</v>
      </c>
      <c r="E794" s="17" t="s">
        <v>756</v>
      </c>
      <c r="F794" s="142">
        <v>1500</v>
      </c>
      <c r="G794" s="142">
        <f t="shared" ref="G794:G810" si="10">CEILING(F794/75,1)</f>
        <v>20</v>
      </c>
      <c r="H794" s="85"/>
    </row>
    <row r="795" spans="1:8" ht="15" hidden="1" customHeight="1" outlineLevel="1">
      <c r="A795" s="46"/>
      <c r="B795" s="17" t="s">
        <v>757</v>
      </c>
      <c r="C795" s="99" t="s">
        <v>133</v>
      </c>
      <c r="D795" s="3048"/>
      <c r="E795" s="17" t="s">
        <v>756</v>
      </c>
      <c r="F795" s="142">
        <v>1800</v>
      </c>
      <c r="G795" s="142">
        <f t="shared" si="10"/>
        <v>24</v>
      </c>
      <c r="H795" s="85"/>
    </row>
    <row r="796" spans="1:8" ht="15" hidden="1" customHeight="1" outlineLevel="1">
      <c r="A796" s="46"/>
      <c r="B796" s="17" t="s">
        <v>758</v>
      </c>
      <c r="C796" s="99" t="s">
        <v>133</v>
      </c>
      <c r="D796" s="3048"/>
      <c r="E796" s="17" t="s">
        <v>756</v>
      </c>
      <c r="F796" s="142">
        <v>2500</v>
      </c>
      <c r="G796" s="142">
        <f t="shared" si="10"/>
        <v>34</v>
      </c>
      <c r="H796" s="85"/>
    </row>
    <row r="797" spans="1:8" ht="15" hidden="1" customHeight="1" outlineLevel="1">
      <c r="A797" s="46"/>
      <c r="B797" s="17" t="s">
        <v>759</v>
      </c>
      <c r="C797" s="99" t="s">
        <v>133</v>
      </c>
      <c r="D797" s="3048"/>
      <c r="E797" s="17" t="s">
        <v>756</v>
      </c>
      <c r="F797" s="142">
        <v>6400</v>
      </c>
      <c r="G797" s="142">
        <f t="shared" si="10"/>
        <v>86</v>
      </c>
      <c r="H797" s="85"/>
    </row>
    <row r="798" spans="1:8" ht="15" hidden="1" customHeight="1" outlineLevel="1">
      <c r="A798" s="46"/>
      <c r="B798" s="17" t="s">
        <v>760</v>
      </c>
      <c r="C798" s="99" t="s">
        <v>133</v>
      </c>
      <c r="D798" s="3048"/>
      <c r="E798" s="17" t="s">
        <v>756</v>
      </c>
      <c r="F798" s="142">
        <v>6700</v>
      </c>
      <c r="G798" s="142">
        <f t="shared" si="10"/>
        <v>90</v>
      </c>
      <c r="H798" s="85"/>
    </row>
    <row r="799" spans="1:8" ht="15" hidden="1" customHeight="1" outlineLevel="1">
      <c r="A799" s="46"/>
      <c r="B799" s="17" t="s">
        <v>761</v>
      </c>
      <c r="C799" s="99" t="s">
        <v>133</v>
      </c>
      <c r="D799" s="3048"/>
      <c r="E799" s="17" t="s">
        <v>756</v>
      </c>
      <c r="F799" s="142">
        <v>10500</v>
      </c>
      <c r="G799" s="142">
        <f t="shared" si="10"/>
        <v>140</v>
      </c>
      <c r="H799" s="85"/>
    </row>
    <row r="800" spans="1:8" ht="15" hidden="1" customHeight="1" outlineLevel="1">
      <c r="A800" s="46"/>
      <c r="B800" s="17" t="s">
        <v>762</v>
      </c>
      <c r="C800" s="99" t="s">
        <v>133</v>
      </c>
      <c r="D800" s="3048"/>
      <c r="E800" s="17" t="s">
        <v>756</v>
      </c>
      <c r="F800" s="142">
        <v>7400</v>
      </c>
      <c r="G800" s="142">
        <f t="shared" si="10"/>
        <v>99</v>
      </c>
      <c r="H800" s="85"/>
    </row>
    <row r="801" spans="1:8" ht="15" hidden="1" customHeight="1" outlineLevel="1">
      <c r="A801" s="46"/>
      <c r="B801" s="17" t="s">
        <v>763</v>
      </c>
      <c r="C801" s="99" t="s">
        <v>133</v>
      </c>
      <c r="D801" s="3048" t="s">
        <v>755</v>
      </c>
      <c r="E801" s="17" t="s">
        <v>756</v>
      </c>
      <c r="F801" s="142">
        <v>15000</v>
      </c>
      <c r="G801" s="142">
        <f t="shared" si="10"/>
        <v>200</v>
      </c>
      <c r="H801" s="85"/>
    </row>
    <row r="802" spans="1:8" ht="15" hidden="1" customHeight="1" outlineLevel="1">
      <c r="A802" s="46"/>
      <c r="B802" s="17" t="s">
        <v>764</v>
      </c>
      <c r="C802" s="99" t="s">
        <v>133</v>
      </c>
      <c r="D802" s="3048"/>
      <c r="E802" s="17" t="s">
        <v>756</v>
      </c>
      <c r="F802" s="142">
        <v>7900</v>
      </c>
      <c r="G802" s="142">
        <f t="shared" si="10"/>
        <v>106</v>
      </c>
      <c r="H802" s="85"/>
    </row>
    <row r="803" spans="1:8" ht="15" hidden="1" customHeight="1" outlineLevel="1">
      <c r="A803" s="46"/>
      <c r="B803" s="17" t="s">
        <v>765</v>
      </c>
      <c r="C803" s="99" t="s">
        <v>133</v>
      </c>
      <c r="D803" s="3048"/>
      <c r="E803" s="17" t="s">
        <v>756</v>
      </c>
      <c r="F803" s="142">
        <v>10100</v>
      </c>
      <c r="G803" s="142">
        <f t="shared" si="10"/>
        <v>135</v>
      </c>
      <c r="H803" s="85"/>
    </row>
    <row r="804" spans="1:8" ht="15" hidden="1" customHeight="1" outlineLevel="1">
      <c r="A804" s="46"/>
      <c r="B804" s="17" t="s">
        <v>766</v>
      </c>
      <c r="C804" s="99" t="s">
        <v>133</v>
      </c>
      <c r="D804" s="3048"/>
      <c r="E804" s="17" t="s">
        <v>756</v>
      </c>
      <c r="F804" s="142">
        <v>15300</v>
      </c>
      <c r="G804" s="142">
        <f t="shared" si="10"/>
        <v>204</v>
      </c>
      <c r="H804" s="85"/>
    </row>
    <row r="805" spans="1:8" ht="15" hidden="1" customHeight="1" outlineLevel="1">
      <c r="A805" s="46"/>
      <c r="B805" s="17" t="s">
        <v>767</v>
      </c>
      <c r="C805" s="99" t="s">
        <v>133</v>
      </c>
      <c r="D805" s="3048"/>
      <c r="E805" s="17" t="s">
        <v>756</v>
      </c>
      <c r="F805" s="142">
        <v>17800</v>
      </c>
      <c r="G805" s="142">
        <f t="shared" si="10"/>
        <v>238</v>
      </c>
      <c r="H805" s="85"/>
    </row>
    <row r="806" spans="1:8" ht="15" hidden="1" customHeight="1" outlineLevel="1">
      <c r="A806" s="46"/>
      <c r="B806" s="17" t="s">
        <v>768</v>
      </c>
      <c r="C806" s="99" t="s">
        <v>133</v>
      </c>
      <c r="D806" s="3048"/>
      <c r="E806" s="17" t="s">
        <v>769</v>
      </c>
      <c r="F806" s="146">
        <v>1400</v>
      </c>
      <c r="G806" s="142">
        <f t="shared" si="10"/>
        <v>19</v>
      </c>
      <c r="H806" s="85"/>
    </row>
    <row r="807" spans="1:8" ht="15" hidden="1" customHeight="1" outlineLevel="1">
      <c r="A807" s="46"/>
      <c r="B807" s="17" t="s">
        <v>770</v>
      </c>
      <c r="C807" s="99" t="s">
        <v>133</v>
      </c>
      <c r="D807" s="3048"/>
      <c r="E807" s="17" t="s">
        <v>769</v>
      </c>
      <c r="F807" s="146">
        <v>1400</v>
      </c>
      <c r="G807" s="142">
        <f t="shared" si="10"/>
        <v>19</v>
      </c>
      <c r="H807" s="85"/>
    </row>
    <row r="808" spans="1:8" ht="15" hidden="1" customHeight="1" outlineLevel="1">
      <c r="A808" s="46"/>
      <c r="B808" s="198" t="s">
        <v>771</v>
      </c>
      <c r="C808" s="99" t="s">
        <v>133</v>
      </c>
      <c r="D808" s="3048"/>
      <c r="E808" s="17" t="s">
        <v>772</v>
      </c>
      <c r="F808" s="146">
        <v>1450</v>
      </c>
      <c r="G808" s="142">
        <f t="shared" si="10"/>
        <v>20</v>
      </c>
      <c r="H808" s="85"/>
    </row>
    <row r="809" spans="1:8" ht="15" hidden="1" customHeight="1" outlineLevel="1">
      <c r="A809" s="46"/>
      <c r="B809" s="17" t="s">
        <v>773</v>
      </c>
      <c r="C809" s="99" t="s">
        <v>133</v>
      </c>
      <c r="D809" s="3048"/>
      <c r="E809" s="17" t="s">
        <v>774</v>
      </c>
      <c r="F809" s="142">
        <v>1870</v>
      </c>
      <c r="G809" s="142">
        <f t="shared" si="10"/>
        <v>25</v>
      </c>
      <c r="H809" s="85"/>
    </row>
    <row r="810" spans="1:8" ht="15" hidden="1" customHeight="1" outlineLevel="1">
      <c r="A810" s="46"/>
      <c r="B810" s="17" t="s">
        <v>775</v>
      </c>
      <c r="C810" s="99" t="s">
        <v>133</v>
      </c>
      <c r="D810" s="3048"/>
      <c r="E810" s="17" t="s">
        <v>774</v>
      </c>
      <c r="F810" s="142">
        <v>5300</v>
      </c>
      <c r="G810" s="142">
        <f t="shared" si="10"/>
        <v>71</v>
      </c>
      <c r="H810" s="85"/>
    </row>
    <row r="811" spans="1:8" ht="15" hidden="1" customHeight="1" outlineLevel="1">
      <c r="A811" s="46"/>
      <c r="B811" s="121" t="s">
        <v>776</v>
      </c>
      <c r="C811" s="104" t="s">
        <v>133</v>
      </c>
      <c r="D811" s="3048" t="s">
        <v>755</v>
      </c>
      <c r="E811" s="121">
        <v>3.24</v>
      </c>
      <c r="F811" s="199">
        <v>528</v>
      </c>
      <c r="G811" s="40">
        <f t="shared" ref="G811:G819" si="11">F811/E811</f>
        <v>162.96296296296296</v>
      </c>
      <c r="H811" s="85"/>
    </row>
    <row r="812" spans="1:8" ht="15" hidden="1" customHeight="1" outlineLevel="1">
      <c r="A812" s="46"/>
      <c r="B812" s="121" t="s">
        <v>777</v>
      </c>
      <c r="C812" s="104" t="s">
        <v>133</v>
      </c>
      <c r="D812" s="3048"/>
      <c r="E812" s="121">
        <v>3.24</v>
      </c>
      <c r="F812" s="199">
        <v>608</v>
      </c>
      <c r="G812" s="40">
        <f t="shared" si="11"/>
        <v>187.6543209876543</v>
      </c>
      <c r="H812" s="85"/>
    </row>
    <row r="813" spans="1:8" ht="15" hidden="1" customHeight="1" outlineLevel="1">
      <c r="A813" s="46"/>
      <c r="B813" s="121" t="s">
        <v>778</v>
      </c>
      <c r="C813" s="104" t="s">
        <v>133</v>
      </c>
      <c r="D813" s="3048"/>
      <c r="E813" s="121">
        <v>3.24</v>
      </c>
      <c r="F813" s="199">
        <v>1258</v>
      </c>
      <c r="G813" s="40">
        <f t="shared" si="11"/>
        <v>388.27160493827159</v>
      </c>
      <c r="H813" s="85"/>
    </row>
    <row r="814" spans="1:8" ht="15" hidden="1" customHeight="1" outlineLevel="1">
      <c r="A814" s="46"/>
      <c r="B814" s="121" t="s">
        <v>779</v>
      </c>
      <c r="C814" s="104" t="s">
        <v>133</v>
      </c>
      <c r="D814" s="3048"/>
      <c r="E814" s="121">
        <v>3.24</v>
      </c>
      <c r="F814" s="199">
        <v>718</v>
      </c>
      <c r="G814" s="40">
        <f t="shared" si="11"/>
        <v>221.60493827160494</v>
      </c>
      <c r="H814" s="85"/>
    </row>
    <row r="815" spans="1:8" ht="15" hidden="1" customHeight="1" outlineLevel="1">
      <c r="A815" s="46"/>
      <c r="B815" s="121" t="s">
        <v>780</v>
      </c>
      <c r="C815" s="104" t="s">
        <v>133</v>
      </c>
      <c r="D815" s="3048"/>
      <c r="E815" s="121">
        <v>3.24</v>
      </c>
      <c r="F815" s="200">
        <v>1488</v>
      </c>
      <c r="G815" s="40">
        <f t="shared" si="11"/>
        <v>459.25925925925924</v>
      </c>
      <c r="H815" s="85"/>
    </row>
    <row r="816" spans="1:8" ht="15" hidden="1" customHeight="1" outlineLevel="1">
      <c r="A816" s="46"/>
      <c r="B816" s="121" t="s">
        <v>781</v>
      </c>
      <c r="C816" s="104" t="s">
        <v>133</v>
      </c>
      <c r="D816" s="3048"/>
      <c r="E816" s="121">
        <v>1.92</v>
      </c>
      <c r="F816" s="199">
        <v>800</v>
      </c>
      <c r="G816" s="40">
        <f t="shared" si="11"/>
        <v>416.66666666666669</v>
      </c>
      <c r="H816" s="85"/>
    </row>
    <row r="817" spans="1:8" ht="15" hidden="1" customHeight="1" outlineLevel="1">
      <c r="A817" s="46"/>
      <c r="B817" s="121" t="s">
        <v>782</v>
      </c>
      <c r="C817" s="104" t="s">
        <v>133</v>
      </c>
      <c r="D817" s="3048"/>
      <c r="E817" s="121">
        <v>1.08</v>
      </c>
      <c r="F817" s="199">
        <v>655</v>
      </c>
      <c r="G817" s="40">
        <f t="shared" si="11"/>
        <v>606.48148148148141</v>
      </c>
      <c r="H817" s="85"/>
    </row>
    <row r="818" spans="1:8" ht="15" hidden="1" customHeight="1" outlineLevel="1">
      <c r="A818" s="46"/>
      <c r="B818" s="121" t="s">
        <v>783</v>
      </c>
      <c r="C818" s="104" t="s">
        <v>133</v>
      </c>
      <c r="D818" s="3048"/>
      <c r="E818" s="121">
        <v>1.08</v>
      </c>
      <c r="F818" s="199">
        <v>980</v>
      </c>
      <c r="G818" s="40">
        <f t="shared" si="11"/>
        <v>907.40740740740739</v>
      </c>
      <c r="H818" s="85"/>
    </row>
    <row r="819" spans="1:8" ht="15" hidden="1" customHeight="1" outlineLevel="1">
      <c r="A819" s="46"/>
      <c r="B819" s="121" t="s">
        <v>784</v>
      </c>
      <c r="C819" s="104" t="s">
        <v>133</v>
      </c>
      <c r="D819" s="3048"/>
      <c r="E819" s="121">
        <v>1.08</v>
      </c>
      <c r="F819" s="199">
        <v>1215</v>
      </c>
      <c r="G819" s="40">
        <f t="shared" si="11"/>
        <v>1125</v>
      </c>
      <c r="H819" s="85"/>
    </row>
    <row r="820" spans="1:8" ht="15" hidden="1" customHeight="1" outlineLevel="1">
      <c r="A820" s="46"/>
      <c r="B820" s="98" t="s">
        <v>785</v>
      </c>
      <c r="C820" s="99" t="s">
        <v>133</v>
      </c>
      <c r="D820" s="3048" t="s">
        <v>755</v>
      </c>
      <c r="E820" s="127"/>
      <c r="F820" s="195"/>
      <c r="G820" s="69">
        <v>0</v>
      </c>
      <c r="H820" s="85"/>
    </row>
    <row r="821" spans="1:8" ht="15" hidden="1" customHeight="1" outlineLevel="1">
      <c r="A821" s="46"/>
      <c r="B821" s="17" t="s">
        <v>786</v>
      </c>
      <c r="C821" s="99" t="s">
        <v>133</v>
      </c>
      <c r="D821" s="3048"/>
      <c r="E821" s="17" t="s">
        <v>756</v>
      </c>
      <c r="F821" s="142">
        <v>1450</v>
      </c>
      <c r="G821" s="142">
        <f t="shared" ref="G821:G831" si="12">CEILING(F821/75,1)</f>
        <v>20</v>
      </c>
      <c r="H821" s="85"/>
    </row>
    <row r="822" spans="1:8" ht="15" hidden="1" customHeight="1" outlineLevel="1">
      <c r="A822" s="46"/>
      <c r="B822" s="17" t="s">
        <v>787</v>
      </c>
      <c r="C822" s="99" t="s">
        <v>133</v>
      </c>
      <c r="D822" s="3048"/>
      <c r="E822" s="17" t="s">
        <v>756</v>
      </c>
      <c r="F822" s="142">
        <v>1790</v>
      </c>
      <c r="G822" s="142">
        <f t="shared" si="12"/>
        <v>24</v>
      </c>
      <c r="H822" s="85"/>
    </row>
    <row r="823" spans="1:8" ht="15" hidden="1" customHeight="1" outlineLevel="1">
      <c r="A823" s="46"/>
      <c r="B823" s="17" t="s">
        <v>788</v>
      </c>
      <c r="C823" s="99" t="s">
        <v>133</v>
      </c>
      <c r="D823" s="3048"/>
      <c r="E823" s="17" t="s">
        <v>756</v>
      </c>
      <c r="F823" s="142">
        <v>13000</v>
      </c>
      <c r="G823" s="142">
        <f t="shared" si="12"/>
        <v>174</v>
      </c>
      <c r="H823" s="85"/>
    </row>
    <row r="824" spans="1:8" ht="15" hidden="1" customHeight="1" outlineLevel="1">
      <c r="A824" s="46"/>
      <c r="B824" s="17" t="s">
        <v>789</v>
      </c>
      <c r="C824" s="99" t="s">
        <v>133</v>
      </c>
      <c r="D824" s="3048"/>
      <c r="E824" s="17" t="s">
        <v>756</v>
      </c>
      <c r="F824" s="142">
        <v>9900</v>
      </c>
      <c r="G824" s="142">
        <f t="shared" si="12"/>
        <v>132</v>
      </c>
      <c r="H824" s="85"/>
    </row>
    <row r="825" spans="1:8" ht="15" hidden="1" customHeight="1" outlineLevel="1">
      <c r="A825" s="46"/>
      <c r="B825" s="17" t="s">
        <v>790</v>
      </c>
      <c r="C825" s="99" t="s">
        <v>133</v>
      </c>
      <c r="D825" s="3048"/>
      <c r="E825" s="17" t="s">
        <v>756</v>
      </c>
      <c r="F825" s="142">
        <v>11700</v>
      </c>
      <c r="G825" s="142">
        <f t="shared" si="12"/>
        <v>156</v>
      </c>
      <c r="H825" s="85"/>
    </row>
    <row r="826" spans="1:8" ht="15" hidden="1" customHeight="1" outlineLevel="1">
      <c r="A826" s="46"/>
      <c r="B826" s="17" t="s">
        <v>791</v>
      </c>
      <c r="C826" s="99" t="s">
        <v>133</v>
      </c>
      <c r="D826" s="3048"/>
      <c r="E826" s="17" t="s">
        <v>756</v>
      </c>
      <c r="F826" s="142">
        <v>13100</v>
      </c>
      <c r="G826" s="142">
        <f t="shared" si="12"/>
        <v>175</v>
      </c>
      <c r="H826" s="85"/>
    </row>
    <row r="827" spans="1:8" ht="15" hidden="1" customHeight="1" outlineLevel="1">
      <c r="A827" s="46"/>
      <c r="B827" s="17" t="s">
        <v>770</v>
      </c>
      <c r="C827" s="99" t="s">
        <v>133</v>
      </c>
      <c r="D827" s="3048"/>
      <c r="E827" s="17" t="s">
        <v>769</v>
      </c>
      <c r="F827" s="146">
        <v>1500</v>
      </c>
      <c r="G827" s="142">
        <f t="shared" si="12"/>
        <v>20</v>
      </c>
      <c r="H827" s="85"/>
    </row>
    <row r="828" spans="1:8" ht="15" hidden="1" customHeight="1" outlineLevel="1">
      <c r="A828" s="46"/>
      <c r="B828" s="198" t="s">
        <v>771</v>
      </c>
      <c r="C828" s="99" t="s">
        <v>133</v>
      </c>
      <c r="D828" s="3048"/>
      <c r="E828" s="17" t="s">
        <v>772</v>
      </c>
      <c r="F828" s="146">
        <v>1450</v>
      </c>
      <c r="G828" s="142">
        <f t="shared" si="12"/>
        <v>20</v>
      </c>
      <c r="H828" s="85"/>
    </row>
    <row r="829" spans="1:8" ht="15" hidden="1" customHeight="1" outlineLevel="1">
      <c r="A829" s="46"/>
      <c r="B829" s="17" t="s">
        <v>792</v>
      </c>
      <c r="C829" s="99" t="s">
        <v>133</v>
      </c>
      <c r="D829" s="3048"/>
      <c r="E829" s="17" t="s">
        <v>769</v>
      </c>
      <c r="F829" s="146">
        <v>1300</v>
      </c>
      <c r="G829" s="142">
        <f t="shared" si="12"/>
        <v>18</v>
      </c>
      <c r="H829" s="85"/>
    </row>
    <row r="830" spans="1:8" ht="15" hidden="1" customHeight="1" outlineLevel="1">
      <c r="A830" s="46"/>
      <c r="B830" s="17" t="s">
        <v>793</v>
      </c>
      <c r="C830" s="99" t="s">
        <v>133</v>
      </c>
      <c r="D830" s="3048"/>
      <c r="E830" s="17" t="s">
        <v>774</v>
      </c>
      <c r="F830" s="142">
        <v>1900</v>
      </c>
      <c r="G830" s="142">
        <f t="shared" si="12"/>
        <v>26</v>
      </c>
      <c r="H830" s="85"/>
    </row>
    <row r="831" spans="1:8" ht="15" hidden="1" customHeight="1" outlineLevel="1">
      <c r="A831" s="46"/>
      <c r="B831" s="17" t="s">
        <v>794</v>
      </c>
      <c r="C831" s="99" t="s">
        <v>133</v>
      </c>
      <c r="D831" s="3048"/>
      <c r="E831" s="17" t="s">
        <v>774</v>
      </c>
      <c r="F831" s="142">
        <v>3900</v>
      </c>
      <c r="G831" s="142">
        <f t="shared" si="12"/>
        <v>52</v>
      </c>
      <c r="H831" s="85"/>
    </row>
    <row r="832" spans="1:8" ht="15" hidden="1" customHeight="1" outlineLevel="1">
      <c r="A832" s="46"/>
      <c r="B832" s="98" t="s">
        <v>795</v>
      </c>
      <c r="C832" s="99" t="s">
        <v>159</v>
      </c>
      <c r="D832" s="127"/>
      <c r="E832" s="127"/>
      <c r="F832" s="195"/>
      <c r="G832" s="69">
        <v>100</v>
      </c>
      <c r="H832" s="85"/>
    </row>
    <row r="833" spans="1:8" ht="15" hidden="1" customHeight="1" outlineLevel="1">
      <c r="A833" s="46"/>
      <c r="B833" s="98"/>
      <c r="C833" s="99"/>
      <c r="D833" s="127"/>
      <c r="E833" s="127"/>
      <c r="F833" s="195"/>
      <c r="G833" s="69"/>
      <c r="H833" s="85"/>
    </row>
    <row r="834" spans="1:8" ht="15" hidden="1" customHeight="1" outlineLevel="1">
      <c r="A834" s="46"/>
      <c r="B834" s="101"/>
      <c r="C834" s="99"/>
      <c r="D834" s="127"/>
      <c r="E834" s="127"/>
      <c r="F834" s="195"/>
      <c r="G834" s="69"/>
      <c r="H834" s="85"/>
    </row>
    <row r="835" spans="1:8" ht="15" customHeight="1">
      <c r="A835" s="12" t="s">
        <v>746</v>
      </c>
      <c r="B835" s="12"/>
      <c r="C835" s="99"/>
      <c r="D835" s="127"/>
      <c r="E835" s="127"/>
      <c r="F835" s="195"/>
      <c r="G835" s="69"/>
      <c r="H835" s="85"/>
    </row>
    <row r="836" spans="1:8" ht="15" hidden="1" customHeight="1" outlineLevel="1">
      <c r="A836" s="3049" t="s">
        <v>796</v>
      </c>
      <c r="B836" s="3049"/>
      <c r="C836" s="133" t="s">
        <v>208</v>
      </c>
      <c r="D836" s="201"/>
      <c r="E836" s="201"/>
      <c r="F836" s="202"/>
      <c r="G836" s="78" t="s">
        <v>797</v>
      </c>
      <c r="H836" s="85"/>
    </row>
    <row r="837" spans="1:8" s="205" customFormat="1" ht="15" hidden="1" customHeight="1" outlineLevel="1">
      <c r="A837" s="203"/>
      <c r="B837" s="17" t="s">
        <v>798</v>
      </c>
      <c r="C837" s="18" t="s">
        <v>799</v>
      </c>
      <c r="D837" s="19"/>
      <c r="E837" s="19"/>
      <c r="F837" s="19"/>
      <c r="G837" s="20">
        <v>0</v>
      </c>
      <c r="H837" s="204"/>
    </row>
    <row r="838" spans="1:8" ht="15" hidden="1" customHeight="1" outlineLevel="1">
      <c r="A838" s="45"/>
      <c r="B838" s="206" t="s">
        <v>800</v>
      </c>
      <c r="C838" s="126" t="s">
        <v>799</v>
      </c>
      <c r="F838" s="19"/>
      <c r="G838" s="20">
        <v>30</v>
      </c>
      <c r="H838" s="85"/>
    </row>
    <row r="839" spans="1:8" ht="15" hidden="1" customHeight="1" outlineLevel="1">
      <c r="A839" s="46"/>
      <c r="B839" s="206" t="s">
        <v>801</v>
      </c>
      <c r="C839" s="126" t="s">
        <v>799</v>
      </c>
      <c r="D839" s="127"/>
      <c r="E839" s="127"/>
      <c r="F839" s="127"/>
      <c r="G839" s="207">
        <v>14.21</v>
      </c>
      <c r="H839" s="85"/>
    </row>
    <row r="840" spans="1:8" ht="15" hidden="1" customHeight="1" outlineLevel="1">
      <c r="A840" s="76"/>
      <c r="B840" s="206" t="s">
        <v>802</v>
      </c>
      <c r="C840" s="126" t="s">
        <v>799</v>
      </c>
      <c r="D840" s="127"/>
      <c r="E840" s="127"/>
      <c r="F840" s="127"/>
      <c r="G840" s="207">
        <v>11</v>
      </c>
      <c r="H840" s="85"/>
    </row>
    <row r="841" spans="1:8" ht="15" hidden="1" customHeight="1" outlineLevel="1">
      <c r="A841" s="76"/>
      <c r="B841" s="206"/>
      <c r="C841" s="126"/>
      <c r="D841" s="127"/>
      <c r="E841" s="127"/>
      <c r="F841" s="127"/>
      <c r="G841" s="207"/>
      <c r="H841" s="85"/>
    </row>
    <row r="842" spans="1:8" ht="15" hidden="1" customHeight="1" outlineLevel="1">
      <c r="A842" s="76"/>
      <c r="B842" s="206"/>
      <c r="C842" s="126"/>
      <c r="D842" s="127"/>
      <c r="E842" s="127"/>
      <c r="F842" s="127"/>
      <c r="G842" s="207"/>
      <c r="H842" s="85"/>
    </row>
    <row r="843" spans="1:8" ht="15" customHeight="1">
      <c r="A843" s="12" t="s">
        <v>796</v>
      </c>
      <c r="B843" s="12"/>
      <c r="C843" s="126"/>
      <c r="D843" s="127"/>
      <c r="E843" s="127"/>
      <c r="F843" s="127"/>
      <c r="G843" s="207"/>
      <c r="H843" s="85"/>
    </row>
    <row r="844" spans="1:8" ht="15" hidden="1" customHeight="1" outlineLevel="1">
      <c r="A844" s="3049" t="s">
        <v>803</v>
      </c>
      <c r="B844" s="3049"/>
      <c r="C844" s="133" t="s">
        <v>208</v>
      </c>
      <c r="D844" s="201"/>
      <c r="E844" s="201"/>
      <c r="F844" s="202"/>
      <c r="G844" s="78" t="s">
        <v>797</v>
      </c>
      <c r="H844" s="208"/>
    </row>
    <row r="845" spans="1:8" s="205" customFormat="1" ht="15" hidden="1" customHeight="1" outlineLevel="1">
      <c r="A845" s="209"/>
      <c r="B845" s="17" t="s">
        <v>804</v>
      </c>
      <c r="C845" s="18" t="s">
        <v>799</v>
      </c>
      <c r="D845" s="19"/>
      <c r="E845" s="19"/>
      <c r="F845" s="19"/>
      <c r="G845" s="20">
        <v>0</v>
      </c>
      <c r="H845" s="204"/>
    </row>
    <row r="846" spans="1:8" ht="15" hidden="1" customHeight="1" outlineLevel="1">
      <c r="A846" s="45"/>
      <c r="B846" s="206" t="s">
        <v>805</v>
      </c>
      <c r="C846" s="126" t="s">
        <v>799</v>
      </c>
      <c r="D846" s="127"/>
      <c r="E846" s="127"/>
      <c r="F846" s="127"/>
      <c r="G846" s="207">
        <v>31.54</v>
      </c>
      <c r="H846" s="208"/>
    </row>
    <row r="847" spans="1:8" ht="15" hidden="1" customHeight="1" outlineLevel="1">
      <c r="A847" s="46"/>
      <c r="B847" s="206" t="s">
        <v>806</v>
      </c>
      <c r="C847" s="126" t="s">
        <v>799</v>
      </c>
      <c r="D847" s="127"/>
      <c r="E847" s="127"/>
      <c r="F847" s="127"/>
      <c r="G847" s="207">
        <v>45</v>
      </c>
      <c r="H847" s="208"/>
    </row>
    <row r="848" spans="1:8" ht="15" hidden="1" customHeight="1" outlineLevel="1">
      <c r="A848" s="76"/>
      <c r="B848" s="206" t="s">
        <v>806</v>
      </c>
      <c r="C848" s="126" t="s">
        <v>799</v>
      </c>
      <c r="D848" s="127"/>
      <c r="E848" s="127"/>
      <c r="F848" s="127"/>
      <c r="G848" s="207">
        <v>55</v>
      </c>
      <c r="H848" s="208"/>
    </row>
    <row r="849" spans="1:8" ht="15" hidden="1" customHeight="1" outlineLevel="1">
      <c r="A849" s="76"/>
      <c r="B849" s="206"/>
      <c r="C849" s="126"/>
      <c r="D849" s="127"/>
      <c r="E849" s="127"/>
      <c r="F849" s="127"/>
      <c r="G849" s="207"/>
      <c r="H849" s="208"/>
    </row>
    <row r="850" spans="1:8" ht="15" hidden="1" customHeight="1" outlineLevel="1">
      <c r="A850" s="76"/>
      <c r="B850" s="206"/>
      <c r="C850" s="126"/>
      <c r="D850" s="127"/>
      <c r="E850" s="127"/>
      <c r="F850" s="127"/>
      <c r="G850" s="207"/>
      <c r="H850" s="208"/>
    </row>
    <row r="851" spans="1:8" ht="15" customHeight="1">
      <c r="A851" s="12" t="s">
        <v>803</v>
      </c>
      <c r="B851" s="12"/>
      <c r="C851" s="126"/>
      <c r="D851" s="127"/>
      <c r="E851" s="127"/>
      <c r="F851" s="127"/>
      <c r="G851" s="207"/>
      <c r="H851" s="208"/>
    </row>
    <row r="852" spans="1:8" ht="15" hidden="1" customHeight="1" outlineLevel="1">
      <c r="A852" s="3049" t="s">
        <v>807</v>
      </c>
      <c r="B852" s="3049"/>
      <c r="C852" s="133" t="s">
        <v>208</v>
      </c>
      <c r="D852" s="201"/>
      <c r="E852" s="201"/>
      <c r="F852" s="202"/>
      <c r="G852" s="78" t="s">
        <v>797</v>
      </c>
      <c r="H852" s="208"/>
    </row>
    <row r="853" spans="1:8" ht="15" hidden="1" customHeight="1" outlineLevel="1">
      <c r="A853" s="110"/>
      <c r="B853" s="206" t="s">
        <v>808</v>
      </c>
      <c r="C853" s="126" t="s">
        <v>799</v>
      </c>
      <c r="D853" s="127"/>
      <c r="E853" s="127"/>
      <c r="F853" s="69"/>
      <c r="G853" s="210">
        <v>50</v>
      </c>
      <c r="H853" s="208"/>
    </row>
    <row r="854" spans="1:8" ht="15" hidden="1" customHeight="1" outlineLevel="1">
      <c r="A854" s="114"/>
      <c r="B854" s="206"/>
      <c r="C854" s="126"/>
      <c r="D854" s="127"/>
      <c r="E854" s="127"/>
      <c r="F854" s="69"/>
      <c r="G854" s="210"/>
      <c r="H854" s="208"/>
    </row>
    <row r="855" spans="1:8" ht="15" hidden="1" customHeight="1" outlineLevel="1">
      <c r="A855" s="114"/>
      <c r="B855" s="211"/>
      <c r="C855" s="126"/>
      <c r="D855" s="127"/>
      <c r="E855" s="127"/>
      <c r="F855" s="69"/>
      <c r="G855" s="210"/>
      <c r="H855" s="208"/>
    </row>
    <row r="856" spans="1:8" ht="15" customHeight="1">
      <c r="A856" s="12" t="s">
        <v>807</v>
      </c>
      <c r="B856" s="12"/>
      <c r="C856" s="126"/>
      <c r="D856" s="127"/>
      <c r="E856" s="127"/>
      <c r="F856" s="69"/>
      <c r="G856" s="210"/>
      <c r="H856" s="208"/>
    </row>
    <row r="857" spans="1:8" ht="15" hidden="1" customHeight="1" outlineLevel="1">
      <c r="A857" s="3050" t="s">
        <v>809</v>
      </c>
      <c r="B857" s="3050"/>
      <c r="C857" s="133" t="s">
        <v>208</v>
      </c>
      <c r="D857" s="201" t="s">
        <v>810</v>
      </c>
      <c r="E857" s="201" t="s">
        <v>811</v>
      </c>
      <c r="F857" s="202" t="s">
        <v>812</v>
      </c>
      <c r="G857" s="44" t="s">
        <v>813</v>
      </c>
      <c r="H857" s="208"/>
    </row>
    <row r="858" spans="1:8" s="205" customFormat="1" ht="15" hidden="1" customHeight="1" outlineLevel="1">
      <c r="A858" s="212"/>
      <c r="B858" s="17" t="s">
        <v>814</v>
      </c>
      <c r="C858" s="18" t="s">
        <v>799</v>
      </c>
      <c r="D858" s="19"/>
      <c r="E858" s="19"/>
      <c r="F858" s="19"/>
      <c r="G858" s="20">
        <v>0</v>
      </c>
      <c r="H858" s="204"/>
    </row>
    <row r="859" spans="1:8" ht="15" hidden="1" customHeight="1" outlineLevel="1">
      <c r="A859" s="45"/>
      <c r="B859" s="206" t="s">
        <v>815</v>
      </c>
      <c r="C859" s="126" t="s">
        <v>799</v>
      </c>
      <c r="D859" s="127"/>
      <c r="E859" s="127"/>
      <c r="F859" s="210"/>
      <c r="G859" s="69">
        <v>4</v>
      </c>
      <c r="H859" s="208"/>
    </row>
    <row r="860" spans="1:8" ht="15" hidden="1" customHeight="1" outlineLevel="1">
      <c r="A860" s="46"/>
      <c r="B860" s="206" t="s">
        <v>816</v>
      </c>
      <c r="C860" s="126" t="s">
        <v>799</v>
      </c>
      <c r="D860" s="127"/>
      <c r="E860" s="127"/>
      <c r="F860" s="210"/>
      <c r="G860" s="69">
        <v>7.4</v>
      </c>
      <c r="H860" s="208"/>
    </row>
    <row r="861" spans="1:8" ht="15" hidden="1" customHeight="1" outlineLevel="1">
      <c r="A861" s="46"/>
      <c r="B861" s="206" t="s">
        <v>817</v>
      </c>
      <c r="C861" s="126" t="s">
        <v>799</v>
      </c>
      <c r="D861" s="127"/>
      <c r="E861" s="127"/>
      <c r="F861" s="210"/>
      <c r="G861" s="69">
        <v>11.2</v>
      </c>
      <c r="H861" s="208"/>
    </row>
    <row r="862" spans="1:8" ht="15" hidden="1" customHeight="1" outlineLevel="1">
      <c r="A862" s="46"/>
      <c r="B862" s="206" t="s">
        <v>818</v>
      </c>
      <c r="C862" s="126" t="s">
        <v>799</v>
      </c>
      <c r="D862" s="127"/>
      <c r="E862" s="127"/>
      <c r="F862" s="210"/>
      <c r="G862" s="69">
        <v>11.5</v>
      </c>
      <c r="H862" s="208"/>
    </row>
    <row r="863" spans="1:8" ht="15" hidden="1" customHeight="1" outlineLevel="1">
      <c r="A863" s="46"/>
      <c r="B863" s="206" t="s">
        <v>819</v>
      </c>
      <c r="C863" s="126" t="s">
        <v>799</v>
      </c>
      <c r="D863" s="127"/>
      <c r="E863" s="127"/>
      <c r="F863" s="210"/>
      <c r="G863" s="69">
        <v>24.5</v>
      </c>
      <c r="H863" s="208"/>
    </row>
    <row r="864" spans="1:8" ht="15" hidden="1" customHeight="1" outlineLevel="1">
      <c r="A864" s="46"/>
      <c r="B864" s="206" t="s">
        <v>820</v>
      </c>
      <c r="C864" s="126" t="s">
        <v>799</v>
      </c>
      <c r="D864" s="127"/>
      <c r="E864" s="127"/>
      <c r="F864" s="210"/>
      <c r="G864" s="69">
        <v>27.1</v>
      </c>
      <c r="H864" s="208"/>
    </row>
    <row r="865" spans="1:8" ht="15" hidden="1" customHeight="1" outlineLevel="1">
      <c r="A865" s="46"/>
      <c r="B865" s="206" t="s">
        <v>821</v>
      </c>
      <c r="C865" s="126" t="s">
        <v>799</v>
      </c>
      <c r="D865" s="127"/>
      <c r="E865" s="127"/>
      <c r="F865" s="210"/>
      <c r="G865" s="69">
        <v>29.1</v>
      </c>
      <c r="H865" s="208"/>
    </row>
    <row r="866" spans="1:8" ht="15" hidden="1" customHeight="1" outlineLevel="1">
      <c r="A866" s="46"/>
      <c r="B866" s="206" t="s">
        <v>822</v>
      </c>
      <c r="C866" s="126" t="s">
        <v>799</v>
      </c>
      <c r="D866" s="127"/>
      <c r="E866" s="127"/>
      <c r="F866" s="210"/>
      <c r="G866" s="69">
        <v>26.9</v>
      </c>
      <c r="H866" s="208"/>
    </row>
    <row r="867" spans="1:8" ht="15" hidden="1" customHeight="1" outlineLevel="1">
      <c r="A867" s="46"/>
      <c r="B867" s="206" t="s">
        <v>823</v>
      </c>
      <c r="C867" s="126" t="s">
        <v>799</v>
      </c>
      <c r="D867" s="127"/>
      <c r="E867" s="127"/>
      <c r="F867" s="210"/>
      <c r="G867" s="69">
        <v>32.9</v>
      </c>
      <c r="H867" s="208"/>
    </row>
    <row r="868" spans="1:8" ht="15" hidden="1" customHeight="1" outlineLevel="1">
      <c r="A868" s="46"/>
      <c r="B868" s="206" t="s">
        <v>824</v>
      </c>
      <c r="C868" s="126" t="s">
        <v>799</v>
      </c>
      <c r="D868" s="127"/>
      <c r="E868" s="127"/>
      <c r="F868" s="210"/>
      <c r="G868" s="69">
        <v>77.2</v>
      </c>
      <c r="H868" s="208"/>
    </row>
    <row r="869" spans="1:8" ht="15" hidden="1" customHeight="1" outlineLevel="1">
      <c r="A869" s="46"/>
      <c r="B869" s="206" t="s">
        <v>825</v>
      </c>
      <c r="C869" s="126" t="s">
        <v>799</v>
      </c>
      <c r="D869" s="127"/>
      <c r="E869" s="127"/>
      <c r="F869" s="210"/>
      <c r="G869" s="69">
        <v>88.1</v>
      </c>
      <c r="H869" s="208"/>
    </row>
    <row r="870" spans="1:8" ht="15" hidden="1" customHeight="1" outlineLevel="1">
      <c r="A870" s="46"/>
      <c r="B870" s="206" t="s">
        <v>826</v>
      </c>
      <c r="C870" s="126" t="s">
        <v>799</v>
      </c>
      <c r="D870" s="127"/>
      <c r="E870" s="127"/>
      <c r="F870" s="210"/>
      <c r="G870" s="69">
        <v>100.2</v>
      </c>
      <c r="H870" s="208"/>
    </row>
    <row r="871" spans="1:8" ht="15" hidden="1" customHeight="1" outlineLevel="1">
      <c r="A871" s="46"/>
      <c r="B871" s="206"/>
      <c r="C871" s="126"/>
      <c r="D871" s="127"/>
      <c r="E871" s="127"/>
      <c r="F871" s="210"/>
      <c r="G871" s="69"/>
      <c r="H871" s="208"/>
    </row>
    <row r="872" spans="1:8" ht="15" hidden="1" customHeight="1" outlineLevel="1">
      <c r="A872" s="46"/>
      <c r="B872" s="211"/>
      <c r="C872" s="126"/>
      <c r="D872" s="127"/>
      <c r="E872" s="127"/>
      <c r="F872" s="210"/>
      <c r="G872" s="69"/>
      <c r="H872" s="208"/>
    </row>
    <row r="873" spans="1:8" ht="15" customHeight="1">
      <c r="A873" s="12" t="s">
        <v>809</v>
      </c>
      <c r="B873" s="12"/>
      <c r="C873" s="126"/>
      <c r="D873" s="127"/>
      <c r="E873" s="127"/>
      <c r="F873" s="210"/>
      <c r="G873" s="69"/>
      <c r="H873" s="208"/>
    </row>
    <row r="874" spans="1:8" ht="15" hidden="1" customHeight="1" outlineLevel="1">
      <c r="A874" s="3051" t="s">
        <v>827</v>
      </c>
      <c r="B874" s="3051"/>
      <c r="C874" s="133" t="s">
        <v>208</v>
      </c>
      <c r="D874" s="201" t="s">
        <v>810</v>
      </c>
      <c r="E874" s="201" t="s">
        <v>811</v>
      </c>
      <c r="F874" s="78" t="s">
        <v>828</v>
      </c>
      <c r="G874" s="78" t="s">
        <v>829</v>
      </c>
      <c r="H874" s="208"/>
    </row>
    <row r="875" spans="1:8" s="205" customFormat="1" ht="15" hidden="1" customHeight="1" outlineLevel="1">
      <c r="A875" s="213"/>
      <c r="B875" s="214" t="s">
        <v>830</v>
      </c>
      <c r="C875" s="215" t="s">
        <v>831</v>
      </c>
      <c r="D875" s="216"/>
      <c r="E875" s="216"/>
      <c r="F875" s="216">
        <v>0</v>
      </c>
      <c r="G875" s="40">
        <v>0</v>
      </c>
      <c r="H875" s="204"/>
    </row>
    <row r="876" spans="1:8" ht="15" hidden="1" customHeight="1" outlineLevel="1">
      <c r="A876" s="45"/>
      <c r="B876" s="206" t="s">
        <v>832</v>
      </c>
      <c r="C876" s="126" t="s">
        <v>831</v>
      </c>
      <c r="D876" s="127"/>
      <c r="E876" s="127"/>
      <c r="F876" s="69">
        <v>0.2</v>
      </c>
      <c r="G876" s="210">
        <v>105.62</v>
      </c>
    </row>
    <row r="877" spans="1:8" ht="15" hidden="1" customHeight="1" outlineLevel="1">
      <c r="A877" s="46"/>
      <c r="B877" s="206" t="s">
        <v>833</v>
      </c>
      <c r="C877" s="126" t="s">
        <v>831</v>
      </c>
      <c r="D877" s="127"/>
      <c r="E877" s="127"/>
      <c r="F877" s="69">
        <v>0.25</v>
      </c>
      <c r="G877" s="210">
        <v>105.62</v>
      </c>
    </row>
    <row r="878" spans="1:8" ht="15" hidden="1" customHeight="1" outlineLevel="1">
      <c r="A878" s="46"/>
      <c r="B878" s="206" t="s">
        <v>834</v>
      </c>
      <c r="C878" s="126" t="s">
        <v>831</v>
      </c>
      <c r="D878" s="127"/>
      <c r="E878" s="127"/>
      <c r="F878" s="69">
        <v>0.3</v>
      </c>
      <c r="G878" s="210">
        <v>105.62</v>
      </c>
    </row>
    <row r="879" spans="1:8" ht="15" hidden="1" customHeight="1" outlineLevel="1">
      <c r="A879" s="46"/>
      <c r="B879" s="206" t="s">
        <v>835</v>
      </c>
      <c r="C879" s="126" t="s">
        <v>831</v>
      </c>
      <c r="D879" s="127"/>
      <c r="E879" s="127"/>
      <c r="F879" s="69">
        <v>0.45</v>
      </c>
      <c r="G879" s="210">
        <v>107.62</v>
      </c>
    </row>
    <row r="880" spans="1:8" ht="15" hidden="1" customHeight="1" outlineLevel="1">
      <c r="A880" s="46"/>
      <c r="B880" s="206" t="s">
        <v>836</v>
      </c>
      <c r="C880" s="126" t="s">
        <v>831</v>
      </c>
      <c r="D880" s="127"/>
      <c r="E880" s="127"/>
      <c r="F880" s="69">
        <v>0.55000000000000004</v>
      </c>
      <c r="G880" s="210">
        <v>107.62</v>
      </c>
    </row>
    <row r="881" spans="1:7" ht="15" hidden="1" customHeight="1" outlineLevel="1">
      <c r="A881" s="46"/>
      <c r="B881" s="206" t="s">
        <v>837</v>
      </c>
      <c r="C881" s="126" t="s">
        <v>831</v>
      </c>
      <c r="D881" s="127"/>
      <c r="E881" s="127"/>
      <c r="F881" s="69">
        <v>0.6</v>
      </c>
      <c r="G881" s="210">
        <v>107.62</v>
      </c>
    </row>
    <row r="882" spans="1:7" ht="15" hidden="1" customHeight="1" outlineLevel="1">
      <c r="A882" s="46"/>
      <c r="B882" s="206" t="s">
        <v>838</v>
      </c>
      <c r="C882" s="217" t="s">
        <v>831</v>
      </c>
      <c r="D882" s="218"/>
      <c r="E882" s="219"/>
      <c r="F882" s="219">
        <v>2.5</v>
      </c>
      <c r="G882" s="220">
        <v>120</v>
      </c>
    </row>
    <row r="883" spans="1:7" ht="15" hidden="1" customHeight="1" outlineLevel="1">
      <c r="A883" s="46"/>
      <c r="B883" s="206" t="s">
        <v>839</v>
      </c>
      <c r="C883" s="217" t="s">
        <v>831</v>
      </c>
      <c r="D883" s="218"/>
      <c r="E883" s="219"/>
      <c r="F883" s="219">
        <v>1.8</v>
      </c>
      <c r="G883" s="220">
        <v>120</v>
      </c>
    </row>
    <row r="884" spans="1:7" ht="15" hidden="1" customHeight="1" outlineLevel="1">
      <c r="A884" s="46"/>
      <c r="B884" s="206"/>
      <c r="C884" s="217"/>
      <c r="D884" s="218"/>
      <c r="E884" s="219"/>
      <c r="F884" s="219"/>
      <c r="G884" s="220"/>
    </row>
    <row r="885" spans="1:7" ht="15" hidden="1" customHeight="1" outlineLevel="1">
      <c r="A885" s="46"/>
      <c r="B885" s="211"/>
      <c r="C885" s="217"/>
      <c r="D885" s="218"/>
      <c r="E885" s="219"/>
      <c r="F885" s="219"/>
      <c r="G885" s="220"/>
    </row>
    <row r="886" spans="1:7" ht="15" customHeight="1">
      <c r="A886" s="12" t="s">
        <v>827</v>
      </c>
      <c r="B886" s="12"/>
      <c r="C886" s="126"/>
      <c r="D886" s="127"/>
      <c r="E886" s="127"/>
      <c r="F886" s="69"/>
      <c r="G886" s="210"/>
    </row>
    <row r="887" spans="1:7" ht="15" hidden="1" customHeight="1" outlineLevel="1">
      <c r="A887" s="3051" t="s">
        <v>840</v>
      </c>
      <c r="B887" s="3051"/>
      <c r="C887" s="133" t="s">
        <v>208</v>
      </c>
      <c r="D887" s="201" t="s">
        <v>810</v>
      </c>
      <c r="E887" s="201" t="s">
        <v>811</v>
      </c>
      <c r="F887" s="78" t="s">
        <v>828</v>
      </c>
      <c r="G887" s="78" t="s">
        <v>829</v>
      </c>
    </row>
    <row r="888" spans="1:7" s="205" customFormat="1" ht="15" hidden="1" customHeight="1" outlineLevel="1">
      <c r="A888" s="213"/>
      <c r="B888" s="17" t="s">
        <v>841</v>
      </c>
      <c r="C888" s="18" t="s">
        <v>831</v>
      </c>
      <c r="D888" s="17"/>
      <c r="E888" s="17"/>
      <c r="F888" s="17">
        <v>0</v>
      </c>
      <c r="G888" s="17">
        <v>0</v>
      </c>
    </row>
    <row r="889" spans="1:7" ht="15" hidden="1" customHeight="1" outlineLevel="1">
      <c r="A889" s="45"/>
      <c r="B889" s="221" t="s">
        <v>842</v>
      </c>
      <c r="C889" s="126" t="s">
        <v>831</v>
      </c>
      <c r="D889" s="222"/>
      <c r="E889" s="223"/>
      <c r="F889" s="69">
        <v>15</v>
      </c>
      <c r="G889" s="224">
        <v>70</v>
      </c>
    </row>
    <row r="890" spans="1:7" ht="15" hidden="1" customHeight="1" outlineLevel="1">
      <c r="A890" s="46"/>
      <c r="B890" s="221" t="s">
        <v>843</v>
      </c>
      <c r="C890" s="126" t="s">
        <v>831</v>
      </c>
      <c r="D890" s="222"/>
      <c r="E890" s="223"/>
      <c r="F890" s="69">
        <v>45</v>
      </c>
      <c r="G890" s="224">
        <v>70</v>
      </c>
    </row>
    <row r="891" spans="1:7" ht="15" hidden="1" customHeight="1" outlineLevel="1">
      <c r="A891" s="46"/>
      <c r="B891" s="221" t="s">
        <v>844</v>
      </c>
      <c r="C891" s="126" t="s">
        <v>831</v>
      </c>
      <c r="D891" s="222"/>
      <c r="E891" s="223"/>
      <c r="F891" s="69">
        <v>76</v>
      </c>
      <c r="G891" s="224">
        <v>70</v>
      </c>
    </row>
    <row r="892" spans="1:7" ht="15" hidden="1" customHeight="1" outlineLevel="1">
      <c r="A892" s="76"/>
      <c r="B892" s="221" t="s">
        <v>845</v>
      </c>
      <c r="C892" s="126" t="s">
        <v>831</v>
      </c>
      <c r="D892" s="222"/>
      <c r="E892" s="223"/>
      <c r="F892" s="69">
        <v>0.85</v>
      </c>
      <c r="G892" s="224">
        <v>70</v>
      </c>
    </row>
    <row r="893" spans="1:7" ht="15" hidden="1" customHeight="1" outlineLevel="1">
      <c r="A893" s="76"/>
      <c r="B893" s="221"/>
      <c r="C893" s="126"/>
      <c r="D893" s="222"/>
      <c r="E893" s="223"/>
      <c r="F893" s="69"/>
      <c r="G893" s="224"/>
    </row>
    <row r="894" spans="1:7" ht="15" customHeight="1">
      <c r="A894" s="12" t="s">
        <v>840</v>
      </c>
      <c r="B894" s="12"/>
      <c r="C894" s="126"/>
      <c r="D894" s="222"/>
      <c r="E894" s="223"/>
      <c r="F894" s="69"/>
      <c r="G894" s="224"/>
    </row>
    <row r="895" spans="1:7" ht="15" hidden="1" customHeight="1" outlineLevel="1">
      <c r="A895" s="3049" t="s">
        <v>846</v>
      </c>
      <c r="B895" s="3049"/>
      <c r="C895" s="133" t="s">
        <v>208</v>
      </c>
      <c r="D895" s="201" t="s">
        <v>810</v>
      </c>
      <c r="E895" s="201" t="s">
        <v>811</v>
      </c>
      <c r="F895" s="78" t="s">
        <v>828</v>
      </c>
      <c r="G895" s="78" t="s">
        <v>829</v>
      </c>
    </row>
    <row r="896" spans="1:7" s="205" customFormat="1" ht="15" hidden="1" customHeight="1" outlineLevel="1">
      <c r="A896" s="203"/>
      <c r="B896" s="17" t="s">
        <v>847</v>
      </c>
      <c r="C896" s="18" t="s">
        <v>831</v>
      </c>
      <c r="D896" s="17"/>
      <c r="E896" s="17"/>
      <c r="F896" s="17">
        <v>0</v>
      </c>
      <c r="G896" s="17">
        <v>0</v>
      </c>
    </row>
    <row r="897" spans="1:7" ht="15" hidden="1" customHeight="1" outlineLevel="1">
      <c r="A897" s="45"/>
      <c r="B897" s="221" t="s">
        <v>848</v>
      </c>
      <c r="C897" s="126" t="s">
        <v>831</v>
      </c>
      <c r="D897" s="113"/>
      <c r="E897" s="113"/>
      <c r="F897" s="69">
        <v>0.6</v>
      </c>
      <c r="G897" s="224">
        <v>75.510000000000005</v>
      </c>
    </row>
    <row r="898" spans="1:7" ht="15" hidden="1" customHeight="1" outlineLevel="1">
      <c r="A898" s="46"/>
      <c r="B898" s="221" t="s">
        <v>849</v>
      </c>
      <c r="C898" s="126" t="s">
        <v>831</v>
      </c>
      <c r="D898" s="113"/>
      <c r="E898" s="113"/>
      <c r="F898" s="69">
        <v>0.95</v>
      </c>
      <c r="G898" s="224">
        <v>76.489999999999995</v>
      </c>
    </row>
    <row r="899" spans="1:7" ht="15" hidden="1" customHeight="1" outlineLevel="1">
      <c r="A899" s="46"/>
      <c r="B899" s="221"/>
      <c r="C899" s="126"/>
      <c r="D899" s="113"/>
      <c r="E899" s="113"/>
      <c r="F899" s="69"/>
      <c r="G899" s="224"/>
    </row>
    <row r="900" spans="1:7" ht="15" hidden="1" customHeight="1" outlineLevel="1">
      <c r="A900" s="46"/>
      <c r="B900" s="225"/>
      <c r="C900" s="126"/>
      <c r="D900" s="113"/>
      <c r="E900" s="113"/>
      <c r="F900" s="69"/>
      <c r="G900" s="224"/>
    </row>
    <row r="901" spans="1:7" ht="15" customHeight="1">
      <c r="A901" s="12" t="s">
        <v>846</v>
      </c>
      <c r="B901" s="12"/>
      <c r="C901" s="126"/>
      <c r="D901" s="113"/>
      <c r="E901" s="113"/>
      <c r="F901" s="69"/>
      <c r="G901" s="224"/>
    </row>
    <row r="902" spans="1:7" ht="15" hidden="1" customHeight="1" outlineLevel="1">
      <c r="A902" s="9" t="s">
        <v>850</v>
      </c>
      <c r="B902" s="9"/>
      <c r="C902" s="133" t="s">
        <v>208</v>
      </c>
      <c r="D902" s="201"/>
      <c r="E902" s="201"/>
      <c r="F902" s="202"/>
      <c r="G902" s="78" t="s">
        <v>797</v>
      </c>
    </row>
    <row r="903" spans="1:7" ht="15" hidden="1" customHeight="1" outlineLevel="1">
      <c r="A903" s="45"/>
      <c r="B903" s="98" t="s">
        <v>851</v>
      </c>
      <c r="G903" s="20">
        <v>300</v>
      </c>
    </row>
    <row r="904" spans="1:7" ht="15" hidden="1" customHeight="1" outlineLevel="1">
      <c r="A904" s="46"/>
      <c r="B904" s="98"/>
    </row>
    <row r="905" spans="1:7" ht="15" hidden="1" customHeight="1" outlineLevel="1">
      <c r="A905" s="46"/>
      <c r="B905" s="101"/>
    </row>
    <row r="906" spans="1:7" ht="15" customHeight="1">
      <c r="A906" s="12" t="s">
        <v>850</v>
      </c>
      <c r="B906" s="12"/>
    </row>
    <row r="907" spans="1:7" ht="15" hidden="1" customHeight="1" outlineLevel="1">
      <c r="A907" s="9" t="s">
        <v>852</v>
      </c>
      <c r="B907" s="9"/>
      <c r="C907" s="77" t="s">
        <v>208</v>
      </c>
      <c r="D907" s="189" t="s">
        <v>400</v>
      </c>
      <c r="E907" s="53" t="s">
        <v>853</v>
      </c>
      <c r="F907" s="53"/>
      <c r="G907" s="53" t="s">
        <v>854</v>
      </c>
    </row>
    <row r="908" spans="1:7" ht="15" hidden="1" customHeight="1" outlineLevel="1">
      <c r="A908" s="110"/>
      <c r="B908" s="226" t="s">
        <v>855</v>
      </c>
      <c r="C908" s="126" t="s">
        <v>159</v>
      </c>
      <c r="D908" s="227">
        <v>0</v>
      </c>
      <c r="E908" s="69">
        <v>0</v>
      </c>
      <c r="G908" s="69">
        <v>0</v>
      </c>
    </row>
    <row r="909" spans="1:7" ht="15" hidden="1" customHeight="1" outlineLevel="1">
      <c r="A909" s="114"/>
      <c r="B909" s="228" t="s">
        <v>856</v>
      </c>
      <c r="C909" s="126" t="s">
        <v>159</v>
      </c>
      <c r="D909" s="227">
        <v>76</v>
      </c>
      <c r="E909" s="69">
        <v>2.5</v>
      </c>
      <c r="G909" s="69">
        <v>1430</v>
      </c>
    </row>
    <row r="910" spans="1:7" ht="15" hidden="1" customHeight="1" outlineLevel="1">
      <c r="A910" s="114"/>
      <c r="B910" s="228" t="s">
        <v>857</v>
      </c>
      <c r="C910" s="126" t="s">
        <v>159</v>
      </c>
      <c r="D910" s="227">
        <v>76</v>
      </c>
      <c r="E910" s="69">
        <v>3</v>
      </c>
      <c r="G910" s="81">
        <v>1560</v>
      </c>
    </row>
    <row r="911" spans="1:7" ht="15" hidden="1" customHeight="1" outlineLevel="1">
      <c r="A911" s="114"/>
      <c r="B911" s="228" t="s">
        <v>858</v>
      </c>
      <c r="C911" s="126" t="s">
        <v>159</v>
      </c>
      <c r="D911" s="227">
        <v>76</v>
      </c>
      <c r="E911" s="69">
        <v>3.5</v>
      </c>
      <c r="G911" s="81">
        <v>1690</v>
      </c>
    </row>
    <row r="912" spans="1:7" ht="15" hidden="1" customHeight="1" outlineLevel="1">
      <c r="A912" s="114"/>
      <c r="B912" s="228" t="s">
        <v>859</v>
      </c>
      <c r="C912" s="126" t="s">
        <v>159</v>
      </c>
      <c r="D912" s="227">
        <v>76</v>
      </c>
      <c r="E912" s="69">
        <v>4</v>
      </c>
      <c r="G912" s="81">
        <v>1750</v>
      </c>
    </row>
    <row r="913" spans="1:7" ht="15" hidden="1" customHeight="1" outlineLevel="1">
      <c r="A913" s="114"/>
      <c r="B913" s="228" t="s">
        <v>860</v>
      </c>
      <c r="C913" s="126" t="s">
        <v>159</v>
      </c>
      <c r="D913" s="227">
        <v>76</v>
      </c>
      <c r="E913" s="69">
        <v>4.5</v>
      </c>
      <c r="G913" s="81">
        <v>1800</v>
      </c>
    </row>
    <row r="914" spans="1:7" ht="15" hidden="1" customHeight="1" outlineLevel="1">
      <c r="A914" s="114"/>
      <c r="B914" s="228" t="s">
        <v>861</v>
      </c>
      <c r="C914" s="126" t="s">
        <v>159</v>
      </c>
      <c r="D914" s="227">
        <v>76</v>
      </c>
      <c r="E914" s="69">
        <v>5</v>
      </c>
      <c r="G914" s="69">
        <v>1925</v>
      </c>
    </row>
    <row r="915" spans="1:7" ht="15" hidden="1" customHeight="1" outlineLevel="1">
      <c r="A915" s="114"/>
      <c r="B915" s="228" t="s">
        <v>862</v>
      </c>
      <c r="C915" s="126" t="s">
        <v>159</v>
      </c>
      <c r="D915" s="227">
        <v>76</v>
      </c>
      <c r="E915" s="69">
        <v>2.5</v>
      </c>
      <c r="G915" s="69">
        <v>1530</v>
      </c>
    </row>
    <row r="916" spans="1:7" ht="15" hidden="1" customHeight="1" outlineLevel="1">
      <c r="A916" s="114"/>
      <c r="B916" s="228" t="s">
        <v>863</v>
      </c>
      <c r="C916" s="126" t="s">
        <v>159</v>
      </c>
      <c r="D916" s="227">
        <v>76</v>
      </c>
      <c r="E916" s="69">
        <v>3</v>
      </c>
      <c r="G916" s="69">
        <v>1830</v>
      </c>
    </row>
    <row r="917" spans="1:7" ht="15" hidden="1" customHeight="1" outlineLevel="1">
      <c r="A917" s="114"/>
      <c r="B917" s="228" t="s">
        <v>864</v>
      </c>
      <c r="C917" s="126" t="s">
        <v>159</v>
      </c>
      <c r="D917" s="227">
        <v>76</v>
      </c>
      <c r="E917" s="69">
        <v>3.5</v>
      </c>
      <c r="G917" s="69">
        <v>2130</v>
      </c>
    </row>
    <row r="918" spans="1:7" ht="15" hidden="1" customHeight="1" outlineLevel="1">
      <c r="A918" s="114"/>
      <c r="B918" s="228" t="s">
        <v>865</v>
      </c>
      <c r="C918" s="126" t="s">
        <v>159</v>
      </c>
      <c r="D918" s="227">
        <v>76</v>
      </c>
      <c r="E918" s="69">
        <v>4</v>
      </c>
      <c r="G918" s="69">
        <v>2430</v>
      </c>
    </row>
    <row r="919" spans="1:7" ht="15" hidden="1" customHeight="1" outlineLevel="1">
      <c r="A919" s="114"/>
      <c r="B919" s="228" t="s">
        <v>866</v>
      </c>
      <c r="C919" s="126" t="s">
        <v>159</v>
      </c>
      <c r="D919" s="227">
        <v>76</v>
      </c>
      <c r="E919" s="69">
        <v>4.5</v>
      </c>
      <c r="G919" s="69">
        <v>2730</v>
      </c>
    </row>
    <row r="920" spans="1:7" ht="15" hidden="1" customHeight="1" outlineLevel="1">
      <c r="A920" s="114"/>
      <c r="B920" s="228" t="s">
        <v>867</v>
      </c>
      <c r="C920" s="126" t="s">
        <v>159</v>
      </c>
      <c r="D920" s="227">
        <v>76</v>
      </c>
      <c r="E920" s="69">
        <v>5</v>
      </c>
      <c r="G920" s="69">
        <v>3030</v>
      </c>
    </row>
    <row r="921" spans="1:7" ht="15" hidden="1" customHeight="1" outlineLevel="1">
      <c r="A921" s="114"/>
      <c r="B921" s="228" t="s">
        <v>868</v>
      </c>
      <c r="C921" s="126" t="s">
        <v>159</v>
      </c>
      <c r="D921" s="227">
        <v>89</v>
      </c>
      <c r="E921" s="69">
        <v>2.5</v>
      </c>
      <c r="G921" s="69">
        <v>1760</v>
      </c>
    </row>
    <row r="922" spans="1:7" ht="15" hidden="1" customHeight="1" outlineLevel="1">
      <c r="A922" s="114"/>
      <c r="B922" s="228" t="s">
        <v>869</v>
      </c>
      <c r="C922" s="126" t="s">
        <v>159</v>
      </c>
      <c r="D922" s="227">
        <v>89</v>
      </c>
      <c r="E922" s="69">
        <v>3</v>
      </c>
      <c r="G922" s="69">
        <v>1890</v>
      </c>
    </row>
    <row r="923" spans="1:7" ht="15" hidden="1" customHeight="1" outlineLevel="1">
      <c r="A923" s="114"/>
      <c r="B923" s="228" t="s">
        <v>870</v>
      </c>
      <c r="C923" s="126" t="s">
        <v>159</v>
      </c>
      <c r="D923" s="227">
        <v>89</v>
      </c>
      <c r="E923" s="69">
        <v>3.5</v>
      </c>
      <c r="G923" s="69">
        <v>2060</v>
      </c>
    </row>
    <row r="924" spans="1:7" ht="15" hidden="1" customHeight="1" outlineLevel="1">
      <c r="A924" s="114"/>
      <c r="B924" s="228" t="s">
        <v>871</v>
      </c>
      <c r="C924" s="126" t="s">
        <v>159</v>
      </c>
      <c r="D924" s="227">
        <v>89</v>
      </c>
      <c r="E924" s="69">
        <v>4</v>
      </c>
      <c r="G924" s="69">
        <v>2230</v>
      </c>
    </row>
    <row r="925" spans="1:7" ht="15" hidden="1" customHeight="1" outlineLevel="1">
      <c r="A925" s="114"/>
      <c r="B925" s="228" t="s">
        <v>872</v>
      </c>
      <c r="C925" s="126" t="s">
        <v>159</v>
      </c>
      <c r="D925" s="227">
        <v>89</v>
      </c>
      <c r="E925" s="69">
        <v>4.5</v>
      </c>
      <c r="G925" s="69">
        <v>2400</v>
      </c>
    </row>
    <row r="926" spans="1:7" ht="15" hidden="1" customHeight="1" outlineLevel="1">
      <c r="A926" s="114"/>
      <c r="B926" s="228" t="s">
        <v>873</v>
      </c>
      <c r="C926" s="126" t="s">
        <v>159</v>
      </c>
      <c r="D926" s="227">
        <v>89</v>
      </c>
      <c r="E926" s="69">
        <v>5</v>
      </c>
      <c r="G926" s="69">
        <v>2570</v>
      </c>
    </row>
    <row r="927" spans="1:7" ht="15" hidden="1" customHeight="1" outlineLevel="1">
      <c r="A927" s="114"/>
      <c r="B927" s="228" t="s">
        <v>874</v>
      </c>
      <c r="C927" s="126" t="s">
        <v>159</v>
      </c>
      <c r="D927" s="227">
        <v>89</v>
      </c>
      <c r="E927" s="69">
        <v>2.5</v>
      </c>
      <c r="G927" s="69">
        <v>1960</v>
      </c>
    </row>
    <row r="928" spans="1:7" ht="15" hidden="1" customHeight="1" outlineLevel="1">
      <c r="A928" s="114"/>
      <c r="B928" s="228" t="s">
        <v>875</v>
      </c>
      <c r="C928" s="126" t="s">
        <v>159</v>
      </c>
      <c r="D928" s="227">
        <v>89</v>
      </c>
      <c r="E928" s="69">
        <v>3</v>
      </c>
      <c r="G928" s="69">
        <v>2160</v>
      </c>
    </row>
    <row r="929" spans="1:7" ht="15" hidden="1" customHeight="1" outlineLevel="1">
      <c r="A929" s="114"/>
      <c r="B929" s="228" t="s">
        <v>876</v>
      </c>
      <c r="C929" s="126" t="s">
        <v>159</v>
      </c>
      <c r="D929" s="227">
        <v>89</v>
      </c>
      <c r="E929" s="69">
        <v>3.5</v>
      </c>
      <c r="G929" s="69">
        <v>2360</v>
      </c>
    </row>
    <row r="930" spans="1:7" ht="15" hidden="1" customHeight="1" outlineLevel="1">
      <c r="A930" s="114"/>
      <c r="B930" s="228" t="s">
        <v>877</v>
      </c>
      <c r="C930" s="126" t="s">
        <v>159</v>
      </c>
      <c r="D930" s="227">
        <v>89</v>
      </c>
      <c r="E930" s="69">
        <v>4</v>
      </c>
      <c r="G930" s="69">
        <v>2560</v>
      </c>
    </row>
    <row r="931" spans="1:7" ht="15" hidden="1" customHeight="1" outlineLevel="1">
      <c r="A931" s="114"/>
      <c r="B931" s="228" t="s">
        <v>878</v>
      </c>
      <c r="C931" s="126" t="s">
        <v>159</v>
      </c>
      <c r="D931" s="227">
        <v>89</v>
      </c>
      <c r="E931" s="69">
        <v>4.5</v>
      </c>
      <c r="G931" s="69">
        <v>2760</v>
      </c>
    </row>
    <row r="932" spans="1:7" ht="15" hidden="1" customHeight="1" outlineLevel="1">
      <c r="A932" s="114"/>
      <c r="B932" s="228" t="s">
        <v>879</v>
      </c>
      <c r="C932" s="126" t="s">
        <v>159</v>
      </c>
      <c r="D932" s="227">
        <v>89</v>
      </c>
      <c r="E932" s="69">
        <v>5</v>
      </c>
      <c r="G932" s="69">
        <v>2960</v>
      </c>
    </row>
    <row r="933" spans="1:7" ht="15" hidden="1" customHeight="1" outlineLevel="1">
      <c r="A933" s="114"/>
      <c r="B933" s="228" t="s">
        <v>880</v>
      </c>
      <c r="C933" s="126" t="s">
        <v>159</v>
      </c>
      <c r="D933" s="227">
        <v>108</v>
      </c>
      <c r="E933" s="69">
        <v>2.5</v>
      </c>
      <c r="G933" s="81">
        <v>1950</v>
      </c>
    </row>
    <row r="934" spans="1:7" ht="15" hidden="1" customHeight="1" outlineLevel="1">
      <c r="A934" s="114"/>
      <c r="B934" s="228" t="s">
        <v>881</v>
      </c>
      <c r="C934" s="126" t="s">
        <v>159</v>
      </c>
      <c r="D934" s="227">
        <v>108</v>
      </c>
      <c r="E934" s="69">
        <v>3</v>
      </c>
      <c r="G934" s="81">
        <v>2240</v>
      </c>
    </row>
    <row r="935" spans="1:7" ht="15" hidden="1" customHeight="1" outlineLevel="1">
      <c r="A935" s="114"/>
      <c r="B935" s="228" t="s">
        <v>882</v>
      </c>
      <c r="C935" s="126" t="s">
        <v>159</v>
      </c>
      <c r="D935" s="227">
        <v>108</v>
      </c>
      <c r="E935" s="69">
        <v>3.5</v>
      </c>
      <c r="G935" s="81">
        <v>2420</v>
      </c>
    </row>
    <row r="936" spans="1:7" ht="15" hidden="1" customHeight="1" outlineLevel="1">
      <c r="A936" s="114"/>
      <c r="B936" s="228" t="s">
        <v>883</v>
      </c>
      <c r="C936" s="126" t="s">
        <v>159</v>
      </c>
      <c r="D936" s="227">
        <v>108</v>
      </c>
      <c r="E936" s="69">
        <v>4</v>
      </c>
      <c r="G936" s="81">
        <v>2700</v>
      </c>
    </row>
    <row r="937" spans="1:7" ht="15" hidden="1" customHeight="1" outlineLevel="1">
      <c r="A937" s="114"/>
      <c r="B937" s="228" t="s">
        <v>884</v>
      </c>
      <c r="C937" s="126" t="s">
        <v>159</v>
      </c>
      <c r="D937" s="227">
        <v>108</v>
      </c>
      <c r="E937" s="69">
        <v>4.5</v>
      </c>
      <c r="G937" s="81">
        <v>2880</v>
      </c>
    </row>
    <row r="938" spans="1:7" ht="15" hidden="1" customHeight="1" outlineLevel="1">
      <c r="A938" s="114"/>
      <c r="B938" s="228" t="s">
        <v>885</v>
      </c>
      <c r="C938" s="126" t="s">
        <v>159</v>
      </c>
      <c r="D938" s="227">
        <v>108</v>
      </c>
      <c r="E938" s="69">
        <v>5</v>
      </c>
      <c r="G938" s="81">
        <v>3000</v>
      </c>
    </row>
    <row r="939" spans="1:7" ht="15" hidden="1" customHeight="1" outlineLevel="1">
      <c r="A939" s="114"/>
      <c r="B939" s="228" t="s">
        <v>886</v>
      </c>
      <c r="C939" s="126" t="s">
        <v>159</v>
      </c>
      <c r="D939" s="227">
        <v>108</v>
      </c>
      <c r="E939" s="69">
        <v>2.5</v>
      </c>
      <c r="G939" s="69">
        <v>2150</v>
      </c>
    </row>
    <row r="940" spans="1:7" ht="15" hidden="1" customHeight="1" outlineLevel="1">
      <c r="A940" s="114"/>
      <c r="B940" s="228" t="s">
        <v>887</v>
      </c>
      <c r="C940" s="126" t="s">
        <v>159</v>
      </c>
      <c r="D940" s="227">
        <v>108</v>
      </c>
      <c r="E940" s="69">
        <v>3</v>
      </c>
      <c r="G940" s="69">
        <v>2350</v>
      </c>
    </row>
    <row r="941" spans="1:7" ht="15" hidden="1" customHeight="1" outlineLevel="1">
      <c r="A941" s="114"/>
      <c r="B941" s="228" t="s">
        <v>888</v>
      </c>
      <c r="C941" s="126" t="s">
        <v>159</v>
      </c>
      <c r="D941" s="227">
        <v>108</v>
      </c>
      <c r="E941" s="69">
        <v>3.5</v>
      </c>
      <c r="G941" s="69">
        <v>2550</v>
      </c>
    </row>
    <row r="942" spans="1:7" ht="15" hidden="1" customHeight="1" outlineLevel="1">
      <c r="A942" s="114"/>
      <c r="B942" s="228" t="s">
        <v>889</v>
      </c>
      <c r="C942" s="126" t="s">
        <v>159</v>
      </c>
      <c r="D942" s="227">
        <v>108</v>
      </c>
      <c r="E942" s="69">
        <v>4</v>
      </c>
      <c r="G942" s="69">
        <v>2750</v>
      </c>
    </row>
    <row r="943" spans="1:7" ht="15" hidden="1" customHeight="1" outlineLevel="1">
      <c r="A943" s="114"/>
      <c r="B943" s="228" t="s">
        <v>890</v>
      </c>
      <c r="C943" s="126" t="s">
        <v>159</v>
      </c>
      <c r="D943" s="227">
        <v>108</v>
      </c>
      <c r="E943" s="69">
        <v>4.5</v>
      </c>
      <c r="G943" s="69">
        <v>2950</v>
      </c>
    </row>
    <row r="944" spans="1:7" ht="15" hidden="1" customHeight="1" outlineLevel="1">
      <c r="A944" s="114"/>
      <c r="B944" s="228" t="s">
        <v>891</v>
      </c>
      <c r="C944" s="126" t="s">
        <v>159</v>
      </c>
      <c r="D944" s="227">
        <v>108</v>
      </c>
      <c r="E944" s="69">
        <v>5</v>
      </c>
      <c r="G944" s="69">
        <v>3150</v>
      </c>
    </row>
    <row r="945" spans="1:7" ht="15" hidden="1" customHeight="1" outlineLevel="1">
      <c r="A945" s="114"/>
      <c r="B945" s="228" t="s">
        <v>892</v>
      </c>
      <c r="C945" s="126" t="s">
        <v>159</v>
      </c>
      <c r="D945" s="227">
        <v>122</v>
      </c>
      <c r="E945" s="69">
        <v>2.5</v>
      </c>
      <c r="G945" s="69">
        <v>2150</v>
      </c>
    </row>
    <row r="946" spans="1:7" ht="15" hidden="1" customHeight="1" outlineLevel="1">
      <c r="A946" s="114"/>
      <c r="B946" s="228" t="s">
        <v>893</v>
      </c>
      <c r="C946" s="126" t="s">
        <v>159</v>
      </c>
      <c r="D946" s="227">
        <v>122</v>
      </c>
      <c r="E946" s="69">
        <v>3</v>
      </c>
      <c r="G946" s="69">
        <v>2340</v>
      </c>
    </row>
    <row r="947" spans="1:7" ht="15" hidden="1" customHeight="1" outlineLevel="1">
      <c r="A947" s="114"/>
      <c r="B947" s="228" t="s">
        <v>894</v>
      </c>
      <c r="C947" s="126" t="s">
        <v>159</v>
      </c>
      <c r="D947" s="227">
        <v>122</v>
      </c>
      <c r="E947" s="69">
        <v>3.5</v>
      </c>
      <c r="G947" s="69">
        <v>2530</v>
      </c>
    </row>
    <row r="948" spans="1:7" ht="15" hidden="1" customHeight="1" outlineLevel="1">
      <c r="A948" s="114"/>
      <c r="B948" s="228" t="s">
        <v>895</v>
      </c>
      <c r="C948" s="126" t="s">
        <v>159</v>
      </c>
      <c r="D948" s="227">
        <v>122</v>
      </c>
      <c r="E948" s="69">
        <v>4</v>
      </c>
      <c r="G948" s="69">
        <v>2720</v>
      </c>
    </row>
    <row r="949" spans="1:7" ht="15" hidden="1" customHeight="1" outlineLevel="1">
      <c r="A949" s="114"/>
      <c r="B949" s="228" t="s">
        <v>896</v>
      </c>
      <c r="C949" s="126" t="s">
        <v>159</v>
      </c>
      <c r="D949" s="227">
        <v>122</v>
      </c>
      <c r="E949" s="69">
        <v>4.5</v>
      </c>
      <c r="G949" s="69">
        <v>2910</v>
      </c>
    </row>
    <row r="950" spans="1:7" ht="15" hidden="1" customHeight="1" outlineLevel="1">
      <c r="A950" s="114"/>
      <c r="B950" s="228" t="s">
        <v>897</v>
      </c>
      <c r="C950" s="126" t="s">
        <v>159</v>
      </c>
      <c r="D950" s="227">
        <v>122</v>
      </c>
      <c r="E950" s="69">
        <v>5</v>
      </c>
      <c r="G950" s="69">
        <v>3100</v>
      </c>
    </row>
    <row r="951" spans="1:7" ht="15" hidden="1" customHeight="1" outlineLevel="1">
      <c r="A951" s="114"/>
      <c r="B951" s="228" t="s">
        <v>898</v>
      </c>
      <c r="C951" s="126" t="s">
        <v>159</v>
      </c>
      <c r="D951" s="227">
        <v>122</v>
      </c>
      <c r="E951" s="69">
        <v>2.5</v>
      </c>
      <c r="G951" s="69">
        <v>2350</v>
      </c>
    </row>
    <row r="952" spans="1:7" ht="15" hidden="1" customHeight="1" outlineLevel="1">
      <c r="A952" s="114"/>
      <c r="B952" s="228" t="s">
        <v>899</v>
      </c>
      <c r="C952" s="126" t="s">
        <v>159</v>
      </c>
      <c r="D952" s="227">
        <v>122</v>
      </c>
      <c r="E952" s="69">
        <v>3</v>
      </c>
      <c r="G952" s="69">
        <v>2550</v>
      </c>
    </row>
    <row r="953" spans="1:7" ht="15" hidden="1" customHeight="1" outlineLevel="1">
      <c r="A953" s="114"/>
      <c r="B953" s="228" t="s">
        <v>900</v>
      </c>
      <c r="C953" s="126" t="s">
        <v>159</v>
      </c>
      <c r="D953" s="227">
        <v>122</v>
      </c>
      <c r="E953" s="69">
        <v>3.5</v>
      </c>
      <c r="G953" s="69">
        <v>2750</v>
      </c>
    </row>
    <row r="954" spans="1:7" ht="15" hidden="1" customHeight="1" outlineLevel="1">
      <c r="A954" s="114"/>
      <c r="B954" s="228" t="s">
        <v>901</v>
      </c>
      <c r="C954" s="126" t="s">
        <v>159</v>
      </c>
      <c r="D954" s="227">
        <v>122</v>
      </c>
      <c r="E954" s="69">
        <v>4</v>
      </c>
      <c r="G954" s="69">
        <v>2950</v>
      </c>
    </row>
    <row r="955" spans="1:7" ht="15" hidden="1" customHeight="1" outlineLevel="1">
      <c r="A955" s="114"/>
      <c r="B955" s="228" t="s">
        <v>902</v>
      </c>
      <c r="C955" s="126" t="s">
        <v>159</v>
      </c>
      <c r="D955" s="227">
        <v>122</v>
      </c>
      <c r="E955" s="69">
        <v>4.5</v>
      </c>
      <c r="G955" s="69">
        <v>3150</v>
      </c>
    </row>
    <row r="956" spans="1:7" ht="15" hidden="1" customHeight="1" outlineLevel="1">
      <c r="A956" s="114"/>
      <c r="B956" s="228" t="s">
        <v>903</v>
      </c>
      <c r="C956" s="126" t="s">
        <v>159</v>
      </c>
      <c r="D956" s="227">
        <v>122</v>
      </c>
      <c r="E956" s="69">
        <v>5</v>
      </c>
      <c r="G956" s="69">
        <v>3350</v>
      </c>
    </row>
    <row r="957" spans="1:7" ht="15" hidden="1" customHeight="1" outlineLevel="1">
      <c r="A957" s="114"/>
      <c r="B957" s="228" t="s">
        <v>904</v>
      </c>
      <c r="C957" s="126" t="s">
        <v>159</v>
      </c>
      <c r="D957" s="227">
        <v>133</v>
      </c>
      <c r="E957" s="69">
        <v>2.5</v>
      </c>
      <c r="G957" s="69">
        <v>2450</v>
      </c>
    </row>
    <row r="958" spans="1:7" ht="15" hidden="1" customHeight="1" outlineLevel="1">
      <c r="A958" s="114"/>
      <c r="B958" s="228" t="s">
        <v>905</v>
      </c>
      <c r="C958" s="126" t="s">
        <v>159</v>
      </c>
      <c r="D958" s="227">
        <v>133</v>
      </c>
      <c r="E958" s="69">
        <v>3</v>
      </c>
      <c r="G958" s="69">
        <v>2650</v>
      </c>
    </row>
    <row r="959" spans="1:7" ht="15" hidden="1" customHeight="1" outlineLevel="1">
      <c r="A959" s="114"/>
      <c r="B959" s="228" t="s">
        <v>906</v>
      </c>
      <c r="C959" s="126" t="s">
        <v>159</v>
      </c>
      <c r="D959" s="227">
        <v>133</v>
      </c>
      <c r="E959" s="69">
        <v>3.5</v>
      </c>
      <c r="G959" s="69">
        <v>2850</v>
      </c>
    </row>
    <row r="960" spans="1:7" ht="15" hidden="1" customHeight="1" outlineLevel="1">
      <c r="A960" s="114"/>
      <c r="B960" s="228" t="s">
        <v>907</v>
      </c>
      <c r="C960" s="126" t="s">
        <v>159</v>
      </c>
      <c r="D960" s="227">
        <v>133</v>
      </c>
      <c r="E960" s="69">
        <v>4</v>
      </c>
      <c r="G960" s="69">
        <v>3050</v>
      </c>
    </row>
    <row r="961" spans="1:7" ht="15" hidden="1" customHeight="1" outlineLevel="1">
      <c r="A961" s="114"/>
      <c r="B961" s="228" t="s">
        <v>908</v>
      </c>
      <c r="C961" s="126" t="s">
        <v>159</v>
      </c>
      <c r="D961" s="227">
        <v>133</v>
      </c>
      <c r="E961" s="69">
        <v>4.5</v>
      </c>
      <c r="G961" s="69">
        <v>3250</v>
      </c>
    </row>
    <row r="962" spans="1:7" ht="15" hidden="1" customHeight="1" outlineLevel="1">
      <c r="A962" s="114"/>
      <c r="B962" s="228" t="s">
        <v>909</v>
      </c>
      <c r="C962" s="126" t="s">
        <v>159</v>
      </c>
      <c r="D962" s="227">
        <v>133</v>
      </c>
      <c r="E962" s="69">
        <v>5</v>
      </c>
      <c r="G962" s="69">
        <v>3450</v>
      </c>
    </row>
    <row r="963" spans="1:7" ht="15" hidden="1" customHeight="1" outlineLevel="1">
      <c r="A963" s="114"/>
      <c r="B963" s="228" t="s">
        <v>910</v>
      </c>
      <c r="C963" s="126" t="s">
        <v>159</v>
      </c>
      <c r="D963" s="227">
        <v>133</v>
      </c>
      <c r="E963" s="69">
        <v>2.5</v>
      </c>
      <c r="G963" s="69">
        <v>2650</v>
      </c>
    </row>
    <row r="964" spans="1:7" ht="15" hidden="1" customHeight="1" outlineLevel="1">
      <c r="A964" s="114"/>
      <c r="B964" s="228" t="s">
        <v>911</v>
      </c>
      <c r="C964" s="126" t="s">
        <v>159</v>
      </c>
      <c r="D964" s="227">
        <v>133</v>
      </c>
      <c r="E964" s="69">
        <v>3</v>
      </c>
      <c r="G964" s="69">
        <v>2850</v>
      </c>
    </row>
    <row r="965" spans="1:7" ht="15" hidden="1" customHeight="1" outlineLevel="1">
      <c r="A965" s="114"/>
      <c r="B965" s="228" t="s">
        <v>912</v>
      </c>
      <c r="C965" s="126" t="s">
        <v>159</v>
      </c>
      <c r="D965" s="227">
        <v>133</v>
      </c>
      <c r="E965" s="69">
        <v>3.5</v>
      </c>
      <c r="G965" s="69">
        <v>3050</v>
      </c>
    </row>
    <row r="966" spans="1:7" ht="15" hidden="1" customHeight="1" outlineLevel="1">
      <c r="A966" s="114"/>
      <c r="B966" s="228" t="s">
        <v>913</v>
      </c>
      <c r="C966" s="126" t="s">
        <v>159</v>
      </c>
      <c r="D966" s="227">
        <v>133</v>
      </c>
      <c r="E966" s="69">
        <v>4</v>
      </c>
      <c r="G966" s="69">
        <v>3250</v>
      </c>
    </row>
    <row r="967" spans="1:7" ht="15" hidden="1" customHeight="1" outlineLevel="1">
      <c r="A967" s="114"/>
      <c r="B967" s="228" t="s">
        <v>914</v>
      </c>
      <c r="C967" s="126" t="s">
        <v>159</v>
      </c>
      <c r="D967" s="227">
        <v>133</v>
      </c>
      <c r="E967" s="69">
        <v>4.5</v>
      </c>
      <c r="G967" s="69">
        <v>3450</v>
      </c>
    </row>
    <row r="968" spans="1:7" ht="15" hidden="1" customHeight="1" outlineLevel="1">
      <c r="A968" s="114"/>
      <c r="B968" s="228" t="s">
        <v>915</v>
      </c>
      <c r="C968" s="126" t="s">
        <v>159</v>
      </c>
      <c r="D968" s="227">
        <v>133</v>
      </c>
      <c r="E968" s="69">
        <v>5</v>
      </c>
      <c r="G968" s="69">
        <v>3650</v>
      </c>
    </row>
    <row r="969" spans="1:7" ht="15" hidden="1" customHeight="1" outlineLevel="1">
      <c r="A969" s="114"/>
      <c r="B969" s="229" t="s">
        <v>916</v>
      </c>
      <c r="C969" s="99" t="s">
        <v>159</v>
      </c>
      <c r="G969" s="100">
        <v>200</v>
      </c>
    </row>
    <row r="970" spans="1:7" ht="15" hidden="1" customHeight="1" outlineLevel="1">
      <c r="A970" s="114"/>
      <c r="B970" s="229" t="s">
        <v>917</v>
      </c>
      <c r="C970" s="99" t="s">
        <v>159</v>
      </c>
      <c r="D970" s="17"/>
      <c r="E970" s="17"/>
      <c r="F970" s="142"/>
      <c r="G970" s="142">
        <v>250</v>
      </c>
    </row>
    <row r="971" spans="1:7" ht="15" hidden="1" customHeight="1" outlineLevel="1">
      <c r="A971" s="114"/>
      <c r="B971" s="229" t="s">
        <v>918</v>
      </c>
      <c r="C971" s="99" t="s">
        <v>159</v>
      </c>
      <c r="G971" s="100">
        <v>150</v>
      </c>
    </row>
    <row r="972" spans="1:7" ht="15" hidden="1" customHeight="1" outlineLevel="1">
      <c r="A972" s="114"/>
      <c r="B972" s="229" t="s">
        <v>919</v>
      </c>
      <c r="C972" s="99" t="s">
        <v>159</v>
      </c>
      <c r="G972" s="69">
        <v>300</v>
      </c>
    </row>
    <row r="973" spans="1:7" ht="15" hidden="1" customHeight="1" outlineLevel="1">
      <c r="A973" s="114"/>
      <c r="B973" s="98"/>
      <c r="C973" s="99"/>
      <c r="G973" s="69"/>
    </row>
    <row r="974" spans="1:7" ht="15" hidden="1" customHeight="1" outlineLevel="1">
      <c r="A974" s="114"/>
      <c r="B974" s="229" t="s">
        <v>920</v>
      </c>
      <c r="C974" s="99" t="s">
        <v>156</v>
      </c>
      <c r="G974" s="100">
        <v>100</v>
      </c>
    </row>
    <row r="975" spans="1:7" ht="15" hidden="1" customHeight="1" outlineLevel="1">
      <c r="A975" s="114"/>
      <c r="B975" s="230"/>
      <c r="C975" s="126"/>
      <c r="G975" s="69"/>
    </row>
    <row r="976" spans="1:7" ht="15" customHeight="1">
      <c r="A976" s="12" t="s">
        <v>852</v>
      </c>
      <c r="B976" s="12"/>
      <c r="C976" s="16"/>
      <c r="G976" s="16"/>
    </row>
    <row r="977" spans="1:7" ht="15" hidden="1" customHeight="1" outlineLevel="1">
      <c r="A977" s="3049" t="s">
        <v>921</v>
      </c>
      <c r="B977" s="3049"/>
      <c r="C977" s="189" t="s">
        <v>256</v>
      </c>
      <c r="D977" s="231" t="s">
        <v>273</v>
      </c>
      <c r="E977" s="77" t="s">
        <v>209</v>
      </c>
      <c r="F977" s="53" t="s">
        <v>922</v>
      </c>
      <c r="G977" s="53" t="s">
        <v>132</v>
      </c>
    </row>
    <row r="978" spans="1:7" s="70" customFormat="1" ht="15" hidden="1" customHeight="1" outlineLevel="1">
      <c r="A978" s="232"/>
      <c r="B978" s="228" t="s">
        <v>294</v>
      </c>
      <c r="C978" s="227"/>
      <c r="D978" s="233"/>
      <c r="E978" s="126"/>
      <c r="F978" s="69"/>
      <c r="G978" s="69">
        <v>0</v>
      </c>
    </row>
    <row r="979" spans="1:7" ht="15" hidden="1" customHeight="1" outlineLevel="1">
      <c r="A979" s="234"/>
      <c r="B979" s="235" t="s">
        <v>923</v>
      </c>
      <c r="C979" s="135">
        <v>65</v>
      </c>
      <c r="D979" s="236">
        <v>85</v>
      </c>
      <c r="E979" s="38">
        <v>250</v>
      </c>
      <c r="F979" s="35">
        <v>11.59</v>
      </c>
      <c r="G979" s="34">
        <f t="shared" ref="G979:G992" si="13">F979*723</f>
        <v>8379.57</v>
      </c>
    </row>
    <row r="980" spans="1:7" ht="15" hidden="1" customHeight="1" outlineLevel="1">
      <c r="A980" s="234"/>
      <c r="B980" s="235" t="s">
        <v>924</v>
      </c>
      <c r="C980" s="135">
        <v>65</v>
      </c>
      <c r="D980" s="236">
        <v>85</v>
      </c>
      <c r="E980" s="38">
        <v>250</v>
      </c>
      <c r="F980" s="35">
        <v>17.079999999999998</v>
      </c>
      <c r="G980" s="34">
        <f t="shared" si="13"/>
        <v>12348.839999999998</v>
      </c>
    </row>
    <row r="981" spans="1:7" ht="15" hidden="1" customHeight="1" outlineLevel="1">
      <c r="A981" s="234"/>
      <c r="B981" s="235" t="s">
        <v>925</v>
      </c>
      <c r="C981" s="135">
        <v>65</v>
      </c>
      <c r="D981" s="236">
        <v>85</v>
      </c>
      <c r="E981" s="38">
        <v>250</v>
      </c>
      <c r="F981" s="35">
        <v>17.079999999999998</v>
      </c>
      <c r="G981" s="34">
        <f t="shared" si="13"/>
        <v>12348.839999999998</v>
      </c>
    </row>
    <row r="982" spans="1:7" ht="15" hidden="1" customHeight="1" outlineLevel="1">
      <c r="A982" s="234"/>
      <c r="B982" s="235" t="s">
        <v>926</v>
      </c>
      <c r="C982" s="135">
        <v>65</v>
      </c>
      <c r="D982" s="236">
        <v>85</v>
      </c>
      <c r="E982" s="38">
        <v>250</v>
      </c>
      <c r="F982" s="35">
        <v>17.079999999999998</v>
      </c>
      <c r="G982" s="34">
        <f t="shared" si="13"/>
        <v>12348.839999999998</v>
      </c>
    </row>
    <row r="983" spans="1:7" ht="15" hidden="1" customHeight="1" outlineLevel="1">
      <c r="A983" s="234"/>
      <c r="B983" s="235" t="s">
        <v>927</v>
      </c>
      <c r="C983" s="135">
        <v>65</v>
      </c>
      <c r="D983" s="236">
        <v>85</v>
      </c>
      <c r="E983" s="38">
        <v>250</v>
      </c>
      <c r="F983" s="35">
        <v>17.079999999999998</v>
      </c>
      <c r="G983" s="34">
        <f t="shared" si="13"/>
        <v>12348.839999999998</v>
      </c>
    </row>
    <row r="984" spans="1:7" ht="15" hidden="1" customHeight="1" outlineLevel="1">
      <c r="A984" s="234"/>
      <c r="B984" s="235" t="s">
        <v>928</v>
      </c>
      <c r="C984" s="135">
        <v>65</v>
      </c>
      <c r="D984" s="236">
        <v>85</v>
      </c>
      <c r="E984" s="38">
        <v>250</v>
      </c>
      <c r="F984" s="35">
        <v>17.079999999999998</v>
      </c>
      <c r="G984" s="34">
        <f t="shared" si="13"/>
        <v>12348.839999999998</v>
      </c>
    </row>
    <row r="985" spans="1:7" ht="15" hidden="1" customHeight="1" outlineLevel="1">
      <c r="A985" s="234"/>
      <c r="B985" s="235" t="s">
        <v>929</v>
      </c>
      <c r="C985" s="135">
        <v>65</v>
      </c>
      <c r="D985" s="236">
        <v>85</v>
      </c>
      <c r="E985" s="38">
        <v>250</v>
      </c>
      <c r="F985" s="35">
        <v>17.079999999999998</v>
      </c>
      <c r="G985" s="34">
        <f t="shared" si="13"/>
        <v>12348.839999999998</v>
      </c>
    </row>
    <row r="986" spans="1:7" ht="15" hidden="1" customHeight="1" outlineLevel="1">
      <c r="A986" s="234"/>
      <c r="B986" s="235" t="s">
        <v>930</v>
      </c>
      <c r="C986" s="135">
        <v>65</v>
      </c>
      <c r="D986" s="236">
        <v>85</v>
      </c>
      <c r="E986" s="38">
        <v>250</v>
      </c>
      <c r="F986" s="35">
        <v>20.77</v>
      </c>
      <c r="G986" s="34">
        <f t="shared" si="13"/>
        <v>15016.71</v>
      </c>
    </row>
    <row r="987" spans="1:7" ht="15" hidden="1" customHeight="1" outlineLevel="1">
      <c r="A987" s="234"/>
      <c r="B987" s="235" t="s">
        <v>931</v>
      </c>
      <c r="C987" s="135">
        <v>65</v>
      </c>
      <c r="D987" s="236">
        <v>85</v>
      </c>
      <c r="E987" s="38">
        <v>250</v>
      </c>
      <c r="F987" s="35">
        <v>18.329999999999998</v>
      </c>
      <c r="G987" s="34">
        <f t="shared" si="13"/>
        <v>13252.589999999998</v>
      </c>
    </row>
    <row r="988" spans="1:7" ht="15" hidden="1" customHeight="1" outlineLevel="1">
      <c r="A988" s="234"/>
      <c r="B988" s="235" t="s">
        <v>932</v>
      </c>
      <c r="C988" s="135">
        <v>65</v>
      </c>
      <c r="D988" s="236">
        <v>85</v>
      </c>
      <c r="E988" s="38">
        <v>250</v>
      </c>
      <c r="F988" s="35">
        <v>20.76</v>
      </c>
      <c r="G988" s="34">
        <f t="shared" si="13"/>
        <v>15009.480000000001</v>
      </c>
    </row>
    <row r="989" spans="1:7" ht="15" hidden="1" customHeight="1" outlineLevel="1">
      <c r="A989" s="234"/>
      <c r="B989" s="235" t="s">
        <v>933</v>
      </c>
      <c r="C989" s="135">
        <v>65</v>
      </c>
      <c r="D989" s="236">
        <v>85</v>
      </c>
      <c r="E989" s="38">
        <v>250</v>
      </c>
      <c r="F989" s="35">
        <v>20.76</v>
      </c>
      <c r="G989" s="34">
        <f t="shared" si="13"/>
        <v>15009.480000000001</v>
      </c>
    </row>
    <row r="990" spans="1:7" ht="15" hidden="1" customHeight="1" outlineLevel="1">
      <c r="A990" s="234"/>
      <c r="B990" s="235" t="s">
        <v>934</v>
      </c>
      <c r="C990" s="135">
        <v>65</v>
      </c>
      <c r="D990" s="236">
        <v>85</v>
      </c>
      <c r="E990" s="38">
        <v>250</v>
      </c>
      <c r="F990" s="35">
        <v>20.76</v>
      </c>
      <c r="G990" s="34">
        <f t="shared" si="13"/>
        <v>15009.480000000001</v>
      </c>
    </row>
    <row r="991" spans="1:7" ht="15" hidden="1" customHeight="1" outlineLevel="1">
      <c r="A991" s="234"/>
      <c r="B991" s="235" t="s">
        <v>935</v>
      </c>
      <c r="C991" s="135">
        <v>65</v>
      </c>
      <c r="D991" s="236">
        <v>85</v>
      </c>
      <c r="E991" s="38">
        <v>250</v>
      </c>
      <c r="F991" s="35">
        <v>22.73</v>
      </c>
      <c r="G991" s="34">
        <f t="shared" si="13"/>
        <v>16433.79</v>
      </c>
    </row>
    <row r="992" spans="1:7" ht="15" hidden="1" customHeight="1" outlineLevel="1">
      <c r="A992" s="234"/>
      <c r="B992" s="235" t="s">
        <v>936</v>
      </c>
      <c r="C992" s="135">
        <v>65</v>
      </c>
      <c r="D992" s="236">
        <v>85</v>
      </c>
      <c r="E992" s="38">
        <v>250</v>
      </c>
      <c r="F992" s="35">
        <v>20.76</v>
      </c>
      <c r="G992" s="34">
        <f t="shared" si="13"/>
        <v>15009.480000000001</v>
      </c>
    </row>
    <row r="993" spans="1:7" ht="15" hidden="1" customHeight="1" outlineLevel="1">
      <c r="A993" s="234"/>
      <c r="B993" s="235" t="s">
        <v>937</v>
      </c>
      <c r="C993" s="135">
        <v>65</v>
      </c>
      <c r="D993" s="236">
        <v>120</v>
      </c>
      <c r="E993" s="38">
        <v>250</v>
      </c>
      <c r="F993" s="35">
        <v>13.63</v>
      </c>
      <c r="G993" s="34">
        <f t="shared" ref="G993:G1008" si="14">F993*512</f>
        <v>6978.56</v>
      </c>
    </row>
    <row r="994" spans="1:7" ht="15" hidden="1" customHeight="1" outlineLevel="1">
      <c r="A994" s="234"/>
      <c r="B994" s="235" t="s">
        <v>938</v>
      </c>
      <c r="C994" s="135">
        <v>65</v>
      </c>
      <c r="D994" s="236">
        <v>120</v>
      </c>
      <c r="E994" s="38">
        <v>250</v>
      </c>
      <c r="F994" s="35">
        <v>20.09</v>
      </c>
      <c r="G994" s="34">
        <f t="shared" si="14"/>
        <v>10286.08</v>
      </c>
    </row>
    <row r="995" spans="1:7" ht="15" hidden="1" customHeight="1" outlineLevel="1">
      <c r="A995" s="234"/>
      <c r="B995" s="235" t="s">
        <v>939</v>
      </c>
      <c r="C995" s="135">
        <v>65</v>
      </c>
      <c r="D995" s="236">
        <v>120</v>
      </c>
      <c r="E995" s="38">
        <v>250</v>
      </c>
      <c r="F995" s="35">
        <v>23.09</v>
      </c>
      <c r="G995" s="34">
        <f t="shared" si="14"/>
        <v>11822.08</v>
      </c>
    </row>
    <row r="996" spans="1:7" ht="15" hidden="1" customHeight="1" outlineLevel="1">
      <c r="A996" s="234"/>
      <c r="B996" s="235" t="s">
        <v>940</v>
      </c>
      <c r="C996" s="135">
        <v>65</v>
      </c>
      <c r="D996" s="236">
        <v>120</v>
      </c>
      <c r="E996" s="38">
        <v>250</v>
      </c>
      <c r="F996" s="35">
        <v>23.09</v>
      </c>
      <c r="G996" s="34">
        <f t="shared" si="14"/>
        <v>11822.08</v>
      </c>
    </row>
    <row r="997" spans="1:7" ht="15" hidden="1" customHeight="1" outlineLevel="1">
      <c r="A997" s="234"/>
      <c r="B997" s="235" t="s">
        <v>941</v>
      </c>
      <c r="C997" s="135">
        <v>65</v>
      </c>
      <c r="D997" s="236">
        <v>120</v>
      </c>
      <c r="E997" s="38">
        <v>250</v>
      </c>
      <c r="F997" s="35">
        <v>20.09</v>
      </c>
      <c r="G997" s="34">
        <f t="shared" si="14"/>
        <v>10286.08</v>
      </c>
    </row>
    <row r="998" spans="1:7" ht="15" hidden="1" customHeight="1" outlineLevel="1">
      <c r="A998" s="234"/>
      <c r="B998" s="235" t="s">
        <v>942</v>
      </c>
      <c r="C998" s="135">
        <v>65</v>
      </c>
      <c r="D998" s="236">
        <v>120</v>
      </c>
      <c r="E998" s="38">
        <v>250</v>
      </c>
      <c r="F998" s="35">
        <v>20.09</v>
      </c>
      <c r="G998" s="34">
        <f t="shared" si="14"/>
        <v>10286.08</v>
      </c>
    </row>
    <row r="999" spans="1:7" ht="15" hidden="1" customHeight="1" outlineLevel="1">
      <c r="A999" s="234"/>
      <c r="B999" s="235" t="s">
        <v>943</v>
      </c>
      <c r="C999" s="135">
        <v>65</v>
      </c>
      <c r="D999" s="236">
        <v>120</v>
      </c>
      <c r="E999" s="38">
        <v>250</v>
      </c>
      <c r="F999" s="35">
        <v>20.09</v>
      </c>
      <c r="G999" s="34">
        <f t="shared" si="14"/>
        <v>10286.08</v>
      </c>
    </row>
    <row r="1000" spans="1:7" ht="15" hidden="1" customHeight="1" outlineLevel="1">
      <c r="A1000" s="234"/>
      <c r="B1000" s="235" t="s">
        <v>944</v>
      </c>
      <c r="C1000" s="135">
        <v>65</v>
      </c>
      <c r="D1000" s="236">
        <v>120</v>
      </c>
      <c r="E1000" s="38">
        <v>250</v>
      </c>
      <c r="F1000" s="35">
        <v>20.09</v>
      </c>
      <c r="G1000" s="34">
        <f t="shared" si="14"/>
        <v>10286.08</v>
      </c>
    </row>
    <row r="1001" spans="1:7" ht="15" hidden="1" customHeight="1" outlineLevel="1">
      <c r="A1001" s="234"/>
      <c r="B1001" s="235" t="s">
        <v>945</v>
      </c>
      <c r="C1001" s="135">
        <v>65</v>
      </c>
      <c r="D1001" s="236">
        <v>120</v>
      </c>
      <c r="E1001" s="38">
        <v>250</v>
      </c>
      <c r="F1001" s="35">
        <v>20.09</v>
      </c>
      <c r="G1001" s="34">
        <f t="shared" si="14"/>
        <v>10286.08</v>
      </c>
    </row>
    <row r="1002" spans="1:7" ht="15" hidden="1" customHeight="1" outlineLevel="1">
      <c r="A1002" s="234"/>
      <c r="B1002" s="235" t="s">
        <v>946</v>
      </c>
      <c r="C1002" s="135">
        <v>65</v>
      </c>
      <c r="D1002" s="236">
        <v>120</v>
      </c>
      <c r="E1002" s="38">
        <v>250</v>
      </c>
      <c r="F1002" s="35">
        <v>24.43</v>
      </c>
      <c r="G1002" s="34">
        <f t="shared" si="14"/>
        <v>12508.16</v>
      </c>
    </row>
    <row r="1003" spans="1:7" ht="15" hidden="1" customHeight="1" outlineLevel="1">
      <c r="A1003" s="234"/>
      <c r="B1003" s="235" t="s">
        <v>947</v>
      </c>
      <c r="C1003" s="135">
        <v>65</v>
      </c>
      <c r="D1003" s="236">
        <v>120</v>
      </c>
      <c r="E1003" s="38">
        <v>250</v>
      </c>
      <c r="F1003" s="35">
        <v>21.57</v>
      </c>
      <c r="G1003" s="34">
        <f t="shared" si="14"/>
        <v>11043.84</v>
      </c>
    </row>
    <row r="1004" spans="1:7" ht="15" hidden="1" customHeight="1" outlineLevel="1">
      <c r="A1004" s="234"/>
      <c r="B1004" s="235" t="s">
        <v>948</v>
      </c>
      <c r="C1004" s="135">
        <v>65</v>
      </c>
      <c r="D1004" s="236">
        <v>120</v>
      </c>
      <c r="E1004" s="38">
        <v>250</v>
      </c>
      <c r="F1004" s="35">
        <v>24.43</v>
      </c>
      <c r="G1004" s="34">
        <f t="shared" si="14"/>
        <v>12508.16</v>
      </c>
    </row>
    <row r="1005" spans="1:7" ht="15" hidden="1" customHeight="1" outlineLevel="1">
      <c r="A1005" s="234"/>
      <c r="B1005" s="235" t="s">
        <v>949</v>
      </c>
      <c r="C1005" s="135">
        <v>65</v>
      </c>
      <c r="D1005" s="236">
        <v>120</v>
      </c>
      <c r="E1005" s="38">
        <v>250</v>
      </c>
      <c r="F1005" s="35">
        <v>24.43</v>
      </c>
      <c r="G1005" s="34">
        <f t="shared" si="14"/>
        <v>12508.16</v>
      </c>
    </row>
    <row r="1006" spans="1:7" ht="15" hidden="1" customHeight="1" outlineLevel="1">
      <c r="A1006" s="234"/>
      <c r="B1006" s="235" t="s">
        <v>950</v>
      </c>
      <c r="C1006" s="135">
        <v>65</v>
      </c>
      <c r="D1006" s="236">
        <v>120</v>
      </c>
      <c r="E1006" s="38">
        <v>250</v>
      </c>
      <c r="F1006" s="35">
        <v>24.43</v>
      </c>
      <c r="G1006" s="34">
        <f t="shared" si="14"/>
        <v>12508.16</v>
      </c>
    </row>
    <row r="1007" spans="1:7" ht="15" hidden="1" customHeight="1" outlineLevel="1">
      <c r="A1007" s="234"/>
      <c r="B1007" s="235" t="s">
        <v>951</v>
      </c>
      <c r="C1007" s="135">
        <v>65</v>
      </c>
      <c r="D1007" s="236">
        <v>120</v>
      </c>
      <c r="E1007" s="38">
        <v>250</v>
      </c>
      <c r="F1007" s="35">
        <v>24.43</v>
      </c>
      <c r="G1007" s="34">
        <f t="shared" si="14"/>
        <v>12508.16</v>
      </c>
    </row>
    <row r="1008" spans="1:7" ht="15" hidden="1" customHeight="1" outlineLevel="1">
      <c r="A1008" s="234"/>
      <c r="B1008" s="235" t="s">
        <v>952</v>
      </c>
      <c r="C1008" s="135">
        <v>65</v>
      </c>
      <c r="D1008" s="236">
        <v>120</v>
      </c>
      <c r="E1008" s="38">
        <v>250</v>
      </c>
      <c r="F1008" s="35">
        <v>26.87</v>
      </c>
      <c r="G1008" s="34">
        <f t="shared" si="14"/>
        <v>13757.44</v>
      </c>
    </row>
    <row r="1009" spans="1:7" ht="15" hidden="1" customHeight="1" outlineLevel="1">
      <c r="A1009" s="234"/>
      <c r="B1009" s="235" t="s">
        <v>953</v>
      </c>
      <c r="C1009" s="135">
        <v>88</v>
      </c>
      <c r="D1009" s="236">
        <v>120</v>
      </c>
      <c r="E1009" s="38">
        <v>250</v>
      </c>
      <c r="F1009" s="35">
        <v>18.39</v>
      </c>
      <c r="G1009" s="34">
        <f t="shared" ref="G1009:G1017" si="15">378*F1009</f>
        <v>6951.42</v>
      </c>
    </row>
    <row r="1010" spans="1:7" ht="15" hidden="1" customHeight="1" outlineLevel="1">
      <c r="A1010" s="234"/>
      <c r="B1010" s="235" t="s">
        <v>954</v>
      </c>
      <c r="C1010" s="135">
        <v>88</v>
      </c>
      <c r="D1010" s="236">
        <v>120</v>
      </c>
      <c r="E1010" s="38">
        <v>250</v>
      </c>
      <c r="F1010" s="35">
        <v>27.12</v>
      </c>
      <c r="G1010" s="34">
        <f t="shared" si="15"/>
        <v>10251.36</v>
      </c>
    </row>
    <row r="1011" spans="1:7" ht="15" hidden="1" customHeight="1" outlineLevel="1">
      <c r="A1011" s="234"/>
      <c r="B1011" s="235" t="s">
        <v>955</v>
      </c>
      <c r="C1011" s="135">
        <v>88</v>
      </c>
      <c r="D1011" s="236">
        <v>120</v>
      </c>
      <c r="E1011" s="38">
        <v>250</v>
      </c>
      <c r="F1011" s="35">
        <v>27.12</v>
      </c>
      <c r="G1011" s="34">
        <f t="shared" si="15"/>
        <v>10251.36</v>
      </c>
    </row>
    <row r="1012" spans="1:7" ht="15" hidden="1" customHeight="1" outlineLevel="1">
      <c r="A1012" s="234"/>
      <c r="B1012" s="235" t="s">
        <v>956</v>
      </c>
      <c r="C1012" s="135">
        <v>88</v>
      </c>
      <c r="D1012" s="236">
        <v>120</v>
      </c>
      <c r="E1012" s="38">
        <v>250</v>
      </c>
      <c r="F1012" s="35">
        <v>27.12</v>
      </c>
      <c r="G1012" s="34">
        <f t="shared" si="15"/>
        <v>10251.36</v>
      </c>
    </row>
    <row r="1013" spans="1:7" ht="15" hidden="1" customHeight="1" outlineLevel="1">
      <c r="A1013" s="234"/>
      <c r="B1013" s="235" t="s">
        <v>957</v>
      </c>
      <c r="C1013" s="135">
        <v>88</v>
      </c>
      <c r="D1013" s="236">
        <v>120</v>
      </c>
      <c r="E1013" s="38">
        <v>250</v>
      </c>
      <c r="F1013" s="35">
        <v>27.12</v>
      </c>
      <c r="G1013" s="34">
        <f t="shared" si="15"/>
        <v>10251.36</v>
      </c>
    </row>
    <row r="1014" spans="1:7" ht="15" hidden="1" customHeight="1" outlineLevel="1">
      <c r="A1014" s="234"/>
      <c r="B1014" s="235" t="s">
        <v>958</v>
      </c>
      <c r="C1014" s="135">
        <v>88</v>
      </c>
      <c r="D1014" s="236">
        <v>120</v>
      </c>
      <c r="E1014" s="38">
        <v>250</v>
      </c>
      <c r="F1014" s="35">
        <v>27.12</v>
      </c>
      <c r="G1014" s="34">
        <f t="shared" si="15"/>
        <v>10251.36</v>
      </c>
    </row>
    <row r="1015" spans="1:7" ht="15" hidden="1" customHeight="1" outlineLevel="1">
      <c r="A1015" s="234"/>
      <c r="B1015" s="235" t="s">
        <v>959</v>
      </c>
      <c r="C1015" s="135">
        <v>88</v>
      </c>
      <c r="D1015" s="236">
        <v>120</v>
      </c>
      <c r="E1015" s="38">
        <v>250</v>
      </c>
      <c r="F1015" s="35">
        <v>27.12</v>
      </c>
      <c r="G1015" s="34">
        <f t="shared" si="15"/>
        <v>10251.36</v>
      </c>
    </row>
    <row r="1016" spans="1:7" ht="15" hidden="1" customHeight="1" outlineLevel="1">
      <c r="A1016" s="234"/>
      <c r="B1016" s="235" t="s">
        <v>960</v>
      </c>
      <c r="C1016" s="135">
        <v>88</v>
      </c>
      <c r="D1016" s="236">
        <v>120</v>
      </c>
      <c r="E1016" s="38">
        <v>250</v>
      </c>
      <c r="F1016" s="35">
        <v>32.99</v>
      </c>
      <c r="G1016" s="34">
        <f t="shared" si="15"/>
        <v>12470.220000000001</v>
      </c>
    </row>
    <row r="1017" spans="1:7" ht="15" hidden="1" customHeight="1" outlineLevel="1">
      <c r="A1017" s="234"/>
      <c r="B1017" s="235" t="s">
        <v>961</v>
      </c>
      <c r="C1017" s="135">
        <v>88</v>
      </c>
      <c r="D1017" s="236">
        <v>120</v>
      </c>
      <c r="E1017" s="38">
        <v>250</v>
      </c>
      <c r="F1017" s="35">
        <v>29.12</v>
      </c>
      <c r="G1017" s="34">
        <f t="shared" si="15"/>
        <v>11007.36</v>
      </c>
    </row>
    <row r="1018" spans="1:7" ht="15" hidden="1" customHeight="1" outlineLevel="1">
      <c r="A1018" s="234"/>
      <c r="B1018" s="237" t="s">
        <v>962</v>
      </c>
      <c r="C1018" s="135"/>
      <c r="D1018" s="236"/>
      <c r="E1018" s="38"/>
      <c r="F1018" s="35"/>
      <c r="G1018" s="34"/>
    </row>
    <row r="1019" spans="1:7" ht="15" hidden="1" customHeight="1" outlineLevel="1">
      <c r="A1019" s="234"/>
      <c r="B1019" s="237" t="s">
        <v>962</v>
      </c>
      <c r="C1019" s="135"/>
      <c r="D1019" s="236"/>
      <c r="E1019" s="38"/>
      <c r="F1019" s="35"/>
      <c r="G1019" s="34"/>
    </row>
    <row r="1020" spans="1:7" ht="15" hidden="1" customHeight="1" outlineLevel="1">
      <c r="A1020" s="234"/>
      <c r="B1020" s="237" t="s">
        <v>962</v>
      </c>
      <c r="C1020" s="135"/>
      <c r="D1020" s="236"/>
      <c r="E1020" s="38"/>
      <c r="F1020" s="35"/>
      <c r="G1020" s="34"/>
    </row>
    <row r="1021" spans="1:7" ht="15" hidden="1" customHeight="1" outlineLevel="1">
      <c r="A1021" s="234"/>
      <c r="B1021" s="237" t="s">
        <v>962</v>
      </c>
      <c r="C1021" s="135"/>
      <c r="D1021" s="236"/>
      <c r="E1021" s="38"/>
      <c r="F1021" s="35"/>
      <c r="G1021" s="34"/>
    </row>
    <row r="1022" spans="1:7" ht="15" hidden="1" customHeight="1" outlineLevel="1">
      <c r="A1022" s="234"/>
      <c r="B1022" s="235" t="s">
        <v>963</v>
      </c>
      <c r="C1022" s="135">
        <v>219</v>
      </c>
      <c r="D1022" s="236">
        <v>250</v>
      </c>
      <c r="E1022" s="38">
        <v>510</v>
      </c>
      <c r="F1022" s="35">
        <v>90</v>
      </c>
      <c r="G1022" s="34">
        <v>10000</v>
      </c>
    </row>
    <row r="1023" spans="1:7" ht="15" hidden="1" customHeight="1" outlineLevel="1">
      <c r="A1023" s="234"/>
      <c r="B1023" s="235"/>
      <c r="C1023" s="135"/>
      <c r="D1023" s="236"/>
      <c r="E1023" s="38"/>
      <c r="F1023" s="35"/>
      <c r="G1023" s="34"/>
    </row>
    <row r="1024" spans="1:7" ht="15" hidden="1" customHeight="1" outlineLevel="1">
      <c r="A1024" s="234"/>
      <c r="B1024" s="238"/>
      <c r="C1024" s="135"/>
      <c r="D1024" s="236"/>
      <c r="E1024" s="38"/>
      <c r="F1024" s="35"/>
      <c r="G1024" s="34"/>
    </row>
    <row r="1025" spans="1:9" ht="15" customHeight="1">
      <c r="A1025" s="3052" t="s">
        <v>921</v>
      </c>
      <c r="B1025" s="3052"/>
      <c r="C1025" s="112"/>
      <c r="D1025" s="113"/>
      <c r="E1025" s="113"/>
      <c r="F1025" s="69"/>
      <c r="G1025" s="113"/>
    </row>
    <row r="1026" spans="1:9" ht="15" hidden="1" customHeight="1" outlineLevel="1">
      <c r="A1026" s="3053" t="s">
        <v>964</v>
      </c>
      <c r="B1026" s="3053"/>
      <c r="C1026" s="133" t="s">
        <v>208</v>
      </c>
      <c r="D1026" s="239"/>
      <c r="E1026" s="239"/>
      <c r="F1026" s="44" t="s">
        <v>691</v>
      </c>
      <c r="G1026" s="44" t="s">
        <v>965</v>
      </c>
      <c r="H1026" s="240"/>
      <c r="I1026" s="240"/>
    </row>
    <row r="1027" spans="1:9" s="70" customFormat="1" ht="15" hidden="1" customHeight="1" outlineLevel="1">
      <c r="A1027" s="241"/>
      <c r="B1027" s="242" t="s">
        <v>493</v>
      </c>
      <c r="C1027" s="215" t="s">
        <v>133</v>
      </c>
      <c r="D1027" s="243"/>
      <c r="E1027" s="243"/>
      <c r="F1027" s="244"/>
      <c r="G1027" s="244">
        <v>0</v>
      </c>
      <c r="H1027" s="240"/>
      <c r="I1027" s="240"/>
    </row>
    <row r="1028" spans="1:9" s="70" customFormat="1" ht="15" hidden="1" customHeight="1" outlineLevel="1">
      <c r="A1028" s="241"/>
      <c r="B1028" s="242" t="s">
        <v>966</v>
      </c>
      <c r="C1028" s="215" t="s">
        <v>133</v>
      </c>
      <c r="D1028" s="243"/>
      <c r="E1028" s="244" t="s">
        <v>967</v>
      </c>
      <c r="F1028" s="244">
        <v>460</v>
      </c>
      <c r="G1028" s="245">
        <v>150</v>
      </c>
      <c r="H1028" s="240"/>
      <c r="I1028" s="240"/>
    </row>
    <row r="1029" spans="1:9" s="70" customFormat="1" ht="15" hidden="1" customHeight="1" outlineLevel="1">
      <c r="A1029" s="241"/>
      <c r="B1029" s="242" t="s">
        <v>968</v>
      </c>
      <c r="C1029" s="215" t="s">
        <v>133</v>
      </c>
      <c r="D1029" s="243"/>
      <c r="E1029" s="244" t="s">
        <v>967</v>
      </c>
      <c r="F1029" s="244">
        <v>531</v>
      </c>
      <c r="G1029" s="245">
        <v>178</v>
      </c>
      <c r="H1029" s="240"/>
      <c r="I1029" s="240"/>
    </row>
    <row r="1030" spans="1:9" s="70" customFormat="1" ht="15" hidden="1" customHeight="1" outlineLevel="1">
      <c r="A1030" s="241"/>
      <c r="B1030" s="242" t="s">
        <v>969</v>
      </c>
      <c r="C1030" s="215" t="s">
        <v>133</v>
      </c>
      <c r="D1030" s="243"/>
      <c r="E1030" s="244" t="s">
        <v>970</v>
      </c>
      <c r="F1030" s="244">
        <v>318</v>
      </c>
      <c r="G1030" s="245">
        <v>441</v>
      </c>
      <c r="H1030" s="240"/>
      <c r="I1030" s="240"/>
    </row>
    <row r="1031" spans="1:9" s="70" customFormat="1" ht="15" hidden="1" customHeight="1" outlineLevel="1">
      <c r="A1031" s="241"/>
      <c r="B1031" s="242" t="s">
        <v>971</v>
      </c>
      <c r="C1031" s="215" t="s">
        <v>133</v>
      </c>
      <c r="D1031" s="243"/>
      <c r="E1031" s="244" t="s">
        <v>967</v>
      </c>
      <c r="F1031" s="244"/>
      <c r="G1031" s="245">
        <v>210</v>
      </c>
      <c r="H1031" s="240"/>
      <c r="I1031" s="240"/>
    </row>
    <row r="1032" spans="1:9" s="70" customFormat="1" ht="15" hidden="1" customHeight="1" outlineLevel="1">
      <c r="A1032" s="241"/>
      <c r="B1032" s="242" t="s">
        <v>972</v>
      </c>
      <c r="C1032" s="215" t="s">
        <v>133</v>
      </c>
      <c r="D1032" s="243"/>
      <c r="E1032" s="244" t="s">
        <v>967</v>
      </c>
      <c r="F1032" s="244"/>
      <c r="G1032" s="245">
        <v>250</v>
      </c>
      <c r="H1032" s="240"/>
      <c r="I1032" s="240"/>
    </row>
    <row r="1033" spans="1:9" s="70" customFormat="1" ht="15" hidden="1" customHeight="1" outlineLevel="1">
      <c r="A1033" s="241"/>
      <c r="B1033" s="242" t="s">
        <v>973</v>
      </c>
      <c r="C1033" s="215" t="s">
        <v>133</v>
      </c>
      <c r="D1033" s="243"/>
      <c r="E1033" s="244" t="s">
        <v>967</v>
      </c>
      <c r="F1033" s="244"/>
      <c r="G1033" s="245">
        <v>280</v>
      </c>
      <c r="H1033" s="240"/>
      <c r="I1033" s="240"/>
    </row>
    <row r="1034" spans="1:9" s="70" customFormat="1" ht="15" hidden="1" customHeight="1" outlineLevel="1">
      <c r="A1034" s="241"/>
      <c r="B1034" s="242" t="s">
        <v>974</v>
      </c>
      <c r="C1034" s="215" t="s">
        <v>133</v>
      </c>
      <c r="D1034" s="243"/>
      <c r="E1034" s="244" t="s">
        <v>967</v>
      </c>
      <c r="F1034" s="244"/>
      <c r="G1034" s="245">
        <v>320</v>
      </c>
      <c r="H1034" s="240"/>
      <c r="I1034" s="240"/>
    </row>
    <row r="1035" spans="1:9" ht="15" hidden="1" customHeight="1" outlineLevel="1">
      <c r="A1035" s="241"/>
      <c r="B1035" s="246" t="s">
        <v>975</v>
      </c>
      <c r="C1035" s="99" t="s">
        <v>133</v>
      </c>
      <c r="D1035" s="247"/>
      <c r="E1035" s="248" t="s">
        <v>976</v>
      </c>
      <c r="F1035" s="249">
        <v>555</v>
      </c>
      <c r="G1035" s="249">
        <f t="shared" ref="G1035:G1078" si="16">F1035/3</f>
        <v>185</v>
      </c>
      <c r="H1035" s="250"/>
      <c r="I1035" s="250"/>
    </row>
    <row r="1036" spans="1:9" ht="15" hidden="1" customHeight="1" outlineLevel="1">
      <c r="A1036" s="241"/>
      <c r="B1036" s="246" t="s">
        <v>977</v>
      </c>
      <c r="C1036" s="99" t="s">
        <v>133</v>
      </c>
      <c r="D1036" s="247"/>
      <c r="E1036" s="248" t="s">
        <v>976</v>
      </c>
      <c r="F1036" s="249">
        <v>660</v>
      </c>
      <c r="G1036" s="249">
        <f t="shared" si="16"/>
        <v>220</v>
      </c>
      <c r="H1036" s="250"/>
      <c r="I1036" s="250"/>
    </row>
    <row r="1037" spans="1:9" ht="15" hidden="1" customHeight="1" outlineLevel="1">
      <c r="A1037" s="241"/>
      <c r="B1037" s="246" t="s">
        <v>977</v>
      </c>
      <c r="C1037" s="99" t="s">
        <v>133</v>
      </c>
      <c r="D1037" s="247"/>
      <c r="E1037" s="248" t="s">
        <v>978</v>
      </c>
      <c r="F1037" s="249">
        <v>710</v>
      </c>
      <c r="G1037" s="249">
        <f t="shared" si="16"/>
        <v>236.66666666666666</v>
      </c>
      <c r="H1037" s="250"/>
      <c r="I1037" s="250"/>
    </row>
    <row r="1038" spans="1:9" ht="15" hidden="1" customHeight="1" outlineLevel="1">
      <c r="A1038" s="241"/>
      <c r="B1038" s="246" t="s">
        <v>979</v>
      </c>
      <c r="C1038" s="99" t="s">
        <v>133</v>
      </c>
      <c r="D1038" s="247"/>
      <c r="E1038" s="248" t="s">
        <v>976</v>
      </c>
      <c r="F1038" s="249">
        <v>735</v>
      </c>
      <c r="G1038" s="249">
        <f t="shared" si="16"/>
        <v>245</v>
      </c>
      <c r="H1038" s="250"/>
      <c r="I1038" s="250"/>
    </row>
    <row r="1039" spans="1:9" ht="15" hidden="1" customHeight="1" outlineLevel="1">
      <c r="A1039" s="241"/>
      <c r="B1039" s="246" t="s">
        <v>980</v>
      </c>
      <c r="C1039" s="99" t="s">
        <v>133</v>
      </c>
      <c r="D1039" s="247"/>
      <c r="E1039" s="248" t="s">
        <v>976</v>
      </c>
      <c r="F1039" s="249">
        <v>855</v>
      </c>
      <c r="G1039" s="249">
        <f t="shared" si="16"/>
        <v>285</v>
      </c>
      <c r="H1039" s="250"/>
      <c r="I1039" s="250"/>
    </row>
    <row r="1040" spans="1:9" ht="15" hidden="1" customHeight="1" outlineLevel="1">
      <c r="A1040" s="241"/>
      <c r="B1040" s="246" t="s">
        <v>980</v>
      </c>
      <c r="C1040" s="99" t="s">
        <v>133</v>
      </c>
      <c r="D1040" s="247"/>
      <c r="E1040" s="248" t="s">
        <v>978</v>
      </c>
      <c r="F1040" s="249">
        <v>1000</v>
      </c>
      <c r="G1040" s="249">
        <f t="shared" si="16"/>
        <v>333.33333333333331</v>
      </c>
      <c r="H1040" s="250"/>
      <c r="I1040" s="250"/>
    </row>
    <row r="1041" spans="1:9" ht="15" hidden="1" customHeight="1" outlineLevel="1">
      <c r="A1041" s="241"/>
      <c r="B1041" s="246" t="s">
        <v>981</v>
      </c>
      <c r="C1041" s="99" t="s">
        <v>133</v>
      </c>
      <c r="D1041" s="247"/>
      <c r="E1041" s="248" t="s">
        <v>976</v>
      </c>
      <c r="F1041" s="249">
        <v>1070</v>
      </c>
      <c r="G1041" s="249">
        <f t="shared" si="16"/>
        <v>356.66666666666669</v>
      </c>
      <c r="H1041" s="250"/>
      <c r="I1041" s="250"/>
    </row>
    <row r="1042" spans="1:9" ht="15" hidden="1" customHeight="1" outlineLevel="1">
      <c r="A1042" s="241"/>
      <c r="B1042" s="246" t="s">
        <v>982</v>
      </c>
      <c r="C1042" s="99" t="s">
        <v>133</v>
      </c>
      <c r="D1042" s="247"/>
      <c r="E1042" s="248" t="s">
        <v>976</v>
      </c>
      <c r="F1042" s="249">
        <v>1360</v>
      </c>
      <c r="G1042" s="249">
        <f t="shared" si="16"/>
        <v>453.33333333333331</v>
      </c>
      <c r="H1042" s="250"/>
      <c r="I1042" s="250"/>
    </row>
    <row r="1043" spans="1:9" ht="15" hidden="1" customHeight="1" outlineLevel="1">
      <c r="A1043" s="241"/>
      <c r="B1043" s="246" t="s">
        <v>983</v>
      </c>
      <c r="C1043" s="99" t="s">
        <v>133</v>
      </c>
      <c r="D1043" s="247"/>
      <c r="E1043" s="248" t="s">
        <v>976</v>
      </c>
      <c r="F1043" s="249">
        <v>1580</v>
      </c>
      <c r="G1043" s="249">
        <f t="shared" si="16"/>
        <v>526.66666666666663</v>
      </c>
      <c r="H1043" s="250"/>
      <c r="I1043" s="250"/>
    </row>
    <row r="1044" spans="1:9" ht="15" hidden="1" customHeight="1" outlineLevel="1">
      <c r="A1044" s="241"/>
      <c r="B1044" s="246" t="s">
        <v>984</v>
      </c>
      <c r="C1044" s="99" t="s">
        <v>133</v>
      </c>
      <c r="D1044" s="247"/>
      <c r="E1044" s="248" t="s">
        <v>978</v>
      </c>
      <c r="F1044" s="249">
        <v>1100</v>
      </c>
      <c r="G1044" s="249">
        <f t="shared" si="16"/>
        <v>366.66666666666669</v>
      </c>
      <c r="H1044" s="250"/>
      <c r="I1044" s="250"/>
    </row>
    <row r="1045" spans="1:9" ht="15" hidden="1" customHeight="1" outlineLevel="1">
      <c r="A1045" s="241"/>
      <c r="B1045" s="246" t="s">
        <v>985</v>
      </c>
      <c r="C1045" s="99" t="s">
        <v>133</v>
      </c>
      <c r="D1045" s="247"/>
      <c r="E1045" s="248" t="s">
        <v>978</v>
      </c>
      <c r="F1045" s="249">
        <v>1345</v>
      </c>
      <c r="G1045" s="249">
        <f t="shared" si="16"/>
        <v>448.33333333333331</v>
      </c>
      <c r="H1045" s="250"/>
      <c r="I1045" s="250"/>
    </row>
    <row r="1046" spans="1:9" ht="15" hidden="1" customHeight="1" outlineLevel="1">
      <c r="A1046" s="241"/>
      <c r="B1046" s="246" t="s">
        <v>986</v>
      </c>
      <c r="C1046" s="99" t="s">
        <v>133</v>
      </c>
      <c r="D1046" s="247"/>
      <c r="E1046" s="248" t="s">
        <v>978</v>
      </c>
      <c r="F1046" s="249">
        <v>1600</v>
      </c>
      <c r="G1046" s="249">
        <f t="shared" si="16"/>
        <v>533.33333333333337</v>
      </c>
      <c r="H1046" s="250"/>
      <c r="I1046" s="250"/>
    </row>
    <row r="1047" spans="1:9" ht="15" hidden="1" customHeight="1" outlineLevel="1">
      <c r="A1047" s="241"/>
      <c r="B1047" s="251" t="s">
        <v>987</v>
      </c>
      <c r="C1047" s="99" t="s">
        <v>133</v>
      </c>
      <c r="D1047" s="247"/>
      <c r="E1047" s="248" t="s">
        <v>976</v>
      </c>
      <c r="F1047" s="249">
        <v>790</v>
      </c>
      <c r="G1047" s="249">
        <f t="shared" si="16"/>
        <v>263.33333333333331</v>
      </c>
      <c r="H1047" s="250"/>
      <c r="I1047" s="250"/>
    </row>
    <row r="1048" spans="1:9" ht="15" hidden="1" customHeight="1" outlineLevel="1">
      <c r="A1048" s="241"/>
      <c r="B1048" s="251" t="s">
        <v>988</v>
      </c>
      <c r="C1048" s="99" t="s">
        <v>133</v>
      </c>
      <c r="D1048" s="247"/>
      <c r="E1048" s="248" t="s">
        <v>976</v>
      </c>
      <c r="F1048" s="249">
        <v>630</v>
      </c>
      <c r="G1048" s="249">
        <f t="shared" si="16"/>
        <v>210</v>
      </c>
      <c r="H1048" s="250"/>
      <c r="I1048" s="250"/>
    </row>
    <row r="1049" spans="1:9" ht="15" hidden="1" customHeight="1" outlineLevel="1">
      <c r="A1049" s="241"/>
      <c r="B1049" s="251" t="s">
        <v>987</v>
      </c>
      <c r="C1049" s="99" t="s">
        <v>133</v>
      </c>
      <c r="D1049" s="247"/>
      <c r="E1049" s="248" t="s">
        <v>976</v>
      </c>
      <c r="F1049" s="249">
        <v>800</v>
      </c>
      <c r="G1049" s="249">
        <f t="shared" si="16"/>
        <v>266.66666666666669</v>
      </c>
      <c r="H1049" s="250"/>
      <c r="I1049" s="250"/>
    </row>
    <row r="1050" spans="1:9" ht="15" hidden="1" customHeight="1" outlineLevel="1">
      <c r="A1050" s="241"/>
      <c r="B1050" s="251" t="s">
        <v>989</v>
      </c>
      <c r="C1050" s="99" t="s">
        <v>133</v>
      </c>
      <c r="D1050" s="247"/>
      <c r="E1050" s="248" t="s">
        <v>976</v>
      </c>
      <c r="F1050" s="249">
        <v>980</v>
      </c>
      <c r="G1050" s="249">
        <f t="shared" si="16"/>
        <v>326.66666666666669</v>
      </c>
      <c r="H1050" s="250"/>
      <c r="I1050" s="250"/>
    </row>
    <row r="1051" spans="1:9" ht="15" hidden="1" customHeight="1" outlineLevel="1">
      <c r="A1051" s="241"/>
      <c r="B1051" s="251" t="s">
        <v>990</v>
      </c>
      <c r="C1051" s="99" t="s">
        <v>133</v>
      </c>
      <c r="D1051" s="247"/>
      <c r="E1051" s="248" t="s">
        <v>976</v>
      </c>
      <c r="F1051" s="249">
        <v>1210</v>
      </c>
      <c r="G1051" s="249">
        <f t="shared" si="16"/>
        <v>403.33333333333331</v>
      </c>
      <c r="H1051" s="250"/>
      <c r="I1051" s="250"/>
    </row>
    <row r="1052" spans="1:9" ht="15" hidden="1" customHeight="1" outlineLevel="1">
      <c r="A1052" s="241"/>
      <c r="B1052" s="251" t="s">
        <v>991</v>
      </c>
      <c r="C1052" s="99" t="s">
        <v>133</v>
      </c>
      <c r="D1052" s="247"/>
      <c r="E1052" s="248" t="s">
        <v>976</v>
      </c>
      <c r="F1052" s="249">
        <v>1415</v>
      </c>
      <c r="G1052" s="249">
        <f t="shared" si="16"/>
        <v>471.66666666666669</v>
      </c>
      <c r="H1052" s="250"/>
      <c r="I1052" s="250"/>
    </row>
    <row r="1053" spans="1:9" ht="15" hidden="1" customHeight="1" outlineLevel="1">
      <c r="A1053" s="241"/>
      <c r="B1053" s="251" t="s">
        <v>992</v>
      </c>
      <c r="C1053" s="99" t="s">
        <v>133</v>
      </c>
      <c r="D1053" s="247"/>
      <c r="E1053" s="248" t="s">
        <v>976</v>
      </c>
      <c r="F1053" s="249">
        <v>1645</v>
      </c>
      <c r="G1053" s="249">
        <f t="shared" si="16"/>
        <v>548.33333333333337</v>
      </c>
      <c r="H1053" s="250"/>
      <c r="I1053" s="250"/>
    </row>
    <row r="1054" spans="1:9" ht="15" hidden="1" customHeight="1" outlineLevel="1">
      <c r="A1054" s="241"/>
      <c r="B1054" s="251" t="s">
        <v>993</v>
      </c>
      <c r="C1054" s="99" t="s">
        <v>133</v>
      </c>
      <c r="D1054" s="247"/>
      <c r="E1054" s="248" t="s">
        <v>976</v>
      </c>
      <c r="F1054" s="249">
        <v>1965</v>
      </c>
      <c r="G1054" s="249">
        <f t="shared" si="16"/>
        <v>655</v>
      </c>
      <c r="H1054" s="250"/>
      <c r="I1054" s="250"/>
    </row>
    <row r="1055" spans="1:9" ht="15" hidden="1" customHeight="1" outlineLevel="1">
      <c r="A1055" s="241"/>
      <c r="B1055" s="251" t="s">
        <v>994</v>
      </c>
      <c r="C1055" s="99" t="s">
        <v>133</v>
      </c>
      <c r="D1055" s="247"/>
      <c r="E1055" s="248" t="s">
        <v>976</v>
      </c>
      <c r="F1055" s="249">
        <v>2430</v>
      </c>
      <c r="G1055" s="249">
        <f t="shared" si="16"/>
        <v>810</v>
      </c>
      <c r="H1055" s="250"/>
      <c r="I1055" s="250"/>
    </row>
    <row r="1056" spans="1:9" ht="15" hidden="1" customHeight="1" outlineLevel="1">
      <c r="A1056" s="241"/>
      <c r="B1056" s="251" t="s">
        <v>995</v>
      </c>
      <c r="C1056" s="99" t="s">
        <v>133</v>
      </c>
      <c r="D1056" s="247"/>
      <c r="E1056" s="248" t="s">
        <v>976</v>
      </c>
      <c r="F1056" s="249">
        <v>2650</v>
      </c>
      <c r="G1056" s="249">
        <f t="shared" si="16"/>
        <v>883.33333333333337</v>
      </c>
      <c r="H1056" s="250"/>
      <c r="I1056" s="250"/>
    </row>
    <row r="1057" spans="1:9" ht="15" hidden="1" customHeight="1" outlineLevel="1">
      <c r="A1057" s="241"/>
      <c r="B1057" s="252" t="s">
        <v>996</v>
      </c>
      <c r="C1057" s="99" t="s">
        <v>133</v>
      </c>
      <c r="D1057" s="253" t="s">
        <v>997</v>
      </c>
      <c r="E1057" s="248" t="s">
        <v>976</v>
      </c>
      <c r="F1057" s="249">
        <v>1560</v>
      </c>
      <c r="G1057" s="249">
        <f t="shared" si="16"/>
        <v>520</v>
      </c>
      <c r="H1057" s="250"/>
      <c r="I1057" s="250"/>
    </row>
    <row r="1058" spans="1:9" ht="15" hidden="1" customHeight="1" outlineLevel="1">
      <c r="A1058" s="241"/>
      <c r="B1058" s="252" t="s">
        <v>998</v>
      </c>
      <c r="C1058" s="99" t="s">
        <v>133</v>
      </c>
      <c r="D1058" s="253" t="s">
        <v>997</v>
      </c>
      <c r="E1058" s="248" t="s">
        <v>976</v>
      </c>
      <c r="F1058" s="249">
        <v>2065</v>
      </c>
      <c r="G1058" s="249">
        <f t="shared" si="16"/>
        <v>688.33333333333337</v>
      </c>
      <c r="H1058" s="250"/>
      <c r="I1058" s="250"/>
    </row>
    <row r="1059" spans="1:9" ht="15" hidden="1" customHeight="1" outlineLevel="1">
      <c r="A1059" s="241"/>
      <c r="B1059" s="252" t="s">
        <v>999</v>
      </c>
      <c r="C1059" s="99" t="s">
        <v>133</v>
      </c>
      <c r="D1059" s="253" t="s">
        <v>997</v>
      </c>
      <c r="E1059" s="248" t="s">
        <v>976</v>
      </c>
      <c r="F1059" s="249">
        <v>2440</v>
      </c>
      <c r="G1059" s="249">
        <f t="shared" si="16"/>
        <v>813.33333333333337</v>
      </c>
      <c r="H1059" s="250"/>
      <c r="I1059" s="250"/>
    </row>
    <row r="1060" spans="1:9" ht="15" hidden="1" customHeight="1" outlineLevel="1">
      <c r="A1060" s="241"/>
      <c r="B1060" s="252" t="s">
        <v>1000</v>
      </c>
      <c r="C1060" s="99" t="s">
        <v>133</v>
      </c>
      <c r="D1060" s="253" t="s">
        <v>997</v>
      </c>
      <c r="E1060" s="248" t="s">
        <v>976</v>
      </c>
      <c r="F1060" s="249">
        <v>2880</v>
      </c>
      <c r="G1060" s="249">
        <f t="shared" si="16"/>
        <v>960</v>
      </c>
      <c r="H1060" s="250"/>
      <c r="I1060" s="250"/>
    </row>
    <row r="1061" spans="1:9" ht="15" hidden="1" customHeight="1" outlineLevel="1">
      <c r="A1061" s="241"/>
      <c r="B1061" s="252" t="s">
        <v>1000</v>
      </c>
      <c r="C1061" s="99" t="s">
        <v>133</v>
      </c>
      <c r="D1061" s="253" t="s">
        <v>997</v>
      </c>
      <c r="E1061" s="248" t="s">
        <v>976</v>
      </c>
      <c r="F1061" s="249">
        <v>2530</v>
      </c>
      <c r="G1061" s="249">
        <f t="shared" si="16"/>
        <v>843.33333333333337</v>
      </c>
      <c r="H1061" s="250"/>
      <c r="I1061" s="250"/>
    </row>
    <row r="1062" spans="1:9" ht="15" hidden="1" customHeight="1" outlineLevel="1">
      <c r="A1062" s="241"/>
      <c r="B1062" s="252" t="s">
        <v>1000</v>
      </c>
      <c r="C1062" s="99" t="s">
        <v>133</v>
      </c>
      <c r="D1062" s="253" t="s">
        <v>997</v>
      </c>
      <c r="E1062" s="248" t="s">
        <v>976</v>
      </c>
      <c r="F1062" s="249">
        <v>2170</v>
      </c>
      <c r="G1062" s="249">
        <f t="shared" si="16"/>
        <v>723.33333333333337</v>
      </c>
      <c r="H1062" s="250"/>
      <c r="I1062" s="250"/>
    </row>
    <row r="1063" spans="1:9" ht="15" hidden="1" customHeight="1" outlineLevel="1">
      <c r="A1063" s="241"/>
      <c r="B1063" s="252" t="s">
        <v>996</v>
      </c>
      <c r="C1063" s="99" t="s">
        <v>133</v>
      </c>
      <c r="D1063" s="253" t="s">
        <v>1001</v>
      </c>
      <c r="E1063" s="248" t="s">
        <v>976</v>
      </c>
      <c r="F1063" s="249">
        <v>1280</v>
      </c>
      <c r="G1063" s="249">
        <f t="shared" si="16"/>
        <v>426.66666666666669</v>
      </c>
      <c r="H1063" s="250"/>
      <c r="I1063" s="250"/>
    </row>
    <row r="1064" spans="1:9" ht="15" hidden="1" customHeight="1" outlineLevel="1">
      <c r="A1064" s="241"/>
      <c r="B1064" s="252" t="s">
        <v>1002</v>
      </c>
      <c r="C1064" s="99" t="s">
        <v>133</v>
      </c>
      <c r="D1064" s="253" t="s">
        <v>1001</v>
      </c>
      <c r="E1064" s="248" t="s">
        <v>976</v>
      </c>
      <c r="F1064" s="249">
        <v>1300</v>
      </c>
      <c r="G1064" s="249">
        <f t="shared" si="16"/>
        <v>433.33333333333331</v>
      </c>
      <c r="H1064" s="250"/>
      <c r="I1064" s="250"/>
    </row>
    <row r="1065" spans="1:9" ht="15" hidden="1" customHeight="1" outlineLevel="1">
      <c r="A1065" s="241"/>
      <c r="B1065" s="252" t="s">
        <v>999</v>
      </c>
      <c r="C1065" s="99" t="s">
        <v>133</v>
      </c>
      <c r="D1065" s="253" t="s">
        <v>1001</v>
      </c>
      <c r="E1065" s="248" t="s">
        <v>976</v>
      </c>
      <c r="F1065" s="249">
        <v>1480</v>
      </c>
      <c r="G1065" s="249">
        <f t="shared" si="16"/>
        <v>493.33333333333331</v>
      </c>
      <c r="H1065" s="250"/>
      <c r="I1065" s="250"/>
    </row>
    <row r="1066" spans="1:9" ht="15" hidden="1" customHeight="1" outlineLevel="1">
      <c r="A1066" s="241"/>
      <c r="B1066" s="252" t="s">
        <v>1000</v>
      </c>
      <c r="C1066" s="99" t="s">
        <v>133</v>
      </c>
      <c r="D1066" s="253" t="s">
        <v>1003</v>
      </c>
      <c r="E1066" s="248" t="s">
        <v>976</v>
      </c>
      <c r="F1066" s="249">
        <v>1490</v>
      </c>
      <c r="G1066" s="249">
        <f t="shared" si="16"/>
        <v>496.66666666666669</v>
      </c>
      <c r="H1066" s="250"/>
      <c r="I1066" s="250"/>
    </row>
    <row r="1067" spans="1:9" ht="15" hidden="1" customHeight="1" outlineLevel="1">
      <c r="A1067" s="241"/>
      <c r="B1067" s="252" t="s">
        <v>1000</v>
      </c>
      <c r="C1067" s="99" t="s">
        <v>133</v>
      </c>
      <c r="D1067" s="253" t="s">
        <v>1001</v>
      </c>
      <c r="E1067" s="248" t="s">
        <v>976</v>
      </c>
      <c r="F1067" s="249">
        <v>1490</v>
      </c>
      <c r="G1067" s="249">
        <f t="shared" si="16"/>
        <v>496.66666666666669</v>
      </c>
      <c r="H1067" s="250"/>
      <c r="I1067" s="250"/>
    </row>
    <row r="1068" spans="1:9" ht="15" hidden="1" customHeight="1" outlineLevel="1">
      <c r="A1068" s="241"/>
      <c r="B1068" s="252" t="s">
        <v>1004</v>
      </c>
      <c r="C1068" s="99" t="s">
        <v>133</v>
      </c>
      <c r="D1068" s="253" t="s">
        <v>1001</v>
      </c>
      <c r="E1068" s="248" t="s">
        <v>976</v>
      </c>
      <c r="F1068" s="249">
        <v>1990</v>
      </c>
      <c r="G1068" s="249">
        <f t="shared" si="16"/>
        <v>663.33333333333337</v>
      </c>
      <c r="H1068" s="250"/>
      <c r="I1068" s="250"/>
    </row>
    <row r="1069" spans="1:9" ht="15" hidden="1" customHeight="1" outlineLevel="1">
      <c r="A1069" s="241"/>
      <c r="B1069" s="251" t="s">
        <v>1005</v>
      </c>
      <c r="C1069" s="99" t="s">
        <v>133</v>
      </c>
      <c r="D1069" s="253" t="s">
        <v>1006</v>
      </c>
      <c r="E1069" s="248" t="s">
        <v>976</v>
      </c>
      <c r="F1069" s="249">
        <v>460</v>
      </c>
      <c r="G1069" s="249">
        <f t="shared" si="16"/>
        <v>153.33333333333334</v>
      </c>
      <c r="H1069" s="250"/>
      <c r="I1069" s="250"/>
    </row>
    <row r="1070" spans="1:9" ht="15" hidden="1" customHeight="1" outlineLevel="1">
      <c r="A1070" s="241"/>
      <c r="B1070" s="251" t="s">
        <v>1007</v>
      </c>
      <c r="C1070" s="99" t="s">
        <v>133</v>
      </c>
      <c r="D1070" s="253" t="s">
        <v>1006</v>
      </c>
      <c r="E1070" s="248" t="s">
        <v>976</v>
      </c>
      <c r="F1070" s="249">
        <v>700</v>
      </c>
      <c r="G1070" s="249">
        <f t="shared" si="16"/>
        <v>233.33333333333334</v>
      </c>
      <c r="H1070" s="250"/>
      <c r="I1070" s="250"/>
    </row>
    <row r="1071" spans="1:9" ht="15" hidden="1" customHeight="1" outlineLevel="1">
      <c r="A1071" s="241"/>
      <c r="B1071" s="251" t="s">
        <v>1008</v>
      </c>
      <c r="C1071" s="99" t="s">
        <v>133</v>
      </c>
      <c r="D1071" s="253" t="s">
        <v>1006</v>
      </c>
      <c r="E1071" s="248" t="s">
        <v>976</v>
      </c>
      <c r="F1071" s="249">
        <v>860</v>
      </c>
      <c r="G1071" s="249">
        <f t="shared" si="16"/>
        <v>286.66666666666669</v>
      </c>
      <c r="H1071" s="250"/>
      <c r="I1071" s="250"/>
    </row>
    <row r="1072" spans="1:9" ht="15" hidden="1" customHeight="1" outlineLevel="1">
      <c r="A1072" s="241"/>
      <c r="B1072" s="251" t="s">
        <v>1009</v>
      </c>
      <c r="C1072" s="99" t="s">
        <v>133</v>
      </c>
      <c r="D1072" s="253" t="s">
        <v>1006</v>
      </c>
      <c r="E1072" s="248" t="s">
        <v>976</v>
      </c>
      <c r="F1072" s="249">
        <v>940</v>
      </c>
      <c r="G1072" s="249">
        <f t="shared" si="16"/>
        <v>313.33333333333331</v>
      </c>
      <c r="H1072" s="250"/>
      <c r="I1072" s="250"/>
    </row>
    <row r="1073" spans="1:9" ht="15" hidden="1" customHeight="1" outlineLevel="1">
      <c r="A1073" s="241"/>
      <c r="B1073" s="251" t="s">
        <v>1010</v>
      </c>
      <c r="C1073" s="99" t="s">
        <v>133</v>
      </c>
      <c r="D1073" s="253" t="s">
        <v>1006</v>
      </c>
      <c r="E1073" s="248" t="s">
        <v>976</v>
      </c>
      <c r="F1073" s="249">
        <v>975</v>
      </c>
      <c r="G1073" s="249">
        <f t="shared" si="16"/>
        <v>325</v>
      </c>
      <c r="H1073" s="250"/>
      <c r="I1073" s="250"/>
    </row>
    <row r="1074" spans="1:9" ht="15" hidden="1" customHeight="1" outlineLevel="1">
      <c r="A1074" s="241"/>
      <c r="B1074" s="251" t="s">
        <v>1011</v>
      </c>
      <c r="C1074" s="99" t="s">
        <v>133</v>
      </c>
      <c r="D1074" s="253" t="s">
        <v>1006</v>
      </c>
      <c r="E1074" s="248" t="s">
        <v>976</v>
      </c>
      <c r="F1074" s="249">
        <v>1215</v>
      </c>
      <c r="G1074" s="249">
        <f t="shared" si="16"/>
        <v>405</v>
      </c>
      <c r="H1074" s="250"/>
      <c r="I1074" s="250"/>
    </row>
    <row r="1075" spans="1:9" ht="15" hidden="1" customHeight="1" outlineLevel="1">
      <c r="A1075" s="241"/>
      <c r="B1075" s="251" t="s">
        <v>1012</v>
      </c>
      <c r="C1075" s="99" t="s">
        <v>133</v>
      </c>
      <c r="D1075" s="253" t="s">
        <v>1013</v>
      </c>
      <c r="E1075" s="248" t="s">
        <v>976</v>
      </c>
      <c r="F1075" s="249">
        <v>1500</v>
      </c>
      <c r="G1075" s="249">
        <f t="shared" si="16"/>
        <v>500</v>
      </c>
      <c r="H1075" s="250"/>
      <c r="I1075" s="250"/>
    </row>
    <row r="1076" spans="1:9" ht="15" hidden="1" customHeight="1" outlineLevel="1">
      <c r="A1076" s="241"/>
      <c r="B1076" s="251" t="s">
        <v>1014</v>
      </c>
      <c r="C1076" s="99" t="s">
        <v>133</v>
      </c>
      <c r="D1076" s="253" t="s">
        <v>1006</v>
      </c>
      <c r="E1076" s="248" t="s">
        <v>976</v>
      </c>
      <c r="F1076" s="249">
        <v>1600</v>
      </c>
      <c r="G1076" s="249">
        <f t="shared" si="16"/>
        <v>533.33333333333337</v>
      </c>
      <c r="H1076" s="250"/>
      <c r="I1076" s="250"/>
    </row>
    <row r="1077" spans="1:9" ht="15" hidden="1" customHeight="1" outlineLevel="1">
      <c r="A1077" s="241"/>
      <c r="B1077" s="251" t="s">
        <v>1015</v>
      </c>
      <c r="C1077" s="99" t="s">
        <v>133</v>
      </c>
      <c r="D1077" s="253" t="s">
        <v>1006</v>
      </c>
      <c r="E1077" s="248" t="s">
        <v>976</v>
      </c>
      <c r="F1077" s="249">
        <v>1845</v>
      </c>
      <c r="G1077" s="249">
        <f t="shared" si="16"/>
        <v>615</v>
      </c>
      <c r="H1077" s="250"/>
      <c r="I1077" s="250"/>
    </row>
    <row r="1078" spans="1:9" ht="15" hidden="1" customHeight="1" outlineLevel="1">
      <c r="A1078" s="241"/>
      <c r="B1078" s="251" t="s">
        <v>1016</v>
      </c>
      <c r="C1078" s="99" t="s">
        <v>133</v>
      </c>
      <c r="D1078" s="253" t="s">
        <v>1006</v>
      </c>
      <c r="E1078" s="248" t="s">
        <v>976</v>
      </c>
      <c r="F1078" s="249">
        <v>2990</v>
      </c>
      <c r="G1078" s="249">
        <f t="shared" si="16"/>
        <v>996.66666666666663</v>
      </c>
      <c r="H1078" s="250"/>
      <c r="I1078" s="250"/>
    </row>
    <row r="1079" spans="1:9" ht="15" hidden="1" customHeight="1" outlineLevel="1">
      <c r="A1079" s="241"/>
      <c r="B1079" s="251"/>
      <c r="C1079" s="99"/>
      <c r="D1079" s="253"/>
      <c r="E1079" s="248"/>
      <c r="F1079" s="249"/>
      <c r="G1079" s="249"/>
      <c r="H1079" s="250"/>
      <c r="I1079" s="250"/>
    </row>
    <row r="1080" spans="1:9" ht="15" hidden="1" customHeight="1" outlineLevel="1">
      <c r="A1080" s="241"/>
      <c r="B1080" s="254"/>
      <c r="C1080" s="99"/>
      <c r="D1080" s="253"/>
      <c r="E1080" s="248"/>
      <c r="F1080" s="249"/>
      <c r="G1080" s="249"/>
      <c r="H1080" s="250"/>
      <c r="I1080" s="250"/>
    </row>
    <row r="1081" spans="1:9" ht="15" customHeight="1">
      <c r="A1081" s="3052" t="s">
        <v>964</v>
      </c>
      <c r="B1081" s="3052"/>
      <c r="C1081" s="112"/>
      <c r="D1081" s="113"/>
      <c r="E1081" s="113"/>
      <c r="F1081" s="69"/>
      <c r="G1081" s="41"/>
      <c r="H1081" s="85"/>
      <c r="I1081" s="85"/>
    </row>
    <row r="1082" spans="1:9" ht="15" hidden="1" customHeight="1" outlineLevel="1">
      <c r="A1082" s="3045" t="s">
        <v>1017</v>
      </c>
      <c r="B1082" s="3045"/>
      <c r="C1082" s="133" t="s">
        <v>208</v>
      </c>
      <c r="D1082" s="239"/>
      <c r="E1082" s="239"/>
      <c r="F1082" s="44"/>
      <c r="G1082" s="44" t="s">
        <v>132</v>
      </c>
      <c r="H1082" s="85"/>
      <c r="I1082" s="85"/>
    </row>
    <row r="1083" spans="1:9" ht="15" hidden="1" customHeight="1" outlineLevel="1">
      <c r="A1083" s="114"/>
      <c r="B1083" s="111" t="s">
        <v>1018</v>
      </c>
      <c r="C1083" s="112" t="s">
        <v>156</v>
      </c>
      <c r="D1083" s="113"/>
      <c r="E1083" s="113"/>
      <c r="F1083" s="69"/>
      <c r="G1083" s="41">
        <v>40</v>
      </c>
      <c r="H1083" s="85"/>
      <c r="I1083" s="85"/>
    </row>
    <row r="1084" spans="1:9" ht="15" hidden="1" customHeight="1" outlineLevel="1">
      <c r="A1084" s="114"/>
      <c r="B1084" s="111" t="s">
        <v>1019</v>
      </c>
      <c r="C1084" s="112" t="s">
        <v>156</v>
      </c>
      <c r="D1084" s="113"/>
      <c r="E1084" s="113"/>
      <c r="F1084" s="69"/>
      <c r="G1084" s="41">
        <v>50</v>
      </c>
      <c r="H1084" s="85"/>
      <c r="I1084" s="85"/>
    </row>
    <row r="1085" spans="1:9" ht="15" hidden="1" customHeight="1" outlineLevel="1">
      <c r="A1085" s="114"/>
      <c r="B1085" s="111" t="s">
        <v>1020</v>
      </c>
      <c r="C1085" s="112" t="s">
        <v>156</v>
      </c>
      <c r="D1085" s="113"/>
      <c r="E1085" s="113"/>
      <c r="F1085" s="69"/>
      <c r="G1085" s="41">
        <v>60</v>
      </c>
      <c r="H1085" s="85"/>
      <c r="I1085" s="85"/>
    </row>
    <row r="1086" spans="1:9" ht="15" hidden="1" customHeight="1" outlineLevel="1">
      <c r="A1086" s="114"/>
      <c r="B1086" s="111" t="s">
        <v>1021</v>
      </c>
      <c r="C1086" s="112" t="s">
        <v>156</v>
      </c>
      <c r="D1086" s="113"/>
      <c r="E1086" s="113"/>
      <c r="F1086" s="69"/>
      <c r="G1086" s="41">
        <v>70</v>
      </c>
      <c r="H1086" s="85"/>
      <c r="I1086" s="85"/>
    </row>
    <row r="1087" spans="1:9" ht="15" hidden="1" customHeight="1" outlineLevel="1">
      <c r="A1087" s="114"/>
      <c r="B1087" s="111" t="s">
        <v>1022</v>
      </c>
      <c r="C1087" s="112" t="s">
        <v>156</v>
      </c>
      <c r="D1087" s="113"/>
      <c r="E1087" s="113"/>
      <c r="F1087" s="69"/>
      <c r="G1087" s="41">
        <v>80</v>
      </c>
      <c r="H1087" s="85"/>
      <c r="I1087" s="85"/>
    </row>
    <row r="1088" spans="1:9" ht="15" hidden="1" customHeight="1" outlineLevel="1">
      <c r="A1088" s="114"/>
      <c r="B1088" s="111" t="s">
        <v>1023</v>
      </c>
      <c r="C1088" s="112" t="s">
        <v>156</v>
      </c>
      <c r="D1088" s="113"/>
      <c r="E1088" s="113"/>
      <c r="F1088" s="69"/>
      <c r="G1088" s="41">
        <v>90</v>
      </c>
      <c r="H1088" s="85"/>
      <c r="I1088" s="85"/>
    </row>
    <row r="1089" spans="1:9" ht="15" hidden="1" customHeight="1" outlineLevel="1">
      <c r="A1089" s="114"/>
      <c r="B1089" s="111" t="s">
        <v>1024</v>
      </c>
      <c r="C1089" s="112" t="s">
        <v>156</v>
      </c>
      <c r="D1089" s="113"/>
      <c r="E1089" s="113"/>
      <c r="F1089" s="69"/>
      <c r="G1089" s="41">
        <v>100</v>
      </c>
      <c r="H1089" s="85"/>
      <c r="I1089" s="85"/>
    </row>
    <row r="1090" spans="1:9" ht="15" hidden="1" customHeight="1" outlineLevel="1">
      <c r="A1090" s="114"/>
      <c r="B1090" s="111" t="s">
        <v>1025</v>
      </c>
      <c r="C1090" s="112" t="s">
        <v>156</v>
      </c>
      <c r="D1090" s="113"/>
      <c r="E1090" s="113"/>
      <c r="F1090" s="69"/>
      <c r="G1090" s="41">
        <v>110</v>
      </c>
      <c r="H1090" s="85"/>
      <c r="I1090" s="85"/>
    </row>
    <row r="1091" spans="1:9" ht="15" hidden="1" customHeight="1" outlineLevel="1">
      <c r="A1091" s="114"/>
      <c r="B1091" s="111" t="s">
        <v>1026</v>
      </c>
      <c r="C1091" s="112" t="s">
        <v>156</v>
      </c>
      <c r="D1091" s="113"/>
      <c r="E1091" s="113"/>
      <c r="F1091" s="69"/>
      <c r="G1091" s="41">
        <v>120</v>
      </c>
      <c r="H1091" s="85"/>
      <c r="I1091" s="85"/>
    </row>
    <row r="1092" spans="1:9" ht="15" hidden="1" customHeight="1" outlineLevel="1">
      <c r="A1092" s="114"/>
      <c r="B1092" s="111" t="s">
        <v>1027</v>
      </c>
      <c r="C1092" s="112" t="s">
        <v>159</v>
      </c>
      <c r="D1092" s="113"/>
      <c r="E1092" s="113"/>
      <c r="F1092" s="69"/>
      <c r="G1092" s="41">
        <v>5000</v>
      </c>
      <c r="H1092" s="85"/>
      <c r="I1092" s="85"/>
    </row>
    <row r="1093" spans="1:9" ht="15" hidden="1" customHeight="1" outlineLevel="1">
      <c r="A1093" s="114"/>
      <c r="B1093" s="111" t="s">
        <v>1028</v>
      </c>
      <c r="C1093" s="112" t="s">
        <v>159</v>
      </c>
      <c r="D1093" s="113"/>
      <c r="E1093" s="113"/>
      <c r="F1093" s="69"/>
      <c r="G1093" s="113">
        <v>7000</v>
      </c>
    </row>
    <row r="1094" spans="1:9" ht="15" hidden="1" customHeight="1" outlineLevel="1">
      <c r="A1094" s="114"/>
      <c r="B1094" s="111" t="s">
        <v>1029</v>
      </c>
      <c r="C1094" s="112" t="s">
        <v>159</v>
      </c>
      <c r="D1094" s="113"/>
      <c r="E1094" s="113"/>
      <c r="F1094" s="69"/>
      <c r="G1094" s="41">
        <v>9000</v>
      </c>
    </row>
    <row r="1095" spans="1:9" ht="15" hidden="1" customHeight="1" outlineLevel="1">
      <c r="A1095" s="114"/>
      <c r="B1095" s="111" t="s">
        <v>1030</v>
      </c>
      <c r="C1095" s="112" t="s">
        <v>159</v>
      </c>
      <c r="D1095" s="113"/>
      <c r="E1095" s="113"/>
      <c r="F1095" s="69"/>
      <c r="G1095" s="113">
        <v>11000</v>
      </c>
    </row>
    <row r="1096" spans="1:9" ht="15" hidden="1" customHeight="1" outlineLevel="1">
      <c r="A1096" s="114"/>
      <c r="B1096" s="111" t="s">
        <v>1031</v>
      </c>
      <c r="C1096" s="112" t="s">
        <v>159</v>
      </c>
      <c r="D1096" s="113"/>
      <c r="E1096" s="113"/>
      <c r="F1096" s="69"/>
      <c r="G1096" s="41">
        <v>13000</v>
      </c>
    </row>
    <row r="1097" spans="1:9" ht="15" hidden="1" customHeight="1" outlineLevel="1">
      <c r="A1097" s="114"/>
      <c r="B1097" s="111" t="s">
        <v>1032</v>
      </c>
      <c r="C1097" s="112" t="s">
        <v>159</v>
      </c>
      <c r="D1097" s="113"/>
      <c r="E1097" s="113"/>
      <c r="F1097" s="69"/>
      <c r="G1097" s="113">
        <v>15000</v>
      </c>
    </row>
    <row r="1098" spans="1:9" ht="15" hidden="1" customHeight="1" outlineLevel="1">
      <c r="A1098" s="114"/>
      <c r="B1098" s="111" t="s">
        <v>1033</v>
      </c>
      <c r="C1098" s="112" t="s">
        <v>159</v>
      </c>
      <c r="D1098" s="113"/>
      <c r="E1098" s="113"/>
      <c r="F1098" s="69"/>
      <c r="G1098" s="41">
        <v>17000</v>
      </c>
    </row>
    <row r="1099" spans="1:9" ht="15" hidden="1" customHeight="1" outlineLevel="1">
      <c r="A1099" s="114"/>
      <c r="B1099" s="111" t="s">
        <v>1034</v>
      </c>
      <c r="C1099" s="112" t="s">
        <v>159</v>
      </c>
      <c r="D1099" s="113"/>
      <c r="E1099" s="113"/>
      <c r="F1099" s="69"/>
      <c r="G1099" s="113">
        <v>19000</v>
      </c>
    </row>
    <row r="1100" spans="1:9" ht="15" hidden="1" customHeight="1" outlineLevel="1">
      <c r="A1100" s="114"/>
      <c r="B1100" s="117"/>
      <c r="C1100" s="112"/>
      <c r="D1100" s="113"/>
      <c r="E1100" s="113"/>
      <c r="F1100" s="69"/>
      <c r="G1100" s="113"/>
    </row>
    <row r="1101" spans="1:9" ht="15" customHeight="1">
      <c r="A1101" s="12" t="s">
        <v>1017</v>
      </c>
      <c r="B1101" s="12"/>
      <c r="C1101" s="112"/>
      <c r="D1101" s="113"/>
      <c r="E1101" s="113"/>
      <c r="F1101" s="69"/>
      <c r="G1101" s="113"/>
    </row>
    <row r="1102" spans="1:9" ht="15" hidden="1" customHeight="1" outlineLevel="1">
      <c r="A1102" s="3045" t="s">
        <v>1035</v>
      </c>
      <c r="B1102" s="3045"/>
      <c r="C1102" s="133" t="s">
        <v>208</v>
      </c>
      <c r="D1102" s="239"/>
      <c r="E1102" s="239"/>
      <c r="F1102" s="44"/>
      <c r="G1102" s="44" t="s">
        <v>132</v>
      </c>
    </row>
    <row r="1103" spans="1:9" ht="15" hidden="1" customHeight="1" outlineLevel="1">
      <c r="A1103" s="114"/>
      <c r="B1103" s="255" t="s">
        <v>1036</v>
      </c>
      <c r="C1103" s="18" t="s">
        <v>156</v>
      </c>
      <c r="D1103" s="113"/>
      <c r="E1103" s="113"/>
      <c r="F1103" s="69"/>
      <c r="G1103" s="256">
        <v>56</v>
      </c>
    </row>
    <row r="1104" spans="1:9" ht="15" hidden="1" customHeight="1" outlineLevel="1">
      <c r="A1104" s="114"/>
      <c r="B1104" s="255" t="s">
        <v>1037</v>
      </c>
      <c r="C1104" s="18" t="s">
        <v>156</v>
      </c>
      <c r="D1104" s="113"/>
      <c r="E1104" s="113"/>
      <c r="F1104" s="69"/>
      <c r="G1104" s="256">
        <v>73</v>
      </c>
    </row>
    <row r="1105" spans="1:7" ht="15" hidden="1" customHeight="1" outlineLevel="1">
      <c r="A1105" s="114"/>
      <c r="B1105" s="255" t="s">
        <v>1038</v>
      </c>
      <c r="C1105" s="18" t="s">
        <v>156</v>
      </c>
      <c r="D1105" s="113"/>
      <c r="E1105" s="113"/>
      <c r="F1105" s="69"/>
      <c r="G1105" s="256">
        <v>77</v>
      </c>
    </row>
    <row r="1106" spans="1:7" ht="15" hidden="1" customHeight="1" outlineLevel="1">
      <c r="A1106" s="114"/>
      <c r="B1106" s="255" t="s">
        <v>1039</v>
      </c>
      <c r="C1106" s="18" t="s">
        <v>156</v>
      </c>
      <c r="D1106" s="113"/>
      <c r="E1106" s="113"/>
      <c r="F1106" s="69"/>
      <c r="G1106" s="256">
        <v>145</v>
      </c>
    </row>
    <row r="1107" spans="1:7" ht="15" hidden="1" customHeight="1" outlineLevel="1">
      <c r="A1107" s="114"/>
      <c r="B1107" s="255" t="s">
        <v>1040</v>
      </c>
      <c r="C1107" s="18" t="s">
        <v>156</v>
      </c>
      <c r="D1107" s="113"/>
      <c r="E1107" s="113"/>
      <c r="F1107" s="69"/>
      <c r="G1107" s="256">
        <v>210</v>
      </c>
    </row>
    <row r="1108" spans="1:7" ht="15" hidden="1" customHeight="1" outlineLevel="1">
      <c r="A1108" s="114"/>
      <c r="B1108" s="255" t="s">
        <v>1041</v>
      </c>
      <c r="C1108" s="18" t="s">
        <v>156</v>
      </c>
      <c r="D1108" s="113"/>
      <c r="E1108" s="113"/>
      <c r="F1108" s="69"/>
      <c r="G1108" s="256">
        <v>70</v>
      </c>
    </row>
    <row r="1109" spans="1:7" ht="15" hidden="1" customHeight="1" outlineLevel="1">
      <c r="A1109" s="114"/>
      <c r="B1109" s="255" t="s">
        <v>1042</v>
      </c>
      <c r="C1109" s="18" t="s">
        <v>156</v>
      </c>
      <c r="D1109" s="113"/>
      <c r="E1109" s="113"/>
      <c r="F1109" s="69"/>
      <c r="G1109" s="256">
        <v>95</v>
      </c>
    </row>
    <row r="1110" spans="1:7" ht="15" hidden="1" customHeight="1" outlineLevel="1">
      <c r="A1110" s="114"/>
      <c r="B1110" s="255" t="s">
        <v>1043</v>
      </c>
      <c r="C1110" s="18" t="s">
        <v>156</v>
      </c>
      <c r="D1110" s="113"/>
      <c r="E1110" s="113"/>
      <c r="F1110" s="69"/>
      <c r="G1110" s="256">
        <v>105</v>
      </c>
    </row>
    <row r="1111" spans="1:7" ht="15" hidden="1" customHeight="1" outlineLevel="1">
      <c r="A1111" s="114"/>
      <c r="B1111" s="255" t="s">
        <v>1044</v>
      </c>
      <c r="C1111" s="18" t="s">
        <v>156</v>
      </c>
      <c r="D1111" s="113"/>
      <c r="E1111" s="113"/>
      <c r="F1111" s="69"/>
      <c r="G1111" s="256">
        <v>170</v>
      </c>
    </row>
    <row r="1112" spans="1:7" ht="15" hidden="1" customHeight="1" outlineLevel="1">
      <c r="A1112" s="114"/>
      <c r="B1112" s="255" t="s">
        <v>1045</v>
      </c>
      <c r="C1112" s="18" t="s">
        <v>156</v>
      </c>
      <c r="D1112" s="113"/>
      <c r="E1112" s="113"/>
      <c r="F1112" s="69"/>
      <c r="G1112" s="256">
        <v>270</v>
      </c>
    </row>
    <row r="1113" spans="1:7" ht="15" hidden="1" customHeight="1" outlineLevel="1">
      <c r="A1113" s="114"/>
      <c r="B1113" s="255" t="s">
        <v>1046</v>
      </c>
      <c r="C1113" s="18" t="s">
        <v>156</v>
      </c>
      <c r="D1113" s="113"/>
      <c r="E1113" s="113"/>
      <c r="F1113" s="69"/>
      <c r="G1113" s="256">
        <v>103</v>
      </c>
    </row>
    <row r="1114" spans="1:7" ht="15" hidden="1" customHeight="1" outlineLevel="1">
      <c r="A1114" s="114"/>
      <c r="B1114" s="255" t="s">
        <v>1047</v>
      </c>
      <c r="C1114" s="18" t="s">
        <v>156</v>
      </c>
      <c r="D1114" s="113"/>
      <c r="E1114" s="113"/>
      <c r="F1114" s="69"/>
      <c r="G1114" s="256">
        <v>115</v>
      </c>
    </row>
    <row r="1115" spans="1:7" ht="15" hidden="1" customHeight="1" outlineLevel="1">
      <c r="A1115" s="114"/>
      <c r="B1115" s="255" t="s">
        <v>1048</v>
      </c>
      <c r="C1115" s="18" t="s">
        <v>156</v>
      </c>
      <c r="D1115" s="113"/>
      <c r="E1115" s="113"/>
      <c r="F1115" s="69"/>
      <c r="G1115" s="256">
        <v>187</v>
      </c>
    </row>
    <row r="1116" spans="1:7" ht="15" hidden="1" customHeight="1" outlineLevel="1">
      <c r="A1116" s="114"/>
      <c r="B1116" s="255" t="s">
        <v>1049</v>
      </c>
      <c r="C1116" s="18" t="s">
        <v>156</v>
      </c>
      <c r="D1116" s="113"/>
      <c r="E1116" s="113"/>
      <c r="F1116" s="69"/>
      <c r="G1116" s="256">
        <v>205</v>
      </c>
    </row>
    <row r="1117" spans="1:7" ht="15" hidden="1" customHeight="1" outlineLevel="1">
      <c r="A1117" s="114"/>
      <c r="B1117" s="255" t="s">
        <v>1050</v>
      </c>
      <c r="C1117" s="18" t="s">
        <v>156</v>
      </c>
      <c r="D1117" s="113"/>
      <c r="E1117" s="113"/>
      <c r="F1117" s="69"/>
      <c r="G1117" s="256">
        <v>262</v>
      </c>
    </row>
    <row r="1118" spans="1:7" ht="15" hidden="1" customHeight="1" outlineLevel="1">
      <c r="A1118" s="114"/>
      <c r="B1118" s="255" t="s">
        <v>1051</v>
      </c>
      <c r="C1118" s="18" t="s">
        <v>156</v>
      </c>
      <c r="D1118" s="113"/>
      <c r="E1118" s="113"/>
      <c r="F1118" s="69"/>
      <c r="G1118" s="256">
        <v>300</v>
      </c>
    </row>
    <row r="1119" spans="1:7" ht="15" hidden="1" customHeight="1" outlineLevel="1">
      <c r="A1119" s="114"/>
      <c r="B1119" s="255" t="s">
        <v>1052</v>
      </c>
      <c r="C1119" s="18" t="s">
        <v>156</v>
      </c>
      <c r="D1119" s="113"/>
      <c r="E1119" s="113"/>
      <c r="F1119" s="69"/>
      <c r="G1119" s="256">
        <v>70</v>
      </c>
    </row>
    <row r="1120" spans="1:7" ht="15" hidden="1" customHeight="1" outlineLevel="1">
      <c r="A1120" s="114"/>
      <c r="B1120" s="255"/>
      <c r="D1120" s="113"/>
      <c r="E1120" s="113"/>
      <c r="F1120" s="69"/>
      <c r="G1120" s="256"/>
    </row>
    <row r="1121" spans="1:7" ht="15" hidden="1" customHeight="1" outlineLevel="1">
      <c r="A1121" s="114"/>
      <c r="B1121" s="257"/>
      <c r="D1121" s="113"/>
      <c r="E1121" s="113"/>
      <c r="F1121" s="69"/>
      <c r="G1121" s="256"/>
    </row>
    <row r="1122" spans="1:7" ht="15" customHeight="1">
      <c r="A1122" s="12" t="s">
        <v>1035</v>
      </c>
      <c r="B1122" s="12"/>
      <c r="D1122" s="113"/>
      <c r="E1122" s="113"/>
      <c r="F1122" s="69"/>
      <c r="G1122" s="256"/>
    </row>
    <row r="1123" spans="1:7" ht="15" hidden="1" customHeight="1" outlineLevel="1">
      <c r="A1123" s="3045" t="s">
        <v>1053</v>
      </c>
      <c r="B1123" s="3045"/>
      <c r="C1123" s="133" t="s">
        <v>208</v>
      </c>
      <c r="D1123" s="239"/>
      <c r="E1123" s="239"/>
      <c r="F1123" s="44"/>
      <c r="G1123" s="44" t="s">
        <v>132</v>
      </c>
    </row>
    <row r="1124" spans="1:7" ht="15" hidden="1" customHeight="1" outlineLevel="1">
      <c r="A1124" s="258"/>
      <c r="B1124" s="111" t="s">
        <v>1054</v>
      </c>
      <c r="C1124" s="112" t="s">
        <v>156</v>
      </c>
      <c r="D1124" s="113"/>
      <c r="E1124" s="113"/>
      <c r="F1124" s="69"/>
      <c r="G1124" s="113">
        <v>1500</v>
      </c>
    </row>
    <row r="1125" spans="1:7" ht="15" hidden="1" customHeight="1" outlineLevel="1">
      <c r="A1125" s="258"/>
      <c r="B1125" s="111" t="s">
        <v>1055</v>
      </c>
      <c r="C1125" s="112" t="s">
        <v>156</v>
      </c>
      <c r="D1125" s="113"/>
      <c r="E1125" s="113"/>
      <c r="F1125" s="69"/>
      <c r="G1125" s="113">
        <v>2500</v>
      </c>
    </row>
    <row r="1126" spans="1:7" ht="15" hidden="1" customHeight="1" outlineLevel="1">
      <c r="A1126" s="258"/>
      <c r="B1126" s="111" t="s">
        <v>1056</v>
      </c>
      <c r="C1126" s="112" t="s">
        <v>156</v>
      </c>
      <c r="D1126" s="113"/>
      <c r="E1126" s="113"/>
      <c r="F1126" s="69"/>
      <c r="G1126" s="113">
        <v>3500</v>
      </c>
    </row>
    <row r="1127" spans="1:7" ht="15" hidden="1" customHeight="1" outlineLevel="1">
      <c r="A1127" s="258"/>
      <c r="B1127" s="111" t="s">
        <v>1057</v>
      </c>
      <c r="C1127" s="112" t="s">
        <v>156</v>
      </c>
      <c r="D1127" s="113"/>
      <c r="E1127" s="113"/>
      <c r="F1127" s="69"/>
      <c r="G1127" s="113">
        <v>4500</v>
      </c>
    </row>
    <row r="1128" spans="1:7" ht="15" hidden="1" customHeight="1" outlineLevel="1">
      <c r="A1128" s="258"/>
      <c r="B1128" s="117"/>
      <c r="C1128" s="112"/>
      <c r="D1128" s="113"/>
      <c r="E1128" s="113"/>
      <c r="F1128" s="69"/>
      <c r="G1128" s="113"/>
    </row>
    <row r="1129" spans="1:7" ht="15" customHeight="1">
      <c r="A1129" s="12" t="s">
        <v>1053</v>
      </c>
      <c r="B1129" s="12"/>
      <c r="C1129" s="112"/>
      <c r="D1129" s="113"/>
      <c r="E1129" s="113"/>
      <c r="F1129" s="69"/>
      <c r="G1129" s="113"/>
    </row>
    <row r="1130" spans="1:7" ht="15" hidden="1" customHeight="1" outlineLevel="1">
      <c r="A1130" s="2" t="s">
        <v>1058</v>
      </c>
      <c r="B1130" s="2"/>
      <c r="C1130" s="133" t="s">
        <v>208</v>
      </c>
      <c r="D1130" s="239"/>
      <c r="E1130" s="239"/>
      <c r="F1130" s="44"/>
      <c r="G1130" s="44" t="s">
        <v>132</v>
      </c>
    </row>
    <row r="1131" spans="1:7" ht="15" hidden="1" customHeight="1" outlineLevel="1">
      <c r="A1131" s="45"/>
      <c r="B1131" s="229" t="s">
        <v>1058</v>
      </c>
      <c r="C1131" s="112" t="s">
        <v>133</v>
      </c>
      <c r="D1131" s="113"/>
      <c r="E1131" s="113"/>
      <c r="F1131" s="69"/>
      <c r="G1131" s="113">
        <v>250</v>
      </c>
    </row>
    <row r="1132" spans="1:7" ht="15" hidden="1" customHeight="1" outlineLevel="1">
      <c r="A1132" s="46"/>
      <c r="B1132" s="229" t="s">
        <v>1059</v>
      </c>
      <c r="C1132" s="112" t="s">
        <v>156</v>
      </c>
      <c r="D1132" s="113"/>
      <c r="E1132" s="113"/>
      <c r="F1132" s="69"/>
      <c r="G1132" s="113">
        <v>200</v>
      </c>
    </row>
    <row r="1133" spans="1:7" ht="15" hidden="1" customHeight="1" outlineLevel="1">
      <c r="A1133" s="46"/>
      <c r="B1133" s="229" t="s">
        <v>1060</v>
      </c>
      <c r="C1133" s="112" t="s">
        <v>156</v>
      </c>
      <c r="D1133" s="113"/>
      <c r="E1133" s="113"/>
      <c r="F1133" s="69"/>
      <c r="G1133" s="113">
        <v>200</v>
      </c>
    </row>
    <row r="1134" spans="1:7" ht="15" hidden="1" customHeight="1" outlineLevel="1">
      <c r="A1134" s="46"/>
      <c r="B1134" s="229" t="s">
        <v>1061</v>
      </c>
      <c r="C1134" s="112" t="s">
        <v>156</v>
      </c>
      <c r="D1134" s="113"/>
      <c r="E1134" s="113"/>
      <c r="F1134" s="69"/>
      <c r="G1134" s="113">
        <v>230</v>
      </c>
    </row>
    <row r="1135" spans="1:7" ht="15" hidden="1" customHeight="1" outlineLevel="1">
      <c r="A1135" s="46"/>
      <c r="B1135" s="229" t="s">
        <v>1062</v>
      </c>
      <c r="C1135" s="112" t="s">
        <v>156</v>
      </c>
      <c r="D1135" s="113"/>
      <c r="E1135" s="113"/>
      <c r="F1135" s="69"/>
      <c r="G1135" s="113">
        <v>160</v>
      </c>
    </row>
    <row r="1136" spans="1:7" ht="15" hidden="1" customHeight="1" outlineLevel="1">
      <c r="A1136" s="46"/>
      <c r="B1136" s="229" t="s">
        <v>1063</v>
      </c>
      <c r="C1136" s="112" t="s">
        <v>156</v>
      </c>
      <c r="D1136" s="113"/>
      <c r="E1136" s="113"/>
      <c r="F1136" s="69"/>
      <c r="G1136" s="113">
        <v>190</v>
      </c>
    </row>
    <row r="1137" spans="1:7" ht="15" hidden="1" customHeight="1" outlineLevel="1">
      <c r="A1137" s="46"/>
      <c r="B1137" s="229" t="s">
        <v>1064</v>
      </c>
      <c r="C1137" s="112" t="s">
        <v>156</v>
      </c>
      <c r="D1137" s="113"/>
      <c r="E1137" s="113"/>
      <c r="F1137" s="69"/>
      <c r="G1137" s="113">
        <v>190</v>
      </c>
    </row>
    <row r="1138" spans="1:7" ht="15" hidden="1" customHeight="1" outlineLevel="1">
      <c r="A1138" s="46"/>
      <c r="B1138" s="229" t="s">
        <v>1065</v>
      </c>
      <c r="C1138" s="112" t="s">
        <v>159</v>
      </c>
      <c r="D1138" s="113"/>
      <c r="E1138" s="113"/>
      <c r="F1138" s="69"/>
      <c r="G1138" s="113">
        <v>2</v>
      </c>
    </row>
    <row r="1139" spans="1:7" ht="15" hidden="1" customHeight="1" outlineLevel="1">
      <c r="A1139" s="46"/>
      <c r="B1139" s="229"/>
      <c r="C1139" s="112"/>
      <c r="D1139" s="113"/>
      <c r="E1139" s="113"/>
      <c r="F1139" s="69"/>
      <c r="G1139" s="113"/>
    </row>
    <row r="1140" spans="1:7" ht="15" hidden="1" customHeight="1" outlineLevel="1">
      <c r="A1140" s="46"/>
      <c r="B1140" s="259"/>
      <c r="C1140" s="112"/>
      <c r="D1140" s="113"/>
      <c r="E1140" s="113"/>
      <c r="F1140" s="69"/>
      <c r="G1140" s="113"/>
    </row>
    <row r="1141" spans="1:7" ht="15" customHeight="1">
      <c r="A1141" s="12" t="s">
        <v>1058</v>
      </c>
      <c r="B1141" s="12"/>
      <c r="C1141" s="112"/>
      <c r="D1141" s="113"/>
      <c r="E1141" s="113"/>
      <c r="F1141" s="69"/>
      <c r="G1141" s="113"/>
    </row>
    <row r="1142" spans="1:7" ht="15" hidden="1" customHeight="1" outlineLevel="1">
      <c r="A1142" s="2" t="s">
        <v>1066</v>
      </c>
      <c r="B1142" s="2"/>
      <c r="C1142" s="133" t="s">
        <v>208</v>
      </c>
      <c r="D1142" s="239"/>
      <c r="E1142" s="239"/>
      <c r="F1142" s="44"/>
      <c r="G1142" s="44" t="s">
        <v>132</v>
      </c>
    </row>
    <row r="1143" spans="1:7" ht="15" hidden="1" customHeight="1" outlineLevel="1">
      <c r="A1143" s="45"/>
      <c r="B1143" s="229" t="s">
        <v>1066</v>
      </c>
      <c r="C1143" s="112" t="s">
        <v>133</v>
      </c>
      <c r="D1143" s="113"/>
      <c r="E1143" s="113"/>
      <c r="F1143" s="69"/>
      <c r="G1143" s="113">
        <v>180</v>
      </c>
    </row>
    <row r="1144" spans="1:7" ht="15" hidden="1" customHeight="1" outlineLevel="1">
      <c r="A1144" s="46"/>
      <c r="B1144" s="229" t="s">
        <v>1059</v>
      </c>
      <c r="C1144" s="112" t="s">
        <v>156</v>
      </c>
      <c r="D1144" s="113"/>
      <c r="E1144" s="113"/>
      <c r="F1144" s="69"/>
      <c r="G1144" s="113">
        <v>190</v>
      </c>
    </row>
    <row r="1145" spans="1:7" ht="15" hidden="1" customHeight="1" outlineLevel="1">
      <c r="A1145" s="46"/>
      <c r="B1145" s="229" t="s">
        <v>1060</v>
      </c>
      <c r="C1145" s="112" t="s">
        <v>156</v>
      </c>
      <c r="D1145" s="113"/>
      <c r="E1145" s="113"/>
      <c r="F1145" s="69"/>
      <c r="G1145" s="113">
        <v>190</v>
      </c>
    </row>
    <row r="1146" spans="1:7" ht="15" hidden="1" customHeight="1" outlineLevel="1">
      <c r="A1146" s="46"/>
      <c r="B1146" s="229" t="s">
        <v>1061</v>
      </c>
      <c r="C1146" s="112" t="s">
        <v>156</v>
      </c>
      <c r="D1146" s="113"/>
      <c r="E1146" s="113"/>
      <c r="F1146" s="69"/>
      <c r="G1146" s="113">
        <v>200</v>
      </c>
    </row>
    <row r="1147" spans="1:7" ht="15" hidden="1" customHeight="1" outlineLevel="1">
      <c r="A1147" s="46"/>
      <c r="B1147" s="229" t="s">
        <v>1062</v>
      </c>
      <c r="C1147" s="112" t="s">
        <v>156</v>
      </c>
      <c r="D1147" s="113"/>
      <c r="E1147" s="113"/>
      <c r="F1147" s="69"/>
      <c r="G1147" s="113">
        <v>160</v>
      </c>
    </row>
    <row r="1148" spans="1:7" ht="15" hidden="1" customHeight="1" outlineLevel="1">
      <c r="A1148" s="46"/>
      <c r="B1148" s="229" t="s">
        <v>1063</v>
      </c>
      <c r="C1148" s="112" t="s">
        <v>156</v>
      </c>
      <c r="D1148" s="113"/>
      <c r="E1148" s="113"/>
      <c r="F1148" s="69"/>
      <c r="G1148" s="113">
        <v>190</v>
      </c>
    </row>
    <row r="1149" spans="1:7" ht="15" hidden="1" customHeight="1" outlineLevel="1">
      <c r="A1149" s="46"/>
      <c r="B1149" s="229" t="s">
        <v>1064</v>
      </c>
      <c r="C1149" s="112" t="s">
        <v>156</v>
      </c>
      <c r="D1149" s="113"/>
      <c r="E1149" s="113"/>
      <c r="F1149" s="69"/>
      <c r="G1149" s="113">
        <v>190</v>
      </c>
    </row>
    <row r="1150" spans="1:7" ht="15" hidden="1" customHeight="1" outlineLevel="1">
      <c r="A1150" s="46"/>
      <c r="B1150" s="229" t="s">
        <v>1067</v>
      </c>
      <c r="C1150" s="112" t="s">
        <v>159</v>
      </c>
      <c r="D1150" s="113"/>
      <c r="E1150" s="113"/>
      <c r="F1150" s="69"/>
      <c r="G1150" s="113">
        <v>4.5</v>
      </c>
    </row>
    <row r="1151" spans="1:7" ht="15" hidden="1" customHeight="1" outlineLevel="1">
      <c r="A1151" s="46"/>
      <c r="B1151" s="229"/>
      <c r="C1151" s="112"/>
      <c r="D1151" s="113"/>
      <c r="E1151" s="113"/>
      <c r="F1151" s="69"/>
      <c r="G1151" s="113"/>
    </row>
    <row r="1152" spans="1:7" ht="15" hidden="1" customHeight="1" outlineLevel="1">
      <c r="A1152" s="46"/>
      <c r="B1152" s="259"/>
      <c r="C1152" s="112"/>
      <c r="D1152" s="113"/>
      <c r="E1152" s="113"/>
      <c r="F1152" s="69"/>
      <c r="G1152" s="113"/>
    </row>
    <row r="1153" spans="1:7" ht="15" customHeight="1">
      <c r="A1153" s="12" t="s">
        <v>1066</v>
      </c>
      <c r="B1153" s="12"/>
      <c r="C1153" s="112"/>
      <c r="D1153" s="113"/>
      <c r="E1153" s="113"/>
      <c r="F1153" s="69"/>
      <c r="G1153" s="113"/>
    </row>
    <row r="1154" spans="1:7" ht="15" hidden="1" customHeight="1" outlineLevel="1">
      <c r="A1154" s="2" t="s">
        <v>1068</v>
      </c>
      <c r="B1154" s="2"/>
      <c r="C1154" s="133" t="s">
        <v>208</v>
      </c>
      <c r="D1154" s="239"/>
      <c r="E1154" s="239"/>
      <c r="F1154" s="44"/>
      <c r="G1154" s="44" t="s">
        <v>132</v>
      </c>
    </row>
    <row r="1155" spans="1:7" ht="15" hidden="1" customHeight="1" outlineLevel="1">
      <c r="A1155" s="45"/>
      <c r="B1155" s="229" t="s">
        <v>1069</v>
      </c>
      <c r="C1155" s="112" t="s">
        <v>133</v>
      </c>
      <c r="D1155" s="113"/>
      <c r="E1155" s="113"/>
      <c r="F1155" s="69"/>
      <c r="G1155" s="113">
        <v>360</v>
      </c>
    </row>
    <row r="1156" spans="1:7" ht="15" hidden="1" customHeight="1" outlineLevel="1">
      <c r="A1156" s="46"/>
      <c r="B1156" s="229" t="s">
        <v>1070</v>
      </c>
      <c r="C1156" s="112" t="s">
        <v>156</v>
      </c>
      <c r="D1156" s="113"/>
      <c r="E1156" s="113"/>
      <c r="F1156" s="69"/>
      <c r="G1156" s="113">
        <v>200</v>
      </c>
    </row>
    <row r="1157" spans="1:7" ht="15" hidden="1" customHeight="1" outlineLevel="1">
      <c r="A1157" s="46"/>
      <c r="B1157" s="229" t="s">
        <v>1071</v>
      </c>
      <c r="C1157" s="112" t="s">
        <v>156</v>
      </c>
      <c r="D1157" s="113"/>
      <c r="E1157" s="113"/>
      <c r="F1157" s="69"/>
      <c r="G1157" s="113">
        <v>220</v>
      </c>
    </row>
    <row r="1158" spans="1:7" ht="15" hidden="1" customHeight="1" outlineLevel="1">
      <c r="A1158" s="46"/>
      <c r="B1158" s="229" t="s">
        <v>1072</v>
      </c>
      <c r="C1158" s="112" t="s">
        <v>156</v>
      </c>
      <c r="D1158" s="113"/>
      <c r="E1158" s="113"/>
      <c r="F1158" s="69"/>
      <c r="G1158" s="113">
        <v>220</v>
      </c>
    </row>
    <row r="1159" spans="1:7" ht="15" hidden="1" customHeight="1" outlineLevel="1">
      <c r="A1159" s="46"/>
      <c r="B1159" s="229" t="s">
        <v>1073</v>
      </c>
      <c r="C1159" s="112" t="s">
        <v>156</v>
      </c>
      <c r="D1159" s="113"/>
      <c r="E1159" s="113"/>
      <c r="F1159" s="69"/>
      <c r="G1159" s="113">
        <v>200</v>
      </c>
    </row>
    <row r="1160" spans="1:7" ht="15" hidden="1" customHeight="1" outlineLevel="1">
      <c r="A1160" s="46"/>
      <c r="B1160" s="229" t="s">
        <v>1074</v>
      </c>
      <c r="C1160" s="112" t="s">
        <v>156</v>
      </c>
      <c r="D1160" s="113"/>
      <c r="E1160" s="113"/>
      <c r="F1160" s="69"/>
      <c r="G1160" s="113">
        <v>250</v>
      </c>
    </row>
    <row r="1161" spans="1:7" ht="15" hidden="1" customHeight="1" outlineLevel="1">
      <c r="A1161" s="46"/>
      <c r="B1161" s="229" t="s">
        <v>1075</v>
      </c>
      <c r="C1161" s="112" t="s">
        <v>156</v>
      </c>
      <c r="D1161" s="113"/>
      <c r="E1161" s="113"/>
      <c r="F1161" s="69"/>
      <c r="G1161" s="113">
        <v>200</v>
      </c>
    </row>
    <row r="1162" spans="1:7" ht="15" hidden="1" customHeight="1" outlineLevel="1">
      <c r="A1162" s="46"/>
      <c r="B1162" s="229" t="s">
        <v>1076</v>
      </c>
      <c r="C1162" s="112" t="s">
        <v>159</v>
      </c>
      <c r="D1162" s="113"/>
      <c r="E1162" s="113"/>
      <c r="F1162" s="69"/>
      <c r="G1162" s="113">
        <v>1.2E-2</v>
      </c>
    </row>
    <row r="1163" spans="1:7" ht="15" hidden="1" customHeight="1" outlineLevel="1">
      <c r="A1163" s="46"/>
      <c r="B1163" s="229" t="s">
        <v>1077</v>
      </c>
      <c r="C1163" s="112" t="s">
        <v>159</v>
      </c>
      <c r="D1163" s="113"/>
      <c r="E1163" s="113"/>
      <c r="F1163" s="69"/>
      <c r="G1163" s="113">
        <v>0.25</v>
      </c>
    </row>
    <row r="1164" spans="1:7" ht="15" hidden="1" customHeight="1" outlineLevel="1">
      <c r="A1164" s="46"/>
      <c r="B1164" s="229" t="s">
        <v>1078</v>
      </c>
      <c r="C1164" s="112" t="s">
        <v>188</v>
      </c>
      <c r="D1164" s="113"/>
      <c r="E1164" s="113"/>
      <c r="F1164" s="69"/>
      <c r="G1164" s="113">
        <v>250</v>
      </c>
    </row>
    <row r="1165" spans="1:7" ht="15" hidden="1" customHeight="1" outlineLevel="1">
      <c r="A1165" s="46"/>
      <c r="B1165" s="229"/>
      <c r="C1165" s="112"/>
      <c r="D1165" s="113"/>
      <c r="E1165" s="113"/>
      <c r="F1165" s="69"/>
      <c r="G1165" s="113"/>
    </row>
    <row r="1166" spans="1:7" ht="15" hidden="1" customHeight="1" outlineLevel="1">
      <c r="A1166" s="46"/>
      <c r="B1166" s="259"/>
      <c r="C1166" s="112"/>
      <c r="D1166" s="113"/>
      <c r="E1166" s="113"/>
      <c r="F1166" s="69"/>
      <c r="G1166" s="113"/>
    </row>
    <row r="1167" spans="1:7" ht="15" customHeight="1">
      <c r="A1167" s="12" t="s">
        <v>1068</v>
      </c>
      <c r="B1167" s="12"/>
      <c r="C1167" s="112"/>
      <c r="D1167" s="113"/>
      <c r="E1167" s="113"/>
      <c r="F1167" s="69"/>
      <c r="G1167" s="113"/>
    </row>
    <row r="1168" spans="1:7" ht="15" hidden="1" customHeight="1" outlineLevel="1">
      <c r="A1168" s="2" t="s">
        <v>1079</v>
      </c>
      <c r="B1168" s="2"/>
      <c r="C1168" s="133" t="s">
        <v>208</v>
      </c>
      <c r="D1168" s="239"/>
      <c r="E1168" s="239"/>
      <c r="F1168" s="44"/>
      <c r="G1168" s="44" t="s">
        <v>132</v>
      </c>
    </row>
    <row r="1169" spans="1:7" ht="15" hidden="1" customHeight="1" outlineLevel="1">
      <c r="A1169" s="45"/>
      <c r="B1169" s="229" t="s">
        <v>1080</v>
      </c>
      <c r="C1169" s="112" t="s">
        <v>156</v>
      </c>
      <c r="D1169" s="113"/>
      <c r="E1169" s="113"/>
      <c r="F1169" s="69"/>
      <c r="G1169" s="113">
        <v>300</v>
      </c>
    </row>
    <row r="1170" spans="1:7" ht="15" hidden="1" customHeight="1" outlineLevel="1">
      <c r="A1170" s="46"/>
      <c r="B1170" s="229" t="s">
        <v>1081</v>
      </c>
      <c r="C1170" s="112" t="s">
        <v>159</v>
      </c>
      <c r="D1170" s="113"/>
      <c r="E1170" s="113"/>
      <c r="F1170" s="69"/>
      <c r="G1170" s="113">
        <v>250</v>
      </c>
    </row>
    <row r="1171" spans="1:7" ht="15" hidden="1" customHeight="1" outlineLevel="1">
      <c r="A1171" s="46"/>
      <c r="B1171" s="229" t="s">
        <v>1082</v>
      </c>
      <c r="C1171" s="112" t="s">
        <v>156</v>
      </c>
      <c r="D1171" s="113"/>
      <c r="E1171" s="113"/>
      <c r="F1171" s="69"/>
      <c r="G1171" s="113">
        <v>300</v>
      </c>
    </row>
    <row r="1172" spans="1:7" ht="15" hidden="1" customHeight="1" outlineLevel="1">
      <c r="A1172" s="46"/>
      <c r="B1172" s="229" t="s">
        <v>1083</v>
      </c>
      <c r="C1172" s="112" t="s">
        <v>159</v>
      </c>
      <c r="D1172" s="113"/>
      <c r="E1172" s="113"/>
      <c r="F1172" s="69"/>
      <c r="G1172" s="113">
        <v>190</v>
      </c>
    </row>
    <row r="1173" spans="1:7" ht="15" hidden="1" customHeight="1" outlineLevel="1">
      <c r="A1173" s="46"/>
      <c r="B1173" s="229" t="s">
        <v>1084</v>
      </c>
      <c r="C1173" s="112" t="s">
        <v>159</v>
      </c>
      <c r="D1173" s="113"/>
      <c r="E1173" s="113"/>
      <c r="F1173" s="69"/>
      <c r="G1173" s="113">
        <v>180</v>
      </c>
    </row>
    <row r="1174" spans="1:7" ht="15" hidden="1" customHeight="1" outlineLevel="1">
      <c r="A1174" s="46"/>
      <c r="B1174" s="229" t="s">
        <v>1085</v>
      </c>
      <c r="C1174" s="112" t="s">
        <v>159</v>
      </c>
      <c r="D1174" s="113"/>
      <c r="E1174" s="113"/>
      <c r="F1174" s="69"/>
      <c r="G1174" s="113">
        <v>130</v>
      </c>
    </row>
    <row r="1175" spans="1:7" ht="15" hidden="1" customHeight="1" outlineLevel="1">
      <c r="A1175" s="46"/>
      <c r="B1175" s="229" t="s">
        <v>1086</v>
      </c>
      <c r="C1175" s="112" t="s">
        <v>159</v>
      </c>
      <c r="D1175" s="113"/>
      <c r="E1175" s="113"/>
      <c r="F1175" s="69"/>
      <c r="G1175" s="113">
        <v>350</v>
      </c>
    </row>
    <row r="1176" spans="1:7" ht="15" hidden="1" customHeight="1" outlineLevel="1">
      <c r="A1176" s="46"/>
      <c r="B1176" s="229" t="s">
        <v>1087</v>
      </c>
      <c r="C1176" s="112" t="s">
        <v>159</v>
      </c>
      <c r="D1176" s="113"/>
      <c r="E1176" s="113"/>
      <c r="F1176" s="69"/>
      <c r="G1176" s="113">
        <v>1200</v>
      </c>
    </row>
    <row r="1177" spans="1:7" ht="15" hidden="1" customHeight="1" outlineLevel="1">
      <c r="A1177" s="46"/>
      <c r="B1177" s="229" t="s">
        <v>1088</v>
      </c>
      <c r="C1177" s="112" t="s">
        <v>159</v>
      </c>
      <c r="D1177" s="113"/>
      <c r="E1177" s="113"/>
      <c r="F1177" s="69"/>
      <c r="G1177" s="113">
        <v>1100</v>
      </c>
    </row>
    <row r="1178" spans="1:7" ht="15" hidden="1" customHeight="1" outlineLevel="1">
      <c r="A1178" s="46"/>
      <c r="B1178" s="260" t="s">
        <v>1089</v>
      </c>
      <c r="C1178" s="112" t="s">
        <v>159</v>
      </c>
      <c r="D1178" s="113"/>
      <c r="E1178" s="113"/>
      <c r="F1178" s="69"/>
      <c r="G1178" s="113">
        <v>3500</v>
      </c>
    </row>
    <row r="1179" spans="1:7" ht="15" hidden="1" customHeight="1" outlineLevel="1">
      <c r="A1179" s="46"/>
      <c r="B1179" s="260" t="s">
        <v>1090</v>
      </c>
      <c r="C1179" s="112" t="s">
        <v>159</v>
      </c>
      <c r="D1179" s="113"/>
      <c r="E1179" s="113"/>
      <c r="F1179" s="69"/>
      <c r="G1179" s="113">
        <v>3500</v>
      </c>
    </row>
    <row r="1180" spans="1:7" ht="15" hidden="1" customHeight="1" outlineLevel="1">
      <c r="A1180" s="46"/>
      <c r="B1180" s="260" t="s">
        <v>1091</v>
      </c>
      <c r="C1180" s="112" t="s">
        <v>159</v>
      </c>
      <c r="D1180" s="113"/>
      <c r="E1180" s="113"/>
      <c r="F1180" s="69"/>
      <c r="G1180" s="113">
        <v>4500</v>
      </c>
    </row>
    <row r="1181" spans="1:7" ht="15" hidden="1" customHeight="1" outlineLevel="1">
      <c r="A1181" s="46"/>
      <c r="B1181" s="229"/>
      <c r="C1181" s="112"/>
      <c r="D1181" s="113"/>
      <c r="E1181" s="113"/>
      <c r="F1181" s="69"/>
      <c r="G1181" s="113"/>
    </row>
    <row r="1182" spans="1:7" ht="15" hidden="1" customHeight="1" outlineLevel="1">
      <c r="A1182" s="46"/>
      <c r="B1182" s="259"/>
      <c r="C1182" s="112"/>
      <c r="D1182" s="113"/>
      <c r="E1182" s="113"/>
      <c r="F1182" s="69"/>
      <c r="G1182" s="113"/>
    </row>
    <row r="1183" spans="1:7" ht="15" customHeight="1">
      <c r="A1183" s="12" t="s">
        <v>1079</v>
      </c>
      <c r="B1183" s="12"/>
      <c r="C1183" s="112"/>
      <c r="D1183" s="113"/>
      <c r="E1183" s="113"/>
      <c r="F1183" s="69"/>
      <c r="G1183" s="113"/>
    </row>
    <row r="1184" spans="1:7" ht="15" hidden="1" customHeight="1" outlineLevel="1">
      <c r="A1184" s="3054" t="s">
        <v>1092</v>
      </c>
      <c r="B1184" s="3054"/>
      <c r="C1184" s="133" t="s">
        <v>208</v>
      </c>
      <c r="D1184" s="239"/>
      <c r="E1184" s="239"/>
      <c r="F1184" s="44"/>
      <c r="G1184" s="44" t="s">
        <v>132</v>
      </c>
    </row>
    <row r="1185" spans="1:7" ht="15" hidden="1" customHeight="1" outlineLevel="1">
      <c r="A1185" s="45"/>
      <c r="B1185" s="261" t="s">
        <v>1093</v>
      </c>
      <c r="C1185" s="261" t="s">
        <v>1094</v>
      </c>
      <c r="E1185" s="113"/>
      <c r="F1185" s="69"/>
      <c r="G1185" s="262" t="s">
        <v>854</v>
      </c>
    </row>
    <row r="1186" spans="1:7" ht="15" hidden="1" customHeight="1" outlineLevel="1">
      <c r="A1186" s="46"/>
      <c r="B1186" s="263" t="s">
        <v>1095</v>
      </c>
      <c r="C1186" s="99" t="s">
        <v>156</v>
      </c>
      <c r="E1186" s="113"/>
      <c r="F1186" s="69"/>
      <c r="G1186" s="147">
        <v>2000</v>
      </c>
    </row>
    <row r="1187" spans="1:7" ht="15" hidden="1" customHeight="1" outlineLevel="1">
      <c r="A1187" s="46"/>
      <c r="B1187" s="263" t="s">
        <v>1096</v>
      </c>
      <c r="C1187" s="99" t="s">
        <v>156</v>
      </c>
      <c r="E1187" s="113"/>
      <c r="F1187" s="69"/>
      <c r="G1187" s="147">
        <v>2000</v>
      </c>
    </row>
    <row r="1188" spans="1:7" ht="15" hidden="1" customHeight="1" outlineLevel="1">
      <c r="A1188" s="46"/>
      <c r="B1188" s="263" t="s">
        <v>1097</v>
      </c>
      <c r="C1188" s="99" t="s">
        <v>156</v>
      </c>
      <c r="E1188" s="113"/>
      <c r="F1188" s="69"/>
      <c r="G1188" s="147">
        <v>2000</v>
      </c>
    </row>
    <row r="1189" spans="1:7" ht="15" hidden="1" customHeight="1" outlineLevel="1">
      <c r="A1189" s="46"/>
      <c r="B1189" s="263" t="s">
        <v>1098</v>
      </c>
      <c r="C1189" s="99" t="s">
        <v>156</v>
      </c>
      <c r="E1189" s="113"/>
      <c r="F1189" s="69"/>
      <c r="G1189" s="147">
        <v>2800</v>
      </c>
    </row>
    <row r="1190" spans="1:7" ht="15" hidden="1" customHeight="1" outlineLevel="1">
      <c r="A1190" s="46"/>
      <c r="B1190" s="263" t="s">
        <v>1099</v>
      </c>
      <c r="C1190" s="99" t="s">
        <v>156</v>
      </c>
      <c r="E1190" s="113"/>
      <c r="F1190" s="69"/>
      <c r="G1190" s="147">
        <v>2800</v>
      </c>
    </row>
    <row r="1191" spans="1:7" ht="15" hidden="1" customHeight="1" outlineLevel="1">
      <c r="A1191" s="46"/>
      <c r="B1191" s="263" t="s">
        <v>1100</v>
      </c>
      <c r="C1191" s="99" t="s">
        <v>156</v>
      </c>
      <c r="E1191" s="113"/>
      <c r="F1191" s="69"/>
      <c r="G1191" s="147">
        <v>2800</v>
      </c>
    </row>
    <row r="1192" spans="1:7" ht="15" hidden="1" customHeight="1" outlineLevel="1">
      <c r="A1192" s="46"/>
      <c r="B1192" s="263" t="s">
        <v>1101</v>
      </c>
      <c r="C1192" s="99" t="s">
        <v>156</v>
      </c>
      <c r="E1192" s="113"/>
      <c r="F1192" s="69"/>
      <c r="G1192" s="147">
        <v>3300</v>
      </c>
    </row>
    <row r="1193" spans="1:7" ht="15" hidden="1" customHeight="1" outlineLevel="1">
      <c r="A1193" s="46"/>
      <c r="B1193" s="263" t="s">
        <v>1102</v>
      </c>
      <c r="C1193" s="99" t="s">
        <v>156</v>
      </c>
      <c r="E1193" s="113"/>
      <c r="F1193" s="69"/>
      <c r="G1193" s="147">
        <v>3300</v>
      </c>
    </row>
    <row r="1194" spans="1:7" ht="15" hidden="1" customHeight="1" outlineLevel="1">
      <c r="A1194" s="46"/>
      <c r="B1194" s="263" t="s">
        <v>1103</v>
      </c>
      <c r="C1194" s="99" t="s">
        <v>156</v>
      </c>
      <c r="E1194" s="113"/>
      <c r="F1194" s="69"/>
      <c r="G1194" s="147">
        <v>3300</v>
      </c>
    </row>
    <row r="1195" spans="1:7" ht="15" hidden="1" customHeight="1" outlineLevel="1">
      <c r="A1195" s="46"/>
      <c r="B1195" s="263" t="s">
        <v>1104</v>
      </c>
      <c r="C1195" s="99" t="s">
        <v>156</v>
      </c>
      <c r="E1195" s="113"/>
      <c r="F1195" s="69"/>
      <c r="G1195" s="147">
        <v>4000</v>
      </c>
    </row>
    <row r="1196" spans="1:7" ht="15" hidden="1" customHeight="1" outlineLevel="1">
      <c r="A1196" s="46"/>
      <c r="B1196" s="263" t="s">
        <v>1105</v>
      </c>
      <c r="C1196" s="99" t="s">
        <v>156</v>
      </c>
      <c r="E1196" s="113"/>
      <c r="F1196" s="69"/>
      <c r="G1196" s="147">
        <v>4000</v>
      </c>
    </row>
    <row r="1197" spans="1:7" ht="15" hidden="1" customHeight="1" outlineLevel="1">
      <c r="A1197" s="46"/>
      <c r="B1197" s="263" t="s">
        <v>1106</v>
      </c>
      <c r="C1197" s="99" t="s">
        <v>156</v>
      </c>
      <c r="E1197" s="113"/>
      <c r="F1197" s="69"/>
      <c r="G1197" s="147">
        <v>4000</v>
      </c>
    </row>
    <row r="1198" spans="1:7" ht="15" hidden="1" customHeight="1" outlineLevel="1">
      <c r="A1198" s="46"/>
      <c r="B1198" s="229" t="s">
        <v>1107</v>
      </c>
      <c r="C1198" s="99" t="s">
        <v>159</v>
      </c>
      <c r="E1198" s="113"/>
      <c r="F1198" s="69"/>
      <c r="G1198" s="100">
        <v>2000</v>
      </c>
    </row>
    <row r="1199" spans="1:7" ht="15" hidden="1" customHeight="1" outlineLevel="1">
      <c r="A1199" s="46"/>
      <c r="B1199" s="263" t="s">
        <v>1108</v>
      </c>
      <c r="C1199" s="99" t="s">
        <v>159</v>
      </c>
      <c r="E1199" s="113"/>
      <c r="F1199" s="69"/>
      <c r="G1199" s="147">
        <v>3000</v>
      </c>
    </row>
    <row r="1200" spans="1:7" ht="15" hidden="1" customHeight="1" outlineLevel="1">
      <c r="A1200" s="46"/>
      <c r="B1200" s="229" t="s">
        <v>1109</v>
      </c>
      <c r="C1200" s="99" t="s">
        <v>156</v>
      </c>
      <c r="E1200" s="113"/>
      <c r="F1200" s="69"/>
      <c r="G1200" s="100">
        <v>300</v>
      </c>
    </row>
    <row r="1201" spans="1:9" ht="15" hidden="1" customHeight="1" outlineLevel="1">
      <c r="A1201" s="46"/>
      <c r="B1201" s="229" t="s">
        <v>1110</v>
      </c>
      <c r="C1201" s="99" t="s">
        <v>159</v>
      </c>
      <c r="E1201" s="113"/>
      <c r="F1201" s="69"/>
      <c r="G1201" s="100">
        <v>1000</v>
      </c>
    </row>
    <row r="1202" spans="1:9" ht="15" hidden="1" customHeight="1" outlineLevel="1">
      <c r="A1202" s="46"/>
      <c r="B1202" s="229" t="s">
        <v>1111</v>
      </c>
      <c r="C1202" s="99" t="s">
        <v>159</v>
      </c>
      <c r="E1202" s="113"/>
      <c r="F1202" s="69"/>
      <c r="G1202" s="100">
        <v>100</v>
      </c>
    </row>
    <row r="1203" spans="1:9" ht="15" hidden="1" customHeight="1" outlineLevel="1">
      <c r="A1203" s="46"/>
      <c r="B1203" s="229"/>
      <c r="C1203" s="99"/>
      <c r="E1203" s="113"/>
      <c r="F1203" s="69"/>
      <c r="G1203" s="100"/>
    </row>
    <row r="1204" spans="1:9" ht="15" hidden="1" customHeight="1" outlineLevel="1">
      <c r="A1204" s="46"/>
      <c r="B1204" s="259"/>
      <c r="C1204" s="99"/>
      <c r="E1204" s="113"/>
      <c r="F1204" s="69"/>
      <c r="G1204" s="100"/>
    </row>
    <row r="1205" spans="1:9" ht="15" customHeight="1">
      <c r="A1205" s="12" t="s">
        <v>1092</v>
      </c>
      <c r="B1205" s="12"/>
      <c r="C1205" s="99"/>
      <c r="E1205" s="113"/>
      <c r="F1205" s="69"/>
      <c r="G1205" s="100"/>
    </row>
    <row r="1206" spans="1:9" ht="15" hidden="1" customHeight="1" outlineLevel="1">
      <c r="A1206" s="3054" t="s">
        <v>1112</v>
      </c>
      <c r="B1206" s="3054"/>
      <c r="C1206" s="133" t="s">
        <v>208</v>
      </c>
      <c r="D1206" s="239"/>
      <c r="E1206" s="239"/>
      <c r="F1206" s="44"/>
      <c r="G1206" s="44" t="s">
        <v>132</v>
      </c>
    </row>
    <row r="1207" spans="1:9" ht="15" hidden="1" customHeight="1" outlineLevel="1">
      <c r="A1207" s="110"/>
      <c r="B1207" s="229" t="s">
        <v>1113</v>
      </c>
      <c r="C1207" s="99" t="s">
        <v>156</v>
      </c>
      <c r="D1207" s="17"/>
      <c r="E1207" s="113"/>
      <c r="F1207" s="69"/>
      <c r="G1207" s="100">
        <v>0</v>
      </c>
    </row>
    <row r="1208" spans="1:9" ht="15" hidden="1" customHeight="1" outlineLevel="1">
      <c r="A1208" s="114"/>
      <c r="B1208" s="264" t="s">
        <v>1114</v>
      </c>
      <c r="C1208" s="265" t="s">
        <v>156</v>
      </c>
      <c r="D1208" s="266"/>
      <c r="E1208" s="266"/>
      <c r="F1208" s="267"/>
      <c r="G1208" s="268">
        <v>32.92</v>
      </c>
    </row>
    <row r="1209" spans="1:9" ht="15" hidden="1" customHeight="1" outlineLevel="1">
      <c r="A1209" s="114"/>
      <c r="B1209" s="264" t="s">
        <v>1115</v>
      </c>
      <c r="C1209" s="265" t="s">
        <v>156</v>
      </c>
      <c r="D1209" s="266"/>
      <c r="E1209" s="266"/>
      <c r="F1209" s="267"/>
      <c r="G1209" s="268">
        <v>21.49</v>
      </c>
    </row>
    <row r="1210" spans="1:9" ht="15" hidden="1" customHeight="1" outlineLevel="1">
      <c r="A1210" s="114"/>
      <c r="B1210" s="264" t="s">
        <v>1116</v>
      </c>
      <c r="C1210" s="265" t="s">
        <v>156</v>
      </c>
      <c r="D1210" s="266"/>
      <c r="E1210" s="266"/>
      <c r="F1210" s="267"/>
      <c r="G1210" s="268">
        <v>29.81</v>
      </c>
    </row>
    <row r="1211" spans="1:9" ht="15" hidden="1" customHeight="1" outlineLevel="1">
      <c r="A1211" s="114"/>
      <c r="B1211" s="264" t="s">
        <v>1117</v>
      </c>
      <c r="C1211" s="265" t="s">
        <v>156</v>
      </c>
      <c r="D1211" s="266"/>
      <c r="E1211" s="266"/>
      <c r="F1211" s="267"/>
      <c r="G1211" s="268">
        <v>47.36</v>
      </c>
    </row>
    <row r="1212" spans="1:9" ht="15" hidden="1" customHeight="1" outlineLevel="1">
      <c r="A1212" s="114"/>
      <c r="B1212" s="264" t="s">
        <v>1118</v>
      </c>
      <c r="C1212" s="265" t="s">
        <v>156</v>
      </c>
      <c r="D1212" s="17"/>
      <c r="E1212" s="113"/>
      <c r="F1212" s="69"/>
      <c r="G1212" s="100">
        <v>68</v>
      </c>
    </row>
    <row r="1213" spans="1:9" ht="15" hidden="1" customHeight="1" outlineLevel="1">
      <c r="A1213" s="114"/>
      <c r="B1213" s="229" t="s">
        <v>1119</v>
      </c>
      <c r="C1213" s="99" t="s">
        <v>156</v>
      </c>
      <c r="D1213" s="17"/>
      <c r="E1213" s="113"/>
      <c r="F1213" s="69"/>
      <c r="G1213" s="100">
        <v>0</v>
      </c>
    </row>
    <row r="1214" spans="1:9" s="70" customFormat="1" ht="15" hidden="1" customHeight="1" outlineLevel="1">
      <c r="A1214" s="114"/>
      <c r="B1214" s="269" t="s">
        <v>1120</v>
      </c>
      <c r="C1214" s="99" t="s">
        <v>156</v>
      </c>
      <c r="D1214" s="270"/>
      <c r="E1214" s="271"/>
      <c r="F1214" s="272"/>
      <c r="G1214" s="270">
        <v>4.43</v>
      </c>
      <c r="H1214" s="273"/>
      <c r="I1214" s="274"/>
    </row>
    <row r="1215" spans="1:9" s="70" customFormat="1" ht="15" hidden="1" customHeight="1" outlineLevel="1">
      <c r="A1215" s="114"/>
      <c r="B1215" s="269" t="s">
        <v>1121</v>
      </c>
      <c r="C1215" s="99" t="s">
        <v>156</v>
      </c>
      <c r="D1215" s="270"/>
      <c r="E1215" s="271"/>
      <c r="F1215" s="272"/>
      <c r="G1215" s="270">
        <v>5.0199999999999996</v>
      </c>
      <c r="H1215" s="273"/>
      <c r="I1215" s="274"/>
    </row>
    <row r="1216" spans="1:9" s="70" customFormat="1" ht="15" hidden="1" customHeight="1" outlineLevel="1">
      <c r="A1216" s="114"/>
      <c r="B1216" s="269" t="s">
        <v>1122</v>
      </c>
      <c r="C1216" s="99" t="s">
        <v>156</v>
      </c>
      <c r="D1216" s="270"/>
      <c r="E1216" s="271"/>
      <c r="F1216" s="272"/>
      <c r="G1216" s="270">
        <v>6.38</v>
      </c>
      <c r="H1216" s="273"/>
      <c r="I1216" s="274"/>
    </row>
    <row r="1217" spans="1:9" s="70" customFormat="1" ht="15" hidden="1" customHeight="1" outlineLevel="1">
      <c r="A1217" s="114"/>
      <c r="B1217" s="269" t="s">
        <v>1123</v>
      </c>
      <c r="C1217" s="99" t="s">
        <v>156</v>
      </c>
      <c r="D1217" s="270"/>
      <c r="E1217" s="271"/>
      <c r="F1217" s="272"/>
      <c r="G1217" s="270">
        <v>6.38</v>
      </c>
      <c r="H1217" s="273"/>
      <c r="I1217" s="274"/>
    </row>
    <row r="1218" spans="1:9" s="70" customFormat="1" ht="15" hidden="1" customHeight="1" outlineLevel="1">
      <c r="A1218" s="114"/>
      <c r="B1218" s="269" t="s">
        <v>1124</v>
      </c>
      <c r="C1218" s="99" t="s">
        <v>156</v>
      </c>
      <c r="D1218" s="270"/>
      <c r="E1218" s="271"/>
      <c r="F1218" s="272"/>
      <c r="G1218" s="270">
        <v>9.2899999999999991</v>
      </c>
      <c r="H1218" s="273"/>
      <c r="I1218" s="274"/>
    </row>
    <row r="1219" spans="1:9" s="70" customFormat="1" ht="15" hidden="1" customHeight="1" outlineLevel="1">
      <c r="A1219" s="114"/>
      <c r="B1219" s="269" t="s">
        <v>1125</v>
      </c>
      <c r="C1219" s="99" t="s">
        <v>156</v>
      </c>
      <c r="D1219" s="270"/>
      <c r="E1219" s="271"/>
      <c r="F1219" s="272"/>
      <c r="G1219" s="270">
        <v>12.81</v>
      </c>
      <c r="H1219" s="273"/>
      <c r="I1219" s="274"/>
    </row>
    <row r="1220" spans="1:9" s="70" customFormat="1" ht="15" hidden="1" customHeight="1" outlineLevel="1">
      <c r="A1220" s="114"/>
      <c r="B1220" s="269" t="s">
        <v>1126</v>
      </c>
      <c r="C1220" s="99" t="s">
        <v>156</v>
      </c>
      <c r="D1220" s="270"/>
      <c r="E1220" s="271"/>
      <c r="F1220" s="272"/>
      <c r="G1220" s="270">
        <v>13.92</v>
      </c>
      <c r="H1220" s="273"/>
      <c r="I1220" s="274"/>
    </row>
    <row r="1221" spans="1:9" s="70" customFormat="1" ht="15" hidden="1" customHeight="1" outlineLevel="1">
      <c r="A1221" s="114"/>
      <c r="B1221" s="269" t="s">
        <v>1127</v>
      </c>
      <c r="C1221" s="99" t="s">
        <v>156</v>
      </c>
      <c r="D1221" s="270"/>
      <c r="E1221" s="271"/>
      <c r="F1221" s="272"/>
      <c r="G1221" s="270">
        <v>23.24</v>
      </c>
      <c r="H1221" s="273"/>
      <c r="I1221" s="274"/>
    </row>
    <row r="1222" spans="1:9" s="70" customFormat="1" ht="15" hidden="1" customHeight="1" outlineLevel="1">
      <c r="A1222" s="114"/>
      <c r="B1222" s="269" t="s">
        <v>1128</v>
      </c>
      <c r="C1222" s="99" t="s">
        <v>156</v>
      </c>
      <c r="D1222" s="270"/>
      <c r="E1222" s="271"/>
      <c r="F1222" s="272"/>
      <c r="G1222" s="270">
        <v>35.28</v>
      </c>
      <c r="H1222" s="273"/>
      <c r="I1222" s="274"/>
    </row>
    <row r="1223" spans="1:9" s="70" customFormat="1" ht="15" hidden="1" customHeight="1" outlineLevel="1">
      <c r="A1223" s="114"/>
      <c r="B1223" s="269" t="s">
        <v>1129</v>
      </c>
      <c r="C1223" s="99" t="s">
        <v>156</v>
      </c>
      <c r="D1223" s="270"/>
      <c r="E1223" s="271"/>
      <c r="F1223" s="272"/>
      <c r="G1223" s="270">
        <v>46.75</v>
      </c>
      <c r="H1223" s="273"/>
      <c r="I1223" s="274"/>
    </row>
    <row r="1224" spans="1:9" s="70" customFormat="1" ht="15" hidden="1" customHeight="1" outlineLevel="1">
      <c r="A1224" s="114"/>
      <c r="B1224" s="269" t="s">
        <v>1130</v>
      </c>
      <c r="C1224" s="99" t="s">
        <v>156</v>
      </c>
      <c r="D1224" s="270"/>
      <c r="E1224" s="271"/>
      <c r="F1224" s="272"/>
      <c r="G1224" s="270">
        <v>52.2</v>
      </c>
      <c r="H1224" s="273"/>
      <c r="I1224" s="274"/>
    </row>
    <row r="1225" spans="1:9" s="70" customFormat="1" ht="15" hidden="1" customHeight="1" outlineLevel="1">
      <c r="A1225" s="114"/>
      <c r="B1225" s="269" t="s">
        <v>1131</v>
      </c>
      <c r="C1225" s="99" t="s">
        <v>156</v>
      </c>
      <c r="D1225" s="270"/>
      <c r="E1225" s="271"/>
      <c r="F1225" s="272"/>
      <c r="G1225" s="270">
        <v>57.65</v>
      </c>
      <c r="H1225" s="273"/>
      <c r="I1225" s="274"/>
    </row>
    <row r="1226" spans="1:9" s="70" customFormat="1" ht="15" hidden="1" customHeight="1" outlineLevel="1">
      <c r="A1226" s="114"/>
      <c r="B1226" s="269" t="s">
        <v>1132</v>
      </c>
      <c r="C1226" s="99" t="s">
        <v>156</v>
      </c>
      <c r="D1226" s="270"/>
      <c r="E1226" s="271"/>
      <c r="F1226" s="272"/>
      <c r="G1226" s="270">
        <v>59.76</v>
      </c>
      <c r="H1226" s="273"/>
      <c r="I1226" s="274"/>
    </row>
    <row r="1227" spans="1:9" s="70" customFormat="1" ht="15" hidden="1" customHeight="1" outlineLevel="1">
      <c r="A1227" s="114"/>
      <c r="B1227" s="269" t="s">
        <v>1133</v>
      </c>
      <c r="C1227" s="99" t="s">
        <v>156</v>
      </c>
      <c r="D1227" s="270"/>
      <c r="E1227" s="271"/>
      <c r="F1227" s="272"/>
      <c r="G1227" s="270">
        <v>70.489999999999995</v>
      </c>
      <c r="H1227" s="273"/>
      <c r="I1227" s="274"/>
    </row>
    <row r="1228" spans="1:9" s="70" customFormat="1" ht="15" hidden="1" customHeight="1" outlineLevel="1">
      <c r="A1228" s="114"/>
      <c r="B1228" s="269" t="s">
        <v>1134</v>
      </c>
      <c r="C1228" s="99" t="s">
        <v>156</v>
      </c>
      <c r="D1228" s="270"/>
      <c r="E1228" s="271"/>
      <c r="F1228" s="272"/>
      <c r="G1228" s="270">
        <v>7.48</v>
      </c>
      <c r="H1228" s="273"/>
      <c r="I1228" s="274"/>
    </row>
    <row r="1229" spans="1:9" s="70" customFormat="1" ht="15" hidden="1" customHeight="1" outlineLevel="1">
      <c r="A1229" s="114"/>
      <c r="B1229" s="269" t="s">
        <v>1135</v>
      </c>
      <c r="C1229" s="99" t="s">
        <v>156</v>
      </c>
      <c r="D1229" s="270"/>
      <c r="E1229" s="271"/>
      <c r="F1229" s="272"/>
      <c r="G1229" s="270">
        <v>7.48</v>
      </c>
      <c r="H1229" s="273"/>
      <c r="I1229" s="274"/>
    </row>
    <row r="1230" spans="1:9" s="70" customFormat="1" ht="15" hidden="1" customHeight="1" outlineLevel="1">
      <c r="A1230" s="114"/>
      <c r="B1230" s="269" t="s">
        <v>1136</v>
      </c>
      <c r="C1230" s="99" t="s">
        <v>156</v>
      </c>
      <c r="D1230" s="270"/>
      <c r="E1230" s="271"/>
      <c r="F1230" s="272"/>
      <c r="G1230" s="270">
        <v>9.61</v>
      </c>
      <c r="H1230" s="273"/>
      <c r="I1230" s="274"/>
    </row>
    <row r="1231" spans="1:9" s="70" customFormat="1" ht="15" hidden="1" customHeight="1" outlineLevel="1">
      <c r="A1231" s="114"/>
      <c r="B1231" s="269" t="s">
        <v>1137</v>
      </c>
      <c r="C1231" s="99" t="s">
        <v>156</v>
      </c>
      <c r="D1231" s="270"/>
      <c r="E1231" s="271"/>
      <c r="F1231" s="272"/>
      <c r="G1231" s="270">
        <v>9.64</v>
      </c>
      <c r="H1231" s="273"/>
      <c r="I1231" s="274"/>
    </row>
    <row r="1232" spans="1:9" s="70" customFormat="1" ht="15" hidden="1" customHeight="1" outlineLevel="1">
      <c r="A1232" s="114"/>
      <c r="B1232" s="269" t="s">
        <v>1138</v>
      </c>
      <c r="C1232" s="99" t="s">
        <v>156</v>
      </c>
      <c r="D1232" s="270"/>
      <c r="E1232" s="271"/>
      <c r="F1232" s="272"/>
      <c r="G1232" s="270">
        <v>15.42</v>
      </c>
      <c r="H1232" s="273"/>
      <c r="I1232" s="274"/>
    </row>
    <row r="1233" spans="1:9" s="70" customFormat="1" ht="15" hidden="1" customHeight="1" outlineLevel="1">
      <c r="A1233" s="114"/>
      <c r="B1233" s="269" t="s">
        <v>1139</v>
      </c>
      <c r="C1233" s="99" t="s">
        <v>156</v>
      </c>
      <c r="D1233" s="270"/>
      <c r="E1233" s="271"/>
      <c r="F1233" s="272"/>
      <c r="G1233" s="270">
        <v>19.52</v>
      </c>
      <c r="H1233" s="273"/>
      <c r="I1233" s="274"/>
    </row>
    <row r="1234" spans="1:9" s="70" customFormat="1" ht="15" hidden="1" customHeight="1" outlineLevel="1">
      <c r="A1234" s="114"/>
      <c r="B1234" s="269" t="s">
        <v>1140</v>
      </c>
      <c r="C1234" s="99" t="s">
        <v>156</v>
      </c>
      <c r="D1234" s="270"/>
      <c r="E1234" s="271"/>
      <c r="F1234" s="272"/>
      <c r="G1234" s="270">
        <v>22.38</v>
      </c>
      <c r="H1234" s="273"/>
      <c r="I1234" s="274"/>
    </row>
    <row r="1235" spans="1:9" s="70" customFormat="1" ht="15" hidden="1" customHeight="1" outlineLevel="1">
      <c r="A1235" s="114"/>
      <c r="B1235" s="269" t="s">
        <v>1141</v>
      </c>
      <c r="C1235" s="99" t="s">
        <v>156</v>
      </c>
      <c r="D1235" s="270"/>
      <c r="E1235" s="271"/>
      <c r="F1235" s="272"/>
      <c r="G1235" s="270">
        <v>26.37</v>
      </c>
      <c r="H1235" s="273"/>
      <c r="I1235" s="274"/>
    </row>
    <row r="1236" spans="1:9" ht="15" hidden="1" customHeight="1" outlineLevel="1">
      <c r="A1236" s="114"/>
      <c r="B1236" s="229" t="s">
        <v>1142</v>
      </c>
      <c r="C1236" s="99" t="s">
        <v>159</v>
      </c>
      <c r="D1236" s="17"/>
      <c r="E1236" s="113"/>
      <c r="F1236" s="69"/>
      <c r="G1236" s="100">
        <v>1</v>
      </c>
    </row>
    <row r="1237" spans="1:9" ht="15" hidden="1" customHeight="1" outlineLevel="1">
      <c r="A1237" s="114"/>
      <c r="B1237" s="229" t="s">
        <v>1143</v>
      </c>
      <c r="C1237" s="99" t="s">
        <v>159</v>
      </c>
      <c r="D1237" s="17"/>
      <c r="E1237" s="113"/>
      <c r="F1237" s="69"/>
      <c r="G1237" s="100">
        <v>0.25</v>
      </c>
    </row>
    <row r="1238" spans="1:9" ht="15" hidden="1" customHeight="1" outlineLevel="1">
      <c r="A1238" s="114"/>
      <c r="B1238" s="229" t="s">
        <v>1144</v>
      </c>
      <c r="C1238" s="99" t="s">
        <v>159</v>
      </c>
      <c r="D1238" s="17"/>
      <c r="E1238" s="113"/>
      <c r="F1238" s="69"/>
      <c r="G1238" s="100">
        <v>20</v>
      </c>
    </row>
    <row r="1239" spans="1:9" ht="15" hidden="1" customHeight="1" outlineLevel="1">
      <c r="A1239" s="114"/>
      <c r="B1239" s="229" t="s">
        <v>1145</v>
      </c>
      <c r="C1239" s="99" t="s">
        <v>159</v>
      </c>
      <c r="D1239" s="17"/>
      <c r="E1239" s="113"/>
      <c r="F1239" s="69"/>
      <c r="G1239" s="100">
        <v>10</v>
      </c>
    </row>
    <row r="1240" spans="1:9" ht="15" hidden="1" customHeight="1" outlineLevel="1">
      <c r="A1240" s="114"/>
      <c r="B1240" s="229" t="s">
        <v>1146</v>
      </c>
      <c r="C1240" s="99" t="s">
        <v>159</v>
      </c>
      <c r="D1240" s="17"/>
      <c r="E1240" s="113"/>
      <c r="F1240" s="69"/>
      <c r="G1240" s="100">
        <v>1200</v>
      </c>
    </row>
    <row r="1241" spans="1:9" ht="15" hidden="1" customHeight="1" outlineLevel="1">
      <c r="A1241" s="114"/>
      <c r="B1241" s="229" t="s">
        <v>1147</v>
      </c>
      <c r="C1241" s="99" t="s">
        <v>159</v>
      </c>
      <c r="D1241" s="17"/>
      <c r="E1241" s="113"/>
      <c r="F1241" s="69"/>
      <c r="G1241" s="100">
        <v>180</v>
      </c>
    </row>
    <row r="1242" spans="1:9" ht="15" hidden="1" customHeight="1" outlineLevel="1">
      <c r="A1242" s="114"/>
      <c r="B1242" s="229" t="s">
        <v>1148</v>
      </c>
      <c r="C1242" s="99" t="s">
        <v>159</v>
      </c>
      <c r="D1242" s="17"/>
      <c r="E1242" s="113"/>
      <c r="F1242" s="69"/>
      <c r="G1242" s="100">
        <v>70</v>
      </c>
    </row>
    <row r="1243" spans="1:9" ht="15" hidden="1" customHeight="1" outlineLevel="1">
      <c r="A1243" s="114"/>
      <c r="B1243" s="229" t="s">
        <v>1149</v>
      </c>
      <c r="C1243" s="99" t="s">
        <v>159</v>
      </c>
      <c r="D1243" s="17"/>
      <c r="E1243" s="113"/>
      <c r="F1243" s="69"/>
      <c r="G1243" s="100">
        <v>167</v>
      </c>
    </row>
    <row r="1244" spans="1:9" ht="15" hidden="1" customHeight="1" outlineLevel="1">
      <c r="A1244" s="114"/>
      <c r="B1244" s="229" t="s">
        <v>1150</v>
      </c>
      <c r="C1244" s="99" t="s">
        <v>159</v>
      </c>
      <c r="D1244" s="17"/>
      <c r="E1244" s="113"/>
      <c r="F1244" s="69"/>
      <c r="G1244" s="100">
        <v>6</v>
      </c>
    </row>
    <row r="1245" spans="1:9" ht="15" hidden="1" customHeight="1" outlineLevel="1">
      <c r="A1245" s="114"/>
      <c r="B1245" s="229" t="s">
        <v>1151</v>
      </c>
      <c r="C1245" s="99" t="s">
        <v>159</v>
      </c>
      <c r="D1245" s="17"/>
      <c r="E1245" s="113"/>
      <c r="F1245" s="69"/>
      <c r="G1245" s="100">
        <v>100</v>
      </c>
    </row>
    <row r="1246" spans="1:9" ht="15" hidden="1" customHeight="1" outlineLevel="1">
      <c r="A1246" s="114"/>
      <c r="B1246" s="229" t="s">
        <v>1152</v>
      </c>
      <c r="C1246" s="99" t="s">
        <v>159</v>
      </c>
      <c r="D1246" s="17"/>
      <c r="E1246" s="113"/>
      <c r="F1246" s="69"/>
      <c r="G1246" s="100">
        <v>90</v>
      </c>
    </row>
    <row r="1247" spans="1:9" ht="15" hidden="1" customHeight="1" outlineLevel="1">
      <c r="A1247" s="114"/>
      <c r="B1247" s="229" t="s">
        <v>1153</v>
      </c>
      <c r="C1247" s="99" t="s">
        <v>159</v>
      </c>
      <c r="D1247" s="17"/>
      <c r="E1247" s="113"/>
      <c r="F1247" s="69"/>
      <c r="G1247" s="100">
        <v>80</v>
      </c>
    </row>
    <row r="1248" spans="1:9" ht="15" hidden="1" customHeight="1" outlineLevel="1">
      <c r="A1248" s="114"/>
      <c r="B1248" s="229" t="s">
        <v>1154</v>
      </c>
      <c r="C1248" s="99" t="s">
        <v>159</v>
      </c>
      <c r="D1248" s="17"/>
      <c r="E1248" s="113"/>
      <c r="F1248" s="69"/>
      <c r="G1248" s="100">
        <v>70</v>
      </c>
    </row>
    <row r="1249" spans="1:7" ht="15" hidden="1" customHeight="1" outlineLevel="1">
      <c r="A1249" s="114"/>
      <c r="B1249" s="229" t="s">
        <v>1155</v>
      </c>
      <c r="C1249" s="99" t="s">
        <v>159</v>
      </c>
      <c r="D1249" s="17"/>
      <c r="E1249" s="113"/>
      <c r="F1249" s="69"/>
      <c r="G1249" s="100">
        <v>60</v>
      </c>
    </row>
    <row r="1250" spans="1:7" ht="15" hidden="1" customHeight="1" outlineLevel="1">
      <c r="A1250" s="114"/>
      <c r="B1250" s="229" t="s">
        <v>1156</v>
      </c>
      <c r="C1250" s="99" t="s">
        <v>159</v>
      </c>
      <c r="D1250" s="17"/>
      <c r="E1250" s="113"/>
      <c r="F1250" s="69"/>
      <c r="G1250" s="100">
        <v>100</v>
      </c>
    </row>
    <row r="1251" spans="1:7" ht="15" hidden="1" customHeight="1" outlineLevel="1">
      <c r="A1251" s="114"/>
      <c r="B1251" s="229" t="s">
        <v>1157</v>
      </c>
      <c r="C1251" s="99" t="s">
        <v>159</v>
      </c>
      <c r="D1251" s="99"/>
      <c r="E1251" s="113"/>
      <c r="F1251" s="69"/>
      <c r="G1251" s="100">
        <v>90</v>
      </c>
    </row>
    <row r="1252" spans="1:7" ht="15" hidden="1" customHeight="1" outlineLevel="1">
      <c r="A1252" s="114"/>
      <c r="B1252" s="229" t="s">
        <v>1158</v>
      </c>
      <c r="C1252" s="99" t="s">
        <v>159</v>
      </c>
      <c r="D1252" s="99"/>
      <c r="E1252" s="113"/>
      <c r="F1252" s="69"/>
      <c r="G1252" s="100">
        <v>80</v>
      </c>
    </row>
    <row r="1253" spans="1:7" ht="15" hidden="1" customHeight="1" outlineLevel="1">
      <c r="A1253" s="114"/>
      <c r="B1253" s="229" t="s">
        <v>1159</v>
      </c>
      <c r="C1253" s="99" t="s">
        <v>159</v>
      </c>
      <c r="D1253" s="126"/>
      <c r="E1253" s="113"/>
      <c r="F1253" s="69"/>
      <c r="G1253" s="100">
        <v>70</v>
      </c>
    </row>
    <row r="1254" spans="1:7" ht="15" hidden="1" customHeight="1" outlineLevel="1">
      <c r="A1254" s="114"/>
      <c r="B1254" s="229" t="s">
        <v>1160</v>
      </c>
      <c r="C1254" s="99" t="s">
        <v>159</v>
      </c>
      <c r="D1254" s="126"/>
      <c r="E1254" s="113"/>
      <c r="F1254" s="69"/>
      <c r="G1254" s="100">
        <v>60</v>
      </c>
    </row>
    <row r="1255" spans="1:7" ht="15" hidden="1" customHeight="1" outlineLevel="1">
      <c r="A1255" s="114"/>
      <c r="B1255" s="145"/>
      <c r="C1255" s="126"/>
      <c r="D1255" s="126"/>
      <c r="E1255" s="113"/>
      <c r="F1255" s="69"/>
      <c r="G1255" s="113"/>
    </row>
    <row r="1256" spans="1:7" ht="15" hidden="1" customHeight="1" outlineLevel="1">
      <c r="A1256" s="114"/>
      <c r="B1256" s="145"/>
      <c r="C1256" s="126"/>
      <c r="D1256" s="126"/>
      <c r="E1256" s="113"/>
      <c r="F1256" s="69"/>
      <c r="G1256" s="113"/>
    </row>
    <row r="1257" spans="1:7" ht="15" hidden="1" customHeight="1" outlineLevel="1">
      <c r="A1257" s="114"/>
      <c r="B1257" s="145"/>
      <c r="C1257" s="126"/>
      <c r="D1257" s="126"/>
      <c r="E1257" s="113"/>
      <c r="F1257" s="69"/>
      <c r="G1257" s="113"/>
    </row>
    <row r="1258" spans="1:7" ht="15" hidden="1" customHeight="1" outlineLevel="1">
      <c r="A1258" s="114"/>
      <c r="B1258" s="230"/>
      <c r="C1258" s="126"/>
      <c r="D1258" s="126"/>
      <c r="E1258" s="113"/>
      <c r="F1258" s="69"/>
      <c r="G1258" s="113"/>
    </row>
    <row r="1259" spans="1:7" ht="15" customHeight="1">
      <c r="A1259" s="12" t="s">
        <v>1112</v>
      </c>
      <c r="B1259" s="12"/>
      <c r="C1259" s="126"/>
      <c r="D1259" s="126"/>
      <c r="E1259" s="113"/>
      <c r="F1259" s="69"/>
      <c r="G1259" s="113"/>
    </row>
    <row r="1260" spans="1:7" ht="15" hidden="1" customHeight="1" outlineLevel="1">
      <c r="A1260" s="3054" t="s">
        <v>1161</v>
      </c>
      <c r="B1260" s="3054"/>
      <c r="C1260" s="133" t="s">
        <v>208</v>
      </c>
      <c r="D1260" s="239"/>
      <c r="E1260" s="239"/>
      <c r="F1260" s="44"/>
      <c r="G1260" s="44" t="s">
        <v>132</v>
      </c>
    </row>
    <row r="1261" spans="1:7" ht="15" hidden="1" customHeight="1" outlineLevel="1">
      <c r="A1261" s="45"/>
      <c r="B1261" s="98" t="s">
        <v>1162</v>
      </c>
      <c r="C1261" s="99" t="s">
        <v>156</v>
      </c>
      <c r="D1261" s="17"/>
      <c r="E1261" s="113"/>
      <c r="F1261" s="69"/>
      <c r="G1261" s="100">
        <v>40</v>
      </c>
    </row>
    <row r="1262" spans="1:7" ht="15" hidden="1" customHeight="1" outlineLevel="1">
      <c r="A1262" s="46"/>
      <c r="B1262" s="98" t="s">
        <v>1163</v>
      </c>
      <c r="C1262" s="99" t="s">
        <v>159</v>
      </c>
      <c r="D1262" s="17"/>
      <c r="E1262" s="113"/>
      <c r="F1262" s="69"/>
      <c r="G1262" s="100">
        <v>10</v>
      </c>
    </row>
    <row r="1263" spans="1:7" ht="15" hidden="1" customHeight="1" outlineLevel="1">
      <c r="A1263" s="46"/>
      <c r="B1263" s="98" t="s">
        <v>1164</v>
      </c>
      <c r="C1263" s="99" t="s">
        <v>159</v>
      </c>
      <c r="D1263" s="17"/>
      <c r="E1263" s="113"/>
      <c r="F1263" s="69"/>
      <c r="G1263" s="100">
        <v>10</v>
      </c>
    </row>
    <row r="1264" spans="1:7" ht="15" hidden="1" customHeight="1" outlineLevel="1">
      <c r="A1264" s="46"/>
      <c r="B1264" s="98" t="s">
        <v>1165</v>
      </c>
      <c r="C1264" s="99" t="s">
        <v>159</v>
      </c>
      <c r="D1264" s="17"/>
      <c r="E1264" s="113"/>
      <c r="F1264" s="69"/>
      <c r="G1264" s="100">
        <v>300</v>
      </c>
    </row>
    <row r="1265" spans="1:7" ht="15" hidden="1" customHeight="1" outlineLevel="1">
      <c r="A1265" s="46"/>
      <c r="B1265" s="98" t="s">
        <v>1166</v>
      </c>
      <c r="C1265" s="99" t="s">
        <v>159</v>
      </c>
      <c r="D1265" s="17"/>
      <c r="E1265" s="113"/>
      <c r="F1265" s="69"/>
      <c r="G1265" s="100">
        <v>250</v>
      </c>
    </row>
    <row r="1266" spans="1:7" ht="15" hidden="1" customHeight="1" outlineLevel="1">
      <c r="A1266" s="46"/>
      <c r="B1266" s="98" t="s">
        <v>1167</v>
      </c>
      <c r="C1266" s="99" t="s">
        <v>159</v>
      </c>
      <c r="D1266" s="17"/>
      <c r="E1266" s="113"/>
      <c r="F1266" s="69"/>
      <c r="G1266" s="100">
        <v>300</v>
      </c>
    </row>
    <row r="1267" spans="1:7" ht="15" hidden="1" customHeight="1" outlineLevel="1">
      <c r="A1267" s="46"/>
      <c r="B1267" s="98" t="s">
        <v>1168</v>
      </c>
      <c r="C1267" s="99" t="s">
        <v>159</v>
      </c>
      <c r="D1267" s="17"/>
      <c r="E1267" s="113"/>
      <c r="F1267" s="69"/>
      <c r="G1267" s="100">
        <v>200</v>
      </c>
    </row>
    <row r="1268" spans="1:7" ht="15" hidden="1" customHeight="1" outlineLevel="1">
      <c r="A1268" s="46"/>
      <c r="B1268" s="98" t="s">
        <v>1169</v>
      </c>
      <c r="C1268" s="99" t="s">
        <v>156</v>
      </c>
      <c r="D1268" s="17"/>
      <c r="E1268" s="113"/>
      <c r="F1268" s="69"/>
      <c r="G1268" s="100">
        <v>36</v>
      </c>
    </row>
    <row r="1269" spans="1:7" ht="15" hidden="1" customHeight="1" outlineLevel="1">
      <c r="A1269" s="46"/>
      <c r="B1269" s="98" t="s">
        <v>1170</v>
      </c>
      <c r="C1269" s="99" t="s">
        <v>159</v>
      </c>
      <c r="D1269" s="17"/>
      <c r="E1269" s="113"/>
      <c r="F1269" s="69"/>
      <c r="G1269" s="100">
        <v>100</v>
      </c>
    </row>
    <row r="1270" spans="1:7" ht="15" hidden="1" customHeight="1" outlineLevel="1">
      <c r="A1270" s="46"/>
      <c r="B1270" s="98" t="s">
        <v>1163</v>
      </c>
      <c r="C1270" s="99" t="s">
        <v>159</v>
      </c>
      <c r="D1270" s="17"/>
      <c r="E1270" s="113"/>
      <c r="F1270" s="69"/>
      <c r="G1270" s="100">
        <v>10</v>
      </c>
    </row>
    <row r="1271" spans="1:7" ht="15" hidden="1" customHeight="1" outlineLevel="1">
      <c r="A1271" s="46"/>
      <c r="B1271" s="98" t="s">
        <v>1164</v>
      </c>
      <c r="C1271" s="99" t="s">
        <v>159</v>
      </c>
      <c r="D1271" s="17"/>
      <c r="E1271" s="113"/>
      <c r="F1271" s="69"/>
      <c r="G1271" s="100">
        <v>10</v>
      </c>
    </row>
    <row r="1272" spans="1:7" ht="15" hidden="1" customHeight="1" outlineLevel="1">
      <c r="A1272" s="46"/>
      <c r="B1272" s="98"/>
      <c r="C1272" s="99"/>
      <c r="D1272" s="17"/>
      <c r="E1272" s="113"/>
      <c r="F1272" s="69"/>
      <c r="G1272" s="100"/>
    </row>
    <row r="1273" spans="1:7" ht="15" hidden="1" customHeight="1" outlineLevel="1">
      <c r="A1273" s="46"/>
      <c r="B1273" s="101"/>
      <c r="C1273" s="99"/>
      <c r="D1273" s="17"/>
      <c r="E1273" s="113"/>
      <c r="F1273" s="69"/>
      <c r="G1273" s="100"/>
    </row>
    <row r="1274" spans="1:7" ht="15" customHeight="1">
      <c r="A1274" s="12" t="s">
        <v>1161</v>
      </c>
      <c r="B1274" s="12"/>
      <c r="C1274" s="126"/>
      <c r="D1274" s="126"/>
      <c r="E1274" s="113"/>
      <c r="F1274" s="69"/>
      <c r="G1274" s="113"/>
    </row>
    <row r="1275" spans="1:7" ht="15" hidden="1" customHeight="1" outlineLevel="1">
      <c r="A1275" s="3054" t="s">
        <v>1171</v>
      </c>
      <c r="B1275" s="3054"/>
      <c r="C1275" s="133" t="s">
        <v>208</v>
      </c>
      <c r="D1275" s="239"/>
      <c r="E1275" s="239"/>
      <c r="F1275" s="44"/>
      <c r="G1275" s="44" t="s">
        <v>132</v>
      </c>
    </row>
    <row r="1276" spans="1:7" ht="15" hidden="1" customHeight="1" outlineLevel="1">
      <c r="A1276" s="45"/>
      <c r="B1276" s="275" t="s">
        <v>1172</v>
      </c>
      <c r="C1276" s="99" t="s">
        <v>154</v>
      </c>
      <c r="D1276" s="17"/>
      <c r="E1276" s="113"/>
      <c r="F1276" s="69"/>
      <c r="G1276" s="100">
        <v>2200</v>
      </c>
    </row>
    <row r="1277" spans="1:7" ht="15" hidden="1" customHeight="1" outlineLevel="1">
      <c r="A1277" s="46"/>
      <c r="B1277" s="229" t="s">
        <v>1173</v>
      </c>
      <c r="C1277" s="99" t="s">
        <v>156</v>
      </c>
      <c r="D1277" s="17"/>
      <c r="E1277" s="113"/>
      <c r="F1277" s="69"/>
      <c r="G1277" s="100">
        <v>1800</v>
      </c>
    </row>
    <row r="1278" spans="1:7" ht="15" hidden="1" customHeight="1" outlineLevel="1">
      <c r="A1278" s="46"/>
      <c r="B1278" s="229" t="s">
        <v>1174</v>
      </c>
      <c r="C1278" s="99" t="s">
        <v>159</v>
      </c>
      <c r="D1278" s="17"/>
      <c r="E1278" s="113"/>
      <c r="F1278" s="69"/>
      <c r="G1278" s="100">
        <v>2500</v>
      </c>
    </row>
    <row r="1279" spans="1:7" ht="15" hidden="1" customHeight="1" outlineLevel="1">
      <c r="A1279" s="46"/>
      <c r="B1279" s="229" t="s">
        <v>1175</v>
      </c>
      <c r="C1279" s="99" t="s">
        <v>156</v>
      </c>
      <c r="D1279" s="17"/>
      <c r="E1279" s="113"/>
      <c r="F1279" s="69"/>
      <c r="G1279" s="100">
        <v>19</v>
      </c>
    </row>
    <row r="1280" spans="1:7" ht="15" hidden="1" customHeight="1" outlineLevel="1">
      <c r="A1280" s="46"/>
      <c r="B1280" s="229" t="s">
        <v>1176</v>
      </c>
      <c r="C1280" s="99" t="s">
        <v>156</v>
      </c>
      <c r="D1280" s="17"/>
      <c r="E1280" s="113"/>
      <c r="F1280" s="69"/>
      <c r="G1280" s="100">
        <v>5</v>
      </c>
    </row>
    <row r="1281" spans="1:7" ht="15" hidden="1" customHeight="1" outlineLevel="1">
      <c r="A1281" s="46"/>
      <c r="B1281" s="229" t="s">
        <v>1177</v>
      </c>
      <c r="C1281" s="99" t="s">
        <v>1178</v>
      </c>
      <c r="D1281" s="17"/>
      <c r="E1281" s="113"/>
      <c r="F1281" s="69"/>
      <c r="G1281" s="100">
        <v>100</v>
      </c>
    </row>
    <row r="1282" spans="1:7" ht="15" hidden="1" customHeight="1" outlineLevel="1">
      <c r="A1282" s="46"/>
      <c r="B1282" s="229" t="s">
        <v>1179</v>
      </c>
      <c r="C1282" s="99" t="s">
        <v>159</v>
      </c>
      <c r="D1282" s="17"/>
      <c r="E1282" s="113"/>
      <c r="F1282" s="69"/>
      <c r="G1282" s="100">
        <v>8000</v>
      </c>
    </row>
    <row r="1283" spans="1:7" ht="15" hidden="1" customHeight="1" outlineLevel="1">
      <c r="A1283" s="46"/>
      <c r="B1283" s="229" t="s">
        <v>1180</v>
      </c>
      <c r="C1283" s="99" t="s">
        <v>159</v>
      </c>
      <c r="D1283" s="17"/>
      <c r="E1283" s="113"/>
      <c r="F1283" s="69"/>
      <c r="G1283" s="100">
        <v>10000</v>
      </c>
    </row>
    <row r="1284" spans="1:7" ht="15" hidden="1" customHeight="1" outlineLevel="1">
      <c r="A1284" s="46"/>
      <c r="B1284" s="229" t="s">
        <v>1181</v>
      </c>
      <c r="C1284" s="99" t="s">
        <v>156</v>
      </c>
      <c r="D1284" s="17"/>
      <c r="E1284" s="113"/>
      <c r="F1284" s="69"/>
      <c r="G1284" s="100">
        <v>35</v>
      </c>
    </row>
    <row r="1285" spans="1:7" ht="15" hidden="1" customHeight="1" outlineLevel="1">
      <c r="A1285" s="46"/>
      <c r="B1285" s="229" t="s">
        <v>1182</v>
      </c>
      <c r="C1285" s="99" t="s">
        <v>156</v>
      </c>
      <c r="D1285" s="17"/>
      <c r="E1285" s="113"/>
      <c r="F1285" s="69"/>
      <c r="G1285" s="100">
        <v>500</v>
      </c>
    </row>
    <row r="1286" spans="1:7" ht="15" hidden="1" customHeight="1" outlineLevel="1">
      <c r="A1286" s="46"/>
      <c r="B1286" s="229" t="s">
        <v>1183</v>
      </c>
      <c r="C1286" s="99" t="s">
        <v>159</v>
      </c>
      <c r="D1286" s="17"/>
      <c r="E1286" s="113"/>
      <c r="F1286" s="69"/>
      <c r="G1286" s="100">
        <v>3000</v>
      </c>
    </row>
    <row r="1287" spans="1:7" ht="15" hidden="1" customHeight="1" outlineLevel="1">
      <c r="A1287" s="46"/>
      <c r="B1287" s="229"/>
      <c r="C1287" s="99"/>
      <c r="D1287" s="17"/>
      <c r="E1287" s="113"/>
      <c r="F1287" s="69"/>
      <c r="G1287" s="100"/>
    </row>
    <row r="1288" spans="1:7" ht="15" customHeight="1">
      <c r="A1288" s="3055" t="s">
        <v>1171</v>
      </c>
      <c r="B1288" s="3055"/>
      <c r="C1288" s="99"/>
      <c r="D1288" s="17"/>
      <c r="E1288" s="113"/>
      <c r="F1288" s="69"/>
      <c r="G1288" s="100"/>
    </row>
    <row r="1289" spans="1:7" ht="15" hidden="1" customHeight="1" outlineLevel="1">
      <c r="A1289" s="3054" t="s">
        <v>1184</v>
      </c>
      <c r="B1289" s="3054"/>
      <c r="C1289" s="133" t="s">
        <v>208</v>
      </c>
      <c r="D1289" s="239"/>
      <c r="E1289" s="239"/>
      <c r="F1289" s="44"/>
      <c r="G1289" s="44" t="s">
        <v>132</v>
      </c>
    </row>
    <row r="1290" spans="1:7" ht="15" hidden="1" customHeight="1" outlineLevel="1">
      <c r="A1290" s="45"/>
      <c r="B1290" s="229" t="s">
        <v>1185</v>
      </c>
      <c r="C1290" s="99" t="s">
        <v>159</v>
      </c>
      <c r="D1290" s="17"/>
      <c r="E1290" s="113"/>
      <c r="F1290" s="69"/>
      <c r="G1290" s="100">
        <v>30000</v>
      </c>
    </row>
    <row r="1291" spans="1:7" ht="15" hidden="1" customHeight="1" outlineLevel="1">
      <c r="A1291" s="46"/>
      <c r="B1291" s="229" t="s">
        <v>1186</v>
      </c>
      <c r="C1291" s="99" t="s">
        <v>159</v>
      </c>
      <c r="D1291" s="17"/>
      <c r="E1291" s="113"/>
      <c r="F1291" s="69"/>
      <c r="G1291" s="100">
        <v>10000</v>
      </c>
    </row>
    <row r="1292" spans="1:7" ht="15" hidden="1" customHeight="1" outlineLevel="1">
      <c r="A1292" s="46"/>
      <c r="B1292" s="229" t="s">
        <v>1187</v>
      </c>
      <c r="C1292" s="99" t="s">
        <v>159</v>
      </c>
      <c r="D1292" s="17"/>
      <c r="E1292" s="113"/>
      <c r="F1292" s="69"/>
      <c r="G1292" s="100">
        <v>5000</v>
      </c>
    </row>
    <row r="1293" spans="1:7" ht="15" hidden="1" customHeight="1" outlineLevel="1">
      <c r="A1293" s="46"/>
      <c r="B1293" s="229" t="s">
        <v>1188</v>
      </c>
      <c r="C1293" s="99" t="s">
        <v>159</v>
      </c>
      <c r="D1293" s="17"/>
      <c r="E1293" s="113"/>
      <c r="F1293" s="69"/>
      <c r="G1293" s="100">
        <v>3500</v>
      </c>
    </row>
    <row r="1294" spans="1:7" ht="15" hidden="1" customHeight="1" outlineLevel="1">
      <c r="A1294" s="46"/>
      <c r="B1294" s="229" t="s">
        <v>1189</v>
      </c>
      <c r="C1294" s="99" t="s">
        <v>159</v>
      </c>
      <c r="D1294" s="17"/>
      <c r="E1294" s="113"/>
      <c r="F1294" s="69"/>
      <c r="G1294" s="100">
        <v>2500</v>
      </c>
    </row>
    <row r="1295" spans="1:7" ht="15" hidden="1" customHeight="1" outlineLevel="1">
      <c r="A1295" s="46"/>
      <c r="B1295" s="229" t="s">
        <v>1190</v>
      </c>
      <c r="C1295" s="99" t="s">
        <v>159</v>
      </c>
      <c r="D1295" s="17"/>
      <c r="E1295" s="113"/>
      <c r="F1295" s="69"/>
      <c r="G1295" s="100">
        <v>700</v>
      </c>
    </row>
    <row r="1296" spans="1:7" ht="15" hidden="1" customHeight="1" outlineLevel="1">
      <c r="A1296" s="46"/>
      <c r="B1296" s="229" t="s">
        <v>1191</v>
      </c>
      <c r="C1296" s="99" t="s">
        <v>159</v>
      </c>
      <c r="D1296" s="17"/>
      <c r="E1296" s="113"/>
      <c r="F1296" s="69"/>
      <c r="G1296" s="100">
        <v>1500</v>
      </c>
    </row>
    <row r="1297" spans="1:7" ht="15" hidden="1" customHeight="1" outlineLevel="1">
      <c r="A1297" s="46"/>
      <c r="B1297" s="229" t="s">
        <v>1192</v>
      </c>
      <c r="C1297" s="99" t="s">
        <v>156</v>
      </c>
      <c r="D1297" s="17"/>
      <c r="E1297" s="113"/>
      <c r="F1297" s="69"/>
      <c r="G1297" s="100">
        <v>100</v>
      </c>
    </row>
    <row r="1298" spans="1:7" ht="15" hidden="1" customHeight="1" outlineLevel="1">
      <c r="A1298" s="46"/>
      <c r="B1298" s="229" t="s">
        <v>1193</v>
      </c>
      <c r="C1298" s="99" t="s">
        <v>159</v>
      </c>
      <c r="D1298" s="17"/>
      <c r="E1298" s="113"/>
      <c r="F1298" s="69"/>
      <c r="G1298" s="100">
        <v>12</v>
      </c>
    </row>
    <row r="1299" spans="1:7" ht="15" hidden="1" customHeight="1" outlineLevel="1">
      <c r="A1299" s="46"/>
      <c r="B1299" s="229" t="s">
        <v>1194</v>
      </c>
      <c r="C1299" s="99" t="s">
        <v>159</v>
      </c>
      <c r="D1299" s="17"/>
      <c r="E1299" s="113"/>
      <c r="F1299" s="69"/>
      <c r="G1299" s="100">
        <v>16</v>
      </c>
    </row>
    <row r="1300" spans="1:7" ht="15" hidden="1" customHeight="1" outlineLevel="1">
      <c r="A1300" s="46"/>
      <c r="B1300" s="229" t="s">
        <v>1195</v>
      </c>
      <c r="C1300" s="99" t="s">
        <v>159</v>
      </c>
      <c r="D1300" s="17"/>
      <c r="E1300" s="113"/>
      <c r="F1300" s="69"/>
      <c r="G1300" s="100">
        <v>12</v>
      </c>
    </row>
    <row r="1301" spans="1:7" ht="15" hidden="1" customHeight="1" outlineLevel="1">
      <c r="A1301" s="46"/>
      <c r="B1301" s="229" t="s">
        <v>1196</v>
      </c>
      <c r="C1301" s="99" t="s">
        <v>159</v>
      </c>
      <c r="D1301" s="17"/>
      <c r="E1301" s="113"/>
      <c r="F1301" s="69"/>
      <c r="G1301" s="100">
        <v>16</v>
      </c>
    </row>
    <row r="1302" spans="1:7" ht="15" hidden="1" customHeight="1" outlineLevel="1">
      <c r="A1302" s="46"/>
      <c r="B1302" s="229" t="s">
        <v>1197</v>
      </c>
      <c r="C1302" s="99" t="s">
        <v>159</v>
      </c>
      <c r="D1302" s="17"/>
      <c r="E1302" s="113"/>
      <c r="F1302" s="69"/>
      <c r="G1302" s="100">
        <v>800</v>
      </c>
    </row>
    <row r="1303" spans="1:7" ht="15" hidden="1" customHeight="1" outlineLevel="1">
      <c r="A1303" s="46"/>
      <c r="B1303" s="229" t="s">
        <v>1198</v>
      </c>
      <c r="C1303" s="99" t="s">
        <v>1199</v>
      </c>
      <c r="D1303" s="17"/>
      <c r="E1303" s="113"/>
      <c r="F1303" s="69"/>
      <c r="G1303" s="100">
        <v>200</v>
      </c>
    </row>
    <row r="1304" spans="1:7" ht="15" hidden="1" customHeight="1" outlineLevel="1">
      <c r="A1304" s="46"/>
      <c r="B1304" s="229"/>
      <c r="C1304" s="99"/>
      <c r="D1304" s="17"/>
      <c r="E1304" s="113"/>
      <c r="F1304" s="69"/>
      <c r="G1304" s="100"/>
    </row>
    <row r="1305" spans="1:7" ht="15" hidden="1" customHeight="1" outlineLevel="1">
      <c r="A1305" s="46"/>
      <c r="B1305" s="229"/>
      <c r="C1305" s="99"/>
      <c r="D1305" s="17"/>
      <c r="E1305" s="113"/>
      <c r="F1305" s="69"/>
      <c r="G1305" s="100"/>
    </row>
    <row r="1306" spans="1:7" ht="15" hidden="1" customHeight="1" outlineLevel="1">
      <c r="A1306" s="46"/>
      <c r="B1306" s="111"/>
      <c r="C1306" s="112"/>
      <c r="D1306" s="113"/>
      <c r="E1306" s="113"/>
      <c r="F1306" s="69"/>
      <c r="G1306" s="113"/>
    </row>
    <row r="1307" spans="1:7" ht="15" hidden="1" customHeight="1" outlineLevel="1">
      <c r="A1307" s="46"/>
      <c r="B1307" s="111"/>
      <c r="C1307" s="112"/>
      <c r="D1307" s="113"/>
      <c r="E1307" s="113"/>
      <c r="F1307" s="69"/>
      <c r="G1307" s="113"/>
    </row>
    <row r="1308" spans="1:7" ht="15" hidden="1" customHeight="1" outlineLevel="1">
      <c r="A1308" s="46"/>
      <c r="B1308" s="117"/>
      <c r="C1308" s="112"/>
      <c r="D1308" s="113"/>
      <c r="E1308" s="113"/>
      <c r="F1308" s="69"/>
      <c r="G1308" s="113"/>
    </row>
    <row r="1309" spans="1:7" ht="15" customHeight="1">
      <c r="A1309" s="12" t="s">
        <v>1184</v>
      </c>
      <c r="B1309" s="12"/>
      <c r="C1309" s="112"/>
      <c r="D1309" s="113"/>
      <c r="E1309" s="113"/>
      <c r="F1309" s="69"/>
      <c r="G1309" s="113"/>
    </row>
    <row r="1310" spans="1:7" ht="15" hidden="1" customHeight="1" outlineLevel="1">
      <c r="A1310" s="3054" t="s">
        <v>1200</v>
      </c>
      <c r="B1310" s="3054"/>
      <c r="C1310" s="133" t="s">
        <v>208</v>
      </c>
      <c r="D1310" s="239"/>
      <c r="E1310" s="239"/>
      <c r="F1310" s="44"/>
      <c r="G1310" s="44" t="s">
        <v>132</v>
      </c>
    </row>
    <row r="1311" spans="1:7" ht="15" hidden="1" customHeight="1" outlineLevel="1">
      <c r="A1311" s="114"/>
      <c r="B1311" s="98" t="s">
        <v>1201</v>
      </c>
      <c r="C1311" s="99" t="s">
        <v>133</v>
      </c>
      <c r="D1311" s="17"/>
      <c r="E1311" s="113"/>
      <c r="F1311" s="69"/>
      <c r="G1311" s="100">
        <v>4900</v>
      </c>
    </row>
    <row r="1312" spans="1:7" ht="15" hidden="1" customHeight="1" outlineLevel="1">
      <c r="A1312" s="114"/>
      <c r="B1312" s="229" t="s">
        <v>1202</v>
      </c>
      <c r="C1312" s="99" t="s">
        <v>133</v>
      </c>
      <c r="D1312" s="17"/>
      <c r="E1312" s="113"/>
      <c r="F1312" s="69"/>
      <c r="G1312" s="100">
        <v>3500</v>
      </c>
    </row>
    <row r="1313" spans="1:7" ht="15" hidden="1" customHeight="1" outlineLevel="1">
      <c r="A1313" s="114"/>
      <c r="B1313" s="229" t="s">
        <v>1203</v>
      </c>
      <c r="C1313" s="99" t="s">
        <v>156</v>
      </c>
      <c r="D1313" s="17"/>
      <c r="E1313" s="113"/>
      <c r="F1313" s="69"/>
      <c r="G1313" s="100">
        <v>200</v>
      </c>
    </row>
    <row r="1314" spans="1:7" ht="15" hidden="1" customHeight="1" outlineLevel="1">
      <c r="A1314" s="114"/>
      <c r="B1314" s="229" t="s">
        <v>1204</v>
      </c>
      <c r="C1314" s="99" t="s">
        <v>159</v>
      </c>
      <c r="D1314" s="17"/>
      <c r="E1314" s="113"/>
      <c r="F1314" s="69"/>
      <c r="G1314" s="100">
        <v>50</v>
      </c>
    </row>
    <row r="1315" spans="1:7" ht="15" hidden="1" customHeight="1" outlineLevel="1">
      <c r="A1315" s="114"/>
      <c r="B1315" s="229" t="s">
        <v>1205</v>
      </c>
      <c r="C1315" s="99" t="s">
        <v>159</v>
      </c>
      <c r="D1315" s="17"/>
      <c r="E1315" s="113"/>
      <c r="F1315" s="69"/>
      <c r="G1315" s="100">
        <v>100</v>
      </c>
    </row>
    <row r="1316" spans="1:7" ht="15" hidden="1" customHeight="1" outlineLevel="1">
      <c r="A1316" s="114"/>
      <c r="B1316" s="229" t="s">
        <v>1206</v>
      </c>
      <c r="C1316" s="99" t="s">
        <v>159</v>
      </c>
      <c r="D1316" s="17"/>
      <c r="E1316" s="113"/>
      <c r="F1316" s="69"/>
      <c r="G1316" s="100">
        <v>50</v>
      </c>
    </row>
    <row r="1317" spans="1:7" ht="15" hidden="1" customHeight="1" outlineLevel="1">
      <c r="A1317" s="114"/>
      <c r="B1317" s="276" t="s">
        <v>1207</v>
      </c>
      <c r="C1317" s="99" t="s">
        <v>159</v>
      </c>
      <c r="D1317" s="17"/>
      <c r="E1317" s="113"/>
      <c r="F1317" s="69"/>
      <c r="G1317" s="100">
        <v>130</v>
      </c>
    </row>
    <row r="1318" spans="1:7" ht="15" hidden="1" customHeight="1" outlineLevel="1">
      <c r="A1318" s="114"/>
      <c r="B1318" s="229" t="s">
        <v>1208</v>
      </c>
      <c r="C1318" s="99" t="s">
        <v>159</v>
      </c>
      <c r="D1318" s="17"/>
      <c r="E1318" s="113"/>
      <c r="F1318" s="69"/>
      <c r="G1318" s="100">
        <v>150</v>
      </c>
    </row>
    <row r="1319" spans="1:7" ht="15" hidden="1" customHeight="1" outlineLevel="1">
      <c r="A1319" s="114"/>
      <c r="B1319" s="229" t="s">
        <v>1209</v>
      </c>
      <c r="C1319" s="99" t="s">
        <v>159</v>
      </c>
      <c r="D1319" s="17"/>
      <c r="E1319" s="113"/>
      <c r="F1319" s="69"/>
      <c r="G1319" s="100">
        <v>80</v>
      </c>
    </row>
    <row r="1320" spans="1:7" ht="15" hidden="1" customHeight="1" outlineLevel="1">
      <c r="A1320" s="114"/>
      <c r="B1320" s="229" t="s">
        <v>1210</v>
      </c>
      <c r="C1320" s="99" t="s">
        <v>159</v>
      </c>
      <c r="D1320" s="17"/>
      <c r="E1320" s="113"/>
      <c r="F1320" s="69"/>
      <c r="G1320" s="100">
        <v>60</v>
      </c>
    </row>
    <row r="1321" spans="1:7" ht="15" hidden="1" customHeight="1" outlineLevel="1">
      <c r="A1321" s="114"/>
      <c r="B1321" s="229" t="s">
        <v>1211</v>
      </c>
      <c r="C1321" s="99" t="s">
        <v>156</v>
      </c>
      <c r="D1321" s="17"/>
      <c r="E1321" s="113"/>
      <c r="F1321" s="69"/>
      <c r="G1321" s="100">
        <v>40</v>
      </c>
    </row>
    <row r="1322" spans="1:7" ht="15" hidden="1" customHeight="1" outlineLevel="1">
      <c r="A1322" s="114"/>
      <c r="B1322" s="229" t="s">
        <v>1212</v>
      </c>
      <c r="C1322" s="99" t="s">
        <v>159</v>
      </c>
      <c r="D1322" s="17"/>
      <c r="E1322" s="113"/>
      <c r="F1322" s="69"/>
      <c r="G1322" s="100">
        <v>40</v>
      </c>
    </row>
    <row r="1323" spans="1:7" ht="15" hidden="1" customHeight="1" outlineLevel="1">
      <c r="A1323" s="114"/>
      <c r="B1323" s="229" t="s">
        <v>1213</v>
      </c>
      <c r="C1323" s="99" t="s">
        <v>159</v>
      </c>
      <c r="D1323" s="17"/>
      <c r="E1323" s="113"/>
      <c r="F1323" s="69"/>
      <c r="G1323" s="100">
        <v>15</v>
      </c>
    </row>
    <row r="1324" spans="1:7" ht="15" hidden="1" customHeight="1" outlineLevel="1">
      <c r="A1324" s="114"/>
      <c r="B1324" s="229" t="s">
        <v>1214</v>
      </c>
      <c r="C1324" s="99" t="s">
        <v>133</v>
      </c>
      <c r="D1324" s="17"/>
      <c r="E1324" s="113"/>
      <c r="F1324" s="69"/>
      <c r="G1324" s="100">
        <v>6000</v>
      </c>
    </row>
    <row r="1325" spans="1:7" ht="15" hidden="1" customHeight="1" outlineLevel="1">
      <c r="A1325" s="114"/>
      <c r="B1325" s="229" t="s">
        <v>1215</v>
      </c>
      <c r="C1325" s="99" t="s">
        <v>159</v>
      </c>
      <c r="D1325" s="17"/>
      <c r="E1325" s="113"/>
      <c r="F1325" s="69"/>
      <c r="G1325" s="100">
        <v>20</v>
      </c>
    </row>
    <row r="1326" spans="1:7" ht="15" hidden="1" customHeight="1" outlineLevel="1">
      <c r="A1326" s="114"/>
      <c r="B1326" s="229" t="s">
        <v>1216</v>
      </c>
      <c r="C1326" s="99" t="s">
        <v>159</v>
      </c>
      <c r="D1326" s="17"/>
      <c r="E1326" s="113"/>
      <c r="F1326" s="69"/>
      <c r="G1326" s="100">
        <v>25</v>
      </c>
    </row>
    <row r="1327" spans="1:7" ht="15" hidden="1" customHeight="1" outlineLevel="1">
      <c r="A1327" s="114"/>
      <c r="B1327" s="229" t="s">
        <v>1217</v>
      </c>
      <c r="C1327" s="99" t="s">
        <v>159</v>
      </c>
      <c r="D1327" s="17"/>
      <c r="E1327" s="113"/>
      <c r="F1327" s="69"/>
      <c r="G1327" s="100">
        <v>12000</v>
      </c>
    </row>
    <row r="1328" spans="1:7" ht="15" hidden="1" customHeight="1" outlineLevel="1">
      <c r="A1328" s="114"/>
      <c r="B1328" s="229" t="s">
        <v>1218</v>
      </c>
      <c r="C1328" s="99" t="s">
        <v>159</v>
      </c>
      <c r="D1328" s="17"/>
      <c r="E1328" s="113"/>
      <c r="F1328" s="69"/>
      <c r="G1328" s="100">
        <v>10000</v>
      </c>
    </row>
    <row r="1329" spans="1:7" ht="15" hidden="1" customHeight="1" outlineLevel="1">
      <c r="A1329" s="114"/>
      <c r="D1329" s="17"/>
      <c r="E1329" s="17"/>
      <c r="F1329" s="142"/>
      <c r="G1329" s="142"/>
    </row>
    <row r="1330" spans="1:7" ht="15" hidden="1" customHeight="1" outlineLevel="1">
      <c r="A1330" s="114"/>
      <c r="D1330" s="17"/>
      <c r="E1330" s="17"/>
      <c r="F1330" s="142"/>
      <c r="G1330" s="142"/>
    </row>
    <row r="1331" spans="1:7" ht="15" hidden="1" customHeight="1" outlineLevel="1">
      <c r="A1331" s="114"/>
      <c r="B1331" s="229"/>
      <c r="C1331" s="99"/>
      <c r="D1331" s="17"/>
      <c r="E1331" s="113"/>
      <c r="F1331" s="69"/>
      <c r="G1331" s="100"/>
    </row>
    <row r="1332" spans="1:7" ht="15" hidden="1" customHeight="1" outlineLevel="1">
      <c r="A1332" s="114"/>
      <c r="B1332" s="229"/>
      <c r="C1332" s="99"/>
      <c r="D1332" s="17"/>
      <c r="E1332" s="113"/>
      <c r="F1332" s="69"/>
      <c r="G1332" s="100"/>
    </row>
    <row r="1333" spans="1:7" ht="15" hidden="1" customHeight="1" outlineLevel="1">
      <c r="A1333" s="114"/>
      <c r="B1333" s="259"/>
      <c r="C1333" s="99"/>
      <c r="D1333" s="17"/>
      <c r="E1333" s="113"/>
      <c r="F1333" s="69"/>
      <c r="G1333" s="100"/>
    </row>
    <row r="1334" spans="1:7" ht="15" customHeight="1">
      <c r="A1334" s="12" t="s">
        <v>1200</v>
      </c>
      <c r="B1334" s="12"/>
      <c r="C1334" s="99"/>
      <c r="D1334" s="17"/>
      <c r="E1334" s="113"/>
      <c r="F1334" s="69"/>
      <c r="G1334" s="100"/>
    </row>
    <row r="1335" spans="1:7" ht="15" hidden="1" customHeight="1" outlineLevel="1">
      <c r="A1335" s="3056" t="s">
        <v>1219</v>
      </c>
      <c r="B1335" s="3056"/>
      <c r="C1335" s="133" t="s">
        <v>208</v>
      </c>
      <c r="D1335" s="239"/>
      <c r="E1335" s="239"/>
      <c r="F1335" s="44"/>
      <c r="G1335" s="44" t="s">
        <v>132</v>
      </c>
    </row>
    <row r="1336" spans="1:7" ht="15" hidden="1" customHeight="1" outlineLevel="1">
      <c r="A1336" s="45"/>
      <c r="B1336" s="277" t="s">
        <v>1220</v>
      </c>
      <c r="C1336" s="99" t="s">
        <v>159</v>
      </c>
      <c r="D1336" s="17"/>
      <c r="E1336" s="113"/>
      <c r="F1336" s="278" t="s">
        <v>1221</v>
      </c>
      <c r="G1336" s="146" t="s">
        <v>1222</v>
      </c>
    </row>
    <row r="1337" spans="1:7" ht="15" hidden="1" customHeight="1" outlineLevel="1">
      <c r="A1337" s="46"/>
      <c r="B1337" s="279" t="s">
        <v>1223</v>
      </c>
      <c r="C1337" s="99" t="s">
        <v>159</v>
      </c>
      <c r="D1337" s="17"/>
      <c r="E1337" s="113"/>
      <c r="F1337" s="280">
        <v>9988</v>
      </c>
      <c r="G1337" s="281">
        <v>5278</v>
      </c>
    </row>
    <row r="1338" spans="1:7" ht="15" hidden="1" customHeight="1" outlineLevel="1">
      <c r="A1338" s="46"/>
      <c r="B1338" s="279" t="s">
        <v>1224</v>
      </c>
      <c r="C1338" s="99" t="s">
        <v>159</v>
      </c>
      <c r="D1338" s="17"/>
      <c r="E1338" s="113"/>
      <c r="F1338" s="280">
        <v>11433</v>
      </c>
      <c r="G1338" s="281">
        <v>5355</v>
      </c>
    </row>
    <row r="1339" spans="1:7" ht="15" hidden="1" customHeight="1" outlineLevel="1">
      <c r="A1339" s="46"/>
      <c r="B1339" s="279" t="s">
        <v>1225</v>
      </c>
      <c r="C1339" s="99" t="s">
        <v>159</v>
      </c>
      <c r="D1339" s="17"/>
      <c r="E1339" s="113"/>
      <c r="F1339" s="280">
        <v>12113</v>
      </c>
      <c r="G1339" s="281">
        <v>5525</v>
      </c>
    </row>
    <row r="1340" spans="1:7" ht="15" hidden="1" customHeight="1" outlineLevel="1">
      <c r="A1340" s="46"/>
      <c r="B1340" s="279" t="s">
        <v>1226</v>
      </c>
      <c r="C1340" s="99" t="s">
        <v>159</v>
      </c>
      <c r="D1340" s="17"/>
      <c r="E1340" s="113"/>
      <c r="F1340" s="280">
        <v>12665</v>
      </c>
      <c r="G1340" s="281">
        <v>5993</v>
      </c>
    </row>
    <row r="1341" spans="1:7" ht="15" hidden="1" customHeight="1" outlineLevel="1">
      <c r="A1341" s="46"/>
      <c r="B1341" s="279" t="s">
        <v>1227</v>
      </c>
      <c r="C1341" s="99" t="s">
        <v>159</v>
      </c>
      <c r="D1341" s="17"/>
      <c r="E1341" s="113"/>
      <c r="F1341" s="280">
        <v>12665</v>
      </c>
      <c r="G1341" s="281">
        <v>5993</v>
      </c>
    </row>
    <row r="1342" spans="1:7" ht="15" hidden="1" customHeight="1" outlineLevel="1">
      <c r="A1342" s="46"/>
      <c r="B1342" s="279" t="s">
        <v>1228</v>
      </c>
      <c r="C1342" s="99" t="s">
        <v>159</v>
      </c>
      <c r="D1342" s="17"/>
      <c r="E1342" s="113"/>
      <c r="F1342" s="280">
        <v>13473</v>
      </c>
      <c r="G1342" s="281">
        <v>6290</v>
      </c>
    </row>
    <row r="1343" spans="1:7" ht="15" hidden="1" customHeight="1" outlineLevel="1">
      <c r="A1343" s="46"/>
      <c r="B1343" s="279" t="s">
        <v>1229</v>
      </c>
      <c r="C1343" s="99" t="s">
        <v>159</v>
      </c>
      <c r="D1343" s="17"/>
      <c r="E1343" s="113"/>
      <c r="F1343" s="280">
        <v>14833</v>
      </c>
      <c r="G1343" s="281">
        <v>6673</v>
      </c>
    </row>
    <row r="1344" spans="1:7" ht="15" hidden="1" customHeight="1" outlineLevel="1">
      <c r="A1344" s="46"/>
      <c r="B1344" s="279" t="s">
        <v>1230</v>
      </c>
      <c r="C1344" s="99" t="s">
        <v>159</v>
      </c>
      <c r="D1344" s="17"/>
      <c r="E1344" s="113"/>
      <c r="F1344" s="280">
        <v>15000</v>
      </c>
      <c r="G1344" s="281">
        <v>7353</v>
      </c>
    </row>
    <row r="1345" spans="1:7" ht="15" hidden="1" customHeight="1" outlineLevel="1">
      <c r="A1345" s="46"/>
      <c r="B1345" s="279" t="s">
        <v>1231</v>
      </c>
      <c r="C1345" s="99" t="s">
        <v>159</v>
      </c>
      <c r="D1345" s="17"/>
      <c r="E1345" s="113"/>
      <c r="F1345" s="280">
        <v>15768</v>
      </c>
      <c r="G1345" s="281">
        <v>7098</v>
      </c>
    </row>
    <row r="1346" spans="1:7" ht="15" hidden="1" customHeight="1" outlineLevel="1">
      <c r="A1346" s="46"/>
      <c r="B1346" s="279" t="s">
        <v>1232</v>
      </c>
      <c r="C1346" s="99" t="s">
        <v>159</v>
      </c>
      <c r="D1346" s="17"/>
      <c r="E1346" s="113"/>
      <c r="F1346" s="280">
        <v>16000</v>
      </c>
      <c r="G1346" s="281">
        <v>7480</v>
      </c>
    </row>
    <row r="1347" spans="1:7" ht="15" hidden="1" customHeight="1" outlineLevel="1">
      <c r="A1347" s="46"/>
      <c r="B1347" s="279" t="s">
        <v>1233</v>
      </c>
      <c r="C1347" s="99" t="s">
        <v>159</v>
      </c>
      <c r="D1347" s="17"/>
      <c r="E1347" s="113"/>
      <c r="F1347" s="280">
        <v>16575</v>
      </c>
      <c r="G1347" s="281">
        <v>7438</v>
      </c>
    </row>
    <row r="1348" spans="1:7" ht="15" hidden="1" customHeight="1" outlineLevel="1">
      <c r="A1348" s="46"/>
      <c r="B1348" s="279" t="s">
        <v>1234</v>
      </c>
      <c r="C1348" s="99" t="s">
        <v>159</v>
      </c>
      <c r="D1348" s="17"/>
      <c r="E1348" s="113"/>
      <c r="F1348" s="280">
        <v>17300</v>
      </c>
      <c r="G1348" s="281">
        <v>7863</v>
      </c>
    </row>
    <row r="1349" spans="1:7" ht="15" hidden="1" customHeight="1" outlineLevel="1">
      <c r="A1349" s="46"/>
      <c r="B1349" s="279"/>
      <c r="C1349" s="99"/>
      <c r="D1349" s="17"/>
      <c r="E1349" s="113"/>
      <c r="F1349" s="280"/>
      <c r="G1349" s="281"/>
    </row>
    <row r="1350" spans="1:7" ht="15" hidden="1" customHeight="1" outlineLevel="1">
      <c r="A1350" s="46"/>
      <c r="B1350" s="279"/>
      <c r="C1350" s="99"/>
      <c r="D1350" s="17"/>
      <c r="E1350" s="113"/>
      <c r="F1350" s="280"/>
      <c r="G1350" s="281"/>
    </row>
    <row r="1351" spans="1:7" ht="15" hidden="1" customHeight="1" outlineLevel="1">
      <c r="A1351" s="46"/>
      <c r="B1351" s="279"/>
      <c r="C1351" s="99"/>
      <c r="D1351" s="17"/>
      <c r="E1351" s="113"/>
      <c r="F1351" s="280"/>
      <c r="G1351" s="281"/>
    </row>
    <row r="1352" spans="1:7" ht="15" hidden="1" customHeight="1" outlineLevel="1">
      <c r="A1352" s="46"/>
      <c r="B1352" s="279"/>
      <c r="C1352" s="99"/>
      <c r="D1352" s="17"/>
      <c r="E1352" s="113"/>
      <c r="F1352" s="280"/>
      <c r="G1352" s="281"/>
    </row>
    <row r="1353" spans="1:7" ht="15" hidden="1" customHeight="1" outlineLevel="1">
      <c r="A1353" s="46"/>
      <c r="B1353" s="279"/>
      <c r="C1353" s="99"/>
      <c r="D1353" s="17"/>
      <c r="E1353" s="113"/>
      <c r="F1353" s="280"/>
      <c r="G1353" s="281"/>
    </row>
    <row r="1354" spans="1:7" ht="15" hidden="1" customHeight="1" outlineLevel="1">
      <c r="A1354" s="46"/>
      <c r="B1354" s="279"/>
      <c r="C1354" s="99"/>
      <c r="D1354" s="17"/>
      <c r="E1354" s="113"/>
      <c r="F1354" s="280"/>
      <c r="G1354" s="281"/>
    </row>
    <row r="1355" spans="1:7" ht="15" hidden="1" customHeight="1" outlineLevel="1">
      <c r="A1355" s="46"/>
      <c r="B1355" s="279"/>
      <c r="C1355" s="99"/>
      <c r="D1355" s="17"/>
      <c r="E1355" s="113"/>
      <c r="F1355" s="280"/>
      <c r="G1355" s="281"/>
    </row>
    <row r="1356" spans="1:7" ht="15" hidden="1" customHeight="1" outlineLevel="1">
      <c r="A1356" s="46"/>
      <c r="B1356" s="279"/>
      <c r="C1356" s="99"/>
      <c r="D1356" s="17"/>
      <c r="E1356" s="113"/>
      <c r="F1356" s="280"/>
      <c r="G1356" s="281"/>
    </row>
    <row r="1357" spans="1:7" ht="15" hidden="1" customHeight="1" outlineLevel="1">
      <c r="A1357" s="46"/>
      <c r="B1357" s="282"/>
      <c r="C1357" s="99"/>
      <c r="D1357" s="17"/>
      <c r="E1357" s="113"/>
      <c r="F1357" s="280"/>
      <c r="G1357" s="281"/>
    </row>
    <row r="1358" spans="1:7" ht="15" customHeight="1">
      <c r="A1358" s="12" t="s">
        <v>1219</v>
      </c>
      <c r="B1358" s="12"/>
      <c r="C1358" s="99"/>
      <c r="D1358" s="17"/>
      <c r="E1358" s="113"/>
      <c r="F1358" s="280"/>
      <c r="G1358" s="281"/>
    </row>
    <row r="1359" spans="1:7" ht="15" hidden="1" customHeight="1" outlineLevel="1">
      <c r="A1359" s="3054" t="s">
        <v>1235</v>
      </c>
      <c r="B1359" s="3054"/>
      <c r="C1359" s="133" t="s">
        <v>208</v>
      </c>
      <c r="D1359" s="239"/>
      <c r="E1359" s="239"/>
      <c r="F1359" s="44"/>
      <c r="G1359" s="44" t="s">
        <v>132</v>
      </c>
    </row>
    <row r="1360" spans="1:7" ht="15" hidden="1" customHeight="1" outlineLevel="1">
      <c r="A1360" s="45"/>
      <c r="B1360" s="229" t="s">
        <v>1236</v>
      </c>
      <c r="C1360" s="99" t="s">
        <v>1094</v>
      </c>
      <c r="D1360" s="17"/>
      <c r="E1360" s="113"/>
      <c r="F1360" s="69"/>
      <c r="G1360" s="100" t="s">
        <v>854</v>
      </c>
    </row>
    <row r="1361" spans="1:7" ht="15" hidden="1" customHeight="1" outlineLevel="1">
      <c r="A1361" s="46"/>
      <c r="B1361" s="229" t="s">
        <v>1237</v>
      </c>
      <c r="C1361" s="99" t="s">
        <v>159</v>
      </c>
      <c r="D1361" s="17"/>
      <c r="E1361" s="113"/>
      <c r="F1361" s="69"/>
      <c r="G1361" s="100">
        <v>400</v>
      </c>
    </row>
    <row r="1362" spans="1:7" ht="15" hidden="1" customHeight="1" outlineLevel="1">
      <c r="A1362" s="46"/>
      <c r="B1362" s="229" t="s">
        <v>1238</v>
      </c>
      <c r="C1362" s="99" t="s">
        <v>159</v>
      </c>
      <c r="D1362" s="17"/>
      <c r="E1362" s="113"/>
      <c r="F1362" s="69"/>
      <c r="G1362" s="100">
        <v>2000</v>
      </c>
    </row>
    <row r="1363" spans="1:7" ht="15" hidden="1" customHeight="1" outlineLevel="1">
      <c r="A1363" s="46"/>
      <c r="B1363" s="229" t="s">
        <v>1239</v>
      </c>
      <c r="C1363" s="99" t="s">
        <v>159</v>
      </c>
      <c r="D1363" s="17"/>
      <c r="E1363" s="113"/>
      <c r="F1363" s="69"/>
      <c r="G1363" s="100">
        <v>1000</v>
      </c>
    </row>
    <row r="1364" spans="1:7" ht="15" hidden="1" customHeight="1" outlineLevel="1">
      <c r="A1364" s="46"/>
      <c r="B1364" s="229" t="s">
        <v>1240</v>
      </c>
      <c r="C1364" s="99" t="s">
        <v>159</v>
      </c>
      <c r="D1364" s="17"/>
      <c r="E1364" s="113"/>
      <c r="F1364" s="69"/>
      <c r="G1364" s="100">
        <v>900</v>
      </c>
    </row>
    <row r="1365" spans="1:7" ht="15" hidden="1" customHeight="1" outlineLevel="1">
      <c r="A1365" s="46"/>
      <c r="B1365" s="229" t="s">
        <v>1241</v>
      </c>
      <c r="C1365" s="99" t="s">
        <v>159</v>
      </c>
      <c r="D1365" s="17"/>
      <c r="E1365" s="113"/>
      <c r="F1365" s="69"/>
      <c r="G1365" s="100">
        <v>500</v>
      </c>
    </row>
    <row r="1366" spans="1:7" ht="15" hidden="1" customHeight="1" outlineLevel="1">
      <c r="A1366" s="46"/>
      <c r="B1366" s="229" t="s">
        <v>1242</v>
      </c>
      <c r="C1366" s="99" t="s">
        <v>159</v>
      </c>
      <c r="D1366" s="17"/>
      <c r="E1366" s="113"/>
      <c r="F1366" s="69"/>
      <c r="G1366" s="100">
        <v>1500</v>
      </c>
    </row>
    <row r="1367" spans="1:7" ht="15" hidden="1" customHeight="1" outlineLevel="1">
      <c r="A1367" s="46"/>
      <c r="B1367" s="229" t="s">
        <v>1243</v>
      </c>
      <c r="C1367" s="99" t="s">
        <v>159</v>
      </c>
      <c r="D1367" s="17"/>
      <c r="E1367" s="113"/>
      <c r="F1367" s="69"/>
      <c r="G1367" s="100">
        <v>15</v>
      </c>
    </row>
    <row r="1368" spans="1:7" ht="15" hidden="1" customHeight="1" outlineLevel="1">
      <c r="A1368" s="46"/>
      <c r="B1368" s="229" t="s">
        <v>1244</v>
      </c>
      <c r="C1368" s="99" t="s">
        <v>159</v>
      </c>
      <c r="D1368" s="17"/>
      <c r="E1368" s="113"/>
      <c r="F1368" s="69"/>
      <c r="G1368" s="100">
        <v>20</v>
      </c>
    </row>
    <row r="1369" spans="1:7" ht="15" hidden="1" customHeight="1" outlineLevel="1">
      <c r="A1369" s="46"/>
      <c r="B1369" s="229" t="s">
        <v>1245</v>
      </c>
      <c r="C1369" s="99" t="s">
        <v>159</v>
      </c>
      <c r="D1369" s="17"/>
      <c r="E1369" s="113"/>
      <c r="F1369" s="69"/>
      <c r="G1369" s="100">
        <v>200</v>
      </c>
    </row>
    <row r="1370" spans="1:7" ht="15" hidden="1" customHeight="1" outlineLevel="1">
      <c r="A1370" s="46"/>
      <c r="B1370" s="229" t="s">
        <v>1246</v>
      </c>
      <c r="C1370" s="99" t="s">
        <v>159</v>
      </c>
      <c r="D1370" s="17"/>
      <c r="E1370" s="113"/>
      <c r="F1370" s="69"/>
      <c r="G1370" s="100">
        <v>100</v>
      </c>
    </row>
    <row r="1371" spans="1:7" ht="15" hidden="1" customHeight="1" outlineLevel="1">
      <c r="A1371" s="46"/>
      <c r="B1371" s="229"/>
      <c r="C1371" s="99"/>
      <c r="D1371" s="17"/>
      <c r="E1371" s="113"/>
      <c r="F1371" s="69"/>
      <c r="G1371" s="100"/>
    </row>
    <row r="1372" spans="1:7" ht="15" hidden="1" customHeight="1" outlineLevel="1">
      <c r="A1372" s="46"/>
      <c r="B1372" s="259"/>
      <c r="C1372" s="99"/>
      <c r="D1372" s="17"/>
      <c r="E1372" s="113"/>
      <c r="F1372" s="69"/>
      <c r="G1372" s="100"/>
    </row>
    <row r="1373" spans="1:7" ht="15" customHeight="1">
      <c r="A1373" s="12" t="s">
        <v>1235</v>
      </c>
      <c r="B1373" s="12"/>
      <c r="C1373" s="126"/>
      <c r="D1373" s="17"/>
      <c r="E1373" s="113"/>
      <c r="F1373" s="69"/>
      <c r="G1373" s="146"/>
    </row>
    <row r="1374" spans="1:7" ht="15" hidden="1" customHeight="1" outlineLevel="1">
      <c r="A1374" s="3057" t="s">
        <v>1247</v>
      </c>
      <c r="B1374" s="3057"/>
      <c r="C1374" s="133" t="s">
        <v>208</v>
      </c>
      <c r="D1374" s="239"/>
      <c r="E1374" s="239"/>
      <c r="F1374" s="44"/>
      <c r="G1374" s="44" t="s">
        <v>132</v>
      </c>
    </row>
    <row r="1375" spans="1:7" ht="15" hidden="1" customHeight="1" outlineLevel="1">
      <c r="A1375" s="45"/>
      <c r="B1375" s="229" t="s">
        <v>1248</v>
      </c>
      <c r="C1375" s="99" t="s">
        <v>135</v>
      </c>
      <c r="D1375" s="17"/>
      <c r="E1375" s="113"/>
      <c r="F1375" s="69"/>
      <c r="G1375" s="100">
        <v>4500</v>
      </c>
    </row>
    <row r="1376" spans="1:7" ht="15" hidden="1" customHeight="1" outlineLevel="1">
      <c r="A1376" s="46"/>
      <c r="B1376" s="98" t="s">
        <v>1249</v>
      </c>
      <c r="C1376" s="99" t="s">
        <v>133</v>
      </c>
      <c r="D1376" s="17"/>
      <c r="E1376" s="113"/>
      <c r="F1376" s="69"/>
      <c r="G1376" s="100">
        <v>350</v>
      </c>
    </row>
    <row r="1377" spans="1:7" ht="15" hidden="1" customHeight="1" outlineLevel="1">
      <c r="A1377" s="46"/>
      <c r="B1377" s="98" t="s">
        <v>1250</v>
      </c>
      <c r="C1377" s="99" t="s">
        <v>159</v>
      </c>
      <c r="D1377" s="17"/>
      <c r="E1377" s="113"/>
      <c r="F1377" s="69"/>
      <c r="G1377" s="100">
        <v>300</v>
      </c>
    </row>
    <row r="1378" spans="1:7" ht="15" hidden="1" customHeight="1" outlineLevel="1">
      <c r="A1378" s="46"/>
      <c r="B1378" s="19" t="s">
        <v>1251</v>
      </c>
      <c r="C1378" s="99" t="s">
        <v>156</v>
      </c>
      <c r="D1378" s="17"/>
      <c r="E1378" s="113"/>
      <c r="F1378" s="69"/>
      <c r="G1378" s="100">
        <v>60</v>
      </c>
    </row>
    <row r="1379" spans="1:7" ht="15" hidden="1" customHeight="1" outlineLevel="1">
      <c r="A1379" s="46"/>
      <c r="B1379" s="19" t="s">
        <v>1252</v>
      </c>
      <c r="C1379" s="99" t="s">
        <v>156</v>
      </c>
      <c r="D1379" s="17"/>
      <c r="E1379" s="113"/>
      <c r="F1379" s="69"/>
      <c r="G1379" s="100">
        <v>40</v>
      </c>
    </row>
    <row r="1380" spans="1:7" ht="15" hidden="1" customHeight="1" outlineLevel="1">
      <c r="A1380" s="46"/>
      <c r="B1380" s="283" t="s">
        <v>1253</v>
      </c>
      <c r="C1380" s="99" t="s">
        <v>133</v>
      </c>
      <c r="D1380" s="17"/>
      <c r="E1380" s="113"/>
      <c r="F1380" s="69"/>
      <c r="G1380" s="100">
        <v>550</v>
      </c>
    </row>
    <row r="1381" spans="1:7" ht="15" hidden="1" customHeight="1" outlineLevel="1">
      <c r="A1381" s="46"/>
      <c r="B1381" s="283" t="s">
        <v>1254</v>
      </c>
      <c r="C1381" s="99" t="s">
        <v>159</v>
      </c>
      <c r="D1381" s="17"/>
      <c r="E1381" s="113"/>
      <c r="F1381" s="69"/>
      <c r="G1381" s="100">
        <v>350</v>
      </c>
    </row>
    <row r="1382" spans="1:7" ht="15" hidden="1" customHeight="1" outlineLevel="1">
      <c r="A1382" s="46"/>
      <c r="B1382" s="283" t="s">
        <v>1255</v>
      </c>
      <c r="C1382" s="99" t="s">
        <v>133</v>
      </c>
      <c r="D1382" s="17"/>
      <c r="E1382" s="113"/>
      <c r="F1382" s="69"/>
      <c r="G1382" s="100">
        <v>450</v>
      </c>
    </row>
    <row r="1383" spans="1:7" ht="15" hidden="1" customHeight="1" outlineLevel="1">
      <c r="A1383" s="46"/>
      <c r="B1383" s="98" t="s">
        <v>1256</v>
      </c>
      <c r="C1383" s="99" t="s">
        <v>133</v>
      </c>
      <c r="D1383" s="17"/>
      <c r="E1383" s="113"/>
      <c r="F1383" s="69"/>
      <c r="G1383" s="100">
        <v>450</v>
      </c>
    </row>
    <row r="1384" spans="1:7" ht="15" hidden="1" customHeight="1" outlineLevel="1">
      <c r="A1384" s="46"/>
      <c r="B1384" s="229" t="s">
        <v>1257</v>
      </c>
      <c r="C1384" s="99" t="s">
        <v>159</v>
      </c>
      <c r="D1384" s="17"/>
      <c r="E1384" s="113"/>
      <c r="F1384" s="69"/>
      <c r="G1384" s="100">
        <v>15</v>
      </c>
    </row>
    <row r="1385" spans="1:7" ht="15" hidden="1" customHeight="1" outlineLevel="1">
      <c r="A1385" s="46"/>
      <c r="B1385" s="284" t="s">
        <v>1258</v>
      </c>
      <c r="C1385" s="99" t="s">
        <v>133</v>
      </c>
      <c r="D1385" s="17"/>
      <c r="E1385" s="113"/>
      <c r="F1385" s="69"/>
      <c r="G1385" s="100">
        <v>1000</v>
      </c>
    </row>
    <row r="1386" spans="1:7" ht="15" hidden="1" customHeight="1" outlineLevel="1">
      <c r="A1386" s="46"/>
      <c r="B1386" s="284" t="s">
        <v>1259</v>
      </c>
      <c r="C1386" s="99" t="s">
        <v>126</v>
      </c>
      <c r="D1386" s="17"/>
      <c r="E1386" s="113"/>
      <c r="F1386" s="69"/>
      <c r="G1386" s="100">
        <v>250</v>
      </c>
    </row>
    <row r="1387" spans="1:7" ht="15" hidden="1" customHeight="1" outlineLevel="1">
      <c r="A1387" s="46"/>
      <c r="B1387" s="285" t="s">
        <v>1260</v>
      </c>
      <c r="C1387" s="99" t="s">
        <v>156</v>
      </c>
      <c r="D1387" s="17"/>
      <c r="E1387" s="113"/>
      <c r="F1387" s="69"/>
      <c r="G1387" s="100">
        <v>100</v>
      </c>
    </row>
    <row r="1388" spans="1:7" ht="15" hidden="1" customHeight="1" outlineLevel="1">
      <c r="A1388" s="46"/>
      <c r="B1388" s="286" t="s">
        <v>1261</v>
      </c>
      <c r="C1388" s="99" t="s">
        <v>133</v>
      </c>
      <c r="D1388" s="17"/>
      <c r="E1388" s="113"/>
      <c r="F1388" s="69"/>
      <c r="G1388" s="100">
        <v>600</v>
      </c>
    </row>
    <row r="1389" spans="1:7" ht="15" hidden="1" customHeight="1" outlineLevel="1">
      <c r="A1389" s="46"/>
      <c r="B1389" s="17" t="s">
        <v>1262</v>
      </c>
      <c r="C1389" s="18" t="s">
        <v>188</v>
      </c>
      <c r="D1389" s="17"/>
      <c r="E1389" s="17"/>
      <c r="F1389" s="142"/>
      <c r="G1389" s="142">
        <v>0</v>
      </c>
    </row>
    <row r="1390" spans="1:7" ht="15" hidden="1" customHeight="1" outlineLevel="1">
      <c r="A1390" s="46"/>
      <c r="B1390" s="17" t="s">
        <v>1263</v>
      </c>
      <c r="C1390" s="18" t="s">
        <v>188</v>
      </c>
      <c r="D1390" s="17"/>
      <c r="E1390" s="17"/>
      <c r="F1390" s="142"/>
      <c r="G1390" s="142">
        <v>150</v>
      </c>
    </row>
    <row r="1391" spans="1:7" ht="15" hidden="1" customHeight="1" outlineLevel="1">
      <c r="A1391" s="46"/>
      <c r="B1391" s="17" t="s">
        <v>1264</v>
      </c>
      <c r="C1391" s="18" t="s">
        <v>188</v>
      </c>
      <c r="D1391" s="17"/>
      <c r="E1391" s="113"/>
      <c r="F1391" s="69"/>
      <c r="G1391" s="146">
        <v>250</v>
      </c>
    </row>
    <row r="1392" spans="1:7" ht="15" hidden="1" customHeight="1" outlineLevel="1">
      <c r="A1392" s="46"/>
      <c r="B1392" s="17" t="s">
        <v>1265</v>
      </c>
      <c r="C1392" s="18" t="s">
        <v>188</v>
      </c>
      <c r="D1392" s="17"/>
      <c r="E1392" s="113"/>
      <c r="F1392" s="69"/>
      <c r="G1392" s="146">
        <v>350</v>
      </c>
    </row>
    <row r="1393" spans="1:7" ht="15" hidden="1" customHeight="1" outlineLevel="1">
      <c r="A1393" s="46"/>
      <c r="B1393" s="230"/>
      <c r="C1393" s="126"/>
      <c r="D1393" s="17"/>
      <c r="E1393" s="113"/>
      <c r="F1393" s="69"/>
      <c r="G1393" s="146"/>
    </row>
    <row r="1394" spans="1:7" ht="15" customHeight="1">
      <c r="A1394" s="12" t="s">
        <v>1247</v>
      </c>
      <c r="B1394" s="12"/>
      <c r="C1394" s="126"/>
      <c r="D1394" s="17"/>
      <c r="E1394" s="113"/>
      <c r="F1394" s="69"/>
      <c r="G1394" s="146"/>
    </row>
    <row r="1395" spans="1:7" ht="15" hidden="1" customHeight="1" outlineLevel="1">
      <c r="A1395" s="3053" t="s">
        <v>1266</v>
      </c>
      <c r="B1395" s="3053"/>
      <c r="C1395" s="133" t="s">
        <v>208</v>
      </c>
      <c r="D1395" s="239"/>
      <c r="E1395" s="239"/>
      <c r="F1395" s="44"/>
      <c r="G1395" s="44" t="s">
        <v>132</v>
      </c>
    </row>
    <row r="1396" spans="1:7" ht="15" hidden="1" customHeight="1" outlineLevel="1">
      <c r="A1396" s="45"/>
      <c r="B1396" s="99" t="s">
        <v>1267</v>
      </c>
      <c r="C1396" s="99"/>
      <c r="D1396" s="17"/>
      <c r="E1396" s="113"/>
      <c r="F1396" s="69"/>
      <c r="G1396" s="100"/>
    </row>
    <row r="1397" spans="1:7" ht="15" hidden="1" customHeight="1" outlineLevel="1">
      <c r="A1397" s="46"/>
      <c r="B1397" s="229" t="s">
        <v>1268</v>
      </c>
      <c r="C1397" s="99" t="s">
        <v>133</v>
      </c>
      <c r="D1397" s="17"/>
      <c r="E1397" s="113"/>
      <c r="F1397" s="69"/>
      <c r="G1397" s="100">
        <v>90</v>
      </c>
    </row>
    <row r="1398" spans="1:7" ht="15" hidden="1" customHeight="1" outlineLevel="1">
      <c r="A1398" s="46"/>
      <c r="B1398" s="229" t="s">
        <v>1269</v>
      </c>
      <c r="C1398" s="99" t="s">
        <v>159</v>
      </c>
      <c r="D1398" s="17"/>
      <c r="E1398" s="113"/>
      <c r="F1398" s="69"/>
      <c r="G1398" s="100">
        <v>100</v>
      </c>
    </row>
    <row r="1399" spans="1:7" ht="15" hidden="1" customHeight="1" outlineLevel="1">
      <c r="A1399" s="46"/>
      <c r="B1399" s="229" t="s">
        <v>1270</v>
      </c>
      <c r="C1399" s="99" t="s">
        <v>159</v>
      </c>
      <c r="D1399" s="17"/>
      <c r="E1399" s="113"/>
      <c r="F1399" s="69"/>
      <c r="G1399" s="100">
        <v>100</v>
      </c>
    </row>
    <row r="1400" spans="1:7" ht="15" hidden="1" customHeight="1" outlineLevel="1">
      <c r="A1400" s="46"/>
      <c r="B1400" s="229" t="s">
        <v>1271</v>
      </c>
      <c r="C1400" s="99" t="s">
        <v>159</v>
      </c>
      <c r="D1400" s="17"/>
      <c r="E1400" s="113"/>
      <c r="F1400" s="69"/>
      <c r="G1400" s="100">
        <v>9</v>
      </c>
    </row>
    <row r="1401" spans="1:7" ht="15" hidden="1" customHeight="1" outlineLevel="1">
      <c r="A1401" s="46"/>
      <c r="B1401" s="229" t="s">
        <v>1272</v>
      </c>
      <c r="C1401" s="99" t="s">
        <v>159</v>
      </c>
      <c r="D1401" s="17"/>
      <c r="E1401" s="113"/>
      <c r="F1401" s="69"/>
      <c r="G1401" s="100">
        <v>2.5000000000000001E-2</v>
      </c>
    </row>
    <row r="1402" spans="1:7" ht="15" hidden="1" customHeight="1" outlineLevel="1">
      <c r="A1402" s="46"/>
      <c r="B1402" s="229" t="s">
        <v>1273</v>
      </c>
      <c r="C1402" s="99" t="s">
        <v>159</v>
      </c>
      <c r="D1402" s="17"/>
      <c r="E1402" s="113"/>
      <c r="F1402" s="69"/>
      <c r="G1402" s="100">
        <v>2.5000000000000001E-2</v>
      </c>
    </row>
    <row r="1403" spans="1:7" ht="15" hidden="1" customHeight="1" outlineLevel="1">
      <c r="A1403" s="46"/>
      <c r="B1403" s="229" t="s">
        <v>1274</v>
      </c>
      <c r="C1403" s="99" t="s">
        <v>159</v>
      </c>
      <c r="D1403" s="17"/>
      <c r="E1403" s="113"/>
      <c r="F1403" s="69"/>
      <c r="G1403" s="100">
        <v>500</v>
      </c>
    </row>
    <row r="1404" spans="1:7" ht="15" hidden="1" customHeight="1" outlineLevel="1">
      <c r="A1404" s="46"/>
      <c r="B1404" s="229" t="s">
        <v>1275</v>
      </c>
      <c r="C1404" s="99" t="s">
        <v>159</v>
      </c>
      <c r="D1404" s="17"/>
      <c r="E1404" s="113"/>
      <c r="F1404" s="69"/>
      <c r="G1404" s="100">
        <v>500</v>
      </c>
    </row>
    <row r="1405" spans="1:7" ht="15" hidden="1" customHeight="1" outlineLevel="1">
      <c r="A1405" s="46"/>
      <c r="B1405" s="229" t="s">
        <v>1276</v>
      </c>
      <c r="C1405" s="99" t="s">
        <v>159</v>
      </c>
      <c r="D1405" s="17"/>
      <c r="E1405" s="113"/>
      <c r="F1405" s="69"/>
      <c r="G1405" s="100">
        <v>400</v>
      </c>
    </row>
    <row r="1406" spans="1:7" ht="15" hidden="1" customHeight="1" outlineLevel="1">
      <c r="A1406" s="46"/>
      <c r="B1406" s="229" t="s">
        <v>1277</v>
      </c>
      <c r="C1406" s="99" t="s">
        <v>159</v>
      </c>
      <c r="D1406" s="17"/>
      <c r="E1406" s="113"/>
      <c r="F1406" s="69"/>
      <c r="G1406" s="100">
        <v>100</v>
      </c>
    </row>
    <row r="1407" spans="1:7" ht="15" hidden="1" customHeight="1" outlineLevel="1">
      <c r="A1407" s="46"/>
      <c r="B1407" s="229" t="s">
        <v>1278</v>
      </c>
      <c r="C1407" s="287" t="s">
        <v>133</v>
      </c>
      <c r="D1407" s="17"/>
      <c r="E1407" s="113"/>
      <c r="F1407" s="69"/>
      <c r="G1407" s="100">
        <v>30</v>
      </c>
    </row>
    <row r="1408" spans="1:7" ht="15" hidden="1" customHeight="1" outlineLevel="1">
      <c r="A1408" s="46"/>
      <c r="B1408" s="229" t="s">
        <v>1279</v>
      </c>
      <c r="C1408" s="287" t="s">
        <v>159</v>
      </c>
      <c r="D1408" s="17"/>
      <c r="E1408" s="113"/>
      <c r="F1408" s="69"/>
      <c r="G1408" s="100">
        <v>120</v>
      </c>
    </row>
    <row r="1409" spans="1:7" ht="15" hidden="1" customHeight="1" outlineLevel="1">
      <c r="A1409" s="46"/>
      <c r="B1409" s="229" t="s">
        <v>1280</v>
      </c>
      <c r="C1409" s="287" t="s">
        <v>159</v>
      </c>
      <c r="D1409" s="17"/>
      <c r="E1409" s="113"/>
      <c r="F1409" s="69"/>
      <c r="G1409" s="100">
        <v>900</v>
      </c>
    </row>
    <row r="1410" spans="1:7" ht="15" hidden="1" customHeight="1" outlineLevel="1">
      <c r="A1410" s="46"/>
      <c r="B1410" s="260" t="s">
        <v>1255</v>
      </c>
      <c r="C1410" s="287" t="s">
        <v>133</v>
      </c>
      <c r="D1410" s="17"/>
      <c r="E1410" s="113"/>
      <c r="F1410" s="69"/>
      <c r="G1410" s="100">
        <v>350</v>
      </c>
    </row>
    <row r="1411" spans="1:7" ht="15" hidden="1" customHeight="1" outlineLevel="1">
      <c r="A1411" s="46"/>
      <c r="B1411" s="260" t="s">
        <v>1281</v>
      </c>
      <c r="C1411" s="287" t="s">
        <v>133</v>
      </c>
      <c r="D1411" s="17"/>
      <c r="E1411" s="113"/>
      <c r="F1411" s="69"/>
      <c r="G1411" s="100">
        <v>500</v>
      </c>
    </row>
    <row r="1412" spans="1:7" ht="15" hidden="1" customHeight="1" outlineLevel="1">
      <c r="A1412" s="46"/>
      <c r="B1412" s="260" t="s">
        <v>1282</v>
      </c>
      <c r="C1412" s="287" t="s">
        <v>133</v>
      </c>
      <c r="D1412" s="17"/>
      <c r="E1412" s="113"/>
      <c r="F1412" s="69"/>
      <c r="G1412" s="100">
        <v>250</v>
      </c>
    </row>
    <row r="1413" spans="1:7" ht="15" hidden="1" customHeight="1" outlineLevel="1">
      <c r="A1413" s="46"/>
      <c r="B1413" s="260" t="s">
        <v>1283</v>
      </c>
      <c r="C1413" s="287" t="s">
        <v>156</v>
      </c>
      <c r="D1413" s="17"/>
      <c r="E1413" s="113"/>
      <c r="F1413" s="69"/>
      <c r="G1413" s="100">
        <v>6</v>
      </c>
    </row>
    <row r="1414" spans="1:7" ht="15" hidden="1" customHeight="1" outlineLevel="1">
      <c r="A1414" s="46"/>
      <c r="B1414" s="260" t="s">
        <v>1284</v>
      </c>
      <c r="C1414" s="287" t="s">
        <v>159</v>
      </c>
      <c r="D1414" s="17"/>
      <c r="E1414" s="113"/>
      <c r="F1414" s="69"/>
      <c r="G1414" s="100">
        <v>8</v>
      </c>
    </row>
    <row r="1415" spans="1:7" ht="15" hidden="1" customHeight="1" outlineLevel="1">
      <c r="A1415" s="46"/>
      <c r="B1415" s="260" t="s">
        <v>1285</v>
      </c>
      <c r="C1415" s="287" t="s">
        <v>159</v>
      </c>
      <c r="D1415" s="17"/>
      <c r="E1415" s="113"/>
      <c r="F1415" s="69"/>
      <c r="G1415" s="100">
        <v>0.02</v>
      </c>
    </row>
    <row r="1416" spans="1:7" ht="15" hidden="1" customHeight="1" outlineLevel="1">
      <c r="A1416" s="46"/>
      <c r="B1416" s="229" t="s">
        <v>1286</v>
      </c>
      <c r="C1416" s="287" t="s">
        <v>159</v>
      </c>
      <c r="D1416" s="17"/>
      <c r="E1416" s="113"/>
      <c r="F1416" s="69"/>
      <c r="G1416" s="100">
        <v>0.02</v>
      </c>
    </row>
    <row r="1417" spans="1:7" ht="15" hidden="1" customHeight="1" outlineLevel="1">
      <c r="A1417" s="46"/>
      <c r="B1417" s="99" t="s">
        <v>1287</v>
      </c>
      <c r="C1417" s="287"/>
      <c r="D1417" s="17"/>
      <c r="E1417" s="113"/>
      <c r="F1417" s="69"/>
      <c r="G1417" s="100"/>
    </row>
    <row r="1418" spans="1:7" ht="15" hidden="1" customHeight="1" outlineLevel="1">
      <c r="A1418" s="46"/>
      <c r="B1418" s="229" t="s">
        <v>1288</v>
      </c>
      <c r="C1418" s="99" t="s">
        <v>133</v>
      </c>
      <c r="D1418" s="17"/>
      <c r="E1418" s="113"/>
      <c r="F1418" s="69"/>
      <c r="G1418" s="100">
        <v>80</v>
      </c>
    </row>
    <row r="1419" spans="1:7" ht="15" hidden="1" customHeight="1" outlineLevel="1">
      <c r="A1419" s="46"/>
      <c r="B1419" s="229" t="s">
        <v>1269</v>
      </c>
      <c r="C1419" s="99" t="s">
        <v>159</v>
      </c>
      <c r="D1419" s="17"/>
      <c r="E1419" s="113"/>
      <c r="F1419" s="69"/>
      <c r="G1419" s="100">
        <v>100</v>
      </c>
    </row>
    <row r="1420" spans="1:7" ht="15" hidden="1" customHeight="1" outlineLevel="1">
      <c r="A1420" s="46"/>
      <c r="B1420" s="229" t="s">
        <v>1270</v>
      </c>
      <c r="C1420" s="99" t="s">
        <v>159</v>
      </c>
      <c r="D1420" s="17"/>
      <c r="E1420" s="113"/>
      <c r="F1420" s="69"/>
      <c r="G1420" s="100">
        <v>100</v>
      </c>
    </row>
    <row r="1421" spans="1:7" ht="15" hidden="1" customHeight="1" outlineLevel="1">
      <c r="A1421" s="46"/>
      <c r="B1421" s="229" t="s">
        <v>1271</v>
      </c>
      <c r="C1421" s="99" t="s">
        <v>159</v>
      </c>
      <c r="D1421" s="17"/>
      <c r="E1421" s="113"/>
      <c r="F1421" s="69"/>
      <c r="G1421" s="100">
        <v>9</v>
      </c>
    </row>
    <row r="1422" spans="1:7" ht="15" hidden="1" customHeight="1" outlineLevel="1">
      <c r="A1422" s="46"/>
      <c r="B1422" s="229" t="s">
        <v>1272</v>
      </c>
      <c r="C1422" s="99" t="s">
        <v>159</v>
      </c>
      <c r="D1422" s="17"/>
      <c r="E1422" s="113"/>
      <c r="F1422" s="69"/>
      <c r="G1422" s="100">
        <v>2.5000000000000001E-2</v>
      </c>
    </row>
    <row r="1423" spans="1:7" ht="15" hidden="1" customHeight="1" outlineLevel="1">
      <c r="A1423" s="46"/>
      <c r="B1423" s="229" t="s">
        <v>1273</v>
      </c>
      <c r="C1423" s="99" t="s">
        <v>159</v>
      </c>
      <c r="D1423" s="17"/>
      <c r="E1423" s="113"/>
      <c r="F1423" s="69"/>
      <c r="G1423" s="100">
        <v>2.5000000000000001E-2</v>
      </c>
    </row>
    <row r="1424" spans="1:7" ht="15" hidden="1" customHeight="1" outlineLevel="1">
      <c r="A1424" s="46"/>
      <c r="B1424" s="229" t="s">
        <v>1274</v>
      </c>
      <c r="C1424" s="99" t="s">
        <v>159</v>
      </c>
      <c r="D1424" s="17"/>
      <c r="E1424" s="113"/>
      <c r="F1424" s="69"/>
      <c r="G1424" s="100">
        <v>500</v>
      </c>
    </row>
    <row r="1425" spans="1:7" ht="15" hidden="1" customHeight="1" outlineLevel="1">
      <c r="A1425" s="46"/>
      <c r="B1425" s="229" t="s">
        <v>1275</v>
      </c>
      <c r="C1425" s="99" t="s">
        <v>159</v>
      </c>
      <c r="D1425" s="17"/>
      <c r="E1425" s="113"/>
      <c r="F1425" s="69"/>
      <c r="G1425" s="100">
        <v>500</v>
      </c>
    </row>
    <row r="1426" spans="1:7" ht="15" hidden="1" customHeight="1" outlineLevel="1">
      <c r="A1426" s="46"/>
      <c r="B1426" s="229" t="s">
        <v>1276</v>
      </c>
      <c r="C1426" s="99" t="s">
        <v>159</v>
      </c>
      <c r="D1426" s="17"/>
      <c r="E1426" s="113"/>
      <c r="F1426" s="69"/>
      <c r="G1426" s="100">
        <v>400</v>
      </c>
    </row>
    <row r="1427" spans="1:7" ht="15" hidden="1" customHeight="1" outlineLevel="1">
      <c r="A1427" s="46"/>
      <c r="B1427" s="229" t="s">
        <v>1277</v>
      </c>
      <c r="C1427" s="99" t="s">
        <v>159</v>
      </c>
      <c r="D1427" s="17"/>
      <c r="E1427" s="113"/>
      <c r="F1427" s="69"/>
      <c r="G1427" s="100">
        <v>100</v>
      </c>
    </row>
    <row r="1428" spans="1:7" ht="15" hidden="1" customHeight="1" outlineLevel="1">
      <c r="A1428" s="46"/>
      <c r="B1428" s="229" t="s">
        <v>1289</v>
      </c>
      <c r="C1428" s="287" t="s">
        <v>159</v>
      </c>
      <c r="D1428" s="17"/>
      <c r="E1428" s="113"/>
      <c r="F1428" s="69"/>
      <c r="G1428" s="100">
        <v>1200</v>
      </c>
    </row>
    <row r="1429" spans="1:7" ht="15" hidden="1" customHeight="1" outlineLevel="1">
      <c r="A1429" s="46"/>
      <c r="B1429" s="229" t="s">
        <v>1290</v>
      </c>
      <c r="C1429" s="287" t="s">
        <v>156</v>
      </c>
      <c r="D1429" s="17"/>
      <c r="E1429" s="113"/>
      <c r="F1429" s="69"/>
      <c r="G1429" s="100">
        <v>10</v>
      </c>
    </row>
    <row r="1430" spans="1:7" ht="15" hidden="1" customHeight="1" outlineLevel="1">
      <c r="A1430" s="46"/>
      <c r="B1430" s="229" t="s">
        <v>1291</v>
      </c>
      <c r="C1430" s="287" t="s">
        <v>159</v>
      </c>
      <c r="D1430" s="17"/>
      <c r="E1430" s="113"/>
      <c r="F1430" s="69"/>
      <c r="G1430" s="100">
        <v>100</v>
      </c>
    </row>
    <row r="1431" spans="1:7" ht="15" hidden="1" customHeight="1" outlineLevel="1">
      <c r="A1431" s="46"/>
      <c r="B1431" s="229" t="s">
        <v>1292</v>
      </c>
      <c r="C1431" s="287" t="s">
        <v>159</v>
      </c>
      <c r="D1431" s="17"/>
      <c r="E1431" s="113"/>
      <c r="F1431" s="69"/>
      <c r="G1431" s="100">
        <v>190</v>
      </c>
    </row>
    <row r="1432" spans="1:7" ht="15" hidden="1" customHeight="1" outlineLevel="1">
      <c r="A1432" s="46"/>
      <c r="B1432" s="229" t="s">
        <v>1293</v>
      </c>
      <c r="C1432" s="287" t="s">
        <v>133</v>
      </c>
      <c r="D1432" s="17"/>
      <c r="E1432" s="113"/>
      <c r="F1432" s="69"/>
      <c r="G1432" s="100">
        <v>120</v>
      </c>
    </row>
    <row r="1433" spans="1:7" ht="15" hidden="1" customHeight="1" outlineLevel="1">
      <c r="A1433" s="46"/>
      <c r="B1433" s="229" t="s">
        <v>1294</v>
      </c>
      <c r="C1433" s="287" t="s">
        <v>133</v>
      </c>
      <c r="D1433" s="17"/>
      <c r="E1433" s="113"/>
      <c r="F1433" s="69"/>
      <c r="G1433" s="100">
        <v>400</v>
      </c>
    </row>
    <row r="1434" spans="1:7" ht="15" hidden="1" customHeight="1" outlineLevel="1">
      <c r="A1434" s="46"/>
      <c r="B1434" s="260" t="s">
        <v>1255</v>
      </c>
      <c r="C1434" s="287" t="s">
        <v>133</v>
      </c>
      <c r="D1434" s="17"/>
      <c r="E1434" s="113"/>
      <c r="F1434" s="69"/>
      <c r="G1434" s="100">
        <v>350</v>
      </c>
    </row>
    <row r="1435" spans="1:7" ht="15" hidden="1" customHeight="1" outlineLevel="1">
      <c r="A1435" s="46"/>
      <c r="B1435" s="260" t="s">
        <v>1281</v>
      </c>
      <c r="C1435" s="287" t="s">
        <v>133</v>
      </c>
      <c r="D1435" s="17"/>
      <c r="E1435" s="113"/>
      <c r="F1435" s="69"/>
      <c r="G1435" s="100">
        <v>500</v>
      </c>
    </row>
    <row r="1436" spans="1:7" ht="15" hidden="1" customHeight="1" outlineLevel="1">
      <c r="A1436" s="46"/>
      <c r="B1436" s="260" t="s">
        <v>1282</v>
      </c>
      <c r="C1436" s="287" t="s">
        <v>133</v>
      </c>
      <c r="D1436" s="17"/>
      <c r="E1436" s="113"/>
      <c r="F1436" s="69"/>
      <c r="G1436" s="100">
        <v>250</v>
      </c>
    </row>
    <row r="1437" spans="1:7" ht="15" hidden="1" customHeight="1" outlineLevel="1">
      <c r="A1437" s="46"/>
      <c r="B1437" s="260" t="s">
        <v>1283</v>
      </c>
      <c r="C1437" s="287" t="s">
        <v>156</v>
      </c>
      <c r="D1437" s="17"/>
      <c r="E1437" s="113"/>
      <c r="F1437" s="69"/>
      <c r="G1437" s="100">
        <v>6</v>
      </c>
    </row>
    <row r="1438" spans="1:7" ht="15" hidden="1" customHeight="1" outlineLevel="1">
      <c r="A1438" s="46"/>
      <c r="B1438" s="260" t="s">
        <v>1284</v>
      </c>
      <c r="C1438" s="287" t="s">
        <v>159</v>
      </c>
      <c r="D1438" s="17"/>
      <c r="E1438" s="113"/>
      <c r="F1438" s="69"/>
      <c r="G1438" s="100">
        <v>8</v>
      </c>
    </row>
    <row r="1439" spans="1:7" ht="15" hidden="1" customHeight="1" outlineLevel="1">
      <c r="A1439" s="46"/>
      <c r="B1439" s="260" t="s">
        <v>1285</v>
      </c>
      <c r="C1439" s="287" t="s">
        <v>159</v>
      </c>
      <c r="D1439" s="17"/>
      <c r="E1439" s="113"/>
      <c r="F1439" s="69"/>
      <c r="G1439" s="100">
        <v>0.02</v>
      </c>
    </row>
    <row r="1440" spans="1:7" ht="15" hidden="1" customHeight="1" outlineLevel="1">
      <c r="A1440" s="46"/>
      <c r="B1440" s="229" t="s">
        <v>1286</v>
      </c>
      <c r="C1440" s="287" t="s">
        <v>159</v>
      </c>
      <c r="D1440" s="17"/>
      <c r="E1440" s="113"/>
      <c r="F1440" s="69"/>
      <c r="G1440" s="100">
        <v>0.02</v>
      </c>
    </row>
    <row r="1441" spans="1:7" ht="15" hidden="1" customHeight="1" outlineLevel="1">
      <c r="A1441" s="46"/>
      <c r="B1441" s="99" t="s">
        <v>1295</v>
      </c>
      <c r="C1441" s="287"/>
      <c r="D1441" s="17"/>
      <c r="E1441" s="113"/>
      <c r="F1441" s="69"/>
      <c r="G1441" s="100"/>
    </row>
    <row r="1442" spans="1:7" ht="15" hidden="1" customHeight="1" outlineLevel="1">
      <c r="A1442" s="46"/>
      <c r="B1442" s="229" t="s">
        <v>1296</v>
      </c>
      <c r="C1442" s="287" t="s">
        <v>133</v>
      </c>
      <c r="D1442" s="17"/>
      <c r="E1442" s="113"/>
      <c r="F1442" s="69"/>
      <c r="G1442" s="100">
        <v>50</v>
      </c>
    </row>
    <row r="1443" spans="1:7" ht="15" hidden="1" customHeight="1" outlineLevel="1">
      <c r="A1443" s="46"/>
      <c r="B1443" s="229" t="s">
        <v>1297</v>
      </c>
      <c r="C1443" s="287" t="s">
        <v>133</v>
      </c>
      <c r="D1443" s="17"/>
      <c r="E1443" s="113"/>
      <c r="F1443" s="69"/>
      <c r="G1443" s="100">
        <v>350</v>
      </c>
    </row>
    <row r="1444" spans="1:7" ht="15" hidden="1" customHeight="1" outlineLevel="1">
      <c r="A1444" s="46"/>
      <c r="B1444" s="229" t="s">
        <v>1298</v>
      </c>
      <c r="C1444" s="287" t="s">
        <v>133</v>
      </c>
      <c r="D1444" s="17"/>
      <c r="E1444" s="113"/>
      <c r="F1444" s="69"/>
      <c r="G1444" s="100">
        <v>450</v>
      </c>
    </row>
    <row r="1445" spans="1:7" ht="15" hidden="1" customHeight="1" outlineLevel="1">
      <c r="A1445" s="46"/>
      <c r="B1445" s="288" t="s">
        <v>1299</v>
      </c>
      <c r="C1445" s="287" t="s">
        <v>159</v>
      </c>
      <c r="D1445" s="17"/>
      <c r="E1445" s="113"/>
      <c r="F1445" s="69"/>
      <c r="G1445" s="100">
        <v>35</v>
      </c>
    </row>
    <row r="1446" spans="1:7" ht="15" hidden="1" customHeight="1" outlineLevel="1">
      <c r="A1446" s="46"/>
      <c r="B1446" s="229" t="s">
        <v>1300</v>
      </c>
      <c r="C1446" s="287" t="s">
        <v>156</v>
      </c>
      <c r="D1446" s="17"/>
      <c r="E1446" s="113"/>
      <c r="F1446" s="69"/>
      <c r="G1446" s="100">
        <v>35</v>
      </c>
    </row>
    <row r="1447" spans="1:7" ht="15" hidden="1" customHeight="1" outlineLevel="1">
      <c r="A1447" s="46"/>
      <c r="B1447" s="229" t="s">
        <v>1301</v>
      </c>
      <c r="C1447" s="287" t="s">
        <v>133</v>
      </c>
      <c r="D1447" s="17"/>
      <c r="E1447" s="113"/>
      <c r="F1447" s="69"/>
      <c r="G1447" s="100">
        <v>500</v>
      </c>
    </row>
    <row r="1448" spans="1:7" ht="15" hidden="1" customHeight="1" outlineLevel="1">
      <c r="A1448" s="46"/>
      <c r="B1448" s="229" t="s">
        <v>1302</v>
      </c>
      <c r="C1448" s="287" t="s">
        <v>159</v>
      </c>
      <c r="D1448" s="17"/>
      <c r="E1448" s="113"/>
      <c r="F1448" s="69"/>
      <c r="G1448" s="100">
        <v>250</v>
      </c>
    </row>
    <row r="1449" spans="1:7" ht="15" hidden="1" customHeight="1" outlineLevel="1">
      <c r="A1449" s="46"/>
      <c r="B1449" s="229" t="s">
        <v>1274</v>
      </c>
      <c r="C1449" s="287" t="s">
        <v>159</v>
      </c>
      <c r="D1449" s="17"/>
      <c r="E1449" s="113"/>
      <c r="F1449" s="69"/>
      <c r="G1449" s="100">
        <v>500</v>
      </c>
    </row>
    <row r="1450" spans="1:7" ht="15" hidden="1" customHeight="1" outlineLevel="1">
      <c r="A1450" s="46"/>
      <c r="B1450" s="229" t="s">
        <v>1303</v>
      </c>
      <c r="C1450" s="287" t="s">
        <v>159</v>
      </c>
      <c r="D1450" s="17"/>
      <c r="E1450" s="113"/>
      <c r="F1450" s="69"/>
      <c r="G1450" s="100">
        <v>200</v>
      </c>
    </row>
    <row r="1451" spans="1:7" ht="15" hidden="1" customHeight="1" outlineLevel="1">
      <c r="A1451" s="46"/>
      <c r="B1451" s="229" t="s">
        <v>1304</v>
      </c>
      <c r="C1451" s="287" t="s">
        <v>159</v>
      </c>
      <c r="D1451" s="17"/>
      <c r="E1451" s="113"/>
      <c r="F1451" s="69"/>
      <c r="G1451" s="100">
        <v>400</v>
      </c>
    </row>
    <row r="1452" spans="1:7" ht="15" hidden="1" customHeight="1" outlineLevel="1">
      <c r="A1452" s="46"/>
      <c r="B1452" s="99" t="s">
        <v>1305</v>
      </c>
      <c r="C1452" s="287"/>
      <c r="D1452" s="17"/>
      <c r="E1452" s="113"/>
      <c r="F1452" s="69"/>
      <c r="G1452" s="100"/>
    </row>
    <row r="1453" spans="1:7" ht="15" hidden="1" customHeight="1" outlineLevel="1">
      <c r="A1453" s="46"/>
      <c r="B1453" s="229" t="s">
        <v>1306</v>
      </c>
      <c r="C1453" s="287" t="s">
        <v>133</v>
      </c>
      <c r="D1453" s="17"/>
      <c r="E1453" s="113"/>
      <c r="F1453" s="69"/>
      <c r="G1453" s="100">
        <v>500</v>
      </c>
    </row>
    <row r="1454" spans="1:7" ht="15" hidden="1" customHeight="1" outlineLevel="1">
      <c r="A1454" s="46"/>
      <c r="B1454" s="229" t="s">
        <v>1307</v>
      </c>
      <c r="C1454" s="287" t="s">
        <v>133</v>
      </c>
      <c r="D1454" s="17"/>
      <c r="E1454" s="113"/>
      <c r="F1454" s="69"/>
      <c r="G1454" s="100">
        <v>500</v>
      </c>
    </row>
    <row r="1455" spans="1:7" ht="15" hidden="1" customHeight="1" outlineLevel="1">
      <c r="A1455" s="46"/>
      <c r="B1455" s="229" t="s">
        <v>1308</v>
      </c>
      <c r="C1455" s="287" t="s">
        <v>133</v>
      </c>
      <c r="D1455" s="17"/>
      <c r="E1455" s="113"/>
      <c r="F1455" s="69"/>
      <c r="G1455" s="100">
        <v>500</v>
      </c>
    </row>
    <row r="1456" spans="1:7" ht="15" hidden="1" customHeight="1" outlineLevel="1">
      <c r="A1456" s="46"/>
      <c r="B1456" s="229" t="s">
        <v>1302</v>
      </c>
      <c r="C1456" s="287" t="s">
        <v>159</v>
      </c>
      <c r="D1456" s="17"/>
      <c r="E1456" s="113"/>
      <c r="F1456" s="69"/>
      <c r="G1456" s="100">
        <v>250</v>
      </c>
    </row>
    <row r="1457" spans="1:7" ht="15" hidden="1" customHeight="1" outlineLevel="1">
      <c r="A1457" s="46"/>
      <c r="B1457" s="229" t="s">
        <v>1274</v>
      </c>
      <c r="C1457" s="287" t="s">
        <v>159</v>
      </c>
      <c r="D1457" s="17"/>
      <c r="E1457" s="113"/>
      <c r="F1457" s="69"/>
      <c r="G1457" s="100">
        <v>500</v>
      </c>
    </row>
    <row r="1458" spans="1:7" ht="15" hidden="1" customHeight="1" outlineLevel="1">
      <c r="A1458" s="46"/>
      <c r="B1458" s="229" t="s">
        <v>1309</v>
      </c>
      <c r="C1458" s="287" t="s">
        <v>159</v>
      </c>
      <c r="D1458" s="17"/>
      <c r="E1458" s="113"/>
      <c r="F1458" s="69"/>
      <c r="G1458" s="100">
        <v>200</v>
      </c>
    </row>
    <row r="1459" spans="1:7" ht="15" hidden="1" customHeight="1" outlineLevel="1">
      <c r="A1459" s="46"/>
      <c r="B1459" s="229" t="s">
        <v>1304</v>
      </c>
      <c r="C1459" s="287" t="s">
        <v>159</v>
      </c>
      <c r="D1459" s="17"/>
      <c r="E1459" s="113"/>
      <c r="F1459" s="69"/>
      <c r="G1459" s="100">
        <v>400</v>
      </c>
    </row>
    <row r="1460" spans="1:7" ht="15" hidden="1" customHeight="1" outlineLevel="1">
      <c r="A1460" s="46"/>
      <c r="B1460" s="229" t="s">
        <v>1310</v>
      </c>
      <c r="C1460" s="287" t="s">
        <v>133</v>
      </c>
      <c r="D1460" s="17"/>
      <c r="E1460" s="113"/>
      <c r="F1460" s="69"/>
      <c r="G1460" s="100">
        <v>250</v>
      </c>
    </row>
    <row r="1461" spans="1:7" ht="15" hidden="1" customHeight="1" outlineLevel="1">
      <c r="A1461" s="46"/>
      <c r="B1461" s="229" t="s">
        <v>1311</v>
      </c>
      <c r="C1461" s="287" t="s">
        <v>133</v>
      </c>
      <c r="D1461" s="17"/>
      <c r="E1461" s="113"/>
      <c r="F1461" s="69"/>
      <c r="G1461" s="100">
        <v>250</v>
      </c>
    </row>
    <row r="1462" spans="1:7" ht="15" hidden="1" customHeight="1" outlineLevel="1">
      <c r="A1462" s="46"/>
      <c r="B1462" s="229" t="s">
        <v>1312</v>
      </c>
      <c r="C1462" s="287" t="s">
        <v>159</v>
      </c>
      <c r="D1462" s="17"/>
      <c r="E1462" s="113"/>
      <c r="F1462" s="69"/>
      <c r="G1462" s="100">
        <v>120</v>
      </c>
    </row>
    <row r="1463" spans="1:7" ht="15" hidden="1" customHeight="1" outlineLevel="1">
      <c r="A1463" s="46"/>
      <c r="B1463" s="229" t="s">
        <v>1294</v>
      </c>
      <c r="C1463" s="287" t="s">
        <v>133</v>
      </c>
      <c r="D1463" s="17"/>
      <c r="E1463" s="113"/>
      <c r="F1463" s="69"/>
      <c r="G1463" s="100">
        <v>400</v>
      </c>
    </row>
    <row r="1464" spans="1:7" ht="15" hidden="1" customHeight="1" outlineLevel="1">
      <c r="A1464" s="46"/>
      <c r="B1464" s="289" t="s">
        <v>1313</v>
      </c>
      <c r="C1464" s="99" t="s">
        <v>156</v>
      </c>
      <c r="D1464" s="17"/>
      <c r="E1464" s="113"/>
      <c r="F1464" s="69"/>
      <c r="G1464" s="100"/>
    </row>
    <row r="1465" spans="1:7" ht="15" hidden="1" customHeight="1" outlineLevel="1">
      <c r="A1465" s="46"/>
      <c r="B1465" s="285" t="s">
        <v>1314</v>
      </c>
      <c r="C1465" s="99" t="s">
        <v>159</v>
      </c>
      <c r="D1465" s="17"/>
      <c r="E1465" s="113"/>
      <c r="F1465" s="69"/>
      <c r="G1465" s="100">
        <v>1900</v>
      </c>
    </row>
    <row r="1466" spans="1:7" ht="15" hidden="1" customHeight="1" outlineLevel="1">
      <c r="A1466" s="46"/>
      <c r="B1466" s="229" t="s">
        <v>1315</v>
      </c>
      <c r="C1466" s="99" t="s">
        <v>159</v>
      </c>
      <c r="D1466" s="17"/>
      <c r="E1466" s="113"/>
      <c r="F1466" s="69"/>
      <c r="G1466" s="100">
        <v>250</v>
      </c>
    </row>
    <row r="1467" spans="1:7" ht="15" hidden="1" customHeight="1" outlineLevel="1">
      <c r="A1467" s="46"/>
      <c r="B1467" s="229" t="s">
        <v>1316</v>
      </c>
      <c r="C1467" s="99" t="s">
        <v>159</v>
      </c>
      <c r="D1467" s="17"/>
      <c r="E1467" s="113"/>
      <c r="F1467" s="69"/>
      <c r="G1467" s="100">
        <v>100</v>
      </c>
    </row>
    <row r="1468" spans="1:7" ht="15" hidden="1" customHeight="1" outlineLevel="1">
      <c r="A1468" s="46"/>
      <c r="B1468" s="229" t="s">
        <v>1317</v>
      </c>
      <c r="C1468" s="99" t="s">
        <v>159</v>
      </c>
      <c r="D1468" s="17"/>
      <c r="E1468" s="113"/>
      <c r="F1468" s="69"/>
      <c r="G1468" s="100">
        <v>100</v>
      </c>
    </row>
    <row r="1469" spans="1:7" ht="15" hidden="1" customHeight="1" outlineLevel="1">
      <c r="A1469" s="46"/>
      <c r="B1469" s="229" t="s">
        <v>1318</v>
      </c>
      <c r="C1469" s="99" t="s">
        <v>159</v>
      </c>
      <c r="D1469" s="17"/>
      <c r="E1469" s="113"/>
      <c r="F1469" s="69"/>
      <c r="G1469" s="100">
        <v>250</v>
      </c>
    </row>
    <row r="1470" spans="1:7" ht="15" hidden="1" customHeight="1" outlineLevel="1">
      <c r="A1470" s="46"/>
      <c r="B1470" s="229" t="s">
        <v>1319</v>
      </c>
      <c r="C1470" s="99" t="s">
        <v>159</v>
      </c>
      <c r="D1470" s="17"/>
      <c r="E1470" s="113"/>
      <c r="F1470" s="69"/>
      <c r="G1470" s="100">
        <v>500</v>
      </c>
    </row>
    <row r="1471" spans="1:7" ht="15" hidden="1" customHeight="1" outlineLevel="1">
      <c r="A1471" s="46"/>
      <c r="B1471" s="229"/>
      <c r="C1471" s="99"/>
      <c r="D1471" s="17"/>
      <c r="E1471" s="113"/>
      <c r="F1471" s="69"/>
      <c r="G1471" s="100"/>
    </row>
    <row r="1472" spans="1:7" ht="15" hidden="1" customHeight="1" outlineLevel="1">
      <c r="A1472" s="46"/>
      <c r="B1472" s="229"/>
      <c r="C1472" s="99"/>
      <c r="D1472" s="17"/>
      <c r="E1472" s="113"/>
      <c r="F1472" s="69"/>
      <c r="G1472" s="100"/>
    </row>
    <row r="1473" spans="1:7" ht="15" hidden="1" customHeight="1" outlineLevel="1">
      <c r="A1473" s="46"/>
      <c r="B1473" s="229"/>
      <c r="C1473" s="99"/>
      <c r="D1473" s="17"/>
      <c r="E1473" s="113"/>
      <c r="F1473" s="69"/>
      <c r="G1473" s="100"/>
    </row>
    <row r="1474" spans="1:7" ht="15" hidden="1" customHeight="1" outlineLevel="1">
      <c r="A1474" s="46"/>
      <c r="B1474" s="229"/>
      <c r="C1474" s="99"/>
      <c r="D1474" s="17"/>
      <c r="E1474" s="113"/>
      <c r="F1474" s="69"/>
      <c r="G1474" s="100"/>
    </row>
    <row r="1475" spans="1:7" ht="15" hidden="1" customHeight="1" outlineLevel="1">
      <c r="A1475" s="46"/>
      <c r="B1475" s="259"/>
      <c r="C1475" s="99"/>
      <c r="D1475" s="17"/>
      <c r="E1475" s="113"/>
      <c r="F1475" s="69"/>
      <c r="G1475" s="100"/>
    </row>
    <row r="1476" spans="1:7" ht="15" customHeight="1">
      <c r="A1476" s="12" t="s">
        <v>1266</v>
      </c>
      <c r="B1476" s="12"/>
      <c r="C1476" s="99"/>
      <c r="D1476" s="17"/>
      <c r="E1476" s="113"/>
      <c r="F1476" s="69"/>
      <c r="G1476" s="100"/>
    </row>
    <row r="1477" spans="1:7" ht="15" hidden="1" customHeight="1" outlineLevel="1">
      <c r="A1477" s="3053" t="s">
        <v>1320</v>
      </c>
      <c r="B1477" s="3053"/>
      <c r="C1477" s="133" t="s">
        <v>208</v>
      </c>
      <c r="D1477" s="239"/>
      <c r="E1477" s="239"/>
      <c r="F1477" s="44"/>
      <c r="G1477" s="44" t="s">
        <v>132</v>
      </c>
    </row>
    <row r="1478" spans="1:7" ht="15" hidden="1" customHeight="1" outlineLevel="1">
      <c r="A1478" s="45"/>
      <c r="B1478" s="132" t="s">
        <v>1321</v>
      </c>
      <c r="C1478" s="290" t="s">
        <v>1322</v>
      </c>
      <c r="D1478" s="17"/>
      <c r="E1478" s="113"/>
      <c r="F1478" s="69"/>
      <c r="G1478" s="291">
        <v>0</v>
      </c>
    </row>
    <row r="1479" spans="1:7" ht="15" hidden="1" customHeight="1" outlineLevel="1">
      <c r="A1479" s="46"/>
      <c r="B1479" s="292" t="s">
        <v>1323</v>
      </c>
      <c r="C1479" s="18" t="s">
        <v>1322</v>
      </c>
      <c r="D1479" s="17"/>
      <c r="E1479" s="113"/>
      <c r="F1479" s="69"/>
      <c r="G1479" s="293">
        <v>291</v>
      </c>
    </row>
    <row r="1480" spans="1:7" ht="15" hidden="1" customHeight="1" outlineLevel="1">
      <c r="A1480" s="46"/>
      <c r="B1480" s="292" t="s">
        <v>1324</v>
      </c>
      <c r="C1480" s="18" t="s">
        <v>1322</v>
      </c>
      <c r="D1480" s="17"/>
      <c r="E1480" s="113"/>
      <c r="F1480" s="69"/>
      <c r="G1480" s="293">
        <v>240</v>
      </c>
    </row>
    <row r="1481" spans="1:7" ht="15" hidden="1" customHeight="1" outlineLevel="1">
      <c r="A1481" s="46"/>
      <c r="B1481" s="292" t="s">
        <v>1325</v>
      </c>
      <c r="C1481" s="18" t="s">
        <v>1322</v>
      </c>
      <c r="D1481" s="17"/>
      <c r="E1481" s="113"/>
      <c r="F1481" s="69"/>
      <c r="G1481" s="293">
        <v>239</v>
      </c>
    </row>
    <row r="1482" spans="1:7" ht="15" hidden="1" customHeight="1" outlineLevel="1">
      <c r="A1482" s="46"/>
      <c r="B1482" s="292" t="s">
        <v>1326</v>
      </c>
      <c r="C1482" s="18" t="s">
        <v>1322</v>
      </c>
      <c r="D1482" s="17"/>
      <c r="E1482" s="113"/>
      <c r="F1482" s="69"/>
      <c r="G1482" s="293">
        <v>245</v>
      </c>
    </row>
    <row r="1483" spans="1:7" ht="15" hidden="1" customHeight="1" outlineLevel="1">
      <c r="A1483" s="46"/>
      <c r="B1483" s="292" t="s">
        <v>1327</v>
      </c>
      <c r="C1483" s="18" t="s">
        <v>1322</v>
      </c>
      <c r="D1483" s="17"/>
      <c r="E1483" s="113"/>
      <c r="F1483" s="69"/>
      <c r="G1483" s="293">
        <v>198</v>
      </c>
    </row>
    <row r="1484" spans="1:7" ht="15" hidden="1" customHeight="1" outlineLevel="1">
      <c r="A1484" s="46"/>
      <c r="B1484" s="292" t="s">
        <v>1328</v>
      </c>
      <c r="C1484" s="18" t="s">
        <v>1322</v>
      </c>
      <c r="D1484" s="17"/>
      <c r="E1484" s="113"/>
      <c r="F1484" s="69"/>
      <c r="G1484" s="293">
        <v>202</v>
      </c>
    </row>
    <row r="1485" spans="1:7" ht="15" hidden="1" customHeight="1" outlineLevel="1">
      <c r="A1485" s="46"/>
      <c r="B1485" s="292" t="s">
        <v>1329</v>
      </c>
      <c r="C1485" s="18" t="s">
        <v>1322</v>
      </c>
      <c r="D1485" s="17"/>
      <c r="E1485" s="113"/>
      <c r="F1485" s="69"/>
      <c r="G1485" s="293">
        <v>174</v>
      </c>
    </row>
    <row r="1486" spans="1:7" ht="15" hidden="1" customHeight="1" outlineLevel="1">
      <c r="A1486" s="46"/>
      <c r="B1486" s="292" t="s">
        <v>1330</v>
      </c>
      <c r="C1486" s="18" t="s">
        <v>1322</v>
      </c>
      <c r="D1486" s="17"/>
      <c r="E1486" s="113"/>
      <c r="F1486" s="69"/>
      <c r="G1486" s="293">
        <v>193</v>
      </c>
    </row>
    <row r="1487" spans="1:7" ht="15" hidden="1" customHeight="1" outlineLevel="1">
      <c r="A1487" s="46"/>
      <c r="B1487" s="132"/>
      <c r="C1487" s="290"/>
      <c r="D1487" s="17"/>
      <c r="E1487" s="113"/>
      <c r="F1487" s="69"/>
      <c r="G1487" s="291"/>
    </row>
    <row r="1488" spans="1:7" ht="15" hidden="1" customHeight="1" outlineLevel="1">
      <c r="A1488" s="46"/>
      <c r="B1488" s="132"/>
      <c r="C1488" s="290"/>
      <c r="D1488" s="17"/>
      <c r="E1488" s="113"/>
      <c r="F1488" s="69"/>
      <c r="G1488" s="291"/>
    </row>
    <row r="1489" spans="1:7" ht="15" hidden="1" customHeight="1" outlineLevel="1">
      <c r="A1489" s="46"/>
      <c r="B1489" s="132"/>
      <c r="C1489" s="290"/>
      <c r="D1489" s="17"/>
      <c r="E1489" s="113"/>
      <c r="F1489" s="69"/>
      <c r="G1489" s="291"/>
    </row>
    <row r="1490" spans="1:7" ht="15" hidden="1" customHeight="1" outlineLevel="1">
      <c r="A1490" s="46"/>
      <c r="B1490" s="132"/>
      <c r="C1490" s="290"/>
      <c r="D1490" s="17"/>
      <c r="E1490" s="113"/>
      <c r="F1490" s="69"/>
      <c r="G1490" s="291"/>
    </row>
    <row r="1491" spans="1:7" ht="15" hidden="1" customHeight="1" outlineLevel="1">
      <c r="A1491" s="46"/>
      <c r="B1491" s="132"/>
      <c r="C1491" s="290"/>
      <c r="D1491" s="17"/>
      <c r="E1491" s="113"/>
      <c r="F1491" s="69"/>
      <c r="G1491" s="291"/>
    </row>
    <row r="1492" spans="1:7" ht="15" hidden="1" customHeight="1" outlineLevel="1">
      <c r="A1492" s="46"/>
      <c r="B1492" s="132"/>
      <c r="C1492" s="290"/>
      <c r="D1492" s="17"/>
      <c r="E1492" s="113"/>
      <c r="F1492" s="69"/>
      <c r="G1492" s="291"/>
    </row>
    <row r="1493" spans="1:7" ht="15" hidden="1" customHeight="1" outlineLevel="1">
      <c r="A1493" s="46"/>
      <c r="B1493" s="132"/>
      <c r="C1493" s="290"/>
      <c r="D1493" s="17"/>
      <c r="E1493" s="113"/>
      <c r="F1493" s="69"/>
      <c r="G1493" s="291"/>
    </row>
    <row r="1494" spans="1:7" ht="15" hidden="1" customHeight="1" outlineLevel="1">
      <c r="A1494" s="46"/>
      <c r="B1494" s="294"/>
      <c r="C1494" s="290"/>
      <c r="D1494" s="17"/>
      <c r="E1494" s="113"/>
      <c r="F1494" s="69"/>
      <c r="G1494" s="291"/>
    </row>
    <row r="1495" spans="1:7" ht="15" customHeight="1">
      <c r="A1495" s="12" t="s">
        <v>1320</v>
      </c>
      <c r="B1495" s="12"/>
      <c r="C1495" s="290"/>
      <c r="D1495" s="17"/>
      <c r="E1495" s="113"/>
      <c r="F1495" s="69"/>
      <c r="G1495" s="291"/>
    </row>
    <row r="1496" spans="1:7" ht="15" hidden="1" customHeight="1" outlineLevel="1">
      <c r="A1496" s="3045" t="s">
        <v>1331</v>
      </c>
      <c r="B1496" s="3045"/>
      <c r="C1496" s="133" t="s">
        <v>208</v>
      </c>
      <c r="D1496" s="239"/>
      <c r="E1496" s="239"/>
      <c r="F1496" s="44"/>
      <c r="G1496" s="44" t="s">
        <v>132</v>
      </c>
    </row>
    <row r="1497" spans="1:7" ht="15" hidden="1" customHeight="1" outlineLevel="1">
      <c r="A1497" s="45"/>
      <c r="B1497" s="111" t="s">
        <v>1332</v>
      </c>
      <c r="C1497" s="112" t="s">
        <v>156</v>
      </c>
      <c r="D1497" s="113"/>
      <c r="E1497" s="113"/>
      <c r="F1497" s="69"/>
      <c r="G1497" s="113">
        <v>45</v>
      </c>
    </row>
    <row r="1498" spans="1:7" ht="15" hidden="1" customHeight="1" outlineLevel="1">
      <c r="A1498" s="46"/>
      <c r="B1498" s="111" t="s">
        <v>1333</v>
      </c>
      <c r="C1498" s="112" t="s">
        <v>156</v>
      </c>
      <c r="D1498" s="113"/>
      <c r="E1498" s="113"/>
      <c r="F1498" s="69"/>
      <c r="G1498" s="113">
        <v>47</v>
      </c>
    </row>
    <row r="1499" spans="1:7" ht="15" hidden="1" customHeight="1" outlineLevel="1">
      <c r="A1499" s="46"/>
      <c r="B1499" s="111" t="s">
        <v>1334</v>
      </c>
      <c r="C1499" s="112" t="s">
        <v>156</v>
      </c>
      <c r="D1499" s="113"/>
      <c r="E1499" s="113"/>
      <c r="F1499" s="69"/>
      <c r="G1499" s="113">
        <v>49</v>
      </c>
    </row>
    <row r="1500" spans="1:7" ht="15" hidden="1" customHeight="1" outlineLevel="1">
      <c r="A1500" s="46"/>
      <c r="B1500" s="111" t="s">
        <v>1335</v>
      </c>
      <c r="C1500" s="112" t="s">
        <v>156</v>
      </c>
      <c r="D1500" s="113"/>
      <c r="E1500" s="113"/>
      <c r="F1500" s="69"/>
      <c r="G1500" s="113">
        <v>52</v>
      </c>
    </row>
    <row r="1501" spans="1:7" ht="15" hidden="1" customHeight="1" outlineLevel="1">
      <c r="A1501" s="46"/>
      <c r="B1501" s="111" t="s">
        <v>1336</v>
      </c>
      <c r="C1501" s="112" t="s">
        <v>156</v>
      </c>
      <c r="D1501" s="113"/>
      <c r="E1501" s="113"/>
      <c r="F1501" s="69"/>
      <c r="G1501" s="113">
        <v>58</v>
      </c>
    </row>
    <row r="1502" spans="1:7" ht="15" hidden="1" customHeight="1" outlineLevel="1">
      <c r="A1502" s="46"/>
      <c r="B1502" s="111" t="s">
        <v>1337</v>
      </c>
      <c r="C1502" s="112" t="s">
        <v>156</v>
      </c>
      <c r="D1502" s="113"/>
      <c r="E1502" s="113"/>
      <c r="F1502" s="69"/>
      <c r="G1502" s="113">
        <v>62</v>
      </c>
    </row>
    <row r="1503" spans="1:7" ht="15" hidden="1" customHeight="1" outlineLevel="1">
      <c r="A1503" s="46"/>
      <c r="B1503" s="111" t="s">
        <v>1338</v>
      </c>
      <c r="C1503" s="112" t="s">
        <v>156</v>
      </c>
      <c r="D1503" s="113"/>
      <c r="E1503" s="113"/>
      <c r="F1503" s="69"/>
      <c r="G1503" s="113">
        <v>66</v>
      </c>
    </row>
    <row r="1504" spans="1:7" ht="15" hidden="1" customHeight="1" outlineLevel="1">
      <c r="A1504" s="46"/>
      <c r="B1504" s="111" t="s">
        <v>1339</v>
      </c>
      <c r="C1504" s="112" t="s">
        <v>156</v>
      </c>
      <c r="D1504" s="113"/>
      <c r="E1504" s="113"/>
      <c r="F1504" s="69"/>
      <c r="G1504" s="113">
        <v>70</v>
      </c>
    </row>
    <row r="1505" spans="1:7" ht="15" hidden="1" customHeight="1" outlineLevel="1">
      <c r="A1505" s="46"/>
      <c r="B1505" s="111" t="s">
        <v>1340</v>
      </c>
      <c r="C1505" s="112" t="s">
        <v>159</v>
      </c>
      <c r="D1505" s="113"/>
      <c r="E1505" s="113"/>
      <c r="F1505" s="69"/>
      <c r="G1505" s="113">
        <v>0</v>
      </c>
    </row>
    <row r="1506" spans="1:7" ht="15" hidden="1" customHeight="1" outlineLevel="1">
      <c r="A1506" s="46"/>
      <c r="B1506" s="111" t="s">
        <v>1341</v>
      </c>
      <c r="C1506" s="112" t="s">
        <v>159</v>
      </c>
      <c r="D1506" s="113"/>
      <c r="E1506" s="113"/>
      <c r="F1506" s="69"/>
      <c r="G1506" s="113">
        <v>10</v>
      </c>
    </row>
    <row r="1507" spans="1:7" ht="15" hidden="1" customHeight="1" outlineLevel="1">
      <c r="A1507" s="46"/>
      <c r="B1507" s="111" t="s">
        <v>1342</v>
      </c>
      <c r="C1507" s="112" t="s">
        <v>159</v>
      </c>
      <c r="D1507" s="113"/>
      <c r="E1507" s="113"/>
      <c r="F1507" s="69"/>
      <c r="G1507" s="113">
        <v>12</v>
      </c>
    </row>
    <row r="1508" spans="1:7" ht="15" hidden="1" customHeight="1" outlineLevel="1">
      <c r="A1508" s="46"/>
      <c r="B1508" s="111" t="s">
        <v>1343</v>
      </c>
      <c r="C1508" s="112" t="s">
        <v>159</v>
      </c>
      <c r="D1508" s="113"/>
      <c r="E1508" s="113"/>
      <c r="F1508" s="69"/>
      <c r="G1508" s="113">
        <v>15</v>
      </c>
    </row>
    <row r="1509" spans="1:7" ht="15" hidden="1" customHeight="1" outlineLevel="1">
      <c r="A1509" s="46"/>
      <c r="B1509" s="111" t="s">
        <v>1344</v>
      </c>
      <c r="C1509" s="112" t="s">
        <v>159</v>
      </c>
      <c r="D1509" s="113"/>
      <c r="E1509" s="113"/>
      <c r="F1509" s="69"/>
      <c r="G1509" s="113">
        <v>17</v>
      </c>
    </row>
    <row r="1510" spans="1:7" ht="15" hidden="1" customHeight="1" outlineLevel="1">
      <c r="A1510" s="46"/>
      <c r="B1510" s="111" t="s">
        <v>1345</v>
      </c>
      <c r="C1510" s="112" t="s">
        <v>159</v>
      </c>
      <c r="D1510" s="113"/>
      <c r="E1510" s="113"/>
      <c r="F1510" s="69"/>
      <c r="G1510" s="113">
        <v>19</v>
      </c>
    </row>
    <row r="1511" spans="1:7" ht="15" hidden="1" customHeight="1" outlineLevel="1">
      <c r="A1511" s="46"/>
      <c r="B1511" s="111" t="s">
        <v>1346</v>
      </c>
      <c r="C1511" s="112" t="s">
        <v>159</v>
      </c>
      <c r="D1511" s="113"/>
      <c r="E1511" s="113"/>
      <c r="F1511" s="69"/>
      <c r="G1511" s="113">
        <v>21</v>
      </c>
    </row>
    <row r="1512" spans="1:7" ht="15" hidden="1" customHeight="1" outlineLevel="1">
      <c r="A1512" s="46"/>
      <c r="B1512" s="111" t="s">
        <v>1347</v>
      </c>
      <c r="C1512" s="112" t="s">
        <v>159</v>
      </c>
      <c r="D1512" s="113"/>
      <c r="E1512" s="113"/>
      <c r="F1512" s="69"/>
      <c r="G1512" s="113">
        <v>23</v>
      </c>
    </row>
    <row r="1513" spans="1:7" ht="15" hidden="1" customHeight="1" outlineLevel="1">
      <c r="A1513" s="46"/>
      <c r="B1513" s="111" t="s">
        <v>1348</v>
      </c>
      <c r="C1513" s="112" t="s">
        <v>159</v>
      </c>
      <c r="D1513" s="113"/>
      <c r="E1513" s="113"/>
      <c r="F1513" s="69"/>
      <c r="G1513" s="113">
        <v>24</v>
      </c>
    </row>
    <row r="1514" spans="1:7" ht="15" hidden="1" customHeight="1" outlineLevel="1">
      <c r="A1514" s="46"/>
      <c r="B1514" s="111" t="s">
        <v>1349</v>
      </c>
      <c r="C1514" s="112" t="s">
        <v>159</v>
      </c>
      <c r="D1514" s="113"/>
      <c r="E1514" s="113"/>
      <c r="F1514" s="69"/>
      <c r="G1514" s="113">
        <v>27</v>
      </c>
    </row>
    <row r="1515" spans="1:7" ht="15" hidden="1" customHeight="1" outlineLevel="1">
      <c r="A1515" s="46"/>
      <c r="B1515" s="111" t="s">
        <v>1350</v>
      </c>
      <c r="C1515" s="112" t="s">
        <v>159</v>
      </c>
      <c r="D1515" s="113"/>
      <c r="E1515" s="113"/>
      <c r="F1515" s="69"/>
      <c r="G1515" s="113">
        <v>29</v>
      </c>
    </row>
    <row r="1516" spans="1:7" ht="15" hidden="1" customHeight="1" outlineLevel="1">
      <c r="A1516" s="46"/>
      <c r="B1516" s="111" t="s">
        <v>1351</v>
      </c>
      <c r="C1516" s="112" t="s">
        <v>159</v>
      </c>
      <c r="D1516" s="113"/>
      <c r="E1516" s="113"/>
      <c r="F1516" s="69"/>
      <c r="G1516" s="113">
        <v>33</v>
      </c>
    </row>
    <row r="1517" spans="1:7" ht="15" hidden="1" customHeight="1" outlineLevel="1">
      <c r="A1517" s="46"/>
      <c r="B1517" s="111"/>
      <c r="C1517" s="112"/>
      <c r="D1517" s="113"/>
      <c r="E1517" s="113"/>
      <c r="F1517" s="69"/>
      <c r="G1517" s="113"/>
    </row>
    <row r="1518" spans="1:7" ht="15" hidden="1" customHeight="1" outlineLevel="1">
      <c r="A1518" s="46"/>
      <c r="B1518" s="117"/>
      <c r="C1518" s="112"/>
      <c r="D1518" s="113"/>
      <c r="E1518" s="113"/>
      <c r="F1518" s="69"/>
      <c r="G1518" s="113"/>
    </row>
    <row r="1519" spans="1:7" ht="15" customHeight="1">
      <c r="A1519" s="12" t="s">
        <v>1331</v>
      </c>
      <c r="B1519" s="12"/>
      <c r="C1519" s="112"/>
      <c r="D1519" s="113"/>
      <c r="E1519" s="113"/>
      <c r="F1519" s="69"/>
      <c r="G1519" s="113"/>
    </row>
    <row r="1520" spans="1:7" ht="15" hidden="1" customHeight="1" outlineLevel="1">
      <c r="A1520" s="3045" t="s">
        <v>1352</v>
      </c>
      <c r="B1520" s="3045"/>
      <c r="C1520" s="133" t="s">
        <v>208</v>
      </c>
      <c r="D1520" s="239"/>
      <c r="E1520" s="239"/>
      <c r="F1520" s="44"/>
      <c r="G1520" s="44" t="s">
        <v>132</v>
      </c>
    </row>
    <row r="1521" spans="1:7" s="70" customFormat="1" ht="15" hidden="1" customHeight="1" outlineLevel="1">
      <c r="A1521" s="65"/>
      <c r="B1521" s="37" t="s">
        <v>1353</v>
      </c>
      <c r="C1521" s="215" t="s">
        <v>133</v>
      </c>
      <c r="D1521" s="243"/>
      <c r="E1521" s="243"/>
      <c r="F1521" s="244"/>
      <c r="G1521" s="244">
        <v>0</v>
      </c>
    </row>
    <row r="1522" spans="1:7" ht="15" hidden="1" customHeight="1" outlineLevel="1">
      <c r="A1522" s="71"/>
      <c r="B1522" s="111" t="s">
        <v>1354</v>
      </c>
      <c r="C1522" s="112" t="s">
        <v>133</v>
      </c>
      <c r="D1522" s="113"/>
      <c r="E1522" s="113"/>
      <c r="F1522" s="69"/>
      <c r="G1522" s="113">
        <v>75</v>
      </c>
    </row>
    <row r="1523" spans="1:7" ht="15" hidden="1" customHeight="1" outlineLevel="1">
      <c r="A1523" s="71"/>
      <c r="B1523" s="111" t="s">
        <v>1355</v>
      </c>
      <c r="C1523" s="112" t="s">
        <v>133</v>
      </c>
      <c r="D1523" s="113"/>
      <c r="E1523" s="113"/>
      <c r="F1523" s="69"/>
      <c r="G1523" s="113">
        <v>85</v>
      </c>
    </row>
    <row r="1524" spans="1:7" ht="15" hidden="1" customHeight="1" outlineLevel="1">
      <c r="A1524" s="71"/>
      <c r="B1524" s="111" t="s">
        <v>1356</v>
      </c>
      <c r="C1524" s="112" t="s">
        <v>133</v>
      </c>
      <c r="D1524" s="113"/>
      <c r="E1524" s="113"/>
      <c r="F1524" s="69"/>
      <c r="G1524" s="113">
        <v>100</v>
      </c>
    </row>
    <row r="1525" spans="1:7" ht="15" hidden="1" customHeight="1" outlineLevel="1">
      <c r="A1525" s="71"/>
      <c r="B1525" s="111" t="s">
        <v>1357</v>
      </c>
      <c r="C1525" s="112" t="s">
        <v>133</v>
      </c>
      <c r="D1525" s="113"/>
      <c r="E1525" s="113"/>
      <c r="F1525" s="69"/>
      <c r="G1525" s="113">
        <v>110</v>
      </c>
    </row>
    <row r="1526" spans="1:7" ht="15" hidden="1" customHeight="1" outlineLevel="1">
      <c r="A1526" s="71"/>
      <c r="B1526" s="111" t="s">
        <v>1358</v>
      </c>
      <c r="C1526" s="112" t="s">
        <v>133</v>
      </c>
      <c r="D1526" s="113"/>
      <c r="E1526" s="113"/>
      <c r="F1526" s="69"/>
      <c r="G1526" s="113">
        <v>130</v>
      </c>
    </row>
    <row r="1527" spans="1:7" ht="15" hidden="1" customHeight="1" outlineLevel="1">
      <c r="A1527" s="71"/>
      <c r="B1527" s="111"/>
      <c r="C1527" s="112"/>
      <c r="D1527" s="113"/>
      <c r="E1527" s="113"/>
      <c r="F1527" s="69"/>
      <c r="G1527" s="113"/>
    </row>
    <row r="1528" spans="1:7" ht="15" hidden="1" customHeight="1" outlineLevel="1">
      <c r="A1528" s="71"/>
      <c r="B1528" s="117"/>
      <c r="C1528" s="112"/>
      <c r="D1528" s="113"/>
      <c r="E1528" s="113"/>
      <c r="F1528" s="69"/>
      <c r="G1528" s="113"/>
    </row>
    <row r="1529" spans="1:7" ht="15" customHeight="1">
      <c r="A1529" s="11" t="s">
        <v>1352</v>
      </c>
      <c r="B1529" s="11"/>
      <c r="C1529" s="112"/>
      <c r="D1529" s="113"/>
      <c r="E1529" s="113"/>
      <c r="F1529" s="69"/>
      <c r="G1529" s="113"/>
    </row>
    <row r="1530" spans="1:7" ht="15" hidden="1" customHeight="1" outlineLevel="1">
      <c r="A1530" s="3045" t="s">
        <v>1359</v>
      </c>
      <c r="B1530" s="3045"/>
      <c r="C1530" s="133" t="s">
        <v>208</v>
      </c>
      <c r="D1530" s="239"/>
      <c r="E1530" s="239"/>
      <c r="F1530" s="44"/>
      <c r="G1530" s="44" t="s">
        <v>132</v>
      </c>
    </row>
    <row r="1531" spans="1:7" ht="15" hidden="1" customHeight="1" outlineLevel="1">
      <c r="A1531" s="114"/>
      <c r="B1531" s="111" t="s">
        <v>1360</v>
      </c>
      <c r="C1531" s="112" t="s">
        <v>188</v>
      </c>
      <c r="D1531" s="113"/>
      <c r="E1531" s="113"/>
      <c r="F1531" s="69"/>
      <c r="G1531" s="113">
        <v>0</v>
      </c>
    </row>
    <row r="1532" spans="1:7" ht="15" hidden="1" customHeight="1" outlineLevel="1">
      <c r="A1532" s="114"/>
      <c r="B1532" s="111" t="s">
        <v>1361</v>
      </c>
      <c r="C1532" s="112" t="s">
        <v>188</v>
      </c>
      <c r="D1532" s="113"/>
      <c r="E1532" s="113"/>
      <c r="F1532" s="69"/>
      <c r="G1532" s="113">
        <v>100</v>
      </c>
    </row>
    <row r="1533" spans="1:7" ht="15" hidden="1" customHeight="1" outlineLevel="1">
      <c r="A1533" s="114"/>
      <c r="B1533" s="111" t="s">
        <v>1362</v>
      </c>
      <c r="C1533" s="112" t="s">
        <v>188</v>
      </c>
      <c r="D1533" s="113"/>
      <c r="E1533" s="113"/>
      <c r="F1533" s="69"/>
      <c r="G1533" s="113">
        <v>200</v>
      </c>
    </row>
    <row r="1534" spans="1:7" ht="15" hidden="1" customHeight="1" outlineLevel="1">
      <c r="A1534" s="114"/>
      <c r="B1534" s="111" t="s">
        <v>1363</v>
      </c>
      <c r="C1534" s="112" t="s">
        <v>188</v>
      </c>
      <c r="D1534" s="113"/>
      <c r="E1534" s="113"/>
      <c r="F1534" s="69"/>
      <c r="G1534" s="113">
        <v>0</v>
      </c>
    </row>
    <row r="1535" spans="1:7" ht="15" hidden="1" customHeight="1" outlineLevel="1">
      <c r="A1535" s="114"/>
      <c r="B1535" s="186" t="s">
        <v>1364</v>
      </c>
      <c r="C1535" s="184" t="s">
        <v>693</v>
      </c>
      <c r="D1535" s="68"/>
      <c r="E1535" s="135"/>
      <c r="F1535" s="68"/>
      <c r="G1535" s="185">
        <v>305</v>
      </c>
    </row>
    <row r="1536" spans="1:7" ht="15" hidden="1" customHeight="1" outlineLevel="1">
      <c r="A1536" s="114"/>
      <c r="B1536" s="186" t="s">
        <v>1365</v>
      </c>
      <c r="C1536" s="184" t="s">
        <v>693</v>
      </c>
      <c r="D1536" s="68"/>
      <c r="E1536" s="135"/>
      <c r="F1536" s="68"/>
      <c r="G1536" s="185">
        <v>305</v>
      </c>
    </row>
    <row r="1537" spans="1:7" ht="15" hidden="1" customHeight="1" outlineLevel="1">
      <c r="A1537" s="114"/>
      <c r="B1537" s="186" t="s">
        <v>1366</v>
      </c>
      <c r="C1537" s="184" t="s">
        <v>693</v>
      </c>
      <c r="D1537" s="68"/>
      <c r="E1537" s="135"/>
      <c r="F1537" s="68"/>
      <c r="G1537" s="185">
        <v>305</v>
      </c>
    </row>
    <row r="1538" spans="1:7" ht="15" hidden="1" customHeight="1" outlineLevel="1">
      <c r="A1538" s="114"/>
      <c r="B1538" s="186" t="s">
        <v>1367</v>
      </c>
      <c r="C1538" s="184" t="s">
        <v>693</v>
      </c>
      <c r="D1538" s="68"/>
      <c r="E1538" s="135"/>
      <c r="F1538" s="68"/>
      <c r="G1538" s="185">
        <v>305</v>
      </c>
    </row>
    <row r="1539" spans="1:7" ht="15" hidden="1" customHeight="1" outlineLevel="1">
      <c r="A1539" s="114"/>
      <c r="B1539" s="186" t="s">
        <v>1368</v>
      </c>
      <c r="C1539" s="184" t="s">
        <v>693</v>
      </c>
      <c r="D1539" s="68"/>
      <c r="E1539" s="135"/>
      <c r="F1539" s="68"/>
      <c r="G1539" s="185">
        <v>305</v>
      </c>
    </row>
    <row r="1540" spans="1:7" ht="15" hidden="1" customHeight="1" outlineLevel="1">
      <c r="A1540" s="114"/>
      <c r="B1540" s="186" t="s">
        <v>1369</v>
      </c>
      <c r="C1540" s="184" t="s">
        <v>693</v>
      </c>
      <c r="D1540" s="68"/>
      <c r="E1540" s="135"/>
      <c r="F1540" s="68"/>
      <c r="G1540" s="185">
        <v>305</v>
      </c>
    </row>
    <row r="1541" spans="1:7" ht="15" hidden="1" customHeight="1" outlineLevel="1">
      <c r="A1541" s="114"/>
      <c r="B1541" s="186" t="s">
        <v>1370</v>
      </c>
      <c r="C1541" s="184" t="s">
        <v>693</v>
      </c>
      <c r="D1541" s="68"/>
      <c r="E1541" s="135"/>
      <c r="F1541" s="68"/>
      <c r="G1541" s="185">
        <v>305</v>
      </c>
    </row>
    <row r="1542" spans="1:7" ht="15" hidden="1" customHeight="1" outlineLevel="1">
      <c r="A1542" s="114"/>
      <c r="B1542" s="186" t="s">
        <v>1371</v>
      </c>
      <c r="C1542" s="184" t="s">
        <v>693</v>
      </c>
      <c r="D1542" s="68"/>
      <c r="E1542" s="135"/>
      <c r="F1542" s="68"/>
      <c r="G1542" s="185">
        <v>305</v>
      </c>
    </row>
    <row r="1543" spans="1:7" ht="15" hidden="1" customHeight="1" outlineLevel="1">
      <c r="A1543" s="114"/>
      <c r="B1543" s="186" t="s">
        <v>1372</v>
      </c>
      <c r="C1543" s="184" t="s">
        <v>693</v>
      </c>
      <c r="D1543" s="68"/>
      <c r="E1543" s="135"/>
      <c r="F1543" s="68"/>
      <c r="G1543" s="185">
        <v>180</v>
      </c>
    </row>
    <row r="1544" spans="1:7" ht="15" hidden="1" customHeight="1" outlineLevel="1">
      <c r="A1544" s="114"/>
      <c r="B1544" s="186" t="s">
        <v>1373</v>
      </c>
      <c r="C1544" s="184" t="s">
        <v>693</v>
      </c>
      <c r="D1544" s="68"/>
      <c r="E1544" s="135"/>
      <c r="F1544" s="68"/>
      <c r="G1544" s="185">
        <v>180</v>
      </c>
    </row>
    <row r="1545" spans="1:7" ht="15" hidden="1" customHeight="1" outlineLevel="1">
      <c r="A1545" s="114"/>
      <c r="B1545" s="186" t="s">
        <v>1374</v>
      </c>
      <c r="C1545" s="184" t="s">
        <v>693</v>
      </c>
      <c r="D1545" s="68"/>
      <c r="E1545" s="135"/>
      <c r="F1545" s="68"/>
      <c r="G1545" s="185">
        <v>180</v>
      </c>
    </row>
    <row r="1546" spans="1:7" ht="15" hidden="1" customHeight="1" outlineLevel="1">
      <c r="A1546" s="114"/>
      <c r="B1546" s="186" t="s">
        <v>1375</v>
      </c>
      <c r="C1546" s="184" t="s">
        <v>693</v>
      </c>
      <c r="D1546" s="68"/>
      <c r="E1546" s="135"/>
      <c r="F1546" s="68"/>
      <c r="G1546" s="185">
        <v>180</v>
      </c>
    </row>
    <row r="1547" spans="1:7" ht="15" hidden="1" customHeight="1" outlineLevel="1">
      <c r="A1547" s="114"/>
      <c r="B1547" s="186" t="s">
        <v>1376</v>
      </c>
      <c r="C1547" s="184" t="s">
        <v>693</v>
      </c>
      <c r="D1547" s="68"/>
      <c r="E1547" s="135"/>
      <c r="F1547" s="68"/>
      <c r="G1547" s="185">
        <v>180</v>
      </c>
    </row>
    <row r="1548" spans="1:7" ht="15" hidden="1" customHeight="1" outlineLevel="1">
      <c r="A1548" s="114"/>
      <c r="B1548" s="186" t="s">
        <v>1377</v>
      </c>
      <c r="C1548" s="184" t="s">
        <v>693</v>
      </c>
      <c r="D1548" s="68"/>
      <c r="E1548" s="135"/>
      <c r="F1548" s="68"/>
      <c r="G1548" s="185">
        <v>180</v>
      </c>
    </row>
    <row r="1549" spans="1:7" ht="15" hidden="1" customHeight="1" outlineLevel="1">
      <c r="A1549" s="114"/>
      <c r="B1549" s="186" t="s">
        <v>1378</v>
      </c>
      <c r="C1549" s="184" t="s">
        <v>693</v>
      </c>
      <c r="D1549" s="68"/>
      <c r="E1549" s="135"/>
      <c r="F1549" s="68"/>
      <c r="G1549" s="185">
        <v>180</v>
      </c>
    </row>
    <row r="1550" spans="1:7" ht="15" hidden="1" customHeight="1" outlineLevel="1">
      <c r="A1550" s="114"/>
      <c r="B1550" s="186" t="s">
        <v>1379</v>
      </c>
      <c r="C1550" s="184" t="s">
        <v>693</v>
      </c>
      <c r="D1550" s="68"/>
      <c r="E1550" s="135"/>
      <c r="F1550" s="68"/>
      <c r="G1550" s="185">
        <v>180</v>
      </c>
    </row>
    <row r="1551" spans="1:7" ht="15" hidden="1" customHeight="1" outlineLevel="1">
      <c r="A1551" s="114"/>
      <c r="B1551" s="186" t="s">
        <v>1380</v>
      </c>
      <c r="C1551" s="184" t="s">
        <v>693</v>
      </c>
      <c r="D1551" s="68"/>
      <c r="E1551" s="135"/>
      <c r="F1551" s="68"/>
      <c r="G1551" s="185">
        <v>119</v>
      </c>
    </row>
    <row r="1552" spans="1:7" ht="15" hidden="1" customHeight="1" outlineLevel="1">
      <c r="A1552" s="114"/>
      <c r="B1552" s="186" t="s">
        <v>1381</v>
      </c>
      <c r="C1552" s="184" t="s">
        <v>693</v>
      </c>
      <c r="D1552" s="68"/>
      <c r="E1552" s="135"/>
      <c r="F1552" s="68"/>
      <c r="G1552" s="185">
        <v>119</v>
      </c>
    </row>
    <row r="1553" spans="1:7" ht="15" hidden="1" customHeight="1" outlineLevel="1">
      <c r="A1553" s="114"/>
      <c r="B1553" s="186" t="s">
        <v>1382</v>
      </c>
      <c r="C1553" s="184" t="s">
        <v>693</v>
      </c>
      <c r="D1553" s="68"/>
      <c r="E1553" s="135"/>
      <c r="F1553" s="68"/>
      <c r="G1553" s="185">
        <v>119</v>
      </c>
    </row>
    <row r="1554" spans="1:7" ht="15" hidden="1" customHeight="1" outlineLevel="1">
      <c r="A1554" s="114"/>
      <c r="B1554" s="186" t="s">
        <v>1383</v>
      </c>
      <c r="C1554" s="184" t="s">
        <v>693</v>
      </c>
      <c r="D1554" s="68"/>
      <c r="E1554" s="135"/>
      <c r="F1554" s="68"/>
      <c r="G1554" s="185">
        <v>119</v>
      </c>
    </row>
    <row r="1555" spans="1:7" ht="15" hidden="1" customHeight="1" outlineLevel="1">
      <c r="A1555" s="114"/>
      <c r="B1555" s="186" t="s">
        <v>1384</v>
      </c>
      <c r="C1555" s="184" t="s">
        <v>693</v>
      </c>
      <c r="D1555" s="68"/>
      <c r="E1555" s="135"/>
      <c r="F1555" s="68"/>
      <c r="G1555" s="185">
        <v>119</v>
      </c>
    </row>
    <row r="1556" spans="1:7" ht="15" hidden="1" customHeight="1" outlineLevel="1">
      <c r="A1556" s="114"/>
      <c r="B1556" s="186" t="s">
        <v>1385</v>
      </c>
      <c r="C1556" s="184" t="s">
        <v>693</v>
      </c>
      <c r="D1556" s="68"/>
      <c r="E1556" s="135"/>
      <c r="F1556" s="68"/>
      <c r="G1556" s="185">
        <v>119</v>
      </c>
    </row>
    <row r="1557" spans="1:7" ht="15" hidden="1" customHeight="1" outlineLevel="1">
      <c r="A1557" s="114"/>
      <c r="B1557" s="186" t="s">
        <v>1386</v>
      </c>
      <c r="C1557" s="184" t="s">
        <v>693</v>
      </c>
      <c r="D1557" s="68"/>
      <c r="E1557" s="135"/>
      <c r="F1557" s="68"/>
      <c r="G1557" s="185">
        <v>119</v>
      </c>
    </row>
    <row r="1558" spans="1:7" ht="15" hidden="1" customHeight="1" outlineLevel="1">
      <c r="A1558" s="114"/>
      <c r="B1558" s="186" t="s">
        <v>1387</v>
      </c>
      <c r="C1558" s="184" t="s">
        <v>693</v>
      </c>
      <c r="D1558" s="68"/>
      <c r="E1558" s="135"/>
      <c r="F1558" s="68"/>
      <c r="G1558" s="185">
        <v>119</v>
      </c>
    </row>
    <row r="1559" spans="1:7" ht="15" hidden="1" customHeight="1" outlineLevel="1">
      <c r="A1559" s="114"/>
      <c r="B1559" s="186" t="s">
        <v>1388</v>
      </c>
      <c r="C1559" s="184" t="s">
        <v>693</v>
      </c>
      <c r="D1559" s="68"/>
      <c r="E1559" s="135"/>
      <c r="F1559" s="68"/>
      <c r="G1559" s="185">
        <v>119</v>
      </c>
    </row>
    <row r="1560" spans="1:7" ht="15" hidden="1" customHeight="1" outlineLevel="1">
      <c r="A1560" s="114"/>
      <c r="B1560" s="186" t="s">
        <v>1389</v>
      </c>
      <c r="C1560" s="184" t="s">
        <v>693</v>
      </c>
      <c r="D1560" s="68"/>
      <c r="E1560" s="135"/>
      <c r="F1560" s="68"/>
      <c r="G1560" s="185">
        <v>119</v>
      </c>
    </row>
    <row r="1561" spans="1:7" ht="15" hidden="1" customHeight="1" outlineLevel="1">
      <c r="A1561" s="114"/>
      <c r="B1561" s="186" t="s">
        <v>1390</v>
      </c>
      <c r="C1561" s="184" t="s">
        <v>693</v>
      </c>
      <c r="D1561" s="68"/>
      <c r="E1561" s="135"/>
      <c r="F1561" s="68"/>
      <c r="G1561" s="185">
        <v>600</v>
      </c>
    </row>
    <row r="1562" spans="1:7" ht="15" hidden="1" customHeight="1" outlineLevel="1">
      <c r="A1562" s="114"/>
      <c r="B1562" s="111" t="s">
        <v>1391</v>
      </c>
      <c r="C1562" s="112" t="s">
        <v>188</v>
      </c>
      <c r="D1562" s="113"/>
      <c r="E1562" s="113"/>
      <c r="F1562" s="69"/>
      <c r="G1562" s="113">
        <v>0</v>
      </c>
    </row>
    <row r="1563" spans="1:7" ht="15" hidden="1" customHeight="1" outlineLevel="1">
      <c r="A1563" s="114"/>
      <c r="B1563" s="111" t="s">
        <v>1392</v>
      </c>
      <c r="C1563" s="112" t="s">
        <v>188</v>
      </c>
      <c r="D1563" s="113"/>
      <c r="E1563" s="113"/>
      <c r="F1563" s="69"/>
      <c r="G1563" s="113">
        <v>120</v>
      </c>
    </row>
    <row r="1564" spans="1:7" ht="15" hidden="1" customHeight="1" outlineLevel="1">
      <c r="A1564" s="114"/>
      <c r="B1564" s="111" t="s">
        <v>1393</v>
      </c>
      <c r="C1564" s="112" t="s">
        <v>188</v>
      </c>
      <c r="D1564" s="113"/>
      <c r="E1564" s="113"/>
      <c r="F1564" s="69"/>
      <c r="G1564" s="113">
        <v>150</v>
      </c>
    </row>
    <row r="1565" spans="1:7" ht="15" hidden="1" customHeight="1" outlineLevel="1">
      <c r="A1565" s="114"/>
      <c r="B1565" s="111" t="s">
        <v>1360</v>
      </c>
      <c r="C1565" s="112" t="s">
        <v>188</v>
      </c>
      <c r="D1565" s="113"/>
      <c r="E1565" s="113"/>
      <c r="F1565" s="69"/>
      <c r="G1565" s="113">
        <v>0</v>
      </c>
    </row>
    <row r="1566" spans="1:7" ht="15" hidden="1" customHeight="1" outlineLevel="1">
      <c r="A1566" s="114"/>
      <c r="B1566" s="111" t="s">
        <v>1394</v>
      </c>
      <c r="C1566" s="112" t="s">
        <v>188</v>
      </c>
      <c r="D1566" s="113"/>
      <c r="E1566" s="113"/>
      <c r="F1566" s="69"/>
      <c r="G1566" s="113">
        <v>50</v>
      </c>
    </row>
    <row r="1567" spans="1:7" ht="15" hidden="1" customHeight="1" outlineLevel="1">
      <c r="A1567" s="114"/>
      <c r="B1567" s="111" t="s">
        <v>1395</v>
      </c>
      <c r="C1567" s="112" t="s">
        <v>188</v>
      </c>
      <c r="D1567" s="113"/>
      <c r="E1567" s="113"/>
      <c r="F1567" s="69"/>
      <c r="G1567" s="113">
        <v>90</v>
      </c>
    </row>
    <row r="1568" spans="1:7" ht="15" hidden="1" customHeight="1" outlineLevel="1">
      <c r="A1568" s="114"/>
      <c r="B1568" s="111" t="s">
        <v>1396</v>
      </c>
      <c r="C1568" s="112" t="s">
        <v>188</v>
      </c>
      <c r="D1568" s="113"/>
      <c r="E1568" s="113"/>
      <c r="F1568" s="69"/>
      <c r="G1568" s="113">
        <v>0</v>
      </c>
    </row>
    <row r="1569" spans="1:7" ht="15" hidden="1" customHeight="1" outlineLevel="1">
      <c r="A1569" s="114"/>
      <c r="B1569" s="111" t="s">
        <v>1397</v>
      </c>
      <c r="C1569" s="112" t="s">
        <v>188</v>
      </c>
      <c r="D1569" s="113"/>
      <c r="E1569" s="113"/>
      <c r="F1569" s="69"/>
      <c r="G1569" s="113">
        <v>100</v>
      </c>
    </row>
    <row r="1570" spans="1:7" ht="15" hidden="1" customHeight="1" outlineLevel="1">
      <c r="A1570" s="114"/>
      <c r="B1570" s="111" t="s">
        <v>1398</v>
      </c>
      <c r="C1570" s="112" t="s">
        <v>188</v>
      </c>
      <c r="D1570" s="113"/>
      <c r="E1570" s="113"/>
      <c r="F1570" s="69"/>
      <c r="G1570" s="113">
        <v>120</v>
      </c>
    </row>
    <row r="1571" spans="1:7" ht="15" hidden="1" customHeight="1" outlineLevel="1">
      <c r="A1571" s="114"/>
      <c r="B1571" s="111" t="s">
        <v>1396</v>
      </c>
      <c r="C1571" s="112" t="s">
        <v>188</v>
      </c>
      <c r="D1571" s="113"/>
      <c r="E1571" s="113"/>
      <c r="F1571" s="69"/>
      <c r="G1571" s="113">
        <v>0</v>
      </c>
    </row>
    <row r="1572" spans="1:7" ht="15" hidden="1" customHeight="1" outlineLevel="1">
      <c r="A1572" s="114"/>
      <c r="B1572" s="111" t="s">
        <v>1399</v>
      </c>
      <c r="C1572" s="112" t="s">
        <v>188</v>
      </c>
      <c r="D1572" s="113"/>
      <c r="E1572" s="113"/>
      <c r="F1572" s="69"/>
      <c r="G1572" s="113">
        <v>250</v>
      </c>
    </row>
    <row r="1573" spans="1:7" ht="15" hidden="1" customHeight="1" outlineLevel="1">
      <c r="A1573" s="114"/>
      <c r="B1573" s="111" t="s">
        <v>1400</v>
      </c>
      <c r="C1573" s="112" t="s">
        <v>188</v>
      </c>
      <c r="D1573" s="113"/>
      <c r="E1573" s="113"/>
      <c r="F1573" s="69"/>
      <c r="G1573" s="113">
        <v>280</v>
      </c>
    </row>
    <row r="1574" spans="1:7" ht="15" hidden="1" customHeight="1" outlineLevel="1">
      <c r="A1574" s="114"/>
      <c r="B1574" s="111"/>
      <c r="C1574" s="112"/>
      <c r="D1574" s="113"/>
      <c r="E1574" s="113"/>
      <c r="F1574" s="69"/>
      <c r="G1574" s="113"/>
    </row>
    <row r="1575" spans="1:7" ht="15" hidden="1" customHeight="1" outlineLevel="1">
      <c r="A1575" s="114"/>
      <c r="B1575" s="111"/>
      <c r="C1575" s="112"/>
      <c r="D1575" s="113"/>
      <c r="E1575" s="113"/>
      <c r="F1575" s="69"/>
      <c r="G1575" s="113"/>
    </row>
    <row r="1576" spans="1:7" ht="15" hidden="1" customHeight="1" outlineLevel="1">
      <c r="A1576" s="114"/>
      <c r="B1576" s="111"/>
      <c r="C1576" s="112"/>
      <c r="D1576" s="113"/>
      <c r="E1576" s="113"/>
      <c r="F1576" s="69"/>
      <c r="G1576" s="113"/>
    </row>
    <row r="1577" spans="1:7" ht="15" hidden="1" customHeight="1" outlineLevel="1">
      <c r="A1577" s="114"/>
      <c r="B1577" s="111"/>
      <c r="C1577" s="112"/>
      <c r="D1577" s="113"/>
      <c r="E1577" s="113"/>
      <c r="F1577" s="69"/>
      <c r="G1577" s="113"/>
    </row>
    <row r="1578" spans="1:7" ht="15" hidden="1" customHeight="1" outlineLevel="1">
      <c r="A1578" s="114"/>
      <c r="B1578" s="111"/>
      <c r="C1578" s="112"/>
      <c r="D1578" s="113"/>
      <c r="E1578" s="113"/>
      <c r="F1578" s="69"/>
      <c r="G1578" s="113"/>
    </row>
    <row r="1579" spans="1:7" ht="15" hidden="1" customHeight="1" outlineLevel="1">
      <c r="A1579" s="114"/>
      <c r="B1579" s="117"/>
      <c r="C1579" s="112"/>
      <c r="D1579" s="113"/>
      <c r="E1579" s="113"/>
      <c r="F1579" s="69"/>
      <c r="G1579" s="113"/>
    </row>
    <row r="1580" spans="1:7" ht="15" customHeight="1">
      <c r="A1580" s="12" t="s">
        <v>1359</v>
      </c>
      <c r="B1580" s="12"/>
      <c r="C1580" s="112"/>
      <c r="D1580" s="113"/>
      <c r="E1580" s="113"/>
      <c r="F1580" s="69"/>
      <c r="G1580" s="113"/>
    </row>
    <row r="1581" spans="1:7" ht="15" hidden="1" customHeight="1" outlineLevel="1">
      <c r="A1581" s="3045" t="s">
        <v>1401</v>
      </c>
      <c r="B1581" s="3045"/>
      <c r="C1581" s="133" t="s">
        <v>208</v>
      </c>
      <c r="D1581" s="239"/>
      <c r="E1581" s="239"/>
      <c r="F1581" s="44"/>
      <c r="G1581" s="44" t="s">
        <v>132</v>
      </c>
    </row>
    <row r="1582" spans="1:7" s="70" customFormat="1" ht="15" hidden="1" customHeight="1" outlineLevel="1">
      <c r="A1582" s="295"/>
      <c r="B1582" s="37" t="s">
        <v>1402</v>
      </c>
      <c r="C1582" s="112" t="s">
        <v>150</v>
      </c>
      <c r="D1582" s="243"/>
      <c r="E1582" s="243"/>
      <c r="F1582" s="244"/>
      <c r="G1582" s="244">
        <v>0</v>
      </c>
    </row>
    <row r="1583" spans="1:7" ht="15" hidden="1" customHeight="1" outlineLevel="1">
      <c r="A1583" s="258"/>
      <c r="B1583" s="111" t="s">
        <v>1403</v>
      </c>
      <c r="C1583" s="112" t="s">
        <v>150</v>
      </c>
      <c r="D1583" s="113"/>
      <c r="E1583" s="113"/>
      <c r="F1583" s="69"/>
      <c r="G1583" s="113">
        <v>470</v>
      </c>
    </row>
    <row r="1584" spans="1:7" ht="15" hidden="1" customHeight="1" outlineLevel="1">
      <c r="A1584" s="258"/>
      <c r="B1584" s="111" t="s">
        <v>1404</v>
      </c>
      <c r="C1584" s="112" t="s">
        <v>150</v>
      </c>
      <c r="D1584" s="113"/>
      <c r="E1584" s="113"/>
      <c r="F1584" s="69"/>
      <c r="G1584" s="113">
        <v>470</v>
      </c>
    </row>
    <row r="1585" spans="1:7" ht="15" hidden="1" customHeight="1" outlineLevel="1">
      <c r="A1585" s="258"/>
      <c r="B1585" s="111" t="s">
        <v>1405</v>
      </c>
      <c r="C1585" s="112" t="s">
        <v>150</v>
      </c>
      <c r="D1585" s="113"/>
      <c r="E1585" s="113"/>
      <c r="F1585" s="69"/>
      <c r="G1585" s="113">
        <v>400</v>
      </c>
    </row>
    <row r="1586" spans="1:7" ht="15" hidden="1" customHeight="1" outlineLevel="1">
      <c r="A1586" s="258"/>
      <c r="B1586" s="111" t="s">
        <v>1406</v>
      </c>
      <c r="C1586" s="112" t="s">
        <v>150</v>
      </c>
      <c r="D1586" s="113"/>
      <c r="E1586" s="113"/>
      <c r="F1586" s="69"/>
      <c r="G1586" s="113">
        <v>470</v>
      </c>
    </row>
    <row r="1587" spans="1:7" ht="15" hidden="1" customHeight="1" outlineLevel="1">
      <c r="A1587" s="258"/>
      <c r="B1587" s="111" t="s">
        <v>1407</v>
      </c>
      <c r="C1587" s="112" t="s">
        <v>133</v>
      </c>
      <c r="D1587" s="113"/>
      <c r="E1587" s="113"/>
      <c r="F1587" s="69"/>
      <c r="G1587" s="113">
        <v>15</v>
      </c>
    </row>
    <row r="1588" spans="1:7" ht="15" hidden="1" customHeight="1" outlineLevel="1">
      <c r="A1588" s="258"/>
      <c r="B1588" s="111" t="s">
        <v>1408</v>
      </c>
      <c r="C1588" s="112" t="s">
        <v>150</v>
      </c>
      <c r="D1588" s="113"/>
      <c r="E1588" s="113"/>
      <c r="F1588" s="69"/>
      <c r="G1588" s="113">
        <v>390</v>
      </c>
    </row>
    <row r="1589" spans="1:7" ht="15" hidden="1" customHeight="1" outlineLevel="1">
      <c r="A1589" s="258"/>
      <c r="D1589" s="17"/>
      <c r="E1589" s="17"/>
      <c r="F1589" s="142"/>
      <c r="G1589" s="142"/>
    </row>
    <row r="1590" spans="1:7" ht="15" hidden="1" customHeight="1" outlineLevel="1">
      <c r="A1590" s="258"/>
      <c r="B1590" s="111"/>
      <c r="C1590" s="112"/>
      <c r="D1590" s="113"/>
      <c r="E1590" s="113"/>
      <c r="F1590" s="69"/>
      <c r="G1590" s="113"/>
    </row>
    <row r="1591" spans="1:7" ht="15" hidden="1" customHeight="1" outlineLevel="1">
      <c r="A1591" s="258"/>
      <c r="B1591" s="111"/>
      <c r="C1591" s="112"/>
      <c r="D1591" s="113"/>
      <c r="E1591" s="113"/>
      <c r="F1591" s="69"/>
      <c r="G1591" s="113"/>
    </row>
    <row r="1592" spans="1:7" ht="15" hidden="1" customHeight="1" outlineLevel="1">
      <c r="A1592" s="258"/>
      <c r="B1592" s="111"/>
      <c r="C1592" s="112"/>
      <c r="D1592" s="113"/>
      <c r="E1592" s="113"/>
      <c r="F1592" s="69"/>
      <c r="G1592" s="113"/>
    </row>
    <row r="1593" spans="1:7" ht="15" hidden="1" customHeight="1" outlineLevel="1">
      <c r="A1593" s="258"/>
      <c r="B1593" s="111"/>
      <c r="C1593" s="112"/>
      <c r="D1593" s="113"/>
      <c r="E1593" s="113"/>
      <c r="F1593" s="69"/>
      <c r="G1593" s="113"/>
    </row>
    <row r="1594" spans="1:7" ht="15" hidden="1" customHeight="1" outlineLevel="1">
      <c r="A1594" s="258"/>
      <c r="B1594" s="117"/>
      <c r="C1594" s="112"/>
      <c r="D1594" s="113"/>
      <c r="E1594" s="113"/>
      <c r="F1594" s="69"/>
      <c r="G1594" s="113"/>
    </row>
    <row r="1595" spans="1:7" ht="15" customHeight="1">
      <c r="A1595" s="12" t="s">
        <v>1401</v>
      </c>
      <c r="B1595" s="12"/>
      <c r="C1595" s="112"/>
      <c r="D1595" s="113"/>
      <c r="E1595" s="113"/>
      <c r="F1595" s="69"/>
      <c r="G1595" s="113"/>
    </row>
    <row r="1596" spans="1:7" ht="15" hidden="1" customHeight="1" outlineLevel="1">
      <c r="A1596" s="3058" t="s">
        <v>1409</v>
      </c>
      <c r="B1596" s="3058"/>
      <c r="C1596" s="296" t="s">
        <v>208</v>
      </c>
      <c r="D1596" s="297"/>
      <c r="E1596" s="297"/>
      <c r="F1596" s="298"/>
      <c r="G1596" s="297" t="s">
        <v>132</v>
      </c>
    </row>
    <row r="1597" spans="1:7" ht="15" hidden="1" customHeight="1" outlineLevel="1">
      <c r="A1597" s="299"/>
      <c r="B1597" s="275" t="s">
        <v>1410</v>
      </c>
      <c r="C1597" s="289" t="s">
        <v>133</v>
      </c>
      <c r="D1597" s="113"/>
      <c r="E1597" s="113"/>
      <c r="F1597" s="69"/>
      <c r="G1597" s="113">
        <v>200</v>
      </c>
    </row>
    <row r="1598" spans="1:7" ht="15" hidden="1" customHeight="1" outlineLevel="1">
      <c r="A1598" s="299"/>
      <c r="B1598" s="275" t="s">
        <v>1411</v>
      </c>
      <c r="C1598" s="289" t="s">
        <v>133</v>
      </c>
      <c r="D1598" s="113"/>
      <c r="E1598" s="113"/>
      <c r="F1598" s="69"/>
      <c r="G1598" s="113">
        <v>200</v>
      </c>
    </row>
    <row r="1599" spans="1:7" ht="15" hidden="1" customHeight="1" outlineLevel="1">
      <c r="A1599" s="299"/>
      <c r="B1599" s="275" t="s">
        <v>1412</v>
      </c>
      <c r="C1599" s="289" t="s">
        <v>133</v>
      </c>
      <c r="D1599" s="113"/>
      <c r="E1599" s="113"/>
      <c r="F1599" s="69"/>
      <c r="G1599" s="113">
        <v>40</v>
      </c>
    </row>
    <row r="1600" spans="1:7" ht="15" hidden="1" customHeight="1" outlineLevel="1">
      <c r="A1600" s="299"/>
      <c r="B1600" s="275" t="s">
        <v>1413</v>
      </c>
      <c r="C1600" s="289" t="s">
        <v>133</v>
      </c>
      <c r="D1600" s="113"/>
      <c r="E1600" s="113"/>
      <c r="F1600" s="69"/>
      <c r="G1600" s="113">
        <v>300</v>
      </c>
    </row>
    <row r="1601" spans="1:7" ht="15" hidden="1" customHeight="1" outlineLevel="1">
      <c r="A1601" s="299"/>
      <c r="B1601" s="98" t="s">
        <v>1414</v>
      </c>
      <c r="C1601" s="99" t="s">
        <v>1415</v>
      </c>
      <c r="E1601" s="113"/>
      <c r="F1601" s="69"/>
      <c r="G1601" s="100">
        <v>30</v>
      </c>
    </row>
    <row r="1602" spans="1:7" ht="15" hidden="1" customHeight="1" outlineLevel="1">
      <c r="A1602" s="299"/>
      <c r="B1602" s="98" t="s">
        <v>1416</v>
      </c>
      <c r="C1602" s="99" t="s">
        <v>1415</v>
      </c>
      <c r="E1602" s="113"/>
      <c r="F1602" s="69"/>
      <c r="G1602" s="100">
        <v>30</v>
      </c>
    </row>
    <row r="1603" spans="1:7" ht="15" hidden="1" customHeight="1" outlineLevel="1">
      <c r="A1603" s="299"/>
      <c r="B1603" s="98" t="s">
        <v>1417</v>
      </c>
      <c r="C1603" s="99" t="s">
        <v>156</v>
      </c>
      <c r="E1603" s="113"/>
      <c r="F1603" s="69"/>
      <c r="G1603" s="100">
        <v>500</v>
      </c>
    </row>
    <row r="1604" spans="1:7" ht="15" hidden="1" customHeight="1" outlineLevel="1">
      <c r="A1604" s="299"/>
      <c r="B1604" s="275" t="s">
        <v>1418</v>
      </c>
      <c r="C1604" s="289" t="s">
        <v>133</v>
      </c>
      <c r="D1604" s="113"/>
      <c r="E1604" s="113"/>
      <c r="F1604" s="69"/>
      <c r="G1604" s="113">
        <v>350</v>
      </c>
    </row>
    <row r="1605" spans="1:7" ht="15" hidden="1" customHeight="1" outlineLevel="1">
      <c r="A1605" s="299"/>
      <c r="B1605" s="275" t="s">
        <v>1419</v>
      </c>
      <c r="C1605" s="289" t="s">
        <v>133</v>
      </c>
      <c r="D1605" s="113"/>
      <c r="E1605" s="113"/>
      <c r="F1605" s="69"/>
      <c r="G1605" s="113">
        <v>350</v>
      </c>
    </row>
    <row r="1606" spans="1:7" ht="15" hidden="1" customHeight="1" outlineLevel="1">
      <c r="A1606" s="299"/>
      <c r="B1606" s="275" t="s">
        <v>1420</v>
      </c>
      <c r="C1606" s="289" t="s">
        <v>133</v>
      </c>
      <c r="D1606" s="113"/>
      <c r="E1606" s="113"/>
      <c r="F1606" s="69"/>
      <c r="G1606" s="113">
        <v>300</v>
      </c>
    </row>
    <row r="1607" spans="1:7" ht="15" hidden="1" customHeight="1" outlineLevel="1">
      <c r="A1607" s="299"/>
      <c r="B1607" s="275" t="s">
        <v>1421</v>
      </c>
      <c r="C1607" s="289" t="s">
        <v>133</v>
      </c>
      <c r="D1607" s="113"/>
      <c r="E1607" s="113"/>
      <c r="F1607" s="69"/>
      <c r="G1607" s="113">
        <v>400</v>
      </c>
    </row>
    <row r="1608" spans="1:7" ht="15" hidden="1" customHeight="1" outlineLevel="1">
      <c r="A1608" s="299"/>
      <c r="B1608" s="275" t="s">
        <v>1422</v>
      </c>
      <c r="C1608" s="289" t="s">
        <v>133</v>
      </c>
      <c r="D1608" s="113"/>
      <c r="E1608" s="113"/>
      <c r="F1608" s="69"/>
      <c r="G1608" s="113">
        <v>250</v>
      </c>
    </row>
    <row r="1609" spans="1:7" ht="15" hidden="1" customHeight="1" outlineLevel="1">
      <c r="A1609" s="299"/>
      <c r="B1609" s="275" t="s">
        <v>1423</v>
      </c>
      <c r="C1609" s="289" t="s">
        <v>133</v>
      </c>
      <c r="D1609" s="113"/>
      <c r="E1609" s="113"/>
      <c r="F1609" s="69"/>
      <c r="G1609" s="113">
        <v>300</v>
      </c>
    </row>
    <row r="1610" spans="1:7" ht="15" hidden="1" customHeight="1" outlineLevel="1">
      <c r="A1610" s="299"/>
      <c r="B1610" s="275" t="s">
        <v>1424</v>
      </c>
      <c r="C1610" s="289" t="s">
        <v>133</v>
      </c>
      <c r="D1610" s="113"/>
      <c r="E1610" s="113"/>
      <c r="F1610" s="69"/>
      <c r="G1610" s="113">
        <v>200</v>
      </c>
    </row>
    <row r="1611" spans="1:7" ht="15" hidden="1" customHeight="1" outlineLevel="1">
      <c r="A1611" s="299"/>
      <c r="B1611" s="275" t="s">
        <v>1425</v>
      </c>
      <c r="C1611" s="289" t="s">
        <v>133</v>
      </c>
      <c r="D1611" s="113"/>
      <c r="E1611" s="113"/>
      <c r="F1611" s="69"/>
      <c r="G1611" s="113">
        <v>150</v>
      </c>
    </row>
    <row r="1612" spans="1:7" ht="15" hidden="1" customHeight="1" outlineLevel="1">
      <c r="A1612" s="299"/>
      <c r="B1612" s="19" t="s">
        <v>1426</v>
      </c>
      <c r="C1612" s="289" t="s">
        <v>133</v>
      </c>
      <c r="D1612" s="113"/>
      <c r="E1612" s="113"/>
      <c r="F1612" s="69"/>
      <c r="G1612" s="113">
        <v>200</v>
      </c>
    </row>
    <row r="1613" spans="1:7" ht="15" hidden="1" customHeight="1" outlineLevel="1">
      <c r="A1613" s="299"/>
      <c r="B1613" s="19" t="s">
        <v>1427</v>
      </c>
      <c r="C1613" s="289" t="s">
        <v>133</v>
      </c>
      <c r="D1613" s="113"/>
      <c r="E1613" s="113"/>
      <c r="F1613" s="69"/>
      <c r="G1613" s="113">
        <v>200</v>
      </c>
    </row>
    <row r="1614" spans="1:7" ht="15" hidden="1" customHeight="1" outlineLevel="1">
      <c r="A1614" s="299"/>
      <c r="B1614" s="19" t="s">
        <v>1428</v>
      </c>
      <c r="C1614" s="289" t="s">
        <v>133</v>
      </c>
      <c r="D1614" s="113"/>
      <c r="E1614" s="113"/>
      <c r="F1614" s="69"/>
      <c r="G1614" s="113">
        <v>100</v>
      </c>
    </row>
    <row r="1615" spans="1:7" ht="15" hidden="1" customHeight="1" outlineLevel="1">
      <c r="A1615" s="299"/>
      <c r="B1615" s="19" t="s">
        <v>1429</v>
      </c>
      <c r="C1615" s="289" t="s">
        <v>133</v>
      </c>
      <c r="D1615" s="113"/>
      <c r="E1615" s="113"/>
      <c r="F1615" s="69"/>
      <c r="G1615" s="113">
        <v>100</v>
      </c>
    </row>
    <row r="1616" spans="1:7" ht="15" hidden="1" customHeight="1" outlineLevel="1">
      <c r="A1616" s="299"/>
      <c r="B1616" s="98" t="s">
        <v>1430</v>
      </c>
      <c r="C1616" s="99" t="s">
        <v>159</v>
      </c>
      <c r="E1616" s="113"/>
      <c r="F1616" s="69"/>
      <c r="G1616" s="100">
        <v>7000</v>
      </c>
    </row>
    <row r="1617" spans="1:7" ht="15" hidden="1" customHeight="1" outlineLevel="1">
      <c r="A1617" s="299"/>
      <c r="B1617" s="98" t="s">
        <v>1431</v>
      </c>
      <c r="C1617" s="99" t="s">
        <v>133</v>
      </c>
      <c r="E1617" s="113"/>
      <c r="F1617" s="69"/>
      <c r="G1617" s="100">
        <v>300</v>
      </c>
    </row>
    <row r="1618" spans="1:7" ht="15" hidden="1" customHeight="1" outlineLevel="1">
      <c r="A1618" s="299"/>
      <c r="B1618" s="98" t="s">
        <v>1432</v>
      </c>
      <c r="C1618" s="99" t="s">
        <v>133</v>
      </c>
      <c r="E1618" s="113"/>
      <c r="F1618" s="69"/>
      <c r="G1618" s="100">
        <v>100</v>
      </c>
    </row>
    <row r="1619" spans="1:7" ht="15" hidden="1" customHeight="1" outlineLevel="1">
      <c r="A1619" s="299"/>
      <c r="B1619" s="98" t="s">
        <v>1433</v>
      </c>
      <c r="C1619" s="99" t="s">
        <v>133</v>
      </c>
      <c r="E1619" s="113"/>
      <c r="F1619" s="69"/>
      <c r="G1619" s="100">
        <v>10</v>
      </c>
    </row>
    <row r="1620" spans="1:7" ht="15" hidden="1" customHeight="1" outlineLevel="1">
      <c r="A1620" s="299"/>
      <c r="B1620" s="98" t="s">
        <v>1433</v>
      </c>
      <c r="C1620" s="99" t="s">
        <v>133</v>
      </c>
      <c r="E1620" s="113"/>
      <c r="F1620" s="69"/>
      <c r="G1620" s="100">
        <v>10</v>
      </c>
    </row>
    <row r="1621" spans="1:7" ht="15" hidden="1" customHeight="1" outlineLevel="1">
      <c r="A1621" s="299"/>
      <c r="B1621" s="275" t="s">
        <v>1434</v>
      </c>
      <c r="C1621" s="99" t="s">
        <v>133</v>
      </c>
      <c r="G1621" s="20">
        <v>200</v>
      </c>
    </row>
    <row r="1622" spans="1:7" ht="15" hidden="1" customHeight="1" outlineLevel="1">
      <c r="A1622" s="299"/>
      <c r="B1622" s="275" t="s">
        <v>1435</v>
      </c>
      <c r="C1622" s="99" t="s">
        <v>133</v>
      </c>
      <c r="G1622" s="20">
        <v>200</v>
      </c>
    </row>
    <row r="1623" spans="1:7" ht="15" hidden="1" customHeight="1" outlineLevel="1">
      <c r="A1623" s="299"/>
      <c r="B1623" s="275" t="s">
        <v>1436</v>
      </c>
      <c r="C1623" s="18" t="s">
        <v>159</v>
      </c>
      <c r="G1623" s="20">
        <v>200</v>
      </c>
    </row>
    <row r="1624" spans="1:7" ht="15" hidden="1" customHeight="1" outlineLevel="1">
      <c r="A1624" s="299"/>
      <c r="B1624" s="275" t="s">
        <v>1437</v>
      </c>
      <c r="C1624" s="18" t="s">
        <v>159</v>
      </c>
      <c r="G1624" s="20">
        <v>250</v>
      </c>
    </row>
    <row r="1625" spans="1:7" ht="15" hidden="1" customHeight="1" outlineLevel="1">
      <c r="A1625" s="299"/>
    </row>
    <row r="1626" spans="1:7" ht="15" hidden="1" customHeight="1" outlineLevel="1">
      <c r="A1626" s="299"/>
      <c r="B1626" s="98" t="s">
        <v>1438</v>
      </c>
      <c r="C1626" s="99" t="s">
        <v>133</v>
      </c>
      <c r="E1626" s="113"/>
      <c r="F1626" s="69"/>
      <c r="G1626" s="100">
        <v>100</v>
      </c>
    </row>
    <row r="1627" spans="1:7" ht="15" hidden="1" customHeight="1" outlineLevel="1">
      <c r="A1627" s="299"/>
      <c r="B1627" s="98" t="s">
        <v>1439</v>
      </c>
      <c r="C1627" s="99" t="s">
        <v>135</v>
      </c>
      <c r="E1627" s="113"/>
      <c r="F1627" s="69"/>
      <c r="G1627" s="100">
        <v>350</v>
      </c>
    </row>
    <row r="1628" spans="1:7" ht="15" hidden="1" customHeight="1" outlineLevel="1">
      <c r="A1628" s="299"/>
      <c r="B1628" s="98" t="s">
        <v>1440</v>
      </c>
      <c r="C1628" s="99" t="s">
        <v>133</v>
      </c>
      <c r="E1628" s="113"/>
      <c r="F1628" s="69"/>
      <c r="G1628" s="100">
        <v>350</v>
      </c>
    </row>
    <row r="1629" spans="1:7" ht="15" hidden="1" customHeight="1" outlineLevel="1">
      <c r="A1629" s="299"/>
      <c r="B1629" s="98" t="s">
        <v>1441</v>
      </c>
      <c r="C1629" s="99" t="s">
        <v>133</v>
      </c>
      <c r="E1629" s="113"/>
      <c r="F1629" s="69"/>
      <c r="G1629" s="100">
        <v>600</v>
      </c>
    </row>
    <row r="1630" spans="1:7" ht="15" hidden="1" customHeight="1" outlineLevel="1">
      <c r="A1630" s="299"/>
      <c r="B1630" s="132" t="s">
        <v>1442</v>
      </c>
      <c r="C1630" s="290" t="s">
        <v>133</v>
      </c>
      <c r="E1630" s="113"/>
      <c r="F1630" s="69"/>
      <c r="G1630" s="100">
        <v>400</v>
      </c>
    </row>
    <row r="1631" spans="1:7" ht="15" hidden="1" customHeight="1" outlineLevel="1">
      <c r="A1631" s="299"/>
      <c r="B1631" s="98" t="s">
        <v>1443</v>
      </c>
      <c r="C1631" s="99" t="s">
        <v>135</v>
      </c>
      <c r="E1631" s="113"/>
      <c r="F1631" s="69"/>
      <c r="G1631" s="100">
        <v>1200</v>
      </c>
    </row>
    <row r="1632" spans="1:7" ht="15" hidden="1" customHeight="1" outlineLevel="1">
      <c r="A1632" s="299"/>
      <c r="B1632" s="98" t="s">
        <v>1444</v>
      </c>
      <c r="C1632" s="99" t="s">
        <v>133</v>
      </c>
      <c r="E1632" s="113"/>
      <c r="F1632" s="69"/>
      <c r="G1632" s="100">
        <v>200</v>
      </c>
    </row>
    <row r="1633" spans="1:9" ht="15" hidden="1" customHeight="1" outlineLevel="1">
      <c r="A1633" s="299"/>
      <c r="B1633" s="98" t="s">
        <v>1445</v>
      </c>
      <c r="C1633" s="99" t="s">
        <v>133</v>
      </c>
      <c r="E1633" s="113"/>
      <c r="F1633" s="69"/>
      <c r="G1633" s="100">
        <v>200</v>
      </c>
    </row>
    <row r="1634" spans="1:9" ht="15" hidden="1" customHeight="1" outlineLevel="1">
      <c r="A1634" s="299"/>
    </row>
    <row r="1635" spans="1:9" ht="15" hidden="1" customHeight="1" outlineLevel="1">
      <c r="A1635" s="299"/>
      <c r="B1635" s="98" t="s">
        <v>1446</v>
      </c>
      <c r="C1635" s="99" t="s">
        <v>133</v>
      </c>
      <c r="E1635" s="113"/>
      <c r="F1635" s="69"/>
      <c r="G1635" s="100">
        <v>100</v>
      </c>
    </row>
    <row r="1636" spans="1:9" ht="15" hidden="1" customHeight="1" outlineLevel="1">
      <c r="A1636" s="299"/>
      <c r="B1636" s="229" t="s">
        <v>1447</v>
      </c>
      <c r="C1636" s="99" t="s">
        <v>159</v>
      </c>
      <c r="E1636" s="113"/>
      <c r="F1636" s="69"/>
      <c r="G1636" s="100">
        <v>5000</v>
      </c>
    </row>
    <row r="1637" spans="1:9" ht="15" hidden="1" customHeight="1" outlineLevel="1">
      <c r="A1637" s="299"/>
      <c r="B1637" s="98" t="s">
        <v>1448</v>
      </c>
      <c r="C1637" s="99" t="s">
        <v>159</v>
      </c>
      <c r="E1637" s="113"/>
      <c r="F1637" s="69"/>
      <c r="G1637" s="100">
        <v>1000</v>
      </c>
    </row>
    <row r="1638" spans="1:9" ht="15" hidden="1" customHeight="1" outlineLevel="1">
      <c r="A1638" s="299"/>
      <c r="B1638" s="98" t="s">
        <v>1449</v>
      </c>
      <c r="C1638" s="99" t="s">
        <v>159</v>
      </c>
      <c r="E1638" s="113"/>
      <c r="F1638" s="69"/>
      <c r="G1638" s="100">
        <v>1000</v>
      </c>
    </row>
    <row r="1639" spans="1:9" ht="15" hidden="1" customHeight="1" outlineLevel="1">
      <c r="A1639" s="299"/>
      <c r="B1639" s="98" t="s">
        <v>1450</v>
      </c>
      <c r="C1639" s="99" t="s">
        <v>159</v>
      </c>
      <c r="E1639" s="113"/>
      <c r="F1639" s="69"/>
      <c r="G1639" s="100">
        <v>100</v>
      </c>
    </row>
    <row r="1640" spans="1:9" ht="15" hidden="1" customHeight="1" outlineLevel="1">
      <c r="A1640" s="299"/>
      <c r="B1640" s="98" t="s">
        <v>1451</v>
      </c>
      <c r="C1640" s="99" t="s">
        <v>156</v>
      </c>
      <c r="E1640" s="113"/>
      <c r="F1640" s="69"/>
      <c r="G1640" s="100">
        <v>100</v>
      </c>
    </row>
    <row r="1641" spans="1:9" ht="15" hidden="1" customHeight="1" outlineLevel="1">
      <c r="A1641" s="299"/>
      <c r="B1641" s="98" t="s">
        <v>1452</v>
      </c>
      <c r="C1641" s="99" t="s">
        <v>159</v>
      </c>
      <c r="E1641" s="113"/>
      <c r="F1641" s="69"/>
      <c r="G1641" s="100">
        <v>200</v>
      </c>
    </row>
    <row r="1642" spans="1:9" ht="15" hidden="1" customHeight="1" outlineLevel="1">
      <c r="A1642" s="299"/>
      <c r="B1642" s="98" t="s">
        <v>1453</v>
      </c>
      <c r="C1642" s="99" t="s">
        <v>133</v>
      </c>
      <c r="G1642" s="100">
        <v>500</v>
      </c>
      <c r="H1642" s="300"/>
      <c r="I1642" s="70"/>
    </row>
    <row r="1643" spans="1:9" ht="15" hidden="1" customHeight="1" outlineLevel="1">
      <c r="A1643" s="299"/>
      <c r="B1643" s="132" t="s">
        <v>1454</v>
      </c>
      <c r="C1643" s="290" t="s">
        <v>133</v>
      </c>
      <c r="E1643" s="291"/>
      <c r="F1643" s="291"/>
      <c r="G1643" s="291">
        <v>600</v>
      </c>
      <c r="H1643" s="85"/>
      <c r="I1643" s="70"/>
    </row>
    <row r="1644" spans="1:9" ht="15" hidden="1" customHeight="1" outlineLevel="1">
      <c r="A1644" s="299"/>
      <c r="B1644" s="132" t="s">
        <v>1455</v>
      </c>
      <c r="C1644" s="99" t="s">
        <v>156</v>
      </c>
      <c r="G1644" s="100">
        <v>200</v>
      </c>
      <c r="H1644" s="300"/>
      <c r="I1644" s="70"/>
    </row>
    <row r="1645" spans="1:9" ht="15" hidden="1" customHeight="1" outlineLevel="1">
      <c r="A1645" s="299"/>
      <c r="B1645" s="132" t="s">
        <v>1456</v>
      </c>
      <c r="C1645" s="99" t="s">
        <v>156</v>
      </c>
      <c r="G1645" s="100">
        <v>200</v>
      </c>
      <c r="H1645" s="85"/>
      <c r="I1645" s="70"/>
    </row>
    <row r="1646" spans="1:9" ht="15" hidden="1" customHeight="1" outlineLevel="1">
      <c r="A1646" s="299"/>
      <c r="B1646" s="132" t="s">
        <v>1457</v>
      </c>
      <c r="C1646" s="99" t="s">
        <v>156</v>
      </c>
      <c r="G1646" s="100">
        <v>200</v>
      </c>
      <c r="H1646" s="300"/>
      <c r="I1646" s="70"/>
    </row>
    <row r="1647" spans="1:9" ht="15" hidden="1" customHeight="1" outlineLevel="1">
      <c r="A1647" s="299"/>
      <c r="B1647" s="132" t="s">
        <v>1458</v>
      </c>
      <c r="C1647" s="99" t="s">
        <v>159</v>
      </c>
      <c r="G1647" s="100">
        <v>300</v>
      </c>
      <c r="H1647" s="85"/>
      <c r="I1647" s="70"/>
    </row>
    <row r="1648" spans="1:9" ht="15" hidden="1" customHeight="1" outlineLevel="1">
      <c r="A1648" s="299"/>
      <c r="B1648" s="132" t="s">
        <v>1459</v>
      </c>
      <c r="C1648" s="290" t="s">
        <v>159</v>
      </c>
      <c r="G1648" s="100">
        <v>1000</v>
      </c>
      <c r="H1648" s="300"/>
      <c r="I1648" s="70"/>
    </row>
    <row r="1649" spans="1:9" ht="15" hidden="1" customHeight="1" outlineLevel="1">
      <c r="A1649" s="299"/>
      <c r="B1649" s="301" t="s">
        <v>1460</v>
      </c>
      <c r="C1649" s="99" t="s">
        <v>156</v>
      </c>
      <c r="G1649" s="100">
        <v>100</v>
      </c>
      <c r="H1649" s="85"/>
      <c r="I1649" s="70"/>
    </row>
    <row r="1650" spans="1:9" ht="15" hidden="1" customHeight="1" outlineLevel="1">
      <c r="A1650" s="299"/>
      <c r="B1650" s="98" t="s">
        <v>1461</v>
      </c>
      <c r="C1650" s="290" t="s">
        <v>133</v>
      </c>
      <c r="G1650" s="100">
        <v>200</v>
      </c>
      <c r="H1650" s="85"/>
      <c r="I1650" s="70"/>
    </row>
    <row r="1651" spans="1:9" ht="15" hidden="1" customHeight="1" outlineLevel="1">
      <c r="A1651" s="299"/>
      <c r="B1651" s="301" t="s">
        <v>1462</v>
      </c>
      <c r="C1651" s="290" t="s">
        <v>133</v>
      </c>
      <c r="G1651" s="100">
        <v>200</v>
      </c>
      <c r="H1651" s="70"/>
      <c r="I1651" s="70"/>
    </row>
    <row r="1652" spans="1:9" ht="15" hidden="1" customHeight="1" outlineLevel="1">
      <c r="A1652" s="299"/>
      <c r="B1652" s="98" t="s">
        <v>1463</v>
      </c>
      <c r="C1652" s="99" t="s">
        <v>135</v>
      </c>
      <c r="G1652" s="100">
        <v>1000</v>
      </c>
      <c r="H1652" s="70"/>
      <c r="I1652" s="70"/>
    </row>
    <row r="1653" spans="1:9" ht="15" hidden="1" customHeight="1" outlineLevel="1">
      <c r="A1653" s="299"/>
      <c r="B1653" s="98"/>
      <c r="C1653" s="99"/>
      <c r="G1653" s="100"/>
      <c r="H1653" s="300"/>
      <c r="I1653" s="70"/>
    </row>
    <row r="1654" spans="1:9" ht="15" hidden="1" customHeight="1" outlineLevel="1">
      <c r="A1654" s="299"/>
      <c r="B1654" s="98" t="s">
        <v>1464</v>
      </c>
      <c r="C1654" s="227" t="s">
        <v>156</v>
      </c>
      <c r="G1654" s="100">
        <v>200</v>
      </c>
      <c r="H1654" s="85"/>
      <c r="I1654" s="70"/>
    </row>
    <row r="1655" spans="1:9" ht="15" hidden="1" customHeight="1" outlineLevel="1">
      <c r="A1655" s="299"/>
      <c r="B1655" s="98" t="s">
        <v>1465</v>
      </c>
      <c r="C1655" s="227" t="s">
        <v>156</v>
      </c>
      <c r="G1655" s="100">
        <v>200</v>
      </c>
      <c r="H1655" s="300"/>
      <c r="I1655" s="70"/>
    </row>
    <row r="1656" spans="1:9" ht="15" hidden="1" customHeight="1" outlineLevel="1">
      <c r="A1656" s="299"/>
      <c r="B1656" s="98" t="s">
        <v>1466</v>
      </c>
      <c r="C1656" s="227" t="s">
        <v>133</v>
      </c>
      <c r="G1656" s="100">
        <v>400</v>
      </c>
      <c r="H1656" s="85"/>
      <c r="I1656" s="70"/>
    </row>
    <row r="1657" spans="1:9" ht="15" hidden="1" customHeight="1" outlineLevel="1">
      <c r="A1657" s="299"/>
      <c r="B1657" s="98" t="s">
        <v>1467</v>
      </c>
      <c r="C1657" s="227" t="s">
        <v>133</v>
      </c>
      <c r="G1657" s="100">
        <v>400</v>
      </c>
      <c r="H1657" s="85"/>
      <c r="I1657" s="70"/>
    </row>
    <row r="1658" spans="1:9" ht="15" hidden="1" customHeight="1" outlineLevel="1">
      <c r="A1658" s="299"/>
      <c r="B1658" s="98" t="s">
        <v>1468</v>
      </c>
      <c r="C1658" s="227" t="s">
        <v>133</v>
      </c>
      <c r="G1658" s="100">
        <v>300</v>
      </c>
      <c r="H1658" s="85"/>
      <c r="I1658" s="70"/>
    </row>
    <row r="1659" spans="1:9" ht="15" hidden="1" customHeight="1" outlineLevel="1">
      <c r="A1659" s="299"/>
      <c r="B1659" s="98" t="s">
        <v>1469</v>
      </c>
      <c r="C1659" s="227" t="s">
        <v>133</v>
      </c>
      <c r="G1659" s="100">
        <v>400</v>
      </c>
      <c r="H1659" s="85"/>
      <c r="I1659" s="70"/>
    </row>
    <row r="1660" spans="1:9" ht="14.25" hidden="1" customHeight="1" outlineLevel="1">
      <c r="A1660" s="299"/>
      <c r="B1660" s="17" t="s">
        <v>1470</v>
      </c>
      <c r="C1660" s="227" t="s">
        <v>133</v>
      </c>
      <c r="D1660" s="229"/>
      <c r="G1660" s="69">
        <v>100</v>
      </c>
      <c r="H1660" s="85"/>
      <c r="I1660" s="70"/>
    </row>
    <row r="1661" spans="1:9" ht="15" hidden="1" customHeight="1" outlineLevel="1">
      <c r="A1661" s="299"/>
      <c r="B1661" s="17" t="s">
        <v>1471</v>
      </c>
      <c r="C1661" s="227" t="s">
        <v>133</v>
      </c>
      <c r="G1661" s="100">
        <v>100</v>
      </c>
      <c r="H1661" s="85"/>
      <c r="I1661" s="70"/>
    </row>
    <row r="1662" spans="1:9" ht="15" hidden="1" customHeight="1" outlineLevel="1">
      <c r="A1662" s="299"/>
      <c r="B1662" s="98" t="s">
        <v>1472</v>
      </c>
      <c r="C1662" s="99" t="s">
        <v>133</v>
      </c>
      <c r="G1662" s="100">
        <v>400</v>
      </c>
      <c r="H1662" s="85"/>
      <c r="I1662" s="70"/>
    </row>
    <row r="1663" spans="1:9" ht="15" hidden="1" customHeight="1" outlineLevel="1">
      <c r="A1663" s="299"/>
      <c r="B1663" s="98" t="s">
        <v>1473</v>
      </c>
      <c r="C1663" s="99" t="s">
        <v>133</v>
      </c>
      <c r="G1663" s="100">
        <v>400</v>
      </c>
      <c r="H1663" s="85"/>
      <c r="I1663" s="70"/>
    </row>
    <row r="1664" spans="1:9" ht="15" hidden="1" customHeight="1" outlineLevel="1">
      <c r="A1664" s="299"/>
      <c r="B1664" s="98" t="s">
        <v>1474</v>
      </c>
      <c r="C1664" s="99" t="s">
        <v>133</v>
      </c>
      <c r="G1664" s="100">
        <v>400</v>
      </c>
      <c r="H1664" s="85"/>
      <c r="I1664" s="70"/>
    </row>
    <row r="1665" spans="1:9" ht="15" hidden="1" customHeight="1" outlineLevel="1">
      <c r="A1665" s="299"/>
      <c r="B1665" s="98" t="s">
        <v>1475</v>
      </c>
      <c r="C1665" s="99" t="s">
        <v>133</v>
      </c>
      <c r="G1665" s="100">
        <v>200</v>
      </c>
      <c r="H1665" s="85"/>
      <c r="I1665" s="70"/>
    </row>
    <row r="1666" spans="1:9" ht="15" hidden="1" customHeight="1" outlineLevel="1">
      <c r="A1666" s="299"/>
      <c r="B1666" s="98" t="s">
        <v>1476</v>
      </c>
      <c r="C1666" s="99" t="s">
        <v>133</v>
      </c>
      <c r="G1666" s="100">
        <v>200</v>
      </c>
      <c r="H1666" s="85"/>
      <c r="I1666" s="70"/>
    </row>
    <row r="1667" spans="1:9" ht="15" hidden="1" customHeight="1" outlineLevel="1">
      <c r="A1667" s="299"/>
      <c r="B1667" s="98" t="s">
        <v>1477</v>
      </c>
      <c r="C1667" s="99" t="s">
        <v>133</v>
      </c>
      <c r="G1667" s="100">
        <v>200</v>
      </c>
      <c r="H1667" s="85"/>
      <c r="I1667" s="70"/>
    </row>
    <row r="1668" spans="1:9" ht="15" hidden="1" customHeight="1" outlineLevel="1">
      <c r="A1668" s="299"/>
      <c r="B1668" s="98" t="s">
        <v>1478</v>
      </c>
      <c r="C1668" s="99" t="s">
        <v>133</v>
      </c>
      <c r="G1668" s="100">
        <v>200</v>
      </c>
      <c r="H1668" s="85"/>
      <c r="I1668" s="70"/>
    </row>
    <row r="1669" spans="1:9" ht="15" hidden="1" customHeight="1" outlineLevel="1">
      <c r="A1669" s="299"/>
      <c r="B1669" s="98" t="s">
        <v>1479</v>
      </c>
      <c r="C1669" s="99" t="s">
        <v>133</v>
      </c>
      <c r="G1669" s="100">
        <v>80</v>
      </c>
      <c r="H1669" s="85"/>
      <c r="I1669" s="70"/>
    </row>
    <row r="1670" spans="1:9" ht="15" hidden="1" customHeight="1" outlineLevel="1">
      <c r="A1670" s="299"/>
      <c r="B1670" s="98" t="s">
        <v>1480</v>
      </c>
      <c r="C1670" s="99" t="s">
        <v>133</v>
      </c>
      <c r="G1670" s="100">
        <v>80</v>
      </c>
      <c r="H1670" s="85"/>
      <c r="I1670" s="70"/>
    </row>
    <row r="1671" spans="1:9" ht="15" hidden="1" customHeight="1" outlineLevel="1">
      <c r="A1671" s="299"/>
      <c r="B1671" s="98" t="s">
        <v>1481</v>
      </c>
      <c r="C1671" s="99" t="s">
        <v>133</v>
      </c>
      <c r="G1671" s="100">
        <v>200</v>
      </c>
      <c r="H1671" s="85"/>
      <c r="I1671" s="70"/>
    </row>
    <row r="1672" spans="1:9" ht="15" hidden="1" customHeight="1" outlineLevel="1">
      <c r="A1672" s="299"/>
      <c r="B1672" s="275" t="s">
        <v>1482</v>
      </c>
      <c r="C1672" s="99" t="s">
        <v>133</v>
      </c>
      <c r="G1672" s="100">
        <v>200</v>
      </c>
      <c r="H1672" s="85"/>
      <c r="I1672" s="70"/>
    </row>
    <row r="1673" spans="1:9" ht="15" hidden="1" customHeight="1" outlineLevel="1">
      <c r="A1673" s="299"/>
      <c r="B1673" s="275" t="s">
        <v>1483</v>
      </c>
      <c r="C1673" s="99" t="s">
        <v>133</v>
      </c>
      <c r="G1673" s="100">
        <v>100</v>
      </c>
      <c r="H1673" s="85"/>
      <c r="I1673" s="70"/>
    </row>
    <row r="1674" spans="1:9" ht="15" hidden="1" customHeight="1" outlineLevel="1">
      <c r="A1674" s="299"/>
      <c r="B1674" s="275" t="s">
        <v>1484</v>
      </c>
      <c r="C1674" s="99" t="s">
        <v>133</v>
      </c>
      <c r="G1674" s="100">
        <v>100</v>
      </c>
      <c r="H1674" s="85"/>
      <c r="I1674" s="70"/>
    </row>
    <row r="1675" spans="1:9" ht="15" hidden="1" customHeight="1" outlineLevel="1">
      <c r="A1675" s="299"/>
      <c r="G1675" s="69"/>
      <c r="H1675" s="85"/>
      <c r="I1675" s="70"/>
    </row>
    <row r="1676" spans="1:9" ht="15" hidden="1" customHeight="1" outlineLevel="1">
      <c r="A1676" s="17" t="s">
        <v>1485</v>
      </c>
      <c r="B1676" s="302" t="s">
        <v>1486</v>
      </c>
      <c r="C1676" s="99" t="s">
        <v>135</v>
      </c>
      <c r="G1676" s="100">
        <v>3500</v>
      </c>
      <c r="H1676" s="85"/>
      <c r="I1676" s="70"/>
    </row>
    <row r="1677" spans="1:9" ht="15" hidden="1" customHeight="1" outlineLevel="1">
      <c r="A1677" s="299"/>
      <c r="B1677" s="303" t="s">
        <v>1487</v>
      </c>
      <c r="C1677" s="99" t="s">
        <v>135</v>
      </c>
      <c r="G1677" s="100">
        <v>3500</v>
      </c>
      <c r="I1677" s="70"/>
    </row>
    <row r="1678" spans="1:9" ht="15" hidden="1" customHeight="1" outlineLevel="1">
      <c r="A1678" s="299"/>
      <c r="B1678" s="286" t="s">
        <v>1488</v>
      </c>
      <c r="C1678" s="99" t="s">
        <v>133</v>
      </c>
      <c r="G1678" s="100">
        <v>500</v>
      </c>
      <c r="I1678" s="70"/>
    </row>
    <row r="1679" spans="1:9" ht="15" hidden="1" customHeight="1" outlineLevel="1">
      <c r="A1679" s="299"/>
      <c r="B1679" s="302" t="s">
        <v>1489</v>
      </c>
      <c r="C1679" s="99"/>
      <c r="G1679" s="100">
        <v>3500</v>
      </c>
      <c r="H1679" s="304"/>
      <c r="I1679" s="70"/>
    </row>
    <row r="1680" spans="1:9" ht="15" hidden="1" customHeight="1" outlineLevel="1">
      <c r="A1680" s="299"/>
      <c r="B1680" s="303" t="s">
        <v>1490</v>
      </c>
      <c r="C1680" s="99"/>
      <c r="G1680" s="100">
        <v>3500</v>
      </c>
      <c r="H1680" s="304"/>
      <c r="I1680" s="70"/>
    </row>
    <row r="1681" spans="1:9" ht="15" hidden="1" customHeight="1" outlineLevel="1">
      <c r="A1681" s="299"/>
      <c r="B1681" s="286" t="s">
        <v>1491</v>
      </c>
      <c r="C1681" s="99"/>
      <c r="G1681" s="100">
        <v>450</v>
      </c>
      <c r="H1681" s="304"/>
      <c r="I1681" s="70"/>
    </row>
    <row r="1682" spans="1:9" ht="15" hidden="1" customHeight="1" outlineLevel="1">
      <c r="A1682" s="299"/>
      <c r="B1682" s="98" t="s">
        <v>1492</v>
      </c>
      <c r="C1682" s="99" t="s">
        <v>135</v>
      </c>
      <c r="G1682" s="100">
        <v>3500</v>
      </c>
      <c r="H1682" s="304"/>
      <c r="I1682" s="70"/>
    </row>
    <row r="1683" spans="1:9" ht="15" hidden="1" customHeight="1" outlineLevel="1">
      <c r="A1683" s="299"/>
      <c r="B1683" s="98" t="s">
        <v>1493</v>
      </c>
      <c r="C1683" s="99" t="s">
        <v>133</v>
      </c>
      <c r="G1683" s="100">
        <v>550</v>
      </c>
      <c r="H1683" s="304"/>
      <c r="I1683" s="70"/>
    </row>
    <row r="1684" spans="1:9" ht="15" hidden="1" customHeight="1" outlineLevel="1">
      <c r="A1684" s="299"/>
      <c r="B1684" s="286" t="s">
        <v>1494</v>
      </c>
      <c r="C1684" s="99" t="s">
        <v>156</v>
      </c>
      <c r="G1684" s="100">
        <v>500</v>
      </c>
      <c r="I1684" s="70"/>
    </row>
    <row r="1685" spans="1:9" ht="15" hidden="1" customHeight="1" outlineLevel="1">
      <c r="A1685" s="299"/>
      <c r="B1685" s="286" t="s">
        <v>1495</v>
      </c>
      <c r="C1685" s="99" t="s">
        <v>135</v>
      </c>
      <c r="G1685" s="100">
        <v>1500</v>
      </c>
      <c r="H1685" s="85"/>
      <c r="I1685" s="70"/>
    </row>
    <row r="1686" spans="1:9" ht="15" hidden="1" customHeight="1" outlineLevel="1">
      <c r="A1686" s="299"/>
      <c r="B1686" s="286" t="s">
        <v>1496</v>
      </c>
      <c r="C1686" s="99" t="s">
        <v>156</v>
      </c>
      <c r="G1686" s="100">
        <v>70</v>
      </c>
      <c r="H1686" s="85"/>
      <c r="I1686" s="70"/>
    </row>
    <row r="1687" spans="1:9" ht="15" hidden="1" customHeight="1" outlineLevel="1">
      <c r="A1687" s="299"/>
      <c r="B1687" s="286" t="s">
        <v>1497</v>
      </c>
      <c r="C1687" s="99" t="s">
        <v>156</v>
      </c>
      <c r="G1687" s="100">
        <v>300</v>
      </c>
      <c r="H1687" s="85"/>
      <c r="I1687" s="70"/>
    </row>
    <row r="1688" spans="1:9" ht="15" hidden="1" customHeight="1" outlineLevel="1">
      <c r="A1688" s="299"/>
      <c r="B1688" s="286" t="s">
        <v>1498</v>
      </c>
      <c r="C1688" s="99" t="s">
        <v>156</v>
      </c>
      <c r="G1688" s="100">
        <v>500</v>
      </c>
      <c r="H1688" s="85"/>
      <c r="I1688" s="70"/>
    </row>
    <row r="1689" spans="1:9" ht="15" hidden="1" customHeight="1" outlineLevel="1">
      <c r="A1689" s="299"/>
      <c r="B1689" s="302" t="s">
        <v>1499</v>
      </c>
      <c r="C1689" s="99" t="s">
        <v>156</v>
      </c>
      <c r="G1689" s="100">
        <v>700</v>
      </c>
      <c r="H1689" s="85"/>
      <c r="I1689" s="70"/>
    </row>
    <row r="1690" spans="1:9" ht="15" hidden="1" customHeight="1" outlineLevel="1">
      <c r="A1690" s="299"/>
      <c r="B1690" s="302" t="s">
        <v>1500</v>
      </c>
      <c r="C1690" s="99" t="s">
        <v>133</v>
      </c>
      <c r="G1690" s="100">
        <v>350</v>
      </c>
      <c r="H1690" s="85"/>
      <c r="I1690" s="70"/>
    </row>
    <row r="1691" spans="1:9" ht="15" hidden="1" customHeight="1" outlineLevel="1">
      <c r="A1691" s="299"/>
      <c r="H1691" s="85"/>
      <c r="I1691" s="70"/>
    </row>
    <row r="1692" spans="1:9" ht="15" hidden="1" customHeight="1" outlineLevel="1">
      <c r="A1692" s="299"/>
      <c r="H1692" s="85"/>
      <c r="I1692" s="70"/>
    </row>
    <row r="1693" spans="1:9" ht="15" hidden="1" customHeight="1" outlineLevel="1">
      <c r="A1693" s="17" t="s">
        <v>1501</v>
      </c>
      <c r="B1693" s="98" t="s">
        <v>1502</v>
      </c>
      <c r="C1693" s="99" t="s">
        <v>135</v>
      </c>
      <c r="G1693" s="100">
        <v>4000</v>
      </c>
      <c r="H1693" s="85"/>
      <c r="I1693" s="70"/>
    </row>
    <row r="1694" spans="1:9" ht="15" hidden="1" customHeight="1" outlineLevel="1">
      <c r="A1694" s="299"/>
      <c r="B1694" s="98" t="s">
        <v>1503</v>
      </c>
      <c r="C1694" s="99" t="s">
        <v>133</v>
      </c>
      <c r="G1694" s="100">
        <v>200</v>
      </c>
      <c r="H1694" s="85"/>
      <c r="I1694" s="70"/>
    </row>
    <row r="1695" spans="1:9" ht="15" hidden="1" customHeight="1" outlineLevel="1">
      <c r="A1695" s="299"/>
      <c r="B1695" s="98" t="s">
        <v>1504</v>
      </c>
      <c r="C1695" s="99" t="s">
        <v>156</v>
      </c>
      <c r="G1695" s="100">
        <v>150</v>
      </c>
      <c r="H1695" s="85"/>
      <c r="I1695" s="70"/>
    </row>
    <row r="1696" spans="1:9" ht="15" hidden="1" customHeight="1" outlineLevel="1">
      <c r="A1696" s="299"/>
      <c r="B1696" s="98" t="s">
        <v>1505</v>
      </c>
      <c r="C1696" s="305" t="s">
        <v>135</v>
      </c>
      <c r="G1696" s="100">
        <v>6000</v>
      </c>
      <c r="H1696" s="85"/>
      <c r="I1696" s="70"/>
    </row>
    <row r="1697" spans="1:9" ht="15" hidden="1" customHeight="1" outlineLevel="1">
      <c r="A1697" s="299"/>
      <c r="B1697" s="98" t="s">
        <v>1506</v>
      </c>
      <c r="C1697" s="305" t="s">
        <v>135</v>
      </c>
      <c r="G1697" s="100">
        <v>6000</v>
      </c>
      <c r="H1697" s="85"/>
      <c r="I1697" s="70"/>
    </row>
    <row r="1698" spans="1:9" ht="15" hidden="1" customHeight="1" outlineLevel="1">
      <c r="A1698" s="299"/>
      <c r="B1698" s="98" t="s">
        <v>1507</v>
      </c>
      <c r="C1698" s="305" t="s">
        <v>135</v>
      </c>
      <c r="G1698" s="100">
        <v>6000</v>
      </c>
      <c r="H1698" s="85"/>
      <c r="I1698" s="70"/>
    </row>
    <row r="1699" spans="1:9" ht="15" hidden="1" customHeight="1" outlineLevel="1">
      <c r="A1699" s="299"/>
      <c r="B1699" s="98" t="s">
        <v>1508</v>
      </c>
      <c r="C1699" s="305" t="s">
        <v>135</v>
      </c>
      <c r="G1699" s="100">
        <v>6000</v>
      </c>
      <c r="H1699" s="85"/>
      <c r="I1699" s="70"/>
    </row>
    <row r="1700" spans="1:9" ht="15" hidden="1" customHeight="1" outlineLevel="1">
      <c r="A1700" s="299"/>
      <c r="B1700" s="98" t="s">
        <v>1509</v>
      </c>
      <c r="C1700" s="305" t="s">
        <v>156</v>
      </c>
      <c r="G1700" s="100">
        <v>250</v>
      </c>
      <c r="H1700" s="85"/>
      <c r="I1700" s="70"/>
    </row>
    <row r="1701" spans="1:9" ht="15" hidden="1" customHeight="1" outlineLevel="1">
      <c r="A1701" s="299"/>
      <c r="B1701" s="98" t="s">
        <v>1510</v>
      </c>
      <c r="C1701" s="305" t="s">
        <v>156</v>
      </c>
      <c r="G1701" s="100">
        <v>300</v>
      </c>
      <c r="H1701" s="85"/>
      <c r="I1701" s="70"/>
    </row>
    <row r="1702" spans="1:9" ht="15" hidden="1" customHeight="1" outlineLevel="1">
      <c r="A1702" s="299"/>
      <c r="B1702" s="98" t="s">
        <v>1511</v>
      </c>
      <c r="C1702" s="305" t="s">
        <v>135</v>
      </c>
      <c r="G1702" s="100">
        <v>300</v>
      </c>
      <c r="H1702" s="85"/>
      <c r="I1702" s="70"/>
    </row>
    <row r="1703" spans="1:9" ht="15" hidden="1" customHeight="1" outlineLevel="1">
      <c r="A1703" s="299"/>
      <c r="B1703" s="98" t="s">
        <v>1512</v>
      </c>
      <c r="C1703" s="305" t="s">
        <v>133</v>
      </c>
      <c r="G1703" s="100">
        <v>100</v>
      </c>
      <c r="H1703" s="85"/>
      <c r="I1703" s="70"/>
    </row>
    <row r="1704" spans="1:9" ht="15" hidden="1" customHeight="1" outlineLevel="1">
      <c r="A1704" s="299"/>
      <c r="B1704" s="98" t="s">
        <v>1513</v>
      </c>
      <c r="C1704" s="305" t="s">
        <v>133</v>
      </c>
      <c r="G1704" s="100">
        <v>100</v>
      </c>
      <c r="H1704" s="85"/>
      <c r="I1704" s="70"/>
    </row>
    <row r="1705" spans="1:9" ht="15" hidden="1" customHeight="1" outlineLevel="1">
      <c r="A1705" s="299"/>
      <c r="B1705" s="98" t="s">
        <v>1514</v>
      </c>
      <c r="C1705" s="305" t="s">
        <v>133</v>
      </c>
      <c r="G1705" s="100">
        <v>250</v>
      </c>
      <c r="H1705" s="85"/>
      <c r="I1705" s="70"/>
    </row>
    <row r="1706" spans="1:9" ht="15" hidden="1" customHeight="1" outlineLevel="1">
      <c r="A1706" s="17" t="s">
        <v>1515</v>
      </c>
      <c r="B1706" s="98" t="s">
        <v>1516</v>
      </c>
      <c r="C1706" s="99" t="s">
        <v>159</v>
      </c>
      <c r="G1706" s="100">
        <v>1000</v>
      </c>
      <c r="H1706" s="85"/>
      <c r="I1706" s="70"/>
    </row>
    <row r="1707" spans="1:9" ht="15" hidden="1" customHeight="1" outlineLevel="1">
      <c r="A1707" s="299"/>
      <c r="B1707" s="98" t="s">
        <v>1517</v>
      </c>
      <c r="C1707" s="99" t="s">
        <v>159</v>
      </c>
      <c r="G1707" s="100">
        <v>400</v>
      </c>
      <c r="H1707" s="85"/>
      <c r="I1707" s="70"/>
    </row>
    <row r="1708" spans="1:9" ht="15" hidden="1" customHeight="1" outlineLevel="1">
      <c r="A1708" s="299"/>
      <c r="B1708" s="98" t="s">
        <v>1518</v>
      </c>
      <c r="C1708" s="99" t="s">
        <v>159</v>
      </c>
      <c r="G1708" s="100">
        <v>150</v>
      </c>
      <c r="H1708" s="85"/>
      <c r="I1708" s="70"/>
    </row>
    <row r="1709" spans="1:9" ht="15" hidden="1" customHeight="1" outlineLevel="1">
      <c r="A1709" s="299"/>
      <c r="B1709" s="98" t="s">
        <v>1519</v>
      </c>
      <c r="C1709" s="99" t="s">
        <v>159</v>
      </c>
      <c r="G1709" s="100">
        <v>50</v>
      </c>
      <c r="H1709" s="85"/>
      <c r="I1709" s="70"/>
    </row>
    <row r="1710" spans="1:9" ht="15" hidden="1" customHeight="1" outlineLevel="1">
      <c r="A1710" s="299"/>
      <c r="B1710" s="98" t="s">
        <v>1520</v>
      </c>
      <c r="C1710" s="99" t="s">
        <v>159</v>
      </c>
      <c r="G1710" s="100">
        <v>50</v>
      </c>
      <c r="H1710" s="85"/>
      <c r="I1710" s="70"/>
    </row>
    <row r="1711" spans="1:9" ht="15" hidden="1" customHeight="1" outlineLevel="1">
      <c r="A1711" s="299"/>
      <c r="B1711" s="98" t="s">
        <v>1521</v>
      </c>
      <c r="C1711" s="99" t="s">
        <v>159</v>
      </c>
      <c r="G1711" s="100">
        <v>150</v>
      </c>
      <c r="H1711" s="85"/>
      <c r="I1711" s="70"/>
    </row>
    <row r="1712" spans="1:9" ht="15" hidden="1" customHeight="1" outlineLevel="1">
      <c r="A1712" s="299"/>
      <c r="B1712" s="98" t="s">
        <v>1522</v>
      </c>
      <c r="C1712" s="99" t="s">
        <v>159</v>
      </c>
      <c r="G1712" s="100">
        <v>250</v>
      </c>
      <c r="H1712" s="85"/>
      <c r="I1712" s="70"/>
    </row>
    <row r="1713" spans="1:9" ht="15" hidden="1" customHeight="1" outlineLevel="1">
      <c r="A1713" s="299"/>
      <c r="B1713" s="98" t="s">
        <v>1523</v>
      </c>
      <c r="C1713" s="99" t="s">
        <v>159</v>
      </c>
      <c r="G1713" s="100">
        <v>50</v>
      </c>
      <c r="H1713" s="85"/>
      <c r="I1713" s="70"/>
    </row>
    <row r="1714" spans="1:9" ht="15" hidden="1" customHeight="1" outlineLevel="1">
      <c r="A1714" s="299"/>
      <c r="B1714" s="98" t="s">
        <v>1524</v>
      </c>
      <c r="C1714" s="99" t="s">
        <v>159</v>
      </c>
      <c r="G1714" s="100">
        <v>50</v>
      </c>
      <c r="H1714" s="85"/>
      <c r="I1714" s="70"/>
    </row>
    <row r="1715" spans="1:9" ht="15" hidden="1" customHeight="1" outlineLevel="1">
      <c r="A1715" s="299"/>
      <c r="B1715" s="98" t="s">
        <v>1525</v>
      </c>
      <c r="C1715" s="99" t="s">
        <v>156</v>
      </c>
      <c r="G1715" s="100">
        <v>50</v>
      </c>
      <c r="H1715" s="85"/>
      <c r="I1715" s="70"/>
    </row>
    <row r="1716" spans="1:9" ht="15" hidden="1" customHeight="1" outlineLevel="1">
      <c r="A1716" s="299"/>
      <c r="B1716" s="98" t="s">
        <v>1526</v>
      </c>
      <c r="C1716" s="99" t="s">
        <v>156</v>
      </c>
      <c r="G1716" s="100">
        <v>50</v>
      </c>
      <c r="H1716" s="85"/>
      <c r="I1716" s="70"/>
    </row>
    <row r="1717" spans="1:9" ht="15" hidden="1" customHeight="1" outlineLevel="1">
      <c r="A1717" s="299"/>
      <c r="B1717" s="98" t="str">
        <f>B1327</f>
        <v>Двери входные</v>
      </c>
      <c r="C1717" s="99" t="s">
        <v>159</v>
      </c>
      <c r="G1717" s="100">
        <v>2000</v>
      </c>
      <c r="H1717" s="85"/>
      <c r="I1717" s="70"/>
    </row>
    <row r="1718" spans="1:9" ht="15" hidden="1" customHeight="1" outlineLevel="1">
      <c r="A1718" s="299"/>
      <c r="B1718" s="98" t="str">
        <f>B1328</f>
        <v>двери в котельную</v>
      </c>
      <c r="C1718" s="99" t="s">
        <v>159</v>
      </c>
      <c r="G1718" s="100">
        <v>2000</v>
      </c>
      <c r="H1718" s="85"/>
      <c r="I1718" s="70"/>
    </row>
    <row r="1719" spans="1:9" ht="15" hidden="1" customHeight="1" outlineLevel="1">
      <c r="A1719" s="299"/>
      <c r="B1719" s="98" t="s">
        <v>1527</v>
      </c>
      <c r="C1719" s="99" t="s">
        <v>159</v>
      </c>
      <c r="G1719" s="100">
        <v>4500</v>
      </c>
      <c r="H1719" s="85"/>
      <c r="I1719" s="70"/>
    </row>
    <row r="1720" spans="1:9" ht="15" hidden="1" customHeight="1" outlineLevel="1">
      <c r="A1720" s="299"/>
      <c r="B1720" s="98" t="s">
        <v>1528</v>
      </c>
      <c r="C1720" s="99" t="s">
        <v>156</v>
      </c>
      <c r="G1720" s="100">
        <v>80</v>
      </c>
      <c r="H1720" s="85"/>
      <c r="I1720" s="70"/>
    </row>
    <row r="1721" spans="1:9" ht="15" hidden="1" customHeight="1" outlineLevel="1">
      <c r="A1721" s="17" t="s">
        <v>1529</v>
      </c>
      <c r="B1721" s="145" t="s">
        <v>1530</v>
      </c>
      <c r="C1721" s="126" t="s">
        <v>208</v>
      </c>
      <c r="G1721" s="69"/>
      <c r="H1721" s="85"/>
      <c r="I1721" s="70"/>
    </row>
    <row r="1722" spans="1:9" ht="15" hidden="1" customHeight="1" outlineLevel="1">
      <c r="A1722" s="299"/>
      <c r="B1722" s="279" t="s">
        <v>1223</v>
      </c>
      <c r="C1722" s="126" t="s">
        <v>159</v>
      </c>
      <c r="G1722" s="69">
        <v>3500</v>
      </c>
      <c r="H1722" s="85"/>
      <c r="I1722" s="70"/>
    </row>
    <row r="1723" spans="1:9" ht="15" hidden="1" customHeight="1" outlineLevel="1">
      <c r="A1723" s="299"/>
      <c r="B1723" s="279" t="s">
        <v>1224</v>
      </c>
      <c r="C1723" s="126" t="s">
        <v>159</v>
      </c>
      <c r="G1723" s="69">
        <v>3500</v>
      </c>
      <c r="H1723" s="85"/>
      <c r="I1723" s="70"/>
    </row>
    <row r="1724" spans="1:9" ht="15" hidden="1" customHeight="1" outlineLevel="1">
      <c r="A1724" s="299"/>
      <c r="B1724" s="279" t="s">
        <v>1225</v>
      </c>
      <c r="C1724" s="126" t="s">
        <v>159</v>
      </c>
      <c r="G1724" s="69">
        <v>3700</v>
      </c>
      <c r="H1724" s="85"/>
      <c r="I1724" s="70"/>
    </row>
    <row r="1725" spans="1:9" ht="15" hidden="1" customHeight="1" outlineLevel="1">
      <c r="A1725" s="299"/>
      <c r="B1725" s="279" t="s">
        <v>1226</v>
      </c>
      <c r="C1725" s="126" t="s">
        <v>159</v>
      </c>
      <c r="G1725" s="69">
        <v>3800</v>
      </c>
      <c r="H1725" s="85"/>
      <c r="I1725" s="70"/>
    </row>
    <row r="1726" spans="1:9" ht="15" hidden="1" customHeight="1" outlineLevel="1">
      <c r="A1726" s="299"/>
      <c r="B1726" s="279" t="s">
        <v>1227</v>
      </c>
      <c r="C1726" s="126" t="s">
        <v>159</v>
      </c>
      <c r="G1726" s="69">
        <v>3700</v>
      </c>
      <c r="H1726" s="85"/>
      <c r="I1726" s="70"/>
    </row>
    <row r="1727" spans="1:9" ht="15" hidden="1" customHeight="1" outlineLevel="1">
      <c r="A1727" s="299"/>
      <c r="B1727" s="279" t="s">
        <v>1228</v>
      </c>
      <c r="C1727" s="126" t="s">
        <v>159</v>
      </c>
      <c r="G1727" s="69">
        <v>3900</v>
      </c>
      <c r="H1727" s="85"/>
      <c r="I1727" s="70"/>
    </row>
    <row r="1728" spans="1:9" ht="15" hidden="1" customHeight="1" outlineLevel="1">
      <c r="A1728" s="299"/>
      <c r="B1728" s="279" t="s">
        <v>1229</v>
      </c>
      <c r="C1728" s="126" t="s">
        <v>159</v>
      </c>
      <c r="G1728" s="69">
        <v>4000</v>
      </c>
      <c r="H1728" s="85"/>
      <c r="I1728" s="70"/>
    </row>
    <row r="1729" spans="1:9" ht="15" hidden="1" customHeight="1" outlineLevel="1">
      <c r="A1729" s="299"/>
      <c r="B1729" s="279" t="s">
        <v>1230</v>
      </c>
      <c r="C1729" s="126" t="s">
        <v>159</v>
      </c>
      <c r="G1729" s="69">
        <v>4200</v>
      </c>
      <c r="H1729" s="85"/>
      <c r="I1729" s="70"/>
    </row>
    <row r="1730" spans="1:9" ht="15" hidden="1" customHeight="1" outlineLevel="1">
      <c r="A1730" s="299"/>
      <c r="B1730" s="279" t="s">
        <v>1231</v>
      </c>
      <c r="C1730" s="126" t="s">
        <v>159</v>
      </c>
      <c r="G1730" s="69">
        <v>4000</v>
      </c>
      <c r="H1730" s="85"/>
      <c r="I1730" s="70"/>
    </row>
    <row r="1731" spans="1:9" ht="15" hidden="1" customHeight="1" outlineLevel="1">
      <c r="A1731" s="299"/>
      <c r="B1731" s="279" t="s">
        <v>1232</v>
      </c>
      <c r="C1731" s="126" t="s">
        <v>159</v>
      </c>
      <c r="G1731" s="69">
        <v>4400</v>
      </c>
      <c r="H1731" s="85"/>
      <c r="I1731" s="70"/>
    </row>
    <row r="1732" spans="1:9" ht="15" hidden="1" customHeight="1" outlineLevel="1">
      <c r="A1732" s="299"/>
      <c r="B1732" s="279" t="s">
        <v>1233</v>
      </c>
      <c r="C1732" s="126" t="s">
        <v>159</v>
      </c>
      <c r="G1732" s="69">
        <v>4700</v>
      </c>
      <c r="H1732" s="85"/>
      <c r="I1732" s="70"/>
    </row>
    <row r="1733" spans="1:9" ht="15" hidden="1" customHeight="1" outlineLevel="1">
      <c r="A1733" s="299"/>
      <c r="B1733" s="279" t="s">
        <v>1234</v>
      </c>
      <c r="C1733" s="126" t="s">
        <v>159</v>
      </c>
      <c r="G1733" s="69">
        <v>5000</v>
      </c>
      <c r="H1733" s="85"/>
      <c r="I1733" s="70"/>
    </row>
    <row r="1734" spans="1:9" ht="15" hidden="1" customHeight="1" outlineLevel="1">
      <c r="A1734" s="299"/>
      <c r="B1734" s="98"/>
      <c r="C1734" s="99"/>
      <c r="G1734" s="100"/>
      <c r="H1734" s="85"/>
      <c r="I1734" s="70"/>
    </row>
    <row r="1735" spans="1:9" ht="15" hidden="1" customHeight="1" outlineLevel="1">
      <c r="A1735" s="17" t="s">
        <v>1531</v>
      </c>
      <c r="B1735" s="98" t="s">
        <v>1532</v>
      </c>
      <c r="C1735" s="99" t="s">
        <v>156</v>
      </c>
      <c r="G1735" s="100">
        <v>250</v>
      </c>
      <c r="H1735" s="85"/>
      <c r="I1735" s="70"/>
    </row>
    <row r="1736" spans="1:9" ht="15" hidden="1" customHeight="1" outlineLevel="1">
      <c r="A1736" s="299"/>
      <c r="B1736" s="98" t="s">
        <v>1533</v>
      </c>
      <c r="C1736" s="99" t="s">
        <v>133</v>
      </c>
      <c r="G1736" s="100">
        <v>450</v>
      </c>
      <c r="H1736" s="85"/>
      <c r="I1736" s="70"/>
    </row>
    <row r="1737" spans="1:9" ht="15" hidden="1" customHeight="1" outlineLevel="1">
      <c r="A1737" s="299"/>
      <c r="B1737" s="98" t="s">
        <v>1534</v>
      </c>
      <c r="C1737" s="99" t="s">
        <v>133</v>
      </c>
      <c r="G1737" s="100">
        <v>100</v>
      </c>
      <c r="H1737" s="85"/>
      <c r="I1737" s="70"/>
    </row>
    <row r="1738" spans="1:9" ht="15" hidden="1" customHeight="1" outlineLevel="1">
      <c r="A1738" s="299"/>
      <c r="B1738" s="98" t="s">
        <v>1535</v>
      </c>
      <c r="C1738" s="99" t="s">
        <v>133</v>
      </c>
      <c r="G1738" s="100">
        <v>100</v>
      </c>
      <c r="H1738" s="85"/>
      <c r="I1738" s="70"/>
    </row>
    <row r="1739" spans="1:9" ht="15" hidden="1" customHeight="1" outlineLevel="1">
      <c r="A1739" s="299"/>
      <c r="B1739" s="98" t="s">
        <v>1536</v>
      </c>
      <c r="C1739" s="99" t="s">
        <v>133</v>
      </c>
      <c r="G1739" s="100">
        <v>100</v>
      </c>
      <c r="H1739" s="85"/>
      <c r="I1739" s="70"/>
    </row>
    <row r="1740" spans="1:9" ht="15" hidden="1" customHeight="1" outlineLevel="1">
      <c r="A1740" s="299"/>
      <c r="B1740" s="98" t="s">
        <v>1537</v>
      </c>
      <c r="C1740" s="99" t="s">
        <v>133</v>
      </c>
      <c r="G1740" s="100">
        <v>100</v>
      </c>
      <c r="H1740" s="85"/>
      <c r="I1740" s="70"/>
    </row>
    <row r="1741" spans="1:9" ht="15" hidden="1" customHeight="1" outlineLevel="1">
      <c r="A1741" s="299"/>
      <c r="B1741" s="98" t="s">
        <v>1538</v>
      </c>
      <c r="C1741" s="99" t="s">
        <v>133</v>
      </c>
      <c r="G1741" s="100">
        <v>200</v>
      </c>
      <c r="H1741" s="85"/>
      <c r="I1741" s="70"/>
    </row>
    <row r="1742" spans="1:9" ht="15" hidden="1" customHeight="1" outlineLevel="1">
      <c r="A1742" s="299"/>
      <c r="B1742" s="98" t="s">
        <v>1539</v>
      </c>
      <c r="C1742" s="99" t="s">
        <v>133</v>
      </c>
      <c r="G1742" s="100">
        <v>300</v>
      </c>
      <c r="H1742" s="85"/>
      <c r="I1742" s="70"/>
    </row>
    <row r="1743" spans="1:9" ht="15" hidden="1" customHeight="1" outlineLevel="1">
      <c r="A1743" s="299"/>
      <c r="B1743" s="98" t="s">
        <v>1540</v>
      </c>
      <c r="C1743" s="99" t="s">
        <v>133</v>
      </c>
      <c r="G1743" s="100">
        <v>300</v>
      </c>
      <c r="H1743" s="85"/>
      <c r="I1743" s="70"/>
    </row>
    <row r="1744" spans="1:9" ht="15" hidden="1" customHeight="1" outlineLevel="1">
      <c r="A1744" s="299"/>
      <c r="B1744" s="98" t="s">
        <v>1541</v>
      </c>
      <c r="C1744" s="99" t="s">
        <v>133</v>
      </c>
      <c r="G1744" s="100">
        <v>100</v>
      </c>
      <c r="H1744" s="85"/>
      <c r="I1744" s="70"/>
    </row>
    <row r="1745" spans="1:9" ht="15" hidden="1" customHeight="1" outlineLevel="1">
      <c r="A1745" s="299"/>
      <c r="B1745" s="98" t="s">
        <v>1542</v>
      </c>
      <c r="C1745" s="99" t="s">
        <v>133</v>
      </c>
      <c r="G1745" s="100">
        <v>100</v>
      </c>
      <c r="H1745" s="85"/>
      <c r="I1745" s="70"/>
    </row>
    <row r="1746" spans="1:9" ht="15" hidden="1" customHeight="1" outlineLevel="1">
      <c r="A1746" s="299"/>
      <c r="B1746" s="98" t="s">
        <v>1543</v>
      </c>
      <c r="C1746" s="99" t="s">
        <v>156</v>
      </c>
      <c r="G1746" s="100">
        <v>150</v>
      </c>
      <c r="H1746" s="85"/>
      <c r="I1746" s="70"/>
    </row>
    <row r="1747" spans="1:9" ht="15" hidden="1" customHeight="1" outlineLevel="1">
      <c r="A1747" s="299"/>
      <c r="B1747" s="98" t="s">
        <v>1544</v>
      </c>
      <c r="C1747" s="99" t="s">
        <v>156</v>
      </c>
      <c r="G1747" s="100">
        <v>300</v>
      </c>
      <c r="H1747" s="85"/>
      <c r="I1747" s="70"/>
    </row>
    <row r="1748" spans="1:9" ht="15" hidden="1" customHeight="1" outlineLevel="1">
      <c r="A1748" s="299"/>
      <c r="B1748" s="98" t="s">
        <v>1082</v>
      </c>
      <c r="C1748" s="99" t="s">
        <v>156</v>
      </c>
      <c r="G1748" s="100">
        <v>300</v>
      </c>
      <c r="H1748" s="85"/>
      <c r="I1748" s="70"/>
    </row>
    <row r="1749" spans="1:9" ht="15" hidden="1" customHeight="1" outlineLevel="1">
      <c r="A1749" s="299"/>
      <c r="B1749" s="98" t="s">
        <v>1545</v>
      </c>
      <c r="C1749" s="99" t="s">
        <v>156</v>
      </c>
      <c r="G1749" s="100">
        <v>300</v>
      </c>
      <c r="H1749" s="85"/>
      <c r="I1749" s="70"/>
    </row>
    <row r="1750" spans="1:9" ht="15" hidden="1" customHeight="1" outlineLevel="1">
      <c r="A1750" s="299"/>
      <c r="B1750" s="306" t="s">
        <v>1546</v>
      </c>
      <c r="C1750" s="290" t="s">
        <v>156</v>
      </c>
      <c r="G1750" s="100">
        <v>300</v>
      </c>
      <c r="H1750" s="85"/>
      <c r="I1750" s="70"/>
    </row>
    <row r="1751" spans="1:9" ht="15" hidden="1" customHeight="1" outlineLevel="1">
      <c r="A1751" s="299"/>
      <c r="B1751" s="98" t="s">
        <v>1547</v>
      </c>
      <c r="C1751" s="99" t="s">
        <v>133</v>
      </c>
      <c r="D1751" s="229"/>
      <c r="G1751" s="69">
        <v>200</v>
      </c>
      <c r="H1751" s="85"/>
      <c r="I1751" s="70"/>
    </row>
    <row r="1752" spans="1:9" ht="15" hidden="1" customHeight="1" outlineLevel="1">
      <c r="A1752" s="299"/>
      <c r="B1752" s="98" t="s">
        <v>1548</v>
      </c>
      <c r="C1752" s="99" t="s">
        <v>133</v>
      </c>
      <c r="D1752" s="229"/>
      <c r="G1752" s="69">
        <v>150</v>
      </c>
      <c r="H1752" s="85"/>
      <c r="I1752" s="70"/>
    </row>
    <row r="1753" spans="1:9" ht="15" hidden="1" customHeight="1" outlineLevel="1">
      <c r="A1753" s="299"/>
      <c r="B1753" s="98" t="s">
        <v>1549</v>
      </c>
      <c r="C1753" s="99" t="s">
        <v>133</v>
      </c>
      <c r="D1753" s="229"/>
      <c r="G1753" s="69">
        <v>350</v>
      </c>
      <c r="H1753" s="85"/>
      <c r="I1753" s="70"/>
    </row>
    <row r="1754" spans="1:9" ht="15" hidden="1" customHeight="1" outlineLevel="1">
      <c r="A1754" s="299"/>
      <c r="B1754" s="98" t="s">
        <v>1550</v>
      </c>
      <c r="C1754" s="99" t="s">
        <v>156</v>
      </c>
      <c r="D1754" s="229"/>
      <c r="G1754" s="69">
        <v>200</v>
      </c>
      <c r="H1754" s="85"/>
      <c r="I1754" s="70"/>
    </row>
    <row r="1755" spans="1:9" ht="15" hidden="1" customHeight="1" outlineLevel="1">
      <c r="A1755" s="299"/>
      <c r="B1755" s="98"/>
      <c r="C1755" s="99"/>
      <c r="D1755" s="229"/>
      <c r="G1755" s="69"/>
      <c r="H1755" s="85"/>
      <c r="I1755" s="70"/>
    </row>
    <row r="1756" spans="1:9" ht="15" hidden="1" customHeight="1" outlineLevel="1">
      <c r="A1756" s="299"/>
      <c r="B1756" s="98"/>
      <c r="C1756" s="99"/>
      <c r="D1756" s="229"/>
      <c r="G1756" s="69"/>
      <c r="H1756" s="85"/>
      <c r="I1756" s="70"/>
    </row>
    <row r="1757" spans="1:9" ht="15" hidden="1" customHeight="1" outlineLevel="1">
      <c r="A1757" s="299"/>
      <c r="B1757" s="98"/>
      <c r="C1757" s="99"/>
      <c r="D1757" s="229"/>
      <c r="G1757" s="69"/>
      <c r="H1757" s="85"/>
      <c r="I1757" s="70"/>
    </row>
    <row r="1758" spans="1:9" ht="15" hidden="1" customHeight="1" outlineLevel="1">
      <c r="A1758" s="299"/>
      <c r="B1758" s="98"/>
      <c r="C1758" s="99"/>
      <c r="D1758" s="229"/>
      <c r="G1758" s="69"/>
      <c r="H1758" s="85"/>
      <c r="I1758" s="70"/>
    </row>
    <row r="1759" spans="1:9" ht="15" hidden="1" customHeight="1" outlineLevel="1">
      <c r="A1759" s="17" t="s">
        <v>1551</v>
      </c>
      <c r="B1759" s="99" t="s">
        <v>1552</v>
      </c>
      <c r="C1759" s="99"/>
      <c r="D1759" s="229"/>
      <c r="G1759" s="69"/>
      <c r="H1759" s="85"/>
      <c r="I1759" s="70"/>
    </row>
    <row r="1760" spans="1:9" ht="15" hidden="1" customHeight="1" outlineLevel="1">
      <c r="A1760" s="299"/>
      <c r="B1760" s="275" t="s">
        <v>1553</v>
      </c>
      <c r="C1760" s="99" t="s">
        <v>133</v>
      </c>
      <c r="G1760" s="100">
        <v>500</v>
      </c>
      <c r="H1760" s="85"/>
      <c r="I1760" s="70"/>
    </row>
    <row r="1761" spans="1:9" ht="15" hidden="1" customHeight="1" outlineLevel="1">
      <c r="A1761" s="299"/>
      <c r="B1761" s="223" t="s">
        <v>1554</v>
      </c>
      <c r="C1761" s="99" t="s">
        <v>133</v>
      </c>
      <c r="G1761" s="100">
        <v>200</v>
      </c>
      <c r="H1761" s="85"/>
      <c r="I1761" s="70"/>
    </row>
    <row r="1762" spans="1:9" ht="15" hidden="1" customHeight="1" outlineLevel="1">
      <c r="A1762" s="299"/>
      <c r="B1762" s="275" t="s">
        <v>1249</v>
      </c>
      <c r="C1762" s="99" t="s">
        <v>133</v>
      </c>
      <c r="G1762" s="100">
        <v>300</v>
      </c>
      <c r="H1762" s="85"/>
      <c r="I1762" s="70"/>
    </row>
    <row r="1763" spans="1:9" ht="15" hidden="1" customHeight="1" outlineLevel="1">
      <c r="A1763" s="299"/>
      <c r="B1763" s="275" t="s">
        <v>1555</v>
      </c>
      <c r="C1763" s="99" t="s">
        <v>133</v>
      </c>
      <c r="G1763" s="100">
        <v>350</v>
      </c>
      <c r="H1763" s="85"/>
      <c r="I1763" s="70"/>
    </row>
    <row r="1764" spans="1:9" ht="15" hidden="1" customHeight="1" outlineLevel="1">
      <c r="A1764" s="299"/>
      <c r="B1764" s="275" t="s">
        <v>1256</v>
      </c>
      <c r="C1764" s="99" t="s">
        <v>133</v>
      </c>
      <c r="G1764" s="100">
        <v>500</v>
      </c>
      <c r="H1764" s="85"/>
      <c r="I1764" s="70"/>
    </row>
    <row r="1765" spans="1:9" ht="15" hidden="1" customHeight="1" outlineLevel="1">
      <c r="A1765" s="299"/>
      <c r="B1765" s="275" t="s">
        <v>1556</v>
      </c>
      <c r="C1765" s="99" t="s">
        <v>133</v>
      </c>
      <c r="G1765" s="100">
        <v>600</v>
      </c>
      <c r="H1765" s="85"/>
      <c r="I1765" s="70"/>
    </row>
    <row r="1766" spans="1:9" ht="15" hidden="1" customHeight="1" outlineLevel="1">
      <c r="A1766" s="299"/>
      <c r="B1766" s="275" t="s">
        <v>1557</v>
      </c>
      <c r="C1766" s="99" t="s">
        <v>133</v>
      </c>
      <c r="G1766" s="100">
        <v>200</v>
      </c>
      <c r="H1766" s="85"/>
      <c r="I1766" s="70"/>
    </row>
    <row r="1767" spans="1:9" ht="15" hidden="1" customHeight="1" outlineLevel="1">
      <c r="A1767" s="299"/>
      <c r="B1767" s="275" t="s">
        <v>1558</v>
      </c>
      <c r="C1767" s="99" t="s">
        <v>133</v>
      </c>
      <c r="G1767" s="100">
        <v>300</v>
      </c>
      <c r="H1767" s="85"/>
      <c r="I1767" s="70"/>
    </row>
    <row r="1768" spans="1:9" ht="15" hidden="1" customHeight="1" outlineLevel="1">
      <c r="A1768" s="299"/>
      <c r="B1768" s="275" t="s">
        <v>1559</v>
      </c>
      <c r="C1768" s="99" t="s">
        <v>133</v>
      </c>
      <c r="G1768" s="100">
        <v>120</v>
      </c>
      <c r="H1768" s="85"/>
      <c r="I1768" s="70"/>
    </row>
    <row r="1769" spans="1:9" ht="15" hidden="1" customHeight="1" outlineLevel="1">
      <c r="A1769" s="299"/>
      <c r="B1769" s="275" t="s">
        <v>1255</v>
      </c>
      <c r="C1769" s="99" t="s">
        <v>133</v>
      </c>
      <c r="G1769" s="69">
        <v>400</v>
      </c>
      <c r="H1769" s="85"/>
      <c r="I1769" s="70"/>
    </row>
    <row r="1770" spans="1:9" ht="15" hidden="1" customHeight="1" outlineLevel="1">
      <c r="A1770" s="299"/>
      <c r="B1770" s="275" t="s">
        <v>1560</v>
      </c>
      <c r="C1770" s="99" t="s">
        <v>133</v>
      </c>
      <c r="G1770" s="69">
        <v>400</v>
      </c>
      <c r="H1770" s="85"/>
      <c r="I1770" s="70"/>
    </row>
    <row r="1771" spans="1:9" ht="15" hidden="1" customHeight="1" outlineLevel="1">
      <c r="A1771" s="299"/>
      <c r="B1771" s="275" t="s">
        <v>1561</v>
      </c>
      <c r="C1771" s="99" t="s">
        <v>133</v>
      </c>
      <c r="G1771" s="69">
        <v>400</v>
      </c>
      <c r="H1771" s="85"/>
      <c r="I1771" s="70"/>
    </row>
    <row r="1772" spans="1:9" ht="15" hidden="1" customHeight="1" outlineLevel="1">
      <c r="A1772" s="299"/>
      <c r="B1772" s="275" t="s">
        <v>1562</v>
      </c>
      <c r="C1772" s="99" t="s">
        <v>133</v>
      </c>
      <c r="G1772" s="69">
        <v>400</v>
      </c>
      <c r="H1772" s="85"/>
      <c r="I1772" s="70"/>
    </row>
    <row r="1773" spans="1:9" ht="15" hidden="1" customHeight="1" outlineLevel="1">
      <c r="A1773" s="299"/>
      <c r="B1773" s="275" t="s">
        <v>1563</v>
      </c>
      <c r="C1773" s="99" t="s">
        <v>133</v>
      </c>
      <c r="G1773" s="69">
        <v>400</v>
      </c>
      <c r="H1773" s="85"/>
      <c r="I1773" s="70"/>
    </row>
    <row r="1774" spans="1:9" ht="15" hidden="1" customHeight="1" outlineLevel="1">
      <c r="A1774" s="299"/>
      <c r="B1774" s="275" t="s">
        <v>1564</v>
      </c>
      <c r="C1774" s="99" t="s">
        <v>133</v>
      </c>
      <c r="G1774" s="69">
        <v>400</v>
      </c>
      <c r="H1774" s="85"/>
      <c r="I1774" s="70"/>
    </row>
    <row r="1775" spans="1:9" ht="15" hidden="1" customHeight="1" outlineLevel="1">
      <c r="A1775" s="299"/>
      <c r="B1775" s="275" t="s">
        <v>1565</v>
      </c>
      <c r="C1775" s="99" t="s">
        <v>133</v>
      </c>
      <c r="G1775" s="69">
        <v>200</v>
      </c>
      <c r="H1775" s="85"/>
      <c r="I1775" s="70"/>
    </row>
    <row r="1776" spans="1:9" ht="15" hidden="1" customHeight="1" outlineLevel="1">
      <c r="A1776" s="299"/>
      <c r="B1776" s="275" t="s">
        <v>1566</v>
      </c>
      <c r="C1776" s="99" t="s">
        <v>133</v>
      </c>
      <c r="G1776" s="69">
        <v>600</v>
      </c>
      <c r="H1776" s="85"/>
      <c r="I1776" s="70"/>
    </row>
    <row r="1777" spans="1:9" ht="15" hidden="1" customHeight="1" outlineLevel="1">
      <c r="A1777" s="299"/>
      <c r="B1777" s="275" t="s">
        <v>1567</v>
      </c>
      <c r="C1777" s="99" t="s">
        <v>133</v>
      </c>
      <c r="G1777" s="69">
        <v>250</v>
      </c>
      <c r="H1777" s="85"/>
      <c r="I1777" s="70"/>
    </row>
    <row r="1778" spans="1:9" ht="15" hidden="1" customHeight="1" outlineLevel="1">
      <c r="A1778" s="299"/>
      <c r="B1778" s="275"/>
      <c r="C1778" s="99"/>
      <c r="G1778" s="69"/>
      <c r="H1778" s="85"/>
      <c r="I1778" s="70"/>
    </row>
    <row r="1779" spans="1:9" ht="15" hidden="1" customHeight="1" outlineLevel="1">
      <c r="A1779" s="299"/>
      <c r="B1779" s="99" t="s">
        <v>1568</v>
      </c>
      <c r="C1779" s="99"/>
      <c r="G1779" s="100"/>
      <c r="H1779" s="85"/>
      <c r="I1779" s="70"/>
    </row>
    <row r="1780" spans="1:9" ht="15" hidden="1" customHeight="1" outlineLevel="1">
      <c r="A1780" s="299"/>
      <c r="B1780" s="223" t="s">
        <v>1554</v>
      </c>
      <c r="C1780" s="99" t="s">
        <v>133</v>
      </c>
      <c r="G1780" s="100">
        <v>200</v>
      </c>
      <c r="H1780" s="85"/>
      <c r="I1780" s="70"/>
    </row>
    <row r="1781" spans="1:9" ht="15" hidden="1" customHeight="1" outlineLevel="1">
      <c r="A1781" s="299"/>
      <c r="B1781" s="275" t="s">
        <v>1569</v>
      </c>
      <c r="C1781" s="99" t="s">
        <v>156</v>
      </c>
      <c r="G1781" s="100">
        <v>120</v>
      </c>
      <c r="H1781" s="85"/>
      <c r="I1781" s="70"/>
    </row>
    <row r="1782" spans="1:9" ht="15" hidden="1" customHeight="1" outlineLevel="1">
      <c r="A1782" s="299"/>
      <c r="B1782" s="275" t="s">
        <v>1559</v>
      </c>
      <c r="C1782" s="99" t="s">
        <v>133</v>
      </c>
      <c r="G1782" s="100">
        <v>120</v>
      </c>
      <c r="H1782" s="85"/>
      <c r="I1782" s="70"/>
    </row>
    <row r="1783" spans="1:9" ht="15" hidden="1" customHeight="1" outlineLevel="1">
      <c r="A1783" s="299"/>
      <c r="B1783" s="275" t="s">
        <v>1570</v>
      </c>
      <c r="C1783" s="99" t="s">
        <v>133</v>
      </c>
      <c r="G1783" s="100">
        <v>350</v>
      </c>
      <c r="H1783" s="85"/>
      <c r="I1783" s="70"/>
    </row>
    <row r="1784" spans="1:9" ht="15" hidden="1" customHeight="1" outlineLevel="1">
      <c r="A1784" s="299"/>
      <c r="B1784" s="275" t="s">
        <v>1571</v>
      </c>
      <c r="C1784" s="99" t="s">
        <v>133</v>
      </c>
      <c r="G1784" s="100">
        <v>900</v>
      </c>
      <c r="H1784" s="85"/>
      <c r="I1784" s="70"/>
    </row>
    <row r="1785" spans="1:9" ht="15" hidden="1" customHeight="1" outlineLevel="1">
      <c r="A1785" s="299"/>
      <c r="B1785" s="275" t="s">
        <v>1572</v>
      </c>
      <c r="C1785" s="99" t="s">
        <v>133</v>
      </c>
      <c r="G1785" s="100">
        <v>800</v>
      </c>
      <c r="H1785" s="85"/>
      <c r="I1785" s="70"/>
    </row>
    <row r="1786" spans="1:9" ht="15" hidden="1" customHeight="1" outlineLevel="1">
      <c r="A1786" s="299"/>
      <c r="B1786" s="99" t="s">
        <v>1573</v>
      </c>
      <c r="C1786" s="99"/>
      <c r="G1786" s="100"/>
      <c r="H1786" s="85"/>
      <c r="I1786" s="70"/>
    </row>
    <row r="1787" spans="1:9" ht="15" hidden="1" customHeight="1" outlineLevel="1">
      <c r="A1787" s="299"/>
      <c r="B1787" s="275" t="s">
        <v>1256</v>
      </c>
      <c r="C1787" s="99" t="s">
        <v>133</v>
      </c>
      <c r="G1787" s="100">
        <v>600</v>
      </c>
      <c r="H1787" s="85"/>
      <c r="I1787" s="70"/>
    </row>
    <row r="1788" spans="1:9" ht="15" hidden="1" customHeight="1" outlineLevel="1">
      <c r="A1788" s="299"/>
      <c r="B1788" s="275" t="s">
        <v>1574</v>
      </c>
      <c r="C1788" s="99" t="s">
        <v>133</v>
      </c>
      <c r="G1788" s="100">
        <v>500</v>
      </c>
      <c r="H1788" s="85"/>
      <c r="I1788" s="70"/>
    </row>
    <row r="1789" spans="1:9" ht="15" hidden="1" customHeight="1" outlineLevel="1">
      <c r="A1789" s="299"/>
      <c r="B1789" s="275" t="s">
        <v>1575</v>
      </c>
      <c r="C1789" s="99" t="s">
        <v>133</v>
      </c>
      <c r="G1789" s="100">
        <v>100</v>
      </c>
      <c r="H1789" s="85"/>
      <c r="I1789" s="70"/>
    </row>
    <row r="1790" spans="1:9" ht="15" hidden="1" customHeight="1" outlineLevel="1">
      <c r="A1790" s="299"/>
      <c r="B1790" s="99"/>
      <c r="C1790" s="99"/>
      <c r="D1790" s="229"/>
      <c r="G1790" s="69"/>
      <c r="H1790" s="85"/>
      <c r="I1790" s="70"/>
    </row>
    <row r="1791" spans="1:9" ht="15" hidden="1" customHeight="1" outlineLevel="1">
      <c r="A1791" s="17" t="s">
        <v>1576</v>
      </c>
      <c r="B1791" s="99" t="s">
        <v>1552</v>
      </c>
      <c r="C1791" s="99"/>
      <c r="D1791" s="229"/>
      <c r="G1791" s="69"/>
      <c r="H1791" s="85"/>
      <c r="I1791" s="70"/>
    </row>
    <row r="1792" spans="1:9" ht="15" hidden="1" customHeight="1" outlineLevel="1">
      <c r="A1792" s="299"/>
      <c r="B1792" s="98" t="s">
        <v>1577</v>
      </c>
      <c r="C1792" s="99" t="s">
        <v>133</v>
      </c>
      <c r="G1792" s="100">
        <v>100</v>
      </c>
      <c r="H1792" s="85"/>
      <c r="I1792" s="70"/>
    </row>
    <row r="1793" spans="1:9" ht="15" hidden="1" customHeight="1" outlineLevel="1">
      <c r="A1793" s="299"/>
      <c r="B1793" s="98" t="s">
        <v>1554</v>
      </c>
      <c r="C1793" s="99" t="s">
        <v>133</v>
      </c>
      <c r="G1793" s="100">
        <v>90</v>
      </c>
      <c r="H1793" s="85"/>
      <c r="I1793" s="70"/>
    </row>
    <row r="1794" spans="1:9" ht="15" hidden="1" customHeight="1" outlineLevel="1">
      <c r="A1794" s="299"/>
      <c r="B1794" s="98" t="s">
        <v>1578</v>
      </c>
      <c r="C1794" s="99" t="s">
        <v>133</v>
      </c>
      <c r="G1794" s="100">
        <v>50</v>
      </c>
      <c r="H1794" s="85"/>
      <c r="I1794" s="70"/>
    </row>
    <row r="1795" spans="1:9" ht="15" hidden="1" customHeight="1" outlineLevel="1">
      <c r="A1795" s="299"/>
      <c r="B1795" s="98" t="s">
        <v>1579</v>
      </c>
      <c r="C1795" s="99" t="s">
        <v>133</v>
      </c>
      <c r="G1795" s="100">
        <v>100</v>
      </c>
      <c r="H1795" s="85"/>
      <c r="I1795" s="70"/>
    </row>
    <row r="1796" spans="1:9" ht="15" hidden="1" customHeight="1" outlineLevel="1">
      <c r="A1796" s="299"/>
      <c r="B1796" s="98" t="s">
        <v>1580</v>
      </c>
      <c r="C1796" s="99" t="s">
        <v>133</v>
      </c>
      <c r="G1796" s="100">
        <v>120</v>
      </c>
      <c r="H1796" s="85"/>
      <c r="I1796" s="70"/>
    </row>
    <row r="1797" spans="1:9" ht="15" hidden="1" customHeight="1" outlineLevel="1">
      <c r="A1797" s="299"/>
      <c r="B1797" s="98" t="s">
        <v>1581</v>
      </c>
      <c r="C1797" s="99" t="s">
        <v>133</v>
      </c>
      <c r="G1797" s="100">
        <v>100</v>
      </c>
      <c r="H1797" s="85"/>
      <c r="I1797" s="70"/>
    </row>
    <row r="1798" spans="1:9" ht="15" hidden="1" customHeight="1" outlineLevel="1">
      <c r="A1798" s="299"/>
      <c r="B1798" s="260" t="s">
        <v>1255</v>
      </c>
      <c r="C1798" s="99" t="s">
        <v>133</v>
      </c>
      <c r="G1798" s="100">
        <v>400</v>
      </c>
      <c r="H1798" s="85"/>
      <c r="I1798" s="70"/>
    </row>
    <row r="1799" spans="1:9" ht="15" hidden="1" customHeight="1" outlineLevel="1">
      <c r="A1799" s="299"/>
      <c r="B1799" s="260" t="s">
        <v>1281</v>
      </c>
      <c r="C1799" s="99" t="s">
        <v>133</v>
      </c>
      <c r="G1799" s="100">
        <v>400</v>
      </c>
      <c r="H1799" s="85"/>
      <c r="I1799" s="70"/>
    </row>
    <row r="1800" spans="1:9" ht="15" hidden="1" customHeight="1" outlineLevel="1">
      <c r="A1800" s="299"/>
      <c r="B1800" s="260" t="s">
        <v>1282</v>
      </c>
      <c r="C1800" s="99" t="s">
        <v>133</v>
      </c>
      <c r="G1800" s="100">
        <v>400</v>
      </c>
      <c r="H1800" s="85"/>
      <c r="I1800" s="70"/>
    </row>
    <row r="1801" spans="1:9" ht="15" hidden="1" customHeight="1" outlineLevel="1">
      <c r="A1801" s="299"/>
      <c r="B1801" s="260" t="s">
        <v>1283</v>
      </c>
      <c r="C1801" s="99" t="s">
        <v>133</v>
      </c>
      <c r="G1801" s="100">
        <v>100</v>
      </c>
      <c r="H1801" s="85"/>
      <c r="I1801" s="70"/>
    </row>
    <row r="1802" spans="1:9" ht="15" hidden="1" customHeight="1" outlineLevel="1">
      <c r="A1802" s="299"/>
      <c r="B1802" s="99" t="s">
        <v>1582</v>
      </c>
      <c r="C1802" s="99"/>
      <c r="G1802" s="100"/>
      <c r="H1802" s="85"/>
      <c r="I1802" s="70"/>
    </row>
    <row r="1803" spans="1:9" ht="15" hidden="1" customHeight="1" outlineLevel="1">
      <c r="A1803" s="299"/>
      <c r="B1803" s="98" t="s">
        <v>1583</v>
      </c>
      <c r="C1803" s="99" t="s">
        <v>133</v>
      </c>
      <c r="G1803" s="100">
        <v>150</v>
      </c>
      <c r="H1803" s="85"/>
      <c r="I1803" s="70"/>
    </row>
    <row r="1804" spans="1:9" ht="15" hidden="1" customHeight="1" outlineLevel="1">
      <c r="A1804" s="299"/>
      <c r="B1804" s="98" t="s">
        <v>1554</v>
      </c>
      <c r="C1804" s="99" t="s">
        <v>133</v>
      </c>
      <c r="G1804" s="100">
        <v>120</v>
      </c>
      <c r="H1804" s="85"/>
      <c r="I1804" s="70"/>
    </row>
    <row r="1805" spans="1:9" ht="15" hidden="1" customHeight="1" outlineLevel="1">
      <c r="A1805" s="299"/>
      <c r="B1805" s="98" t="s">
        <v>1584</v>
      </c>
      <c r="C1805" s="99" t="s">
        <v>133</v>
      </c>
      <c r="G1805" s="100">
        <v>80</v>
      </c>
      <c r="H1805" s="85"/>
      <c r="I1805" s="70"/>
    </row>
    <row r="1806" spans="1:9" ht="15" hidden="1" customHeight="1" outlineLevel="1">
      <c r="A1806" s="299"/>
      <c r="B1806" s="98" t="s">
        <v>1585</v>
      </c>
      <c r="C1806" s="99" t="s">
        <v>133</v>
      </c>
      <c r="G1806" s="100">
        <v>100</v>
      </c>
      <c r="H1806" s="85"/>
      <c r="I1806" s="70"/>
    </row>
    <row r="1807" spans="1:9" ht="15" hidden="1" customHeight="1" outlineLevel="1">
      <c r="A1807" s="299"/>
      <c r="B1807" s="98" t="s">
        <v>1586</v>
      </c>
      <c r="C1807" s="99" t="s">
        <v>133</v>
      </c>
      <c r="G1807" s="100">
        <v>150</v>
      </c>
      <c r="H1807" s="85"/>
      <c r="I1807" s="70"/>
    </row>
    <row r="1808" spans="1:9" ht="15" hidden="1" customHeight="1" outlineLevel="1">
      <c r="A1808" s="299"/>
      <c r="B1808" s="98" t="s">
        <v>1294</v>
      </c>
      <c r="C1808" s="99" t="s">
        <v>133</v>
      </c>
      <c r="G1808" s="100">
        <v>300</v>
      </c>
      <c r="H1808" s="85"/>
      <c r="I1808" s="70"/>
    </row>
    <row r="1809" spans="1:9" ht="15" hidden="1" customHeight="1" outlineLevel="1">
      <c r="A1809" s="299"/>
      <c r="B1809" s="98" t="s">
        <v>1587</v>
      </c>
      <c r="C1809" s="99" t="s">
        <v>156</v>
      </c>
      <c r="G1809" s="100">
        <v>50</v>
      </c>
      <c r="H1809" s="85"/>
      <c r="I1809" s="70"/>
    </row>
    <row r="1810" spans="1:9" ht="15" hidden="1" customHeight="1" outlineLevel="1">
      <c r="A1810" s="299"/>
      <c r="B1810" s="98" t="s">
        <v>1588</v>
      </c>
      <c r="C1810" s="99" t="s">
        <v>156</v>
      </c>
      <c r="G1810" s="100">
        <v>50</v>
      </c>
      <c r="H1810" s="85"/>
      <c r="I1810" s="70"/>
    </row>
    <row r="1811" spans="1:9" ht="15" hidden="1" customHeight="1" outlineLevel="1">
      <c r="A1811" s="299"/>
      <c r="B1811" s="98" t="s">
        <v>1589</v>
      </c>
      <c r="C1811" s="99" t="s">
        <v>156</v>
      </c>
      <c r="G1811" s="100">
        <v>50</v>
      </c>
      <c r="H1811" s="85"/>
      <c r="I1811" s="70"/>
    </row>
    <row r="1812" spans="1:9" ht="15" hidden="1" customHeight="1" outlineLevel="1">
      <c r="A1812" s="299"/>
      <c r="B1812" s="260" t="s">
        <v>1255</v>
      </c>
      <c r="C1812" s="99" t="s">
        <v>133</v>
      </c>
      <c r="G1812" s="100">
        <v>400</v>
      </c>
      <c r="H1812" s="85"/>
      <c r="I1812" s="70"/>
    </row>
    <row r="1813" spans="1:9" ht="15" hidden="1" customHeight="1" outlineLevel="1">
      <c r="A1813" s="299"/>
      <c r="B1813" s="260" t="s">
        <v>1281</v>
      </c>
      <c r="C1813" s="99" t="s">
        <v>133</v>
      </c>
      <c r="G1813" s="100">
        <v>400</v>
      </c>
      <c r="H1813" s="85"/>
      <c r="I1813" s="70"/>
    </row>
    <row r="1814" spans="1:9" ht="15" hidden="1" customHeight="1" outlineLevel="1">
      <c r="A1814" s="299"/>
      <c r="B1814" s="260" t="s">
        <v>1282</v>
      </c>
      <c r="C1814" s="99" t="s">
        <v>133</v>
      </c>
      <c r="G1814" s="100">
        <v>400</v>
      </c>
      <c r="H1814" s="85"/>
      <c r="I1814" s="70"/>
    </row>
    <row r="1815" spans="1:9" ht="15" hidden="1" customHeight="1" outlineLevel="1">
      <c r="A1815" s="299"/>
      <c r="B1815" s="260" t="s">
        <v>1283</v>
      </c>
      <c r="C1815" s="99" t="s">
        <v>133</v>
      </c>
      <c r="G1815" s="100">
        <v>100</v>
      </c>
      <c r="H1815" s="85"/>
      <c r="I1815" s="70"/>
    </row>
    <row r="1816" spans="1:9" ht="15" hidden="1" customHeight="1" outlineLevel="1">
      <c r="A1816" s="299"/>
      <c r="B1816" s="99" t="s">
        <v>1590</v>
      </c>
      <c r="C1816" s="99"/>
      <c r="G1816" s="100"/>
      <c r="H1816" s="85"/>
      <c r="I1816" s="70"/>
    </row>
    <row r="1817" spans="1:9" ht="15" hidden="1" customHeight="1" outlineLevel="1">
      <c r="A1817" s="299"/>
      <c r="B1817" s="98" t="s">
        <v>1591</v>
      </c>
      <c r="C1817" s="99" t="s">
        <v>133</v>
      </c>
      <c r="G1817" s="100">
        <v>30</v>
      </c>
      <c r="H1817" s="85"/>
      <c r="I1817" s="70"/>
    </row>
    <row r="1818" spans="1:9" ht="15" hidden="1" customHeight="1" outlineLevel="1">
      <c r="A1818" s="299"/>
      <c r="B1818" s="98" t="s">
        <v>1297</v>
      </c>
      <c r="C1818" s="99" t="s">
        <v>133</v>
      </c>
      <c r="G1818" s="100">
        <v>150</v>
      </c>
      <c r="H1818" s="85"/>
      <c r="I1818" s="70"/>
    </row>
    <row r="1819" spans="1:9" ht="15" hidden="1" customHeight="1" outlineLevel="1">
      <c r="A1819" s="299"/>
      <c r="B1819" s="98" t="s">
        <v>1298</v>
      </c>
      <c r="C1819" s="99" t="s">
        <v>133</v>
      </c>
      <c r="G1819" s="100">
        <v>150</v>
      </c>
      <c r="H1819" s="85"/>
      <c r="I1819" s="70"/>
    </row>
    <row r="1820" spans="1:9" ht="15" hidden="1" customHeight="1" outlineLevel="1">
      <c r="A1820" s="299"/>
      <c r="B1820" s="98" t="s">
        <v>1300</v>
      </c>
      <c r="C1820" s="99" t="s">
        <v>156</v>
      </c>
      <c r="G1820" s="100">
        <v>150</v>
      </c>
      <c r="H1820" s="85"/>
      <c r="I1820" s="70"/>
    </row>
    <row r="1821" spans="1:9" ht="15" hidden="1" customHeight="1" outlineLevel="1">
      <c r="A1821" s="299"/>
      <c r="B1821" s="98" t="s">
        <v>1301</v>
      </c>
      <c r="C1821" s="99" t="s">
        <v>133</v>
      </c>
      <c r="G1821" s="100">
        <v>600</v>
      </c>
      <c r="H1821" s="85"/>
      <c r="I1821" s="70"/>
    </row>
    <row r="1822" spans="1:9" ht="15" hidden="1" customHeight="1" outlineLevel="1">
      <c r="A1822" s="299"/>
      <c r="B1822" s="99" t="s">
        <v>1305</v>
      </c>
      <c r="C1822" s="290"/>
      <c r="G1822" s="100"/>
      <c r="H1822" s="85"/>
      <c r="I1822" s="70"/>
    </row>
    <row r="1823" spans="1:9" ht="15" hidden="1" customHeight="1" outlineLevel="1">
      <c r="A1823" s="299"/>
      <c r="B1823" s="98" t="s">
        <v>1306</v>
      </c>
      <c r="C1823" s="99" t="s">
        <v>133</v>
      </c>
      <c r="G1823" s="100">
        <v>600</v>
      </c>
      <c r="H1823" s="85"/>
      <c r="I1823" s="70"/>
    </row>
    <row r="1824" spans="1:9" ht="15" hidden="1" customHeight="1" outlineLevel="1">
      <c r="A1824" s="299"/>
      <c r="B1824" s="98" t="s">
        <v>1307</v>
      </c>
      <c r="C1824" s="99" t="s">
        <v>133</v>
      </c>
      <c r="G1824" s="100">
        <v>600</v>
      </c>
      <c r="H1824" s="85"/>
      <c r="I1824" s="70"/>
    </row>
    <row r="1825" spans="1:9" ht="15" hidden="1" customHeight="1" outlineLevel="1">
      <c r="A1825" s="299"/>
      <c r="B1825" s="98" t="s">
        <v>1308</v>
      </c>
      <c r="C1825" s="99" t="s">
        <v>133</v>
      </c>
      <c r="G1825" s="100">
        <v>600</v>
      </c>
      <c r="H1825" s="85"/>
      <c r="I1825" s="70"/>
    </row>
    <row r="1826" spans="1:9" ht="15" hidden="1" customHeight="1" outlineLevel="1">
      <c r="A1826" s="299"/>
      <c r="B1826" s="98" t="s">
        <v>1592</v>
      </c>
      <c r="C1826" s="99" t="s">
        <v>133</v>
      </c>
      <c r="G1826" s="100">
        <v>150</v>
      </c>
      <c r="H1826" s="85"/>
      <c r="I1826" s="70"/>
    </row>
    <row r="1827" spans="1:9" ht="15" hidden="1" customHeight="1" outlineLevel="1">
      <c r="A1827" s="299"/>
      <c r="B1827" s="98" t="s">
        <v>1593</v>
      </c>
      <c r="C1827" s="99" t="s">
        <v>133</v>
      </c>
      <c r="G1827" s="100">
        <v>150</v>
      </c>
      <c r="H1827" s="85"/>
      <c r="I1827" s="70"/>
    </row>
    <row r="1828" spans="1:9" ht="15" hidden="1" customHeight="1" outlineLevel="1">
      <c r="A1828" s="299"/>
      <c r="B1828" s="98" t="s">
        <v>1294</v>
      </c>
      <c r="C1828" s="99" t="s">
        <v>133</v>
      </c>
      <c r="G1828" s="100">
        <v>300</v>
      </c>
      <c r="H1828" s="85"/>
      <c r="I1828" s="70"/>
    </row>
    <row r="1829" spans="1:9" ht="15" hidden="1" customHeight="1" outlineLevel="1">
      <c r="A1829" s="299"/>
      <c r="B1829" s="99" t="s">
        <v>1594</v>
      </c>
      <c r="C1829" s="99"/>
      <c r="G1829" s="100"/>
      <c r="H1829" s="85"/>
      <c r="I1829" s="70"/>
    </row>
    <row r="1830" spans="1:9" ht="15" hidden="1" customHeight="1" outlineLevel="1">
      <c r="A1830" s="299"/>
      <c r="B1830" s="98" t="s">
        <v>1595</v>
      </c>
      <c r="C1830" s="99" t="s">
        <v>159</v>
      </c>
      <c r="G1830" s="100">
        <v>1200</v>
      </c>
      <c r="H1830" s="85"/>
      <c r="I1830" s="70"/>
    </row>
    <row r="1831" spans="1:9" ht="15" hidden="1" customHeight="1" outlineLevel="1">
      <c r="A1831" s="299"/>
      <c r="B1831" s="98" t="s">
        <v>1596</v>
      </c>
      <c r="C1831" s="99" t="s">
        <v>159</v>
      </c>
      <c r="G1831" s="100">
        <v>250</v>
      </c>
      <c r="H1831" s="85"/>
      <c r="I1831" s="70"/>
    </row>
    <row r="1832" spans="1:9" ht="15" hidden="1" customHeight="1" outlineLevel="1">
      <c r="A1832" s="299"/>
      <c r="B1832" s="98" t="s">
        <v>1597</v>
      </c>
      <c r="C1832" s="99" t="s">
        <v>159</v>
      </c>
      <c r="G1832" s="100">
        <v>250</v>
      </c>
      <c r="H1832" s="85"/>
      <c r="I1832" s="70"/>
    </row>
    <row r="1833" spans="1:9" ht="15" hidden="1" customHeight="1" outlineLevel="1">
      <c r="A1833" s="299"/>
      <c r="B1833" s="98" t="s">
        <v>1598</v>
      </c>
      <c r="C1833" s="99" t="s">
        <v>159</v>
      </c>
      <c r="G1833" s="100">
        <v>100</v>
      </c>
      <c r="H1833" s="85"/>
      <c r="I1833" s="70"/>
    </row>
    <row r="1834" spans="1:9" ht="15" hidden="1" customHeight="1" outlineLevel="1">
      <c r="A1834" s="299"/>
      <c r="B1834" s="98" t="s">
        <v>1599</v>
      </c>
      <c r="C1834" s="99" t="s">
        <v>159</v>
      </c>
      <c r="G1834" s="100">
        <v>80</v>
      </c>
      <c r="H1834" s="85"/>
      <c r="I1834" s="70"/>
    </row>
    <row r="1835" spans="1:9" ht="15" hidden="1" customHeight="1" outlineLevel="1">
      <c r="A1835" s="299"/>
      <c r="B1835" s="98" t="s">
        <v>1600</v>
      </c>
      <c r="C1835" s="99" t="s">
        <v>159</v>
      </c>
      <c r="D1835" s="229"/>
      <c r="G1835" s="69">
        <v>20000</v>
      </c>
      <c r="H1835" s="85"/>
      <c r="I1835" s="70"/>
    </row>
    <row r="1836" spans="1:9" ht="15" hidden="1" customHeight="1" outlineLevel="1">
      <c r="A1836" s="299"/>
      <c r="B1836" s="99"/>
      <c r="C1836" s="99"/>
      <c r="D1836" s="229"/>
      <c r="G1836" s="69"/>
      <c r="H1836" s="85"/>
      <c r="I1836" s="70"/>
    </row>
    <row r="1837" spans="1:9" ht="15" hidden="1" customHeight="1" outlineLevel="1">
      <c r="A1837" s="299"/>
      <c r="B1837" s="99"/>
      <c r="C1837" s="99"/>
      <c r="D1837" s="229"/>
      <c r="G1837" s="69"/>
      <c r="H1837" s="85"/>
      <c r="I1837" s="70"/>
    </row>
    <row r="1838" spans="1:9" ht="15" hidden="1" customHeight="1" outlineLevel="1">
      <c r="A1838" s="17" t="s">
        <v>1112</v>
      </c>
      <c r="B1838" s="98" t="s">
        <v>1409</v>
      </c>
      <c r="C1838" s="99" t="s">
        <v>120</v>
      </c>
      <c r="D1838" s="229" t="s">
        <v>1601</v>
      </c>
      <c r="G1838" s="69"/>
      <c r="H1838" s="85"/>
      <c r="I1838" s="70"/>
    </row>
    <row r="1839" spans="1:9" ht="15" hidden="1" customHeight="1" outlineLevel="1">
      <c r="A1839" s="299"/>
      <c r="B1839" s="98" t="s">
        <v>1602</v>
      </c>
      <c r="C1839" s="99" t="s">
        <v>156</v>
      </c>
      <c r="G1839" s="100">
        <v>100</v>
      </c>
      <c r="H1839" s="85"/>
      <c r="I1839" s="70"/>
    </row>
    <row r="1840" spans="1:9" ht="15" hidden="1" customHeight="1" outlineLevel="1">
      <c r="A1840" s="299"/>
      <c r="B1840" s="98" t="s">
        <v>1603</v>
      </c>
      <c r="C1840" s="99" t="s">
        <v>156</v>
      </c>
      <c r="G1840" s="100">
        <v>50</v>
      </c>
      <c r="H1840" s="85"/>
      <c r="I1840" s="70"/>
    </row>
    <row r="1841" spans="1:9" ht="15" hidden="1" customHeight="1" outlineLevel="1">
      <c r="A1841" s="299"/>
      <c r="B1841" s="98" t="s">
        <v>1604</v>
      </c>
      <c r="C1841" s="99" t="s">
        <v>159</v>
      </c>
      <c r="G1841" s="100">
        <v>500</v>
      </c>
      <c r="H1841" s="85"/>
      <c r="I1841" s="70"/>
    </row>
    <row r="1842" spans="1:9" ht="15" hidden="1" customHeight="1" outlineLevel="1">
      <c r="A1842" s="299"/>
      <c r="B1842" s="98" t="s">
        <v>1605</v>
      </c>
      <c r="C1842" s="99" t="s">
        <v>159</v>
      </c>
      <c r="G1842" s="100">
        <v>200</v>
      </c>
      <c r="H1842" s="85"/>
      <c r="I1842" s="70"/>
    </row>
    <row r="1843" spans="1:9" ht="15" hidden="1" customHeight="1" outlineLevel="1">
      <c r="A1843" s="299"/>
      <c r="B1843" s="98" t="s">
        <v>1606</v>
      </c>
      <c r="C1843" s="99" t="s">
        <v>159</v>
      </c>
      <c r="G1843" s="100">
        <v>200</v>
      </c>
      <c r="H1843" s="85"/>
      <c r="I1843" s="70"/>
    </row>
    <row r="1844" spans="1:9" ht="15" hidden="1" customHeight="1" outlineLevel="1">
      <c r="A1844" s="299"/>
      <c r="B1844" s="98" t="s">
        <v>1607</v>
      </c>
      <c r="C1844" s="99" t="s">
        <v>159</v>
      </c>
      <c r="G1844" s="100">
        <v>6000</v>
      </c>
      <c r="H1844" s="85"/>
      <c r="I1844" s="70"/>
    </row>
    <row r="1845" spans="1:9" ht="15" hidden="1" customHeight="1" outlineLevel="1">
      <c r="A1845" s="299"/>
      <c r="B1845" s="98" t="s">
        <v>1608</v>
      </c>
      <c r="C1845" s="99" t="s">
        <v>159</v>
      </c>
      <c r="G1845" s="100">
        <v>250</v>
      </c>
      <c r="H1845" s="85"/>
      <c r="I1845" s="70"/>
    </row>
    <row r="1846" spans="1:9" ht="15" hidden="1" customHeight="1" outlineLevel="1">
      <c r="A1846" s="299"/>
      <c r="B1846" s="98" t="s">
        <v>1609</v>
      </c>
      <c r="C1846" s="99" t="s">
        <v>159</v>
      </c>
      <c r="G1846" s="100">
        <v>250</v>
      </c>
      <c r="H1846" s="85"/>
      <c r="I1846" s="70"/>
    </row>
    <row r="1847" spans="1:9" ht="15" hidden="1" customHeight="1" outlineLevel="1">
      <c r="A1847" s="299"/>
      <c r="B1847" s="98" t="s">
        <v>1610</v>
      </c>
      <c r="C1847" s="99" t="s">
        <v>156</v>
      </c>
      <c r="D1847" s="229"/>
      <c r="G1847" s="69">
        <v>300</v>
      </c>
      <c r="H1847" s="85"/>
      <c r="I1847" s="70"/>
    </row>
    <row r="1848" spans="1:9" ht="15" hidden="1" customHeight="1" outlineLevel="1">
      <c r="A1848" s="299"/>
      <c r="B1848" s="98"/>
      <c r="C1848" s="99"/>
      <c r="D1848" s="229"/>
      <c r="G1848" s="69"/>
      <c r="H1848" s="85"/>
      <c r="I1848" s="70"/>
    </row>
    <row r="1849" spans="1:9" ht="15" hidden="1" customHeight="1" outlineLevel="1">
      <c r="A1849" s="17" t="s">
        <v>1611</v>
      </c>
      <c r="B1849" s="98" t="s">
        <v>1612</v>
      </c>
      <c r="C1849" s="126" t="s">
        <v>156</v>
      </c>
      <c r="G1849" s="100">
        <v>200</v>
      </c>
      <c r="H1849" s="85"/>
      <c r="I1849" s="70"/>
    </row>
    <row r="1850" spans="1:9" ht="15" hidden="1" customHeight="1" outlineLevel="1">
      <c r="A1850" s="299"/>
      <c r="B1850" s="98" t="s">
        <v>1613</v>
      </c>
      <c r="C1850" s="126" t="s">
        <v>159</v>
      </c>
      <c r="G1850" s="100">
        <v>1000</v>
      </c>
      <c r="H1850" s="85"/>
      <c r="I1850" s="70"/>
    </row>
    <row r="1851" spans="1:9" ht="15" hidden="1" customHeight="1" outlineLevel="1">
      <c r="A1851" s="299"/>
      <c r="B1851" s="98" t="s">
        <v>1612</v>
      </c>
      <c r="C1851" s="126" t="s">
        <v>156</v>
      </c>
      <c r="G1851" s="100">
        <v>200</v>
      </c>
      <c r="H1851" s="85"/>
      <c r="I1851" s="70"/>
    </row>
    <row r="1852" spans="1:9" ht="15" hidden="1" customHeight="1" outlineLevel="1">
      <c r="A1852" s="299"/>
      <c r="B1852" s="98"/>
      <c r="C1852" s="99"/>
      <c r="D1852" s="229"/>
      <c r="G1852" s="69"/>
      <c r="H1852" s="85"/>
      <c r="I1852" s="70"/>
    </row>
    <row r="1853" spans="1:9" ht="15" hidden="1" customHeight="1" outlineLevel="1">
      <c r="A1853" s="17" t="s">
        <v>1171</v>
      </c>
      <c r="B1853" s="229" t="s">
        <v>1614</v>
      </c>
      <c r="C1853" s="99"/>
      <c r="D1853" s="229"/>
      <c r="G1853" s="69"/>
      <c r="H1853" s="85"/>
      <c r="I1853" s="70"/>
    </row>
    <row r="1854" spans="1:9" ht="15" hidden="1" customHeight="1" outlineLevel="1">
      <c r="A1854" s="299"/>
      <c r="B1854" s="229" t="s">
        <v>1615</v>
      </c>
      <c r="C1854" s="99" t="s">
        <v>159</v>
      </c>
      <c r="G1854" s="100">
        <v>1500</v>
      </c>
      <c r="H1854" s="85"/>
      <c r="I1854" s="70"/>
    </row>
    <row r="1855" spans="1:9" ht="15" hidden="1" customHeight="1" outlineLevel="1">
      <c r="A1855" s="299"/>
      <c r="B1855" s="98" t="s">
        <v>1616</v>
      </c>
      <c r="C1855" s="99" t="s">
        <v>159</v>
      </c>
      <c r="G1855" s="100">
        <v>1500</v>
      </c>
      <c r="H1855" s="85"/>
      <c r="I1855" s="70"/>
    </row>
    <row r="1856" spans="1:9" ht="15" hidden="1" customHeight="1" outlineLevel="1">
      <c r="A1856" s="299"/>
      <c r="B1856" s="98" t="s">
        <v>1617</v>
      </c>
      <c r="C1856" s="99" t="s">
        <v>159</v>
      </c>
      <c r="G1856" s="100">
        <v>3000</v>
      </c>
      <c r="H1856" s="85"/>
      <c r="I1856" s="70"/>
    </row>
    <row r="1857" spans="1:9" ht="15" hidden="1" customHeight="1" outlineLevel="1">
      <c r="A1857" s="299"/>
      <c r="B1857" s="98" t="s">
        <v>1618</v>
      </c>
      <c r="C1857" s="99" t="s">
        <v>159</v>
      </c>
      <c r="G1857" s="100">
        <v>2500</v>
      </c>
      <c r="H1857" s="85"/>
      <c r="I1857" s="70"/>
    </row>
    <row r="1858" spans="1:9" ht="15" hidden="1" customHeight="1" outlineLevel="1">
      <c r="A1858" s="299"/>
      <c r="B1858" s="98" t="s">
        <v>1619</v>
      </c>
      <c r="C1858" s="99" t="s">
        <v>159</v>
      </c>
      <c r="G1858" s="100">
        <v>4000</v>
      </c>
      <c r="H1858" s="85"/>
      <c r="I1858" s="70"/>
    </row>
    <row r="1859" spans="1:9" ht="15" hidden="1" customHeight="1" outlineLevel="1">
      <c r="A1859" s="299"/>
      <c r="B1859" s="98" t="s">
        <v>1620</v>
      </c>
      <c r="C1859" s="99" t="s">
        <v>156</v>
      </c>
      <c r="G1859" s="100">
        <v>500</v>
      </c>
      <c r="H1859" s="85"/>
      <c r="I1859" s="70"/>
    </row>
    <row r="1860" spans="1:9" ht="15" hidden="1" customHeight="1" outlineLevel="1">
      <c r="A1860" s="299"/>
      <c r="B1860" s="285" t="s">
        <v>1621</v>
      </c>
      <c r="C1860" s="99" t="s">
        <v>159</v>
      </c>
      <c r="G1860" s="100">
        <v>7000</v>
      </c>
      <c r="H1860" s="85"/>
      <c r="I1860" s="70"/>
    </row>
    <row r="1861" spans="1:9" ht="15" hidden="1" customHeight="1" outlineLevel="1">
      <c r="A1861" s="299"/>
      <c r="B1861" s="98"/>
      <c r="C1861" s="99"/>
      <c r="D1861" s="229"/>
      <c r="G1861" s="69"/>
      <c r="H1861" s="85"/>
      <c r="I1861" s="70"/>
    </row>
    <row r="1862" spans="1:9" ht="15" hidden="1" customHeight="1" outlineLevel="1">
      <c r="A1862" s="17" t="s">
        <v>1622</v>
      </c>
      <c r="B1862" s="98" t="s">
        <v>1623</v>
      </c>
      <c r="C1862" s="99" t="s">
        <v>159</v>
      </c>
      <c r="G1862" s="100">
        <v>1000</v>
      </c>
      <c r="H1862" s="85"/>
      <c r="I1862" s="70"/>
    </row>
    <row r="1863" spans="1:9" ht="15" hidden="1" customHeight="1" outlineLevel="1">
      <c r="A1863" s="299"/>
      <c r="B1863" s="98" t="s">
        <v>1624</v>
      </c>
      <c r="C1863" s="99" t="s">
        <v>159</v>
      </c>
      <c r="G1863" s="100">
        <v>1000</v>
      </c>
      <c r="H1863" s="85"/>
      <c r="I1863" s="70"/>
    </row>
    <row r="1864" spans="1:9" ht="15" hidden="1" customHeight="1" outlineLevel="1">
      <c r="A1864" s="299"/>
      <c r="B1864" s="98" t="s">
        <v>1625</v>
      </c>
      <c r="C1864" s="99" t="s">
        <v>159</v>
      </c>
      <c r="G1864" s="100">
        <v>1000</v>
      </c>
      <c r="H1864" s="85"/>
      <c r="I1864" s="70"/>
    </row>
    <row r="1865" spans="1:9" ht="15" hidden="1" customHeight="1" outlineLevel="1">
      <c r="A1865" s="299"/>
      <c r="B1865" s="98" t="s">
        <v>1626</v>
      </c>
      <c r="C1865" s="99" t="s">
        <v>159</v>
      </c>
      <c r="G1865" s="100">
        <v>1000</v>
      </c>
      <c r="H1865" s="85"/>
      <c r="I1865" s="70"/>
    </row>
    <row r="1866" spans="1:9" ht="15" hidden="1" customHeight="1" outlineLevel="1">
      <c r="A1866" s="299"/>
      <c r="B1866" s="98" t="s">
        <v>1627</v>
      </c>
      <c r="C1866" s="99" t="s">
        <v>156</v>
      </c>
      <c r="G1866" s="100">
        <v>500</v>
      </c>
      <c r="H1866" s="85"/>
      <c r="I1866" s="70"/>
    </row>
    <row r="1867" spans="1:9" ht="15" hidden="1" customHeight="1" outlineLevel="1">
      <c r="A1867" s="299"/>
      <c r="B1867" s="98" t="s">
        <v>1628</v>
      </c>
      <c r="C1867" s="99" t="s">
        <v>159</v>
      </c>
      <c r="G1867" s="100">
        <v>2500</v>
      </c>
      <c r="H1867" s="85"/>
      <c r="I1867" s="70"/>
    </row>
    <row r="1868" spans="1:9" ht="15" hidden="1" customHeight="1" outlineLevel="1">
      <c r="A1868" s="299"/>
      <c r="B1868" s="98" t="s">
        <v>1629</v>
      </c>
      <c r="C1868" s="99" t="s">
        <v>159</v>
      </c>
      <c r="G1868" s="100">
        <v>800</v>
      </c>
      <c r="H1868" s="85"/>
      <c r="I1868" s="70"/>
    </row>
    <row r="1869" spans="1:9" ht="15" hidden="1" customHeight="1" outlineLevel="1">
      <c r="A1869" s="299"/>
      <c r="B1869" s="98"/>
      <c r="C1869" s="99"/>
      <c r="D1869" s="229"/>
      <c r="G1869" s="69"/>
      <c r="H1869" s="85"/>
      <c r="I1869" s="70"/>
    </row>
    <row r="1870" spans="1:9" ht="15" hidden="1" customHeight="1" outlineLevel="1">
      <c r="A1870" s="17" t="s">
        <v>1184</v>
      </c>
      <c r="B1870" s="98" t="s">
        <v>1630</v>
      </c>
      <c r="C1870" s="126" t="s">
        <v>159</v>
      </c>
      <c r="G1870" s="100">
        <v>3500</v>
      </c>
      <c r="H1870" s="85"/>
      <c r="I1870" s="70"/>
    </row>
    <row r="1871" spans="1:9" ht="15" hidden="1" customHeight="1" outlineLevel="1">
      <c r="A1871" s="299"/>
      <c r="B1871" s="98" t="s">
        <v>1631</v>
      </c>
      <c r="C1871" s="126" t="s">
        <v>159</v>
      </c>
      <c r="G1871" s="100">
        <v>2500</v>
      </c>
      <c r="H1871" s="85"/>
      <c r="I1871" s="70"/>
    </row>
    <row r="1872" spans="1:9" ht="15" hidden="1" customHeight="1" outlineLevel="1">
      <c r="A1872" s="299"/>
      <c r="B1872" s="98" t="s">
        <v>1632</v>
      </c>
      <c r="C1872" s="126" t="s">
        <v>159</v>
      </c>
      <c r="G1872" s="100">
        <v>2000</v>
      </c>
      <c r="H1872" s="85"/>
      <c r="I1872" s="70"/>
    </row>
    <row r="1873" spans="1:9" ht="13.5" hidden="1" customHeight="1" outlineLevel="1">
      <c r="A1873" s="299"/>
      <c r="B1873" s="98" t="s">
        <v>1633</v>
      </c>
      <c r="C1873" s="126" t="s">
        <v>159</v>
      </c>
      <c r="G1873" s="100">
        <v>1000</v>
      </c>
      <c r="H1873" s="85"/>
      <c r="I1873" s="70"/>
    </row>
    <row r="1874" spans="1:9" ht="15" hidden="1" customHeight="1" outlineLevel="1">
      <c r="A1874" s="299"/>
      <c r="B1874" s="98" t="s">
        <v>1634</v>
      </c>
      <c r="C1874" s="126" t="s">
        <v>159</v>
      </c>
      <c r="G1874" s="100">
        <v>1000</v>
      </c>
      <c r="H1874" s="85"/>
      <c r="I1874" s="70"/>
    </row>
    <row r="1875" spans="1:9" ht="15" hidden="1" customHeight="1" outlineLevel="1">
      <c r="A1875" s="299"/>
      <c r="B1875" s="98" t="s">
        <v>1635</v>
      </c>
      <c r="C1875" s="126" t="s">
        <v>159</v>
      </c>
      <c r="G1875" s="100">
        <v>900</v>
      </c>
      <c r="H1875" s="85"/>
      <c r="I1875" s="70"/>
    </row>
    <row r="1876" spans="1:9" ht="15" hidden="1" customHeight="1" outlineLevel="1">
      <c r="A1876" s="299"/>
      <c r="B1876" s="98" t="s">
        <v>1636</v>
      </c>
      <c r="C1876" s="126" t="s">
        <v>159</v>
      </c>
      <c r="G1876" s="100">
        <v>700</v>
      </c>
      <c r="H1876" s="85"/>
      <c r="I1876" s="70"/>
    </row>
    <row r="1877" spans="1:9" ht="15" hidden="1" customHeight="1" outlineLevel="1">
      <c r="A1877" s="299"/>
      <c r="B1877" s="98" t="s">
        <v>1637</v>
      </c>
      <c r="C1877" s="126" t="s">
        <v>156</v>
      </c>
      <c r="G1877" s="100">
        <v>500</v>
      </c>
      <c r="H1877" s="85"/>
      <c r="I1877" s="70"/>
    </row>
    <row r="1878" spans="1:9" ht="15" hidden="1" customHeight="1" outlineLevel="1">
      <c r="A1878" s="299"/>
      <c r="B1878" s="99"/>
      <c r="C1878" s="126"/>
      <c r="D1878" s="229"/>
      <c r="G1878" s="69"/>
      <c r="H1878" s="85"/>
      <c r="I1878" s="70"/>
    </row>
    <row r="1879" spans="1:9" ht="15" hidden="1" customHeight="1" outlineLevel="1">
      <c r="A1879" s="299"/>
      <c r="B1879" s="275" t="s">
        <v>1638</v>
      </c>
      <c r="C1879" s="99" t="s">
        <v>133</v>
      </c>
      <c r="G1879" s="69">
        <v>1500</v>
      </c>
      <c r="H1879" s="85"/>
      <c r="I1879" s="70"/>
    </row>
    <row r="1880" spans="1:9" ht="15" hidden="1" customHeight="1" outlineLevel="1">
      <c r="A1880" s="299"/>
      <c r="B1880" s="275" t="s">
        <v>1639</v>
      </c>
      <c r="C1880" s="99" t="s">
        <v>133</v>
      </c>
      <c r="G1880" s="69">
        <v>300</v>
      </c>
      <c r="H1880" s="85"/>
      <c r="I1880" s="70"/>
    </row>
    <row r="1881" spans="1:9" ht="15" hidden="1" customHeight="1" outlineLevel="1">
      <c r="A1881" s="299"/>
      <c r="B1881" s="275" t="s">
        <v>1640</v>
      </c>
      <c r="C1881" s="99" t="s">
        <v>133</v>
      </c>
      <c r="G1881" s="69">
        <v>250</v>
      </c>
      <c r="H1881" s="85"/>
      <c r="I1881" s="70"/>
    </row>
    <row r="1882" spans="1:9" ht="15" hidden="1" customHeight="1" outlineLevel="1">
      <c r="A1882" s="299"/>
      <c r="B1882" s="132" t="s">
        <v>1641</v>
      </c>
      <c r="C1882" s="290" t="s">
        <v>156</v>
      </c>
      <c r="G1882" s="291">
        <v>500</v>
      </c>
      <c r="H1882" s="85"/>
      <c r="I1882" s="70"/>
    </row>
    <row r="1883" spans="1:9" ht="15" hidden="1" customHeight="1" outlineLevel="1">
      <c r="A1883" s="299"/>
      <c r="B1883" s="132"/>
      <c r="C1883" s="290"/>
      <c r="G1883" s="291"/>
      <c r="H1883" s="85"/>
      <c r="I1883" s="70"/>
    </row>
    <row r="1884" spans="1:9" ht="15" hidden="1" customHeight="1" outlineLevel="1">
      <c r="A1884" s="17" t="s">
        <v>1642</v>
      </c>
      <c r="B1884" s="17" t="s">
        <v>1643</v>
      </c>
      <c r="C1884" s="99" t="s">
        <v>133</v>
      </c>
      <c r="G1884" s="291">
        <v>100</v>
      </c>
      <c r="H1884" s="85"/>
      <c r="I1884" s="70"/>
    </row>
    <row r="1885" spans="1:9" ht="15" hidden="1" customHeight="1" outlineLevel="1">
      <c r="A1885" s="299"/>
      <c r="B1885" s="17" t="s">
        <v>1644</v>
      </c>
      <c r="C1885" s="99" t="s">
        <v>133</v>
      </c>
      <c r="G1885" s="291">
        <v>100</v>
      </c>
      <c r="H1885" s="85"/>
      <c r="I1885" s="70"/>
    </row>
    <row r="1886" spans="1:9" ht="15" hidden="1" customHeight="1" outlineLevel="1">
      <c r="A1886" s="299"/>
      <c r="B1886" s="17" t="s">
        <v>1645</v>
      </c>
      <c r="C1886" s="99" t="s">
        <v>133</v>
      </c>
      <c r="G1886" s="291">
        <v>100</v>
      </c>
    </row>
    <row r="1887" spans="1:9" ht="15" hidden="1" customHeight="1" outlineLevel="1">
      <c r="A1887" s="299"/>
      <c r="B1887" s="17" t="s">
        <v>1646</v>
      </c>
      <c r="C1887" s="99" t="s">
        <v>133</v>
      </c>
      <c r="G1887" s="291">
        <v>100</v>
      </c>
    </row>
    <row r="1888" spans="1:9" ht="15" hidden="1" customHeight="1" outlineLevel="1">
      <c r="A1888" s="299"/>
      <c r="B1888" s="17" t="s">
        <v>1647</v>
      </c>
      <c r="C1888" s="99" t="s">
        <v>133</v>
      </c>
      <c r="G1888" s="291">
        <v>500</v>
      </c>
    </row>
    <row r="1889" spans="1:7" ht="15" hidden="1" customHeight="1" outlineLevel="1">
      <c r="A1889" s="299"/>
      <c r="C1889" s="99"/>
      <c r="G1889" s="291"/>
    </row>
    <row r="1890" spans="1:7" ht="15" hidden="1" customHeight="1" outlineLevel="1">
      <c r="A1890" s="17" t="s">
        <v>1648</v>
      </c>
      <c r="B1890" s="17" t="s">
        <v>1649</v>
      </c>
      <c r="C1890" s="99"/>
      <c r="G1890" s="291">
        <v>50000</v>
      </c>
    </row>
    <row r="1891" spans="1:7" ht="15" hidden="1" customHeight="1" outlineLevel="1">
      <c r="A1891" s="299"/>
      <c r="B1891" s="17" t="s">
        <v>1650</v>
      </c>
      <c r="C1891" s="99"/>
      <c r="G1891" s="291">
        <v>10000</v>
      </c>
    </row>
    <row r="1892" spans="1:7" ht="15" hidden="1" customHeight="1" outlineLevel="1">
      <c r="A1892" s="299"/>
      <c r="B1892" s="17" t="s">
        <v>1651</v>
      </c>
      <c r="C1892" s="99"/>
      <c r="G1892" s="291">
        <v>10000</v>
      </c>
    </row>
    <row r="1893" spans="1:7" ht="15" hidden="1" customHeight="1" outlineLevel="1">
      <c r="A1893" s="299"/>
      <c r="B1893" s="17" t="s">
        <v>1652</v>
      </c>
      <c r="C1893" s="99"/>
      <c r="G1893" s="291">
        <v>10000</v>
      </c>
    </row>
    <row r="1894" spans="1:7" ht="15" hidden="1" customHeight="1" outlineLevel="1">
      <c r="A1894" s="299"/>
      <c r="B1894" s="17" t="s">
        <v>1653</v>
      </c>
      <c r="C1894" s="99"/>
      <c r="G1894" s="291">
        <v>10000</v>
      </c>
    </row>
    <row r="1895" spans="1:7" ht="15" hidden="1" customHeight="1" outlineLevel="1">
      <c r="A1895" s="299"/>
      <c r="B1895" s="17" t="s">
        <v>1654</v>
      </c>
      <c r="C1895" s="99"/>
      <c r="G1895" s="291">
        <v>10000</v>
      </c>
    </row>
    <row r="1896" spans="1:7" ht="15" hidden="1" customHeight="1" outlineLevel="1">
      <c r="A1896" s="299"/>
      <c r="B1896" s="17" t="s">
        <v>1655</v>
      </c>
      <c r="C1896" s="99"/>
      <c r="G1896" s="291">
        <v>10000</v>
      </c>
    </row>
    <row r="1897" spans="1:7" ht="15" hidden="1" customHeight="1" outlineLevel="1">
      <c r="A1897" s="299"/>
      <c r="B1897" s="17" t="s">
        <v>1656</v>
      </c>
      <c r="C1897" s="99"/>
      <c r="G1897" s="291">
        <v>10000</v>
      </c>
    </row>
    <row r="1898" spans="1:7" ht="15" hidden="1" customHeight="1" outlineLevel="1">
      <c r="A1898" s="299"/>
      <c r="B1898" s="17" t="s">
        <v>1657</v>
      </c>
      <c r="C1898" s="99"/>
      <c r="G1898" s="291">
        <v>10000</v>
      </c>
    </row>
    <row r="1899" spans="1:7" ht="15" hidden="1" customHeight="1" outlineLevel="1">
      <c r="A1899" s="299"/>
      <c r="B1899" s="17" t="s">
        <v>1658</v>
      </c>
      <c r="C1899" s="99"/>
      <c r="G1899" s="291">
        <v>10000</v>
      </c>
    </row>
    <row r="1900" spans="1:7" ht="15" hidden="1" customHeight="1" outlineLevel="1">
      <c r="A1900" s="299"/>
      <c r="C1900" s="99"/>
      <c r="G1900" s="291"/>
    </row>
    <row r="1901" spans="1:7" ht="15" hidden="1" customHeight="1" outlineLevel="1">
      <c r="A1901" s="299"/>
      <c r="C1901" s="99"/>
      <c r="G1901" s="291"/>
    </row>
    <row r="1902" spans="1:7" ht="15" hidden="1" customHeight="1" outlineLevel="1">
      <c r="A1902" s="299"/>
      <c r="C1902" s="99"/>
      <c r="G1902" s="291"/>
    </row>
    <row r="1903" spans="1:7" ht="15" customHeight="1">
      <c r="A1903" s="12" t="s">
        <v>1409</v>
      </c>
      <c r="B1903" s="12"/>
      <c r="C1903" s="99"/>
      <c r="G1903" s="291"/>
    </row>
    <row r="1904" spans="1:7" s="307" customFormat="1" ht="15" hidden="1" customHeight="1" outlineLevel="1">
      <c r="B1904" s="308" t="s">
        <v>1659</v>
      </c>
      <c r="C1904" s="309"/>
      <c r="D1904" s="310"/>
      <c r="E1904" s="310"/>
      <c r="F1904" s="311"/>
      <c r="G1904" s="312"/>
    </row>
    <row r="1905" spans="1:9" ht="15" hidden="1" customHeight="1" outlineLevel="1">
      <c r="B1905" s="313" t="s">
        <v>1660</v>
      </c>
      <c r="C1905" s="290"/>
      <c r="G1905" s="291" t="s">
        <v>1661</v>
      </c>
    </row>
    <row r="1906" spans="1:9" ht="15" hidden="1" customHeight="1" outlineLevel="1">
      <c r="A1906" s="70"/>
      <c r="B1906" s="314" t="s">
        <v>1662</v>
      </c>
      <c r="C1906" s="126"/>
      <c r="D1906" s="127"/>
      <c r="E1906" s="127"/>
      <c r="F1906" s="69"/>
      <c r="G1906" s="69">
        <v>1000</v>
      </c>
      <c r="H1906" s="85"/>
      <c r="I1906" s="70"/>
    </row>
    <row r="1907" spans="1:9" ht="15" hidden="1" customHeight="1" outlineLevel="1">
      <c r="B1907" s="314" t="s">
        <v>1663</v>
      </c>
      <c r="G1907" s="69">
        <v>1000</v>
      </c>
    </row>
    <row r="1908" spans="1:9" ht="15" hidden="1" customHeight="1" outlineLevel="1">
      <c r="B1908" s="314" t="s">
        <v>1664</v>
      </c>
      <c r="G1908" s="69">
        <v>1000</v>
      </c>
    </row>
    <row r="1909" spans="1:9" ht="15" hidden="1" customHeight="1" outlineLevel="1">
      <c r="B1909" s="314" t="s">
        <v>1665</v>
      </c>
      <c r="G1909" s="69">
        <v>1000</v>
      </c>
    </row>
    <row r="1910" spans="1:9" ht="15" hidden="1" customHeight="1" outlineLevel="1">
      <c r="B1910" s="314" t="s">
        <v>1666</v>
      </c>
      <c r="G1910" s="69">
        <v>1000</v>
      </c>
    </row>
    <row r="1911" spans="1:9" ht="15" hidden="1" customHeight="1" outlineLevel="1">
      <c r="B1911" s="314" t="s">
        <v>1667</v>
      </c>
      <c r="G1911" s="69">
        <v>1000</v>
      </c>
    </row>
    <row r="1912" spans="1:9" ht="15" hidden="1" customHeight="1" outlineLevel="1">
      <c r="B1912" s="314" t="s">
        <v>1668</v>
      </c>
      <c r="G1912" s="69">
        <v>1000</v>
      </c>
    </row>
    <row r="1913" spans="1:9" ht="15" hidden="1" customHeight="1" outlineLevel="1">
      <c r="B1913" s="314" t="s">
        <v>1669</v>
      </c>
      <c r="G1913" s="69">
        <v>1000</v>
      </c>
    </row>
    <row r="1914" spans="1:9" ht="15" hidden="1" customHeight="1" outlineLevel="1">
      <c r="B1914" s="314" t="s">
        <v>1670</v>
      </c>
      <c r="G1914" s="69">
        <v>1000</v>
      </c>
    </row>
    <row r="1915" spans="1:9" ht="15" hidden="1" customHeight="1" outlineLevel="1">
      <c r="B1915" s="314" t="s">
        <v>1671</v>
      </c>
      <c r="G1915" s="69">
        <v>1000</v>
      </c>
    </row>
    <row r="1916" spans="1:9" ht="15" hidden="1" customHeight="1" outlineLevel="1">
      <c r="B1916" s="314" t="s">
        <v>1672</v>
      </c>
      <c r="G1916" s="69">
        <v>1000</v>
      </c>
    </row>
    <row r="1917" spans="1:9" ht="15" hidden="1" customHeight="1" outlineLevel="1">
      <c r="B1917" s="314" t="s">
        <v>1673</v>
      </c>
      <c r="G1917" s="69">
        <v>1000</v>
      </c>
    </row>
    <row r="1918" spans="1:9" ht="15" hidden="1" customHeight="1" outlineLevel="1">
      <c r="B1918" s="314" t="s">
        <v>1674</v>
      </c>
      <c r="G1918" s="69">
        <v>1000</v>
      </c>
    </row>
    <row r="1919" spans="1:9" ht="15" hidden="1" customHeight="1" outlineLevel="1">
      <c r="B1919" s="314" t="s">
        <v>1675</v>
      </c>
      <c r="G1919" s="69">
        <v>1000</v>
      </c>
    </row>
    <row r="1920" spans="1:9" ht="15" hidden="1" customHeight="1" outlineLevel="1">
      <c r="B1920" s="314" t="s">
        <v>1676</v>
      </c>
      <c r="G1920" s="69">
        <v>1000</v>
      </c>
    </row>
    <row r="1921" spans="2:7" ht="15" hidden="1" customHeight="1" outlineLevel="1">
      <c r="B1921" s="314" t="s">
        <v>1677</v>
      </c>
      <c r="G1921" s="69">
        <v>1000</v>
      </c>
    </row>
    <row r="1922" spans="2:7" ht="15" hidden="1" customHeight="1" outlineLevel="1">
      <c r="B1922" s="314" t="s">
        <v>1678</v>
      </c>
      <c r="G1922" s="69">
        <v>1000</v>
      </c>
    </row>
    <row r="1923" spans="2:7" ht="15" hidden="1" customHeight="1" outlineLevel="1">
      <c r="B1923" s="314" t="s">
        <v>1679</v>
      </c>
      <c r="G1923" s="69">
        <v>1000</v>
      </c>
    </row>
    <row r="1924" spans="2:7" ht="15" hidden="1" customHeight="1" outlineLevel="1">
      <c r="B1924" s="314" t="s">
        <v>1680</v>
      </c>
      <c r="G1924" s="69">
        <v>1000</v>
      </c>
    </row>
    <row r="1925" spans="2:7" ht="15" hidden="1" customHeight="1" outlineLevel="1">
      <c r="B1925" s="314" t="s">
        <v>1681</v>
      </c>
      <c r="G1925" s="69">
        <v>1000</v>
      </c>
    </row>
    <row r="1926" spans="2:7" ht="15" hidden="1" customHeight="1" outlineLevel="1">
      <c r="B1926" s="314" t="s">
        <v>1682</v>
      </c>
      <c r="G1926" s="69">
        <v>1000</v>
      </c>
    </row>
    <row r="1927" spans="2:7" ht="15" hidden="1" customHeight="1" outlineLevel="1">
      <c r="B1927" s="314" t="s">
        <v>1683</v>
      </c>
      <c r="G1927" s="69">
        <v>1000</v>
      </c>
    </row>
    <row r="1928" spans="2:7" ht="15" hidden="1" customHeight="1" outlineLevel="1">
      <c r="B1928" s="314" t="s">
        <v>1684</v>
      </c>
      <c r="G1928" s="69">
        <v>1000</v>
      </c>
    </row>
    <row r="1929" spans="2:7" ht="15" hidden="1" customHeight="1" outlineLevel="1">
      <c r="B1929" s="314" t="s">
        <v>1685</v>
      </c>
      <c r="G1929" s="69">
        <v>1000</v>
      </c>
    </row>
    <row r="1930" spans="2:7" ht="15" hidden="1" customHeight="1" outlineLevel="1">
      <c r="B1930" s="314" t="s">
        <v>1686</v>
      </c>
      <c r="G1930" s="69">
        <v>1000</v>
      </c>
    </row>
    <row r="1931" spans="2:7" ht="15" hidden="1" customHeight="1" outlineLevel="1">
      <c r="B1931" s="314" t="s">
        <v>1687</v>
      </c>
      <c r="G1931" s="69">
        <v>1000</v>
      </c>
    </row>
    <row r="1932" spans="2:7" ht="15" hidden="1" customHeight="1" outlineLevel="1">
      <c r="B1932" s="314" t="s">
        <v>1688</v>
      </c>
      <c r="G1932" s="69">
        <v>1000</v>
      </c>
    </row>
    <row r="1933" spans="2:7" ht="15" hidden="1" customHeight="1" outlineLevel="1">
      <c r="B1933" s="314" t="s">
        <v>1689</v>
      </c>
      <c r="G1933" s="69">
        <v>1000</v>
      </c>
    </row>
    <row r="1934" spans="2:7" ht="15" hidden="1" customHeight="1" outlineLevel="1">
      <c r="B1934" s="314" t="s">
        <v>1690</v>
      </c>
      <c r="G1934" s="69">
        <v>1000</v>
      </c>
    </row>
    <row r="1935" spans="2:7" ht="15" hidden="1" customHeight="1" outlineLevel="1">
      <c r="B1935" s="314" t="s">
        <v>1691</v>
      </c>
      <c r="G1935" s="69">
        <v>1000</v>
      </c>
    </row>
    <row r="1936" spans="2:7" ht="15" hidden="1" customHeight="1" outlineLevel="1">
      <c r="B1936" s="314" t="s">
        <v>1692</v>
      </c>
      <c r="G1936" s="69">
        <v>1000</v>
      </c>
    </row>
    <row r="1937" spans="2:7" ht="15" hidden="1" customHeight="1" outlineLevel="1">
      <c r="B1937" s="314" t="s">
        <v>1693</v>
      </c>
      <c r="G1937" s="69">
        <v>1000</v>
      </c>
    </row>
    <row r="1938" spans="2:7" ht="15" hidden="1" customHeight="1" outlineLevel="1">
      <c r="B1938" s="314" t="s">
        <v>1694</v>
      </c>
      <c r="G1938" s="69">
        <v>1000</v>
      </c>
    </row>
    <row r="1939" spans="2:7" ht="15" hidden="1" customHeight="1" outlineLevel="1">
      <c r="B1939" s="314" t="s">
        <v>1695</v>
      </c>
      <c r="G1939" s="69">
        <v>1000</v>
      </c>
    </row>
    <row r="1940" spans="2:7" ht="15" hidden="1" customHeight="1" outlineLevel="1">
      <c r="B1940" s="314" t="s">
        <v>1696</v>
      </c>
      <c r="G1940" s="69">
        <v>1000</v>
      </c>
    </row>
    <row r="1941" spans="2:7" ht="15" hidden="1" customHeight="1" outlineLevel="1">
      <c r="G1941" s="69"/>
    </row>
    <row r="1942" spans="2:7" s="307" customFormat="1" ht="15" hidden="1" customHeight="1" outlineLevel="1">
      <c r="B1942" s="315"/>
      <c r="C1942" s="316"/>
      <c r="D1942" s="310"/>
      <c r="E1942" s="310"/>
      <c r="F1942" s="311"/>
      <c r="G1942" s="311"/>
    </row>
    <row r="1943" spans="2:7" s="307" customFormat="1" ht="15" hidden="1" customHeight="1" outlineLevel="1">
      <c r="B1943" s="109" t="s">
        <v>1659</v>
      </c>
      <c r="C1943" s="316"/>
      <c r="D1943" s="310"/>
      <c r="E1943" s="310"/>
      <c r="F1943" s="311"/>
      <c r="G1943" s="311"/>
    </row>
    <row r="1944" spans="2:7" ht="15" hidden="1" customHeight="1" outlineLevel="1"/>
    <row r="1945" spans="2:7" ht="15" hidden="1" customHeight="1" outlineLevel="1">
      <c r="B1945" s="313" t="s">
        <v>1697</v>
      </c>
      <c r="D1945" s="19" t="s">
        <v>1698</v>
      </c>
    </row>
    <row r="1946" spans="2:7" ht="15" hidden="1" customHeight="1" outlineLevel="1">
      <c r="B1946" s="314" t="s">
        <v>1699</v>
      </c>
      <c r="D1946" s="19">
        <v>1.9</v>
      </c>
      <c r="G1946" s="20">
        <v>160</v>
      </c>
    </row>
    <row r="1947" spans="2:7" ht="15" hidden="1" customHeight="1" outlineLevel="1">
      <c r="B1947" s="314" t="s">
        <v>1700</v>
      </c>
      <c r="D1947" s="19">
        <v>2</v>
      </c>
      <c r="G1947" s="20">
        <v>180</v>
      </c>
    </row>
    <row r="1948" spans="2:7" ht="15" hidden="1" customHeight="1" outlineLevel="1">
      <c r="B1948" s="314" t="s">
        <v>1701</v>
      </c>
      <c r="D1948" s="19">
        <v>6</v>
      </c>
      <c r="G1948" s="20">
        <v>190</v>
      </c>
    </row>
    <row r="1949" spans="2:7" ht="15" hidden="1" customHeight="1" outlineLevel="1">
      <c r="B1949" s="314" t="s">
        <v>1702</v>
      </c>
      <c r="D1949" s="19">
        <v>2</v>
      </c>
      <c r="G1949" s="20">
        <v>200</v>
      </c>
    </row>
    <row r="1950" spans="2:7" ht="15" hidden="1" customHeight="1" outlineLevel="1">
      <c r="B1950" s="314" t="s">
        <v>1703</v>
      </c>
      <c r="D1950" s="19">
        <v>2.5</v>
      </c>
      <c r="G1950" s="20">
        <v>300</v>
      </c>
    </row>
    <row r="1951" spans="2:7" ht="15" hidden="1" customHeight="1" outlineLevel="1">
      <c r="B1951" s="314" t="s">
        <v>1704</v>
      </c>
      <c r="D1951" s="19">
        <v>3</v>
      </c>
      <c r="G1951" s="20">
        <v>500</v>
      </c>
    </row>
    <row r="1952" spans="2:7" ht="15" hidden="1" customHeight="1" outlineLevel="1"/>
    <row r="1953" spans="2:7" ht="15" hidden="1" customHeight="1" outlineLevel="1"/>
    <row r="1954" spans="2:7" ht="15" hidden="1" customHeight="1" outlineLevel="1"/>
    <row r="1955" spans="2:7" ht="15" hidden="1" customHeight="1" outlineLevel="1">
      <c r="B1955" s="313" t="s">
        <v>1705</v>
      </c>
    </row>
    <row r="1956" spans="2:7" ht="15" hidden="1" customHeight="1" outlineLevel="1">
      <c r="B1956" s="317" t="s">
        <v>1706</v>
      </c>
      <c r="G1956" s="20">
        <v>300</v>
      </c>
    </row>
    <row r="1957" spans="2:7" ht="15" hidden="1" customHeight="1" outlineLevel="1">
      <c r="B1957" s="317"/>
    </row>
    <row r="1958" spans="2:7" ht="15" hidden="1" customHeight="1" outlineLevel="1">
      <c r="B1958" s="317"/>
    </row>
    <row r="1959" spans="2:7" ht="15" hidden="1" customHeight="1" outlineLevel="1"/>
    <row r="1960" spans="2:7" ht="15" hidden="1" customHeight="1" outlineLevel="1">
      <c r="B1960" s="318" t="s">
        <v>1707</v>
      </c>
      <c r="G1960" s="20" t="s">
        <v>159</v>
      </c>
    </row>
    <row r="1961" spans="2:7" ht="15" hidden="1" customHeight="1" outlineLevel="1">
      <c r="B1961" s="314" t="s">
        <v>1708</v>
      </c>
      <c r="G1961" s="20">
        <v>2000</v>
      </c>
    </row>
    <row r="1962" spans="2:7" ht="15" hidden="1" customHeight="1" outlineLevel="1">
      <c r="B1962" s="314" t="s">
        <v>1709</v>
      </c>
      <c r="G1962" s="20">
        <v>2000</v>
      </c>
    </row>
    <row r="1963" spans="2:7" ht="15" hidden="1" customHeight="1" outlineLevel="1">
      <c r="B1963" s="314" t="s">
        <v>1710</v>
      </c>
      <c r="G1963" s="20">
        <v>2000</v>
      </c>
    </row>
    <row r="1964" spans="2:7" ht="15" hidden="1" customHeight="1" outlineLevel="1">
      <c r="B1964" s="314" t="s">
        <v>1711</v>
      </c>
      <c r="G1964" s="20">
        <v>2000</v>
      </c>
    </row>
    <row r="1965" spans="2:7" ht="15" hidden="1" customHeight="1" outlineLevel="1">
      <c r="B1965" s="314" t="s">
        <v>1712</v>
      </c>
      <c r="G1965" s="20">
        <v>2000</v>
      </c>
    </row>
    <row r="1966" spans="2:7" ht="15" hidden="1" customHeight="1" outlineLevel="1">
      <c r="B1966" s="314" t="s">
        <v>1713</v>
      </c>
      <c r="G1966" s="20">
        <v>2000</v>
      </c>
    </row>
    <row r="1967" spans="2:7" ht="15" hidden="1" customHeight="1" outlineLevel="1">
      <c r="B1967" s="314" t="s">
        <v>1714</v>
      </c>
      <c r="G1967" s="20">
        <v>2000</v>
      </c>
    </row>
    <row r="1968" spans="2:7" ht="15" hidden="1" customHeight="1" outlineLevel="1">
      <c r="B1968" s="314" t="s">
        <v>1715</v>
      </c>
      <c r="G1968" s="20">
        <v>2000</v>
      </c>
    </row>
    <row r="1969" spans="2:7" ht="15" hidden="1" customHeight="1" outlineLevel="1">
      <c r="B1969" s="314" t="s">
        <v>1716</v>
      </c>
      <c r="G1969" s="20">
        <v>2000</v>
      </c>
    </row>
    <row r="1970" spans="2:7" ht="15" hidden="1" customHeight="1" outlineLevel="1">
      <c r="B1970" s="314" t="s">
        <v>1717</v>
      </c>
      <c r="G1970" s="20">
        <v>2000</v>
      </c>
    </row>
    <row r="1971" spans="2:7" ht="15" hidden="1" customHeight="1" outlineLevel="1"/>
    <row r="1972" spans="2:7" ht="15" hidden="1" customHeight="1" outlineLevel="1"/>
    <row r="1973" spans="2:7" ht="15" hidden="1" customHeight="1" outlineLevel="1"/>
    <row r="1974" spans="2:7" ht="15" hidden="1" customHeight="1" outlineLevel="1">
      <c r="B1974" s="158" t="s">
        <v>1718</v>
      </c>
      <c r="G1974" s="20">
        <v>340</v>
      </c>
    </row>
    <row r="1975" spans="2:7" ht="15" hidden="1" customHeight="1" outlineLevel="1">
      <c r="B1975" s="158"/>
    </row>
    <row r="1976" spans="2:7" ht="15" hidden="1" customHeight="1" outlineLevel="1">
      <c r="B1976" s="158" t="s">
        <v>1719</v>
      </c>
      <c r="G1976" s="20">
        <v>160</v>
      </c>
    </row>
    <row r="1977" spans="2:7" ht="15" hidden="1" customHeight="1" outlineLevel="1">
      <c r="B1977" s="158"/>
    </row>
    <row r="1978" spans="2:7" ht="15" hidden="1" customHeight="1" outlineLevel="1">
      <c r="B1978" s="158"/>
    </row>
    <row r="1979" spans="2:7" ht="15" hidden="1" customHeight="1" outlineLevel="1">
      <c r="B1979" s="158" t="s">
        <v>1720</v>
      </c>
      <c r="G1979" s="20">
        <v>15</v>
      </c>
    </row>
    <row r="1980" spans="2:7" ht="15" hidden="1" customHeight="1" outlineLevel="1">
      <c r="B1980" s="319" t="s">
        <v>1721</v>
      </c>
      <c r="G1980" s="20">
        <v>25</v>
      </c>
    </row>
    <row r="1981" spans="2:7" ht="15" hidden="1" customHeight="1" outlineLevel="1"/>
    <row r="1982" spans="2:7" ht="15" hidden="1" customHeight="1" outlineLevel="1">
      <c r="B1982" s="313" t="s">
        <v>1722</v>
      </c>
    </row>
    <row r="1983" spans="2:7" ht="15" hidden="1" customHeight="1" outlineLevel="1">
      <c r="B1983" s="32" t="s">
        <v>1723</v>
      </c>
      <c r="G1983" s="20">
        <v>100</v>
      </c>
    </row>
    <row r="1984" spans="2:7" ht="15" hidden="1" customHeight="1" outlineLevel="1">
      <c r="B1984" s="32" t="s">
        <v>1724</v>
      </c>
      <c r="G1984" s="20">
        <v>100</v>
      </c>
    </row>
    <row r="1985" spans="2:7" ht="15" hidden="1" customHeight="1" outlineLevel="1">
      <c r="B1985" s="32" t="s">
        <v>1725</v>
      </c>
      <c r="G1985" s="20">
        <v>100</v>
      </c>
    </row>
    <row r="1986" spans="2:7" ht="15" hidden="1" customHeight="1" outlineLevel="1"/>
    <row r="1987" spans="2:7" ht="15" hidden="1" customHeight="1" outlineLevel="1"/>
    <row r="1988" spans="2:7" ht="15" hidden="1" customHeight="1" outlineLevel="1">
      <c r="B1988" s="320" t="s">
        <v>1726</v>
      </c>
    </row>
    <row r="1989" spans="2:7" ht="15" hidden="1" customHeight="1" outlineLevel="1">
      <c r="B1989" s="321" t="s">
        <v>1727</v>
      </c>
      <c r="G1989" s="20">
        <v>2500</v>
      </c>
    </row>
    <row r="1990" spans="2:7" ht="15" hidden="1" customHeight="1" outlineLevel="1">
      <c r="B1990" s="321" t="s">
        <v>1728</v>
      </c>
      <c r="G1990" s="20">
        <v>2500</v>
      </c>
    </row>
    <row r="1991" spans="2:7" ht="15" hidden="1" customHeight="1" outlineLevel="1"/>
    <row r="1992" spans="2:7" ht="15" hidden="1" customHeight="1" outlineLevel="1"/>
    <row r="1993" spans="2:7" ht="15" hidden="1" customHeight="1" outlineLevel="1">
      <c r="B1993" s="17" t="s">
        <v>1729</v>
      </c>
      <c r="G1993" s="20">
        <v>3500</v>
      </c>
    </row>
    <row r="1994" spans="2:7" ht="15" hidden="1" customHeight="1" outlineLevel="1"/>
    <row r="1995" spans="2:7" ht="15" hidden="1" customHeight="1" outlineLevel="1">
      <c r="B1995" s="17" t="s">
        <v>1730</v>
      </c>
      <c r="G1995" s="20">
        <v>5000</v>
      </c>
    </row>
    <row r="1996" spans="2:7" ht="15" hidden="1" customHeight="1" outlineLevel="1"/>
    <row r="1997" spans="2:7" ht="15" hidden="1" customHeight="1" outlineLevel="1">
      <c r="B1997" s="17" t="s">
        <v>1731</v>
      </c>
      <c r="G1997" s="20">
        <v>2000</v>
      </c>
    </row>
    <row r="1998" spans="2:7" ht="15" hidden="1" customHeight="1" outlineLevel="1"/>
    <row r="1999" spans="2:7" ht="15" hidden="1" customHeight="1" outlineLevel="1">
      <c r="B1999" s="313" t="s">
        <v>1732</v>
      </c>
    </row>
    <row r="2000" spans="2:7" ht="15" hidden="1" customHeight="1" outlineLevel="1">
      <c r="B2000" s="317" t="s">
        <v>1733</v>
      </c>
      <c r="G2000" s="20">
        <v>500</v>
      </c>
    </row>
    <row r="2001" spans="2:7" ht="15" hidden="1" customHeight="1" outlineLevel="1">
      <c r="B2001" s="317" t="s">
        <v>1734</v>
      </c>
      <c r="G2001" s="20">
        <v>500</v>
      </c>
    </row>
    <row r="2002" spans="2:7" ht="15" hidden="1" customHeight="1" outlineLevel="1">
      <c r="B2002" s="317" t="s">
        <v>1735</v>
      </c>
      <c r="G2002" s="20">
        <v>500</v>
      </c>
    </row>
    <row r="2003" spans="2:7" ht="15" hidden="1" customHeight="1" outlineLevel="1"/>
    <row r="2004" spans="2:7" ht="15" hidden="1" customHeight="1" outlineLevel="1"/>
    <row r="2005" spans="2:7" ht="15" hidden="1" customHeight="1" outlineLevel="1"/>
    <row r="2006" spans="2:7" ht="15" hidden="1" customHeight="1" outlineLevel="1">
      <c r="B2006" s="313" t="s">
        <v>1736</v>
      </c>
    </row>
    <row r="2007" spans="2:7" ht="15" hidden="1" customHeight="1" outlineLevel="1">
      <c r="B2007" s="317" t="s">
        <v>1733</v>
      </c>
      <c r="G2007" s="20">
        <v>600</v>
      </c>
    </row>
    <row r="2008" spans="2:7" ht="15" hidden="1" customHeight="1" outlineLevel="1">
      <c r="B2008" s="317" t="s">
        <v>1734</v>
      </c>
      <c r="G2008" s="20">
        <v>600</v>
      </c>
    </row>
    <row r="2009" spans="2:7" ht="15" hidden="1" customHeight="1" outlineLevel="1">
      <c r="B2009" s="317" t="s">
        <v>1735</v>
      </c>
      <c r="G2009" s="20">
        <v>600</v>
      </c>
    </row>
    <row r="2010" spans="2:7" ht="15" hidden="1" customHeight="1" outlineLevel="1"/>
    <row r="2011" spans="2:7" ht="15" hidden="1" customHeight="1" outlineLevel="1"/>
    <row r="2012" spans="2:7" ht="15" hidden="1" customHeight="1" outlineLevel="1"/>
    <row r="2013" spans="2:7" ht="15" hidden="1" customHeight="1" outlineLevel="1"/>
    <row r="2014" spans="2:7" ht="15" hidden="1" customHeight="1" outlineLevel="1">
      <c r="B2014" s="320" t="s">
        <v>1737</v>
      </c>
    </row>
    <row r="2015" spans="2:7" ht="15" hidden="1" customHeight="1" outlineLevel="1">
      <c r="B2015" s="158" t="s">
        <v>1738</v>
      </c>
      <c r="C2015" s="18" t="s">
        <v>1415</v>
      </c>
      <c r="G2015" s="20">
        <v>500</v>
      </c>
    </row>
    <row r="2016" spans="2:7" ht="15" hidden="1" customHeight="1" outlineLevel="1">
      <c r="B2016" s="158" t="s">
        <v>1739</v>
      </c>
      <c r="G2016" s="20">
        <v>3000</v>
      </c>
    </row>
    <row r="2017" spans="1:17" ht="15" hidden="1" customHeight="1" outlineLevel="1">
      <c r="B2017" s="158" t="s">
        <v>1740</v>
      </c>
      <c r="G2017" s="20">
        <v>20000</v>
      </c>
    </row>
    <row r="2018" spans="1:17" ht="15" hidden="1" customHeight="1" outlineLevel="1">
      <c r="B2018" s="158" t="s">
        <v>1741</v>
      </c>
      <c r="G2018" s="20">
        <v>1500</v>
      </c>
    </row>
    <row r="2019" spans="1:17" ht="15" hidden="1" customHeight="1" outlineLevel="1">
      <c r="B2019" s="158" t="s">
        <v>1742</v>
      </c>
      <c r="G2019" s="20">
        <v>500</v>
      </c>
    </row>
    <row r="2020" spans="1:17" ht="15" hidden="1" customHeight="1" outlineLevel="1">
      <c r="B2020" s="158" t="s">
        <v>1743</v>
      </c>
      <c r="G2020" s="20">
        <v>100</v>
      </c>
    </row>
    <row r="2021" spans="1:17" ht="15" hidden="1" customHeight="1" outlineLevel="1">
      <c r="B2021" s="158" t="s">
        <v>1744</v>
      </c>
      <c r="G2021" s="20">
        <v>700</v>
      </c>
    </row>
    <row r="2022" spans="1:17" ht="15" hidden="1" customHeight="1"/>
    <row r="2023" spans="1:17" s="258" customFormat="1" ht="15" customHeight="1">
      <c r="A2023" s="307"/>
      <c r="B2023" s="322"/>
      <c r="C2023" s="323"/>
      <c r="D2023" s="324"/>
      <c r="E2023" s="324"/>
      <c r="F2023" s="325"/>
      <c r="G2023" s="325"/>
    </row>
    <row r="2024" spans="1:17" s="258" customFormat="1" ht="15" customHeight="1">
      <c r="A2024" s="140"/>
      <c r="B2024" s="140"/>
      <c r="C2024" s="115"/>
      <c r="D2024" s="326"/>
      <c r="E2024" s="326"/>
      <c r="F2024" s="327"/>
      <c r="G2024" s="327"/>
      <c r="H2024" s="140"/>
    </row>
    <row r="2025" spans="1:17" ht="15" customHeight="1">
      <c r="A2025" s="140"/>
      <c r="B2025" s="140"/>
      <c r="C2025" s="115"/>
      <c r="D2025" s="326"/>
      <c r="E2025" s="326"/>
      <c r="F2025" s="327"/>
      <c r="G2025" s="327"/>
      <c r="H2025" s="140"/>
      <c r="I2025" s="258"/>
      <c r="J2025" s="258"/>
      <c r="K2025" s="258"/>
      <c r="L2025" s="258"/>
      <c r="M2025" s="258"/>
      <c r="N2025" s="258"/>
      <c r="O2025" s="258"/>
      <c r="P2025" s="258"/>
      <c r="Q2025" s="258"/>
    </row>
    <row r="2026" spans="1:17" ht="15" customHeight="1">
      <c r="A2026" s="140"/>
      <c r="B2026" s="140"/>
      <c r="C2026" s="115"/>
      <c r="D2026" s="326"/>
      <c r="E2026" s="326"/>
      <c r="F2026" s="327"/>
      <c r="G2026" s="327"/>
      <c r="H2026" s="140"/>
      <c r="I2026" s="258"/>
      <c r="J2026" s="258"/>
      <c r="K2026" s="258"/>
      <c r="L2026" s="258"/>
      <c r="M2026" s="258"/>
      <c r="N2026" s="258"/>
      <c r="O2026" s="258"/>
      <c r="P2026" s="258"/>
      <c r="Q2026" s="258"/>
    </row>
    <row r="2027" spans="1:17" ht="15" customHeight="1">
      <c r="A2027" s="140"/>
      <c r="B2027" s="140"/>
      <c r="C2027" s="115"/>
      <c r="D2027" s="326"/>
      <c r="E2027" s="326"/>
      <c r="F2027" s="327"/>
      <c r="G2027" s="327"/>
      <c r="H2027" s="140"/>
      <c r="I2027" s="258"/>
      <c r="J2027" s="258"/>
      <c r="K2027" s="258"/>
      <c r="L2027" s="258"/>
      <c r="M2027" s="258"/>
      <c r="N2027" s="258"/>
      <c r="O2027" s="258"/>
      <c r="P2027" s="258"/>
      <c r="Q2027" s="258"/>
    </row>
    <row r="2028" spans="1:17" ht="15" customHeight="1">
      <c r="A2028" s="140"/>
      <c r="B2028" s="140"/>
      <c r="C2028" s="115"/>
      <c r="D2028" s="326"/>
      <c r="E2028" s="326"/>
      <c r="F2028" s="327"/>
      <c r="G2028" s="327"/>
      <c r="H2028" s="140"/>
      <c r="I2028" s="258"/>
      <c r="J2028" s="258"/>
      <c r="K2028" s="258"/>
      <c r="L2028" s="258"/>
      <c r="M2028" s="258"/>
      <c r="N2028" s="258"/>
      <c r="O2028" s="258"/>
      <c r="P2028" s="258"/>
      <c r="Q2028" s="258"/>
    </row>
    <row r="2029" spans="1:17" ht="15" customHeight="1">
      <c r="A2029" s="140"/>
      <c r="B2029" s="140"/>
      <c r="C2029" s="115"/>
      <c r="D2029" s="326"/>
      <c r="E2029" s="326"/>
      <c r="F2029" s="327"/>
      <c r="G2029" s="327"/>
      <c r="H2029" s="140"/>
      <c r="I2029" s="258"/>
      <c r="J2029" s="258"/>
      <c r="K2029" s="258"/>
      <c r="L2029" s="258"/>
      <c r="M2029" s="258"/>
      <c r="N2029" s="258"/>
      <c r="O2029" s="258"/>
      <c r="P2029" s="258"/>
      <c r="Q2029" s="258"/>
    </row>
    <row r="2030" spans="1:17" ht="15" customHeight="1">
      <c r="A2030" s="140"/>
      <c r="B2030" s="140"/>
      <c r="C2030" s="115"/>
      <c r="D2030" s="326"/>
      <c r="E2030" s="326"/>
      <c r="F2030" s="327"/>
      <c r="G2030" s="327"/>
      <c r="H2030" s="140"/>
      <c r="I2030" s="258"/>
      <c r="J2030" s="258"/>
      <c r="K2030" s="258"/>
      <c r="L2030" s="258"/>
      <c r="M2030" s="258"/>
      <c r="N2030" s="258"/>
      <c r="O2030" s="258"/>
      <c r="P2030" s="258"/>
      <c r="Q2030" s="258"/>
    </row>
    <row r="2031" spans="1:17" ht="15" customHeight="1">
      <c r="A2031" s="140"/>
      <c r="B2031" s="140"/>
      <c r="C2031" s="115"/>
      <c r="D2031" s="326"/>
      <c r="E2031" s="326"/>
      <c r="F2031" s="327"/>
      <c r="G2031" s="327"/>
      <c r="H2031" s="140"/>
      <c r="I2031" s="258"/>
      <c r="J2031" s="258"/>
      <c r="K2031" s="258"/>
      <c r="L2031" s="258"/>
      <c r="M2031" s="258"/>
      <c r="N2031" s="258"/>
      <c r="O2031" s="258"/>
      <c r="P2031" s="258"/>
      <c r="Q2031" s="258"/>
    </row>
    <row r="2032" spans="1:17" ht="15" customHeight="1">
      <c r="A2032" s="140"/>
      <c r="B2032" s="140"/>
      <c r="C2032" s="115"/>
      <c r="D2032" s="326"/>
      <c r="E2032" s="326"/>
      <c r="F2032" s="327"/>
      <c r="G2032" s="327"/>
      <c r="H2032" s="140"/>
      <c r="I2032" s="258"/>
      <c r="J2032" s="258"/>
      <c r="K2032" s="258"/>
      <c r="L2032" s="258"/>
      <c r="M2032" s="258"/>
      <c r="N2032" s="258"/>
      <c r="O2032" s="258"/>
      <c r="P2032" s="258"/>
      <c r="Q2032" s="258"/>
    </row>
    <row r="2033" spans="1:17" ht="15" customHeight="1">
      <c r="A2033" s="140"/>
      <c r="B2033" s="140"/>
      <c r="C2033" s="115"/>
      <c r="D2033" s="326"/>
      <c r="E2033" s="326"/>
      <c r="F2033" s="327"/>
      <c r="G2033" s="327"/>
      <c r="H2033" s="140"/>
      <c r="I2033" s="258"/>
      <c r="J2033" s="258"/>
      <c r="K2033" s="258"/>
      <c r="L2033" s="258"/>
      <c r="M2033" s="258"/>
      <c r="N2033" s="258"/>
      <c r="O2033" s="258"/>
      <c r="P2033" s="258"/>
      <c r="Q2033" s="258"/>
    </row>
    <row r="2034" spans="1:17" ht="15" customHeight="1">
      <c r="A2034" s="140"/>
      <c r="B2034" s="140"/>
      <c r="C2034" s="115"/>
      <c r="D2034" s="326"/>
      <c r="E2034" s="326"/>
      <c r="F2034" s="327"/>
      <c r="G2034" s="327"/>
      <c r="H2034" s="140"/>
      <c r="I2034" s="258"/>
      <c r="J2034" s="258"/>
      <c r="K2034" s="258"/>
      <c r="L2034" s="258"/>
      <c r="M2034" s="258"/>
      <c r="N2034" s="258"/>
      <c r="O2034" s="258"/>
      <c r="P2034" s="258"/>
      <c r="Q2034" s="258"/>
    </row>
    <row r="2035" spans="1:17" ht="15" customHeight="1">
      <c r="A2035" s="140"/>
      <c r="B2035" s="140"/>
      <c r="C2035" s="115"/>
      <c r="D2035" s="326"/>
      <c r="E2035" s="326"/>
      <c r="F2035" s="327"/>
      <c r="G2035" s="327"/>
      <c r="H2035" s="140"/>
      <c r="I2035" s="258"/>
      <c r="J2035" s="258"/>
      <c r="K2035" s="258"/>
      <c r="L2035" s="258"/>
      <c r="M2035" s="258"/>
      <c r="N2035" s="258"/>
      <c r="O2035" s="258"/>
      <c r="P2035" s="258"/>
      <c r="Q2035" s="258"/>
    </row>
    <row r="2036" spans="1:17" ht="15" customHeight="1">
      <c r="A2036" s="140"/>
      <c r="B2036" s="140"/>
      <c r="C2036" s="115"/>
      <c r="D2036" s="326"/>
      <c r="E2036" s="326"/>
      <c r="F2036" s="327"/>
      <c r="G2036" s="327"/>
      <c r="H2036" s="140"/>
      <c r="I2036" s="258"/>
      <c r="J2036" s="258"/>
      <c r="K2036" s="258"/>
      <c r="L2036" s="258"/>
      <c r="M2036" s="258"/>
      <c r="N2036" s="258"/>
      <c r="O2036" s="258"/>
      <c r="P2036" s="258"/>
      <c r="Q2036" s="258"/>
    </row>
    <row r="2037" spans="1:17" ht="15" customHeight="1">
      <c r="A2037" s="140"/>
      <c r="B2037" s="140"/>
      <c r="C2037" s="115"/>
      <c r="D2037" s="326"/>
      <c r="E2037" s="326"/>
      <c r="F2037" s="327"/>
      <c r="G2037" s="327"/>
      <c r="H2037" s="140"/>
      <c r="I2037" s="258"/>
      <c r="J2037" s="258"/>
      <c r="K2037" s="258"/>
      <c r="L2037" s="258"/>
      <c r="M2037" s="258"/>
      <c r="N2037" s="258"/>
      <c r="O2037" s="258"/>
      <c r="P2037" s="258"/>
      <c r="Q2037" s="258"/>
    </row>
    <row r="2038" spans="1:17" ht="15" customHeight="1">
      <c r="A2038" s="140"/>
      <c r="B2038" s="140"/>
      <c r="C2038" s="115"/>
      <c r="D2038" s="326"/>
      <c r="E2038" s="326"/>
      <c r="F2038" s="327"/>
      <c r="G2038" s="327"/>
      <c r="H2038" s="140"/>
      <c r="I2038" s="258"/>
      <c r="J2038" s="258"/>
      <c r="K2038" s="258"/>
      <c r="L2038" s="258"/>
      <c r="M2038" s="258"/>
      <c r="N2038" s="258"/>
      <c r="O2038" s="258"/>
      <c r="P2038" s="258"/>
      <c r="Q2038" s="258"/>
    </row>
    <row r="2039" spans="1:17" ht="15" customHeight="1">
      <c r="A2039" s="140"/>
      <c r="B2039" s="140"/>
      <c r="C2039" s="115"/>
      <c r="D2039" s="326"/>
      <c r="E2039" s="326"/>
      <c r="F2039" s="327"/>
      <c r="G2039" s="327"/>
      <c r="H2039" s="140"/>
      <c r="I2039" s="258"/>
      <c r="J2039" s="258"/>
      <c r="K2039" s="258"/>
      <c r="L2039" s="258"/>
      <c r="M2039" s="258"/>
      <c r="N2039" s="258"/>
      <c r="O2039" s="258"/>
      <c r="P2039" s="258"/>
      <c r="Q2039" s="258"/>
    </row>
    <row r="2040" spans="1:17" ht="15" customHeight="1">
      <c r="A2040" s="140"/>
      <c r="B2040" s="140"/>
      <c r="C2040" s="115"/>
      <c r="D2040" s="326"/>
      <c r="E2040" s="326"/>
      <c r="F2040" s="327"/>
      <c r="G2040" s="327"/>
      <c r="H2040" s="140"/>
      <c r="I2040" s="258"/>
      <c r="J2040" s="258"/>
      <c r="K2040" s="258"/>
      <c r="L2040" s="258"/>
      <c r="M2040" s="258"/>
      <c r="N2040" s="258"/>
      <c r="O2040" s="258"/>
      <c r="P2040" s="258"/>
      <c r="Q2040" s="258"/>
    </row>
    <row r="2041" spans="1:17" ht="15" customHeight="1">
      <c r="A2041" s="140"/>
      <c r="B2041" s="140"/>
      <c r="C2041" s="115"/>
      <c r="D2041" s="326"/>
      <c r="E2041" s="326"/>
      <c r="F2041" s="327"/>
      <c r="G2041" s="327"/>
      <c r="H2041" s="140"/>
      <c r="I2041" s="258"/>
      <c r="J2041" s="258"/>
      <c r="K2041" s="258"/>
      <c r="L2041" s="258"/>
      <c r="M2041" s="258"/>
      <c r="N2041" s="258"/>
      <c r="O2041" s="258"/>
      <c r="P2041" s="258"/>
      <c r="Q2041" s="258"/>
    </row>
    <row r="2042" spans="1:17" ht="15" customHeight="1">
      <c r="A2042" s="140"/>
      <c r="B2042" s="140"/>
      <c r="C2042" s="115"/>
      <c r="D2042" s="326"/>
      <c r="E2042" s="326"/>
      <c r="F2042" s="327"/>
      <c r="G2042" s="327"/>
      <c r="H2042" s="140"/>
      <c r="I2042" s="258"/>
      <c r="J2042" s="258"/>
      <c r="K2042" s="258"/>
      <c r="L2042" s="258"/>
      <c r="M2042" s="258"/>
      <c r="N2042" s="258"/>
      <c r="O2042" s="258"/>
      <c r="P2042" s="258"/>
      <c r="Q2042" s="258"/>
    </row>
    <row r="2043" spans="1:17" ht="15" customHeight="1">
      <c r="A2043" s="140"/>
      <c r="B2043" s="140"/>
      <c r="C2043" s="115"/>
      <c r="D2043" s="326"/>
      <c r="E2043" s="326"/>
      <c r="F2043" s="327"/>
      <c r="G2043" s="327"/>
      <c r="H2043" s="140"/>
      <c r="I2043" s="258"/>
      <c r="J2043" s="258"/>
      <c r="K2043" s="258"/>
      <c r="L2043" s="258"/>
      <c r="M2043" s="258"/>
      <c r="N2043" s="258"/>
      <c r="O2043" s="258"/>
      <c r="P2043" s="258"/>
      <c r="Q2043" s="258"/>
    </row>
    <row r="2044" spans="1:17" ht="15" customHeight="1">
      <c r="A2044" s="140"/>
      <c r="B2044" s="140"/>
      <c r="C2044" s="115"/>
      <c r="D2044" s="326"/>
      <c r="E2044" s="326"/>
      <c r="F2044" s="327"/>
      <c r="G2044" s="327"/>
      <c r="H2044" s="140"/>
      <c r="I2044" s="258"/>
      <c r="J2044" s="258"/>
      <c r="K2044" s="258"/>
      <c r="L2044" s="258"/>
      <c r="M2044" s="258"/>
      <c r="N2044" s="258"/>
      <c r="O2044" s="258"/>
      <c r="P2044" s="258"/>
      <c r="Q2044" s="258"/>
    </row>
    <row r="2045" spans="1:17" ht="15" customHeight="1">
      <c r="A2045" s="140"/>
      <c r="B2045" s="140"/>
      <c r="C2045" s="115"/>
      <c r="D2045" s="326"/>
      <c r="E2045" s="326"/>
      <c r="F2045" s="327"/>
      <c r="G2045" s="327"/>
      <c r="H2045" s="140"/>
      <c r="I2045" s="258"/>
      <c r="J2045" s="258"/>
      <c r="K2045" s="258"/>
      <c r="L2045" s="258"/>
      <c r="M2045" s="258"/>
      <c r="N2045" s="258"/>
      <c r="O2045" s="258"/>
      <c r="P2045" s="258"/>
      <c r="Q2045" s="258"/>
    </row>
    <row r="2046" spans="1:17" ht="15" customHeight="1">
      <c r="A2046" s="208"/>
      <c r="B2046" s="208"/>
      <c r="C2046" s="328"/>
      <c r="D2046" s="329"/>
      <c r="E2046" s="329"/>
      <c r="F2046" s="330"/>
      <c r="G2046" s="330"/>
      <c r="H2046" s="208"/>
    </row>
    <row r="2047" spans="1:17" ht="15" customHeight="1">
      <c r="A2047" s="208"/>
      <c r="B2047" s="208"/>
      <c r="C2047" s="328"/>
      <c r="D2047" s="329"/>
      <c r="E2047" s="329"/>
      <c r="F2047" s="330"/>
      <c r="G2047" s="330"/>
      <c r="H2047" s="208"/>
    </row>
    <row r="2048" spans="1:17" ht="15" customHeight="1">
      <c r="A2048" s="208"/>
      <c r="B2048" s="208"/>
      <c r="C2048" s="328"/>
      <c r="D2048" s="329"/>
      <c r="E2048" s="329"/>
      <c r="F2048" s="330"/>
      <c r="G2048" s="330"/>
      <c r="H2048" s="208"/>
    </row>
    <row r="2049" spans="1:8" ht="15" customHeight="1">
      <c r="A2049" s="208"/>
      <c r="B2049" s="208"/>
      <c r="C2049" s="328"/>
      <c r="D2049" s="329"/>
      <c r="E2049" s="329"/>
      <c r="F2049" s="330"/>
      <c r="G2049" s="330"/>
      <c r="H2049" s="208"/>
    </row>
    <row r="2050" spans="1:8" ht="15" customHeight="1">
      <c r="A2050" s="208"/>
      <c r="B2050" s="208"/>
      <c r="C2050" s="328"/>
      <c r="D2050" s="329"/>
      <c r="E2050" s="329"/>
      <c r="F2050" s="330"/>
      <c r="G2050" s="330"/>
      <c r="H2050" s="208"/>
    </row>
    <row r="2051" spans="1:8" ht="15" customHeight="1">
      <c r="A2051" s="208"/>
      <c r="B2051" s="208"/>
      <c r="C2051" s="328"/>
      <c r="D2051" s="329"/>
      <c r="E2051" s="329"/>
      <c r="F2051" s="330"/>
      <c r="G2051" s="330"/>
      <c r="H2051" s="208"/>
    </row>
    <row r="2052" spans="1:8" ht="15" customHeight="1">
      <c r="A2052" s="208"/>
      <c r="B2052" s="208"/>
      <c r="C2052" s="328"/>
      <c r="D2052" s="329"/>
      <c r="E2052" s="329"/>
      <c r="F2052" s="330"/>
      <c r="G2052" s="330"/>
      <c r="H2052" s="208"/>
    </row>
    <row r="2053" spans="1:8" ht="15" customHeight="1">
      <c r="A2053" s="208"/>
      <c r="B2053" s="208"/>
      <c r="C2053" s="328"/>
      <c r="D2053" s="329"/>
      <c r="E2053" s="329"/>
      <c r="F2053" s="330"/>
      <c r="G2053" s="330"/>
      <c r="H2053" s="208"/>
    </row>
    <row r="2054" spans="1:8" ht="15" customHeight="1">
      <c r="A2054" s="208"/>
      <c r="B2054" s="208"/>
      <c r="C2054" s="328"/>
      <c r="D2054" s="329"/>
      <c r="E2054" s="329"/>
      <c r="F2054" s="330"/>
      <c r="G2054" s="330"/>
      <c r="H2054" s="208"/>
    </row>
    <row r="2055" spans="1:8" ht="15" customHeight="1">
      <c r="A2055" s="208"/>
      <c r="B2055" s="208"/>
      <c r="C2055" s="328"/>
      <c r="D2055" s="329"/>
      <c r="E2055" s="329"/>
      <c r="F2055" s="330"/>
      <c r="G2055" s="330"/>
      <c r="H2055" s="208"/>
    </row>
    <row r="2056" spans="1:8" ht="15" customHeight="1">
      <c r="A2056" s="208"/>
      <c r="B2056" s="208"/>
      <c r="C2056" s="328"/>
      <c r="D2056" s="329"/>
      <c r="E2056" s="329"/>
      <c r="F2056" s="330"/>
      <c r="G2056" s="330"/>
      <c r="H2056" s="208"/>
    </row>
    <row r="2057" spans="1:8" ht="15" customHeight="1">
      <c r="A2057" s="208"/>
      <c r="B2057" s="208"/>
      <c r="C2057" s="328"/>
      <c r="D2057" s="329"/>
      <c r="E2057" s="329"/>
      <c r="F2057" s="330"/>
      <c r="G2057" s="330"/>
      <c r="H2057" s="208"/>
    </row>
    <row r="2058" spans="1:8" ht="15" customHeight="1">
      <c r="A2058" s="208"/>
      <c r="B2058" s="208"/>
      <c r="C2058" s="328"/>
      <c r="D2058" s="329"/>
      <c r="E2058" s="329"/>
      <c r="F2058" s="330"/>
      <c r="G2058" s="330"/>
      <c r="H2058" s="208"/>
    </row>
    <row r="2059" spans="1:8" ht="15" customHeight="1">
      <c r="A2059" s="208"/>
      <c r="B2059" s="208"/>
      <c r="C2059" s="328"/>
      <c r="D2059" s="329"/>
      <c r="E2059" s="329"/>
      <c r="F2059" s="330"/>
      <c r="G2059" s="330"/>
      <c r="H2059" s="208"/>
    </row>
    <row r="2060" spans="1:8" ht="15" customHeight="1">
      <c r="A2060" s="208"/>
      <c r="B2060" s="208"/>
      <c r="C2060" s="328"/>
      <c r="D2060" s="329"/>
      <c r="E2060" s="329"/>
      <c r="F2060" s="330"/>
      <c r="G2060" s="330"/>
      <c r="H2060" s="208"/>
    </row>
    <row r="2061" spans="1:8" ht="15" customHeight="1">
      <c r="A2061" s="208"/>
      <c r="B2061" s="208"/>
      <c r="C2061" s="328"/>
      <c r="D2061" s="329"/>
      <c r="E2061" s="329"/>
      <c r="F2061" s="330"/>
      <c r="G2061" s="330"/>
      <c r="H2061" s="208"/>
    </row>
    <row r="2062" spans="1:8" ht="15" customHeight="1">
      <c r="A2062" s="208"/>
      <c r="B2062" s="208"/>
      <c r="C2062" s="328"/>
      <c r="D2062" s="329"/>
      <c r="E2062" s="329"/>
      <c r="F2062" s="330"/>
      <c r="G2062" s="330"/>
      <c r="H2062" s="208"/>
    </row>
    <row r="2063" spans="1:8" ht="15" customHeight="1">
      <c r="A2063" s="208"/>
      <c r="B2063" s="208"/>
      <c r="C2063" s="328"/>
      <c r="D2063" s="329"/>
      <c r="E2063" s="329"/>
      <c r="F2063" s="330"/>
      <c r="G2063" s="330"/>
      <c r="H2063" s="208"/>
    </row>
    <row r="2064" spans="1:8" ht="15" customHeight="1">
      <c r="A2064" s="208"/>
      <c r="B2064" s="208"/>
      <c r="C2064" s="328"/>
      <c r="D2064" s="329"/>
      <c r="E2064" s="329"/>
      <c r="F2064" s="330"/>
      <c r="G2064" s="330"/>
      <c r="H2064" s="208"/>
    </row>
    <row r="2065" spans="1:8" ht="15" customHeight="1">
      <c r="A2065" s="208"/>
      <c r="B2065" s="208"/>
      <c r="C2065" s="328"/>
      <c r="D2065" s="329"/>
      <c r="E2065" s="329"/>
      <c r="F2065" s="330"/>
      <c r="G2065" s="330"/>
      <c r="H2065" s="208"/>
    </row>
    <row r="2066" spans="1:8" ht="15" customHeight="1">
      <c r="A2066" s="208"/>
      <c r="B2066" s="208"/>
      <c r="C2066" s="328"/>
      <c r="D2066" s="329"/>
      <c r="E2066" s="329"/>
      <c r="F2066" s="330"/>
      <c r="G2066" s="330"/>
      <c r="H2066" s="208"/>
    </row>
    <row r="2067" spans="1:8" ht="15" customHeight="1">
      <c r="A2067" s="208"/>
      <c r="B2067" s="208"/>
      <c r="C2067" s="328"/>
      <c r="D2067" s="329"/>
      <c r="E2067" s="329"/>
      <c r="F2067" s="330"/>
      <c r="G2067" s="330"/>
      <c r="H2067" s="208"/>
    </row>
    <row r="2068" spans="1:8" ht="15" customHeight="1">
      <c r="A2068" s="208"/>
      <c r="B2068" s="208"/>
      <c r="C2068" s="328"/>
      <c r="D2068" s="329"/>
      <c r="E2068" s="329"/>
      <c r="F2068" s="330"/>
      <c r="G2068" s="330"/>
      <c r="H2068" s="208"/>
    </row>
    <row r="2069" spans="1:8" ht="15" customHeight="1">
      <c r="A2069" s="208"/>
      <c r="B2069" s="208"/>
      <c r="C2069" s="328"/>
      <c r="D2069" s="329"/>
      <c r="E2069" s="329"/>
      <c r="F2069" s="330"/>
      <c r="G2069" s="330"/>
      <c r="H2069" s="208"/>
    </row>
    <row r="2070" spans="1:8" ht="15" customHeight="1">
      <c r="A2070" s="208"/>
      <c r="B2070" s="208"/>
      <c r="C2070" s="328"/>
      <c r="D2070" s="329"/>
      <c r="E2070" s="329"/>
      <c r="F2070" s="330"/>
      <c r="G2070" s="330"/>
      <c r="H2070" s="208"/>
    </row>
    <row r="2071" spans="1:8" ht="15" customHeight="1">
      <c r="A2071" s="208"/>
      <c r="B2071" s="208"/>
      <c r="C2071" s="328"/>
      <c r="D2071" s="329"/>
      <c r="E2071" s="329"/>
      <c r="F2071" s="330"/>
      <c r="G2071" s="330"/>
      <c r="H2071" s="208"/>
    </row>
    <row r="2072" spans="1:8" ht="15" customHeight="1">
      <c r="A2072" s="208"/>
      <c r="B2072" s="208"/>
      <c r="C2072" s="328"/>
      <c r="D2072" s="329"/>
      <c r="E2072" s="329"/>
      <c r="F2072" s="330"/>
      <c r="G2072" s="330"/>
      <c r="H2072" s="208"/>
    </row>
    <row r="2073" spans="1:8" ht="15" customHeight="1">
      <c r="A2073" s="208"/>
      <c r="B2073" s="208"/>
      <c r="C2073" s="328"/>
      <c r="D2073" s="329"/>
      <c r="E2073" s="329"/>
      <c r="F2073" s="330"/>
      <c r="G2073" s="330"/>
      <c r="H2073" s="208"/>
    </row>
    <row r="2074" spans="1:8" ht="15" customHeight="1">
      <c r="A2074" s="208"/>
      <c r="B2074" s="208"/>
      <c r="C2074" s="328"/>
      <c r="D2074" s="329"/>
      <c r="E2074" s="329"/>
      <c r="F2074" s="330"/>
      <c r="G2074" s="330"/>
      <c r="H2074" s="208"/>
    </row>
    <row r="2075" spans="1:8" ht="15" customHeight="1">
      <c r="A2075" s="208"/>
      <c r="B2075" s="208"/>
      <c r="C2075" s="328"/>
      <c r="D2075" s="329"/>
      <c r="E2075" s="329"/>
      <c r="F2075" s="330"/>
      <c r="G2075" s="330"/>
      <c r="H2075" s="208"/>
    </row>
    <row r="2076" spans="1:8" ht="15" customHeight="1">
      <c r="A2076" s="208"/>
      <c r="B2076" s="208"/>
      <c r="C2076" s="328"/>
      <c r="D2076" s="329"/>
      <c r="E2076" s="329"/>
      <c r="F2076" s="330"/>
      <c r="G2076" s="330"/>
      <c r="H2076" s="208"/>
    </row>
    <row r="2077" spans="1:8" ht="15" customHeight="1">
      <c r="A2077" s="208"/>
      <c r="B2077" s="208"/>
      <c r="C2077" s="328"/>
      <c r="D2077" s="329"/>
      <c r="E2077" s="329"/>
      <c r="F2077" s="330"/>
      <c r="G2077" s="330"/>
      <c r="H2077" s="208"/>
    </row>
    <row r="2078" spans="1:8" ht="15" customHeight="1">
      <c r="A2078" s="208"/>
      <c r="B2078" s="208"/>
      <c r="C2078" s="328"/>
      <c r="D2078" s="329"/>
      <c r="E2078" s="329"/>
      <c r="F2078" s="330"/>
      <c r="G2078" s="330"/>
      <c r="H2078" s="208"/>
    </row>
    <row r="2079" spans="1:8" ht="15" customHeight="1">
      <c r="A2079" s="208"/>
      <c r="B2079" s="208"/>
      <c r="C2079" s="328"/>
      <c r="D2079" s="329"/>
      <c r="E2079" s="329"/>
      <c r="F2079" s="330"/>
      <c r="G2079" s="330"/>
      <c r="H2079" s="208"/>
    </row>
    <row r="2080" spans="1:8" ht="15" customHeight="1">
      <c r="A2080" s="208"/>
      <c r="B2080" s="208"/>
      <c r="C2080" s="328"/>
      <c r="D2080" s="329"/>
      <c r="E2080" s="329"/>
      <c r="F2080" s="330"/>
      <c r="G2080" s="330"/>
      <c r="H2080" s="208"/>
    </row>
    <row r="2081" spans="1:8" ht="15" customHeight="1">
      <c r="A2081" s="208"/>
      <c r="B2081" s="208"/>
      <c r="C2081" s="328"/>
      <c r="D2081" s="329"/>
      <c r="E2081" s="329"/>
      <c r="F2081" s="330"/>
      <c r="G2081" s="330"/>
      <c r="H2081" s="208"/>
    </row>
    <row r="2082" spans="1:8" ht="15" customHeight="1">
      <c r="A2082" s="208"/>
      <c r="B2082" s="208"/>
      <c r="C2082" s="328"/>
      <c r="D2082" s="329"/>
      <c r="E2082" s="329"/>
      <c r="F2082" s="330"/>
      <c r="G2082" s="330"/>
      <c r="H2082" s="208"/>
    </row>
    <row r="2083" spans="1:8" ht="15" customHeight="1">
      <c r="A2083" s="208"/>
      <c r="B2083" s="208"/>
      <c r="C2083" s="328"/>
      <c r="D2083" s="329"/>
      <c r="E2083" s="329"/>
      <c r="F2083" s="330"/>
      <c r="G2083" s="330"/>
      <c r="H2083" s="208"/>
    </row>
    <row r="2084" spans="1:8" ht="15" customHeight="1">
      <c r="A2084" s="208"/>
      <c r="B2084" s="208"/>
      <c r="C2084" s="328"/>
      <c r="D2084" s="329"/>
      <c r="E2084" s="329"/>
      <c r="F2084" s="330"/>
      <c r="G2084" s="330"/>
      <c r="H2084" s="208"/>
    </row>
    <row r="2085" spans="1:8" ht="15" customHeight="1">
      <c r="A2085" s="208"/>
      <c r="B2085" s="208"/>
      <c r="C2085" s="328"/>
      <c r="D2085" s="329"/>
      <c r="E2085" s="329"/>
      <c r="F2085" s="330"/>
      <c r="G2085" s="330"/>
      <c r="H2085" s="208"/>
    </row>
    <row r="2086" spans="1:8" ht="15" customHeight="1">
      <c r="A2086" s="208"/>
      <c r="B2086" s="208"/>
      <c r="C2086" s="328"/>
      <c r="D2086" s="329"/>
      <c r="E2086" s="329"/>
      <c r="F2086" s="330"/>
      <c r="G2086" s="330"/>
      <c r="H2086" s="208"/>
    </row>
    <row r="2087" spans="1:8" ht="15" customHeight="1">
      <c r="A2087" s="208"/>
      <c r="B2087" s="208"/>
      <c r="C2087" s="328"/>
      <c r="D2087" s="329"/>
      <c r="E2087" s="329"/>
      <c r="F2087" s="330"/>
      <c r="G2087" s="330"/>
      <c r="H2087" s="208"/>
    </row>
    <row r="2088" spans="1:8" ht="15" customHeight="1">
      <c r="A2088" s="208"/>
      <c r="B2088" s="208"/>
      <c r="C2088" s="328"/>
      <c r="D2088" s="329"/>
      <c r="E2088" s="329"/>
      <c r="F2088" s="330"/>
      <c r="G2088" s="330"/>
      <c r="H2088" s="208"/>
    </row>
    <row r="2089" spans="1:8" ht="15" customHeight="1">
      <c r="A2089" s="208"/>
      <c r="B2089" s="208"/>
      <c r="C2089" s="328"/>
      <c r="D2089" s="329"/>
      <c r="E2089" s="329"/>
      <c r="F2089" s="330"/>
      <c r="G2089" s="330"/>
      <c r="H2089" s="208"/>
    </row>
    <row r="2090" spans="1:8" ht="15" customHeight="1">
      <c r="A2090" s="208"/>
      <c r="B2090" s="208"/>
      <c r="C2090" s="328"/>
      <c r="D2090" s="329"/>
      <c r="E2090" s="329"/>
      <c r="F2090" s="330"/>
      <c r="G2090" s="330"/>
      <c r="H2090" s="208"/>
    </row>
    <row r="2091" spans="1:8" ht="15" customHeight="1">
      <c r="A2091" s="208"/>
      <c r="B2091" s="208"/>
      <c r="C2091" s="328"/>
      <c r="D2091" s="329"/>
      <c r="E2091" s="329"/>
      <c r="F2091" s="330"/>
      <c r="G2091" s="330"/>
      <c r="H2091" s="208"/>
    </row>
    <row r="2092" spans="1:8" ht="15" customHeight="1">
      <c r="A2092" s="208"/>
      <c r="B2092" s="208"/>
      <c r="C2092" s="328"/>
      <c r="D2092" s="329"/>
      <c r="E2092" s="329"/>
      <c r="F2092" s="330"/>
      <c r="G2092" s="330"/>
      <c r="H2092" s="208"/>
    </row>
    <row r="2093" spans="1:8" ht="15" customHeight="1">
      <c r="A2093" s="208"/>
      <c r="B2093" s="208"/>
      <c r="C2093" s="328"/>
      <c r="D2093" s="329"/>
      <c r="E2093" s="329"/>
      <c r="F2093" s="330"/>
      <c r="G2093" s="330"/>
      <c r="H2093" s="208"/>
    </row>
    <row r="2094" spans="1:8" ht="15" customHeight="1">
      <c r="A2094" s="208"/>
      <c r="B2094" s="208"/>
      <c r="C2094" s="328"/>
      <c r="D2094" s="329"/>
      <c r="E2094" s="329"/>
      <c r="F2094" s="330"/>
      <c r="G2094" s="330"/>
      <c r="H2094" s="208"/>
    </row>
    <row r="2095" spans="1:8" ht="15" customHeight="1">
      <c r="A2095" s="208"/>
      <c r="B2095" s="208"/>
      <c r="C2095" s="328"/>
      <c r="D2095" s="329"/>
      <c r="E2095" s="329"/>
      <c r="F2095" s="330"/>
      <c r="G2095" s="330"/>
      <c r="H2095" s="208"/>
    </row>
    <row r="2096" spans="1:8" ht="15" customHeight="1">
      <c r="A2096" s="208"/>
      <c r="B2096" s="208"/>
      <c r="C2096" s="328"/>
      <c r="D2096" s="329"/>
      <c r="E2096" s="329"/>
      <c r="F2096" s="330"/>
      <c r="G2096" s="330"/>
      <c r="H2096" s="208"/>
    </row>
    <row r="2097" spans="1:8" ht="15" customHeight="1">
      <c r="A2097" s="208"/>
      <c r="B2097" s="208"/>
      <c r="C2097" s="328"/>
      <c r="D2097" s="329"/>
      <c r="E2097" s="329"/>
      <c r="F2097" s="330"/>
      <c r="G2097" s="330"/>
      <c r="H2097" s="208"/>
    </row>
    <row r="2098" spans="1:8" ht="15" customHeight="1">
      <c r="A2098" s="208"/>
      <c r="B2098" s="208"/>
      <c r="C2098" s="328"/>
      <c r="D2098" s="329"/>
      <c r="E2098" s="329"/>
      <c r="F2098" s="330"/>
      <c r="G2098" s="330"/>
      <c r="H2098" s="208"/>
    </row>
    <row r="2099" spans="1:8" ht="15" customHeight="1">
      <c r="A2099" s="208"/>
      <c r="B2099" s="208"/>
      <c r="C2099" s="328"/>
      <c r="D2099" s="329"/>
      <c r="E2099" s="329"/>
      <c r="F2099" s="330"/>
      <c r="G2099" s="330"/>
      <c r="H2099" s="208"/>
    </row>
    <row r="2100" spans="1:8" ht="15" customHeight="1">
      <c r="A2100" s="208"/>
      <c r="B2100" s="208"/>
      <c r="C2100" s="328"/>
      <c r="D2100" s="329"/>
      <c r="E2100" s="329"/>
      <c r="F2100" s="330"/>
      <c r="G2100" s="330"/>
      <c r="H2100" s="208"/>
    </row>
    <row r="2101" spans="1:8" ht="15" customHeight="1">
      <c r="A2101" s="208"/>
      <c r="B2101" s="208"/>
      <c r="C2101" s="328"/>
      <c r="D2101" s="329"/>
      <c r="E2101" s="329"/>
      <c r="F2101" s="330"/>
      <c r="G2101" s="330"/>
      <c r="H2101" s="208"/>
    </row>
    <row r="2102" spans="1:8" ht="15" customHeight="1">
      <c r="A2102" s="208"/>
      <c r="B2102" s="208"/>
      <c r="C2102" s="328"/>
      <c r="D2102" s="329"/>
      <c r="E2102" s="329"/>
      <c r="F2102" s="330"/>
      <c r="G2102" s="330"/>
      <c r="H2102" s="208"/>
    </row>
    <row r="2103" spans="1:8" ht="15" customHeight="1">
      <c r="A2103" s="208"/>
      <c r="B2103" s="208"/>
      <c r="C2103" s="328"/>
      <c r="D2103" s="329"/>
      <c r="E2103" s="329"/>
      <c r="F2103" s="330"/>
      <c r="G2103" s="330"/>
      <c r="H2103" s="208"/>
    </row>
    <row r="2104" spans="1:8" ht="15" customHeight="1">
      <c r="A2104" s="208"/>
      <c r="B2104" s="208"/>
      <c r="C2104" s="328"/>
      <c r="D2104" s="329"/>
      <c r="E2104" s="329"/>
      <c r="F2104" s="330"/>
      <c r="G2104" s="330"/>
      <c r="H2104" s="208"/>
    </row>
    <row r="2105" spans="1:8" ht="15" customHeight="1">
      <c r="A2105" s="208"/>
      <c r="B2105" s="208"/>
      <c r="C2105" s="328"/>
      <c r="D2105" s="329"/>
      <c r="E2105" s="329"/>
      <c r="F2105" s="330"/>
      <c r="G2105" s="330"/>
      <c r="H2105" s="208"/>
    </row>
    <row r="2106" spans="1:8" ht="15" customHeight="1">
      <c r="A2106" s="208"/>
      <c r="B2106" s="208"/>
      <c r="C2106" s="328"/>
      <c r="D2106" s="329"/>
      <c r="E2106" s="329"/>
      <c r="F2106" s="330"/>
      <c r="G2106" s="330"/>
      <c r="H2106" s="208"/>
    </row>
    <row r="2107" spans="1:8" ht="15" customHeight="1">
      <c r="A2107" s="208"/>
      <c r="B2107" s="208"/>
      <c r="C2107" s="328"/>
      <c r="D2107" s="329"/>
      <c r="E2107" s="329"/>
      <c r="F2107" s="330"/>
      <c r="G2107" s="330"/>
      <c r="H2107" s="208"/>
    </row>
    <row r="2108" spans="1:8" ht="15" customHeight="1">
      <c r="A2108" s="208"/>
      <c r="B2108" s="208"/>
      <c r="C2108" s="328"/>
      <c r="D2108" s="329"/>
      <c r="E2108" s="329"/>
      <c r="F2108" s="330"/>
      <c r="G2108" s="330"/>
      <c r="H2108" s="208"/>
    </row>
    <row r="2109" spans="1:8" ht="15" customHeight="1">
      <c r="A2109" s="208"/>
      <c r="B2109" s="208"/>
      <c r="C2109" s="328"/>
      <c r="D2109" s="329"/>
      <c r="E2109" s="329"/>
      <c r="F2109" s="330"/>
      <c r="G2109" s="330"/>
      <c r="H2109" s="208"/>
    </row>
    <row r="2110" spans="1:8" ht="15" customHeight="1">
      <c r="A2110" s="208"/>
      <c r="B2110" s="208"/>
      <c r="C2110" s="328"/>
      <c r="D2110" s="329"/>
      <c r="E2110" s="329"/>
      <c r="F2110" s="330"/>
      <c r="G2110" s="330"/>
      <c r="H2110" s="208"/>
    </row>
    <row r="2111" spans="1:8" ht="15" customHeight="1">
      <c r="A2111" s="208"/>
      <c r="B2111" s="208"/>
      <c r="C2111" s="328"/>
      <c r="D2111" s="329"/>
      <c r="E2111" s="329"/>
      <c r="F2111" s="330"/>
      <c r="G2111" s="330"/>
      <c r="H2111" s="208"/>
    </row>
    <row r="2112" spans="1:8" ht="15" customHeight="1">
      <c r="A2112" s="208"/>
      <c r="B2112" s="208"/>
      <c r="C2112" s="328"/>
      <c r="D2112" s="329"/>
      <c r="E2112" s="329"/>
      <c r="F2112" s="330"/>
      <c r="G2112" s="330"/>
      <c r="H2112" s="208"/>
    </row>
    <row r="2113" spans="1:8" ht="15" customHeight="1">
      <c r="A2113" s="208"/>
      <c r="B2113" s="208"/>
      <c r="C2113" s="328"/>
      <c r="D2113" s="329"/>
      <c r="E2113" s="329"/>
      <c r="F2113" s="330"/>
      <c r="G2113" s="330"/>
      <c r="H2113" s="208"/>
    </row>
    <row r="2114" spans="1:8" ht="15" customHeight="1">
      <c r="A2114" s="208"/>
      <c r="B2114" s="208"/>
      <c r="C2114" s="328"/>
      <c r="D2114" s="329"/>
      <c r="E2114" s="329"/>
      <c r="F2114" s="330"/>
      <c r="G2114" s="330"/>
      <c r="H2114" s="208"/>
    </row>
    <row r="2115" spans="1:8" ht="15" customHeight="1">
      <c r="A2115" s="208"/>
      <c r="B2115" s="208"/>
      <c r="C2115" s="328"/>
      <c r="D2115" s="329"/>
      <c r="E2115" s="329"/>
      <c r="F2115" s="330"/>
      <c r="G2115" s="330"/>
      <c r="H2115" s="208"/>
    </row>
    <row r="2116" spans="1:8" ht="15" customHeight="1">
      <c r="A2116" s="208"/>
      <c r="B2116" s="208"/>
      <c r="C2116" s="328"/>
      <c r="D2116" s="329"/>
      <c r="E2116" s="329"/>
      <c r="F2116" s="330"/>
      <c r="G2116" s="330"/>
      <c r="H2116" s="208"/>
    </row>
    <row r="2117" spans="1:8" ht="15" customHeight="1">
      <c r="A2117" s="208"/>
      <c r="B2117" s="208"/>
      <c r="C2117" s="328"/>
      <c r="D2117" s="329"/>
      <c r="E2117" s="329"/>
      <c r="F2117" s="330"/>
      <c r="G2117" s="330"/>
      <c r="H2117" s="208"/>
    </row>
    <row r="2118" spans="1:8" ht="15" customHeight="1">
      <c r="A2118" s="208"/>
      <c r="B2118" s="208"/>
      <c r="C2118" s="328"/>
      <c r="D2118" s="329"/>
      <c r="E2118" s="329"/>
      <c r="F2118" s="330"/>
      <c r="G2118" s="330"/>
      <c r="H2118" s="208"/>
    </row>
    <row r="2119" spans="1:8" ht="15" customHeight="1">
      <c r="A2119" s="208"/>
      <c r="B2119" s="208"/>
      <c r="C2119" s="328"/>
      <c r="D2119" s="329"/>
      <c r="E2119" s="329"/>
      <c r="F2119" s="330"/>
      <c r="G2119" s="330"/>
      <c r="H2119" s="208"/>
    </row>
    <row r="2120" spans="1:8" ht="15" customHeight="1">
      <c r="A2120" s="208"/>
      <c r="B2120" s="208"/>
      <c r="C2120" s="328"/>
      <c r="D2120" s="329"/>
      <c r="E2120" s="329"/>
      <c r="F2120" s="330"/>
      <c r="G2120" s="330"/>
      <c r="H2120" s="208"/>
    </row>
    <row r="2121" spans="1:8" ht="15" customHeight="1">
      <c r="A2121" s="208"/>
      <c r="B2121" s="208"/>
      <c r="C2121" s="328"/>
      <c r="D2121" s="329"/>
      <c r="E2121" s="329"/>
      <c r="F2121" s="330"/>
      <c r="G2121" s="330"/>
      <c r="H2121" s="208"/>
    </row>
    <row r="2122" spans="1:8" ht="15" customHeight="1">
      <c r="A2122" s="208"/>
      <c r="B2122" s="208"/>
      <c r="C2122" s="328"/>
      <c r="D2122" s="329"/>
      <c r="E2122" s="329"/>
      <c r="F2122" s="330"/>
      <c r="G2122" s="330"/>
      <c r="H2122" s="208"/>
    </row>
    <row r="2123" spans="1:8" ht="15" customHeight="1">
      <c r="A2123" s="208"/>
      <c r="B2123" s="208"/>
      <c r="C2123" s="328"/>
      <c r="D2123" s="329"/>
      <c r="E2123" s="329"/>
      <c r="F2123" s="330"/>
      <c r="G2123" s="330"/>
      <c r="H2123" s="208"/>
    </row>
    <row r="2124" spans="1:8" ht="15" customHeight="1">
      <c r="A2124" s="208"/>
      <c r="B2124" s="208"/>
      <c r="C2124" s="328"/>
      <c r="D2124" s="329"/>
      <c r="E2124" s="329"/>
      <c r="F2124" s="330"/>
      <c r="G2124" s="330"/>
      <c r="H2124" s="208"/>
    </row>
    <row r="2125" spans="1:8" ht="15" customHeight="1">
      <c r="A2125" s="208"/>
      <c r="B2125" s="208"/>
      <c r="C2125" s="328"/>
      <c r="D2125" s="329"/>
      <c r="E2125" s="329"/>
      <c r="F2125" s="330"/>
      <c r="G2125" s="330"/>
      <c r="H2125" s="208"/>
    </row>
    <row r="2126" spans="1:8" ht="15" customHeight="1">
      <c r="A2126" s="208"/>
      <c r="B2126" s="208"/>
      <c r="C2126" s="328"/>
      <c r="D2126" s="329"/>
      <c r="E2126" s="329"/>
      <c r="F2126" s="330"/>
      <c r="G2126" s="330"/>
      <c r="H2126" s="208"/>
    </row>
    <row r="2127" spans="1:8" ht="15" customHeight="1">
      <c r="A2127" s="208"/>
      <c r="B2127" s="208"/>
      <c r="C2127" s="328"/>
      <c r="D2127" s="329"/>
      <c r="E2127" s="329"/>
      <c r="F2127" s="330"/>
      <c r="G2127" s="330"/>
      <c r="H2127" s="208"/>
    </row>
    <row r="2128" spans="1:8" ht="15" customHeight="1">
      <c r="A2128" s="208"/>
      <c r="B2128" s="208"/>
      <c r="C2128" s="328"/>
      <c r="D2128" s="329"/>
      <c r="E2128" s="329"/>
      <c r="F2128" s="330"/>
      <c r="G2128" s="330"/>
      <c r="H2128" s="208"/>
    </row>
    <row r="2129" spans="1:8" ht="15" customHeight="1">
      <c r="A2129" s="208"/>
      <c r="B2129" s="208"/>
      <c r="C2129" s="328"/>
      <c r="D2129" s="329"/>
      <c r="E2129" s="329"/>
      <c r="F2129" s="330"/>
      <c r="G2129" s="330"/>
      <c r="H2129" s="208"/>
    </row>
    <row r="2130" spans="1:8" ht="15" customHeight="1">
      <c r="A2130" s="208"/>
      <c r="B2130" s="208"/>
      <c r="C2130" s="328"/>
      <c r="D2130" s="329"/>
      <c r="E2130" s="329"/>
      <c r="F2130" s="330"/>
      <c r="G2130" s="330"/>
      <c r="H2130" s="208"/>
    </row>
    <row r="2131" spans="1:8" ht="15" customHeight="1">
      <c r="A2131" s="208"/>
      <c r="B2131" s="208"/>
      <c r="C2131" s="328"/>
      <c r="D2131" s="329"/>
      <c r="E2131" s="329"/>
      <c r="F2131" s="330"/>
      <c r="G2131" s="330"/>
      <c r="H2131" s="208"/>
    </row>
    <row r="2132" spans="1:8" ht="15" customHeight="1">
      <c r="A2132" s="208"/>
      <c r="B2132" s="208"/>
      <c r="C2132" s="328"/>
      <c r="D2132" s="329"/>
      <c r="E2132" s="329"/>
      <c r="F2132" s="330"/>
      <c r="G2132" s="330"/>
      <c r="H2132" s="208"/>
    </row>
    <row r="2133" spans="1:8" ht="15" customHeight="1">
      <c r="A2133" s="208"/>
      <c r="B2133" s="208"/>
      <c r="C2133" s="328"/>
      <c r="D2133" s="329"/>
      <c r="E2133" s="329"/>
      <c r="F2133" s="330"/>
      <c r="G2133" s="330"/>
      <c r="H2133" s="208"/>
    </row>
    <row r="2134" spans="1:8" ht="15" customHeight="1">
      <c r="A2134" s="208"/>
      <c r="B2134" s="208"/>
      <c r="C2134" s="328"/>
      <c r="D2134" s="329"/>
      <c r="E2134" s="329"/>
      <c r="F2134" s="330"/>
      <c r="G2134" s="330"/>
      <c r="H2134" s="208"/>
    </row>
    <row r="2135" spans="1:8" ht="15" customHeight="1">
      <c r="A2135" s="208"/>
      <c r="B2135" s="208"/>
      <c r="C2135" s="328"/>
      <c r="D2135" s="329"/>
      <c r="E2135" s="329"/>
      <c r="F2135" s="330"/>
      <c r="G2135" s="330"/>
      <c r="H2135" s="208"/>
    </row>
    <row r="2136" spans="1:8" ht="15" customHeight="1">
      <c r="A2136" s="208"/>
      <c r="B2136" s="208"/>
      <c r="C2136" s="328"/>
      <c r="D2136" s="329"/>
      <c r="E2136" s="329"/>
      <c r="F2136" s="330"/>
      <c r="G2136" s="330"/>
      <c r="H2136" s="208"/>
    </row>
    <row r="2137" spans="1:8" ht="15" customHeight="1">
      <c r="A2137" s="208"/>
      <c r="B2137" s="208"/>
      <c r="C2137" s="328"/>
      <c r="D2137" s="329"/>
      <c r="E2137" s="329"/>
      <c r="F2137" s="330"/>
      <c r="G2137" s="330"/>
      <c r="H2137" s="208"/>
    </row>
    <row r="2138" spans="1:8" ht="15" customHeight="1">
      <c r="A2138" s="208"/>
      <c r="B2138" s="208"/>
      <c r="C2138" s="328"/>
      <c r="D2138" s="329"/>
      <c r="E2138" s="329"/>
      <c r="F2138" s="330"/>
      <c r="G2138" s="330"/>
      <c r="H2138" s="208"/>
    </row>
    <row r="2139" spans="1:8" ht="15" customHeight="1">
      <c r="A2139" s="208"/>
      <c r="B2139" s="208"/>
      <c r="C2139" s="328"/>
      <c r="D2139" s="329"/>
      <c r="E2139" s="329"/>
      <c r="F2139" s="330"/>
      <c r="G2139" s="330"/>
      <c r="H2139" s="208"/>
    </row>
    <row r="2140" spans="1:8" ht="15" customHeight="1">
      <c r="A2140" s="208"/>
      <c r="B2140" s="208"/>
      <c r="C2140" s="328"/>
      <c r="D2140" s="329"/>
      <c r="E2140" s="329"/>
      <c r="F2140" s="330"/>
      <c r="G2140" s="330"/>
      <c r="H2140" s="208"/>
    </row>
    <row r="2141" spans="1:8" ht="15" customHeight="1">
      <c r="A2141" s="208"/>
      <c r="B2141" s="208"/>
      <c r="C2141" s="328"/>
      <c r="D2141" s="329"/>
      <c r="E2141" s="329"/>
      <c r="F2141" s="330"/>
      <c r="G2141" s="330"/>
      <c r="H2141" s="208"/>
    </row>
    <row r="2142" spans="1:8" ht="15" customHeight="1">
      <c r="A2142" s="208"/>
      <c r="B2142" s="208"/>
      <c r="C2142" s="328"/>
      <c r="D2142" s="329"/>
      <c r="E2142" s="329"/>
      <c r="F2142" s="330"/>
      <c r="G2142" s="330"/>
      <c r="H2142" s="208"/>
    </row>
    <row r="2143" spans="1:8" ht="15" customHeight="1">
      <c r="A2143" s="208"/>
      <c r="B2143" s="208"/>
      <c r="C2143" s="328"/>
      <c r="D2143" s="329"/>
      <c r="E2143" s="329"/>
      <c r="F2143" s="330"/>
      <c r="G2143" s="330"/>
      <c r="H2143" s="208"/>
    </row>
    <row r="2144" spans="1:8" ht="15" customHeight="1">
      <c r="A2144" s="208"/>
      <c r="B2144" s="208"/>
      <c r="C2144" s="328"/>
      <c r="D2144" s="329"/>
      <c r="E2144" s="329"/>
      <c r="F2144" s="330"/>
      <c r="G2144" s="330"/>
      <c r="H2144" s="208"/>
    </row>
    <row r="2145" spans="1:8" ht="15" customHeight="1">
      <c r="A2145" s="208"/>
      <c r="B2145" s="208"/>
      <c r="C2145" s="328"/>
      <c r="D2145" s="329"/>
      <c r="E2145" s="329"/>
      <c r="F2145" s="330"/>
      <c r="G2145" s="330"/>
      <c r="H2145" s="208"/>
    </row>
    <row r="2146" spans="1:8" ht="15" customHeight="1">
      <c r="A2146" s="208"/>
      <c r="B2146" s="208"/>
      <c r="C2146" s="328"/>
      <c r="D2146" s="329"/>
      <c r="E2146" s="329"/>
      <c r="F2146" s="330"/>
      <c r="G2146" s="330"/>
      <c r="H2146" s="208"/>
    </row>
    <row r="2147" spans="1:8" ht="15" customHeight="1">
      <c r="A2147" s="208"/>
      <c r="B2147" s="208"/>
      <c r="C2147" s="328"/>
      <c r="D2147" s="329"/>
      <c r="E2147" s="329"/>
      <c r="F2147" s="330"/>
      <c r="G2147" s="330"/>
      <c r="H2147" s="208"/>
    </row>
    <row r="2148" spans="1:8" ht="15" customHeight="1">
      <c r="A2148" s="208"/>
      <c r="B2148" s="208"/>
      <c r="C2148" s="328"/>
      <c r="D2148" s="329"/>
      <c r="E2148" s="329"/>
      <c r="F2148" s="330"/>
      <c r="G2148" s="330"/>
      <c r="H2148" s="208"/>
    </row>
    <row r="2149" spans="1:8" ht="15" customHeight="1">
      <c r="A2149" s="208"/>
      <c r="B2149" s="208"/>
      <c r="C2149" s="328"/>
      <c r="D2149" s="329"/>
      <c r="E2149" s="329"/>
      <c r="F2149" s="330"/>
      <c r="G2149" s="330"/>
      <c r="H2149" s="208"/>
    </row>
    <row r="2150" spans="1:8" ht="15" customHeight="1">
      <c r="A2150" s="208"/>
      <c r="B2150" s="208"/>
      <c r="C2150" s="328"/>
      <c r="D2150" s="329"/>
      <c r="E2150" s="329"/>
      <c r="F2150" s="330"/>
      <c r="G2150" s="330"/>
      <c r="H2150" s="208"/>
    </row>
    <row r="2151" spans="1:8" ht="15" customHeight="1">
      <c r="A2151" s="208"/>
      <c r="B2151" s="208"/>
      <c r="C2151" s="328"/>
      <c r="D2151" s="329"/>
      <c r="E2151" s="329"/>
      <c r="F2151" s="330"/>
      <c r="G2151" s="330"/>
      <c r="H2151" s="208"/>
    </row>
    <row r="2152" spans="1:8" ht="15" customHeight="1">
      <c r="A2152" s="208"/>
      <c r="B2152" s="208"/>
      <c r="C2152" s="328"/>
      <c r="D2152" s="329"/>
      <c r="E2152" s="329"/>
      <c r="F2152" s="330"/>
      <c r="G2152" s="330"/>
      <c r="H2152" s="208"/>
    </row>
    <row r="2153" spans="1:8" ht="15" customHeight="1">
      <c r="A2153" s="208"/>
      <c r="B2153" s="208"/>
      <c r="C2153" s="328"/>
      <c r="D2153" s="329"/>
      <c r="E2153" s="329"/>
      <c r="F2153" s="330"/>
      <c r="G2153" s="330"/>
      <c r="H2153" s="208"/>
    </row>
    <row r="2154" spans="1:8" ht="15" customHeight="1">
      <c r="A2154" s="208"/>
      <c r="B2154" s="208"/>
      <c r="C2154" s="328"/>
      <c r="D2154" s="329"/>
      <c r="E2154" s="329"/>
      <c r="F2154" s="330"/>
      <c r="G2154" s="330"/>
      <c r="H2154" s="208"/>
    </row>
    <row r="2155" spans="1:8" ht="15" customHeight="1">
      <c r="A2155" s="208"/>
      <c r="B2155" s="208"/>
      <c r="C2155" s="328"/>
      <c r="D2155" s="329"/>
      <c r="E2155" s="329"/>
      <c r="F2155" s="330"/>
      <c r="G2155" s="330"/>
      <c r="H2155" s="208"/>
    </row>
    <row r="2156" spans="1:8" ht="15" customHeight="1">
      <c r="A2156" s="208"/>
      <c r="B2156" s="208"/>
      <c r="C2156" s="328"/>
      <c r="D2156" s="329"/>
      <c r="E2156" s="329"/>
      <c r="F2156" s="330"/>
      <c r="G2156" s="330"/>
      <c r="H2156" s="208"/>
    </row>
    <row r="2157" spans="1:8" ht="15" customHeight="1">
      <c r="A2157" s="208"/>
      <c r="B2157" s="208"/>
      <c r="C2157" s="328"/>
      <c r="D2157" s="329"/>
      <c r="E2157" s="329"/>
      <c r="F2157" s="330"/>
      <c r="G2157" s="330"/>
      <c r="H2157" s="208"/>
    </row>
    <row r="2158" spans="1:8" ht="15" customHeight="1">
      <c r="A2158" s="208"/>
      <c r="B2158" s="208"/>
      <c r="C2158" s="328"/>
      <c r="D2158" s="329"/>
      <c r="E2158" s="329"/>
      <c r="F2158" s="330"/>
      <c r="G2158" s="330"/>
      <c r="H2158" s="208"/>
    </row>
    <row r="2159" spans="1:8" ht="15" customHeight="1">
      <c r="A2159" s="208"/>
      <c r="B2159" s="208"/>
      <c r="C2159" s="328"/>
      <c r="D2159" s="329"/>
      <c r="E2159" s="329"/>
      <c r="F2159" s="330"/>
      <c r="G2159" s="330"/>
      <c r="H2159" s="208"/>
    </row>
    <row r="2160" spans="1:8" ht="15" customHeight="1">
      <c r="A2160" s="208"/>
      <c r="B2160" s="208"/>
      <c r="C2160" s="328"/>
      <c r="D2160" s="329"/>
      <c r="E2160" s="329"/>
      <c r="F2160" s="330"/>
      <c r="G2160" s="330"/>
      <c r="H2160" s="208"/>
    </row>
    <row r="2161" spans="1:8" ht="15" customHeight="1">
      <c r="A2161" s="208"/>
      <c r="B2161" s="208"/>
      <c r="C2161" s="328"/>
      <c r="D2161" s="329"/>
      <c r="E2161" s="329"/>
      <c r="F2161" s="330"/>
      <c r="G2161" s="330"/>
      <c r="H2161" s="208"/>
    </row>
    <row r="2162" spans="1:8" ht="15" customHeight="1">
      <c r="A2162" s="208"/>
      <c r="B2162" s="208"/>
      <c r="C2162" s="328"/>
      <c r="D2162" s="329"/>
      <c r="E2162" s="329"/>
      <c r="F2162" s="330"/>
      <c r="G2162" s="330"/>
      <c r="H2162" s="208"/>
    </row>
    <row r="2163" spans="1:8" ht="15" customHeight="1">
      <c r="A2163" s="208"/>
      <c r="B2163" s="208"/>
      <c r="C2163" s="328"/>
      <c r="D2163" s="329"/>
      <c r="E2163" s="329"/>
      <c r="F2163" s="330"/>
      <c r="G2163" s="330"/>
      <c r="H2163" s="208"/>
    </row>
    <row r="2164" spans="1:8" ht="15" customHeight="1">
      <c r="A2164" s="208"/>
      <c r="B2164" s="208"/>
      <c r="C2164" s="328"/>
      <c r="D2164" s="329"/>
      <c r="E2164" s="329"/>
      <c r="F2164" s="330"/>
      <c r="G2164" s="330"/>
      <c r="H2164" s="208"/>
    </row>
    <row r="2165" spans="1:8" ht="15" customHeight="1">
      <c r="A2165" s="208"/>
      <c r="B2165" s="208"/>
      <c r="C2165" s="328"/>
      <c r="D2165" s="329"/>
      <c r="E2165" s="329"/>
      <c r="F2165" s="330"/>
      <c r="G2165" s="330"/>
      <c r="H2165" s="208"/>
    </row>
    <row r="2166" spans="1:8" ht="15" customHeight="1">
      <c r="A2166" s="208"/>
      <c r="B2166" s="208"/>
      <c r="C2166" s="328"/>
      <c r="D2166" s="329"/>
      <c r="E2166" s="329"/>
      <c r="F2166" s="330"/>
      <c r="G2166" s="330"/>
      <c r="H2166" s="208"/>
    </row>
    <row r="2167" spans="1:8" ht="15" customHeight="1">
      <c r="A2167" s="208"/>
      <c r="B2167" s="208"/>
      <c r="C2167" s="328"/>
      <c r="D2167" s="329"/>
      <c r="E2167" s="329"/>
      <c r="F2167" s="330"/>
      <c r="G2167" s="330"/>
      <c r="H2167" s="208"/>
    </row>
    <row r="2168" spans="1:8" ht="15" customHeight="1">
      <c r="A2168" s="208"/>
      <c r="B2168" s="208"/>
      <c r="C2168" s="328"/>
      <c r="D2168" s="329"/>
      <c r="E2168" s="329"/>
      <c r="F2168" s="330"/>
      <c r="G2168" s="330"/>
      <c r="H2168" s="208"/>
    </row>
    <row r="2169" spans="1:8" ht="15" customHeight="1">
      <c r="A2169" s="208"/>
      <c r="B2169" s="208"/>
      <c r="C2169" s="328"/>
      <c r="D2169" s="329"/>
      <c r="E2169" s="329"/>
      <c r="F2169" s="330"/>
      <c r="G2169" s="330"/>
      <c r="H2169" s="208"/>
    </row>
    <row r="2170" spans="1:8" ht="15" customHeight="1">
      <c r="A2170" s="208"/>
      <c r="B2170" s="208"/>
      <c r="C2170" s="328"/>
      <c r="D2170" s="329"/>
      <c r="E2170" s="329"/>
      <c r="F2170" s="330"/>
      <c r="G2170" s="330"/>
      <c r="H2170" s="208"/>
    </row>
    <row r="2171" spans="1:8" ht="15" customHeight="1">
      <c r="A2171" s="208"/>
      <c r="B2171" s="208"/>
      <c r="C2171" s="328"/>
      <c r="D2171" s="329"/>
      <c r="E2171" s="329"/>
      <c r="F2171" s="330"/>
      <c r="G2171" s="330"/>
      <c r="H2171" s="208"/>
    </row>
    <row r="2172" spans="1:8" ht="15" customHeight="1">
      <c r="A2172" s="208"/>
      <c r="B2172" s="208"/>
      <c r="C2172" s="328"/>
      <c r="D2172" s="329"/>
      <c r="E2172" s="329"/>
      <c r="F2172" s="330"/>
      <c r="G2172" s="330"/>
      <c r="H2172" s="208"/>
    </row>
    <row r="2173" spans="1:8" ht="15" customHeight="1">
      <c r="A2173" s="208"/>
      <c r="B2173" s="208"/>
      <c r="C2173" s="328"/>
      <c r="D2173" s="329"/>
      <c r="E2173" s="329"/>
      <c r="F2173" s="330"/>
      <c r="G2173" s="330"/>
      <c r="H2173" s="208"/>
    </row>
    <row r="2174" spans="1:8" ht="15" customHeight="1">
      <c r="A2174" s="208"/>
      <c r="B2174" s="208"/>
      <c r="C2174" s="328"/>
      <c r="D2174" s="329"/>
      <c r="E2174" s="329"/>
      <c r="F2174" s="330"/>
      <c r="G2174" s="330"/>
      <c r="H2174" s="208"/>
    </row>
    <row r="2175" spans="1:8" ht="15" customHeight="1">
      <c r="A2175" s="208"/>
      <c r="B2175" s="208"/>
      <c r="C2175" s="328"/>
      <c r="D2175" s="329"/>
      <c r="E2175" s="329"/>
      <c r="F2175" s="330"/>
      <c r="G2175" s="330"/>
      <c r="H2175" s="208"/>
    </row>
    <row r="2176" spans="1:8" ht="15" customHeight="1">
      <c r="A2176" s="208"/>
      <c r="B2176" s="208"/>
      <c r="C2176" s="328"/>
      <c r="D2176" s="329"/>
      <c r="E2176" s="329"/>
      <c r="F2176" s="330"/>
      <c r="G2176" s="330"/>
      <c r="H2176" s="208"/>
    </row>
    <row r="2177" spans="1:8" ht="15" customHeight="1">
      <c r="A2177" s="208"/>
      <c r="B2177" s="208"/>
      <c r="C2177" s="328"/>
      <c r="D2177" s="329"/>
      <c r="E2177" s="329"/>
      <c r="F2177" s="330"/>
      <c r="G2177" s="330"/>
      <c r="H2177" s="208"/>
    </row>
    <row r="2178" spans="1:8" ht="15" customHeight="1">
      <c r="A2178" s="208"/>
      <c r="B2178" s="208"/>
      <c r="C2178" s="328"/>
      <c r="D2178" s="329"/>
      <c r="E2178" s="329"/>
      <c r="F2178" s="330"/>
      <c r="G2178" s="330"/>
      <c r="H2178" s="208"/>
    </row>
    <row r="2179" spans="1:8" ht="15" customHeight="1">
      <c r="A2179" s="208"/>
      <c r="B2179" s="208"/>
      <c r="C2179" s="328"/>
      <c r="D2179" s="329"/>
      <c r="E2179" s="329"/>
      <c r="F2179" s="330"/>
      <c r="G2179" s="330"/>
      <c r="H2179" s="208"/>
    </row>
    <row r="2180" spans="1:8" ht="15" customHeight="1">
      <c r="A2180" s="208"/>
      <c r="B2180" s="208"/>
      <c r="C2180" s="328"/>
      <c r="D2180" s="329"/>
      <c r="E2180" s="329"/>
      <c r="F2180" s="330"/>
      <c r="G2180" s="330"/>
      <c r="H2180" s="208"/>
    </row>
    <row r="2181" spans="1:8" ht="15" customHeight="1">
      <c r="A2181" s="208"/>
      <c r="B2181" s="208"/>
      <c r="C2181" s="328"/>
      <c r="D2181" s="329"/>
      <c r="E2181" s="329"/>
      <c r="F2181" s="330"/>
      <c r="G2181" s="330"/>
      <c r="H2181" s="208"/>
    </row>
    <row r="2182" spans="1:8" ht="15" customHeight="1">
      <c r="A2182" s="208"/>
      <c r="B2182" s="208"/>
      <c r="C2182" s="328"/>
      <c r="D2182" s="329"/>
      <c r="E2182" s="329"/>
      <c r="F2182" s="330"/>
      <c r="G2182" s="330"/>
      <c r="H2182" s="208"/>
    </row>
    <row r="2183" spans="1:8" ht="15" customHeight="1">
      <c r="A2183" s="208"/>
      <c r="B2183" s="208"/>
      <c r="C2183" s="328"/>
      <c r="D2183" s="329"/>
      <c r="E2183" s="329"/>
      <c r="F2183" s="330"/>
      <c r="G2183" s="330"/>
      <c r="H2183" s="208"/>
    </row>
    <row r="2184" spans="1:8" ht="15" customHeight="1">
      <c r="A2184" s="208"/>
      <c r="B2184" s="208"/>
      <c r="C2184" s="328"/>
      <c r="D2184" s="329"/>
      <c r="E2184" s="329"/>
      <c r="F2184" s="330"/>
      <c r="G2184" s="330"/>
      <c r="H2184" s="208"/>
    </row>
    <row r="2185" spans="1:8" ht="15" customHeight="1">
      <c r="A2185" s="208"/>
      <c r="B2185" s="208"/>
      <c r="C2185" s="328"/>
      <c r="D2185" s="329"/>
      <c r="E2185" s="329"/>
      <c r="F2185" s="330"/>
      <c r="G2185" s="330"/>
      <c r="H2185" s="208"/>
    </row>
    <row r="2186" spans="1:8" ht="15" customHeight="1">
      <c r="A2186" s="208"/>
      <c r="B2186" s="208"/>
      <c r="C2186" s="328"/>
      <c r="D2186" s="329"/>
      <c r="E2186" s="329"/>
      <c r="F2186" s="330"/>
      <c r="G2186" s="330"/>
      <c r="H2186" s="208"/>
    </row>
    <row r="2187" spans="1:8" ht="15" customHeight="1">
      <c r="A2187" s="208"/>
      <c r="B2187" s="208"/>
      <c r="C2187" s="328"/>
      <c r="D2187" s="329"/>
      <c r="E2187" s="329"/>
      <c r="F2187" s="330"/>
      <c r="G2187" s="330"/>
      <c r="H2187" s="208"/>
    </row>
    <row r="2188" spans="1:8" ht="15" customHeight="1">
      <c r="A2188" s="208"/>
      <c r="B2188" s="208"/>
      <c r="C2188" s="328"/>
      <c r="D2188" s="329"/>
      <c r="E2188" s="329"/>
      <c r="F2188" s="330"/>
      <c r="G2188" s="330"/>
      <c r="H2188" s="208"/>
    </row>
    <row r="2189" spans="1:8" ht="15" customHeight="1">
      <c r="A2189" s="208"/>
      <c r="B2189" s="208"/>
      <c r="C2189" s="328"/>
      <c r="D2189" s="329"/>
      <c r="E2189" s="329"/>
      <c r="F2189" s="330"/>
      <c r="G2189" s="330"/>
      <c r="H2189" s="208"/>
    </row>
    <row r="2190" spans="1:8" ht="15" customHeight="1">
      <c r="A2190" s="208"/>
      <c r="B2190" s="208"/>
      <c r="C2190" s="328"/>
      <c r="D2190" s="329"/>
      <c r="E2190" s="329"/>
      <c r="F2190" s="330"/>
      <c r="G2190" s="330"/>
      <c r="H2190" s="208"/>
    </row>
    <row r="2191" spans="1:8" ht="15" customHeight="1">
      <c r="A2191" s="208"/>
      <c r="B2191" s="208"/>
      <c r="C2191" s="328"/>
      <c r="D2191" s="329"/>
      <c r="E2191" s="329"/>
      <c r="F2191" s="330"/>
      <c r="G2191" s="330"/>
      <c r="H2191" s="208"/>
    </row>
    <row r="2192" spans="1:8" ht="15" customHeight="1">
      <c r="A2192" s="208"/>
      <c r="B2192" s="208"/>
      <c r="C2192" s="328"/>
      <c r="D2192" s="329"/>
      <c r="E2192" s="329"/>
      <c r="F2192" s="330"/>
      <c r="G2192" s="330"/>
      <c r="H2192" s="208"/>
    </row>
    <row r="2193" spans="1:8" ht="15" customHeight="1">
      <c r="A2193" s="208"/>
      <c r="B2193" s="208"/>
      <c r="C2193" s="328"/>
      <c r="D2193" s="329"/>
      <c r="E2193" s="329"/>
      <c r="F2193" s="330"/>
      <c r="G2193" s="330"/>
      <c r="H2193" s="208"/>
    </row>
    <row r="2194" spans="1:8" ht="15" customHeight="1">
      <c r="A2194" s="208"/>
      <c r="B2194" s="208"/>
      <c r="C2194" s="328"/>
      <c r="D2194" s="329"/>
      <c r="E2194" s="329"/>
      <c r="F2194" s="330"/>
      <c r="G2194" s="330"/>
      <c r="H2194" s="208"/>
    </row>
    <row r="2195" spans="1:8" ht="15" customHeight="1">
      <c r="A2195" s="208"/>
      <c r="B2195" s="208"/>
      <c r="C2195" s="328"/>
      <c r="D2195" s="329"/>
      <c r="E2195" s="329"/>
      <c r="F2195" s="330"/>
      <c r="G2195" s="330"/>
      <c r="H2195" s="208"/>
    </row>
    <row r="2196" spans="1:8" ht="15" customHeight="1">
      <c r="A2196" s="208"/>
      <c r="B2196" s="208"/>
      <c r="C2196" s="328"/>
      <c r="D2196" s="329"/>
      <c r="E2196" s="329"/>
      <c r="F2196" s="330"/>
      <c r="G2196" s="330"/>
      <c r="H2196" s="208"/>
    </row>
    <row r="2197" spans="1:8" ht="15" customHeight="1">
      <c r="A2197" s="208"/>
      <c r="B2197" s="208"/>
      <c r="C2197" s="328"/>
      <c r="D2197" s="329"/>
      <c r="E2197" s="329"/>
      <c r="F2197" s="330"/>
      <c r="G2197" s="330"/>
      <c r="H2197" s="208"/>
    </row>
    <row r="2198" spans="1:8" ht="15" customHeight="1">
      <c r="A2198" s="208"/>
      <c r="B2198" s="208"/>
      <c r="C2198" s="328"/>
      <c r="D2198" s="329"/>
      <c r="E2198" s="329"/>
      <c r="F2198" s="330"/>
      <c r="G2198" s="330"/>
      <c r="H2198" s="208"/>
    </row>
    <row r="2199" spans="1:8" ht="15" customHeight="1">
      <c r="A2199" s="208"/>
      <c r="B2199" s="208"/>
      <c r="C2199" s="328"/>
      <c r="D2199" s="329"/>
      <c r="E2199" s="329"/>
      <c r="F2199" s="330"/>
      <c r="G2199" s="330"/>
      <c r="H2199" s="208"/>
    </row>
    <row r="2200" spans="1:8" ht="15" customHeight="1">
      <c r="A2200" s="208"/>
      <c r="B2200" s="208"/>
      <c r="C2200" s="328"/>
      <c r="D2200" s="329"/>
      <c r="E2200" s="329"/>
      <c r="F2200" s="330"/>
      <c r="G2200" s="330"/>
      <c r="H2200" s="208"/>
    </row>
    <row r="2201" spans="1:8" ht="15" customHeight="1">
      <c r="A2201" s="208"/>
      <c r="B2201" s="208"/>
      <c r="C2201" s="328"/>
      <c r="D2201" s="329"/>
      <c r="E2201" s="329"/>
      <c r="F2201" s="330"/>
      <c r="G2201" s="330"/>
      <c r="H2201" s="208"/>
    </row>
    <row r="2202" spans="1:8" ht="15" customHeight="1">
      <c r="A2202" s="208"/>
      <c r="B2202" s="208"/>
      <c r="C2202" s="328"/>
      <c r="D2202" s="329"/>
      <c r="E2202" s="329"/>
      <c r="F2202" s="330"/>
      <c r="G2202" s="330"/>
      <c r="H2202" s="208"/>
    </row>
    <row r="2203" spans="1:8" ht="15" customHeight="1">
      <c r="A2203" s="208"/>
      <c r="B2203" s="208"/>
      <c r="C2203" s="328"/>
      <c r="D2203" s="329"/>
      <c r="E2203" s="329"/>
      <c r="F2203" s="330"/>
      <c r="G2203" s="330"/>
      <c r="H2203" s="208"/>
    </row>
    <row r="2204" spans="1:8" ht="15" customHeight="1">
      <c r="A2204" s="208"/>
      <c r="B2204" s="208"/>
      <c r="C2204" s="328"/>
      <c r="D2204" s="329"/>
      <c r="E2204" s="329"/>
      <c r="F2204" s="330"/>
      <c r="G2204" s="330"/>
      <c r="H2204" s="208"/>
    </row>
    <row r="2205" spans="1:8" ht="15" customHeight="1">
      <c r="A2205" s="208"/>
      <c r="B2205" s="208"/>
      <c r="C2205" s="328"/>
      <c r="D2205" s="329"/>
      <c r="E2205" s="329"/>
      <c r="F2205" s="330"/>
      <c r="G2205" s="330"/>
      <c r="H2205" s="208"/>
    </row>
    <row r="2206" spans="1:8" ht="15" customHeight="1">
      <c r="A2206" s="208"/>
      <c r="B2206" s="208"/>
      <c r="C2206" s="328"/>
      <c r="D2206" s="329"/>
      <c r="E2206" s="329"/>
      <c r="F2206" s="330"/>
      <c r="G2206" s="330"/>
      <c r="H2206" s="208"/>
    </row>
    <row r="2207" spans="1:8" ht="15" customHeight="1">
      <c r="A2207" s="208"/>
      <c r="B2207" s="208"/>
      <c r="C2207" s="328"/>
      <c r="D2207" s="329"/>
      <c r="E2207" s="329"/>
      <c r="F2207" s="330"/>
      <c r="G2207" s="330"/>
      <c r="H2207" s="208"/>
    </row>
    <row r="2208" spans="1:8" ht="15" customHeight="1">
      <c r="A2208" s="208"/>
      <c r="B2208" s="208"/>
      <c r="C2208" s="328"/>
      <c r="D2208" s="329"/>
      <c r="E2208" s="329"/>
      <c r="F2208" s="330"/>
      <c r="G2208" s="330"/>
      <c r="H2208" s="208"/>
    </row>
    <row r="2209" spans="1:8" ht="15" customHeight="1">
      <c r="A2209" s="208"/>
      <c r="B2209" s="208"/>
      <c r="C2209" s="328"/>
      <c r="D2209" s="329"/>
      <c r="E2209" s="329"/>
      <c r="F2209" s="330"/>
      <c r="G2209" s="330"/>
      <c r="H2209" s="208"/>
    </row>
    <row r="2210" spans="1:8" ht="15" customHeight="1">
      <c r="A2210" s="208"/>
      <c r="B2210" s="208"/>
      <c r="C2210" s="328"/>
      <c r="D2210" s="329"/>
      <c r="E2210" s="329"/>
      <c r="F2210" s="330"/>
      <c r="G2210" s="330"/>
      <c r="H2210" s="208"/>
    </row>
    <row r="2211" spans="1:8" ht="15" customHeight="1">
      <c r="A2211" s="208"/>
      <c r="B2211" s="208"/>
      <c r="C2211" s="328"/>
      <c r="D2211" s="329"/>
      <c r="E2211" s="329"/>
      <c r="F2211" s="330"/>
      <c r="G2211" s="330"/>
      <c r="H2211" s="208"/>
    </row>
    <row r="2212" spans="1:8" ht="15" customHeight="1">
      <c r="A2212" s="208"/>
      <c r="B2212" s="208"/>
      <c r="C2212" s="328"/>
      <c r="D2212" s="329"/>
      <c r="E2212" s="329"/>
      <c r="F2212" s="330"/>
      <c r="G2212" s="330"/>
      <c r="H2212" s="208"/>
    </row>
    <row r="2213" spans="1:8" ht="15" customHeight="1">
      <c r="A2213" s="208"/>
      <c r="B2213" s="208"/>
      <c r="C2213" s="328"/>
      <c r="D2213" s="329"/>
      <c r="E2213" s="329"/>
      <c r="F2213" s="330"/>
      <c r="G2213" s="330"/>
      <c r="H2213" s="208"/>
    </row>
    <row r="2214" spans="1:8" ht="15" customHeight="1">
      <c r="A2214" s="208"/>
      <c r="B2214" s="208"/>
      <c r="C2214" s="328"/>
      <c r="D2214" s="329"/>
      <c r="E2214" s="329"/>
      <c r="F2214" s="330"/>
      <c r="G2214" s="330"/>
      <c r="H2214" s="208"/>
    </row>
    <row r="2215" spans="1:8" ht="15" customHeight="1">
      <c r="A2215" s="208"/>
      <c r="B2215" s="208"/>
      <c r="C2215" s="328"/>
      <c r="D2215" s="329"/>
      <c r="E2215" s="329"/>
      <c r="F2215" s="330"/>
      <c r="G2215" s="330"/>
      <c r="H2215" s="208"/>
    </row>
    <row r="2216" spans="1:8" ht="15" customHeight="1">
      <c r="A2216" s="208"/>
      <c r="B2216" s="208"/>
      <c r="C2216" s="328"/>
      <c r="D2216" s="329"/>
      <c r="E2216" s="329"/>
      <c r="F2216" s="330"/>
      <c r="G2216" s="330"/>
      <c r="H2216" s="208"/>
    </row>
    <row r="2217" spans="1:8" ht="15" customHeight="1">
      <c r="A2217" s="208"/>
      <c r="B2217" s="208"/>
      <c r="C2217" s="328"/>
      <c r="D2217" s="329"/>
      <c r="E2217" s="329"/>
      <c r="F2217" s="330"/>
      <c r="G2217" s="330"/>
      <c r="H2217" s="208"/>
    </row>
    <row r="2218" spans="1:8" ht="15" customHeight="1">
      <c r="A2218" s="208"/>
      <c r="B2218" s="208"/>
      <c r="C2218" s="328"/>
      <c r="D2218" s="329"/>
      <c r="E2218" s="329"/>
      <c r="F2218" s="330"/>
      <c r="G2218" s="330"/>
      <c r="H2218" s="208"/>
    </row>
    <row r="2219" spans="1:8" ht="15" customHeight="1">
      <c r="A2219" s="208"/>
      <c r="B2219" s="208"/>
      <c r="C2219" s="328"/>
      <c r="D2219" s="329"/>
      <c r="E2219" s="329"/>
      <c r="F2219" s="330"/>
      <c r="G2219" s="330"/>
      <c r="H2219" s="208"/>
    </row>
    <row r="2220" spans="1:8" ht="15" customHeight="1">
      <c r="A2220" s="208"/>
      <c r="B2220" s="208"/>
      <c r="C2220" s="328"/>
      <c r="D2220" s="329"/>
      <c r="E2220" s="329"/>
      <c r="F2220" s="330"/>
      <c r="G2220" s="330"/>
      <c r="H2220" s="208"/>
    </row>
    <row r="2221" spans="1:8" ht="15" customHeight="1">
      <c r="A2221" s="208"/>
      <c r="B2221" s="208"/>
      <c r="C2221" s="328"/>
      <c r="D2221" s="329"/>
      <c r="E2221" s="329"/>
      <c r="F2221" s="330"/>
      <c r="G2221" s="330"/>
      <c r="H2221" s="208"/>
    </row>
    <row r="2222" spans="1:8" ht="15" customHeight="1">
      <c r="A2222" s="208"/>
      <c r="B2222" s="208"/>
      <c r="C2222" s="328"/>
      <c r="D2222" s="329"/>
      <c r="E2222" s="329"/>
      <c r="F2222" s="330"/>
      <c r="G2222" s="330"/>
      <c r="H2222" s="208"/>
    </row>
    <row r="2223" spans="1:8" ht="15" customHeight="1">
      <c r="A2223" s="208"/>
      <c r="B2223" s="208"/>
      <c r="C2223" s="328"/>
      <c r="D2223" s="329"/>
      <c r="E2223" s="329"/>
      <c r="F2223" s="330"/>
      <c r="G2223" s="330"/>
      <c r="H2223" s="208"/>
    </row>
    <row r="2224" spans="1:8" ht="15" customHeight="1">
      <c r="A2224" s="208"/>
      <c r="B2224" s="208"/>
      <c r="C2224" s="328"/>
      <c r="D2224" s="329"/>
      <c r="E2224" s="329"/>
      <c r="F2224" s="330"/>
      <c r="G2224" s="330"/>
      <c r="H2224" s="208"/>
    </row>
    <row r="2225" spans="1:8" ht="15" customHeight="1">
      <c r="A2225" s="208"/>
      <c r="B2225" s="208"/>
      <c r="C2225" s="328"/>
      <c r="D2225" s="329"/>
      <c r="E2225" s="329"/>
      <c r="F2225" s="330"/>
      <c r="G2225" s="330"/>
      <c r="H2225" s="208"/>
    </row>
    <row r="2226" spans="1:8" ht="15" customHeight="1">
      <c r="A2226" s="208"/>
      <c r="B2226" s="208"/>
      <c r="C2226" s="328"/>
      <c r="D2226" s="329"/>
      <c r="E2226" s="329"/>
      <c r="F2226" s="330"/>
      <c r="G2226" s="330"/>
      <c r="H2226" s="208"/>
    </row>
    <row r="2227" spans="1:8" ht="15" customHeight="1">
      <c r="A2227" s="208"/>
      <c r="B2227" s="208"/>
      <c r="C2227" s="328"/>
      <c r="D2227" s="329"/>
      <c r="E2227" s="329"/>
      <c r="F2227" s="330"/>
      <c r="G2227" s="330"/>
      <c r="H2227" s="208"/>
    </row>
    <row r="2228" spans="1:8" ht="15" customHeight="1">
      <c r="A2228" s="208"/>
      <c r="B2228" s="208"/>
      <c r="C2228" s="328"/>
      <c r="D2228" s="329"/>
      <c r="E2228" s="329"/>
      <c r="F2228" s="330"/>
      <c r="G2228" s="330"/>
      <c r="H2228" s="208"/>
    </row>
    <row r="2229" spans="1:8" ht="15" customHeight="1">
      <c r="A2229" s="208"/>
      <c r="B2229" s="208"/>
      <c r="C2229" s="328"/>
      <c r="D2229" s="329"/>
      <c r="E2229" s="329"/>
      <c r="F2229" s="330"/>
      <c r="G2229" s="330"/>
      <c r="H2229" s="208"/>
    </row>
    <row r="2230" spans="1:8" ht="15" customHeight="1">
      <c r="A2230" s="208"/>
      <c r="B2230" s="208"/>
      <c r="C2230" s="328"/>
      <c r="D2230" s="329"/>
      <c r="E2230" s="329"/>
      <c r="F2230" s="330"/>
      <c r="G2230" s="330"/>
      <c r="H2230" s="208"/>
    </row>
    <row r="2231" spans="1:8" ht="15" customHeight="1">
      <c r="A2231" s="208"/>
      <c r="B2231" s="208"/>
      <c r="C2231" s="328"/>
      <c r="D2231" s="329"/>
      <c r="E2231" s="329"/>
      <c r="F2231" s="330"/>
      <c r="G2231" s="330"/>
      <c r="H2231" s="208"/>
    </row>
    <row r="2232" spans="1:8" ht="15" customHeight="1">
      <c r="A2232" s="208"/>
      <c r="B2232" s="208"/>
      <c r="C2232" s="328"/>
      <c r="D2232" s="329"/>
      <c r="E2232" s="329"/>
      <c r="F2232" s="330"/>
      <c r="G2232" s="330"/>
      <c r="H2232" s="208"/>
    </row>
    <row r="2233" spans="1:8" ht="15" customHeight="1">
      <c r="A2233" s="208"/>
      <c r="B2233" s="208"/>
      <c r="C2233" s="328"/>
      <c r="D2233" s="329"/>
      <c r="E2233" s="329"/>
      <c r="F2233" s="330"/>
      <c r="G2233" s="330"/>
      <c r="H2233" s="208"/>
    </row>
    <row r="2234" spans="1:8" ht="15" customHeight="1">
      <c r="A2234" s="208"/>
      <c r="B2234" s="208"/>
      <c r="C2234" s="328"/>
      <c r="D2234" s="329"/>
      <c r="E2234" s="329"/>
      <c r="F2234" s="330"/>
      <c r="G2234" s="330"/>
      <c r="H2234" s="208"/>
    </row>
    <row r="2235" spans="1:8" ht="15" customHeight="1">
      <c r="A2235" s="208"/>
      <c r="B2235" s="208"/>
      <c r="C2235" s="328"/>
      <c r="D2235" s="329"/>
      <c r="E2235" s="329"/>
      <c r="F2235" s="330"/>
      <c r="G2235" s="330"/>
      <c r="H2235" s="208"/>
    </row>
    <row r="2236" spans="1:8" ht="15" customHeight="1">
      <c r="A2236" s="208"/>
      <c r="B2236" s="208"/>
      <c r="C2236" s="328"/>
      <c r="D2236" s="329"/>
      <c r="E2236" s="329"/>
      <c r="F2236" s="330"/>
      <c r="G2236" s="330"/>
      <c r="H2236" s="208"/>
    </row>
    <row r="2237" spans="1:8" ht="15" customHeight="1">
      <c r="A2237" s="208"/>
      <c r="B2237" s="208"/>
      <c r="C2237" s="328"/>
      <c r="D2237" s="329"/>
      <c r="E2237" s="329"/>
      <c r="F2237" s="330"/>
      <c r="G2237" s="330"/>
      <c r="H2237" s="208"/>
    </row>
    <row r="2238" spans="1:8" ht="15" customHeight="1">
      <c r="A2238" s="208"/>
      <c r="B2238" s="208"/>
      <c r="C2238" s="328"/>
      <c r="D2238" s="329"/>
      <c r="E2238" s="329"/>
      <c r="F2238" s="330"/>
      <c r="G2238" s="330"/>
      <c r="H2238" s="208"/>
    </row>
    <row r="2239" spans="1:8" ht="15" customHeight="1">
      <c r="A2239" s="208"/>
      <c r="B2239" s="208"/>
      <c r="C2239" s="328"/>
      <c r="D2239" s="329"/>
      <c r="E2239" s="329"/>
      <c r="F2239" s="330"/>
      <c r="G2239" s="330"/>
      <c r="H2239" s="208"/>
    </row>
    <row r="2240" spans="1:8" ht="15" customHeight="1">
      <c r="A2240" s="208"/>
      <c r="B2240" s="208"/>
      <c r="C2240" s="328"/>
      <c r="D2240" s="329"/>
      <c r="E2240" s="329"/>
      <c r="F2240" s="330"/>
      <c r="G2240" s="330"/>
      <c r="H2240" s="208"/>
    </row>
    <row r="2241" spans="1:8" ht="15" customHeight="1">
      <c r="A2241" s="208"/>
      <c r="B2241" s="208"/>
      <c r="C2241" s="328"/>
      <c r="D2241" s="329"/>
      <c r="E2241" s="329"/>
      <c r="F2241" s="330"/>
      <c r="G2241" s="330"/>
      <c r="H2241" s="208"/>
    </row>
    <row r="2242" spans="1:8" ht="15" customHeight="1">
      <c r="A2242" s="208"/>
      <c r="B2242" s="208"/>
      <c r="C2242" s="328"/>
      <c r="D2242" s="329"/>
      <c r="E2242" s="329"/>
      <c r="F2242" s="330"/>
      <c r="G2242" s="330"/>
      <c r="H2242" s="208"/>
    </row>
    <row r="2243" spans="1:8" ht="15" customHeight="1">
      <c r="A2243" s="208"/>
      <c r="B2243" s="208"/>
      <c r="C2243" s="328"/>
      <c r="D2243" s="329"/>
      <c r="E2243" s="329"/>
      <c r="F2243" s="330"/>
      <c r="G2243" s="330"/>
      <c r="H2243" s="208"/>
    </row>
    <row r="2244" spans="1:8" ht="15" customHeight="1">
      <c r="A2244" s="208"/>
      <c r="B2244" s="208"/>
      <c r="C2244" s="328"/>
      <c r="D2244" s="329"/>
      <c r="E2244" s="329"/>
      <c r="F2244" s="330"/>
      <c r="G2244" s="330"/>
      <c r="H2244" s="208"/>
    </row>
    <row r="2245" spans="1:8" ht="15" customHeight="1">
      <c r="A2245" s="208"/>
      <c r="B2245" s="208"/>
      <c r="C2245" s="328"/>
      <c r="D2245" s="329"/>
      <c r="E2245" s="329"/>
      <c r="F2245" s="330"/>
      <c r="G2245" s="330"/>
      <c r="H2245" s="208"/>
    </row>
    <row r="2246" spans="1:8" ht="15" customHeight="1">
      <c r="A2246" s="208"/>
      <c r="B2246" s="208"/>
      <c r="C2246" s="328"/>
      <c r="D2246" s="329"/>
      <c r="E2246" s="329"/>
      <c r="F2246" s="330"/>
      <c r="G2246" s="330"/>
      <c r="H2246" s="208"/>
    </row>
    <row r="2247" spans="1:8" ht="15" customHeight="1">
      <c r="A2247" s="208"/>
      <c r="B2247" s="208"/>
      <c r="C2247" s="328"/>
      <c r="D2247" s="329"/>
      <c r="E2247" s="329"/>
      <c r="F2247" s="330"/>
      <c r="G2247" s="330"/>
      <c r="H2247" s="208"/>
    </row>
    <row r="2248" spans="1:8" ht="15" customHeight="1">
      <c r="A2248" s="208"/>
      <c r="B2248" s="208"/>
      <c r="C2248" s="328"/>
      <c r="D2248" s="329"/>
      <c r="E2248" s="329"/>
      <c r="F2248" s="330"/>
      <c r="G2248" s="330"/>
      <c r="H2248" s="208"/>
    </row>
    <row r="2249" spans="1:8" ht="15" customHeight="1">
      <c r="A2249" s="208"/>
      <c r="B2249" s="208"/>
      <c r="C2249" s="328"/>
      <c r="D2249" s="329"/>
      <c r="E2249" s="329"/>
      <c r="F2249" s="330"/>
      <c r="G2249" s="330"/>
      <c r="H2249" s="208"/>
    </row>
    <row r="2250" spans="1:8" ht="15" customHeight="1">
      <c r="A2250" s="208"/>
      <c r="B2250" s="208"/>
      <c r="C2250" s="328"/>
      <c r="D2250" s="329"/>
      <c r="E2250" s="329"/>
      <c r="F2250" s="330"/>
      <c r="G2250" s="330"/>
      <c r="H2250" s="208"/>
    </row>
    <row r="2251" spans="1:8" ht="15" customHeight="1">
      <c r="A2251" s="208"/>
      <c r="B2251" s="208"/>
      <c r="C2251" s="328"/>
      <c r="D2251" s="329"/>
      <c r="E2251" s="329"/>
      <c r="F2251" s="330"/>
      <c r="G2251" s="330"/>
      <c r="H2251" s="208"/>
    </row>
    <row r="2252" spans="1:8" ht="15" customHeight="1">
      <c r="A2252" s="208"/>
      <c r="B2252" s="208"/>
      <c r="C2252" s="328"/>
      <c r="D2252" s="329"/>
      <c r="E2252" s="329"/>
      <c r="F2252" s="330"/>
      <c r="G2252" s="330"/>
      <c r="H2252" s="208"/>
    </row>
    <row r="2253" spans="1:8" ht="15" customHeight="1">
      <c r="A2253" s="208"/>
      <c r="B2253" s="208"/>
      <c r="C2253" s="328"/>
      <c r="D2253" s="329"/>
      <c r="E2253" s="329"/>
      <c r="F2253" s="330"/>
      <c r="G2253" s="330"/>
      <c r="H2253" s="208"/>
    </row>
    <row r="2254" spans="1:8" ht="15" customHeight="1">
      <c r="A2254" s="208"/>
      <c r="B2254" s="208"/>
      <c r="C2254" s="328"/>
      <c r="D2254" s="329"/>
      <c r="E2254" s="329"/>
      <c r="F2254" s="330"/>
      <c r="G2254" s="330"/>
      <c r="H2254" s="208"/>
    </row>
    <row r="2255" spans="1:8" ht="15" customHeight="1">
      <c r="A2255" s="208"/>
      <c r="B2255" s="208"/>
      <c r="C2255" s="328"/>
      <c r="D2255" s="329"/>
      <c r="E2255" s="329"/>
      <c r="F2255" s="330"/>
      <c r="G2255" s="330"/>
      <c r="H2255" s="208"/>
    </row>
    <row r="2256" spans="1:8" ht="15" customHeight="1">
      <c r="A2256" s="208"/>
      <c r="B2256" s="208"/>
      <c r="C2256" s="328"/>
      <c r="D2256" s="329"/>
      <c r="E2256" s="329"/>
      <c r="F2256" s="330"/>
      <c r="G2256" s="330"/>
      <c r="H2256" s="208"/>
    </row>
    <row r="2257" spans="1:8" ht="15" customHeight="1">
      <c r="A2257" s="208"/>
      <c r="B2257" s="208"/>
      <c r="C2257" s="328"/>
      <c r="D2257" s="329"/>
      <c r="E2257" s="329"/>
      <c r="F2257" s="330"/>
      <c r="G2257" s="330"/>
      <c r="H2257" s="208"/>
    </row>
    <row r="2258" spans="1:8" ht="15" customHeight="1">
      <c r="A2258" s="208"/>
      <c r="B2258" s="208"/>
      <c r="C2258" s="328"/>
      <c r="D2258" s="329"/>
      <c r="E2258" s="329"/>
      <c r="F2258" s="330"/>
      <c r="G2258" s="330"/>
      <c r="H2258" s="208"/>
    </row>
    <row r="2259" spans="1:8" ht="15" customHeight="1">
      <c r="A2259" s="208"/>
      <c r="B2259" s="208"/>
      <c r="C2259" s="328"/>
      <c r="D2259" s="329"/>
      <c r="E2259" s="329"/>
      <c r="F2259" s="330"/>
      <c r="G2259" s="330"/>
      <c r="H2259" s="208"/>
    </row>
    <row r="2260" spans="1:8" ht="15" customHeight="1">
      <c r="A2260" s="208"/>
      <c r="B2260" s="208"/>
      <c r="C2260" s="328"/>
      <c r="D2260" s="329"/>
      <c r="E2260" s="329"/>
      <c r="F2260" s="330"/>
      <c r="G2260" s="330"/>
      <c r="H2260" s="208"/>
    </row>
    <row r="2261" spans="1:8" ht="15" customHeight="1">
      <c r="A2261" s="208"/>
      <c r="B2261" s="208"/>
      <c r="C2261" s="328"/>
      <c r="D2261" s="329"/>
      <c r="E2261" s="329"/>
      <c r="F2261" s="330"/>
      <c r="G2261" s="330"/>
      <c r="H2261" s="208"/>
    </row>
    <row r="2262" spans="1:8" ht="15" customHeight="1">
      <c r="A2262" s="208"/>
      <c r="B2262" s="208"/>
      <c r="C2262" s="328"/>
      <c r="D2262" s="329"/>
      <c r="E2262" s="329"/>
      <c r="F2262" s="330"/>
      <c r="G2262" s="330"/>
      <c r="H2262" s="208"/>
    </row>
    <row r="2263" spans="1:8" ht="15" customHeight="1">
      <c r="A2263" s="208"/>
      <c r="B2263" s="208"/>
      <c r="C2263" s="328"/>
      <c r="D2263" s="329"/>
      <c r="E2263" s="329"/>
      <c r="F2263" s="330"/>
      <c r="G2263" s="330"/>
      <c r="H2263" s="208"/>
    </row>
    <row r="2264" spans="1:8" ht="15" customHeight="1">
      <c r="A2264" s="208"/>
      <c r="B2264" s="208"/>
      <c r="C2264" s="328"/>
      <c r="D2264" s="329"/>
      <c r="E2264" s="329"/>
      <c r="F2264" s="330"/>
      <c r="G2264" s="330"/>
      <c r="H2264" s="208"/>
    </row>
    <row r="2265" spans="1:8" ht="15" customHeight="1">
      <c r="A2265" s="208"/>
      <c r="B2265" s="208"/>
      <c r="C2265" s="328"/>
      <c r="D2265" s="329"/>
      <c r="E2265" s="329"/>
      <c r="F2265" s="330"/>
      <c r="G2265" s="330"/>
      <c r="H2265" s="208"/>
    </row>
    <row r="2266" spans="1:8" ht="15" customHeight="1">
      <c r="A2266" s="208"/>
      <c r="B2266" s="208"/>
      <c r="C2266" s="328"/>
      <c r="D2266" s="329"/>
      <c r="E2266" s="329"/>
      <c r="F2266" s="330"/>
      <c r="G2266" s="330"/>
      <c r="H2266" s="208"/>
    </row>
    <row r="2267" spans="1:8" ht="15" customHeight="1">
      <c r="A2267" s="208"/>
      <c r="B2267" s="208"/>
      <c r="C2267" s="328"/>
      <c r="D2267" s="329"/>
      <c r="E2267" s="329"/>
      <c r="F2267" s="330"/>
      <c r="G2267" s="330"/>
      <c r="H2267" s="208"/>
    </row>
    <row r="2268" spans="1:8" ht="15" customHeight="1">
      <c r="A2268" s="208"/>
      <c r="B2268" s="208"/>
      <c r="C2268" s="328"/>
      <c r="D2268" s="329"/>
      <c r="E2268" s="329"/>
      <c r="F2268" s="330"/>
      <c r="G2268" s="330"/>
      <c r="H2268" s="208"/>
    </row>
    <row r="2269" spans="1:8" ht="15" customHeight="1">
      <c r="A2269" s="208"/>
      <c r="B2269" s="208"/>
      <c r="C2269" s="328"/>
      <c r="D2269" s="329"/>
      <c r="E2269" s="329"/>
      <c r="F2269" s="330"/>
      <c r="G2269" s="330"/>
      <c r="H2269" s="208"/>
    </row>
    <row r="2270" spans="1:8" ht="15" customHeight="1">
      <c r="A2270" s="208"/>
      <c r="B2270" s="208"/>
      <c r="C2270" s="328"/>
      <c r="D2270" s="329"/>
      <c r="E2270" s="329"/>
      <c r="F2270" s="330"/>
      <c r="G2270" s="330"/>
      <c r="H2270" s="208"/>
    </row>
    <row r="2271" spans="1:8" ht="15" customHeight="1">
      <c r="A2271" s="208"/>
      <c r="B2271" s="208"/>
      <c r="C2271" s="328"/>
      <c r="D2271" s="329"/>
      <c r="E2271" s="329"/>
      <c r="F2271" s="330"/>
      <c r="G2271" s="330"/>
      <c r="H2271" s="208"/>
    </row>
    <row r="2272" spans="1:8" ht="15" customHeight="1">
      <c r="A2272" s="208"/>
      <c r="B2272" s="208"/>
      <c r="C2272" s="328"/>
      <c r="D2272" s="329"/>
      <c r="E2272" s="329"/>
      <c r="F2272" s="330"/>
      <c r="G2272" s="330"/>
      <c r="H2272" s="208"/>
    </row>
    <row r="2273" spans="1:8" ht="15" customHeight="1">
      <c r="A2273" s="208"/>
      <c r="B2273" s="208"/>
      <c r="C2273" s="328"/>
      <c r="D2273" s="329"/>
      <c r="E2273" s="329"/>
      <c r="F2273" s="330"/>
      <c r="G2273" s="330"/>
      <c r="H2273" s="208"/>
    </row>
    <row r="2274" spans="1:8" ht="15" customHeight="1">
      <c r="A2274" s="208"/>
      <c r="B2274" s="208"/>
      <c r="C2274" s="328"/>
      <c r="D2274" s="329"/>
      <c r="E2274" s="329"/>
      <c r="F2274" s="330"/>
      <c r="G2274" s="330"/>
      <c r="H2274" s="208"/>
    </row>
    <row r="2275" spans="1:8" ht="15" customHeight="1">
      <c r="A2275" s="208"/>
      <c r="B2275" s="208"/>
      <c r="C2275" s="328"/>
      <c r="D2275" s="329"/>
      <c r="E2275" s="329"/>
      <c r="F2275" s="330"/>
      <c r="G2275" s="330"/>
      <c r="H2275" s="208"/>
    </row>
    <row r="2276" spans="1:8" ht="15" customHeight="1">
      <c r="A2276" s="208"/>
      <c r="B2276" s="208"/>
      <c r="C2276" s="328"/>
      <c r="D2276" s="329"/>
      <c r="E2276" s="329"/>
      <c r="F2276" s="330"/>
      <c r="G2276" s="330"/>
      <c r="H2276" s="208"/>
    </row>
    <row r="2277" spans="1:8" ht="15" customHeight="1">
      <c r="A2277" s="208"/>
      <c r="B2277" s="208"/>
      <c r="C2277" s="328"/>
      <c r="D2277" s="329"/>
      <c r="E2277" s="329"/>
      <c r="F2277" s="330"/>
      <c r="G2277" s="330"/>
      <c r="H2277" s="208"/>
    </row>
    <row r="2278" spans="1:8" ht="15" customHeight="1">
      <c r="A2278" s="208"/>
      <c r="B2278" s="208"/>
      <c r="C2278" s="328"/>
      <c r="D2278" s="329"/>
      <c r="E2278" s="329"/>
      <c r="F2278" s="330"/>
      <c r="G2278" s="330"/>
      <c r="H2278" s="208"/>
    </row>
    <row r="2279" spans="1:8" ht="15" customHeight="1">
      <c r="A2279" s="208"/>
      <c r="B2279" s="208"/>
      <c r="C2279" s="328"/>
      <c r="D2279" s="329"/>
      <c r="E2279" s="329"/>
      <c r="F2279" s="330"/>
      <c r="G2279" s="330"/>
      <c r="H2279" s="208"/>
    </row>
    <row r="2280" spans="1:8" ht="15" customHeight="1">
      <c r="A2280" s="208"/>
      <c r="B2280" s="208"/>
      <c r="C2280" s="328"/>
      <c r="D2280" s="329"/>
      <c r="E2280" s="329"/>
      <c r="F2280" s="330"/>
      <c r="G2280" s="330"/>
      <c r="H2280" s="208"/>
    </row>
    <row r="2281" spans="1:8" ht="15" customHeight="1">
      <c r="A2281" s="208"/>
      <c r="B2281" s="208"/>
      <c r="C2281" s="328"/>
      <c r="D2281" s="329"/>
      <c r="E2281" s="329"/>
      <c r="F2281" s="330"/>
      <c r="G2281" s="330"/>
      <c r="H2281" s="208"/>
    </row>
    <row r="2282" spans="1:8" ht="15" customHeight="1">
      <c r="A2282" s="208"/>
      <c r="B2282" s="208"/>
      <c r="C2282" s="328"/>
      <c r="D2282" s="329"/>
      <c r="E2282" s="329"/>
      <c r="F2282" s="330"/>
      <c r="G2282" s="330"/>
      <c r="H2282" s="208"/>
    </row>
    <row r="2283" spans="1:8" ht="15" customHeight="1">
      <c r="A2283" s="208"/>
      <c r="B2283" s="208"/>
      <c r="C2283" s="328"/>
      <c r="D2283" s="329"/>
      <c r="E2283" s="329"/>
      <c r="F2283" s="330"/>
      <c r="G2283" s="330"/>
      <c r="H2283" s="208"/>
    </row>
    <row r="2284" spans="1:8" ht="15" customHeight="1">
      <c r="A2284" s="208"/>
      <c r="B2284" s="208"/>
      <c r="C2284" s="328"/>
      <c r="D2284" s="329"/>
      <c r="E2284" s="329"/>
      <c r="F2284" s="330"/>
      <c r="G2284" s="330"/>
      <c r="H2284" s="208"/>
    </row>
    <row r="2285" spans="1:8" ht="15" customHeight="1">
      <c r="A2285" s="208"/>
      <c r="B2285" s="208"/>
      <c r="C2285" s="328"/>
      <c r="D2285" s="329"/>
      <c r="E2285" s="329"/>
      <c r="F2285" s="330"/>
      <c r="G2285" s="330"/>
      <c r="H2285" s="208"/>
    </row>
    <row r="2286" spans="1:8" ht="15" customHeight="1">
      <c r="A2286" s="208"/>
      <c r="B2286" s="208"/>
      <c r="C2286" s="328"/>
      <c r="D2286" s="329"/>
      <c r="E2286" s="329"/>
      <c r="F2286" s="330"/>
      <c r="G2286" s="330"/>
      <c r="H2286" s="208"/>
    </row>
    <row r="2287" spans="1:8" ht="15" customHeight="1">
      <c r="A2287" s="208"/>
      <c r="B2287" s="208"/>
      <c r="C2287" s="328"/>
      <c r="D2287" s="329"/>
      <c r="E2287" s="329"/>
      <c r="F2287" s="330"/>
      <c r="G2287" s="330"/>
      <c r="H2287" s="208"/>
    </row>
    <row r="2288" spans="1:8" ht="15" customHeight="1">
      <c r="A2288" s="208"/>
      <c r="B2288" s="208"/>
      <c r="C2288" s="328"/>
      <c r="D2288" s="329"/>
      <c r="E2288" s="329"/>
      <c r="F2288" s="330"/>
      <c r="G2288" s="330"/>
      <c r="H2288" s="208"/>
    </row>
    <row r="2289" spans="1:8" ht="15" customHeight="1">
      <c r="A2289" s="208"/>
      <c r="B2289" s="208"/>
      <c r="C2289" s="328"/>
      <c r="D2289" s="329"/>
      <c r="E2289" s="329"/>
      <c r="F2289" s="330"/>
      <c r="G2289" s="330"/>
      <c r="H2289" s="208"/>
    </row>
    <row r="2290" spans="1:8" ht="15" customHeight="1">
      <c r="A2290" s="208"/>
      <c r="B2290" s="208"/>
      <c r="C2290" s="328"/>
      <c r="D2290" s="329"/>
      <c r="E2290" s="329"/>
      <c r="F2290" s="330"/>
      <c r="G2290" s="330"/>
      <c r="H2290" s="208"/>
    </row>
    <row r="2291" spans="1:8" ht="15" customHeight="1">
      <c r="A2291" s="208"/>
      <c r="B2291" s="208"/>
      <c r="C2291" s="328"/>
      <c r="D2291" s="329"/>
      <c r="E2291" s="329"/>
      <c r="F2291" s="330"/>
      <c r="G2291" s="330"/>
      <c r="H2291" s="208"/>
    </row>
    <row r="2292" spans="1:8" ht="15" customHeight="1">
      <c r="A2292" s="208"/>
      <c r="B2292" s="208"/>
      <c r="C2292" s="328"/>
      <c r="D2292" s="329"/>
      <c r="E2292" s="329"/>
      <c r="F2292" s="330"/>
      <c r="G2292" s="330"/>
      <c r="H2292" s="208"/>
    </row>
    <row r="2293" spans="1:8" ht="15" customHeight="1">
      <c r="A2293" s="208"/>
      <c r="B2293" s="208"/>
      <c r="C2293" s="328"/>
      <c r="D2293" s="329"/>
      <c r="E2293" s="329"/>
      <c r="F2293" s="330"/>
      <c r="G2293" s="330"/>
      <c r="H2293" s="208"/>
    </row>
    <row r="2294" spans="1:8" ht="15" customHeight="1">
      <c r="A2294" s="208"/>
      <c r="B2294" s="208"/>
      <c r="C2294" s="328"/>
      <c r="D2294" s="329"/>
      <c r="E2294" s="329"/>
      <c r="F2294" s="330"/>
      <c r="G2294" s="330"/>
      <c r="H2294" s="208"/>
    </row>
    <row r="2295" spans="1:8" ht="15" customHeight="1">
      <c r="A2295" s="208"/>
      <c r="B2295" s="208"/>
      <c r="C2295" s="328"/>
      <c r="D2295" s="329"/>
      <c r="E2295" s="329"/>
      <c r="F2295" s="330"/>
      <c r="G2295" s="330"/>
      <c r="H2295" s="208"/>
    </row>
    <row r="2296" spans="1:8" ht="15" customHeight="1">
      <c r="A2296" s="208"/>
      <c r="B2296" s="208"/>
      <c r="C2296" s="328"/>
      <c r="D2296" s="329"/>
      <c r="E2296" s="329"/>
      <c r="F2296" s="330"/>
      <c r="G2296" s="330"/>
      <c r="H2296" s="208"/>
    </row>
    <row r="2297" spans="1:8" ht="15" customHeight="1">
      <c r="A2297" s="208"/>
      <c r="B2297" s="208"/>
      <c r="C2297" s="328"/>
      <c r="D2297" s="329"/>
      <c r="E2297" s="329"/>
      <c r="F2297" s="330"/>
      <c r="G2297" s="330"/>
      <c r="H2297" s="208"/>
    </row>
    <row r="2298" spans="1:8" ht="15" customHeight="1">
      <c r="A2298" s="208"/>
      <c r="B2298" s="208"/>
      <c r="C2298" s="328"/>
      <c r="D2298" s="329"/>
      <c r="E2298" s="329"/>
      <c r="F2298" s="330"/>
      <c r="G2298" s="330"/>
      <c r="H2298" s="208"/>
    </row>
    <row r="2299" spans="1:8" ht="15" customHeight="1">
      <c r="A2299" s="208"/>
      <c r="B2299" s="208"/>
      <c r="C2299" s="328"/>
      <c r="D2299" s="329"/>
      <c r="E2299" s="329"/>
      <c r="F2299" s="330"/>
      <c r="G2299" s="330"/>
      <c r="H2299" s="208"/>
    </row>
    <row r="2300" spans="1:8" ht="15" customHeight="1">
      <c r="A2300" s="208"/>
      <c r="B2300" s="208"/>
      <c r="C2300" s="328"/>
      <c r="D2300" s="329"/>
      <c r="E2300" s="329"/>
      <c r="F2300" s="330"/>
      <c r="G2300" s="330"/>
      <c r="H2300" s="208"/>
    </row>
    <row r="2301" spans="1:8" ht="15" customHeight="1">
      <c r="A2301" s="208"/>
      <c r="B2301" s="208"/>
      <c r="C2301" s="328"/>
      <c r="D2301" s="329"/>
      <c r="E2301" s="329"/>
      <c r="F2301" s="330"/>
      <c r="G2301" s="330"/>
      <c r="H2301" s="208"/>
    </row>
    <row r="2302" spans="1:8" ht="15" customHeight="1">
      <c r="A2302" s="208"/>
      <c r="B2302" s="208"/>
      <c r="C2302" s="328"/>
      <c r="D2302" s="329"/>
      <c r="E2302" s="329"/>
      <c r="F2302" s="330"/>
      <c r="G2302" s="330"/>
      <c r="H2302" s="208"/>
    </row>
    <row r="2303" spans="1:8" ht="15" customHeight="1">
      <c r="A2303" s="208"/>
      <c r="B2303" s="208"/>
      <c r="C2303" s="328"/>
      <c r="D2303" s="329"/>
      <c r="E2303" s="329"/>
      <c r="F2303" s="330"/>
      <c r="G2303" s="330"/>
      <c r="H2303" s="208"/>
    </row>
    <row r="2304" spans="1:8" ht="15" customHeight="1">
      <c r="A2304" s="208"/>
      <c r="B2304" s="208"/>
      <c r="C2304" s="328"/>
      <c r="D2304" s="329"/>
      <c r="E2304" s="329"/>
      <c r="F2304" s="330"/>
      <c r="G2304" s="330"/>
      <c r="H2304" s="208"/>
    </row>
    <row r="2305" spans="1:8" ht="15" customHeight="1">
      <c r="A2305" s="208"/>
      <c r="B2305" s="208"/>
      <c r="C2305" s="328"/>
      <c r="D2305" s="329"/>
      <c r="E2305" s="329"/>
      <c r="F2305" s="330"/>
      <c r="G2305" s="330"/>
      <c r="H2305" s="208"/>
    </row>
    <row r="2306" spans="1:8" ht="15" customHeight="1">
      <c r="A2306" s="208"/>
      <c r="B2306" s="208"/>
      <c r="C2306" s="328"/>
      <c r="D2306" s="329"/>
      <c r="E2306" s="329"/>
      <c r="F2306" s="330"/>
      <c r="G2306" s="330"/>
      <c r="H2306" s="208"/>
    </row>
    <row r="2307" spans="1:8" ht="15" customHeight="1">
      <c r="A2307" s="208"/>
      <c r="B2307" s="208"/>
      <c r="C2307" s="328"/>
      <c r="D2307" s="329"/>
      <c r="E2307" s="329"/>
      <c r="F2307" s="330"/>
      <c r="G2307" s="330"/>
      <c r="H2307" s="208"/>
    </row>
    <row r="2308" spans="1:8" ht="15" customHeight="1">
      <c r="A2308" s="208"/>
      <c r="B2308" s="208"/>
      <c r="C2308" s="328"/>
      <c r="D2308" s="329"/>
      <c r="E2308" s="329"/>
      <c r="F2308" s="330"/>
      <c r="G2308" s="330"/>
      <c r="H2308" s="208"/>
    </row>
    <row r="2309" spans="1:8" ht="15" customHeight="1">
      <c r="A2309" s="208"/>
      <c r="B2309" s="208"/>
      <c r="C2309" s="328"/>
      <c r="D2309" s="329"/>
      <c r="E2309" s="329"/>
      <c r="F2309" s="330"/>
      <c r="G2309" s="330"/>
      <c r="H2309" s="208"/>
    </row>
    <row r="2310" spans="1:8" ht="15" customHeight="1">
      <c r="A2310" s="208"/>
      <c r="B2310" s="208"/>
      <c r="C2310" s="328"/>
      <c r="D2310" s="329"/>
      <c r="E2310" s="329"/>
      <c r="F2310" s="330"/>
      <c r="G2310" s="330"/>
      <c r="H2310" s="208"/>
    </row>
    <row r="2311" spans="1:8" ht="15" customHeight="1">
      <c r="A2311" s="208"/>
      <c r="B2311" s="208"/>
      <c r="C2311" s="328"/>
      <c r="D2311" s="329"/>
      <c r="E2311" s="329"/>
      <c r="F2311" s="330"/>
      <c r="G2311" s="330"/>
      <c r="H2311" s="208"/>
    </row>
    <row r="2312" spans="1:8" ht="15" customHeight="1">
      <c r="A2312" s="208"/>
      <c r="B2312" s="208"/>
      <c r="C2312" s="328"/>
      <c r="D2312" s="329"/>
      <c r="E2312" s="329"/>
      <c r="F2312" s="330"/>
      <c r="G2312" s="330"/>
      <c r="H2312" s="208"/>
    </row>
    <row r="2313" spans="1:8" ht="15" customHeight="1">
      <c r="A2313" s="208"/>
      <c r="B2313" s="208"/>
      <c r="C2313" s="328"/>
      <c r="D2313" s="329"/>
      <c r="E2313" s="329"/>
      <c r="F2313" s="330"/>
      <c r="G2313" s="330"/>
      <c r="H2313" s="208"/>
    </row>
    <row r="2314" spans="1:8" ht="15" customHeight="1">
      <c r="A2314" s="208"/>
      <c r="B2314" s="208"/>
      <c r="C2314" s="328"/>
      <c r="D2314" s="329"/>
      <c r="E2314" s="329"/>
      <c r="F2314" s="330"/>
      <c r="G2314" s="330"/>
      <c r="H2314" s="208"/>
    </row>
    <row r="2315" spans="1:8" ht="15" customHeight="1">
      <c r="A2315" s="208"/>
      <c r="B2315" s="208"/>
      <c r="C2315" s="328"/>
      <c r="D2315" s="329"/>
      <c r="E2315" s="329"/>
      <c r="F2315" s="330"/>
      <c r="G2315" s="330"/>
      <c r="H2315" s="208"/>
    </row>
    <row r="2316" spans="1:8" ht="15" customHeight="1">
      <c r="A2316" s="208"/>
      <c r="B2316" s="208"/>
      <c r="C2316" s="328"/>
      <c r="D2316" s="329"/>
      <c r="E2316" s="329"/>
      <c r="F2316" s="330"/>
      <c r="G2316" s="330"/>
      <c r="H2316" s="208"/>
    </row>
    <row r="2317" spans="1:8" ht="15" customHeight="1">
      <c r="A2317" s="208"/>
      <c r="B2317" s="208"/>
      <c r="C2317" s="328"/>
      <c r="D2317" s="329"/>
      <c r="E2317" s="329"/>
      <c r="F2317" s="330"/>
      <c r="G2317" s="330"/>
      <c r="H2317" s="208"/>
    </row>
    <row r="2318" spans="1:8" ht="15" customHeight="1">
      <c r="A2318" s="208"/>
      <c r="B2318" s="208"/>
      <c r="C2318" s="328"/>
      <c r="D2318" s="329"/>
      <c r="E2318" s="329"/>
      <c r="F2318" s="330"/>
      <c r="G2318" s="330"/>
      <c r="H2318" s="208"/>
    </row>
    <row r="2319" spans="1:8" ht="15" customHeight="1">
      <c r="A2319" s="208"/>
      <c r="B2319" s="208"/>
      <c r="C2319" s="328"/>
      <c r="D2319" s="329"/>
      <c r="E2319" s="329"/>
      <c r="F2319" s="330"/>
      <c r="G2319" s="330"/>
      <c r="H2319" s="208"/>
    </row>
    <row r="2320" spans="1:8" ht="15" customHeight="1">
      <c r="A2320" s="208"/>
      <c r="B2320" s="208"/>
      <c r="C2320" s="328"/>
      <c r="D2320" s="329"/>
      <c r="E2320" s="329"/>
      <c r="F2320" s="330"/>
      <c r="G2320" s="330"/>
      <c r="H2320" s="208"/>
    </row>
    <row r="2321" spans="1:8" ht="15" customHeight="1">
      <c r="A2321" s="208"/>
      <c r="B2321" s="208"/>
      <c r="C2321" s="328"/>
      <c r="D2321" s="329"/>
      <c r="E2321" s="329"/>
      <c r="F2321" s="330"/>
      <c r="G2321" s="330"/>
      <c r="H2321" s="208"/>
    </row>
    <row r="2322" spans="1:8" ht="15" customHeight="1">
      <c r="A2322" s="208"/>
      <c r="B2322" s="208"/>
      <c r="C2322" s="328"/>
      <c r="D2322" s="329"/>
      <c r="E2322" s="329"/>
      <c r="F2322" s="330"/>
      <c r="G2322" s="330"/>
      <c r="H2322" s="208"/>
    </row>
    <row r="2323" spans="1:8" ht="15" customHeight="1">
      <c r="A2323" s="208"/>
      <c r="B2323" s="208"/>
      <c r="C2323" s="328"/>
      <c r="D2323" s="329"/>
      <c r="E2323" s="329"/>
      <c r="F2323" s="330"/>
      <c r="G2323" s="330"/>
      <c r="H2323" s="208"/>
    </row>
    <row r="2324" spans="1:8" ht="15" customHeight="1">
      <c r="A2324" s="208"/>
      <c r="B2324" s="208"/>
      <c r="C2324" s="328"/>
      <c r="D2324" s="329"/>
      <c r="E2324" s="329"/>
      <c r="F2324" s="330"/>
      <c r="G2324" s="330"/>
      <c r="H2324" s="208"/>
    </row>
    <row r="2325" spans="1:8" ht="15" customHeight="1">
      <c r="A2325" s="208"/>
      <c r="B2325" s="208"/>
      <c r="C2325" s="328"/>
      <c r="D2325" s="329"/>
      <c r="E2325" s="329"/>
      <c r="F2325" s="330"/>
      <c r="G2325" s="330"/>
      <c r="H2325" s="208"/>
    </row>
    <row r="2326" spans="1:8" ht="15" customHeight="1">
      <c r="A2326" s="208"/>
      <c r="B2326" s="208"/>
      <c r="C2326" s="328"/>
      <c r="D2326" s="329"/>
      <c r="E2326" s="329"/>
      <c r="F2326" s="330"/>
      <c r="G2326" s="330"/>
      <c r="H2326" s="208"/>
    </row>
    <row r="2327" spans="1:8" ht="15" customHeight="1">
      <c r="A2327" s="208"/>
      <c r="B2327" s="208"/>
      <c r="C2327" s="328"/>
      <c r="D2327" s="329"/>
      <c r="E2327" s="329"/>
      <c r="F2327" s="330"/>
      <c r="G2327" s="330"/>
      <c r="H2327" s="208"/>
    </row>
    <row r="2328" spans="1:8" ht="15" customHeight="1">
      <c r="A2328" s="208"/>
      <c r="B2328" s="208"/>
      <c r="C2328" s="328"/>
      <c r="D2328" s="329"/>
      <c r="E2328" s="329"/>
      <c r="F2328" s="330"/>
      <c r="G2328" s="330"/>
      <c r="H2328" s="208"/>
    </row>
    <row r="2329" spans="1:8" ht="15" customHeight="1">
      <c r="A2329" s="208"/>
      <c r="B2329" s="208"/>
      <c r="C2329" s="328"/>
      <c r="D2329" s="329"/>
      <c r="E2329" s="329"/>
      <c r="F2329" s="330"/>
      <c r="G2329" s="330"/>
      <c r="H2329" s="208"/>
    </row>
    <row r="2330" spans="1:8" ht="15" customHeight="1">
      <c r="A2330" s="208"/>
      <c r="B2330" s="208"/>
      <c r="C2330" s="328"/>
      <c r="D2330" s="329"/>
      <c r="E2330" s="329"/>
      <c r="F2330" s="330"/>
      <c r="G2330" s="330"/>
      <c r="H2330" s="208"/>
    </row>
    <row r="2331" spans="1:8" ht="15" customHeight="1">
      <c r="A2331" s="208"/>
      <c r="B2331" s="208"/>
      <c r="C2331" s="328"/>
      <c r="D2331" s="329"/>
      <c r="E2331" s="329"/>
      <c r="F2331" s="330"/>
      <c r="G2331" s="330"/>
      <c r="H2331" s="208"/>
    </row>
    <row r="2332" spans="1:8" ht="15" customHeight="1">
      <c r="A2332" s="208"/>
      <c r="B2332" s="208"/>
      <c r="C2332" s="328"/>
      <c r="D2332" s="329"/>
      <c r="E2332" s="329"/>
      <c r="F2332" s="330"/>
      <c r="G2332" s="330"/>
      <c r="H2332" s="208"/>
    </row>
    <row r="2333" spans="1:8" ht="15" customHeight="1">
      <c r="A2333" s="208"/>
      <c r="B2333" s="208"/>
      <c r="C2333" s="328"/>
      <c r="D2333" s="329"/>
      <c r="E2333" s="329"/>
      <c r="F2333" s="330"/>
      <c r="G2333" s="330"/>
      <c r="H2333" s="208"/>
    </row>
    <row r="2334" spans="1:8" ht="15" customHeight="1">
      <c r="A2334" s="208"/>
      <c r="B2334" s="208"/>
      <c r="C2334" s="328"/>
      <c r="D2334" s="329"/>
      <c r="E2334" s="329"/>
      <c r="F2334" s="330"/>
      <c r="G2334" s="330"/>
      <c r="H2334" s="208"/>
    </row>
    <row r="2335" spans="1:8" ht="15" customHeight="1">
      <c r="A2335" s="208"/>
      <c r="B2335" s="208"/>
      <c r="C2335" s="328"/>
      <c r="D2335" s="329"/>
      <c r="E2335" s="329"/>
      <c r="F2335" s="330"/>
      <c r="G2335" s="330"/>
      <c r="H2335" s="208"/>
    </row>
    <row r="2336" spans="1:8" ht="15" customHeight="1">
      <c r="A2336" s="208"/>
      <c r="B2336" s="208"/>
      <c r="C2336" s="328"/>
      <c r="D2336" s="329"/>
      <c r="E2336" s="329"/>
      <c r="F2336" s="330"/>
      <c r="G2336" s="330"/>
      <c r="H2336" s="208"/>
    </row>
    <row r="2337" spans="1:8" ht="15" customHeight="1">
      <c r="A2337" s="208"/>
      <c r="B2337" s="208"/>
      <c r="C2337" s="328"/>
      <c r="D2337" s="329"/>
      <c r="E2337" s="329"/>
      <c r="F2337" s="330"/>
      <c r="G2337" s="330"/>
      <c r="H2337" s="208"/>
    </row>
    <row r="2338" spans="1:8" ht="15" customHeight="1">
      <c r="A2338" s="208"/>
      <c r="B2338" s="208"/>
      <c r="C2338" s="328"/>
      <c r="D2338" s="329"/>
      <c r="E2338" s="329"/>
      <c r="F2338" s="330"/>
      <c r="G2338" s="330"/>
      <c r="H2338" s="208"/>
    </row>
    <row r="2339" spans="1:8" ht="15" customHeight="1">
      <c r="A2339" s="208"/>
      <c r="B2339" s="208"/>
      <c r="C2339" s="328"/>
      <c r="D2339" s="329"/>
      <c r="E2339" s="329"/>
      <c r="F2339" s="330"/>
      <c r="G2339" s="330"/>
      <c r="H2339" s="208"/>
    </row>
    <row r="2340" spans="1:8" ht="15" customHeight="1">
      <c r="A2340" s="208"/>
      <c r="B2340" s="208"/>
      <c r="C2340" s="328"/>
      <c r="D2340" s="329"/>
      <c r="E2340" s="329"/>
      <c r="F2340" s="330"/>
      <c r="G2340" s="330"/>
      <c r="H2340" s="208"/>
    </row>
    <row r="2341" spans="1:8" ht="15" customHeight="1">
      <c r="A2341" s="208"/>
      <c r="B2341" s="208"/>
      <c r="C2341" s="328"/>
      <c r="D2341" s="329"/>
      <c r="E2341" s="329"/>
      <c r="F2341" s="330"/>
      <c r="G2341" s="330"/>
      <c r="H2341" s="208"/>
    </row>
    <row r="2342" spans="1:8" ht="15" customHeight="1">
      <c r="A2342" s="208"/>
      <c r="B2342" s="208"/>
      <c r="C2342" s="328"/>
      <c r="D2342" s="329"/>
      <c r="E2342" s="329"/>
      <c r="F2342" s="330"/>
      <c r="G2342" s="330"/>
      <c r="H2342" s="208"/>
    </row>
    <row r="2343" spans="1:8" ht="15" customHeight="1">
      <c r="A2343" s="208"/>
      <c r="B2343" s="208"/>
      <c r="C2343" s="328"/>
      <c r="D2343" s="329"/>
      <c r="E2343" s="329"/>
      <c r="F2343" s="330"/>
      <c r="G2343" s="330"/>
      <c r="H2343" s="208"/>
    </row>
    <row r="2344" spans="1:8" ht="15" customHeight="1">
      <c r="A2344" s="208"/>
      <c r="B2344" s="208"/>
      <c r="C2344" s="328"/>
      <c r="D2344" s="329"/>
      <c r="E2344" s="329"/>
      <c r="F2344" s="330"/>
      <c r="G2344" s="330"/>
      <c r="H2344" s="208"/>
    </row>
    <row r="2345" spans="1:8" ht="15" customHeight="1">
      <c r="A2345" s="208"/>
      <c r="B2345" s="208"/>
      <c r="C2345" s="328"/>
      <c r="D2345" s="329"/>
      <c r="E2345" s="329"/>
      <c r="F2345" s="330"/>
      <c r="G2345" s="330"/>
      <c r="H2345" s="208"/>
    </row>
    <row r="2346" spans="1:8" ht="15" customHeight="1">
      <c r="A2346" s="208"/>
      <c r="B2346" s="208"/>
      <c r="C2346" s="328"/>
      <c r="D2346" s="329"/>
      <c r="E2346" s="329"/>
      <c r="F2346" s="330"/>
      <c r="G2346" s="330"/>
      <c r="H2346" s="208"/>
    </row>
    <row r="2347" spans="1:8" ht="15" customHeight="1">
      <c r="A2347" s="208"/>
      <c r="B2347" s="208"/>
      <c r="C2347" s="328"/>
      <c r="D2347" s="329"/>
      <c r="E2347" s="329"/>
      <c r="F2347" s="330"/>
      <c r="G2347" s="330"/>
      <c r="H2347" s="208"/>
    </row>
    <row r="2348" spans="1:8" ht="15" customHeight="1">
      <c r="A2348" s="208"/>
      <c r="B2348" s="208"/>
      <c r="C2348" s="328"/>
      <c r="D2348" s="329"/>
      <c r="E2348" s="329"/>
      <c r="F2348" s="330"/>
      <c r="G2348" s="330"/>
      <c r="H2348" s="208"/>
    </row>
    <row r="2349" spans="1:8" ht="15" customHeight="1">
      <c r="A2349" s="208"/>
      <c r="B2349" s="208"/>
      <c r="C2349" s="328"/>
      <c r="D2349" s="329"/>
      <c r="E2349" s="329"/>
      <c r="F2349" s="330"/>
      <c r="G2349" s="330"/>
      <c r="H2349" s="208"/>
    </row>
    <row r="2350" spans="1:8" ht="15" customHeight="1">
      <c r="A2350" s="208"/>
      <c r="B2350" s="208"/>
      <c r="C2350" s="328"/>
      <c r="D2350" s="329"/>
      <c r="E2350" s="329"/>
      <c r="F2350" s="330"/>
      <c r="G2350" s="330"/>
      <c r="H2350" s="208"/>
    </row>
    <row r="2351" spans="1:8" ht="15" customHeight="1">
      <c r="A2351" s="208"/>
      <c r="B2351" s="208"/>
      <c r="C2351" s="328"/>
      <c r="D2351" s="329"/>
      <c r="E2351" s="329"/>
      <c r="F2351" s="330"/>
      <c r="G2351" s="330"/>
      <c r="H2351" s="208"/>
    </row>
    <row r="2352" spans="1:8" ht="15" customHeight="1">
      <c r="A2352" s="208"/>
      <c r="B2352" s="208"/>
      <c r="C2352" s="328"/>
      <c r="D2352" s="329"/>
      <c r="E2352" s="329"/>
      <c r="F2352" s="330"/>
      <c r="G2352" s="330"/>
      <c r="H2352" s="208"/>
    </row>
    <row r="2353" spans="1:8" ht="15" customHeight="1">
      <c r="A2353" s="208"/>
      <c r="B2353" s="208"/>
      <c r="C2353" s="328"/>
      <c r="D2353" s="329"/>
      <c r="E2353" s="329"/>
      <c r="F2353" s="330"/>
      <c r="G2353" s="330"/>
      <c r="H2353" s="208"/>
    </row>
    <row r="2354" spans="1:8" ht="15" customHeight="1">
      <c r="A2354" s="208"/>
      <c r="B2354" s="208"/>
      <c r="C2354" s="328"/>
      <c r="D2354" s="329"/>
      <c r="E2354" s="329"/>
      <c r="F2354" s="330"/>
      <c r="G2354" s="330"/>
      <c r="H2354" s="208"/>
    </row>
    <row r="2355" spans="1:8" ht="15" customHeight="1">
      <c r="A2355" s="208"/>
      <c r="B2355" s="208"/>
      <c r="C2355" s="328"/>
      <c r="D2355" s="329"/>
      <c r="E2355" s="329"/>
      <c r="F2355" s="330"/>
      <c r="G2355" s="330"/>
      <c r="H2355" s="208"/>
    </row>
    <row r="2356" spans="1:8" ht="15" customHeight="1">
      <c r="A2356" s="208"/>
      <c r="B2356" s="208"/>
      <c r="C2356" s="328"/>
      <c r="D2356" s="329"/>
      <c r="E2356" s="329"/>
      <c r="F2356" s="330"/>
      <c r="G2356" s="330"/>
      <c r="H2356" s="208"/>
    </row>
    <row r="2357" spans="1:8" ht="15" customHeight="1">
      <c r="A2357" s="208"/>
      <c r="B2357" s="208"/>
      <c r="C2357" s="328"/>
      <c r="D2357" s="329"/>
      <c r="E2357" s="329"/>
      <c r="F2357" s="330"/>
      <c r="G2357" s="330"/>
      <c r="H2357" s="208"/>
    </row>
    <row r="2358" spans="1:8" ht="15" customHeight="1">
      <c r="A2358" s="208"/>
      <c r="B2358" s="208"/>
      <c r="C2358" s="328"/>
      <c r="D2358" s="329"/>
      <c r="E2358" s="329"/>
      <c r="F2358" s="330"/>
      <c r="G2358" s="330"/>
      <c r="H2358" s="208"/>
    </row>
    <row r="2359" spans="1:8" ht="15" customHeight="1">
      <c r="A2359" s="208"/>
      <c r="B2359" s="208"/>
      <c r="C2359" s="328"/>
      <c r="D2359" s="329"/>
      <c r="E2359" s="329"/>
      <c r="F2359" s="330"/>
      <c r="G2359" s="330"/>
      <c r="H2359" s="208"/>
    </row>
    <row r="2360" spans="1:8" ht="15" customHeight="1">
      <c r="A2360" s="208"/>
      <c r="B2360" s="208"/>
      <c r="C2360" s="328"/>
      <c r="D2360" s="329"/>
      <c r="E2360" s="329"/>
      <c r="F2360" s="330"/>
      <c r="G2360" s="330"/>
      <c r="H2360" s="208"/>
    </row>
    <row r="2361" spans="1:8" ht="15" customHeight="1">
      <c r="A2361" s="208"/>
      <c r="B2361" s="208"/>
      <c r="C2361" s="328"/>
      <c r="D2361" s="329"/>
      <c r="E2361" s="329"/>
      <c r="F2361" s="330"/>
      <c r="G2361" s="330"/>
      <c r="H2361" s="208"/>
    </row>
    <row r="2362" spans="1:8" ht="15" customHeight="1">
      <c r="A2362" s="208"/>
      <c r="B2362" s="208"/>
      <c r="C2362" s="328"/>
      <c r="D2362" s="329"/>
      <c r="E2362" s="329"/>
      <c r="F2362" s="330"/>
      <c r="G2362" s="330"/>
      <c r="H2362" s="208"/>
    </row>
    <row r="2363" spans="1:8" ht="15" customHeight="1">
      <c r="A2363" s="208"/>
      <c r="B2363" s="208"/>
      <c r="C2363" s="328"/>
      <c r="D2363" s="329"/>
      <c r="E2363" s="329"/>
      <c r="F2363" s="330"/>
      <c r="G2363" s="330"/>
      <c r="H2363" s="208"/>
    </row>
    <row r="2364" spans="1:8" ht="15" customHeight="1">
      <c r="A2364" s="208"/>
      <c r="B2364" s="208"/>
      <c r="C2364" s="328"/>
      <c r="D2364" s="329"/>
      <c r="E2364" s="329"/>
      <c r="F2364" s="330"/>
      <c r="G2364" s="330"/>
      <c r="H2364" s="208"/>
    </row>
    <row r="2365" spans="1:8" ht="15" customHeight="1">
      <c r="A2365" s="208"/>
      <c r="B2365" s="208"/>
      <c r="C2365" s="328"/>
      <c r="D2365" s="329"/>
      <c r="E2365" s="329"/>
      <c r="F2365" s="330"/>
      <c r="G2365" s="330"/>
      <c r="H2365" s="208"/>
    </row>
    <row r="2366" spans="1:8" ht="15" customHeight="1">
      <c r="A2366" s="208"/>
      <c r="B2366" s="208"/>
      <c r="C2366" s="328"/>
      <c r="D2366" s="329"/>
      <c r="E2366" s="329"/>
      <c r="F2366" s="330"/>
      <c r="G2366" s="330"/>
      <c r="H2366" s="208"/>
    </row>
    <row r="2367" spans="1:8" ht="15" customHeight="1">
      <c r="A2367" s="208"/>
      <c r="B2367" s="208"/>
      <c r="C2367" s="328"/>
      <c r="D2367" s="329"/>
      <c r="E2367" s="329"/>
      <c r="F2367" s="330"/>
      <c r="G2367" s="330"/>
      <c r="H2367" s="208"/>
    </row>
    <row r="2368" spans="1:8" ht="15" customHeight="1">
      <c r="A2368" s="208"/>
      <c r="B2368" s="208"/>
      <c r="C2368" s="328"/>
      <c r="D2368" s="329"/>
      <c r="E2368" s="329"/>
      <c r="F2368" s="330"/>
      <c r="G2368" s="330"/>
      <c r="H2368" s="208"/>
    </row>
    <row r="2369" spans="1:8" ht="15" customHeight="1">
      <c r="A2369" s="208"/>
      <c r="B2369" s="208"/>
      <c r="C2369" s="328"/>
      <c r="D2369" s="329"/>
      <c r="E2369" s="329"/>
      <c r="F2369" s="330"/>
      <c r="G2369" s="330"/>
      <c r="H2369" s="208"/>
    </row>
    <row r="2370" spans="1:8" ht="15" customHeight="1">
      <c r="A2370" s="208"/>
      <c r="B2370" s="208"/>
      <c r="C2370" s="328"/>
      <c r="D2370" s="329"/>
      <c r="E2370" s="329"/>
      <c r="F2370" s="330"/>
      <c r="G2370" s="330"/>
      <c r="H2370" s="208"/>
    </row>
    <row r="2371" spans="1:8" ht="15" customHeight="1">
      <c r="A2371" s="208"/>
      <c r="B2371" s="208"/>
      <c r="C2371" s="328"/>
      <c r="D2371" s="329"/>
      <c r="E2371" s="329"/>
      <c r="F2371" s="330"/>
      <c r="G2371" s="330"/>
      <c r="H2371" s="208"/>
    </row>
    <row r="2372" spans="1:8" ht="15" customHeight="1">
      <c r="A2372" s="208"/>
      <c r="B2372" s="208"/>
      <c r="C2372" s="328"/>
      <c r="D2372" s="329"/>
      <c r="E2372" s="329"/>
      <c r="F2372" s="330"/>
      <c r="G2372" s="330"/>
      <c r="H2372" s="208"/>
    </row>
    <row r="2373" spans="1:8" ht="15" customHeight="1">
      <c r="A2373" s="208"/>
      <c r="B2373" s="208"/>
      <c r="C2373" s="328"/>
      <c r="D2373" s="329"/>
      <c r="E2373" s="329"/>
      <c r="F2373" s="330"/>
      <c r="G2373" s="330"/>
      <c r="H2373" s="208"/>
    </row>
    <row r="2374" spans="1:8" ht="15" customHeight="1">
      <c r="A2374" s="208"/>
      <c r="B2374" s="208"/>
      <c r="C2374" s="328"/>
      <c r="D2374" s="329"/>
      <c r="E2374" s="329"/>
      <c r="F2374" s="330"/>
      <c r="G2374" s="330"/>
      <c r="H2374" s="208"/>
    </row>
    <row r="2375" spans="1:8" ht="15" customHeight="1">
      <c r="A2375" s="208"/>
      <c r="B2375" s="208"/>
      <c r="C2375" s="328"/>
      <c r="D2375" s="329"/>
      <c r="E2375" s="329"/>
      <c r="F2375" s="330"/>
      <c r="G2375" s="330"/>
      <c r="H2375" s="208"/>
    </row>
    <row r="2376" spans="1:8" ht="15" customHeight="1">
      <c r="A2376" s="208"/>
      <c r="B2376" s="208"/>
      <c r="C2376" s="328"/>
      <c r="D2376" s="329"/>
      <c r="E2376" s="329"/>
      <c r="F2376" s="330"/>
      <c r="G2376" s="330"/>
      <c r="H2376" s="208"/>
    </row>
    <row r="2377" spans="1:8" ht="15" customHeight="1">
      <c r="A2377" s="208"/>
      <c r="B2377" s="208"/>
      <c r="C2377" s="328"/>
      <c r="D2377" s="329"/>
      <c r="E2377" s="329"/>
      <c r="F2377" s="330"/>
      <c r="G2377" s="330"/>
      <c r="H2377" s="208"/>
    </row>
    <row r="2378" spans="1:8" ht="15" customHeight="1">
      <c r="A2378" s="208"/>
      <c r="B2378" s="208"/>
      <c r="C2378" s="328"/>
      <c r="D2378" s="329"/>
      <c r="E2378" s="329"/>
      <c r="F2378" s="330"/>
      <c r="G2378" s="330"/>
      <c r="H2378" s="208"/>
    </row>
    <row r="2379" spans="1:8" ht="15" customHeight="1">
      <c r="A2379" s="208"/>
      <c r="B2379" s="208"/>
      <c r="C2379" s="328"/>
      <c r="D2379" s="329"/>
      <c r="E2379" s="329"/>
      <c r="F2379" s="330"/>
      <c r="G2379" s="330"/>
      <c r="H2379" s="208"/>
    </row>
    <row r="2380" spans="1:8" ht="15" customHeight="1">
      <c r="A2380" s="208"/>
      <c r="B2380" s="208"/>
      <c r="C2380" s="328"/>
      <c r="D2380" s="329"/>
      <c r="E2380" s="329"/>
      <c r="F2380" s="330"/>
      <c r="G2380" s="330"/>
      <c r="H2380" s="208"/>
    </row>
    <row r="2381" spans="1:8" ht="15" customHeight="1">
      <c r="A2381" s="208"/>
      <c r="B2381" s="208"/>
      <c r="C2381" s="328"/>
      <c r="D2381" s="329"/>
      <c r="E2381" s="329"/>
      <c r="F2381" s="330"/>
      <c r="G2381" s="330"/>
      <c r="H2381" s="208"/>
    </row>
    <row r="2382" spans="1:8" ht="15" customHeight="1">
      <c r="A2382" s="208"/>
      <c r="B2382" s="208"/>
      <c r="C2382" s="328"/>
      <c r="D2382" s="329"/>
      <c r="E2382" s="329"/>
      <c r="F2382" s="330"/>
      <c r="G2382" s="330"/>
      <c r="H2382" s="208"/>
    </row>
    <row r="2383" spans="1:8" ht="15" customHeight="1">
      <c r="A2383" s="208"/>
      <c r="B2383" s="208"/>
      <c r="C2383" s="328"/>
      <c r="D2383" s="329"/>
      <c r="E2383" s="329"/>
      <c r="F2383" s="330"/>
      <c r="G2383" s="330"/>
      <c r="H2383" s="208"/>
    </row>
    <row r="2384" spans="1:8" ht="15" customHeight="1">
      <c r="A2384" s="208"/>
      <c r="B2384" s="208"/>
      <c r="C2384" s="328"/>
      <c r="D2384" s="329"/>
      <c r="E2384" s="329"/>
      <c r="F2384" s="330"/>
      <c r="G2384" s="330"/>
      <c r="H2384" s="208"/>
    </row>
    <row r="2385" spans="1:8" ht="15" customHeight="1">
      <c r="A2385" s="208"/>
      <c r="B2385" s="208"/>
      <c r="C2385" s="328"/>
      <c r="D2385" s="329"/>
      <c r="E2385" s="329"/>
      <c r="F2385" s="330"/>
      <c r="G2385" s="330"/>
      <c r="H2385" s="208"/>
    </row>
    <row r="2386" spans="1:8" ht="15" customHeight="1">
      <c r="A2386" s="208"/>
      <c r="B2386" s="208"/>
      <c r="C2386" s="328"/>
      <c r="D2386" s="329"/>
      <c r="E2386" s="329"/>
      <c r="F2386" s="330"/>
      <c r="G2386" s="330"/>
      <c r="H2386" s="208"/>
    </row>
    <row r="2387" spans="1:8" ht="15" customHeight="1">
      <c r="A2387" s="208"/>
      <c r="B2387" s="208"/>
      <c r="C2387" s="328"/>
      <c r="D2387" s="329"/>
      <c r="E2387" s="329"/>
      <c r="F2387" s="330"/>
      <c r="G2387" s="330"/>
      <c r="H2387" s="208"/>
    </row>
    <row r="2388" spans="1:8" ht="15" customHeight="1">
      <c r="A2388" s="208"/>
      <c r="B2388" s="208"/>
      <c r="C2388" s="328"/>
      <c r="D2388" s="329"/>
      <c r="E2388" s="329"/>
      <c r="F2388" s="330"/>
      <c r="G2388" s="330"/>
      <c r="H2388" s="208"/>
    </row>
    <row r="2389" spans="1:8" ht="15" customHeight="1">
      <c r="A2389" s="208"/>
      <c r="B2389" s="208"/>
      <c r="C2389" s="328"/>
      <c r="D2389" s="329"/>
      <c r="E2389" s="329"/>
      <c r="F2389" s="330"/>
      <c r="G2389" s="330"/>
      <c r="H2389" s="208"/>
    </row>
    <row r="2390" spans="1:8" ht="15" customHeight="1">
      <c r="A2390" s="208"/>
      <c r="B2390" s="208"/>
      <c r="C2390" s="328"/>
      <c r="D2390" s="329"/>
      <c r="E2390" s="329"/>
      <c r="F2390" s="330"/>
      <c r="G2390" s="330"/>
      <c r="H2390" s="208"/>
    </row>
    <row r="2391" spans="1:8" ht="15" customHeight="1">
      <c r="A2391" s="208"/>
      <c r="B2391" s="208"/>
      <c r="C2391" s="328"/>
      <c r="D2391" s="329"/>
      <c r="E2391" s="329"/>
      <c r="F2391" s="330"/>
      <c r="G2391" s="330"/>
      <c r="H2391" s="208"/>
    </row>
    <row r="2392" spans="1:8" ht="15" customHeight="1">
      <c r="A2392" s="208"/>
      <c r="B2392" s="208"/>
      <c r="C2392" s="328"/>
      <c r="D2392" s="329"/>
      <c r="E2392" s="329"/>
      <c r="F2392" s="330"/>
      <c r="G2392" s="330"/>
      <c r="H2392" s="208"/>
    </row>
    <row r="2393" spans="1:8" ht="15" customHeight="1">
      <c r="A2393" s="208"/>
      <c r="B2393" s="208"/>
      <c r="C2393" s="328"/>
      <c r="D2393" s="329"/>
      <c r="E2393" s="329"/>
      <c r="F2393" s="330"/>
      <c r="G2393" s="330"/>
      <c r="H2393" s="208"/>
    </row>
    <row r="2394" spans="1:8" ht="15" customHeight="1">
      <c r="A2394" s="208"/>
      <c r="B2394" s="208"/>
      <c r="C2394" s="328"/>
      <c r="D2394" s="329"/>
      <c r="E2394" s="329"/>
      <c r="F2394" s="330"/>
      <c r="G2394" s="330"/>
      <c r="H2394" s="208"/>
    </row>
    <row r="2395" spans="1:8" ht="15" customHeight="1">
      <c r="A2395" s="208"/>
      <c r="B2395" s="208"/>
      <c r="C2395" s="328"/>
      <c r="D2395" s="329"/>
      <c r="E2395" s="329"/>
      <c r="F2395" s="330"/>
      <c r="G2395" s="330"/>
      <c r="H2395" s="208"/>
    </row>
    <row r="2396" spans="1:8" ht="15" customHeight="1">
      <c r="A2396" s="208"/>
      <c r="B2396" s="208"/>
      <c r="C2396" s="328"/>
      <c r="D2396" s="329"/>
      <c r="E2396" s="329"/>
      <c r="F2396" s="330"/>
      <c r="G2396" s="330"/>
      <c r="H2396" s="208"/>
    </row>
    <row r="2397" spans="1:8" ht="15" customHeight="1">
      <c r="A2397" s="208"/>
      <c r="B2397" s="208"/>
      <c r="C2397" s="328"/>
      <c r="D2397" s="329"/>
      <c r="E2397" s="329"/>
      <c r="F2397" s="330"/>
      <c r="G2397" s="330"/>
      <c r="H2397" s="208"/>
    </row>
    <row r="2398" spans="1:8" ht="15" customHeight="1">
      <c r="A2398" s="208"/>
      <c r="B2398" s="208"/>
      <c r="C2398" s="328"/>
      <c r="D2398" s="329"/>
      <c r="E2398" s="329"/>
      <c r="F2398" s="330"/>
      <c r="G2398" s="330"/>
      <c r="H2398" s="208"/>
    </row>
    <row r="2399" spans="1:8" ht="15" customHeight="1">
      <c r="A2399" s="208"/>
      <c r="B2399" s="208"/>
      <c r="C2399" s="328"/>
      <c r="D2399" s="329"/>
      <c r="E2399" s="329"/>
      <c r="F2399" s="330"/>
      <c r="G2399" s="330"/>
      <c r="H2399" s="208"/>
    </row>
    <row r="2400" spans="1:8" ht="15" customHeight="1">
      <c r="A2400" s="208"/>
      <c r="B2400" s="208"/>
      <c r="C2400" s="328"/>
      <c r="D2400" s="329"/>
      <c r="E2400" s="329"/>
      <c r="F2400" s="330"/>
      <c r="G2400" s="330"/>
      <c r="H2400" s="208"/>
    </row>
    <row r="2401" spans="1:8" ht="15" customHeight="1">
      <c r="A2401" s="208"/>
      <c r="B2401" s="208"/>
      <c r="C2401" s="328"/>
      <c r="D2401" s="329"/>
      <c r="E2401" s="329"/>
      <c r="F2401" s="330"/>
      <c r="G2401" s="330"/>
      <c r="H2401" s="208"/>
    </row>
    <row r="2402" spans="1:8" ht="15" customHeight="1">
      <c r="A2402" s="208"/>
      <c r="B2402" s="208"/>
      <c r="C2402" s="328"/>
      <c r="D2402" s="329"/>
      <c r="E2402" s="329"/>
      <c r="F2402" s="330"/>
      <c r="G2402" s="330"/>
      <c r="H2402" s="208"/>
    </row>
    <row r="2403" spans="1:8" ht="15" customHeight="1">
      <c r="A2403" s="208"/>
      <c r="B2403" s="208"/>
      <c r="C2403" s="328"/>
      <c r="D2403" s="329"/>
      <c r="E2403" s="329"/>
      <c r="F2403" s="330"/>
      <c r="G2403" s="330"/>
      <c r="H2403" s="208"/>
    </row>
    <row r="2404" spans="1:8" ht="15" customHeight="1">
      <c r="A2404" s="208"/>
      <c r="B2404" s="208"/>
      <c r="C2404" s="328"/>
      <c r="D2404" s="329"/>
      <c r="E2404" s="329"/>
      <c r="F2404" s="330"/>
      <c r="G2404" s="330"/>
      <c r="H2404" s="208"/>
    </row>
    <row r="2405" spans="1:8" ht="15" customHeight="1">
      <c r="A2405" s="208"/>
      <c r="B2405" s="208"/>
      <c r="C2405" s="328"/>
      <c r="D2405" s="329"/>
      <c r="E2405" s="329"/>
      <c r="F2405" s="330"/>
      <c r="G2405" s="330"/>
      <c r="H2405" s="208"/>
    </row>
    <row r="2406" spans="1:8" ht="15" customHeight="1">
      <c r="A2406" s="208"/>
      <c r="B2406" s="208"/>
      <c r="C2406" s="328"/>
      <c r="D2406" s="329"/>
      <c r="E2406" s="329"/>
      <c r="F2406" s="330"/>
      <c r="G2406" s="330"/>
      <c r="H2406" s="208"/>
    </row>
    <row r="2407" spans="1:8" ht="15" customHeight="1">
      <c r="A2407" s="208"/>
      <c r="B2407" s="208"/>
      <c r="C2407" s="328"/>
      <c r="D2407" s="329"/>
      <c r="E2407" s="329"/>
      <c r="F2407" s="330"/>
      <c r="G2407" s="330"/>
      <c r="H2407" s="208"/>
    </row>
    <row r="2408" spans="1:8" ht="15" customHeight="1">
      <c r="A2408" s="208"/>
      <c r="B2408" s="208"/>
      <c r="C2408" s="328"/>
      <c r="D2408" s="329"/>
      <c r="E2408" s="329"/>
      <c r="F2408" s="330"/>
      <c r="G2408" s="330"/>
      <c r="H2408" s="208"/>
    </row>
    <row r="2409" spans="1:8" ht="15" customHeight="1">
      <c r="A2409" s="208"/>
      <c r="B2409" s="208"/>
      <c r="C2409" s="328"/>
      <c r="D2409" s="329"/>
      <c r="E2409" s="329"/>
      <c r="F2409" s="330"/>
      <c r="G2409" s="330"/>
      <c r="H2409" s="208"/>
    </row>
    <row r="2410" spans="1:8" ht="15" customHeight="1">
      <c r="A2410" s="208"/>
      <c r="B2410" s="208"/>
      <c r="C2410" s="328"/>
      <c r="D2410" s="329"/>
      <c r="E2410" s="329"/>
      <c r="F2410" s="330"/>
      <c r="G2410" s="330"/>
      <c r="H2410" s="208"/>
    </row>
    <row r="2411" spans="1:8" ht="15" customHeight="1">
      <c r="A2411" s="208"/>
      <c r="B2411" s="208"/>
      <c r="C2411" s="328"/>
      <c r="D2411" s="329"/>
      <c r="E2411" s="329"/>
      <c r="F2411" s="330"/>
      <c r="G2411" s="330"/>
      <c r="H2411" s="208"/>
    </row>
    <row r="2412" spans="1:8" ht="15" customHeight="1">
      <c r="A2412" s="208"/>
      <c r="B2412" s="208"/>
      <c r="C2412" s="328"/>
      <c r="D2412" s="329"/>
      <c r="E2412" s="329"/>
      <c r="F2412" s="330"/>
      <c r="G2412" s="330"/>
      <c r="H2412" s="208"/>
    </row>
    <row r="2413" spans="1:8" ht="15" customHeight="1">
      <c r="A2413" s="208"/>
      <c r="B2413" s="208"/>
      <c r="C2413" s="328"/>
      <c r="D2413" s="329"/>
      <c r="E2413" s="329"/>
      <c r="F2413" s="330"/>
      <c r="G2413" s="330"/>
      <c r="H2413" s="208"/>
    </row>
    <row r="2414" spans="1:8" ht="15" customHeight="1">
      <c r="A2414" s="208"/>
      <c r="B2414" s="208"/>
      <c r="C2414" s="328"/>
      <c r="D2414" s="329"/>
      <c r="E2414" s="329"/>
      <c r="F2414" s="330"/>
      <c r="G2414" s="330"/>
      <c r="H2414" s="208"/>
    </row>
    <row r="2415" spans="1:8" ht="15" customHeight="1">
      <c r="A2415" s="208"/>
      <c r="B2415" s="208"/>
      <c r="C2415" s="328"/>
      <c r="D2415" s="329"/>
      <c r="E2415" s="329"/>
      <c r="F2415" s="330"/>
      <c r="G2415" s="330"/>
      <c r="H2415" s="208"/>
    </row>
    <row r="2416" spans="1:8" ht="15" customHeight="1">
      <c r="A2416" s="208"/>
      <c r="B2416" s="208"/>
      <c r="C2416" s="328"/>
      <c r="D2416" s="329"/>
      <c r="E2416" s="329"/>
      <c r="F2416" s="330"/>
      <c r="G2416" s="330"/>
      <c r="H2416" s="208"/>
    </row>
    <row r="2417" spans="1:8" ht="15" customHeight="1">
      <c r="A2417" s="208"/>
      <c r="B2417" s="208"/>
      <c r="C2417" s="328"/>
      <c r="D2417" s="329"/>
      <c r="E2417" s="329"/>
      <c r="F2417" s="330"/>
      <c r="G2417" s="330"/>
      <c r="H2417" s="208"/>
    </row>
    <row r="2418" spans="1:8" ht="15" customHeight="1">
      <c r="A2418" s="208"/>
      <c r="B2418" s="208"/>
      <c r="C2418" s="328"/>
      <c r="D2418" s="329"/>
      <c r="E2418" s="329"/>
      <c r="F2418" s="330"/>
      <c r="G2418" s="330"/>
      <c r="H2418" s="208"/>
    </row>
    <row r="2419" spans="1:8" ht="15" customHeight="1">
      <c r="A2419" s="208"/>
      <c r="B2419" s="208"/>
      <c r="C2419" s="328"/>
      <c r="D2419" s="329"/>
      <c r="E2419" s="329"/>
      <c r="F2419" s="330"/>
      <c r="G2419" s="330"/>
      <c r="H2419" s="208"/>
    </row>
    <row r="2420" spans="1:8" ht="15" customHeight="1">
      <c r="A2420" s="208"/>
      <c r="B2420" s="208"/>
      <c r="C2420" s="328"/>
      <c r="D2420" s="329"/>
      <c r="E2420" s="329"/>
      <c r="F2420" s="330"/>
      <c r="G2420" s="330"/>
      <c r="H2420" s="208"/>
    </row>
    <row r="2421" spans="1:8" ht="15" customHeight="1">
      <c r="A2421" s="208"/>
      <c r="B2421" s="208"/>
      <c r="C2421" s="328"/>
      <c r="D2421" s="329"/>
      <c r="E2421" s="329"/>
      <c r="F2421" s="330"/>
      <c r="G2421" s="330"/>
      <c r="H2421" s="208"/>
    </row>
    <row r="2422" spans="1:8" ht="15" customHeight="1">
      <c r="A2422" s="208"/>
      <c r="B2422" s="208"/>
      <c r="C2422" s="328"/>
      <c r="D2422" s="329"/>
      <c r="E2422" s="329"/>
      <c r="F2422" s="330"/>
      <c r="G2422" s="330"/>
      <c r="H2422" s="208"/>
    </row>
    <row r="2423" spans="1:8" ht="15" customHeight="1">
      <c r="A2423" s="208"/>
      <c r="B2423" s="208"/>
      <c r="C2423" s="328"/>
      <c r="D2423" s="329"/>
      <c r="E2423" s="329"/>
      <c r="F2423" s="330"/>
      <c r="G2423" s="330"/>
      <c r="H2423" s="208"/>
    </row>
    <row r="2424" spans="1:8" ht="15" customHeight="1">
      <c r="A2424" s="208"/>
      <c r="B2424" s="208"/>
      <c r="C2424" s="328"/>
      <c r="D2424" s="329"/>
      <c r="E2424" s="329"/>
      <c r="F2424" s="330"/>
      <c r="G2424" s="330"/>
      <c r="H2424" s="208"/>
    </row>
    <row r="2425" spans="1:8" ht="15" customHeight="1">
      <c r="A2425" s="208"/>
      <c r="B2425" s="208"/>
      <c r="C2425" s="328"/>
      <c r="D2425" s="329"/>
      <c r="E2425" s="329"/>
      <c r="F2425" s="330"/>
      <c r="G2425" s="330"/>
      <c r="H2425" s="208"/>
    </row>
    <row r="2426" spans="1:8" ht="15" customHeight="1">
      <c r="A2426" s="208"/>
      <c r="B2426" s="208"/>
      <c r="C2426" s="328"/>
      <c r="D2426" s="329"/>
      <c r="E2426" s="329"/>
      <c r="F2426" s="330"/>
      <c r="G2426" s="330"/>
      <c r="H2426" s="208"/>
    </row>
    <row r="2427" spans="1:8" ht="15" customHeight="1">
      <c r="A2427" s="208"/>
      <c r="B2427" s="208"/>
      <c r="C2427" s="328"/>
      <c r="D2427" s="329"/>
      <c r="E2427" s="329"/>
      <c r="F2427" s="330"/>
      <c r="G2427" s="330"/>
      <c r="H2427" s="208"/>
    </row>
    <row r="2428" spans="1:8" ht="15" customHeight="1">
      <c r="A2428" s="208"/>
      <c r="B2428" s="208"/>
      <c r="C2428" s="328"/>
      <c r="D2428" s="329"/>
      <c r="E2428" s="329"/>
      <c r="F2428" s="330"/>
      <c r="G2428" s="330"/>
      <c r="H2428" s="208"/>
    </row>
    <row r="2429" spans="1:8" ht="15" customHeight="1">
      <c r="A2429" s="208"/>
      <c r="B2429" s="208"/>
      <c r="C2429" s="328"/>
      <c r="D2429" s="329"/>
      <c r="E2429" s="329"/>
      <c r="F2429" s="330"/>
      <c r="G2429" s="330"/>
      <c r="H2429" s="208"/>
    </row>
    <row r="2430" spans="1:8" ht="15" customHeight="1">
      <c r="A2430" s="208"/>
      <c r="B2430" s="208"/>
      <c r="C2430" s="328"/>
      <c r="D2430" s="329"/>
      <c r="E2430" s="329"/>
      <c r="F2430" s="330"/>
      <c r="G2430" s="330"/>
      <c r="H2430" s="208"/>
    </row>
    <row r="2431" spans="1:8" ht="15" customHeight="1">
      <c r="A2431" s="208"/>
      <c r="B2431" s="208"/>
      <c r="C2431" s="328"/>
      <c r="D2431" s="329"/>
      <c r="E2431" s="329"/>
      <c r="F2431" s="330"/>
      <c r="G2431" s="330"/>
      <c r="H2431" s="208"/>
    </row>
    <row r="2432" spans="1:8" ht="15" customHeight="1">
      <c r="A2432" s="208"/>
      <c r="B2432" s="208"/>
      <c r="C2432" s="328"/>
      <c r="D2432" s="329"/>
      <c r="E2432" s="329"/>
      <c r="F2432" s="330"/>
      <c r="G2432" s="330"/>
      <c r="H2432" s="208"/>
    </row>
    <row r="2433" spans="1:8" ht="15" customHeight="1">
      <c r="A2433" s="208"/>
      <c r="B2433" s="208"/>
      <c r="C2433" s="328"/>
      <c r="D2433" s="329"/>
      <c r="E2433" s="329"/>
      <c r="F2433" s="330"/>
      <c r="G2433" s="330"/>
      <c r="H2433" s="208"/>
    </row>
    <row r="2434" spans="1:8" ht="15" customHeight="1">
      <c r="A2434" s="208"/>
      <c r="B2434" s="208"/>
      <c r="C2434" s="328"/>
      <c r="D2434" s="329"/>
      <c r="E2434" s="329"/>
      <c r="F2434" s="330"/>
      <c r="G2434" s="330"/>
      <c r="H2434" s="208"/>
    </row>
    <row r="2435" spans="1:8" ht="15" customHeight="1">
      <c r="A2435" s="208"/>
      <c r="B2435" s="208"/>
      <c r="C2435" s="328"/>
      <c r="D2435" s="329"/>
      <c r="E2435" s="329"/>
      <c r="F2435" s="330"/>
      <c r="G2435" s="330"/>
      <c r="H2435" s="208"/>
    </row>
    <row r="2436" spans="1:8" ht="15" customHeight="1">
      <c r="A2436" s="208"/>
      <c r="B2436" s="208"/>
      <c r="C2436" s="328"/>
      <c r="D2436" s="329"/>
      <c r="E2436" s="329"/>
      <c r="F2436" s="330"/>
      <c r="G2436" s="330"/>
      <c r="H2436" s="208"/>
    </row>
    <row r="2437" spans="1:8" ht="15" customHeight="1">
      <c r="A2437" s="208"/>
      <c r="B2437" s="208"/>
      <c r="C2437" s="328"/>
      <c r="D2437" s="329"/>
      <c r="E2437" s="329"/>
      <c r="F2437" s="330"/>
      <c r="G2437" s="330"/>
      <c r="H2437" s="208"/>
    </row>
    <row r="2438" spans="1:8" ht="15" customHeight="1">
      <c r="A2438" s="208"/>
      <c r="B2438" s="208"/>
      <c r="C2438" s="328"/>
      <c r="D2438" s="329"/>
      <c r="E2438" s="329"/>
      <c r="F2438" s="330"/>
      <c r="G2438" s="330"/>
      <c r="H2438" s="208"/>
    </row>
    <row r="2439" spans="1:8" ht="15" customHeight="1">
      <c r="A2439" s="208"/>
      <c r="B2439" s="208"/>
      <c r="C2439" s="328"/>
      <c r="D2439" s="329"/>
      <c r="E2439" s="329"/>
      <c r="F2439" s="330"/>
      <c r="G2439" s="330"/>
      <c r="H2439" s="208"/>
    </row>
    <row r="2440" spans="1:8" ht="15" customHeight="1">
      <c r="A2440" s="208"/>
      <c r="B2440" s="208"/>
      <c r="C2440" s="328"/>
      <c r="D2440" s="329"/>
      <c r="E2440" s="329"/>
      <c r="F2440" s="330"/>
      <c r="G2440" s="330"/>
      <c r="H2440" s="208"/>
    </row>
    <row r="2441" spans="1:8" ht="15" customHeight="1">
      <c r="A2441" s="208"/>
      <c r="B2441" s="208"/>
      <c r="C2441" s="328"/>
      <c r="D2441" s="329"/>
      <c r="E2441" s="329"/>
      <c r="F2441" s="330"/>
      <c r="G2441" s="330"/>
      <c r="H2441" s="208"/>
    </row>
    <row r="2442" spans="1:8" ht="15" customHeight="1">
      <c r="A2442" s="208"/>
      <c r="B2442" s="208"/>
      <c r="C2442" s="328"/>
      <c r="D2442" s="329"/>
      <c r="E2442" s="329"/>
      <c r="F2442" s="330"/>
      <c r="G2442" s="330"/>
      <c r="H2442" s="208"/>
    </row>
    <row r="2443" spans="1:8" ht="15" customHeight="1">
      <c r="A2443" s="208"/>
      <c r="B2443" s="208"/>
      <c r="C2443" s="328"/>
      <c r="D2443" s="329"/>
      <c r="E2443" s="329"/>
      <c r="F2443" s="330"/>
      <c r="G2443" s="330"/>
      <c r="H2443" s="208"/>
    </row>
    <row r="2444" spans="1:8" ht="15" customHeight="1">
      <c r="A2444" s="208"/>
      <c r="B2444" s="208"/>
      <c r="C2444" s="328"/>
      <c r="D2444" s="329"/>
      <c r="E2444" s="329"/>
      <c r="F2444" s="330"/>
      <c r="G2444" s="330"/>
      <c r="H2444" s="208"/>
    </row>
    <row r="2445" spans="1:8" ht="15" customHeight="1">
      <c r="A2445" s="208"/>
      <c r="B2445" s="208"/>
      <c r="C2445" s="328"/>
      <c r="D2445" s="329"/>
      <c r="E2445" s="329"/>
      <c r="F2445" s="330"/>
      <c r="G2445" s="330"/>
      <c r="H2445" s="208"/>
    </row>
    <row r="2446" spans="1:8" ht="15" customHeight="1">
      <c r="A2446" s="208"/>
      <c r="B2446" s="208"/>
      <c r="C2446" s="328"/>
      <c r="D2446" s="329"/>
      <c r="E2446" s="329"/>
      <c r="F2446" s="330"/>
      <c r="G2446" s="330"/>
      <c r="H2446" s="208"/>
    </row>
    <row r="2447" spans="1:8" ht="15" customHeight="1">
      <c r="A2447" s="208"/>
      <c r="B2447" s="208"/>
      <c r="C2447" s="328"/>
      <c r="D2447" s="329"/>
      <c r="E2447" s="329"/>
      <c r="F2447" s="330"/>
      <c r="G2447" s="330"/>
      <c r="H2447" s="208"/>
    </row>
    <row r="2448" spans="1:8" ht="15" customHeight="1">
      <c r="A2448" s="208"/>
      <c r="B2448" s="208"/>
      <c r="C2448" s="328"/>
      <c r="D2448" s="329"/>
      <c r="E2448" s="329"/>
      <c r="F2448" s="330"/>
      <c r="G2448" s="330"/>
      <c r="H2448" s="208"/>
    </row>
    <row r="2449" spans="1:8" ht="15" customHeight="1">
      <c r="A2449" s="208"/>
      <c r="B2449" s="208"/>
      <c r="C2449" s="328"/>
      <c r="D2449" s="329"/>
      <c r="E2449" s="329"/>
      <c r="F2449" s="330"/>
      <c r="G2449" s="330"/>
      <c r="H2449" s="208"/>
    </row>
    <row r="2450" spans="1:8" ht="15" customHeight="1">
      <c r="A2450" s="208"/>
      <c r="B2450" s="208"/>
      <c r="C2450" s="328"/>
      <c r="D2450" s="329"/>
      <c r="E2450" s="329"/>
      <c r="F2450" s="330"/>
      <c r="G2450" s="330"/>
      <c r="H2450" s="208"/>
    </row>
    <row r="2451" spans="1:8" ht="15" customHeight="1">
      <c r="A2451" s="208"/>
      <c r="B2451" s="208"/>
      <c r="C2451" s="328"/>
      <c r="D2451" s="329"/>
      <c r="E2451" s="329"/>
      <c r="F2451" s="330"/>
      <c r="G2451" s="330"/>
      <c r="H2451" s="208"/>
    </row>
    <row r="2452" spans="1:8" ht="15" customHeight="1">
      <c r="A2452" s="208"/>
      <c r="B2452" s="208"/>
      <c r="C2452" s="328"/>
      <c r="D2452" s="329"/>
      <c r="E2452" s="329"/>
      <c r="F2452" s="330"/>
      <c r="G2452" s="330"/>
      <c r="H2452" s="208"/>
    </row>
    <row r="2453" spans="1:8" ht="15" customHeight="1">
      <c r="A2453" s="208"/>
      <c r="B2453" s="208"/>
      <c r="C2453" s="328"/>
      <c r="D2453" s="329"/>
      <c r="E2453" s="329"/>
      <c r="F2453" s="330"/>
      <c r="G2453" s="330"/>
      <c r="H2453" s="208"/>
    </row>
    <row r="2454" spans="1:8" ht="15" customHeight="1">
      <c r="A2454" s="208"/>
      <c r="B2454" s="208"/>
      <c r="C2454" s="328"/>
      <c r="D2454" s="329"/>
      <c r="E2454" s="329"/>
      <c r="F2454" s="330"/>
      <c r="G2454" s="330"/>
      <c r="H2454" s="208"/>
    </row>
    <row r="2455" spans="1:8" ht="15" customHeight="1">
      <c r="A2455" s="208"/>
      <c r="B2455" s="208"/>
      <c r="C2455" s="328"/>
      <c r="D2455" s="329"/>
      <c r="E2455" s="329"/>
      <c r="F2455" s="330"/>
      <c r="G2455" s="330"/>
      <c r="H2455" s="208"/>
    </row>
    <row r="2456" spans="1:8" ht="15" customHeight="1">
      <c r="A2456" s="208"/>
      <c r="B2456" s="208"/>
      <c r="C2456" s="328"/>
      <c r="D2456" s="329"/>
      <c r="E2456" s="329"/>
      <c r="F2456" s="330"/>
      <c r="G2456" s="330"/>
      <c r="H2456" s="208"/>
    </row>
    <row r="2457" spans="1:8" ht="15" customHeight="1">
      <c r="A2457" s="208"/>
      <c r="B2457" s="208"/>
      <c r="C2457" s="328"/>
      <c r="D2457" s="329"/>
      <c r="E2457" s="329"/>
      <c r="F2457" s="330"/>
      <c r="G2457" s="330"/>
      <c r="H2457" s="208"/>
    </row>
    <row r="2458" spans="1:8" ht="15" customHeight="1">
      <c r="A2458" s="208"/>
      <c r="B2458" s="208"/>
      <c r="C2458" s="328"/>
      <c r="D2458" s="329"/>
      <c r="E2458" s="329"/>
      <c r="F2458" s="330"/>
      <c r="G2458" s="330"/>
      <c r="H2458" s="208"/>
    </row>
    <row r="2459" spans="1:8" ht="15" customHeight="1">
      <c r="A2459" s="208"/>
      <c r="B2459" s="208"/>
      <c r="C2459" s="328"/>
      <c r="D2459" s="329"/>
      <c r="E2459" s="329"/>
      <c r="F2459" s="330"/>
      <c r="G2459" s="330"/>
      <c r="H2459" s="208"/>
    </row>
    <row r="2460" spans="1:8" ht="15" customHeight="1">
      <c r="A2460" s="208"/>
      <c r="B2460" s="208"/>
      <c r="C2460" s="328"/>
      <c r="D2460" s="329"/>
      <c r="E2460" s="329"/>
      <c r="F2460" s="330"/>
      <c r="G2460" s="330"/>
      <c r="H2460" s="208"/>
    </row>
    <row r="2461" spans="1:8" ht="15" customHeight="1">
      <c r="A2461" s="208"/>
      <c r="B2461" s="208"/>
      <c r="C2461" s="328"/>
      <c r="D2461" s="329"/>
      <c r="E2461" s="329"/>
      <c r="F2461" s="330"/>
      <c r="G2461" s="330"/>
      <c r="H2461" s="208"/>
    </row>
    <row r="2462" spans="1:8" ht="15" customHeight="1">
      <c r="A2462" s="208"/>
      <c r="B2462" s="208"/>
      <c r="C2462" s="328"/>
      <c r="D2462" s="329"/>
      <c r="E2462" s="329"/>
      <c r="F2462" s="330"/>
      <c r="G2462" s="330"/>
      <c r="H2462" s="208"/>
    </row>
    <row r="2463" spans="1:8" ht="15" customHeight="1">
      <c r="A2463" s="208"/>
      <c r="B2463" s="208"/>
      <c r="C2463" s="328"/>
      <c r="D2463" s="329"/>
      <c r="E2463" s="329"/>
      <c r="F2463" s="330"/>
      <c r="G2463" s="330"/>
      <c r="H2463" s="208"/>
    </row>
    <row r="2464" spans="1:8" ht="15" customHeight="1">
      <c r="A2464" s="208"/>
      <c r="B2464" s="208"/>
      <c r="C2464" s="328"/>
      <c r="D2464" s="329"/>
      <c r="E2464" s="329"/>
      <c r="F2464" s="330"/>
      <c r="G2464" s="330"/>
      <c r="H2464" s="208"/>
    </row>
    <row r="2465" spans="1:8" ht="15" customHeight="1">
      <c r="A2465" s="208"/>
      <c r="B2465" s="208"/>
      <c r="C2465" s="328"/>
      <c r="D2465" s="329"/>
      <c r="E2465" s="329"/>
      <c r="F2465" s="330"/>
      <c r="G2465" s="330"/>
      <c r="H2465" s="208"/>
    </row>
    <row r="2466" spans="1:8" ht="15" customHeight="1">
      <c r="A2466" s="208"/>
      <c r="B2466" s="208"/>
      <c r="C2466" s="328"/>
      <c r="D2466" s="329"/>
      <c r="E2466" s="329"/>
      <c r="F2466" s="330"/>
      <c r="G2466" s="330"/>
      <c r="H2466" s="208"/>
    </row>
    <row r="2467" spans="1:8" ht="15" customHeight="1">
      <c r="A2467" s="208"/>
      <c r="B2467" s="208"/>
      <c r="C2467" s="328"/>
      <c r="D2467" s="329"/>
      <c r="E2467" s="329"/>
      <c r="F2467" s="330"/>
      <c r="G2467" s="330"/>
      <c r="H2467" s="208"/>
    </row>
    <row r="2468" spans="1:8" ht="15" customHeight="1">
      <c r="A2468" s="208"/>
      <c r="B2468" s="208"/>
      <c r="C2468" s="328"/>
      <c r="D2468" s="329"/>
      <c r="E2468" s="329"/>
      <c r="F2468" s="330"/>
      <c r="G2468" s="330"/>
      <c r="H2468" s="208"/>
    </row>
    <row r="2469" spans="1:8" ht="15" customHeight="1">
      <c r="A2469" s="208"/>
      <c r="B2469" s="208"/>
      <c r="C2469" s="328"/>
      <c r="D2469" s="329"/>
      <c r="E2469" s="329"/>
      <c r="F2469" s="330"/>
      <c r="G2469" s="330"/>
      <c r="H2469" s="208"/>
    </row>
    <row r="2470" spans="1:8" ht="15" customHeight="1">
      <c r="A2470" s="208"/>
      <c r="B2470" s="208"/>
      <c r="C2470" s="328"/>
      <c r="D2470" s="329"/>
      <c r="E2470" s="329"/>
      <c r="F2470" s="330"/>
      <c r="G2470" s="330"/>
      <c r="H2470" s="208"/>
    </row>
    <row r="2471" spans="1:8" ht="15" customHeight="1">
      <c r="A2471" s="208"/>
      <c r="B2471" s="208"/>
      <c r="C2471" s="328"/>
      <c r="D2471" s="329"/>
      <c r="E2471" s="329"/>
      <c r="F2471" s="330"/>
      <c r="G2471" s="330"/>
      <c r="H2471" s="208"/>
    </row>
    <row r="2472" spans="1:8" ht="15" customHeight="1">
      <c r="A2472" s="208"/>
      <c r="B2472" s="208"/>
      <c r="C2472" s="328"/>
      <c r="D2472" s="329"/>
      <c r="E2472" s="329"/>
      <c r="F2472" s="330"/>
      <c r="G2472" s="330"/>
      <c r="H2472" s="208"/>
    </row>
    <row r="2473" spans="1:8" ht="15" customHeight="1">
      <c r="A2473" s="208"/>
      <c r="B2473" s="208"/>
      <c r="C2473" s="328"/>
      <c r="D2473" s="329"/>
      <c r="E2473" s="329"/>
      <c r="F2473" s="330"/>
      <c r="G2473" s="330"/>
      <c r="H2473" s="208"/>
    </row>
    <row r="2474" spans="1:8" ht="15" customHeight="1">
      <c r="A2474" s="208"/>
      <c r="B2474" s="208"/>
      <c r="C2474" s="328"/>
      <c r="D2474" s="329"/>
      <c r="E2474" s="329"/>
      <c r="F2474" s="330"/>
      <c r="G2474" s="330"/>
      <c r="H2474" s="208"/>
    </row>
    <row r="2475" spans="1:8" ht="15" customHeight="1">
      <c r="A2475" s="208"/>
      <c r="B2475" s="208"/>
      <c r="C2475" s="328"/>
      <c r="D2475" s="329"/>
      <c r="E2475" s="329"/>
      <c r="F2475" s="330"/>
      <c r="G2475" s="330"/>
      <c r="H2475" s="208"/>
    </row>
    <row r="2476" spans="1:8" ht="15" customHeight="1">
      <c r="A2476" s="208"/>
      <c r="B2476" s="208"/>
      <c r="C2476" s="328"/>
      <c r="D2476" s="329"/>
      <c r="E2476" s="329"/>
      <c r="F2476" s="330"/>
      <c r="G2476" s="330"/>
      <c r="H2476" s="208"/>
    </row>
    <row r="2477" spans="1:8" ht="15" customHeight="1">
      <c r="A2477" s="208"/>
      <c r="B2477" s="208"/>
      <c r="C2477" s="328"/>
      <c r="D2477" s="329"/>
      <c r="E2477" s="329"/>
      <c r="F2477" s="330"/>
      <c r="G2477" s="330"/>
      <c r="H2477" s="208"/>
    </row>
    <row r="2478" spans="1:8" ht="15" customHeight="1">
      <c r="A2478" s="208"/>
      <c r="B2478" s="208"/>
      <c r="C2478" s="328"/>
      <c r="D2478" s="329"/>
      <c r="E2478" s="329"/>
      <c r="F2478" s="330"/>
      <c r="G2478" s="330"/>
      <c r="H2478" s="208"/>
    </row>
    <row r="2479" spans="1:8" ht="15" customHeight="1">
      <c r="A2479" s="208"/>
      <c r="B2479" s="208"/>
      <c r="C2479" s="328"/>
      <c r="D2479" s="329"/>
      <c r="E2479" s="329"/>
      <c r="F2479" s="330"/>
      <c r="G2479" s="330"/>
      <c r="H2479" s="208"/>
    </row>
    <row r="2480" spans="1:8" ht="15" customHeight="1">
      <c r="A2480" s="208"/>
      <c r="B2480" s="208"/>
      <c r="C2480" s="328"/>
      <c r="D2480" s="329"/>
      <c r="E2480" s="329"/>
      <c r="F2480" s="330"/>
      <c r="G2480" s="330"/>
      <c r="H2480" s="208"/>
    </row>
    <row r="2481" spans="1:8" ht="15" customHeight="1">
      <c r="A2481" s="208"/>
      <c r="B2481" s="208"/>
      <c r="C2481" s="328"/>
      <c r="D2481" s="329"/>
      <c r="E2481" s="329"/>
      <c r="F2481" s="330"/>
      <c r="G2481" s="330"/>
      <c r="H2481" s="208"/>
    </row>
    <row r="2482" spans="1:8" ht="15" customHeight="1">
      <c r="A2482" s="208"/>
      <c r="B2482" s="208"/>
      <c r="C2482" s="328"/>
      <c r="D2482" s="329"/>
      <c r="E2482" s="329"/>
      <c r="F2482" s="330"/>
      <c r="G2482" s="330"/>
      <c r="H2482" s="208"/>
    </row>
    <row r="2483" spans="1:8" ht="15" customHeight="1">
      <c r="A2483" s="208"/>
      <c r="B2483" s="208"/>
      <c r="C2483" s="328"/>
      <c r="D2483" s="329"/>
      <c r="E2483" s="329"/>
      <c r="F2483" s="330"/>
      <c r="G2483" s="330"/>
      <c r="H2483" s="208"/>
    </row>
    <row r="2484" spans="1:8" ht="15" customHeight="1">
      <c r="A2484" s="208"/>
      <c r="B2484" s="208"/>
      <c r="C2484" s="328"/>
      <c r="D2484" s="329"/>
      <c r="E2484" s="329"/>
      <c r="F2484" s="330"/>
      <c r="G2484" s="330"/>
      <c r="H2484" s="208"/>
    </row>
    <row r="2485" spans="1:8" ht="15" customHeight="1">
      <c r="A2485" s="208"/>
      <c r="B2485" s="208"/>
      <c r="C2485" s="328"/>
      <c r="D2485" s="329"/>
      <c r="E2485" s="329"/>
      <c r="F2485" s="330"/>
      <c r="G2485" s="330"/>
      <c r="H2485" s="208"/>
    </row>
    <row r="2486" spans="1:8" ht="15" customHeight="1">
      <c r="A2486" s="208"/>
      <c r="B2486" s="208"/>
      <c r="C2486" s="328"/>
      <c r="D2486" s="329"/>
      <c r="E2486" s="329"/>
      <c r="F2486" s="330"/>
      <c r="G2486" s="330"/>
      <c r="H2486" s="208"/>
    </row>
    <row r="2487" spans="1:8" ht="15" customHeight="1">
      <c r="A2487" s="208"/>
      <c r="B2487" s="208"/>
      <c r="C2487" s="328"/>
      <c r="D2487" s="329"/>
      <c r="E2487" s="329"/>
      <c r="F2487" s="330"/>
      <c r="G2487" s="330"/>
      <c r="H2487" s="208"/>
    </row>
    <row r="2488" spans="1:8" ht="15" customHeight="1">
      <c r="A2488" s="208"/>
      <c r="B2488" s="208"/>
      <c r="C2488" s="328"/>
      <c r="D2488" s="329"/>
      <c r="E2488" s="329"/>
      <c r="F2488" s="330"/>
      <c r="G2488" s="330"/>
      <c r="H2488" s="208"/>
    </row>
    <row r="2489" spans="1:8" ht="15" customHeight="1">
      <c r="A2489" s="208"/>
      <c r="B2489" s="208"/>
      <c r="C2489" s="328"/>
      <c r="D2489" s="329"/>
      <c r="E2489" s="329"/>
      <c r="F2489" s="330"/>
      <c r="G2489" s="330"/>
      <c r="H2489" s="208"/>
    </row>
    <row r="2490" spans="1:8" ht="15" customHeight="1">
      <c r="A2490" s="208"/>
      <c r="B2490" s="208"/>
      <c r="C2490" s="328"/>
      <c r="D2490" s="329"/>
      <c r="E2490" s="329"/>
      <c r="F2490" s="330"/>
      <c r="G2490" s="330"/>
      <c r="H2490" s="208"/>
    </row>
    <row r="2491" spans="1:8" ht="15" customHeight="1">
      <c r="A2491" s="208"/>
      <c r="B2491" s="208"/>
      <c r="C2491" s="328"/>
      <c r="D2491" s="329"/>
      <c r="E2491" s="329"/>
      <c r="F2491" s="330"/>
      <c r="G2491" s="330"/>
      <c r="H2491" s="208"/>
    </row>
    <row r="2492" spans="1:8" ht="15" customHeight="1">
      <c r="A2492" s="208"/>
      <c r="B2492" s="208"/>
      <c r="C2492" s="328"/>
      <c r="D2492" s="329"/>
      <c r="E2492" s="329"/>
      <c r="F2492" s="330"/>
      <c r="G2492" s="330"/>
      <c r="H2492" s="208"/>
    </row>
    <row r="2493" spans="1:8" ht="15" customHeight="1">
      <c r="A2493" s="208"/>
      <c r="B2493" s="208"/>
      <c r="C2493" s="328"/>
      <c r="D2493" s="329"/>
      <c r="E2493" s="329"/>
      <c r="F2493" s="330"/>
      <c r="G2493" s="330"/>
      <c r="H2493" s="208"/>
    </row>
    <row r="2494" spans="1:8" ht="15" customHeight="1">
      <c r="A2494" s="208"/>
      <c r="B2494" s="208"/>
      <c r="C2494" s="328"/>
      <c r="D2494" s="329"/>
      <c r="E2494" s="329"/>
      <c r="F2494" s="330"/>
      <c r="G2494" s="330"/>
      <c r="H2494" s="208"/>
    </row>
    <row r="2495" spans="1:8" ht="15" customHeight="1">
      <c r="A2495" s="208"/>
      <c r="B2495" s="208"/>
      <c r="C2495" s="328"/>
      <c r="D2495" s="329"/>
      <c r="E2495" s="329"/>
      <c r="F2495" s="330"/>
      <c r="G2495" s="330"/>
      <c r="H2495" s="208"/>
    </row>
    <row r="2496" spans="1:8" ht="15" customHeight="1">
      <c r="A2496" s="208"/>
      <c r="B2496" s="208"/>
      <c r="C2496" s="328"/>
      <c r="D2496" s="329"/>
      <c r="E2496" s="329"/>
      <c r="F2496" s="330"/>
      <c r="G2496" s="330"/>
      <c r="H2496" s="208"/>
    </row>
    <row r="2497" spans="1:8" ht="15" customHeight="1">
      <c r="A2497" s="208"/>
      <c r="B2497" s="208"/>
      <c r="C2497" s="328"/>
      <c r="D2497" s="329"/>
      <c r="E2497" s="329"/>
      <c r="F2497" s="330"/>
      <c r="G2497" s="330"/>
      <c r="H2497" s="208"/>
    </row>
    <row r="2498" spans="1:8" ht="15" customHeight="1">
      <c r="A2498" s="208"/>
      <c r="B2498" s="208"/>
      <c r="C2498" s="328"/>
      <c r="D2498" s="329"/>
      <c r="E2498" s="329"/>
      <c r="F2498" s="330"/>
      <c r="G2498" s="330"/>
      <c r="H2498" s="208"/>
    </row>
    <row r="2499" spans="1:8" ht="15" customHeight="1">
      <c r="A2499" s="208"/>
      <c r="B2499" s="208"/>
      <c r="C2499" s="328"/>
      <c r="D2499" s="329"/>
      <c r="E2499" s="329"/>
      <c r="F2499" s="330"/>
      <c r="G2499" s="330"/>
      <c r="H2499" s="208"/>
    </row>
    <row r="2500" spans="1:8" ht="15" customHeight="1">
      <c r="A2500" s="208"/>
      <c r="B2500" s="208"/>
      <c r="C2500" s="328"/>
      <c r="D2500" s="329"/>
      <c r="E2500" s="329"/>
      <c r="F2500" s="330"/>
      <c r="G2500" s="330"/>
      <c r="H2500" s="208"/>
    </row>
    <row r="2501" spans="1:8" ht="15" customHeight="1">
      <c r="A2501" s="208"/>
      <c r="B2501" s="208"/>
      <c r="C2501" s="328"/>
      <c r="D2501" s="329"/>
      <c r="E2501" s="329"/>
      <c r="F2501" s="330"/>
      <c r="G2501" s="330"/>
      <c r="H2501" s="208"/>
    </row>
    <row r="2502" spans="1:8" ht="15" customHeight="1">
      <c r="A2502" s="208"/>
      <c r="B2502" s="208"/>
      <c r="C2502" s="328"/>
      <c r="D2502" s="329"/>
      <c r="E2502" s="329"/>
      <c r="F2502" s="330"/>
      <c r="G2502" s="330"/>
      <c r="H2502" s="208"/>
    </row>
    <row r="2503" spans="1:8" ht="15" customHeight="1">
      <c r="A2503" s="208"/>
      <c r="B2503" s="208"/>
      <c r="C2503" s="328"/>
      <c r="D2503" s="329"/>
      <c r="E2503" s="329"/>
      <c r="F2503" s="330"/>
      <c r="G2503" s="330"/>
      <c r="H2503" s="208"/>
    </row>
    <row r="2504" spans="1:8" ht="15" customHeight="1">
      <c r="A2504" s="208"/>
      <c r="B2504" s="208"/>
      <c r="C2504" s="328"/>
      <c r="D2504" s="329"/>
      <c r="E2504" s="329"/>
      <c r="F2504" s="330"/>
      <c r="G2504" s="330"/>
      <c r="H2504" s="208"/>
    </row>
    <row r="2505" spans="1:8" ht="15" customHeight="1">
      <c r="A2505" s="208"/>
      <c r="B2505" s="208"/>
      <c r="C2505" s="328"/>
      <c r="D2505" s="329"/>
      <c r="E2505" s="329"/>
      <c r="F2505" s="330"/>
      <c r="G2505" s="330"/>
      <c r="H2505" s="208"/>
    </row>
    <row r="2506" spans="1:8" ht="15" customHeight="1">
      <c r="A2506" s="208"/>
      <c r="B2506" s="208"/>
      <c r="C2506" s="328"/>
      <c r="D2506" s="329"/>
      <c r="E2506" s="329"/>
      <c r="F2506" s="330"/>
      <c r="G2506" s="330"/>
      <c r="H2506" s="208"/>
    </row>
    <row r="2507" spans="1:8" ht="15" customHeight="1">
      <c r="A2507" s="208"/>
      <c r="B2507" s="208"/>
      <c r="C2507" s="328"/>
      <c r="D2507" s="329"/>
      <c r="E2507" s="329"/>
      <c r="F2507" s="330"/>
      <c r="G2507" s="330"/>
      <c r="H2507" s="208"/>
    </row>
    <row r="2508" spans="1:8" ht="15" customHeight="1">
      <c r="A2508" s="208"/>
      <c r="B2508" s="208"/>
      <c r="C2508" s="328"/>
      <c r="D2508" s="329"/>
      <c r="E2508" s="329"/>
      <c r="F2508" s="330"/>
      <c r="G2508" s="330"/>
      <c r="H2508" s="208"/>
    </row>
    <row r="2509" spans="1:8" ht="15" customHeight="1">
      <c r="A2509" s="208"/>
      <c r="B2509" s="208"/>
      <c r="C2509" s="328"/>
      <c r="D2509" s="329"/>
      <c r="E2509" s="329"/>
      <c r="F2509" s="330"/>
      <c r="G2509" s="330"/>
      <c r="H2509" s="208"/>
    </row>
    <row r="2510" spans="1:8" ht="15" customHeight="1">
      <c r="A2510" s="208"/>
      <c r="B2510" s="208"/>
      <c r="C2510" s="328"/>
      <c r="D2510" s="329"/>
      <c r="E2510" s="329"/>
      <c r="F2510" s="330"/>
      <c r="G2510" s="330"/>
      <c r="H2510" s="208"/>
    </row>
    <row r="2511" spans="1:8" ht="15" customHeight="1">
      <c r="A2511" s="208"/>
      <c r="B2511" s="208"/>
      <c r="C2511" s="328"/>
      <c r="D2511" s="329"/>
      <c r="E2511" s="329"/>
      <c r="F2511" s="330"/>
      <c r="G2511" s="330"/>
      <c r="H2511" s="208"/>
    </row>
    <row r="2512" spans="1:8" ht="15" customHeight="1">
      <c r="A2512" s="208"/>
      <c r="B2512" s="208"/>
      <c r="C2512" s="328"/>
      <c r="D2512" s="329"/>
      <c r="E2512" s="329"/>
      <c r="F2512" s="330"/>
      <c r="G2512" s="330"/>
      <c r="H2512" s="208"/>
    </row>
    <row r="2513" spans="1:8" ht="15" customHeight="1">
      <c r="A2513" s="208"/>
      <c r="B2513" s="208"/>
      <c r="C2513" s="328"/>
      <c r="D2513" s="329"/>
      <c r="E2513" s="329"/>
      <c r="F2513" s="330"/>
      <c r="G2513" s="330"/>
      <c r="H2513" s="208"/>
    </row>
    <row r="2514" spans="1:8" ht="15" customHeight="1">
      <c r="A2514" s="208"/>
      <c r="B2514" s="208"/>
      <c r="C2514" s="328"/>
      <c r="D2514" s="329"/>
      <c r="E2514" s="329"/>
      <c r="F2514" s="330"/>
      <c r="G2514" s="330"/>
      <c r="H2514" s="208"/>
    </row>
    <row r="2515" spans="1:8" ht="15" customHeight="1">
      <c r="A2515" s="208"/>
      <c r="B2515" s="208"/>
      <c r="C2515" s="328"/>
      <c r="D2515" s="329"/>
      <c r="E2515" s="329"/>
      <c r="F2515" s="330"/>
      <c r="G2515" s="330"/>
      <c r="H2515" s="208"/>
    </row>
    <row r="2516" spans="1:8" ht="15" customHeight="1">
      <c r="A2516" s="208"/>
      <c r="B2516" s="208"/>
      <c r="C2516" s="328"/>
      <c r="D2516" s="329"/>
      <c r="E2516" s="329"/>
      <c r="F2516" s="330"/>
      <c r="G2516" s="330"/>
      <c r="H2516" s="208"/>
    </row>
    <row r="2517" spans="1:8" ht="15" customHeight="1">
      <c r="A2517" s="208"/>
      <c r="B2517" s="208"/>
      <c r="C2517" s="328"/>
      <c r="D2517" s="329"/>
      <c r="E2517" s="329"/>
      <c r="F2517" s="330"/>
      <c r="G2517" s="330"/>
      <c r="H2517" s="208"/>
    </row>
    <row r="2518" spans="1:8" ht="15" customHeight="1">
      <c r="A2518" s="208"/>
      <c r="B2518" s="208"/>
      <c r="C2518" s="328"/>
      <c r="D2518" s="329"/>
      <c r="E2518" s="329"/>
      <c r="F2518" s="330"/>
      <c r="G2518" s="330"/>
      <c r="H2518" s="208"/>
    </row>
    <row r="2519" spans="1:8" ht="15" customHeight="1">
      <c r="A2519" s="208"/>
      <c r="B2519" s="208"/>
      <c r="C2519" s="328"/>
      <c r="D2519" s="329"/>
      <c r="E2519" s="329"/>
      <c r="F2519" s="330"/>
      <c r="G2519" s="330"/>
      <c r="H2519" s="208"/>
    </row>
    <row r="2520" spans="1:8" ht="15" customHeight="1">
      <c r="A2520" s="208"/>
      <c r="B2520" s="208"/>
      <c r="C2520" s="328"/>
      <c r="D2520" s="329"/>
      <c r="E2520" s="329"/>
      <c r="F2520" s="330"/>
      <c r="G2520" s="330"/>
      <c r="H2520" s="208"/>
    </row>
    <row r="2521" spans="1:8" ht="15" customHeight="1">
      <c r="A2521" s="208"/>
      <c r="B2521" s="208"/>
      <c r="C2521" s="328"/>
      <c r="D2521" s="329"/>
      <c r="E2521" s="329"/>
      <c r="F2521" s="330"/>
      <c r="G2521" s="330"/>
      <c r="H2521" s="208"/>
    </row>
    <row r="2522" spans="1:8" ht="15" customHeight="1">
      <c r="A2522" s="208"/>
      <c r="B2522" s="208"/>
      <c r="C2522" s="328"/>
      <c r="D2522" s="329"/>
      <c r="E2522" s="329"/>
      <c r="F2522" s="330"/>
      <c r="G2522" s="330"/>
      <c r="H2522" s="208"/>
    </row>
    <row r="2523" spans="1:8" ht="15" customHeight="1">
      <c r="A2523" s="208"/>
      <c r="B2523" s="208"/>
      <c r="C2523" s="328"/>
      <c r="D2523" s="329"/>
      <c r="E2523" s="329"/>
      <c r="F2523" s="330"/>
      <c r="G2523" s="330"/>
      <c r="H2523" s="208"/>
    </row>
    <row r="2524" spans="1:8" ht="15" customHeight="1">
      <c r="A2524" s="208"/>
      <c r="B2524" s="208"/>
      <c r="C2524" s="328"/>
      <c r="D2524" s="329"/>
      <c r="E2524" s="329"/>
      <c r="F2524" s="330"/>
      <c r="G2524" s="330"/>
      <c r="H2524" s="208"/>
    </row>
    <row r="2525" spans="1:8" ht="15" customHeight="1">
      <c r="A2525" s="208"/>
      <c r="B2525" s="208"/>
      <c r="C2525" s="328"/>
      <c r="D2525" s="329"/>
      <c r="E2525" s="329"/>
      <c r="F2525" s="330"/>
      <c r="G2525" s="330"/>
      <c r="H2525" s="208"/>
    </row>
    <row r="2526" spans="1:8" ht="15" customHeight="1">
      <c r="A2526" s="208"/>
      <c r="B2526" s="208"/>
      <c r="C2526" s="328"/>
      <c r="D2526" s="329"/>
      <c r="E2526" s="329"/>
      <c r="F2526" s="330"/>
      <c r="G2526" s="330"/>
      <c r="H2526" s="208"/>
    </row>
    <row r="2527" spans="1:8" ht="15" customHeight="1">
      <c r="A2527" s="208"/>
      <c r="B2527" s="208"/>
      <c r="C2527" s="328"/>
      <c r="D2527" s="329"/>
      <c r="E2527" s="329"/>
      <c r="F2527" s="330"/>
      <c r="G2527" s="330"/>
      <c r="H2527" s="208"/>
    </row>
    <row r="2528" spans="1:8" ht="15" customHeight="1">
      <c r="A2528" s="208"/>
      <c r="B2528" s="208"/>
      <c r="C2528" s="328"/>
      <c r="D2528" s="329"/>
      <c r="E2528" s="329"/>
      <c r="F2528" s="330"/>
      <c r="G2528" s="330"/>
      <c r="H2528" s="208"/>
    </row>
    <row r="2529" spans="1:8" ht="15" customHeight="1">
      <c r="A2529" s="208"/>
      <c r="B2529" s="208"/>
      <c r="C2529" s="328"/>
      <c r="D2529" s="329"/>
      <c r="E2529" s="329"/>
      <c r="F2529" s="330"/>
      <c r="G2529" s="330"/>
      <c r="H2529" s="208"/>
    </row>
    <row r="2530" spans="1:8" ht="15" customHeight="1">
      <c r="A2530" s="208"/>
      <c r="B2530" s="208"/>
      <c r="C2530" s="328"/>
      <c r="D2530" s="329"/>
      <c r="E2530" s="329"/>
      <c r="F2530" s="330"/>
      <c r="G2530" s="330"/>
      <c r="H2530" s="208"/>
    </row>
    <row r="2531" spans="1:8" ht="15" customHeight="1">
      <c r="A2531" s="208"/>
      <c r="B2531" s="208"/>
      <c r="C2531" s="328"/>
      <c r="D2531" s="329"/>
      <c r="E2531" s="329"/>
      <c r="F2531" s="330"/>
      <c r="G2531" s="330"/>
      <c r="H2531" s="208"/>
    </row>
    <row r="2532" spans="1:8" ht="15" customHeight="1">
      <c r="A2532" s="208"/>
      <c r="B2532" s="208"/>
      <c r="C2532" s="328"/>
      <c r="D2532" s="329"/>
      <c r="E2532" s="329"/>
      <c r="F2532" s="330"/>
      <c r="G2532" s="330"/>
      <c r="H2532" s="208"/>
    </row>
    <row r="2533" spans="1:8" ht="15" customHeight="1">
      <c r="A2533" s="208"/>
      <c r="B2533" s="208"/>
      <c r="C2533" s="328"/>
      <c r="D2533" s="329"/>
      <c r="E2533" s="329"/>
      <c r="F2533" s="330"/>
      <c r="G2533" s="330"/>
      <c r="H2533" s="208"/>
    </row>
    <row r="2534" spans="1:8" ht="15" customHeight="1">
      <c r="A2534" s="208"/>
      <c r="B2534" s="208"/>
      <c r="C2534" s="328"/>
      <c r="D2534" s="329"/>
      <c r="E2534" s="329"/>
      <c r="F2534" s="330"/>
      <c r="G2534" s="330"/>
      <c r="H2534" s="208"/>
    </row>
    <row r="2535" spans="1:8" ht="15" customHeight="1">
      <c r="A2535" s="208"/>
      <c r="B2535" s="208"/>
      <c r="C2535" s="328"/>
      <c r="D2535" s="329"/>
      <c r="E2535" s="329"/>
      <c r="F2535" s="330"/>
      <c r="G2535" s="330"/>
      <c r="H2535" s="208"/>
    </row>
    <row r="2536" spans="1:8" ht="15" customHeight="1">
      <c r="A2536" s="208"/>
      <c r="B2536" s="208"/>
      <c r="C2536" s="328"/>
      <c r="D2536" s="329"/>
      <c r="E2536" s="329"/>
      <c r="F2536" s="330"/>
      <c r="G2536" s="330"/>
      <c r="H2536" s="208"/>
    </row>
    <row r="2537" spans="1:8" ht="15" customHeight="1">
      <c r="A2537" s="208"/>
      <c r="B2537" s="208"/>
      <c r="C2537" s="328"/>
      <c r="D2537" s="329"/>
      <c r="E2537" s="329"/>
      <c r="F2537" s="330"/>
      <c r="G2537" s="330"/>
      <c r="H2537" s="208"/>
    </row>
    <row r="2538" spans="1:8" ht="15" customHeight="1">
      <c r="A2538" s="208"/>
      <c r="B2538" s="208"/>
      <c r="C2538" s="328"/>
      <c r="D2538" s="329"/>
      <c r="E2538" s="329"/>
      <c r="F2538" s="330"/>
      <c r="G2538" s="330"/>
      <c r="H2538" s="208"/>
    </row>
    <row r="2539" spans="1:8" ht="15" customHeight="1">
      <c r="A2539" s="208"/>
      <c r="B2539" s="208"/>
      <c r="C2539" s="328"/>
      <c r="D2539" s="329"/>
      <c r="E2539" s="329"/>
      <c r="F2539" s="330"/>
      <c r="G2539" s="330"/>
      <c r="H2539" s="208"/>
    </row>
    <row r="2540" spans="1:8" ht="15" customHeight="1">
      <c r="A2540" s="208"/>
      <c r="B2540" s="208"/>
      <c r="C2540" s="328"/>
      <c r="D2540" s="329"/>
      <c r="E2540" s="329"/>
      <c r="F2540" s="330"/>
      <c r="G2540" s="330"/>
      <c r="H2540" s="208"/>
    </row>
    <row r="2541" spans="1:8" ht="15" customHeight="1">
      <c r="A2541" s="208"/>
      <c r="B2541" s="208"/>
      <c r="C2541" s="328"/>
      <c r="D2541" s="329"/>
      <c r="E2541" s="329"/>
      <c r="F2541" s="330"/>
      <c r="G2541" s="330"/>
      <c r="H2541" s="208"/>
    </row>
    <row r="2542" spans="1:8" ht="15" customHeight="1">
      <c r="A2542" s="208"/>
      <c r="B2542" s="208"/>
      <c r="C2542" s="328"/>
      <c r="D2542" s="329"/>
      <c r="E2542" s="329"/>
      <c r="F2542" s="330"/>
      <c r="G2542" s="330"/>
      <c r="H2542" s="208"/>
    </row>
    <row r="2543" spans="1:8" ht="15" customHeight="1">
      <c r="A2543" s="208"/>
      <c r="B2543" s="208"/>
      <c r="C2543" s="328"/>
      <c r="D2543" s="329"/>
      <c r="E2543" s="329"/>
      <c r="F2543" s="330"/>
      <c r="G2543" s="330"/>
      <c r="H2543" s="208"/>
    </row>
    <row r="2544" spans="1:8" ht="15" customHeight="1">
      <c r="A2544" s="208"/>
      <c r="B2544" s="208"/>
      <c r="C2544" s="328"/>
      <c r="D2544" s="329"/>
      <c r="E2544" s="329"/>
      <c r="F2544" s="330"/>
      <c r="G2544" s="330"/>
      <c r="H2544" s="208"/>
    </row>
    <row r="2545" spans="1:8" ht="15" customHeight="1">
      <c r="A2545" s="208"/>
      <c r="B2545" s="208"/>
      <c r="C2545" s="328"/>
      <c r="D2545" s="329"/>
      <c r="E2545" s="329"/>
      <c r="F2545" s="330"/>
      <c r="G2545" s="330"/>
      <c r="H2545" s="208"/>
    </row>
    <row r="2546" spans="1:8" ht="15" customHeight="1">
      <c r="A2546" s="208"/>
      <c r="B2546" s="208"/>
      <c r="C2546" s="328"/>
      <c r="D2546" s="329"/>
      <c r="E2546" s="329"/>
      <c r="F2546" s="330"/>
      <c r="G2546" s="330"/>
      <c r="H2546" s="208"/>
    </row>
    <row r="2547" spans="1:8" ht="15" customHeight="1">
      <c r="A2547" s="208"/>
      <c r="B2547" s="208"/>
      <c r="C2547" s="328"/>
      <c r="D2547" s="329"/>
      <c r="E2547" s="329"/>
      <c r="F2547" s="330"/>
      <c r="G2547" s="330"/>
      <c r="H2547" s="208"/>
    </row>
    <row r="2548" spans="1:8" ht="15" customHeight="1">
      <c r="A2548" s="208"/>
      <c r="B2548" s="208"/>
      <c r="C2548" s="328"/>
      <c r="D2548" s="329"/>
      <c r="E2548" s="329"/>
      <c r="F2548" s="330"/>
      <c r="G2548" s="330"/>
      <c r="H2548" s="208"/>
    </row>
    <row r="2549" spans="1:8" ht="15" customHeight="1">
      <c r="A2549" s="208"/>
      <c r="B2549" s="208"/>
      <c r="C2549" s="328"/>
      <c r="D2549" s="329"/>
      <c r="E2549" s="329"/>
      <c r="F2549" s="330"/>
      <c r="G2549" s="330"/>
      <c r="H2549" s="208"/>
    </row>
    <row r="2550" spans="1:8" ht="15" customHeight="1">
      <c r="A2550" s="208"/>
      <c r="B2550" s="208"/>
      <c r="C2550" s="328"/>
      <c r="D2550" s="329"/>
      <c r="E2550" s="329"/>
      <c r="F2550" s="330"/>
      <c r="G2550" s="330"/>
      <c r="H2550" s="208"/>
    </row>
    <row r="2551" spans="1:8" ht="15" customHeight="1">
      <c r="A2551" s="208"/>
      <c r="B2551" s="208"/>
      <c r="C2551" s="328"/>
      <c r="D2551" s="329"/>
      <c r="E2551" s="329"/>
      <c r="F2551" s="330"/>
      <c r="G2551" s="330"/>
      <c r="H2551" s="208"/>
    </row>
    <row r="2552" spans="1:8" ht="15" customHeight="1">
      <c r="A2552" s="208"/>
      <c r="B2552" s="208"/>
      <c r="C2552" s="328"/>
      <c r="D2552" s="329"/>
      <c r="E2552" s="329"/>
      <c r="F2552" s="330"/>
      <c r="G2552" s="330"/>
      <c r="H2552" s="208"/>
    </row>
    <row r="2553" spans="1:8" ht="15" customHeight="1">
      <c r="A2553" s="208"/>
      <c r="B2553" s="208"/>
      <c r="C2553" s="328"/>
      <c r="D2553" s="329"/>
      <c r="E2553" s="329"/>
      <c r="F2553" s="330"/>
      <c r="G2553" s="330"/>
      <c r="H2553" s="208"/>
    </row>
    <row r="2554" spans="1:8" ht="15" customHeight="1">
      <c r="A2554" s="208"/>
      <c r="B2554" s="208"/>
      <c r="C2554" s="328"/>
      <c r="D2554" s="329"/>
      <c r="E2554" s="329"/>
      <c r="F2554" s="330"/>
      <c r="G2554" s="330"/>
      <c r="H2554" s="208"/>
    </row>
    <row r="2555" spans="1:8" ht="15" customHeight="1">
      <c r="A2555" s="208"/>
      <c r="B2555" s="208"/>
      <c r="C2555" s="328"/>
      <c r="D2555" s="329"/>
      <c r="E2555" s="329"/>
      <c r="F2555" s="330"/>
      <c r="G2555" s="330"/>
      <c r="H2555" s="208"/>
    </row>
    <row r="2556" spans="1:8" ht="15" customHeight="1">
      <c r="A2556" s="208"/>
      <c r="B2556" s="208"/>
      <c r="C2556" s="328"/>
      <c r="D2556" s="329"/>
      <c r="E2556" s="329"/>
      <c r="F2556" s="330"/>
      <c r="G2556" s="330"/>
      <c r="H2556" s="208"/>
    </row>
    <row r="2557" spans="1:8" ht="15" customHeight="1">
      <c r="A2557" s="208"/>
      <c r="B2557" s="208"/>
      <c r="C2557" s="328"/>
      <c r="D2557" s="329"/>
      <c r="E2557" s="329"/>
      <c r="F2557" s="330"/>
      <c r="G2557" s="330"/>
      <c r="H2557" s="208"/>
    </row>
    <row r="2558" spans="1:8" ht="15" customHeight="1">
      <c r="A2558" s="208"/>
      <c r="B2558" s="208"/>
      <c r="C2558" s="328"/>
      <c r="D2558" s="329"/>
      <c r="E2558" s="329"/>
      <c r="F2558" s="330"/>
      <c r="G2558" s="330"/>
      <c r="H2558" s="208"/>
    </row>
    <row r="2559" spans="1:8" ht="15" customHeight="1">
      <c r="A2559" s="208"/>
      <c r="B2559" s="208"/>
      <c r="C2559" s="328"/>
      <c r="D2559" s="329"/>
      <c r="E2559" s="329"/>
      <c r="F2559" s="330"/>
      <c r="G2559" s="330"/>
      <c r="H2559" s="208"/>
    </row>
    <row r="2560" spans="1:8" ht="15" customHeight="1">
      <c r="A2560" s="208"/>
      <c r="B2560" s="208"/>
      <c r="C2560" s="328"/>
      <c r="D2560" s="329"/>
      <c r="E2560" s="329"/>
      <c r="F2560" s="330"/>
      <c r="G2560" s="330"/>
      <c r="H2560" s="208"/>
    </row>
    <row r="2561" spans="1:8" ht="15" customHeight="1">
      <c r="A2561" s="208"/>
      <c r="B2561" s="208"/>
      <c r="C2561" s="328"/>
      <c r="D2561" s="329"/>
      <c r="E2561" s="329"/>
      <c r="F2561" s="330"/>
      <c r="G2561" s="330"/>
      <c r="H2561" s="208"/>
    </row>
    <row r="2562" spans="1:8" ht="15" customHeight="1">
      <c r="A2562" s="208"/>
      <c r="B2562" s="208"/>
      <c r="C2562" s="328"/>
      <c r="D2562" s="329"/>
      <c r="E2562" s="329"/>
      <c r="F2562" s="330"/>
      <c r="G2562" s="330"/>
      <c r="H2562" s="208"/>
    </row>
    <row r="2563" spans="1:8" ht="15" customHeight="1">
      <c r="A2563" s="208"/>
      <c r="B2563" s="208"/>
      <c r="C2563" s="328"/>
      <c r="D2563" s="329"/>
      <c r="E2563" s="329"/>
      <c r="F2563" s="330"/>
      <c r="G2563" s="330"/>
      <c r="H2563" s="208"/>
    </row>
    <row r="2564" spans="1:8" ht="15" customHeight="1">
      <c r="A2564" s="208"/>
      <c r="B2564" s="208"/>
      <c r="C2564" s="328"/>
      <c r="D2564" s="329"/>
      <c r="E2564" s="329"/>
      <c r="F2564" s="330"/>
      <c r="G2564" s="330"/>
      <c r="H2564" s="208"/>
    </row>
    <row r="2565" spans="1:8" ht="15" customHeight="1">
      <c r="A2565" s="208"/>
      <c r="B2565" s="208"/>
      <c r="C2565" s="328"/>
      <c r="D2565" s="329"/>
      <c r="E2565" s="329"/>
      <c r="F2565" s="330"/>
      <c r="G2565" s="330"/>
      <c r="H2565" s="208"/>
    </row>
    <row r="2566" spans="1:8" ht="15" customHeight="1">
      <c r="A2566" s="208"/>
      <c r="B2566" s="208"/>
      <c r="C2566" s="328"/>
      <c r="D2566" s="329"/>
      <c r="E2566" s="329"/>
      <c r="F2566" s="330"/>
      <c r="G2566" s="330"/>
      <c r="H2566" s="208"/>
    </row>
    <row r="2567" spans="1:8" ht="15" customHeight="1">
      <c r="A2567" s="208"/>
      <c r="B2567" s="208"/>
      <c r="C2567" s="328"/>
      <c r="D2567" s="329"/>
      <c r="E2567" s="329"/>
      <c r="F2567" s="330"/>
      <c r="G2567" s="330"/>
      <c r="H2567" s="208"/>
    </row>
    <row r="2568" spans="1:8" ht="15" customHeight="1">
      <c r="A2568" s="208"/>
      <c r="B2568" s="208"/>
      <c r="C2568" s="328"/>
      <c r="D2568" s="329"/>
      <c r="E2568" s="329"/>
      <c r="F2568" s="330"/>
      <c r="G2568" s="330"/>
      <c r="H2568" s="208"/>
    </row>
    <row r="2569" spans="1:8" ht="15" customHeight="1">
      <c r="A2569" s="208"/>
      <c r="B2569" s="208"/>
      <c r="C2569" s="328"/>
      <c r="D2569" s="329"/>
      <c r="E2569" s="329"/>
      <c r="F2569" s="330"/>
      <c r="G2569" s="330"/>
      <c r="H2569" s="208"/>
    </row>
    <row r="2570" spans="1:8" ht="15" customHeight="1">
      <c r="A2570" s="208"/>
      <c r="B2570" s="208"/>
      <c r="C2570" s="328"/>
      <c r="D2570" s="329"/>
      <c r="E2570" s="329"/>
      <c r="F2570" s="330"/>
      <c r="G2570" s="330"/>
      <c r="H2570" s="208"/>
    </row>
    <row r="2571" spans="1:8" ht="15" customHeight="1">
      <c r="A2571" s="208"/>
      <c r="B2571" s="208"/>
      <c r="C2571" s="328"/>
      <c r="D2571" s="329"/>
      <c r="E2571" s="329"/>
      <c r="F2571" s="330"/>
      <c r="G2571" s="330"/>
      <c r="H2571" s="208"/>
    </row>
    <row r="2572" spans="1:8" ht="15" customHeight="1">
      <c r="A2572" s="208"/>
      <c r="B2572" s="208"/>
      <c r="C2572" s="328"/>
      <c r="D2572" s="329"/>
      <c r="E2572" s="329"/>
      <c r="F2572" s="330"/>
      <c r="G2572" s="330"/>
      <c r="H2572" s="208"/>
    </row>
    <row r="2573" spans="1:8" ht="15" customHeight="1">
      <c r="A2573" s="208"/>
      <c r="B2573" s="208"/>
      <c r="C2573" s="328"/>
      <c r="D2573" s="329"/>
      <c r="E2573" s="329"/>
      <c r="F2573" s="330"/>
      <c r="G2573" s="330"/>
      <c r="H2573" s="208"/>
    </row>
    <row r="2574" spans="1:8" ht="15" customHeight="1">
      <c r="A2574" s="208"/>
      <c r="B2574" s="208"/>
      <c r="C2574" s="328"/>
      <c r="D2574" s="329"/>
      <c r="E2574" s="329"/>
      <c r="F2574" s="330"/>
      <c r="G2574" s="330"/>
      <c r="H2574" s="208"/>
    </row>
    <row r="2575" spans="1:8" ht="15" customHeight="1">
      <c r="A2575" s="208"/>
      <c r="B2575" s="208"/>
      <c r="C2575" s="328"/>
      <c r="D2575" s="329"/>
      <c r="E2575" s="329"/>
      <c r="F2575" s="330"/>
      <c r="G2575" s="330"/>
      <c r="H2575" s="208"/>
    </row>
    <row r="2576" spans="1:8" ht="15" customHeight="1">
      <c r="A2576" s="208"/>
      <c r="B2576" s="208"/>
      <c r="C2576" s="328"/>
      <c r="D2576" s="329"/>
      <c r="E2576" s="329"/>
      <c r="F2576" s="330"/>
      <c r="G2576" s="330"/>
      <c r="H2576" s="208"/>
    </row>
    <row r="2577" spans="1:8" ht="15" customHeight="1">
      <c r="A2577" s="208"/>
      <c r="B2577" s="208"/>
      <c r="C2577" s="328"/>
      <c r="D2577" s="329"/>
      <c r="E2577" s="329"/>
      <c r="F2577" s="330"/>
      <c r="G2577" s="330"/>
      <c r="H2577" s="208"/>
    </row>
    <row r="2578" spans="1:8" ht="15" customHeight="1">
      <c r="A2578" s="208"/>
      <c r="B2578" s="208"/>
      <c r="C2578" s="328"/>
      <c r="D2578" s="329"/>
      <c r="E2578" s="329"/>
      <c r="F2578" s="330"/>
      <c r="G2578" s="330"/>
      <c r="H2578" s="208"/>
    </row>
    <row r="2579" spans="1:8" ht="15" customHeight="1">
      <c r="A2579" s="208"/>
      <c r="B2579" s="208"/>
      <c r="C2579" s="328"/>
      <c r="D2579" s="329"/>
      <c r="E2579" s="329"/>
      <c r="F2579" s="330"/>
      <c r="G2579" s="330"/>
      <c r="H2579" s="208"/>
    </row>
    <row r="2580" spans="1:8" ht="15" customHeight="1">
      <c r="A2580" s="208"/>
      <c r="B2580" s="208"/>
      <c r="C2580" s="328"/>
      <c r="D2580" s="329"/>
      <c r="E2580" s="329"/>
      <c r="F2580" s="330"/>
      <c r="G2580" s="330"/>
      <c r="H2580" s="208"/>
    </row>
    <row r="2581" spans="1:8" ht="15" customHeight="1">
      <c r="A2581" s="208"/>
      <c r="B2581" s="208"/>
      <c r="C2581" s="328"/>
      <c r="D2581" s="329"/>
      <c r="E2581" s="329"/>
      <c r="F2581" s="330"/>
      <c r="G2581" s="330"/>
      <c r="H2581" s="208"/>
    </row>
    <row r="2582" spans="1:8" ht="15" customHeight="1">
      <c r="A2582" s="208"/>
      <c r="B2582" s="208"/>
      <c r="C2582" s="328"/>
      <c r="D2582" s="329"/>
      <c r="E2582" s="329"/>
      <c r="F2582" s="330"/>
      <c r="G2582" s="330"/>
      <c r="H2582" s="208"/>
    </row>
    <row r="2583" spans="1:8" ht="15" customHeight="1">
      <c r="A2583" s="208"/>
      <c r="B2583" s="208"/>
      <c r="C2583" s="328"/>
      <c r="D2583" s="329"/>
      <c r="E2583" s="329"/>
      <c r="F2583" s="330"/>
      <c r="G2583" s="330"/>
      <c r="H2583" s="208"/>
    </row>
    <row r="2584" spans="1:8" ht="15" customHeight="1">
      <c r="A2584" s="208"/>
      <c r="B2584" s="208"/>
      <c r="C2584" s="328"/>
      <c r="D2584" s="329"/>
      <c r="E2584" s="329"/>
      <c r="F2584" s="330"/>
      <c r="G2584" s="330"/>
      <c r="H2584" s="208"/>
    </row>
    <row r="2585" spans="1:8" ht="15" customHeight="1">
      <c r="A2585" s="208"/>
      <c r="B2585" s="208"/>
      <c r="C2585" s="328"/>
      <c r="D2585" s="329"/>
      <c r="E2585" s="329"/>
      <c r="F2585" s="330"/>
      <c r="G2585" s="330"/>
      <c r="H2585" s="208"/>
    </row>
    <row r="2586" spans="1:8" ht="15" customHeight="1">
      <c r="A2586" s="208"/>
      <c r="B2586" s="208"/>
      <c r="C2586" s="328"/>
      <c r="D2586" s="329"/>
      <c r="E2586" s="329"/>
      <c r="F2586" s="330"/>
      <c r="G2586" s="330"/>
      <c r="H2586" s="208"/>
    </row>
    <row r="2587" spans="1:8" ht="15" customHeight="1">
      <c r="A2587" s="208"/>
      <c r="B2587" s="208"/>
      <c r="C2587" s="328"/>
      <c r="D2587" s="329"/>
      <c r="E2587" s="329"/>
      <c r="F2587" s="330"/>
      <c r="G2587" s="330"/>
      <c r="H2587" s="208"/>
    </row>
    <row r="2588" spans="1:8" ht="15" customHeight="1">
      <c r="A2588" s="208"/>
      <c r="B2588" s="208"/>
      <c r="C2588" s="328"/>
      <c r="D2588" s="329"/>
      <c r="E2588" s="329"/>
      <c r="F2588" s="330"/>
      <c r="G2588" s="330"/>
      <c r="H2588" s="208"/>
    </row>
    <row r="2589" spans="1:8" ht="15" customHeight="1">
      <c r="A2589" s="208"/>
      <c r="B2589" s="208"/>
      <c r="C2589" s="328"/>
      <c r="D2589" s="329"/>
      <c r="E2589" s="329"/>
      <c r="F2589" s="330"/>
      <c r="G2589" s="330"/>
      <c r="H2589" s="208"/>
    </row>
    <row r="2590" spans="1:8" ht="15" customHeight="1">
      <c r="A2590" s="208"/>
      <c r="B2590" s="208"/>
      <c r="C2590" s="328"/>
      <c r="D2590" s="329"/>
      <c r="E2590" s="329"/>
      <c r="F2590" s="330"/>
      <c r="G2590" s="330"/>
      <c r="H2590" s="208"/>
    </row>
    <row r="2591" spans="1:8" ht="15" customHeight="1">
      <c r="A2591" s="208"/>
      <c r="B2591" s="208"/>
      <c r="C2591" s="328"/>
      <c r="D2591" s="329"/>
      <c r="E2591" s="329"/>
      <c r="F2591" s="330"/>
      <c r="G2591" s="330"/>
      <c r="H2591" s="208"/>
    </row>
    <row r="2592" spans="1:8" ht="15" customHeight="1">
      <c r="A2592" s="208"/>
      <c r="B2592" s="208"/>
      <c r="C2592" s="328"/>
      <c r="D2592" s="329"/>
      <c r="E2592" s="329"/>
      <c r="F2592" s="330"/>
      <c r="G2592" s="330"/>
      <c r="H2592" s="208"/>
    </row>
    <row r="2593" spans="1:8" ht="15" customHeight="1">
      <c r="A2593" s="208"/>
      <c r="B2593" s="208"/>
      <c r="C2593" s="328"/>
      <c r="D2593" s="329"/>
      <c r="E2593" s="329"/>
      <c r="F2593" s="330"/>
      <c r="G2593" s="330"/>
      <c r="H2593" s="208"/>
    </row>
    <row r="2594" spans="1:8" ht="15" customHeight="1">
      <c r="A2594" s="208"/>
      <c r="B2594" s="208"/>
      <c r="C2594" s="328"/>
      <c r="D2594" s="329"/>
      <c r="E2594" s="329"/>
      <c r="F2594" s="330"/>
      <c r="G2594" s="330"/>
      <c r="H2594" s="208"/>
    </row>
    <row r="2595" spans="1:8" ht="15" customHeight="1">
      <c r="A2595" s="208"/>
      <c r="B2595" s="208"/>
      <c r="C2595" s="328"/>
      <c r="D2595" s="329"/>
      <c r="E2595" s="329"/>
      <c r="F2595" s="330"/>
      <c r="G2595" s="330"/>
      <c r="H2595" s="208"/>
    </row>
    <row r="2596" spans="1:8" ht="15" customHeight="1">
      <c r="A2596" s="208"/>
      <c r="B2596" s="208"/>
      <c r="C2596" s="328"/>
      <c r="D2596" s="329"/>
      <c r="E2596" s="329"/>
      <c r="F2596" s="330"/>
      <c r="G2596" s="330"/>
      <c r="H2596" s="208"/>
    </row>
    <row r="2597" spans="1:8" ht="15" customHeight="1">
      <c r="A2597" s="208"/>
      <c r="B2597" s="208"/>
      <c r="C2597" s="328"/>
      <c r="D2597" s="329"/>
      <c r="E2597" s="329"/>
      <c r="F2597" s="330"/>
      <c r="G2597" s="330"/>
      <c r="H2597" s="208"/>
    </row>
    <row r="2598" spans="1:8" ht="15" customHeight="1">
      <c r="A2598" s="208"/>
      <c r="B2598" s="208"/>
      <c r="C2598" s="328"/>
      <c r="D2598" s="329"/>
      <c r="E2598" s="329"/>
      <c r="F2598" s="330"/>
      <c r="G2598" s="330"/>
      <c r="H2598" s="208"/>
    </row>
    <row r="2599" spans="1:8" ht="15" customHeight="1">
      <c r="A2599" s="208"/>
      <c r="B2599" s="208"/>
      <c r="C2599" s="328"/>
      <c r="D2599" s="329"/>
      <c r="E2599" s="329"/>
      <c r="F2599" s="330"/>
      <c r="G2599" s="330"/>
      <c r="H2599" s="208"/>
    </row>
    <row r="2600" spans="1:8" ht="15" customHeight="1">
      <c r="A2600" s="208"/>
      <c r="B2600" s="208"/>
      <c r="C2600" s="328"/>
      <c r="D2600" s="329"/>
      <c r="E2600" s="329"/>
      <c r="F2600" s="330"/>
      <c r="G2600" s="330"/>
      <c r="H2600" s="208"/>
    </row>
    <row r="2601" spans="1:8" ht="15" customHeight="1">
      <c r="A2601" s="208"/>
      <c r="B2601" s="208"/>
      <c r="C2601" s="328"/>
      <c r="D2601" s="329"/>
      <c r="E2601" s="329"/>
      <c r="F2601" s="330"/>
      <c r="G2601" s="330"/>
      <c r="H2601" s="208"/>
    </row>
    <row r="2602" spans="1:8" ht="15" customHeight="1">
      <c r="A2602" s="208"/>
      <c r="B2602" s="208"/>
      <c r="C2602" s="328"/>
      <c r="D2602" s="329"/>
      <c r="E2602" s="329"/>
      <c r="F2602" s="330"/>
      <c r="G2602" s="330"/>
      <c r="H2602" s="208"/>
    </row>
    <row r="2603" spans="1:8" ht="15" customHeight="1">
      <c r="A2603" s="208"/>
      <c r="B2603" s="208"/>
      <c r="C2603" s="328"/>
      <c r="D2603" s="329"/>
      <c r="E2603" s="329"/>
      <c r="F2603" s="330"/>
      <c r="G2603" s="330"/>
      <c r="H2603" s="208"/>
    </row>
    <row r="2604" spans="1:8" ht="15" customHeight="1">
      <c r="A2604" s="208"/>
      <c r="B2604" s="208"/>
      <c r="C2604" s="328"/>
      <c r="D2604" s="329"/>
      <c r="E2604" s="329"/>
      <c r="F2604" s="330"/>
      <c r="G2604" s="330"/>
      <c r="H2604" s="208"/>
    </row>
    <row r="2605" spans="1:8" ht="15" customHeight="1">
      <c r="A2605" s="208"/>
      <c r="B2605" s="208"/>
      <c r="C2605" s="328"/>
      <c r="D2605" s="329"/>
      <c r="E2605" s="329"/>
      <c r="F2605" s="330"/>
      <c r="G2605" s="330"/>
      <c r="H2605" s="208"/>
    </row>
    <row r="2606" spans="1:8" ht="15" customHeight="1">
      <c r="A2606" s="208"/>
      <c r="B2606" s="208"/>
      <c r="C2606" s="328"/>
      <c r="D2606" s="329"/>
      <c r="E2606" s="329"/>
      <c r="F2606" s="330"/>
      <c r="G2606" s="330"/>
      <c r="H2606" s="208"/>
    </row>
    <row r="2607" spans="1:8" ht="15" customHeight="1">
      <c r="A2607" s="208"/>
      <c r="B2607" s="208"/>
      <c r="C2607" s="328"/>
      <c r="D2607" s="329"/>
      <c r="E2607" s="329"/>
      <c r="F2607" s="330"/>
      <c r="G2607" s="330"/>
      <c r="H2607" s="208"/>
    </row>
    <row r="2608" spans="1:8" ht="15" customHeight="1">
      <c r="A2608" s="208"/>
      <c r="B2608" s="208"/>
      <c r="C2608" s="328"/>
      <c r="D2608" s="329"/>
      <c r="E2608" s="329"/>
      <c r="F2608" s="330"/>
      <c r="G2608" s="330"/>
      <c r="H2608" s="208"/>
    </row>
    <row r="2609" spans="1:8" ht="15" customHeight="1">
      <c r="A2609" s="208"/>
      <c r="B2609" s="208"/>
      <c r="C2609" s="328"/>
      <c r="D2609" s="329"/>
      <c r="E2609" s="329"/>
      <c r="F2609" s="330"/>
      <c r="G2609" s="330"/>
      <c r="H2609" s="208"/>
    </row>
    <row r="2610" spans="1:8" ht="15" customHeight="1">
      <c r="A2610" s="208"/>
      <c r="B2610" s="208"/>
      <c r="C2610" s="328"/>
      <c r="D2610" s="329"/>
      <c r="E2610" s="329"/>
      <c r="F2610" s="330"/>
      <c r="G2610" s="330"/>
      <c r="H2610" s="208"/>
    </row>
    <row r="2611" spans="1:8" ht="15" customHeight="1">
      <c r="A2611" s="208"/>
      <c r="B2611" s="208"/>
      <c r="C2611" s="328"/>
      <c r="D2611" s="329"/>
      <c r="E2611" s="329"/>
      <c r="F2611" s="330"/>
      <c r="G2611" s="330"/>
      <c r="H2611" s="208"/>
    </row>
    <row r="2612" spans="1:8" ht="15" customHeight="1">
      <c r="A2612" s="208"/>
      <c r="B2612" s="208"/>
      <c r="C2612" s="328"/>
      <c r="D2612" s="329"/>
      <c r="E2612" s="329"/>
      <c r="F2612" s="330"/>
      <c r="G2612" s="330"/>
      <c r="H2612" s="208"/>
    </row>
    <row r="2613" spans="1:8" ht="15" customHeight="1">
      <c r="A2613" s="208"/>
      <c r="B2613" s="208"/>
      <c r="C2613" s="328"/>
      <c r="D2613" s="329"/>
      <c r="E2613" s="329"/>
      <c r="F2613" s="330"/>
      <c r="G2613" s="330"/>
      <c r="H2613" s="208"/>
    </row>
    <row r="2614" spans="1:8" ht="15" customHeight="1">
      <c r="A2614" s="208"/>
      <c r="B2614" s="208"/>
      <c r="C2614" s="328"/>
      <c r="D2614" s="329"/>
      <c r="E2614" s="329"/>
      <c r="F2614" s="330"/>
      <c r="G2614" s="330"/>
      <c r="H2614" s="208"/>
    </row>
    <row r="2615" spans="1:8" ht="15" customHeight="1">
      <c r="A2615" s="208"/>
      <c r="B2615" s="208"/>
      <c r="C2615" s="328"/>
      <c r="D2615" s="329"/>
      <c r="E2615" s="329"/>
      <c r="F2615" s="330"/>
      <c r="G2615" s="330"/>
      <c r="H2615" s="208"/>
    </row>
    <row r="2616" spans="1:8" ht="15" customHeight="1">
      <c r="A2616" s="208"/>
      <c r="B2616" s="208"/>
      <c r="C2616" s="328"/>
      <c r="D2616" s="329"/>
      <c r="E2616" s="329"/>
      <c r="F2616" s="330"/>
      <c r="G2616" s="330"/>
      <c r="H2616" s="208"/>
    </row>
    <row r="2617" spans="1:8" ht="15" customHeight="1">
      <c r="A2617" s="208"/>
      <c r="B2617" s="208"/>
      <c r="C2617" s="328"/>
      <c r="D2617" s="329"/>
      <c r="E2617" s="329"/>
      <c r="F2617" s="330"/>
      <c r="G2617" s="330"/>
      <c r="H2617" s="208"/>
    </row>
    <row r="2618" spans="1:8" ht="15" customHeight="1">
      <c r="A2618" s="208"/>
      <c r="B2618" s="208"/>
      <c r="C2618" s="328"/>
      <c r="D2618" s="329"/>
      <c r="E2618" s="329"/>
      <c r="F2618" s="330"/>
      <c r="G2618" s="330"/>
      <c r="H2618" s="208"/>
    </row>
    <row r="2619" spans="1:8" ht="15" customHeight="1">
      <c r="A2619" s="208"/>
      <c r="B2619" s="208"/>
      <c r="C2619" s="328"/>
      <c r="D2619" s="329"/>
      <c r="E2619" s="329"/>
      <c r="F2619" s="330"/>
      <c r="G2619" s="330"/>
      <c r="H2619" s="208"/>
    </row>
    <row r="2620" spans="1:8" ht="15" customHeight="1">
      <c r="A2620" s="208"/>
      <c r="B2620" s="208"/>
      <c r="C2620" s="328"/>
      <c r="D2620" s="329"/>
      <c r="E2620" s="329"/>
      <c r="F2620" s="330"/>
      <c r="G2620" s="330"/>
      <c r="H2620" s="208"/>
    </row>
    <row r="2621" spans="1:8" ht="15" customHeight="1">
      <c r="A2621" s="208"/>
      <c r="B2621" s="208"/>
      <c r="C2621" s="328"/>
      <c r="D2621" s="329"/>
      <c r="E2621" s="329"/>
      <c r="F2621" s="330"/>
      <c r="G2621" s="330"/>
      <c r="H2621" s="208"/>
    </row>
    <row r="2622" spans="1:8" ht="15" customHeight="1">
      <c r="A2622" s="208"/>
      <c r="B2622" s="208"/>
      <c r="C2622" s="328"/>
      <c r="D2622" s="329"/>
      <c r="E2622" s="329"/>
      <c r="F2622" s="330"/>
      <c r="G2622" s="330"/>
      <c r="H2622" s="208"/>
    </row>
    <row r="2623" spans="1:8" ht="15" customHeight="1">
      <c r="A2623" s="208"/>
      <c r="B2623" s="208"/>
      <c r="C2623" s="328"/>
      <c r="D2623" s="329"/>
      <c r="E2623" s="329"/>
      <c r="F2623" s="330"/>
      <c r="G2623" s="330"/>
      <c r="H2623" s="208"/>
    </row>
    <row r="2624" spans="1:8" ht="15" customHeight="1">
      <c r="A2624" s="208"/>
      <c r="B2624" s="208"/>
      <c r="C2624" s="328"/>
      <c r="D2624" s="329"/>
      <c r="E2624" s="329"/>
      <c r="F2624" s="330"/>
      <c r="G2624" s="330"/>
      <c r="H2624" s="208"/>
    </row>
    <row r="2625" spans="1:8" ht="15" customHeight="1">
      <c r="A2625" s="208"/>
      <c r="B2625" s="208"/>
      <c r="C2625" s="328"/>
      <c r="D2625" s="329"/>
      <c r="E2625" s="329"/>
      <c r="F2625" s="330"/>
      <c r="G2625" s="330"/>
      <c r="H2625" s="208"/>
    </row>
    <row r="2626" spans="1:8" ht="15" customHeight="1">
      <c r="A2626" s="208"/>
      <c r="B2626" s="208"/>
      <c r="C2626" s="328"/>
      <c r="D2626" s="329"/>
      <c r="E2626" s="329"/>
      <c r="F2626" s="330"/>
      <c r="G2626" s="330"/>
      <c r="H2626" s="208"/>
    </row>
    <row r="2627" spans="1:8" ht="15" customHeight="1">
      <c r="A2627" s="208"/>
      <c r="B2627" s="208"/>
      <c r="C2627" s="328"/>
      <c r="D2627" s="329"/>
      <c r="E2627" s="329"/>
      <c r="F2627" s="330"/>
      <c r="G2627" s="330"/>
      <c r="H2627" s="208"/>
    </row>
    <row r="2628" spans="1:8" ht="15" customHeight="1">
      <c r="A2628" s="208"/>
      <c r="B2628" s="208"/>
      <c r="C2628" s="328"/>
      <c r="D2628" s="329"/>
      <c r="E2628" s="329"/>
      <c r="F2628" s="330"/>
      <c r="G2628" s="330"/>
      <c r="H2628" s="208"/>
    </row>
    <row r="2629" spans="1:8" ht="15" customHeight="1">
      <c r="A2629" s="208"/>
      <c r="B2629" s="208"/>
      <c r="C2629" s="328"/>
      <c r="D2629" s="329"/>
      <c r="E2629" s="329"/>
      <c r="F2629" s="330"/>
      <c r="G2629" s="330"/>
      <c r="H2629" s="208"/>
    </row>
    <row r="2630" spans="1:8" ht="15" customHeight="1">
      <c r="A2630" s="208"/>
      <c r="B2630" s="208"/>
      <c r="C2630" s="328"/>
      <c r="D2630" s="329"/>
      <c r="E2630" s="329"/>
      <c r="F2630" s="330"/>
      <c r="G2630" s="330"/>
      <c r="H2630" s="208"/>
    </row>
    <row r="2631" spans="1:8" ht="15" customHeight="1">
      <c r="A2631" s="208"/>
      <c r="B2631" s="208"/>
      <c r="C2631" s="328"/>
      <c r="D2631" s="329"/>
      <c r="E2631" s="329"/>
      <c r="F2631" s="330"/>
      <c r="G2631" s="330"/>
      <c r="H2631" s="208"/>
    </row>
    <row r="2632" spans="1:8" ht="15" customHeight="1">
      <c r="A2632" s="208"/>
      <c r="B2632" s="208"/>
      <c r="C2632" s="328"/>
      <c r="D2632" s="329"/>
      <c r="E2632" s="329"/>
      <c r="F2632" s="330"/>
      <c r="G2632" s="330"/>
      <c r="H2632" s="208"/>
    </row>
    <row r="2633" spans="1:8" ht="15" customHeight="1">
      <c r="A2633" s="208"/>
      <c r="B2633" s="208"/>
      <c r="C2633" s="328"/>
      <c r="D2633" s="329"/>
      <c r="E2633" s="329"/>
      <c r="F2633" s="330"/>
      <c r="G2633" s="330"/>
      <c r="H2633" s="208"/>
    </row>
    <row r="2634" spans="1:8" ht="15" customHeight="1">
      <c r="A2634" s="208"/>
      <c r="B2634" s="208"/>
      <c r="C2634" s="328"/>
      <c r="D2634" s="329"/>
      <c r="E2634" s="329"/>
      <c r="F2634" s="330"/>
      <c r="G2634" s="330"/>
      <c r="H2634" s="208"/>
    </row>
    <row r="2635" spans="1:8" ht="15" customHeight="1">
      <c r="A2635" s="208"/>
      <c r="B2635" s="208"/>
      <c r="C2635" s="328"/>
      <c r="D2635" s="329"/>
      <c r="E2635" s="329"/>
      <c r="F2635" s="330"/>
      <c r="G2635" s="330"/>
      <c r="H2635" s="208"/>
    </row>
    <row r="2636" spans="1:8" ht="15" customHeight="1">
      <c r="A2636" s="208"/>
      <c r="B2636" s="208"/>
      <c r="C2636" s="328"/>
      <c r="D2636" s="329"/>
      <c r="E2636" s="329"/>
      <c r="F2636" s="330"/>
      <c r="G2636" s="330"/>
      <c r="H2636" s="208"/>
    </row>
    <row r="2637" spans="1:8" ht="15" customHeight="1">
      <c r="A2637" s="208"/>
      <c r="B2637" s="208"/>
      <c r="C2637" s="328"/>
      <c r="D2637" s="329"/>
      <c r="E2637" s="329"/>
      <c r="F2637" s="330"/>
      <c r="G2637" s="330"/>
      <c r="H2637" s="208"/>
    </row>
    <row r="2638" spans="1:8" ht="15" customHeight="1">
      <c r="A2638" s="208"/>
      <c r="B2638" s="208"/>
      <c r="C2638" s="328"/>
      <c r="D2638" s="329"/>
      <c r="E2638" s="329"/>
      <c r="F2638" s="330"/>
      <c r="G2638" s="330"/>
      <c r="H2638" s="208"/>
    </row>
    <row r="2639" spans="1:8" ht="15" customHeight="1">
      <c r="A2639" s="208"/>
      <c r="B2639" s="208"/>
      <c r="C2639" s="328"/>
      <c r="D2639" s="329"/>
      <c r="E2639" s="329"/>
      <c r="F2639" s="330"/>
      <c r="G2639" s="330"/>
      <c r="H2639" s="208"/>
    </row>
    <row r="2640" spans="1:8" ht="15" customHeight="1">
      <c r="A2640" s="208"/>
      <c r="B2640" s="208"/>
      <c r="C2640" s="328"/>
      <c r="D2640" s="329"/>
      <c r="E2640" s="329"/>
      <c r="F2640" s="330"/>
      <c r="G2640" s="330"/>
      <c r="H2640" s="208"/>
    </row>
    <row r="2641" spans="1:8" ht="15" customHeight="1">
      <c r="A2641" s="208"/>
      <c r="B2641" s="208"/>
      <c r="C2641" s="328"/>
      <c r="D2641" s="329"/>
      <c r="E2641" s="329"/>
      <c r="F2641" s="330"/>
      <c r="G2641" s="330"/>
      <c r="H2641" s="208"/>
    </row>
    <row r="2642" spans="1:8" ht="15" customHeight="1">
      <c r="A2642" s="208"/>
      <c r="B2642" s="208"/>
      <c r="C2642" s="328"/>
      <c r="D2642" s="329"/>
      <c r="E2642" s="329"/>
      <c r="F2642" s="330"/>
      <c r="G2642" s="330"/>
      <c r="H2642" s="208"/>
    </row>
    <row r="2643" spans="1:8" ht="15" customHeight="1">
      <c r="A2643" s="208"/>
      <c r="B2643" s="208"/>
      <c r="C2643" s="328"/>
      <c r="D2643" s="329"/>
      <c r="E2643" s="329"/>
      <c r="F2643" s="330"/>
      <c r="G2643" s="330"/>
      <c r="H2643" s="208"/>
    </row>
    <row r="2644" spans="1:8" ht="15" customHeight="1">
      <c r="A2644" s="208"/>
      <c r="B2644" s="208"/>
      <c r="C2644" s="328"/>
      <c r="D2644" s="329"/>
      <c r="E2644" s="329"/>
      <c r="F2644" s="330"/>
      <c r="G2644" s="330"/>
      <c r="H2644" s="208"/>
    </row>
    <row r="2645" spans="1:8" ht="15" customHeight="1">
      <c r="A2645" s="208"/>
      <c r="B2645" s="208"/>
      <c r="C2645" s="328"/>
      <c r="D2645" s="329"/>
      <c r="E2645" s="329"/>
      <c r="F2645" s="330"/>
      <c r="G2645" s="330"/>
      <c r="H2645" s="208"/>
    </row>
    <row r="2646" spans="1:8" ht="15" customHeight="1">
      <c r="A2646" s="208"/>
      <c r="B2646" s="208"/>
      <c r="C2646" s="328"/>
      <c r="D2646" s="329"/>
      <c r="E2646" s="329"/>
      <c r="F2646" s="330"/>
      <c r="G2646" s="330"/>
      <c r="H2646" s="208"/>
    </row>
    <row r="2647" spans="1:8" ht="15" customHeight="1">
      <c r="A2647" s="208"/>
      <c r="B2647" s="208"/>
      <c r="C2647" s="328"/>
      <c r="D2647" s="329"/>
      <c r="E2647" s="329"/>
      <c r="F2647" s="330"/>
      <c r="G2647" s="330"/>
      <c r="H2647" s="208"/>
    </row>
    <row r="2648" spans="1:8" ht="15" customHeight="1">
      <c r="A2648" s="208"/>
      <c r="B2648" s="208"/>
      <c r="C2648" s="328"/>
      <c r="D2648" s="329"/>
      <c r="E2648" s="329"/>
      <c r="F2648" s="330"/>
      <c r="G2648" s="330"/>
      <c r="H2648" s="208"/>
    </row>
    <row r="2649" spans="1:8" ht="15" customHeight="1">
      <c r="A2649" s="208"/>
      <c r="B2649" s="208"/>
      <c r="C2649" s="328"/>
      <c r="D2649" s="329"/>
      <c r="E2649" s="329"/>
      <c r="F2649" s="330"/>
      <c r="G2649" s="330"/>
      <c r="H2649" s="208"/>
    </row>
    <row r="2650" spans="1:8" ht="15" customHeight="1">
      <c r="A2650" s="208"/>
      <c r="B2650" s="208"/>
      <c r="C2650" s="328"/>
      <c r="D2650" s="329"/>
      <c r="E2650" s="329"/>
      <c r="F2650" s="330"/>
      <c r="G2650" s="330"/>
      <c r="H2650" s="208"/>
    </row>
    <row r="2651" spans="1:8" ht="15" customHeight="1">
      <c r="A2651" s="208"/>
      <c r="B2651" s="208"/>
      <c r="C2651" s="328"/>
      <c r="D2651" s="329"/>
      <c r="E2651" s="329"/>
      <c r="F2651" s="330"/>
      <c r="G2651" s="330"/>
      <c r="H2651" s="208"/>
    </row>
    <row r="2652" spans="1:8" ht="15" customHeight="1">
      <c r="A2652" s="208"/>
      <c r="B2652" s="208"/>
      <c r="C2652" s="328"/>
      <c r="D2652" s="329"/>
      <c r="E2652" s="329"/>
      <c r="F2652" s="330"/>
      <c r="G2652" s="330"/>
      <c r="H2652" s="208"/>
    </row>
    <row r="2653" spans="1:8" ht="15" customHeight="1">
      <c r="A2653" s="208"/>
      <c r="B2653" s="208"/>
      <c r="C2653" s="328"/>
      <c r="D2653" s="329"/>
      <c r="E2653" s="329"/>
      <c r="F2653" s="330"/>
      <c r="G2653" s="330"/>
      <c r="H2653" s="208"/>
    </row>
    <row r="2654" spans="1:8" ht="15" customHeight="1">
      <c r="A2654" s="208"/>
      <c r="B2654" s="208"/>
      <c r="C2654" s="328"/>
      <c r="D2654" s="329"/>
      <c r="E2654" s="329"/>
      <c r="F2654" s="330"/>
      <c r="G2654" s="330"/>
      <c r="H2654" s="208"/>
    </row>
    <row r="2655" spans="1:8" ht="15" customHeight="1">
      <c r="A2655" s="208"/>
      <c r="B2655" s="208"/>
      <c r="C2655" s="328"/>
      <c r="D2655" s="329"/>
      <c r="E2655" s="329"/>
      <c r="F2655" s="330"/>
      <c r="G2655" s="330"/>
      <c r="H2655" s="208"/>
    </row>
    <row r="2656" spans="1:8" ht="15" customHeight="1">
      <c r="A2656" s="208"/>
      <c r="B2656" s="208"/>
      <c r="C2656" s="328"/>
      <c r="D2656" s="329"/>
      <c r="E2656" s="329"/>
      <c r="F2656" s="330"/>
      <c r="G2656" s="330"/>
      <c r="H2656" s="208"/>
    </row>
    <row r="2657" spans="1:8" ht="15" customHeight="1">
      <c r="A2657" s="208"/>
      <c r="B2657" s="208"/>
      <c r="C2657" s="328"/>
      <c r="D2657" s="329"/>
      <c r="E2657" s="329"/>
      <c r="F2657" s="330"/>
      <c r="G2657" s="330"/>
      <c r="H2657" s="208"/>
    </row>
    <row r="2658" spans="1:8" ht="15" customHeight="1">
      <c r="A2658" s="208"/>
      <c r="B2658" s="208"/>
      <c r="C2658" s="328"/>
      <c r="D2658" s="329"/>
      <c r="E2658" s="329"/>
      <c r="F2658" s="330"/>
      <c r="G2658" s="330"/>
      <c r="H2658" s="208"/>
    </row>
    <row r="2659" spans="1:8" ht="15" customHeight="1">
      <c r="A2659" s="208"/>
      <c r="B2659" s="208"/>
      <c r="C2659" s="328"/>
      <c r="D2659" s="329"/>
      <c r="E2659" s="329"/>
      <c r="F2659" s="330"/>
      <c r="G2659" s="330"/>
      <c r="H2659" s="208"/>
    </row>
    <row r="2660" spans="1:8" ht="15" customHeight="1">
      <c r="A2660" s="208"/>
      <c r="B2660" s="208"/>
      <c r="C2660" s="328"/>
      <c r="D2660" s="329"/>
      <c r="E2660" s="329"/>
      <c r="F2660" s="330"/>
      <c r="G2660" s="330"/>
      <c r="H2660" s="208"/>
    </row>
    <row r="2661" spans="1:8" ht="15" customHeight="1">
      <c r="A2661" s="208"/>
      <c r="B2661" s="208"/>
      <c r="C2661" s="328"/>
      <c r="D2661" s="329"/>
      <c r="E2661" s="329"/>
      <c r="F2661" s="330"/>
      <c r="G2661" s="330"/>
      <c r="H2661" s="208"/>
    </row>
    <row r="2662" spans="1:8" ht="15" customHeight="1">
      <c r="A2662" s="208"/>
      <c r="B2662" s="208"/>
      <c r="C2662" s="328"/>
      <c r="D2662" s="329"/>
      <c r="E2662" s="329"/>
      <c r="F2662" s="330"/>
      <c r="G2662" s="330"/>
      <c r="H2662" s="208"/>
    </row>
    <row r="2663" spans="1:8" ht="15" customHeight="1">
      <c r="A2663" s="208"/>
      <c r="B2663" s="208"/>
      <c r="C2663" s="328"/>
      <c r="D2663" s="329"/>
      <c r="E2663" s="329"/>
      <c r="F2663" s="330"/>
      <c r="G2663" s="330"/>
      <c r="H2663" s="208"/>
    </row>
    <row r="2664" spans="1:8" ht="15" customHeight="1">
      <c r="A2664" s="208"/>
      <c r="B2664" s="208"/>
      <c r="C2664" s="328"/>
      <c r="D2664" s="329"/>
      <c r="E2664" s="329"/>
      <c r="F2664" s="330"/>
      <c r="G2664" s="330"/>
      <c r="H2664" s="208"/>
    </row>
    <row r="2665" spans="1:8" ht="15" customHeight="1">
      <c r="A2665" s="208"/>
      <c r="B2665" s="208"/>
      <c r="C2665" s="328"/>
      <c r="D2665" s="329"/>
      <c r="E2665" s="329"/>
      <c r="F2665" s="330"/>
      <c r="G2665" s="330"/>
      <c r="H2665" s="208"/>
    </row>
    <row r="2666" spans="1:8" ht="15" customHeight="1">
      <c r="A2666" s="208"/>
      <c r="B2666" s="208"/>
      <c r="C2666" s="328"/>
      <c r="D2666" s="329"/>
      <c r="E2666" s="329"/>
      <c r="F2666" s="330"/>
      <c r="G2666" s="330"/>
      <c r="H2666" s="208"/>
    </row>
    <row r="2667" spans="1:8" ht="15" customHeight="1">
      <c r="A2667" s="208"/>
      <c r="B2667" s="208"/>
      <c r="C2667" s="328"/>
      <c r="D2667" s="329"/>
      <c r="E2667" s="329"/>
      <c r="F2667" s="330"/>
      <c r="G2667" s="330"/>
      <c r="H2667" s="208"/>
    </row>
    <row r="2668" spans="1:8" ht="15" customHeight="1">
      <c r="A2668" s="208"/>
      <c r="B2668" s="208"/>
      <c r="C2668" s="328"/>
      <c r="D2668" s="329"/>
      <c r="E2668" s="329"/>
      <c r="F2668" s="330"/>
      <c r="G2668" s="330"/>
      <c r="H2668" s="208"/>
    </row>
    <row r="2669" spans="1:8" ht="15" customHeight="1">
      <c r="A2669" s="208"/>
      <c r="B2669" s="208"/>
      <c r="C2669" s="328"/>
      <c r="D2669" s="329"/>
      <c r="E2669" s="329"/>
      <c r="F2669" s="330"/>
      <c r="G2669" s="330"/>
      <c r="H2669" s="208"/>
    </row>
    <row r="2670" spans="1:8" ht="15" customHeight="1">
      <c r="A2670" s="208"/>
      <c r="B2670" s="208"/>
      <c r="C2670" s="328"/>
      <c r="D2670" s="329"/>
      <c r="E2670" s="329"/>
      <c r="F2670" s="330"/>
      <c r="G2670" s="330"/>
      <c r="H2670" s="208"/>
    </row>
    <row r="2671" spans="1:8" ht="15" customHeight="1">
      <c r="A2671" s="208"/>
      <c r="B2671" s="208"/>
      <c r="C2671" s="328"/>
      <c r="D2671" s="329"/>
      <c r="E2671" s="329"/>
      <c r="F2671" s="330"/>
      <c r="G2671" s="330"/>
      <c r="H2671" s="208"/>
    </row>
    <row r="2672" spans="1:8" ht="15" customHeight="1">
      <c r="A2672" s="208"/>
      <c r="B2672" s="208"/>
      <c r="C2672" s="328"/>
      <c r="D2672" s="329"/>
      <c r="E2672" s="329"/>
      <c r="F2672" s="330"/>
      <c r="G2672" s="330"/>
      <c r="H2672" s="208"/>
    </row>
    <row r="2673" spans="1:8" ht="15" customHeight="1">
      <c r="A2673" s="208"/>
      <c r="B2673" s="208"/>
      <c r="C2673" s="328"/>
      <c r="D2673" s="329"/>
      <c r="E2673" s="329"/>
      <c r="F2673" s="330"/>
      <c r="G2673" s="330"/>
      <c r="H2673" s="208"/>
    </row>
    <row r="2674" spans="1:8" ht="15" customHeight="1">
      <c r="A2674" s="208"/>
      <c r="B2674" s="208"/>
      <c r="C2674" s="328"/>
      <c r="D2674" s="329"/>
      <c r="E2674" s="329"/>
      <c r="F2674" s="330"/>
      <c r="G2674" s="330"/>
      <c r="H2674" s="208"/>
    </row>
    <row r="2675" spans="1:8" ht="15" customHeight="1">
      <c r="A2675" s="208"/>
      <c r="B2675" s="208"/>
      <c r="C2675" s="328"/>
      <c r="D2675" s="329"/>
      <c r="E2675" s="329"/>
      <c r="F2675" s="330"/>
      <c r="G2675" s="330"/>
      <c r="H2675" s="208"/>
    </row>
    <row r="2676" spans="1:8" ht="15" customHeight="1">
      <c r="A2676" s="208"/>
      <c r="B2676" s="208"/>
      <c r="C2676" s="328"/>
      <c r="D2676" s="329"/>
      <c r="E2676" s="329"/>
      <c r="F2676" s="330"/>
      <c r="G2676" s="330"/>
      <c r="H2676" s="208"/>
    </row>
    <row r="2677" spans="1:8" ht="15" customHeight="1">
      <c r="A2677" s="208"/>
      <c r="B2677" s="208"/>
      <c r="C2677" s="328"/>
      <c r="D2677" s="329"/>
      <c r="E2677" s="329"/>
      <c r="F2677" s="330"/>
      <c r="G2677" s="330"/>
      <c r="H2677" s="208"/>
    </row>
    <row r="2678" spans="1:8" ht="15" customHeight="1">
      <c r="A2678" s="208"/>
      <c r="B2678" s="208"/>
      <c r="C2678" s="328"/>
      <c r="D2678" s="329"/>
      <c r="E2678" s="329"/>
      <c r="F2678" s="330"/>
      <c r="G2678" s="330"/>
      <c r="H2678" s="208"/>
    </row>
    <row r="2679" spans="1:8" ht="15" customHeight="1">
      <c r="A2679" s="208"/>
      <c r="B2679" s="208"/>
      <c r="C2679" s="328"/>
      <c r="D2679" s="329"/>
      <c r="E2679" s="329"/>
      <c r="F2679" s="330"/>
      <c r="G2679" s="330"/>
      <c r="H2679" s="208"/>
    </row>
    <row r="2680" spans="1:8" ht="15" customHeight="1">
      <c r="A2680" s="208"/>
      <c r="B2680" s="208"/>
      <c r="C2680" s="328"/>
      <c r="D2680" s="329"/>
      <c r="E2680" s="329"/>
      <c r="F2680" s="330"/>
      <c r="G2680" s="330"/>
      <c r="H2680" s="208"/>
    </row>
    <row r="2681" spans="1:8" ht="15" customHeight="1">
      <c r="A2681" s="208"/>
      <c r="B2681" s="208"/>
      <c r="C2681" s="328"/>
      <c r="D2681" s="329"/>
      <c r="E2681" s="329"/>
      <c r="F2681" s="330"/>
      <c r="G2681" s="330"/>
      <c r="H2681" s="208"/>
    </row>
    <row r="2682" spans="1:8" ht="15" customHeight="1">
      <c r="A2682" s="208"/>
      <c r="B2682" s="208"/>
      <c r="C2682" s="328"/>
      <c r="D2682" s="329"/>
      <c r="E2682" s="329"/>
      <c r="F2682" s="330"/>
      <c r="G2682" s="330"/>
      <c r="H2682" s="208"/>
    </row>
    <row r="2683" spans="1:8" ht="15" customHeight="1">
      <c r="A2683" s="208"/>
      <c r="B2683" s="208"/>
      <c r="C2683" s="328"/>
      <c r="D2683" s="329"/>
      <c r="E2683" s="329"/>
      <c r="F2683" s="330"/>
      <c r="G2683" s="330"/>
      <c r="H2683" s="208"/>
    </row>
    <row r="2684" spans="1:8" ht="15" customHeight="1">
      <c r="A2684" s="208"/>
      <c r="B2684" s="208"/>
      <c r="C2684" s="328"/>
      <c r="D2684" s="329"/>
      <c r="E2684" s="329"/>
      <c r="F2684" s="330"/>
      <c r="G2684" s="330"/>
      <c r="H2684" s="208"/>
    </row>
    <row r="2685" spans="1:8" ht="15" customHeight="1">
      <c r="A2685" s="208"/>
      <c r="B2685" s="208"/>
      <c r="C2685" s="328"/>
      <c r="D2685" s="329"/>
      <c r="E2685" s="329"/>
      <c r="F2685" s="330"/>
      <c r="G2685" s="330"/>
      <c r="H2685" s="208"/>
    </row>
    <row r="2686" spans="1:8" ht="15" customHeight="1">
      <c r="A2686" s="208"/>
      <c r="B2686" s="208"/>
      <c r="C2686" s="328"/>
      <c r="D2686" s="329"/>
      <c r="E2686" s="329"/>
      <c r="F2686" s="330"/>
      <c r="G2686" s="330"/>
      <c r="H2686" s="208"/>
    </row>
    <row r="2687" spans="1:8" ht="15" customHeight="1">
      <c r="A2687" s="208"/>
      <c r="B2687" s="208"/>
      <c r="C2687" s="328"/>
      <c r="D2687" s="329"/>
      <c r="E2687" s="329"/>
      <c r="F2687" s="330"/>
      <c r="G2687" s="330"/>
      <c r="H2687" s="208"/>
    </row>
    <row r="2688" spans="1:8" ht="15" customHeight="1">
      <c r="A2688" s="208"/>
      <c r="B2688" s="208"/>
      <c r="C2688" s="328"/>
      <c r="D2688" s="329"/>
      <c r="E2688" s="329"/>
      <c r="F2688" s="330"/>
      <c r="G2688" s="330"/>
      <c r="H2688" s="208"/>
    </row>
    <row r="2689" spans="1:8" ht="15" customHeight="1">
      <c r="A2689" s="208"/>
      <c r="B2689" s="208"/>
      <c r="C2689" s="328"/>
      <c r="D2689" s="329"/>
      <c r="E2689" s="329"/>
      <c r="F2689" s="330"/>
      <c r="G2689" s="330"/>
      <c r="H2689" s="208"/>
    </row>
    <row r="2690" spans="1:8" ht="15" customHeight="1">
      <c r="A2690" s="208"/>
      <c r="B2690" s="208"/>
      <c r="C2690" s="328"/>
      <c r="D2690" s="329"/>
      <c r="E2690" s="329"/>
      <c r="F2690" s="330"/>
      <c r="G2690" s="330"/>
      <c r="H2690" s="208"/>
    </row>
    <row r="2691" spans="1:8" ht="15" customHeight="1">
      <c r="A2691" s="208"/>
      <c r="B2691" s="208"/>
      <c r="C2691" s="328"/>
      <c r="D2691" s="329"/>
      <c r="E2691" s="329"/>
      <c r="F2691" s="330"/>
      <c r="G2691" s="330"/>
      <c r="H2691" s="208"/>
    </row>
    <row r="2692" spans="1:8" ht="15" customHeight="1">
      <c r="A2692" s="208"/>
      <c r="B2692" s="208"/>
      <c r="C2692" s="328"/>
      <c r="D2692" s="329"/>
      <c r="E2692" s="329"/>
      <c r="F2692" s="330"/>
      <c r="G2692" s="330"/>
      <c r="H2692" s="208"/>
    </row>
    <row r="2693" spans="1:8" ht="15" customHeight="1">
      <c r="A2693" s="208"/>
      <c r="B2693" s="208"/>
      <c r="C2693" s="328"/>
      <c r="D2693" s="329"/>
      <c r="E2693" s="329"/>
      <c r="F2693" s="330"/>
      <c r="G2693" s="330"/>
      <c r="H2693" s="208"/>
    </row>
    <row r="2694" spans="1:8" ht="15" customHeight="1">
      <c r="A2694" s="208"/>
      <c r="B2694" s="208"/>
      <c r="C2694" s="328"/>
      <c r="D2694" s="329"/>
      <c r="E2694" s="329"/>
      <c r="F2694" s="330"/>
      <c r="G2694" s="330"/>
      <c r="H2694" s="208"/>
    </row>
    <row r="2695" spans="1:8" ht="15" customHeight="1">
      <c r="A2695" s="208"/>
      <c r="B2695" s="208"/>
      <c r="C2695" s="328"/>
      <c r="D2695" s="329"/>
      <c r="E2695" s="329"/>
      <c r="F2695" s="330"/>
      <c r="G2695" s="330"/>
      <c r="H2695" s="208"/>
    </row>
    <row r="2696" spans="1:8" ht="15" customHeight="1">
      <c r="A2696" s="208"/>
      <c r="B2696" s="208"/>
      <c r="C2696" s="328"/>
      <c r="D2696" s="329"/>
      <c r="E2696" s="329"/>
      <c r="F2696" s="330"/>
      <c r="G2696" s="330"/>
      <c r="H2696" s="208"/>
    </row>
    <row r="2697" spans="1:8" ht="15" customHeight="1">
      <c r="A2697" s="208"/>
      <c r="B2697" s="208"/>
      <c r="C2697" s="328"/>
      <c r="D2697" s="329"/>
      <c r="E2697" s="329"/>
      <c r="F2697" s="330"/>
      <c r="G2697" s="330"/>
      <c r="H2697" s="208"/>
    </row>
    <row r="2698" spans="1:8" ht="15" customHeight="1">
      <c r="A2698" s="208"/>
      <c r="B2698" s="208"/>
      <c r="C2698" s="328"/>
      <c r="D2698" s="329"/>
      <c r="E2698" s="329"/>
      <c r="F2698" s="330"/>
      <c r="G2698" s="330"/>
      <c r="H2698" s="208"/>
    </row>
    <row r="2699" spans="1:8" ht="15" customHeight="1">
      <c r="A2699" s="208"/>
      <c r="B2699" s="208"/>
      <c r="C2699" s="328"/>
      <c r="D2699" s="329"/>
      <c r="E2699" s="329"/>
      <c r="F2699" s="330"/>
      <c r="G2699" s="330"/>
      <c r="H2699" s="208"/>
    </row>
    <row r="2700" spans="1:8" ht="15" customHeight="1">
      <c r="A2700" s="208"/>
      <c r="B2700" s="208"/>
      <c r="C2700" s="328"/>
      <c r="D2700" s="329"/>
      <c r="E2700" s="329"/>
      <c r="F2700" s="330"/>
      <c r="G2700" s="330"/>
      <c r="H2700" s="208"/>
    </row>
    <row r="2701" spans="1:8" ht="15" customHeight="1">
      <c r="A2701" s="208"/>
      <c r="B2701" s="208"/>
      <c r="C2701" s="328"/>
      <c r="D2701" s="329"/>
      <c r="E2701" s="329"/>
      <c r="F2701" s="330"/>
      <c r="G2701" s="330"/>
      <c r="H2701" s="208"/>
    </row>
    <row r="2702" spans="1:8" ht="15" customHeight="1">
      <c r="A2702" s="208"/>
      <c r="B2702" s="208"/>
      <c r="C2702" s="328"/>
      <c r="D2702" s="329"/>
      <c r="E2702" s="329"/>
      <c r="F2702" s="330"/>
      <c r="G2702" s="330"/>
      <c r="H2702" s="208"/>
    </row>
    <row r="2703" spans="1:8" ht="15" customHeight="1">
      <c r="A2703" s="208"/>
      <c r="B2703" s="208"/>
      <c r="C2703" s="328"/>
      <c r="D2703" s="329"/>
      <c r="E2703" s="329"/>
      <c r="F2703" s="330"/>
      <c r="G2703" s="330"/>
      <c r="H2703" s="208"/>
    </row>
    <row r="2704" spans="1:8" ht="15" customHeight="1">
      <c r="A2704" s="208"/>
      <c r="B2704" s="208"/>
      <c r="C2704" s="328"/>
      <c r="D2704" s="329"/>
      <c r="E2704" s="329"/>
      <c r="F2704" s="330"/>
      <c r="G2704" s="330"/>
      <c r="H2704" s="208"/>
    </row>
    <row r="2705" spans="1:8" ht="15" customHeight="1">
      <c r="A2705" s="208"/>
      <c r="B2705" s="208"/>
      <c r="C2705" s="328"/>
      <c r="D2705" s="329"/>
      <c r="E2705" s="329"/>
      <c r="F2705" s="330"/>
      <c r="G2705" s="330"/>
      <c r="H2705" s="208"/>
    </row>
    <row r="2706" spans="1:8" ht="15" customHeight="1">
      <c r="A2706" s="208"/>
      <c r="B2706" s="208"/>
      <c r="C2706" s="328"/>
      <c r="D2706" s="329"/>
      <c r="E2706" s="329"/>
      <c r="F2706" s="330"/>
      <c r="G2706" s="330"/>
      <c r="H2706" s="208"/>
    </row>
    <row r="2707" spans="1:8" ht="15" customHeight="1">
      <c r="A2707" s="208"/>
      <c r="B2707" s="208"/>
      <c r="C2707" s="328"/>
      <c r="D2707" s="329"/>
      <c r="E2707" s="329"/>
      <c r="F2707" s="330"/>
      <c r="G2707" s="330"/>
      <c r="H2707" s="208"/>
    </row>
    <row r="2708" spans="1:8" ht="15" customHeight="1">
      <c r="A2708" s="208"/>
      <c r="B2708" s="208"/>
      <c r="C2708" s="328"/>
      <c r="D2708" s="329"/>
      <c r="E2708" s="329"/>
      <c r="F2708" s="330"/>
      <c r="G2708" s="330"/>
      <c r="H2708" s="208"/>
    </row>
    <row r="2709" spans="1:8" ht="15" customHeight="1">
      <c r="A2709" s="208"/>
      <c r="B2709" s="208"/>
      <c r="C2709" s="328"/>
      <c r="D2709" s="329"/>
      <c r="E2709" s="329"/>
      <c r="F2709" s="330"/>
      <c r="G2709" s="330"/>
      <c r="H2709" s="208"/>
    </row>
    <row r="2710" spans="1:8" ht="15" customHeight="1">
      <c r="A2710" s="208"/>
      <c r="B2710" s="208"/>
      <c r="C2710" s="328"/>
      <c r="D2710" s="329"/>
      <c r="E2710" s="329"/>
      <c r="F2710" s="330"/>
      <c r="G2710" s="330"/>
      <c r="H2710" s="208"/>
    </row>
    <row r="2711" spans="1:8" ht="15" customHeight="1">
      <c r="A2711" s="208"/>
      <c r="B2711" s="208"/>
      <c r="C2711" s="328"/>
      <c r="D2711" s="329"/>
      <c r="E2711" s="329"/>
      <c r="F2711" s="330"/>
      <c r="G2711" s="330"/>
      <c r="H2711" s="208"/>
    </row>
    <row r="2712" spans="1:8" ht="15" customHeight="1">
      <c r="A2712" s="208"/>
      <c r="B2712" s="208"/>
      <c r="C2712" s="328"/>
      <c r="D2712" s="329"/>
      <c r="E2712" s="329"/>
      <c r="F2712" s="330"/>
      <c r="G2712" s="330"/>
      <c r="H2712" s="208"/>
    </row>
    <row r="2713" spans="1:8" ht="15" customHeight="1">
      <c r="A2713" s="208"/>
      <c r="B2713" s="208"/>
      <c r="C2713" s="328"/>
      <c r="D2713" s="329"/>
      <c r="E2713" s="329"/>
      <c r="F2713" s="330"/>
      <c r="G2713" s="330"/>
      <c r="H2713" s="208"/>
    </row>
    <row r="2714" spans="1:8" ht="15" customHeight="1">
      <c r="A2714" s="208"/>
      <c r="B2714" s="208"/>
      <c r="C2714" s="328"/>
      <c r="D2714" s="329"/>
      <c r="E2714" s="329"/>
      <c r="F2714" s="330"/>
      <c r="G2714" s="330"/>
      <c r="H2714" s="208"/>
    </row>
    <row r="2715" spans="1:8" ht="15" customHeight="1">
      <c r="A2715" s="208"/>
      <c r="B2715" s="208"/>
      <c r="C2715" s="328"/>
      <c r="D2715" s="329"/>
      <c r="E2715" s="329"/>
      <c r="F2715" s="330"/>
      <c r="G2715" s="330"/>
      <c r="H2715" s="208"/>
    </row>
    <row r="2716" spans="1:8" ht="15" customHeight="1">
      <c r="A2716" s="208"/>
      <c r="B2716" s="208"/>
      <c r="C2716" s="328"/>
      <c r="D2716" s="329"/>
      <c r="E2716" s="329"/>
      <c r="F2716" s="330"/>
      <c r="G2716" s="330"/>
      <c r="H2716" s="208"/>
    </row>
    <row r="2717" spans="1:8" ht="15" customHeight="1">
      <c r="A2717" s="208"/>
      <c r="B2717" s="208"/>
      <c r="C2717" s="328"/>
      <c r="D2717" s="329"/>
      <c r="E2717" s="329"/>
      <c r="F2717" s="330"/>
      <c r="G2717" s="330"/>
      <c r="H2717" s="208"/>
    </row>
    <row r="2718" spans="1:8" ht="15" customHeight="1">
      <c r="A2718" s="208"/>
      <c r="B2718" s="208"/>
      <c r="C2718" s="328"/>
      <c r="D2718" s="329"/>
      <c r="E2718" s="329"/>
      <c r="F2718" s="330"/>
      <c r="G2718" s="330"/>
      <c r="H2718" s="208"/>
    </row>
    <row r="2719" spans="1:8" ht="15" customHeight="1">
      <c r="A2719" s="208"/>
      <c r="B2719" s="208"/>
      <c r="C2719" s="328"/>
      <c r="D2719" s="329"/>
      <c r="E2719" s="329"/>
      <c r="F2719" s="330"/>
      <c r="G2719" s="330"/>
      <c r="H2719" s="208"/>
    </row>
    <row r="2720" spans="1:8" ht="15" customHeight="1">
      <c r="A2720" s="208"/>
      <c r="B2720" s="208"/>
      <c r="C2720" s="328"/>
      <c r="D2720" s="329"/>
      <c r="E2720" s="329"/>
      <c r="F2720" s="330"/>
      <c r="G2720" s="330"/>
      <c r="H2720" s="208"/>
    </row>
    <row r="2721" spans="1:8" ht="15" customHeight="1">
      <c r="A2721" s="208"/>
      <c r="B2721" s="208"/>
      <c r="C2721" s="328"/>
      <c r="D2721" s="329"/>
      <c r="E2721" s="329"/>
      <c r="F2721" s="330"/>
      <c r="G2721" s="330"/>
      <c r="H2721" s="208"/>
    </row>
    <row r="2722" spans="1:8" ht="15" customHeight="1">
      <c r="A2722" s="208"/>
      <c r="B2722" s="208"/>
      <c r="C2722" s="328"/>
      <c r="D2722" s="329"/>
      <c r="E2722" s="329"/>
      <c r="F2722" s="330"/>
      <c r="G2722" s="330"/>
      <c r="H2722" s="208"/>
    </row>
    <row r="2723" spans="1:8" ht="15" customHeight="1">
      <c r="A2723" s="208"/>
      <c r="B2723" s="208"/>
      <c r="C2723" s="328"/>
      <c r="D2723" s="329"/>
      <c r="E2723" s="329"/>
      <c r="F2723" s="330"/>
      <c r="G2723" s="330"/>
      <c r="H2723" s="208"/>
    </row>
    <row r="2724" spans="1:8" ht="15" customHeight="1">
      <c r="A2724" s="208"/>
      <c r="B2724" s="208"/>
      <c r="C2724" s="328"/>
      <c r="D2724" s="329"/>
      <c r="E2724" s="329"/>
      <c r="F2724" s="330"/>
      <c r="G2724" s="330"/>
      <c r="H2724" s="208"/>
    </row>
    <row r="2725" spans="1:8" ht="15" customHeight="1">
      <c r="A2725" s="208"/>
      <c r="B2725" s="208"/>
      <c r="C2725" s="328"/>
      <c r="D2725" s="329"/>
      <c r="E2725" s="329"/>
      <c r="F2725" s="330"/>
      <c r="G2725" s="330"/>
      <c r="H2725" s="208"/>
    </row>
    <row r="2726" spans="1:8" ht="15" customHeight="1">
      <c r="A2726" s="208"/>
      <c r="B2726" s="208"/>
      <c r="C2726" s="328"/>
      <c r="D2726" s="329"/>
      <c r="E2726" s="329"/>
      <c r="F2726" s="330"/>
      <c r="G2726" s="330"/>
      <c r="H2726" s="208"/>
    </row>
    <row r="2727" spans="1:8" ht="15" customHeight="1">
      <c r="A2727" s="208"/>
      <c r="B2727" s="208"/>
      <c r="C2727" s="328"/>
      <c r="D2727" s="329"/>
      <c r="E2727" s="329"/>
      <c r="F2727" s="330"/>
      <c r="G2727" s="330"/>
      <c r="H2727" s="208"/>
    </row>
    <row r="2728" spans="1:8" ht="15" customHeight="1">
      <c r="A2728" s="208"/>
      <c r="B2728" s="208"/>
      <c r="C2728" s="328"/>
      <c r="D2728" s="329"/>
      <c r="E2728" s="329"/>
      <c r="F2728" s="330"/>
      <c r="G2728" s="330"/>
      <c r="H2728" s="208"/>
    </row>
    <row r="2729" spans="1:8" ht="15" customHeight="1">
      <c r="A2729" s="208"/>
      <c r="B2729" s="208"/>
      <c r="C2729" s="328"/>
      <c r="D2729" s="329"/>
      <c r="E2729" s="329"/>
      <c r="F2729" s="330"/>
      <c r="G2729" s="330"/>
      <c r="H2729" s="208"/>
    </row>
    <row r="2730" spans="1:8" ht="15" customHeight="1">
      <c r="A2730" s="208"/>
      <c r="B2730" s="208"/>
      <c r="C2730" s="328"/>
      <c r="D2730" s="329"/>
      <c r="E2730" s="329"/>
      <c r="F2730" s="330"/>
      <c r="G2730" s="330"/>
      <c r="H2730" s="208"/>
    </row>
    <row r="2731" spans="1:8" ht="15" customHeight="1">
      <c r="A2731" s="208"/>
      <c r="B2731" s="208"/>
      <c r="C2731" s="328"/>
      <c r="D2731" s="329"/>
      <c r="E2731" s="329"/>
      <c r="F2731" s="330"/>
      <c r="G2731" s="330"/>
      <c r="H2731" s="208"/>
    </row>
    <row r="2732" spans="1:8" ht="15" customHeight="1">
      <c r="A2732" s="208"/>
      <c r="B2732" s="208"/>
      <c r="C2732" s="328"/>
      <c r="D2732" s="329"/>
      <c r="E2732" s="329"/>
      <c r="F2732" s="330"/>
      <c r="G2732" s="330"/>
      <c r="H2732" s="208"/>
    </row>
    <row r="2733" spans="1:8" ht="15" customHeight="1">
      <c r="A2733" s="208"/>
      <c r="B2733" s="208"/>
      <c r="C2733" s="328"/>
      <c r="D2733" s="329"/>
      <c r="E2733" s="329"/>
      <c r="F2733" s="330"/>
      <c r="G2733" s="330"/>
      <c r="H2733" s="208"/>
    </row>
    <row r="2734" spans="1:8" ht="15" customHeight="1">
      <c r="A2734" s="208"/>
      <c r="B2734" s="208"/>
      <c r="C2734" s="328"/>
      <c r="D2734" s="329"/>
      <c r="E2734" s="329"/>
      <c r="F2734" s="330"/>
      <c r="G2734" s="330"/>
      <c r="H2734" s="208"/>
    </row>
    <row r="2735" spans="1:8" ht="15" customHeight="1">
      <c r="A2735" s="208"/>
      <c r="B2735" s="208"/>
      <c r="C2735" s="328"/>
      <c r="D2735" s="329"/>
      <c r="E2735" s="329"/>
      <c r="F2735" s="330"/>
      <c r="G2735" s="330"/>
      <c r="H2735" s="208"/>
    </row>
    <row r="2736" spans="1:8" ht="15" customHeight="1">
      <c r="A2736" s="208"/>
      <c r="B2736" s="208"/>
      <c r="C2736" s="328"/>
      <c r="D2736" s="329"/>
      <c r="E2736" s="329"/>
      <c r="F2736" s="330"/>
      <c r="G2736" s="330"/>
      <c r="H2736" s="208"/>
    </row>
    <row r="2737" spans="1:8" ht="15" customHeight="1">
      <c r="A2737" s="208"/>
      <c r="B2737" s="208"/>
      <c r="C2737" s="328"/>
      <c r="D2737" s="329"/>
      <c r="E2737" s="329"/>
      <c r="F2737" s="330"/>
      <c r="G2737" s="330"/>
      <c r="H2737" s="208"/>
    </row>
    <row r="2738" spans="1:8" ht="15" customHeight="1">
      <c r="A2738" s="208"/>
      <c r="B2738" s="208"/>
      <c r="C2738" s="328"/>
      <c r="D2738" s="329"/>
      <c r="E2738" s="329"/>
      <c r="F2738" s="330"/>
      <c r="G2738" s="330"/>
      <c r="H2738" s="208"/>
    </row>
    <row r="2739" spans="1:8" ht="15" customHeight="1">
      <c r="A2739" s="208"/>
      <c r="B2739" s="208"/>
      <c r="C2739" s="328"/>
      <c r="D2739" s="329"/>
      <c r="E2739" s="329"/>
      <c r="F2739" s="330"/>
      <c r="G2739" s="330"/>
      <c r="H2739" s="208"/>
    </row>
    <row r="2740" spans="1:8" ht="15" customHeight="1">
      <c r="A2740" s="208"/>
      <c r="B2740" s="208"/>
      <c r="C2740" s="328"/>
      <c r="D2740" s="329"/>
      <c r="E2740" s="329"/>
      <c r="F2740" s="330"/>
      <c r="G2740" s="330"/>
      <c r="H2740" s="208"/>
    </row>
    <row r="2741" spans="1:8" ht="15" customHeight="1">
      <c r="A2741" s="208"/>
      <c r="B2741" s="208"/>
      <c r="C2741" s="328"/>
      <c r="D2741" s="329"/>
      <c r="E2741" s="329"/>
      <c r="F2741" s="330"/>
      <c r="G2741" s="330"/>
      <c r="H2741" s="208"/>
    </row>
    <row r="2742" spans="1:8" ht="15" customHeight="1">
      <c r="A2742" s="208"/>
      <c r="B2742" s="208"/>
      <c r="C2742" s="328"/>
      <c r="D2742" s="329"/>
      <c r="E2742" s="329"/>
      <c r="F2742" s="330"/>
      <c r="G2742" s="330"/>
      <c r="H2742" s="208"/>
    </row>
    <row r="2743" spans="1:8" ht="15" customHeight="1">
      <c r="A2743" s="208"/>
      <c r="B2743" s="208"/>
      <c r="C2743" s="328"/>
      <c r="D2743" s="329"/>
      <c r="E2743" s="329"/>
      <c r="F2743" s="330"/>
      <c r="G2743" s="330"/>
      <c r="H2743" s="208"/>
    </row>
    <row r="2744" spans="1:8" ht="15" customHeight="1">
      <c r="A2744" s="208"/>
      <c r="B2744" s="208"/>
      <c r="C2744" s="328"/>
      <c r="D2744" s="329"/>
      <c r="E2744" s="329"/>
      <c r="F2744" s="330"/>
      <c r="G2744" s="330"/>
      <c r="H2744" s="208"/>
    </row>
    <row r="2745" spans="1:8" ht="15" customHeight="1">
      <c r="A2745" s="208"/>
      <c r="B2745" s="208"/>
      <c r="C2745" s="328"/>
      <c r="D2745" s="329"/>
      <c r="E2745" s="329"/>
      <c r="F2745" s="330"/>
      <c r="G2745" s="330"/>
      <c r="H2745" s="208"/>
    </row>
    <row r="2746" spans="1:8" ht="15" customHeight="1">
      <c r="A2746" s="208"/>
      <c r="B2746" s="208"/>
      <c r="C2746" s="328"/>
      <c r="D2746" s="329"/>
      <c r="E2746" s="329"/>
      <c r="F2746" s="330"/>
      <c r="G2746" s="330"/>
      <c r="H2746" s="208"/>
    </row>
    <row r="2747" spans="1:8" ht="15" customHeight="1">
      <c r="A2747" s="208"/>
      <c r="B2747" s="208"/>
      <c r="C2747" s="328"/>
      <c r="D2747" s="329"/>
      <c r="E2747" s="329"/>
      <c r="F2747" s="330"/>
      <c r="G2747" s="330"/>
      <c r="H2747" s="208"/>
    </row>
    <row r="2748" spans="1:8" ht="15" customHeight="1">
      <c r="A2748" s="208"/>
      <c r="B2748" s="208"/>
      <c r="C2748" s="328"/>
      <c r="D2748" s="329"/>
      <c r="E2748" s="329"/>
      <c r="F2748" s="330"/>
      <c r="G2748" s="330"/>
      <c r="H2748" s="208"/>
    </row>
    <row r="2749" spans="1:8" ht="15" customHeight="1">
      <c r="A2749" s="208"/>
      <c r="B2749" s="208"/>
      <c r="C2749" s="328"/>
      <c r="D2749" s="329"/>
      <c r="E2749" s="329"/>
      <c r="F2749" s="330"/>
      <c r="G2749" s="330"/>
      <c r="H2749" s="208"/>
    </row>
    <row r="2750" spans="1:8" ht="15" customHeight="1">
      <c r="A2750" s="208"/>
      <c r="B2750" s="208"/>
      <c r="C2750" s="328"/>
      <c r="D2750" s="329"/>
      <c r="E2750" s="329"/>
      <c r="F2750" s="330"/>
      <c r="G2750" s="330"/>
      <c r="H2750" s="208"/>
    </row>
    <row r="2751" spans="1:8" ht="15" customHeight="1">
      <c r="A2751" s="208"/>
      <c r="B2751" s="208"/>
      <c r="C2751" s="328"/>
      <c r="D2751" s="329"/>
      <c r="E2751" s="329"/>
      <c r="F2751" s="330"/>
      <c r="G2751" s="330"/>
      <c r="H2751" s="208"/>
    </row>
    <row r="2752" spans="1:8" ht="15" customHeight="1">
      <c r="A2752" s="208"/>
      <c r="B2752" s="208"/>
      <c r="C2752" s="328"/>
      <c r="D2752" s="329"/>
      <c r="E2752" s="329"/>
      <c r="F2752" s="330"/>
      <c r="G2752" s="330"/>
      <c r="H2752" s="208"/>
    </row>
    <row r="2753" spans="1:8" ht="15" customHeight="1">
      <c r="A2753" s="208"/>
      <c r="B2753" s="208"/>
      <c r="C2753" s="328"/>
      <c r="D2753" s="329"/>
      <c r="E2753" s="329"/>
      <c r="F2753" s="330"/>
      <c r="G2753" s="330"/>
      <c r="H2753" s="208"/>
    </row>
    <row r="2754" spans="1:8" ht="15" customHeight="1">
      <c r="A2754" s="208"/>
      <c r="B2754" s="208"/>
      <c r="C2754" s="328"/>
      <c r="D2754" s="329"/>
      <c r="E2754" s="329"/>
      <c r="F2754" s="330"/>
      <c r="G2754" s="330"/>
      <c r="H2754" s="208"/>
    </row>
    <row r="2755" spans="1:8" ht="15" customHeight="1">
      <c r="A2755" s="208"/>
      <c r="B2755" s="208"/>
      <c r="C2755" s="328"/>
      <c r="D2755" s="329"/>
      <c r="E2755" s="329"/>
      <c r="F2755" s="330"/>
      <c r="G2755" s="330"/>
      <c r="H2755" s="208"/>
    </row>
    <row r="2756" spans="1:8" ht="15" customHeight="1">
      <c r="A2756" s="208"/>
      <c r="B2756" s="208"/>
      <c r="C2756" s="328"/>
      <c r="D2756" s="329"/>
      <c r="E2756" s="329"/>
      <c r="F2756" s="330"/>
      <c r="G2756" s="330"/>
      <c r="H2756" s="208"/>
    </row>
    <row r="2757" spans="1:8" ht="15" customHeight="1">
      <c r="A2757" s="208"/>
      <c r="B2757" s="208"/>
      <c r="C2757" s="328"/>
      <c r="D2757" s="329"/>
      <c r="E2757" s="329"/>
      <c r="F2757" s="330"/>
      <c r="G2757" s="330"/>
      <c r="H2757" s="208"/>
    </row>
    <row r="2758" spans="1:8" ht="15" customHeight="1">
      <c r="A2758" s="208"/>
      <c r="B2758" s="208"/>
      <c r="C2758" s="328"/>
      <c r="D2758" s="329"/>
      <c r="E2758" s="329"/>
      <c r="F2758" s="330"/>
      <c r="G2758" s="330"/>
      <c r="H2758" s="208"/>
    </row>
    <row r="2759" spans="1:8" ht="15" customHeight="1">
      <c r="A2759" s="208"/>
      <c r="B2759" s="208"/>
      <c r="C2759" s="328"/>
      <c r="D2759" s="329"/>
      <c r="E2759" s="329"/>
      <c r="F2759" s="330"/>
      <c r="G2759" s="330"/>
      <c r="H2759" s="208"/>
    </row>
    <row r="2760" spans="1:8" ht="15" customHeight="1">
      <c r="A2760" s="208"/>
      <c r="B2760" s="208"/>
      <c r="C2760" s="328"/>
      <c r="D2760" s="329"/>
      <c r="E2760" s="329"/>
      <c r="F2760" s="330"/>
      <c r="G2760" s="330"/>
      <c r="H2760" s="208"/>
    </row>
    <row r="2761" spans="1:8" ht="15" customHeight="1">
      <c r="A2761" s="208"/>
      <c r="B2761" s="208"/>
      <c r="C2761" s="328"/>
      <c r="D2761" s="329"/>
      <c r="E2761" s="329"/>
      <c r="F2761" s="330"/>
      <c r="G2761" s="330"/>
      <c r="H2761" s="208"/>
    </row>
    <row r="2762" spans="1:8" ht="15" customHeight="1">
      <c r="A2762" s="208"/>
      <c r="B2762" s="208"/>
      <c r="C2762" s="328"/>
      <c r="D2762" s="329"/>
      <c r="E2762" s="329"/>
      <c r="F2762" s="330"/>
      <c r="G2762" s="330"/>
      <c r="H2762" s="208"/>
    </row>
    <row r="2763" spans="1:8" ht="15" customHeight="1">
      <c r="A2763" s="208"/>
      <c r="B2763" s="208"/>
      <c r="C2763" s="328"/>
      <c r="D2763" s="329"/>
      <c r="E2763" s="329"/>
      <c r="F2763" s="330"/>
      <c r="G2763" s="330"/>
      <c r="H2763" s="208"/>
    </row>
    <row r="2764" spans="1:8" ht="15" customHeight="1">
      <c r="A2764" s="208"/>
      <c r="B2764" s="208"/>
      <c r="C2764" s="328"/>
      <c r="D2764" s="329"/>
      <c r="E2764" s="329"/>
      <c r="F2764" s="330"/>
      <c r="G2764" s="330"/>
      <c r="H2764" s="208"/>
    </row>
    <row r="2765" spans="1:8" ht="15" customHeight="1">
      <c r="A2765" s="208"/>
      <c r="B2765" s="208"/>
      <c r="C2765" s="328"/>
      <c r="D2765" s="329"/>
      <c r="E2765" s="329"/>
      <c r="F2765" s="330"/>
      <c r="G2765" s="330"/>
      <c r="H2765" s="208"/>
    </row>
    <row r="2766" spans="1:8" ht="15" customHeight="1">
      <c r="A2766" s="208"/>
      <c r="B2766" s="208"/>
      <c r="C2766" s="328"/>
      <c r="D2766" s="329"/>
      <c r="E2766" s="329"/>
      <c r="F2766" s="330"/>
      <c r="G2766" s="330"/>
      <c r="H2766" s="208"/>
    </row>
    <row r="2767" spans="1:8" ht="15" customHeight="1">
      <c r="A2767" s="208"/>
      <c r="B2767" s="208"/>
      <c r="C2767" s="328"/>
      <c r="D2767" s="329"/>
      <c r="E2767" s="329"/>
      <c r="F2767" s="330"/>
      <c r="G2767" s="330"/>
      <c r="H2767" s="208"/>
    </row>
    <row r="2768" spans="1:8" ht="15" customHeight="1">
      <c r="A2768" s="208"/>
      <c r="B2768" s="208"/>
      <c r="C2768" s="328"/>
      <c r="D2768" s="329"/>
      <c r="E2768" s="329"/>
      <c r="F2768" s="330"/>
      <c r="G2768" s="330"/>
      <c r="H2768" s="208"/>
    </row>
    <row r="2769" spans="1:8" ht="15" customHeight="1">
      <c r="A2769" s="208"/>
      <c r="B2769" s="208"/>
      <c r="C2769" s="328"/>
      <c r="D2769" s="329"/>
      <c r="E2769" s="329"/>
      <c r="F2769" s="330"/>
      <c r="G2769" s="330"/>
      <c r="H2769" s="208"/>
    </row>
    <row r="2770" spans="1:8" ht="15" customHeight="1">
      <c r="A2770" s="208"/>
      <c r="B2770" s="208"/>
      <c r="C2770" s="328"/>
      <c r="D2770" s="329"/>
      <c r="E2770" s="329"/>
      <c r="F2770" s="330"/>
      <c r="G2770" s="330"/>
      <c r="H2770" s="208"/>
    </row>
    <row r="2771" spans="1:8" ht="15" customHeight="1">
      <c r="A2771" s="208"/>
      <c r="B2771" s="208"/>
      <c r="C2771" s="328"/>
      <c r="D2771" s="329"/>
      <c r="E2771" s="329"/>
      <c r="F2771" s="330"/>
      <c r="G2771" s="330"/>
      <c r="H2771" s="208"/>
    </row>
    <row r="2772" spans="1:8" ht="15" customHeight="1">
      <c r="A2772" s="208"/>
      <c r="B2772" s="208"/>
      <c r="C2772" s="328"/>
      <c r="D2772" s="329"/>
      <c r="E2772" s="329"/>
      <c r="F2772" s="330"/>
      <c r="G2772" s="330"/>
      <c r="H2772" s="208"/>
    </row>
    <row r="2773" spans="1:8" ht="15" customHeight="1">
      <c r="A2773" s="208"/>
      <c r="B2773" s="208"/>
      <c r="C2773" s="328"/>
      <c r="D2773" s="329"/>
      <c r="E2773" s="329"/>
      <c r="F2773" s="330"/>
      <c r="G2773" s="330"/>
      <c r="H2773" s="208"/>
    </row>
    <row r="2774" spans="1:8" ht="15" customHeight="1">
      <c r="A2774" s="208"/>
      <c r="B2774" s="208"/>
      <c r="C2774" s="328"/>
      <c r="D2774" s="329"/>
      <c r="E2774" s="329"/>
      <c r="F2774" s="330"/>
      <c r="G2774" s="330"/>
      <c r="H2774" s="208"/>
    </row>
    <row r="2775" spans="1:8" ht="15" customHeight="1">
      <c r="A2775" s="208"/>
      <c r="B2775" s="208"/>
      <c r="C2775" s="328"/>
      <c r="D2775" s="329"/>
      <c r="E2775" s="329"/>
      <c r="F2775" s="330"/>
      <c r="G2775" s="330"/>
      <c r="H2775" s="208"/>
    </row>
    <row r="2776" spans="1:8" ht="15" customHeight="1">
      <c r="A2776" s="208"/>
      <c r="B2776" s="208"/>
      <c r="C2776" s="328"/>
      <c r="D2776" s="329"/>
      <c r="E2776" s="329"/>
      <c r="F2776" s="330"/>
      <c r="G2776" s="330"/>
      <c r="H2776" s="208"/>
    </row>
    <row r="2777" spans="1:8" ht="15" customHeight="1">
      <c r="A2777" s="208"/>
      <c r="B2777" s="208"/>
      <c r="C2777" s="328"/>
      <c r="D2777" s="329"/>
      <c r="E2777" s="329"/>
      <c r="F2777" s="330"/>
      <c r="G2777" s="330"/>
      <c r="H2777" s="208"/>
    </row>
    <row r="2778" spans="1:8" ht="15" customHeight="1">
      <c r="A2778" s="208"/>
      <c r="B2778" s="208"/>
      <c r="C2778" s="328"/>
      <c r="D2778" s="329"/>
      <c r="E2778" s="329"/>
      <c r="F2778" s="330"/>
      <c r="G2778" s="330"/>
      <c r="H2778" s="208"/>
    </row>
    <row r="2779" spans="1:8" ht="15" customHeight="1">
      <c r="A2779" s="208"/>
      <c r="B2779" s="208"/>
      <c r="C2779" s="328"/>
      <c r="D2779" s="329"/>
      <c r="E2779" s="329"/>
      <c r="F2779" s="330"/>
      <c r="G2779" s="330"/>
      <c r="H2779" s="208"/>
    </row>
    <row r="2780" spans="1:8" ht="15" customHeight="1">
      <c r="A2780" s="208"/>
      <c r="B2780" s="208"/>
      <c r="C2780" s="328"/>
      <c r="D2780" s="329"/>
      <c r="E2780" s="329"/>
      <c r="F2780" s="330"/>
      <c r="G2780" s="330"/>
      <c r="H2780" s="208"/>
    </row>
    <row r="2781" spans="1:8" ht="15" customHeight="1">
      <c r="A2781" s="208"/>
      <c r="B2781" s="208"/>
      <c r="C2781" s="328"/>
      <c r="D2781" s="329"/>
      <c r="E2781" s="329"/>
      <c r="F2781" s="330"/>
      <c r="G2781" s="330"/>
      <c r="H2781" s="208"/>
    </row>
    <row r="2782" spans="1:8" ht="15" customHeight="1">
      <c r="A2782" s="208"/>
      <c r="B2782" s="208"/>
      <c r="C2782" s="328"/>
      <c r="D2782" s="329"/>
      <c r="E2782" s="329"/>
      <c r="F2782" s="330"/>
      <c r="G2782" s="330"/>
      <c r="H2782" s="208"/>
    </row>
    <row r="2783" spans="1:8" ht="15" customHeight="1">
      <c r="A2783" s="208"/>
      <c r="B2783" s="208"/>
      <c r="C2783" s="328"/>
      <c r="D2783" s="329"/>
      <c r="E2783" s="329"/>
      <c r="F2783" s="330"/>
      <c r="G2783" s="330"/>
      <c r="H2783" s="208"/>
    </row>
    <row r="2784" spans="1:8" ht="15" customHeight="1">
      <c r="A2784" s="208"/>
      <c r="B2784" s="208"/>
      <c r="C2784" s="328"/>
      <c r="D2784" s="329"/>
      <c r="E2784" s="329"/>
      <c r="F2784" s="330"/>
      <c r="G2784" s="330"/>
      <c r="H2784" s="208"/>
    </row>
    <row r="2785" spans="1:8" ht="15" customHeight="1">
      <c r="A2785" s="208"/>
      <c r="B2785" s="208"/>
      <c r="C2785" s="328"/>
      <c r="D2785" s="329"/>
      <c r="E2785" s="329"/>
      <c r="F2785" s="330"/>
      <c r="G2785" s="330"/>
      <c r="H2785" s="208"/>
    </row>
    <row r="2786" spans="1:8" ht="15" customHeight="1">
      <c r="A2786" s="208"/>
      <c r="B2786" s="208"/>
      <c r="C2786" s="328"/>
      <c r="D2786" s="329"/>
      <c r="E2786" s="329"/>
      <c r="F2786" s="330"/>
      <c r="G2786" s="330"/>
      <c r="H2786" s="208"/>
    </row>
    <row r="2787" spans="1:8" ht="15" customHeight="1">
      <c r="A2787" s="208"/>
      <c r="B2787" s="208"/>
      <c r="C2787" s="328"/>
      <c r="D2787" s="329"/>
      <c r="E2787" s="329"/>
      <c r="F2787" s="330"/>
      <c r="G2787" s="330"/>
      <c r="H2787" s="208"/>
    </row>
    <row r="2788" spans="1:8" ht="15" customHeight="1">
      <c r="A2788" s="208"/>
      <c r="B2788" s="208"/>
      <c r="C2788" s="328"/>
      <c r="D2788" s="329"/>
      <c r="E2788" s="329"/>
      <c r="F2788" s="330"/>
      <c r="G2788" s="330"/>
      <c r="H2788" s="208"/>
    </row>
    <row r="2789" spans="1:8" ht="15" customHeight="1">
      <c r="A2789" s="208"/>
      <c r="B2789" s="208"/>
      <c r="C2789" s="328"/>
      <c r="D2789" s="329"/>
      <c r="E2789" s="329"/>
      <c r="F2789" s="330"/>
      <c r="G2789" s="330"/>
      <c r="H2789" s="208"/>
    </row>
    <row r="2790" spans="1:8" ht="15" customHeight="1">
      <c r="A2790" s="208"/>
      <c r="B2790" s="208"/>
      <c r="C2790" s="328"/>
      <c r="D2790" s="329"/>
      <c r="E2790" s="329"/>
      <c r="F2790" s="330"/>
      <c r="G2790" s="330"/>
      <c r="H2790" s="208"/>
    </row>
    <row r="2791" spans="1:8" ht="15" customHeight="1">
      <c r="A2791" s="208"/>
      <c r="B2791" s="208"/>
      <c r="C2791" s="328"/>
      <c r="D2791" s="329"/>
      <c r="E2791" s="329"/>
      <c r="F2791" s="330"/>
      <c r="G2791" s="330"/>
      <c r="H2791" s="208"/>
    </row>
    <row r="2792" spans="1:8" ht="15" customHeight="1">
      <c r="A2792" s="208"/>
      <c r="B2792" s="208"/>
      <c r="C2792" s="328"/>
      <c r="D2792" s="329"/>
      <c r="E2792" s="329"/>
      <c r="F2792" s="330"/>
      <c r="G2792" s="330"/>
      <c r="H2792" s="208"/>
    </row>
    <row r="2793" spans="1:8" ht="15" customHeight="1">
      <c r="A2793" s="208"/>
      <c r="B2793" s="208"/>
      <c r="C2793" s="328"/>
      <c r="D2793" s="329"/>
      <c r="E2793" s="329"/>
      <c r="F2793" s="330"/>
      <c r="G2793" s="330"/>
      <c r="H2793" s="208"/>
    </row>
    <row r="2794" spans="1:8" ht="15" customHeight="1">
      <c r="A2794" s="208"/>
      <c r="B2794" s="208"/>
      <c r="C2794" s="328"/>
      <c r="D2794" s="329"/>
      <c r="E2794" s="329"/>
      <c r="F2794" s="330"/>
      <c r="G2794" s="330"/>
      <c r="H2794" s="208"/>
    </row>
    <row r="2795" spans="1:8" ht="15" customHeight="1">
      <c r="A2795" s="208"/>
      <c r="B2795" s="208"/>
      <c r="C2795" s="328"/>
      <c r="D2795" s="329"/>
      <c r="E2795" s="329"/>
      <c r="F2795" s="330"/>
      <c r="G2795" s="330"/>
      <c r="H2795" s="208"/>
    </row>
    <row r="2796" spans="1:8" ht="15" customHeight="1">
      <c r="A2796" s="208"/>
      <c r="B2796" s="208"/>
      <c r="C2796" s="328"/>
      <c r="D2796" s="329"/>
      <c r="E2796" s="329"/>
      <c r="F2796" s="330"/>
      <c r="G2796" s="330"/>
      <c r="H2796" s="208"/>
    </row>
    <row r="2797" spans="1:8" ht="15" customHeight="1">
      <c r="A2797" s="208"/>
      <c r="B2797" s="208"/>
      <c r="C2797" s="328"/>
      <c r="D2797" s="329"/>
      <c r="E2797" s="329"/>
      <c r="F2797" s="330"/>
      <c r="G2797" s="330"/>
      <c r="H2797" s="208"/>
    </row>
    <row r="2798" spans="1:8" ht="15" customHeight="1">
      <c r="A2798" s="208"/>
      <c r="B2798" s="208"/>
      <c r="C2798" s="328"/>
      <c r="D2798" s="329"/>
      <c r="E2798" s="329"/>
      <c r="F2798" s="330"/>
      <c r="G2798" s="330"/>
      <c r="H2798" s="208"/>
    </row>
    <row r="2799" spans="1:8" ht="15" customHeight="1">
      <c r="A2799" s="208"/>
      <c r="B2799" s="208"/>
      <c r="C2799" s="328"/>
      <c r="D2799" s="329"/>
      <c r="E2799" s="329"/>
      <c r="F2799" s="330"/>
      <c r="G2799" s="330"/>
      <c r="H2799" s="208"/>
    </row>
    <row r="2800" spans="1:8" ht="15" customHeight="1">
      <c r="A2800" s="208"/>
      <c r="B2800" s="208"/>
      <c r="C2800" s="328"/>
      <c r="D2800" s="329"/>
      <c r="E2800" s="329"/>
      <c r="F2800" s="330"/>
      <c r="G2800" s="330"/>
      <c r="H2800" s="208"/>
    </row>
    <row r="2801" spans="1:8" ht="15" customHeight="1">
      <c r="A2801" s="208"/>
      <c r="B2801" s="208"/>
      <c r="C2801" s="328"/>
      <c r="D2801" s="329"/>
      <c r="E2801" s="329"/>
      <c r="F2801" s="330"/>
      <c r="G2801" s="330"/>
      <c r="H2801" s="208"/>
    </row>
    <row r="2802" spans="1:8" ht="15" customHeight="1">
      <c r="A2802" s="208"/>
      <c r="B2802" s="208"/>
      <c r="C2802" s="328"/>
      <c r="D2802" s="329"/>
      <c r="E2802" s="329"/>
      <c r="F2802" s="330"/>
      <c r="G2802" s="330"/>
      <c r="H2802" s="208"/>
    </row>
    <row r="2803" spans="1:8" ht="15" customHeight="1">
      <c r="A2803" s="208"/>
      <c r="B2803" s="208"/>
      <c r="C2803" s="328"/>
      <c r="D2803" s="329"/>
      <c r="E2803" s="329"/>
      <c r="F2803" s="330"/>
      <c r="G2803" s="330"/>
      <c r="H2803" s="208"/>
    </row>
    <row r="2804" spans="1:8" ht="15" customHeight="1">
      <c r="A2804" s="208"/>
      <c r="B2804" s="208"/>
      <c r="C2804" s="328"/>
      <c r="D2804" s="329"/>
      <c r="E2804" s="329"/>
      <c r="F2804" s="330"/>
      <c r="G2804" s="330"/>
      <c r="H2804" s="208"/>
    </row>
    <row r="2805" spans="1:8" ht="15" customHeight="1">
      <c r="A2805" s="208"/>
      <c r="B2805" s="208"/>
      <c r="C2805" s="328"/>
      <c r="D2805" s="329"/>
      <c r="E2805" s="329"/>
      <c r="F2805" s="330"/>
      <c r="G2805" s="330"/>
      <c r="H2805" s="208"/>
    </row>
    <row r="2806" spans="1:8" ht="15" customHeight="1">
      <c r="A2806" s="208"/>
      <c r="B2806" s="208"/>
      <c r="C2806" s="328"/>
      <c r="D2806" s="329"/>
      <c r="E2806" s="329"/>
      <c r="F2806" s="330"/>
      <c r="G2806" s="330"/>
      <c r="H2806" s="208"/>
    </row>
    <row r="2807" spans="1:8" ht="15" customHeight="1">
      <c r="A2807" s="208"/>
      <c r="B2807" s="208"/>
      <c r="C2807" s="328"/>
      <c r="D2807" s="329"/>
      <c r="E2807" s="329"/>
      <c r="F2807" s="330"/>
      <c r="G2807" s="330"/>
      <c r="H2807" s="208"/>
    </row>
    <row r="2808" spans="1:8" ht="15" customHeight="1">
      <c r="A2808" s="208"/>
      <c r="B2808" s="208"/>
      <c r="C2808" s="328"/>
      <c r="D2808" s="329"/>
      <c r="E2808" s="329"/>
      <c r="F2808" s="330"/>
      <c r="G2808" s="330"/>
      <c r="H2808" s="208"/>
    </row>
    <row r="2809" spans="1:8" ht="15" customHeight="1">
      <c r="A2809" s="208"/>
      <c r="B2809" s="208"/>
      <c r="C2809" s="328"/>
      <c r="D2809" s="329"/>
      <c r="E2809" s="329"/>
      <c r="F2809" s="330"/>
      <c r="G2809" s="330"/>
      <c r="H2809" s="208"/>
    </row>
    <row r="2810" spans="1:8" ht="15" customHeight="1">
      <c r="A2810" s="208"/>
      <c r="B2810" s="208"/>
      <c r="C2810" s="328"/>
      <c r="D2810" s="329"/>
      <c r="E2810" s="329"/>
      <c r="F2810" s="330"/>
      <c r="G2810" s="330"/>
      <c r="H2810" s="208"/>
    </row>
    <row r="2811" spans="1:8" ht="15" customHeight="1">
      <c r="A2811" s="208"/>
      <c r="B2811" s="208"/>
      <c r="C2811" s="328"/>
      <c r="D2811" s="329"/>
      <c r="E2811" s="329"/>
      <c r="F2811" s="330"/>
      <c r="G2811" s="330"/>
      <c r="H2811" s="208"/>
    </row>
    <row r="2812" spans="1:8" ht="15" customHeight="1">
      <c r="A2812" s="208"/>
      <c r="B2812" s="208"/>
      <c r="C2812" s="328"/>
      <c r="D2812" s="329"/>
      <c r="E2812" s="329"/>
      <c r="F2812" s="330"/>
      <c r="G2812" s="330"/>
      <c r="H2812" s="208"/>
    </row>
    <row r="2813" spans="1:8" ht="15" customHeight="1">
      <c r="A2813" s="208"/>
      <c r="B2813" s="208"/>
      <c r="C2813" s="328"/>
      <c r="D2813" s="329"/>
      <c r="E2813" s="329"/>
      <c r="F2813" s="330"/>
      <c r="G2813" s="330"/>
      <c r="H2813" s="208"/>
    </row>
    <row r="2814" spans="1:8" ht="15" customHeight="1">
      <c r="A2814" s="208"/>
      <c r="B2814" s="208"/>
      <c r="C2814" s="328"/>
      <c r="D2814" s="329"/>
      <c r="E2814" s="329"/>
      <c r="F2814" s="330"/>
      <c r="G2814" s="330"/>
      <c r="H2814" s="208"/>
    </row>
    <row r="2815" spans="1:8" ht="15" customHeight="1">
      <c r="A2815" s="208"/>
      <c r="B2815" s="208"/>
      <c r="C2815" s="328"/>
      <c r="D2815" s="329"/>
      <c r="E2815" s="329"/>
      <c r="F2815" s="330"/>
      <c r="G2815" s="330"/>
      <c r="H2815" s="208"/>
    </row>
    <row r="2816" spans="1:8" ht="15" customHeight="1">
      <c r="A2816" s="208"/>
      <c r="B2816" s="208"/>
      <c r="C2816" s="328"/>
      <c r="D2816" s="329"/>
      <c r="E2816" s="329"/>
      <c r="F2816" s="330"/>
      <c r="G2816" s="330"/>
      <c r="H2816" s="208"/>
    </row>
    <row r="2817" spans="1:8" ht="15" customHeight="1">
      <c r="A2817" s="208"/>
      <c r="B2817" s="208"/>
      <c r="C2817" s="328"/>
      <c r="D2817" s="329"/>
      <c r="E2817" s="329"/>
      <c r="F2817" s="330"/>
      <c r="G2817" s="330"/>
      <c r="H2817" s="208"/>
    </row>
    <row r="2818" spans="1:8" ht="15" customHeight="1">
      <c r="A2818" s="208"/>
      <c r="B2818" s="208"/>
      <c r="C2818" s="328"/>
      <c r="D2818" s="329"/>
      <c r="E2818" s="329"/>
      <c r="F2818" s="330"/>
      <c r="G2818" s="330"/>
      <c r="H2818" s="208"/>
    </row>
    <row r="2819" spans="1:8" ht="15" customHeight="1">
      <c r="A2819" s="208"/>
      <c r="B2819" s="208"/>
      <c r="C2819" s="328"/>
      <c r="D2819" s="329"/>
      <c r="E2819" s="329"/>
      <c r="F2819" s="330"/>
      <c r="G2819" s="330"/>
      <c r="H2819" s="208"/>
    </row>
    <row r="2820" spans="1:8" ht="15" customHeight="1">
      <c r="A2820" s="208"/>
      <c r="B2820" s="208"/>
      <c r="C2820" s="328"/>
      <c r="D2820" s="329"/>
      <c r="E2820" s="329"/>
      <c r="F2820" s="330"/>
      <c r="G2820" s="330"/>
      <c r="H2820" s="208"/>
    </row>
    <row r="2821" spans="1:8" ht="15" customHeight="1">
      <c r="A2821" s="208"/>
      <c r="B2821" s="208"/>
      <c r="C2821" s="328"/>
      <c r="D2821" s="329"/>
      <c r="E2821" s="329"/>
      <c r="F2821" s="330"/>
      <c r="G2821" s="330"/>
      <c r="H2821" s="208"/>
    </row>
    <row r="2822" spans="1:8" ht="15" customHeight="1">
      <c r="A2822" s="208"/>
      <c r="B2822" s="208"/>
      <c r="C2822" s="328"/>
      <c r="D2822" s="329"/>
      <c r="E2822" s="329"/>
      <c r="F2822" s="330"/>
      <c r="G2822" s="330"/>
      <c r="H2822" s="208"/>
    </row>
    <row r="2823" spans="1:8" ht="15" customHeight="1">
      <c r="A2823" s="208"/>
      <c r="B2823" s="208"/>
      <c r="C2823" s="328"/>
      <c r="D2823" s="329"/>
      <c r="E2823" s="329"/>
      <c r="F2823" s="330"/>
      <c r="G2823" s="330"/>
      <c r="H2823" s="208"/>
    </row>
    <row r="2824" spans="1:8" ht="15" customHeight="1">
      <c r="A2824" s="208"/>
      <c r="B2824" s="208"/>
      <c r="C2824" s="328"/>
      <c r="D2824" s="329"/>
      <c r="E2824" s="329"/>
      <c r="F2824" s="330"/>
      <c r="G2824" s="330"/>
      <c r="H2824" s="208"/>
    </row>
    <row r="2825" spans="1:8" ht="15" customHeight="1">
      <c r="A2825" s="208"/>
      <c r="B2825" s="208"/>
      <c r="C2825" s="328"/>
      <c r="D2825" s="329"/>
      <c r="E2825" s="329"/>
      <c r="F2825" s="330"/>
      <c r="G2825" s="330"/>
      <c r="H2825" s="208"/>
    </row>
    <row r="2826" spans="1:8" ht="15" customHeight="1">
      <c r="A2826" s="208"/>
      <c r="B2826" s="208"/>
      <c r="C2826" s="328"/>
      <c r="D2826" s="329"/>
      <c r="E2826" s="329"/>
      <c r="F2826" s="330"/>
      <c r="G2826" s="330"/>
      <c r="H2826" s="208"/>
    </row>
    <row r="2827" spans="1:8" ht="15" customHeight="1">
      <c r="A2827" s="208"/>
      <c r="B2827" s="208"/>
      <c r="C2827" s="328"/>
      <c r="D2827" s="329"/>
      <c r="E2827" s="329"/>
      <c r="F2827" s="330"/>
      <c r="G2827" s="330"/>
      <c r="H2827" s="208"/>
    </row>
    <row r="2828" spans="1:8" ht="15" customHeight="1">
      <c r="A2828" s="208"/>
      <c r="B2828" s="208"/>
      <c r="C2828" s="328"/>
      <c r="D2828" s="329"/>
      <c r="E2828" s="329"/>
      <c r="F2828" s="330"/>
      <c r="G2828" s="330"/>
      <c r="H2828" s="208"/>
    </row>
    <row r="2829" spans="1:8" ht="15" customHeight="1">
      <c r="A2829" s="208"/>
      <c r="B2829" s="208"/>
      <c r="C2829" s="328"/>
      <c r="D2829" s="329"/>
      <c r="E2829" s="329"/>
      <c r="F2829" s="330"/>
      <c r="G2829" s="330"/>
      <c r="H2829" s="208"/>
    </row>
    <row r="2830" spans="1:8" ht="15" customHeight="1">
      <c r="A2830" s="208"/>
      <c r="B2830" s="208"/>
      <c r="C2830" s="328"/>
      <c r="D2830" s="329"/>
      <c r="E2830" s="329"/>
      <c r="F2830" s="330"/>
      <c r="G2830" s="330"/>
      <c r="H2830" s="208"/>
    </row>
    <row r="2831" spans="1:8" ht="15" customHeight="1">
      <c r="A2831" s="208"/>
      <c r="B2831" s="208"/>
      <c r="C2831" s="328"/>
      <c r="D2831" s="329"/>
      <c r="E2831" s="329"/>
      <c r="F2831" s="330"/>
      <c r="G2831" s="330"/>
      <c r="H2831" s="208"/>
    </row>
    <row r="2832" spans="1:8" ht="15" customHeight="1">
      <c r="A2832" s="208"/>
      <c r="B2832" s="208"/>
      <c r="C2832" s="328"/>
      <c r="D2832" s="329"/>
      <c r="E2832" s="329"/>
      <c r="F2832" s="330"/>
      <c r="G2832" s="330"/>
      <c r="H2832" s="208"/>
    </row>
    <row r="2833" spans="1:8" ht="15" customHeight="1">
      <c r="A2833" s="208"/>
      <c r="B2833" s="208"/>
      <c r="C2833" s="328"/>
      <c r="D2833" s="329"/>
      <c r="E2833" s="329"/>
      <c r="F2833" s="330"/>
      <c r="G2833" s="330"/>
      <c r="H2833" s="208"/>
    </row>
    <row r="2834" spans="1:8" ht="15" customHeight="1">
      <c r="A2834" s="208"/>
      <c r="B2834" s="208"/>
      <c r="C2834" s="328"/>
      <c r="D2834" s="329"/>
      <c r="E2834" s="329"/>
      <c r="F2834" s="330"/>
      <c r="G2834" s="330"/>
      <c r="H2834" s="208"/>
    </row>
    <row r="2835" spans="1:8" ht="15" customHeight="1">
      <c r="A2835" s="208"/>
      <c r="B2835" s="208"/>
      <c r="C2835" s="328"/>
      <c r="D2835" s="329"/>
      <c r="E2835" s="329"/>
      <c r="F2835" s="330"/>
      <c r="G2835" s="330"/>
      <c r="H2835" s="208"/>
    </row>
    <row r="2836" spans="1:8" ht="15" customHeight="1">
      <c r="A2836" s="208"/>
      <c r="B2836" s="208"/>
      <c r="C2836" s="328"/>
      <c r="D2836" s="329"/>
      <c r="E2836" s="329"/>
      <c r="F2836" s="330"/>
      <c r="G2836" s="330"/>
      <c r="H2836" s="208"/>
    </row>
    <row r="2837" spans="1:8" ht="15" customHeight="1">
      <c r="A2837" s="208"/>
      <c r="B2837" s="208"/>
      <c r="C2837" s="328"/>
      <c r="D2837" s="329"/>
      <c r="E2837" s="329"/>
      <c r="F2837" s="330"/>
      <c r="G2837" s="330"/>
      <c r="H2837" s="208"/>
    </row>
    <row r="2838" spans="1:8" ht="15" customHeight="1">
      <c r="A2838" s="208"/>
      <c r="B2838" s="208"/>
      <c r="C2838" s="328"/>
      <c r="D2838" s="329"/>
      <c r="E2838" s="329"/>
      <c r="F2838" s="330"/>
      <c r="G2838" s="330"/>
      <c r="H2838" s="208"/>
    </row>
    <row r="2839" spans="1:8" ht="15" customHeight="1">
      <c r="A2839" s="208"/>
      <c r="B2839" s="208"/>
      <c r="C2839" s="328"/>
      <c r="D2839" s="329"/>
      <c r="E2839" s="329"/>
      <c r="F2839" s="330"/>
      <c r="G2839" s="330"/>
      <c r="H2839" s="208"/>
    </row>
    <row r="2840" spans="1:8" ht="15" customHeight="1">
      <c r="A2840" s="208"/>
      <c r="B2840" s="208"/>
      <c r="C2840" s="328"/>
      <c r="D2840" s="329"/>
      <c r="E2840" s="329"/>
      <c r="F2840" s="330"/>
      <c r="G2840" s="330"/>
      <c r="H2840" s="208"/>
    </row>
    <row r="2841" spans="1:8" ht="15" customHeight="1">
      <c r="A2841" s="208"/>
      <c r="B2841" s="208"/>
      <c r="C2841" s="328"/>
      <c r="D2841" s="329"/>
      <c r="E2841" s="329"/>
      <c r="F2841" s="330"/>
      <c r="G2841" s="330"/>
      <c r="H2841" s="208"/>
    </row>
    <row r="2842" spans="1:8" ht="15" customHeight="1">
      <c r="A2842" s="208"/>
      <c r="B2842" s="208"/>
      <c r="C2842" s="328"/>
      <c r="D2842" s="329"/>
      <c r="E2842" s="329"/>
      <c r="F2842" s="330"/>
      <c r="G2842" s="330"/>
      <c r="H2842" s="208"/>
    </row>
    <row r="2843" spans="1:8" ht="15" customHeight="1">
      <c r="A2843" s="208"/>
      <c r="B2843" s="208"/>
      <c r="C2843" s="328"/>
      <c r="D2843" s="329"/>
      <c r="E2843" s="329"/>
      <c r="F2843" s="330"/>
      <c r="G2843" s="330"/>
      <c r="H2843" s="208"/>
    </row>
    <row r="2844" spans="1:8" ht="15" customHeight="1">
      <c r="A2844" s="208"/>
      <c r="B2844" s="208"/>
      <c r="C2844" s="328"/>
      <c r="D2844" s="329"/>
      <c r="E2844" s="329"/>
      <c r="F2844" s="330"/>
      <c r="G2844" s="330"/>
      <c r="H2844" s="208"/>
    </row>
    <row r="2845" spans="1:8" ht="15" customHeight="1">
      <c r="A2845" s="208"/>
      <c r="B2845" s="208"/>
      <c r="C2845" s="328"/>
      <c r="D2845" s="329"/>
      <c r="E2845" s="329"/>
      <c r="F2845" s="330"/>
      <c r="G2845" s="330"/>
      <c r="H2845" s="208"/>
    </row>
    <row r="2846" spans="1:8" ht="15" customHeight="1">
      <c r="A2846" s="208"/>
      <c r="B2846" s="208"/>
      <c r="C2846" s="328"/>
      <c r="D2846" s="329"/>
      <c r="E2846" s="329"/>
      <c r="F2846" s="330"/>
      <c r="G2846" s="330"/>
      <c r="H2846" s="208"/>
    </row>
    <row r="2847" spans="1:8" ht="15" customHeight="1">
      <c r="A2847" s="208"/>
      <c r="B2847" s="208"/>
      <c r="C2847" s="328"/>
      <c r="D2847" s="329"/>
      <c r="E2847" s="329"/>
      <c r="F2847" s="330"/>
      <c r="G2847" s="330"/>
      <c r="H2847" s="208"/>
    </row>
    <row r="2848" spans="1:8" ht="15" customHeight="1">
      <c r="A2848" s="208"/>
      <c r="B2848" s="208"/>
      <c r="C2848" s="328"/>
      <c r="D2848" s="329"/>
      <c r="E2848" s="329"/>
      <c r="F2848" s="330"/>
      <c r="G2848" s="330"/>
      <c r="H2848" s="208"/>
    </row>
    <row r="2849" spans="1:8" ht="15" customHeight="1">
      <c r="A2849" s="208"/>
      <c r="B2849" s="208"/>
      <c r="C2849" s="328"/>
      <c r="D2849" s="329"/>
      <c r="E2849" s="329"/>
      <c r="F2849" s="330"/>
      <c r="G2849" s="330"/>
      <c r="H2849" s="208"/>
    </row>
    <row r="2850" spans="1:8" ht="15" customHeight="1">
      <c r="A2850" s="208"/>
      <c r="B2850" s="208"/>
      <c r="C2850" s="328"/>
      <c r="D2850" s="329"/>
      <c r="E2850" s="329"/>
      <c r="F2850" s="330"/>
      <c r="G2850" s="330"/>
      <c r="H2850" s="208"/>
    </row>
    <row r="2851" spans="1:8" ht="15" customHeight="1">
      <c r="A2851" s="208"/>
      <c r="B2851" s="208"/>
      <c r="C2851" s="328"/>
      <c r="D2851" s="329"/>
      <c r="E2851" s="329"/>
      <c r="F2851" s="330"/>
      <c r="G2851" s="330"/>
      <c r="H2851" s="208"/>
    </row>
    <row r="2852" spans="1:8" ht="15" customHeight="1">
      <c r="A2852" s="208"/>
      <c r="B2852" s="208"/>
      <c r="C2852" s="328"/>
      <c r="D2852" s="329"/>
      <c r="E2852" s="329"/>
      <c r="F2852" s="330"/>
      <c r="G2852" s="330"/>
      <c r="H2852" s="208"/>
    </row>
    <row r="2853" spans="1:8" ht="15" customHeight="1">
      <c r="A2853" s="208"/>
      <c r="B2853" s="208"/>
      <c r="C2853" s="328"/>
      <c r="D2853" s="329"/>
      <c r="E2853" s="329"/>
      <c r="F2853" s="330"/>
      <c r="G2853" s="330"/>
      <c r="H2853" s="208"/>
    </row>
    <row r="2854" spans="1:8" ht="15" customHeight="1">
      <c r="A2854" s="208"/>
      <c r="B2854" s="208"/>
      <c r="C2854" s="328"/>
      <c r="D2854" s="329"/>
      <c r="E2854" s="329"/>
      <c r="F2854" s="330"/>
      <c r="G2854" s="330"/>
      <c r="H2854" s="208"/>
    </row>
    <row r="2855" spans="1:8" ht="15" customHeight="1">
      <c r="A2855" s="208"/>
      <c r="B2855" s="208"/>
      <c r="C2855" s="328"/>
      <c r="D2855" s="329"/>
      <c r="E2855" s="329"/>
      <c r="F2855" s="330"/>
      <c r="G2855" s="330"/>
      <c r="H2855" s="208"/>
    </row>
    <row r="2856" spans="1:8" ht="15" customHeight="1">
      <c r="A2856" s="208"/>
      <c r="B2856" s="208"/>
      <c r="C2856" s="328"/>
      <c r="D2856" s="329"/>
      <c r="E2856" s="329"/>
      <c r="F2856" s="330"/>
      <c r="G2856" s="330"/>
      <c r="H2856" s="208"/>
    </row>
    <row r="2857" spans="1:8" ht="15" customHeight="1">
      <c r="A2857" s="208"/>
      <c r="B2857" s="208"/>
      <c r="C2857" s="328"/>
      <c r="D2857" s="329"/>
      <c r="E2857" s="329"/>
      <c r="F2857" s="330"/>
      <c r="G2857" s="330"/>
      <c r="H2857" s="208"/>
    </row>
    <row r="2858" spans="1:8" ht="15" customHeight="1">
      <c r="A2858" s="208"/>
      <c r="B2858" s="208"/>
      <c r="C2858" s="328"/>
      <c r="D2858" s="329"/>
      <c r="E2858" s="329"/>
      <c r="F2858" s="330"/>
      <c r="G2858" s="330"/>
      <c r="H2858" s="208"/>
    </row>
    <row r="2859" spans="1:8" ht="15" customHeight="1">
      <c r="A2859" s="208"/>
      <c r="B2859" s="208"/>
      <c r="C2859" s="328"/>
      <c r="D2859" s="329"/>
      <c r="E2859" s="329"/>
      <c r="F2859" s="330"/>
      <c r="G2859" s="330"/>
      <c r="H2859" s="208"/>
    </row>
    <row r="2860" spans="1:8" ht="15" customHeight="1">
      <c r="A2860" s="208"/>
      <c r="B2860" s="208"/>
      <c r="C2860" s="328"/>
      <c r="D2860" s="329"/>
      <c r="E2860" s="329"/>
      <c r="F2860" s="330"/>
      <c r="G2860" s="330"/>
      <c r="H2860" s="208"/>
    </row>
    <row r="2861" spans="1:8" ht="15" customHeight="1">
      <c r="A2861" s="208"/>
      <c r="B2861" s="208"/>
      <c r="C2861" s="328"/>
      <c r="D2861" s="329"/>
      <c r="E2861" s="329"/>
      <c r="F2861" s="330"/>
      <c r="G2861" s="330"/>
      <c r="H2861" s="208"/>
    </row>
    <row r="2862" spans="1:8" ht="15" customHeight="1">
      <c r="A2862" s="208"/>
      <c r="B2862" s="208"/>
      <c r="C2862" s="328"/>
      <c r="D2862" s="329"/>
      <c r="E2862" s="329"/>
      <c r="F2862" s="330"/>
      <c r="G2862" s="330"/>
      <c r="H2862" s="208"/>
    </row>
    <row r="2863" spans="1:8" ht="15" customHeight="1">
      <c r="A2863" s="208"/>
      <c r="B2863" s="208"/>
      <c r="C2863" s="328"/>
      <c r="D2863" s="329"/>
      <c r="E2863" s="329"/>
      <c r="F2863" s="330"/>
      <c r="G2863" s="330"/>
      <c r="H2863" s="208"/>
    </row>
    <row r="2864" spans="1:8" ht="15" customHeight="1">
      <c r="A2864" s="208"/>
      <c r="B2864" s="208"/>
      <c r="C2864" s="328"/>
      <c r="D2864" s="329"/>
      <c r="E2864" s="329"/>
      <c r="F2864" s="330"/>
      <c r="G2864" s="330"/>
      <c r="H2864" s="208"/>
    </row>
    <row r="2865" spans="1:8" ht="15" customHeight="1">
      <c r="A2865" s="208"/>
      <c r="B2865" s="208"/>
      <c r="C2865" s="328"/>
      <c r="D2865" s="329"/>
      <c r="E2865" s="329"/>
      <c r="F2865" s="330"/>
      <c r="G2865" s="330"/>
      <c r="H2865" s="208"/>
    </row>
    <row r="2866" spans="1:8" ht="15" customHeight="1">
      <c r="A2866" s="208"/>
      <c r="B2866" s="208"/>
      <c r="C2866" s="328"/>
      <c r="D2866" s="329"/>
      <c r="E2866" s="329"/>
      <c r="F2866" s="330"/>
      <c r="G2866" s="330"/>
      <c r="H2866" s="208"/>
    </row>
    <row r="2867" spans="1:8" ht="15" customHeight="1">
      <c r="A2867" s="208"/>
      <c r="B2867" s="208"/>
      <c r="C2867" s="328"/>
      <c r="D2867" s="329"/>
      <c r="E2867" s="329"/>
      <c r="F2867" s="330"/>
      <c r="G2867" s="330"/>
      <c r="H2867" s="208"/>
    </row>
    <row r="2868" spans="1:8" ht="15" customHeight="1">
      <c r="A2868" s="208"/>
      <c r="B2868" s="208"/>
      <c r="C2868" s="328"/>
      <c r="D2868" s="329"/>
      <c r="E2868" s="329"/>
      <c r="F2868" s="330"/>
      <c r="G2868" s="330"/>
      <c r="H2868" s="208"/>
    </row>
    <row r="2869" spans="1:8" ht="15" customHeight="1">
      <c r="A2869" s="208"/>
      <c r="B2869" s="208"/>
      <c r="C2869" s="328"/>
      <c r="D2869" s="329"/>
      <c r="E2869" s="329"/>
      <c r="F2869" s="330"/>
      <c r="G2869" s="330"/>
      <c r="H2869" s="208"/>
    </row>
    <row r="2870" spans="1:8" ht="15" customHeight="1">
      <c r="A2870" s="208"/>
      <c r="B2870" s="208"/>
      <c r="C2870" s="328"/>
      <c r="D2870" s="329"/>
      <c r="E2870" s="329"/>
      <c r="F2870" s="330"/>
      <c r="G2870" s="330"/>
      <c r="H2870" s="208"/>
    </row>
    <row r="2871" spans="1:8" ht="15" customHeight="1">
      <c r="A2871" s="208"/>
      <c r="B2871" s="208"/>
      <c r="C2871" s="328"/>
      <c r="D2871" s="329"/>
      <c r="E2871" s="329"/>
      <c r="F2871" s="330"/>
      <c r="G2871" s="330"/>
      <c r="H2871" s="208"/>
    </row>
    <row r="2872" spans="1:8" ht="15" customHeight="1">
      <c r="A2872" s="208"/>
      <c r="B2872" s="208"/>
      <c r="C2872" s="328"/>
      <c r="D2872" s="329"/>
      <c r="E2872" s="329"/>
      <c r="F2872" s="330"/>
      <c r="G2872" s="330"/>
      <c r="H2872" s="208"/>
    </row>
    <row r="2873" spans="1:8" ht="15" customHeight="1">
      <c r="A2873" s="208"/>
      <c r="B2873" s="208"/>
      <c r="C2873" s="328"/>
      <c r="D2873" s="329"/>
      <c r="E2873" s="329"/>
      <c r="F2873" s="330"/>
      <c r="G2873" s="330"/>
      <c r="H2873" s="208"/>
    </row>
    <row r="2874" spans="1:8" ht="15" customHeight="1">
      <c r="A2874" s="208"/>
      <c r="B2874" s="208"/>
      <c r="C2874" s="328"/>
      <c r="D2874" s="329"/>
      <c r="E2874" s="329"/>
      <c r="F2874" s="330"/>
      <c r="G2874" s="330"/>
      <c r="H2874" s="208"/>
    </row>
    <row r="2875" spans="1:8" ht="15" customHeight="1">
      <c r="A2875" s="208"/>
      <c r="B2875" s="208"/>
      <c r="C2875" s="328"/>
      <c r="D2875" s="329"/>
      <c r="E2875" s="329"/>
      <c r="F2875" s="330"/>
      <c r="G2875" s="330"/>
      <c r="H2875" s="208"/>
    </row>
    <row r="2876" spans="1:8" ht="15" customHeight="1">
      <c r="A2876" s="208"/>
      <c r="B2876" s="208"/>
      <c r="C2876" s="328"/>
      <c r="D2876" s="329"/>
      <c r="E2876" s="329"/>
      <c r="F2876" s="330"/>
      <c r="G2876" s="330"/>
      <c r="H2876" s="208"/>
    </row>
    <row r="2877" spans="1:8" ht="15" customHeight="1">
      <c r="A2877" s="208"/>
      <c r="B2877" s="208"/>
      <c r="C2877" s="328"/>
      <c r="D2877" s="329"/>
      <c r="E2877" s="329"/>
      <c r="F2877" s="330"/>
      <c r="G2877" s="330"/>
      <c r="H2877" s="208"/>
    </row>
    <row r="2878" spans="1:8" ht="15" customHeight="1">
      <c r="A2878" s="208"/>
      <c r="B2878" s="208"/>
      <c r="C2878" s="328"/>
      <c r="D2878" s="329"/>
      <c r="E2878" s="329"/>
      <c r="F2878" s="330"/>
      <c r="G2878" s="330"/>
      <c r="H2878" s="208"/>
    </row>
    <row r="2879" spans="1:8" ht="15" customHeight="1">
      <c r="A2879" s="208"/>
      <c r="B2879" s="208"/>
      <c r="C2879" s="328"/>
      <c r="D2879" s="329"/>
      <c r="E2879" s="329"/>
      <c r="F2879" s="330"/>
      <c r="G2879" s="330"/>
      <c r="H2879" s="208"/>
    </row>
    <row r="2880" spans="1:8" ht="15" customHeight="1">
      <c r="A2880" s="208"/>
      <c r="B2880" s="208"/>
      <c r="C2880" s="328"/>
      <c r="D2880" s="329"/>
      <c r="E2880" s="329"/>
      <c r="F2880" s="330"/>
      <c r="G2880" s="330"/>
      <c r="H2880" s="208"/>
    </row>
    <row r="2881" spans="1:8" ht="15" customHeight="1">
      <c r="A2881" s="208"/>
      <c r="B2881" s="208"/>
      <c r="C2881" s="328"/>
      <c r="D2881" s="329"/>
      <c r="E2881" s="329"/>
      <c r="F2881" s="330"/>
      <c r="G2881" s="330"/>
      <c r="H2881" s="208"/>
    </row>
    <row r="2882" spans="1:8" ht="15" customHeight="1">
      <c r="A2882" s="208"/>
      <c r="B2882" s="208"/>
      <c r="C2882" s="328"/>
      <c r="D2882" s="329"/>
      <c r="E2882" s="329"/>
      <c r="F2882" s="330"/>
      <c r="G2882" s="330"/>
      <c r="H2882" s="208"/>
    </row>
    <row r="2883" spans="1:8" ht="15" customHeight="1">
      <c r="A2883" s="208"/>
      <c r="B2883" s="208"/>
      <c r="C2883" s="328"/>
      <c r="D2883" s="329"/>
      <c r="E2883" s="329"/>
      <c r="F2883" s="330"/>
      <c r="G2883" s="330"/>
      <c r="H2883" s="208"/>
    </row>
    <row r="2884" spans="1:8" ht="15" customHeight="1">
      <c r="A2884" s="208"/>
      <c r="B2884" s="208"/>
      <c r="C2884" s="328"/>
      <c r="D2884" s="329"/>
      <c r="E2884" s="329"/>
      <c r="F2884" s="330"/>
      <c r="G2884" s="330"/>
      <c r="H2884" s="208"/>
    </row>
    <row r="2885" spans="1:8" ht="15" customHeight="1">
      <c r="A2885" s="208"/>
      <c r="B2885" s="208"/>
      <c r="C2885" s="328"/>
      <c r="D2885" s="329"/>
      <c r="E2885" s="329"/>
      <c r="F2885" s="330"/>
      <c r="G2885" s="330"/>
      <c r="H2885" s="208"/>
    </row>
    <row r="2886" spans="1:8" ht="15" customHeight="1">
      <c r="A2886" s="208"/>
      <c r="B2886" s="208"/>
      <c r="C2886" s="328"/>
      <c r="D2886" s="329"/>
      <c r="E2886" s="329"/>
      <c r="F2886" s="330"/>
      <c r="G2886" s="330"/>
      <c r="H2886" s="208"/>
    </row>
    <row r="2887" spans="1:8" ht="15" customHeight="1">
      <c r="A2887" s="208"/>
      <c r="B2887" s="208"/>
      <c r="C2887" s="328"/>
      <c r="D2887" s="329"/>
      <c r="E2887" s="329"/>
      <c r="F2887" s="330"/>
      <c r="G2887" s="330"/>
      <c r="H2887" s="208"/>
    </row>
    <row r="2888" spans="1:8" ht="15" customHeight="1">
      <c r="A2888" s="208"/>
      <c r="B2888" s="208"/>
      <c r="C2888" s="328"/>
      <c r="D2888" s="329"/>
      <c r="E2888" s="329"/>
      <c r="F2888" s="330"/>
      <c r="G2888" s="330"/>
      <c r="H2888" s="208"/>
    </row>
    <row r="2889" spans="1:8" ht="15" customHeight="1">
      <c r="A2889" s="208"/>
      <c r="B2889" s="208"/>
      <c r="C2889" s="328"/>
      <c r="D2889" s="329"/>
      <c r="E2889" s="329"/>
      <c r="F2889" s="330"/>
      <c r="G2889" s="330"/>
      <c r="H2889" s="208"/>
    </row>
    <row r="2890" spans="1:8" ht="15" customHeight="1">
      <c r="A2890" s="208"/>
      <c r="B2890" s="208"/>
      <c r="C2890" s="328"/>
      <c r="D2890" s="329"/>
      <c r="E2890" s="329"/>
      <c r="F2890" s="330"/>
      <c r="G2890" s="330"/>
      <c r="H2890" s="208"/>
    </row>
    <row r="2891" spans="1:8" ht="15" customHeight="1">
      <c r="A2891" s="208"/>
      <c r="B2891" s="208"/>
      <c r="C2891" s="328"/>
      <c r="D2891" s="329"/>
      <c r="E2891" s="329"/>
      <c r="F2891" s="330"/>
      <c r="G2891" s="330"/>
      <c r="H2891" s="208"/>
    </row>
    <row r="2892" spans="1:8" ht="15" customHeight="1">
      <c r="A2892" s="208"/>
      <c r="B2892" s="208"/>
      <c r="C2892" s="328"/>
      <c r="D2892" s="329"/>
      <c r="E2892" s="329"/>
      <c r="F2892" s="330"/>
      <c r="G2892" s="330"/>
      <c r="H2892" s="208"/>
    </row>
    <row r="2893" spans="1:8" ht="15" customHeight="1">
      <c r="A2893" s="208"/>
      <c r="B2893" s="208"/>
      <c r="C2893" s="328"/>
      <c r="D2893" s="329"/>
      <c r="E2893" s="329"/>
      <c r="F2893" s="330"/>
      <c r="G2893" s="330"/>
      <c r="H2893" s="208"/>
    </row>
    <row r="2894" spans="1:8" ht="15" customHeight="1">
      <c r="A2894" s="208"/>
      <c r="B2894" s="208"/>
      <c r="C2894" s="328"/>
      <c r="D2894" s="329"/>
      <c r="E2894" s="329"/>
      <c r="F2894" s="330"/>
      <c r="G2894" s="330"/>
      <c r="H2894" s="208"/>
    </row>
    <row r="2895" spans="1:8" ht="15" customHeight="1">
      <c r="A2895" s="208"/>
      <c r="B2895" s="208"/>
      <c r="C2895" s="328"/>
      <c r="D2895" s="329"/>
      <c r="E2895" s="329"/>
      <c r="F2895" s="330"/>
      <c r="G2895" s="330"/>
      <c r="H2895" s="208"/>
    </row>
    <row r="2896" spans="1:8" ht="15" customHeight="1">
      <c r="A2896" s="208"/>
      <c r="B2896" s="208"/>
      <c r="C2896" s="328"/>
      <c r="D2896" s="329"/>
      <c r="E2896" s="329"/>
      <c r="F2896" s="330"/>
      <c r="G2896" s="330"/>
      <c r="H2896" s="208"/>
    </row>
    <row r="2897" spans="1:8" ht="15" customHeight="1">
      <c r="A2897" s="208"/>
      <c r="B2897" s="208"/>
      <c r="C2897" s="328"/>
      <c r="D2897" s="329"/>
      <c r="E2897" s="329"/>
      <c r="F2897" s="330"/>
      <c r="G2897" s="330"/>
      <c r="H2897" s="208"/>
    </row>
    <row r="2898" spans="1:8" ht="15" customHeight="1">
      <c r="A2898" s="208"/>
      <c r="B2898" s="208"/>
      <c r="C2898" s="328"/>
      <c r="D2898" s="329"/>
      <c r="E2898" s="329"/>
      <c r="F2898" s="330"/>
      <c r="G2898" s="330"/>
      <c r="H2898" s="208"/>
    </row>
    <row r="2899" spans="1:8" ht="15" customHeight="1">
      <c r="A2899" s="208"/>
      <c r="B2899" s="208"/>
      <c r="C2899" s="328"/>
      <c r="D2899" s="329"/>
      <c r="E2899" s="329"/>
      <c r="F2899" s="330"/>
      <c r="G2899" s="330"/>
      <c r="H2899" s="208"/>
    </row>
    <row r="2900" spans="1:8" ht="15" customHeight="1">
      <c r="A2900" s="208"/>
      <c r="B2900" s="208"/>
      <c r="C2900" s="328"/>
      <c r="D2900" s="329"/>
      <c r="E2900" s="329"/>
      <c r="F2900" s="330"/>
      <c r="G2900" s="330"/>
      <c r="H2900" s="208"/>
    </row>
    <row r="2901" spans="1:8" ht="15" customHeight="1">
      <c r="A2901" s="208"/>
      <c r="B2901" s="208"/>
      <c r="C2901" s="328"/>
      <c r="D2901" s="329"/>
      <c r="E2901" s="329"/>
      <c r="F2901" s="330"/>
      <c r="G2901" s="330"/>
      <c r="H2901" s="208"/>
    </row>
    <row r="2902" spans="1:8" ht="15" customHeight="1">
      <c r="A2902" s="208"/>
      <c r="B2902" s="208"/>
      <c r="C2902" s="328"/>
      <c r="D2902" s="329"/>
      <c r="E2902" s="329"/>
      <c r="F2902" s="330"/>
      <c r="G2902" s="330"/>
      <c r="H2902" s="208"/>
    </row>
    <row r="2903" spans="1:8" ht="15" customHeight="1">
      <c r="A2903" s="208"/>
      <c r="B2903" s="208"/>
      <c r="C2903" s="328"/>
      <c r="D2903" s="329"/>
      <c r="E2903" s="329"/>
      <c r="F2903" s="330"/>
      <c r="G2903" s="330"/>
      <c r="H2903" s="208"/>
    </row>
    <row r="2904" spans="1:8" ht="15" customHeight="1">
      <c r="A2904" s="208"/>
      <c r="B2904" s="208"/>
      <c r="C2904" s="328"/>
      <c r="D2904" s="329"/>
      <c r="E2904" s="329"/>
      <c r="F2904" s="330"/>
      <c r="G2904" s="330"/>
      <c r="H2904" s="208"/>
    </row>
    <row r="2905" spans="1:8" ht="15" customHeight="1">
      <c r="A2905" s="208"/>
      <c r="B2905" s="208"/>
      <c r="C2905" s="328"/>
      <c r="D2905" s="329"/>
      <c r="E2905" s="329"/>
      <c r="F2905" s="330"/>
      <c r="G2905" s="330"/>
      <c r="H2905" s="208"/>
    </row>
    <row r="2906" spans="1:8" ht="15" customHeight="1">
      <c r="A2906" s="208"/>
      <c r="B2906" s="208"/>
      <c r="C2906" s="328"/>
      <c r="D2906" s="329"/>
      <c r="E2906" s="329"/>
      <c r="F2906" s="330"/>
      <c r="G2906" s="330"/>
      <c r="H2906" s="208"/>
    </row>
    <row r="2907" spans="1:8" ht="15" customHeight="1">
      <c r="A2907" s="208"/>
      <c r="B2907" s="208"/>
      <c r="C2907" s="328"/>
      <c r="D2907" s="329"/>
      <c r="E2907" s="329"/>
      <c r="F2907" s="330"/>
      <c r="G2907" s="330"/>
      <c r="H2907" s="208"/>
    </row>
    <row r="2908" spans="1:8" ht="15" customHeight="1">
      <c r="A2908" s="208"/>
      <c r="B2908" s="208"/>
      <c r="C2908" s="328"/>
      <c r="D2908" s="329"/>
      <c r="E2908" s="329"/>
      <c r="F2908" s="330"/>
      <c r="G2908" s="330"/>
      <c r="H2908" s="208"/>
    </row>
    <row r="2909" spans="1:8" ht="15" customHeight="1">
      <c r="A2909" s="208"/>
      <c r="B2909" s="208"/>
      <c r="C2909" s="328"/>
      <c r="D2909" s="329"/>
      <c r="E2909" s="329"/>
      <c r="F2909" s="330"/>
      <c r="G2909" s="330"/>
      <c r="H2909" s="208"/>
    </row>
    <row r="2910" spans="1:8" ht="15" customHeight="1">
      <c r="A2910" s="208"/>
      <c r="B2910" s="208"/>
      <c r="C2910" s="328"/>
      <c r="D2910" s="329"/>
      <c r="E2910" s="329"/>
      <c r="F2910" s="330"/>
      <c r="G2910" s="330"/>
      <c r="H2910" s="208"/>
    </row>
    <row r="2911" spans="1:8" ht="15" customHeight="1">
      <c r="A2911" s="208"/>
      <c r="B2911" s="208"/>
      <c r="C2911" s="328"/>
      <c r="D2911" s="329"/>
      <c r="E2911" s="329"/>
      <c r="F2911" s="330"/>
      <c r="G2911" s="330"/>
      <c r="H2911" s="208"/>
    </row>
    <row r="2912" spans="1:8" ht="15" customHeight="1">
      <c r="A2912" s="208"/>
      <c r="B2912" s="208"/>
      <c r="C2912" s="328"/>
      <c r="D2912" s="329"/>
      <c r="E2912" s="329"/>
      <c r="F2912" s="330"/>
      <c r="G2912" s="330"/>
      <c r="H2912" s="208"/>
    </row>
    <row r="2913" spans="1:8" ht="15" customHeight="1">
      <c r="A2913" s="208"/>
      <c r="B2913" s="208"/>
      <c r="C2913" s="328"/>
      <c r="D2913" s="329"/>
      <c r="E2913" s="329"/>
      <c r="F2913" s="330"/>
      <c r="G2913" s="330"/>
      <c r="H2913" s="208"/>
    </row>
    <row r="2914" spans="1:8" ht="15" customHeight="1">
      <c r="A2914" s="208"/>
      <c r="B2914" s="208"/>
      <c r="C2914" s="328"/>
      <c r="D2914" s="329"/>
      <c r="E2914" s="329"/>
      <c r="F2914" s="330"/>
      <c r="G2914" s="330"/>
      <c r="H2914" s="208"/>
    </row>
    <row r="2915" spans="1:8" ht="15" customHeight="1">
      <c r="A2915" s="208"/>
      <c r="B2915" s="208"/>
      <c r="C2915" s="328"/>
      <c r="D2915" s="329"/>
      <c r="E2915" s="329"/>
      <c r="F2915" s="330"/>
      <c r="G2915" s="330"/>
      <c r="H2915" s="208"/>
    </row>
    <row r="2916" spans="1:8" ht="15" customHeight="1">
      <c r="A2916" s="208"/>
      <c r="B2916" s="208"/>
      <c r="C2916" s="328"/>
      <c r="D2916" s="329"/>
      <c r="E2916" s="329"/>
      <c r="F2916" s="330"/>
      <c r="G2916" s="330"/>
      <c r="H2916" s="208"/>
    </row>
    <row r="2917" spans="1:8" ht="15" customHeight="1">
      <c r="A2917" s="208"/>
      <c r="B2917" s="208"/>
      <c r="C2917" s="328"/>
      <c r="D2917" s="329"/>
      <c r="E2917" s="329"/>
      <c r="F2917" s="330"/>
      <c r="G2917" s="330"/>
      <c r="H2917" s="208"/>
    </row>
    <row r="2918" spans="1:8" ht="15" customHeight="1">
      <c r="A2918" s="208"/>
      <c r="B2918" s="208"/>
      <c r="C2918" s="328"/>
      <c r="D2918" s="329"/>
      <c r="E2918" s="329"/>
      <c r="F2918" s="330"/>
      <c r="G2918" s="330"/>
      <c r="H2918" s="208"/>
    </row>
    <row r="2919" spans="1:8" ht="15" customHeight="1">
      <c r="A2919" s="208"/>
      <c r="B2919" s="208"/>
      <c r="C2919" s="328"/>
      <c r="D2919" s="329"/>
      <c r="E2919" s="329"/>
      <c r="F2919" s="330"/>
      <c r="G2919" s="330"/>
      <c r="H2919" s="208"/>
    </row>
    <row r="2920" spans="1:8" ht="15" customHeight="1">
      <c r="A2920" s="208"/>
      <c r="B2920" s="208"/>
      <c r="C2920" s="328"/>
      <c r="D2920" s="329"/>
      <c r="E2920" s="329"/>
      <c r="F2920" s="330"/>
      <c r="G2920" s="330"/>
      <c r="H2920" s="208"/>
    </row>
    <row r="2921" spans="1:8" ht="15" customHeight="1">
      <c r="A2921" s="208"/>
      <c r="B2921" s="208"/>
      <c r="C2921" s="328"/>
      <c r="D2921" s="329"/>
      <c r="E2921" s="329"/>
      <c r="F2921" s="330"/>
      <c r="G2921" s="330"/>
      <c r="H2921" s="208"/>
    </row>
    <row r="2922" spans="1:8" ht="15" customHeight="1">
      <c r="A2922" s="208"/>
      <c r="B2922" s="208"/>
      <c r="C2922" s="328"/>
      <c r="D2922" s="329"/>
      <c r="E2922" s="329"/>
      <c r="F2922" s="330"/>
      <c r="G2922" s="330"/>
      <c r="H2922" s="208"/>
    </row>
    <row r="2923" spans="1:8" ht="15" customHeight="1">
      <c r="A2923" s="208"/>
      <c r="B2923" s="208"/>
      <c r="C2923" s="328"/>
      <c r="D2923" s="329"/>
      <c r="E2923" s="329"/>
      <c r="F2923" s="330"/>
      <c r="G2923" s="330"/>
      <c r="H2923" s="208"/>
    </row>
    <row r="2924" spans="1:8" ht="15" customHeight="1">
      <c r="A2924" s="208"/>
      <c r="B2924" s="208"/>
      <c r="C2924" s="328"/>
      <c r="D2924" s="329"/>
      <c r="E2924" s="329"/>
      <c r="F2924" s="330"/>
      <c r="G2924" s="330"/>
      <c r="H2924" s="208"/>
    </row>
    <row r="2925" spans="1:8" ht="15" customHeight="1">
      <c r="A2925" s="208"/>
      <c r="B2925" s="208"/>
      <c r="C2925" s="328"/>
      <c r="D2925" s="329"/>
      <c r="E2925" s="329"/>
      <c r="F2925" s="330"/>
      <c r="G2925" s="330"/>
      <c r="H2925" s="208"/>
    </row>
    <row r="2926" spans="1:8" ht="15" customHeight="1">
      <c r="A2926" s="208"/>
      <c r="B2926" s="208"/>
      <c r="C2926" s="328"/>
      <c r="D2926" s="329"/>
      <c r="E2926" s="329"/>
      <c r="F2926" s="330"/>
      <c r="G2926" s="330"/>
      <c r="H2926" s="208"/>
    </row>
    <row r="2927" spans="1:8" ht="15" customHeight="1">
      <c r="A2927" s="208"/>
      <c r="B2927" s="208"/>
      <c r="C2927" s="328"/>
      <c r="D2927" s="329"/>
      <c r="E2927" s="329"/>
      <c r="F2927" s="330"/>
      <c r="G2927" s="330"/>
      <c r="H2927" s="208"/>
    </row>
    <row r="2928" spans="1:8" ht="15" customHeight="1">
      <c r="A2928" s="208"/>
      <c r="B2928" s="208"/>
      <c r="C2928" s="328"/>
      <c r="D2928" s="329"/>
      <c r="E2928" s="329"/>
      <c r="F2928" s="330"/>
      <c r="G2928" s="330"/>
      <c r="H2928" s="208"/>
    </row>
    <row r="2929" spans="1:8" ht="15" customHeight="1">
      <c r="A2929" s="208"/>
      <c r="B2929" s="208"/>
      <c r="C2929" s="328"/>
      <c r="D2929" s="329"/>
      <c r="E2929" s="329"/>
      <c r="F2929" s="330"/>
      <c r="G2929" s="330"/>
      <c r="H2929" s="208"/>
    </row>
    <row r="2930" spans="1:8" ht="15" customHeight="1">
      <c r="A2930" s="208"/>
      <c r="B2930" s="208"/>
      <c r="C2930" s="328"/>
      <c r="D2930" s="329"/>
      <c r="E2930" s="329"/>
      <c r="F2930" s="330"/>
      <c r="G2930" s="330"/>
      <c r="H2930" s="208"/>
    </row>
    <row r="2931" spans="1:8" ht="15" customHeight="1">
      <c r="A2931" s="208"/>
      <c r="B2931" s="208"/>
      <c r="C2931" s="328"/>
      <c r="D2931" s="329"/>
      <c r="E2931" s="329"/>
      <c r="F2931" s="330"/>
      <c r="G2931" s="330"/>
      <c r="H2931" s="208"/>
    </row>
    <row r="2932" spans="1:8" ht="15" customHeight="1">
      <c r="A2932" s="208"/>
      <c r="B2932" s="208"/>
      <c r="C2932" s="328"/>
      <c r="D2932" s="329"/>
      <c r="E2932" s="329"/>
      <c r="F2932" s="330"/>
      <c r="G2932" s="330"/>
      <c r="H2932" s="208"/>
    </row>
    <row r="2933" spans="1:8" ht="15" customHeight="1">
      <c r="A2933" s="208"/>
      <c r="B2933" s="208"/>
      <c r="C2933" s="328"/>
      <c r="D2933" s="329"/>
      <c r="E2933" s="329"/>
      <c r="F2933" s="330"/>
      <c r="G2933" s="330"/>
      <c r="H2933" s="208"/>
    </row>
    <row r="2934" spans="1:8" ht="15" customHeight="1">
      <c r="A2934" s="208"/>
      <c r="B2934" s="208"/>
      <c r="C2934" s="328"/>
      <c r="D2934" s="329"/>
      <c r="E2934" s="329"/>
      <c r="F2934" s="330"/>
      <c r="G2934" s="330"/>
      <c r="H2934" s="208"/>
    </row>
    <row r="2935" spans="1:8" ht="15" customHeight="1">
      <c r="A2935" s="208"/>
      <c r="B2935" s="208"/>
      <c r="C2935" s="328"/>
      <c r="D2935" s="329"/>
      <c r="E2935" s="329"/>
      <c r="F2935" s="330"/>
      <c r="G2935" s="330"/>
      <c r="H2935" s="208"/>
    </row>
    <row r="2936" spans="1:8" ht="15" customHeight="1">
      <c r="A2936" s="208"/>
      <c r="B2936" s="208"/>
      <c r="C2936" s="328"/>
      <c r="D2936" s="329"/>
      <c r="E2936" s="329"/>
      <c r="F2936" s="330"/>
      <c r="G2936" s="330"/>
      <c r="H2936" s="208"/>
    </row>
    <row r="2937" spans="1:8" ht="15" customHeight="1">
      <c r="A2937" s="208"/>
      <c r="B2937" s="208"/>
      <c r="C2937" s="328"/>
      <c r="D2937" s="329"/>
      <c r="E2937" s="329"/>
      <c r="F2937" s="330"/>
      <c r="G2937" s="330"/>
      <c r="H2937" s="208"/>
    </row>
    <row r="2938" spans="1:8" ht="15" customHeight="1">
      <c r="A2938" s="208"/>
      <c r="B2938" s="208"/>
      <c r="C2938" s="328"/>
      <c r="D2938" s="329"/>
      <c r="E2938" s="329"/>
      <c r="F2938" s="330"/>
      <c r="G2938" s="330"/>
      <c r="H2938" s="208"/>
    </row>
    <row r="2939" spans="1:8" ht="15" customHeight="1">
      <c r="A2939" s="208"/>
      <c r="B2939" s="208"/>
      <c r="C2939" s="328"/>
      <c r="D2939" s="329"/>
      <c r="E2939" s="329"/>
      <c r="F2939" s="330"/>
      <c r="G2939" s="330"/>
      <c r="H2939" s="208"/>
    </row>
    <row r="2940" spans="1:8" ht="15" customHeight="1">
      <c r="A2940" s="208"/>
      <c r="B2940" s="208"/>
      <c r="C2940" s="328"/>
      <c r="D2940" s="329"/>
      <c r="E2940" s="329"/>
      <c r="F2940" s="330"/>
      <c r="G2940" s="330"/>
      <c r="H2940" s="208"/>
    </row>
    <row r="2941" spans="1:8" ht="15" customHeight="1">
      <c r="A2941" s="208"/>
      <c r="B2941" s="208"/>
      <c r="C2941" s="328"/>
      <c r="D2941" s="329"/>
      <c r="E2941" s="329"/>
      <c r="F2941" s="330"/>
      <c r="G2941" s="330"/>
      <c r="H2941" s="208"/>
    </row>
    <row r="2942" spans="1:8" ht="15" customHeight="1">
      <c r="A2942" s="208"/>
      <c r="B2942" s="208"/>
      <c r="C2942" s="328"/>
      <c r="D2942" s="329"/>
      <c r="E2942" s="329"/>
      <c r="F2942" s="330"/>
      <c r="G2942" s="330"/>
      <c r="H2942" s="208"/>
    </row>
    <row r="2943" spans="1:8" ht="15" customHeight="1">
      <c r="A2943" s="208"/>
      <c r="B2943" s="208"/>
      <c r="C2943" s="328"/>
      <c r="D2943" s="329"/>
      <c r="E2943" s="329"/>
      <c r="F2943" s="330"/>
      <c r="G2943" s="330"/>
      <c r="H2943" s="208"/>
    </row>
    <row r="2944" spans="1:8" ht="15" customHeight="1">
      <c r="A2944" s="208"/>
      <c r="B2944" s="208"/>
      <c r="C2944" s="328"/>
      <c r="D2944" s="329"/>
      <c r="E2944" s="329"/>
      <c r="F2944" s="330"/>
      <c r="G2944" s="330"/>
      <c r="H2944" s="208"/>
    </row>
    <row r="2945" spans="1:8" ht="15" customHeight="1">
      <c r="A2945" s="208"/>
      <c r="B2945" s="208"/>
      <c r="C2945" s="328"/>
      <c r="D2945" s="329"/>
      <c r="E2945" s="329"/>
      <c r="F2945" s="330"/>
      <c r="G2945" s="330"/>
      <c r="H2945" s="208"/>
    </row>
    <row r="2946" spans="1:8" ht="15" customHeight="1">
      <c r="A2946" s="208"/>
      <c r="B2946" s="208"/>
      <c r="C2946" s="328"/>
      <c r="D2946" s="329"/>
      <c r="E2946" s="329"/>
      <c r="F2946" s="330"/>
      <c r="G2946" s="330"/>
      <c r="H2946" s="208"/>
    </row>
    <row r="2947" spans="1:8" ht="15" customHeight="1">
      <c r="A2947" s="208"/>
      <c r="B2947" s="208"/>
      <c r="C2947" s="328"/>
      <c r="D2947" s="329"/>
      <c r="E2947" s="329"/>
      <c r="F2947" s="330"/>
      <c r="G2947" s="330"/>
      <c r="H2947" s="208"/>
    </row>
    <row r="2948" spans="1:8" ht="15" customHeight="1">
      <c r="A2948" s="208"/>
      <c r="B2948" s="208"/>
      <c r="C2948" s="328"/>
      <c r="D2948" s="329"/>
      <c r="E2948" s="329"/>
      <c r="F2948" s="330"/>
      <c r="G2948" s="330"/>
      <c r="H2948" s="208"/>
    </row>
    <row r="2949" spans="1:8" ht="15" customHeight="1">
      <c r="A2949" s="208"/>
      <c r="B2949" s="208"/>
      <c r="C2949" s="328"/>
      <c r="D2949" s="329"/>
      <c r="E2949" s="329"/>
      <c r="F2949" s="330"/>
      <c r="G2949" s="330"/>
      <c r="H2949" s="208"/>
    </row>
    <row r="2950" spans="1:8" ht="15" customHeight="1">
      <c r="A2950" s="208"/>
      <c r="B2950" s="208"/>
      <c r="C2950" s="328"/>
      <c r="D2950" s="329"/>
      <c r="E2950" s="329"/>
      <c r="F2950" s="330"/>
      <c r="G2950" s="330"/>
      <c r="H2950" s="208"/>
    </row>
    <row r="2951" spans="1:8" ht="15" customHeight="1">
      <c r="A2951" s="208"/>
      <c r="B2951" s="208"/>
      <c r="C2951" s="328"/>
      <c r="D2951" s="329"/>
      <c r="E2951" s="329"/>
      <c r="F2951" s="330"/>
      <c r="G2951" s="330"/>
      <c r="H2951" s="208"/>
    </row>
    <row r="2952" spans="1:8" ht="15" customHeight="1">
      <c r="A2952" s="208"/>
      <c r="B2952" s="208"/>
      <c r="C2952" s="328"/>
      <c r="D2952" s="329"/>
      <c r="E2952" s="329"/>
      <c r="F2952" s="330"/>
      <c r="G2952" s="330"/>
      <c r="H2952" s="208"/>
    </row>
    <row r="2953" spans="1:8" ht="15" customHeight="1">
      <c r="A2953" s="208"/>
      <c r="B2953" s="208"/>
      <c r="C2953" s="328"/>
      <c r="D2953" s="329"/>
      <c r="E2953" s="329"/>
      <c r="F2953" s="330"/>
      <c r="G2953" s="330"/>
      <c r="H2953" s="208"/>
    </row>
    <row r="2954" spans="1:8" ht="15" customHeight="1">
      <c r="A2954" s="208"/>
      <c r="B2954" s="208"/>
      <c r="C2954" s="328"/>
      <c r="D2954" s="329"/>
      <c r="E2954" s="329"/>
      <c r="F2954" s="330"/>
      <c r="G2954" s="330"/>
      <c r="H2954" s="208"/>
    </row>
    <row r="2955" spans="1:8" ht="15" customHeight="1">
      <c r="A2955" s="208"/>
      <c r="B2955" s="208"/>
      <c r="C2955" s="328"/>
      <c r="D2955" s="329"/>
      <c r="E2955" s="329"/>
      <c r="F2955" s="330"/>
      <c r="G2955" s="330"/>
      <c r="H2955" s="208"/>
    </row>
    <row r="2956" spans="1:8" ht="15" customHeight="1">
      <c r="A2956" s="208"/>
      <c r="B2956" s="208"/>
      <c r="C2956" s="328"/>
      <c r="D2956" s="329"/>
      <c r="E2956" s="329"/>
      <c r="F2956" s="330"/>
      <c r="G2956" s="330"/>
      <c r="H2956" s="208"/>
    </row>
    <row r="2957" spans="1:8" ht="15" customHeight="1">
      <c r="A2957" s="208"/>
      <c r="B2957" s="208"/>
      <c r="C2957" s="328"/>
      <c r="D2957" s="329"/>
      <c r="E2957" s="329"/>
      <c r="F2957" s="330"/>
      <c r="G2957" s="330"/>
      <c r="H2957" s="208"/>
    </row>
    <row r="2958" spans="1:8" ht="15" customHeight="1">
      <c r="A2958" s="208"/>
      <c r="B2958" s="208"/>
      <c r="C2958" s="328"/>
      <c r="D2958" s="329"/>
      <c r="E2958" s="329"/>
      <c r="F2958" s="330"/>
      <c r="G2958" s="330"/>
      <c r="H2958" s="208"/>
    </row>
    <row r="2959" spans="1:8" ht="15" customHeight="1">
      <c r="A2959" s="208"/>
      <c r="B2959" s="208"/>
      <c r="C2959" s="328"/>
      <c r="D2959" s="329"/>
      <c r="E2959" s="329"/>
      <c r="F2959" s="330"/>
      <c r="G2959" s="330"/>
      <c r="H2959" s="208"/>
    </row>
    <row r="2960" spans="1:8" ht="15" customHeight="1">
      <c r="A2960" s="208"/>
      <c r="B2960" s="208"/>
      <c r="C2960" s="328"/>
      <c r="D2960" s="329"/>
      <c r="E2960" s="329"/>
      <c r="F2960" s="330"/>
      <c r="G2960" s="330"/>
      <c r="H2960" s="208"/>
    </row>
    <row r="2961" spans="1:8" ht="15" customHeight="1">
      <c r="A2961" s="208"/>
      <c r="B2961" s="208"/>
      <c r="C2961" s="328"/>
      <c r="D2961" s="329"/>
      <c r="E2961" s="329"/>
      <c r="F2961" s="330"/>
      <c r="G2961" s="330"/>
      <c r="H2961" s="208"/>
    </row>
    <row r="2962" spans="1:8" ht="15" customHeight="1">
      <c r="A2962" s="208"/>
      <c r="B2962" s="208"/>
      <c r="C2962" s="328"/>
      <c r="D2962" s="329"/>
      <c r="E2962" s="329"/>
      <c r="F2962" s="330"/>
      <c r="G2962" s="330"/>
      <c r="H2962" s="208"/>
    </row>
    <row r="2963" spans="1:8" ht="15" customHeight="1">
      <c r="A2963" s="208"/>
      <c r="B2963" s="208"/>
      <c r="C2963" s="328"/>
      <c r="D2963" s="329"/>
      <c r="E2963" s="329"/>
      <c r="F2963" s="330"/>
      <c r="G2963" s="330"/>
      <c r="H2963" s="208"/>
    </row>
    <row r="2964" spans="1:8" ht="15" customHeight="1">
      <c r="A2964" s="208"/>
      <c r="B2964" s="208"/>
      <c r="C2964" s="328"/>
      <c r="D2964" s="329"/>
      <c r="E2964" s="329"/>
      <c r="F2964" s="330"/>
      <c r="G2964" s="330"/>
      <c r="H2964" s="208"/>
    </row>
    <row r="2965" spans="1:8" ht="15" customHeight="1">
      <c r="A2965" s="208"/>
      <c r="B2965" s="208"/>
      <c r="C2965" s="328"/>
      <c r="D2965" s="329"/>
      <c r="E2965" s="329"/>
      <c r="F2965" s="330"/>
      <c r="G2965" s="330"/>
      <c r="H2965" s="208"/>
    </row>
    <row r="2966" spans="1:8" ht="15" customHeight="1">
      <c r="A2966" s="208"/>
      <c r="B2966" s="208"/>
      <c r="C2966" s="328"/>
      <c r="D2966" s="329"/>
      <c r="E2966" s="329"/>
      <c r="F2966" s="330"/>
      <c r="G2966" s="330"/>
      <c r="H2966" s="208"/>
    </row>
    <row r="2967" spans="1:8" ht="15" customHeight="1">
      <c r="A2967" s="208"/>
      <c r="B2967" s="208"/>
      <c r="C2967" s="328"/>
      <c r="D2967" s="329"/>
      <c r="E2967" s="329"/>
      <c r="F2967" s="330"/>
      <c r="G2967" s="330"/>
      <c r="H2967" s="208"/>
    </row>
    <row r="2968" spans="1:8" ht="15" customHeight="1">
      <c r="A2968" s="208"/>
      <c r="B2968" s="208"/>
      <c r="C2968" s="328"/>
      <c r="D2968" s="329"/>
      <c r="E2968" s="329"/>
      <c r="F2968" s="330"/>
      <c r="G2968" s="330"/>
      <c r="H2968" s="208"/>
    </row>
    <row r="2969" spans="1:8" ht="15" customHeight="1">
      <c r="A2969" s="208"/>
      <c r="B2969" s="208"/>
      <c r="C2969" s="328"/>
      <c r="D2969" s="329"/>
      <c r="E2969" s="329"/>
      <c r="F2969" s="330"/>
      <c r="G2969" s="330"/>
      <c r="H2969" s="208"/>
    </row>
    <row r="2970" spans="1:8" ht="15" customHeight="1">
      <c r="A2970" s="208"/>
      <c r="B2970" s="208"/>
      <c r="C2970" s="328"/>
      <c r="D2970" s="329"/>
      <c r="E2970" s="329"/>
      <c r="F2970" s="330"/>
      <c r="G2970" s="330"/>
      <c r="H2970" s="208"/>
    </row>
    <row r="2971" spans="1:8" ht="15" customHeight="1">
      <c r="A2971" s="208"/>
      <c r="B2971" s="208"/>
      <c r="C2971" s="328"/>
      <c r="D2971" s="329"/>
      <c r="E2971" s="329"/>
      <c r="F2971" s="330"/>
      <c r="G2971" s="330"/>
      <c r="H2971" s="208"/>
    </row>
    <row r="2972" spans="1:8" ht="15" customHeight="1">
      <c r="A2972" s="208"/>
      <c r="B2972" s="208"/>
      <c r="C2972" s="328"/>
      <c r="D2972" s="329"/>
      <c r="E2972" s="329"/>
      <c r="F2972" s="330"/>
      <c r="G2972" s="330"/>
      <c r="H2972" s="208"/>
    </row>
    <row r="2973" spans="1:8" ht="15" customHeight="1">
      <c r="A2973" s="208"/>
      <c r="B2973" s="208"/>
      <c r="C2973" s="328"/>
      <c r="D2973" s="329"/>
      <c r="E2973" s="329"/>
      <c r="F2973" s="330"/>
      <c r="G2973" s="330"/>
      <c r="H2973" s="208"/>
    </row>
    <row r="2974" spans="1:8" ht="15" customHeight="1">
      <c r="A2974" s="208"/>
      <c r="B2974" s="208"/>
      <c r="C2974" s="328"/>
      <c r="D2974" s="329"/>
      <c r="E2974" s="329"/>
      <c r="F2974" s="330"/>
      <c r="G2974" s="330"/>
      <c r="H2974" s="208"/>
    </row>
    <row r="2975" spans="1:8" ht="15" customHeight="1">
      <c r="A2975" s="208"/>
      <c r="B2975" s="208"/>
      <c r="C2975" s="328"/>
      <c r="D2975" s="329"/>
      <c r="E2975" s="329"/>
      <c r="F2975" s="330"/>
      <c r="G2975" s="330"/>
      <c r="H2975" s="208"/>
    </row>
    <row r="2976" spans="1:8" ht="15" customHeight="1">
      <c r="A2976" s="208"/>
      <c r="B2976" s="208"/>
      <c r="C2976" s="328"/>
      <c r="D2976" s="329"/>
      <c r="E2976" s="329"/>
      <c r="F2976" s="330"/>
      <c r="G2976" s="330"/>
      <c r="H2976" s="208"/>
    </row>
    <row r="2977" spans="1:8" ht="15" customHeight="1">
      <c r="A2977" s="208"/>
      <c r="B2977" s="208"/>
      <c r="C2977" s="328"/>
      <c r="D2977" s="329"/>
      <c r="E2977" s="329"/>
      <c r="F2977" s="330"/>
      <c r="G2977" s="330"/>
      <c r="H2977" s="208"/>
    </row>
    <row r="2978" spans="1:8" ht="15" customHeight="1">
      <c r="A2978" s="208"/>
      <c r="B2978" s="208"/>
      <c r="C2978" s="328"/>
      <c r="D2978" s="329"/>
      <c r="E2978" s="329"/>
      <c r="F2978" s="330"/>
      <c r="G2978" s="330"/>
      <c r="H2978" s="208"/>
    </row>
    <row r="2979" spans="1:8" ht="15" customHeight="1">
      <c r="A2979" s="208"/>
      <c r="B2979" s="208"/>
      <c r="C2979" s="328"/>
      <c r="D2979" s="329"/>
      <c r="E2979" s="329"/>
      <c r="F2979" s="330"/>
      <c r="G2979" s="330"/>
      <c r="H2979" s="208"/>
    </row>
    <row r="2980" spans="1:8" ht="15" customHeight="1">
      <c r="A2980" s="208"/>
      <c r="B2980" s="208"/>
      <c r="C2980" s="328"/>
      <c r="D2980" s="329"/>
      <c r="E2980" s="329"/>
      <c r="F2980" s="330"/>
      <c r="G2980" s="330"/>
      <c r="H2980" s="208"/>
    </row>
    <row r="2981" spans="1:8" ht="15" customHeight="1">
      <c r="A2981" s="208"/>
      <c r="B2981" s="208"/>
      <c r="C2981" s="328"/>
      <c r="D2981" s="329"/>
      <c r="E2981" s="329"/>
      <c r="F2981" s="330"/>
      <c r="G2981" s="330"/>
      <c r="H2981" s="208"/>
    </row>
    <row r="2982" spans="1:8" ht="15" customHeight="1">
      <c r="A2982" s="208"/>
      <c r="B2982" s="208"/>
      <c r="C2982" s="328"/>
      <c r="D2982" s="329"/>
      <c r="E2982" s="329"/>
      <c r="F2982" s="330"/>
      <c r="G2982" s="330"/>
      <c r="H2982" s="208"/>
    </row>
    <row r="2983" spans="1:8" ht="15" customHeight="1">
      <c r="A2983" s="208"/>
      <c r="B2983" s="208"/>
      <c r="C2983" s="328"/>
      <c r="D2983" s="329"/>
      <c r="E2983" s="329"/>
      <c r="F2983" s="330"/>
      <c r="G2983" s="330"/>
      <c r="H2983" s="208"/>
    </row>
    <row r="2984" spans="1:8" ht="15" customHeight="1">
      <c r="A2984" s="208"/>
      <c r="B2984" s="208"/>
      <c r="C2984" s="328"/>
      <c r="D2984" s="329"/>
      <c r="E2984" s="329"/>
      <c r="F2984" s="330"/>
      <c r="G2984" s="330"/>
      <c r="H2984" s="208"/>
    </row>
    <row r="2985" spans="1:8" ht="15" customHeight="1">
      <c r="A2985" s="208"/>
      <c r="B2985" s="208"/>
      <c r="C2985" s="328"/>
      <c r="D2985" s="329"/>
      <c r="E2985" s="329"/>
      <c r="F2985" s="330"/>
      <c r="G2985" s="330"/>
      <c r="H2985" s="208"/>
    </row>
    <row r="2986" spans="1:8" ht="15" customHeight="1">
      <c r="A2986" s="208"/>
      <c r="B2986" s="208"/>
      <c r="C2986" s="328"/>
      <c r="D2986" s="329"/>
      <c r="E2986" s="329"/>
      <c r="F2986" s="330"/>
      <c r="G2986" s="330"/>
      <c r="H2986" s="208"/>
    </row>
    <row r="2987" spans="1:8" ht="15" customHeight="1">
      <c r="A2987" s="208"/>
      <c r="B2987" s="208"/>
      <c r="C2987" s="328"/>
      <c r="D2987" s="329"/>
      <c r="E2987" s="329"/>
      <c r="F2987" s="330"/>
      <c r="G2987" s="330"/>
      <c r="H2987" s="208"/>
    </row>
    <row r="2988" spans="1:8" ht="15" customHeight="1">
      <c r="A2988" s="208"/>
      <c r="B2988" s="208"/>
      <c r="C2988" s="328"/>
      <c r="D2988" s="329"/>
      <c r="E2988" s="329"/>
      <c r="F2988" s="330"/>
      <c r="G2988" s="330"/>
      <c r="H2988" s="208"/>
    </row>
    <row r="2989" spans="1:8" ht="15" customHeight="1">
      <c r="A2989" s="208"/>
      <c r="B2989" s="208"/>
      <c r="C2989" s="328"/>
      <c r="D2989" s="329"/>
      <c r="E2989" s="329"/>
      <c r="F2989" s="330"/>
      <c r="G2989" s="330"/>
      <c r="H2989" s="208"/>
    </row>
    <row r="2990" spans="1:8" ht="15" customHeight="1">
      <c r="A2990" s="208"/>
      <c r="B2990" s="208"/>
      <c r="C2990" s="328"/>
      <c r="D2990" s="329"/>
      <c r="E2990" s="329"/>
      <c r="F2990" s="330"/>
      <c r="G2990" s="330"/>
      <c r="H2990" s="208"/>
    </row>
    <row r="2991" spans="1:8" ht="15" customHeight="1">
      <c r="A2991" s="208"/>
      <c r="B2991" s="208"/>
      <c r="C2991" s="328"/>
      <c r="D2991" s="329"/>
      <c r="E2991" s="329"/>
      <c r="F2991" s="330"/>
      <c r="G2991" s="330"/>
      <c r="H2991" s="208"/>
    </row>
    <row r="2992" spans="1:8" ht="15" customHeight="1">
      <c r="A2992" s="208"/>
      <c r="B2992" s="208"/>
      <c r="C2992" s="328"/>
      <c r="D2992" s="329"/>
      <c r="E2992" s="329"/>
      <c r="F2992" s="330"/>
      <c r="G2992" s="330"/>
      <c r="H2992" s="208"/>
    </row>
    <row r="2993" spans="1:8" ht="15" customHeight="1">
      <c r="A2993" s="208"/>
      <c r="B2993" s="208"/>
      <c r="C2993" s="328"/>
      <c r="D2993" s="329"/>
      <c r="E2993" s="329"/>
      <c r="F2993" s="330"/>
      <c r="G2993" s="330"/>
      <c r="H2993" s="208"/>
    </row>
    <row r="2994" spans="1:8" ht="15" customHeight="1">
      <c r="A2994" s="208"/>
      <c r="B2994" s="208"/>
      <c r="C2994" s="328"/>
      <c r="D2994" s="329"/>
      <c r="E2994" s="329"/>
      <c r="F2994" s="330"/>
      <c r="G2994" s="330"/>
      <c r="H2994" s="208"/>
    </row>
    <row r="2995" spans="1:8" ht="15" customHeight="1">
      <c r="A2995" s="208"/>
      <c r="B2995" s="208"/>
      <c r="C2995" s="328"/>
      <c r="D2995" s="329"/>
      <c r="E2995" s="329"/>
      <c r="F2995" s="330"/>
      <c r="G2995" s="330"/>
      <c r="H2995" s="208"/>
    </row>
    <row r="2996" spans="1:8" ht="15" customHeight="1">
      <c r="A2996" s="208"/>
      <c r="B2996" s="208"/>
      <c r="C2996" s="328"/>
      <c r="D2996" s="329"/>
      <c r="E2996" s="329"/>
      <c r="F2996" s="330"/>
      <c r="G2996" s="330"/>
      <c r="H2996" s="208"/>
    </row>
    <row r="2997" spans="1:8" ht="15" customHeight="1">
      <c r="A2997" s="208"/>
      <c r="B2997" s="208"/>
      <c r="C2997" s="328"/>
      <c r="D2997" s="329"/>
      <c r="E2997" s="329"/>
      <c r="F2997" s="330"/>
      <c r="G2997" s="330"/>
      <c r="H2997" s="208"/>
    </row>
    <row r="2998" spans="1:8" ht="15" customHeight="1">
      <c r="A2998" s="208"/>
      <c r="B2998" s="208"/>
      <c r="C2998" s="328"/>
      <c r="D2998" s="329"/>
      <c r="E2998" s="329"/>
      <c r="F2998" s="330"/>
      <c r="G2998" s="330"/>
      <c r="H2998" s="208"/>
    </row>
    <row r="2999" spans="1:8" ht="15" customHeight="1">
      <c r="A2999" s="208"/>
      <c r="B2999" s="208"/>
      <c r="C2999" s="328"/>
      <c r="D2999" s="329"/>
      <c r="E2999" s="329"/>
      <c r="F2999" s="330"/>
      <c r="G2999" s="330"/>
      <c r="H2999" s="208"/>
    </row>
    <row r="3000" spans="1:8" ht="15" customHeight="1">
      <c r="A3000" s="208"/>
      <c r="B3000" s="208"/>
      <c r="C3000" s="328"/>
      <c r="D3000" s="329"/>
      <c r="E3000" s="329"/>
      <c r="F3000" s="330"/>
      <c r="G3000" s="330"/>
      <c r="H3000" s="208"/>
    </row>
    <row r="3001" spans="1:8" ht="15" customHeight="1">
      <c r="A3001" s="208"/>
      <c r="B3001" s="208"/>
      <c r="C3001" s="328"/>
      <c r="D3001" s="329"/>
      <c r="E3001" s="329"/>
      <c r="F3001" s="330"/>
      <c r="G3001" s="330"/>
      <c r="H3001" s="208"/>
    </row>
    <row r="3002" spans="1:8" ht="15" customHeight="1">
      <c r="A3002" s="208"/>
      <c r="B3002" s="208"/>
      <c r="C3002" s="328"/>
      <c r="D3002" s="329"/>
      <c r="E3002" s="329"/>
      <c r="F3002" s="330"/>
      <c r="G3002" s="330"/>
      <c r="H3002" s="208"/>
    </row>
    <row r="3003" spans="1:8" ht="15" customHeight="1">
      <c r="A3003" s="208"/>
      <c r="B3003" s="208"/>
      <c r="C3003" s="328"/>
      <c r="D3003" s="329"/>
      <c r="E3003" s="329"/>
      <c r="F3003" s="330"/>
      <c r="G3003" s="330"/>
      <c r="H3003" s="208"/>
    </row>
    <row r="3004" spans="1:8" ht="15" customHeight="1">
      <c r="A3004" s="208"/>
      <c r="B3004" s="208"/>
      <c r="C3004" s="328"/>
      <c r="D3004" s="329"/>
      <c r="E3004" s="329"/>
      <c r="F3004" s="330"/>
      <c r="G3004" s="330"/>
      <c r="H3004" s="208"/>
    </row>
    <row r="3005" spans="1:8" ht="15" customHeight="1">
      <c r="A3005" s="208"/>
      <c r="B3005" s="208"/>
      <c r="C3005" s="328"/>
      <c r="D3005" s="329"/>
      <c r="E3005" s="329"/>
      <c r="F3005" s="330"/>
      <c r="G3005" s="330"/>
      <c r="H3005" s="208"/>
    </row>
    <row r="3006" spans="1:8" ht="15" customHeight="1">
      <c r="A3006" s="208"/>
      <c r="B3006" s="208"/>
      <c r="C3006" s="328"/>
      <c r="D3006" s="329"/>
      <c r="E3006" s="329"/>
      <c r="F3006" s="330"/>
      <c r="G3006" s="330"/>
      <c r="H3006" s="208"/>
    </row>
    <row r="3007" spans="1:8" ht="15" customHeight="1">
      <c r="A3007" s="208"/>
      <c r="B3007" s="208"/>
      <c r="C3007" s="328"/>
      <c r="D3007" s="329"/>
      <c r="E3007" s="329"/>
      <c r="F3007" s="330"/>
      <c r="G3007" s="330"/>
      <c r="H3007" s="208"/>
    </row>
    <row r="3008" spans="1:8" ht="15" customHeight="1">
      <c r="A3008" s="208"/>
      <c r="B3008" s="208"/>
      <c r="C3008" s="328"/>
      <c r="D3008" s="329"/>
      <c r="E3008" s="329"/>
      <c r="F3008" s="330"/>
      <c r="G3008" s="330"/>
      <c r="H3008" s="208"/>
    </row>
    <row r="3009" spans="1:8" ht="15" customHeight="1">
      <c r="A3009" s="208"/>
      <c r="B3009" s="208"/>
      <c r="C3009" s="328"/>
      <c r="D3009" s="329"/>
      <c r="E3009" s="329"/>
      <c r="F3009" s="330"/>
      <c r="G3009" s="330"/>
      <c r="H3009" s="208"/>
    </row>
    <row r="3010" spans="1:8" ht="15" customHeight="1">
      <c r="A3010" s="208"/>
      <c r="B3010" s="208"/>
      <c r="C3010" s="328"/>
      <c r="D3010" s="329"/>
      <c r="E3010" s="329"/>
      <c r="F3010" s="330"/>
      <c r="G3010" s="330"/>
      <c r="H3010" s="208"/>
    </row>
    <row r="3011" spans="1:8" ht="15" customHeight="1">
      <c r="A3011" s="208"/>
      <c r="B3011" s="208"/>
      <c r="C3011" s="328"/>
      <c r="D3011" s="329"/>
      <c r="E3011" s="329"/>
      <c r="F3011" s="330"/>
      <c r="G3011" s="330"/>
      <c r="H3011" s="208"/>
    </row>
    <row r="3012" spans="1:8" ht="15" customHeight="1">
      <c r="A3012" s="208"/>
      <c r="B3012" s="208"/>
      <c r="C3012" s="328"/>
      <c r="D3012" s="329"/>
      <c r="E3012" s="329"/>
      <c r="F3012" s="330"/>
      <c r="G3012" s="330"/>
      <c r="H3012" s="208"/>
    </row>
    <row r="3013" spans="1:8" ht="15" customHeight="1">
      <c r="A3013" s="208"/>
      <c r="B3013" s="208"/>
      <c r="C3013" s="328"/>
      <c r="D3013" s="329"/>
      <c r="E3013" s="329"/>
      <c r="F3013" s="330"/>
      <c r="G3013" s="330"/>
      <c r="H3013" s="208"/>
    </row>
    <row r="3014" spans="1:8" ht="15" customHeight="1">
      <c r="A3014" s="208"/>
      <c r="B3014" s="208"/>
      <c r="C3014" s="328"/>
      <c r="D3014" s="329"/>
      <c r="E3014" s="329"/>
      <c r="F3014" s="330"/>
      <c r="G3014" s="330"/>
      <c r="H3014" s="208"/>
    </row>
    <row r="3015" spans="1:8" ht="15" customHeight="1">
      <c r="A3015" s="208"/>
      <c r="B3015" s="208"/>
      <c r="C3015" s="328"/>
      <c r="D3015" s="329"/>
      <c r="E3015" s="329"/>
      <c r="F3015" s="330"/>
      <c r="G3015" s="330"/>
      <c r="H3015" s="208"/>
    </row>
    <row r="3016" spans="1:8" ht="15" customHeight="1">
      <c r="A3016" s="208"/>
      <c r="B3016" s="208"/>
      <c r="C3016" s="328"/>
      <c r="D3016" s="329"/>
      <c r="E3016" s="329"/>
      <c r="F3016" s="330"/>
      <c r="G3016" s="330"/>
      <c r="H3016" s="208"/>
    </row>
    <row r="3017" spans="1:8" ht="15" customHeight="1">
      <c r="A3017" s="208"/>
      <c r="B3017" s="208"/>
      <c r="C3017" s="328"/>
      <c r="D3017" s="329"/>
      <c r="E3017" s="329"/>
      <c r="F3017" s="330"/>
      <c r="G3017" s="330"/>
      <c r="H3017" s="208"/>
    </row>
    <row r="3018" spans="1:8" ht="15" customHeight="1">
      <c r="A3018" s="208"/>
      <c r="B3018" s="208"/>
      <c r="C3018" s="328"/>
      <c r="D3018" s="329"/>
      <c r="E3018" s="329"/>
      <c r="F3018" s="330"/>
      <c r="G3018" s="330"/>
      <c r="H3018" s="208"/>
    </row>
    <row r="3019" spans="1:8" ht="15" customHeight="1">
      <c r="A3019" s="208"/>
      <c r="B3019" s="208"/>
      <c r="C3019" s="328"/>
      <c r="D3019" s="329"/>
      <c r="E3019" s="329"/>
      <c r="F3019" s="330"/>
      <c r="G3019" s="330"/>
      <c r="H3019" s="208"/>
    </row>
    <row r="3020" spans="1:8" ht="15" customHeight="1">
      <c r="A3020" s="208"/>
      <c r="B3020" s="208"/>
      <c r="C3020" s="328"/>
      <c r="D3020" s="329"/>
      <c r="E3020" s="329"/>
      <c r="F3020" s="330"/>
      <c r="G3020" s="330"/>
      <c r="H3020" s="208"/>
    </row>
    <row r="3021" spans="1:8" ht="15" customHeight="1">
      <c r="A3021" s="208"/>
      <c r="B3021" s="208"/>
      <c r="C3021" s="328"/>
      <c r="D3021" s="329"/>
      <c r="E3021" s="329"/>
      <c r="F3021" s="330"/>
      <c r="G3021" s="330"/>
      <c r="H3021" s="208"/>
    </row>
    <row r="3022" spans="1:8" ht="15" customHeight="1">
      <c r="A3022" s="208"/>
      <c r="B3022" s="208"/>
      <c r="C3022" s="328"/>
      <c r="D3022" s="329"/>
      <c r="E3022" s="329"/>
      <c r="F3022" s="330"/>
      <c r="G3022" s="330"/>
      <c r="H3022" s="208"/>
    </row>
    <row r="3023" spans="1:8" ht="15" customHeight="1">
      <c r="A3023" s="208"/>
      <c r="B3023" s="208"/>
      <c r="C3023" s="328"/>
      <c r="D3023" s="329"/>
      <c r="E3023" s="329"/>
      <c r="F3023" s="330"/>
      <c r="G3023" s="330"/>
      <c r="H3023" s="208"/>
    </row>
    <row r="3024" spans="1:8" ht="15" customHeight="1">
      <c r="A3024" s="208"/>
      <c r="B3024" s="208"/>
      <c r="C3024" s="328"/>
      <c r="D3024" s="329"/>
      <c r="E3024" s="329"/>
      <c r="F3024" s="330"/>
      <c r="G3024" s="330"/>
      <c r="H3024" s="208"/>
    </row>
    <row r="3025" spans="1:8" ht="15" customHeight="1">
      <c r="A3025" s="208"/>
      <c r="B3025" s="208"/>
      <c r="C3025" s="328"/>
      <c r="D3025" s="329"/>
      <c r="E3025" s="329"/>
      <c r="F3025" s="330"/>
      <c r="G3025" s="330"/>
      <c r="H3025" s="208"/>
    </row>
    <row r="3026" spans="1:8" ht="15" customHeight="1">
      <c r="A3026" s="208"/>
      <c r="B3026" s="208"/>
      <c r="C3026" s="328"/>
      <c r="D3026" s="329"/>
      <c r="E3026" s="329"/>
      <c r="F3026" s="330"/>
      <c r="G3026" s="330"/>
      <c r="H3026" s="208"/>
    </row>
    <row r="3027" spans="1:8" ht="15" customHeight="1">
      <c r="A3027" s="208"/>
      <c r="B3027" s="208"/>
      <c r="C3027" s="328"/>
      <c r="D3027" s="329"/>
      <c r="E3027" s="329"/>
      <c r="F3027" s="330"/>
      <c r="G3027" s="330"/>
      <c r="H3027" s="208"/>
    </row>
    <row r="3028" spans="1:8" ht="15" customHeight="1">
      <c r="A3028" s="208"/>
      <c r="B3028" s="208"/>
      <c r="C3028" s="328"/>
      <c r="D3028" s="329"/>
      <c r="E3028" s="329"/>
      <c r="F3028" s="330"/>
      <c r="G3028" s="330"/>
      <c r="H3028" s="208"/>
    </row>
    <row r="3029" spans="1:8" ht="15" customHeight="1">
      <c r="A3029" s="208"/>
      <c r="B3029" s="208"/>
      <c r="C3029" s="328"/>
      <c r="D3029" s="329"/>
      <c r="E3029" s="329"/>
      <c r="F3029" s="330"/>
      <c r="G3029" s="330"/>
      <c r="H3029" s="208"/>
    </row>
    <row r="3030" spans="1:8" ht="15" customHeight="1">
      <c r="A3030" s="208"/>
      <c r="B3030" s="208"/>
      <c r="C3030" s="328"/>
      <c r="D3030" s="329"/>
      <c r="E3030" s="329"/>
      <c r="F3030" s="330"/>
      <c r="G3030" s="330"/>
      <c r="H3030" s="208"/>
    </row>
    <row r="3031" spans="1:8" ht="15" customHeight="1">
      <c r="A3031" s="208"/>
      <c r="B3031" s="208"/>
      <c r="C3031" s="328"/>
      <c r="D3031" s="329"/>
      <c r="E3031" s="329"/>
      <c r="F3031" s="330"/>
      <c r="G3031" s="330"/>
      <c r="H3031" s="208"/>
    </row>
    <row r="3032" spans="1:8" ht="15" customHeight="1">
      <c r="A3032" s="208"/>
      <c r="B3032" s="208"/>
      <c r="C3032" s="328"/>
      <c r="D3032" s="329"/>
      <c r="E3032" s="329"/>
      <c r="F3032" s="330"/>
      <c r="G3032" s="330"/>
      <c r="H3032" s="208"/>
    </row>
    <row r="3033" spans="1:8" ht="15" customHeight="1">
      <c r="A3033" s="208"/>
      <c r="B3033" s="208"/>
      <c r="C3033" s="328"/>
      <c r="D3033" s="329"/>
      <c r="E3033" s="329"/>
      <c r="F3033" s="330"/>
      <c r="G3033" s="330"/>
      <c r="H3033" s="208"/>
    </row>
    <row r="3034" spans="1:8" ht="15" customHeight="1">
      <c r="A3034" s="208"/>
      <c r="B3034" s="208"/>
      <c r="C3034" s="328"/>
      <c r="D3034" s="329"/>
      <c r="E3034" s="329"/>
      <c r="F3034" s="330"/>
      <c r="G3034" s="330"/>
      <c r="H3034" s="208"/>
    </row>
    <row r="3035" spans="1:8" ht="15" customHeight="1">
      <c r="A3035" s="208"/>
      <c r="B3035" s="208"/>
      <c r="C3035" s="328"/>
      <c r="D3035" s="329"/>
      <c r="E3035" s="329"/>
      <c r="F3035" s="330"/>
      <c r="G3035" s="330"/>
      <c r="H3035" s="208"/>
    </row>
    <row r="3036" spans="1:8" ht="15" customHeight="1">
      <c r="A3036" s="208"/>
      <c r="B3036" s="208"/>
      <c r="C3036" s="328"/>
      <c r="D3036" s="329"/>
      <c r="E3036" s="329"/>
      <c r="F3036" s="330"/>
      <c r="G3036" s="330"/>
      <c r="H3036" s="208"/>
    </row>
    <row r="3037" spans="1:8" ht="15" customHeight="1">
      <c r="A3037" s="208"/>
      <c r="B3037" s="208"/>
      <c r="C3037" s="328"/>
      <c r="D3037" s="329"/>
      <c r="E3037" s="329"/>
      <c r="F3037" s="330"/>
      <c r="G3037" s="330"/>
      <c r="H3037" s="208"/>
    </row>
    <row r="3038" spans="1:8" ht="15" customHeight="1">
      <c r="A3038" s="208"/>
      <c r="B3038" s="208"/>
      <c r="C3038" s="328"/>
      <c r="D3038" s="329"/>
      <c r="E3038" s="329"/>
      <c r="F3038" s="330"/>
      <c r="G3038" s="330"/>
      <c r="H3038" s="208"/>
    </row>
    <row r="3039" spans="1:8" ht="15" customHeight="1">
      <c r="A3039" s="208"/>
      <c r="B3039" s="208"/>
      <c r="C3039" s="328"/>
      <c r="D3039" s="329"/>
      <c r="E3039" s="329"/>
      <c r="F3039" s="330"/>
      <c r="G3039" s="330"/>
      <c r="H3039" s="208"/>
    </row>
    <row r="3040" spans="1:8" ht="15" customHeight="1">
      <c r="A3040" s="208"/>
      <c r="B3040" s="208"/>
      <c r="C3040" s="328"/>
      <c r="D3040" s="329"/>
      <c r="E3040" s="329"/>
      <c r="F3040" s="330"/>
      <c r="G3040" s="330"/>
      <c r="H3040" s="208"/>
    </row>
    <row r="3041" spans="1:8" ht="15" customHeight="1">
      <c r="A3041" s="208"/>
      <c r="B3041" s="208"/>
      <c r="C3041" s="328"/>
      <c r="D3041" s="329"/>
      <c r="E3041" s="329"/>
      <c r="F3041" s="330"/>
      <c r="G3041" s="330"/>
      <c r="H3041" s="208"/>
    </row>
    <row r="3042" spans="1:8" ht="15" customHeight="1">
      <c r="A3042" s="208"/>
      <c r="B3042" s="208"/>
      <c r="C3042" s="328"/>
      <c r="D3042" s="329"/>
      <c r="E3042" s="329"/>
      <c r="F3042" s="330"/>
      <c r="G3042" s="330"/>
      <c r="H3042" s="208"/>
    </row>
    <row r="3043" spans="1:8" ht="15" customHeight="1">
      <c r="A3043" s="208"/>
      <c r="B3043" s="208"/>
      <c r="C3043" s="328"/>
      <c r="D3043" s="329"/>
      <c r="E3043" s="329"/>
      <c r="F3043" s="330"/>
      <c r="G3043" s="330"/>
      <c r="H3043" s="208"/>
    </row>
    <row r="3044" spans="1:8" ht="15" customHeight="1">
      <c r="A3044" s="208"/>
      <c r="B3044" s="208"/>
      <c r="C3044" s="328"/>
      <c r="D3044" s="329"/>
      <c r="E3044" s="329"/>
      <c r="F3044" s="330"/>
      <c r="G3044" s="330"/>
      <c r="H3044" s="208"/>
    </row>
    <row r="3045" spans="1:8" ht="15" customHeight="1">
      <c r="A3045" s="208"/>
      <c r="B3045" s="208"/>
      <c r="C3045" s="328"/>
      <c r="D3045" s="329"/>
      <c r="E3045" s="329"/>
      <c r="F3045" s="330"/>
      <c r="G3045" s="330"/>
      <c r="H3045" s="208"/>
    </row>
  </sheetData>
  <mergeCells count="133">
    <mergeCell ref="A1529:B1529"/>
    <mergeCell ref="A1530:B1530"/>
    <mergeCell ref="A1580:B1580"/>
    <mergeCell ref="A1581:B1581"/>
    <mergeCell ref="A1595:B1595"/>
    <mergeCell ref="A1596:B1596"/>
    <mergeCell ref="A1903:B1903"/>
    <mergeCell ref="A1374:B1374"/>
    <mergeCell ref="A1394:B1394"/>
    <mergeCell ref="A1395:B1395"/>
    <mergeCell ref="A1476:B1476"/>
    <mergeCell ref="A1477:B1477"/>
    <mergeCell ref="A1495:B1495"/>
    <mergeCell ref="A1496:B1496"/>
    <mergeCell ref="A1519:B1519"/>
    <mergeCell ref="A1520:B1520"/>
    <mergeCell ref="A1288:B1288"/>
    <mergeCell ref="A1289:B1289"/>
    <mergeCell ref="A1309:B1309"/>
    <mergeCell ref="A1310:B1310"/>
    <mergeCell ref="A1334:B1334"/>
    <mergeCell ref="A1335:B1335"/>
    <mergeCell ref="A1358:B1358"/>
    <mergeCell ref="A1359:B1359"/>
    <mergeCell ref="A1373:B1373"/>
    <mergeCell ref="A1168:B1168"/>
    <mergeCell ref="A1183:B1183"/>
    <mergeCell ref="A1184:B1184"/>
    <mergeCell ref="A1205:B1205"/>
    <mergeCell ref="A1206:B1206"/>
    <mergeCell ref="A1259:B1259"/>
    <mergeCell ref="A1260:B1260"/>
    <mergeCell ref="A1274:B1274"/>
    <mergeCell ref="A1275:B1275"/>
    <mergeCell ref="A1122:B1122"/>
    <mergeCell ref="A1123:B1123"/>
    <mergeCell ref="A1129:B1129"/>
    <mergeCell ref="A1130:B1130"/>
    <mergeCell ref="A1141:B1141"/>
    <mergeCell ref="A1142:B1142"/>
    <mergeCell ref="A1153:B1153"/>
    <mergeCell ref="A1154:B1154"/>
    <mergeCell ref="A1167:B1167"/>
    <mergeCell ref="A907:B907"/>
    <mergeCell ref="A976:B976"/>
    <mergeCell ref="A977:B977"/>
    <mergeCell ref="A1025:B1025"/>
    <mergeCell ref="A1026:B1026"/>
    <mergeCell ref="A1081:B1081"/>
    <mergeCell ref="A1082:B1082"/>
    <mergeCell ref="A1101:B1101"/>
    <mergeCell ref="A1102:B1102"/>
    <mergeCell ref="A873:B873"/>
    <mergeCell ref="A874:B874"/>
    <mergeCell ref="A886:B886"/>
    <mergeCell ref="A887:B887"/>
    <mergeCell ref="A894:B894"/>
    <mergeCell ref="A895:B895"/>
    <mergeCell ref="A901:B901"/>
    <mergeCell ref="A902:B902"/>
    <mergeCell ref="A906:B906"/>
    <mergeCell ref="D820:D831"/>
    <mergeCell ref="A835:B835"/>
    <mergeCell ref="A836:B836"/>
    <mergeCell ref="A843:B843"/>
    <mergeCell ref="A844:B844"/>
    <mergeCell ref="A851:B851"/>
    <mergeCell ref="A852:B852"/>
    <mergeCell ref="A856:B856"/>
    <mergeCell ref="A857:B857"/>
    <mergeCell ref="A726:B726"/>
    <mergeCell ref="A727:B727"/>
    <mergeCell ref="A742:B742"/>
    <mergeCell ref="A743:B743"/>
    <mergeCell ref="A786:B786"/>
    <mergeCell ref="A787:B787"/>
    <mergeCell ref="D794:D800"/>
    <mergeCell ref="D801:D810"/>
    <mergeCell ref="D811:D819"/>
    <mergeCell ref="A630:A641"/>
    <mergeCell ref="A642:A651"/>
    <mergeCell ref="A655:B655"/>
    <mergeCell ref="A657:A662"/>
    <mergeCell ref="A663:A667"/>
    <mergeCell ref="A668:A672"/>
    <mergeCell ref="A673:A679"/>
    <mergeCell ref="A682:B682"/>
    <mergeCell ref="A683:B683"/>
    <mergeCell ref="A440:B440"/>
    <mergeCell ref="F440:G440"/>
    <mergeCell ref="A534:B534"/>
    <mergeCell ref="A535:B535"/>
    <mergeCell ref="A555:B555"/>
    <mergeCell ref="A556:B556"/>
    <mergeCell ref="A558:A578"/>
    <mergeCell ref="A579:A620"/>
    <mergeCell ref="A621:A629"/>
    <mergeCell ref="A289:B289"/>
    <mergeCell ref="A290:B290"/>
    <mergeCell ref="A306:B306"/>
    <mergeCell ref="A307:B307"/>
    <mergeCell ref="A314:B314"/>
    <mergeCell ref="A315:B315"/>
    <mergeCell ref="A331:B331"/>
    <mergeCell ref="A332:B332"/>
    <mergeCell ref="A439:B439"/>
    <mergeCell ref="A178:B178"/>
    <mergeCell ref="A179:B179"/>
    <mergeCell ref="A197:B197"/>
    <mergeCell ref="A198:B198"/>
    <mergeCell ref="D200:D210"/>
    <mergeCell ref="A223:B223"/>
    <mergeCell ref="A234:B234"/>
    <mergeCell ref="A256:B256"/>
    <mergeCell ref="A272:B272"/>
    <mergeCell ref="A126:B126"/>
    <mergeCell ref="A141:B141"/>
    <mergeCell ref="A142:B142"/>
    <mergeCell ref="A154:B154"/>
    <mergeCell ref="A155:B155"/>
    <mergeCell ref="A159:B159"/>
    <mergeCell ref="A160:B160"/>
    <mergeCell ref="A163:B163"/>
    <mergeCell ref="A164:B164"/>
    <mergeCell ref="A73:B73"/>
    <mergeCell ref="A91:B91"/>
    <mergeCell ref="A96:B96"/>
    <mergeCell ref="A97:B97"/>
    <mergeCell ref="A106:B106"/>
    <mergeCell ref="A107:B107"/>
    <mergeCell ref="A113:B113"/>
    <mergeCell ref="A114:B114"/>
    <mergeCell ref="A125:B125"/>
  </mergeCells>
  <pageMargins left="0.7" right="0.7" top="0.75" bottom="0.75" header="0.51180555555555496" footer="0.51180555555555496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MJ1535"/>
  <sheetViews>
    <sheetView tabSelected="1" zoomScale="84" zoomScaleNormal="60" workbookViewId="0">
      <selection activeCell="C9" sqref="C9"/>
    </sheetView>
  </sheetViews>
  <sheetFormatPr baseColWidth="10" defaultColWidth="9.1640625" defaultRowHeight="15" outlineLevelRow="1"/>
  <cols>
    <col min="1" max="1" width="45.1640625" style="331" customWidth="1"/>
    <col min="2" max="2" width="9.33203125" style="332" customWidth="1"/>
    <col min="3" max="3" width="9.33203125" style="331" customWidth="1"/>
    <col min="4" max="4" width="9.83203125" style="331" customWidth="1"/>
    <col min="5" max="6" width="9.5" style="331" customWidth="1"/>
    <col min="7" max="7" width="9.1640625" style="331"/>
    <col min="8" max="8" width="4.5" style="331" customWidth="1"/>
    <col min="9" max="17" width="2.6640625" style="331" customWidth="1"/>
    <col min="18" max="18" width="4.5" style="331" customWidth="1"/>
    <col min="19" max="20" width="2.6640625" style="331" customWidth="1"/>
    <col min="21" max="21" width="4.33203125" style="331" customWidth="1"/>
    <col min="22" max="33" width="2.6640625" style="331" customWidth="1"/>
    <col min="34" max="34" width="4.5" style="331" customWidth="1"/>
    <col min="35" max="40" width="2.6640625" style="331" customWidth="1"/>
    <col min="41" max="42" width="2.6640625" style="333" customWidth="1"/>
    <col min="43" max="44" width="2.6640625" style="334" customWidth="1"/>
    <col min="45" max="58" width="9.1640625" style="334"/>
    <col min="59" max="1024" width="9.1640625" style="331"/>
  </cols>
  <sheetData>
    <row r="1" spans="1:58" ht="14.25" customHeight="1">
      <c r="A1" s="335" t="s">
        <v>1745</v>
      </c>
      <c r="B1" s="336"/>
      <c r="C1" s="336"/>
      <c r="D1" s="3059" t="s">
        <v>1746</v>
      </c>
      <c r="E1" s="3059"/>
      <c r="F1" s="3059"/>
      <c r="G1" s="3059"/>
      <c r="H1" s="3059"/>
      <c r="I1" s="3059"/>
      <c r="J1" s="3059"/>
      <c r="K1" s="3059"/>
      <c r="L1" s="3059"/>
      <c r="M1" s="3059"/>
      <c r="N1" s="3059"/>
      <c r="O1" s="3059"/>
      <c r="P1" s="3059"/>
      <c r="Q1" s="3059"/>
      <c r="R1" s="3059"/>
      <c r="S1" s="3059"/>
      <c r="T1" s="3059"/>
      <c r="U1" s="3059"/>
      <c r="V1" s="3059"/>
      <c r="W1" s="3059"/>
      <c r="X1" s="3059"/>
      <c r="Y1" s="3059"/>
      <c r="Z1" s="3059"/>
      <c r="AA1" s="3059"/>
      <c r="AB1" s="3060"/>
      <c r="AC1" s="3060"/>
      <c r="AD1" s="3060"/>
      <c r="AE1" s="3060"/>
      <c r="AF1" s="3060"/>
      <c r="AG1" s="3060"/>
      <c r="AH1" s="3060"/>
      <c r="AI1" s="3060"/>
      <c r="AJ1" s="3060"/>
      <c r="AK1" s="3060"/>
      <c r="AL1" s="337"/>
      <c r="AM1" s="337"/>
      <c r="AN1" s="337"/>
      <c r="AO1" s="337"/>
      <c r="AP1" s="338"/>
      <c r="AQ1" s="339"/>
      <c r="AR1" s="339"/>
      <c r="AS1" s="339"/>
      <c r="AT1" s="340"/>
      <c r="AU1" s="340"/>
      <c r="AV1" s="340"/>
      <c r="AW1" s="340"/>
      <c r="AX1" s="340"/>
      <c r="AY1" s="340"/>
      <c r="AZ1" s="341"/>
      <c r="BA1" s="341"/>
      <c r="BB1" s="341"/>
      <c r="BC1" s="342"/>
      <c r="BD1" s="342"/>
      <c r="BE1" s="342"/>
    </row>
    <row r="2" spans="1:58" ht="14.25" customHeight="1">
      <c r="A2" s="343">
        <f>'Смета Внутр'!H2503</f>
        <v>907556.87620000006</v>
      </c>
      <c r="B2" s="344"/>
      <c r="C2" s="344"/>
      <c r="D2" s="3059"/>
      <c r="E2" s="3059"/>
      <c r="F2" s="3059"/>
      <c r="G2" s="3059"/>
      <c r="H2" s="3059"/>
      <c r="I2" s="3059"/>
      <c r="J2" s="3059"/>
      <c r="K2" s="3059"/>
      <c r="L2" s="3059"/>
      <c r="M2" s="3059"/>
      <c r="N2" s="3059"/>
      <c r="O2" s="3059"/>
      <c r="P2" s="3059"/>
      <c r="Q2" s="3059"/>
      <c r="R2" s="3059"/>
      <c r="S2" s="3059"/>
      <c r="T2" s="3059"/>
      <c r="U2" s="3059"/>
      <c r="V2" s="3059"/>
      <c r="W2" s="3059"/>
      <c r="X2" s="3059"/>
      <c r="Y2" s="3059"/>
      <c r="Z2" s="3059"/>
      <c r="AA2" s="3059"/>
      <c r="AB2" s="3060"/>
      <c r="AC2" s="3060"/>
      <c r="AD2" s="3060"/>
      <c r="AE2" s="3060"/>
      <c r="AF2" s="3060"/>
      <c r="AG2" s="3060"/>
      <c r="AH2" s="3060"/>
      <c r="AI2" s="3060"/>
      <c r="AJ2" s="3060"/>
      <c r="AK2" s="3060"/>
      <c r="AL2" s="337"/>
      <c r="AM2" s="337"/>
      <c r="AN2" s="337"/>
      <c r="AO2" s="337"/>
      <c r="AP2" s="338"/>
      <c r="AQ2" s="339"/>
      <c r="AR2" s="339"/>
      <c r="AS2" s="339"/>
      <c r="AT2" s="340"/>
      <c r="AU2" s="340"/>
      <c r="AV2" s="340"/>
      <c r="AW2" s="340"/>
      <c r="AX2" s="340"/>
      <c r="AY2" s="340"/>
      <c r="AZ2" s="341"/>
      <c r="BA2" s="341"/>
      <c r="BB2" s="341"/>
      <c r="BC2" s="342"/>
      <c r="BD2" s="342"/>
      <c r="BE2" s="342"/>
    </row>
    <row r="3" spans="1:58" ht="18.75" customHeight="1">
      <c r="A3" s="345" t="s">
        <v>1747</v>
      </c>
      <c r="B3" s="346"/>
      <c r="C3" s="347"/>
      <c r="D3" s="347"/>
      <c r="E3" s="347"/>
      <c r="F3" s="347"/>
      <c r="G3" s="348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  <c r="AE3" s="349"/>
      <c r="AF3" s="349"/>
      <c r="AG3" s="349"/>
      <c r="AH3" s="349"/>
      <c r="AI3" s="349"/>
      <c r="AJ3" s="349"/>
      <c r="AK3" s="349"/>
      <c r="AL3" s="350"/>
      <c r="AM3" s="350"/>
      <c r="AN3" s="350"/>
      <c r="AO3" s="351"/>
      <c r="AP3" s="351"/>
      <c r="AQ3" s="352"/>
      <c r="AR3" s="352"/>
      <c r="AS3" s="352"/>
      <c r="AT3" s="353"/>
      <c r="AU3" s="353"/>
      <c r="AV3" s="353"/>
      <c r="AW3" s="353"/>
      <c r="AX3" s="353"/>
      <c r="AY3" s="353"/>
      <c r="AZ3" s="342"/>
      <c r="BA3" s="342"/>
      <c r="BB3" s="342"/>
      <c r="BC3" s="342"/>
      <c r="BD3" s="342"/>
      <c r="BE3" s="342"/>
    </row>
    <row r="4" spans="1:58" ht="14.25" customHeight="1">
      <c r="D4" s="354"/>
      <c r="E4" s="354"/>
      <c r="F4" s="354"/>
      <c r="G4" s="354"/>
      <c r="H4" s="355" t="s">
        <v>156</v>
      </c>
      <c r="J4" s="355"/>
      <c r="K4" s="356"/>
      <c r="L4" s="357"/>
      <c r="M4" s="357"/>
      <c r="N4" s="357"/>
      <c r="O4" s="357"/>
      <c r="P4" s="357"/>
      <c r="Q4" s="357"/>
      <c r="R4" s="357"/>
      <c r="S4" s="357"/>
      <c r="T4" s="357"/>
      <c r="U4" s="357"/>
      <c r="V4" s="357"/>
      <c r="W4" s="357"/>
      <c r="X4" s="357"/>
      <c r="Y4" s="357"/>
      <c r="Z4" s="357"/>
      <c r="AA4" s="357"/>
      <c r="AB4" s="357"/>
      <c r="AC4" s="357"/>
      <c r="AD4" s="356"/>
      <c r="AE4" s="356"/>
      <c r="AF4" s="356"/>
      <c r="AG4" s="356"/>
      <c r="AH4" s="356"/>
      <c r="AI4" s="356"/>
      <c r="AJ4" s="354"/>
      <c r="AK4" s="354"/>
      <c r="AL4" s="354"/>
      <c r="AM4" s="354"/>
      <c r="AN4" s="354"/>
      <c r="AO4" s="358"/>
      <c r="AP4" s="358"/>
      <c r="AQ4" s="342"/>
      <c r="AR4" s="342"/>
      <c r="AS4" s="342"/>
      <c r="AT4" s="342"/>
      <c r="AU4" s="342"/>
      <c r="AV4" s="342"/>
      <c r="AW4" s="342"/>
      <c r="AX4" s="342"/>
      <c r="AY4" s="342"/>
      <c r="AZ4" s="342"/>
      <c r="BA4" s="342"/>
      <c r="BB4" s="342"/>
      <c r="BC4" s="342"/>
      <c r="BD4" s="342"/>
      <c r="BE4" s="342"/>
    </row>
    <row r="5" spans="1:58" ht="14.25" customHeight="1">
      <c r="A5" s="359" t="s">
        <v>1748</v>
      </c>
      <c r="D5" s="354"/>
      <c r="E5" s="354"/>
      <c r="F5" s="354"/>
      <c r="G5" s="354"/>
      <c r="H5" s="360">
        <v>5.3</v>
      </c>
      <c r="J5" s="360"/>
      <c r="K5" s="356"/>
      <c r="L5" s="357"/>
      <c r="M5" s="357"/>
      <c r="N5" s="357"/>
      <c r="O5" s="357"/>
      <c r="P5" s="357"/>
      <c r="Q5" s="357"/>
      <c r="R5" s="357"/>
      <c r="S5" s="357"/>
      <c r="T5" s="357"/>
      <c r="U5" s="357"/>
      <c r="V5" s="357"/>
      <c r="W5" s="357"/>
      <c r="X5" s="357"/>
      <c r="Y5" s="357"/>
      <c r="Z5" s="357"/>
      <c r="AA5" s="357"/>
      <c r="AB5" s="357"/>
      <c r="AC5" s="357"/>
      <c r="AD5" s="356"/>
      <c r="AE5" s="356"/>
      <c r="AF5" s="356"/>
      <c r="AG5" s="356"/>
      <c r="AH5" s="356"/>
      <c r="AI5" s="356"/>
      <c r="AJ5" s="354"/>
      <c r="AK5" s="354"/>
      <c r="AL5" s="354"/>
      <c r="AM5" s="354"/>
      <c r="AN5" s="354"/>
      <c r="AO5" s="358"/>
      <c r="AP5" s="358"/>
      <c r="AQ5" s="342"/>
      <c r="AR5" s="342"/>
      <c r="AS5" s="342"/>
      <c r="AT5" s="342"/>
      <c r="AU5" s="342"/>
      <c r="AV5" s="342"/>
      <c r="AW5" s="342"/>
      <c r="AX5" s="342"/>
      <c r="AY5" s="342"/>
      <c r="AZ5" s="342"/>
      <c r="BA5" s="342"/>
      <c r="BB5" s="342"/>
      <c r="BC5" s="342"/>
      <c r="BD5" s="342"/>
      <c r="BE5" s="342"/>
    </row>
    <row r="6" spans="1:58" ht="14.25" customHeight="1">
      <c r="A6" s="361" t="s">
        <v>1749</v>
      </c>
      <c r="C6" s="362"/>
      <c r="D6" s="362"/>
      <c r="G6" s="363"/>
      <c r="I6" s="360"/>
      <c r="J6" s="360"/>
      <c r="K6" s="356"/>
      <c r="L6" s="357"/>
      <c r="M6" s="357"/>
      <c r="N6" s="357"/>
      <c r="O6" s="357"/>
      <c r="P6" s="357"/>
      <c r="Q6" s="357"/>
      <c r="R6" s="357"/>
      <c r="S6" s="357"/>
      <c r="T6" s="357"/>
      <c r="U6" s="357"/>
      <c r="V6" s="357"/>
      <c r="W6" s="357"/>
      <c r="X6" s="357"/>
      <c r="Y6" s="357"/>
      <c r="Z6" s="357"/>
      <c r="AA6" s="357"/>
      <c r="AB6" s="357"/>
      <c r="AC6" s="357"/>
      <c r="AD6" s="356"/>
      <c r="AE6" s="356"/>
      <c r="AF6" s="356"/>
      <c r="AG6" s="356"/>
      <c r="AH6" s="356"/>
      <c r="AI6" s="356"/>
      <c r="AJ6" s="354"/>
      <c r="AK6" s="354"/>
      <c r="AL6" s="354"/>
      <c r="AM6" s="354"/>
      <c r="AN6" s="354"/>
      <c r="AO6" s="358"/>
      <c r="AP6" s="358"/>
      <c r="AQ6" s="342"/>
      <c r="AR6" s="342"/>
      <c r="AS6" s="342"/>
      <c r="AT6" s="342"/>
      <c r="AU6" s="342"/>
      <c r="AV6" s="342"/>
      <c r="AW6" s="342"/>
      <c r="AX6" s="342"/>
      <c r="AY6" s="342"/>
      <c r="AZ6" s="342"/>
      <c r="BA6" s="342"/>
      <c r="BB6" s="342"/>
      <c r="BC6" s="342"/>
      <c r="BD6" s="342"/>
      <c r="BE6" s="342"/>
    </row>
    <row r="7" spans="1:58" s="364" customFormat="1" ht="14.25" customHeight="1">
      <c r="A7" s="359" t="s">
        <v>1750</v>
      </c>
      <c r="B7" s="359"/>
      <c r="G7" s="365"/>
      <c r="H7" s="331"/>
      <c r="K7" s="356"/>
      <c r="L7" s="357"/>
      <c r="M7" s="357"/>
      <c r="N7" s="357"/>
      <c r="O7" s="357"/>
      <c r="P7" s="357"/>
      <c r="Q7" s="357"/>
      <c r="R7" s="357"/>
      <c r="S7" s="357"/>
      <c r="T7" s="357"/>
      <c r="U7" s="357"/>
      <c r="V7" s="357"/>
      <c r="W7" s="357"/>
      <c r="X7" s="357"/>
      <c r="Y7" s="357"/>
      <c r="Z7" s="357"/>
      <c r="AA7" s="357"/>
      <c r="AB7" s="357"/>
      <c r="AC7" s="357"/>
      <c r="AD7" s="356"/>
      <c r="AE7" s="356"/>
      <c r="AF7" s="356"/>
      <c r="AG7" s="356"/>
      <c r="AH7" s="356"/>
      <c r="AI7" s="356"/>
      <c r="AJ7" s="366"/>
      <c r="AK7" s="366"/>
      <c r="AL7" s="366"/>
      <c r="AM7" s="366"/>
      <c r="AN7" s="366"/>
      <c r="AO7" s="367"/>
      <c r="AP7" s="367"/>
      <c r="AQ7" s="340"/>
      <c r="AR7" s="340"/>
      <c r="AS7" s="340"/>
      <c r="AT7" s="340"/>
      <c r="AU7" s="340"/>
      <c r="AV7" s="340"/>
      <c r="AW7" s="340"/>
      <c r="AX7" s="340"/>
      <c r="AY7" s="340"/>
      <c r="AZ7" s="340"/>
      <c r="BA7" s="340"/>
      <c r="BB7" s="340"/>
      <c r="BC7" s="340"/>
      <c r="BD7" s="340"/>
      <c r="BE7" s="340"/>
      <c r="BF7" s="368"/>
    </row>
    <row r="8" spans="1:58" ht="14.25" customHeight="1">
      <c r="A8" s="369" t="s">
        <v>1751</v>
      </c>
      <c r="C8" s="362"/>
      <c r="D8" s="364"/>
      <c r="E8" s="370"/>
      <c r="F8" s="370"/>
      <c r="G8" s="371"/>
      <c r="I8" s="364"/>
      <c r="J8" s="364"/>
      <c r="K8" s="356"/>
      <c r="L8" s="357"/>
      <c r="M8" s="357"/>
      <c r="N8" s="357"/>
      <c r="O8" s="357"/>
      <c r="P8" s="357"/>
      <c r="Q8" s="357"/>
      <c r="R8" s="357"/>
      <c r="S8" s="357"/>
      <c r="T8" s="357"/>
      <c r="U8" s="357"/>
      <c r="V8" s="357"/>
      <c r="W8" s="357"/>
      <c r="X8" s="357"/>
      <c r="Y8" s="357"/>
      <c r="Z8" s="357"/>
      <c r="AA8" s="357"/>
      <c r="AB8" s="357"/>
      <c r="AC8" s="357"/>
      <c r="AD8" s="356"/>
      <c r="AE8" s="356"/>
      <c r="AF8" s="356"/>
      <c r="AG8" s="356"/>
      <c r="AH8" s="356"/>
      <c r="AI8" s="356"/>
      <c r="AJ8" s="354"/>
      <c r="AK8" s="354"/>
      <c r="AL8" s="354"/>
      <c r="AM8" s="354"/>
      <c r="AN8" s="354"/>
      <c r="AO8" s="358"/>
      <c r="AP8" s="358"/>
      <c r="AQ8" s="342"/>
      <c r="AR8" s="342"/>
      <c r="AS8" s="342"/>
      <c r="AT8" s="342"/>
      <c r="AU8" s="342"/>
      <c r="AV8" s="342"/>
      <c r="AW8" s="342"/>
      <c r="AX8" s="342"/>
      <c r="AY8" s="342"/>
      <c r="AZ8" s="342"/>
      <c r="BA8" s="342"/>
      <c r="BB8" s="342"/>
      <c r="BC8" s="342"/>
      <c r="BD8" s="342"/>
      <c r="BE8" s="342"/>
    </row>
    <row r="9" spans="1:58" s="364" customFormat="1" ht="14.25" customHeight="1">
      <c r="A9" s="372"/>
      <c r="B9" s="373"/>
      <c r="G9" s="365"/>
      <c r="H9" s="355" t="s">
        <v>156</v>
      </c>
      <c r="I9" s="331"/>
      <c r="J9" s="355"/>
      <c r="K9" s="356"/>
      <c r="L9" s="357"/>
      <c r="M9" s="357"/>
      <c r="N9" s="357"/>
      <c r="O9" s="357"/>
      <c r="P9" s="357"/>
      <c r="Q9" s="357"/>
      <c r="R9" s="357"/>
      <c r="S9" s="357"/>
      <c r="T9" s="357"/>
      <c r="U9" s="357"/>
      <c r="V9" s="357"/>
      <c r="W9" s="357"/>
      <c r="X9" s="357"/>
      <c r="Y9" s="357"/>
      <c r="Z9" s="357"/>
      <c r="AA9" s="357"/>
      <c r="AB9" s="357"/>
      <c r="AC9" s="357"/>
      <c r="AD9" s="356"/>
      <c r="AE9" s="356"/>
      <c r="AF9" s="356"/>
      <c r="AG9" s="356"/>
      <c r="AH9" s="356"/>
      <c r="AI9" s="356"/>
      <c r="AJ9" s="366"/>
      <c r="AK9" s="366"/>
      <c r="AL9" s="366"/>
      <c r="AM9" s="366"/>
      <c r="AN9" s="366"/>
      <c r="AO9" s="367"/>
      <c r="AP9" s="367"/>
      <c r="AQ9" s="340"/>
      <c r="AR9" s="340"/>
      <c r="AS9" s="340"/>
      <c r="AT9" s="340"/>
      <c r="AU9" s="340"/>
      <c r="AV9" s="340"/>
      <c r="AW9" s="340"/>
      <c r="AX9" s="340"/>
      <c r="AY9" s="340"/>
      <c r="AZ9" s="340"/>
      <c r="BA9" s="340"/>
      <c r="BB9" s="340"/>
      <c r="BC9" s="340"/>
      <c r="BD9" s="340"/>
      <c r="BE9" s="340"/>
      <c r="BF9" s="368"/>
    </row>
    <row r="10" spans="1:58" s="364" customFormat="1" ht="14.25" customHeight="1">
      <c r="A10" s="374" t="s">
        <v>1752</v>
      </c>
      <c r="B10" s="375" t="s">
        <v>120</v>
      </c>
      <c r="C10" s="374" t="s">
        <v>1753</v>
      </c>
      <c r="G10" s="365"/>
      <c r="H10" s="360">
        <v>5.2</v>
      </c>
      <c r="I10" s="331"/>
      <c r="J10" s="360"/>
      <c r="K10" s="356"/>
      <c r="L10" s="357"/>
      <c r="M10" s="357"/>
      <c r="N10" s="357"/>
      <c r="O10" s="357"/>
      <c r="P10" s="357"/>
      <c r="Q10" s="357"/>
      <c r="R10" s="357"/>
      <c r="S10" s="357"/>
      <c r="T10" s="357"/>
      <c r="U10" s="357"/>
      <c r="V10" s="357"/>
      <c r="W10" s="357"/>
      <c r="X10" s="357"/>
      <c r="Y10" s="357"/>
      <c r="Z10" s="357"/>
      <c r="AA10" s="357"/>
      <c r="AB10" s="357"/>
      <c r="AC10" s="357"/>
      <c r="AD10" s="356"/>
      <c r="AE10" s="356"/>
      <c r="AF10" s="356"/>
      <c r="AG10" s="356"/>
      <c r="AH10" s="356"/>
      <c r="AI10" s="356"/>
      <c r="AJ10" s="366"/>
      <c r="AK10" s="366"/>
      <c r="AL10" s="366"/>
      <c r="AM10" s="366"/>
      <c r="AN10" s="366"/>
      <c r="AO10" s="367"/>
      <c r="AP10" s="367"/>
      <c r="AQ10" s="340"/>
      <c r="AR10" s="340"/>
      <c r="AS10" s="340"/>
      <c r="AT10" s="340"/>
      <c r="AU10" s="340"/>
      <c r="AV10" s="340"/>
      <c r="AW10" s="340"/>
      <c r="AX10" s="340"/>
      <c r="AY10" s="340"/>
      <c r="AZ10" s="340"/>
      <c r="BA10" s="340"/>
      <c r="BB10" s="340"/>
      <c r="BC10" s="340"/>
      <c r="BD10" s="340"/>
      <c r="BE10" s="340"/>
      <c r="BF10" s="368"/>
    </row>
    <row r="11" spans="1:58" ht="14.25" customHeight="1">
      <c r="A11" s="376" t="s">
        <v>1754</v>
      </c>
      <c r="B11" s="377" t="s">
        <v>156</v>
      </c>
      <c r="C11" s="378">
        <v>10</v>
      </c>
      <c r="D11" s="370"/>
      <c r="E11" s="370"/>
      <c r="F11" s="370"/>
      <c r="G11" s="371"/>
      <c r="H11" s="354"/>
      <c r="I11" s="360"/>
      <c r="J11" s="360"/>
      <c r="K11" s="356"/>
      <c r="L11" s="357"/>
      <c r="M11" s="357"/>
      <c r="N11" s="357"/>
      <c r="O11" s="357"/>
      <c r="P11" s="357"/>
      <c r="Q11" s="357"/>
      <c r="R11" s="357"/>
      <c r="S11" s="357"/>
      <c r="T11" s="357"/>
      <c r="U11" s="357"/>
      <c r="V11" s="357"/>
      <c r="W11" s="357"/>
      <c r="X11" s="357"/>
      <c r="Y11" s="357"/>
      <c r="Z11" s="357"/>
      <c r="AA11" s="357"/>
      <c r="AB11" s="357"/>
      <c r="AC11" s="357"/>
      <c r="AD11" s="356"/>
      <c r="AE11" s="356"/>
      <c r="AF11" s="356"/>
      <c r="AG11" s="356"/>
      <c r="AH11" s="356"/>
      <c r="AI11" s="356"/>
      <c r="AJ11" s="354"/>
      <c r="AK11" s="354"/>
      <c r="AL11" s="354"/>
      <c r="AM11" s="354"/>
      <c r="AN11" s="354"/>
      <c r="AO11" s="358"/>
      <c r="AP11" s="358"/>
      <c r="AQ11" s="342"/>
      <c r="AR11" s="342"/>
      <c r="AS11" s="342"/>
      <c r="AT11" s="342"/>
      <c r="AU11" s="342"/>
      <c r="AV11" s="342"/>
      <c r="AW11" s="342"/>
      <c r="AX11" s="342"/>
      <c r="AY11" s="342"/>
      <c r="AZ11" s="342"/>
      <c r="BA11" s="342"/>
      <c r="BB11" s="342"/>
      <c r="BC11" s="342"/>
      <c r="BD11" s="342"/>
      <c r="BE11" s="342"/>
    </row>
    <row r="12" spans="1:58" s="364" customFormat="1" ht="14.25" customHeight="1">
      <c r="A12" s="376" t="s">
        <v>1755</v>
      </c>
      <c r="B12" s="377" t="s">
        <v>156</v>
      </c>
      <c r="C12" s="378">
        <v>10</v>
      </c>
      <c r="G12" s="365"/>
      <c r="H12" s="355" t="s">
        <v>156</v>
      </c>
      <c r="I12" s="356"/>
      <c r="J12" s="356"/>
      <c r="K12" s="356"/>
      <c r="L12" s="357"/>
      <c r="M12" s="357"/>
      <c r="N12" s="357"/>
      <c r="O12" s="357"/>
      <c r="P12" s="357"/>
      <c r="Q12" s="357"/>
      <c r="R12" s="357"/>
      <c r="S12" s="357"/>
      <c r="T12" s="357"/>
      <c r="U12" s="357"/>
      <c r="V12" s="357"/>
      <c r="W12" s="357"/>
      <c r="X12" s="357"/>
      <c r="Y12" s="357"/>
      <c r="Z12" s="357"/>
      <c r="AA12" s="357"/>
      <c r="AB12" s="357"/>
      <c r="AC12" s="357"/>
      <c r="AD12" s="356"/>
      <c r="AE12" s="356"/>
      <c r="AF12" s="356"/>
      <c r="AG12" s="356"/>
      <c r="AH12" s="356"/>
      <c r="AI12" s="356"/>
      <c r="AJ12" s="366"/>
      <c r="AK12" s="366"/>
      <c r="AL12" s="366"/>
      <c r="AM12" s="366"/>
      <c r="AN12" s="366"/>
      <c r="AO12" s="367"/>
      <c r="AP12" s="367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68"/>
    </row>
    <row r="13" spans="1:58" s="364" customFormat="1" ht="14.25" customHeight="1">
      <c r="A13" s="376" t="s">
        <v>1756</v>
      </c>
      <c r="B13" s="377" t="s">
        <v>156</v>
      </c>
      <c r="C13" s="379">
        <v>3</v>
      </c>
      <c r="G13" s="365"/>
      <c r="H13" s="356">
        <v>3.2</v>
      </c>
      <c r="I13" s="356"/>
      <c r="J13" s="356"/>
      <c r="K13" s="356"/>
      <c r="L13" s="331"/>
      <c r="M13" s="355"/>
      <c r="N13" s="357"/>
      <c r="O13" s="357"/>
      <c r="P13" s="357"/>
      <c r="Q13" s="357"/>
      <c r="R13" s="357"/>
      <c r="S13" s="357"/>
      <c r="T13" s="357"/>
      <c r="U13" s="357"/>
      <c r="V13" s="357"/>
      <c r="W13" s="357"/>
      <c r="X13" s="357"/>
      <c r="Y13" s="357"/>
      <c r="Z13" s="357"/>
      <c r="AA13" s="357"/>
      <c r="AB13" s="357"/>
      <c r="AC13" s="357"/>
      <c r="AD13" s="356"/>
      <c r="AE13" s="356"/>
      <c r="AF13" s="356"/>
      <c r="AG13" s="356"/>
      <c r="AH13" s="356"/>
      <c r="AI13" s="356"/>
      <c r="AJ13" s="366"/>
      <c r="AK13" s="366"/>
      <c r="AL13" s="366"/>
      <c r="AM13" s="366"/>
      <c r="AN13" s="366"/>
      <c r="AO13" s="367"/>
      <c r="AP13" s="367"/>
      <c r="AQ13" s="340"/>
      <c r="AR13" s="340"/>
      <c r="AS13" s="340"/>
      <c r="AT13" s="340"/>
      <c r="AU13" s="340"/>
      <c r="AV13" s="340"/>
      <c r="AW13" s="340"/>
      <c r="AX13" s="340"/>
      <c r="AY13" s="340"/>
      <c r="AZ13" s="340"/>
      <c r="BA13" s="340"/>
      <c r="BB13" s="340"/>
      <c r="BC13" s="340"/>
      <c r="BD13" s="340"/>
      <c r="BE13" s="340"/>
      <c r="BF13" s="368"/>
    </row>
    <row r="14" spans="1:58" s="364" customFormat="1" ht="14.25" customHeight="1">
      <c r="A14" s="380" t="s">
        <v>1757</v>
      </c>
      <c r="B14" s="377" t="s">
        <v>156</v>
      </c>
      <c r="C14" s="379">
        <v>8</v>
      </c>
      <c r="G14" s="365"/>
      <c r="H14" s="354"/>
      <c r="I14" s="356"/>
      <c r="J14" s="356"/>
      <c r="K14" s="366"/>
      <c r="L14" s="331"/>
      <c r="M14" s="356"/>
      <c r="N14" s="357"/>
      <c r="O14" s="357"/>
      <c r="P14" s="357"/>
      <c r="Q14" s="357"/>
      <c r="R14" s="357"/>
      <c r="S14" s="357"/>
      <c r="T14" s="357"/>
      <c r="U14" s="357"/>
      <c r="V14" s="357"/>
      <c r="W14" s="357"/>
      <c r="X14" s="357"/>
      <c r="Y14" s="357"/>
      <c r="Z14" s="357"/>
      <c r="AA14" s="357"/>
      <c r="AB14" s="357"/>
      <c r="AC14" s="357"/>
      <c r="AD14" s="356"/>
      <c r="AE14" s="356"/>
      <c r="AF14" s="356"/>
      <c r="AG14" s="356"/>
      <c r="AH14" s="356"/>
      <c r="AI14" s="356"/>
      <c r="AJ14" s="366"/>
      <c r="AK14" s="366"/>
      <c r="AL14" s="366"/>
      <c r="AM14" s="366"/>
      <c r="AN14" s="366"/>
      <c r="AO14" s="367"/>
      <c r="AP14" s="367"/>
      <c r="AQ14" s="340"/>
      <c r="AR14" s="340"/>
      <c r="AS14" s="340"/>
      <c r="AT14" s="340"/>
      <c r="AU14" s="340"/>
      <c r="AV14" s="340"/>
      <c r="AW14" s="340"/>
      <c r="AX14" s="340"/>
      <c r="AY14" s="340"/>
      <c r="AZ14" s="340"/>
      <c r="BA14" s="340"/>
      <c r="BB14" s="340"/>
      <c r="BC14" s="340"/>
      <c r="BD14" s="340"/>
      <c r="BE14" s="340"/>
      <c r="BF14" s="368"/>
    </row>
    <row r="15" spans="1:58" s="364" customFormat="1" ht="14.25" customHeight="1">
      <c r="A15" s="376" t="s">
        <v>1758</v>
      </c>
      <c r="B15" s="377" t="s">
        <v>156</v>
      </c>
      <c r="C15" s="379">
        <v>1.2</v>
      </c>
      <c r="G15" s="365"/>
      <c r="H15" s="354"/>
      <c r="I15" s="356"/>
      <c r="J15" s="356"/>
      <c r="K15" s="366"/>
      <c r="L15" s="356"/>
      <c r="M15" s="356"/>
      <c r="N15" s="357"/>
      <c r="O15" s="357"/>
      <c r="P15" s="357"/>
      <c r="Q15" s="366"/>
      <c r="R15" s="357"/>
      <c r="S15" s="357"/>
      <c r="T15" s="356" t="s">
        <v>1759</v>
      </c>
      <c r="U15" s="357"/>
      <c r="V15" s="357"/>
      <c r="W15" s="357"/>
      <c r="X15" s="357"/>
      <c r="Y15" s="357"/>
      <c r="Z15" s="357"/>
      <c r="AA15" s="357"/>
      <c r="AB15" s="357"/>
      <c r="AC15" s="357"/>
      <c r="AD15" s="356"/>
      <c r="AE15" s="356"/>
      <c r="AF15" s="356"/>
      <c r="AG15" s="356"/>
      <c r="AH15" s="356"/>
      <c r="AI15" s="356"/>
      <c r="AJ15" s="366"/>
      <c r="AK15" s="366"/>
      <c r="AL15" s="366"/>
      <c r="AM15" s="366"/>
      <c r="AN15" s="366"/>
      <c r="AO15" s="367"/>
      <c r="AP15" s="367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68"/>
    </row>
    <row r="16" spans="1:58" s="364" customFormat="1" ht="14.25" customHeight="1">
      <c r="A16" s="376" t="s">
        <v>1760</v>
      </c>
      <c r="B16" s="377" t="s">
        <v>156</v>
      </c>
      <c r="C16" s="379">
        <v>2.2000000000000002</v>
      </c>
      <c r="G16" s="365"/>
      <c r="H16" s="381" t="s">
        <v>156</v>
      </c>
      <c r="I16" s="356"/>
      <c r="J16" s="331"/>
      <c r="K16" s="381"/>
      <c r="L16" s="356"/>
      <c r="M16" s="356"/>
      <c r="N16" s="356"/>
      <c r="O16" s="356"/>
      <c r="P16" s="356"/>
      <c r="Q16" s="356"/>
      <c r="R16" s="356"/>
      <c r="S16" s="356"/>
      <c r="T16" s="366"/>
      <c r="U16" s="356"/>
      <c r="V16" s="356"/>
      <c r="W16" s="356"/>
      <c r="X16" s="356"/>
      <c r="Y16" s="356"/>
      <c r="Z16" s="356"/>
      <c r="AA16" s="356"/>
      <c r="AB16" s="356"/>
      <c r="AC16" s="356"/>
      <c r="AD16" s="356"/>
      <c r="AE16" s="356"/>
      <c r="AF16" s="356"/>
      <c r="AG16" s="356"/>
      <c r="AH16" s="356"/>
      <c r="AI16" s="356"/>
      <c r="AJ16" s="366"/>
      <c r="AK16" s="366"/>
      <c r="AL16" s="366"/>
      <c r="AM16" s="366"/>
      <c r="AN16" s="366"/>
      <c r="AO16" s="367"/>
      <c r="AP16" s="367"/>
      <c r="AQ16" s="340"/>
      <c r="AR16" s="340"/>
      <c r="AS16" s="340"/>
      <c r="AT16" s="340"/>
      <c r="AU16" s="340"/>
      <c r="AV16" s="340"/>
      <c r="AW16" s="340"/>
      <c r="AX16" s="340"/>
      <c r="AY16" s="340"/>
      <c r="AZ16" s="340"/>
      <c r="BA16" s="340"/>
      <c r="BB16" s="340"/>
      <c r="BC16" s="340"/>
      <c r="BD16" s="340"/>
      <c r="BE16" s="340"/>
      <c r="BF16" s="368"/>
    </row>
    <row r="17" spans="1:58" s="364" customFormat="1" ht="14.25" customHeight="1">
      <c r="A17" s="382"/>
      <c r="B17" s="359"/>
      <c r="G17" s="365"/>
      <c r="H17" s="356">
        <v>3</v>
      </c>
      <c r="I17" s="356"/>
      <c r="J17" s="331"/>
      <c r="K17" s="356"/>
      <c r="L17" s="356"/>
      <c r="M17" s="356"/>
      <c r="N17" s="356"/>
      <c r="O17" s="356"/>
      <c r="P17" s="356"/>
      <c r="Q17" s="356"/>
      <c r="R17" s="356"/>
      <c r="S17" s="356"/>
      <c r="T17" s="356"/>
      <c r="U17" s="356"/>
      <c r="V17" s="356"/>
      <c r="W17" s="356"/>
      <c r="X17" s="356"/>
      <c r="Y17" s="356"/>
      <c r="Z17" s="356"/>
      <c r="AA17" s="356"/>
      <c r="AB17" s="356"/>
      <c r="AC17" s="356"/>
      <c r="AD17" s="356"/>
      <c r="AE17" s="356"/>
      <c r="AF17" s="356"/>
      <c r="AG17" s="356"/>
      <c r="AH17" s="356"/>
      <c r="AI17" s="356"/>
      <c r="AJ17" s="366"/>
      <c r="AK17" s="366"/>
      <c r="AL17" s="366"/>
      <c r="AM17" s="366"/>
      <c r="AN17" s="366"/>
      <c r="AO17" s="367"/>
      <c r="AP17" s="367"/>
      <c r="AQ17" s="340"/>
      <c r="AR17" s="340"/>
      <c r="AS17" s="340"/>
      <c r="AT17" s="340"/>
      <c r="AU17" s="340"/>
      <c r="AV17" s="340"/>
      <c r="AW17" s="340"/>
      <c r="AX17" s="340"/>
      <c r="AY17" s="340"/>
      <c r="AZ17" s="340"/>
      <c r="BA17" s="340"/>
      <c r="BB17" s="340"/>
      <c r="BC17" s="340"/>
      <c r="BD17" s="340"/>
      <c r="BE17" s="340"/>
      <c r="BF17" s="368"/>
    </row>
    <row r="18" spans="1:58" ht="14.25" customHeight="1">
      <c r="A18" s="359" t="s">
        <v>1761</v>
      </c>
      <c r="B18" s="359"/>
      <c r="C18" s="364"/>
      <c r="D18" s="370"/>
      <c r="E18" s="370"/>
      <c r="F18" s="370"/>
      <c r="G18" s="371"/>
      <c r="H18" s="354"/>
      <c r="I18" s="356"/>
      <c r="J18" s="356"/>
      <c r="K18" s="356"/>
      <c r="L18" s="356"/>
      <c r="M18" s="356"/>
      <c r="N18" s="356"/>
      <c r="O18" s="356"/>
      <c r="P18" s="356"/>
      <c r="Q18" s="356"/>
      <c r="R18" s="356"/>
      <c r="S18" s="356"/>
      <c r="T18" s="356"/>
      <c r="U18" s="356"/>
      <c r="V18" s="356"/>
      <c r="W18" s="356"/>
      <c r="X18" s="356"/>
      <c r="Y18" s="356"/>
      <c r="Z18" s="356"/>
      <c r="AA18" s="356"/>
      <c r="AB18" s="356"/>
      <c r="AC18" s="356"/>
      <c r="AD18" s="356"/>
      <c r="AE18" s="356"/>
      <c r="AF18" s="356"/>
      <c r="AG18" s="356"/>
      <c r="AH18" s="356"/>
      <c r="AI18" s="356"/>
      <c r="AJ18" s="350"/>
      <c r="AK18" s="354"/>
      <c r="AL18" s="354"/>
      <c r="AM18" s="354"/>
      <c r="AN18" s="354"/>
      <c r="AO18" s="358"/>
      <c r="AP18" s="358"/>
      <c r="AQ18" s="342"/>
      <c r="AR18" s="342"/>
      <c r="AS18" s="342"/>
      <c r="AT18" s="352"/>
      <c r="AU18" s="352"/>
      <c r="AV18" s="352"/>
      <c r="AW18" s="383"/>
      <c r="AX18" s="383"/>
      <c r="AY18" s="383"/>
      <c r="AZ18" s="342"/>
      <c r="BA18" s="342"/>
      <c r="BB18" s="342"/>
      <c r="BC18" s="342">
        <v>1</v>
      </c>
      <c r="BD18" s="384">
        <f>H25</f>
        <v>0</v>
      </c>
      <c r="BE18" s="342"/>
    </row>
    <row r="19" spans="1:58" ht="14.25" customHeight="1">
      <c r="A19" s="369" t="s">
        <v>1762</v>
      </c>
      <c r="D19" s="370"/>
      <c r="E19" s="370"/>
      <c r="F19" s="370"/>
      <c r="G19" s="371"/>
      <c r="H19" s="354"/>
      <c r="I19" s="356"/>
      <c r="J19" s="356"/>
      <c r="K19" s="356"/>
      <c r="L19" s="356"/>
      <c r="M19" s="356"/>
      <c r="N19" s="356"/>
      <c r="O19" s="356"/>
      <c r="P19" s="356"/>
      <c r="Q19" s="356"/>
      <c r="R19" s="356"/>
      <c r="S19" s="356"/>
      <c r="T19" s="356"/>
      <c r="U19" s="356"/>
      <c r="V19" s="356"/>
      <c r="W19" s="356"/>
      <c r="X19" s="356"/>
      <c r="Y19" s="356"/>
      <c r="Z19" s="356"/>
      <c r="AA19" s="356"/>
      <c r="AB19" s="356"/>
      <c r="AC19" s="356"/>
      <c r="AD19" s="356"/>
      <c r="AE19" s="356"/>
      <c r="AF19" s="356"/>
      <c r="AG19" s="356"/>
      <c r="AH19" s="356"/>
      <c r="AI19" s="356"/>
      <c r="AJ19" s="350"/>
      <c r="AK19" s="354"/>
      <c r="AL19" s="354"/>
      <c r="AM19" s="354"/>
      <c r="AN19" s="354"/>
      <c r="AO19" s="358"/>
      <c r="AP19" s="358"/>
      <c r="AQ19" s="342"/>
      <c r="AR19" s="342"/>
      <c r="AS19" s="342"/>
      <c r="AT19" s="352"/>
      <c r="AU19" s="352"/>
      <c r="AV19" s="352"/>
      <c r="AW19" s="383"/>
      <c r="AX19" s="383"/>
      <c r="AY19" s="383"/>
      <c r="AZ19" s="342"/>
      <c r="BA19" s="342"/>
      <c r="BB19" s="342"/>
      <c r="BC19" s="342"/>
      <c r="BD19" s="384"/>
      <c r="BE19" s="342"/>
    </row>
    <row r="20" spans="1:58" ht="14.25" customHeight="1">
      <c r="A20" s="3061" t="s">
        <v>1763</v>
      </c>
      <c r="B20" s="3061"/>
      <c r="C20" s="3061"/>
      <c r="D20" s="370"/>
      <c r="E20" s="370"/>
      <c r="F20" s="370"/>
      <c r="G20" s="371"/>
      <c r="H20" s="355" t="s">
        <v>156</v>
      </c>
      <c r="I20" s="356"/>
      <c r="J20" s="356"/>
      <c r="K20" s="356"/>
      <c r="L20" s="356"/>
      <c r="M20" s="356"/>
      <c r="N20" s="356"/>
      <c r="O20" s="356"/>
      <c r="P20" s="356"/>
      <c r="Q20" s="356"/>
      <c r="R20" s="356"/>
      <c r="S20" s="356"/>
      <c r="T20" s="356"/>
      <c r="U20" s="356"/>
      <c r="V20" s="356"/>
      <c r="W20" s="356"/>
      <c r="X20" s="356"/>
      <c r="Y20" s="356"/>
      <c r="Z20" s="356"/>
      <c r="AA20" s="356"/>
      <c r="AB20" s="356"/>
      <c r="AC20" s="356"/>
      <c r="AD20" s="356"/>
      <c r="AE20" s="356"/>
      <c r="AF20" s="356"/>
      <c r="AG20" s="356"/>
      <c r="AH20" s="356"/>
      <c r="AI20" s="356"/>
      <c r="AJ20" s="350"/>
      <c r="AK20" s="354"/>
      <c r="AL20" s="354"/>
      <c r="AM20" s="354"/>
      <c r="AN20" s="354"/>
      <c r="AO20" s="358"/>
      <c r="AP20" s="358"/>
      <c r="AQ20" s="342"/>
      <c r="AR20" s="342"/>
      <c r="AS20" s="342"/>
      <c r="AT20" s="352"/>
      <c r="AU20" s="352"/>
      <c r="AV20" s="352"/>
      <c r="AW20" s="383"/>
      <c r="AX20" s="383"/>
      <c r="AY20" s="383"/>
      <c r="AZ20" s="342"/>
      <c r="BA20" s="342"/>
      <c r="BB20" s="342"/>
      <c r="BC20" s="342"/>
      <c r="BD20" s="384"/>
      <c r="BE20" s="342"/>
    </row>
    <row r="21" spans="1:58" ht="14.25" customHeight="1">
      <c r="A21" s="386" t="s">
        <v>1764</v>
      </c>
      <c r="B21" s="377" t="s">
        <v>156</v>
      </c>
      <c r="C21" s="387">
        <v>3</v>
      </c>
      <c r="D21" s="370"/>
      <c r="E21" s="370"/>
      <c r="F21" s="370"/>
      <c r="G21" s="371"/>
      <c r="H21" s="356">
        <v>0.2</v>
      </c>
      <c r="I21" s="356"/>
      <c r="J21" s="356"/>
      <c r="K21" s="356"/>
      <c r="M21" s="355"/>
      <c r="N21" s="356"/>
      <c r="O21" s="356"/>
      <c r="P21" s="356"/>
      <c r="Q21" s="356"/>
      <c r="R21" s="356"/>
      <c r="S21" s="356"/>
      <c r="T21" s="356"/>
      <c r="U21" s="356"/>
      <c r="V21" s="356"/>
      <c r="W21" s="356"/>
      <c r="X21" s="356"/>
      <c r="Y21" s="356"/>
      <c r="Z21" s="356"/>
      <c r="AA21" s="356"/>
      <c r="AB21" s="356"/>
      <c r="AC21" s="356"/>
      <c r="AD21" s="356"/>
      <c r="AE21" s="356"/>
      <c r="AF21" s="356"/>
      <c r="AG21" s="356"/>
      <c r="AH21" s="356"/>
      <c r="AI21" s="356"/>
      <c r="AJ21" s="350"/>
      <c r="AK21" s="354"/>
      <c r="AL21" s="354"/>
      <c r="AM21" s="354"/>
      <c r="AN21" s="354"/>
      <c r="AO21" s="358"/>
      <c r="AP21" s="358"/>
      <c r="AQ21" s="342"/>
      <c r="AR21" s="342"/>
      <c r="AS21" s="342"/>
      <c r="AT21" s="352"/>
      <c r="AU21" s="352"/>
      <c r="AV21" s="352"/>
      <c r="AW21" s="383"/>
      <c r="AX21" s="383"/>
      <c r="AY21" s="383"/>
      <c r="AZ21" s="342"/>
      <c r="BA21" s="342"/>
      <c r="BB21" s="342"/>
      <c r="BC21" s="342"/>
      <c r="BD21" s="384"/>
      <c r="BE21" s="342"/>
    </row>
    <row r="22" spans="1:58" ht="14.25" customHeight="1">
      <c r="A22" s="386" t="s">
        <v>1765</v>
      </c>
      <c r="B22" s="377" t="s">
        <v>156</v>
      </c>
      <c r="C22" s="387">
        <v>4</v>
      </c>
      <c r="D22" s="370"/>
      <c r="E22" s="370"/>
      <c r="F22" s="370"/>
      <c r="G22" s="371"/>
      <c r="H22" s="354"/>
      <c r="I22" s="356"/>
      <c r="J22" s="356"/>
      <c r="K22" s="356"/>
      <c r="M22" s="356"/>
      <c r="N22" s="356"/>
      <c r="O22" s="356"/>
      <c r="P22" s="356"/>
      <c r="Q22" s="356"/>
      <c r="R22" s="356"/>
      <c r="S22" s="356"/>
      <c r="T22" s="356"/>
      <c r="U22" s="356"/>
      <c r="V22" s="356"/>
      <c r="W22" s="356"/>
      <c r="X22" s="356"/>
      <c r="Y22" s="356"/>
      <c r="Z22" s="356"/>
      <c r="AA22" s="356"/>
      <c r="AB22" s="356"/>
      <c r="AC22" s="356"/>
      <c r="AD22" s="356"/>
      <c r="AE22" s="356"/>
      <c r="AF22" s="356"/>
      <c r="AG22" s="356"/>
      <c r="AH22" s="356"/>
      <c r="AI22" s="356"/>
      <c r="AJ22" s="350"/>
      <c r="AK22" s="354"/>
      <c r="AL22" s="354"/>
      <c r="AM22" s="354"/>
      <c r="AN22" s="354"/>
      <c r="AO22" s="358"/>
      <c r="AP22" s="358"/>
      <c r="AQ22" s="342"/>
      <c r="AR22" s="342"/>
      <c r="AS22" s="342"/>
      <c r="AT22" s="352"/>
      <c r="AU22" s="352"/>
      <c r="AV22" s="352"/>
      <c r="AW22" s="383"/>
      <c r="AX22" s="383"/>
      <c r="AY22" s="383"/>
      <c r="AZ22" s="342"/>
      <c r="BA22" s="342"/>
      <c r="BB22" s="342"/>
      <c r="BC22" s="342"/>
      <c r="BD22" s="384"/>
      <c r="BE22" s="342"/>
    </row>
    <row r="23" spans="1:58" ht="14.25" customHeight="1">
      <c r="A23" s="386" t="s">
        <v>1766</v>
      </c>
      <c r="B23" s="377" t="s">
        <v>156</v>
      </c>
      <c r="C23" s="388">
        <v>0</v>
      </c>
      <c r="D23" s="370"/>
      <c r="E23" s="370"/>
      <c r="F23" s="370"/>
      <c r="G23" s="371"/>
      <c r="H23" s="354"/>
      <c r="I23" s="356"/>
      <c r="J23" s="356"/>
      <c r="K23" s="389"/>
      <c r="L23" s="356"/>
      <c r="M23" s="356"/>
      <c r="N23" s="356"/>
      <c r="O23" s="356"/>
      <c r="P23" s="356"/>
      <c r="Q23" s="366"/>
      <c r="R23" s="356"/>
      <c r="S23" s="356"/>
      <c r="T23" s="390" t="s">
        <v>1767</v>
      </c>
      <c r="U23" s="356"/>
      <c r="V23" s="356"/>
      <c r="W23" s="356"/>
      <c r="X23" s="356"/>
      <c r="Y23" s="356"/>
      <c r="Z23" s="356"/>
      <c r="AA23" s="356"/>
      <c r="AB23" s="356"/>
      <c r="AC23" s="356"/>
      <c r="AD23" s="356"/>
      <c r="AE23" s="356"/>
      <c r="AF23" s="356"/>
      <c r="AG23" s="356"/>
      <c r="AH23" s="356"/>
      <c r="AI23" s="356"/>
      <c r="AJ23" s="350"/>
      <c r="AK23" s="354"/>
      <c r="AL23" s="354"/>
      <c r="AM23" s="354"/>
      <c r="AN23" s="354"/>
      <c r="AO23" s="358"/>
      <c r="AP23" s="358"/>
      <c r="AQ23" s="342"/>
      <c r="AR23" s="342"/>
      <c r="AS23" s="342"/>
      <c r="AT23" s="352"/>
      <c r="AU23" s="352"/>
      <c r="AV23" s="352"/>
      <c r="AW23" s="383"/>
      <c r="AX23" s="383"/>
      <c r="AY23" s="383"/>
      <c r="AZ23" s="342"/>
      <c r="BA23" s="342"/>
      <c r="BB23" s="342"/>
      <c r="BC23" s="342"/>
      <c r="BD23" s="384"/>
      <c r="BE23" s="342"/>
    </row>
    <row r="24" spans="1:58" ht="14.25" customHeight="1">
      <c r="A24" s="386" t="s">
        <v>1768</v>
      </c>
      <c r="B24" s="377" t="s">
        <v>156</v>
      </c>
      <c r="C24" s="388">
        <v>1.5</v>
      </c>
      <c r="D24" s="370"/>
      <c r="E24" s="370"/>
      <c r="F24" s="370"/>
      <c r="G24" s="371"/>
      <c r="H24" s="355" t="s">
        <v>156</v>
      </c>
      <c r="I24" s="356"/>
      <c r="K24" s="355"/>
      <c r="L24" s="366"/>
      <c r="M24" s="356"/>
      <c r="N24" s="356"/>
      <c r="O24" s="356"/>
      <c r="P24" s="356"/>
      <c r="Q24" s="356"/>
      <c r="R24" s="356"/>
      <c r="S24" s="356"/>
      <c r="T24" s="356"/>
      <c r="U24" s="356"/>
      <c r="V24" s="356"/>
      <c r="W24" s="356"/>
      <c r="X24" s="356"/>
      <c r="Y24" s="356"/>
      <c r="Z24" s="356"/>
      <c r="AA24" s="356"/>
      <c r="AB24" s="356"/>
      <c r="AC24" s="356"/>
      <c r="AD24" s="356"/>
      <c r="AE24" s="356"/>
      <c r="AF24" s="356"/>
      <c r="AG24" s="356"/>
      <c r="AH24" s="356"/>
      <c r="AI24" s="356"/>
      <c r="AJ24" s="350"/>
      <c r="AK24" s="354"/>
      <c r="AL24" s="354"/>
      <c r="AM24" s="354"/>
      <c r="AN24" s="354"/>
      <c r="AO24" s="358"/>
      <c r="AP24" s="358"/>
      <c r="AQ24" s="342"/>
      <c r="AR24" s="342"/>
      <c r="AS24" s="342"/>
      <c r="AT24" s="352"/>
      <c r="AU24" s="352"/>
      <c r="AV24" s="352"/>
      <c r="AW24" s="383"/>
      <c r="AX24" s="383"/>
      <c r="AY24" s="383"/>
      <c r="AZ24" s="342"/>
      <c r="BA24" s="342"/>
      <c r="BB24" s="342"/>
      <c r="BC24" s="342"/>
      <c r="BD24" s="384"/>
      <c r="BE24" s="342"/>
    </row>
    <row r="25" spans="1:58" ht="14.25" customHeight="1">
      <c r="F25" s="370"/>
      <c r="G25" s="363"/>
      <c r="H25" s="356">
        <v>0</v>
      </c>
      <c r="I25" s="356"/>
      <c r="K25" s="356"/>
      <c r="L25" s="356"/>
      <c r="M25" s="356"/>
      <c r="N25" s="356"/>
      <c r="O25" s="356"/>
      <c r="P25" s="356"/>
      <c r="Q25" s="356"/>
      <c r="R25" s="356"/>
      <c r="S25" s="356"/>
      <c r="T25" s="356"/>
      <c r="U25" s="356"/>
      <c r="V25" s="356"/>
      <c r="W25" s="356"/>
      <c r="X25" s="356"/>
      <c r="Y25" s="356"/>
      <c r="Z25" s="356"/>
      <c r="AA25" s="356"/>
      <c r="AB25" s="356"/>
      <c r="AC25" s="356"/>
      <c r="AD25" s="356"/>
      <c r="AE25" s="356"/>
      <c r="AF25" s="356"/>
      <c r="AG25" s="356"/>
      <c r="AH25" s="356"/>
      <c r="AI25" s="356"/>
      <c r="AJ25" s="350"/>
      <c r="AK25" s="354"/>
      <c r="AL25" s="354"/>
      <c r="AM25" s="354"/>
      <c r="AN25" s="354"/>
      <c r="AO25" s="358"/>
      <c r="AP25" s="358"/>
      <c r="AQ25" s="342"/>
      <c r="AR25" s="342"/>
      <c r="AS25" s="342"/>
      <c r="AT25" s="352"/>
      <c r="AU25" s="352"/>
      <c r="AV25" s="352"/>
      <c r="AW25" s="383"/>
      <c r="AX25" s="383"/>
      <c r="AY25" s="383"/>
      <c r="AZ25" s="342"/>
      <c r="BA25" s="342"/>
      <c r="BB25" s="342"/>
      <c r="BC25" s="342"/>
      <c r="BD25" s="384"/>
      <c r="BE25" s="342"/>
    </row>
    <row r="26" spans="1:58" ht="14.25" customHeight="1">
      <c r="A26" s="359" t="s">
        <v>1769</v>
      </c>
      <c r="B26" s="359"/>
      <c r="C26" s="364"/>
      <c r="F26" s="370"/>
      <c r="G26" s="363"/>
      <c r="H26" s="354"/>
      <c r="I26" s="389"/>
      <c r="J26" s="356"/>
      <c r="K26" s="356"/>
      <c r="L26" s="356"/>
      <c r="M26" s="356"/>
      <c r="N26" s="356"/>
      <c r="O26" s="356"/>
      <c r="P26" s="356"/>
      <c r="Q26" s="356"/>
      <c r="R26" s="356"/>
      <c r="S26" s="356"/>
      <c r="T26" s="356"/>
      <c r="U26" s="356"/>
      <c r="V26" s="356"/>
      <c r="W26" s="356"/>
      <c r="X26" s="356"/>
      <c r="Y26" s="356"/>
      <c r="Z26" s="356"/>
      <c r="AA26" s="356"/>
      <c r="AB26" s="356"/>
      <c r="AC26" s="356"/>
      <c r="AD26" s="356"/>
      <c r="AE26" s="356"/>
      <c r="AF26" s="356"/>
      <c r="AG26" s="356"/>
      <c r="AH26" s="356"/>
      <c r="AI26" s="356"/>
      <c r="AJ26" s="350"/>
      <c r="AK26" s="354"/>
      <c r="AL26" s="354"/>
      <c r="AM26" s="354"/>
      <c r="AN26" s="354"/>
      <c r="AO26" s="358"/>
      <c r="AP26" s="358"/>
      <c r="AQ26" s="342"/>
      <c r="AR26" s="342"/>
      <c r="AS26" s="342"/>
      <c r="AT26" s="352"/>
      <c r="AU26" s="352"/>
      <c r="AV26" s="352"/>
      <c r="AW26" s="383"/>
      <c r="AX26" s="383"/>
      <c r="AY26" s="383"/>
      <c r="AZ26" s="342"/>
      <c r="BA26" s="342"/>
      <c r="BB26" s="342"/>
      <c r="BC26" s="342"/>
      <c r="BD26" s="384"/>
      <c r="BE26" s="342"/>
    </row>
    <row r="27" spans="1:58" ht="14.25" customHeight="1">
      <c r="A27" s="369" t="s">
        <v>1770</v>
      </c>
      <c r="F27" s="370"/>
      <c r="G27" s="363"/>
      <c r="H27" s="354"/>
      <c r="I27" s="356"/>
      <c r="J27" s="366"/>
      <c r="K27" s="356"/>
      <c r="L27" s="356"/>
      <c r="M27" s="356"/>
      <c r="N27" s="356"/>
      <c r="O27" s="356"/>
      <c r="P27" s="356"/>
      <c r="Q27" s="356"/>
      <c r="R27" s="356"/>
      <c r="S27" s="356"/>
      <c r="T27" s="356"/>
      <c r="U27" s="356"/>
      <c r="V27" s="356"/>
      <c r="W27" s="356"/>
      <c r="X27" s="356"/>
      <c r="Y27" s="356"/>
      <c r="Z27" s="356"/>
      <c r="AA27" s="356"/>
      <c r="AB27" s="356"/>
      <c r="AC27" s="356"/>
      <c r="AD27" s="356"/>
      <c r="AE27" s="356"/>
      <c r="AF27" s="356"/>
      <c r="AG27" s="356"/>
      <c r="AH27" s="356"/>
      <c r="AI27" s="356"/>
      <c r="AJ27" s="350"/>
      <c r="AK27" s="354"/>
      <c r="AL27" s="354"/>
      <c r="AM27" s="354"/>
      <c r="AN27" s="354"/>
      <c r="AO27" s="358"/>
      <c r="AP27" s="358"/>
      <c r="AQ27" s="342"/>
      <c r="AR27" s="342"/>
      <c r="AS27" s="342"/>
      <c r="AT27" s="352"/>
      <c r="AU27" s="352"/>
      <c r="AV27" s="352"/>
      <c r="AW27" s="383"/>
      <c r="AX27" s="383"/>
      <c r="AY27" s="383"/>
      <c r="AZ27" s="342"/>
      <c r="BA27" s="342"/>
      <c r="BB27" s="342"/>
      <c r="BC27" s="342"/>
      <c r="BD27" s="384"/>
      <c r="BE27" s="342"/>
    </row>
    <row r="28" spans="1:58" ht="14.25" customHeight="1">
      <c r="A28" s="3061" t="s">
        <v>1771</v>
      </c>
      <c r="B28" s="3061"/>
      <c r="C28" s="3061"/>
      <c r="F28" s="370"/>
      <c r="G28" s="363"/>
      <c r="H28" s="354"/>
      <c r="I28" s="356"/>
      <c r="J28" s="356"/>
      <c r="K28" s="356"/>
      <c r="L28" s="356"/>
      <c r="M28" s="356"/>
      <c r="N28" s="356"/>
      <c r="O28" s="356"/>
      <c r="P28" s="356"/>
      <c r="Q28" s="356"/>
      <c r="R28" s="356"/>
      <c r="S28" s="356"/>
      <c r="T28" s="356"/>
      <c r="U28" s="356"/>
      <c r="V28" s="356"/>
      <c r="W28" s="356"/>
      <c r="X28" s="356"/>
      <c r="Y28" s="356"/>
      <c r="Z28" s="356"/>
      <c r="AA28" s="356"/>
      <c r="AB28" s="356"/>
      <c r="AC28" s="356"/>
      <c r="AD28" s="356"/>
      <c r="AE28" s="356"/>
      <c r="AF28" s="356"/>
      <c r="AG28" s="356"/>
      <c r="AH28" s="356"/>
      <c r="AI28" s="356"/>
      <c r="AJ28" s="350"/>
      <c r="AK28" s="354"/>
      <c r="AL28" s="354"/>
      <c r="AM28" s="354"/>
      <c r="AN28" s="354"/>
      <c r="AO28" s="358"/>
      <c r="AP28" s="358"/>
      <c r="AQ28" s="342"/>
      <c r="AR28" s="342"/>
      <c r="AS28" s="342"/>
      <c r="AT28" s="352"/>
      <c r="AU28" s="352"/>
      <c r="AV28" s="352"/>
      <c r="AW28" s="383"/>
      <c r="AX28" s="383"/>
      <c r="AY28" s="383"/>
      <c r="AZ28" s="342"/>
      <c r="BA28" s="342"/>
      <c r="BB28" s="342"/>
      <c r="BC28" s="342"/>
      <c r="BD28" s="384"/>
      <c r="BE28" s="342"/>
    </row>
    <row r="29" spans="1:58" ht="14.25" customHeight="1">
      <c r="A29" s="386" t="s">
        <v>1772</v>
      </c>
      <c r="B29" s="377" t="s">
        <v>156</v>
      </c>
      <c r="C29" s="391">
        <v>4</v>
      </c>
      <c r="F29" s="370"/>
      <c r="G29" s="363"/>
      <c r="H29" s="354"/>
      <c r="I29" s="356"/>
      <c r="J29" s="356"/>
      <c r="K29" s="356"/>
      <c r="L29" s="356"/>
      <c r="M29" s="356"/>
      <c r="N29" s="356"/>
      <c r="O29" s="356"/>
      <c r="P29" s="356"/>
      <c r="Q29" s="356"/>
      <c r="R29" s="356"/>
      <c r="S29" s="356"/>
      <c r="T29" s="356"/>
      <c r="U29" s="356"/>
      <c r="V29" s="356"/>
      <c r="W29" s="356"/>
      <c r="X29" s="356"/>
      <c r="Y29" s="356"/>
      <c r="Z29" s="356"/>
      <c r="AA29" s="356"/>
      <c r="AB29" s="356"/>
      <c r="AC29" s="356"/>
      <c r="AD29" s="356" t="s">
        <v>1773</v>
      </c>
      <c r="AE29" s="356"/>
      <c r="AF29" s="356"/>
      <c r="AG29" s="356"/>
      <c r="AH29" s="356"/>
      <c r="AI29" s="356"/>
      <c r="AJ29" s="350"/>
      <c r="AK29" s="354"/>
      <c r="AL29" s="354"/>
      <c r="AM29" s="354"/>
      <c r="AN29" s="354"/>
      <c r="AO29" s="358"/>
      <c r="AP29" s="358"/>
      <c r="AQ29" s="342"/>
      <c r="AR29" s="342"/>
      <c r="AS29" s="342"/>
      <c r="AT29" s="352"/>
      <c r="AU29" s="352"/>
      <c r="AV29" s="352"/>
      <c r="AW29" s="383"/>
      <c r="AX29" s="383"/>
      <c r="AY29" s="383"/>
      <c r="AZ29" s="342"/>
      <c r="BA29" s="342"/>
      <c r="BB29" s="342"/>
      <c r="BC29" s="342"/>
      <c r="BD29" s="384"/>
      <c r="BE29" s="342"/>
    </row>
    <row r="30" spans="1:58" ht="14.25" customHeight="1">
      <c r="A30" s="386" t="s">
        <v>1774</v>
      </c>
      <c r="B30" s="377" t="s">
        <v>156</v>
      </c>
      <c r="C30" s="392">
        <v>5</v>
      </c>
      <c r="F30" s="370"/>
      <c r="G30" s="363"/>
      <c r="H30" s="354"/>
      <c r="I30" s="356"/>
      <c r="J30" s="356"/>
      <c r="K30" s="356"/>
      <c r="L30" s="356"/>
      <c r="M30" s="356"/>
      <c r="N30" s="356"/>
      <c r="O30" s="356"/>
      <c r="P30" s="356"/>
      <c r="Q30" s="356"/>
      <c r="R30" s="393" t="s">
        <v>1775</v>
      </c>
      <c r="S30" s="356"/>
      <c r="T30" s="356"/>
      <c r="U30" s="356"/>
      <c r="V30" s="356"/>
      <c r="W30" s="356"/>
      <c r="X30" s="356"/>
      <c r="Y30" s="356"/>
      <c r="Z30" s="356"/>
      <c r="AA30" s="356"/>
      <c r="AB30" s="356"/>
      <c r="AC30" s="356"/>
      <c r="AD30" s="356"/>
      <c r="AE30" s="356"/>
      <c r="AF30" s="356"/>
      <c r="AG30" s="356"/>
      <c r="AH30" s="356"/>
      <c r="AI30" s="356"/>
      <c r="AJ30" s="350"/>
      <c r="AK30" s="354"/>
      <c r="AL30" s="354"/>
      <c r="AM30" s="354"/>
      <c r="AN30" s="354"/>
      <c r="AO30" s="358"/>
      <c r="AP30" s="358"/>
      <c r="AQ30" s="342"/>
      <c r="AR30" s="342"/>
      <c r="AS30" s="342"/>
      <c r="AT30" s="352"/>
      <c r="AU30" s="352"/>
      <c r="AV30" s="352"/>
      <c r="AW30" s="383"/>
      <c r="AX30" s="383"/>
      <c r="AY30" s="383"/>
      <c r="AZ30" s="342"/>
      <c r="BA30" s="342"/>
      <c r="BB30" s="342"/>
      <c r="BC30" s="342"/>
      <c r="BD30" s="384"/>
      <c r="BE30" s="342"/>
    </row>
    <row r="31" spans="1:58" ht="14.25" customHeight="1">
      <c r="F31" s="370"/>
      <c r="G31" s="363"/>
      <c r="AJ31" s="350"/>
      <c r="AK31" s="354"/>
      <c r="AL31" s="354"/>
      <c r="AM31" s="354"/>
      <c r="AN31" s="354"/>
      <c r="AO31" s="358"/>
      <c r="AP31" s="358"/>
      <c r="AQ31" s="342"/>
      <c r="AR31" s="342"/>
      <c r="AS31" s="342"/>
      <c r="AT31" s="352"/>
      <c r="AU31" s="352"/>
      <c r="AV31" s="352"/>
      <c r="AW31" s="383"/>
      <c r="AX31" s="383"/>
      <c r="AY31" s="383"/>
      <c r="AZ31" s="342"/>
      <c r="BA31" s="342"/>
      <c r="BB31" s="342"/>
      <c r="BC31" s="342"/>
      <c r="BD31" s="384"/>
      <c r="BE31" s="342"/>
    </row>
    <row r="32" spans="1:58" ht="14.25" customHeight="1" outlineLevel="1">
      <c r="A32" s="374" t="s">
        <v>1776</v>
      </c>
      <c r="B32" s="394" t="s">
        <v>120</v>
      </c>
      <c r="C32" s="395" t="s">
        <v>1777</v>
      </c>
      <c r="D32" s="395" t="s">
        <v>1778</v>
      </c>
      <c r="E32" s="395" t="s">
        <v>1779</v>
      </c>
      <c r="F32" s="396"/>
      <c r="G32" s="397"/>
      <c r="AJ32" s="398"/>
      <c r="AK32" s="354"/>
      <c r="AL32" s="354"/>
      <c r="AM32" s="354"/>
      <c r="AN32" s="354"/>
      <c r="AO32" s="358"/>
      <c r="AP32" s="358"/>
      <c r="AQ32" s="342"/>
      <c r="AR32" s="342"/>
      <c r="AS32" s="342"/>
      <c r="AT32" s="399"/>
      <c r="AU32" s="352"/>
      <c r="AV32" s="352"/>
      <c r="AW32" s="383"/>
      <c r="AX32" s="383"/>
      <c r="AY32" s="383"/>
      <c r="AZ32" s="342"/>
      <c r="BA32" s="342"/>
      <c r="BB32" s="342"/>
      <c r="BC32" s="342">
        <v>2</v>
      </c>
      <c r="BD32" s="384">
        <f>H21</f>
        <v>0.2</v>
      </c>
      <c r="BE32" s="342"/>
    </row>
    <row r="33" spans="1:57" ht="14.25" customHeight="1" outlineLevel="1">
      <c r="A33" s="400" t="s">
        <v>1780</v>
      </c>
      <c r="B33" s="377" t="s">
        <v>156</v>
      </c>
      <c r="C33" s="388">
        <v>0.6</v>
      </c>
      <c r="D33" s="401" t="s">
        <v>1781</v>
      </c>
      <c r="E33" s="388">
        <v>0.15</v>
      </c>
      <c r="F33" s="364"/>
      <c r="G33" s="402"/>
      <c r="AJ33" s="398"/>
      <c r="AK33" s="354"/>
      <c r="AL33" s="354"/>
      <c r="AM33" s="354"/>
      <c r="AN33" s="354"/>
      <c r="AO33" s="358"/>
      <c r="AP33" s="358"/>
      <c r="AQ33" s="342"/>
      <c r="AR33" s="342"/>
      <c r="AS33" s="342"/>
      <c r="AT33" s="384"/>
      <c r="AU33" s="352"/>
      <c r="AV33" s="352"/>
      <c r="AW33" s="383"/>
      <c r="AX33" s="383"/>
      <c r="AY33" s="383"/>
      <c r="AZ33" s="342"/>
      <c r="BA33" s="342"/>
      <c r="BB33" s="342"/>
      <c r="BC33" s="342">
        <v>3</v>
      </c>
      <c r="BD33" s="384">
        <f>H17</f>
        <v>3</v>
      </c>
      <c r="BE33" s="342"/>
    </row>
    <row r="34" spans="1:57" ht="14.25" customHeight="1" outlineLevel="1">
      <c r="A34" s="331" t="s">
        <v>1782</v>
      </c>
      <c r="F34" s="365"/>
      <c r="G34" s="364"/>
      <c r="AJ34" s="398"/>
      <c r="AK34" s="354"/>
      <c r="AL34" s="354"/>
      <c r="AM34" s="354"/>
      <c r="AN34" s="354"/>
      <c r="AO34" s="358"/>
      <c r="AP34" s="358"/>
      <c r="AQ34" s="342"/>
      <c r="AR34" s="342"/>
      <c r="AS34" s="342"/>
      <c r="AT34" s="384"/>
      <c r="AU34" s="352"/>
      <c r="AV34" s="352"/>
      <c r="AW34" s="383"/>
      <c r="AX34" s="383"/>
      <c r="AY34" s="383"/>
      <c r="AZ34" s="342"/>
      <c r="BA34" s="342"/>
      <c r="BB34" s="342"/>
      <c r="BC34" s="342"/>
      <c r="BD34" s="384"/>
      <c r="BE34" s="342"/>
    </row>
    <row r="35" spans="1:57" ht="14.25" customHeight="1" outlineLevel="1">
      <c r="A35" s="403" t="s">
        <v>1783</v>
      </c>
      <c r="B35" s="377" t="s">
        <v>156</v>
      </c>
      <c r="C35" s="388">
        <v>0.4</v>
      </c>
      <c r="D35" s="364"/>
      <c r="E35" s="365"/>
      <c r="F35" s="365"/>
      <c r="G35" s="364"/>
      <c r="AJ35" s="398"/>
      <c r="AK35" s="354"/>
      <c r="AL35" s="354"/>
      <c r="AM35" s="354"/>
      <c r="AN35" s="354"/>
      <c r="AO35" s="358"/>
      <c r="AP35" s="358"/>
      <c r="AQ35" s="342"/>
      <c r="AR35" s="342"/>
      <c r="AS35" s="342"/>
      <c r="AT35" s="384"/>
      <c r="AU35" s="352"/>
      <c r="AV35" s="352"/>
      <c r="AW35" s="383"/>
      <c r="AX35" s="383"/>
      <c r="AY35" s="383"/>
      <c r="AZ35" s="342"/>
      <c r="BA35" s="342"/>
      <c r="BB35" s="342"/>
      <c r="BC35" s="342"/>
      <c r="BD35" s="384"/>
      <c r="BE35" s="342"/>
    </row>
    <row r="36" spans="1:57" ht="14.25" customHeight="1" outlineLevel="1">
      <c r="A36" s="331" t="s">
        <v>1784</v>
      </c>
      <c r="F36" s="365"/>
      <c r="G36" s="364"/>
      <c r="AJ36" s="398"/>
      <c r="AK36" s="354"/>
      <c r="AL36" s="354"/>
      <c r="AM36" s="354"/>
      <c r="AN36" s="354"/>
      <c r="AO36" s="358"/>
      <c r="AP36" s="358"/>
      <c r="AQ36" s="342"/>
      <c r="AR36" s="342"/>
      <c r="AS36" s="342"/>
      <c r="AT36" s="384"/>
      <c r="AU36" s="352"/>
      <c r="AV36" s="352"/>
      <c r="AW36" s="383"/>
      <c r="AX36" s="383"/>
      <c r="AY36" s="383"/>
      <c r="AZ36" s="342"/>
      <c r="BA36" s="342"/>
      <c r="BB36" s="342"/>
      <c r="BC36" s="342"/>
      <c r="BD36" s="384"/>
      <c r="BE36" s="342"/>
    </row>
    <row r="37" spans="1:57" ht="14.25" customHeight="1" outlineLevel="1">
      <c r="A37" s="404" t="s">
        <v>493</v>
      </c>
      <c r="F37" s="365"/>
      <c r="G37" s="364"/>
      <c r="AJ37" s="398"/>
      <c r="AK37" s="354"/>
      <c r="AL37" s="354"/>
      <c r="AM37" s="354"/>
      <c r="AN37" s="354"/>
      <c r="AO37" s="358"/>
      <c r="AP37" s="358"/>
      <c r="AQ37" s="342"/>
      <c r="AR37" s="342"/>
      <c r="AS37" s="342"/>
      <c r="AT37" s="384"/>
      <c r="AU37" s="352"/>
      <c r="AV37" s="352"/>
      <c r="AW37" s="383"/>
      <c r="AX37" s="383"/>
      <c r="AY37" s="383"/>
      <c r="AZ37" s="342"/>
      <c r="BA37" s="342"/>
      <c r="BB37" s="342"/>
      <c r="BC37" s="342"/>
      <c r="BD37" s="384"/>
      <c r="BE37" s="342"/>
    </row>
    <row r="38" spans="1:57" ht="14.25" customHeight="1" outlineLevel="1">
      <c r="A38" s="404" t="s">
        <v>493</v>
      </c>
      <c r="F38" s="396"/>
      <c r="G38" s="365"/>
      <c r="AJ38" s="398"/>
      <c r="AK38" s="354"/>
      <c r="AL38" s="354"/>
      <c r="AM38" s="354"/>
      <c r="AN38" s="354"/>
      <c r="AO38" s="358"/>
      <c r="AP38" s="358"/>
      <c r="AQ38" s="342"/>
      <c r="AR38" s="342"/>
      <c r="AS38" s="342"/>
      <c r="AT38" s="384"/>
      <c r="AU38" s="399"/>
      <c r="AV38" s="352"/>
      <c r="AW38" s="383"/>
      <c r="AX38" s="383"/>
      <c r="AY38" s="383"/>
      <c r="AZ38" s="342"/>
      <c r="BA38" s="342"/>
      <c r="BB38" s="342"/>
      <c r="BC38" s="342">
        <v>4</v>
      </c>
      <c r="BD38" s="384">
        <f>H13</f>
        <v>3.2</v>
      </c>
      <c r="BE38" s="342"/>
    </row>
    <row r="39" spans="1:57" ht="14.25" customHeight="1" outlineLevel="1">
      <c r="A39" s="403" t="s">
        <v>294</v>
      </c>
      <c r="B39" s="397"/>
      <c r="C39" s="364"/>
      <c r="D39" s="364"/>
      <c r="E39" s="365"/>
      <c r="F39" s="364"/>
      <c r="G39" s="365"/>
      <c r="AJ39" s="398"/>
      <c r="AK39" s="354"/>
      <c r="AL39" s="354"/>
      <c r="AM39" s="354"/>
      <c r="AN39" s="354"/>
      <c r="AO39" s="358"/>
      <c r="AP39" s="358"/>
      <c r="AQ39" s="342"/>
      <c r="AR39" s="342"/>
      <c r="AS39" s="342"/>
      <c r="AT39" s="384"/>
      <c r="AU39" s="399"/>
      <c r="AV39" s="352"/>
      <c r="AW39" s="383"/>
      <c r="AX39" s="383"/>
      <c r="AY39" s="383"/>
      <c r="AZ39" s="342"/>
      <c r="BA39" s="342"/>
      <c r="BB39" s="342"/>
      <c r="BC39" s="342">
        <v>5</v>
      </c>
      <c r="BD39" s="384">
        <f>H10</f>
        <v>5.2</v>
      </c>
      <c r="BE39" s="342"/>
    </row>
    <row r="40" spans="1:57" ht="14.25" customHeight="1" outlineLevel="1">
      <c r="A40" s="403" t="s">
        <v>753</v>
      </c>
      <c r="B40" s="397"/>
      <c r="C40" s="364"/>
      <c r="D40" s="364"/>
      <c r="E40" s="365"/>
      <c r="F40" s="365"/>
      <c r="G40" s="364"/>
      <c r="AJ40" s="398"/>
      <c r="AK40" s="354"/>
      <c r="AL40" s="354"/>
      <c r="AM40" s="354"/>
      <c r="AN40" s="354"/>
      <c r="AO40" s="358"/>
      <c r="AP40" s="358"/>
      <c r="AQ40" s="342"/>
      <c r="AR40" s="342"/>
      <c r="AS40" s="342"/>
      <c r="AT40" s="384"/>
      <c r="AU40" s="399"/>
      <c r="AV40" s="352"/>
      <c r="AW40" s="383"/>
      <c r="AX40" s="383"/>
      <c r="AY40" s="383"/>
      <c r="AZ40" s="342"/>
      <c r="BA40" s="342"/>
      <c r="BB40" s="342"/>
      <c r="BC40" s="342"/>
      <c r="BD40" s="384"/>
      <c r="BE40" s="342"/>
    </row>
    <row r="41" spans="1:57" ht="14.25" customHeight="1" outlineLevel="1">
      <c r="A41" s="405" t="s">
        <v>785</v>
      </c>
      <c r="B41" s="397"/>
      <c r="C41" s="364"/>
      <c r="D41" s="364"/>
      <c r="E41" s="365"/>
      <c r="F41" s="365"/>
      <c r="AJ41" s="398"/>
      <c r="AK41" s="354"/>
      <c r="AL41" s="354"/>
      <c r="AM41" s="354"/>
      <c r="AN41" s="354"/>
      <c r="AO41" s="358"/>
      <c r="AP41" s="358"/>
      <c r="AQ41" s="342"/>
      <c r="AR41" s="342"/>
      <c r="AS41" s="342"/>
      <c r="AT41" s="384"/>
      <c r="AU41" s="399"/>
      <c r="AV41" s="352"/>
      <c r="AW41" s="383"/>
      <c r="AX41" s="383"/>
      <c r="AY41" s="383"/>
      <c r="AZ41" s="342"/>
      <c r="BA41" s="342"/>
      <c r="BB41" s="342"/>
      <c r="BC41" s="342"/>
      <c r="BD41" s="384"/>
      <c r="BE41" s="342"/>
    </row>
    <row r="42" spans="1:57" ht="14.25" customHeight="1" outlineLevel="1">
      <c r="A42" s="374" t="s">
        <v>1785</v>
      </c>
      <c r="B42" s="375" t="s">
        <v>120</v>
      </c>
      <c r="C42" s="395" t="s">
        <v>1777</v>
      </c>
      <c r="D42" s="395" t="s">
        <v>1778</v>
      </c>
      <c r="E42" s="395" t="s">
        <v>1779</v>
      </c>
      <c r="F42" s="365"/>
      <c r="AJ42" s="398"/>
      <c r="AK42" s="354"/>
      <c r="AL42" s="354"/>
      <c r="AM42" s="354"/>
      <c r="AN42" s="354"/>
      <c r="AO42" s="358"/>
      <c r="AP42" s="358"/>
      <c r="AQ42" s="342"/>
      <c r="AR42" s="342"/>
      <c r="AS42" s="342"/>
      <c r="AT42" s="384"/>
      <c r="AU42" s="399"/>
      <c r="AV42" s="352"/>
      <c r="AW42" s="383"/>
      <c r="AX42" s="383"/>
      <c r="AY42" s="383"/>
      <c r="AZ42" s="342"/>
      <c r="BA42" s="342"/>
      <c r="BB42" s="342"/>
      <c r="BC42" s="342"/>
      <c r="BD42" s="384"/>
      <c r="BE42" s="342"/>
    </row>
    <row r="43" spans="1:57" ht="14.25" customHeight="1" outlineLevel="1">
      <c r="A43" s="403" t="s">
        <v>1780</v>
      </c>
      <c r="B43" s="377" t="s">
        <v>156</v>
      </c>
      <c r="C43" s="388">
        <v>0.6</v>
      </c>
      <c r="D43" s="401" t="s">
        <v>1781</v>
      </c>
      <c r="E43" s="388">
        <v>0.2</v>
      </c>
      <c r="F43" s="396"/>
      <c r="AJ43" s="398"/>
      <c r="AK43" s="354"/>
      <c r="AL43" s="354"/>
      <c r="AM43" s="354"/>
      <c r="AN43" s="354"/>
      <c r="AO43" s="358"/>
      <c r="AP43" s="358"/>
      <c r="AQ43" s="342"/>
      <c r="AR43" s="342"/>
      <c r="AS43" s="342"/>
      <c r="AT43" s="384"/>
      <c r="AU43" s="384"/>
      <c r="AV43" s="352"/>
      <c r="AW43" s="383"/>
      <c r="AX43" s="383"/>
      <c r="AY43" s="383"/>
      <c r="AZ43" s="342"/>
      <c r="BA43" s="342"/>
      <c r="BB43" s="342"/>
      <c r="BC43" s="342">
        <v>6</v>
      </c>
      <c r="BD43" s="384">
        <f>H5</f>
        <v>5.3</v>
      </c>
      <c r="BE43" s="342"/>
    </row>
    <row r="44" spans="1:57" ht="14.25" customHeight="1" outlineLevel="1">
      <c r="A44" s="403" t="s">
        <v>732</v>
      </c>
      <c r="B44" s="397"/>
      <c r="C44" s="364"/>
      <c r="D44" s="364"/>
      <c r="E44" s="365"/>
      <c r="F44" s="364"/>
      <c r="AJ44" s="398"/>
      <c r="AK44" s="354"/>
      <c r="AL44" s="354"/>
      <c r="AM44" s="354"/>
      <c r="AN44" s="354"/>
      <c r="AO44" s="358"/>
      <c r="AP44" s="358"/>
      <c r="AQ44" s="342"/>
      <c r="AR44" s="342"/>
      <c r="AS44" s="342"/>
      <c r="AT44" s="384"/>
      <c r="AU44" s="384"/>
      <c r="AV44" s="406"/>
      <c r="AW44" s="384"/>
      <c r="AX44" s="384"/>
      <c r="AY44" s="384"/>
      <c r="AZ44" s="342"/>
      <c r="BA44" s="342"/>
      <c r="BB44" s="342"/>
      <c r="BC44" s="342"/>
      <c r="BD44" s="384"/>
      <c r="BE44" s="342"/>
    </row>
    <row r="45" spans="1:57" ht="14.25" customHeight="1" outlineLevel="1">
      <c r="A45" s="331" t="s">
        <v>1786</v>
      </c>
      <c r="F45" s="370"/>
      <c r="G45" s="363"/>
      <c r="AJ45" s="398"/>
      <c r="AK45" s="354"/>
      <c r="AL45" s="354"/>
      <c r="AM45" s="354"/>
      <c r="AN45" s="354"/>
      <c r="AO45" s="358"/>
      <c r="AP45" s="358"/>
      <c r="AQ45" s="342"/>
      <c r="AR45" s="342"/>
      <c r="AS45" s="342"/>
      <c r="AT45" s="384"/>
      <c r="AU45" s="384"/>
      <c r="AV45" s="399"/>
      <c r="AW45" s="399"/>
      <c r="AX45" s="384"/>
      <c r="AY45" s="384"/>
      <c r="AZ45" s="342"/>
      <c r="BA45" s="342"/>
      <c r="BB45" s="342"/>
      <c r="BC45" s="342"/>
      <c r="BD45" s="384"/>
      <c r="BE45" s="342"/>
    </row>
    <row r="46" spans="1:57" ht="14.25" customHeight="1" outlineLevel="1">
      <c r="A46" s="404" t="s">
        <v>493</v>
      </c>
      <c r="F46" s="370"/>
      <c r="G46" s="363"/>
      <c r="AJ46" s="398"/>
      <c r="AK46" s="354"/>
      <c r="AL46" s="354"/>
      <c r="AM46" s="354"/>
      <c r="AN46" s="354"/>
      <c r="AO46" s="358"/>
      <c r="AP46" s="358"/>
      <c r="AQ46" s="342"/>
      <c r="AR46" s="342"/>
      <c r="AS46" s="342"/>
      <c r="AT46" s="384"/>
      <c r="AU46" s="384"/>
      <c r="AV46" s="399"/>
      <c r="AW46" s="399"/>
      <c r="AX46" s="384"/>
      <c r="AY46" s="384"/>
      <c r="AZ46" s="342"/>
      <c r="BA46" s="342"/>
      <c r="BB46" s="342"/>
      <c r="BC46" s="342"/>
      <c r="BD46" s="384"/>
      <c r="BE46" s="342"/>
    </row>
    <row r="47" spans="1:57" ht="14.25" customHeight="1" outlineLevel="1">
      <c r="A47" s="404" t="s">
        <v>277</v>
      </c>
      <c r="F47" s="370"/>
      <c r="G47" s="363"/>
      <c r="AJ47" s="398"/>
      <c r="AK47" s="354"/>
      <c r="AL47" s="354"/>
      <c r="AM47" s="354"/>
      <c r="AN47" s="354"/>
      <c r="AO47" s="358"/>
      <c r="AP47" s="358"/>
      <c r="AQ47" s="342"/>
      <c r="AR47" s="342"/>
      <c r="AS47" s="342"/>
      <c r="AT47" s="384"/>
      <c r="AU47" s="384"/>
      <c r="AV47" s="399"/>
      <c r="AW47" s="399"/>
      <c r="AX47" s="384"/>
      <c r="AY47" s="384"/>
      <c r="AZ47" s="342"/>
      <c r="BA47" s="342"/>
      <c r="BB47" s="342"/>
      <c r="BC47" s="342"/>
      <c r="BD47" s="384"/>
      <c r="BE47" s="342"/>
    </row>
    <row r="48" spans="1:57" ht="14.25" customHeight="1" outlineLevel="1">
      <c r="A48" s="403" t="s">
        <v>753</v>
      </c>
      <c r="B48" s="397"/>
      <c r="C48" s="364"/>
      <c r="D48" s="364"/>
      <c r="E48" s="365"/>
      <c r="F48" s="370"/>
      <c r="G48" s="363"/>
      <c r="H48" s="354"/>
      <c r="AJ48" s="398"/>
      <c r="AK48" s="354"/>
      <c r="AL48" s="354"/>
      <c r="AM48" s="354"/>
      <c r="AN48" s="354"/>
      <c r="AO48" s="358"/>
      <c r="AP48" s="358"/>
      <c r="AQ48" s="342"/>
      <c r="AR48" s="342"/>
      <c r="AS48" s="342"/>
      <c r="AT48" s="384"/>
      <c r="AU48" s="384"/>
      <c r="AV48" s="399"/>
      <c r="AW48" s="399"/>
      <c r="AX48" s="384"/>
      <c r="AY48" s="384"/>
      <c r="AZ48" s="342"/>
      <c r="BA48" s="342"/>
      <c r="BB48" s="342"/>
      <c r="BC48" s="342"/>
      <c r="BD48" s="384"/>
      <c r="BE48" s="342"/>
    </row>
    <row r="49" spans="1:57" ht="14.25" customHeight="1" outlineLevel="1">
      <c r="A49" s="403" t="s">
        <v>785</v>
      </c>
      <c r="B49" s="397"/>
      <c r="C49" s="364"/>
      <c r="D49" s="364"/>
      <c r="E49" s="365"/>
      <c r="G49" s="363"/>
      <c r="H49" s="354"/>
      <c r="AJ49" s="398"/>
      <c r="AK49" s="354"/>
      <c r="AL49" s="354"/>
      <c r="AM49" s="354"/>
      <c r="AN49" s="354"/>
      <c r="AO49" s="358"/>
      <c r="AP49" s="358"/>
      <c r="AQ49" s="342"/>
      <c r="AR49" s="342"/>
      <c r="AS49" s="342"/>
      <c r="AT49" s="384"/>
      <c r="AU49" s="384"/>
      <c r="AV49" s="384"/>
      <c r="AW49" s="399"/>
      <c r="AX49" s="384"/>
      <c r="AY49" s="384"/>
      <c r="AZ49" s="342"/>
      <c r="BA49" s="342"/>
      <c r="BB49" s="342"/>
      <c r="BC49" s="342"/>
      <c r="BD49" s="342"/>
      <c r="BE49" s="342"/>
    </row>
    <row r="50" spans="1:57" ht="14.25" customHeight="1" outlineLevel="1">
      <c r="A50" s="374" t="s">
        <v>1787</v>
      </c>
      <c r="B50" s="375" t="s">
        <v>120</v>
      </c>
      <c r="C50" s="395" t="s">
        <v>1777</v>
      </c>
      <c r="D50" s="395" t="s">
        <v>1778</v>
      </c>
      <c r="E50" s="407" t="s">
        <v>1779</v>
      </c>
      <c r="G50" s="365"/>
      <c r="AJ50" s="398"/>
      <c r="AK50" s="354"/>
      <c r="AL50" s="354"/>
      <c r="AM50" s="354"/>
      <c r="AN50" s="354"/>
      <c r="AO50" s="358"/>
      <c r="AP50" s="358"/>
      <c r="AQ50" s="342"/>
      <c r="AR50" s="342"/>
      <c r="AS50" s="342"/>
      <c r="AT50" s="384"/>
      <c r="AU50" s="384"/>
      <c r="AV50" s="384"/>
      <c r="AW50" s="399"/>
      <c r="AX50" s="384"/>
      <c r="AY50" s="384"/>
      <c r="AZ50" s="342"/>
      <c r="BA50" s="342"/>
      <c r="BB50" s="342"/>
      <c r="BC50" s="342"/>
      <c r="BD50" s="342"/>
      <c r="BE50" s="342"/>
    </row>
    <row r="51" spans="1:57" ht="14.25" customHeight="1" outlineLevel="1">
      <c r="A51" s="403" t="s">
        <v>1780</v>
      </c>
      <c r="B51" s="408" t="s">
        <v>156</v>
      </c>
      <c r="C51" s="388">
        <v>0.6</v>
      </c>
      <c r="D51" s="401" t="s">
        <v>1788</v>
      </c>
      <c r="E51" s="409">
        <v>0.25</v>
      </c>
      <c r="G51" s="410"/>
      <c r="AJ51" s="398"/>
      <c r="AK51" s="354"/>
      <c r="AL51" s="354"/>
      <c r="AM51" s="354"/>
      <c r="AN51" s="354"/>
      <c r="AO51" s="358"/>
      <c r="AP51" s="358"/>
      <c r="AQ51" s="342"/>
      <c r="AR51" s="342"/>
      <c r="AS51" s="342"/>
      <c r="AT51" s="384"/>
      <c r="AU51" s="384"/>
      <c r="AV51" s="384"/>
      <c r="AW51" s="399"/>
      <c r="AX51" s="384"/>
      <c r="AY51" s="384"/>
      <c r="AZ51" s="342"/>
      <c r="BA51" s="342"/>
      <c r="BB51" s="342"/>
      <c r="BC51" s="342"/>
      <c r="BD51" s="342"/>
      <c r="BE51" s="342"/>
    </row>
    <row r="52" spans="1:57" ht="14.25" customHeight="1" outlineLevel="1">
      <c r="A52" s="331" t="s">
        <v>1789</v>
      </c>
      <c r="B52" s="397"/>
      <c r="C52" s="364"/>
      <c r="D52" s="411"/>
      <c r="E52" s="364"/>
      <c r="G52" s="410"/>
      <c r="AJ52" s="398"/>
      <c r="AK52" s="354"/>
      <c r="AL52" s="354"/>
      <c r="AM52" s="354"/>
      <c r="AN52" s="354"/>
      <c r="AO52" s="358"/>
      <c r="AP52" s="358"/>
      <c r="AQ52" s="342"/>
      <c r="AR52" s="342"/>
      <c r="AS52" s="342"/>
      <c r="AT52" s="384"/>
      <c r="AU52" s="384"/>
      <c r="AV52" s="384"/>
      <c r="AW52" s="399"/>
      <c r="AX52" s="384"/>
      <c r="AY52" s="384"/>
      <c r="AZ52" s="342"/>
      <c r="BA52" s="342"/>
      <c r="BB52" s="342"/>
      <c r="BC52" s="342"/>
      <c r="BD52" s="342"/>
      <c r="BE52" s="342"/>
    </row>
    <row r="53" spans="1:57" ht="14.25" customHeight="1" outlineLevel="1">
      <c r="A53" s="404" t="s">
        <v>493</v>
      </c>
      <c r="B53" s="397"/>
      <c r="C53" s="364"/>
      <c r="D53" s="411"/>
      <c r="E53" s="364"/>
      <c r="G53" s="410"/>
      <c r="AJ53" s="398"/>
      <c r="AK53" s="354"/>
      <c r="AL53" s="354"/>
      <c r="AM53" s="354"/>
      <c r="AN53" s="354"/>
      <c r="AO53" s="358"/>
      <c r="AP53" s="358"/>
      <c r="AQ53" s="342"/>
      <c r="AR53" s="342"/>
      <c r="AS53" s="342"/>
      <c r="AT53" s="384"/>
      <c r="AU53" s="384"/>
      <c r="AV53" s="384"/>
      <c r="AW53" s="399"/>
      <c r="AX53" s="384"/>
      <c r="AY53" s="384"/>
      <c r="AZ53" s="342"/>
      <c r="BA53" s="342"/>
      <c r="BB53" s="342"/>
      <c r="BC53" s="342"/>
      <c r="BD53" s="342"/>
      <c r="BE53" s="342"/>
    </row>
    <row r="54" spans="1:57" ht="14.25" customHeight="1" outlineLevel="1">
      <c r="A54" s="404" t="s">
        <v>271</v>
      </c>
      <c r="B54" s="397"/>
      <c r="C54" s="364"/>
      <c r="D54" s="411"/>
      <c r="E54" s="364"/>
      <c r="G54" s="410"/>
      <c r="AJ54" s="398"/>
      <c r="AK54" s="354"/>
      <c r="AL54" s="354"/>
      <c r="AM54" s="354"/>
      <c r="AN54" s="354"/>
      <c r="AO54" s="358"/>
      <c r="AP54" s="358"/>
      <c r="AQ54" s="342"/>
      <c r="AR54" s="342"/>
      <c r="AS54" s="342"/>
      <c r="AT54" s="384"/>
      <c r="AU54" s="384"/>
      <c r="AV54" s="384"/>
      <c r="AW54" s="399"/>
      <c r="AX54" s="384"/>
      <c r="AY54" s="384"/>
      <c r="AZ54" s="342"/>
      <c r="BA54" s="342"/>
      <c r="BB54" s="342"/>
      <c r="BC54" s="342"/>
      <c r="BD54" s="342"/>
      <c r="BE54" s="342"/>
    </row>
    <row r="55" spans="1:57" ht="14.25" customHeight="1" outlineLevel="1">
      <c r="A55" s="412" t="s">
        <v>708</v>
      </c>
      <c r="G55" s="410"/>
      <c r="AJ55" s="398"/>
      <c r="AK55" s="354"/>
      <c r="AL55" s="354"/>
      <c r="AM55" s="354"/>
      <c r="AN55" s="354"/>
      <c r="AO55" s="358"/>
      <c r="AP55" s="358"/>
      <c r="AQ55" s="342"/>
      <c r="AR55" s="342"/>
      <c r="AS55" s="342"/>
      <c r="AT55" s="384"/>
      <c r="AU55" s="384"/>
      <c r="AV55" s="384"/>
      <c r="AW55" s="399"/>
      <c r="AX55" s="384"/>
      <c r="AY55" s="384"/>
      <c r="AZ55" s="342"/>
      <c r="BA55" s="342"/>
      <c r="BB55" s="342"/>
      <c r="BC55" s="342"/>
      <c r="BD55" s="342"/>
      <c r="BE55" s="342"/>
    </row>
    <row r="56" spans="1:57" ht="14.25" customHeight="1" outlineLevel="1">
      <c r="A56" s="412" t="s">
        <v>1790</v>
      </c>
      <c r="G56" s="410"/>
      <c r="AJ56" s="398"/>
      <c r="AK56" s="354"/>
      <c r="AL56" s="354"/>
      <c r="AM56" s="354"/>
      <c r="AN56" s="354"/>
      <c r="AO56" s="358"/>
      <c r="AP56" s="358"/>
      <c r="AQ56" s="342"/>
      <c r="AR56" s="342"/>
      <c r="AS56" s="342"/>
      <c r="AT56" s="384"/>
      <c r="AU56" s="384"/>
      <c r="AV56" s="384"/>
      <c r="AW56" s="399"/>
      <c r="AX56" s="384"/>
      <c r="AY56" s="384"/>
      <c r="AZ56" s="342"/>
      <c r="BA56" s="342"/>
      <c r="BB56" s="342"/>
      <c r="BC56" s="342"/>
      <c r="BD56" s="342"/>
      <c r="BE56" s="342"/>
    </row>
    <row r="57" spans="1:57" ht="14.25" customHeight="1" outlineLevel="1">
      <c r="A57" s="412" t="s">
        <v>1791</v>
      </c>
      <c r="G57" s="410"/>
      <c r="AJ57" s="398"/>
      <c r="AK57" s="354"/>
      <c r="AL57" s="354"/>
      <c r="AM57" s="354"/>
      <c r="AN57" s="354"/>
      <c r="AO57" s="358"/>
      <c r="AP57" s="358"/>
      <c r="AQ57" s="342"/>
      <c r="AR57" s="342"/>
      <c r="AS57" s="342"/>
      <c r="AT57" s="384"/>
      <c r="AU57" s="384"/>
      <c r="AV57" s="384"/>
      <c r="AW57" s="399"/>
      <c r="AX57" s="384"/>
      <c r="AY57" s="384"/>
      <c r="AZ57" s="342"/>
      <c r="BA57" s="342"/>
      <c r="BB57" s="342"/>
      <c r="BC57" s="342"/>
      <c r="BD57" s="342"/>
      <c r="BE57" s="342"/>
    </row>
    <row r="58" spans="1:57" ht="14.25" customHeight="1" outlineLevel="1">
      <c r="G58" s="410"/>
      <c r="AJ58" s="398"/>
      <c r="AK58" s="354"/>
      <c r="AL58" s="354"/>
      <c r="AM58" s="354"/>
      <c r="AN58" s="354"/>
      <c r="AO58" s="358"/>
      <c r="AP58" s="358"/>
      <c r="AQ58" s="342"/>
      <c r="AR58" s="342"/>
      <c r="AS58" s="342"/>
      <c r="AT58" s="384"/>
      <c r="AU58" s="384"/>
      <c r="AV58" s="384"/>
      <c r="AW58" s="399"/>
      <c r="AX58" s="384"/>
      <c r="AY58" s="384"/>
      <c r="AZ58" s="342"/>
      <c r="BA58" s="342"/>
      <c r="BB58" s="342"/>
      <c r="BC58" s="342"/>
      <c r="BD58" s="342"/>
      <c r="BE58" s="342"/>
    </row>
    <row r="59" spans="1:57" ht="14.25" customHeight="1" outlineLevel="1">
      <c r="A59" s="413" t="s">
        <v>1792</v>
      </c>
      <c r="G59" s="365"/>
      <c r="H59" s="354"/>
      <c r="J59" s="362"/>
      <c r="K59" s="362"/>
      <c r="L59" s="362"/>
      <c r="M59" s="362"/>
      <c r="N59" s="362"/>
      <c r="O59" s="362"/>
      <c r="P59" s="362"/>
      <c r="Q59" s="362"/>
      <c r="R59" s="362"/>
      <c r="S59" s="362"/>
      <c r="T59" s="362"/>
      <c r="U59" s="362"/>
      <c r="V59" s="362"/>
      <c r="AJ59" s="398"/>
      <c r="AK59" s="354"/>
      <c r="AL59" s="354"/>
      <c r="AM59" s="354"/>
      <c r="AN59" s="354"/>
      <c r="AO59" s="358"/>
      <c r="AP59" s="358"/>
      <c r="AQ59" s="342"/>
      <c r="AR59" s="342"/>
      <c r="AS59" s="342"/>
      <c r="AT59" s="384"/>
      <c r="AU59" s="384"/>
      <c r="AV59" s="384"/>
      <c r="AW59" s="399"/>
      <c r="AX59" s="384"/>
      <c r="AY59" s="384"/>
      <c r="AZ59" s="342"/>
      <c r="BA59" s="342"/>
      <c r="BB59" s="342"/>
      <c r="BC59" s="342"/>
      <c r="BD59" s="342"/>
      <c r="BE59" s="342"/>
    </row>
    <row r="60" spans="1:57" ht="14.25" customHeight="1" outlineLevel="1">
      <c r="A60" s="414" t="s">
        <v>162</v>
      </c>
      <c r="B60" s="415" t="s">
        <v>1793</v>
      </c>
      <c r="C60" s="388">
        <v>1</v>
      </c>
      <c r="G60" s="365"/>
      <c r="H60" s="354"/>
      <c r="J60" s="362"/>
      <c r="K60" s="362"/>
      <c r="L60" s="362"/>
      <c r="M60" s="362"/>
      <c r="N60" s="362"/>
      <c r="O60" s="362"/>
      <c r="P60" s="362"/>
      <c r="Q60" s="362"/>
      <c r="R60" s="362"/>
      <c r="S60" s="362"/>
      <c r="T60" s="362"/>
      <c r="U60" s="362"/>
      <c r="V60" s="362"/>
      <c r="AJ60" s="398"/>
      <c r="AK60" s="354"/>
      <c r="AL60" s="354"/>
      <c r="AM60" s="354"/>
      <c r="AN60" s="354"/>
      <c r="AO60" s="358"/>
      <c r="AP60" s="358"/>
      <c r="AQ60" s="342"/>
      <c r="AR60" s="342"/>
      <c r="AS60" s="342"/>
      <c r="AT60" s="384"/>
      <c r="AU60" s="384"/>
      <c r="AV60" s="384"/>
      <c r="AW60" s="399"/>
      <c r="AX60" s="384"/>
      <c r="AY60" s="384"/>
      <c r="AZ60" s="342"/>
      <c r="BA60" s="342"/>
      <c r="BB60" s="342"/>
      <c r="BC60" s="342"/>
      <c r="BD60" s="342"/>
      <c r="BE60" s="342"/>
    </row>
    <row r="61" spans="1:57" ht="14.25" customHeight="1" outlineLevel="1">
      <c r="A61" s="412" t="s">
        <v>168</v>
      </c>
      <c r="B61" s="415" t="s">
        <v>1793</v>
      </c>
      <c r="C61" s="380">
        <v>0</v>
      </c>
      <c r="G61" s="365"/>
      <c r="H61" s="354"/>
      <c r="J61" s="362"/>
      <c r="K61" s="362"/>
      <c r="L61" s="362"/>
      <c r="M61" s="362"/>
      <c r="N61" s="362"/>
      <c r="O61" s="362"/>
      <c r="P61" s="362"/>
      <c r="Q61" s="362"/>
      <c r="R61" s="362"/>
      <c r="S61" s="362"/>
      <c r="T61" s="362"/>
      <c r="U61" s="362"/>
      <c r="V61" s="362"/>
      <c r="AJ61" s="398"/>
      <c r="AK61" s="354"/>
      <c r="AL61" s="354"/>
      <c r="AM61" s="354"/>
      <c r="AN61" s="354"/>
      <c r="AO61" s="358"/>
      <c r="AP61" s="358"/>
      <c r="AQ61" s="342"/>
      <c r="AR61" s="342"/>
      <c r="AS61" s="342"/>
      <c r="AT61" s="384"/>
      <c r="AU61" s="384"/>
      <c r="AV61" s="384"/>
      <c r="AW61" s="399"/>
      <c r="AX61" s="384"/>
      <c r="AY61" s="384"/>
      <c r="AZ61" s="342"/>
      <c r="BA61" s="342"/>
      <c r="BB61" s="342"/>
      <c r="BC61" s="342"/>
      <c r="BD61" s="342"/>
      <c r="BE61" s="342"/>
    </row>
    <row r="62" spans="1:57" ht="14.25" customHeight="1" outlineLevel="1">
      <c r="A62" s="412" t="s">
        <v>1794</v>
      </c>
      <c r="B62" s="415" t="s">
        <v>1793</v>
      </c>
      <c r="C62" s="380">
        <v>0</v>
      </c>
      <c r="G62" s="365"/>
      <c r="H62" s="354"/>
      <c r="J62" s="362"/>
      <c r="K62" s="362"/>
      <c r="AJ62" s="398"/>
      <c r="AK62" s="354"/>
      <c r="AL62" s="354"/>
      <c r="AM62" s="354"/>
      <c r="AN62" s="354"/>
      <c r="AO62" s="358"/>
      <c r="AP62" s="358"/>
      <c r="AQ62" s="342"/>
      <c r="AR62" s="342"/>
      <c r="AS62" s="342"/>
      <c r="AT62" s="384"/>
      <c r="AU62" s="384"/>
      <c r="AV62" s="384"/>
      <c r="AW62" s="399"/>
      <c r="AX62" s="384"/>
      <c r="AY62" s="384"/>
      <c r="AZ62" s="342"/>
      <c r="BA62" s="342"/>
      <c r="BB62" s="342"/>
      <c r="BC62" s="342"/>
      <c r="BD62" s="384"/>
      <c r="BE62" s="342"/>
    </row>
    <row r="63" spans="1:57" ht="14.25" customHeight="1" outlineLevel="1">
      <c r="A63" s="416" t="s">
        <v>1795</v>
      </c>
      <c r="B63" s="415" t="s">
        <v>1796</v>
      </c>
      <c r="C63" s="417">
        <v>5000</v>
      </c>
      <c r="G63" s="365"/>
      <c r="H63" s="354"/>
      <c r="J63" s="362"/>
      <c r="K63" s="362"/>
      <c r="AJ63" s="398"/>
      <c r="AK63" s="354"/>
      <c r="AL63" s="354"/>
      <c r="AM63" s="354"/>
      <c r="AN63" s="354"/>
      <c r="AO63" s="358"/>
      <c r="AP63" s="358"/>
      <c r="AQ63" s="342"/>
      <c r="AR63" s="342"/>
      <c r="AS63" s="342"/>
      <c r="AT63" s="384"/>
      <c r="AU63" s="384"/>
      <c r="AV63" s="342"/>
      <c r="AW63" s="418"/>
      <c r="AX63" s="384"/>
      <c r="AY63" s="384"/>
      <c r="AZ63" s="342"/>
      <c r="BA63" s="342"/>
      <c r="BB63" s="342"/>
      <c r="BC63" s="342"/>
      <c r="BD63" s="342"/>
      <c r="BE63" s="342"/>
    </row>
    <row r="64" spans="1:57" ht="14.25" customHeight="1">
      <c r="A64" s="3062" t="s">
        <v>1797</v>
      </c>
      <c r="B64" s="3062"/>
      <c r="C64" s="3062"/>
      <c r="D64" s="3062"/>
      <c r="E64" s="3062"/>
      <c r="F64" s="419" t="s">
        <v>1798</v>
      </c>
      <c r="G64" s="365"/>
      <c r="H64" s="354"/>
      <c r="J64" s="362"/>
      <c r="K64" s="362"/>
      <c r="AJ64" s="398"/>
      <c r="AK64" s="354"/>
      <c r="AL64" s="354"/>
      <c r="AM64" s="354"/>
      <c r="AN64" s="354"/>
      <c r="AO64" s="358"/>
      <c r="AP64" s="358"/>
      <c r="AQ64" s="342"/>
      <c r="AR64" s="342"/>
      <c r="AS64" s="342"/>
      <c r="AT64" s="384"/>
      <c r="AU64" s="384"/>
      <c r="AV64" s="342"/>
      <c r="AW64" s="418"/>
      <c r="AX64" s="384"/>
      <c r="AY64" s="384"/>
      <c r="AZ64" s="342"/>
      <c r="BA64" s="342"/>
      <c r="BB64" s="342"/>
      <c r="BC64" s="342"/>
      <c r="BD64" s="342"/>
      <c r="BE64" s="342"/>
    </row>
    <row r="65" spans="1:58" ht="14.25" customHeight="1">
      <c r="G65" s="365"/>
      <c r="H65" s="354"/>
      <c r="J65" s="362"/>
      <c r="K65" s="362"/>
      <c r="L65" s="362"/>
      <c r="M65" s="362"/>
      <c r="N65" s="362"/>
      <c r="O65" s="362"/>
      <c r="P65" s="362"/>
      <c r="Q65" s="362"/>
      <c r="R65" s="362"/>
      <c r="S65" s="362"/>
      <c r="T65" s="362"/>
      <c r="U65" s="362"/>
      <c r="V65" s="362"/>
      <c r="AJ65" s="398"/>
      <c r="AK65" s="354"/>
      <c r="AL65" s="354"/>
      <c r="AM65" s="354"/>
      <c r="AN65" s="354"/>
      <c r="AO65" s="358"/>
      <c r="AP65" s="358"/>
      <c r="AQ65" s="342"/>
      <c r="AR65" s="342"/>
      <c r="AS65" s="342"/>
      <c r="AT65" s="384"/>
      <c r="AU65" s="384"/>
      <c r="AV65" s="342"/>
      <c r="AW65" s="342"/>
      <c r="AX65" s="384"/>
      <c r="AY65" s="384"/>
      <c r="AZ65" s="342"/>
      <c r="BA65" s="342"/>
      <c r="BB65" s="342"/>
      <c r="BC65" s="342"/>
      <c r="BD65" s="342"/>
      <c r="BE65" s="342"/>
    </row>
    <row r="66" spans="1:58" ht="14.25" hidden="1" customHeight="1" outlineLevel="1">
      <c r="A66" s="374" t="s">
        <v>1799</v>
      </c>
      <c r="B66" s="375" t="s">
        <v>120</v>
      </c>
      <c r="C66" s="377" t="s">
        <v>1800</v>
      </c>
      <c r="D66" s="377" t="s">
        <v>1801</v>
      </c>
      <c r="E66" s="420" t="s">
        <v>1802</v>
      </c>
      <c r="F66" s="397"/>
      <c r="H66" s="3063" t="s">
        <v>1803</v>
      </c>
      <c r="I66" s="3063"/>
      <c r="J66" s="3063"/>
      <c r="K66" s="3063"/>
      <c r="L66" s="3063"/>
      <c r="M66" s="3063"/>
      <c r="N66" s="3063"/>
      <c r="O66" s="3063"/>
      <c r="P66" s="3063"/>
      <c r="Q66" s="3063"/>
      <c r="R66" s="3063"/>
      <c r="S66" s="3063"/>
      <c r="T66" s="3063"/>
      <c r="U66" s="3063"/>
      <c r="V66" s="3063"/>
      <c r="W66" s="3063"/>
      <c r="X66" s="3063"/>
      <c r="Y66" s="3063"/>
      <c r="Z66" s="3063"/>
      <c r="AA66" s="3063"/>
      <c r="AB66" s="3063"/>
      <c r="AC66" s="421"/>
      <c r="AD66" s="421"/>
      <c r="AE66" s="421"/>
      <c r="AJ66" s="422"/>
      <c r="AK66" s="354"/>
      <c r="AL66" s="354"/>
      <c r="AM66" s="354"/>
      <c r="AN66" s="354"/>
      <c r="AO66" s="358"/>
      <c r="AP66" s="358"/>
      <c r="AQ66" s="342"/>
      <c r="AR66" s="342"/>
      <c r="AS66" s="342"/>
      <c r="AT66" s="423"/>
      <c r="AU66" s="423"/>
      <c r="AV66" s="384"/>
      <c r="AW66" s="384"/>
      <c r="AX66" s="384"/>
      <c r="AY66" s="384"/>
      <c r="AZ66" s="342"/>
      <c r="BA66" s="342"/>
      <c r="BB66" s="342"/>
      <c r="BC66" s="342"/>
      <c r="BD66" s="342"/>
      <c r="BE66" s="342"/>
    </row>
    <row r="67" spans="1:58" s="370" customFormat="1" ht="14.25" hidden="1" customHeight="1" outlineLevel="1">
      <c r="A67" s="3064" t="s">
        <v>1804</v>
      </c>
      <c r="B67" s="3064"/>
      <c r="C67" s="3064"/>
      <c r="D67" s="3064"/>
      <c r="E67" s="3064"/>
      <c r="F67" s="397"/>
      <c r="H67" s="3063"/>
      <c r="I67" s="3063"/>
      <c r="J67" s="3063"/>
      <c r="K67" s="3063"/>
      <c r="L67" s="3063"/>
      <c r="M67" s="3063"/>
      <c r="N67" s="3063"/>
      <c r="O67" s="3063"/>
      <c r="P67" s="3063"/>
      <c r="Q67" s="3063"/>
      <c r="R67" s="3063"/>
      <c r="S67" s="3063"/>
      <c r="T67" s="3063"/>
      <c r="U67" s="3063"/>
      <c r="V67" s="3063"/>
      <c r="W67" s="3063"/>
      <c r="X67" s="3063"/>
      <c r="Y67" s="3063"/>
      <c r="Z67" s="3063"/>
      <c r="AA67" s="3063"/>
      <c r="AB67" s="3063"/>
      <c r="AC67" s="3065" t="s">
        <v>1798</v>
      </c>
      <c r="AD67" s="3065"/>
      <c r="AE67" s="3065"/>
      <c r="AJ67" s="360"/>
      <c r="AK67" s="424"/>
      <c r="AL67" s="424"/>
      <c r="AM67" s="424"/>
      <c r="AN67" s="424"/>
      <c r="AO67" s="425"/>
      <c r="AP67" s="425"/>
      <c r="AQ67" s="426"/>
      <c r="AR67" s="426"/>
      <c r="AS67" s="426"/>
      <c r="AT67" s="383"/>
      <c r="AU67" s="383"/>
      <c r="AV67" s="427"/>
      <c r="AW67" s="427"/>
      <c r="AX67" s="427"/>
      <c r="AY67" s="427"/>
      <c r="AZ67" s="426"/>
      <c r="BA67" s="426"/>
      <c r="BB67" s="426"/>
      <c r="BC67" s="426"/>
      <c r="BD67" s="426"/>
      <c r="BE67" s="426"/>
      <c r="BF67" s="428"/>
    </row>
    <row r="68" spans="1:58" ht="14.25" hidden="1" customHeight="1" outlineLevel="1">
      <c r="A68" s="378" t="s">
        <v>1805</v>
      </c>
      <c r="B68" s="374" t="s">
        <v>156</v>
      </c>
      <c r="C68" s="378">
        <v>1</v>
      </c>
      <c r="D68" s="378">
        <v>1.2</v>
      </c>
      <c r="E68" s="429">
        <v>1</v>
      </c>
      <c r="H68" s="430" t="s">
        <v>1806</v>
      </c>
      <c r="I68" s="431"/>
      <c r="J68" s="432"/>
      <c r="K68" s="432"/>
      <c r="L68" s="432"/>
      <c r="M68" s="432"/>
      <c r="N68" s="432"/>
      <c r="O68" s="432"/>
      <c r="P68" s="432"/>
      <c r="Q68" s="432"/>
      <c r="R68" s="432"/>
      <c r="S68" s="432"/>
      <c r="T68" s="432"/>
      <c r="U68" s="432"/>
      <c r="V68" s="432"/>
      <c r="W68" s="432"/>
      <c r="X68" s="432"/>
      <c r="Y68" s="432"/>
      <c r="Z68" s="3066">
        <v>1</v>
      </c>
      <c r="AA68" s="3066"/>
      <c r="AB68" s="3066"/>
      <c r="AJ68" s="422"/>
      <c r="AK68" s="354"/>
      <c r="AL68" s="354"/>
      <c r="AM68" s="354"/>
      <c r="AN68" s="354"/>
      <c r="AO68" s="358"/>
      <c r="AP68" s="358"/>
      <c r="AQ68" s="342"/>
      <c r="AR68" s="342"/>
      <c r="AS68" s="342"/>
      <c r="AT68" s="423"/>
      <c r="AU68" s="423"/>
      <c r="AV68" s="384"/>
      <c r="AW68" s="384"/>
      <c r="AX68" s="384"/>
      <c r="AY68" s="384"/>
      <c r="AZ68" s="342"/>
      <c r="BA68" s="342"/>
      <c r="BB68" s="342"/>
      <c r="BC68" s="342"/>
      <c r="BD68" s="342"/>
      <c r="BE68" s="342"/>
    </row>
    <row r="69" spans="1:58" ht="14.25" hidden="1" customHeight="1" outlineLevel="1">
      <c r="A69" s="378" t="s">
        <v>1807</v>
      </c>
      <c r="B69" s="374" t="s">
        <v>156</v>
      </c>
      <c r="C69" s="378">
        <v>0.6</v>
      </c>
      <c r="D69" s="378">
        <v>0.6</v>
      </c>
      <c r="E69" s="429">
        <v>0</v>
      </c>
      <c r="H69" s="3067" t="s">
        <v>1808</v>
      </c>
      <c r="I69" s="3067"/>
      <c r="J69" s="3067"/>
      <c r="K69" s="3067"/>
      <c r="L69" s="3067"/>
      <c r="M69" s="3067"/>
      <c r="N69" s="3067"/>
      <c r="O69" s="3067"/>
      <c r="P69" s="3067"/>
      <c r="Q69" s="3067"/>
      <c r="R69" s="3067"/>
      <c r="S69" s="3067"/>
      <c r="T69" s="3067"/>
      <c r="U69" s="3067"/>
      <c r="V69" s="3067"/>
      <c r="W69" s="3067"/>
      <c r="X69" s="3067"/>
      <c r="Y69" s="3067"/>
      <c r="Z69" s="3066">
        <v>1</v>
      </c>
      <c r="AA69" s="3066"/>
      <c r="AB69" s="3066"/>
      <c r="AJ69" s="422"/>
      <c r="AK69" s="354"/>
      <c r="AL69" s="354"/>
      <c r="AM69" s="354"/>
      <c r="AN69" s="354"/>
      <c r="AO69" s="358"/>
      <c r="AP69" s="358"/>
      <c r="AQ69" s="342"/>
      <c r="AR69" s="342"/>
      <c r="AS69" s="342"/>
      <c r="AT69" s="423"/>
      <c r="AU69" s="423"/>
      <c r="AV69" s="384"/>
      <c r="AW69" s="384"/>
      <c r="AX69" s="384"/>
      <c r="AY69" s="384"/>
      <c r="AZ69" s="342"/>
      <c r="BA69" s="342"/>
      <c r="BB69" s="342"/>
      <c r="BC69" s="342"/>
      <c r="BD69" s="342"/>
      <c r="BE69" s="342"/>
    </row>
    <row r="70" spans="1:58" ht="14.25" hidden="1" customHeight="1" outlineLevel="1">
      <c r="A70" s="378" t="s">
        <v>1809</v>
      </c>
      <c r="B70" s="374" t="s">
        <v>156</v>
      </c>
      <c r="C70" s="378">
        <v>1</v>
      </c>
      <c r="D70" s="378">
        <v>2</v>
      </c>
      <c r="E70" s="429">
        <v>0</v>
      </c>
      <c r="H70" s="3068" t="s">
        <v>1810</v>
      </c>
      <c r="I70" s="3068"/>
      <c r="J70" s="3068"/>
      <c r="K70" s="3068"/>
      <c r="L70" s="3068"/>
      <c r="M70" s="3068"/>
      <c r="N70" s="3068"/>
      <c r="O70" s="3068"/>
      <c r="P70" s="3068"/>
      <c r="Q70" s="3068"/>
      <c r="R70" s="3068"/>
      <c r="S70" s="3068"/>
      <c r="T70" s="3068"/>
      <c r="U70" s="3068"/>
      <c r="V70" s="3068"/>
      <c r="W70" s="3068" t="s">
        <v>208</v>
      </c>
      <c r="X70" s="3068"/>
      <c r="Y70" s="3068"/>
      <c r="Z70" s="3069" t="s">
        <v>1802</v>
      </c>
      <c r="AA70" s="3069"/>
      <c r="AB70" s="3069"/>
      <c r="AC70" s="3070" t="s">
        <v>1798</v>
      </c>
      <c r="AD70" s="3070"/>
      <c r="AE70" s="3070"/>
      <c r="AF70" s="354"/>
      <c r="AG70" s="354"/>
      <c r="AH70" s="354"/>
      <c r="AI70" s="354"/>
      <c r="AJ70" s="354"/>
      <c r="AK70" s="354"/>
      <c r="AL70" s="354"/>
      <c r="AM70" s="354"/>
      <c r="AN70" s="354"/>
      <c r="AO70" s="358"/>
      <c r="AP70" s="358"/>
      <c r="AQ70" s="342"/>
      <c r="AR70" s="342"/>
      <c r="AS70" s="423"/>
      <c r="AT70" s="423"/>
      <c r="AU70" s="423"/>
      <c r="AV70" s="384"/>
      <c r="AW70" s="384"/>
      <c r="AX70" s="384"/>
      <c r="AY70" s="384"/>
      <c r="AZ70" s="342"/>
      <c r="BA70" s="342"/>
      <c r="BB70" s="342"/>
      <c r="BC70" s="342"/>
      <c r="BD70" s="342"/>
      <c r="BE70" s="342"/>
    </row>
    <row r="71" spans="1:58" ht="14.25" hidden="1" customHeight="1" outlineLevel="1">
      <c r="A71" s="436" t="s">
        <v>1811</v>
      </c>
      <c r="B71" s="377" t="s">
        <v>156</v>
      </c>
      <c r="C71" s="392">
        <v>0.6</v>
      </c>
      <c r="D71" s="392">
        <v>1.5</v>
      </c>
      <c r="E71" s="437">
        <v>0</v>
      </c>
      <c r="H71" s="3071" t="s">
        <v>1230</v>
      </c>
      <c r="I71" s="3071"/>
      <c r="J71" s="3071"/>
      <c r="K71" s="3071"/>
      <c r="L71" s="3071"/>
      <c r="M71" s="3071"/>
      <c r="N71" s="3071"/>
      <c r="O71" s="3071"/>
      <c r="P71" s="3071"/>
      <c r="Q71" s="3071"/>
      <c r="R71" s="3071"/>
      <c r="S71" s="3071"/>
      <c r="T71" s="3071"/>
      <c r="U71" s="3071"/>
      <c r="V71" s="3071"/>
      <c r="W71" s="3068" t="s">
        <v>159</v>
      </c>
      <c r="X71" s="3068"/>
      <c r="Y71" s="3068"/>
      <c r="Z71" s="3066">
        <v>1</v>
      </c>
      <c r="AA71" s="3066"/>
      <c r="AB71" s="3066"/>
      <c r="AF71" s="354"/>
      <c r="AG71" s="354"/>
      <c r="AH71" s="354"/>
      <c r="AI71" s="354"/>
      <c r="AJ71" s="354"/>
      <c r="AK71" s="354"/>
      <c r="AL71" s="354"/>
      <c r="AM71" s="354"/>
      <c r="AN71" s="354"/>
      <c r="AO71" s="358"/>
      <c r="AP71" s="358"/>
      <c r="AQ71" s="342"/>
      <c r="AR71" s="342"/>
      <c r="AS71" s="423"/>
      <c r="AT71" s="423"/>
      <c r="AU71" s="423"/>
      <c r="AV71" s="384"/>
      <c r="AW71" s="384"/>
      <c r="AX71" s="384"/>
      <c r="AY71" s="384"/>
      <c r="AZ71" s="342"/>
      <c r="BA71" s="342"/>
      <c r="BB71" s="342"/>
      <c r="BC71" s="342"/>
      <c r="BD71" s="342"/>
      <c r="BE71" s="342"/>
    </row>
    <row r="72" spans="1:58" ht="14.25" hidden="1" customHeight="1" outlineLevel="1">
      <c r="A72" s="436" t="s">
        <v>1812</v>
      </c>
      <c r="B72" s="377" t="s">
        <v>156</v>
      </c>
      <c r="C72" s="392">
        <v>0.5</v>
      </c>
      <c r="D72" s="392">
        <v>1.5</v>
      </c>
      <c r="E72" s="437">
        <v>0</v>
      </c>
      <c r="H72" s="3071" t="s">
        <v>1229</v>
      </c>
      <c r="I72" s="3071"/>
      <c r="J72" s="3071"/>
      <c r="K72" s="3071"/>
      <c r="L72" s="3071"/>
      <c r="M72" s="3071"/>
      <c r="N72" s="3071"/>
      <c r="O72" s="3071"/>
      <c r="P72" s="3071"/>
      <c r="Q72" s="3071"/>
      <c r="R72" s="3071"/>
      <c r="S72" s="3071"/>
      <c r="T72" s="3071"/>
      <c r="U72" s="3071"/>
      <c r="V72" s="3071"/>
      <c r="W72" s="3068" t="s">
        <v>159</v>
      </c>
      <c r="X72" s="3068"/>
      <c r="Y72" s="3068"/>
      <c r="Z72" s="3066">
        <v>2</v>
      </c>
      <c r="AA72" s="3066"/>
      <c r="AB72" s="3066"/>
      <c r="AG72" s="354"/>
      <c r="AH72" s="354"/>
      <c r="AI72" s="354"/>
      <c r="AJ72" s="354"/>
      <c r="AK72" s="354"/>
      <c r="AL72" s="354"/>
      <c r="AM72" s="354"/>
      <c r="AN72" s="354"/>
      <c r="AO72" s="358"/>
      <c r="AP72" s="358"/>
      <c r="AQ72" s="342"/>
      <c r="AR72" s="342"/>
      <c r="AS72" s="423"/>
      <c r="AT72" s="423"/>
      <c r="AU72" s="423"/>
      <c r="AV72" s="384"/>
      <c r="AW72" s="384"/>
      <c r="AX72" s="384"/>
      <c r="AY72" s="384"/>
      <c r="AZ72" s="342"/>
      <c r="BA72" s="342"/>
      <c r="BB72" s="342"/>
      <c r="BC72" s="342"/>
      <c r="BD72" s="342"/>
      <c r="BE72" s="342"/>
    </row>
    <row r="73" spans="1:58" ht="14.25" hidden="1" customHeight="1" outlineLevel="1">
      <c r="A73" s="436" t="s">
        <v>1813</v>
      </c>
      <c r="B73" s="374" t="s">
        <v>156</v>
      </c>
      <c r="C73" s="378">
        <v>0.8</v>
      </c>
      <c r="D73" s="378">
        <v>2.1</v>
      </c>
      <c r="E73" s="429">
        <v>0</v>
      </c>
      <c r="H73" s="3071" t="s">
        <v>1230</v>
      </c>
      <c r="I73" s="3071"/>
      <c r="J73" s="3071"/>
      <c r="K73" s="3071"/>
      <c r="L73" s="3071"/>
      <c r="M73" s="3071"/>
      <c r="N73" s="3071"/>
      <c r="O73" s="3071"/>
      <c r="P73" s="3071"/>
      <c r="Q73" s="3071"/>
      <c r="R73" s="3071"/>
      <c r="S73" s="3071"/>
      <c r="T73" s="3071"/>
      <c r="U73" s="3071"/>
      <c r="V73" s="3071"/>
      <c r="W73" s="3068" t="s">
        <v>159</v>
      </c>
      <c r="X73" s="3068"/>
      <c r="Y73" s="3068"/>
      <c r="Z73" s="3066">
        <v>5</v>
      </c>
      <c r="AA73" s="3066"/>
      <c r="AB73" s="3066"/>
      <c r="AG73" s="354"/>
      <c r="AH73" s="354"/>
      <c r="AI73" s="354"/>
      <c r="AJ73" s="354"/>
      <c r="AK73" s="354"/>
      <c r="AL73" s="354"/>
      <c r="AM73" s="354"/>
      <c r="AN73" s="354"/>
      <c r="AO73" s="358"/>
      <c r="AP73" s="358"/>
      <c r="AQ73" s="342"/>
      <c r="AR73" s="342"/>
      <c r="AS73" s="423"/>
      <c r="AT73" s="423"/>
      <c r="AU73" s="423"/>
      <c r="AV73" s="384"/>
      <c r="AW73" s="384"/>
      <c r="AX73" s="384"/>
      <c r="AY73" s="384"/>
      <c r="AZ73" s="342"/>
      <c r="BA73" s="342"/>
      <c r="BB73" s="342"/>
      <c r="BC73" s="342"/>
      <c r="BD73" s="342"/>
      <c r="BE73" s="342"/>
    </row>
    <row r="74" spans="1:58" ht="14.25" hidden="1" customHeight="1" outlineLevel="1">
      <c r="A74" s="376" t="s">
        <v>1814</v>
      </c>
      <c r="B74" s="377" t="s">
        <v>156</v>
      </c>
      <c r="C74" s="392">
        <v>2</v>
      </c>
      <c r="D74" s="392">
        <v>2</v>
      </c>
      <c r="E74" s="437">
        <v>0</v>
      </c>
      <c r="H74" s="3071" t="s">
        <v>1227</v>
      </c>
      <c r="I74" s="3071"/>
      <c r="J74" s="3071"/>
      <c r="K74" s="3071"/>
      <c r="L74" s="3071"/>
      <c r="M74" s="3071"/>
      <c r="N74" s="3071"/>
      <c r="O74" s="3071"/>
      <c r="P74" s="3071"/>
      <c r="Q74" s="3071"/>
      <c r="R74" s="3071"/>
      <c r="S74" s="3071"/>
      <c r="T74" s="3071"/>
      <c r="U74" s="3071"/>
      <c r="V74" s="3071"/>
      <c r="W74" s="3068" t="s">
        <v>159</v>
      </c>
      <c r="X74" s="3068"/>
      <c r="Y74" s="3068"/>
      <c r="Z74" s="3066">
        <v>0</v>
      </c>
      <c r="AA74" s="3066"/>
      <c r="AB74" s="3066"/>
      <c r="AG74" s="354"/>
      <c r="AH74" s="354"/>
      <c r="AI74" s="354"/>
      <c r="AJ74" s="354"/>
      <c r="AK74" s="354"/>
      <c r="AL74" s="354"/>
      <c r="AM74" s="354"/>
      <c r="AN74" s="354"/>
      <c r="AO74" s="358"/>
      <c r="AP74" s="358"/>
      <c r="AQ74" s="342"/>
      <c r="AR74" s="342"/>
      <c r="AS74" s="423"/>
      <c r="AT74" s="423"/>
      <c r="AU74" s="423"/>
      <c r="AV74" s="384"/>
      <c r="AW74" s="384"/>
      <c r="AX74" s="384"/>
      <c r="AY74" s="384"/>
      <c r="AZ74" s="342"/>
      <c r="BA74" s="342"/>
      <c r="BB74" s="342"/>
      <c r="BC74" s="342"/>
      <c r="BD74" s="342"/>
      <c r="BE74" s="342"/>
    </row>
    <row r="75" spans="1:58" ht="14.25" hidden="1" customHeight="1" outlineLevel="1">
      <c r="A75" s="376" t="s">
        <v>1815</v>
      </c>
      <c r="B75" s="377" t="s">
        <v>156</v>
      </c>
      <c r="C75" s="392">
        <v>0</v>
      </c>
      <c r="D75" s="392">
        <v>3</v>
      </c>
      <c r="E75" s="437">
        <v>0</v>
      </c>
      <c r="H75" s="354"/>
      <c r="I75" s="366"/>
      <c r="AG75" s="354"/>
      <c r="AH75" s="354"/>
      <c r="AI75" s="354"/>
      <c r="AJ75" s="354"/>
      <c r="AK75" s="354"/>
      <c r="AL75" s="354"/>
      <c r="AM75" s="354"/>
      <c r="AN75" s="354"/>
      <c r="AO75" s="358"/>
      <c r="AP75" s="358"/>
      <c r="AQ75" s="342"/>
      <c r="AR75" s="342"/>
      <c r="AS75" s="423"/>
      <c r="AT75" s="423"/>
      <c r="AU75" s="423"/>
      <c r="AV75" s="384"/>
      <c r="AW75" s="384"/>
      <c r="AX75" s="384"/>
      <c r="AY75" s="384"/>
      <c r="AZ75" s="342"/>
      <c r="BA75" s="342"/>
      <c r="BB75" s="342"/>
      <c r="BC75" s="342"/>
      <c r="BD75" s="342"/>
      <c r="BE75" s="342"/>
    </row>
    <row r="76" spans="1:58" ht="14.25" hidden="1" customHeight="1" outlineLevel="1">
      <c r="A76" s="3064" t="s">
        <v>1816</v>
      </c>
      <c r="B76" s="3064"/>
      <c r="C76" s="3064"/>
      <c r="D76" s="3064"/>
      <c r="E76" s="3064"/>
      <c r="H76" s="3072" t="s">
        <v>1817</v>
      </c>
      <c r="I76" s="3072"/>
      <c r="J76" s="3072"/>
      <c r="K76" s="3072"/>
      <c r="L76" s="3072"/>
      <c r="M76" s="3072"/>
      <c r="N76" s="3072"/>
      <c r="O76" s="3072"/>
      <c r="P76" s="3072"/>
      <c r="Q76" s="3072"/>
      <c r="R76" s="3072"/>
      <c r="S76" s="3072"/>
      <c r="T76" s="3072"/>
      <c r="U76" s="3072"/>
      <c r="V76" s="3072"/>
      <c r="W76" s="3073" t="s">
        <v>120</v>
      </c>
      <c r="X76" s="3073"/>
      <c r="Y76" s="3073"/>
      <c r="Z76" s="3073" t="s">
        <v>1753</v>
      </c>
      <c r="AA76" s="3073"/>
      <c r="AB76" s="3073"/>
      <c r="AG76" s="354"/>
      <c r="AH76" s="354"/>
      <c r="AI76" s="354"/>
      <c r="AJ76" s="354"/>
      <c r="AK76" s="354"/>
      <c r="AL76" s="354"/>
      <c r="AM76" s="354"/>
      <c r="AN76" s="354"/>
      <c r="AO76" s="358"/>
      <c r="AP76" s="358"/>
      <c r="AQ76" s="342"/>
      <c r="AR76" s="342"/>
      <c r="AS76" s="423"/>
      <c r="AT76" s="423"/>
      <c r="AU76" s="423"/>
      <c r="AV76" s="384"/>
      <c r="AW76" s="384"/>
      <c r="AX76" s="384"/>
      <c r="AY76" s="384"/>
      <c r="AZ76" s="342"/>
      <c r="BA76" s="342"/>
      <c r="BB76" s="342"/>
      <c r="BC76" s="342"/>
      <c r="BD76" s="342"/>
      <c r="BE76" s="342"/>
    </row>
    <row r="77" spans="1:58" ht="14.25" hidden="1" customHeight="1" outlineLevel="1">
      <c r="A77" s="436" t="s">
        <v>1818</v>
      </c>
      <c r="B77" s="377" t="s">
        <v>156</v>
      </c>
      <c r="C77" s="392">
        <v>0.6</v>
      </c>
      <c r="D77" s="392">
        <v>0.6</v>
      </c>
      <c r="E77" s="437">
        <v>0</v>
      </c>
      <c r="H77" s="3074" t="s">
        <v>1819</v>
      </c>
      <c r="I77" s="3074"/>
      <c r="J77" s="3074"/>
      <c r="K77" s="3074"/>
      <c r="L77" s="3074"/>
      <c r="M77" s="3074"/>
      <c r="N77" s="3074"/>
      <c r="O77" s="3074"/>
      <c r="P77" s="3074"/>
      <c r="Q77" s="3074"/>
      <c r="R77" s="3074"/>
      <c r="S77" s="3074"/>
      <c r="T77" s="3074"/>
      <c r="U77" s="3074"/>
      <c r="V77" s="3074"/>
      <c r="W77" s="3068" t="s">
        <v>1820</v>
      </c>
      <c r="X77" s="3068"/>
      <c r="Y77" s="3068"/>
      <c r="Z77" s="3075" t="s">
        <v>1821</v>
      </c>
      <c r="AA77" s="3075"/>
      <c r="AB77" s="3075"/>
      <c r="AG77" s="354"/>
      <c r="AH77" s="354"/>
      <c r="AI77" s="354"/>
      <c r="AJ77" s="354"/>
      <c r="AK77" s="354"/>
      <c r="AL77" s="354"/>
      <c r="AM77" s="354"/>
      <c r="AN77" s="354"/>
      <c r="AO77" s="358"/>
      <c r="AP77" s="358"/>
      <c r="AQ77" s="342"/>
      <c r="AR77" s="342"/>
      <c r="AS77" s="423"/>
      <c r="AT77" s="423"/>
      <c r="AU77" s="423"/>
      <c r="AV77" s="384"/>
      <c r="AW77" s="384"/>
      <c r="AX77" s="384"/>
      <c r="AY77" s="384"/>
      <c r="AZ77" s="342"/>
      <c r="BA77" s="342"/>
      <c r="BB77" s="342"/>
      <c r="BC77" s="342"/>
      <c r="BD77" s="342"/>
      <c r="BE77" s="342"/>
    </row>
    <row r="78" spans="1:58" ht="14.25" hidden="1" customHeight="1" outlineLevel="1">
      <c r="A78" s="436" t="s">
        <v>1822</v>
      </c>
      <c r="B78" s="377" t="s">
        <v>156</v>
      </c>
      <c r="C78" s="392">
        <v>0.8</v>
      </c>
      <c r="D78" s="392">
        <v>0.8</v>
      </c>
      <c r="E78" s="437">
        <v>0</v>
      </c>
      <c r="H78" s="3074" t="s">
        <v>1823</v>
      </c>
      <c r="I78" s="3074"/>
      <c r="J78" s="3074"/>
      <c r="K78" s="3074"/>
      <c r="L78" s="3074"/>
      <c r="M78" s="3074"/>
      <c r="N78" s="3074"/>
      <c r="O78" s="3074"/>
      <c r="P78" s="3074"/>
      <c r="Q78" s="3074"/>
      <c r="R78" s="3074"/>
      <c r="S78" s="3074"/>
      <c r="T78" s="3074"/>
      <c r="U78" s="3074"/>
      <c r="V78" s="3074"/>
      <c r="W78" s="3068" t="s">
        <v>1820</v>
      </c>
      <c r="X78" s="3068"/>
      <c r="Y78" s="3068"/>
      <c r="Z78" s="3075" t="s">
        <v>1821</v>
      </c>
      <c r="AA78" s="3075"/>
      <c r="AB78" s="3075"/>
      <c r="AG78" s="354"/>
      <c r="AH78" s="354"/>
      <c r="AI78" s="354"/>
      <c r="AJ78" s="354"/>
      <c r="AK78" s="354"/>
      <c r="AL78" s="354"/>
      <c r="AM78" s="354"/>
      <c r="AN78" s="354"/>
      <c r="AO78" s="358"/>
      <c r="AP78" s="358"/>
      <c r="AQ78" s="342"/>
      <c r="AR78" s="342"/>
      <c r="AS78" s="423"/>
      <c r="AT78" s="423"/>
      <c r="AU78" s="423"/>
      <c r="AV78" s="384"/>
      <c r="AW78" s="384"/>
      <c r="AX78" s="384"/>
      <c r="AY78" s="384"/>
      <c r="AZ78" s="342"/>
      <c r="BA78" s="342"/>
      <c r="BB78" s="342"/>
      <c r="BC78" s="342"/>
      <c r="BD78" s="342"/>
      <c r="BE78" s="342"/>
    </row>
    <row r="79" spans="1:58" ht="14.25" hidden="1" customHeight="1" outlineLevel="1">
      <c r="A79" s="436" t="s">
        <v>1824</v>
      </c>
      <c r="B79" s="377" t="s">
        <v>156</v>
      </c>
      <c r="C79" s="392">
        <v>1</v>
      </c>
      <c r="D79" s="392">
        <v>0.7</v>
      </c>
      <c r="E79" s="437">
        <v>0</v>
      </c>
      <c r="H79" s="3074" t="s">
        <v>1825</v>
      </c>
      <c r="I79" s="3074"/>
      <c r="J79" s="3074"/>
      <c r="K79" s="3074"/>
      <c r="L79" s="3074"/>
      <c r="M79" s="3074"/>
      <c r="N79" s="3074"/>
      <c r="O79" s="3074"/>
      <c r="P79" s="3074"/>
      <c r="Q79" s="3074"/>
      <c r="R79" s="3074"/>
      <c r="S79" s="3074"/>
      <c r="T79" s="3074"/>
      <c r="U79" s="3074"/>
      <c r="V79" s="3074"/>
      <c r="W79" s="3068" t="s">
        <v>1820</v>
      </c>
      <c r="X79" s="3068"/>
      <c r="Y79" s="3068"/>
      <c r="Z79" s="3075" t="s">
        <v>1821</v>
      </c>
      <c r="AA79" s="3075"/>
      <c r="AB79" s="3075"/>
      <c r="AG79" s="354"/>
      <c r="AH79" s="354"/>
      <c r="AI79" s="354"/>
      <c r="AJ79" s="354"/>
      <c r="AK79" s="354"/>
      <c r="AL79" s="354"/>
      <c r="AM79" s="354"/>
      <c r="AN79" s="354"/>
      <c r="AO79" s="358"/>
      <c r="AP79" s="358"/>
      <c r="AQ79" s="342"/>
      <c r="AR79" s="342"/>
      <c r="AS79" s="423"/>
      <c r="AT79" s="423"/>
      <c r="AU79" s="423"/>
      <c r="AV79" s="384"/>
      <c r="AW79" s="384"/>
      <c r="AX79" s="384"/>
      <c r="AY79" s="384"/>
      <c r="AZ79" s="342"/>
      <c r="BA79" s="342"/>
      <c r="BB79" s="342"/>
      <c r="BC79" s="342"/>
      <c r="BD79" s="342"/>
      <c r="BE79" s="342"/>
    </row>
    <row r="80" spans="1:58" ht="14.25" hidden="1" customHeight="1" outlineLevel="1">
      <c r="A80" s="436" t="s">
        <v>1826</v>
      </c>
      <c r="B80" s="377" t="s">
        <v>156</v>
      </c>
      <c r="C80" s="392">
        <v>5</v>
      </c>
      <c r="D80" s="392">
        <v>3</v>
      </c>
      <c r="E80" s="437">
        <v>0</v>
      </c>
      <c r="H80" s="3074" t="s">
        <v>1827</v>
      </c>
      <c r="I80" s="3074"/>
      <c r="J80" s="3074"/>
      <c r="K80" s="3074"/>
      <c r="L80" s="3074"/>
      <c r="M80" s="3074"/>
      <c r="N80" s="3074"/>
      <c r="O80" s="3074"/>
      <c r="P80" s="3074"/>
      <c r="Q80" s="3074"/>
      <c r="R80" s="3074"/>
      <c r="S80" s="3074"/>
      <c r="T80" s="3074"/>
      <c r="U80" s="3074"/>
      <c r="V80" s="3074"/>
      <c r="W80" s="3068" t="s">
        <v>1820</v>
      </c>
      <c r="X80" s="3068"/>
      <c r="Y80" s="3068"/>
      <c r="Z80" s="3075" t="s">
        <v>1821</v>
      </c>
      <c r="AA80" s="3075"/>
      <c r="AB80" s="3075"/>
      <c r="AG80" s="354"/>
      <c r="AH80" s="354"/>
      <c r="AI80" s="354"/>
      <c r="AJ80" s="354"/>
      <c r="AK80" s="354"/>
      <c r="AL80" s="354"/>
      <c r="AM80" s="354"/>
      <c r="AN80" s="354"/>
      <c r="AO80" s="358"/>
      <c r="AP80" s="358"/>
      <c r="AQ80" s="342"/>
      <c r="AR80" s="342"/>
      <c r="AS80" s="423"/>
      <c r="AT80" s="423"/>
      <c r="AU80" s="423"/>
      <c r="AV80" s="384"/>
      <c r="AW80" s="384"/>
      <c r="AX80" s="384"/>
      <c r="AY80" s="384"/>
      <c r="AZ80" s="342"/>
      <c r="BA80" s="342"/>
      <c r="BB80" s="342"/>
      <c r="BC80" s="342"/>
      <c r="BD80" s="342"/>
      <c r="BE80" s="342"/>
    </row>
    <row r="81" spans="1:58" s="370" customFormat="1" ht="14.25" hidden="1" customHeight="1" outlineLevel="1">
      <c r="A81" s="436" t="s">
        <v>1828</v>
      </c>
      <c r="B81" s="377" t="s">
        <v>156</v>
      </c>
      <c r="C81" s="392">
        <v>6</v>
      </c>
      <c r="D81" s="392">
        <v>2</v>
      </c>
      <c r="E81" s="437">
        <v>0</v>
      </c>
      <c r="H81" s="3074" t="s">
        <v>1829</v>
      </c>
      <c r="I81" s="3074"/>
      <c r="J81" s="3074"/>
      <c r="K81" s="3074"/>
      <c r="L81" s="3074"/>
      <c r="M81" s="3074"/>
      <c r="N81" s="3074"/>
      <c r="O81" s="3074"/>
      <c r="P81" s="3074"/>
      <c r="Q81" s="3074"/>
      <c r="R81" s="3074"/>
      <c r="S81" s="3074"/>
      <c r="T81" s="3074"/>
      <c r="U81" s="3074"/>
      <c r="V81" s="3074"/>
      <c r="W81" s="3068" t="s">
        <v>1820</v>
      </c>
      <c r="X81" s="3068"/>
      <c r="Y81" s="3068"/>
      <c r="Z81" s="3075" t="s">
        <v>1798</v>
      </c>
      <c r="AA81" s="3075"/>
      <c r="AB81" s="3075"/>
      <c r="AF81" s="424"/>
      <c r="AG81" s="424"/>
      <c r="AH81" s="424"/>
      <c r="AI81" s="424"/>
      <c r="AJ81" s="424"/>
      <c r="AK81" s="424"/>
      <c r="AL81" s="424"/>
      <c r="AM81" s="424"/>
      <c r="AN81" s="424"/>
      <c r="AO81" s="425"/>
      <c r="AP81" s="425"/>
      <c r="AQ81" s="426"/>
      <c r="AR81" s="426"/>
      <c r="AS81" s="383"/>
      <c r="AT81" s="383"/>
      <c r="AU81" s="383"/>
      <c r="AV81" s="427"/>
      <c r="AW81" s="427"/>
      <c r="AX81" s="427"/>
      <c r="AY81" s="427"/>
      <c r="AZ81" s="426"/>
      <c r="BA81" s="426"/>
      <c r="BB81" s="426"/>
      <c r="BC81" s="426"/>
      <c r="BD81" s="426"/>
      <c r="BE81" s="426"/>
      <c r="BF81" s="428"/>
    </row>
    <row r="82" spans="1:58" s="370" customFormat="1" ht="14.25" hidden="1" customHeight="1" outlineLevel="1">
      <c r="A82" s="436" t="s">
        <v>1830</v>
      </c>
      <c r="B82" s="374" t="s">
        <v>156</v>
      </c>
      <c r="C82" s="378">
        <v>0.8</v>
      </c>
      <c r="D82" s="378">
        <v>2.1</v>
      </c>
      <c r="E82" s="429">
        <v>0</v>
      </c>
      <c r="H82" s="3074" t="s">
        <v>1831</v>
      </c>
      <c r="I82" s="3074"/>
      <c r="J82" s="3074"/>
      <c r="K82" s="3074"/>
      <c r="L82" s="3074"/>
      <c r="M82" s="3074"/>
      <c r="N82" s="3074"/>
      <c r="O82" s="3074"/>
      <c r="P82" s="3074"/>
      <c r="Q82" s="3074"/>
      <c r="R82" s="3074"/>
      <c r="S82" s="3074"/>
      <c r="T82" s="3074"/>
      <c r="U82" s="3074"/>
      <c r="V82" s="3074"/>
      <c r="W82" s="3068" t="s">
        <v>1820</v>
      </c>
      <c r="X82" s="3068"/>
      <c r="Y82" s="3068"/>
      <c r="Z82" s="3075" t="s">
        <v>1798</v>
      </c>
      <c r="AA82" s="3075"/>
      <c r="AB82" s="3075"/>
      <c r="AF82" s="424"/>
      <c r="AG82" s="424"/>
      <c r="AH82" s="424"/>
      <c r="AI82" s="424"/>
      <c r="AJ82" s="424"/>
      <c r="AK82" s="424"/>
      <c r="AL82" s="424"/>
      <c r="AM82" s="424"/>
      <c r="AN82" s="424"/>
      <c r="AO82" s="425"/>
      <c r="AP82" s="425"/>
      <c r="AQ82" s="426"/>
      <c r="AR82" s="426"/>
      <c r="AS82" s="383"/>
      <c r="AT82" s="383"/>
      <c r="AU82" s="383"/>
      <c r="AV82" s="427"/>
      <c r="AW82" s="427"/>
      <c r="AX82" s="427"/>
      <c r="AY82" s="427"/>
      <c r="AZ82" s="426"/>
      <c r="BA82" s="426"/>
      <c r="BB82" s="426"/>
      <c r="BC82" s="426"/>
      <c r="BD82" s="426"/>
      <c r="BE82" s="426"/>
      <c r="BF82" s="428"/>
    </row>
    <row r="83" spans="1:58" s="370" customFormat="1" ht="14.25" hidden="1" customHeight="1" outlineLevel="1">
      <c r="F83" s="364"/>
      <c r="G83" s="364"/>
      <c r="H83" s="3074" t="s">
        <v>1832</v>
      </c>
      <c r="I83" s="3074"/>
      <c r="J83" s="3074"/>
      <c r="K83" s="3074"/>
      <c r="L83" s="3074"/>
      <c r="M83" s="3074"/>
      <c r="N83" s="3074"/>
      <c r="O83" s="3074"/>
      <c r="P83" s="3074"/>
      <c r="Q83" s="3074"/>
      <c r="R83" s="3074"/>
      <c r="S83" s="3074"/>
      <c r="T83" s="3074"/>
      <c r="U83" s="3074"/>
      <c r="V83" s="3074"/>
      <c r="W83" s="3068" t="s">
        <v>1820</v>
      </c>
      <c r="X83" s="3068"/>
      <c r="Y83" s="3068"/>
      <c r="Z83" s="3075" t="s">
        <v>1798</v>
      </c>
      <c r="AA83" s="3075"/>
      <c r="AB83" s="3075"/>
      <c r="AF83" s="424"/>
      <c r="AG83" s="424"/>
      <c r="AH83" s="424"/>
      <c r="AI83" s="424"/>
      <c r="AJ83" s="424"/>
      <c r="AK83" s="424"/>
      <c r="AL83" s="424"/>
      <c r="AM83" s="424"/>
      <c r="AN83" s="424"/>
      <c r="AO83" s="425"/>
      <c r="AP83" s="425"/>
      <c r="AQ83" s="426"/>
      <c r="AR83" s="426"/>
      <c r="AS83" s="383"/>
      <c r="AT83" s="383"/>
      <c r="AU83" s="383"/>
      <c r="AV83" s="427"/>
      <c r="AW83" s="427"/>
      <c r="AX83" s="427"/>
      <c r="AY83" s="427"/>
      <c r="AZ83" s="426"/>
      <c r="BA83" s="426"/>
      <c r="BB83" s="426"/>
      <c r="BC83" s="426"/>
      <c r="BD83" s="426"/>
      <c r="BE83" s="426"/>
      <c r="BF83" s="428"/>
    </row>
    <row r="84" spans="1:58" s="370" customFormat="1" ht="14.25" hidden="1" customHeight="1" outlineLevel="1">
      <c r="A84" s="439" t="s">
        <v>1833</v>
      </c>
      <c r="B84" s="375" t="s">
        <v>120</v>
      </c>
      <c r="C84" s="440" t="s">
        <v>1800</v>
      </c>
      <c r="D84" s="440" t="s">
        <v>293</v>
      </c>
      <c r="E84" s="440" t="s">
        <v>1802</v>
      </c>
      <c r="F84" s="441"/>
      <c r="G84" s="365"/>
      <c r="H84" s="3074" t="s">
        <v>1834</v>
      </c>
      <c r="I84" s="3074"/>
      <c r="J84" s="3074"/>
      <c r="K84" s="3074"/>
      <c r="L84" s="3074"/>
      <c r="M84" s="3074"/>
      <c r="N84" s="3074"/>
      <c r="O84" s="3074"/>
      <c r="P84" s="3074"/>
      <c r="Q84" s="3074"/>
      <c r="R84" s="3074"/>
      <c r="S84" s="3074"/>
      <c r="T84" s="3074"/>
      <c r="U84" s="3074"/>
      <c r="V84" s="3074"/>
      <c r="W84" s="3068" t="s">
        <v>1820</v>
      </c>
      <c r="X84" s="3068"/>
      <c r="Y84" s="3068"/>
      <c r="Z84" s="3075" t="s">
        <v>1821</v>
      </c>
      <c r="AA84" s="3075"/>
      <c r="AB84" s="3075"/>
      <c r="AC84" s="424"/>
      <c r="AD84" s="424"/>
      <c r="AE84" s="424"/>
      <c r="AF84" s="424"/>
      <c r="AG84" s="424"/>
      <c r="AH84" s="424"/>
      <c r="AI84" s="424"/>
      <c r="AJ84" s="424"/>
      <c r="AK84" s="424"/>
      <c r="AL84" s="424"/>
      <c r="AM84" s="424"/>
      <c r="AN84" s="424"/>
      <c r="AO84" s="425"/>
      <c r="AP84" s="425"/>
      <c r="AQ84" s="426"/>
      <c r="AR84" s="426"/>
      <c r="AS84" s="383"/>
      <c r="AT84" s="383"/>
      <c r="AU84" s="383"/>
      <c r="AV84" s="427"/>
      <c r="AW84" s="427"/>
      <c r="AX84" s="427"/>
      <c r="AY84" s="427"/>
      <c r="AZ84" s="426"/>
      <c r="BA84" s="426"/>
      <c r="BB84" s="426"/>
      <c r="BC84" s="426"/>
      <c r="BD84" s="426"/>
      <c r="BE84" s="426"/>
      <c r="BF84" s="428"/>
    </row>
    <row r="85" spans="1:58" s="370" customFormat="1" ht="14.25" hidden="1" customHeight="1" outlineLevel="1">
      <c r="A85" s="436" t="s">
        <v>1835</v>
      </c>
      <c r="B85" s="374" t="s">
        <v>156</v>
      </c>
      <c r="C85" s="392">
        <v>0.8</v>
      </c>
      <c r="D85" s="392">
        <v>2</v>
      </c>
      <c r="E85" s="392">
        <v>0</v>
      </c>
      <c r="F85" s="441"/>
      <c r="G85" s="365"/>
      <c r="H85" s="3074" t="s">
        <v>1218</v>
      </c>
      <c r="I85" s="3074"/>
      <c r="J85" s="3074"/>
      <c r="K85" s="3074"/>
      <c r="L85" s="3074"/>
      <c r="M85" s="3074"/>
      <c r="N85" s="3074"/>
      <c r="O85" s="3074"/>
      <c r="P85" s="3074"/>
      <c r="Q85" s="3074"/>
      <c r="R85" s="3074"/>
      <c r="S85" s="3074"/>
      <c r="T85" s="3074"/>
      <c r="U85" s="3074"/>
      <c r="V85" s="3074"/>
      <c r="W85" s="3068" t="s">
        <v>1820</v>
      </c>
      <c r="X85" s="3068"/>
      <c r="Y85" s="3068"/>
      <c r="Z85" s="3075" t="s">
        <v>1821</v>
      </c>
      <c r="AA85" s="3075"/>
      <c r="AB85" s="3075"/>
      <c r="AC85" s="424"/>
      <c r="AD85" s="424"/>
      <c r="AE85" s="424"/>
      <c r="AF85" s="424"/>
      <c r="AG85" s="424"/>
      <c r="AH85" s="424"/>
      <c r="AI85" s="424"/>
      <c r="AJ85" s="424"/>
      <c r="AK85" s="424"/>
      <c r="AL85" s="424"/>
      <c r="AM85" s="424"/>
      <c r="AN85" s="424"/>
      <c r="AO85" s="425"/>
      <c r="AP85" s="425"/>
      <c r="AQ85" s="426"/>
      <c r="AR85" s="426"/>
      <c r="AS85" s="383"/>
      <c r="AT85" s="383"/>
      <c r="AU85" s="383"/>
      <c r="AV85" s="427"/>
      <c r="AW85" s="427"/>
      <c r="AX85" s="427"/>
      <c r="AY85" s="427"/>
      <c r="AZ85" s="426"/>
      <c r="BA85" s="426"/>
      <c r="BB85" s="426"/>
      <c r="BC85" s="426"/>
      <c r="BD85" s="426"/>
      <c r="BE85" s="426"/>
      <c r="BF85" s="428"/>
    </row>
    <row r="86" spans="1:58" s="370" customFormat="1" ht="14.25" hidden="1" customHeight="1" outlineLevel="1">
      <c r="A86" s="378" t="s">
        <v>1836</v>
      </c>
      <c r="B86" s="374" t="s">
        <v>156</v>
      </c>
      <c r="C86" s="392">
        <v>0.9</v>
      </c>
      <c r="D86" s="392">
        <v>2.1</v>
      </c>
      <c r="E86" s="392">
        <v>0</v>
      </c>
      <c r="F86" s="441"/>
      <c r="G86" s="365"/>
      <c r="H86" s="3076" t="s">
        <v>151</v>
      </c>
      <c r="I86" s="3076"/>
      <c r="J86" s="3076"/>
      <c r="K86" s="3076"/>
      <c r="L86" s="3076"/>
      <c r="M86" s="3076"/>
      <c r="N86" s="3076"/>
      <c r="O86" s="3076"/>
      <c r="P86" s="3076"/>
      <c r="Q86" s="3076"/>
      <c r="R86" s="3076"/>
      <c r="S86" s="3076"/>
      <c r="T86" s="3076"/>
      <c r="U86" s="3076"/>
      <c r="V86" s="3076"/>
      <c r="W86" s="3076"/>
      <c r="X86" s="3076"/>
      <c r="Y86" s="3076"/>
      <c r="Z86" s="3076"/>
      <c r="AA86" s="3076"/>
      <c r="AB86" s="3076"/>
      <c r="AC86" s="424"/>
      <c r="AD86" s="424"/>
      <c r="AE86" s="424"/>
      <c r="AF86" s="424"/>
      <c r="AG86" s="424"/>
      <c r="AH86" s="424"/>
      <c r="AI86" s="424"/>
      <c r="AJ86" s="424"/>
      <c r="AK86" s="424"/>
      <c r="AL86" s="424"/>
      <c r="AM86" s="424"/>
      <c r="AN86" s="424"/>
      <c r="AO86" s="425"/>
      <c r="AP86" s="425"/>
      <c r="AQ86" s="426"/>
      <c r="AR86" s="426"/>
      <c r="AS86" s="383"/>
      <c r="AT86" s="383"/>
      <c r="AU86" s="383"/>
      <c r="AV86" s="427"/>
      <c r="AW86" s="427"/>
      <c r="AX86" s="427"/>
      <c r="AY86" s="427"/>
      <c r="AZ86" s="426"/>
      <c r="BA86" s="426"/>
      <c r="BB86" s="426"/>
      <c r="BC86" s="426"/>
      <c r="BD86" s="426"/>
      <c r="BE86" s="426"/>
      <c r="BF86" s="428"/>
    </row>
    <row r="87" spans="1:58" s="370" customFormat="1" ht="14.25" hidden="1" customHeight="1" outlineLevel="1">
      <c r="A87" s="378" t="s">
        <v>1837</v>
      </c>
      <c r="B87" s="374" t="s">
        <v>156</v>
      </c>
      <c r="C87" s="392">
        <v>1</v>
      </c>
      <c r="D87" s="392">
        <v>2</v>
      </c>
      <c r="E87" s="392">
        <v>0</v>
      </c>
      <c r="F87" s="441"/>
      <c r="G87" s="365"/>
      <c r="H87" s="3077" t="s">
        <v>152</v>
      </c>
      <c r="I87" s="3077"/>
      <c r="J87" s="3077"/>
      <c r="K87" s="3077"/>
      <c r="L87" s="3077"/>
      <c r="M87" s="3077"/>
      <c r="N87" s="3077"/>
      <c r="O87" s="3077"/>
      <c r="P87" s="3077"/>
      <c r="Q87" s="3077"/>
      <c r="R87" s="3077"/>
      <c r="S87" s="3077"/>
      <c r="T87" s="3077"/>
      <c r="U87" s="3077"/>
      <c r="V87" s="3077"/>
      <c r="W87" s="3078" t="s">
        <v>154</v>
      </c>
      <c r="X87" s="3078"/>
      <c r="Y87" s="3078"/>
      <c r="Z87" s="3066">
        <v>0</v>
      </c>
      <c r="AA87" s="3066"/>
      <c r="AB87" s="3066"/>
      <c r="AC87" s="424"/>
      <c r="AD87" s="424"/>
      <c r="AE87" s="424"/>
      <c r="AF87" s="424"/>
      <c r="AG87" s="424"/>
      <c r="AH87" s="424"/>
      <c r="AI87" s="424"/>
      <c r="AJ87" s="424"/>
      <c r="AK87" s="424"/>
      <c r="AL87" s="424"/>
      <c r="AM87" s="424"/>
      <c r="AN87" s="424"/>
      <c r="AO87" s="425"/>
      <c r="AP87" s="425"/>
      <c r="AQ87" s="426"/>
      <c r="AR87" s="426"/>
      <c r="AS87" s="383"/>
      <c r="AT87" s="383"/>
      <c r="AU87" s="383"/>
      <c r="AV87" s="427"/>
      <c r="AW87" s="427"/>
      <c r="AX87" s="427"/>
      <c r="AY87" s="427"/>
      <c r="AZ87" s="426"/>
      <c r="BA87" s="426"/>
      <c r="BB87" s="426"/>
      <c r="BC87" s="426"/>
      <c r="BD87" s="426"/>
      <c r="BE87" s="426"/>
      <c r="BF87" s="428"/>
    </row>
    <row r="88" spans="1:58" s="370" customFormat="1" ht="14.25" hidden="1" customHeight="1" outlineLevel="1">
      <c r="A88" s="443"/>
      <c r="B88" s="444"/>
      <c r="C88" s="443"/>
      <c r="D88" s="443"/>
      <c r="E88" s="443"/>
      <c r="F88" s="441"/>
      <c r="G88" s="365"/>
      <c r="H88" s="3079" t="s">
        <v>152</v>
      </c>
      <c r="I88" s="3079"/>
      <c r="J88" s="3079"/>
      <c r="K88" s="3079"/>
      <c r="L88" s="3079"/>
      <c r="M88" s="3079"/>
      <c r="N88" s="3079"/>
      <c r="O88" s="3079"/>
      <c r="P88" s="3079"/>
      <c r="Q88" s="3079"/>
      <c r="R88" s="3079"/>
      <c r="S88" s="3079"/>
      <c r="T88" s="3079"/>
      <c r="U88" s="3079"/>
      <c r="V88" s="3079"/>
      <c r="W88" s="3078" t="s">
        <v>159</v>
      </c>
      <c r="X88" s="3078"/>
      <c r="Y88" s="3078"/>
      <c r="Z88" s="3080">
        <v>3</v>
      </c>
      <c r="AA88" s="3080"/>
      <c r="AB88" s="3080"/>
      <c r="AC88" s="424"/>
      <c r="AD88" s="424"/>
      <c r="AE88" s="424"/>
      <c r="AF88" s="424"/>
      <c r="AG88" s="424"/>
      <c r="AH88" s="424"/>
      <c r="AI88" s="424"/>
      <c r="AJ88" s="424"/>
      <c r="AK88" s="424"/>
      <c r="AL88" s="424"/>
      <c r="AM88" s="424"/>
      <c r="AN88" s="424"/>
      <c r="AO88" s="425"/>
      <c r="AP88" s="425"/>
      <c r="AQ88" s="426"/>
      <c r="AR88" s="426"/>
      <c r="AS88" s="383"/>
      <c r="AT88" s="383"/>
      <c r="AU88" s="383"/>
      <c r="AV88" s="427"/>
      <c r="AW88" s="427"/>
      <c r="AX88" s="427"/>
      <c r="AY88" s="427"/>
      <c r="AZ88" s="426"/>
      <c r="BA88" s="426"/>
      <c r="BB88" s="426"/>
      <c r="BC88" s="426"/>
      <c r="BD88" s="426"/>
      <c r="BE88" s="426"/>
      <c r="BF88" s="428"/>
    </row>
    <row r="89" spans="1:58" s="370" customFormat="1" ht="14.25" hidden="1" customHeight="1" outlineLevel="1">
      <c r="A89" s="439" t="s">
        <v>1838</v>
      </c>
      <c r="B89" s="375" t="s">
        <v>120</v>
      </c>
      <c r="C89" s="440" t="s">
        <v>1800</v>
      </c>
      <c r="D89" s="440" t="s">
        <v>293</v>
      </c>
      <c r="E89" s="440" t="s">
        <v>1802</v>
      </c>
      <c r="F89" s="365"/>
      <c r="G89" s="365"/>
      <c r="H89" s="331"/>
      <c r="K89" s="424"/>
      <c r="L89" s="424"/>
      <c r="M89" s="355"/>
      <c r="N89" s="355"/>
      <c r="O89" s="355"/>
      <c r="P89" s="355"/>
      <c r="Q89" s="424"/>
      <c r="R89" s="424"/>
      <c r="S89" s="424"/>
      <c r="T89" s="424"/>
      <c r="U89" s="424"/>
      <c r="V89" s="424"/>
      <c r="W89" s="332"/>
      <c r="X89" s="424"/>
      <c r="Y89" s="424"/>
      <c r="AA89" s="424"/>
      <c r="AB89" s="424"/>
      <c r="AC89" s="424"/>
      <c r="AD89" s="424"/>
      <c r="AE89" s="424"/>
      <c r="AF89" s="424"/>
      <c r="AG89" s="424"/>
      <c r="AH89" s="424"/>
      <c r="AI89" s="424"/>
      <c r="AJ89" s="424"/>
      <c r="AK89" s="424"/>
      <c r="AL89" s="424"/>
      <c r="AM89" s="424"/>
      <c r="AN89" s="424"/>
      <c r="AO89" s="425"/>
      <c r="AP89" s="425"/>
      <c r="AQ89" s="426"/>
      <c r="AR89" s="426"/>
      <c r="AS89" s="383"/>
      <c r="AT89" s="383"/>
      <c r="AU89" s="383"/>
      <c r="AV89" s="427"/>
      <c r="AW89" s="427"/>
      <c r="AX89" s="427"/>
      <c r="AY89" s="427"/>
      <c r="AZ89" s="426"/>
      <c r="BA89" s="426"/>
      <c r="BB89" s="426"/>
      <c r="BC89" s="426"/>
      <c r="BD89" s="426"/>
      <c r="BE89" s="426"/>
      <c r="BF89" s="428"/>
    </row>
    <row r="90" spans="1:58" s="370" customFormat="1" ht="14.25" hidden="1" customHeight="1" outlineLevel="1">
      <c r="A90" s="3064" t="s">
        <v>1839</v>
      </c>
      <c r="B90" s="3064"/>
      <c r="C90" s="3064"/>
      <c r="D90" s="3064"/>
      <c r="E90" s="3064"/>
      <c r="F90" s="365"/>
      <c r="G90" s="365"/>
      <c r="H90" s="3081" t="s">
        <v>1840</v>
      </c>
      <c r="I90" s="3081"/>
      <c r="J90" s="3081"/>
      <c r="K90" s="3081"/>
      <c r="L90" s="3081"/>
      <c r="M90" s="3081"/>
      <c r="N90" s="3081"/>
      <c r="O90" s="3081"/>
      <c r="P90" s="3081"/>
      <c r="Q90" s="3081"/>
      <c r="R90" s="3081"/>
      <c r="S90" s="3081"/>
      <c r="T90" s="3081"/>
      <c r="U90" s="3081"/>
      <c r="V90" s="3081"/>
      <c r="W90" s="3078" t="s">
        <v>1796</v>
      </c>
      <c r="X90" s="3078"/>
      <c r="Y90" s="3078"/>
      <c r="Z90" s="3082">
        <v>5000</v>
      </c>
      <c r="AA90" s="3082"/>
      <c r="AB90" s="3082"/>
      <c r="AC90" s="424"/>
      <c r="AD90" s="424"/>
      <c r="AE90" s="424"/>
      <c r="AF90" s="424"/>
      <c r="AG90" s="424"/>
      <c r="AH90" s="424"/>
      <c r="AI90" s="424"/>
      <c r="AJ90" s="424"/>
      <c r="AK90" s="424"/>
      <c r="AL90" s="424"/>
      <c r="AM90" s="424"/>
      <c r="AN90" s="424"/>
      <c r="AO90" s="425"/>
      <c r="AP90" s="425"/>
      <c r="AQ90" s="426"/>
      <c r="AR90" s="426"/>
      <c r="AS90" s="383"/>
      <c r="AT90" s="383"/>
      <c r="AU90" s="383"/>
      <c r="AV90" s="427"/>
      <c r="AW90" s="427"/>
      <c r="AX90" s="427"/>
      <c r="AY90" s="427"/>
      <c r="AZ90" s="426"/>
      <c r="BA90" s="426"/>
      <c r="BB90" s="426"/>
      <c r="BC90" s="426"/>
      <c r="BD90" s="426"/>
      <c r="BE90" s="426"/>
      <c r="BF90" s="428"/>
    </row>
    <row r="91" spans="1:58" s="370" customFormat="1" ht="14.25" hidden="1" customHeight="1" outlineLevel="1">
      <c r="A91" s="436" t="s">
        <v>1841</v>
      </c>
      <c r="B91" s="374" t="s">
        <v>156</v>
      </c>
      <c r="C91" s="392">
        <v>0.8</v>
      </c>
      <c r="D91" s="392">
        <v>2.1</v>
      </c>
      <c r="E91" s="392">
        <v>0</v>
      </c>
      <c r="F91" s="365"/>
      <c r="G91" s="365"/>
      <c r="K91" s="424"/>
      <c r="L91" s="424"/>
      <c r="M91" s="355"/>
      <c r="N91" s="355"/>
      <c r="O91" s="355"/>
      <c r="P91" s="355"/>
      <c r="Q91" s="424"/>
      <c r="R91" s="424"/>
      <c r="S91" s="424"/>
      <c r="T91" s="424"/>
      <c r="U91" s="424"/>
      <c r="V91" s="424"/>
      <c r="W91" s="424"/>
      <c r="X91" s="424"/>
      <c r="Y91" s="424"/>
      <c r="Z91" s="424"/>
      <c r="AA91" s="424"/>
      <c r="AB91" s="424"/>
      <c r="AC91" s="424"/>
      <c r="AD91" s="424"/>
      <c r="AE91" s="424"/>
      <c r="AF91" s="424"/>
      <c r="AG91" s="424"/>
      <c r="AH91" s="424"/>
      <c r="AI91" s="424"/>
      <c r="AJ91" s="424"/>
      <c r="AK91" s="424"/>
      <c r="AL91" s="424"/>
      <c r="AM91" s="424"/>
      <c r="AN91" s="424"/>
      <c r="AO91" s="425"/>
      <c r="AP91" s="425"/>
      <c r="AQ91" s="426"/>
      <c r="AR91" s="426"/>
      <c r="AS91" s="383"/>
      <c r="AT91" s="383"/>
      <c r="AU91" s="383"/>
      <c r="AV91" s="427"/>
      <c r="AW91" s="427"/>
      <c r="AX91" s="427"/>
      <c r="AY91" s="427"/>
      <c r="AZ91" s="426"/>
      <c r="BA91" s="426"/>
      <c r="BB91" s="426"/>
      <c r="BC91" s="426"/>
      <c r="BD91" s="426"/>
      <c r="BE91" s="426"/>
      <c r="BF91" s="428"/>
    </row>
    <row r="92" spans="1:58" s="370" customFormat="1" ht="14.25" hidden="1" customHeight="1" outlineLevel="1">
      <c r="A92" s="436" t="s">
        <v>1842</v>
      </c>
      <c r="B92" s="374" t="s">
        <v>156</v>
      </c>
      <c r="C92" s="392">
        <v>0.6</v>
      </c>
      <c r="D92" s="392">
        <v>2</v>
      </c>
      <c r="E92" s="392">
        <v>0</v>
      </c>
      <c r="F92" s="365"/>
      <c r="G92" s="365"/>
      <c r="H92" s="424"/>
      <c r="I92" s="366"/>
      <c r="AE92" s="424"/>
      <c r="AF92" s="424"/>
      <c r="AG92" s="424"/>
      <c r="AH92" s="424"/>
      <c r="AI92" s="424"/>
      <c r="AJ92" s="424"/>
      <c r="AK92" s="424"/>
      <c r="AL92" s="424"/>
      <c r="AM92" s="424"/>
      <c r="AN92" s="424"/>
      <c r="AO92" s="425"/>
      <c r="AP92" s="425"/>
      <c r="AQ92" s="426"/>
      <c r="AR92" s="426"/>
      <c r="AS92" s="383"/>
      <c r="AT92" s="383"/>
      <c r="AU92" s="383"/>
      <c r="AV92" s="427"/>
      <c r="AW92" s="427"/>
      <c r="AX92" s="427"/>
      <c r="AY92" s="427"/>
      <c r="AZ92" s="426"/>
      <c r="BA92" s="426"/>
      <c r="BB92" s="426"/>
      <c r="BC92" s="426"/>
      <c r="BD92" s="426"/>
      <c r="BE92" s="426"/>
      <c r="BF92" s="428"/>
    </row>
    <row r="93" spans="1:58" s="370" customFormat="1" ht="14.25" hidden="1" customHeight="1" outlineLevel="1">
      <c r="A93" s="376" t="s">
        <v>1843</v>
      </c>
      <c r="B93" s="374" t="s">
        <v>156</v>
      </c>
      <c r="C93" s="392">
        <v>2</v>
      </c>
      <c r="D93" s="392">
        <v>2.2999999999999998</v>
      </c>
      <c r="E93" s="392">
        <v>0</v>
      </c>
      <c r="F93" s="365"/>
      <c r="G93" s="365"/>
      <c r="H93" s="424"/>
      <c r="I93" s="366"/>
      <c r="AE93" s="424"/>
      <c r="AF93" s="424"/>
      <c r="AG93" s="424"/>
      <c r="AH93" s="424"/>
      <c r="AI93" s="424"/>
      <c r="AJ93" s="424"/>
      <c r="AK93" s="424"/>
      <c r="AL93" s="424"/>
      <c r="AM93" s="424"/>
      <c r="AN93" s="424"/>
      <c r="AO93" s="425"/>
      <c r="AP93" s="425"/>
      <c r="AQ93" s="426"/>
      <c r="AR93" s="426"/>
      <c r="AS93" s="383"/>
      <c r="AT93" s="383"/>
      <c r="AU93" s="383"/>
      <c r="AV93" s="427"/>
      <c r="AW93" s="427"/>
      <c r="AX93" s="427"/>
      <c r="AY93" s="427"/>
      <c r="AZ93" s="426"/>
      <c r="BA93" s="426"/>
      <c r="BB93" s="426"/>
      <c r="BC93" s="426"/>
      <c r="BD93" s="426"/>
      <c r="BE93" s="426"/>
      <c r="BF93" s="428"/>
    </row>
    <row r="94" spans="1:58" s="370" customFormat="1" ht="14.25" hidden="1" customHeight="1" outlineLevel="1">
      <c r="A94" s="3064" t="s">
        <v>1844</v>
      </c>
      <c r="B94" s="3064"/>
      <c r="C94" s="3064"/>
      <c r="D94" s="3064"/>
      <c r="E94" s="3064"/>
      <c r="F94" s="365"/>
      <c r="G94" s="365"/>
      <c r="H94" s="424"/>
      <c r="I94" s="366"/>
      <c r="AE94" s="424"/>
      <c r="AF94" s="424"/>
      <c r="AG94" s="424"/>
      <c r="AH94" s="424"/>
      <c r="AI94" s="424"/>
      <c r="AJ94" s="424"/>
      <c r="AK94" s="424"/>
      <c r="AL94" s="424"/>
      <c r="AM94" s="424"/>
      <c r="AN94" s="424"/>
      <c r="AO94" s="425"/>
      <c r="AP94" s="425"/>
      <c r="AQ94" s="426"/>
      <c r="AR94" s="426"/>
      <c r="AS94" s="383"/>
      <c r="AT94" s="383"/>
      <c r="AU94" s="383"/>
      <c r="AV94" s="427"/>
      <c r="AW94" s="427"/>
      <c r="AX94" s="427"/>
      <c r="AY94" s="427"/>
      <c r="AZ94" s="426"/>
      <c r="BA94" s="426"/>
      <c r="BB94" s="426"/>
      <c r="BC94" s="426"/>
      <c r="BD94" s="426"/>
      <c r="BE94" s="426"/>
      <c r="BF94" s="428"/>
    </row>
    <row r="95" spans="1:58" s="370" customFormat="1" ht="14.25" hidden="1" customHeight="1" outlineLevel="1">
      <c r="A95" s="436" t="s">
        <v>1845</v>
      </c>
      <c r="B95" s="374" t="s">
        <v>156</v>
      </c>
      <c r="C95" s="392">
        <v>0.9</v>
      </c>
      <c r="D95" s="392">
        <v>2.1</v>
      </c>
      <c r="E95" s="392">
        <v>0</v>
      </c>
      <c r="F95" s="365"/>
      <c r="G95" s="365"/>
      <c r="H95" s="424"/>
      <c r="I95" s="366"/>
      <c r="AE95" s="424"/>
      <c r="AF95" s="424"/>
      <c r="AG95" s="424"/>
      <c r="AH95" s="424"/>
      <c r="AI95" s="424"/>
      <c r="AJ95" s="424"/>
      <c r="AK95" s="424"/>
      <c r="AL95" s="424"/>
      <c r="AM95" s="424"/>
      <c r="AN95" s="424"/>
      <c r="AO95" s="425"/>
      <c r="AP95" s="425"/>
      <c r="AQ95" s="426"/>
      <c r="AR95" s="426"/>
      <c r="AS95" s="383"/>
      <c r="AT95" s="383"/>
      <c r="AU95" s="383"/>
      <c r="AV95" s="427"/>
      <c r="AW95" s="427"/>
      <c r="AX95" s="427"/>
      <c r="AY95" s="427"/>
      <c r="AZ95" s="426"/>
      <c r="BA95" s="426"/>
      <c r="BB95" s="426"/>
      <c r="BC95" s="426"/>
      <c r="BD95" s="426"/>
      <c r="BE95" s="426"/>
      <c r="BF95" s="428"/>
    </row>
    <row r="96" spans="1:58" s="370" customFormat="1" ht="14.25" hidden="1" customHeight="1" outlineLevel="1">
      <c r="A96" s="436" t="s">
        <v>1846</v>
      </c>
      <c r="B96" s="374"/>
      <c r="C96" s="392">
        <v>1</v>
      </c>
      <c r="D96" s="392">
        <v>2</v>
      </c>
      <c r="E96" s="392">
        <v>0</v>
      </c>
      <c r="F96" s="365"/>
      <c r="G96" s="365"/>
      <c r="H96" s="424"/>
      <c r="I96" s="366"/>
      <c r="AE96" s="424"/>
      <c r="AF96" s="424"/>
      <c r="AG96" s="424"/>
      <c r="AH96" s="424"/>
      <c r="AI96" s="424"/>
      <c r="AJ96" s="424"/>
      <c r="AK96" s="424"/>
      <c r="AL96" s="424"/>
      <c r="AM96" s="424"/>
      <c r="AN96" s="424"/>
      <c r="AO96" s="425"/>
      <c r="AP96" s="425"/>
      <c r="AQ96" s="426"/>
      <c r="AR96" s="426"/>
      <c r="AS96" s="383"/>
      <c r="AT96" s="383"/>
      <c r="AU96" s="383"/>
      <c r="AV96" s="427"/>
      <c r="AW96" s="427"/>
      <c r="AX96" s="427"/>
      <c r="AY96" s="427"/>
      <c r="AZ96" s="426"/>
      <c r="BA96" s="426"/>
      <c r="BB96" s="426"/>
      <c r="BC96" s="426"/>
      <c r="BD96" s="426"/>
      <c r="BE96" s="426"/>
      <c r="BF96" s="428"/>
    </row>
    <row r="97" spans="1:58" s="370" customFormat="1" ht="14.25" hidden="1" customHeight="1" outlineLevel="1">
      <c r="A97" s="376" t="s">
        <v>1847</v>
      </c>
      <c r="B97" s="374" t="s">
        <v>156</v>
      </c>
      <c r="C97" s="392">
        <v>1.4</v>
      </c>
      <c r="D97" s="392">
        <v>3</v>
      </c>
      <c r="E97" s="392">
        <v>0</v>
      </c>
      <c r="F97" s="365"/>
      <c r="G97" s="365"/>
      <c r="H97" s="424"/>
      <c r="I97" s="366"/>
      <c r="AE97" s="424"/>
      <c r="AF97" s="424"/>
      <c r="AG97" s="424"/>
      <c r="AH97" s="424"/>
      <c r="AI97" s="424"/>
      <c r="AJ97" s="424"/>
      <c r="AK97" s="424"/>
      <c r="AL97" s="424"/>
      <c r="AM97" s="424"/>
      <c r="AN97" s="424"/>
      <c r="AO97" s="425"/>
      <c r="AP97" s="425"/>
      <c r="AQ97" s="426"/>
      <c r="AR97" s="426"/>
      <c r="AS97" s="383"/>
      <c r="AT97" s="383"/>
      <c r="AU97" s="383"/>
      <c r="AV97" s="427"/>
      <c r="AW97" s="427"/>
      <c r="AX97" s="427"/>
      <c r="AY97" s="427"/>
      <c r="AZ97" s="426"/>
      <c r="BA97" s="426"/>
      <c r="BB97" s="426"/>
      <c r="BC97" s="426"/>
      <c r="BD97" s="426"/>
      <c r="BE97" s="426"/>
      <c r="BF97" s="428"/>
    </row>
    <row r="98" spans="1:58" s="370" customFormat="1" ht="14.25" hidden="1" customHeight="1" outlineLevel="1">
      <c r="A98" s="3064" t="s">
        <v>1848</v>
      </c>
      <c r="B98" s="3064"/>
      <c r="C98" s="3064"/>
      <c r="D98" s="3064"/>
      <c r="E98" s="3064"/>
      <c r="F98" s="365"/>
      <c r="G98" s="365"/>
      <c r="H98" s="424"/>
      <c r="I98" s="366"/>
      <c r="AE98" s="424"/>
      <c r="AF98" s="424"/>
      <c r="AG98" s="424"/>
      <c r="AH98" s="424"/>
      <c r="AI98" s="424"/>
      <c r="AJ98" s="424"/>
      <c r="AK98" s="424"/>
      <c r="AL98" s="424"/>
      <c r="AM98" s="424"/>
      <c r="AN98" s="424"/>
      <c r="AO98" s="425"/>
      <c r="AP98" s="425"/>
      <c r="AQ98" s="426"/>
      <c r="AR98" s="426"/>
      <c r="AS98" s="383"/>
      <c r="AT98" s="383"/>
      <c r="AU98" s="383"/>
      <c r="AV98" s="427"/>
      <c r="AW98" s="427"/>
      <c r="AX98" s="427"/>
      <c r="AY98" s="427"/>
      <c r="AZ98" s="426"/>
      <c r="BA98" s="426"/>
      <c r="BB98" s="426"/>
      <c r="BC98" s="426"/>
      <c r="BD98" s="426"/>
      <c r="BE98" s="426"/>
      <c r="BF98" s="428"/>
    </row>
    <row r="99" spans="1:58" s="370" customFormat="1" ht="14.25" hidden="1" customHeight="1" outlineLevel="1">
      <c r="A99" s="436" t="s">
        <v>1849</v>
      </c>
      <c r="B99" s="374" t="s">
        <v>156</v>
      </c>
      <c r="C99" s="392">
        <v>0.8</v>
      </c>
      <c r="D99" s="392">
        <v>2.1</v>
      </c>
      <c r="E99" s="392">
        <v>0</v>
      </c>
      <c r="F99" s="365"/>
      <c r="G99" s="365"/>
      <c r="H99" s="424"/>
      <c r="I99" s="366"/>
      <c r="AE99" s="424"/>
      <c r="AF99" s="424"/>
      <c r="AG99" s="424"/>
      <c r="AH99" s="424"/>
      <c r="AI99" s="424"/>
      <c r="AJ99" s="424"/>
      <c r="AK99" s="424"/>
      <c r="AL99" s="424"/>
      <c r="AM99" s="424"/>
      <c r="AN99" s="424"/>
      <c r="AO99" s="425"/>
      <c r="AP99" s="425"/>
      <c r="AQ99" s="426"/>
      <c r="AR99" s="426"/>
      <c r="AS99" s="383"/>
      <c r="AT99" s="383"/>
      <c r="AU99" s="383"/>
      <c r="AV99" s="427"/>
      <c r="AW99" s="427"/>
      <c r="AX99" s="427"/>
      <c r="AY99" s="427"/>
      <c r="AZ99" s="426"/>
      <c r="BA99" s="426"/>
      <c r="BB99" s="426"/>
      <c r="BC99" s="426"/>
      <c r="BD99" s="426"/>
      <c r="BE99" s="426"/>
      <c r="BF99" s="428"/>
    </row>
    <row r="100" spans="1:58" s="370" customFormat="1" ht="14.25" hidden="1" customHeight="1" outlineLevel="1">
      <c r="A100" s="436" t="s">
        <v>1850</v>
      </c>
      <c r="B100" s="374" t="s">
        <v>156</v>
      </c>
      <c r="C100" s="392">
        <v>1</v>
      </c>
      <c r="D100" s="392">
        <v>2</v>
      </c>
      <c r="E100" s="392">
        <v>0</v>
      </c>
      <c r="F100" s="365"/>
      <c r="G100" s="365"/>
      <c r="H100" s="424"/>
      <c r="I100" s="366"/>
      <c r="AE100" s="424"/>
      <c r="AF100" s="424"/>
      <c r="AG100" s="424"/>
      <c r="AH100" s="424"/>
      <c r="AI100" s="424"/>
      <c r="AJ100" s="424"/>
      <c r="AK100" s="424"/>
      <c r="AL100" s="424"/>
      <c r="AM100" s="424"/>
      <c r="AN100" s="424"/>
      <c r="AO100" s="425"/>
      <c r="AP100" s="425"/>
      <c r="AQ100" s="426"/>
      <c r="AR100" s="426"/>
      <c r="AS100" s="383"/>
      <c r="AT100" s="383"/>
      <c r="AU100" s="383"/>
      <c r="AV100" s="427"/>
      <c r="AW100" s="427"/>
      <c r="AX100" s="427"/>
      <c r="AY100" s="427"/>
      <c r="AZ100" s="426"/>
      <c r="BA100" s="426"/>
      <c r="BB100" s="426"/>
      <c r="BC100" s="426"/>
      <c r="BD100" s="426"/>
      <c r="BE100" s="426"/>
      <c r="BF100" s="428"/>
    </row>
    <row r="101" spans="1:58" s="370" customFormat="1" ht="14.25" hidden="1" customHeight="1" outlineLevel="1">
      <c r="A101" s="376" t="s">
        <v>1851</v>
      </c>
      <c r="B101" s="374" t="s">
        <v>156</v>
      </c>
      <c r="C101" s="392">
        <v>2</v>
      </c>
      <c r="D101" s="392">
        <v>2.2000000000000002</v>
      </c>
      <c r="E101" s="392">
        <v>0</v>
      </c>
      <c r="F101" s="365"/>
      <c r="G101" s="365"/>
      <c r="H101" s="424"/>
      <c r="I101" s="366"/>
      <c r="AE101" s="424"/>
      <c r="AF101" s="424"/>
      <c r="AG101" s="424"/>
      <c r="AH101" s="424"/>
      <c r="AI101" s="424"/>
      <c r="AJ101" s="424"/>
      <c r="AK101" s="424"/>
      <c r="AL101" s="424"/>
      <c r="AM101" s="424"/>
      <c r="AN101" s="424"/>
      <c r="AO101" s="425"/>
      <c r="AP101" s="425"/>
      <c r="AQ101" s="426"/>
      <c r="AR101" s="426"/>
      <c r="AS101" s="383"/>
      <c r="AT101" s="383"/>
      <c r="AU101" s="383"/>
      <c r="AV101" s="427"/>
      <c r="AW101" s="427"/>
      <c r="AX101" s="427"/>
      <c r="AY101" s="427"/>
      <c r="AZ101" s="426"/>
      <c r="BA101" s="426"/>
      <c r="BB101" s="426"/>
      <c r="BC101" s="426"/>
      <c r="BD101" s="426"/>
      <c r="BE101" s="426"/>
      <c r="BF101" s="428"/>
    </row>
    <row r="102" spans="1:58" s="370" customFormat="1" ht="14.25" hidden="1" customHeight="1" outlineLevel="1">
      <c r="A102" s="3064" t="s">
        <v>1852</v>
      </c>
      <c r="B102" s="3064"/>
      <c r="C102" s="3064"/>
      <c r="D102" s="3064"/>
      <c r="E102" s="3064"/>
      <c r="F102" s="365"/>
      <c r="G102" s="365"/>
      <c r="H102" s="424"/>
      <c r="I102" s="366"/>
      <c r="AE102" s="424"/>
      <c r="AF102" s="424"/>
      <c r="AG102" s="424"/>
      <c r="AH102" s="424"/>
      <c r="AI102" s="424"/>
      <c r="AJ102" s="424"/>
      <c r="AK102" s="424"/>
      <c r="AL102" s="424"/>
      <c r="AM102" s="424"/>
      <c r="AN102" s="424"/>
      <c r="AO102" s="425"/>
      <c r="AP102" s="425"/>
      <c r="AQ102" s="426"/>
      <c r="AR102" s="426"/>
      <c r="AS102" s="383"/>
      <c r="AT102" s="383"/>
      <c r="AU102" s="383"/>
      <c r="AV102" s="427"/>
      <c r="AW102" s="427"/>
      <c r="AX102" s="427"/>
      <c r="AY102" s="427"/>
      <c r="AZ102" s="426"/>
      <c r="BA102" s="426"/>
      <c r="BB102" s="426"/>
      <c r="BC102" s="426"/>
      <c r="BD102" s="426"/>
      <c r="BE102" s="426"/>
      <c r="BF102" s="428"/>
    </row>
    <row r="103" spans="1:58" s="370" customFormat="1" ht="14.25" hidden="1" customHeight="1" outlineLevel="1">
      <c r="A103" s="436" t="s">
        <v>1853</v>
      </c>
      <c r="B103" s="374" t="s">
        <v>156</v>
      </c>
      <c r="C103" s="392">
        <v>1</v>
      </c>
      <c r="D103" s="392">
        <v>2</v>
      </c>
      <c r="E103" s="392">
        <v>0</v>
      </c>
      <c r="F103" s="365"/>
      <c r="G103" s="365"/>
      <c r="H103" s="424"/>
      <c r="I103" s="366"/>
      <c r="AE103" s="424"/>
      <c r="AF103" s="424"/>
      <c r="AG103" s="424"/>
      <c r="AH103" s="424"/>
      <c r="AI103" s="424"/>
      <c r="AJ103" s="424"/>
      <c r="AK103" s="424"/>
      <c r="AL103" s="424"/>
      <c r="AM103" s="424"/>
      <c r="AN103" s="424"/>
      <c r="AO103" s="425"/>
      <c r="AP103" s="425"/>
      <c r="AQ103" s="426"/>
      <c r="AR103" s="426"/>
      <c r="AS103" s="383"/>
      <c r="AT103" s="383"/>
      <c r="AU103" s="383"/>
      <c r="AV103" s="427"/>
      <c r="AW103" s="427"/>
      <c r="AX103" s="427"/>
      <c r="AY103" s="427"/>
      <c r="AZ103" s="426"/>
      <c r="BA103" s="426"/>
      <c r="BB103" s="426"/>
      <c r="BC103" s="426"/>
      <c r="BD103" s="426"/>
      <c r="BE103" s="426"/>
      <c r="BF103" s="428"/>
    </row>
    <row r="104" spans="1:58" s="370" customFormat="1" ht="14.25" hidden="1" customHeight="1" outlineLevel="1">
      <c r="A104" s="436" t="s">
        <v>1854</v>
      </c>
      <c r="B104" s="374" t="s">
        <v>156</v>
      </c>
      <c r="C104" s="392">
        <v>1</v>
      </c>
      <c r="D104" s="392">
        <v>2</v>
      </c>
      <c r="E104" s="392">
        <v>0</v>
      </c>
      <c r="F104" s="365"/>
      <c r="G104" s="365"/>
      <c r="H104" s="424"/>
      <c r="I104" s="366"/>
      <c r="AE104" s="424"/>
      <c r="AF104" s="424"/>
      <c r="AG104" s="424"/>
      <c r="AH104" s="424"/>
      <c r="AI104" s="424"/>
      <c r="AJ104" s="424"/>
      <c r="AK104" s="424"/>
      <c r="AL104" s="424"/>
      <c r="AM104" s="424"/>
      <c r="AN104" s="424"/>
      <c r="AO104" s="425"/>
      <c r="AP104" s="425"/>
      <c r="AQ104" s="426"/>
      <c r="AR104" s="426"/>
      <c r="AS104" s="383"/>
      <c r="AT104" s="383"/>
      <c r="AU104" s="383"/>
      <c r="AV104" s="427"/>
      <c r="AW104" s="427"/>
      <c r="AX104" s="427"/>
      <c r="AY104" s="427"/>
      <c r="AZ104" s="426"/>
      <c r="BA104" s="426"/>
      <c r="BB104" s="426"/>
      <c r="BC104" s="426"/>
      <c r="BD104" s="426"/>
      <c r="BE104" s="426"/>
      <c r="BF104" s="428"/>
    </row>
    <row r="105" spans="1:58" s="370" customFormat="1" ht="14.25" hidden="1" customHeight="1" outlineLevel="1">
      <c r="A105" s="376" t="s">
        <v>1855</v>
      </c>
      <c r="B105" s="374" t="s">
        <v>156</v>
      </c>
      <c r="C105" s="392">
        <v>2</v>
      </c>
      <c r="D105" s="392">
        <v>2</v>
      </c>
      <c r="E105" s="392">
        <v>0</v>
      </c>
      <c r="F105" s="365"/>
      <c r="G105" s="365"/>
      <c r="H105" s="424"/>
      <c r="I105" s="366"/>
      <c r="AE105" s="424"/>
      <c r="AF105" s="424"/>
      <c r="AG105" s="424"/>
      <c r="AH105" s="424"/>
      <c r="AI105" s="424"/>
      <c r="AJ105" s="424"/>
      <c r="AK105" s="424"/>
      <c r="AL105" s="424"/>
      <c r="AM105" s="424"/>
      <c r="AN105" s="424"/>
      <c r="AO105" s="425"/>
      <c r="AP105" s="425"/>
      <c r="AQ105" s="426"/>
      <c r="AR105" s="426"/>
      <c r="AS105" s="383"/>
      <c r="AT105" s="383"/>
      <c r="AU105" s="383"/>
      <c r="AV105" s="427"/>
      <c r="AW105" s="427"/>
      <c r="AX105" s="427"/>
      <c r="AY105" s="427"/>
      <c r="AZ105" s="426"/>
      <c r="BA105" s="426"/>
      <c r="BB105" s="426"/>
      <c r="BC105" s="426"/>
      <c r="BD105" s="426"/>
      <c r="BE105" s="426"/>
      <c r="BF105" s="428"/>
    </row>
    <row r="106" spans="1:58" s="370" customFormat="1" ht="14.25" customHeight="1" collapsed="1">
      <c r="A106" s="3062" t="s">
        <v>1856</v>
      </c>
      <c r="B106" s="3062"/>
      <c r="C106" s="3062"/>
      <c r="D106" s="3062"/>
      <c r="E106" s="3062"/>
      <c r="F106" s="365"/>
      <c r="G106" s="365"/>
      <c r="H106" s="424"/>
      <c r="I106" s="366"/>
      <c r="AE106" s="424"/>
      <c r="AF106" s="424"/>
      <c r="AG106" s="424"/>
      <c r="AH106" s="424"/>
      <c r="AI106" s="424"/>
      <c r="AJ106" s="424"/>
      <c r="AK106" s="424"/>
      <c r="AL106" s="424"/>
      <c r="AM106" s="424"/>
      <c r="AN106" s="424"/>
      <c r="AO106" s="425"/>
      <c r="AP106" s="425"/>
      <c r="AQ106" s="426"/>
      <c r="AR106" s="426"/>
      <c r="AS106" s="383"/>
      <c r="AT106" s="383"/>
      <c r="AU106" s="383"/>
      <c r="AV106" s="427"/>
      <c r="AW106" s="427"/>
      <c r="AX106" s="427"/>
      <c r="AY106" s="427"/>
      <c r="AZ106" s="426"/>
      <c r="BA106" s="426"/>
      <c r="BB106" s="426"/>
      <c r="BC106" s="426"/>
      <c r="BD106" s="426"/>
      <c r="BE106" s="426"/>
      <c r="BF106" s="428"/>
    </row>
    <row r="107" spans="1:58" s="370" customFormat="1" ht="14.25" customHeight="1">
      <c r="F107" s="365"/>
      <c r="G107" s="365"/>
      <c r="H107" s="424"/>
      <c r="AI107" s="424"/>
      <c r="AJ107" s="424"/>
      <c r="AK107" s="424"/>
      <c r="AL107" s="424"/>
      <c r="AM107" s="424"/>
      <c r="AN107" s="424"/>
      <c r="AO107" s="425"/>
      <c r="AP107" s="425"/>
      <c r="AQ107" s="426"/>
      <c r="AR107" s="426"/>
      <c r="AS107" s="383"/>
      <c r="AT107" s="383"/>
      <c r="AU107" s="383"/>
      <c r="AV107" s="427"/>
      <c r="AW107" s="427"/>
      <c r="AX107" s="427"/>
      <c r="AY107" s="427"/>
      <c r="AZ107" s="426"/>
      <c r="BA107" s="426"/>
      <c r="BB107" s="426"/>
      <c r="BC107" s="426"/>
      <c r="BD107" s="426"/>
      <c r="BE107" s="426"/>
      <c r="BF107" s="428"/>
    </row>
    <row r="108" spans="1:58" s="370" customFormat="1" ht="14.25" hidden="1" customHeight="1" outlineLevel="1">
      <c r="A108" s="446"/>
      <c r="B108" s="446"/>
      <c r="C108" s="446"/>
      <c r="D108" s="446"/>
      <c r="E108" s="3083" t="s">
        <v>1857</v>
      </c>
      <c r="F108" s="3083"/>
      <c r="H108" s="3084" t="s">
        <v>1858</v>
      </c>
      <c r="I108" s="3084"/>
      <c r="J108" s="3084"/>
      <c r="K108" s="3084"/>
      <c r="L108" s="3084"/>
      <c r="M108" s="3084"/>
      <c r="N108" s="3084"/>
      <c r="O108" s="3084"/>
      <c r="P108" s="3084"/>
      <c r="Q108" s="3084"/>
      <c r="R108" s="3084"/>
      <c r="S108" s="3084"/>
      <c r="T108" s="3084"/>
      <c r="U108" s="3084"/>
      <c r="V108" s="3084"/>
      <c r="W108" s="3084"/>
      <c r="X108" s="3084"/>
      <c r="Y108" s="3084"/>
      <c r="Z108" s="3084"/>
      <c r="AA108" s="3084"/>
      <c r="AB108" s="3084"/>
      <c r="AC108" s="3084"/>
      <c r="AD108" s="3084"/>
      <c r="AE108" s="3084"/>
      <c r="AF108" s="3084"/>
      <c r="AG108" s="3084"/>
      <c r="AH108" s="424"/>
      <c r="AI108" s="424"/>
      <c r="AJ108" s="424"/>
      <c r="AK108" s="424"/>
      <c r="AL108" s="424"/>
      <c r="AM108" s="424"/>
      <c r="AN108" s="424"/>
      <c r="AO108" s="425"/>
      <c r="AP108" s="425"/>
      <c r="AQ108" s="426"/>
      <c r="AR108" s="426"/>
      <c r="AS108" s="383"/>
      <c r="AT108" s="383"/>
      <c r="AU108" s="383"/>
      <c r="AV108" s="427"/>
      <c r="AW108" s="427"/>
      <c r="AX108" s="427"/>
      <c r="AY108" s="427"/>
      <c r="AZ108" s="426"/>
      <c r="BA108" s="426"/>
      <c r="BB108" s="426"/>
      <c r="BC108" s="426"/>
      <c r="BD108" s="426"/>
      <c r="BE108" s="426"/>
      <c r="BF108" s="428"/>
    </row>
    <row r="109" spans="1:58" s="370" customFormat="1" ht="14.25" hidden="1" customHeight="1" outlineLevel="1">
      <c r="A109" s="446"/>
      <c r="B109" s="446"/>
      <c r="C109" s="446"/>
      <c r="D109" s="447"/>
      <c r="E109" s="3083"/>
      <c r="F109" s="3083"/>
      <c r="H109" s="3084"/>
      <c r="I109" s="3084"/>
      <c r="J109" s="3084"/>
      <c r="K109" s="3084"/>
      <c r="L109" s="3084"/>
      <c r="M109" s="3084"/>
      <c r="N109" s="3084"/>
      <c r="O109" s="3084"/>
      <c r="P109" s="3084"/>
      <c r="Q109" s="3084"/>
      <c r="R109" s="3084"/>
      <c r="S109" s="3084"/>
      <c r="T109" s="3084"/>
      <c r="U109" s="3084"/>
      <c r="V109" s="3084"/>
      <c r="W109" s="3084"/>
      <c r="X109" s="3084"/>
      <c r="Y109" s="3084"/>
      <c r="Z109" s="3084"/>
      <c r="AA109" s="3084"/>
      <c r="AB109" s="3084"/>
      <c r="AC109" s="3084"/>
      <c r="AD109" s="3084"/>
      <c r="AE109" s="3084"/>
      <c r="AF109" s="3084"/>
      <c r="AG109" s="3084"/>
      <c r="AH109" s="424"/>
      <c r="AI109" s="424"/>
      <c r="AJ109" s="424"/>
      <c r="AK109" s="424"/>
      <c r="AL109" s="424"/>
      <c r="AM109" s="424"/>
      <c r="AN109" s="424"/>
      <c r="AO109" s="425"/>
      <c r="AP109" s="425"/>
      <c r="AQ109" s="426"/>
      <c r="AR109" s="426"/>
      <c r="AS109" s="383"/>
      <c r="AT109" s="383"/>
      <c r="AU109" s="383"/>
      <c r="AV109" s="427"/>
      <c r="AW109" s="427"/>
      <c r="AX109" s="427"/>
      <c r="AY109" s="427"/>
      <c r="AZ109" s="426"/>
      <c r="BA109" s="426"/>
      <c r="BB109" s="426"/>
      <c r="BC109" s="426"/>
      <c r="BD109" s="426"/>
      <c r="BE109" s="426"/>
      <c r="BF109" s="428"/>
    </row>
    <row r="110" spans="1:58" s="370" customFormat="1" ht="14.25" hidden="1" customHeight="1" outlineLevel="1">
      <c r="A110" s="446"/>
      <c r="B110" s="446"/>
      <c r="C110" s="446"/>
      <c r="D110" s="447"/>
      <c r="E110" s="3083"/>
      <c r="F110" s="3083"/>
      <c r="H110" s="3084"/>
      <c r="I110" s="3084"/>
      <c r="J110" s="3084"/>
      <c r="K110" s="3084"/>
      <c r="L110" s="3084"/>
      <c r="M110" s="3084"/>
      <c r="N110" s="3084"/>
      <c r="O110" s="3084"/>
      <c r="P110" s="3084"/>
      <c r="Q110" s="3084"/>
      <c r="R110" s="3084"/>
      <c r="S110" s="3084"/>
      <c r="T110" s="3084"/>
      <c r="U110" s="3084"/>
      <c r="V110" s="3084"/>
      <c r="W110" s="3084"/>
      <c r="X110" s="3084"/>
      <c r="Y110" s="3084"/>
      <c r="Z110" s="3084"/>
      <c r="AA110" s="3084"/>
      <c r="AB110" s="3084"/>
      <c r="AC110" s="3084"/>
      <c r="AD110" s="3084"/>
      <c r="AE110" s="3084"/>
      <c r="AF110" s="3084"/>
      <c r="AG110" s="3084"/>
      <c r="AH110" s="424"/>
      <c r="AI110" s="424"/>
      <c r="AJ110" s="424"/>
      <c r="AK110" s="424"/>
      <c r="AL110" s="424"/>
      <c r="AM110" s="424"/>
      <c r="AN110" s="424"/>
      <c r="AO110" s="425"/>
      <c r="AP110" s="425"/>
      <c r="AQ110" s="426"/>
      <c r="AR110" s="426"/>
      <c r="AS110" s="383"/>
      <c r="AT110" s="383"/>
      <c r="AU110" s="383"/>
      <c r="AV110" s="427"/>
      <c r="AW110" s="427"/>
      <c r="AX110" s="427"/>
      <c r="AY110" s="427"/>
      <c r="AZ110" s="426"/>
      <c r="BA110" s="426"/>
      <c r="BB110" s="426"/>
      <c r="BC110" s="426"/>
      <c r="BD110" s="426"/>
      <c r="BE110" s="426"/>
      <c r="BF110" s="428"/>
    </row>
    <row r="111" spans="1:58" ht="14.25" hidden="1" customHeight="1" outlineLevel="1">
      <c r="A111" s="377" t="s">
        <v>1236</v>
      </c>
      <c r="B111" s="438" t="s">
        <v>208</v>
      </c>
      <c r="C111" s="438" t="s">
        <v>1859</v>
      </c>
      <c r="D111" s="438" t="s">
        <v>1802</v>
      </c>
      <c r="E111" s="448" t="s">
        <v>1860</v>
      </c>
      <c r="F111" s="448" t="s">
        <v>1861</v>
      </c>
      <c r="J111" s="449"/>
      <c r="AJ111" s="354"/>
      <c r="AK111" s="354"/>
      <c r="AL111" s="354"/>
      <c r="AM111" s="354"/>
      <c r="AN111" s="354"/>
      <c r="AO111" s="358"/>
      <c r="AP111" s="358"/>
      <c r="AQ111" s="342"/>
      <c r="AR111" s="342"/>
      <c r="AS111" s="423"/>
      <c r="AT111" s="423"/>
      <c r="AU111" s="423"/>
      <c r="AV111" s="384"/>
      <c r="AW111" s="384"/>
      <c r="AX111" s="384"/>
      <c r="AY111" s="384"/>
      <c r="AZ111" s="342"/>
      <c r="BA111" s="342"/>
      <c r="BB111" s="342"/>
      <c r="BC111" s="342"/>
      <c r="BD111" s="342"/>
      <c r="BE111" s="342"/>
    </row>
    <row r="112" spans="1:58" ht="14.25" hidden="1" customHeight="1" outlineLevel="1">
      <c r="A112" s="3085" t="s">
        <v>1862</v>
      </c>
      <c r="B112" s="377" t="s">
        <v>156</v>
      </c>
      <c r="C112" s="450">
        <v>6</v>
      </c>
      <c r="D112" s="450">
        <v>2</v>
      </c>
      <c r="E112" s="451">
        <v>0</v>
      </c>
      <c r="F112" s="451">
        <v>0</v>
      </c>
      <c r="J112" s="354"/>
      <c r="K112" s="354"/>
      <c r="L112" s="452"/>
      <c r="M112" s="354" t="s">
        <v>1863</v>
      </c>
      <c r="N112" s="452"/>
      <c r="O112" s="453"/>
      <c r="P112" s="453"/>
      <c r="Q112" s="453"/>
      <c r="R112" s="453"/>
      <c r="S112" s="453"/>
      <c r="T112" s="453"/>
      <c r="U112" s="452"/>
      <c r="V112" s="452"/>
      <c r="W112" s="354" t="s">
        <v>1864</v>
      </c>
      <c r="X112" s="452"/>
      <c r="Y112" s="452"/>
      <c r="Z112" s="354"/>
      <c r="AA112" s="354"/>
      <c r="AB112" s="354"/>
      <c r="AC112" s="354"/>
      <c r="AD112" s="354"/>
      <c r="AE112" s="354"/>
      <c r="AF112" s="354"/>
      <c r="AG112" s="354"/>
      <c r="AH112" s="354"/>
      <c r="AJ112" s="354"/>
      <c r="AK112" s="354"/>
      <c r="AL112" s="354"/>
      <c r="AM112" s="354"/>
      <c r="AN112" s="354"/>
      <c r="AO112" s="358"/>
      <c r="AP112" s="358"/>
      <c r="AQ112" s="342"/>
      <c r="AR112" s="342"/>
      <c r="AS112" s="423"/>
      <c r="AT112" s="423"/>
      <c r="AU112" s="423"/>
      <c r="AV112" s="384"/>
      <c r="AW112" s="384"/>
      <c r="AX112" s="384"/>
      <c r="AY112" s="384"/>
      <c r="AZ112" s="342"/>
      <c r="BA112" s="342"/>
      <c r="BB112" s="342"/>
      <c r="BC112" s="342"/>
      <c r="BD112" s="342"/>
      <c r="BE112" s="342"/>
    </row>
    <row r="113" spans="1:57" ht="14.25" hidden="1" customHeight="1" outlineLevel="1">
      <c r="A113" s="3085"/>
      <c r="B113" s="377" t="s">
        <v>156</v>
      </c>
      <c r="C113" s="450">
        <v>4</v>
      </c>
      <c r="D113" s="450">
        <v>1</v>
      </c>
      <c r="E113" s="451">
        <v>0</v>
      </c>
      <c r="F113" s="451">
        <v>0</v>
      </c>
      <c r="J113" s="354"/>
      <c r="L113" s="452"/>
      <c r="M113" s="354" t="s">
        <v>1865</v>
      </c>
      <c r="N113" s="452"/>
      <c r="O113" s="452"/>
      <c r="P113" s="452"/>
      <c r="Q113" s="452"/>
      <c r="R113" s="452"/>
      <c r="S113" s="452"/>
      <c r="T113" s="452"/>
      <c r="U113" s="452"/>
      <c r="V113" s="452"/>
      <c r="W113" s="452"/>
      <c r="X113" s="452"/>
      <c r="Y113" s="354" t="s">
        <v>1865</v>
      </c>
      <c r="Z113" s="454"/>
      <c r="AA113" s="454"/>
      <c r="AB113" s="454"/>
      <c r="AC113" s="454"/>
      <c r="AE113" s="454"/>
      <c r="AF113" s="454"/>
      <c r="AG113" s="454"/>
      <c r="AH113" s="454"/>
      <c r="AJ113" s="354"/>
      <c r="AK113" s="354"/>
      <c r="AL113" s="354"/>
      <c r="AM113" s="354"/>
      <c r="AN113" s="354"/>
      <c r="AO113" s="358"/>
      <c r="AP113" s="358"/>
      <c r="AQ113" s="342"/>
      <c r="AR113" s="342"/>
      <c r="AS113" s="423"/>
      <c r="AT113" s="423"/>
      <c r="AU113" s="423"/>
      <c r="AV113" s="384"/>
      <c r="AW113" s="384"/>
      <c r="AX113" s="384"/>
      <c r="AY113" s="384"/>
      <c r="AZ113" s="342"/>
      <c r="BA113" s="342"/>
      <c r="BB113" s="342"/>
      <c r="BC113" s="342"/>
      <c r="BD113" s="342"/>
      <c r="BE113" s="342"/>
    </row>
    <row r="114" spans="1:57" ht="14.25" hidden="1" customHeight="1" outlineLevel="1">
      <c r="A114" s="3085"/>
      <c r="B114" s="377" t="s">
        <v>156</v>
      </c>
      <c r="C114" s="450">
        <v>0</v>
      </c>
      <c r="D114" s="450">
        <v>0</v>
      </c>
      <c r="E114" s="451">
        <v>0</v>
      </c>
      <c r="F114" s="451">
        <v>0</v>
      </c>
      <c r="J114" s="354"/>
      <c r="K114" s="354"/>
      <c r="L114" s="452"/>
      <c r="M114" s="452"/>
      <c r="N114" s="452"/>
      <c r="O114" s="452"/>
      <c r="P114" s="452"/>
      <c r="Q114" s="452"/>
      <c r="R114" s="452"/>
      <c r="S114" s="452"/>
      <c r="T114" s="452"/>
      <c r="U114" s="452"/>
      <c r="V114" s="452"/>
      <c r="W114" s="452"/>
      <c r="X114" s="452"/>
      <c r="Y114" s="452"/>
      <c r="Z114" s="454"/>
      <c r="AA114" s="454"/>
      <c r="AB114" s="454"/>
      <c r="AC114" s="454"/>
      <c r="AD114" s="454"/>
      <c r="AE114" s="454"/>
      <c r="AF114" s="454"/>
      <c r="AG114" s="454"/>
      <c r="AH114" s="454"/>
      <c r="AI114" s="354"/>
      <c r="AJ114" s="354"/>
      <c r="AK114" s="354"/>
      <c r="AL114" s="354"/>
      <c r="AM114" s="354"/>
      <c r="AN114" s="354"/>
      <c r="AO114" s="358"/>
      <c r="AP114" s="358"/>
      <c r="AQ114" s="342"/>
      <c r="AR114" s="342"/>
      <c r="AS114" s="423"/>
      <c r="AT114" s="423"/>
      <c r="AU114" s="423"/>
      <c r="AV114" s="384"/>
      <c r="AW114" s="384"/>
      <c r="AX114" s="384"/>
      <c r="AY114" s="384"/>
      <c r="AZ114" s="342"/>
      <c r="BA114" s="342"/>
      <c r="BB114" s="342"/>
      <c r="BC114" s="342"/>
      <c r="BD114" s="342"/>
      <c r="BE114" s="342"/>
    </row>
    <row r="115" spans="1:57" ht="14.25" hidden="1" customHeight="1" outlineLevel="1">
      <c r="A115" s="3085"/>
      <c r="B115" s="377" t="s">
        <v>156</v>
      </c>
      <c r="C115" s="450">
        <v>0</v>
      </c>
      <c r="D115" s="450">
        <v>0</v>
      </c>
      <c r="E115" s="451">
        <v>0</v>
      </c>
      <c r="F115" s="451">
        <v>0</v>
      </c>
      <c r="J115" s="424"/>
      <c r="K115" s="424"/>
      <c r="L115" s="366"/>
      <c r="M115" s="366"/>
      <c r="N115" s="366"/>
      <c r="O115" s="366"/>
      <c r="P115" s="366"/>
      <c r="Q115" s="366"/>
      <c r="R115" s="366"/>
      <c r="S115" s="366"/>
      <c r="T115" s="366"/>
      <c r="U115" s="366"/>
      <c r="V115" s="366"/>
      <c r="W115" s="366"/>
      <c r="X115" s="366"/>
      <c r="Y115" s="366"/>
      <c r="Z115" s="454"/>
      <c r="AA115" s="454"/>
      <c r="AB115" s="454"/>
      <c r="AC115" s="454"/>
      <c r="AD115" s="454"/>
      <c r="AE115" s="454"/>
      <c r="AF115" s="454"/>
      <c r="AG115" s="454"/>
      <c r="AH115" s="454"/>
      <c r="AI115" s="354"/>
      <c r="AJ115" s="354"/>
      <c r="AK115" s="354"/>
      <c r="AL115" s="354"/>
      <c r="AM115" s="354"/>
      <c r="AN115" s="354"/>
      <c r="AO115" s="358"/>
      <c r="AP115" s="358"/>
      <c r="AQ115" s="342"/>
      <c r="AR115" s="342"/>
      <c r="AS115" s="423"/>
      <c r="AT115" s="423"/>
      <c r="AU115" s="423"/>
      <c r="AV115" s="384"/>
      <c r="AW115" s="384"/>
      <c r="AX115" s="384"/>
      <c r="AY115" s="384"/>
      <c r="AZ115" s="342"/>
      <c r="BA115" s="342"/>
      <c r="BB115" s="342"/>
      <c r="BC115" s="342"/>
      <c r="BD115" s="342"/>
      <c r="BE115" s="342"/>
    </row>
    <row r="116" spans="1:57" ht="14.25" hidden="1" customHeight="1" outlineLevel="1">
      <c r="A116" s="3086" t="s">
        <v>1866</v>
      </c>
      <c r="B116" s="377" t="s">
        <v>156</v>
      </c>
      <c r="C116" s="450">
        <v>1.8</v>
      </c>
      <c r="D116" s="450">
        <v>1</v>
      </c>
      <c r="E116" s="451">
        <v>0</v>
      </c>
      <c r="F116" s="451">
        <v>0</v>
      </c>
      <c r="J116" s="424"/>
      <c r="K116" s="424"/>
      <c r="L116" s="366"/>
      <c r="M116" s="366"/>
      <c r="N116" s="366"/>
      <c r="O116" s="366"/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454"/>
      <c r="AA116" s="454"/>
      <c r="AB116" s="454"/>
      <c r="AC116" s="454"/>
      <c r="AD116" s="454"/>
      <c r="AE116" s="454"/>
      <c r="AF116" s="454"/>
      <c r="AG116" s="454"/>
      <c r="AH116" s="454"/>
      <c r="AI116" s="354"/>
      <c r="AJ116" s="354"/>
      <c r="AK116" s="354"/>
      <c r="AL116" s="354"/>
      <c r="AM116" s="354"/>
      <c r="AN116" s="354"/>
      <c r="AO116" s="358"/>
      <c r="AP116" s="358"/>
      <c r="AQ116" s="342"/>
      <c r="AR116" s="342"/>
      <c r="AS116" s="423"/>
      <c r="AT116" s="423"/>
      <c r="AU116" s="423"/>
      <c r="AV116" s="384"/>
      <c r="AW116" s="384"/>
      <c r="AX116" s="384"/>
      <c r="AY116" s="384"/>
      <c r="AZ116" s="342"/>
      <c r="BA116" s="342"/>
      <c r="BB116" s="342"/>
      <c r="BC116" s="342"/>
      <c r="BD116" s="342"/>
      <c r="BE116" s="342"/>
    </row>
    <row r="117" spans="1:57" ht="14.25" hidden="1" customHeight="1" outlineLevel="1">
      <c r="A117" s="3086"/>
      <c r="B117" s="377" t="s">
        <v>156</v>
      </c>
      <c r="C117" s="450">
        <v>0</v>
      </c>
      <c r="D117" s="450">
        <v>0</v>
      </c>
      <c r="E117" s="451">
        <v>0</v>
      </c>
      <c r="F117" s="451">
        <v>0</v>
      </c>
      <c r="J117" s="424"/>
      <c r="K117" s="424"/>
      <c r="L117" s="366"/>
      <c r="M117" s="366"/>
      <c r="N117" s="366"/>
      <c r="O117" s="366"/>
      <c r="P117" s="366"/>
      <c r="Q117" s="366"/>
      <c r="R117" s="366"/>
      <c r="S117" s="366"/>
      <c r="T117" s="366"/>
      <c r="U117" s="366"/>
      <c r="V117" s="366"/>
      <c r="W117" s="366"/>
      <c r="X117" s="366"/>
      <c r="Y117" s="366"/>
      <c r="Z117" s="354"/>
      <c r="AA117" s="354"/>
      <c r="AB117" s="354"/>
      <c r="AC117" s="354"/>
      <c r="AD117" s="354"/>
      <c r="AE117" s="354"/>
      <c r="AF117" s="354"/>
      <c r="AG117" s="354"/>
      <c r="AH117" s="354"/>
      <c r="AI117" s="354"/>
      <c r="AJ117" s="354"/>
      <c r="AK117" s="354"/>
      <c r="AL117" s="354"/>
      <c r="AO117" s="358"/>
      <c r="AP117" s="358"/>
      <c r="AQ117" s="342"/>
      <c r="AR117" s="342"/>
      <c r="AS117" s="423"/>
      <c r="AT117" s="423"/>
      <c r="AU117" s="423"/>
      <c r="AV117" s="384"/>
      <c r="AW117" s="384"/>
      <c r="AX117" s="384"/>
      <c r="AY117" s="384"/>
      <c r="AZ117" s="342"/>
      <c r="BA117" s="342"/>
      <c r="BB117" s="342"/>
      <c r="BC117" s="342"/>
      <c r="BD117" s="342"/>
      <c r="BE117" s="342"/>
    </row>
    <row r="118" spans="1:57" ht="14.25" hidden="1" customHeight="1" outlineLevel="1">
      <c r="A118" s="3086"/>
      <c r="B118" s="377" t="s">
        <v>156</v>
      </c>
      <c r="C118" s="450">
        <v>0</v>
      </c>
      <c r="D118" s="450">
        <v>0</v>
      </c>
      <c r="E118" s="451">
        <v>0</v>
      </c>
      <c r="F118" s="451">
        <v>0</v>
      </c>
      <c r="J118" s="424"/>
      <c r="K118" s="424"/>
      <c r="L118" s="366"/>
      <c r="M118" s="366"/>
      <c r="N118" s="366"/>
      <c r="O118" s="366"/>
      <c r="P118" s="366"/>
      <c r="Q118" s="366"/>
      <c r="R118" s="366"/>
      <c r="S118" s="366"/>
      <c r="T118" s="366"/>
      <c r="U118" s="366"/>
      <c r="V118" s="366"/>
      <c r="W118" s="366"/>
      <c r="X118" s="366"/>
      <c r="Y118" s="366"/>
      <c r="Z118" s="354"/>
      <c r="AA118" s="456"/>
      <c r="AB118" s="456"/>
      <c r="AC118" s="456"/>
      <c r="AD118" s="453"/>
      <c r="AE118" s="453"/>
      <c r="AF118" s="453"/>
      <c r="AG118" s="453"/>
      <c r="AH118" s="452"/>
      <c r="AI118" s="354"/>
      <c r="AJ118" s="354"/>
      <c r="AK118" s="354"/>
      <c r="AL118" s="354"/>
      <c r="AO118" s="457"/>
      <c r="AP118" s="457"/>
      <c r="AQ118" s="458"/>
      <c r="AR118" s="458"/>
      <c r="AS118" s="458"/>
      <c r="AT118" s="342"/>
      <c r="AU118" s="342"/>
      <c r="AV118" s="342"/>
      <c r="AW118" s="342"/>
      <c r="AX118" s="342"/>
      <c r="AY118" s="342"/>
      <c r="AZ118" s="342"/>
      <c r="BA118" s="342"/>
      <c r="BB118" s="342"/>
      <c r="BC118" s="342"/>
      <c r="BD118" s="342"/>
      <c r="BE118" s="342"/>
    </row>
    <row r="119" spans="1:57" ht="14.25" hidden="1" customHeight="1" outlineLevel="1">
      <c r="A119" s="3086"/>
      <c r="B119" s="377" t="s">
        <v>156</v>
      </c>
      <c r="C119" s="450">
        <v>0</v>
      </c>
      <c r="D119" s="450">
        <v>0</v>
      </c>
      <c r="E119" s="451">
        <v>0</v>
      </c>
      <c r="F119" s="451">
        <v>0</v>
      </c>
      <c r="J119" s="424"/>
      <c r="K119" s="424"/>
      <c r="L119" s="366"/>
      <c r="M119" s="366"/>
      <c r="N119" s="366"/>
      <c r="O119" s="366"/>
      <c r="P119" s="366"/>
      <c r="Q119" s="366"/>
      <c r="R119" s="366"/>
      <c r="S119" s="366"/>
      <c r="T119" s="366"/>
      <c r="U119" s="366"/>
      <c r="V119" s="366"/>
      <c r="W119" s="366"/>
      <c r="X119" s="366"/>
      <c r="Y119" s="366"/>
      <c r="Z119" s="354"/>
      <c r="AA119" s="354"/>
      <c r="AB119" s="354"/>
      <c r="AC119" s="354"/>
      <c r="AD119" s="354"/>
      <c r="AE119" s="354"/>
      <c r="AF119" s="354"/>
      <c r="AG119" s="354"/>
      <c r="AH119" s="453"/>
      <c r="AI119" s="454"/>
      <c r="AJ119" s="454"/>
      <c r="AK119" s="454"/>
      <c r="AL119" s="354"/>
      <c r="AO119" s="457"/>
      <c r="AP119" s="457"/>
      <c r="AQ119" s="458"/>
      <c r="AR119" s="458"/>
      <c r="AS119" s="458"/>
      <c r="AT119" s="342"/>
      <c r="AU119" s="342"/>
      <c r="AV119" s="342"/>
      <c r="AW119" s="342"/>
      <c r="AX119" s="342"/>
      <c r="AY119" s="342"/>
      <c r="AZ119" s="342"/>
      <c r="BA119" s="342"/>
      <c r="BB119" s="342"/>
      <c r="BC119" s="342"/>
      <c r="BD119" s="342"/>
      <c r="BE119" s="342"/>
    </row>
    <row r="120" spans="1:57" ht="14.25" hidden="1" customHeight="1" outlineLevel="1">
      <c r="A120" s="3085" t="s">
        <v>1867</v>
      </c>
      <c r="B120" s="377" t="s">
        <v>156</v>
      </c>
      <c r="C120" s="450">
        <v>0</v>
      </c>
      <c r="D120" s="450">
        <v>0</v>
      </c>
      <c r="E120" s="356"/>
      <c r="F120" s="451">
        <v>0</v>
      </c>
      <c r="J120" s="424"/>
      <c r="K120" s="424"/>
      <c r="L120" s="366"/>
      <c r="M120" s="366"/>
      <c r="N120" s="366"/>
      <c r="O120" s="366"/>
      <c r="P120" s="366"/>
      <c r="Q120" s="366"/>
      <c r="R120" s="366"/>
      <c r="S120" s="366"/>
      <c r="T120" s="366"/>
      <c r="U120" s="366"/>
      <c r="V120" s="366"/>
      <c r="W120" s="366"/>
      <c r="X120" s="366"/>
      <c r="Y120" s="366"/>
      <c r="Z120" s="354"/>
      <c r="AA120" s="452"/>
      <c r="AB120" s="452"/>
      <c r="AC120" s="452"/>
      <c r="AD120" s="452"/>
      <c r="AE120" s="452"/>
      <c r="AF120" s="452"/>
      <c r="AG120" s="452"/>
      <c r="AH120" s="452"/>
      <c r="AI120" s="454"/>
      <c r="AJ120" s="454"/>
      <c r="AK120" s="454"/>
      <c r="AL120" s="354"/>
      <c r="AO120" s="457"/>
      <c r="AP120" s="457"/>
      <c r="AQ120" s="458"/>
      <c r="AR120" s="458"/>
      <c r="AS120" s="458"/>
      <c r="AT120" s="342"/>
      <c r="AU120" s="342"/>
      <c r="AV120" s="342"/>
      <c r="AW120" s="342"/>
      <c r="AX120" s="342"/>
      <c r="AY120" s="342"/>
      <c r="AZ120" s="342"/>
      <c r="BA120" s="342"/>
      <c r="BB120" s="342"/>
      <c r="BC120" s="342"/>
      <c r="BD120" s="342"/>
      <c r="BE120" s="342"/>
    </row>
    <row r="121" spans="1:57" ht="14.25" hidden="1" customHeight="1" outlineLevel="1">
      <c r="A121" s="3085"/>
      <c r="B121" s="377" t="s">
        <v>156</v>
      </c>
      <c r="C121" s="450">
        <v>0</v>
      </c>
      <c r="D121" s="450">
        <v>0</v>
      </c>
      <c r="E121" s="356"/>
      <c r="F121" s="451">
        <v>0</v>
      </c>
      <c r="J121" s="424"/>
      <c r="K121" s="424"/>
      <c r="L121" s="366"/>
      <c r="M121" s="366"/>
      <c r="N121" s="366"/>
      <c r="O121" s="366"/>
      <c r="P121" s="366"/>
      <c r="Q121" s="366"/>
      <c r="S121" s="366"/>
      <c r="T121" s="366"/>
      <c r="U121" s="381" t="s">
        <v>1868</v>
      </c>
      <c r="V121" s="366"/>
      <c r="W121" s="366"/>
      <c r="X121" s="366"/>
      <c r="Y121" s="366"/>
      <c r="Z121" s="354"/>
      <c r="AA121" s="452"/>
      <c r="AB121" s="452"/>
      <c r="AC121" s="452"/>
      <c r="AD121" s="452"/>
      <c r="AE121" s="452"/>
      <c r="AF121" s="452"/>
      <c r="AG121" s="452"/>
      <c r="AH121" s="452"/>
      <c r="AI121" s="454"/>
      <c r="AJ121" s="454"/>
      <c r="AK121" s="454"/>
      <c r="AL121" s="453"/>
      <c r="AO121" s="457"/>
      <c r="AP121" s="457"/>
      <c r="AQ121" s="458"/>
      <c r="AR121" s="458"/>
      <c r="AS121" s="458"/>
      <c r="AT121" s="342"/>
      <c r="AU121" s="342"/>
      <c r="AV121" s="342"/>
      <c r="AW121" s="342"/>
      <c r="AX121" s="342"/>
      <c r="AY121" s="342"/>
      <c r="AZ121" s="342"/>
      <c r="BA121" s="342"/>
      <c r="BB121" s="342"/>
      <c r="BC121" s="342"/>
      <c r="BD121" s="342"/>
      <c r="BE121" s="342"/>
    </row>
    <row r="122" spans="1:57" ht="14.25" hidden="1" customHeight="1" outlineLevel="1">
      <c r="A122" s="3085"/>
      <c r="B122" s="377" t="s">
        <v>156</v>
      </c>
      <c r="C122" s="450">
        <v>0</v>
      </c>
      <c r="D122" s="450">
        <v>0</v>
      </c>
      <c r="E122" s="356"/>
      <c r="F122" s="451">
        <v>0</v>
      </c>
      <c r="J122" s="424"/>
      <c r="K122" s="424"/>
      <c r="L122" s="366"/>
      <c r="M122" s="366"/>
      <c r="N122" s="366"/>
      <c r="O122" s="366"/>
      <c r="P122" s="366"/>
      <c r="Q122" s="366"/>
      <c r="R122" s="366"/>
      <c r="S122" s="366"/>
      <c r="T122" s="366"/>
      <c r="U122" s="366"/>
      <c r="V122" s="366"/>
      <c r="W122" s="366"/>
      <c r="X122" s="366"/>
      <c r="Y122" s="366"/>
      <c r="Z122" s="354"/>
      <c r="AA122" s="452"/>
      <c r="AB122" s="452"/>
      <c r="AC122" s="452"/>
      <c r="AD122" s="452"/>
      <c r="AE122" s="452"/>
      <c r="AF122" s="452"/>
      <c r="AG122" s="452"/>
      <c r="AH122" s="452"/>
      <c r="AI122" s="454"/>
      <c r="AJ122" s="454"/>
      <c r="AK122" s="454"/>
      <c r="AL122" s="354"/>
      <c r="AO122" s="358"/>
      <c r="AP122" s="358"/>
      <c r="AQ122" s="342"/>
      <c r="AR122" s="342"/>
      <c r="AS122" s="458"/>
      <c r="AT122" s="342"/>
      <c r="AU122" s="342"/>
      <c r="AV122" s="342"/>
      <c r="AW122" s="342"/>
      <c r="AX122" s="342"/>
      <c r="AY122" s="342"/>
      <c r="AZ122" s="342"/>
      <c r="BA122" s="342"/>
      <c r="BB122" s="342"/>
      <c r="BC122" s="342"/>
      <c r="BD122" s="342"/>
      <c r="BE122" s="342"/>
    </row>
    <row r="123" spans="1:57" ht="14.25" hidden="1" customHeight="1" outlineLevel="1">
      <c r="A123" s="3085"/>
      <c r="B123" s="377" t="s">
        <v>156</v>
      </c>
      <c r="C123" s="450">
        <v>0</v>
      </c>
      <c r="D123" s="450">
        <v>0</v>
      </c>
      <c r="E123" s="356"/>
      <c r="F123" s="451">
        <v>0</v>
      </c>
      <c r="J123" s="424"/>
      <c r="K123" s="424"/>
      <c r="L123" s="366"/>
      <c r="M123" s="366"/>
      <c r="N123" s="366"/>
      <c r="O123" s="366"/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54"/>
      <c r="AA123" s="366"/>
      <c r="AB123" s="366"/>
      <c r="AC123" s="366"/>
      <c r="AD123" s="366"/>
      <c r="AE123" s="366"/>
      <c r="AF123" s="366"/>
      <c r="AG123" s="366"/>
      <c r="AH123" s="366"/>
      <c r="AI123" s="354"/>
      <c r="AJ123" s="354"/>
      <c r="AK123" s="354"/>
      <c r="AL123" s="354"/>
      <c r="AO123" s="358"/>
      <c r="AP123" s="358"/>
      <c r="AQ123" s="342"/>
      <c r="AR123" s="342"/>
      <c r="AS123" s="342"/>
      <c r="AT123" s="342"/>
      <c r="AU123" s="342"/>
      <c r="AV123" s="342"/>
      <c r="AW123" s="342"/>
      <c r="AX123" s="342"/>
      <c r="AY123" s="342"/>
      <c r="AZ123" s="342"/>
      <c r="BA123" s="342"/>
      <c r="BB123" s="342"/>
      <c r="BC123" s="342"/>
      <c r="BD123" s="342"/>
      <c r="BE123" s="342"/>
    </row>
    <row r="124" spans="1:57" ht="14.25" hidden="1" customHeight="1" outlineLevel="1">
      <c r="A124" s="3086" t="s">
        <v>1869</v>
      </c>
      <c r="B124" s="377" t="s">
        <v>156</v>
      </c>
      <c r="C124" s="450">
        <v>3</v>
      </c>
      <c r="D124" s="450">
        <v>2</v>
      </c>
      <c r="E124" s="356"/>
      <c r="F124" s="451">
        <v>0</v>
      </c>
      <c r="J124" s="424"/>
      <c r="K124" s="424"/>
      <c r="L124" s="366"/>
      <c r="M124" s="366"/>
      <c r="N124" s="366"/>
      <c r="O124" s="366"/>
      <c r="P124" s="366"/>
      <c r="Q124" s="366"/>
      <c r="R124" s="366"/>
      <c r="S124" s="366"/>
      <c r="T124" s="366"/>
      <c r="U124" s="366"/>
      <c r="V124" s="366"/>
      <c r="W124" s="366"/>
      <c r="X124" s="366"/>
      <c r="Y124" s="366"/>
      <c r="Z124" s="354"/>
      <c r="AA124" s="366"/>
      <c r="AB124" s="366"/>
      <c r="AC124" s="366"/>
      <c r="AD124" s="366"/>
      <c r="AE124" s="366"/>
      <c r="AF124" s="366"/>
      <c r="AG124" s="366"/>
      <c r="AH124" s="366"/>
      <c r="AI124" s="452"/>
      <c r="AJ124" s="452"/>
      <c r="AK124" s="452"/>
      <c r="AL124" s="452"/>
      <c r="AO124" s="459"/>
      <c r="AP124" s="358"/>
      <c r="AQ124" s="458"/>
      <c r="AR124" s="458"/>
      <c r="AS124" s="458"/>
      <c r="AT124" s="342"/>
      <c r="AU124" s="342"/>
      <c r="AV124" s="342"/>
      <c r="AW124" s="342"/>
      <c r="AX124" s="342"/>
      <c r="AY124" s="342"/>
      <c r="AZ124" s="342"/>
      <c r="BA124" s="342"/>
      <c r="BB124" s="342"/>
      <c r="BC124" s="342"/>
      <c r="BD124" s="342"/>
      <c r="BE124" s="342"/>
    </row>
    <row r="125" spans="1:57" ht="14.25" hidden="1" customHeight="1" outlineLevel="1">
      <c r="A125" s="3086"/>
      <c r="B125" s="377" t="s">
        <v>156</v>
      </c>
      <c r="C125" s="450">
        <v>0</v>
      </c>
      <c r="D125" s="450">
        <v>0</v>
      </c>
      <c r="E125" s="356"/>
      <c r="F125" s="451">
        <v>0</v>
      </c>
      <c r="J125" s="354"/>
      <c r="K125" s="424"/>
      <c r="L125" s="366"/>
      <c r="M125" s="366"/>
      <c r="N125" s="366"/>
      <c r="O125" s="366"/>
      <c r="P125" s="366"/>
      <c r="Q125" s="366"/>
      <c r="R125" s="366"/>
      <c r="S125" s="366"/>
      <c r="T125" s="366"/>
      <c r="U125" s="366"/>
      <c r="V125" s="366"/>
      <c r="W125" s="366"/>
      <c r="X125" s="366"/>
      <c r="Y125" s="366"/>
      <c r="Z125" s="354"/>
      <c r="AA125" s="366"/>
      <c r="AB125" s="366"/>
      <c r="AC125" s="366"/>
      <c r="AD125" s="366"/>
      <c r="AE125" s="366"/>
      <c r="AF125" s="366"/>
      <c r="AG125" s="366"/>
      <c r="AH125" s="366"/>
      <c r="AI125" s="453"/>
      <c r="AJ125" s="453"/>
      <c r="AK125" s="453"/>
      <c r="AL125" s="453"/>
      <c r="AO125" s="457"/>
      <c r="AP125" s="457"/>
      <c r="AQ125" s="342"/>
      <c r="AR125" s="342"/>
      <c r="AS125" s="342"/>
      <c r="AT125" s="342"/>
      <c r="AU125" s="342"/>
      <c r="AV125" s="342"/>
      <c r="AW125" s="341"/>
      <c r="AX125" s="342"/>
      <c r="AY125" s="342"/>
      <c r="AZ125" s="342"/>
      <c r="BA125" s="342"/>
      <c r="BB125" s="342"/>
      <c r="BC125" s="342"/>
      <c r="BD125" s="342"/>
      <c r="BE125" s="342"/>
    </row>
    <row r="126" spans="1:57" ht="14.25" hidden="1" customHeight="1" outlineLevel="1">
      <c r="A126" s="3086"/>
      <c r="B126" s="377" t="s">
        <v>156</v>
      </c>
      <c r="C126" s="450">
        <v>0</v>
      </c>
      <c r="D126" s="450">
        <v>0</v>
      </c>
      <c r="E126" s="356"/>
      <c r="F126" s="451">
        <v>0</v>
      </c>
      <c r="J126" s="424"/>
      <c r="K126" s="424"/>
      <c r="L126" s="366"/>
      <c r="M126" s="366"/>
      <c r="N126" s="366"/>
      <c r="O126" s="366"/>
      <c r="P126" s="366"/>
      <c r="Q126" s="366"/>
      <c r="R126" s="366"/>
      <c r="S126" s="366"/>
      <c r="T126" s="366"/>
      <c r="U126" s="366"/>
      <c r="V126" s="366"/>
      <c r="W126" s="366"/>
      <c r="X126" s="366"/>
      <c r="Y126" s="366"/>
      <c r="Z126" s="354"/>
      <c r="AA126" s="366"/>
      <c r="AB126" s="366"/>
      <c r="AC126" s="366"/>
      <c r="AD126" s="366"/>
      <c r="AE126" s="366"/>
      <c r="AF126" s="366"/>
      <c r="AG126" s="366"/>
      <c r="AH126" s="366"/>
      <c r="AI126" s="452"/>
      <c r="AJ126" s="452"/>
      <c r="AK126" s="452"/>
      <c r="AL126" s="452"/>
      <c r="AO126" s="459"/>
      <c r="AP126" s="457"/>
      <c r="AQ126" s="341"/>
      <c r="AR126" s="341"/>
      <c r="AS126" s="341"/>
      <c r="AT126" s="341"/>
      <c r="AU126" s="341"/>
      <c r="AV126" s="341"/>
      <c r="AW126" s="341"/>
      <c r="AX126" s="342"/>
      <c r="AY126" s="342"/>
      <c r="AZ126" s="342"/>
      <c r="BA126" s="342"/>
      <c r="BB126" s="342"/>
      <c r="BC126" s="342"/>
      <c r="BD126" s="342"/>
      <c r="BE126" s="342"/>
    </row>
    <row r="127" spans="1:57" ht="14.25" hidden="1" customHeight="1" outlineLevel="1">
      <c r="A127" s="3086"/>
      <c r="B127" s="377" t="s">
        <v>156</v>
      </c>
      <c r="C127" s="450">
        <v>0</v>
      </c>
      <c r="D127" s="450">
        <v>0</v>
      </c>
      <c r="E127" s="460"/>
      <c r="F127" s="461">
        <v>0</v>
      </c>
      <c r="J127" s="424"/>
      <c r="K127" s="424"/>
      <c r="L127" s="366"/>
      <c r="M127" s="366"/>
      <c r="N127" s="366"/>
      <c r="O127" s="366"/>
      <c r="P127" s="366"/>
      <c r="Q127" s="366"/>
      <c r="R127" s="366"/>
      <c r="S127" s="366"/>
      <c r="T127" s="366"/>
      <c r="U127" s="366"/>
      <c r="V127" s="366"/>
      <c r="W127" s="366"/>
      <c r="X127" s="366"/>
      <c r="Y127" s="366"/>
      <c r="Z127" s="354"/>
      <c r="AA127" s="366"/>
      <c r="AB127" s="366"/>
      <c r="AC127" s="366"/>
      <c r="AD127" s="366"/>
      <c r="AE127" s="366"/>
      <c r="AF127" s="366"/>
      <c r="AG127" s="366"/>
      <c r="AH127" s="366"/>
      <c r="AI127" s="452"/>
      <c r="AJ127" s="452"/>
      <c r="AK127" s="452"/>
      <c r="AL127" s="452"/>
      <c r="AO127" s="459"/>
      <c r="AP127" s="459"/>
      <c r="AQ127" s="341"/>
      <c r="AR127" s="341"/>
      <c r="AS127" s="341"/>
      <c r="AT127" s="341"/>
      <c r="AU127" s="341"/>
      <c r="AV127" s="341"/>
      <c r="AW127" s="341"/>
      <c r="AX127" s="342"/>
      <c r="AY127" s="342"/>
      <c r="AZ127" s="342"/>
      <c r="BA127" s="342"/>
      <c r="BB127" s="342"/>
      <c r="BC127" s="342"/>
      <c r="BD127" s="342"/>
      <c r="BE127" s="342"/>
    </row>
    <row r="128" spans="1:57" ht="14.25" hidden="1" customHeight="1" outlineLevel="1">
      <c r="A128" s="3087" t="s">
        <v>1870</v>
      </c>
      <c r="B128" s="377" t="s">
        <v>156</v>
      </c>
      <c r="C128" s="450">
        <v>3.5</v>
      </c>
      <c r="D128" s="450">
        <v>1</v>
      </c>
      <c r="E128" s="462">
        <v>1.1000000000000001</v>
      </c>
      <c r="F128" s="462">
        <v>2.2000000000000002</v>
      </c>
      <c r="J128" s="424"/>
      <c r="K128" s="424"/>
      <c r="M128" s="366"/>
      <c r="N128" s="366"/>
      <c r="O128" s="366"/>
      <c r="P128" s="463" t="s">
        <v>1871</v>
      </c>
      <c r="Q128" s="366"/>
      <c r="S128" s="366"/>
      <c r="T128" s="366"/>
      <c r="U128" s="366"/>
      <c r="X128" s="366"/>
      <c r="Y128" s="366"/>
      <c r="Z128" s="354"/>
      <c r="AA128" s="463" t="s">
        <v>1871</v>
      </c>
      <c r="AB128" s="366"/>
      <c r="AC128" s="366"/>
      <c r="AD128" s="366"/>
      <c r="AE128" s="366"/>
      <c r="AF128" s="366"/>
      <c r="AG128" s="366"/>
      <c r="AH128" s="366"/>
      <c r="AI128" s="452"/>
      <c r="AJ128" s="452"/>
      <c r="AK128" s="452"/>
      <c r="AL128" s="452"/>
      <c r="AO128" s="459"/>
      <c r="AP128" s="459"/>
      <c r="AQ128" s="341"/>
      <c r="AR128" s="341"/>
      <c r="AS128" s="341"/>
      <c r="AT128" s="341"/>
      <c r="AU128" s="341"/>
      <c r="AV128" s="341"/>
      <c r="AW128" s="341"/>
      <c r="AX128" s="342"/>
      <c r="AY128" s="342"/>
      <c r="AZ128" s="342"/>
      <c r="BA128" s="342"/>
      <c r="BB128" s="342"/>
      <c r="BC128" s="342"/>
      <c r="BD128" s="342"/>
      <c r="BE128" s="342"/>
    </row>
    <row r="129" spans="1:57" ht="14.25" hidden="1" customHeight="1" outlineLevel="1">
      <c r="A129" s="3087"/>
      <c r="B129" s="377" t="s">
        <v>156</v>
      </c>
      <c r="C129" s="450">
        <v>0</v>
      </c>
      <c r="D129" s="450">
        <v>0</v>
      </c>
      <c r="E129" s="462">
        <v>0</v>
      </c>
      <c r="F129" s="462">
        <v>0</v>
      </c>
      <c r="J129" s="424"/>
      <c r="M129" s="366"/>
      <c r="N129" s="366"/>
      <c r="O129" s="366"/>
      <c r="P129" s="366"/>
      <c r="Q129" s="366"/>
      <c r="R129" s="366"/>
      <c r="S129" s="366"/>
      <c r="T129" s="366"/>
      <c r="U129" s="366"/>
      <c r="V129" s="424"/>
      <c r="W129" s="424"/>
      <c r="X129" s="366"/>
      <c r="Y129" s="366"/>
      <c r="Z129" s="366"/>
      <c r="AA129" s="366"/>
      <c r="AB129" s="366"/>
      <c r="AC129" s="366"/>
      <c r="AD129" s="366"/>
      <c r="AE129" s="366"/>
      <c r="AF129" s="366"/>
      <c r="AI129" s="366"/>
      <c r="AJ129" s="366"/>
      <c r="AK129" s="366"/>
      <c r="AL129" s="366"/>
      <c r="AO129" s="367"/>
      <c r="AP129" s="367"/>
      <c r="AQ129" s="340"/>
      <c r="AR129" s="340"/>
      <c r="AS129" s="340"/>
      <c r="AT129" s="340"/>
      <c r="AU129" s="340"/>
      <c r="AV129" s="341"/>
      <c r="AW129" s="341"/>
      <c r="AX129" s="342"/>
      <c r="AY129" s="342"/>
      <c r="AZ129" s="342"/>
      <c r="BA129" s="342"/>
      <c r="BB129" s="342"/>
      <c r="BC129" s="342"/>
      <c r="BD129" s="342"/>
      <c r="BE129" s="342"/>
    </row>
    <row r="130" spans="1:57" ht="14.25" hidden="1" customHeight="1" outlineLevel="1">
      <c r="A130" s="3087"/>
      <c r="B130" s="377" t="s">
        <v>156</v>
      </c>
      <c r="C130" s="450">
        <v>0</v>
      </c>
      <c r="D130" s="450">
        <v>0</v>
      </c>
      <c r="E130" s="462">
        <v>0</v>
      </c>
      <c r="F130" s="462">
        <v>0</v>
      </c>
      <c r="J130" s="371"/>
      <c r="K130" s="371"/>
      <c r="L130" s="371"/>
      <c r="M130" s="371"/>
      <c r="N130" s="366"/>
      <c r="O130" s="366"/>
      <c r="P130" s="366"/>
      <c r="Q130" s="366"/>
      <c r="R130" s="366"/>
      <c r="S130" s="366"/>
      <c r="T130" s="366"/>
      <c r="U130" s="366"/>
      <c r="V130" s="424"/>
      <c r="W130" s="424"/>
      <c r="X130" s="366"/>
      <c r="Y130" s="366"/>
      <c r="Z130" s="366"/>
      <c r="AA130" s="366"/>
      <c r="AB130" s="366"/>
      <c r="AC130" s="366"/>
      <c r="AD130" s="366"/>
      <c r="AE130" s="366"/>
      <c r="AF130" s="366"/>
      <c r="AI130" s="366"/>
      <c r="AJ130" s="366"/>
      <c r="AK130" s="366"/>
      <c r="AL130" s="366"/>
      <c r="AO130" s="367"/>
      <c r="AP130" s="367"/>
      <c r="AQ130" s="340"/>
      <c r="AR130" s="340"/>
      <c r="AS130" s="340"/>
      <c r="AT130" s="340"/>
      <c r="AU130" s="340"/>
      <c r="AV130" s="341"/>
      <c r="AW130" s="341"/>
      <c r="AX130" s="342"/>
      <c r="AY130" s="342"/>
      <c r="AZ130" s="342"/>
      <c r="BA130" s="342"/>
      <c r="BB130" s="342"/>
      <c r="BC130" s="342"/>
      <c r="BD130" s="342"/>
      <c r="BE130" s="342"/>
    </row>
    <row r="131" spans="1:57" ht="14.25" hidden="1" customHeight="1" outlineLevel="1">
      <c r="A131" s="3087"/>
      <c r="B131" s="377" t="s">
        <v>156</v>
      </c>
      <c r="C131" s="450">
        <v>0</v>
      </c>
      <c r="D131" s="450">
        <v>0</v>
      </c>
      <c r="E131" s="462">
        <v>0</v>
      </c>
      <c r="F131" s="462">
        <v>0</v>
      </c>
      <c r="J131" s="424"/>
      <c r="K131" s="424"/>
      <c r="L131" s="366"/>
      <c r="M131" s="366"/>
      <c r="N131" s="366"/>
      <c r="O131" s="354"/>
      <c r="P131" s="366"/>
      <c r="Q131" s="366"/>
      <c r="R131" s="366"/>
      <c r="S131" s="366"/>
      <c r="T131" s="366"/>
      <c r="U131" s="366"/>
      <c r="V131" s="424"/>
      <c r="W131" s="424"/>
      <c r="X131" s="366"/>
      <c r="Y131" s="366"/>
      <c r="Z131" s="366"/>
      <c r="AA131" s="354"/>
      <c r="AB131" s="366"/>
      <c r="AC131" s="366"/>
      <c r="AD131" s="366"/>
      <c r="AE131" s="366"/>
      <c r="AF131" s="366"/>
      <c r="AG131" s="366"/>
      <c r="AH131" s="366"/>
      <c r="AI131" s="366"/>
      <c r="AJ131" s="366"/>
      <c r="AK131" s="366"/>
      <c r="AL131" s="366"/>
      <c r="AO131" s="367"/>
      <c r="AP131" s="367"/>
      <c r="AQ131" s="340"/>
      <c r="AR131" s="340"/>
      <c r="AS131" s="340"/>
      <c r="AT131" s="340"/>
      <c r="AU131" s="340"/>
      <c r="AV131" s="341"/>
      <c r="AW131" s="341"/>
      <c r="AX131" s="342"/>
      <c r="AY131" s="342"/>
      <c r="AZ131" s="342"/>
      <c r="BA131" s="342"/>
      <c r="BB131" s="342"/>
      <c r="BC131" s="342"/>
      <c r="BD131" s="342"/>
      <c r="BE131" s="342"/>
    </row>
    <row r="132" spans="1:57" ht="14.25" hidden="1" customHeight="1" outlineLevel="1">
      <c r="A132" s="3087" t="s">
        <v>1872</v>
      </c>
      <c r="B132" s="377" t="s">
        <v>156</v>
      </c>
      <c r="C132" s="450">
        <v>0</v>
      </c>
      <c r="D132" s="450">
        <v>0</v>
      </c>
      <c r="E132" s="462">
        <v>0</v>
      </c>
      <c r="F132" s="462">
        <v>0</v>
      </c>
      <c r="J132" s="366"/>
      <c r="K132" s="366"/>
      <c r="L132" s="366"/>
      <c r="M132" s="366"/>
      <c r="N132" s="366"/>
      <c r="O132" s="366"/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O132" s="367"/>
      <c r="AP132" s="367"/>
      <c r="AQ132" s="340"/>
      <c r="AR132" s="340"/>
      <c r="AS132" s="340"/>
      <c r="AT132" s="340"/>
      <c r="AU132" s="340"/>
      <c r="AV132" s="341"/>
      <c r="AW132" s="341"/>
      <c r="AX132" s="342"/>
      <c r="AY132" s="342"/>
      <c r="AZ132" s="342"/>
      <c r="BA132" s="342"/>
      <c r="BB132" s="342"/>
      <c r="BC132" s="342"/>
      <c r="BD132" s="342"/>
      <c r="BE132" s="342"/>
    </row>
    <row r="133" spans="1:57" ht="14.25" hidden="1" customHeight="1" outlineLevel="1">
      <c r="A133" s="3087"/>
      <c r="B133" s="377" t="s">
        <v>156</v>
      </c>
      <c r="C133" s="450">
        <v>0</v>
      </c>
      <c r="D133" s="450">
        <v>0</v>
      </c>
      <c r="E133" s="462">
        <v>0</v>
      </c>
      <c r="F133" s="462">
        <v>0</v>
      </c>
      <c r="J133" s="354"/>
      <c r="K133" s="354"/>
      <c r="L133" s="354"/>
      <c r="M133" s="354"/>
      <c r="N133" s="354"/>
      <c r="O133" s="354"/>
      <c r="P133" s="354"/>
      <c r="Q133" s="354"/>
      <c r="R133" s="354"/>
      <c r="T133" s="354"/>
      <c r="U133" s="354"/>
      <c r="V133" s="354"/>
      <c r="W133" s="354"/>
      <c r="Z133" s="354"/>
      <c r="AA133" s="354"/>
      <c r="AB133" s="464"/>
      <c r="AC133" s="464"/>
      <c r="AD133" s="354"/>
      <c r="AE133" s="354"/>
      <c r="AG133" s="366"/>
      <c r="AH133" s="366"/>
      <c r="AI133" s="366"/>
      <c r="AJ133" s="366"/>
      <c r="AK133" s="366"/>
      <c r="AL133" s="366"/>
      <c r="AO133" s="367"/>
      <c r="AP133" s="367"/>
      <c r="AQ133" s="340"/>
      <c r="AR133" s="340"/>
      <c r="AS133" s="340"/>
      <c r="AT133" s="340"/>
      <c r="AU133" s="340"/>
      <c r="AV133" s="341"/>
      <c r="AW133" s="341"/>
      <c r="AX133" s="342"/>
      <c r="AY133" s="342"/>
      <c r="AZ133" s="342"/>
      <c r="BA133" s="342"/>
      <c r="BB133" s="342"/>
      <c r="BC133" s="342"/>
      <c r="BD133" s="342"/>
      <c r="BE133" s="342"/>
    </row>
    <row r="134" spans="1:57" ht="14.25" hidden="1" customHeight="1" outlineLevel="1">
      <c r="A134" s="3087"/>
      <c r="B134" s="377" t="s">
        <v>156</v>
      </c>
      <c r="C134" s="450">
        <v>0</v>
      </c>
      <c r="D134" s="450">
        <v>0</v>
      </c>
      <c r="E134" s="462">
        <v>0</v>
      </c>
      <c r="F134" s="462">
        <v>0</v>
      </c>
      <c r="H134" s="456" t="s">
        <v>1873</v>
      </c>
      <c r="J134" s="354"/>
      <c r="K134" s="354"/>
      <c r="L134" s="354"/>
      <c r="M134" s="354"/>
      <c r="N134" s="354"/>
      <c r="O134" s="465" t="s">
        <v>1874</v>
      </c>
      <c r="P134" s="354"/>
      <c r="Q134" s="354" t="s">
        <v>1873</v>
      </c>
      <c r="S134" s="354"/>
      <c r="T134" s="354"/>
      <c r="U134" s="354"/>
      <c r="V134" s="354"/>
      <c r="W134" s="354"/>
      <c r="X134" s="466" t="s">
        <v>1874</v>
      </c>
      <c r="Z134" s="466" t="s">
        <v>1874</v>
      </c>
      <c r="AA134" s="354"/>
      <c r="AB134" s="354"/>
      <c r="AC134" s="354"/>
      <c r="AE134" s="354"/>
      <c r="AF134" s="366"/>
      <c r="AG134" s="466" t="s">
        <v>1874</v>
      </c>
      <c r="AH134" s="366"/>
      <c r="AI134" s="366"/>
      <c r="AJ134" s="366"/>
      <c r="AK134" s="366"/>
      <c r="AL134" s="366"/>
      <c r="AO134" s="367"/>
      <c r="AP134" s="367"/>
      <c r="AQ134" s="340"/>
      <c r="AR134" s="340"/>
      <c r="AS134" s="340"/>
      <c r="AT134" s="340"/>
      <c r="AU134" s="340"/>
      <c r="AV134" s="341"/>
      <c r="AW134" s="341"/>
      <c r="AX134" s="342"/>
      <c r="AY134" s="342"/>
      <c r="AZ134" s="342"/>
      <c r="BA134" s="342"/>
      <c r="BB134" s="342"/>
      <c r="BC134" s="342"/>
      <c r="BD134" s="342"/>
      <c r="BE134" s="342"/>
    </row>
    <row r="135" spans="1:57" ht="14.25" hidden="1" customHeight="1" outlineLevel="1">
      <c r="A135" s="3087"/>
      <c r="B135" s="377" t="s">
        <v>156</v>
      </c>
      <c r="C135" s="450">
        <v>0</v>
      </c>
      <c r="D135" s="450">
        <v>0</v>
      </c>
      <c r="E135" s="462">
        <v>0</v>
      </c>
      <c r="F135" s="462">
        <v>0</v>
      </c>
      <c r="K135" s="354"/>
      <c r="M135" s="354"/>
      <c r="N135" s="354"/>
      <c r="O135" s="354"/>
      <c r="P135" s="354"/>
      <c r="Q135" s="354"/>
      <c r="R135" s="354"/>
      <c r="S135" s="354"/>
      <c r="T135" s="354"/>
      <c r="U135" s="354"/>
      <c r="W135" s="354"/>
      <c r="Y135" s="354"/>
      <c r="Z135" s="354"/>
      <c r="AA135" s="354"/>
      <c r="AB135" s="354"/>
      <c r="AC135" s="354"/>
      <c r="AD135" s="354"/>
      <c r="AE135" s="354"/>
      <c r="AF135" s="366"/>
      <c r="AG135" s="366"/>
      <c r="AH135" s="366"/>
      <c r="AI135" s="366"/>
      <c r="AJ135" s="366"/>
      <c r="AK135" s="366"/>
      <c r="AL135" s="366"/>
      <c r="AO135" s="367"/>
      <c r="AP135" s="367"/>
      <c r="AQ135" s="340"/>
      <c r="AR135" s="340"/>
      <c r="AS135" s="340"/>
      <c r="AT135" s="340"/>
      <c r="AU135" s="340"/>
      <c r="AV135" s="341"/>
      <c r="AW135" s="341"/>
      <c r="AX135" s="342"/>
      <c r="AY135" s="342"/>
      <c r="AZ135" s="342"/>
      <c r="BA135" s="342"/>
      <c r="BB135" s="342"/>
      <c r="BC135" s="342"/>
      <c r="BD135" s="342"/>
      <c r="BE135" s="342"/>
    </row>
    <row r="136" spans="1:57" ht="14.25" hidden="1" customHeight="1" outlineLevel="1">
      <c r="A136" s="3086" t="s">
        <v>1875</v>
      </c>
      <c r="B136" s="377" t="s">
        <v>156</v>
      </c>
      <c r="C136" s="450">
        <v>4</v>
      </c>
      <c r="D136" s="450">
        <v>1</v>
      </c>
      <c r="E136" s="393"/>
      <c r="F136" s="462">
        <v>2.2000000000000002</v>
      </c>
      <c r="AG136" s="366"/>
      <c r="AH136" s="366"/>
      <c r="AI136" s="366"/>
      <c r="AJ136" s="366"/>
      <c r="AK136" s="366"/>
      <c r="AL136" s="366"/>
      <c r="AO136" s="367"/>
      <c r="AP136" s="367"/>
      <c r="AQ136" s="340"/>
      <c r="AR136" s="340"/>
      <c r="AS136" s="340"/>
      <c r="AT136" s="340"/>
      <c r="AU136" s="340"/>
      <c r="AV136" s="341"/>
      <c r="AW136" s="341"/>
      <c r="AX136" s="342"/>
      <c r="AY136" s="342"/>
      <c r="AZ136" s="342"/>
      <c r="BA136" s="342"/>
      <c r="BB136" s="342"/>
      <c r="BC136" s="342"/>
      <c r="BD136" s="342"/>
      <c r="BE136" s="342"/>
    </row>
    <row r="137" spans="1:57" ht="14.25" hidden="1" customHeight="1" outlineLevel="1">
      <c r="A137" s="3086"/>
      <c r="B137" s="377" t="s">
        <v>156</v>
      </c>
      <c r="C137" s="450">
        <v>2</v>
      </c>
      <c r="D137" s="450">
        <v>1</v>
      </c>
      <c r="E137" s="393"/>
      <c r="F137" s="462">
        <v>2.2000000000000002</v>
      </c>
      <c r="AG137" s="366"/>
      <c r="AH137" s="366"/>
      <c r="AI137" s="366"/>
      <c r="AJ137" s="366"/>
      <c r="AK137" s="366"/>
      <c r="AL137" s="366"/>
      <c r="AO137" s="367"/>
      <c r="AP137" s="367"/>
      <c r="AQ137" s="340"/>
      <c r="AR137" s="340"/>
      <c r="AS137" s="340"/>
      <c r="AT137" s="340"/>
      <c r="AU137" s="340"/>
      <c r="AV137" s="341"/>
      <c r="AW137" s="341"/>
      <c r="AX137" s="342"/>
      <c r="AY137" s="342"/>
      <c r="AZ137" s="342"/>
      <c r="BA137" s="342"/>
      <c r="BB137" s="342"/>
      <c r="BC137" s="342"/>
      <c r="BD137" s="342"/>
      <c r="BE137" s="342"/>
    </row>
    <row r="138" spans="1:57" ht="14.25" hidden="1" customHeight="1" outlineLevel="1">
      <c r="A138" s="3086"/>
      <c r="B138" s="377" t="s">
        <v>156</v>
      </c>
      <c r="C138" s="450">
        <v>3</v>
      </c>
      <c r="D138" s="450">
        <v>1</v>
      </c>
      <c r="E138" s="393"/>
      <c r="F138" s="462">
        <v>2.2000000000000002</v>
      </c>
      <c r="K138" s="331" t="s">
        <v>1876</v>
      </c>
      <c r="T138" s="331" t="s">
        <v>1876</v>
      </c>
      <c r="AC138" s="331" t="s">
        <v>1876</v>
      </c>
      <c r="AG138" s="366"/>
      <c r="AH138" s="366"/>
      <c r="AI138" s="366"/>
      <c r="AJ138" s="366"/>
      <c r="AK138" s="366"/>
      <c r="AL138" s="366"/>
      <c r="AO138" s="367"/>
      <c r="AP138" s="367"/>
      <c r="AQ138" s="340"/>
      <c r="AR138" s="340"/>
      <c r="AS138" s="340"/>
      <c r="AT138" s="340"/>
      <c r="AU138" s="340"/>
      <c r="AV138" s="341"/>
      <c r="AW138" s="341"/>
      <c r="AX138" s="342"/>
      <c r="AY138" s="342"/>
      <c r="AZ138" s="342"/>
      <c r="BA138" s="342"/>
      <c r="BB138" s="342"/>
      <c r="BC138" s="342"/>
      <c r="BD138" s="342"/>
      <c r="BE138" s="342"/>
    </row>
    <row r="139" spans="1:57" ht="14.25" hidden="1" customHeight="1" outlineLevel="1">
      <c r="A139" s="3086"/>
      <c r="B139" s="377" t="s">
        <v>156</v>
      </c>
      <c r="C139" s="450">
        <v>0</v>
      </c>
      <c r="D139" s="450">
        <v>0</v>
      </c>
      <c r="E139" s="393"/>
      <c r="F139" s="462">
        <v>0</v>
      </c>
      <c r="H139" s="3088" t="s">
        <v>1877</v>
      </c>
      <c r="I139" s="3088"/>
      <c r="J139" s="3088"/>
      <c r="K139" s="3088"/>
      <c r="L139" s="3088"/>
      <c r="M139" s="3088"/>
      <c r="N139" s="3088"/>
      <c r="O139" s="3088"/>
      <c r="R139" s="3088" t="s">
        <v>1878</v>
      </c>
      <c r="S139" s="3088"/>
      <c r="T139" s="3088"/>
      <c r="U139" s="3088"/>
      <c r="V139" s="3088"/>
      <c r="W139" s="3088"/>
      <c r="X139" s="3088"/>
      <c r="Y139" s="467"/>
      <c r="Z139" s="3088" t="s">
        <v>1879</v>
      </c>
      <c r="AA139" s="3088"/>
      <c r="AB139" s="3088"/>
      <c r="AC139" s="3088"/>
      <c r="AD139" s="3088"/>
      <c r="AE139" s="3088"/>
      <c r="AF139" s="3088"/>
      <c r="AG139" s="3088"/>
      <c r="AI139" s="366"/>
      <c r="AJ139" s="366"/>
      <c r="AK139" s="366"/>
      <c r="AL139" s="366"/>
      <c r="AO139" s="367"/>
      <c r="AP139" s="367"/>
      <c r="AQ139" s="340"/>
      <c r="AR139" s="340"/>
      <c r="AS139" s="340"/>
      <c r="AT139" s="340"/>
      <c r="AU139" s="340"/>
      <c r="AV139" s="341"/>
      <c r="AW139" s="341"/>
      <c r="AX139" s="342"/>
      <c r="AY139" s="342"/>
      <c r="AZ139" s="342"/>
      <c r="BA139" s="342"/>
      <c r="BB139" s="342"/>
      <c r="BC139" s="342"/>
      <c r="BD139" s="342"/>
      <c r="BE139" s="342"/>
    </row>
    <row r="140" spans="1:57" ht="14.25" hidden="1" customHeight="1" outlineLevel="1">
      <c r="A140" s="3086" t="s">
        <v>1880</v>
      </c>
      <c r="B140" s="468" t="s">
        <v>156</v>
      </c>
      <c r="C140" s="469">
        <v>0</v>
      </c>
      <c r="D140" s="450">
        <v>0</v>
      </c>
      <c r="E140" s="393"/>
      <c r="F140" s="462">
        <v>0</v>
      </c>
      <c r="H140" s="3088"/>
      <c r="I140" s="3088"/>
      <c r="J140" s="3088"/>
      <c r="K140" s="3088"/>
      <c r="L140" s="3088"/>
      <c r="M140" s="3088"/>
      <c r="N140" s="3088"/>
      <c r="O140" s="3088"/>
      <c r="R140" s="3088"/>
      <c r="S140" s="3088"/>
      <c r="T140" s="3088"/>
      <c r="U140" s="3088"/>
      <c r="V140" s="3088"/>
      <c r="W140" s="3088"/>
      <c r="X140" s="3088"/>
      <c r="Y140" s="467"/>
      <c r="Z140" s="3088"/>
      <c r="AA140" s="3088"/>
      <c r="AB140" s="3088"/>
      <c r="AC140" s="3088"/>
      <c r="AD140" s="3088"/>
      <c r="AE140" s="3088"/>
      <c r="AF140" s="3088"/>
      <c r="AG140" s="3088"/>
      <c r="AI140" s="366"/>
      <c r="AJ140" s="366"/>
      <c r="AK140" s="366"/>
      <c r="AL140" s="366"/>
      <c r="AO140" s="367"/>
      <c r="AP140" s="367"/>
      <c r="AQ140" s="340"/>
      <c r="AR140" s="340"/>
      <c r="AS140" s="340"/>
      <c r="AT140" s="340"/>
      <c r="AU140" s="340"/>
      <c r="AV140" s="341"/>
      <c r="AW140" s="341"/>
      <c r="AX140" s="342"/>
      <c r="AY140" s="342"/>
      <c r="AZ140" s="342"/>
      <c r="BA140" s="342"/>
      <c r="BB140" s="342"/>
      <c r="BC140" s="342"/>
      <c r="BD140" s="342"/>
      <c r="BE140" s="342"/>
    </row>
    <row r="141" spans="1:57" ht="14.25" hidden="1" customHeight="1" outlineLevel="1">
      <c r="A141" s="3086"/>
      <c r="B141" s="377" t="s">
        <v>156</v>
      </c>
      <c r="C141" s="450">
        <v>0</v>
      </c>
      <c r="D141" s="450">
        <v>0</v>
      </c>
      <c r="E141" s="393"/>
      <c r="F141" s="462">
        <v>0</v>
      </c>
      <c r="H141" s="3088"/>
      <c r="I141" s="3088"/>
      <c r="J141" s="3088"/>
      <c r="K141" s="3088"/>
      <c r="L141" s="3088"/>
      <c r="M141" s="3088"/>
      <c r="N141" s="3088"/>
      <c r="O141" s="3088"/>
      <c r="R141" s="3088"/>
      <c r="S141" s="3088"/>
      <c r="T141" s="3088"/>
      <c r="U141" s="3088"/>
      <c r="V141" s="3088"/>
      <c r="W141" s="3088"/>
      <c r="X141" s="3088"/>
      <c r="Z141" s="3088"/>
      <c r="AA141" s="3088"/>
      <c r="AB141" s="3088"/>
      <c r="AC141" s="3088"/>
      <c r="AD141" s="3088"/>
      <c r="AE141" s="3088"/>
      <c r="AF141" s="3088"/>
      <c r="AG141" s="3088"/>
      <c r="AI141" s="366"/>
      <c r="AJ141" s="366"/>
      <c r="AK141" s="366"/>
      <c r="AL141" s="366"/>
      <c r="AO141" s="367"/>
      <c r="AP141" s="367"/>
      <c r="AQ141" s="340"/>
      <c r="AR141" s="340"/>
      <c r="AS141" s="340"/>
      <c r="AT141" s="340"/>
      <c r="AU141" s="340"/>
      <c r="AV141" s="341"/>
      <c r="AW141" s="341"/>
      <c r="AX141" s="342"/>
      <c r="AY141" s="342"/>
      <c r="AZ141" s="342"/>
      <c r="BA141" s="342"/>
      <c r="BB141" s="342"/>
      <c r="BC141" s="342"/>
      <c r="BD141" s="342"/>
      <c r="BE141" s="342"/>
    </row>
    <row r="142" spans="1:57" ht="14.25" hidden="1" customHeight="1" outlineLevel="1">
      <c r="A142" s="3086"/>
      <c r="B142" s="377" t="s">
        <v>156</v>
      </c>
      <c r="C142" s="450">
        <v>0</v>
      </c>
      <c r="D142" s="450">
        <v>0</v>
      </c>
      <c r="E142" s="393"/>
      <c r="F142" s="462">
        <v>0</v>
      </c>
      <c r="H142" s="3088"/>
      <c r="I142" s="3088"/>
      <c r="J142" s="3088"/>
      <c r="K142" s="3088"/>
      <c r="L142" s="3088"/>
      <c r="M142" s="3088"/>
      <c r="N142" s="3088"/>
      <c r="O142" s="3088"/>
      <c r="R142" s="3088"/>
      <c r="S142" s="3088"/>
      <c r="T142" s="3088"/>
      <c r="U142" s="3088"/>
      <c r="V142" s="3088"/>
      <c r="W142" s="3088"/>
      <c r="X142" s="3088"/>
      <c r="Z142" s="3088"/>
      <c r="AA142" s="3088"/>
      <c r="AB142" s="3088"/>
      <c r="AC142" s="3088"/>
      <c r="AD142" s="3088"/>
      <c r="AE142" s="3088"/>
      <c r="AF142" s="3088"/>
      <c r="AG142" s="3088"/>
      <c r="AH142" s="366"/>
      <c r="AI142" s="366"/>
      <c r="AJ142" s="366"/>
      <c r="AK142" s="366"/>
      <c r="AL142" s="366"/>
      <c r="AM142" s="366"/>
      <c r="AN142" s="366"/>
      <c r="AO142" s="367"/>
      <c r="AP142" s="367"/>
      <c r="AQ142" s="340"/>
      <c r="AR142" s="340"/>
      <c r="AS142" s="340"/>
      <c r="AT142" s="340"/>
      <c r="AU142" s="340"/>
      <c r="AV142" s="341"/>
      <c r="AW142" s="341"/>
      <c r="AX142" s="342"/>
      <c r="AY142" s="342"/>
      <c r="AZ142" s="342"/>
      <c r="BA142" s="342"/>
      <c r="BB142" s="342"/>
      <c r="BC142" s="342"/>
      <c r="BD142" s="342"/>
      <c r="BE142" s="342"/>
    </row>
    <row r="143" spans="1:57" ht="14.25" hidden="1" customHeight="1" outlineLevel="1">
      <c r="A143" s="3086"/>
      <c r="B143" s="377" t="s">
        <v>156</v>
      </c>
      <c r="C143" s="450">
        <v>0</v>
      </c>
      <c r="D143" s="450">
        <v>0</v>
      </c>
      <c r="E143" s="470"/>
      <c r="F143" s="462">
        <v>0</v>
      </c>
      <c r="AI143" s="366"/>
      <c r="AJ143" s="366"/>
      <c r="AK143" s="366"/>
      <c r="AL143" s="366"/>
      <c r="AM143" s="366"/>
      <c r="AN143" s="381"/>
      <c r="AO143" s="367"/>
      <c r="AP143" s="367"/>
      <c r="AQ143" s="340"/>
      <c r="AR143" s="340"/>
      <c r="AS143" s="340"/>
      <c r="AT143" s="340"/>
      <c r="AU143" s="340"/>
      <c r="AV143" s="341"/>
      <c r="AW143" s="341"/>
      <c r="AX143" s="342"/>
      <c r="AY143" s="342"/>
      <c r="AZ143" s="342"/>
      <c r="BA143" s="342"/>
      <c r="BB143" s="342"/>
      <c r="BC143" s="342"/>
      <c r="BD143" s="342"/>
      <c r="BE143" s="342"/>
    </row>
    <row r="144" spans="1:57" ht="14.25" hidden="1" customHeight="1" outlineLevel="1">
      <c r="A144" s="354"/>
      <c r="B144" s="464"/>
      <c r="C144" s="354"/>
      <c r="D144" s="354"/>
      <c r="E144" s="354"/>
      <c r="F144" s="354"/>
      <c r="G144" s="354"/>
      <c r="H144" s="3089" t="s">
        <v>1881</v>
      </c>
      <c r="I144" s="3089"/>
      <c r="J144" s="3089"/>
      <c r="K144" s="3089"/>
      <c r="L144" s="3089"/>
      <c r="M144" s="3089"/>
      <c r="N144" s="3089"/>
      <c r="O144" s="3089"/>
      <c r="P144" s="3089"/>
      <c r="Q144" s="3089"/>
      <c r="R144" s="3089"/>
      <c r="S144" s="3089"/>
      <c r="T144" s="3089"/>
      <c r="U144" s="3089"/>
      <c r="V144" s="3089"/>
      <c r="W144" s="3089"/>
      <c r="X144" s="3089"/>
      <c r="Y144" s="3089"/>
      <c r="Z144" s="3089"/>
      <c r="AA144" s="3089"/>
      <c r="AB144" s="3089"/>
      <c r="AC144" s="3089"/>
      <c r="AD144" s="3089"/>
      <c r="AE144" s="3089"/>
      <c r="AF144" s="3089"/>
      <c r="AG144" s="3089"/>
      <c r="AH144" s="366"/>
      <c r="AI144" s="366"/>
      <c r="AJ144" s="366"/>
      <c r="AK144" s="366"/>
      <c r="AL144" s="366"/>
      <c r="AM144" s="366"/>
      <c r="AN144" s="366"/>
      <c r="AO144" s="367"/>
      <c r="AP144" s="367"/>
      <c r="AQ144" s="340"/>
      <c r="AR144" s="340"/>
      <c r="AS144" s="340"/>
      <c r="AT144" s="340"/>
      <c r="AU144" s="340"/>
      <c r="AV144" s="341"/>
      <c r="AW144" s="341"/>
      <c r="AX144" s="342"/>
      <c r="AY144" s="342"/>
      <c r="AZ144" s="342"/>
      <c r="BA144" s="342"/>
      <c r="BB144" s="342"/>
      <c r="BC144" s="342"/>
      <c r="BD144" s="342"/>
      <c r="BE144" s="342"/>
    </row>
    <row r="145" spans="1:58" ht="20.25" hidden="1" customHeight="1" outlineLevel="1">
      <c r="A145" s="354"/>
      <c r="B145" s="464"/>
      <c r="C145" s="354"/>
      <c r="D145" s="354"/>
      <c r="E145" s="354"/>
      <c r="F145" s="354"/>
      <c r="G145" s="354"/>
      <c r="H145" s="3089"/>
      <c r="I145" s="3089"/>
      <c r="J145" s="3089"/>
      <c r="K145" s="3089"/>
      <c r="L145" s="3089"/>
      <c r="M145" s="3089"/>
      <c r="N145" s="3089"/>
      <c r="O145" s="3089"/>
      <c r="P145" s="3089"/>
      <c r="Q145" s="3089"/>
      <c r="R145" s="3089"/>
      <c r="S145" s="3089"/>
      <c r="T145" s="3089"/>
      <c r="U145" s="3089"/>
      <c r="V145" s="3089"/>
      <c r="W145" s="3089"/>
      <c r="X145" s="3089"/>
      <c r="Y145" s="3089"/>
      <c r="Z145" s="3089"/>
      <c r="AA145" s="3089"/>
      <c r="AB145" s="3089"/>
      <c r="AC145" s="3089"/>
      <c r="AD145" s="3089"/>
      <c r="AE145" s="3089"/>
      <c r="AF145" s="3089"/>
      <c r="AG145" s="3089"/>
      <c r="AH145" s="366"/>
      <c r="AI145" s="366"/>
      <c r="AJ145" s="366"/>
      <c r="AK145" s="366"/>
      <c r="AL145" s="366"/>
      <c r="AM145" s="366"/>
      <c r="AN145" s="366"/>
      <c r="AO145" s="367"/>
      <c r="AP145" s="367"/>
      <c r="AQ145" s="340"/>
      <c r="AR145" s="340"/>
      <c r="AS145" s="340"/>
      <c r="AT145" s="340"/>
      <c r="AU145" s="340"/>
      <c r="AV145" s="341"/>
      <c r="AW145" s="341"/>
      <c r="AX145" s="342"/>
      <c r="AY145" s="342"/>
      <c r="AZ145" s="342"/>
      <c r="BA145" s="342"/>
      <c r="BB145" s="342"/>
      <c r="BC145" s="342"/>
      <c r="BD145" s="342"/>
      <c r="BE145" s="342"/>
    </row>
    <row r="146" spans="1:58" s="370" customFormat="1" ht="14.25" customHeight="1" collapsed="1">
      <c r="A146" s="3062" t="s">
        <v>1882</v>
      </c>
      <c r="B146" s="3062"/>
      <c r="C146" s="3062"/>
      <c r="D146" s="3062"/>
      <c r="E146" s="3062"/>
      <c r="F146" s="424"/>
      <c r="G146" s="424"/>
      <c r="H146" s="471"/>
      <c r="I146" s="471"/>
      <c r="J146" s="471"/>
      <c r="K146" s="471"/>
      <c r="L146" s="471"/>
      <c r="M146" s="471"/>
      <c r="N146" s="471"/>
      <c r="O146" s="471"/>
      <c r="P146" s="471"/>
      <c r="Q146" s="471"/>
      <c r="R146" s="471"/>
      <c r="S146" s="471"/>
      <c r="T146" s="471"/>
      <c r="U146" s="471"/>
      <c r="V146" s="471"/>
      <c r="W146" s="471"/>
      <c r="X146" s="471"/>
      <c r="Y146" s="471"/>
      <c r="Z146" s="471"/>
      <c r="AA146" s="471"/>
      <c r="AB146" s="471"/>
      <c r="AC146" s="471"/>
      <c r="AD146" s="471"/>
      <c r="AE146" s="471"/>
      <c r="AF146" s="471"/>
      <c r="AG146" s="471"/>
      <c r="AH146" s="366"/>
      <c r="AI146" s="366"/>
      <c r="AJ146" s="366"/>
      <c r="AK146" s="366"/>
      <c r="AL146" s="366"/>
      <c r="AM146" s="366"/>
      <c r="AN146" s="366"/>
      <c r="AO146" s="367"/>
      <c r="AP146" s="367"/>
      <c r="AQ146" s="340"/>
      <c r="AR146" s="340"/>
      <c r="AS146" s="340"/>
      <c r="AT146" s="340"/>
      <c r="AU146" s="340"/>
      <c r="AV146" s="340"/>
      <c r="AW146" s="340"/>
      <c r="AX146" s="426"/>
      <c r="AY146" s="426"/>
      <c r="AZ146" s="426"/>
      <c r="BA146" s="426"/>
      <c r="BB146" s="426"/>
      <c r="BC146" s="426"/>
      <c r="BD146" s="426"/>
      <c r="BE146" s="426"/>
      <c r="BF146" s="428"/>
    </row>
    <row r="147" spans="1:58" ht="14.25" customHeight="1">
      <c r="A147" s="354"/>
      <c r="B147" s="464"/>
      <c r="C147" s="354"/>
      <c r="D147" s="354"/>
      <c r="E147" s="354"/>
      <c r="F147" s="354"/>
      <c r="G147" s="354"/>
      <c r="AG147" s="366"/>
      <c r="AH147" s="366"/>
      <c r="AI147" s="366"/>
      <c r="AJ147" s="366"/>
      <c r="AK147" s="366"/>
      <c r="AL147" s="366"/>
      <c r="AM147" s="366"/>
      <c r="AN147" s="366"/>
      <c r="AO147" s="367"/>
      <c r="AP147" s="367"/>
      <c r="AQ147" s="340"/>
      <c r="AR147" s="340"/>
      <c r="AS147" s="340"/>
      <c r="AT147" s="340"/>
      <c r="AU147" s="340"/>
      <c r="AV147" s="341"/>
      <c r="AW147" s="341"/>
      <c r="AX147" s="342"/>
      <c r="AY147" s="342"/>
      <c r="AZ147" s="342"/>
      <c r="BA147" s="342"/>
      <c r="BB147" s="342"/>
      <c r="BC147" s="342"/>
      <c r="BD147" s="342"/>
      <c r="BE147" s="342"/>
    </row>
    <row r="148" spans="1:58" ht="14.25" hidden="1" customHeight="1" outlineLevel="1">
      <c r="A148" s="3090" t="s">
        <v>1883</v>
      </c>
      <c r="B148" s="3090"/>
      <c r="C148" s="3090"/>
      <c r="D148" s="3090"/>
      <c r="E148" s="3090"/>
      <c r="H148" s="354"/>
      <c r="I148" s="472"/>
      <c r="J148" s="354"/>
      <c r="K148" s="354"/>
      <c r="L148" s="354"/>
      <c r="M148" s="3063" t="s">
        <v>1883</v>
      </c>
      <c r="N148" s="3063"/>
      <c r="O148" s="3063"/>
      <c r="P148" s="3063"/>
      <c r="Q148" s="3063"/>
      <c r="R148" s="3063"/>
      <c r="S148" s="3063"/>
      <c r="T148" s="3063"/>
      <c r="U148" s="3063"/>
      <c r="V148" s="3063"/>
      <c r="W148" s="3063"/>
      <c r="X148" s="3063"/>
      <c r="Y148" s="3063"/>
      <c r="Z148" s="3063"/>
      <c r="AA148" s="3063"/>
      <c r="AB148" s="3063"/>
      <c r="AC148" s="3063"/>
      <c r="AD148" s="3063"/>
      <c r="AE148" s="3063"/>
      <c r="AF148" s="3063"/>
      <c r="AG148" s="366"/>
      <c r="AH148" s="366"/>
      <c r="AI148" s="366"/>
      <c r="AJ148" s="366"/>
      <c r="AK148" s="366"/>
      <c r="AL148" s="366"/>
      <c r="AM148" s="366"/>
      <c r="AN148" s="366"/>
      <c r="AO148" s="367"/>
      <c r="AP148" s="367"/>
      <c r="AQ148" s="340"/>
      <c r="AR148" s="340"/>
      <c r="AS148" s="340"/>
      <c r="AT148" s="340"/>
      <c r="AU148" s="340"/>
      <c r="AV148" s="341"/>
      <c r="AW148" s="341"/>
      <c r="AX148" s="342"/>
      <c r="AY148" s="342"/>
      <c r="AZ148" s="342"/>
      <c r="BA148" s="342"/>
      <c r="BB148" s="342"/>
      <c r="BC148" s="342"/>
      <c r="BD148" s="342"/>
      <c r="BE148" s="342"/>
    </row>
    <row r="149" spans="1:58" ht="14.25" hidden="1" customHeight="1" outlineLevel="1">
      <c r="A149" s="363"/>
      <c r="B149" s="473"/>
      <c r="C149" s="363"/>
      <c r="D149" s="363"/>
      <c r="E149" s="363"/>
      <c r="F149" s="363"/>
      <c r="G149" s="474"/>
      <c r="M149" s="3063"/>
      <c r="N149" s="3063"/>
      <c r="O149" s="3063"/>
      <c r="P149" s="3063"/>
      <c r="Q149" s="3063"/>
      <c r="R149" s="3063"/>
      <c r="S149" s="3063"/>
      <c r="T149" s="3063"/>
      <c r="U149" s="3063"/>
      <c r="V149" s="3063"/>
      <c r="W149" s="3063"/>
      <c r="X149" s="3063"/>
      <c r="Y149" s="3063"/>
      <c r="Z149" s="3063"/>
      <c r="AA149" s="3063"/>
      <c r="AB149" s="3063"/>
      <c r="AC149" s="3063"/>
      <c r="AD149" s="3063"/>
      <c r="AE149" s="3063"/>
      <c r="AF149" s="3063"/>
      <c r="AG149" s="366"/>
      <c r="AH149" s="366"/>
      <c r="AI149" s="366"/>
      <c r="AJ149" s="366"/>
      <c r="AK149" s="366"/>
      <c r="AL149" s="366"/>
      <c r="AM149" s="366"/>
      <c r="AN149" s="366"/>
      <c r="AO149" s="367"/>
      <c r="AP149" s="367"/>
      <c r="AQ149" s="340"/>
      <c r="AR149" s="340"/>
      <c r="AS149" s="340"/>
      <c r="AT149" s="340"/>
      <c r="AU149" s="340"/>
      <c r="AV149" s="341"/>
      <c r="AW149" s="341"/>
      <c r="AX149" s="342"/>
      <c r="AY149" s="342"/>
      <c r="AZ149" s="342"/>
      <c r="BA149" s="342"/>
      <c r="BB149" s="342"/>
      <c r="BC149" s="342"/>
      <c r="BD149" s="342"/>
      <c r="BE149" s="342"/>
    </row>
    <row r="150" spans="1:58" ht="14.25" hidden="1" customHeight="1" outlineLevel="1">
      <c r="A150" s="3062" t="s">
        <v>1884</v>
      </c>
      <c r="B150" s="3062"/>
      <c r="C150" s="3062"/>
      <c r="D150" s="3062"/>
      <c r="E150" s="387">
        <v>1</v>
      </c>
      <c r="F150" s="402"/>
      <c r="G150" s="422"/>
      <c r="AG150" s="366"/>
      <c r="AH150" s="366"/>
      <c r="AI150" s="366"/>
      <c r="AJ150" s="366"/>
      <c r="AK150" s="366"/>
      <c r="AL150" s="366"/>
      <c r="AM150" s="366"/>
      <c r="AN150" s="366"/>
      <c r="AO150" s="367"/>
      <c r="AP150" s="367"/>
      <c r="AQ150" s="340"/>
      <c r="AR150" s="340"/>
      <c r="AS150" s="340"/>
      <c r="AT150" s="340"/>
      <c r="AU150" s="340"/>
      <c r="AV150" s="341"/>
      <c r="AW150" s="341"/>
      <c r="AX150" s="342"/>
      <c r="AY150" s="342"/>
      <c r="AZ150" s="342"/>
      <c r="BA150" s="342"/>
      <c r="BB150" s="342"/>
      <c r="BC150" s="342"/>
      <c r="BD150" s="342"/>
      <c r="BE150" s="342"/>
    </row>
    <row r="151" spans="1:58" ht="14.25" hidden="1" customHeight="1" outlineLevel="1">
      <c r="A151" s="3062" t="s">
        <v>1885</v>
      </c>
      <c r="B151" s="3062"/>
      <c r="C151" s="3062"/>
      <c r="D151" s="3062"/>
      <c r="E151" s="387">
        <v>1</v>
      </c>
      <c r="F151" s="402"/>
      <c r="G151" s="422"/>
      <c r="AG151" s="366"/>
      <c r="AH151" s="366"/>
      <c r="AI151" s="366"/>
      <c r="AJ151" s="366"/>
      <c r="AK151" s="366"/>
      <c r="AL151" s="366"/>
      <c r="AM151" s="366"/>
      <c r="AN151" s="366"/>
      <c r="AO151" s="367"/>
      <c r="AP151" s="367"/>
      <c r="AQ151" s="340"/>
      <c r="AR151" s="340"/>
      <c r="AS151" s="340"/>
      <c r="AT151" s="340"/>
      <c r="AU151" s="340"/>
      <c r="AV151" s="341"/>
      <c r="AW151" s="341"/>
      <c r="AX151" s="342"/>
      <c r="AY151" s="342"/>
      <c r="AZ151" s="342"/>
      <c r="BA151" s="342"/>
      <c r="BB151" s="342"/>
      <c r="BC151" s="342"/>
      <c r="BD151" s="342"/>
      <c r="BE151" s="342"/>
    </row>
    <row r="152" spans="1:58" ht="14.25" hidden="1" customHeight="1" outlineLevel="1">
      <c r="D152" s="475"/>
      <c r="E152" s="475"/>
      <c r="F152" s="475"/>
      <c r="G152" s="422"/>
      <c r="AG152" s="366"/>
      <c r="AH152" s="366"/>
      <c r="AI152" s="366"/>
      <c r="AJ152" s="366"/>
      <c r="AK152" s="366"/>
      <c r="AL152" s="366"/>
      <c r="AM152" s="366"/>
      <c r="AN152" s="366"/>
      <c r="AO152" s="367"/>
      <c r="AP152" s="367"/>
      <c r="AQ152" s="340"/>
      <c r="AR152" s="340"/>
      <c r="AS152" s="340"/>
      <c r="AT152" s="340"/>
      <c r="AU152" s="340"/>
      <c r="AV152" s="341"/>
      <c r="AW152" s="341"/>
      <c r="AX152" s="342"/>
      <c r="AY152" s="342"/>
      <c r="AZ152" s="342"/>
      <c r="BA152" s="342"/>
      <c r="BB152" s="342"/>
      <c r="BC152" s="342"/>
      <c r="BD152" s="342"/>
      <c r="BE152" s="342"/>
    </row>
    <row r="153" spans="1:58" ht="14.25" hidden="1" customHeight="1" outlineLevel="1">
      <c r="A153" s="438" t="s">
        <v>1093</v>
      </c>
      <c r="B153" s="438" t="s">
        <v>208</v>
      </c>
      <c r="C153" s="438" t="s">
        <v>156</v>
      </c>
      <c r="D153" s="365"/>
      <c r="E153" s="365"/>
      <c r="F153" s="365"/>
      <c r="G153" s="422"/>
      <c r="AG153" s="366"/>
      <c r="AH153" s="366"/>
      <c r="AI153" s="366"/>
      <c r="AJ153" s="366"/>
      <c r="AK153" s="366"/>
      <c r="AL153" s="366"/>
      <c r="AM153" s="366"/>
      <c r="AN153" s="366"/>
      <c r="AO153" s="367"/>
      <c r="AP153" s="367"/>
      <c r="AQ153" s="340"/>
      <c r="AR153" s="340"/>
      <c r="AS153" s="340"/>
      <c r="AT153" s="340"/>
      <c r="AU153" s="340"/>
      <c r="AV153" s="341"/>
      <c r="AW153" s="341"/>
      <c r="AX153" s="342"/>
      <c r="AY153" s="342"/>
      <c r="AZ153" s="342"/>
      <c r="BA153" s="342"/>
      <c r="BB153" s="342"/>
      <c r="BC153" s="342"/>
      <c r="BD153" s="342"/>
      <c r="BE153" s="342"/>
    </row>
    <row r="154" spans="1:58" ht="14.25" hidden="1" customHeight="1" outlineLevel="1">
      <c r="A154" s="3091" t="s">
        <v>1886</v>
      </c>
      <c r="B154" s="476" t="s">
        <v>1887</v>
      </c>
      <c r="C154" s="380" t="s">
        <v>1888</v>
      </c>
      <c r="D154" s="460"/>
      <c r="G154" s="422"/>
      <c r="AE154" s="356"/>
      <c r="AF154" s="357"/>
      <c r="AG154" s="357"/>
      <c r="AH154" s="366"/>
      <c r="AI154" s="366"/>
      <c r="AJ154" s="366"/>
      <c r="AK154" s="366"/>
      <c r="AL154" s="366"/>
      <c r="AM154" s="366"/>
      <c r="AN154" s="366"/>
      <c r="AO154" s="367"/>
      <c r="AP154" s="367"/>
      <c r="AQ154" s="340"/>
      <c r="AR154" s="340"/>
      <c r="AS154" s="340"/>
      <c r="AT154" s="340"/>
      <c r="AU154" s="340"/>
      <c r="AV154" s="341"/>
      <c r="AW154" s="341"/>
      <c r="AX154" s="342"/>
      <c r="AY154" s="342"/>
      <c r="AZ154" s="342"/>
      <c r="BA154" s="342"/>
      <c r="BB154" s="342"/>
      <c r="BC154" s="342"/>
      <c r="BD154" s="342"/>
      <c r="BE154" s="342"/>
    </row>
    <row r="155" spans="1:58" ht="14.25" hidden="1" customHeight="1" outlineLevel="1">
      <c r="A155" s="3091"/>
      <c r="B155" s="419" t="s">
        <v>1821</v>
      </c>
      <c r="C155" s="419" t="s">
        <v>1798</v>
      </c>
      <c r="D155" s="460"/>
      <c r="G155" s="422"/>
      <c r="H155" s="357"/>
      <c r="I155" s="357"/>
      <c r="J155" s="357"/>
      <c r="K155" s="356"/>
      <c r="L155" s="356"/>
      <c r="M155" s="474"/>
      <c r="N155" s="474"/>
      <c r="O155" s="474"/>
      <c r="P155" s="474"/>
      <c r="Q155" s="474"/>
      <c r="R155" s="474"/>
      <c r="S155" s="474"/>
      <c r="T155" s="474"/>
      <c r="U155" s="357"/>
      <c r="V155" s="357"/>
      <c r="W155" s="357"/>
      <c r="X155" s="366"/>
      <c r="Y155" s="366"/>
      <c r="Z155" s="389"/>
      <c r="AA155" s="389"/>
      <c r="AB155" s="357"/>
      <c r="AC155" s="357"/>
      <c r="AD155" s="357"/>
      <c r="AE155" s="356"/>
      <c r="AF155" s="356"/>
      <c r="AG155" s="356"/>
      <c r="AH155" s="366"/>
      <c r="AI155" s="366"/>
      <c r="AJ155" s="366"/>
      <c r="AK155" s="366"/>
      <c r="AL155" s="366"/>
      <c r="AM155" s="366"/>
      <c r="AN155" s="366"/>
      <c r="AO155" s="367"/>
      <c r="AP155" s="367"/>
      <c r="AQ155" s="340"/>
      <c r="AR155" s="340"/>
      <c r="AS155" s="340"/>
      <c r="AT155" s="340"/>
      <c r="AU155" s="340"/>
      <c r="AV155" s="341"/>
      <c r="AW155" s="341"/>
      <c r="AX155" s="342"/>
      <c r="AY155" s="342"/>
      <c r="AZ155" s="342"/>
      <c r="BA155" s="342"/>
      <c r="BB155" s="342"/>
      <c r="BC155" s="342"/>
      <c r="BD155" s="342"/>
      <c r="BE155" s="342"/>
    </row>
    <row r="156" spans="1:58" ht="14.25" hidden="1" customHeight="1" outlineLevel="1">
      <c r="A156" s="331" t="s">
        <v>1889</v>
      </c>
      <c r="B156" s="381"/>
      <c r="C156" s="381"/>
      <c r="D156" s="460"/>
      <c r="G156" s="422"/>
      <c r="H156" s="360"/>
      <c r="I156" s="360"/>
      <c r="J156" s="356"/>
      <c r="K156" s="356"/>
      <c r="L156" s="356"/>
      <c r="M156" s="398"/>
      <c r="N156" s="398"/>
      <c r="O156" s="398"/>
      <c r="P156" s="398"/>
      <c r="Q156" s="398"/>
      <c r="R156" s="398"/>
      <c r="S156" s="398"/>
      <c r="T156" s="398"/>
      <c r="U156" s="356"/>
      <c r="V156" s="356"/>
      <c r="W156" s="356"/>
      <c r="X156" s="366"/>
      <c r="Y156" s="366"/>
      <c r="Z156" s="389"/>
      <c r="AA156" s="389"/>
      <c r="AB156" s="356"/>
      <c r="AC156" s="356"/>
      <c r="AD156" s="356"/>
      <c r="AE156" s="360"/>
      <c r="AF156" s="356"/>
      <c r="AG156" s="356"/>
      <c r="AH156" s="366"/>
      <c r="AI156" s="366"/>
      <c r="AJ156" s="366"/>
      <c r="AK156" s="366"/>
      <c r="AL156" s="366"/>
      <c r="AM156" s="366"/>
      <c r="AN156" s="366"/>
      <c r="AO156" s="367"/>
      <c r="AP156" s="367"/>
      <c r="AQ156" s="340"/>
      <c r="AR156" s="340"/>
      <c r="AS156" s="340"/>
      <c r="AT156" s="340"/>
      <c r="AU156" s="340"/>
      <c r="AV156" s="341"/>
      <c r="AW156" s="341"/>
      <c r="AX156" s="342"/>
      <c r="AY156" s="342"/>
      <c r="AZ156" s="342"/>
      <c r="BA156" s="342"/>
      <c r="BB156" s="342"/>
      <c r="BC156" s="342"/>
      <c r="BD156" s="342"/>
      <c r="BE156" s="342"/>
    </row>
    <row r="157" spans="1:58" ht="14.25" hidden="1" customHeight="1" outlineLevel="1">
      <c r="A157" s="477" t="s">
        <v>1890</v>
      </c>
      <c r="D157" s="460"/>
      <c r="G157" s="422"/>
      <c r="H157" s="355"/>
      <c r="I157" s="355"/>
      <c r="J157" s="356"/>
      <c r="K157" s="356"/>
      <c r="L157" s="356"/>
      <c r="M157" s="398"/>
      <c r="N157" s="398"/>
      <c r="O157" s="398"/>
      <c r="P157" s="398"/>
      <c r="Q157" s="398"/>
      <c r="R157" s="398"/>
      <c r="S157" s="398"/>
      <c r="T157" s="398"/>
      <c r="U157" s="356"/>
      <c r="V157" s="356"/>
      <c r="W157" s="356"/>
      <c r="X157" s="356"/>
      <c r="Y157" s="356"/>
      <c r="Z157" s="356"/>
      <c r="AA157" s="356"/>
      <c r="AB157" s="356"/>
      <c r="AC157" s="356"/>
      <c r="AD157" s="356"/>
      <c r="AE157" s="360"/>
      <c r="AF157" s="360"/>
      <c r="AG157" s="360"/>
      <c r="AH157" s="366"/>
      <c r="AI157" s="366"/>
      <c r="AJ157" s="366"/>
      <c r="AK157" s="366"/>
      <c r="AL157" s="366"/>
      <c r="AM157" s="366"/>
      <c r="AN157" s="366"/>
      <c r="AO157" s="367"/>
      <c r="AP157" s="367"/>
      <c r="AQ157" s="340"/>
      <c r="AR157" s="340"/>
      <c r="AS157" s="340"/>
      <c r="AT157" s="340"/>
      <c r="AU157" s="340"/>
      <c r="AV157" s="341"/>
      <c r="AW157" s="341"/>
      <c r="AX157" s="342"/>
      <c r="AY157" s="342"/>
      <c r="AZ157" s="342"/>
      <c r="BA157" s="342"/>
      <c r="BB157" s="342"/>
      <c r="BC157" s="342"/>
      <c r="BD157" s="342"/>
      <c r="BE157" s="342"/>
    </row>
    <row r="158" spans="1:58" ht="14.25" hidden="1" customHeight="1" outlineLevel="1">
      <c r="A158" s="478" t="s">
        <v>1891</v>
      </c>
      <c r="B158" s="479"/>
      <c r="C158" s="480"/>
      <c r="D158" s="355"/>
      <c r="E158" s="355"/>
      <c r="F158" s="355"/>
      <c r="G158" s="422"/>
      <c r="H158" s="356"/>
      <c r="I158" s="356"/>
      <c r="J158" s="360"/>
      <c r="K158" s="356"/>
      <c r="L158" s="356"/>
      <c r="M158" s="398"/>
      <c r="N158" s="481"/>
      <c r="O158" s="481"/>
      <c r="P158" s="481"/>
      <c r="Q158" s="481"/>
      <c r="R158" s="481"/>
      <c r="S158" s="481"/>
      <c r="T158" s="481"/>
      <c r="U158" s="356"/>
      <c r="V158" s="356"/>
      <c r="W158" s="356"/>
      <c r="X158" s="356"/>
      <c r="Y158" s="356"/>
      <c r="Z158" s="356"/>
      <c r="AA158" s="356"/>
      <c r="AB158" s="360"/>
      <c r="AC158" s="360"/>
      <c r="AD158" s="360"/>
      <c r="AE158" s="360"/>
      <c r="AF158" s="482"/>
      <c r="AG158" s="360"/>
      <c r="AH158" s="366"/>
      <c r="AI158" s="366"/>
      <c r="AJ158" s="366"/>
      <c r="AK158" s="366"/>
      <c r="AL158" s="366"/>
      <c r="AM158" s="366"/>
      <c r="AN158" s="366"/>
      <c r="AO158" s="367"/>
      <c r="AP158" s="367"/>
      <c r="AQ158" s="340"/>
      <c r="AR158" s="340"/>
      <c r="AS158" s="340"/>
      <c r="AT158" s="340"/>
      <c r="AU158" s="340"/>
      <c r="AV158" s="341"/>
      <c r="AW158" s="341"/>
      <c r="AX158" s="342"/>
      <c r="AY158" s="342"/>
      <c r="AZ158" s="342"/>
      <c r="BA158" s="342"/>
      <c r="BB158" s="342"/>
      <c r="BC158" s="342"/>
      <c r="BD158" s="342"/>
      <c r="BE158" s="342"/>
    </row>
    <row r="159" spans="1:58" ht="14.25" hidden="1" customHeight="1" outlineLevel="1">
      <c r="A159" s="483" t="s">
        <v>493</v>
      </c>
      <c r="B159" s="479"/>
      <c r="C159" s="480"/>
      <c r="D159" s="460"/>
      <c r="E159" s="460"/>
      <c r="F159" s="460"/>
      <c r="G159" s="422"/>
      <c r="H159" s="356"/>
      <c r="I159" s="356"/>
      <c r="J159" s="360"/>
      <c r="K159" s="356"/>
      <c r="L159" s="356"/>
      <c r="M159" s="398"/>
      <c r="N159" s="481"/>
      <c r="O159" s="481"/>
      <c r="P159" s="481"/>
      <c r="Q159" s="481"/>
      <c r="R159" s="481"/>
      <c r="S159" s="481"/>
      <c r="T159" s="481"/>
      <c r="U159" s="356"/>
      <c r="V159" s="356"/>
      <c r="W159" s="356"/>
      <c r="X159" s="356"/>
      <c r="Y159" s="356"/>
      <c r="Z159" s="356"/>
      <c r="AA159" s="356"/>
      <c r="AB159" s="360"/>
      <c r="AC159" s="360"/>
      <c r="AD159" s="360"/>
      <c r="AE159" s="360"/>
      <c r="AF159" s="356"/>
      <c r="AG159" s="360"/>
      <c r="AH159" s="366"/>
      <c r="AI159" s="366"/>
      <c r="AJ159" s="366"/>
      <c r="AK159" s="366"/>
      <c r="AL159" s="366"/>
      <c r="AM159" s="366"/>
      <c r="AN159" s="366"/>
      <c r="AO159" s="367"/>
      <c r="AP159" s="367"/>
      <c r="AQ159" s="340"/>
      <c r="AR159" s="340"/>
      <c r="AS159" s="340"/>
      <c r="AT159" s="340"/>
      <c r="AU159" s="340"/>
      <c r="AV159" s="341"/>
      <c r="AW159" s="341"/>
      <c r="AX159" s="342"/>
      <c r="AY159" s="342"/>
      <c r="AZ159" s="342"/>
      <c r="BA159" s="342"/>
      <c r="BB159" s="342"/>
      <c r="BC159" s="342"/>
      <c r="BD159" s="342"/>
      <c r="BE159" s="342"/>
    </row>
    <row r="160" spans="1:58" ht="14.25" hidden="1" customHeight="1" outlineLevel="1">
      <c r="A160" s="263" t="s">
        <v>1892</v>
      </c>
      <c r="B160" s="415" t="s">
        <v>156</v>
      </c>
      <c r="C160" s="484">
        <v>0.8</v>
      </c>
      <c r="D160" s="460"/>
      <c r="E160" s="460"/>
      <c r="F160" s="460"/>
      <c r="G160" s="422"/>
      <c r="H160" s="422"/>
      <c r="I160" s="422"/>
      <c r="J160" s="422"/>
      <c r="K160" s="481"/>
      <c r="L160" s="481"/>
      <c r="M160" s="398"/>
      <c r="N160" s="481"/>
      <c r="O160" s="481"/>
      <c r="P160" s="481"/>
      <c r="Q160" s="481"/>
      <c r="R160" s="481"/>
      <c r="S160" s="485"/>
      <c r="T160" s="481"/>
      <c r="U160" s="356"/>
      <c r="V160" s="356"/>
      <c r="W160" s="356"/>
      <c r="X160" s="356"/>
      <c r="Y160" s="356"/>
      <c r="Z160" s="356"/>
      <c r="AA160" s="356"/>
      <c r="AB160" s="360"/>
      <c r="AC160" s="360"/>
      <c r="AD160" s="360"/>
      <c r="AE160" s="360"/>
      <c r="AF160" s="356"/>
      <c r="AG160" s="360"/>
      <c r="AH160" s="366"/>
      <c r="AI160" s="366"/>
      <c r="AJ160" s="366"/>
      <c r="AK160" s="366"/>
      <c r="AL160" s="366"/>
      <c r="AM160" s="366"/>
      <c r="AN160" s="366"/>
      <c r="AO160" s="367"/>
      <c r="AP160" s="367"/>
      <c r="AQ160" s="340"/>
      <c r="AR160" s="340"/>
      <c r="AS160" s="340"/>
      <c r="AT160" s="340"/>
      <c r="AU160" s="340"/>
      <c r="AV160" s="341"/>
      <c r="AW160" s="341"/>
      <c r="AX160" s="342"/>
      <c r="AY160" s="342"/>
      <c r="AZ160" s="342"/>
      <c r="BA160" s="342"/>
      <c r="BB160" s="342"/>
      <c r="BC160" s="342"/>
      <c r="BD160" s="342"/>
      <c r="BE160" s="342"/>
    </row>
    <row r="161" spans="1:57" ht="14.25" hidden="1" customHeight="1" outlineLevel="1">
      <c r="A161" s="263" t="s">
        <v>1893</v>
      </c>
      <c r="B161" s="415" t="s">
        <v>156</v>
      </c>
      <c r="C161" s="484">
        <v>1</v>
      </c>
      <c r="D161" s="460"/>
      <c r="E161" s="422"/>
      <c r="F161" s="3092" t="s">
        <v>1894</v>
      </c>
      <c r="G161" s="422"/>
      <c r="H161" s="422"/>
      <c r="I161" s="422"/>
      <c r="J161" s="422"/>
      <c r="K161" s="481"/>
      <c r="L161" s="481"/>
      <c r="M161" s="398"/>
      <c r="N161" s="481"/>
      <c r="O161" s="481"/>
      <c r="P161" s="481"/>
      <c r="Q161" s="481"/>
      <c r="R161" s="481"/>
      <c r="S161" s="481"/>
      <c r="T161" s="481"/>
      <c r="U161" s="356"/>
      <c r="V161" s="356"/>
      <c r="W161" s="356"/>
      <c r="X161" s="356"/>
      <c r="Y161" s="356"/>
      <c r="Z161" s="356"/>
      <c r="AA161" s="356"/>
      <c r="AB161" s="360"/>
      <c r="AC161" s="360"/>
      <c r="AD161" s="360" t="s">
        <v>1895</v>
      </c>
      <c r="AE161" s="360"/>
      <c r="AF161" s="355"/>
      <c r="AG161" s="355"/>
      <c r="AH161" s="366"/>
      <c r="AI161" s="366"/>
      <c r="AJ161" s="366"/>
      <c r="AK161" s="366"/>
      <c r="AL161" s="366"/>
      <c r="AM161" s="366"/>
      <c r="AN161" s="366"/>
      <c r="AO161" s="367"/>
      <c r="AP161" s="367"/>
      <c r="AQ161" s="340"/>
      <c r="AR161" s="340"/>
      <c r="AS161" s="340"/>
      <c r="AT161" s="340"/>
      <c r="AU161" s="340"/>
      <c r="AV161" s="341"/>
      <c r="AW161" s="341"/>
      <c r="AX161" s="342"/>
      <c r="AY161" s="342"/>
      <c r="AZ161" s="342"/>
      <c r="BA161" s="342"/>
      <c r="BB161" s="342"/>
      <c r="BC161" s="342"/>
      <c r="BD161" s="342"/>
      <c r="BE161" s="342"/>
    </row>
    <row r="162" spans="1:57" ht="14.25" hidden="1" customHeight="1" outlineLevel="1">
      <c r="A162" s="263" t="s">
        <v>1896</v>
      </c>
      <c r="B162" s="415" t="s">
        <v>156</v>
      </c>
      <c r="C162" s="484">
        <v>0.7</v>
      </c>
      <c r="D162" s="460"/>
      <c r="E162" s="422"/>
      <c r="F162" s="3092"/>
      <c r="G162" s="422"/>
      <c r="H162" s="422"/>
      <c r="I162" s="422"/>
      <c r="J162" s="422"/>
      <c r="K162" s="481"/>
      <c r="L162" s="481"/>
      <c r="M162" s="398"/>
      <c r="N162" s="481"/>
      <c r="O162" s="481"/>
      <c r="P162" s="481"/>
      <c r="Q162" s="481"/>
      <c r="R162" s="481"/>
      <c r="S162" s="481"/>
      <c r="T162" s="481"/>
      <c r="U162" s="356"/>
      <c r="V162" s="356"/>
      <c r="W162" s="356"/>
      <c r="X162" s="356"/>
      <c r="Y162" s="356"/>
      <c r="Z162" s="356"/>
      <c r="AA162" s="356"/>
      <c r="AB162" s="360"/>
      <c r="AC162" s="360"/>
      <c r="AD162" s="356"/>
      <c r="AE162" s="364"/>
      <c r="AF162" s="356"/>
      <c r="AG162" s="356"/>
      <c r="AH162" s="366"/>
      <c r="AI162" s="366"/>
      <c r="AJ162" s="366"/>
      <c r="AK162" s="366"/>
      <c r="AL162" s="366"/>
      <c r="AM162" s="366"/>
      <c r="AN162" s="366"/>
      <c r="AO162" s="367"/>
      <c r="AP162" s="367"/>
      <c r="AQ162" s="340"/>
      <c r="AR162" s="340"/>
      <c r="AS162" s="340"/>
      <c r="AT162" s="340"/>
      <c r="AU162" s="340"/>
      <c r="AV162" s="341"/>
      <c r="AW162" s="341"/>
      <c r="AX162" s="342"/>
      <c r="AY162" s="342"/>
      <c r="AZ162" s="342"/>
      <c r="BA162" s="342"/>
      <c r="BB162" s="342"/>
      <c r="BC162" s="342"/>
      <c r="BD162" s="342"/>
      <c r="BE162" s="342"/>
    </row>
    <row r="163" spans="1:57" ht="14.25" hidden="1" customHeight="1" outlineLevel="1">
      <c r="A163" s="263" t="s">
        <v>1897</v>
      </c>
      <c r="B163" s="415" t="s">
        <v>156</v>
      </c>
      <c r="C163" s="484">
        <v>1</v>
      </c>
      <c r="D163" s="460"/>
      <c r="E163" s="422"/>
      <c r="F163" s="3092"/>
      <c r="G163" s="356"/>
      <c r="H163" s="422"/>
      <c r="I163" s="422"/>
      <c r="J163" s="422"/>
      <c r="K163" s="481"/>
      <c r="L163" s="481"/>
      <c r="M163" s="398"/>
      <c r="N163" s="481"/>
      <c r="O163" s="481"/>
      <c r="P163" s="481"/>
      <c r="Q163" s="481"/>
      <c r="R163" s="481"/>
      <c r="S163" s="481"/>
      <c r="T163" s="481"/>
      <c r="U163" s="356"/>
      <c r="V163" s="356"/>
      <c r="W163" s="356"/>
      <c r="X163" s="356"/>
      <c r="Y163" s="356"/>
      <c r="Z163" s="356"/>
      <c r="AA163" s="356"/>
      <c r="AB163" s="360"/>
      <c r="AC163" s="360"/>
      <c r="AD163" s="360"/>
      <c r="AE163" s="364"/>
      <c r="AF163" s="356"/>
      <c r="AG163" s="356"/>
      <c r="AH163" s="366"/>
      <c r="AI163" s="366"/>
      <c r="AJ163" s="366"/>
      <c r="AK163" s="366"/>
      <c r="AL163" s="366"/>
      <c r="AM163" s="366"/>
      <c r="AN163" s="366"/>
      <c r="AO163" s="367"/>
      <c r="AP163" s="367"/>
      <c r="AQ163" s="340"/>
      <c r="AR163" s="340"/>
      <c r="AS163" s="340"/>
      <c r="AT163" s="340"/>
      <c r="AU163" s="340"/>
      <c r="AV163" s="341"/>
      <c r="AW163" s="341"/>
      <c r="AX163" s="342"/>
      <c r="AY163" s="342"/>
      <c r="AZ163" s="342"/>
      <c r="BA163" s="342"/>
      <c r="BB163" s="342"/>
      <c r="BC163" s="342"/>
      <c r="BD163" s="342"/>
      <c r="BE163" s="342"/>
    </row>
    <row r="164" spans="1:57" ht="14.25" hidden="1" customHeight="1" outlineLevel="1">
      <c r="D164" s="460"/>
      <c r="E164" s="422"/>
      <c r="F164" s="3092"/>
      <c r="G164" s="356"/>
      <c r="H164" s="422"/>
      <c r="I164" s="422"/>
      <c r="J164" s="422"/>
      <c r="K164" s="481"/>
      <c r="L164" s="481"/>
      <c r="M164" s="398"/>
      <c r="N164" s="481"/>
      <c r="O164" s="481"/>
      <c r="P164" s="481"/>
      <c r="Q164" s="481"/>
      <c r="R164" s="481"/>
      <c r="S164" s="481"/>
      <c r="T164" s="481"/>
      <c r="U164" s="356"/>
      <c r="V164" s="356"/>
      <c r="W164" s="356"/>
      <c r="X164" s="356"/>
      <c r="Y164" s="356"/>
      <c r="Z164" s="356"/>
      <c r="AA164" s="356"/>
      <c r="AB164" s="360"/>
      <c r="AC164" s="360"/>
      <c r="AD164" s="360"/>
      <c r="AE164" s="364"/>
      <c r="AF164" s="360"/>
      <c r="AG164" s="360"/>
      <c r="AH164" s="366"/>
      <c r="AI164" s="366"/>
      <c r="AJ164" s="366"/>
      <c r="AK164" s="366"/>
      <c r="AL164" s="366"/>
      <c r="AM164" s="366"/>
      <c r="AN164" s="366"/>
      <c r="AO164" s="367"/>
      <c r="AP164" s="367"/>
      <c r="AQ164" s="340"/>
      <c r="AR164" s="340"/>
      <c r="AS164" s="340"/>
      <c r="AT164" s="340"/>
      <c r="AU164" s="340"/>
      <c r="AV164" s="341"/>
      <c r="AW164" s="341"/>
      <c r="AX164" s="342"/>
      <c r="AY164" s="342"/>
      <c r="AZ164" s="342"/>
      <c r="BA164" s="342"/>
      <c r="BB164" s="342"/>
      <c r="BC164" s="342"/>
      <c r="BD164" s="342"/>
      <c r="BE164" s="342"/>
    </row>
    <row r="165" spans="1:57" ht="14.25" hidden="1" customHeight="1" outlineLevel="1">
      <c r="A165" s="3093" t="s">
        <v>1898</v>
      </c>
      <c r="B165" s="413" t="s">
        <v>208</v>
      </c>
      <c r="C165" s="413" t="s">
        <v>853</v>
      </c>
      <c r="D165" s="438" t="s">
        <v>1800</v>
      </c>
      <c r="E165" s="422"/>
      <c r="F165" s="422"/>
      <c r="G165" s="356"/>
      <c r="H165" s="422"/>
      <c r="I165" s="422"/>
      <c r="J165" s="422"/>
      <c r="K165" s="481"/>
      <c r="L165" s="481"/>
      <c r="M165" s="398"/>
      <c r="N165" s="481"/>
      <c r="O165" s="481"/>
      <c r="P165" s="481"/>
      <c r="Q165" s="481"/>
      <c r="R165" s="481"/>
      <c r="S165" s="481"/>
      <c r="T165" s="481"/>
      <c r="U165" s="356"/>
      <c r="V165" s="356"/>
      <c r="W165" s="356"/>
      <c r="X165" s="356"/>
      <c r="Y165" s="356"/>
      <c r="Z165" s="356"/>
      <c r="AA165" s="356"/>
      <c r="AB165" s="360"/>
      <c r="AC165" s="360"/>
      <c r="AD165" s="360"/>
      <c r="AE165" s="356"/>
      <c r="AF165" s="355"/>
      <c r="AG165" s="355"/>
      <c r="AH165" s="366"/>
      <c r="AI165" s="366"/>
      <c r="AJ165" s="366"/>
      <c r="AK165" s="366"/>
      <c r="AL165" s="366"/>
      <c r="AM165" s="366"/>
      <c r="AN165" s="366"/>
      <c r="AO165" s="367"/>
      <c r="AP165" s="367"/>
      <c r="AQ165" s="340"/>
      <c r="AR165" s="340"/>
      <c r="AS165" s="340"/>
      <c r="AT165" s="340"/>
      <c r="AU165" s="340"/>
      <c r="AV165" s="341"/>
      <c r="AW165" s="341"/>
      <c r="AX165" s="342"/>
      <c r="AY165" s="342"/>
      <c r="AZ165" s="342"/>
      <c r="BA165" s="342"/>
      <c r="BB165" s="342"/>
      <c r="BC165" s="342"/>
      <c r="BD165" s="342"/>
      <c r="BE165" s="342"/>
    </row>
    <row r="166" spans="1:57" ht="14.25" hidden="1" customHeight="1" outlineLevel="1">
      <c r="A166" s="3093"/>
      <c r="B166" s="413" t="s">
        <v>156</v>
      </c>
      <c r="C166" s="380">
        <v>3</v>
      </c>
      <c r="D166" s="486">
        <v>2</v>
      </c>
      <c r="E166" s="422"/>
      <c r="F166" s="422"/>
      <c r="G166" s="474"/>
      <c r="H166" s="422" t="s">
        <v>1899</v>
      </c>
      <c r="I166" s="422"/>
      <c r="J166" s="422"/>
      <c r="K166" s="481"/>
      <c r="L166" s="481"/>
      <c r="M166" s="398"/>
      <c r="N166" s="481"/>
      <c r="O166" s="481"/>
      <c r="P166" s="481"/>
      <c r="Q166" s="481"/>
      <c r="R166" s="481"/>
      <c r="S166" s="481"/>
      <c r="T166" s="481"/>
      <c r="U166" s="356"/>
      <c r="V166" s="356"/>
      <c r="W166" s="356"/>
      <c r="X166" s="356"/>
      <c r="Y166" s="356"/>
      <c r="Z166" s="356"/>
      <c r="AA166" s="356"/>
      <c r="AB166" s="360"/>
      <c r="AC166" s="360"/>
      <c r="AD166" s="360"/>
      <c r="AE166" s="357"/>
      <c r="AF166" s="356"/>
      <c r="AG166" s="356"/>
      <c r="AH166" s="366"/>
      <c r="AI166" s="366"/>
      <c r="AJ166" s="366"/>
      <c r="AK166" s="366"/>
      <c r="AL166" s="366"/>
      <c r="AM166" s="366"/>
      <c r="AN166" s="366"/>
      <c r="AO166" s="367"/>
      <c r="AP166" s="367"/>
      <c r="AQ166" s="340"/>
      <c r="AR166" s="340"/>
      <c r="AS166" s="340"/>
      <c r="AT166" s="340"/>
      <c r="AU166" s="340"/>
      <c r="AV166" s="341"/>
      <c r="AW166" s="341"/>
      <c r="AX166" s="342"/>
      <c r="AY166" s="342"/>
      <c r="AZ166" s="342"/>
      <c r="BA166" s="342"/>
      <c r="BB166" s="342"/>
      <c r="BC166" s="342"/>
      <c r="BD166" s="342"/>
      <c r="BE166" s="342"/>
    </row>
    <row r="167" spans="1:57" ht="14.25" hidden="1" customHeight="1" outlineLevel="1">
      <c r="A167" s="3093" t="s">
        <v>1900</v>
      </c>
      <c r="B167" s="413" t="s">
        <v>208</v>
      </c>
      <c r="C167" s="413" t="s">
        <v>853</v>
      </c>
      <c r="D167" s="438" t="s">
        <v>1800</v>
      </c>
      <c r="E167" s="422"/>
      <c r="F167" s="422"/>
      <c r="G167" s="422"/>
      <c r="H167" s="422"/>
      <c r="I167" s="422"/>
      <c r="J167" s="422"/>
      <c r="K167" s="481"/>
      <c r="L167" s="481"/>
      <c r="M167" s="398"/>
      <c r="N167" s="481"/>
      <c r="O167" s="481"/>
      <c r="P167" s="481"/>
      <c r="Q167" s="481"/>
      <c r="R167" s="481"/>
      <c r="S167" s="481"/>
      <c r="T167" s="481"/>
      <c r="U167" s="356"/>
      <c r="V167" s="356"/>
      <c r="W167" s="356"/>
      <c r="X167" s="356"/>
      <c r="Y167" s="356"/>
      <c r="Z167" s="356"/>
      <c r="AA167" s="356"/>
      <c r="AB167" s="360"/>
      <c r="AC167" s="360"/>
      <c r="AD167" s="360"/>
      <c r="AE167" s="356"/>
      <c r="AF167" s="356"/>
      <c r="AG167" s="356"/>
      <c r="AH167" s="366"/>
      <c r="AI167" s="366"/>
      <c r="AJ167" s="366"/>
      <c r="AK167" s="366"/>
      <c r="AL167" s="366"/>
      <c r="AM167" s="366"/>
      <c r="AN167" s="366"/>
      <c r="AO167" s="367"/>
      <c r="AP167" s="367"/>
      <c r="AQ167" s="340"/>
      <c r="AR167" s="340"/>
      <c r="AS167" s="340"/>
      <c r="AT167" s="340"/>
      <c r="AU167" s="340"/>
      <c r="AV167" s="341"/>
      <c r="AW167" s="341"/>
      <c r="AX167" s="342"/>
      <c r="AY167" s="342"/>
      <c r="AZ167" s="342"/>
      <c r="BA167" s="342"/>
      <c r="BB167" s="342"/>
      <c r="BC167" s="342"/>
      <c r="BD167" s="342"/>
      <c r="BE167" s="342"/>
    </row>
    <row r="168" spans="1:57" ht="14.25" hidden="1" customHeight="1" outlineLevel="1">
      <c r="A168" s="3093"/>
      <c r="B168" s="413" t="s">
        <v>156</v>
      </c>
      <c r="C168" s="380"/>
      <c r="D168" s="486"/>
      <c r="G168" s="422"/>
      <c r="H168" s="422"/>
      <c r="I168" s="422"/>
      <c r="J168" s="422"/>
      <c r="K168" s="481"/>
      <c r="L168" s="481"/>
      <c r="M168" s="398"/>
      <c r="N168" s="481"/>
      <c r="O168" s="481"/>
      <c r="P168" s="481"/>
      <c r="Q168" s="481"/>
      <c r="R168" s="481"/>
      <c r="S168" s="481"/>
      <c r="T168" s="481"/>
      <c r="U168" s="356"/>
      <c r="V168" s="356"/>
      <c r="W168" s="356"/>
      <c r="X168" s="356"/>
      <c r="Y168" s="356"/>
      <c r="Z168" s="356"/>
      <c r="AA168" s="356"/>
      <c r="AB168" s="360"/>
      <c r="AC168" s="360"/>
      <c r="AD168" s="360"/>
      <c r="AE168" s="356"/>
      <c r="AF168" s="364"/>
      <c r="AG168" s="360"/>
      <c r="AH168" s="366"/>
      <c r="AI168" s="366"/>
      <c r="AJ168" s="366"/>
      <c r="AK168" s="366"/>
      <c r="AL168" s="366"/>
      <c r="AM168" s="366"/>
      <c r="AN168" s="366"/>
      <c r="AO168" s="367"/>
      <c r="AP168" s="367"/>
      <c r="AQ168" s="340"/>
      <c r="AR168" s="340"/>
      <c r="AS168" s="340"/>
      <c r="AT168" s="340"/>
      <c r="AU168" s="340"/>
      <c r="AV168" s="341"/>
      <c r="AW168" s="341"/>
      <c r="AX168" s="342"/>
      <c r="AY168" s="342"/>
      <c r="AZ168" s="342"/>
      <c r="BA168" s="342"/>
      <c r="BB168" s="342"/>
      <c r="BC168" s="342"/>
      <c r="BD168" s="342"/>
      <c r="BE168" s="342"/>
    </row>
    <row r="169" spans="1:57" ht="14.25" hidden="1" customHeight="1" outlineLevel="1">
      <c r="A169" s="487" t="s">
        <v>1901</v>
      </c>
      <c r="B169" s="413" t="s">
        <v>208</v>
      </c>
      <c r="C169" s="413" t="s">
        <v>853</v>
      </c>
      <c r="D169" s="438" t="s">
        <v>1902</v>
      </c>
      <c r="G169" s="422"/>
      <c r="H169" s="356"/>
      <c r="I169" s="481"/>
      <c r="J169" s="481" t="s">
        <v>1903</v>
      </c>
      <c r="K169" s="481"/>
      <c r="L169" s="481"/>
      <c r="M169" s="481"/>
      <c r="N169" s="481"/>
      <c r="O169" s="481"/>
      <c r="P169" s="481"/>
      <c r="Q169" s="481"/>
      <c r="R169" s="481"/>
      <c r="S169" s="481"/>
      <c r="U169" s="356"/>
      <c r="V169" s="356"/>
      <c r="W169" s="356" t="s">
        <v>1904</v>
      </c>
      <c r="X169" s="356"/>
      <c r="Y169" s="356"/>
      <c r="Z169" s="366"/>
      <c r="AA169" s="356"/>
      <c r="AB169" s="360"/>
      <c r="AC169" s="360"/>
      <c r="AD169" s="360"/>
      <c r="AE169" s="360"/>
      <c r="AF169" s="355"/>
      <c r="AG169" s="355"/>
      <c r="AH169" s="366"/>
      <c r="AI169" s="366"/>
      <c r="AJ169" s="366"/>
      <c r="AK169" s="366"/>
      <c r="AL169" s="366"/>
      <c r="AM169" s="366"/>
      <c r="AN169" s="366"/>
      <c r="AO169" s="367"/>
      <c r="AP169" s="367"/>
      <c r="AQ169" s="340"/>
      <c r="AR169" s="340"/>
      <c r="AS169" s="340"/>
      <c r="AT169" s="340"/>
      <c r="AU169" s="340"/>
      <c r="AV169" s="341"/>
      <c r="AW169" s="341"/>
      <c r="AX169" s="342"/>
      <c r="AY169" s="342"/>
      <c r="AZ169" s="342"/>
      <c r="BA169" s="342"/>
      <c r="BB169" s="342"/>
      <c r="BC169" s="342"/>
      <c r="BD169" s="342"/>
      <c r="BE169" s="342"/>
    </row>
    <row r="170" spans="1:57" ht="14.25" hidden="1" customHeight="1" outlineLevel="1">
      <c r="A170" s="483" t="s">
        <v>294</v>
      </c>
      <c r="B170" s="413" t="s">
        <v>156</v>
      </c>
      <c r="C170" s="380"/>
      <c r="D170" s="488"/>
      <c r="G170" s="422"/>
      <c r="H170" s="356"/>
      <c r="I170" s="481"/>
      <c r="J170" s="422"/>
      <c r="K170" s="481"/>
      <c r="L170" s="481"/>
      <c r="O170" s="481"/>
      <c r="P170" s="481"/>
      <c r="Q170" s="481"/>
      <c r="R170" s="481"/>
      <c r="S170" s="354"/>
      <c r="T170" s="481" t="s">
        <v>1905</v>
      </c>
      <c r="U170" s="356"/>
      <c r="V170" s="356"/>
      <c r="W170" s="356"/>
      <c r="X170" s="356" t="s">
        <v>1906</v>
      </c>
      <c r="Y170" s="356"/>
      <c r="Z170" s="356"/>
      <c r="AA170" s="356"/>
      <c r="AB170" s="360"/>
      <c r="AC170" s="360"/>
      <c r="AD170" s="360"/>
      <c r="AE170" s="482"/>
      <c r="AF170" s="356"/>
      <c r="AG170" s="356"/>
      <c r="AH170" s="366"/>
      <c r="AI170" s="366"/>
      <c r="AJ170" s="366"/>
      <c r="AK170" s="366"/>
      <c r="AL170" s="366"/>
      <c r="AM170" s="366"/>
      <c r="AN170" s="366"/>
      <c r="AO170" s="367"/>
      <c r="AP170" s="367"/>
      <c r="AQ170" s="340"/>
      <c r="AR170" s="340"/>
      <c r="AS170" s="340"/>
      <c r="AT170" s="340"/>
      <c r="AU170" s="340"/>
      <c r="AV170" s="341"/>
      <c r="AW170" s="341"/>
      <c r="AX170" s="342"/>
      <c r="AY170" s="342"/>
      <c r="AZ170" s="342"/>
      <c r="BA170" s="342"/>
      <c r="BB170" s="342"/>
      <c r="BC170" s="342"/>
      <c r="BD170" s="342"/>
      <c r="BE170" s="342"/>
    </row>
    <row r="171" spans="1:57" ht="14.25" hidden="1" customHeight="1" outlineLevel="1">
      <c r="A171" s="331" t="s">
        <v>1907</v>
      </c>
      <c r="D171" s="460"/>
      <c r="G171" s="422"/>
      <c r="H171" s="356"/>
      <c r="I171" s="481"/>
      <c r="J171" s="422"/>
      <c r="K171" s="481"/>
      <c r="L171" s="481"/>
      <c r="O171" s="481"/>
      <c r="P171" s="481"/>
      <c r="Q171" s="481"/>
      <c r="R171" s="481"/>
      <c r="S171" s="354"/>
      <c r="T171" s="354"/>
      <c r="U171" s="356"/>
      <c r="V171" s="356"/>
      <c r="W171" s="356"/>
      <c r="X171" s="356"/>
      <c r="Y171" s="356"/>
      <c r="Z171" s="356"/>
      <c r="AA171" s="356"/>
      <c r="AB171" s="356"/>
      <c r="AC171" s="356"/>
      <c r="AD171" s="356"/>
      <c r="AE171" s="356"/>
      <c r="AF171" s="356"/>
      <c r="AG171" s="356"/>
      <c r="AH171" s="366"/>
      <c r="AI171" s="366"/>
      <c r="AJ171" s="366"/>
      <c r="AK171" s="366"/>
      <c r="AL171" s="366"/>
      <c r="AM171" s="366"/>
      <c r="AN171" s="366"/>
      <c r="AO171" s="367"/>
      <c r="AP171" s="367"/>
      <c r="AQ171" s="340"/>
      <c r="AR171" s="340"/>
      <c r="AS171" s="340"/>
      <c r="AT171" s="340"/>
      <c r="AU171" s="340"/>
      <c r="AV171" s="341"/>
      <c r="AW171" s="341"/>
      <c r="AX171" s="342"/>
      <c r="AY171" s="342"/>
      <c r="AZ171" s="342"/>
      <c r="BA171" s="342"/>
      <c r="BB171" s="342"/>
      <c r="BC171" s="342"/>
      <c r="BD171" s="342"/>
      <c r="BE171" s="342"/>
    </row>
    <row r="172" spans="1:57" ht="14.25" hidden="1" customHeight="1" outlineLevel="1">
      <c r="A172" s="489" t="s">
        <v>1908</v>
      </c>
      <c r="B172" s="490"/>
      <c r="C172" s="480"/>
      <c r="D172" s="460"/>
      <c r="E172" s="481"/>
      <c r="F172" s="481"/>
      <c r="G172" s="422"/>
      <c r="H172" s="357"/>
      <c r="I172" s="357"/>
      <c r="J172" s="357"/>
      <c r="K172" s="356"/>
      <c r="L172" s="356"/>
      <c r="M172" s="474"/>
      <c r="N172" s="474"/>
      <c r="O172" s="474"/>
      <c r="P172" s="474"/>
      <c r="Q172" s="474"/>
      <c r="R172" s="474"/>
      <c r="S172" s="474"/>
      <c r="T172" s="474"/>
      <c r="U172" s="357"/>
      <c r="V172" s="357"/>
      <c r="W172" s="357"/>
      <c r="X172" s="366"/>
      <c r="Y172" s="366"/>
      <c r="Z172" s="389"/>
      <c r="AA172" s="389"/>
      <c r="AB172" s="357"/>
      <c r="AC172" s="357"/>
      <c r="AD172" s="357"/>
      <c r="AE172" s="356"/>
      <c r="AF172" s="364"/>
      <c r="AG172" s="364"/>
      <c r="AH172" s="366"/>
      <c r="AI172" s="366"/>
      <c r="AJ172" s="366"/>
      <c r="AK172" s="366"/>
      <c r="AL172" s="366"/>
      <c r="AM172" s="366"/>
      <c r="AN172" s="366"/>
      <c r="AO172" s="367"/>
      <c r="AP172" s="367"/>
      <c r="AQ172" s="340"/>
      <c r="AR172" s="340"/>
      <c r="AS172" s="340"/>
      <c r="AT172" s="340"/>
      <c r="AU172" s="340"/>
      <c r="AV172" s="341"/>
      <c r="AW172" s="341"/>
      <c r="AX172" s="342"/>
      <c r="AY172" s="342"/>
      <c r="AZ172" s="342"/>
      <c r="BA172" s="342"/>
      <c r="BB172" s="342"/>
      <c r="BC172" s="342"/>
      <c r="BD172" s="342"/>
      <c r="BE172" s="342"/>
    </row>
    <row r="173" spans="1:57" ht="14.25" hidden="1" customHeight="1" outlineLevel="1">
      <c r="A173" s="331" t="s">
        <v>1909</v>
      </c>
      <c r="D173" s="460"/>
      <c r="E173" s="481"/>
      <c r="F173" s="481"/>
      <c r="G173" s="422"/>
      <c r="H173" s="360"/>
      <c r="I173" s="360"/>
      <c r="J173" s="356"/>
      <c r="K173" s="356"/>
      <c r="L173" s="356"/>
      <c r="M173" s="398"/>
      <c r="N173" s="398"/>
      <c r="O173" s="398"/>
      <c r="P173" s="398"/>
      <c r="Q173" s="398"/>
      <c r="R173" s="398"/>
      <c r="S173" s="398"/>
      <c r="T173" s="398"/>
      <c r="U173" s="356"/>
      <c r="V173" s="356"/>
      <c r="W173" s="356"/>
      <c r="X173" s="366"/>
      <c r="Y173" s="366"/>
      <c r="Z173" s="389"/>
      <c r="AA173" s="389"/>
      <c r="AB173" s="356"/>
      <c r="AC173" s="356"/>
      <c r="AD173" s="356"/>
      <c r="AE173" s="360"/>
      <c r="AF173" s="355"/>
      <c r="AG173" s="355"/>
      <c r="AH173" s="366"/>
      <c r="AI173" s="366"/>
      <c r="AJ173" s="366"/>
      <c r="AK173" s="366"/>
      <c r="AL173" s="366"/>
      <c r="AM173" s="366"/>
      <c r="AN173" s="366"/>
      <c r="AO173" s="367"/>
      <c r="AP173" s="367"/>
      <c r="AQ173" s="340"/>
      <c r="AR173" s="340"/>
      <c r="AS173" s="340"/>
      <c r="AT173" s="340"/>
      <c r="AU173" s="340"/>
      <c r="AV173" s="341"/>
      <c r="AW173" s="341"/>
      <c r="AX173" s="342"/>
      <c r="AY173" s="342"/>
      <c r="AZ173" s="342"/>
      <c r="BA173" s="342"/>
      <c r="BB173" s="342"/>
      <c r="BC173" s="342"/>
      <c r="BD173" s="342"/>
      <c r="BE173" s="342"/>
    </row>
    <row r="174" spans="1:57" ht="14.25" hidden="1" customHeight="1" outlineLevel="1">
      <c r="A174" s="491" t="s">
        <v>270</v>
      </c>
      <c r="D174" s="460"/>
      <c r="E174" s="481"/>
      <c r="F174" s="481"/>
      <c r="G174" s="422"/>
      <c r="H174" s="355"/>
      <c r="I174" s="355"/>
      <c r="J174" s="356"/>
      <c r="K174" s="356"/>
      <c r="L174" s="356"/>
      <c r="M174" s="398"/>
      <c r="N174" s="398"/>
      <c r="O174" s="398"/>
      <c r="P174" s="398"/>
      <c r="Q174" s="398"/>
      <c r="R174" s="398"/>
      <c r="S174" s="398"/>
      <c r="T174" s="398"/>
      <c r="U174" s="356"/>
      <c r="V174" s="356"/>
      <c r="W174" s="356"/>
      <c r="X174" s="356"/>
      <c r="Y174" s="356"/>
      <c r="Z174" s="356"/>
      <c r="AA174" s="356"/>
      <c r="AB174" s="356"/>
      <c r="AC174" s="356"/>
      <c r="AD174" s="356"/>
      <c r="AE174" s="360"/>
      <c r="AF174" s="356"/>
      <c r="AG174" s="356"/>
      <c r="AH174" s="366"/>
      <c r="AI174" s="366"/>
      <c r="AJ174" s="366"/>
      <c r="AK174" s="366"/>
      <c r="AL174" s="366"/>
      <c r="AM174" s="366"/>
      <c r="AN174" s="366"/>
      <c r="AO174" s="367"/>
      <c r="AP174" s="367"/>
      <c r="AQ174" s="340"/>
      <c r="AR174" s="340"/>
      <c r="AS174" s="340"/>
      <c r="AT174" s="340"/>
      <c r="AU174" s="340"/>
      <c r="AV174" s="341"/>
      <c r="AW174" s="341"/>
      <c r="AX174" s="342"/>
      <c r="AY174" s="342"/>
      <c r="AZ174" s="342"/>
      <c r="BA174" s="342"/>
      <c r="BB174" s="342"/>
      <c r="BC174" s="342"/>
      <c r="BD174" s="342"/>
      <c r="BE174" s="342"/>
    </row>
    <row r="175" spans="1:57" ht="14.25" hidden="1" customHeight="1" outlineLevel="1">
      <c r="A175" s="331" t="s">
        <v>1910</v>
      </c>
      <c r="D175" s="460"/>
      <c r="E175" s="481"/>
      <c r="F175" s="481"/>
      <c r="G175" s="422"/>
      <c r="H175" s="356"/>
      <c r="I175" s="356"/>
      <c r="J175" s="360"/>
      <c r="K175" s="356"/>
      <c r="L175" s="356"/>
      <c r="M175" s="398"/>
      <c r="N175" s="481"/>
      <c r="O175" s="481"/>
      <c r="P175" s="481"/>
      <c r="Q175" s="481"/>
      <c r="R175" s="481"/>
      <c r="S175" s="481"/>
      <c r="T175" s="481"/>
      <c r="U175" s="356"/>
      <c r="V175" s="356"/>
      <c r="W175" s="356"/>
      <c r="X175" s="356"/>
      <c r="Y175" s="356"/>
      <c r="Z175" s="356"/>
      <c r="AA175" s="356"/>
      <c r="AB175" s="360"/>
      <c r="AC175" s="360"/>
      <c r="AD175" s="360"/>
      <c r="AE175" s="360"/>
      <c r="AF175" s="356"/>
      <c r="AG175" s="356"/>
      <c r="AH175" s="366"/>
      <c r="AI175" s="366"/>
      <c r="AJ175" s="366"/>
      <c r="AK175" s="366"/>
      <c r="AL175" s="366"/>
      <c r="AM175" s="366"/>
      <c r="AN175" s="366"/>
      <c r="AO175" s="367"/>
      <c r="AP175" s="367"/>
      <c r="AQ175" s="340"/>
      <c r="AR175" s="340"/>
      <c r="AS175" s="340"/>
      <c r="AT175" s="340"/>
      <c r="AU175" s="340"/>
      <c r="AV175" s="341"/>
      <c r="AW175" s="341"/>
      <c r="AX175" s="342"/>
      <c r="AY175" s="342"/>
      <c r="AZ175" s="342"/>
      <c r="BA175" s="342"/>
      <c r="BB175" s="342"/>
      <c r="BC175" s="342"/>
      <c r="BD175" s="342"/>
      <c r="BE175" s="342"/>
    </row>
    <row r="176" spans="1:57" ht="14.25" hidden="1" customHeight="1" outlineLevel="1">
      <c r="A176" s="491" t="s">
        <v>271</v>
      </c>
      <c r="D176" s="460"/>
      <c r="E176" s="480"/>
      <c r="F176" s="480"/>
      <c r="G176" s="422"/>
      <c r="H176" s="356"/>
      <c r="I176" s="356"/>
      <c r="J176" s="360"/>
      <c r="K176" s="356"/>
      <c r="L176" s="356"/>
      <c r="M176" s="398"/>
      <c r="N176" s="481"/>
      <c r="O176" s="481"/>
      <c r="P176" s="481"/>
      <c r="Q176" s="481"/>
      <c r="R176" s="481"/>
      <c r="S176" s="481"/>
      <c r="T176" s="481"/>
      <c r="U176" s="356"/>
      <c r="V176" s="356"/>
      <c r="W176" s="356"/>
      <c r="X176" s="356"/>
      <c r="Y176" s="356"/>
      <c r="Z176" s="356"/>
      <c r="AA176" s="356"/>
      <c r="AB176" s="360"/>
      <c r="AC176" s="360"/>
      <c r="AD176" s="360"/>
      <c r="AE176" s="360"/>
      <c r="AF176" s="366"/>
      <c r="AG176" s="366"/>
      <c r="AH176" s="366"/>
      <c r="AI176" s="366"/>
      <c r="AJ176" s="366"/>
      <c r="AK176" s="366"/>
      <c r="AL176" s="366"/>
      <c r="AM176" s="366"/>
      <c r="AN176" s="366"/>
      <c r="AO176" s="367"/>
      <c r="AP176" s="367"/>
      <c r="AQ176" s="340"/>
      <c r="AR176" s="340"/>
      <c r="AS176" s="340"/>
      <c r="AT176" s="340"/>
      <c r="AU176" s="340"/>
      <c r="AV176" s="341"/>
      <c r="AW176" s="341"/>
      <c r="AX176" s="342"/>
      <c r="AY176" s="342"/>
      <c r="AZ176" s="342"/>
      <c r="BA176" s="342"/>
      <c r="BB176" s="342"/>
      <c r="BC176" s="342"/>
      <c r="BD176" s="342"/>
      <c r="BE176" s="342"/>
    </row>
    <row r="177" spans="1:58" ht="14.25" hidden="1" customHeight="1" outlineLevel="1">
      <c r="A177" s="331" t="s">
        <v>1911</v>
      </c>
      <c r="D177" s="460"/>
      <c r="E177" s="492"/>
      <c r="F177" s="3092" t="s">
        <v>1912</v>
      </c>
      <c r="G177" s="422"/>
      <c r="H177" s="422"/>
      <c r="I177" s="422"/>
      <c r="J177" s="422"/>
      <c r="K177" s="481"/>
      <c r="L177" s="481"/>
      <c r="M177" s="398"/>
      <c r="N177" s="481"/>
      <c r="O177" s="481"/>
      <c r="P177" s="481"/>
      <c r="Q177" s="481"/>
      <c r="R177" s="481"/>
      <c r="S177" s="485"/>
      <c r="T177" s="481"/>
      <c r="U177" s="356"/>
      <c r="V177" s="356"/>
      <c r="W177" s="356"/>
      <c r="X177" s="356"/>
      <c r="Y177" s="356"/>
      <c r="Z177" s="356"/>
      <c r="AA177" s="356"/>
      <c r="AB177" s="360"/>
      <c r="AC177" s="360"/>
      <c r="AD177" s="360"/>
      <c r="AE177" s="360"/>
      <c r="AF177" s="366"/>
      <c r="AG177" s="366"/>
      <c r="AH177" s="366"/>
      <c r="AI177" s="366"/>
      <c r="AJ177" s="366"/>
      <c r="AK177" s="366"/>
      <c r="AL177" s="366"/>
      <c r="AM177" s="366"/>
      <c r="AN177" s="366"/>
      <c r="AO177" s="367"/>
      <c r="AP177" s="367"/>
      <c r="AQ177" s="340"/>
      <c r="AR177" s="340"/>
      <c r="AS177" s="340"/>
      <c r="AT177" s="340"/>
      <c r="AU177" s="340"/>
      <c r="AV177" s="341"/>
      <c r="AW177" s="341"/>
      <c r="AX177" s="342"/>
      <c r="AY177" s="342"/>
      <c r="AZ177" s="342"/>
      <c r="BA177" s="342"/>
      <c r="BB177" s="342"/>
      <c r="BC177" s="342"/>
      <c r="BD177" s="342"/>
      <c r="BE177" s="342"/>
    </row>
    <row r="178" spans="1:58" ht="14.25" hidden="1" customHeight="1" outlineLevel="1">
      <c r="A178" s="493" t="s">
        <v>493</v>
      </c>
      <c r="D178" s="492"/>
      <c r="E178" s="424"/>
      <c r="F178" s="3092"/>
      <c r="G178" s="422"/>
      <c r="H178" s="422"/>
      <c r="I178" s="422"/>
      <c r="J178" s="422"/>
      <c r="K178" s="481"/>
      <c r="L178" s="481"/>
      <c r="M178" s="398"/>
      <c r="N178" s="481"/>
      <c r="O178" s="481"/>
      <c r="P178" s="481"/>
      <c r="Q178" s="481"/>
      <c r="R178" s="481"/>
      <c r="S178" s="481"/>
      <c r="T178" s="481"/>
      <c r="U178" s="356"/>
      <c r="V178" s="356"/>
      <c r="W178" s="356"/>
      <c r="X178" s="356"/>
      <c r="Y178" s="356"/>
      <c r="Z178" s="356"/>
      <c r="AA178" s="356"/>
      <c r="AB178" s="360"/>
      <c r="AC178" s="360"/>
      <c r="AD178" s="360" t="s">
        <v>1895</v>
      </c>
      <c r="AE178" s="360"/>
      <c r="AF178" s="366"/>
      <c r="AG178" s="366"/>
      <c r="AH178" s="366"/>
      <c r="AI178" s="366"/>
      <c r="AJ178" s="366"/>
      <c r="AK178" s="366"/>
      <c r="AL178" s="366"/>
      <c r="AM178" s="366"/>
      <c r="AN178" s="366"/>
      <c r="AO178" s="367"/>
      <c r="AP178" s="367"/>
      <c r="AQ178" s="340"/>
      <c r="AR178" s="340"/>
      <c r="AS178" s="340"/>
      <c r="AT178" s="340"/>
      <c r="AU178" s="340"/>
      <c r="AV178" s="341"/>
      <c r="AW178" s="341"/>
      <c r="AX178" s="342"/>
      <c r="AY178" s="342"/>
      <c r="AZ178" s="342"/>
      <c r="BA178" s="342"/>
      <c r="BB178" s="342"/>
      <c r="BC178" s="342"/>
      <c r="BD178" s="342"/>
      <c r="BE178" s="342"/>
    </row>
    <row r="179" spans="1:58" ht="14.25" hidden="1" customHeight="1" outlineLevel="1">
      <c r="A179" s="331" t="s">
        <v>1913</v>
      </c>
      <c r="D179" s="366"/>
      <c r="E179" s="424"/>
      <c r="F179" s="3092"/>
      <c r="G179" s="422"/>
      <c r="H179" s="422"/>
      <c r="I179" s="422"/>
      <c r="J179" s="422"/>
      <c r="K179" s="481"/>
      <c r="L179" s="481"/>
      <c r="M179" s="398"/>
      <c r="N179" s="481"/>
      <c r="O179" s="481"/>
      <c r="P179" s="481"/>
      <c r="Q179" s="481"/>
      <c r="R179" s="481"/>
      <c r="S179" s="481"/>
      <c r="T179" s="481"/>
      <c r="U179" s="356"/>
      <c r="V179" s="356"/>
      <c r="W179" s="356"/>
      <c r="X179" s="356"/>
      <c r="Y179" s="356"/>
      <c r="Z179" s="356"/>
      <c r="AA179" s="356"/>
      <c r="AB179" s="360"/>
      <c r="AC179" s="360"/>
      <c r="AD179" s="356"/>
      <c r="AE179" s="364"/>
      <c r="AF179" s="366"/>
      <c r="AG179" s="366"/>
      <c r="AH179" s="366"/>
      <c r="AI179" s="366"/>
      <c r="AJ179" s="366"/>
      <c r="AK179" s="366"/>
      <c r="AL179" s="366"/>
      <c r="AM179" s="366"/>
      <c r="AN179" s="366"/>
      <c r="AO179" s="367"/>
      <c r="AP179" s="367"/>
      <c r="AQ179" s="340"/>
      <c r="AR179" s="340"/>
      <c r="AS179" s="340"/>
      <c r="AT179" s="340"/>
      <c r="AU179" s="340"/>
      <c r="AV179" s="341"/>
      <c r="AW179" s="341"/>
      <c r="AX179" s="342"/>
      <c r="AY179" s="342"/>
      <c r="AZ179" s="342"/>
      <c r="BA179" s="342"/>
      <c r="BB179" s="342"/>
      <c r="BC179" s="342"/>
      <c r="BD179" s="342"/>
      <c r="BE179" s="342"/>
    </row>
    <row r="180" spans="1:58" ht="14.25" hidden="1" customHeight="1" outlineLevel="1">
      <c r="A180" s="494" t="s">
        <v>708</v>
      </c>
      <c r="B180" s="490"/>
      <c r="C180" s="480"/>
      <c r="D180" s="424"/>
      <c r="E180" s="424"/>
      <c r="F180" s="3092"/>
      <c r="G180" s="356"/>
      <c r="H180" s="422"/>
      <c r="I180" s="422"/>
      <c r="J180" s="422"/>
      <c r="K180" s="481"/>
      <c r="L180" s="481"/>
      <c r="M180" s="398"/>
      <c r="N180" s="481"/>
      <c r="O180" s="481"/>
      <c r="P180" s="481"/>
      <c r="Q180" s="481"/>
      <c r="R180" s="481"/>
      <c r="S180" s="481"/>
      <c r="T180" s="481"/>
      <c r="U180" s="356"/>
      <c r="V180" s="356"/>
      <c r="W180" s="356"/>
      <c r="X180" s="356"/>
      <c r="Y180" s="356"/>
      <c r="Z180" s="356"/>
      <c r="AA180" s="356"/>
      <c r="AB180" s="360"/>
      <c r="AC180" s="360"/>
      <c r="AD180" s="360"/>
      <c r="AE180" s="364"/>
      <c r="AF180" s="366"/>
      <c r="AG180" s="366"/>
      <c r="AH180" s="366"/>
      <c r="AI180" s="366"/>
      <c r="AJ180" s="366"/>
      <c r="AK180" s="366"/>
      <c r="AL180" s="366"/>
      <c r="AM180" s="366"/>
      <c r="AN180" s="366"/>
      <c r="AO180" s="367"/>
      <c r="AP180" s="367"/>
      <c r="AQ180" s="340"/>
      <c r="AR180" s="340"/>
      <c r="AS180" s="340"/>
      <c r="AT180" s="340"/>
      <c r="AU180" s="340"/>
      <c r="AV180" s="341"/>
      <c r="AW180" s="341"/>
      <c r="AX180" s="342"/>
      <c r="AY180" s="342"/>
      <c r="AZ180" s="342"/>
      <c r="BA180" s="342"/>
      <c r="BB180" s="342"/>
      <c r="BC180" s="342"/>
      <c r="BD180" s="342"/>
      <c r="BE180" s="342"/>
    </row>
    <row r="181" spans="1:58" ht="14.25" hidden="1" customHeight="1" outlineLevel="1">
      <c r="A181" s="260" t="s">
        <v>1914</v>
      </c>
      <c r="B181" s="415" t="s">
        <v>159</v>
      </c>
      <c r="C181" s="263">
        <v>0</v>
      </c>
      <c r="D181" s="424"/>
      <c r="E181" s="424"/>
      <c r="F181" s="424"/>
      <c r="G181" s="356"/>
      <c r="H181" s="422"/>
      <c r="I181" s="422"/>
      <c r="J181" s="422"/>
      <c r="K181" s="481"/>
      <c r="L181" s="481"/>
      <c r="M181" s="398"/>
      <c r="N181" s="481"/>
      <c r="O181" s="481"/>
      <c r="P181" s="481"/>
      <c r="Q181" s="481"/>
      <c r="R181" s="481"/>
      <c r="S181" s="481"/>
      <c r="T181" s="481"/>
      <c r="U181" s="356"/>
      <c r="V181" s="356"/>
      <c r="W181" s="356"/>
      <c r="X181" s="356"/>
      <c r="Y181" s="356"/>
      <c r="Z181" s="356"/>
      <c r="AA181" s="356"/>
      <c r="AB181" s="360"/>
      <c r="AC181" s="360"/>
      <c r="AD181" s="360"/>
      <c r="AE181" s="364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7"/>
      <c r="AP181" s="367"/>
      <c r="AQ181" s="340"/>
      <c r="AR181" s="340"/>
      <c r="AS181" s="340"/>
      <c r="AT181" s="340"/>
      <c r="AU181" s="340"/>
      <c r="AV181" s="341"/>
      <c r="AW181" s="341"/>
      <c r="AX181" s="342"/>
      <c r="AY181" s="342"/>
      <c r="AZ181" s="342"/>
      <c r="BA181" s="342"/>
      <c r="BB181" s="342"/>
      <c r="BC181" s="342"/>
      <c r="BD181" s="342"/>
      <c r="BE181" s="342"/>
    </row>
    <row r="182" spans="1:58" ht="14.25" hidden="1" customHeight="1" outlineLevel="1">
      <c r="A182" s="495" t="s">
        <v>1915</v>
      </c>
      <c r="B182" s="496" t="s">
        <v>159</v>
      </c>
      <c r="C182" s="497">
        <v>0</v>
      </c>
      <c r="D182" s="424"/>
      <c r="E182" s="424"/>
      <c r="F182" s="424"/>
      <c r="G182" s="424"/>
      <c r="H182" s="422"/>
      <c r="I182" s="422"/>
      <c r="J182" s="422"/>
      <c r="K182" s="481"/>
      <c r="L182" s="481"/>
      <c r="M182" s="398"/>
      <c r="N182" s="481"/>
      <c r="O182" s="481"/>
      <c r="P182" s="481"/>
      <c r="Q182" s="481"/>
      <c r="R182" s="481"/>
      <c r="S182" s="481"/>
      <c r="T182" s="481"/>
      <c r="U182" s="356"/>
      <c r="V182" s="356"/>
      <c r="W182" s="356"/>
      <c r="X182" s="356"/>
      <c r="Y182" s="356"/>
      <c r="Z182" s="356"/>
      <c r="AA182" s="356"/>
      <c r="AB182" s="360"/>
      <c r="AC182" s="360"/>
      <c r="AD182" s="360"/>
      <c r="AE182" s="366"/>
      <c r="AF182" s="366"/>
      <c r="AG182" s="366"/>
      <c r="AH182" s="366"/>
      <c r="AI182" s="366"/>
      <c r="AJ182" s="366"/>
      <c r="AK182" s="366"/>
      <c r="AL182" s="366"/>
      <c r="AM182" s="366"/>
      <c r="AN182" s="366"/>
      <c r="AO182" s="367"/>
      <c r="AP182" s="367"/>
      <c r="AQ182" s="340"/>
      <c r="AR182" s="340"/>
      <c r="AS182" s="340"/>
      <c r="AT182" s="340"/>
      <c r="AU182" s="340"/>
      <c r="AV182" s="341"/>
      <c r="AW182" s="341"/>
      <c r="AX182" s="342"/>
      <c r="AY182" s="342"/>
      <c r="AZ182" s="342"/>
      <c r="BA182" s="342"/>
      <c r="BB182" s="342"/>
      <c r="BC182" s="342"/>
      <c r="BD182" s="342"/>
      <c r="BE182" s="342"/>
    </row>
    <row r="183" spans="1:58" ht="14.25" hidden="1" customHeight="1" outlineLevel="1">
      <c r="A183" s="498" t="s">
        <v>1916</v>
      </c>
      <c r="B183" s="415" t="s">
        <v>159</v>
      </c>
      <c r="C183" s="263">
        <v>0</v>
      </c>
      <c r="D183" s="424"/>
      <c r="E183" s="424"/>
      <c r="F183" s="424"/>
      <c r="G183" s="424"/>
      <c r="H183" s="422" t="s">
        <v>1899</v>
      </c>
      <c r="I183" s="422"/>
      <c r="J183" s="422"/>
      <c r="K183" s="481"/>
      <c r="L183" s="481"/>
      <c r="M183" s="398"/>
      <c r="N183" s="481"/>
      <c r="O183" s="481"/>
      <c r="P183" s="481"/>
      <c r="Q183" s="481"/>
      <c r="R183" s="481"/>
      <c r="S183" s="481"/>
      <c r="T183" s="481"/>
      <c r="U183" s="356"/>
      <c r="V183" s="356"/>
      <c r="W183" s="356"/>
      <c r="X183" s="356"/>
      <c r="Y183" s="356"/>
      <c r="Z183" s="356"/>
      <c r="AA183" s="356"/>
      <c r="AB183" s="360"/>
      <c r="AC183" s="360"/>
      <c r="AD183" s="360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7"/>
      <c r="AP183" s="367"/>
      <c r="AQ183" s="340"/>
      <c r="AR183" s="340"/>
      <c r="AS183" s="340"/>
      <c r="AT183" s="340"/>
      <c r="AU183" s="340"/>
      <c r="AV183" s="341"/>
      <c r="AW183" s="341"/>
      <c r="AX183" s="342"/>
      <c r="AY183" s="342"/>
      <c r="AZ183" s="342"/>
      <c r="BA183" s="342"/>
      <c r="BB183" s="342"/>
      <c r="BC183" s="342"/>
      <c r="BD183" s="342"/>
      <c r="BE183" s="342"/>
    </row>
    <row r="184" spans="1:58" ht="14.25" hidden="1" customHeight="1" outlineLevel="1">
      <c r="A184" s="331" t="s">
        <v>1917</v>
      </c>
      <c r="D184" s="424"/>
      <c r="E184" s="354"/>
      <c r="F184" s="354"/>
      <c r="G184" s="354"/>
      <c r="H184" s="422"/>
      <c r="I184" s="422"/>
      <c r="J184" s="422"/>
      <c r="K184" s="481"/>
      <c r="L184" s="481"/>
      <c r="M184" s="398"/>
      <c r="N184" s="481"/>
      <c r="O184" s="481"/>
      <c r="P184" s="481"/>
      <c r="Q184" s="481"/>
      <c r="R184" s="481"/>
      <c r="S184" s="481"/>
      <c r="T184" s="481"/>
      <c r="U184" s="356"/>
      <c r="V184" s="356"/>
      <c r="W184" s="356"/>
      <c r="X184" s="356"/>
      <c r="Y184" s="356"/>
      <c r="Z184" s="356"/>
      <c r="AA184" s="356"/>
      <c r="AB184" s="360"/>
      <c r="AC184" s="360"/>
      <c r="AD184" s="360"/>
      <c r="AE184" s="366"/>
      <c r="AF184" s="366"/>
      <c r="AG184" s="366"/>
      <c r="AH184" s="366"/>
      <c r="AI184" s="366"/>
      <c r="AJ184" s="366"/>
      <c r="AK184" s="366"/>
      <c r="AL184" s="366"/>
      <c r="AM184" s="366"/>
      <c r="AN184" s="366"/>
      <c r="AO184" s="367"/>
      <c r="AP184" s="367"/>
      <c r="AQ184" s="340"/>
      <c r="AR184" s="340"/>
      <c r="AS184" s="340"/>
      <c r="AT184" s="340"/>
      <c r="AU184" s="340"/>
      <c r="AV184" s="341"/>
      <c r="AW184" s="341"/>
      <c r="AX184" s="342"/>
      <c r="AY184" s="342"/>
      <c r="AZ184" s="342"/>
      <c r="BA184" s="342"/>
      <c r="BB184" s="342"/>
      <c r="BC184" s="342"/>
      <c r="BD184" s="342"/>
      <c r="BE184" s="342"/>
    </row>
    <row r="185" spans="1:58" ht="14.25" hidden="1" customHeight="1" outlineLevel="1">
      <c r="A185" s="491" t="s">
        <v>1918</v>
      </c>
      <c r="B185" s="370"/>
      <c r="C185" s="370"/>
      <c r="D185" s="424"/>
      <c r="E185" s="354"/>
      <c r="F185" s="354"/>
      <c r="G185" s="354"/>
      <c r="H185" s="422"/>
      <c r="I185" s="422"/>
      <c r="J185" s="422"/>
      <c r="K185" s="481"/>
      <c r="L185" s="481"/>
      <c r="M185" s="398"/>
      <c r="N185" s="481"/>
      <c r="O185" s="481"/>
      <c r="P185" s="481"/>
      <c r="Q185" s="481"/>
      <c r="R185" s="481"/>
      <c r="S185" s="481"/>
      <c r="T185" s="481"/>
      <c r="U185" s="356"/>
      <c r="V185" s="356"/>
      <c r="W185" s="356"/>
      <c r="X185" s="356"/>
      <c r="Y185" s="356"/>
      <c r="Z185" s="356"/>
      <c r="AA185" s="356"/>
      <c r="AB185" s="360"/>
      <c r="AC185" s="360"/>
      <c r="AD185" s="360"/>
      <c r="AE185" s="366"/>
      <c r="AF185" s="366"/>
      <c r="AG185" s="366"/>
      <c r="AH185" s="366"/>
      <c r="AI185" s="366"/>
      <c r="AJ185" s="366"/>
      <c r="AK185" s="366"/>
      <c r="AL185" s="366"/>
      <c r="AM185" s="366"/>
      <c r="AN185" s="366"/>
      <c r="AO185" s="367"/>
      <c r="AP185" s="367"/>
      <c r="AQ185" s="340"/>
      <c r="AR185" s="340"/>
      <c r="AS185" s="340"/>
      <c r="AT185" s="340"/>
      <c r="AU185" s="340"/>
      <c r="AV185" s="341"/>
      <c r="AW185" s="341"/>
      <c r="AX185" s="342"/>
      <c r="AY185" s="342"/>
      <c r="AZ185" s="342"/>
      <c r="BA185" s="342"/>
      <c r="BB185" s="342"/>
      <c r="BC185" s="342"/>
      <c r="BD185" s="342"/>
      <c r="BE185" s="342"/>
    </row>
    <row r="186" spans="1:58" ht="14.25" hidden="1" customHeight="1" outlineLevel="1">
      <c r="A186" s="499" t="s">
        <v>1919</v>
      </c>
      <c r="B186" s="370"/>
      <c r="C186" s="370"/>
      <c r="D186" s="354"/>
      <c r="E186" s="354"/>
      <c r="F186" s="354"/>
      <c r="G186" s="354"/>
      <c r="H186" s="356"/>
      <c r="I186" s="481"/>
      <c r="J186" s="481" t="s">
        <v>1920</v>
      </c>
      <c r="K186" s="481"/>
      <c r="L186" s="481"/>
      <c r="M186" s="481"/>
      <c r="N186" s="481"/>
      <c r="O186" s="481"/>
      <c r="P186" s="481"/>
      <c r="Q186" s="481"/>
      <c r="R186" s="481"/>
      <c r="S186" s="481"/>
      <c r="U186" s="356"/>
      <c r="V186" s="356"/>
      <c r="W186" s="356" t="s">
        <v>1904</v>
      </c>
      <c r="X186" s="356"/>
      <c r="Y186" s="356"/>
      <c r="Z186" s="366"/>
      <c r="AA186" s="356"/>
      <c r="AB186" s="360"/>
      <c r="AC186" s="360"/>
      <c r="AD186" s="360"/>
      <c r="AE186" s="366"/>
      <c r="AF186" s="366"/>
      <c r="AG186" s="366"/>
      <c r="AH186" s="366"/>
      <c r="AI186" s="366"/>
      <c r="AJ186" s="366"/>
      <c r="AK186" s="366"/>
      <c r="AL186" s="366"/>
      <c r="AM186" s="366"/>
      <c r="AN186" s="366"/>
      <c r="AO186" s="367"/>
      <c r="AP186" s="367"/>
      <c r="AQ186" s="340"/>
      <c r="AR186" s="340"/>
      <c r="AS186" s="340"/>
      <c r="AT186" s="340"/>
      <c r="AU186" s="340"/>
      <c r="AV186" s="341"/>
      <c r="AW186" s="341"/>
      <c r="AX186" s="342"/>
      <c r="AY186" s="342"/>
      <c r="AZ186" s="342"/>
      <c r="BA186" s="342"/>
      <c r="BB186" s="342"/>
      <c r="BC186" s="342"/>
      <c r="BD186" s="342"/>
      <c r="BE186" s="342"/>
    </row>
    <row r="187" spans="1:58" ht="14.25" hidden="1" customHeight="1" outlineLevel="1">
      <c r="A187" s="491" t="s">
        <v>1921</v>
      </c>
      <c r="B187" s="370"/>
      <c r="C187" s="370"/>
      <c r="D187" s="354"/>
      <c r="E187" s="354"/>
      <c r="F187" s="354"/>
      <c r="G187" s="354"/>
      <c r="H187" s="356"/>
      <c r="I187" s="481"/>
      <c r="J187" s="422"/>
      <c r="K187" s="481"/>
      <c r="L187" s="481"/>
      <c r="O187" s="481"/>
      <c r="P187" s="481"/>
      <c r="Q187" s="481"/>
      <c r="R187" s="481"/>
      <c r="S187" s="354"/>
      <c r="T187" s="481" t="s">
        <v>1905</v>
      </c>
      <c r="U187" s="356"/>
      <c r="V187" s="356"/>
      <c r="W187" s="356"/>
      <c r="X187" s="356" t="s">
        <v>1903</v>
      </c>
      <c r="Y187" s="356"/>
      <c r="Z187" s="356"/>
      <c r="AA187" s="356"/>
      <c r="AB187" s="360"/>
      <c r="AC187" s="360"/>
      <c r="AD187" s="360"/>
      <c r="AE187" s="366"/>
      <c r="AF187" s="366"/>
      <c r="AG187" s="366"/>
      <c r="AH187" s="366"/>
      <c r="AI187" s="366"/>
      <c r="AJ187" s="366"/>
      <c r="AK187" s="366"/>
      <c r="AL187" s="366"/>
      <c r="AM187" s="366"/>
      <c r="AN187" s="366"/>
      <c r="AO187" s="367"/>
      <c r="AP187" s="367"/>
      <c r="AQ187" s="340"/>
      <c r="AR187" s="340"/>
      <c r="AS187" s="340"/>
      <c r="AT187" s="340"/>
      <c r="AU187" s="340"/>
      <c r="AV187" s="341"/>
      <c r="AW187" s="341"/>
      <c r="AX187" s="342"/>
      <c r="AY187" s="342"/>
      <c r="AZ187" s="342"/>
      <c r="BA187" s="342"/>
      <c r="BB187" s="342"/>
      <c r="BC187" s="342"/>
      <c r="BD187" s="342"/>
      <c r="BE187" s="342"/>
    </row>
    <row r="188" spans="1:58" s="370" customFormat="1" ht="14.25" hidden="1" customHeight="1" outlineLevel="1">
      <c r="A188" s="500"/>
      <c r="D188" s="424"/>
      <c r="E188" s="424"/>
      <c r="F188" s="424"/>
      <c r="G188" s="424"/>
      <c r="H188" s="356"/>
      <c r="I188" s="356"/>
      <c r="J188" s="360"/>
      <c r="K188" s="356"/>
      <c r="L188" s="356"/>
      <c r="O188" s="356"/>
      <c r="P188" s="356"/>
      <c r="Q188" s="356"/>
      <c r="R188" s="356"/>
      <c r="S188" s="424"/>
      <c r="T188" s="356"/>
      <c r="U188" s="356"/>
      <c r="V188" s="356"/>
      <c r="W188" s="356"/>
      <c r="X188" s="356"/>
      <c r="Y188" s="356"/>
      <c r="Z188" s="356"/>
      <c r="AA188" s="356"/>
      <c r="AB188" s="360"/>
      <c r="AC188" s="360"/>
      <c r="AD188" s="360"/>
      <c r="AE188" s="366"/>
      <c r="AF188" s="366"/>
      <c r="AG188" s="366"/>
      <c r="AH188" s="366"/>
      <c r="AI188" s="366"/>
      <c r="AJ188" s="366"/>
      <c r="AK188" s="366"/>
      <c r="AL188" s="366"/>
      <c r="AM188" s="366"/>
      <c r="AN188" s="366"/>
      <c r="AO188" s="367"/>
      <c r="AP188" s="367"/>
      <c r="AQ188" s="340"/>
      <c r="AR188" s="340"/>
      <c r="AS188" s="340"/>
      <c r="AT188" s="340"/>
      <c r="AU188" s="340"/>
      <c r="AV188" s="340"/>
      <c r="AW188" s="340"/>
      <c r="AX188" s="426"/>
      <c r="AY188" s="426"/>
      <c r="AZ188" s="426"/>
      <c r="BA188" s="426"/>
      <c r="BB188" s="426"/>
      <c r="BC188" s="426"/>
      <c r="BD188" s="426"/>
      <c r="BE188" s="426"/>
      <c r="BF188" s="428"/>
    </row>
    <row r="189" spans="1:58" ht="14.25" hidden="1" customHeight="1" outlineLevel="1">
      <c r="A189" s="331" t="s">
        <v>1922</v>
      </c>
      <c r="D189" s="354"/>
      <c r="E189" s="354"/>
      <c r="F189" s="354"/>
      <c r="G189" s="354"/>
      <c r="H189" s="354"/>
      <c r="I189" s="472"/>
      <c r="J189" s="354"/>
      <c r="K189" s="354"/>
      <c r="L189" s="354"/>
      <c r="M189" s="354"/>
      <c r="N189" s="354"/>
      <c r="O189" s="354"/>
      <c r="P189" s="354"/>
      <c r="Q189" s="354"/>
      <c r="R189" s="354"/>
      <c r="S189" s="354"/>
      <c r="T189" s="354"/>
      <c r="U189" s="354"/>
      <c r="V189" s="354"/>
      <c r="W189" s="354"/>
      <c r="X189" s="354"/>
      <c r="Y189" s="354"/>
      <c r="Z189" s="354"/>
      <c r="AA189" s="354"/>
      <c r="AB189" s="354"/>
      <c r="AC189" s="424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7"/>
      <c r="AP189" s="367"/>
      <c r="AQ189" s="340"/>
      <c r="AR189" s="340"/>
      <c r="AS189" s="340"/>
      <c r="AT189" s="340"/>
      <c r="AU189" s="340"/>
      <c r="AV189" s="341"/>
      <c r="AW189" s="341"/>
      <c r="AX189" s="342"/>
      <c r="AY189" s="342"/>
      <c r="AZ189" s="342"/>
      <c r="BA189" s="342"/>
      <c r="BB189" s="342"/>
      <c r="BC189" s="342"/>
      <c r="BD189" s="342"/>
      <c r="BE189" s="342"/>
    </row>
    <row r="190" spans="1:58" ht="14.25" hidden="1" customHeight="1" outlineLevel="1">
      <c r="A190" s="414" t="s">
        <v>152</v>
      </c>
      <c r="B190" s="415" t="s">
        <v>1793</v>
      </c>
      <c r="C190" s="388">
        <v>4</v>
      </c>
      <c r="D190" s="354"/>
      <c r="E190" s="354"/>
      <c r="F190" s="354"/>
      <c r="G190" s="354"/>
      <c r="H190" s="354"/>
      <c r="I190" s="472"/>
      <c r="J190" s="354"/>
      <c r="K190" s="354"/>
      <c r="L190" s="354"/>
      <c r="M190" s="354"/>
      <c r="N190" s="354"/>
      <c r="O190" s="354"/>
      <c r="P190" s="354"/>
      <c r="Q190" s="354"/>
      <c r="R190" s="354"/>
      <c r="S190" s="354"/>
      <c r="T190" s="354"/>
      <c r="U190" s="354"/>
      <c r="V190" s="354"/>
      <c r="W190" s="354"/>
      <c r="X190" s="354"/>
      <c r="Y190" s="354"/>
      <c r="Z190" s="354"/>
      <c r="AA190" s="354"/>
      <c r="AB190" s="354"/>
      <c r="AC190" s="424"/>
      <c r="AD190" s="366"/>
      <c r="AE190" s="366"/>
      <c r="AF190" s="366"/>
      <c r="AG190" s="366"/>
      <c r="AH190" s="366"/>
      <c r="AI190" s="366"/>
      <c r="AJ190" s="366"/>
      <c r="AK190" s="366"/>
      <c r="AL190" s="366"/>
      <c r="AM190" s="366"/>
      <c r="AN190" s="366"/>
      <c r="AO190" s="367"/>
      <c r="AP190" s="367"/>
      <c r="AQ190" s="340"/>
      <c r="AR190" s="340"/>
      <c r="AS190" s="340"/>
      <c r="AT190" s="340"/>
      <c r="AU190" s="340"/>
      <c r="AV190" s="341"/>
      <c r="AW190" s="341"/>
      <c r="AX190" s="342"/>
      <c r="AY190" s="342"/>
      <c r="AZ190" s="342"/>
      <c r="BA190" s="342"/>
      <c r="BB190" s="342"/>
      <c r="BC190" s="342"/>
      <c r="BD190" s="342"/>
      <c r="BE190" s="342"/>
    </row>
    <row r="191" spans="1:58" ht="14.25" hidden="1" customHeight="1" outlineLevel="1">
      <c r="A191" s="412" t="s">
        <v>152</v>
      </c>
      <c r="B191" s="415" t="s">
        <v>1793</v>
      </c>
      <c r="C191" s="380">
        <v>0</v>
      </c>
      <c r="D191" s="354"/>
      <c r="E191" s="354"/>
      <c r="F191" s="354"/>
      <c r="G191" s="354"/>
      <c r="H191" s="354"/>
      <c r="I191" s="472"/>
      <c r="J191" s="354"/>
      <c r="K191" s="354"/>
      <c r="L191" s="354"/>
      <c r="M191" s="354"/>
      <c r="N191" s="354"/>
      <c r="O191" s="354"/>
      <c r="P191" s="354"/>
      <c r="Q191" s="354"/>
      <c r="R191" s="354"/>
      <c r="S191" s="354"/>
      <c r="T191" s="354"/>
      <c r="U191" s="354"/>
      <c r="V191" s="354"/>
      <c r="W191" s="354"/>
      <c r="X191" s="354"/>
      <c r="Y191" s="354"/>
      <c r="Z191" s="354"/>
      <c r="AA191" s="354"/>
      <c r="AB191" s="354"/>
      <c r="AC191" s="424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7"/>
      <c r="AP191" s="367"/>
      <c r="AQ191" s="340"/>
      <c r="AR191" s="340"/>
      <c r="AS191" s="340"/>
      <c r="AT191" s="340"/>
      <c r="AU191" s="340"/>
      <c r="AV191" s="341"/>
      <c r="AW191" s="341"/>
      <c r="AX191" s="342"/>
      <c r="AY191" s="342"/>
      <c r="AZ191" s="342"/>
      <c r="BA191" s="342"/>
      <c r="BB191" s="342"/>
      <c r="BC191" s="342"/>
      <c r="BD191" s="342"/>
      <c r="BE191" s="342"/>
    </row>
    <row r="192" spans="1:58" ht="14.25" hidden="1" customHeight="1" outlineLevel="1">
      <c r="D192" s="354"/>
      <c r="E192" s="354"/>
      <c r="F192" s="354"/>
      <c r="G192" s="354"/>
      <c r="H192" s="354"/>
      <c r="I192" s="472"/>
      <c r="J192" s="354"/>
      <c r="K192" s="354"/>
      <c r="L192" s="354"/>
      <c r="M192" s="354"/>
      <c r="N192" s="354"/>
      <c r="O192" s="354"/>
      <c r="P192" s="354"/>
      <c r="Q192" s="354"/>
      <c r="R192" s="354"/>
      <c r="S192" s="354"/>
      <c r="T192" s="354"/>
      <c r="U192" s="354"/>
      <c r="V192" s="354"/>
      <c r="W192" s="354"/>
      <c r="X192" s="354"/>
      <c r="Y192" s="354"/>
      <c r="Z192" s="354"/>
      <c r="AA192" s="354"/>
      <c r="AB192" s="354"/>
      <c r="AC192" s="424"/>
      <c r="AD192" s="366"/>
      <c r="AE192" s="366"/>
      <c r="AF192" s="366"/>
      <c r="AG192" s="366"/>
      <c r="AH192" s="366"/>
      <c r="AI192" s="366"/>
      <c r="AJ192" s="366"/>
      <c r="AK192" s="366"/>
      <c r="AL192" s="366"/>
      <c r="AM192" s="366"/>
      <c r="AN192" s="366"/>
      <c r="AO192" s="367"/>
      <c r="AP192" s="367"/>
      <c r="AQ192" s="340"/>
      <c r="AR192" s="340"/>
      <c r="AS192" s="340"/>
      <c r="AT192" s="340"/>
      <c r="AU192" s="340"/>
      <c r="AV192" s="341"/>
      <c r="AW192" s="341"/>
      <c r="AX192" s="342"/>
      <c r="AY192" s="342"/>
      <c r="AZ192" s="342"/>
      <c r="BA192" s="342"/>
      <c r="BB192" s="342"/>
      <c r="BC192" s="342"/>
      <c r="BD192" s="342"/>
      <c r="BE192" s="342"/>
    </row>
    <row r="193" spans="1:57" ht="14.25" hidden="1" customHeight="1" outlineLevel="1">
      <c r="A193" s="416" t="s">
        <v>1923</v>
      </c>
      <c r="B193" s="415" t="s">
        <v>1796</v>
      </c>
      <c r="C193" s="501">
        <v>10000</v>
      </c>
      <c r="D193" s="354"/>
      <c r="E193" s="354"/>
      <c r="F193" s="354"/>
      <c r="G193" s="354"/>
      <c r="H193" s="354"/>
      <c r="I193" s="472"/>
      <c r="J193" s="354"/>
      <c r="K193" s="354"/>
      <c r="L193" s="354"/>
      <c r="M193" s="354"/>
      <c r="N193" s="354"/>
      <c r="O193" s="354"/>
      <c r="P193" s="354"/>
      <c r="Q193" s="354"/>
      <c r="R193" s="354"/>
      <c r="S193" s="354"/>
      <c r="T193" s="354"/>
      <c r="U193" s="354"/>
      <c r="V193" s="354"/>
      <c r="W193" s="354"/>
      <c r="X193" s="354"/>
      <c r="Y193" s="354"/>
      <c r="Z193" s="354"/>
      <c r="AA193" s="354"/>
      <c r="AB193" s="354"/>
      <c r="AC193" s="424"/>
      <c r="AD193" s="366"/>
      <c r="AE193" s="366"/>
      <c r="AF193" s="366"/>
      <c r="AG193" s="366"/>
      <c r="AH193" s="366"/>
      <c r="AI193" s="366"/>
      <c r="AJ193" s="366"/>
      <c r="AK193" s="366"/>
      <c r="AL193" s="366"/>
      <c r="AM193" s="366"/>
      <c r="AN193" s="366"/>
      <c r="AO193" s="367"/>
      <c r="AP193" s="367"/>
      <c r="AQ193" s="340"/>
      <c r="AR193" s="340"/>
      <c r="AS193" s="340"/>
      <c r="AT193" s="340"/>
      <c r="AU193" s="340"/>
      <c r="AV193" s="341"/>
      <c r="AW193" s="341"/>
      <c r="AX193" s="342"/>
      <c r="AY193" s="342"/>
      <c r="AZ193" s="342"/>
      <c r="BA193" s="342"/>
      <c r="BB193" s="342"/>
      <c r="BC193" s="342"/>
      <c r="BD193" s="342"/>
      <c r="BE193" s="342"/>
    </row>
    <row r="194" spans="1:57" ht="14.25" customHeight="1" collapsed="1">
      <c r="A194" s="3062" t="s">
        <v>1924</v>
      </c>
      <c r="B194" s="3062"/>
      <c r="C194" s="3062"/>
      <c r="D194" s="3062"/>
      <c r="E194" s="3062"/>
      <c r="F194" s="419" t="s">
        <v>1798</v>
      </c>
      <c r="G194" s="354"/>
      <c r="H194" s="354"/>
      <c r="I194" s="472"/>
      <c r="J194" s="354"/>
      <c r="K194" s="354"/>
      <c r="L194" s="354"/>
      <c r="M194" s="354"/>
      <c r="N194" s="354"/>
      <c r="O194" s="354"/>
      <c r="P194" s="354"/>
      <c r="Q194" s="354"/>
      <c r="R194" s="354"/>
      <c r="S194" s="354"/>
      <c r="T194" s="354"/>
      <c r="U194" s="354"/>
      <c r="V194" s="354"/>
      <c r="W194" s="354"/>
      <c r="X194" s="354"/>
      <c r="Y194" s="354"/>
      <c r="Z194" s="354"/>
      <c r="AA194" s="354"/>
      <c r="AB194" s="354"/>
      <c r="AC194" s="424"/>
      <c r="AD194" s="366"/>
      <c r="AE194" s="366"/>
      <c r="AF194" s="366"/>
      <c r="AG194" s="366"/>
      <c r="AH194" s="366"/>
      <c r="AI194" s="366"/>
      <c r="AJ194" s="366"/>
      <c r="AK194" s="366"/>
      <c r="AL194" s="366"/>
      <c r="AM194" s="366"/>
      <c r="AN194" s="366"/>
      <c r="AO194" s="367"/>
      <c r="AP194" s="367"/>
      <c r="AQ194" s="340"/>
      <c r="AR194" s="340"/>
      <c r="AS194" s="340"/>
      <c r="AT194" s="340"/>
      <c r="AU194" s="340"/>
      <c r="AV194" s="341"/>
      <c r="AW194" s="341"/>
      <c r="AX194" s="342"/>
      <c r="AY194" s="342"/>
      <c r="AZ194" s="342"/>
      <c r="BA194" s="342"/>
      <c r="BB194" s="342"/>
      <c r="BC194" s="342"/>
      <c r="BD194" s="342"/>
      <c r="BE194" s="342"/>
    </row>
    <row r="195" spans="1:57" ht="14.25" customHeight="1">
      <c r="A195" s="354"/>
      <c r="B195" s="464"/>
      <c r="C195" s="354"/>
      <c r="D195" s="354"/>
      <c r="E195" s="354"/>
      <c r="F195" s="354"/>
      <c r="G195" s="354"/>
      <c r="H195" s="354"/>
      <c r="I195" s="472"/>
      <c r="J195" s="354"/>
      <c r="K195" s="354"/>
      <c r="L195" s="354"/>
      <c r="M195" s="354"/>
      <c r="N195" s="354"/>
      <c r="O195" s="354"/>
      <c r="P195" s="354"/>
      <c r="Q195" s="354"/>
      <c r="R195" s="354"/>
      <c r="S195" s="354"/>
      <c r="T195" s="354"/>
      <c r="U195" s="354"/>
      <c r="V195" s="354"/>
      <c r="W195" s="354"/>
      <c r="X195" s="354"/>
      <c r="Y195" s="354"/>
      <c r="Z195" s="354"/>
      <c r="AA195" s="354"/>
      <c r="AB195" s="354"/>
      <c r="AC195" s="424"/>
      <c r="AD195" s="366"/>
      <c r="AE195" s="366"/>
      <c r="AF195" s="366"/>
      <c r="AG195" s="366"/>
      <c r="AH195" s="366"/>
      <c r="AI195" s="366"/>
      <c r="AJ195" s="366"/>
      <c r="AK195" s="366"/>
      <c r="AL195" s="366"/>
      <c r="AM195" s="366"/>
      <c r="AN195" s="366"/>
      <c r="AO195" s="367"/>
      <c r="AP195" s="367"/>
      <c r="AQ195" s="340"/>
      <c r="AR195" s="340"/>
      <c r="AS195" s="340"/>
      <c r="AT195" s="340"/>
      <c r="AU195" s="340"/>
      <c r="AV195" s="341"/>
      <c r="AW195" s="341"/>
      <c r="AX195" s="342"/>
      <c r="AY195" s="342"/>
      <c r="AZ195" s="342"/>
      <c r="BA195" s="342"/>
      <c r="BB195" s="342"/>
      <c r="BC195" s="342"/>
      <c r="BD195" s="342"/>
      <c r="BE195" s="342"/>
    </row>
    <row r="196" spans="1:57" ht="14.25" hidden="1" customHeight="1" outlineLevel="1">
      <c r="A196" s="3090" t="s">
        <v>1925</v>
      </c>
      <c r="B196" s="3090"/>
      <c r="C196" s="3090"/>
      <c r="D196" s="3090"/>
      <c r="E196" s="3090"/>
      <c r="H196" s="354"/>
      <c r="I196" s="472"/>
      <c r="J196" s="354"/>
      <c r="K196" s="354"/>
      <c r="L196" s="354"/>
      <c r="M196" s="3063" t="s">
        <v>1925</v>
      </c>
      <c r="N196" s="3063"/>
      <c r="O196" s="3063"/>
      <c r="P196" s="3063"/>
      <c r="Q196" s="3063"/>
      <c r="R196" s="3063"/>
      <c r="S196" s="3063"/>
      <c r="T196" s="3063"/>
      <c r="U196" s="3063"/>
      <c r="V196" s="3063"/>
      <c r="W196" s="3063"/>
      <c r="X196" s="3063"/>
      <c r="Y196" s="3063"/>
      <c r="Z196" s="3063"/>
      <c r="AA196" s="3063"/>
      <c r="AB196" s="3063"/>
      <c r="AC196" s="3063"/>
      <c r="AD196" s="3063"/>
      <c r="AE196" s="3063"/>
      <c r="AF196" s="3063"/>
      <c r="AG196" s="366"/>
      <c r="AH196" s="366"/>
      <c r="AI196" s="366"/>
      <c r="AJ196" s="366"/>
      <c r="AK196" s="366"/>
      <c r="AL196" s="366"/>
      <c r="AM196" s="366"/>
      <c r="AN196" s="366"/>
      <c r="AO196" s="367"/>
      <c r="AP196" s="367"/>
      <c r="AQ196" s="340"/>
      <c r="AR196" s="340"/>
      <c r="AS196" s="340"/>
      <c r="AT196" s="340"/>
      <c r="AU196" s="340"/>
      <c r="AV196" s="458"/>
      <c r="AW196" s="341"/>
      <c r="AX196" s="342"/>
      <c r="AY196" s="342"/>
      <c r="AZ196" s="342"/>
      <c r="BA196" s="342"/>
      <c r="BB196" s="342"/>
      <c r="BC196" s="342"/>
      <c r="BD196" s="342"/>
      <c r="BE196" s="342"/>
    </row>
    <row r="197" spans="1:57" ht="14.25" hidden="1" customHeight="1" outlineLevel="1">
      <c r="A197" s="363"/>
      <c r="B197" s="473"/>
      <c r="C197" s="363"/>
      <c r="D197" s="363"/>
      <c r="E197" s="363"/>
      <c r="F197" s="363"/>
      <c r="G197" s="354"/>
      <c r="H197" s="354"/>
      <c r="I197" s="472"/>
      <c r="J197" s="354"/>
      <c r="K197" s="354"/>
      <c r="L197" s="354"/>
      <c r="M197" s="3063"/>
      <c r="N197" s="3063"/>
      <c r="O197" s="3063"/>
      <c r="P197" s="3063"/>
      <c r="Q197" s="3063"/>
      <c r="R197" s="3063"/>
      <c r="S197" s="3063"/>
      <c r="T197" s="3063"/>
      <c r="U197" s="3063"/>
      <c r="V197" s="3063"/>
      <c r="W197" s="3063"/>
      <c r="X197" s="3063"/>
      <c r="Y197" s="3063"/>
      <c r="Z197" s="3063"/>
      <c r="AA197" s="3063"/>
      <c r="AB197" s="3063"/>
      <c r="AC197" s="3063"/>
      <c r="AD197" s="3063"/>
      <c r="AE197" s="3063"/>
      <c r="AF197" s="3063"/>
      <c r="AG197" s="366"/>
      <c r="AH197" s="366"/>
      <c r="AI197" s="366"/>
      <c r="AJ197" s="366"/>
      <c r="AK197" s="366"/>
      <c r="AL197" s="366"/>
      <c r="AM197" s="366"/>
      <c r="AN197" s="366"/>
      <c r="AO197" s="367"/>
      <c r="AP197" s="367"/>
      <c r="AQ197" s="340"/>
      <c r="AR197" s="340"/>
      <c r="AS197" s="340"/>
      <c r="AT197" s="340"/>
      <c r="AU197" s="340"/>
      <c r="AV197" s="458"/>
      <c r="AW197" s="342"/>
      <c r="AX197" s="342"/>
      <c r="AY197" s="342"/>
      <c r="AZ197" s="342"/>
      <c r="BA197" s="342"/>
      <c r="BB197" s="342"/>
      <c r="BC197" s="342"/>
      <c r="BD197" s="342"/>
      <c r="BE197" s="342"/>
    </row>
    <row r="198" spans="1:57" ht="14.25" hidden="1" customHeight="1" outlineLevel="1">
      <c r="A198" s="3062" t="s">
        <v>1884</v>
      </c>
      <c r="B198" s="3062"/>
      <c r="C198" s="3062"/>
      <c r="D198" s="3062"/>
      <c r="E198" s="387">
        <v>1</v>
      </c>
      <c r="F198" s="402"/>
      <c r="G198" s="354"/>
      <c r="H198" s="354"/>
      <c r="I198" s="472"/>
      <c r="J198" s="354"/>
      <c r="K198" s="354"/>
      <c r="L198" s="354"/>
      <c r="M198" s="354"/>
      <c r="N198" s="354"/>
      <c r="O198" s="354"/>
      <c r="P198" s="354"/>
      <c r="Q198" s="354"/>
      <c r="R198" s="354"/>
      <c r="S198" s="354"/>
      <c r="T198" s="354"/>
      <c r="U198" s="354"/>
      <c r="V198" s="354"/>
      <c r="W198" s="354"/>
      <c r="X198" s="354"/>
      <c r="Y198" s="354"/>
      <c r="Z198" s="354"/>
      <c r="AA198" s="354"/>
      <c r="AB198" s="354"/>
      <c r="AC198" s="354"/>
      <c r="AD198" s="354"/>
      <c r="AE198" s="354"/>
      <c r="AF198" s="354"/>
      <c r="AG198" s="354"/>
      <c r="AH198" s="354"/>
      <c r="AI198" s="354"/>
      <c r="AJ198" s="354"/>
      <c r="AK198" s="354"/>
      <c r="AL198" s="354"/>
      <c r="AM198" s="354"/>
      <c r="AN198" s="354"/>
      <c r="AO198" s="358"/>
      <c r="AP198" s="358"/>
      <c r="AQ198" s="342"/>
      <c r="AR198" s="342"/>
      <c r="AS198" s="342"/>
      <c r="AT198" s="342"/>
      <c r="AU198" s="342"/>
      <c r="AV198" s="342"/>
      <c r="AW198" s="342"/>
      <c r="AX198" s="342"/>
      <c r="AY198" s="342"/>
      <c r="AZ198" s="342"/>
      <c r="BA198" s="342"/>
      <c r="BB198" s="342"/>
      <c r="BC198" s="342"/>
      <c r="BD198" s="342"/>
      <c r="BE198" s="342"/>
    </row>
    <row r="199" spans="1:57" ht="14.25" hidden="1" customHeight="1" outlineLevel="1">
      <c r="A199" s="3062" t="s">
        <v>1885</v>
      </c>
      <c r="B199" s="3062"/>
      <c r="C199" s="3062"/>
      <c r="D199" s="3062"/>
      <c r="E199" s="387">
        <v>1</v>
      </c>
      <c r="F199" s="402"/>
      <c r="G199" s="354"/>
      <c r="H199" s="354"/>
      <c r="I199" s="366"/>
      <c r="J199" s="366"/>
      <c r="K199" s="366"/>
      <c r="L199" s="366"/>
      <c r="M199" s="366"/>
      <c r="N199" s="366"/>
      <c r="P199" s="355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58"/>
      <c r="AP199" s="358"/>
      <c r="AQ199" s="342"/>
      <c r="AR199" s="342"/>
      <c r="AS199" s="342"/>
      <c r="AT199" s="342"/>
      <c r="AU199" s="342"/>
      <c r="AV199" s="342"/>
      <c r="AW199" s="342"/>
      <c r="AX199" s="342"/>
      <c r="AY199" s="342"/>
      <c r="AZ199" s="342"/>
      <c r="BA199" s="342"/>
      <c r="BB199" s="342"/>
      <c r="BC199" s="342"/>
      <c r="BD199" s="342"/>
      <c r="BE199" s="342"/>
    </row>
    <row r="200" spans="1:57" ht="14.25" hidden="1" customHeight="1" outlineLevel="1">
      <c r="D200" s="475"/>
      <c r="E200" s="475"/>
      <c r="F200" s="475"/>
      <c r="G200" s="354"/>
      <c r="H200" s="354"/>
      <c r="I200" s="366"/>
      <c r="J200" s="366"/>
      <c r="K200" s="366"/>
      <c r="L200" s="366"/>
      <c r="M200" s="366"/>
      <c r="AP200" s="358"/>
      <c r="AQ200" s="342"/>
      <c r="AR200" s="342"/>
      <c r="AS200" s="342"/>
      <c r="AT200" s="342"/>
      <c r="AU200" s="342"/>
      <c r="AV200" s="342"/>
      <c r="AW200" s="342"/>
      <c r="AX200" s="342"/>
      <c r="AY200" s="342"/>
      <c r="AZ200" s="342"/>
      <c r="BA200" s="342"/>
      <c r="BB200" s="342"/>
      <c r="BC200" s="342"/>
      <c r="BD200" s="342"/>
      <c r="BE200" s="342"/>
    </row>
    <row r="201" spans="1:57" ht="14.25" hidden="1" customHeight="1" outlineLevel="1">
      <c r="A201" s="438" t="s">
        <v>1093</v>
      </c>
      <c r="B201" s="438" t="s">
        <v>208</v>
      </c>
      <c r="C201" s="438" t="s">
        <v>156</v>
      </c>
      <c r="D201" s="365"/>
      <c r="E201" s="365"/>
      <c r="F201" s="502" t="s">
        <v>156</v>
      </c>
      <c r="G201" s="354"/>
      <c r="H201" s="398"/>
      <c r="I201" s="356"/>
      <c r="J201" s="356"/>
      <c r="K201" s="356"/>
      <c r="M201" s="355"/>
      <c r="AP201" s="358"/>
      <c r="AQ201" s="342"/>
      <c r="AR201" s="342"/>
      <c r="AS201" s="342"/>
      <c r="AT201" s="342"/>
      <c r="AU201" s="342"/>
      <c r="AV201" s="342"/>
      <c r="AW201" s="342"/>
      <c r="AX201" s="342"/>
      <c r="AY201" s="342"/>
      <c r="AZ201" s="342"/>
      <c r="BA201" s="342"/>
      <c r="BB201" s="342"/>
      <c r="BC201" s="342"/>
      <c r="BD201" s="342"/>
      <c r="BE201" s="342"/>
    </row>
    <row r="202" spans="1:57" ht="14.25" hidden="1" customHeight="1" outlineLevel="1">
      <c r="A202" s="331" t="s">
        <v>1889</v>
      </c>
      <c r="B202" s="381"/>
      <c r="C202" s="381"/>
      <c r="D202" s="366"/>
      <c r="E202" s="366"/>
      <c r="F202" s="393">
        <v>8.1</v>
      </c>
      <c r="G202" s="354"/>
      <c r="H202" s="398"/>
      <c r="I202" s="356"/>
      <c r="J202" s="356"/>
      <c r="K202" s="356"/>
      <c r="M202" s="356"/>
      <c r="AP202" s="358"/>
      <c r="AQ202" s="342"/>
      <c r="AR202" s="342"/>
      <c r="AS202" s="342"/>
      <c r="AT202" s="342"/>
      <c r="AU202" s="342"/>
      <c r="AV202" s="342"/>
      <c r="AW202" s="342"/>
      <c r="AX202" s="342"/>
      <c r="AY202" s="342"/>
      <c r="AZ202" s="342"/>
      <c r="BA202" s="342"/>
      <c r="BB202" s="342"/>
      <c r="BC202" s="342"/>
      <c r="BD202" s="342"/>
      <c r="BE202" s="342"/>
    </row>
    <row r="203" spans="1:57" ht="14.25" hidden="1" customHeight="1" outlineLevel="1">
      <c r="A203" s="477" t="s">
        <v>1068</v>
      </c>
      <c r="D203" s="366"/>
      <c r="E203" s="503"/>
      <c r="F203" s="503"/>
      <c r="G203" s="354"/>
      <c r="H203" s="366"/>
      <c r="J203" s="356"/>
      <c r="K203" s="366"/>
      <c r="L203" s="366"/>
      <c r="M203" s="366"/>
      <c r="N203" s="366"/>
      <c r="O203" s="366"/>
      <c r="P203" s="366"/>
      <c r="Q203" s="366"/>
      <c r="R203" s="366"/>
      <c r="S203" s="366"/>
      <c r="T203" s="366"/>
      <c r="U203" s="366"/>
      <c r="V203" s="366"/>
      <c r="W203" s="366"/>
      <c r="X203" s="366"/>
      <c r="Y203" s="366"/>
      <c r="Z203" s="366"/>
      <c r="AA203" s="366"/>
      <c r="AB203" s="366"/>
      <c r="AC203" s="366"/>
      <c r="AD203" s="366"/>
      <c r="AE203" s="366"/>
      <c r="AF203" s="366"/>
      <c r="AG203" s="366"/>
      <c r="AH203" s="366"/>
      <c r="AI203" s="358"/>
      <c r="AP203" s="358"/>
      <c r="AQ203" s="342"/>
      <c r="AR203" s="342"/>
      <c r="AS203" s="342"/>
      <c r="AT203" s="342"/>
      <c r="AU203" s="342"/>
      <c r="AV203" s="342"/>
      <c r="AW203" s="342"/>
      <c r="AX203" s="342"/>
      <c r="AY203" s="342"/>
      <c r="AZ203" s="342"/>
      <c r="BA203" s="342"/>
      <c r="BB203" s="342"/>
      <c r="BC203" s="342"/>
      <c r="BD203" s="342"/>
      <c r="BE203" s="342"/>
    </row>
    <row r="204" spans="1:57" ht="14.25" hidden="1" customHeight="1" outlineLevel="1">
      <c r="A204" s="478" t="s">
        <v>1891</v>
      </c>
      <c r="B204" s="479"/>
      <c r="C204" s="480"/>
      <c r="D204" s="366"/>
      <c r="E204" s="503"/>
      <c r="F204" s="502" t="s">
        <v>156</v>
      </c>
      <c r="G204" s="354"/>
      <c r="H204" s="366"/>
      <c r="I204" s="356"/>
      <c r="J204" s="356"/>
      <c r="K204" s="366"/>
      <c r="L204" s="366"/>
      <c r="M204" s="366"/>
      <c r="N204" s="366"/>
      <c r="O204" s="366"/>
      <c r="P204" s="366"/>
      <c r="Q204" s="366"/>
      <c r="R204" s="366"/>
      <c r="S204" s="366"/>
      <c r="T204" s="381" t="s">
        <v>1926</v>
      </c>
      <c r="U204" s="366"/>
      <c r="V204" s="366"/>
      <c r="W204" s="366"/>
      <c r="X204" s="366"/>
      <c r="Y204" s="366"/>
      <c r="Z204" s="366"/>
      <c r="AA204" s="366"/>
      <c r="AB204" s="366"/>
      <c r="AC204" s="366"/>
      <c r="AD204" s="366"/>
      <c r="AE204" s="366"/>
      <c r="AF204" s="366"/>
      <c r="AG204" s="366"/>
      <c r="AH204" s="366"/>
      <c r="AI204" s="358"/>
      <c r="AP204" s="358"/>
      <c r="AQ204" s="342"/>
      <c r="AR204" s="342"/>
      <c r="AS204" s="342"/>
      <c r="AT204" s="342"/>
      <c r="AU204" s="342"/>
      <c r="AV204" s="342"/>
      <c r="AW204" s="342"/>
      <c r="AX204" s="342"/>
      <c r="AY204" s="342"/>
      <c r="AZ204" s="342"/>
      <c r="BA204" s="342"/>
      <c r="BB204" s="342"/>
      <c r="BC204" s="342"/>
      <c r="BD204" s="342"/>
      <c r="BE204" s="342"/>
    </row>
    <row r="205" spans="1:57" ht="14.25" hidden="1" customHeight="1" outlineLevel="1">
      <c r="A205" s="483" t="s">
        <v>493</v>
      </c>
      <c r="B205" s="479"/>
      <c r="C205" s="480"/>
      <c r="D205" s="492"/>
      <c r="E205" s="504"/>
      <c r="F205" s="393">
        <v>7.8</v>
      </c>
      <c r="G205" s="354"/>
      <c r="H205" s="366"/>
      <c r="I205" s="366"/>
      <c r="J205" s="366"/>
      <c r="K205" s="366"/>
      <c r="L205" s="366"/>
      <c r="M205" s="366"/>
      <c r="N205" s="366"/>
      <c r="O205" s="366"/>
      <c r="P205" s="366"/>
      <c r="Q205" s="366"/>
      <c r="R205" s="366"/>
      <c r="S205" s="366"/>
      <c r="T205" s="381"/>
      <c r="U205" s="366"/>
      <c r="V205" s="366"/>
      <c r="W205" s="366"/>
      <c r="X205" s="366"/>
      <c r="Y205" s="366"/>
      <c r="Z205" s="366"/>
      <c r="AA205" s="366"/>
      <c r="AB205" s="366"/>
      <c r="AC205" s="366"/>
      <c r="AD205" s="366"/>
      <c r="AE205" s="366"/>
      <c r="AF205" s="366"/>
      <c r="AG205" s="366"/>
      <c r="AH205" s="366"/>
      <c r="AI205" s="358"/>
      <c r="AP205" s="425"/>
      <c r="AQ205" s="426"/>
      <c r="AR205" s="426"/>
      <c r="AS205" s="426"/>
      <c r="AT205" s="426"/>
      <c r="AU205" s="426"/>
      <c r="AV205" s="342"/>
      <c r="AW205" s="342"/>
      <c r="AX205" s="342"/>
      <c r="AY205" s="342"/>
      <c r="AZ205" s="342"/>
      <c r="BA205" s="342"/>
      <c r="BB205" s="342"/>
      <c r="BC205" s="342"/>
      <c r="BD205" s="342"/>
      <c r="BE205" s="342"/>
    </row>
    <row r="206" spans="1:57" ht="14.25" hidden="1" customHeight="1" outlineLevel="1">
      <c r="A206" s="263" t="s">
        <v>1927</v>
      </c>
      <c r="B206" s="415" t="s">
        <v>156</v>
      </c>
      <c r="C206" s="484">
        <v>0.5</v>
      </c>
      <c r="D206" s="492"/>
      <c r="E206" s="504"/>
      <c r="F206" s="504"/>
      <c r="G206" s="354"/>
      <c r="H206" s="366"/>
      <c r="I206" s="366"/>
      <c r="J206" s="366"/>
      <c r="K206" s="366"/>
      <c r="L206" s="366"/>
      <c r="M206" s="366"/>
      <c r="N206" s="366"/>
      <c r="O206" s="366"/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58"/>
      <c r="AP206" s="425"/>
      <c r="AQ206" s="426"/>
      <c r="AR206" s="426"/>
      <c r="AS206" s="426"/>
      <c r="AT206" s="426"/>
      <c r="AU206" s="426"/>
      <c r="AV206" s="426"/>
      <c r="AW206" s="426"/>
      <c r="AX206" s="426"/>
      <c r="AY206" s="426"/>
      <c r="AZ206" s="426"/>
      <c r="BA206" s="426"/>
      <c r="BB206" s="426"/>
      <c r="BC206" s="426"/>
      <c r="BD206" s="426"/>
      <c r="BE206" s="426"/>
    </row>
    <row r="207" spans="1:57" ht="14.25" hidden="1" customHeight="1" outlineLevel="1">
      <c r="A207" s="263" t="s">
        <v>1927</v>
      </c>
      <c r="B207" s="415" t="s">
        <v>156</v>
      </c>
      <c r="C207" s="484">
        <v>0.5</v>
      </c>
      <c r="D207" s="492"/>
      <c r="E207" s="504"/>
      <c r="F207" s="502" t="s">
        <v>156</v>
      </c>
      <c r="G207" s="354"/>
      <c r="H207" s="356"/>
      <c r="I207" s="356"/>
      <c r="J207" s="356"/>
      <c r="K207" s="366"/>
      <c r="L207" s="366"/>
      <c r="M207" s="366"/>
      <c r="N207" s="366"/>
      <c r="O207" s="366"/>
      <c r="P207" s="366"/>
      <c r="Q207" s="366"/>
      <c r="R207" s="366"/>
      <c r="S207" s="366"/>
      <c r="T207" s="366"/>
      <c r="U207" s="366"/>
      <c r="V207" s="366"/>
      <c r="W207" s="366"/>
      <c r="X207" s="366"/>
      <c r="Y207" s="366"/>
      <c r="Z207" s="366"/>
      <c r="AA207" s="366"/>
      <c r="AB207" s="366"/>
      <c r="AC207" s="366"/>
      <c r="AD207" s="366"/>
      <c r="AE207" s="366"/>
      <c r="AF207" s="366"/>
      <c r="AG207" s="366"/>
      <c r="AH207" s="366"/>
      <c r="AI207" s="358"/>
      <c r="AP207" s="425"/>
      <c r="AQ207" s="426"/>
      <c r="AR207" s="426"/>
      <c r="AS207" s="426"/>
      <c r="AT207" s="426"/>
      <c r="AU207" s="426"/>
      <c r="AV207" s="426"/>
      <c r="AW207" s="426"/>
      <c r="AX207" s="426"/>
      <c r="AY207" s="426"/>
      <c r="AZ207" s="426"/>
      <c r="BA207" s="426"/>
      <c r="BB207" s="426"/>
      <c r="BC207" s="426"/>
      <c r="BD207" s="426"/>
      <c r="BE207" s="426"/>
    </row>
    <row r="208" spans="1:57" ht="14.25" hidden="1" customHeight="1" outlineLevel="1">
      <c r="A208" s="263" t="s">
        <v>1896</v>
      </c>
      <c r="B208" s="415" t="s">
        <v>156</v>
      </c>
      <c r="C208" s="484">
        <v>0.8</v>
      </c>
      <c r="D208" s="354"/>
      <c r="E208" s="354"/>
      <c r="F208" s="393">
        <v>5</v>
      </c>
      <c r="G208" s="354"/>
      <c r="H208" s="356"/>
      <c r="I208" s="356"/>
      <c r="J208" s="356"/>
      <c r="K208" s="366"/>
      <c r="L208" s="366"/>
      <c r="M208" s="366"/>
      <c r="N208" s="366"/>
      <c r="O208" s="366"/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466" t="s">
        <v>1928</v>
      </c>
      <c r="AG208" s="366"/>
      <c r="AH208" s="366"/>
      <c r="AI208" s="358"/>
      <c r="AP208" s="358"/>
      <c r="AQ208" s="342"/>
      <c r="AR208" s="342"/>
      <c r="AS208" s="342"/>
      <c r="AT208" s="342"/>
      <c r="AU208" s="342"/>
      <c r="AV208" s="342"/>
      <c r="AW208" s="342"/>
      <c r="AX208" s="342"/>
      <c r="AY208" s="342"/>
      <c r="AZ208" s="342"/>
      <c r="BA208" s="342"/>
      <c r="BB208" s="342"/>
      <c r="BC208" s="342"/>
      <c r="BD208" s="342"/>
      <c r="BE208" s="342"/>
    </row>
    <row r="209" spans="1:58" ht="14.25" hidden="1" customHeight="1" outlineLevel="1">
      <c r="A209" s="263" t="s">
        <v>1897</v>
      </c>
      <c r="B209" s="415" t="s">
        <v>156</v>
      </c>
      <c r="C209" s="484">
        <v>0.8</v>
      </c>
      <c r="D209" s="354"/>
      <c r="E209" s="354"/>
      <c r="F209" s="354"/>
      <c r="G209" s="354"/>
      <c r="H209" s="356"/>
      <c r="I209" s="356"/>
      <c r="J209" s="356"/>
      <c r="K209" s="366"/>
      <c r="L209" s="366"/>
      <c r="M209" s="366"/>
      <c r="N209" s="366"/>
      <c r="O209" s="366"/>
      <c r="P209" s="366"/>
      <c r="Q209" s="366"/>
      <c r="R209" s="366"/>
      <c r="S209" s="366"/>
      <c r="T209" s="366"/>
      <c r="U209" s="366"/>
      <c r="V209" s="366"/>
      <c r="W209" s="366"/>
      <c r="X209" s="366"/>
      <c r="Y209" s="366"/>
      <c r="Z209" s="366"/>
      <c r="AA209" s="366"/>
      <c r="AB209" s="366"/>
      <c r="AC209" s="366"/>
      <c r="AD209" s="366"/>
      <c r="AE209" s="366"/>
      <c r="AF209" s="366"/>
      <c r="AG209" s="366"/>
      <c r="AH209" s="366"/>
      <c r="AI209" s="358"/>
      <c r="AP209" s="358"/>
      <c r="AQ209" s="342"/>
      <c r="AR209" s="342"/>
      <c r="AS209" s="342"/>
      <c r="AT209" s="342"/>
      <c r="AU209" s="342"/>
      <c r="AV209" s="342"/>
      <c r="AW209" s="342"/>
      <c r="AX209" s="342"/>
      <c r="AY209" s="342"/>
      <c r="AZ209" s="342"/>
      <c r="BA209" s="342"/>
      <c r="BB209" s="342"/>
      <c r="BC209" s="342" t="s">
        <v>1929</v>
      </c>
      <c r="BD209" s="384">
        <f>F211</f>
        <v>4.7</v>
      </c>
      <c r="BE209" s="342"/>
    </row>
    <row r="210" spans="1:58" ht="14.25" hidden="1" customHeight="1" outlineLevel="1">
      <c r="D210" s="354"/>
      <c r="E210" s="354"/>
      <c r="F210" s="502" t="s">
        <v>156</v>
      </c>
      <c r="H210" s="356"/>
      <c r="I210" s="356"/>
      <c r="J210" s="356"/>
      <c r="K210" s="366" t="s">
        <v>1928</v>
      </c>
      <c r="L210" s="366"/>
      <c r="M210" s="366"/>
      <c r="N210" s="366"/>
      <c r="O210" s="366"/>
      <c r="P210" s="366"/>
      <c r="Q210" s="366"/>
      <c r="R210" s="366"/>
      <c r="S210" s="366"/>
      <c r="T210" s="366"/>
      <c r="U210" s="366"/>
      <c r="V210" s="366"/>
      <c r="W210" s="366"/>
      <c r="X210" s="366"/>
      <c r="Y210" s="366"/>
      <c r="Z210" s="366"/>
      <c r="AA210" s="366"/>
      <c r="AB210" s="366"/>
      <c r="AC210" s="366" t="s">
        <v>1930</v>
      </c>
      <c r="AD210" s="366"/>
      <c r="AE210" s="366"/>
      <c r="AF210" s="366"/>
      <c r="AG210" s="366"/>
      <c r="AH210" s="366"/>
      <c r="AI210" s="358"/>
      <c r="AP210" s="358"/>
      <c r="AQ210" s="342"/>
      <c r="AR210" s="342"/>
      <c r="AS210" s="342"/>
      <c r="AT210" s="342"/>
      <c r="AU210" s="342"/>
      <c r="AV210" s="342"/>
      <c r="AW210" s="342"/>
      <c r="AX210" s="342"/>
      <c r="AY210" s="342"/>
      <c r="AZ210" s="342"/>
      <c r="BA210" s="342"/>
      <c r="BB210" s="342"/>
      <c r="BC210" s="342" t="s">
        <v>1931</v>
      </c>
      <c r="BD210" s="384">
        <f>F221</f>
        <v>5.3</v>
      </c>
      <c r="BE210" s="342"/>
    </row>
    <row r="211" spans="1:58" ht="14.25" hidden="1" customHeight="1" outlineLevel="1">
      <c r="A211" s="3094" t="s">
        <v>1932</v>
      </c>
      <c r="B211" s="413" t="s">
        <v>208</v>
      </c>
      <c r="C211" s="413" t="s">
        <v>853</v>
      </c>
      <c r="D211" s="438" t="s">
        <v>1800</v>
      </c>
      <c r="E211" s="354"/>
      <c r="F211" s="393">
        <v>4.7</v>
      </c>
      <c r="H211" s="356"/>
      <c r="I211" s="356"/>
      <c r="J211" s="356"/>
      <c r="K211" s="366"/>
      <c r="L211" s="366"/>
      <c r="M211" s="366"/>
      <c r="N211" s="366"/>
      <c r="O211" s="366"/>
      <c r="P211" s="366"/>
      <c r="Q211" s="366"/>
      <c r="R211" s="366" t="s">
        <v>1904</v>
      </c>
      <c r="S211" s="366"/>
      <c r="T211" s="366"/>
      <c r="U211" s="366"/>
      <c r="V211" s="366"/>
      <c r="W211" s="366"/>
      <c r="X211" s="366"/>
      <c r="Y211" s="366"/>
      <c r="Z211" s="366"/>
      <c r="AA211" s="366"/>
      <c r="AB211" s="366"/>
      <c r="AC211" s="366"/>
      <c r="AD211" s="366"/>
      <c r="AE211" s="366"/>
      <c r="AF211" s="366"/>
      <c r="AG211" s="366"/>
      <c r="AH211" s="366"/>
      <c r="AI211" s="358"/>
      <c r="AP211" s="358"/>
      <c r="AQ211" s="342"/>
      <c r="AR211" s="342"/>
      <c r="AS211" s="342"/>
      <c r="AT211" s="342"/>
      <c r="AU211" s="342"/>
      <c r="AV211" s="342"/>
      <c r="AW211" s="342"/>
      <c r="AX211" s="342"/>
      <c r="AY211" s="342"/>
      <c r="AZ211" s="342"/>
      <c r="BA211" s="342"/>
      <c r="BB211" s="342"/>
      <c r="BC211" s="342"/>
      <c r="BD211" s="384"/>
      <c r="BE211" s="342"/>
    </row>
    <row r="212" spans="1:58" ht="14.25" hidden="1" customHeight="1" outlineLevel="1">
      <c r="A212" s="3094"/>
      <c r="B212" s="413" t="s">
        <v>156</v>
      </c>
      <c r="C212" s="380"/>
      <c r="D212" s="486"/>
      <c r="E212" s="354"/>
      <c r="F212" s="354"/>
      <c r="H212" s="356"/>
      <c r="I212" s="356"/>
      <c r="J212" s="356"/>
      <c r="K212" s="366"/>
      <c r="L212" s="366"/>
      <c r="M212" s="366"/>
      <c r="N212" s="366"/>
      <c r="O212" s="366"/>
      <c r="P212" s="366"/>
      <c r="Q212" s="366"/>
      <c r="R212" s="366"/>
      <c r="S212" s="366"/>
      <c r="T212" s="366"/>
      <c r="U212" s="366"/>
      <c r="V212" s="366"/>
      <c r="W212" s="366"/>
      <c r="X212" s="366"/>
      <c r="Y212" s="366"/>
      <c r="Z212" s="366"/>
      <c r="AA212" s="366"/>
      <c r="AB212" s="366"/>
      <c r="AC212" s="366"/>
      <c r="AD212" s="366"/>
      <c r="AE212" s="366"/>
      <c r="AF212" s="366"/>
      <c r="AG212" s="366"/>
      <c r="AH212" s="366"/>
      <c r="AI212" s="358"/>
      <c r="AP212" s="358"/>
      <c r="AQ212" s="342"/>
      <c r="AR212" s="342"/>
      <c r="AS212" s="342"/>
      <c r="AT212" s="342"/>
      <c r="AU212" s="342"/>
      <c r="AV212" s="342"/>
      <c r="AW212" s="342"/>
      <c r="AX212" s="342"/>
      <c r="AY212" s="342"/>
      <c r="AZ212" s="342"/>
      <c r="BA212" s="342"/>
      <c r="BB212" s="342"/>
      <c r="BC212" s="342" t="s">
        <v>1933</v>
      </c>
      <c r="BD212" s="384">
        <f>F208</f>
        <v>5</v>
      </c>
      <c r="BE212" s="342"/>
    </row>
    <row r="213" spans="1:58" ht="14.25" hidden="1" customHeight="1" outlineLevel="1">
      <c r="A213" s="331" t="s">
        <v>1901</v>
      </c>
      <c r="B213" s="413" t="s">
        <v>208</v>
      </c>
      <c r="C213" s="413" t="s">
        <v>853</v>
      </c>
      <c r="D213" s="438" t="s">
        <v>1902</v>
      </c>
      <c r="E213" s="354"/>
      <c r="F213" s="354"/>
      <c r="G213" s="354"/>
      <c r="H213" s="356"/>
      <c r="I213" s="356"/>
      <c r="J213" s="356"/>
      <c r="K213" s="366"/>
      <c r="L213" s="366"/>
      <c r="M213" s="366"/>
      <c r="N213" s="366"/>
      <c r="O213" s="366"/>
      <c r="P213" s="366"/>
      <c r="Q213" s="366"/>
      <c r="R213" s="366"/>
      <c r="S213" s="366"/>
      <c r="T213" s="366"/>
      <c r="U213" s="366"/>
      <c r="V213" s="366"/>
      <c r="W213" s="366"/>
      <c r="X213" s="366"/>
      <c r="Y213" s="366"/>
      <c r="Z213" s="366"/>
      <c r="AA213" s="366"/>
      <c r="AB213" s="366"/>
      <c r="AC213" s="366"/>
      <c r="AD213" s="366"/>
      <c r="AE213" s="366"/>
      <c r="AF213" s="366"/>
      <c r="AG213" s="366"/>
      <c r="AH213" s="366"/>
      <c r="AI213" s="358"/>
      <c r="AP213" s="358"/>
      <c r="AQ213" s="342"/>
      <c r="AR213" s="342"/>
      <c r="AS213" s="342"/>
      <c r="AT213" s="342"/>
      <c r="AU213" s="342"/>
      <c r="AV213" s="342"/>
      <c r="AW213" s="342"/>
      <c r="AX213" s="342"/>
      <c r="AY213" s="342"/>
      <c r="AZ213" s="342"/>
      <c r="BA213" s="342"/>
      <c r="BB213" s="342"/>
      <c r="BC213" s="342" t="s">
        <v>1934</v>
      </c>
      <c r="BD213" s="384">
        <f>F205</f>
        <v>7.8</v>
      </c>
      <c r="BE213" s="342"/>
    </row>
    <row r="214" spans="1:58" ht="14.25" hidden="1" customHeight="1" outlineLevel="1">
      <c r="A214" s="483" t="s">
        <v>312</v>
      </c>
      <c r="B214" s="413" t="s">
        <v>156</v>
      </c>
      <c r="C214" s="380"/>
      <c r="D214" s="488"/>
      <c r="E214" s="366"/>
      <c r="G214" s="424"/>
      <c r="H214" s="356"/>
      <c r="I214" s="356"/>
      <c r="J214" s="356"/>
      <c r="K214" s="366"/>
      <c r="L214" s="366"/>
      <c r="M214" s="366"/>
      <c r="N214" s="366"/>
      <c r="O214" s="366"/>
      <c r="P214" s="366"/>
      <c r="Q214" s="366"/>
      <c r="R214" s="366"/>
      <c r="S214" s="366"/>
      <c r="T214" s="366"/>
      <c r="U214" s="366"/>
      <c r="V214" s="366"/>
      <c r="W214" s="366"/>
      <c r="X214" s="366"/>
      <c r="Y214" s="366"/>
      <c r="Z214" s="366"/>
      <c r="AA214" s="366"/>
      <c r="AB214" s="366"/>
      <c r="AC214" s="366"/>
      <c r="AD214" s="366"/>
      <c r="AE214" s="366"/>
      <c r="AF214" s="366"/>
      <c r="AG214" s="366"/>
      <c r="AH214" s="366"/>
      <c r="AI214" s="358"/>
      <c r="AP214" s="358"/>
      <c r="AQ214" s="342"/>
      <c r="AR214" s="342"/>
      <c r="AS214" s="342"/>
      <c r="AT214" s="342"/>
      <c r="AU214" s="342"/>
      <c r="AV214" s="342"/>
      <c r="AW214" s="342"/>
      <c r="AX214" s="342"/>
      <c r="AY214" s="342"/>
      <c r="AZ214" s="342"/>
      <c r="BA214" s="342"/>
      <c r="BB214" s="342"/>
      <c r="BC214" s="342" t="s">
        <v>1935</v>
      </c>
      <c r="BD214" s="384">
        <f>F202</f>
        <v>8.1</v>
      </c>
      <c r="BE214" s="342"/>
    </row>
    <row r="215" spans="1:58" ht="14.25" hidden="1" customHeight="1" outlineLevel="1">
      <c r="A215" s="331" t="s">
        <v>1907</v>
      </c>
      <c r="D215" s="492"/>
      <c r="E215" s="480"/>
      <c r="G215" s="424"/>
      <c r="H215" s="366"/>
      <c r="I215" s="366"/>
      <c r="J215" s="366"/>
      <c r="K215" s="366"/>
      <c r="L215" s="366"/>
      <c r="M215" s="366"/>
      <c r="N215" s="366"/>
      <c r="O215" s="366"/>
      <c r="P215" s="366"/>
      <c r="Q215" s="366"/>
      <c r="R215" s="366"/>
      <c r="S215" s="366"/>
      <c r="T215" s="366"/>
      <c r="U215" s="366"/>
      <c r="V215" s="381" t="s">
        <v>1899</v>
      </c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58"/>
      <c r="AP215" s="358"/>
      <c r="AQ215" s="342"/>
      <c r="AR215" s="342"/>
      <c r="AS215" s="342"/>
      <c r="AT215" s="342"/>
      <c r="AU215" s="342"/>
      <c r="AV215" s="342"/>
      <c r="AW215" s="342"/>
      <c r="AX215" s="342"/>
      <c r="AY215" s="342"/>
      <c r="AZ215" s="342"/>
      <c r="BA215" s="342"/>
      <c r="BB215" s="342"/>
      <c r="BC215" s="342" t="s">
        <v>1936</v>
      </c>
      <c r="BD215" s="342">
        <f>F217</f>
        <v>60</v>
      </c>
      <c r="BE215" s="342"/>
    </row>
    <row r="216" spans="1:58" ht="14.25" hidden="1" customHeight="1" outlineLevel="1">
      <c r="A216" s="489" t="s">
        <v>1908</v>
      </c>
      <c r="B216" s="490"/>
      <c r="C216" s="480"/>
      <c r="D216" s="366"/>
      <c r="E216" s="366"/>
      <c r="F216" s="502" t="s">
        <v>1937</v>
      </c>
      <c r="G216" s="421"/>
      <c r="H216" s="366"/>
      <c r="I216" s="366"/>
      <c r="J216" s="366"/>
      <c r="K216" s="366"/>
      <c r="L216" s="366"/>
      <c r="M216" s="366"/>
      <c r="N216" s="366"/>
      <c r="O216" s="366"/>
      <c r="P216" s="366"/>
      <c r="Q216" s="366"/>
      <c r="R216" s="366"/>
      <c r="S216" s="366"/>
      <c r="T216" s="366"/>
      <c r="U216" s="366"/>
      <c r="V216" s="381"/>
      <c r="W216" s="366"/>
      <c r="X216" s="366"/>
      <c r="Y216" s="366"/>
      <c r="Z216" s="366"/>
      <c r="AA216" s="366"/>
      <c r="AB216" s="366"/>
      <c r="AC216" s="366"/>
      <c r="AD216" s="366"/>
      <c r="AE216" s="366"/>
      <c r="AF216" s="366"/>
      <c r="AG216" s="366"/>
      <c r="AH216" s="366"/>
      <c r="AI216" s="358"/>
      <c r="AP216" s="358"/>
      <c r="AQ216" s="342"/>
      <c r="AR216" s="342"/>
      <c r="AS216" s="342"/>
      <c r="AT216" s="342"/>
      <c r="AU216" s="342"/>
      <c r="AV216" s="342"/>
      <c r="AW216" s="342"/>
      <c r="AX216" s="342"/>
      <c r="AY216" s="342"/>
      <c r="AZ216" s="342"/>
      <c r="BA216" s="342"/>
      <c r="BB216" s="342"/>
      <c r="BC216" s="342"/>
      <c r="BD216" s="342"/>
      <c r="BE216" s="342"/>
    </row>
    <row r="217" spans="1:58" ht="14.25" hidden="1" customHeight="1" outlineLevel="1">
      <c r="A217" s="331" t="s">
        <v>1909</v>
      </c>
      <c r="D217" s="492"/>
      <c r="E217" s="480"/>
      <c r="F217" s="466">
        <v>60</v>
      </c>
      <c r="G217" s="421"/>
      <c r="H217" s="366"/>
      <c r="I217" s="366"/>
      <c r="J217" s="366"/>
      <c r="K217" s="366"/>
      <c r="L217" s="366"/>
      <c r="M217" s="366"/>
      <c r="N217" s="366"/>
      <c r="O217" s="366"/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58"/>
      <c r="AP217" s="358"/>
      <c r="AQ217" s="342"/>
      <c r="AR217" s="342"/>
      <c r="AS217" s="342"/>
      <c r="AT217" s="342"/>
      <c r="AU217" s="342"/>
      <c r="AV217" s="342"/>
      <c r="AW217" s="342"/>
      <c r="AX217" s="342"/>
      <c r="AY217" s="342"/>
      <c r="AZ217" s="342"/>
      <c r="BA217" s="342"/>
      <c r="BB217" s="342"/>
      <c r="BC217" s="342"/>
      <c r="BD217" s="342"/>
      <c r="BE217" s="342"/>
    </row>
    <row r="218" spans="1:58" ht="14.25" hidden="1" customHeight="1" outlineLevel="1">
      <c r="A218" s="491" t="s">
        <v>270</v>
      </c>
      <c r="D218" s="492"/>
      <c r="E218" s="480"/>
      <c r="G218" s="421"/>
      <c r="H218" s="366"/>
      <c r="I218" s="366"/>
      <c r="J218" s="366"/>
      <c r="K218" s="366"/>
      <c r="L218" s="366"/>
      <c r="M218" s="366"/>
      <c r="N218" s="366"/>
      <c r="O218" s="366"/>
      <c r="P218" s="366"/>
      <c r="Q218" s="366"/>
      <c r="R218" s="366"/>
      <c r="S218" s="366"/>
      <c r="T218" s="366"/>
      <c r="U218" s="366"/>
      <c r="V218" s="366"/>
      <c r="W218" s="366"/>
      <c r="X218" s="366"/>
      <c r="Y218" s="366"/>
      <c r="Z218" s="366"/>
      <c r="AA218" s="366"/>
      <c r="AB218" s="366"/>
      <c r="AC218" s="366"/>
      <c r="AD218" s="366"/>
      <c r="AE218" s="366"/>
      <c r="AF218" s="366"/>
      <c r="AG218" s="366"/>
      <c r="AH218" s="366"/>
      <c r="AI218" s="358"/>
      <c r="AJ218" s="424"/>
      <c r="AK218" s="424"/>
      <c r="AL218" s="424"/>
      <c r="AM218" s="424"/>
      <c r="AN218" s="424"/>
      <c r="AO218" s="425"/>
      <c r="AP218" s="358"/>
      <c r="AQ218" s="342"/>
      <c r="AR218" s="342"/>
      <c r="AS218" s="342"/>
      <c r="AT218" s="342"/>
      <c r="AU218" s="342"/>
      <c r="AV218" s="342"/>
      <c r="AW218" s="342"/>
      <c r="AX218" s="342"/>
      <c r="AY218" s="342"/>
      <c r="AZ218" s="342"/>
      <c r="BA218" s="342"/>
      <c r="BB218" s="342"/>
      <c r="BC218" s="342"/>
      <c r="BD218" s="342"/>
      <c r="BE218" s="342"/>
    </row>
    <row r="219" spans="1:58" ht="14.25" hidden="1" customHeight="1" outlineLevel="1">
      <c r="A219" s="331" t="s">
        <v>1910</v>
      </c>
      <c r="D219" s="492"/>
      <c r="E219" s="480"/>
      <c r="F219" s="480"/>
      <c r="G219" s="421"/>
      <c r="H219" s="421"/>
      <c r="I219" s="421"/>
      <c r="J219" s="421"/>
      <c r="K219" s="421"/>
      <c r="L219" s="421"/>
      <c r="N219" s="366"/>
      <c r="O219" s="421"/>
      <c r="P219" s="421"/>
      <c r="Q219" s="421"/>
      <c r="R219" s="421"/>
      <c r="S219" s="421"/>
      <c r="T219" s="421"/>
      <c r="U219" s="421"/>
      <c r="V219" s="421"/>
      <c r="W219" s="421"/>
      <c r="X219" s="421"/>
      <c r="Y219" s="366"/>
      <c r="Z219" s="366"/>
      <c r="AA219" s="366"/>
      <c r="AB219" s="366"/>
      <c r="AC219" s="366"/>
      <c r="AD219" s="366"/>
      <c r="AE219" s="366"/>
      <c r="AF219" s="366"/>
      <c r="AG219" s="366"/>
      <c r="AH219" s="366"/>
      <c r="AI219" s="425"/>
      <c r="AJ219" s="424"/>
      <c r="AK219" s="424"/>
      <c r="AL219" s="424"/>
      <c r="AM219" s="424"/>
      <c r="AN219" s="424"/>
      <c r="AO219" s="425"/>
      <c r="AP219" s="358"/>
      <c r="AQ219" s="342"/>
      <c r="AR219" s="342"/>
      <c r="AS219" s="342"/>
      <c r="AT219" s="342"/>
      <c r="AU219" s="342"/>
      <c r="AV219" s="342"/>
      <c r="AW219" s="342"/>
      <c r="AX219" s="342"/>
      <c r="AY219" s="342"/>
      <c r="AZ219" s="342"/>
      <c r="BA219" s="342"/>
      <c r="BB219" s="342"/>
      <c r="BC219" s="342"/>
      <c r="BD219" s="342"/>
      <c r="BE219" s="342"/>
    </row>
    <row r="220" spans="1:58" ht="14.25" hidden="1" customHeight="1" outlineLevel="1">
      <c r="A220" s="491" t="s">
        <v>277</v>
      </c>
      <c r="D220" s="492"/>
      <c r="E220" s="480"/>
      <c r="F220" s="502" t="s">
        <v>156</v>
      </c>
      <c r="G220" s="421"/>
      <c r="H220" s="421"/>
      <c r="I220" s="421"/>
      <c r="J220" s="421"/>
      <c r="K220" s="421"/>
      <c r="L220" s="421"/>
      <c r="M220" s="366"/>
      <c r="N220" s="366"/>
      <c r="O220" s="421"/>
      <c r="P220" s="421"/>
      <c r="Q220" s="421"/>
      <c r="R220" s="421"/>
      <c r="S220" s="421"/>
      <c r="T220" s="421"/>
      <c r="U220" s="421"/>
      <c r="V220" s="421"/>
      <c r="W220" s="421"/>
      <c r="X220" s="421"/>
      <c r="Y220" s="366"/>
      <c r="Z220" s="366"/>
      <c r="AA220" s="366"/>
      <c r="AB220" s="366"/>
      <c r="AC220" s="366"/>
      <c r="AD220" s="366"/>
      <c r="AE220" s="366"/>
      <c r="AF220" s="366"/>
      <c r="AG220" s="366"/>
      <c r="AH220" s="366"/>
      <c r="AI220" s="425"/>
      <c r="AJ220" s="424"/>
      <c r="AK220" s="424"/>
      <c r="AL220" s="424"/>
      <c r="AM220" s="424"/>
      <c r="AN220" s="424"/>
      <c r="AO220" s="425"/>
      <c r="AP220" s="358"/>
      <c r="AQ220" s="342"/>
      <c r="AR220" s="342"/>
      <c r="AS220" s="342"/>
      <c r="AT220" s="342"/>
      <c r="AU220" s="342"/>
      <c r="AV220" s="342"/>
      <c r="AW220" s="342"/>
      <c r="AX220" s="342"/>
      <c r="AY220" s="342"/>
      <c r="AZ220" s="342"/>
      <c r="BA220" s="342"/>
      <c r="BB220" s="342"/>
      <c r="BC220" s="342"/>
      <c r="BD220" s="342"/>
      <c r="BE220" s="342"/>
    </row>
    <row r="221" spans="1:58" ht="14.25" hidden="1" customHeight="1" outlineLevel="1">
      <c r="A221" s="331" t="s">
        <v>1911</v>
      </c>
      <c r="D221" s="492"/>
      <c r="E221" s="480"/>
      <c r="F221" s="356">
        <f>H5</f>
        <v>5.3</v>
      </c>
      <c r="G221" s="421"/>
      <c r="AJ221" s="424"/>
      <c r="AK221" s="424"/>
      <c r="AL221" s="424"/>
      <c r="AM221" s="424"/>
      <c r="AN221" s="424"/>
      <c r="AO221" s="425"/>
      <c r="AP221" s="358"/>
      <c r="AQ221" s="342"/>
      <c r="AR221" s="342"/>
      <c r="AS221" s="342"/>
      <c r="AT221" s="342"/>
      <c r="AU221" s="342"/>
      <c r="AV221" s="342"/>
      <c r="AW221" s="342"/>
      <c r="AX221" s="342"/>
      <c r="AY221" s="342"/>
      <c r="AZ221" s="342"/>
      <c r="BA221" s="342"/>
      <c r="BB221" s="342"/>
      <c r="BC221" s="342"/>
      <c r="BD221" s="342"/>
      <c r="BE221" s="342"/>
    </row>
    <row r="222" spans="1:58" s="370" customFormat="1" ht="14.25" hidden="1" customHeight="1" outlineLevel="1">
      <c r="A222" s="493" t="s">
        <v>977</v>
      </c>
      <c r="B222" s="332"/>
      <c r="C222" s="331"/>
      <c r="D222" s="492"/>
      <c r="E222" s="480"/>
      <c r="F222" s="480"/>
      <c r="G222" s="421"/>
      <c r="AJ222" s="424"/>
      <c r="AK222" s="424"/>
      <c r="AL222" s="424"/>
      <c r="AM222" s="424"/>
      <c r="AN222" s="424"/>
      <c r="AO222" s="425"/>
      <c r="AP222" s="425"/>
      <c r="AQ222" s="426"/>
      <c r="AR222" s="426"/>
      <c r="AS222" s="426"/>
      <c r="AT222" s="426"/>
      <c r="AU222" s="426"/>
      <c r="AV222" s="426"/>
      <c r="AW222" s="426"/>
      <c r="AX222" s="426"/>
      <c r="AY222" s="426"/>
      <c r="AZ222" s="426"/>
      <c r="BA222" s="426"/>
      <c r="BB222" s="426"/>
      <c r="BC222" s="426"/>
      <c r="BD222" s="426"/>
      <c r="BE222" s="426"/>
      <c r="BF222" s="428"/>
    </row>
    <row r="223" spans="1:58" s="370" customFormat="1" ht="14.25" hidden="1" customHeight="1" outlineLevel="1">
      <c r="A223" s="331" t="s">
        <v>1913</v>
      </c>
      <c r="B223" s="332"/>
      <c r="C223" s="331"/>
      <c r="D223" s="492"/>
      <c r="E223" s="480"/>
      <c r="F223" s="480"/>
      <c r="G223" s="421"/>
      <c r="AJ223" s="424"/>
      <c r="AK223" s="424"/>
      <c r="AL223" s="424"/>
      <c r="AM223" s="424"/>
      <c r="AN223" s="424"/>
      <c r="AO223" s="425"/>
      <c r="AP223" s="425"/>
      <c r="AQ223" s="426"/>
      <c r="AR223" s="426"/>
      <c r="AS223" s="426"/>
      <c r="AT223" s="426"/>
      <c r="AU223" s="426"/>
      <c r="AV223" s="426"/>
      <c r="AW223" s="426"/>
      <c r="AX223" s="426"/>
      <c r="AY223" s="426"/>
      <c r="AZ223" s="426"/>
      <c r="BA223" s="426"/>
      <c r="BB223" s="426"/>
      <c r="BC223" s="426"/>
      <c r="BD223" s="426"/>
      <c r="BE223" s="426"/>
      <c r="BF223" s="428"/>
    </row>
    <row r="224" spans="1:58" s="370" customFormat="1" ht="14.25" hidden="1" customHeight="1" outlineLevel="1">
      <c r="A224" s="494" t="s">
        <v>708</v>
      </c>
      <c r="B224" s="490"/>
      <c r="C224" s="480"/>
      <c r="D224" s="492"/>
      <c r="E224" s="480"/>
      <c r="F224" s="480"/>
      <c r="G224" s="421"/>
      <c r="AJ224" s="424"/>
      <c r="AK224" s="424"/>
      <c r="AL224" s="424"/>
      <c r="AM224" s="424"/>
      <c r="AN224" s="424"/>
      <c r="AO224" s="425"/>
      <c r="AP224" s="425"/>
      <c r="AQ224" s="426"/>
      <c r="AR224" s="426"/>
      <c r="AS224" s="426"/>
      <c r="AT224" s="426"/>
      <c r="AU224" s="426"/>
      <c r="AV224" s="426"/>
      <c r="AW224" s="426"/>
      <c r="AX224" s="426"/>
      <c r="AY224" s="426"/>
      <c r="AZ224" s="426"/>
      <c r="BA224" s="426"/>
      <c r="BB224" s="426"/>
      <c r="BC224" s="426"/>
      <c r="BD224" s="426"/>
      <c r="BE224" s="426"/>
      <c r="BF224" s="428"/>
    </row>
    <row r="225" spans="1:57" ht="14.25" hidden="1" customHeight="1" outlineLevel="1">
      <c r="A225" s="260" t="s">
        <v>1914</v>
      </c>
      <c r="B225" s="415" t="s">
        <v>159</v>
      </c>
      <c r="C225" s="263">
        <v>0</v>
      </c>
      <c r="D225" s="366"/>
      <c r="E225" s="492"/>
      <c r="F225" s="492"/>
      <c r="G225" s="354"/>
      <c r="H225" s="354"/>
      <c r="I225" s="354"/>
      <c r="J225" s="354"/>
      <c r="K225" s="354"/>
      <c r="L225" s="354"/>
      <c r="M225" s="354"/>
      <c r="N225" s="354"/>
      <c r="O225" s="354"/>
      <c r="P225" s="354"/>
      <c r="Q225" s="354"/>
      <c r="R225" s="354"/>
      <c r="S225" s="354"/>
      <c r="T225" s="354"/>
      <c r="U225" s="354"/>
      <c r="V225" s="354"/>
      <c r="W225" s="354"/>
      <c r="X225" s="354"/>
      <c r="Y225" s="354"/>
      <c r="Z225" s="354"/>
      <c r="AA225" s="354"/>
      <c r="AB225" s="354"/>
      <c r="AC225" s="354"/>
      <c r="AD225" s="354"/>
      <c r="AE225" s="354"/>
      <c r="AF225" s="354"/>
      <c r="AG225" s="354"/>
      <c r="AH225" s="354"/>
      <c r="AI225" s="354"/>
      <c r="AJ225" s="354"/>
      <c r="AK225" s="354"/>
      <c r="AL225" s="354"/>
      <c r="AM225" s="354"/>
      <c r="AN225" s="354"/>
      <c r="AO225" s="358"/>
      <c r="AP225" s="358"/>
      <c r="AQ225" s="342"/>
      <c r="AR225" s="342"/>
      <c r="AS225" s="342"/>
      <c r="AT225" s="342"/>
      <c r="AU225" s="342"/>
      <c r="AV225" s="342"/>
      <c r="AW225" s="342"/>
      <c r="AX225" s="342"/>
      <c r="AY225" s="342"/>
      <c r="AZ225" s="342"/>
      <c r="BA225" s="342"/>
      <c r="BB225" s="342"/>
      <c r="BC225" s="342"/>
      <c r="BD225" s="342"/>
      <c r="BE225" s="342"/>
    </row>
    <row r="226" spans="1:57" ht="14.25" hidden="1" customHeight="1" outlineLevel="1">
      <c r="A226" s="495" t="s">
        <v>1915</v>
      </c>
      <c r="B226" s="496" t="s">
        <v>159</v>
      </c>
      <c r="C226" s="497">
        <v>0</v>
      </c>
      <c r="D226" s="424"/>
      <c r="E226" s="424"/>
      <c r="F226" s="424"/>
      <c r="G226" s="424"/>
      <c r="H226" s="424"/>
      <c r="I226" s="505"/>
      <c r="J226" s="424"/>
      <c r="K226" s="424"/>
      <c r="L226" s="424"/>
      <c r="M226" s="424"/>
      <c r="N226" s="424"/>
      <c r="O226" s="421"/>
      <c r="P226" s="421"/>
      <c r="Q226" s="421"/>
      <c r="R226" s="424"/>
      <c r="S226" s="424"/>
      <c r="T226" s="424"/>
      <c r="U226" s="424"/>
      <c r="V226" s="424"/>
      <c r="W226" s="424"/>
      <c r="X226" s="424"/>
      <c r="Y226" s="424"/>
      <c r="Z226" s="424"/>
      <c r="AA226" s="424"/>
      <c r="AB226" s="424"/>
      <c r="AC226" s="424"/>
      <c r="AD226" s="424"/>
      <c r="AE226" s="424"/>
      <c r="AF226" s="424"/>
      <c r="AG226" s="424"/>
      <c r="AH226" s="424"/>
      <c r="AI226" s="424"/>
      <c r="AJ226" s="424"/>
      <c r="AK226" s="424"/>
      <c r="AL226" s="421"/>
      <c r="AM226" s="421"/>
      <c r="AN226" s="421"/>
      <c r="AO226" s="506"/>
      <c r="AP226" s="425"/>
      <c r="AQ226" s="426"/>
      <c r="AR226" s="426"/>
      <c r="AS226" s="426"/>
      <c r="AT226" s="426"/>
      <c r="AU226" s="426"/>
      <c r="AV226" s="426"/>
      <c r="AW226" s="426"/>
      <c r="AX226" s="426"/>
      <c r="AY226" s="426"/>
      <c r="AZ226" s="426"/>
      <c r="BA226" s="426"/>
      <c r="BB226" s="426"/>
      <c r="BC226" s="426"/>
      <c r="BD226" s="426"/>
      <c r="BE226" s="426"/>
    </row>
    <row r="227" spans="1:57" ht="14.25" hidden="1" customHeight="1" outlineLevel="1">
      <c r="A227" s="498" t="s">
        <v>1916</v>
      </c>
      <c r="B227" s="415" t="s">
        <v>159</v>
      </c>
      <c r="C227" s="263">
        <v>0</v>
      </c>
      <c r="D227" s="424"/>
      <c r="E227" s="424"/>
      <c r="F227" s="424"/>
      <c r="G227" s="424"/>
      <c r="H227" s="424"/>
      <c r="I227" s="505"/>
      <c r="J227" s="424"/>
      <c r="K227" s="424"/>
      <c r="L227" s="424"/>
      <c r="M227" s="424"/>
      <c r="N227" s="424"/>
      <c r="O227" s="421"/>
      <c r="P227" s="421"/>
      <c r="Q227" s="421"/>
      <c r="R227" s="424"/>
      <c r="S227" s="424"/>
      <c r="T227" s="424"/>
      <c r="U227" s="424"/>
      <c r="V227" s="424"/>
      <c r="W227" s="424"/>
      <c r="X227" s="424"/>
      <c r="Y227" s="424"/>
      <c r="Z227" s="424"/>
      <c r="AA227" s="424"/>
      <c r="AB227" s="424"/>
      <c r="AC227" s="424"/>
      <c r="AD227" s="424"/>
      <c r="AE227" s="424"/>
      <c r="AF227" s="424"/>
      <c r="AG227" s="424"/>
      <c r="AH227" s="424"/>
      <c r="AI227" s="424"/>
      <c r="AJ227" s="424"/>
      <c r="AK227" s="424"/>
      <c r="AL227" s="421"/>
      <c r="AM227" s="421"/>
      <c r="AN227" s="421"/>
      <c r="AO227" s="506"/>
      <c r="AP227" s="425"/>
      <c r="AQ227" s="426"/>
      <c r="AR227" s="426"/>
      <c r="AS227" s="426"/>
      <c r="AT227" s="426"/>
      <c r="AU227" s="426"/>
      <c r="AV227" s="426"/>
      <c r="AW227" s="426"/>
      <c r="AX227" s="426"/>
      <c r="AY227" s="426"/>
      <c r="AZ227" s="426"/>
      <c r="BA227" s="426"/>
      <c r="BB227" s="426"/>
      <c r="BC227" s="426"/>
      <c r="BD227" s="426"/>
      <c r="BE227" s="426"/>
    </row>
    <row r="228" spans="1:57" ht="14.25" hidden="1" customHeight="1" outlineLevel="1">
      <c r="A228" s="331" t="s">
        <v>1917</v>
      </c>
      <c r="D228" s="424"/>
      <c r="E228" s="424"/>
      <c r="F228" s="424"/>
      <c r="G228" s="424"/>
      <c r="H228" s="424"/>
      <c r="I228" s="505"/>
      <c r="J228" s="424"/>
      <c r="K228" s="424"/>
      <c r="L228" s="424"/>
      <c r="M228" s="424"/>
      <c r="N228" s="424"/>
      <c r="O228" s="421"/>
      <c r="P228" s="421"/>
      <c r="Q228" s="421"/>
      <c r="R228" s="424"/>
      <c r="S228" s="424"/>
      <c r="T228" s="424"/>
      <c r="U228" s="424"/>
      <c r="V228" s="424"/>
      <c r="W228" s="424"/>
      <c r="X228" s="424"/>
      <c r="Y228" s="424"/>
      <c r="Z228" s="424"/>
      <c r="AA228" s="424"/>
      <c r="AB228" s="424"/>
      <c r="AC228" s="424"/>
      <c r="AD228" s="424"/>
      <c r="AE228" s="424"/>
      <c r="AF228" s="424"/>
      <c r="AG228" s="424"/>
      <c r="AH228" s="424"/>
      <c r="AI228" s="424"/>
      <c r="AJ228" s="424"/>
      <c r="AK228" s="424"/>
      <c r="AL228" s="421"/>
      <c r="AM228" s="421"/>
      <c r="AN228" s="421"/>
      <c r="AO228" s="506"/>
      <c r="AP228" s="425"/>
      <c r="AQ228" s="426"/>
      <c r="AR228" s="426"/>
      <c r="AS228" s="426"/>
      <c r="AT228" s="426"/>
      <c r="AU228" s="426"/>
      <c r="AV228" s="426"/>
      <c r="AW228" s="426"/>
      <c r="AX228" s="426"/>
      <c r="AY228" s="426"/>
      <c r="AZ228" s="426"/>
      <c r="BA228" s="426"/>
      <c r="BB228" s="426"/>
      <c r="BC228" s="426"/>
      <c r="BD228" s="426"/>
      <c r="BE228" s="426"/>
    </row>
    <row r="229" spans="1:57" ht="14.25" hidden="1" customHeight="1" outlineLevel="1">
      <c r="A229" s="491" t="s">
        <v>1938</v>
      </c>
      <c r="B229" s="370"/>
      <c r="C229" s="370"/>
      <c r="D229" s="424"/>
      <c r="E229" s="424"/>
      <c r="F229" s="424"/>
      <c r="G229" s="424"/>
      <c r="H229" s="424"/>
      <c r="I229" s="505"/>
      <c r="J229" s="424"/>
      <c r="K229" s="424"/>
      <c r="L229" s="424"/>
      <c r="M229" s="424"/>
      <c r="N229" s="424"/>
      <c r="O229" s="421"/>
      <c r="P229" s="421"/>
      <c r="Q229" s="421"/>
      <c r="R229" s="424"/>
      <c r="S229" s="424"/>
      <c r="T229" s="424"/>
      <c r="U229" s="424"/>
      <c r="V229" s="424"/>
      <c r="W229" s="424"/>
      <c r="X229" s="424"/>
      <c r="Y229" s="424"/>
      <c r="Z229" s="424"/>
      <c r="AA229" s="424"/>
      <c r="AB229" s="424"/>
      <c r="AC229" s="424"/>
      <c r="AD229" s="424"/>
      <c r="AE229" s="424"/>
      <c r="AF229" s="424"/>
      <c r="AG229" s="424"/>
      <c r="AH229" s="424"/>
      <c r="AI229" s="424"/>
      <c r="AJ229" s="424"/>
      <c r="AK229" s="424"/>
      <c r="AL229" s="421"/>
      <c r="AM229" s="421"/>
      <c r="AN229" s="421"/>
      <c r="AO229" s="506"/>
      <c r="AP229" s="425"/>
      <c r="AQ229" s="426"/>
      <c r="AR229" s="426"/>
      <c r="AS229" s="426"/>
      <c r="AT229" s="426"/>
      <c r="AU229" s="426"/>
      <c r="AV229" s="426"/>
      <c r="AW229" s="426"/>
      <c r="AX229" s="426"/>
      <c r="AY229" s="426"/>
      <c r="AZ229" s="426"/>
      <c r="BA229" s="426"/>
      <c r="BB229" s="426"/>
      <c r="BC229" s="426"/>
      <c r="BD229" s="426"/>
      <c r="BE229" s="426"/>
    </row>
    <row r="230" spans="1:57" ht="14.25" hidden="1" customHeight="1" outlineLevel="1">
      <c r="A230" s="499" t="s">
        <v>1919</v>
      </c>
      <c r="B230" s="370"/>
      <c r="C230" s="370"/>
      <c r="D230" s="424"/>
      <c r="E230" s="424"/>
      <c r="F230" s="424"/>
      <c r="G230" s="424"/>
      <c r="H230" s="424"/>
      <c r="I230" s="505"/>
      <c r="J230" s="424"/>
      <c r="K230" s="424"/>
      <c r="L230" s="424"/>
      <c r="M230" s="424"/>
      <c r="N230" s="424"/>
      <c r="O230" s="421"/>
      <c r="P230" s="421"/>
      <c r="Q230" s="421"/>
      <c r="R230" s="424"/>
      <c r="S230" s="424"/>
      <c r="T230" s="424"/>
      <c r="U230" s="424"/>
      <c r="V230" s="424"/>
      <c r="W230" s="424"/>
      <c r="X230" s="424"/>
      <c r="Y230" s="424"/>
      <c r="Z230" s="424"/>
      <c r="AA230" s="424"/>
      <c r="AB230" s="424"/>
      <c r="AC230" s="424"/>
      <c r="AD230" s="424"/>
      <c r="AE230" s="424"/>
      <c r="AF230" s="424"/>
      <c r="AG230" s="424"/>
      <c r="AH230" s="424"/>
      <c r="AI230" s="424"/>
      <c r="AJ230" s="424"/>
      <c r="AK230" s="424"/>
      <c r="AL230" s="421"/>
      <c r="AM230" s="421"/>
      <c r="AN230" s="421"/>
      <c r="AO230" s="506"/>
      <c r="AP230" s="425"/>
      <c r="AQ230" s="426"/>
      <c r="AR230" s="426"/>
      <c r="AS230" s="426"/>
      <c r="AT230" s="426"/>
      <c r="AU230" s="426"/>
      <c r="AV230" s="426"/>
      <c r="AW230" s="426"/>
      <c r="AX230" s="426"/>
      <c r="AY230" s="426"/>
      <c r="AZ230" s="426"/>
      <c r="BA230" s="426"/>
      <c r="BB230" s="426"/>
      <c r="BC230" s="426"/>
      <c r="BD230" s="426"/>
      <c r="BE230" s="426"/>
    </row>
    <row r="231" spans="1:57" ht="14.25" hidden="1" customHeight="1" outlineLevel="1">
      <c r="A231" s="491" t="s">
        <v>1939</v>
      </c>
      <c r="B231" s="370"/>
      <c r="C231" s="370"/>
      <c r="D231" s="424"/>
      <c r="E231" s="424"/>
      <c r="F231" s="424"/>
      <c r="G231" s="424"/>
      <c r="H231" s="424"/>
      <c r="I231" s="505"/>
      <c r="J231" s="424"/>
      <c r="K231" s="424"/>
      <c r="L231" s="424"/>
      <c r="M231" s="424"/>
      <c r="N231" s="424"/>
      <c r="O231" s="421"/>
      <c r="P231" s="421"/>
      <c r="Q231" s="421"/>
      <c r="R231" s="424"/>
      <c r="S231" s="424"/>
      <c r="T231" s="424"/>
      <c r="U231" s="424"/>
      <c r="V231" s="424"/>
      <c r="W231" s="424"/>
      <c r="X231" s="424"/>
      <c r="Y231" s="424"/>
      <c r="Z231" s="424"/>
      <c r="AA231" s="424"/>
      <c r="AB231" s="424"/>
      <c r="AC231" s="424"/>
      <c r="AD231" s="424"/>
      <c r="AE231" s="424"/>
      <c r="AF231" s="424"/>
      <c r="AG231" s="424"/>
      <c r="AH231" s="424"/>
      <c r="AI231" s="424"/>
      <c r="AJ231" s="424"/>
      <c r="AK231" s="424"/>
      <c r="AL231" s="421"/>
      <c r="AM231" s="421"/>
      <c r="AN231" s="421"/>
      <c r="AO231" s="506"/>
      <c r="AP231" s="425"/>
      <c r="AQ231" s="426"/>
      <c r="AR231" s="426"/>
      <c r="AS231" s="426"/>
      <c r="AT231" s="426"/>
      <c r="AU231" s="426"/>
      <c r="AV231" s="426"/>
      <c r="AW231" s="426"/>
      <c r="AX231" s="426"/>
      <c r="AY231" s="426"/>
      <c r="AZ231" s="426"/>
      <c r="BA231" s="426"/>
      <c r="BB231" s="426"/>
      <c r="BC231" s="426"/>
      <c r="BD231" s="426"/>
      <c r="BE231" s="426"/>
    </row>
    <row r="232" spans="1:57" ht="14.25" hidden="1" customHeight="1" outlineLevel="1">
      <c r="A232" s="331" t="s">
        <v>1922</v>
      </c>
      <c r="D232" s="424"/>
      <c r="E232" s="424"/>
      <c r="F232" s="424"/>
      <c r="G232" s="424"/>
      <c r="H232" s="424"/>
      <c r="I232" s="505"/>
      <c r="J232" s="424"/>
      <c r="K232" s="424"/>
      <c r="L232" s="424"/>
      <c r="M232" s="424"/>
      <c r="N232" s="424"/>
      <c r="O232" s="421"/>
      <c r="P232" s="421"/>
      <c r="Q232" s="421"/>
      <c r="R232" s="424"/>
      <c r="S232" s="424"/>
      <c r="T232" s="424"/>
      <c r="U232" s="424"/>
      <c r="V232" s="424"/>
      <c r="W232" s="424"/>
      <c r="X232" s="424"/>
      <c r="Y232" s="424"/>
      <c r="Z232" s="424"/>
      <c r="AA232" s="424"/>
      <c r="AB232" s="424"/>
      <c r="AC232" s="424"/>
      <c r="AD232" s="424"/>
      <c r="AE232" s="424"/>
      <c r="AF232" s="424"/>
      <c r="AG232" s="424"/>
      <c r="AH232" s="424"/>
      <c r="AI232" s="424"/>
      <c r="AJ232" s="424"/>
      <c r="AK232" s="424"/>
      <c r="AL232" s="421"/>
      <c r="AM232" s="421"/>
      <c r="AN232" s="421"/>
      <c r="AO232" s="506"/>
      <c r="AP232" s="425"/>
      <c r="AQ232" s="426"/>
      <c r="AR232" s="426"/>
      <c r="AS232" s="426"/>
      <c r="AT232" s="426"/>
      <c r="AU232" s="426"/>
      <c r="AV232" s="426"/>
      <c r="AW232" s="426"/>
      <c r="AX232" s="426"/>
      <c r="AY232" s="426"/>
      <c r="AZ232" s="426"/>
      <c r="BA232" s="426"/>
      <c r="BB232" s="426"/>
      <c r="BC232" s="426"/>
      <c r="BD232" s="426"/>
      <c r="BE232" s="426"/>
    </row>
    <row r="233" spans="1:57" ht="14.25" hidden="1" customHeight="1" outlineLevel="1">
      <c r="A233" s="414" t="s">
        <v>152</v>
      </c>
      <c r="B233" s="415" t="s">
        <v>1793</v>
      </c>
      <c r="C233" s="388">
        <v>4</v>
      </c>
      <c r="D233" s="424"/>
      <c r="E233" s="424"/>
      <c r="F233" s="424"/>
      <c r="G233" s="424"/>
      <c r="H233" s="424"/>
      <c r="I233" s="505"/>
      <c r="J233" s="424"/>
      <c r="K233" s="424"/>
      <c r="L233" s="424"/>
      <c r="M233" s="424"/>
      <c r="N233" s="424"/>
      <c r="O233" s="421"/>
      <c r="P233" s="421"/>
      <c r="Q233" s="421"/>
      <c r="R233" s="424"/>
      <c r="S233" s="424"/>
      <c r="T233" s="424"/>
      <c r="U233" s="424"/>
      <c r="V233" s="424"/>
      <c r="W233" s="424"/>
      <c r="X233" s="424"/>
      <c r="Y233" s="424"/>
      <c r="Z233" s="424"/>
      <c r="AA233" s="424"/>
      <c r="AB233" s="424"/>
      <c r="AC233" s="424"/>
      <c r="AD233" s="424"/>
      <c r="AE233" s="424"/>
      <c r="AF233" s="424"/>
      <c r="AG233" s="424"/>
      <c r="AH233" s="424"/>
      <c r="AI233" s="424"/>
      <c r="AJ233" s="424"/>
      <c r="AK233" s="424"/>
      <c r="AL233" s="421"/>
      <c r="AM233" s="421"/>
      <c r="AN233" s="421"/>
      <c r="AO233" s="506"/>
      <c r="AP233" s="425"/>
      <c r="AQ233" s="426"/>
      <c r="AR233" s="426"/>
      <c r="AS233" s="426"/>
      <c r="AT233" s="426"/>
      <c r="AU233" s="426"/>
      <c r="AV233" s="426"/>
      <c r="AW233" s="426"/>
      <c r="AX233" s="426"/>
      <c r="AY233" s="426"/>
      <c r="AZ233" s="426"/>
      <c r="BA233" s="426"/>
      <c r="BB233" s="426"/>
      <c r="BC233" s="426"/>
      <c r="BD233" s="426"/>
      <c r="BE233" s="426"/>
    </row>
    <row r="234" spans="1:57" ht="14.25" hidden="1" customHeight="1" outlineLevel="1">
      <c r="A234" s="412" t="s">
        <v>152</v>
      </c>
      <c r="B234" s="415" t="s">
        <v>1793</v>
      </c>
      <c r="C234" s="380">
        <v>0</v>
      </c>
      <c r="D234" s="424"/>
      <c r="E234" s="424"/>
      <c r="F234" s="424"/>
      <c r="G234" s="424"/>
      <c r="H234" s="424"/>
      <c r="I234" s="505"/>
      <c r="J234" s="424"/>
      <c r="K234" s="424"/>
      <c r="L234" s="424"/>
      <c r="M234" s="424"/>
      <c r="N234" s="424"/>
      <c r="O234" s="421"/>
      <c r="P234" s="421"/>
      <c r="Q234" s="421"/>
      <c r="R234" s="424"/>
      <c r="S234" s="424"/>
      <c r="T234" s="424"/>
      <c r="U234" s="424"/>
      <c r="V234" s="424"/>
      <c r="W234" s="424"/>
      <c r="X234" s="424"/>
      <c r="Y234" s="424"/>
      <c r="Z234" s="424"/>
      <c r="AA234" s="424"/>
      <c r="AB234" s="424"/>
      <c r="AC234" s="424"/>
      <c r="AD234" s="424"/>
      <c r="AE234" s="424"/>
      <c r="AF234" s="424"/>
      <c r="AG234" s="424"/>
      <c r="AH234" s="424"/>
      <c r="AI234" s="424"/>
      <c r="AJ234" s="424"/>
      <c r="AK234" s="424"/>
      <c r="AL234" s="421"/>
      <c r="AM234" s="421"/>
      <c r="AN234" s="421"/>
      <c r="AO234" s="506"/>
      <c r="AP234" s="425"/>
      <c r="AQ234" s="426"/>
      <c r="AR234" s="426"/>
      <c r="AS234" s="426"/>
      <c r="AT234" s="426"/>
      <c r="AU234" s="426"/>
      <c r="AV234" s="426"/>
      <c r="AW234" s="426"/>
      <c r="AX234" s="426"/>
      <c r="AY234" s="426"/>
      <c r="AZ234" s="426"/>
      <c r="BA234" s="426"/>
      <c r="BB234" s="426"/>
      <c r="BC234" s="426"/>
      <c r="BD234" s="426"/>
      <c r="BE234" s="426"/>
    </row>
    <row r="235" spans="1:57" ht="14.25" hidden="1" customHeight="1" outlineLevel="1">
      <c r="D235" s="424"/>
      <c r="E235" s="424"/>
      <c r="F235" s="424"/>
      <c r="G235" s="424"/>
      <c r="H235" s="424"/>
      <c r="I235" s="505"/>
      <c r="J235" s="424"/>
      <c r="K235" s="424"/>
      <c r="L235" s="424"/>
      <c r="M235" s="424"/>
      <c r="N235" s="424"/>
      <c r="O235" s="421"/>
      <c r="P235" s="421"/>
      <c r="Q235" s="421"/>
      <c r="R235" s="424"/>
      <c r="S235" s="424"/>
      <c r="T235" s="424"/>
      <c r="U235" s="424"/>
      <c r="V235" s="424"/>
      <c r="W235" s="424"/>
      <c r="X235" s="424"/>
      <c r="Y235" s="424"/>
      <c r="Z235" s="424"/>
      <c r="AA235" s="424"/>
      <c r="AB235" s="424"/>
      <c r="AC235" s="424"/>
      <c r="AD235" s="424"/>
      <c r="AE235" s="424"/>
      <c r="AF235" s="424"/>
      <c r="AG235" s="424"/>
      <c r="AH235" s="424"/>
      <c r="AI235" s="424"/>
      <c r="AJ235" s="424"/>
      <c r="AK235" s="424"/>
      <c r="AL235" s="421"/>
      <c r="AM235" s="421"/>
      <c r="AN235" s="421"/>
      <c r="AO235" s="506"/>
      <c r="AP235" s="425"/>
      <c r="AQ235" s="426"/>
      <c r="AR235" s="426"/>
      <c r="AS235" s="426"/>
      <c r="AT235" s="426"/>
      <c r="AU235" s="426"/>
      <c r="AV235" s="426"/>
      <c r="AW235" s="426"/>
      <c r="AX235" s="426"/>
      <c r="AY235" s="426"/>
      <c r="AZ235" s="426"/>
      <c r="BA235" s="426"/>
      <c r="BB235" s="426"/>
      <c r="BC235" s="426"/>
      <c r="BD235" s="426"/>
      <c r="BE235" s="426"/>
    </row>
    <row r="236" spans="1:57" ht="14.25" hidden="1" customHeight="1" outlineLevel="1">
      <c r="A236" s="416" t="s">
        <v>1940</v>
      </c>
      <c r="B236" s="415" t="s">
        <v>1796</v>
      </c>
      <c r="C236" s="501">
        <v>0</v>
      </c>
      <c r="D236" s="424"/>
      <c r="E236" s="424"/>
      <c r="F236" s="424"/>
      <c r="G236" s="424"/>
      <c r="H236" s="424"/>
      <c r="I236" s="505"/>
      <c r="J236" s="424"/>
      <c r="K236" s="424"/>
      <c r="L236" s="424"/>
      <c r="M236" s="424"/>
      <c r="N236" s="424"/>
      <c r="O236" s="421"/>
      <c r="P236" s="421"/>
      <c r="Q236" s="421"/>
      <c r="R236" s="424"/>
      <c r="S236" s="424"/>
      <c r="T236" s="424"/>
      <c r="U236" s="424"/>
      <c r="V236" s="424"/>
      <c r="W236" s="424"/>
      <c r="X236" s="424"/>
      <c r="Y236" s="424"/>
      <c r="Z236" s="424"/>
      <c r="AA236" s="424"/>
      <c r="AB236" s="424"/>
      <c r="AC236" s="424"/>
      <c r="AD236" s="424"/>
      <c r="AE236" s="424"/>
      <c r="AF236" s="424"/>
      <c r="AG236" s="424"/>
      <c r="AH236" s="424"/>
      <c r="AI236" s="424"/>
      <c r="AJ236" s="424"/>
      <c r="AK236" s="424"/>
      <c r="AL236" s="421"/>
      <c r="AM236" s="421"/>
      <c r="AN236" s="421"/>
      <c r="AO236" s="506"/>
      <c r="AP236" s="425"/>
      <c r="AQ236" s="426"/>
      <c r="AR236" s="426"/>
      <c r="AS236" s="426"/>
      <c r="AT236" s="426"/>
      <c r="AU236" s="426"/>
      <c r="AV236" s="426"/>
      <c r="AW236" s="426"/>
      <c r="AX236" s="426"/>
      <c r="AY236" s="426"/>
      <c r="AZ236" s="426"/>
      <c r="BA236" s="426"/>
      <c r="BB236" s="426"/>
      <c r="BC236" s="426"/>
      <c r="BD236" s="426"/>
      <c r="BE236" s="426"/>
    </row>
    <row r="237" spans="1:57" ht="14.25" customHeight="1" collapsed="1">
      <c r="A237" s="3062" t="s">
        <v>1941</v>
      </c>
      <c r="B237" s="3062"/>
      <c r="C237" s="3062"/>
      <c r="D237" s="3062"/>
      <c r="E237" s="3062"/>
      <c r="F237" s="419" t="s">
        <v>1798</v>
      </c>
      <c r="G237" s="424"/>
      <c r="H237" s="424"/>
      <c r="I237" s="505"/>
      <c r="J237" s="424"/>
      <c r="K237" s="424"/>
      <c r="L237" s="424"/>
      <c r="M237" s="424"/>
      <c r="N237" s="424"/>
      <c r="O237" s="421"/>
      <c r="P237" s="421"/>
      <c r="Q237" s="421"/>
      <c r="R237" s="424"/>
      <c r="S237" s="424"/>
      <c r="T237" s="424"/>
      <c r="U237" s="424"/>
      <c r="V237" s="424"/>
      <c r="W237" s="424"/>
      <c r="X237" s="424"/>
      <c r="Y237" s="424"/>
      <c r="Z237" s="424"/>
      <c r="AA237" s="424"/>
      <c r="AB237" s="424"/>
      <c r="AC237" s="424"/>
      <c r="AD237" s="424"/>
      <c r="AE237" s="424"/>
      <c r="AF237" s="424"/>
      <c r="AG237" s="424"/>
      <c r="AH237" s="424"/>
      <c r="AI237" s="424"/>
      <c r="AJ237" s="424"/>
      <c r="AK237" s="424"/>
      <c r="AL237" s="421"/>
      <c r="AM237" s="421"/>
      <c r="AN237" s="421"/>
      <c r="AO237" s="506"/>
      <c r="AP237" s="425"/>
      <c r="AQ237" s="426"/>
      <c r="AR237" s="426"/>
      <c r="AS237" s="426"/>
      <c r="AT237" s="426"/>
      <c r="AU237" s="426"/>
      <c r="AV237" s="426"/>
      <c r="AW237" s="426"/>
      <c r="AX237" s="426"/>
      <c r="AY237" s="426"/>
      <c r="AZ237" s="426"/>
      <c r="BA237" s="426"/>
      <c r="BB237" s="426"/>
      <c r="BC237" s="426"/>
      <c r="BD237" s="426"/>
      <c r="BE237" s="426"/>
    </row>
    <row r="238" spans="1:57" ht="14.25" customHeight="1">
      <c r="A238" s="424"/>
      <c r="B238" s="463"/>
      <c r="C238" s="424"/>
      <c r="D238" s="424"/>
      <c r="E238" s="424"/>
      <c r="F238" s="424"/>
      <c r="G238" s="424"/>
      <c r="H238" s="424"/>
      <c r="I238" s="505"/>
      <c r="J238" s="424"/>
      <c r="K238" s="424"/>
      <c r="L238" s="424"/>
      <c r="M238" s="424"/>
      <c r="N238" s="424"/>
      <c r="O238" s="421"/>
      <c r="P238" s="421"/>
      <c r="Q238" s="421"/>
      <c r="R238" s="424"/>
      <c r="S238" s="424"/>
      <c r="T238" s="424"/>
      <c r="U238" s="424"/>
      <c r="V238" s="424"/>
      <c r="W238" s="424"/>
      <c r="X238" s="424"/>
      <c r="Y238" s="424"/>
      <c r="Z238" s="424"/>
      <c r="AA238" s="424"/>
      <c r="AB238" s="424"/>
      <c r="AC238" s="424"/>
      <c r="AD238" s="424"/>
      <c r="AE238" s="424"/>
      <c r="AF238" s="424"/>
      <c r="AG238" s="424"/>
      <c r="AH238" s="424"/>
      <c r="AI238" s="424"/>
      <c r="AJ238" s="424"/>
      <c r="AK238" s="424"/>
      <c r="AL238" s="421"/>
      <c r="AM238" s="421"/>
      <c r="AN238" s="421"/>
      <c r="AO238" s="506"/>
      <c r="AP238" s="425"/>
      <c r="AQ238" s="426"/>
      <c r="AR238" s="426"/>
      <c r="AS238" s="426"/>
      <c r="AT238" s="426"/>
      <c r="AU238" s="426"/>
      <c r="AV238" s="426"/>
      <c r="AW238" s="426"/>
      <c r="AX238" s="426"/>
      <c r="AY238" s="426"/>
      <c r="AZ238" s="426"/>
      <c r="BA238" s="426"/>
      <c r="BB238" s="426"/>
      <c r="BC238" s="426"/>
      <c r="BD238" s="426"/>
      <c r="BE238" s="426"/>
    </row>
    <row r="239" spans="1:57" ht="14.25" hidden="1" customHeight="1" outlineLevel="1">
      <c r="A239" s="3090" t="s">
        <v>1942</v>
      </c>
      <c r="B239" s="3090"/>
      <c r="C239" s="3090"/>
      <c r="D239" s="3090"/>
      <c r="E239" s="3090"/>
      <c r="H239" s="424"/>
      <c r="I239" s="505"/>
      <c r="J239" s="3063" t="s">
        <v>1942</v>
      </c>
      <c r="K239" s="3063"/>
      <c r="L239" s="3063"/>
      <c r="M239" s="3063"/>
      <c r="N239" s="3063"/>
      <c r="O239" s="3063"/>
      <c r="P239" s="3063"/>
      <c r="Q239" s="3063"/>
      <c r="R239" s="3063"/>
      <c r="S239" s="3063"/>
      <c r="T239" s="3063"/>
      <c r="U239" s="3063"/>
      <c r="V239" s="3063"/>
      <c r="W239" s="3063"/>
      <c r="X239" s="3063"/>
      <c r="Y239" s="3063"/>
      <c r="Z239" s="3063"/>
      <c r="AA239" s="3063"/>
      <c r="AB239" s="3063"/>
      <c r="AC239" s="3063"/>
      <c r="AD239" s="424"/>
      <c r="AE239" s="424"/>
      <c r="AF239" s="424"/>
      <c r="AG239" s="424"/>
      <c r="AH239" s="424"/>
      <c r="AI239" s="424"/>
      <c r="AJ239" s="424"/>
      <c r="AK239" s="424"/>
      <c r="AL239" s="354"/>
      <c r="AM239" s="354"/>
      <c r="AN239" s="354"/>
      <c r="AO239" s="358"/>
      <c r="AP239" s="358"/>
      <c r="AQ239" s="342"/>
      <c r="AR239" s="426"/>
      <c r="AS239" s="426"/>
      <c r="AT239" s="426"/>
      <c r="AU239" s="426"/>
      <c r="AV239" s="426"/>
      <c r="AW239" s="426"/>
      <c r="AX239" s="426"/>
      <c r="AY239" s="426"/>
      <c r="AZ239" s="426"/>
      <c r="BA239" s="426"/>
      <c r="BB239" s="426"/>
      <c r="BC239" s="426"/>
      <c r="BD239" s="426"/>
      <c r="BE239" s="426"/>
    </row>
    <row r="240" spans="1:57" ht="14.25" hidden="1" customHeight="1" outlineLevel="1">
      <c r="A240" s="3095" t="s">
        <v>1884</v>
      </c>
      <c r="B240" s="3095"/>
      <c r="C240" s="3095"/>
      <c r="D240" s="3095"/>
      <c r="E240" s="507">
        <v>1</v>
      </c>
      <c r="F240" s="503"/>
      <c r="G240" s="503"/>
      <c r="H240" s="424"/>
      <c r="I240" s="354"/>
      <c r="J240" s="3063"/>
      <c r="K240" s="3063"/>
      <c r="L240" s="3063"/>
      <c r="M240" s="3063"/>
      <c r="N240" s="3063"/>
      <c r="O240" s="3063"/>
      <c r="P240" s="3063"/>
      <c r="Q240" s="3063"/>
      <c r="R240" s="3063"/>
      <c r="S240" s="3063"/>
      <c r="T240" s="3063"/>
      <c r="U240" s="3063"/>
      <c r="V240" s="3063"/>
      <c r="W240" s="3063"/>
      <c r="X240" s="3063"/>
      <c r="Y240" s="3063"/>
      <c r="Z240" s="3063"/>
      <c r="AA240" s="3063"/>
      <c r="AB240" s="3063"/>
      <c r="AC240" s="3063"/>
      <c r="AD240" s="424"/>
      <c r="AE240" s="424"/>
      <c r="AF240" s="424"/>
      <c r="AG240" s="424"/>
      <c r="AH240" s="424"/>
      <c r="AI240" s="424"/>
      <c r="AJ240" s="424"/>
      <c r="AK240" s="424"/>
      <c r="AL240" s="424"/>
      <c r="AM240" s="424"/>
      <c r="AN240" s="424"/>
      <c r="AO240" s="358"/>
      <c r="AP240" s="358"/>
      <c r="AQ240" s="342"/>
      <c r="AR240" s="426"/>
      <c r="AS240" s="426"/>
      <c r="AT240" s="426"/>
      <c r="AU240" s="426"/>
      <c r="AV240" s="426"/>
      <c r="AW240" s="426"/>
      <c r="AX240" s="426"/>
      <c r="AY240" s="426"/>
      <c r="AZ240" s="426"/>
      <c r="BA240" s="426"/>
      <c r="BB240" s="426"/>
      <c r="BC240" s="426"/>
      <c r="BD240" s="426"/>
      <c r="BE240" s="426"/>
    </row>
    <row r="241" spans="1:57" ht="14.25" hidden="1" customHeight="1" outlineLevel="1">
      <c r="A241" s="3095" t="s">
        <v>1885</v>
      </c>
      <c r="B241" s="3095"/>
      <c r="C241" s="3095"/>
      <c r="D241" s="3095"/>
      <c r="E241" s="507">
        <v>1</v>
      </c>
      <c r="F241" s="466"/>
      <c r="G241" s="424"/>
      <c r="H241" s="366"/>
      <c r="I241" s="354"/>
      <c r="J241" s="424"/>
      <c r="K241" s="424"/>
      <c r="L241" s="424"/>
      <c r="M241" s="424"/>
      <c r="N241" s="354"/>
      <c r="O241" s="424"/>
      <c r="P241" s="424"/>
      <c r="Q241" s="424"/>
      <c r="R241" s="508"/>
      <c r="S241" s="508"/>
      <c r="T241" s="508"/>
      <c r="U241" s="508"/>
      <c r="V241" s="508"/>
      <c r="W241" s="508"/>
      <c r="X241" s="508"/>
      <c r="Y241" s="508"/>
      <c r="Z241" s="508"/>
      <c r="AA241" s="508"/>
      <c r="AB241" s="508"/>
      <c r="AC241" s="508"/>
      <c r="AD241" s="508"/>
      <c r="AE241" s="508"/>
      <c r="AF241" s="508"/>
      <c r="AG241" s="508"/>
      <c r="AH241" s="508"/>
      <c r="AI241" s="508"/>
      <c r="AJ241" s="508"/>
      <c r="AK241" s="508"/>
      <c r="AL241" s="424"/>
      <c r="AM241" s="424"/>
      <c r="AN241" s="424"/>
      <c r="AO241" s="358"/>
      <c r="AP241" s="358"/>
      <c r="AQ241" s="342"/>
      <c r="AR241" s="426"/>
      <c r="AS241" s="426"/>
      <c r="AT241" s="426"/>
      <c r="AU241" s="426"/>
      <c r="AV241" s="426"/>
      <c r="AW241" s="426"/>
      <c r="AX241" s="426"/>
      <c r="AY241" s="426"/>
      <c r="AZ241" s="426"/>
      <c r="BA241" s="426"/>
      <c r="BB241" s="426"/>
      <c r="BC241" s="426"/>
      <c r="BD241" s="426"/>
      <c r="BE241" s="426"/>
    </row>
    <row r="242" spans="1:57" ht="14.25" hidden="1" customHeight="1" outlineLevel="1">
      <c r="F242" s="466"/>
      <c r="G242" s="509"/>
      <c r="H242" s="366"/>
      <c r="I242" s="354"/>
      <c r="J242" s="424"/>
      <c r="K242" s="424"/>
      <c r="L242" s="424"/>
      <c r="M242" s="424"/>
      <c r="N242" s="354"/>
      <c r="O242" s="424"/>
      <c r="P242" s="424"/>
      <c r="Q242" s="424"/>
      <c r="R242" s="508"/>
      <c r="S242" s="508"/>
      <c r="T242" s="508"/>
      <c r="U242" s="508"/>
      <c r="V242" s="508"/>
      <c r="W242" s="508"/>
      <c r="X242" s="508"/>
      <c r="Y242" s="508"/>
      <c r="Z242" s="508"/>
      <c r="AA242" s="508"/>
      <c r="AB242" s="508"/>
      <c r="AC242" s="508"/>
      <c r="AD242" s="508"/>
      <c r="AE242" s="508"/>
      <c r="AF242" s="508"/>
      <c r="AG242" s="508"/>
      <c r="AH242" s="508"/>
      <c r="AI242" s="508"/>
      <c r="AJ242" s="508"/>
      <c r="AK242" s="508"/>
      <c r="AL242" s="424"/>
      <c r="AM242" s="424"/>
      <c r="AN242" s="424"/>
      <c r="AO242" s="358"/>
      <c r="AP242" s="358"/>
      <c r="AQ242" s="342"/>
      <c r="AR242" s="426"/>
      <c r="AS242" s="426"/>
      <c r="AT242" s="426"/>
      <c r="AU242" s="426"/>
      <c r="AV242" s="426"/>
      <c r="AW242" s="426"/>
      <c r="AX242" s="426"/>
      <c r="AY242" s="426"/>
      <c r="AZ242" s="426"/>
      <c r="BA242" s="426"/>
      <c r="BB242" s="426"/>
      <c r="BC242" s="426"/>
      <c r="BD242" s="426"/>
      <c r="BE242" s="426"/>
    </row>
    <row r="243" spans="1:57" ht="14.25" hidden="1" customHeight="1" outlineLevel="1">
      <c r="A243" s="438" t="s">
        <v>1093</v>
      </c>
      <c r="B243" s="438" t="s">
        <v>208</v>
      </c>
      <c r="C243" s="438" t="s">
        <v>156</v>
      </c>
      <c r="D243" s="510"/>
      <c r="E243" s="511"/>
      <c r="F243" s="511"/>
      <c r="G243" s="424"/>
      <c r="H243" s="355" t="s">
        <v>156</v>
      </c>
      <c r="AK243" s="424"/>
      <c r="AL243" s="424"/>
      <c r="AM243" s="424"/>
      <c r="AN243" s="424"/>
      <c r="AO243" s="358"/>
      <c r="AP243" s="358"/>
      <c r="AQ243" s="342"/>
      <c r="AR243" s="426"/>
      <c r="AS243" s="426"/>
      <c r="AT243" s="426"/>
      <c r="AU243" s="426"/>
      <c r="AV243" s="426"/>
      <c r="AW243" s="426"/>
      <c r="AX243" s="426"/>
      <c r="AY243" s="426"/>
      <c r="AZ243" s="426"/>
      <c r="BA243" s="426"/>
      <c r="BB243" s="426"/>
      <c r="BC243" s="426"/>
      <c r="BD243" s="426"/>
      <c r="BE243" s="426"/>
    </row>
    <row r="244" spans="1:57" ht="14.25" hidden="1" customHeight="1" outlineLevel="1">
      <c r="A244" s="331" t="s">
        <v>1889</v>
      </c>
      <c r="B244" s="512"/>
      <c r="C244" s="513"/>
      <c r="D244" s="510"/>
      <c r="E244" s="511"/>
      <c r="F244" s="511"/>
      <c r="G244" s="424"/>
      <c r="H244" s="360">
        <v>9.1</v>
      </c>
      <c r="AK244" s="424"/>
      <c r="AL244" s="424"/>
      <c r="AM244" s="424"/>
      <c r="AN244" s="424"/>
      <c r="AO244" s="358"/>
      <c r="AP244" s="358"/>
      <c r="AQ244" s="342"/>
      <c r="AR244" s="426"/>
      <c r="AS244" s="426"/>
      <c r="AT244" s="426"/>
      <c r="AU244" s="426"/>
      <c r="AV244" s="426"/>
      <c r="AW244" s="426"/>
      <c r="AX244" s="426"/>
      <c r="AY244" s="426"/>
      <c r="AZ244" s="426"/>
      <c r="BA244" s="426"/>
      <c r="BB244" s="426"/>
      <c r="BC244" s="426"/>
      <c r="BD244" s="426"/>
      <c r="BE244" s="426"/>
    </row>
    <row r="245" spans="1:57" ht="14.25" hidden="1" customHeight="1" outlineLevel="1">
      <c r="A245" s="477" t="s">
        <v>1890</v>
      </c>
      <c r="D245" s="424"/>
      <c r="E245" s="366"/>
      <c r="F245" s="366"/>
      <c r="G245" s="366"/>
      <c r="H245" s="366"/>
      <c r="I245" s="366"/>
      <c r="J245" s="366"/>
      <c r="K245" s="366"/>
      <c r="L245" s="366"/>
      <c r="N245" s="355"/>
      <c r="O245" s="366"/>
      <c r="P245" s="366"/>
      <c r="Q245" s="366"/>
      <c r="R245" s="366"/>
      <c r="S245" s="366"/>
      <c r="T245" s="366"/>
      <c r="U245" s="366"/>
      <c r="V245" s="366"/>
      <c r="W245" s="366"/>
      <c r="X245" s="366"/>
      <c r="Y245" s="366"/>
      <c r="Z245" s="366"/>
      <c r="AA245" s="366"/>
      <c r="AB245" s="366"/>
      <c r="AC245" s="366"/>
      <c r="AD245" s="366"/>
      <c r="AE245" s="366"/>
      <c r="AF245" s="366"/>
      <c r="AG245" s="366"/>
      <c r="AH245" s="366"/>
      <c r="AK245" s="424"/>
      <c r="AL245" s="424"/>
      <c r="AM245" s="424"/>
      <c r="AN245" s="424"/>
      <c r="AO245" s="425"/>
      <c r="AP245" s="425"/>
      <c r="AQ245" s="426"/>
      <c r="AR245" s="426"/>
      <c r="AS245" s="426"/>
      <c r="AT245" s="426"/>
      <c r="AU245" s="426"/>
      <c r="AV245" s="426"/>
      <c r="AW245" s="426"/>
      <c r="AX245" s="426"/>
      <c r="AY245" s="426"/>
      <c r="AZ245" s="426"/>
      <c r="BA245" s="426"/>
      <c r="BB245" s="426"/>
      <c r="BC245" s="426"/>
      <c r="BD245" s="426"/>
      <c r="BE245" s="426"/>
    </row>
    <row r="246" spans="1:57" ht="14.25" hidden="1" customHeight="1" outlineLevel="1">
      <c r="A246" s="478" t="s">
        <v>1891</v>
      </c>
      <c r="D246" s="424"/>
      <c r="E246" s="366"/>
      <c r="F246" s="366"/>
      <c r="G246" s="366"/>
      <c r="H246" s="355" t="s">
        <v>156</v>
      </c>
      <c r="J246" s="355"/>
      <c r="K246" s="366"/>
      <c r="L246" s="366"/>
      <c r="N246" s="360"/>
      <c r="O246" s="366"/>
      <c r="P246" s="366"/>
      <c r="Q246" s="366"/>
      <c r="R246" s="366"/>
      <c r="S246" s="366"/>
      <c r="T246" s="366"/>
      <c r="U246" s="366" t="s">
        <v>1926</v>
      </c>
      <c r="V246" s="366"/>
      <c r="W246" s="366"/>
      <c r="X246" s="366"/>
      <c r="Y246" s="366"/>
      <c r="Z246" s="366"/>
      <c r="AA246" s="366"/>
      <c r="AB246" s="366"/>
      <c r="AC246" s="366"/>
      <c r="AD246" s="366"/>
      <c r="AE246" s="366"/>
      <c r="AF246" s="466" t="s">
        <v>1937</v>
      </c>
      <c r="AG246" s="366"/>
      <c r="AH246" s="366"/>
      <c r="AK246" s="424"/>
      <c r="AL246" s="424"/>
      <c r="AM246" s="424"/>
      <c r="AN246" s="424"/>
      <c r="AO246" s="425"/>
      <c r="AP246" s="425"/>
      <c r="AQ246" s="426"/>
      <c r="AR246" s="426"/>
      <c r="AS246" s="426"/>
      <c r="AT246" s="426"/>
      <c r="AU246" s="426"/>
      <c r="AV246" s="426"/>
      <c r="AW246" s="426"/>
      <c r="AX246" s="426"/>
      <c r="AY246" s="426"/>
      <c r="AZ246" s="426"/>
      <c r="BA246" s="426"/>
      <c r="BB246" s="426"/>
      <c r="BC246" s="426"/>
      <c r="BD246" s="426"/>
      <c r="BE246" s="426"/>
    </row>
    <row r="247" spans="1:57" ht="14.25" hidden="1" customHeight="1" outlineLevel="1">
      <c r="A247" s="483" t="s">
        <v>493</v>
      </c>
      <c r="B247" s="479"/>
      <c r="C247" s="514"/>
      <c r="D247" s="424"/>
      <c r="E247" s="366"/>
      <c r="F247" s="366"/>
      <c r="G247" s="366"/>
      <c r="H247" s="381">
        <v>7.9</v>
      </c>
      <c r="J247" s="381"/>
      <c r="K247" s="421"/>
      <c r="L247" s="421"/>
      <c r="M247" s="360"/>
      <c r="N247" s="360"/>
      <c r="O247" s="421"/>
      <c r="P247" s="421"/>
      <c r="Q247" s="421"/>
      <c r="R247" s="421"/>
      <c r="S247" s="421"/>
      <c r="T247" s="421"/>
      <c r="U247" s="421"/>
      <c r="V247" s="421"/>
      <c r="W247" s="421"/>
      <c r="X247" s="421"/>
      <c r="Y247" s="421"/>
      <c r="Z247" s="421"/>
      <c r="AA247" s="366"/>
      <c r="AB247" s="366"/>
      <c r="AC247" s="366"/>
      <c r="AD247" s="366"/>
      <c r="AE247" s="366"/>
      <c r="AF247" s="381">
        <v>41</v>
      </c>
      <c r="AG247" s="381"/>
      <c r="AH247" s="366"/>
      <c r="AK247" s="424"/>
      <c r="AL247" s="424"/>
      <c r="AM247" s="424"/>
      <c r="AN247" s="424"/>
      <c r="AO247" s="425"/>
      <c r="AP247" s="425"/>
      <c r="AQ247" s="426"/>
      <c r="AR247" s="426"/>
      <c r="AS247" s="426"/>
      <c r="AT247" s="426"/>
      <c r="AU247" s="426"/>
      <c r="AV247" s="426"/>
      <c r="AW247" s="426"/>
      <c r="AX247" s="426"/>
      <c r="AY247" s="426"/>
      <c r="AZ247" s="426"/>
      <c r="BA247" s="426"/>
      <c r="BB247" s="426"/>
      <c r="BC247" s="426"/>
      <c r="BD247" s="426"/>
      <c r="BE247" s="426"/>
    </row>
    <row r="248" spans="1:57" ht="14.25" hidden="1" customHeight="1" outlineLevel="1">
      <c r="A248" s="416" t="s">
        <v>1943</v>
      </c>
      <c r="B248" s="415" t="s">
        <v>156</v>
      </c>
      <c r="C248" s="484">
        <v>5</v>
      </c>
      <c r="D248" s="424"/>
      <c r="E248" s="366"/>
      <c r="F248" s="366"/>
      <c r="G248" s="366"/>
      <c r="H248" s="366"/>
      <c r="I248" s="381"/>
      <c r="J248" s="381"/>
      <c r="K248" s="366"/>
      <c r="L248" s="366"/>
      <c r="M248" s="366"/>
      <c r="N248" s="366"/>
      <c r="O248" s="366"/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81"/>
      <c r="AG248" s="381"/>
      <c r="AH248" s="366"/>
      <c r="AK248" s="424"/>
      <c r="AL248" s="424"/>
      <c r="AM248" s="424"/>
      <c r="AN248" s="424"/>
      <c r="AO248" s="425"/>
      <c r="AP248" s="425"/>
      <c r="AQ248" s="426"/>
      <c r="AR248" s="426"/>
      <c r="AS248" s="426"/>
      <c r="AT248" s="426"/>
      <c r="AU248" s="426"/>
      <c r="AV248" s="426"/>
      <c r="AW248" s="426"/>
      <c r="AX248" s="426"/>
      <c r="AY248" s="426"/>
      <c r="AZ248" s="426"/>
      <c r="BA248" s="426"/>
      <c r="BB248" s="426"/>
      <c r="BC248" s="426"/>
      <c r="BD248" s="426"/>
      <c r="BE248" s="426"/>
    </row>
    <row r="249" spans="1:57" ht="14.25" hidden="1" customHeight="1" outlineLevel="1">
      <c r="A249" s="416" t="s">
        <v>1927</v>
      </c>
      <c r="B249" s="415" t="s">
        <v>156</v>
      </c>
      <c r="C249" s="484">
        <v>0.5</v>
      </c>
      <c r="D249" s="424"/>
      <c r="E249" s="355" t="s">
        <v>156</v>
      </c>
      <c r="F249" s="355"/>
      <c r="G249" s="366"/>
      <c r="H249" s="366"/>
      <c r="I249" s="366"/>
      <c r="J249" s="366"/>
      <c r="K249" s="366"/>
      <c r="L249" s="366"/>
      <c r="M249" s="366"/>
      <c r="N249" s="366"/>
      <c r="O249" s="366"/>
      <c r="P249" s="366"/>
      <c r="Q249" s="366"/>
      <c r="R249" s="366"/>
      <c r="S249" s="366"/>
      <c r="T249" s="366"/>
      <c r="U249" s="366"/>
      <c r="V249" s="366"/>
      <c r="W249" s="366"/>
      <c r="X249" s="366"/>
      <c r="Y249" s="366"/>
      <c r="Z249" s="366"/>
      <c r="AA249" s="366"/>
      <c r="AB249" s="366"/>
      <c r="AC249" s="366"/>
      <c r="AD249" s="366"/>
      <c r="AE249" s="366"/>
      <c r="AF249" s="366"/>
      <c r="AG249" s="366"/>
      <c r="AH249" s="366"/>
      <c r="AK249" s="424"/>
      <c r="AL249" s="424"/>
      <c r="AM249" s="424"/>
      <c r="AN249" s="424"/>
      <c r="AO249" s="425"/>
      <c r="AP249" s="425"/>
      <c r="AQ249" s="426"/>
      <c r="AR249" s="426"/>
      <c r="AS249" s="426"/>
      <c r="AT249" s="426"/>
      <c r="AU249" s="426"/>
      <c r="AV249" s="426"/>
      <c r="AW249" s="426"/>
      <c r="AX249" s="426">
        <v>1</v>
      </c>
      <c r="AY249" s="427">
        <f>E256</f>
        <v>5.3</v>
      </c>
      <c r="AZ249" s="426" t="s">
        <v>1931</v>
      </c>
      <c r="BA249" s="426"/>
      <c r="BB249" s="426"/>
      <c r="BC249" s="426"/>
      <c r="BD249" s="426"/>
      <c r="BE249" s="426"/>
    </row>
    <row r="250" spans="1:57" ht="14.25" hidden="1" customHeight="1" outlineLevel="1">
      <c r="A250" s="263" t="s">
        <v>1896</v>
      </c>
      <c r="B250" s="415" t="s">
        <v>156</v>
      </c>
      <c r="C250" s="484">
        <v>0.5</v>
      </c>
      <c r="D250" s="492"/>
      <c r="E250" s="381">
        <v>5.6</v>
      </c>
      <c r="F250" s="381"/>
      <c r="G250" s="366"/>
      <c r="I250" s="355"/>
      <c r="J250" s="366"/>
      <c r="K250" s="366"/>
      <c r="L250" s="366"/>
      <c r="M250" s="366"/>
      <c r="N250" s="366"/>
      <c r="O250" s="366"/>
      <c r="P250" s="366"/>
      <c r="Q250" s="366"/>
      <c r="R250" s="366"/>
      <c r="S250" s="366"/>
      <c r="T250" s="366"/>
      <c r="U250" s="366"/>
      <c r="V250" s="366"/>
      <c r="W250" s="366"/>
      <c r="X250" s="366"/>
      <c r="Y250" s="366"/>
      <c r="Z250" s="366"/>
      <c r="AA250" s="366"/>
      <c r="AB250" s="366"/>
      <c r="AC250" s="366"/>
      <c r="AD250" s="366" t="s">
        <v>1928</v>
      </c>
      <c r="AE250" s="366"/>
      <c r="AF250" s="366"/>
      <c r="AG250" s="366"/>
      <c r="AH250" s="366"/>
      <c r="AK250" s="424"/>
      <c r="AL250" s="424"/>
      <c r="AM250" s="424"/>
      <c r="AN250" s="424"/>
      <c r="AO250" s="425"/>
      <c r="AP250" s="425"/>
      <c r="AQ250" s="426"/>
      <c r="AR250" s="426"/>
      <c r="AS250" s="426"/>
      <c r="AT250" s="426"/>
      <c r="AU250" s="426"/>
      <c r="AV250" s="426"/>
      <c r="AW250" s="426"/>
      <c r="AX250" s="426">
        <v>2</v>
      </c>
      <c r="AY250" s="426">
        <f>E250</f>
        <v>5.6</v>
      </c>
      <c r="AZ250" s="426" t="s">
        <v>1944</v>
      </c>
      <c r="BA250" s="426"/>
      <c r="BB250" s="426"/>
      <c r="BC250" s="426"/>
      <c r="BD250" s="426"/>
      <c r="BE250" s="426"/>
    </row>
    <row r="251" spans="1:57" ht="14.25" hidden="1" customHeight="1" outlineLevel="1">
      <c r="A251" s="331" t="s">
        <v>1907</v>
      </c>
      <c r="D251" s="492"/>
      <c r="E251" s="366"/>
      <c r="F251" s="366"/>
      <c r="G251" s="366"/>
      <c r="I251" s="381"/>
      <c r="J251" s="366"/>
      <c r="K251" s="366"/>
      <c r="L251" s="366"/>
      <c r="M251" s="366"/>
      <c r="N251" s="366"/>
      <c r="O251" s="366"/>
      <c r="P251" s="366"/>
      <c r="Q251" s="366"/>
      <c r="R251" s="366"/>
      <c r="S251" s="366"/>
      <c r="T251" s="366"/>
      <c r="U251" s="366"/>
      <c r="V251" s="366"/>
      <c r="W251" s="366"/>
      <c r="X251" s="366"/>
      <c r="Y251" s="366"/>
      <c r="Z251" s="366"/>
      <c r="AA251" s="366"/>
      <c r="AB251" s="366"/>
      <c r="AC251" s="366"/>
      <c r="AD251" s="366"/>
      <c r="AE251" s="366"/>
      <c r="AF251" s="366"/>
      <c r="AG251" s="366"/>
      <c r="AH251" s="366"/>
      <c r="AK251" s="424"/>
      <c r="AL251" s="424"/>
      <c r="AM251" s="424"/>
      <c r="AN251" s="424"/>
      <c r="AO251" s="425"/>
      <c r="AP251" s="425"/>
      <c r="AQ251" s="426"/>
      <c r="AR251" s="426"/>
      <c r="AS251" s="426"/>
      <c r="AT251" s="426"/>
      <c r="AU251" s="426"/>
      <c r="AV251" s="426"/>
      <c r="AW251" s="426"/>
      <c r="AX251" s="426">
        <v>3</v>
      </c>
      <c r="AY251" s="426">
        <f>H247</f>
        <v>7.9</v>
      </c>
      <c r="AZ251" s="426" t="s">
        <v>1945</v>
      </c>
      <c r="BA251" s="426"/>
      <c r="BB251" s="426"/>
      <c r="BC251" s="426"/>
      <c r="BD251" s="426"/>
      <c r="BE251" s="426"/>
    </row>
    <row r="252" spans="1:57" ht="14.25" hidden="1" customHeight="1" outlineLevel="1">
      <c r="A252" s="489" t="s">
        <v>1908</v>
      </c>
      <c r="B252" s="490"/>
      <c r="C252" s="480"/>
      <c r="D252" s="492"/>
      <c r="E252" s="366"/>
      <c r="F252" s="366"/>
      <c r="G252" s="366"/>
      <c r="H252" s="381"/>
      <c r="I252" s="381"/>
      <c r="J252" s="366"/>
      <c r="K252" s="366"/>
      <c r="L252" s="366"/>
      <c r="M252" s="366"/>
      <c r="N252" s="366"/>
      <c r="O252" s="366"/>
      <c r="P252" s="366"/>
      <c r="Q252" s="366"/>
      <c r="R252" s="366"/>
      <c r="S252" s="366"/>
      <c r="T252" s="366"/>
      <c r="U252" s="366" t="s">
        <v>1930</v>
      </c>
      <c r="V252" s="366"/>
      <c r="W252" s="366"/>
      <c r="X252" s="381" t="s">
        <v>1946</v>
      </c>
      <c r="Y252" s="381"/>
      <c r="Z252" s="366"/>
      <c r="AA252" s="366"/>
      <c r="AB252" s="366"/>
      <c r="AC252" s="366"/>
      <c r="AD252" s="366"/>
      <c r="AE252" s="366"/>
      <c r="AF252" s="366"/>
      <c r="AG252" s="366"/>
      <c r="AH252" s="366"/>
      <c r="AK252" s="424"/>
      <c r="AL252" s="424"/>
      <c r="AM252" s="424"/>
      <c r="AN252" s="424"/>
      <c r="AO252" s="425"/>
      <c r="AP252" s="425"/>
      <c r="AQ252" s="426"/>
      <c r="AR252" s="426"/>
      <c r="AS252" s="426"/>
      <c r="AT252" s="426"/>
      <c r="AU252" s="426"/>
      <c r="AV252" s="426"/>
      <c r="AW252" s="426"/>
      <c r="AX252" s="426">
        <v>4</v>
      </c>
      <c r="AY252" s="427">
        <f>H244</f>
        <v>9.1</v>
      </c>
      <c r="AZ252" s="426" t="s">
        <v>1546</v>
      </c>
      <c r="BA252" s="426"/>
      <c r="BB252" s="426"/>
      <c r="BC252" s="426"/>
      <c r="BD252" s="426"/>
      <c r="BE252" s="426"/>
    </row>
    <row r="253" spans="1:57" ht="14.25" hidden="1" customHeight="1" outlineLevel="1">
      <c r="A253" s="331" t="s">
        <v>1909</v>
      </c>
      <c r="D253" s="492"/>
      <c r="E253" s="364"/>
      <c r="F253" s="364"/>
      <c r="G253" s="366"/>
      <c r="H253" s="366"/>
      <c r="I253" s="366"/>
      <c r="J253" s="366"/>
      <c r="K253" s="366"/>
      <c r="L253" s="366"/>
      <c r="M253" s="366"/>
      <c r="N253" s="366"/>
      <c r="O253" s="366"/>
      <c r="P253" s="366"/>
      <c r="Q253" s="366" t="s">
        <v>1947</v>
      </c>
      <c r="R253" s="366"/>
      <c r="S253" s="366"/>
      <c r="T253" s="366"/>
      <c r="U253" s="366"/>
      <c r="V253" s="366"/>
      <c r="W253" s="366"/>
      <c r="X253" s="366"/>
      <c r="Y253" s="366"/>
      <c r="Z253" s="366"/>
      <c r="AA253" s="366"/>
      <c r="AB253" s="366"/>
      <c r="AC253" s="366"/>
      <c r="AD253" s="366"/>
      <c r="AE253" s="366"/>
      <c r="AF253" s="366"/>
      <c r="AG253" s="366"/>
      <c r="AH253" s="366"/>
      <c r="AK253" s="354"/>
      <c r="AL253" s="424"/>
      <c r="AM253" s="424"/>
      <c r="AN253" s="424"/>
      <c r="AO253" s="425"/>
      <c r="AP253" s="425"/>
      <c r="AQ253" s="426"/>
      <c r="AR253" s="426"/>
      <c r="AS253" s="426"/>
      <c r="AT253" s="426"/>
      <c r="AU253" s="426"/>
      <c r="AV253" s="426"/>
      <c r="AW253" s="426"/>
      <c r="AX253" s="426">
        <v>5</v>
      </c>
      <c r="AY253" s="426">
        <f>G261</f>
        <v>48</v>
      </c>
      <c r="AZ253" s="426" t="s">
        <v>1948</v>
      </c>
      <c r="BA253" s="426"/>
      <c r="BB253" s="426"/>
      <c r="BC253" s="426"/>
      <c r="BD253" s="426"/>
      <c r="BE253" s="426"/>
    </row>
    <row r="254" spans="1:57" ht="14.25" hidden="1" customHeight="1" outlineLevel="1">
      <c r="A254" s="491" t="s">
        <v>268</v>
      </c>
      <c r="D254" s="366"/>
      <c r="E254" s="364"/>
      <c r="F254" s="364"/>
      <c r="G254" s="366"/>
      <c r="H254" s="366"/>
      <c r="I254" s="366"/>
      <c r="J254" s="366"/>
      <c r="K254" s="366"/>
      <c r="L254" s="366"/>
      <c r="M254" s="366"/>
      <c r="N254" s="366"/>
      <c r="O254" s="366"/>
      <c r="P254" s="366"/>
      <c r="Q254" s="366"/>
      <c r="R254" s="366"/>
      <c r="S254" s="366"/>
      <c r="T254" s="366"/>
      <c r="U254" s="366"/>
      <c r="V254" s="366"/>
      <c r="W254" s="366"/>
      <c r="X254" s="366"/>
      <c r="Y254" s="366"/>
      <c r="Z254" s="366"/>
      <c r="AA254" s="366"/>
      <c r="AB254" s="366"/>
      <c r="AC254" s="366"/>
      <c r="AD254" s="366"/>
      <c r="AE254" s="366"/>
      <c r="AF254" s="366"/>
      <c r="AG254" s="366"/>
      <c r="AH254" s="366"/>
      <c r="AK254" s="354"/>
      <c r="AL254" s="424"/>
      <c r="AM254" s="424"/>
      <c r="AN254" s="424"/>
      <c r="AO254" s="425"/>
      <c r="AP254" s="425"/>
      <c r="AQ254" s="426"/>
      <c r="AR254" s="426"/>
      <c r="AS254" s="426"/>
      <c r="AT254" s="426"/>
      <c r="AU254" s="426"/>
      <c r="AV254" s="426"/>
      <c r="AW254" s="426"/>
      <c r="AX254" s="426">
        <v>6</v>
      </c>
      <c r="AY254" s="426">
        <f>AF247</f>
        <v>41</v>
      </c>
      <c r="AZ254" s="426" t="s">
        <v>1949</v>
      </c>
      <c r="BA254" s="426"/>
      <c r="BB254" s="426"/>
      <c r="BC254" s="426"/>
      <c r="BD254" s="426"/>
      <c r="BE254" s="426"/>
    </row>
    <row r="255" spans="1:57" ht="14.25" hidden="1" customHeight="1" outlineLevel="1">
      <c r="A255" s="331" t="s">
        <v>1910</v>
      </c>
      <c r="D255" s="492"/>
      <c r="E255" s="355" t="s">
        <v>156</v>
      </c>
      <c r="F255" s="355"/>
      <c r="G255" s="355"/>
      <c r="H255" s="366"/>
      <c r="I255" s="366"/>
      <c r="J255" s="366"/>
      <c r="K255" s="366"/>
      <c r="L255" s="366"/>
      <c r="M255" s="366"/>
      <c r="N255" s="366"/>
      <c r="O255" s="366"/>
      <c r="P255" s="366"/>
      <c r="Q255" s="366"/>
      <c r="R255" s="366"/>
      <c r="S255" s="366"/>
      <c r="T255" s="366"/>
      <c r="U255" s="366"/>
      <c r="V255" s="366"/>
      <c r="W255" s="366"/>
      <c r="X255" s="366"/>
      <c r="Y255" s="366"/>
      <c r="Z255" s="366"/>
      <c r="AA255" s="366"/>
      <c r="AB255" s="366"/>
      <c r="AC255" s="366"/>
      <c r="AD255" s="366"/>
      <c r="AE255" s="366"/>
      <c r="AF255" s="366"/>
      <c r="AG255" s="366"/>
      <c r="AH255" s="366"/>
      <c r="AK255" s="354"/>
      <c r="AL255" s="424"/>
      <c r="AM255" s="424"/>
      <c r="AN255" s="424"/>
      <c r="AO255" s="425"/>
      <c r="AP255" s="425"/>
      <c r="AQ255" s="426"/>
      <c r="AR255" s="426"/>
      <c r="AS255" s="426"/>
      <c r="AT255" s="426"/>
      <c r="AU255" s="426"/>
      <c r="AV255" s="426"/>
      <c r="AW255" s="426"/>
      <c r="AX255" s="426"/>
      <c r="AY255" s="426"/>
      <c r="AZ255" s="426"/>
      <c r="BA255" s="426"/>
      <c r="BB255" s="426"/>
      <c r="BC255" s="426"/>
      <c r="BD255" s="426"/>
      <c r="BE255" s="426"/>
    </row>
    <row r="256" spans="1:57" ht="14.25" hidden="1" customHeight="1" outlineLevel="1">
      <c r="A256" s="491" t="s">
        <v>271</v>
      </c>
      <c r="D256" s="492"/>
      <c r="E256" s="360">
        <f>H5</f>
        <v>5.3</v>
      </c>
      <c r="F256" s="360"/>
      <c r="G256" s="360"/>
      <c r="H256" s="366"/>
      <c r="I256" s="366"/>
      <c r="J256" s="366"/>
      <c r="K256" s="366"/>
      <c r="L256" s="366"/>
      <c r="M256" s="366"/>
      <c r="N256" s="366"/>
      <c r="O256" s="366"/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K256" s="354"/>
      <c r="AL256" s="424"/>
      <c r="AM256" s="424"/>
      <c r="AN256" s="424"/>
      <c r="AO256" s="425"/>
      <c r="AP256" s="425"/>
      <c r="AQ256" s="426"/>
      <c r="AR256" s="426"/>
      <c r="AS256" s="426"/>
      <c r="AT256" s="426"/>
      <c r="AU256" s="426"/>
      <c r="AV256" s="426"/>
      <c r="AW256" s="426"/>
      <c r="AX256" s="426"/>
      <c r="AY256" s="426"/>
      <c r="AZ256" s="426"/>
      <c r="BA256" s="426"/>
      <c r="BB256" s="426"/>
      <c r="BC256" s="426"/>
      <c r="BD256" s="426"/>
      <c r="BE256" s="426"/>
    </row>
    <row r="257" spans="1:57" ht="14.25" hidden="1" customHeight="1" outlineLevel="1">
      <c r="A257" s="331" t="s">
        <v>1911</v>
      </c>
      <c r="D257" s="354"/>
      <c r="E257" s="360"/>
      <c r="F257" s="360"/>
      <c r="G257" s="360"/>
      <c r="H257" s="366"/>
      <c r="I257" s="366"/>
      <c r="J257" s="366"/>
      <c r="K257" s="366"/>
      <c r="L257" s="366"/>
      <c r="M257" s="366"/>
      <c r="N257" s="366"/>
      <c r="O257" s="366"/>
      <c r="P257" s="366"/>
      <c r="Q257" s="366"/>
      <c r="R257" s="366"/>
      <c r="S257" s="366"/>
      <c r="T257" s="366"/>
      <c r="U257" s="366"/>
      <c r="V257" s="366"/>
      <c r="W257" s="366"/>
      <c r="X257" s="366"/>
      <c r="Y257" s="366"/>
      <c r="Z257" s="366"/>
      <c r="AA257" s="366"/>
      <c r="AB257" s="366"/>
      <c r="AC257" s="366"/>
      <c r="AD257" s="366"/>
      <c r="AE257" s="366"/>
      <c r="AF257" s="366"/>
      <c r="AG257" s="366"/>
      <c r="AH257" s="366"/>
      <c r="AK257" s="354"/>
      <c r="AL257" s="354"/>
      <c r="AM257" s="354"/>
      <c r="AN257" s="354"/>
      <c r="AO257" s="358"/>
      <c r="AP257" s="358"/>
      <c r="AQ257" s="342"/>
      <c r="AR257" s="342"/>
      <c r="AS257" s="342"/>
      <c r="AT257" s="342"/>
      <c r="AU257" s="342"/>
      <c r="AV257" s="342"/>
      <c r="AW257" s="342"/>
      <c r="AX257" s="342"/>
      <c r="AY257" s="342"/>
      <c r="AZ257" s="342"/>
      <c r="BA257" s="342"/>
      <c r="BB257" s="342"/>
      <c r="BC257" s="342"/>
      <c r="BD257" s="342"/>
      <c r="BE257" s="342"/>
    </row>
    <row r="258" spans="1:57" ht="14.25" hidden="1" customHeight="1" outlineLevel="1">
      <c r="A258" s="493" t="s">
        <v>493</v>
      </c>
      <c r="D258" s="354"/>
      <c r="E258" s="366"/>
      <c r="F258" s="366"/>
      <c r="G258" s="366"/>
      <c r="H258" s="366"/>
      <c r="I258" s="366"/>
      <c r="J258" s="366"/>
      <c r="K258" s="366"/>
      <c r="L258" s="366"/>
      <c r="M258" s="366"/>
      <c r="N258" s="366"/>
      <c r="O258" s="366"/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K258" s="354"/>
      <c r="AL258" s="354"/>
      <c r="AM258" s="354"/>
      <c r="AN258" s="354"/>
      <c r="AO258" s="358"/>
      <c r="AP258" s="358"/>
      <c r="AQ258" s="342"/>
      <c r="AR258" s="342"/>
      <c r="AS258" s="342"/>
      <c r="AT258" s="342"/>
      <c r="AU258" s="342"/>
      <c r="AV258" s="342"/>
      <c r="AW258" s="342"/>
      <c r="AX258" s="342"/>
      <c r="AY258" s="342"/>
      <c r="AZ258" s="342"/>
      <c r="BA258" s="342"/>
      <c r="BB258" s="342"/>
      <c r="BC258" s="342"/>
      <c r="BD258" s="342"/>
      <c r="BE258" s="342"/>
    </row>
    <row r="259" spans="1:57" ht="14.25" hidden="1" customHeight="1" outlineLevel="1">
      <c r="A259" s="331" t="s">
        <v>1913</v>
      </c>
      <c r="D259" s="354"/>
      <c r="E259" s="366"/>
      <c r="F259" s="366"/>
      <c r="G259" s="366"/>
      <c r="H259" s="366"/>
      <c r="I259" s="366"/>
      <c r="J259" s="366"/>
      <c r="K259" s="366"/>
      <c r="L259" s="366"/>
      <c r="M259" s="366"/>
      <c r="N259" s="366"/>
      <c r="O259" s="366"/>
      <c r="P259" s="366"/>
      <c r="Q259" s="366"/>
      <c r="R259" s="366"/>
      <c r="S259" s="366"/>
      <c r="T259" s="366"/>
      <c r="U259" s="366"/>
      <c r="V259" s="366"/>
      <c r="W259" s="366"/>
      <c r="X259" s="366"/>
      <c r="Y259" s="366"/>
      <c r="Z259" s="366"/>
      <c r="AA259" s="366"/>
      <c r="AB259" s="366"/>
      <c r="AC259" s="366"/>
      <c r="AD259" s="366"/>
      <c r="AE259" s="366"/>
      <c r="AF259" s="366"/>
      <c r="AG259" s="366" t="s">
        <v>1904</v>
      </c>
      <c r="AH259" s="366"/>
      <c r="AK259" s="354"/>
      <c r="AL259" s="354"/>
      <c r="AM259" s="354"/>
      <c r="AN259" s="354"/>
      <c r="AO259" s="358"/>
      <c r="AP259" s="358"/>
      <c r="AQ259" s="342"/>
      <c r="AR259" s="342"/>
      <c r="AS259" s="342"/>
      <c r="AT259" s="342"/>
      <c r="AU259" s="342"/>
      <c r="AV259" s="342"/>
      <c r="AW259" s="342"/>
      <c r="AX259" s="342"/>
      <c r="AY259" s="342"/>
      <c r="AZ259" s="342"/>
      <c r="BA259" s="342"/>
      <c r="BB259" s="342"/>
      <c r="BC259" s="342"/>
      <c r="BD259" s="342"/>
      <c r="BE259" s="342"/>
    </row>
    <row r="260" spans="1:57" ht="14.25" hidden="1" customHeight="1" outlineLevel="1">
      <c r="A260" s="494" t="s">
        <v>708</v>
      </c>
      <c r="D260" s="354"/>
      <c r="E260" s="366"/>
      <c r="F260" s="366"/>
      <c r="G260" s="366" t="s">
        <v>1937</v>
      </c>
      <c r="H260" s="366"/>
      <c r="I260" s="366"/>
      <c r="J260" s="366" t="s">
        <v>1899</v>
      </c>
      <c r="K260" s="366"/>
      <c r="L260" s="366"/>
      <c r="M260" s="366"/>
      <c r="N260" s="366"/>
      <c r="O260" s="366"/>
      <c r="P260" s="366"/>
      <c r="Q260" s="366"/>
      <c r="R260" s="366"/>
      <c r="S260" s="366"/>
      <c r="T260" s="366"/>
      <c r="U260" s="366"/>
      <c r="V260" s="366"/>
      <c r="W260" s="366"/>
      <c r="X260" s="366"/>
      <c r="Y260" s="366"/>
      <c r="Z260" s="366"/>
      <c r="AA260" s="366"/>
      <c r="AB260" s="366" t="s">
        <v>1950</v>
      </c>
      <c r="AC260" s="366"/>
      <c r="AD260" s="366"/>
      <c r="AE260" s="366"/>
      <c r="AF260" s="366"/>
      <c r="AG260" s="366"/>
      <c r="AH260" s="366"/>
      <c r="AK260" s="354"/>
      <c r="AL260" s="354"/>
      <c r="AM260" s="354"/>
      <c r="AN260" s="354"/>
      <c r="AO260" s="358"/>
      <c r="AP260" s="358"/>
      <c r="AQ260" s="342"/>
      <c r="AR260" s="342"/>
      <c r="AS260" s="342"/>
      <c r="AT260" s="342"/>
      <c r="AU260" s="342"/>
      <c r="AV260" s="342"/>
      <c r="AW260" s="342"/>
      <c r="AX260" s="342"/>
      <c r="AY260" s="342"/>
      <c r="AZ260" s="342"/>
      <c r="BA260" s="342"/>
      <c r="BB260" s="342"/>
      <c r="BC260" s="342"/>
      <c r="BD260" s="342"/>
      <c r="BE260" s="342"/>
    </row>
    <row r="261" spans="1:57" ht="14.25" hidden="1" customHeight="1" outlineLevel="1">
      <c r="A261" s="498" t="s">
        <v>1914</v>
      </c>
      <c r="B261" s="415" t="s">
        <v>159</v>
      </c>
      <c r="C261" s="263">
        <v>0</v>
      </c>
      <c r="D261" s="354"/>
      <c r="E261" s="366"/>
      <c r="F261" s="366"/>
      <c r="G261" s="515">
        <v>48</v>
      </c>
      <c r="H261" s="381"/>
      <c r="I261" s="366"/>
      <c r="J261" s="366"/>
      <c r="K261" s="366"/>
      <c r="L261" s="366"/>
      <c r="M261" s="366"/>
      <c r="N261" s="366"/>
      <c r="O261" s="366" t="s">
        <v>1951</v>
      </c>
      <c r="P261" s="366"/>
      <c r="Q261" s="366"/>
      <c r="R261" s="366"/>
      <c r="S261" s="366"/>
      <c r="T261" s="366"/>
      <c r="U261" s="366"/>
      <c r="V261" s="366"/>
      <c r="W261" s="366"/>
      <c r="X261" s="366"/>
      <c r="Y261" s="366"/>
      <c r="Z261" s="366"/>
      <c r="AA261" s="366"/>
      <c r="AB261" s="366"/>
      <c r="AC261" s="366"/>
      <c r="AD261" s="366"/>
      <c r="AE261" s="366"/>
      <c r="AF261" s="366"/>
      <c r="AG261" s="366"/>
      <c r="AH261" s="366"/>
      <c r="AI261" s="354"/>
      <c r="AJ261" s="354"/>
      <c r="AK261" s="354"/>
      <c r="AL261" s="354"/>
      <c r="AM261" s="354"/>
      <c r="AN261" s="354"/>
      <c r="AO261" s="358"/>
      <c r="AP261" s="358"/>
      <c r="AQ261" s="342"/>
      <c r="AR261" s="342"/>
      <c r="AS261" s="342"/>
      <c r="AT261" s="342"/>
      <c r="AU261" s="342"/>
      <c r="AV261" s="342"/>
      <c r="AW261" s="342"/>
      <c r="AX261" s="342"/>
      <c r="AY261" s="342"/>
      <c r="AZ261" s="342"/>
      <c r="BA261" s="342"/>
      <c r="BB261" s="342"/>
      <c r="BC261" s="342"/>
      <c r="BD261" s="342"/>
      <c r="BE261" s="342"/>
    </row>
    <row r="262" spans="1:57" ht="14.25" hidden="1" customHeight="1" outlineLevel="1">
      <c r="A262" s="498" t="s">
        <v>1915</v>
      </c>
      <c r="B262" s="415" t="s">
        <v>159</v>
      </c>
      <c r="C262" s="263">
        <v>0</v>
      </c>
      <c r="D262" s="354"/>
      <c r="E262" s="366"/>
      <c r="F262" s="366"/>
      <c r="G262" s="381"/>
      <c r="H262" s="381"/>
      <c r="I262" s="366"/>
      <c r="J262" s="366"/>
      <c r="K262" s="366"/>
      <c r="L262" s="366"/>
      <c r="M262" s="366"/>
      <c r="N262" s="366"/>
      <c r="O262" s="366"/>
      <c r="P262" s="366"/>
      <c r="Q262" s="366"/>
      <c r="R262" s="366"/>
      <c r="S262" s="366" t="s">
        <v>1899</v>
      </c>
      <c r="T262" s="366"/>
      <c r="U262" s="366" t="s">
        <v>1904</v>
      </c>
      <c r="V262" s="366"/>
      <c r="W262" s="366"/>
      <c r="X262" s="366"/>
      <c r="Y262" s="366"/>
      <c r="Z262" s="366"/>
      <c r="AA262" s="366"/>
      <c r="AB262" s="366"/>
      <c r="AC262" s="366"/>
      <c r="AD262" s="366"/>
      <c r="AE262" s="366"/>
      <c r="AF262" s="366"/>
      <c r="AG262" s="366"/>
      <c r="AH262" s="366"/>
      <c r="AI262" s="354"/>
      <c r="AJ262" s="354"/>
      <c r="AK262" s="354"/>
      <c r="AL262" s="354"/>
      <c r="AM262" s="354"/>
      <c r="AN262" s="354"/>
      <c r="AO262" s="358"/>
      <c r="AP262" s="358"/>
      <c r="AQ262" s="342"/>
      <c r="AR262" s="342"/>
      <c r="AS262" s="342"/>
      <c r="AT262" s="342"/>
      <c r="AU262" s="342"/>
      <c r="AV262" s="342"/>
      <c r="AW262" s="342"/>
      <c r="AX262" s="342"/>
      <c r="AY262" s="342"/>
      <c r="AZ262" s="342"/>
      <c r="BA262" s="342"/>
      <c r="BB262" s="342"/>
      <c r="BC262" s="342"/>
      <c r="BD262" s="342"/>
      <c r="BE262" s="342"/>
    </row>
    <row r="263" spans="1:57" ht="14.25" hidden="1" customHeight="1" outlineLevel="1">
      <c r="A263" s="498" t="s">
        <v>1916</v>
      </c>
      <c r="B263" s="415" t="s">
        <v>159</v>
      </c>
      <c r="C263" s="263">
        <v>0</v>
      </c>
      <c r="D263" s="492"/>
      <c r="E263" s="513"/>
      <c r="F263" s="513"/>
      <c r="G263" s="516"/>
      <c r="H263" s="517"/>
      <c r="I263" s="472"/>
      <c r="J263" s="472"/>
      <c r="K263" s="472"/>
      <c r="L263" s="472"/>
      <c r="M263" s="472"/>
      <c r="N263" s="381"/>
      <c r="O263" s="421"/>
      <c r="P263" s="421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54"/>
      <c r="AJ263" s="354"/>
      <c r="AK263" s="354"/>
      <c r="AL263" s="354"/>
      <c r="AM263" s="354"/>
      <c r="AN263" s="354"/>
      <c r="AO263" s="358"/>
      <c r="AP263" s="358"/>
      <c r="AQ263" s="458"/>
      <c r="AR263" s="458"/>
      <c r="AS263" s="458"/>
      <c r="AT263" s="342"/>
      <c r="AU263" s="342"/>
      <c r="AV263" s="342"/>
      <c r="AW263" s="342"/>
      <c r="AX263" s="342"/>
      <c r="AY263" s="342"/>
      <c r="AZ263" s="342"/>
      <c r="BA263" s="342"/>
      <c r="BB263" s="342"/>
      <c r="BC263" s="342"/>
      <c r="BD263" s="342"/>
      <c r="BE263" s="342"/>
    </row>
    <row r="264" spans="1:57" ht="14.25" hidden="1" customHeight="1" outlineLevel="1">
      <c r="A264" s="331" t="s">
        <v>1917</v>
      </c>
      <c r="D264" s="492"/>
      <c r="E264" s="513"/>
      <c r="F264" s="513"/>
      <c r="G264" s="516"/>
      <c r="H264" s="517"/>
      <c r="I264" s="472"/>
      <c r="J264" s="472"/>
      <c r="K264" s="472"/>
      <c r="L264" s="472"/>
      <c r="M264" s="472"/>
      <c r="N264" s="453"/>
      <c r="O264" s="454"/>
      <c r="P264" s="454"/>
      <c r="Q264" s="354"/>
      <c r="R264" s="354"/>
      <c r="S264" s="354"/>
      <c r="T264" s="354"/>
      <c r="U264" s="354"/>
      <c r="V264" s="354"/>
      <c r="W264" s="354"/>
      <c r="X264" s="354"/>
      <c r="Y264" s="354"/>
      <c r="Z264" s="354"/>
      <c r="AA264" s="354"/>
      <c r="AB264" s="354"/>
      <c r="AC264" s="354"/>
      <c r="AD264" s="354"/>
      <c r="AE264" s="354"/>
      <c r="AF264" s="354"/>
      <c r="AG264" s="354"/>
      <c r="AH264" s="354"/>
      <c r="AI264" s="354"/>
      <c r="AJ264" s="354"/>
      <c r="AK264" s="354"/>
      <c r="AL264" s="354"/>
      <c r="AM264" s="354"/>
      <c r="AN264" s="354"/>
      <c r="AO264" s="358"/>
      <c r="AP264" s="358"/>
      <c r="AQ264" s="458"/>
      <c r="AR264" s="458"/>
      <c r="AS264" s="458"/>
      <c r="AT264" s="342"/>
      <c r="AU264" s="342"/>
      <c r="AV264" s="342"/>
      <c r="AW264" s="342"/>
      <c r="AX264" s="342"/>
      <c r="AY264" s="342"/>
      <c r="AZ264" s="342"/>
      <c r="BA264" s="342"/>
      <c r="BB264" s="342"/>
      <c r="BC264" s="342"/>
      <c r="BD264" s="342"/>
      <c r="BE264" s="342"/>
    </row>
    <row r="265" spans="1:57" ht="14.25" hidden="1" customHeight="1" outlineLevel="1">
      <c r="A265" s="491" t="s">
        <v>1918</v>
      </c>
      <c r="D265" s="492"/>
      <c r="E265" s="513"/>
      <c r="F265" s="513"/>
      <c r="G265" s="516"/>
      <c r="H265" s="517"/>
      <c r="I265" s="472"/>
      <c r="J265" s="472"/>
      <c r="K265" s="472"/>
      <c r="L265" s="472"/>
      <c r="M265" s="472"/>
      <c r="N265" s="453"/>
      <c r="O265" s="454"/>
      <c r="P265" s="454"/>
      <c r="Q265" s="354"/>
      <c r="R265" s="354"/>
      <c r="S265" s="354"/>
      <c r="T265" s="354"/>
      <c r="U265" s="354"/>
      <c r="V265" s="354"/>
      <c r="W265" s="354"/>
      <c r="X265" s="354"/>
      <c r="Y265" s="354"/>
      <c r="Z265" s="354"/>
      <c r="AA265" s="354"/>
      <c r="AB265" s="354"/>
      <c r="AC265" s="354"/>
      <c r="AD265" s="354"/>
      <c r="AE265" s="354"/>
      <c r="AF265" s="354"/>
      <c r="AG265" s="354"/>
      <c r="AH265" s="354"/>
      <c r="AI265" s="354"/>
      <c r="AJ265" s="354"/>
      <c r="AK265" s="354"/>
      <c r="AL265" s="354"/>
      <c r="AM265" s="354"/>
      <c r="AN265" s="354"/>
      <c r="AO265" s="358"/>
      <c r="AP265" s="358"/>
      <c r="AQ265" s="458"/>
      <c r="AR265" s="458"/>
      <c r="AS265" s="458"/>
      <c r="AT265" s="342"/>
      <c r="AU265" s="342"/>
      <c r="AV265" s="342"/>
      <c r="AW265" s="342"/>
      <c r="AX265" s="342"/>
      <c r="AY265" s="342"/>
      <c r="AZ265" s="342"/>
      <c r="BA265" s="342"/>
      <c r="BB265" s="342"/>
      <c r="BC265" s="342"/>
      <c r="BD265" s="342"/>
      <c r="BE265" s="342"/>
    </row>
    <row r="266" spans="1:57" ht="14.25" hidden="1" customHeight="1" outlineLevel="1">
      <c r="A266" s="331" t="s">
        <v>1919</v>
      </c>
      <c r="D266" s="492"/>
      <c r="E266" s="513"/>
      <c r="F266" s="513"/>
      <c r="G266" s="516"/>
      <c r="H266" s="517"/>
      <c r="I266" s="472"/>
      <c r="J266" s="472"/>
      <c r="K266" s="472"/>
      <c r="L266" s="472"/>
      <c r="M266" s="472"/>
      <c r="N266" s="453"/>
      <c r="O266" s="454"/>
      <c r="P266" s="454"/>
      <c r="Q266" s="354"/>
      <c r="R266" s="354"/>
      <c r="S266" s="354"/>
      <c r="T266" s="354"/>
      <c r="U266" s="354"/>
      <c r="V266" s="354"/>
      <c r="W266" s="354"/>
      <c r="X266" s="354"/>
      <c r="Y266" s="354"/>
      <c r="Z266" s="354"/>
      <c r="AA266" s="354"/>
      <c r="AB266" s="354"/>
      <c r="AC266" s="354"/>
      <c r="AD266" s="354"/>
      <c r="AE266" s="354"/>
      <c r="AF266" s="354"/>
      <c r="AG266" s="354"/>
      <c r="AH266" s="354"/>
      <c r="AI266" s="354"/>
      <c r="AJ266" s="354"/>
      <c r="AK266" s="354"/>
      <c r="AL266" s="354"/>
      <c r="AM266" s="354"/>
      <c r="AN266" s="354"/>
      <c r="AO266" s="358"/>
      <c r="AP266" s="358"/>
      <c r="AQ266" s="458"/>
      <c r="AR266" s="458"/>
      <c r="AS266" s="458"/>
      <c r="AT266" s="342"/>
      <c r="AU266" s="342"/>
      <c r="AV266" s="342"/>
      <c r="AW266" s="342"/>
      <c r="AX266" s="342"/>
      <c r="AY266" s="342"/>
      <c r="AZ266" s="342"/>
      <c r="BA266" s="342"/>
      <c r="BB266" s="342"/>
      <c r="BC266" s="342"/>
      <c r="BD266" s="342"/>
      <c r="BE266" s="342"/>
    </row>
    <row r="267" spans="1:57" ht="14.25" hidden="1" customHeight="1" outlineLevel="1">
      <c r="A267" s="491" t="s">
        <v>1921</v>
      </c>
      <c r="D267" s="492"/>
      <c r="E267" s="513"/>
      <c r="F267" s="513"/>
      <c r="G267" s="516"/>
      <c r="H267" s="517"/>
      <c r="I267" s="472"/>
      <c r="J267" s="472"/>
      <c r="K267" s="472"/>
      <c r="L267" s="472"/>
      <c r="M267" s="472"/>
      <c r="N267" s="453"/>
      <c r="O267" s="454"/>
      <c r="P267" s="454"/>
      <c r="Q267" s="354"/>
      <c r="R267" s="354"/>
      <c r="S267" s="354"/>
      <c r="T267" s="354"/>
      <c r="U267" s="354"/>
      <c r="V267" s="354"/>
      <c r="W267" s="354"/>
      <c r="X267" s="354"/>
      <c r="Y267" s="354"/>
      <c r="Z267" s="354"/>
      <c r="AA267" s="354"/>
      <c r="AB267" s="354"/>
      <c r="AC267" s="354"/>
      <c r="AD267" s="354"/>
      <c r="AE267" s="354"/>
      <c r="AF267" s="354"/>
      <c r="AG267" s="354"/>
      <c r="AH267" s="354"/>
      <c r="AI267" s="354"/>
      <c r="AJ267" s="354"/>
      <c r="AK267" s="354"/>
      <c r="AL267" s="354"/>
      <c r="AM267" s="354"/>
      <c r="AN267" s="354"/>
      <c r="AO267" s="358"/>
      <c r="AP267" s="358"/>
      <c r="AQ267" s="458"/>
      <c r="AR267" s="458"/>
      <c r="AS267" s="458"/>
      <c r="AT267" s="342"/>
      <c r="AU267" s="342"/>
      <c r="AV267" s="342"/>
      <c r="AW267" s="342"/>
      <c r="AX267" s="342"/>
      <c r="AY267" s="342"/>
      <c r="AZ267" s="342"/>
      <c r="BA267" s="342"/>
      <c r="BB267" s="342"/>
      <c r="BC267" s="342"/>
      <c r="BD267" s="342"/>
      <c r="BE267" s="342"/>
    </row>
    <row r="268" spans="1:57" ht="14.25" hidden="1" customHeight="1" outlineLevel="1">
      <c r="A268" s="331" t="s">
        <v>1922</v>
      </c>
      <c r="D268" s="492"/>
      <c r="E268" s="513"/>
      <c r="F268" s="513"/>
      <c r="G268" s="516"/>
      <c r="H268" s="517"/>
      <c r="I268" s="472"/>
      <c r="J268" s="472"/>
      <c r="K268" s="472"/>
      <c r="L268" s="472"/>
      <c r="M268" s="472"/>
      <c r="N268" s="453"/>
      <c r="O268" s="454"/>
      <c r="P268" s="454"/>
      <c r="Q268" s="354"/>
      <c r="R268" s="354"/>
      <c r="S268" s="354"/>
      <c r="T268" s="354"/>
      <c r="U268" s="354"/>
      <c r="V268" s="354"/>
      <c r="W268" s="354"/>
      <c r="X268" s="354"/>
      <c r="Y268" s="354"/>
      <c r="Z268" s="354"/>
      <c r="AA268" s="354"/>
      <c r="AB268" s="354"/>
      <c r="AC268" s="354"/>
      <c r="AD268" s="354"/>
      <c r="AE268" s="354"/>
      <c r="AF268" s="354"/>
      <c r="AG268" s="354"/>
      <c r="AH268" s="354"/>
      <c r="AI268" s="354"/>
      <c r="AJ268" s="354"/>
      <c r="AK268" s="354"/>
      <c r="AL268" s="354"/>
      <c r="AM268" s="354"/>
      <c r="AN268" s="354"/>
      <c r="AO268" s="358"/>
      <c r="AP268" s="358"/>
      <c r="AQ268" s="458"/>
      <c r="AR268" s="458"/>
      <c r="AS268" s="458"/>
      <c r="AT268" s="342"/>
      <c r="AU268" s="342"/>
      <c r="AV268" s="342"/>
      <c r="AW268" s="342"/>
      <c r="AX268" s="342"/>
      <c r="AY268" s="342"/>
      <c r="AZ268" s="342"/>
      <c r="BA268" s="342"/>
      <c r="BB268" s="342"/>
      <c r="BC268" s="342"/>
      <c r="BD268" s="342"/>
      <c r="BE268" s="342"/>
    </row>
    <row r="269" spans="1:57" ht="14.25" hidden="1" customHeight="1" outlineLevel="1">
      <c r="A269" s="414" t="s">
        <v>152</v>
      </c>
      <c r="B269" s="415" t="s">
        <v>1793</v>
      </c>
      <c r="C269" s="388">
        <v>4</v>
      </c>
      <c r="D269" s="492"/>
      <c r="E269" s="513"/>
      <c r="F269" s="513"/>
      <c r="G269" s="516"/>
      <c r="H269" s="517"/>
      <c r="I269" s="472"/>
      <c r="J269" s="472"/>
      <c r="K269" s="472"/>
      <c r="L269" s="472"/>
      <c r="M269" s="472"/>
      <c r="N269" s="453"/>
      <c r="O269" s="454"/>
      <c r="P269" s="454"/>
      <c r="Q269" s="354"/>
      <c r="R269" s="354"/>
      <c r="S269" s="354"/>
      <c r="T269" s="354"/>
      <c r="U269" s="354"/>
      <c r="V269" s="354"/>
      <c r="W269" s="354"/>
      <c r="X269" s="354"/>
      <c r="Y269" s="354"/>
      <c r="Z269" s="354"/>
      <c r="AA269" s="354"/>
      <c r="AB269" s="354"/>
      <c r="AC269" s="354"/>
      <c r="AD269" s="354"/>
      <c r="AE269" s="354"/>
      <c r="AF269" s="354"/>
      <c r="AG269" s="354"/>
      <c r="AH269" s="354"/>
      <c r="AI269" s="354"/>
      <c r="AJ269" s="354"/>
      <c r="AK269" s="354"/>
      <c r="AL269" s="354"/>
      <c r="AM269" s="354"/>
      <c r="AN269" s="354"/>
      <c r="AO269" s="358"/>
      <c r="AP269" s="358"/>
      <c r="AQ269" s="458"/>
      <c r="AR269" s="458"/>
      <c r="AS269" s="458"/>
      <c r="AT269" s="342"/>
      <c r="AU269" s="342"/>
      <c r="AV269" s="342"/>
      <c r="AW269" s="342"/>
      <c r="AX269" s="342"/>
      <c r="AY269" s="342"/>
      <c r="AZ269" s="342"/>
      <c r="BA269" s="342"/>
      <c r="BB269" s="342"/>
      <c r="BC269" s="342"/>
      <c r="BD269" s="342"/>
      <c r="BE269" s="342"/>
    </row>
    <row r="270" spans="1:57" ht="14.25" hidden="1" customHeight="1" outlineLevel="1">
      <c r="A270" s="404" t="s">
        <v>152</v>
      </c>
      <c r="B270" s="415" t="s">
        <v>1793</v>
      </c>
      <c r="C270" s="380">
        <v>0</v>
      </c>
      <c r="D270" s="492"/>
      <c r="E270" s="513"/>
      <c r="F270" s="513"/>
      <c r="G270" s="516"/>
      <c r="H270" s="517"/>
      <c r="I270" s="472"/>
      <c r="J270" s="472"/>
      <c r="K270" s="472"/>
      <c r="L270" s="472"/>
      <c r="M270" s="472"/>
      <c r="N270" s="453"/>
      <c r="O270" s="454"/>
      <c r="P270" s="454"/>
      <c r="Q270" s="354"/>
      <c r="R270" s="354"/>
      <c r="S270" s="354"/>
      <c r="T270" s="354"/>
      <c r="U270" s="354"/>
      <c r="V270" s="354"/>
      <c r="W270" s="354"/>
      <c r="X270" s="354"/>
      <c r="Y270" s="354"/>
      <c r="Z270" s="354"/>
      <c r="AA270" s="354"/>
      <c r="AB270" s="354"/>
      <c r="AC270" s="354"/>
      <c r="AD270" s="354"/>
      <c r="AE270" s="354"/>
      <c r="AF270" s="354"/>
      <c r="AG270" s="354"/>
      <c r="AH270" s="354"/>
      <c r="AI270" s="354"/>
      <c r="AJ270" s="354"/>
      <c r="AK270" s="354"/>
      <c r="AL270" s="354"/>
      <c r="AM270" s="354"/>
      <c r="AN270" s="354"/>
      <c r="AO270" s="358"/>
      <c r="AP270" s="358"/>
      <c r="AQ270" s="458"/>
      <c r="AR270" s="458"/>
      <c r="AS270" s="458"/>
      <c r="AT270" s="342"/>
      <c r="AU270" s="342"/>
      <c r="AV270" s="342"/>
      <c r="AW270" s="342"/>
      <c r="AX270" s="342"/>
      <c r="AY270" s="342"/>
      <c r="AZ270" s="342"/>
      <c r="BA270" s="342"/>
      <c r="BB270" s="342"/>
      <c r="BC270" s="342"/>
      <c r="BD270" s="342"/>
      <c r="BE270" s="342"/>
    </row>
    <row r="271" spans="1:57" ht="14.25" hidden="1" customHeight="1" outlineLevel="1">
      <c r="D271" s="492"/>
      <c r="E271" s="513"/>
      <c r="F271" s="513"/>
      <c r="G271" s="516"/>
      <c r="H271" s="517"/>
      <c r="I271" s="472"/>
      <c r="J271" s="472"/>
      <c r="K271" s="472"/>
      <c r="L271" s="472"/>
      <c r="M271" s="472"/>
      <c r="N271" s="453"/>
      <c r="O271" s="454"/>
      <c r="P271" s="454"/>
      <c r="Q271" s="354"/>
      <c r="R271" s="354"/>
      <c r="S271" s="354"/>
      <c r="T271" s="354"/>
      <c r="U271" s="354"/>
      <c r="V271" s="354"/>
      <c r="W271" s="354"/>
      <c r="X271" s="354"/>
      <c r="Y271" s="354"/>
      <c r="Z271" s="354"/>
      <c r="AA271" s="354"/>
      <c r="AB271" s="354"/>
      <c r="AC271" s="354"/>
      <c r="AD271" s="354"/>
      <c r="AE271" s="354"/>
      <c r="AF271" s="354"/>
      <c r="AG271" s="354"/>
      <c r="AH271" s="354"/>
      <c r="AI271" s="354"/>
      <c r="AJ271" s="354"/>
      <c r="AK271" s="354"/>
      <c r="AL271" s="354"/>
      <c r="AM271" s="354"/>
      <c r="AN271" s="354"/>
      <c r="AO271" s="358"/>
      <c r="AP271" s="358"/>
      <c r="AQ271" s="458"/>
      <c r="AR271" s="458"/>
      <c r="AS271" s="458"/>
      <c r="AT271" s="342"/>
      <c r="AU271" s="342"/>
      <c r="AV271" s="342"/>
      <c r="AW271" s="342"/>
      <c r="AX271" s="342"/>
      <c r="AY271" s="342"/>
      <c r="AZ271" s="342"/>
      <c r="BA271" s="342"/>
      <c r="BB271" s="342"/>
      <c r="BC271" s="342"/>
      <c r="BD271" s="342"/>
      <c r="BE271" s="342"/>
    </row>
    <row r="272" spans="1:57" ht="14.25" hidden="1" customHeight="1" outlineLevel="1">
      <c r="A272" s="416" t="s">
        <v>1952</v>
      </c>
      <c r="B272" s="415" t="s">
        <v>1796</v>
      </c>
      <c r="C272" s="501">
        <v>10000</v>
      </c>
      <c r="D272" s="492"/>
      <c r="E272" s="513"/>
      <c r="F272" s="513"/>
      <c r="G272" s="516"/>
      <c r="H272" s="517"/>
      <c r="I272" s="472"/>
      <c r="J272" s="472"/>
      <c r="K272" s="472"/>
      <c r="L272" s="472"/>
      <c r="M272" s="472"/>
      <c r="N272" s="453"/>
      <c r="O272" s="454"/>
      <c r="P272" s="454"/>
      <c r="Q272" s="354"/>
      <c r="R272" s="354"/>
      <c r="S272" s="354"/>
      <c r="T272" s="354"/>
      <c r="U272" s="354"/>
      <c r="V272" s="354"/>
      <c r="W272" s="354"/>
      <c r="X272" s="354"/>
      <c r="Y272" s="354"/>
      <c r="Z272" s="354"/>
      <c r="AA272" s="354"/>
      <c r="AB272" s="354"/>
      <c r="AC272" s="354"/>
      <c r="AD272" s="354"/>
      <c r="AE272" s="354"/>
      <c r="AF272" s="354"/>
      <c r="AG272" s="354"/>
      <c r="AH272" s="354"/>
      <c r="AI272" s="354"/>
      <c r="AJ272" s="354"/>
      <c r="AK272" s="354"/>
      <c r="AL272" s="354"/>
      <c r="AM272" s="354"/>
      <c r="AN272" s="354"/>
      <c r="AO272" s="358"/>
      <c r="AP272" s="358"/>
      <c r="AQ272" s="458"/>
      <c r="AR272" s="458"/>
      <c r="AS272" s="458"/>
      <c r="AT272" s="342"/>
      <c r="AU272" s="342"/>
      <c r="AV272" s="342"/>
      <c r="AW272" s="342"/>
      <c r="AX272" s="342"/>
      <c r="AY272" s="342"/>
      <c r="AZ272" s="342"/>
      <c r="BA272" s="342"/>
      <c r="BB272" s="342"/>
      <c r="BC272" s="342"/>
      <c r="BD272" s="342"/>
      <c r="BE272" s="342"/>
    </row>
    <row r="273" spans="1:57" ht="14.25" customHeight="1" collapsed="1">
      <c r="A273" s="3062" t="s">
        <v>1953</v>
      </c>
      <c r="B273" s="3062"/>
      <c r="C273" s="3062"/>
      <c r="D273" s="3062"/>
      <c r="E273" s="3062"/>
      <c r="F273" s="419" t="s">
        <v>1798</v>
      </c>
      <c r="G273" s="516"/>
      <c r="H273" s="517"/>
      <c r="I273" s="472"/>
      <c r="J273" s="472"/>
      <c r="K273" s="472"/>
      <c r="L273" s="472"/>
      <c r="M273" s="472"/>
      <c r="N273" s="453"/>
      <c r="O273" s="454"/>
      <c r="P273" s="454"/>
      <c r="Q273" s="354"/>
      <c r="R273" s="354"/>
      <c r="S273" s="354"/>
      <c r="T273" s="354"/>
      <c r="U273" s="354"/>
      <c r="V273" s="354"/>
      <c r="W273" s="354"/>
      <c r="X273" s="354"/>
      <c r="Y273" s="354"/>
      <c r="Z273" s="354"/>
      <c r="AA273" s="354"/>
      <c r="AB273" s="354"/>
      <c r="AC273" s="354"/>
      <c r="AD273" s="354"/>
      <c r="AE273" s="354"/>
      <c r="AF273" s="354"/>
      <c r="AG273" s="354"/>
      <c r="AH273" s="354"/>
      <c r="AI273" s="354"/>
      <c r="AJ273" s="354"/>
      <c r="AK273" s="354"/>
      <c r="AL273" s="354"/>
      <c r="AM273" s="354"/>
      <c r="AN273" s="354"/>
      <c r="AO273" s="358"/>
      <c r="AP273" s="358"/>
      <c r="AQ273" s="458"/>
      <c r="AR273" s="458"/>
      <c r="AS273" s="458"/>
      <c r="AT273" s="342"/>
      <c r="AU273" s="342"/>
      <c r="AV273" s="342"/>
      <c r="AW273" s="342"/>
      <c r="AX273" s="342"/>
      <c r="AY273" s="342"/>
      <c r="AZ273" s="342"/>
      <c r="BA273" s="342"/>
      <c r="BB273" s="342"/>
      <c r="BC273" s="342"/>
      <c r="BD273" s="342"/>
      <c r="BE273" s="342"/>
    </row>
    <row r="274" spans="1:57" ht="14.25" customHeight="1">
      <c r="A274" s="490"/>
      <c r="B274" s="490"/>
      <c r="C274" s="490"/>
      <c r="D274" s="492"/>
      <c r="E274" s="513"/>
      <c r="F274" s="513"/>
      <c r="G274" s="516"/>
      <c r="H274" s="517"/>
      <c r="I274" s="472"/>
      <c r="J274" s="472"/>
      <c r="K274" s="472"/>
      <c r="AG274" s="354"/>
      <c r="AH274" s="354"/>
      <c r="AI274" s="354"/>
      <c r="AJ274" s="354"/>
      <c r="AK274" s="354"/>
      <c r="AL274" s="354"/>
      <c r="AM274" s="354"/>
      <c r="AN274" s="354"/>
      <c r="AO274" s="358"/>
      <c r="AP274" s="358"/>
      <c r="AQ274" s="458"/>
      <c r="AR274" s="458"/>
      <c r="AS274" s="458"/>
      <c r="AT274" s="342"/>
      <c r="AU274" s="342"/>
      <c r="AV274" s="342"/>
      <c r="AW274" s="342"/>
      <c r="AX274" s="342"/>
      <c r="AY274" s="342"/>
      <c r="AZ274" s="342"/>
      <c r="BA274" s="342"/>
      <c r="BB274" s="342"/>
      <c r="BC274" s="342"/>
      <c r="BD274" s="342"/>
      <c r="BE274" s="342"/>
    </row>
    <row r="275" spans="1:57" ht="14.25" hidden="1" customHeight="1" outlineLevel="1">
      <c r="A275" s="3090" t="s">
        <v>1954</v>
      </c>
      <c r="B275" s="3090"/>
      <c r="C275" s="3090"/>
      <c r="D275" s="3090"/>
      <c r="E275" s="3090"/>
      <c r="H275" s="354"/>
      <c r="I275" s="354"/>
      <c r="J275" s="3063" t="s">
        <v>1955</v>
      </c>
      <c r="K275" s="3063"/>
      <c r="L275" s="3063"/>
      <c r="M275" s="3063"/>
      <c r="N275" s="3063"/>
      <c r="O275" s="3063"/>
      <c r="P275" s="3063"/>
      <c r="Q275" s="3063"/>
      <c r="R275" s="3063"/>
      <c r="S275" s="3063"/>
      <c r="T275" s="3063"/>
      <c r="U275" s="3063"/>
      <c r="V275" s="3063"/>
      <c r="W275" s="3063"/>
      <c r="X275" s="3063"/>
      <c r="Y275" s="3063"/>
      <c r="Z275" s="3063"/>
      <c r="AA275" s="3063"/>
      <c r="AB275" s="3063"/>
      <c r="AC275" s="3063"/>
      <c r="AG275" s="354"/>
      <c r="AH275" s="354"/>
      <c r="AI275" s="354"/>
      <c r="AJ275" s="354"/>
      <c r="AK275" s="354"/>
      <c r="AL275" s="354"/>
      <c r="AM275" s="354"/>
      <c r="AN275" s="354"/>
      <c r="AO275" s="358"/>
      <c r="AP275" s="358"/>
      <c r="AQ275" s="458"/>
      <c r="AR275" s="458"/>
      <c r="AS275" s="458"/>
      <c r="AT275" s="342"/>
      <c r="AU275" s="342"/>
      <c r="AV275" s="342"/>
      <c r="AW275" s="342"/>
      <c r="AX275" s="342"/>
      <c r="AY275" s="342"/>
      <c r="AZ275" s="342"/>
      <c r="BA275" s="342"/>
      <c r="BB275" s="342"/>
      <c r="BC275" s="342"/>
      <c r="BD275" s="342"/>
      <c r="BE275" s="342"/>
    </row>
    <row r="276" spans="1:57" ht="14.25" hidden="1" customHeight="1" outlineLevel="1">
      <c r="A276" s="424"/>
      <c r="B276" s="518"/>
      <c r="C276" s="519"/>
      <c r="D276" s="519"/>
      <c r="E276" s="519"/>
      <c r="F276" s="503"/>
      <c r="G276" s="366"/>
      <c r="H276" s="366"/>
      <c r="I276" s="472"/>
      <c r="J276" s="3063"/>
      <c r="K276" s="3063"/>
      <c r="L276" s="3063"/>
      <c r="M276" s="3063"/>
      <c r="N276" s="3063"/>
      <c r="O276" s="3063"/>
      <c r="P276" s="3063"/>
      <c r="Q276" s="3063"/>
      <c r="R276" s="3063"/>
      <c r="S276" s="3063"/>
      <c r="T276" s="3063"/>
      <c r="U276" s="3063"/>
      <c r="V276" s="3063"/>
      <c r="W276" s="3063"/>
      <c r="X276" s="3063"/>
      <c r="Y276" s="3063"/>
      <c r="Z276" s="3063"/>
      <c r="AA276" s="3063"/>
      <c r="AB276" s="3063"/>
      <c r="AC276" s="3063"/>
      <c r="AD276" s="520"/>
      <c r="AE276" s="520"/>
      <c r="AF276" s="520"/>
      <c r="AG276" s="520"/>
      <c r="AH276" s="520"/>
      <c r="AI276" s="520"/>
      <c r="AJ276" s="520"/>
      <c r="AK276" s="520"/>
      <c r="AL276" s="424"/>
      <c r="AM276" s="424"/>
      <c r="AN276" s="424"/>
      <c r="AO276" s="425"/>
      <c r="AP276" s="425"/>
      <c r="AQ276" s="353"/>
      <c r="AR276" s="353"/>
      <c r="AS276" s="353"/>
      <c r="AT276" s="426"/>
      <c r="AU276" s="426"/>
      <c r="AV276" s="426"/>
      <c r="AW276" s="426"/>
      <c r="AX276" s="426"/>
      <c r="AY276" s="426"/>
      <c r="AZ276" s="426"/>
      <c r="BA276" s="426"/>
      <c r="BB276" s="426"/>
      <c r="BC276" s="426"/>
      <c r="BD276" s="426"/>
      <c r="BE276" s="426"/>
    </row>
    <row r="277" spans="1:57" ht="14.25" hidden="1" customHeight="1" outlineLevel="1">
      <c r="A277" s="3096" t="s">
        <v>1884</v>
      </c>
      <c r="B277" s="3096"/>
      <c r="C277" s="3096"/>
      <c r="D277" s="3096"/>
      <c r="E277" s="507">
        <v>1</v>
      </c>
      <c r="F277" s="466"/>
      <c r="G277" s="509"/>
      <c r="H277" s="366"/>
      <c r="I277" s="472"/>
      <c r="J277" s="424"/>
      <c r="K277" s="424"/>
      <c r="L277" s="424"/>
      <c r="M277" s="472"/>
      <c r="N277" s="381"/>
      <c r="O277" s="421"/>
      <c r="P277" s="421"/>
      <c r="Q277" s="424"/>
      <c r="R277" s="520"/>
      <c r="S277" s="520"/>
      <c r="T277" s="520"/>
      <c r="U277" s="520"/>
      <c r="V277" s="520"/>
      <c r="W277" s="520"/>
      <c r="X277" s="520"/>
      <c r="Y277" s="520"/>
      <c r="Z277" s="520"/>
      <c r="AA277" s="520"/>
      <c r="AB277" s="520"/>
      <c r="AC277" s="520"/>
      <c r="AD277" s="520"/>
      <c r="AE277" s="520"/>
      <c r="AF277" s="520"/>
      <c r="AG277" s="520"/>
      <c r="AH277" s="520"/>
      <c r="AI277" s="520"/>
      <c r="AJ277" s="520"/>
      <c r="AK277" s="520"/>
      <c r="AL277" s="424"/>
      <c r="AM277" s="424"/>
      <c r="AN277" s="424"/>
      <c r="AO277" s="425"/>
      <c r="AP277" s="425"/>
      <c r="AQ277" s="353"/>
      <c r="AR277" s="353"/>
      <c r="AS277" s="353"/>
      <c r="AT277" s="426"/>
      <c r="AU277" s="426"/>
      <c r="AV277" s="426"/>
      <c r="AW277" s="426"/>
      <c r="AX277" s="426"/>
      <c r="AY277" s="426"/>
      <c r="AZ277" s="426"/>
      <c r="BA277" s="426"/>
      <c r="BB277" s="426"/>
      <c r="BC277" s="426"/>
      <c r="BD277" s="426"/>
      <c r="BE277" s="426"/>
    </row>
    <row r="278" spans="1:57" ht="14.25" hidden="1" customHeight="1" outlineLevel="1">
      <c r="A278" s="3095" t="s">
        <v>1885</v>
      </c>
      <c r="B278" s="3095"/>
      <c r="C278" s="3095"/>
      <c r="D278" s="3095"/>
      <c r="E278" s="507">
        <v>1</v>
      </c>
      <c r="F278" s="466"/>
      <c r="G278" s="475"/>
      <c r="H278" s="366"/>
      <c r="I278" s="472"/>
      <c r="J278" s="354"/>
      <c r="K278" s="354"/>
      <c r="L278" s="354"/>
      <c r="M278" s="472"/>
      <c r="N278" s="453"/>
      <c r="O278" s="454"/>
      <c r="P278" s="454"/>
      <c r="Q278" s="354"/>
      <c r="R278" s="508"/>
      <c r="S278" s="508"/>
      <c r="T278" s="508"/>
      <c r="U278" s="508"/>
      <c r="V278" s="508"/>
      <c r="W278" s="508"/>
      <c r="X278" s="508"/>
      <c r="Y278" s="508"/>
      <c r="Z278" s="508"/>
      <c r="AA278" s="508"/>
      <c r="AB278" s="508"/>
      <c r="AC278" s="508"/>
      <c r="AD278" s="508"/>
      <c r="AE278" s="508"/>
      <c r="AF278" s="508"/>
      <c r="AG278" s="508"/>
      <c r="AH278" s="508"/>
      <c r="AI278" s="508"/>
      <c r="AJ278" s="508"/>
      <c r="AK278" s="508"/>
      <c r="AL278" s="354"/>
      <c r="AM278" s="354"/>
      <c r="AN278" s="354"/>
      <c r="AO278" s="358"/>
      <c r="AP278" s="358"/>
      <c r="AQ278" s="458"/>
      <c r="AR278" s="458"/>
      <c r="AS278" s="458"/>
      <c r="AT278" s="342"/>
      <c r="AU278" s="342"/>
      <c r="AV278" s="342"/>
      <c r="AW278" s="342"/>
      <c r="AX278" s="342"/>
      <c r="AY278" s="342"/>
      <c r="AZ278" s="342"/>
      <c r="BA278" s="342"/>
      <c r="BB278" s="342"/>
      <c r="BC278" s="342"/>
      <c r="BD278" s="342"/>
      <c r="BE278" s="342"/>
    </row>
    <row r="279" spans="1:57" ht="14.25" hidden="1" customHeight="1" outlineLevel="1">
      <c r="B279" s="512"/>
      <c r="C279" s="513"/>
      <c r="D279" s="510"/>
      <c r="E279" s="511"/>
      <c r="F279" s="511"/>
      <c r="G279" s="475"/>
      <c r="AQ279" s="458"/>
      <c r="AR279" s="458"/>
      <c r="AS279" s="458"/>
      <c r="AT279" s="342"/>
      <c r="AU279" s="342"/>
      <c r="AV279" s="342"/>
      <c r="AW279" s="342"/>
      <c r="AX279" s="342"/>
      <c r="AY279" s="342"/>
      <c r="AZ279" s="342"/>
      <c r="BA279" s="342"/>
      <c r="BB279" s="342"/>
      <c r="BC279" s="342"/>
      <c r="BD279" s="342"/>
      <c r="BE279" s="342"/>
    </row>
    <row r="280" spans="1:57" ht="14.25" hidden="1" customHeight="1" outlineLevel="1">
      <c r="A280" s="438" t="s">
        <v>1093</v>
      </c>
      <c r="B280" s="438" t="s">
        <v>208</v>
      </c>
      <c r="C280" s="438" t="s">
        <v>156</v>
      </c>
      <c r="D280" s="354"/>
      <c r="E280" s="354"/>
      <c r="F280" s="354"/>
      <c r="G280" s="479"/>
      <c r="AQ280" s="342"/>
      <c r="AR280" s="342"/>
      <c r="AS280" s="342"/>
      <c r="AT280" s="342"/>
      <c r="AU280" s="458"/>
      <c r="AV280" s="458"/>
      <c r="AW280" s="342"/>
      <c r="AX280" s="342"/>
      <c r="AY280" s="342"/>
      <c r="AZ280" s="342"/>
      <c r="BA280" s="342"/>
      <c r="BB280" s="342"/>
      <c r="BC280" s="342"/>
      <c r="BD280" s="342"/>
      <c r="BE280" s="342"/>
    </row>
    <row r="281" spans="1:57" ht="14.25" hidden="1" customHeight="1" outlineLevel="1">
      <c r="A281" s="331" t="s">
        <v>1889</v>
      </c>
      <c r="D281" s="502" t="s">
        <v>156</v>
      </c>
      <c r="E281" s="354"/>
      <c r="F281" s="354"/>
      <c r="G281" s="479"/>
      <c r="AQ281" s="342"/>
      <c r="AR281" s="342"/>
      <c r="AS281" s="342"/>
      <c r="AT281" s="342"/>
      <c r="AU281" s="458"/>
      <c r="AV281" s="458"/>
      <c r="AW281" s="342"/>
      <c r="AX281" s="342"/>
      <c r="AY281" s="342"/>
      <c r="AZ281" s="342"/>
      <c r="BA281" s="342"/>
      <c r="BB281" s="342"/>
      <c r="BC281" s="342"/>
      <c r="BD281" s="342"/>
      <c r="BE281" s="342"/>
    </row>
    <row r="282" spans="1:57" ht="14.25" hidden="1" customHeight="1" outlineLevel="1">
      <c r="A282" s="477" t="s">
        <v>1890</v>
      </c>
      <c r="D282" s="393">
        <v>7.48</v>
      </c>
      <c r="E282" s="354"/>
      <c r="F282" s="354"/>
      <c r="G282" s="479"/>
      <c r="AQ282" s="342"/>
      <c r="AR282" s="342"/>
      <c r="AS282" s="342"/>
      <c r="AT282" s="342"/>
      <c r="AU282" s="342"/>
      <c r="AV282" s="342"/>
      <c r="AW282" s="342"/>
      <c r="AX282" s="342"/>
      <c r="AY282" s="342"/>
      <c r="AZ282" s="342"/>
      <c r="BA282" s="342"/>
      <c r="BB282" s="342"/>
      <c r="BC282" s="342"/>
      <c r="BD282" s="342"/>
      <c r="BE282" s="342"/>
    </row>
    <row r="283" spans="1:57" ht="14.25" hidden="1" customHeight="1" outlineLevel="1">
      <c r="A283" s="478" t="s">
        <v>1891</v>
      </c>
      <c r="B283" s="479"/>
      <c r="C283" s="514"/>
      <c r="D283" s="366"/>
      <c r="E283" s="366"/>
      <c r="F283" s="366"/>
      <c r="G283" s="365"/>
      <c r="H283" s="364"/>
      <c r="I283" s="364"/>
      <c r="J283" s="364"/>
      <c r="K283" s="364"/>
      <c r="L283" s="364"/>
      <c r="M283" s="364"/>
      <c r="N283" s="364"/>
      <c r="O283" s="364"/>
      <c r="P283" s="364"/>
      <c r="Q283" s="364"/>
      <c r="R283" s="364"/>
      <c r="S283" s="364"/>
      <c r="T283" s="364"/>
      <c r="U283" s="364"/>
      <c r="V283" s="364"/>
      <c r="W283" s="364"/>
      <c r="X283" s="364"/>
      <c r="Y283" s="364"/>
      <c r="Z283" s="364"/>
      <c r="AA283" s="364"/>
      <c r="AB283" s="364"/>
      <c r="AC283" s="364"/>
      <c r="AD283" s="364"/>
      <c r="AE283" s="364"/>
      <c r="AF283" s="364"/>
      <c r="AG283" s="364"/>
      <c r="AH283" s="364"/>
      <c r="AI283" s="364"/>
      <c r="AJ283" s="364"/>
      <c r="AK283" s="364"/>
      <c r="AQ283" s="342"/>
      <c r="AR283" s="342"/>
      <c r="AS283" s="342"/>
      <c r="AT283" s="342"/>
      <c r="AU283" s="342"/>
      <c r="AV283" s="342"/>
      <c r="AW283" s="342"/>
      <c r="AX283" s="342"/>
      <c r="AY283" s="342"/>
      <c r="AZ283" s="342"/>
      <c r="BA283" s="342"/>
      <c r="BB283" s="342"/>
      <c r="BC283" s="342"/>
      <c r="BD283" s="342"/>
      <c r="BE283" s="342"/>
    </row>
    <row r="284" spans="1:57" ht="14.25" hidden="1" customHeight="1" outlineLevel="1">
      <c r="A284" s="483" t="s">
        <v>493</v>
      </c>
      <c r="B284" s="479"/>
      <c r="C284" s="514"/>
      <c r="D284" s="355"/>
      <c r="E284" s="355"/>
      <c r="F284" s="355"/>
      <c r="G284" s="355"/>
      <c r="H284" s="357"/>
      <c r="I284" s="356"/>
      <c r="J284" s="356"/>
      <c r="K284" s="356"/>
      <c r="L284" s="366"/>
      <c r="M284" s="366"/>
      <c r="N284" s="356"/>
      <c r="O284" s="356"/>
      <c r="P284" s="366"/>
      <c r="Q284" s="366"/>
      <c r="R284" s="366"/>
      <c r="S284" s="366"/>
      <c r="T284" s="366" t="s">
        <v>1926</v>
      </c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 t="s">
        <v>1937</v>
      </c>
      <c r="AH284" s="366"/>
      <c r="AI284" s="521"/>
      <c r="AJ284" s="367"/>
      <c r="AK284" s="364"/>
      <c r="AQ284" s="342"/>
      <c r="AR284" s="342"/>
      <c r="AS284" s="342"/>
      <c r="AT284" s="342"/>
      <c r="AU284" s="342"/>
      <c r="AV284" s="342"/>
      <c r="AW284" s="342"/>
      <c r="AX284" s="342"/>
      <c r="AY284" s="342"/>
      <c r="AZ284" s="342"/>
      <c r="BA284" s="342"/>
      <c r="BB284" s="342"/>
      <c r="BC284" s="342"/>
      <c r="BD284" s="342"/>
      <c r="BE284" s="342"/>
    </row>
    <row r="285" spans="1:57" ht="14.25" hidden="1" customHeight="1" outlineLevel="1">
      <c r="A285" s="488" t="s">
        <v>1956</v>
      </c>
      <c r="B285" s="438" t="s">
        <v>156</v>
      </c>
      <c r="C285" s="392">
        <v>0.5</v>
      </c>
      <c r="D285" s="502" t="s">
        <v>156</v>
      </c>
      <c r="E285" s="355"/>
      <c r="F285" s="355"/>
      <c r="G285" s="355"/>
      <c r="H285" s="357"/>
      <c r="J285" s="355"/>
      <c r="K285" s="356"/>
      <c r="L285" s="356"/>
      <c r="M285" s="356"/>
      <c r="N285" s="356"/>
      <c r="O285" s="356"/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>
        <v>24</v>
      </c>
      <c r="AH285" s="366"/>
      <c r="AI285" s="521"/>
      <c r="AJ285" s="521"/>
      <c r="AK285" s="364"/>
      <c r="AQ285" s="342"/>
      <c r="AR285" s="342"/>
      <c r="AS285" s="342"/>
      <c r="AT285" s="342"/>
      <c r="AU285" s="342"/>
      <c r="AV285" s="342"/>
      <c r="AW285" s="342"/>
      <c r="AX285" s="342"/>
      <c r="AY285" s="342"/>
      <c r="AZ285" s="342"/>
      <c r="BA285" s="342"/>
      <c r="BB285" s="342"/>
      <c r="BC285" s="342">
        <v>1</v>
      </c>
      <c r="BD285" s="384">
        <f>D297</f>
        <v>3.7</v>
      </c>
      <c r="BE285" s="342"/>
    </row>
    <row r="286" spans="1:57" ht="14.25" hidden="1" customHeight="1" outlineLevel="1">
      <c r="A286" s="263" t="s">
        <v>1943</v>
      </c>
      <c r="B286" s="415" t="s">
        <v>156</v>
      </c>
      <c r="C286" s="484">
        <v>6</v>
      </c>
      <c r="D286" s="393">
        <v>6.4</v>
      </c>
      <c r="E286" s="355"/>
      <c r="F286" s="355"/>
      <c r="G286" s="355"/>
      <c r="H286" s="357"/>
      <c r="J286" s="356"/>
      <c r="K286" s="356"/>
      <c r="L286" s="356"/>
      <c r="M286" s="356"/>
      <c r="N286" s="356"/>
      <c r="O286" s="356"/>
      <c r="P286" s="366"/>
      <c r="Q286" s="366"/>
      <c r="R286" s="366"/>
      <c r="S286" s="366"/>
      <c r="T286" s="366"/>
      <c r="U286" s="366"/>
      <c r="V286" s="366"/>
      <c r="W286" s="366"/>
      <c r="X286" s="366"/>
      <c r="Y286" s="366"/>
      <c r="Z286" s="366"/>
      <c r="AA286" s="366"/>
      <c r="AB286" s="366"/>
      <c r="AC286" s="366"/>
      <c r="AD286" s="366" t="s">
        <v>1928</v>
      </c>
      <c r="AE286" s="366"/>
      <c r="AF286" s="366"/>
      <c r="AG286" s="366"/>
      <c r="AH286" s="366"/>
      <c r="AI286" s="521"/>
      <c r="AJ286" s="521"/>
      <c r="AK286" s="364"/>
      <c r="AQ286" s="342"/>
      <c r="AR286" s="342"/>
      <c r="AS286" s="342"/>
      <c r="AT286" s="342"/>
      <c r="AU286" s="342"/>
      <c r="AV286" s="342"/>
      <c r="AW286" s="342"/>
      <c r="AX286" s="342"/>
      <c r="AY286" s="342"/>
      <c r="AZ286" s="342"/>
      <c r="BA286" s="342"/>
      <c r="BB286" s="342"/>
      <c r="BC286" s="342">
        <v>2</v>
      </c>
      <c r="BD286" s="384">
        <f>D294</f>
        <v>4</v>
      </c>
      <c r="BE286" s="342"/>
    </row>
    <row r="287" spans="1:57" ht="14.25" hidden="1" customHeight="1" outlineLevel="1">
      <c r="A287" s="263" t="s">
        <v>1896</v>
      </c>
      <c r="B287" s="415" t="s">
        <v>156</v>
      </c>
      <c r="C287" s="484">
        <v>0.5</v>
      </c>
      <c r="D287" s="502"/>
      <c r="E287" s="355"/>
      <c r="F287" s="355"/>
      <c r="G287" s="355"/>
      <c r="H287" s="357"/>
      <c r="I287" s="356"/>
      <c r="J287" s="356"/>
      <c r="K287" s="356"/>
      <c r="L287" s="356"/>
      <c r="M287" s="356"/>
      <c r="N287" s="356"/>
      <c r="O287" s="356"/>
      <c r="P287" s="366"/>
      <c r="Q287" s="366"/>
      <c r="R287" s="366"/>
      <c r="S287" s="366"/>
      <c r="T287" s="366"/>
      <c r="U287" s="366"/>
      <c r="V287" s="366"/>
      <c r="W287" s="366"/>
      <c r="X287" s="366"/>
      <c r="Y287" s="366"/>
      <c r="Z287" s="366"/>
      <c r="AA287" s="366"/>
      <c r="AB287" s="366"/>
      <c r="AC287" s="366"/>
      <c r="AD287" s="366"/>
      <c r="AE287" s="366"/>
      <c r="AF287" s="366"/>
      <c r="AG287" s="366"/>
      <c r="AH287" s="366"/>
      <c r="AI287" s="521"/>
      <c r="AJ287" s="521"/>
      <c r="AK287" s="364"/>
      <c r="AQ287" s="342"/>
      <c r="AR287" s="342"/>
      <c r="AS287" s="342"/>
      <c r="AT287" s="342"/>
      <c r="AU287" s="342"/>
      <c r="AV287" s="342"/>
      <c r="AW287" s="342"/>
      <c r="AX287" s="342"/>
      <c r="AY287" s="342"/>
      <c r="AZ287" s="342"/>
      <c r="BA287" s="342"/>
      <c r="BB287" s="342"/>
      <c r="BC287" s="342">
        <v>3</v>
      </c>
      <c r="BD287" s="384">
        <f>D290</f>
        <v>6.1</v>
      </c>
      <c r="BE287" s="342"/>
    </row>
    <row r="288" spans="1:57" ht="14.25" hidden="1" customHeight="1" outlineLevel="1">
      <c r="A288" s="263" t="s">
        <v>1957</v>
      </c>
      <c r="B288" s="415" t="s">
        <v>156</v>
      </c>
      <c r="C288" s="484">
        <v>0.5</v>
      </c>
      <c r="D288" s="502"/>
      <c r="E288" s="355"/>
      <c r="F288" s="355"/>
      <c r="G288" s="355"/>
      <c r="H288" s="357"/>
      <c r="I288" s="356"/>
      <c r="J288" s="356"/>
      <c r="K288" s="356"/>
      <c r="L288" s="356"/>
      <c r="M288" s="356"/>
      <c r="N288" s="356"/>
      <c r="O288" s="356"/>
      <c r="P288" s="366"/>
      <c r="Q288" s="366"/>
      <c r="R288" s="366"/>
      <c r="S288" s="366"/>
      <c r="T288" s="366"/>
      <c r="U288" s="366" t="s">
        <v>1958</v>
      </c>
      <c r="V288" s="366"/>
      <c r="W288" s="366"/>
      <c r="X288" s="366"/>
      <c r="Y288" s="366"/>
      <c r="Z288" s="366"/>
      <c r="AA288" s="366"/>
      <c r="AB288" s="366"/>
      <c r="AC288" s="366"/>
      <c r="AD288" s="366"/>
      <c r="AE288" s="366"/>
      <c r="AF288" s="366"/>
      <c r="AG288" s="366"/>
      <c r="AH288" s="366"/>
      <c r="AI288" s="521"/>
      <c r="AJ288" s="521"/>
      <c r="AK288" s="364"/>
      <c r="AQ288" s="342"/>
      <c r="AR288" s="342"/>
      <c r="AS288" s="342"/>
      <c r="AT288" s="342"/>
      <c r="AU288" s="342"/>
      <c r="AV288" s="342"/>
      <c r="AW288" s="342"/>
      <c r="AX288" s="342"/>
      <c r="AY288" s="342"/>
      <c r="AZ288" s="342"/>
      <c r="BA288" s="342"/>
      <c r="BB288" s="342"/>
      <c r="BC288" s="342">
        <v>4</v>
      </c>
      <c r="BD288" s="384">
        <f>D286</f>
        <v>6.4</v>
      </c>
      <c r="BE288" s="342"/>
    </row>
    <row r="289" spans="1:57" ht="14.25" hidden="1" customHeight="1" outlineLevel="1">
      <c r="A289" s="488" t="s">
        <v>1959</v>
      </c>
      <c r="B289" s="438" t="s">
        <v>156</v>
      </c>
      <c r="C289" s="522">
        <v>0.1</v>
      </c>
      <c r="D289" s="502" t="s">
        <v>156</v>
      </c>
      <c r="G289" s="355"/>
      <c r="H289" s="357"/>
      <c r="I289" s="356"/>
      <c r="J289" s="356"/>
      <c r="K289" s="356"/>
      <c r="L289" s="356"/>
      <c r="M289" s="356"/>
      <c r="N289" s="356"/>
      <c r="O289" s="356"/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521"/>
      <c r="AJ289" s="521"/>
      <c r="AK289" s="364"/>
      <c r="AQ289" s="342"/>
      <c r="AR289" s="342"/>
      <c r="AS289" s="342"/>
      <c r="AT289" s="342"/>
      <c r="AU289" s="342"/>
      <c r="AV289" s="342"/>
      <c r="AW289" s="342"/>
      <c r="AX289" s="342"/>
      <c r="AY289" s="342"/>
      <c r="AZ289" s="342"/>
      <c r="BA289" s="342"/>
      <c r="BB289" s="342"/>
      <c r="BC289" s="342">
        <v>5</v>
      </c>
      <c r="BD289" s="384">
        <f>D282</f>
        <v>7.48</v>
      </c>
      <c r="BE289" s="342"/>
    </row>
    <row r="290" spans="1:57" ht="14.25" hidden="1" customHeight="1" outlineLevel="1">
      <c r="A290" s="331" t="s">
        <v>1907</v>
      </c>
      <c r="B290" s="490"/>
      <c r="C290" s="492"/>
      <c r="D290" s="502">
        <v>6.1</v>
      </c>
      <c r="G290" s="355"/>
      <c r="H290" s="357"/>
      <c r="I290" s="356"/>
      <c r="J290" s="356"/>
      <c r="K290" s="356"/>
      <c r="L290" s="356"/>
      <c r="M290" s="356"/>
      <c r="N290" s="356"/>
      <c r="O290" s="356"/>
      <c r="P290" s="366"/>
      <c r="Q290" s="366"/>
      <c r="R290" s="366"/>
      <c r="S290" s="366"/>
      <c r="T290" s="366"/>
      <c r="U290" s="366"/>
      <c r="V290" s="366"/>
      <c r="W290" s="366"/>
      <c r="X290" s="366"/>
      <c r="Y290" s="366"/>
      <c r="Z290" s="366"/>
      <c r="AA290" s="366"/>
      <c r="AB290" s="366"/>
      <c r="AC290" s="366"/>
      <c r="AD290" s="366"/>
      <c r="AE290" s="366"/>
      <c r="AF290" s="366"/>
      <c r="AG290" s="366"/>
      <c r="AH290" s="366"/>
      <c r="AI290" s="521"/>
      <c r="AJ290" s="521"/>
      <c r="AK290" s="364"/>
      <c r="AQ290" s="342"/>
      <c r="AR290" s="342"/>
      <c r="AS290" s="342"/>
      <c r="AT290" s="342"/>
      <c r="AU290" s="342"/>
      <c r="AV290" s="342"/>
      <c r="AW290" s="342"/>
      <c r="AX290" s="342"/>
      <c r="AY290" s="342"/>
      <c r="AZ290" s="342"/>
      <c r="BA290" s="342"/>
      <c r="BB290" s="342"/>
      <c r="BC290" s="342">
        <v>6</v>
      </c>
      <c r="BD290" s="342">
        <f>Q301</f>
        <v>25</v>
      </c>
      <c r="BE290" s="342"/>
    </row>
    <row r="291" spans="1:57" ht="14.25" hidden="1" customHeight="1" outlineLevel="1">
      <c r="A291" s="489" t="s">
        <v>1960</v>
      </c>
      <c r="B291" s="490"/>
      <c r="C291" s="492"/>
      <c r="D291" s="355"/>
      <c r="E291" s="355"/>
      <c r="F291" s="355"/>
      <c r="G291" s="355"/>
      <c r="H291" s="357"/>
      <c r="I291" s="356"/>
      <c r="J291" s="356"/>
      <c r="K291" s="356"/>
      <c r="L291" s="356"/>
      <c r="M291" s="356"/>
      <c r="N291" s="356"/>
      <c r="O291" s="356"/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521"/>
      <c r="AJ291" s="521"/>
      <c r="AK291" s="364"/>
      <c r="AQ291" s="342"/>
      <c r="AR291" s="342"/>
      <c r="AS291" s="342"/>
      <c r="AT291" s="342"/>
      <c r="AU291" s="342"/>
      <c r="AV291" s="342"/>
      <c r="AW291" s="342"/>
      <c r="AX291" s="342"/>
      <c r="AY291" s="342"/>
      <c r="AZ291" s="342"/>
      <c r="BA291" s="342"/>
      <c r="BB291" s="342"/>
      <c r="BC291" s="342">
        <v>7</v>
      </c>
      <c r="BD291" s="342">
        <f>N301</f>
        <v>70</v>
      </c>
      <c r="BE291" s="342"/>
    </row>
    <row r="292" spans="1:57" ht="14.25" hidden="1" customHeight="1" outlineLevel="1">
      <c r="A292" s="331" t="s">
        <v>1909</v>
      </c>
      <c r="D292" s="355"/>
      <c r="E292" s="355"/>
      <c r="F292" s="355"/>
      <c r="G292" s="355"/>
      <c r="H292" s="357"/>
      <c r="I292" s="356"/>
      <c r="J292" s="356"/>
      <c r="K292" s="356"/>
      <c r="L292" s="356"/>
      <c r="M292" s="356"/>
      <c r="N292" s="356"/>
      <c r="O292" s="356"/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521" t="s">
        <v>1961</v>
      </c>
      <c r="AJ292" s="521"/>
      <c r="AK292" s="364"/>
      <c r="AQ292" s="342"/>
      <c r="AR292" s="342"/>
      <c r="AS292" s="342"/>
      <c r="AT292" s="342"/>
      <c r="AU292" s="342"/>
      <c r="AV292" s="342"/>
      <c r="AW292" s="342"/>
      <c r="AX292" s="342"/>
      <c r="AY292" s="342"/>
      <c r="AZ292" s="342"/>
      <c r="BA292" s="342"/>
      <c r="BB292" s="342"/>
      <c r="BC292" s="342">
        <v>8</v>
      </c>
      <c r="BD292" s="342">
        <f>AG285</f>
        <v>24</v>
      </c>
      <c r="BE292" s="342"/>
    </row>
    <row r="293" spans="1:57" ht="14.25" hidden="1" customHeight="1" outlineLevel="1">
      <c r="A293" s="491" t="s">
        <v>270</v>
      </c>
      <c r="D293" s="355" t="s">
        <v>156</v>
      </c>
      <c r="E293" s="355"/>
      <c r="F293" s="355"/>
      <c r="H293" s="357"/>
      <c r="I293" s="356"/>
      <c r="J293" s="356"/>
      <c r="K293" s="356"/>
      <c r="L293" s="356"/>
      <c r="M293" s="356"/>
      <c r="N293" s="356"/>
      <c r="O293" s="356"/>
      <c r="P293" s="366"/>
      <c r="Q293" s="366"/>
      <c r="R293" s="366"/>
      <c r="S293" s="366"/>
      <c r="T293" s="366"/>
      <c r="U293" s="366"/>
      <c r="V293" s="366"/>
      <c r="W293" s="366"/>
      <c r="X293" s="366"/>
      <c r="Y293" s="366"/>
      <c r="Z293" s="366"/>
      <c r="AA293" s="366"/>
      <c r="AB293" s="366"/>
      <c r="AC293" s="366"/>
      <c r="AD293" s="366"/>
      <c r="AE293" s="366"/>
      <c r="AF293" s="366"/>
      <c r="AG293" s="366"/>
      <c r="AH293" s="366"/>
      <c r="AI293" s="521"/>
      <c r="AK293" s="364"/>
      <c r="AQ293" s="342"/>
      <c r="AR293" s="342"/>
      <c r="AS293" s="342"/>
      <c r="AT293" s="342"/>
      <c r="AU293" s="342"/>
      <c r="AV293" s="342"/>
      <c r="AW293" s="342"/>
      <c r="AX293" s="342"/>
      <c r="AY293" s="342"/>
      <c r="AZ293" s="342"/>
      <c r="BA293" s="342"/>
      <c r="BB293" s="342"/>
      <c r="BC293" s="342"/>
      <c r="BD293" s="342"/>
      <c r="BE293" s="342"/>
    </row>
    <row r="294" spans="1:57" ht="14.25" hidden="1" customHeight="1" outlineLevel="1">
      <c r="A294" s="331" t="s">
        <v>1910</v>
      </c>
      <c r="D294" s="355">
        <v>4</v>
      </c>
      <c r="E294" s="355"/>
      <c r="F294" s="355"/>
      <c r="H294" s="357"/>
      <c r="I294" s="356"/>
      <c r="J294" s="356"/>
      <c r="K294" s="356"/>
      <c r="L294" s="356"/>
      <c r="M294" s="356"/>
      <c r="N294" s="356"/>
      <c r="O294" s="356"/>
      <c r="P294" s="366"/>
      <c r="Q294" s="366"/>
      <c r="R294" s="366"/>
      <c r="S294" s="366"/>
      <c r="T294" s="366"/>
      <c r="U294" s="366"/>
      <c r="V294" s="366"/>
      <c r="W294" s="366"/>
      <c r="X294" s="366"/>
      <c r="Y294" s="366"/>
      <c r="Z294" s="366"/>
      <c r="AA294" s="366"/>
      <c r="AB294" s="366"/>
      <c r="AC294" s="366"/>
      <c r="AD294" s="366"/>
      <c r="AE294" s="366"/>
      <c r="AF294" s="366"/>
      <c r="AG294" s="366"/>
      <c r="AH294" s="366"/>
      <c r="AI294" s="521"/>
      <c r="AJ294" s="521"/>
      <c r="AK294" s="364"/>
      <c r="AQ294" s="342"/>
      <c r="AR294" s="342"/>
      <c r="AS294" s="342"/>
      <c r="AT294" s="342"/>
      <c r="AU294" s="342"/>
      <c r="AV294" s="342"/>
      <c r="AW294" s="342"/>
      <c r="AX294" s="342"/>
      <c r="AY294" s="342"/>
      <c r="AZ294" s="342"/>
      <c r="BA294" s="342"/>
      <c r="BB294" s="342"/>
      <c r="BC294" s="342"/>
      <c r="BD294" s="342"/>
      <c r="BE294" s="342"/>
    </row>
    <row r="295" spans="1:57" ht="14.25" hidden="1" customHeight="1" outlineLevel="1">
      <c r="A295" s="491" t="s">
        <v>277</v>
      </c>
      <c r="D295" s="355"/>
      <c r="E295" s="355"/>
      <c r="F295" s="355"/>
      <c r="G295" s="355"/>
      <c r="H295" s="357"/>
      <c r="I295" s="356"/>
      <c r="J295" s="356"/>
      <c r="K295" s="356"/>
      <c r="L295" s="356"/>
      <c r="M295" s="356"/>
      <c r="N295" s="356"/>
      <c r="O295" s="356"/>
      <c r="P295" s="366"/>
      <c r="Q295" s="366"/>
      <c r="R295" s="366"/>
      <c r="S295" s="366"/>
      <c r="T295" s="366"/>
      <c r="U295" s="366"/>
      <c r="V295" s="366"/>
      <c r="W295" s="366"/>
      <c r="X295" s="366"/>
      <c r="Y295" s="366"/>
      <c r="Z295" s="366"/>
      <c r="AA295" s="366"/>
      <c r="AB295" s="366"/>
      <c r="AC295" s="366"/>
      <c r="AD295" s="366"/>
      <c r="AE295" s="366"/>
      <c r="AF295" s="366"/>
      <c r="AG295" s="366"/>
      <c r="AH295" s="366"/>
      <c r="AI295" s="521"/>
      <c r="AJ295" s="521"/>
      <c r="AK295" s="364"/>
      <c r="AQ295" s="342"/>
      <c r="AR295" s="342"/>
      <c r="AS295" s="342"/>
      <c r="AT295" s="342"/>
      <c r="AU295" s="342"/>
      <c r="AV295" s="342"/>
      <c r="AW295" s="342"/>
      <c r="AX295" s="342"/>
      <c r="AY295" s="342"/>
      <c r="AZ295" s="342"/>
      <c r="BA295" s="342"/>
      <c r="BB295" s="342"/>
      <c r="BC295" s="342"/>
      <c r="BD295" s="342"/>
      <c r="BE295" s="342"/>
    </row>
    <row r="296" spans="1:57" ht="14.25" hidden="1" customHeight="1" outlineLevel="1">
      <c r="A296" s="331" t="s">
        <v>1911</v>
      </c>
      <c r="D296" s="355" t="s">
        <v>156</v>
      </c>
      <c r="E296" s="355"/>
      <c r="F296" s="355"/>
      <c r="G296" s="355"/>
      <c r="H296" s="357"/>
      <c r="I296" s="356"/>
      <c r="J296" s="356"/>
      <c r="K296" s="356"/>
      <c r="L296" s="356"/>
      <c r="M296" s="356"/>
      <c r="N296" s="356"/>
      <c r="O296" s="356"/>
      <c r="P296" s="366"/>
      <c r="Q296" s="366"/>
      <c r="R296" s="366"/>
      <c r="S296" s="366"/>
      <c r="T296" s="366"/>
      <c r="U296" s="366"/>
      <c r="V296" s="366"/>
      <c r="W296" s="366"/>
      <c r="X296" s="366"/>
      <c r="Y296" s="366"/>
      <c r="Z296" s="366"/>
      <c r="AA296" s="366"/>
      <c r="AB296" s="366"/>
      <c r="AC296" s="366"/>
      <c r="AD296" s="366"/>
      <c r="AE296" s="366"/>
      <c r="AF296" s="366"/>
      <c r="AG296" s="366"/>
      <c r="AH296" s="366"/>
      <c r="AI296" s="521"/>
      <c r="AJ296" s="521"/>
      <c r="AK296" s="364"/>
      <c r="AQ296" s="342"/>
      <c r="AR296" s="342"/>
      <c r="AS296" s="342"/>
      <c r="AT296" s="342"/>
      <c r="AU296" s="342"/>
      <c r="AV296" s="342"/>
      <c r="AW296" s="342"/>
      <c r="AX296" s="342"/>
      <c r="AY296" s="342"/>
      <c r="AZ296" s="342"/>
      <c r="BA296" s="342"/>
      <c r="BB296" s="342"/>
      <c r="BC296" s="342"/>
      <c r="BD296" s="342"/>
      <c r="BE296" s="342"/>
    </row>
    <row r="297" spans="1:57" ht="14.25" hidden="1" customHeight="1" outlineLevel="1">
      <c r="A297" s="493" t="s">
        <v>493</v>
      </c>
      <c r="D297" s="355">
        <v>3.7</v>
      </c>
      <c r="E297" s="355"/>
      <c r="F297" s="355"/>
      <c r="G297" s="355"/>
      <c r="H297" s="357"/>
      <c r="I297" s="356"/>
      <c r="J297" s="356"/>
      <c r="K297" s="356"/>
      <c r="L297" s="356"/>
      <c r="M297" s="356"/>
      <c r="N297" s="356"/>
      <c r="O297" s="356"/>
      <c r="P297" s="366"/>
      <c r="Q297" s="366"/>
      <c r="R297" s="366"/>
      <c r="S297" s="366"/>
      <c r="T297" s="366"/>
      <c r="U297" s="366"/>
      <c r="V297" s="366"/>
      <c r="W297" s="366"/>
      <c r="X297" s="366"/>
      <c r="Y297" s="366"/>
      <c r="Z297" s="366"/>
      <c r="AA297" s="366"/>
      <c r="AB297" s="366"/>
      <c r="AC297" s="366"/>
      <c r="AD297" s="366"/>
      <c r="AE297" s="366"/>
      <c r="AF297" s="366"/>
      <c r="AG297" s="366"/>
      <c r="AH297" s="366"/>
      <c r="AI297" s="521"/>
      <c r="AJ297" s="521"/>
      <c r="AK297" s="364"/>
      <c r="AQ297" s="342"/>
      <c r="AR297" s="342"/>
      <c r="AS297" s="342"/>
      <c r="AT297" s="342"/>
      <c r="AU297" s="342"/>
      <c r="AV297" s="342"/>
      <c r="AW297" s="342"/>
      <c r="AX297" s="342"/>
      <c r="AY297" s="342"/>
      <c r="AZ297" s="342"/>
      <c r="BA297" s="342"/>
      <c r="BB297" s="342"/>
      <c r="BC297" s="342"/>
      <c r="BD297" s="342"/>
      <c r="BE297" s="342"/>
    </row>
    <row r="298" spans="1:57" ht="14.25" hidden="1" customHeight="1" outlineLevel="1">
      <c r="A298" s="331" t="s">
        <v>1913</v>
      </c>
      <c r="D298" s="355"/>
      <c r="E298" s="355"/>
      <c r="F298" s="355"/>
      <c r="G298" s="355"/>
      <c r="H298" s="357"/>
      <c r="I298" s="356"/>
      <c r="J298" s="356"/>
      <c r="K298" s="356"/>
      <c r="L298" s="356"/>
      <c r="M298" s="356"/>
      <c r="N298" s="356"/>
      <c r="O298" s="356"/>
      <c r="P298" s="366"/>
      <c r="Q298" s="366"/>
      <c r="R298" s="366"/>
      <c r="S298" s="366"/>
      <c r="T298" s="366"/>
      <c r="U298" s="366"/>
      <c r="V298" s="366"/>
      <c r="W298" s="366"/>
      <c r="X298" s="366"/>
      <c r="Y298" s="421"/>
      <c r="Z298" s="421"/>
      <c r="AA298" s="421"/>
      <c r="AB298" s="421"/>
      <c r="AC298" s="421"/>
      <c r="AD298" s="421"/>
      <c r="AE298" s="421"/>
      <c r="AF298" s="421"/>
      <c r="AG298" s="421"/>
      <c r="AH298" s="381"/>
      <c r="AI298" s="521"/>
      <c r="AJ298" s="521"/>
      <c r="AK298" s="364"/>
      <c r="AQ298" s="342"/>
      <c r="AR298" s="342"/>
      <c r="AS298" s="342"/>
      <c r="AT298" s="342"/>
      <c r="AU298" s="342"/>
      <c r="AV298" s="342"/>
      <c r="AW298" s="342"/>
      <c r="AX298" s="342"/>
      <c r="AY298" s="342"/>
      <c r="AZ298" s="342"/>
      <c r="BA298" s="342"/>
      <c r="BB298" s="342"/>
      <c r="BC298" s="342"/>
      <c r="BD298" s="342"/>
      <c r="BE298" s="342"/>
    </row>
    <row r="299" spans="1:57" ht="14.25" hidden="1" customHeight="1" outlineLevel="1">
      <c r="A299" s="494" t="s">
        <v>704</v>
      </c>
      <c r="D299" s="355"/>
      <c r="E299" s="355"/>
      <c r="F299" s="355"/>
      <c r="G299" s="355"/>
      <c r="H299" s="357"/>
      <c r="I299" s="356"/>
      <c r="J299" s="356"/>
      <c r="K299" s="356"/>
      <c r="L299" s="356"/>
      <c r="M299" s="356"/>
      <c r="N299" s="356"/>
      <c r="O299" s="356"/>
      <c r="P299" s="366"/>
      <c r="Q299" s="366"/>
      <c r="R299" s="366"/>
      <c r="S299" s="366"/>
      <c r="T299" s="366"/>
      <c r="U299" s="366"/>
      <c r="V299" s="366"/>
      <c r="W299" s="366"/>
      <c r="X299" s="366"/>
      <c r="Y299" s="421"/>
      <c r="Z299" s="421"/>
      <c r="AA299" s="421"/>
      <c r="AB299" s="421"/>
      <c r="AC299" s="421"/>
      <c r="AD299" s="421"/>
      <c r="AE299" s="421"/>
      <c r="AF299" s="421"/>
      <c r="AG299" s="421"/>
      <c r="AH299" s="381"/>
      <c r="AI299" s="521"/>
      <c r="AJ299" s="521"/>
      <c r="AK299" s="366"/>
      <c r="AO299" s="358"/>
      <c r="AP299" s="358"/>
      <c r="AQ299" s="342"/>
      <c r="AR299" s="342"/>
      <c r="AS299" s="342"/>
      <c r="AT299" s="342"/>
      <c r="AU299" s="342"/>
      <c r="AV299" s="342"/>
      <c r="AW299" s="342"/>
      <c r="AX299" s="342"/>
      <c r="AY299" s="342"/>
      <c r="AZ299" s="342"/>
      <c r="BA299" s="342"/>
      <c r="BB299" s="342"/>
      <c r="BC299" s="342"/>
      <c r="BD299" s="342"/>
      <c r="BE299" s="342"/>
    </row>
    <row r="300" spans="1:57" ht="14.25" hidden="1" customHeight="1" outlineLevel="1">
      <c r="A300" s="498" t="s">
        <v>1914</v>
      </c>
      <c r="B300" s="415" t="s">
        <v>159</v>
      </c>
      <c r="C300" s="263">
        <v>0</v>
      </c>
      <c r="D300" s="472"/>
      <c r="E300" s="472"/>
      <c r="F300" s="472"/>
      <c r="G300" s="472"/>
      <c r="H300" s="421"/>
      <c r="I300" s="366"/>
      <c r="J300" s="366"/>
      <c r="K300" s="366"/>
      <c r="L300" s="366"/>
      <c r="M300" s="366"/>
      <c r="O300" s="381"/>
      <c r="P300" s="366"/>
      <c r="R300" s="381"/>
      <c r="S300" s="366"/>
      <c r="T300" s="366"/>
      <c r="U300" s="366"/>
      <c r="V300" s="366"/>
      <c r="W300" s="366"/>
      <c r="X300" s="366"/>
      <c r="Y300" s="421"/>
      <c r="Z300" s="421"/>
      <c r="AA300" s="421"/>
      <c r="AB300" s="421"/>
      <c r="AC300" s="421"/>
      <c r="AD300" s="421"/>
      <c r="AE300" s="421"/>
      <c r="AF300" s="421"/>
      <c r="AG300" s="421"/>
      <c r="AH300" s="381"/>
      <c r="AI300" s="521"/>
      <c r="AJ300" s="521"/>
      <c r="AK300" s="366"/>
      <c r="AO300" s="358"/>
      <c r="AP300" s="358"/>
      <c r="AQ300" s="342"/>
      <c r="AR300" s="342"/>
      <c r="AS300" s="342"/>
      <c r="AT300" s="342"/>
      <c r="AU300" s="342"/>
      <c r="AV300" s="342"/>
      <c r="AW300" s="342"/>
      <c r="AX300" s="342"/>
      <c r="AY300" s="342"/>
      <c r="AZ300" s="342"/>
      <c r="BA300" s="342"/>
      <c r="BB300" s="342"/>
      <c r="BC300" s="342"/>
      <c r="BD300" s="342"/>
      <c r="BE300" s="342"/>
    </row>
    <row r="301" spans="1:57" ht="14.25" hidden="1" customHeight="1" outlineLevel="1">
      <c r="A301" s="498" t="s">
        <v>1915</v>
      </c>
      <c r="B301" s="415" t="s">
        <v>159</v>
      </c>
      <c r="C301" s="263">
        <v>0</v>
      </c>
      <c r="D301" s="472"/>
      <c r="E301" s="472"/>
      <c r="F301" s="472"/>
      <c r="G301" s="472"/>
      <c r="H301" s="466" t="s">
        <v>1899</v>
      </c>
      <c r="I301" s="366"/>
      <c r="J301" s="366"/>
      <c r="K301" s="366"/>
      <c r="L301" s="366"/>
      <c r="M301" s="366"/>
      <c r="N301" s="381">
        <v>70</v>
      </c>
      <c r="O301" s="381"/>
      <c r="P301" s="366"/>
      <c r="Q301" s="381">
        <v>25</v>
      </c>
      <c r="R301" s="381"/>
      <c r="S301" s="366"/>
      <c r="T301" s="366"/>
      <c r="U301" s="366"/>
      <c r="V301" s="366"/>
      <c r="W301" s="366"/>
      <c r="X301" s="366"/>
      <c r="Y301" s="421"/>
      <c r="Z301" s="421"/>
      <c r="AA301" s="421"/>
      <c r="AB301" s="421"/>
      <c r="AC301" s="421"/>
      <c r="AD301" s="421"/>
      <c r="AE301" s="421"/>
      <c r="AF301" s="421"/>
      <c r="AG301" s="421"/>
      <c r="AH301" s="381"/>
      <c r="AI301" s="521"/>
      <c r="AJ301" s="521"/>
      <c r="AK301" s="366"/>
      <c r="AO301" s="358"/>
      <c r="AP301" s="358"/>
      <c r="AQ301" s="342"/>
      <c r="AR301" s="342"/>
      <c r="AS301" s="342"/>
      <c r="AT301" s="342"/>
      <c r="AU301" s="342"/>
      <c r="AV301" s="342"/>
      <c r="AW301" s="342"/>
      <c r="AX301" s="342"/>
      <c r="AY301" s="342"/>
      <c r="AZ301" s="342"/>
      <c r="BA301" s="342"/>
      <c r="BB301" s="342"/>
      <c r="BC301" s="342"/>
      <c r="BD301" s="342"/>
      <c r="BE301" s="342"/>
    </row>
    <row r="302" spans="1:57" ht="14.25" hidden="1" customHeight="1" outlineLevel="1">
      <c r="A302" s="498" t="s">
        <v>1916</v>
      </c>
      <c r="B302" s="415" t="s">
        <v>159</v>
      </c>
      <c r="C302" s="263">
        <v>0</v>
      </c>
      <c r="D302" s="472"/>
      <c r="E302" s="472"/>
      <c r="F302" s="472"/>
      <c r="G302" s="472"/>
      <c r="H302" s="421"/>
      <c r="I302" s="366"/>
      <c r="J302" s="366"/>
      <c r="K302" s="366"/>
      <c r="L302" s="366"/>
      <c r="M302" s="366"/>
      <c r="N302" s="366" t="s">
        <v>1937</v>
      </c>
      <c r="O302" s="366"/>
      <c r="P302" s="366"/>
      <c r="Q302" s="366" t="s">
        <v>1937</v>
      </c>
      <c r="R302" s="366"/>
      <c r="S302" s="366"/>
      <c r="T302" s="366"/>
      <c r="U302" s="366"/>
      <c r="V302" s="366"/>
      <c r="W302" s="366"/>
      <c r="X302" s="366"/>
      <c r="Y302" s="421"/>
      <c r="Z302" s="421"/>
      <c r="AA302" s="421"/>
      <c r="AB302" s="421"/>
      <c r="AC302" s="421"/>
      <c r="AD302" s="421"/>
      <c r="AE302" s="421"/>
      <c r="AF302" s="421"/>
      <c r="AG302" s="421"/>
      <c r="AH302" s="381"/>
      <c r="AI302" s="521"/>
      <c r="AJ302" s="521"/>
      <c r="AK302" s="366"/>
      <c r="AO302" s="358"/>
      <c r="AP302" s="358"/>
      <c r="AQ302" s="342"/>
      <c r="AR302" s="342"/>
      <c r="AS302" s="342"/>
      <c r="AT302" s="342"/>
      <c r="AU302" s="342"/>
      <c r="AV302" s="342"/>
      <c r="AW302" s="342"/>
      <c r="AX302" s="342"/>
      <c r="AY302" s="342"/>
      <c r="AZ302" s="342"/>
      <c r="BA302" s="342"/>
      <c r="BB302" s="342"/>
      <c r="BC302" s="342"/>
      <c r="BD302" s="342"/>
      <c r="BE302" s="342"/>
    </row>
    <row r="303" spans="1:57" ht="14.25" hidden="1" customHeight="1" outlineLevel="1">
      <c r="A303" s="331" t="s">
        <v>1917</v>
      </c>
      <c r="D303" s="366"/>
      <c r="E303" s="366"/>
      <c r="F303" s="366"/>
      <c r="G303" s="421"/>
      <c r="H303" s="421"/>
      <c r="I303" s="421"/>
      <c r="J303" s="421"/>
      <c r="K303" s="421"/>
      <c r="L303" s="421"/>
      <c r="M303" s="421"/>
      <c r="N303" s="421"/>
      <c r="O303" s="421"/>
      <c r="P303" s="421"/>
      <c r="Q303" s="421"/>
      <c r="R303" s="421"/>
      <c r="S303" s="421"/>
      <c r="T303" s="421"/>
      <c r="U303" s="421"/>
      <c r="V303" s="466" t="s">
        <v>1904</v>
      </c>
      <c r="W303" s="421"/>
      <c r="X303" s="421"/>
      <c r="Y303" s="421"/>
      <c r="Z303" s="421"/>
      <c r="AA303" s="421"/>
      <c r="AB303" s="421"/>
      <c r="AC303" s="421"/>
      <c r="AD303" s="381"/>
      <c r="AE303" s="381"/>
      <c r="AF303" s="381"/>
      <c r="AG303" s="381"/>
      <c r="AH303" s="366"/>
      <c r="AI303" s="367"/>
      <c r="AJ303" s="367"/>
      <c r="AK303" s="366"/>
      <c r="AO303" s="358"/>
      <c r="AP303" s="358"/>
      <c r="AQ303" s="342"/>
      <c r="AR303" s="342"/>
      <c r="AS303" s="342"/>
      <c r="AT303" s="342"/>
      <c r="AU303" s="342"/>
      <c r="AV303" s="342"/>
      <c r="AW303" s="342"/>
      <c r="AX303" s="342"/>
      <c r="AY303" s="342"/>
      <c r="AZ303" s="342"/>
      <c r="BA303" s="342"/>
      <c r="BB303" s="342"/>
      <c r="BC303" s="342"/>
      <c r="BD303" s="342"/>
      <c r="BE303" s="342"/>
    </row>
    <row r="304" spans="1:57" ht="14.25" hidden="1" customHeight="1" outlineLevel="1">
      <c r="A304" s="491" t="s">
        <v>1962</v>
      </c>
      <c r="D304" s="354"/>
      <c r="E304" s="354"/>
      <c r="F304" s="354"/>
      <c r="G304" s="354"/>
      <c r="H304" s="517"/>
      <c r="I304" s="505"/>
      <c r="J304" s="354"/>
      <c r="K304" s="354"/>
      <c r="L304" s="354"/>
      <c r="M304" s="354"/>
      <c r="N304" s="421"/>
      <c r="O304" s="421"/>
      <c r="P304" s="421"/>
      <c r="Q304" s="421"/>
      <c r="R304" s="421"/>
      <c r="S304" s="421"/>
      <c r="T304" s="421"/>
      <c r="U304" s="421"/>
      <c r="V304" s="421"/>
      <c r="W304" s="421"/>
      <c r="X304" s="421"/>
      <c r="Y304" s="421"/>
      <c r="Z304" s="421"/>
      <c r="AA304" s="421"/>
      <c r="AB304" s="421"/>
      <c r="AC304" s="421"/>
      <c r="AD304" s="421"/>
      <c r="AE304" s="421"/>
      <c r="AF304" s="421"/>
      <c r="AG304" s="421"/>
      <c r="AL304" s="354"/>
      <c r="AM304" s="354"/>
      <c r="AN304" s="354"/>
      <c r="AO304" s="358"/>
      <c r="AP304" s="358"/>
      <c r="AQ304" s="342"/>
      <c r="AR304" s="342"/>
      <c r="AS304" s="342"/>
      <c r="AT304" s="342"/>
      <c r="AU304" s="342"/>
      <c r="AV304" s="342"/>
      <c r="AW304" s="342"/>
      <c r="AX304" s="342"/>
      <c r="AY304" s="342"/>
      <c r="AZ304" s="342"/>
      <c r="BA304" s="342"/>
      <c r="BB304" s="342"/>
      <c r="BC304" s="342"/>
      <c r="BD304" s="342"/>
      <c r="BE304" s="342"/>
    </row>
    <row r="305" spans="1:57" ht="14.25" hidden="1" customHeight="1" outlineLevel="1">
      <c r="A305" s="331" t="s">
        <v>1919</v>
      </c>
      <c r="D305" s="354"/>
      <c r="E305" s="354"/>
      <c r="F305" s="354"/>
      <c r="G305" s="354"/>
      <c r="H305" s="517"/>
      <c r="I305" s="505"/>
      <c r="J305" s="354"/>
      <c r="K305" s="354"/>
      <c r="L305" s="354"/>
      <c r="M305" s="354"/>
      <c r="N305" s="421"/>
      <c r="O305" s="421"/>
      <c r="P305" s="421"/>
      <c r="Q305" s="421"/>
      <c r="R305" s="421"/>
      <c r="S305" s="421"/>
      <c r="T305" s="421"/>
      <c r="U305" s="421"/>
      <c r="V305" s="421"/>
      <c r="W305" s="421"/>
      <c r="X305" s="421"/>
      <c r="Y305" s="421"/>
      <c r="Z305" s="421"/>
      <c r="AA305" s="421"/>
      <c r="AB305" s="421"/>
      <c r="AC305" s="421"/>
      <c r="AD305" s="421"/>
      <c r="AE305" s="421"/>
      <c r="AF305" s="421"/>
      <c r="AG305" s="421"/>
      <c r="AL305" s="354"/>
      <c r="AM305" s="354"/>
      <c r="AN305" s="354"/>
      <c r="AO305" s="358"/>
      <c r="AP305" s="358"/>
      <c r="AQ305" s="342"/>
      <c r="AR305" s="342"/>
      <c r="AS305" s="342"/>
      <c r="AT305" s="342"/>
      <c r="AU305" s="342"/>
      <c r="AV305" s="342"/>
      <c r="AW305" s="342"/>
      <c r="AX305" s="342"/>
      <c r="AY305" s="342"/>
      <c r="AZ305" s="342"/>
      <c r="BA305" s="342"/>
      <c r="BB305" s="342"/>
      <c r="BC305" s="342"/>
      <c r="BD305" s="342"/>
      <c r="BE305" s="342"/>
    </row>
    <row r="306" spans="1:57" ht="14.25" hidden="1" customHeight="1" outlineLevel="1">
      <c r="A306" s="491" t="s">
        <v>1921</v>
      </c>
      <c r="D306" s="354"/>
      <c r="E306" s="354"/>
      <c r="F306" s="354"/>
      <c r="G306" s="354"/>
      <c r="H306" s="517"/>
      <c r="I306" s="505"/>
      <c r="J306" s="354"/>
      <c r="K306" s="354"/>
      <c r="L306" s="354"/>
      <c r="M306" s="354"/>
      <c r="N306" s="421"/>
      <c r="O306" s="421"/>
      <c r="P306" s="421"/>
      <c r="Q306" s="421"/>
      <c r="R306" s="421"/>
      <c r="S306" s="421"/>
      <c r="T306" s="421"/>
      <c r="U306" s="421"/>
      <c r="V306" s="421"/>
      <c r="W306" s="421"/>
      <c r="X306" s="421"/>
      <c r="Y306" s="421"/>
      <c r="Z306" s="421"/>
      <c r="AA306" s="421"/>
      <c r="AB306" s="421"/>
      <c r="AC306" s="421"/>
      <c r="AD306" s="421"/>
      <c r="AE306" s="421"/>
      <c r="AF306" s="421"/>
      <c r="AG306" s="421"/>
      <c r="AL306" s="354"/>
      <c r="AM306" s="354"/>
      <c r="AN306" s="354"/>
      <c r="AO306" s="358"/>
      <c r="AP306" s="358"/>
      <c r="AQ306" s="342"/>
      <c r="AR306" s="342"/>
      <c r="AS306" s="342"/>
      <c r="AT306" s="342"/>
      <c r="AU306" s="342"/>
      <c r="AV306" s="342"/>
      <c r="AW306" s="342"/>
      <c r="AX306" s="342"/>
      <c r="AY306" s="342"/>
      <c r="AZ306" s="342"/>
      <c r="BA306" s="342"/>
      <c r="BB306" s="342"/>
      <c r="BC306" s="342"/>
      <c r="BD306" s="342"/>
      <c r="BE306" s="342"/>
    </row>
    <row r="307" spans="1:57" ht="14.25" hidden="1" customHeight="1" outlineLevel="1">
      <c r="A307" s="331" t="s">
        <v>1922</v>
      </c>
      <c r="B307" s="490"/>
      <c r="C307" s="366"/>
      <c r="D307" s="354"/>
      <c r="E307" s="354"/>
      <c r="F307" s="354"/>
      <c r="G307" s="354"/>
      <c r="H307" s="517"/>
      <c r="I307" s="505"/>
      <c r="J307" s="354"/>
      <c r="K307" s="354"/>
      <c r="L307" s="354"/>
      <c r="M307" s="354"/>
      <c r="N307" s="421"/>
      <c r="O307" s="421"/>
      <c r="P307" s="421"/>
      <c r="Q307" s="421"/>
      <c r="R307" s="421"/>
      <c r="S307" s="421"/>
      <c r="T307" s="421"/>
      <c r="U307" s="421"/>
      <c r="V307" s="421"/>
      <c r="W307" s="421"/>
      <c r="X307" s="421"/>
      <c r="Y307" s="421"/>
      <c r="Z307" s="421"/>
      <c r="AA307" s="421"/>
      <c r="AB307" s="421"/>
      <c r="AC307" s="421"/>
      <c r="AD307" s="421"/>
      <c r="AE307" s="421"/>
      <c r="AF307" s="421"/>
      <c r="AG307" s="421"/>
      <c r="AL307" s="354"/>
      <c r="AM307" s="354"/>
      <c r="AN307" s="354"/>
      <c r="AO307" s="358"/>
      <c r="AP307" s="358"/>
      <c r="AQ307" s="342"/>
      <c r="AR307" s="342"/>
      <c r="AS307" s="342"/>
      <c r="AT307" s="342"/>
      <c r="AU307" s="342"/>
      <c r="AV307" s="342"/>
      <c r="AW307" s="342"/>
      <c r="AX307" s="342"/>
      <c r="AY307" s="342"/>
      <c r="AZ307" s="342"/>
      <c r="BA307" s="342"/>
      <c r="BB307" s="342"/>
      <c r="BC307" s="342"/>
      <c r="BD307" s="342"/>
      <c r="BE307" s="342"/>
    </row>
    <row r="308" spans="1:57" ht="14.25" hidden="1" customHeight="1" outlineLevel="1">
      <c r="A308" s="414" t="s">
        <v>158</v>
      </c>
      <c r="B308" s="415" t="s">
        <v>1793</v>
      </c>
      <c r="C308" s="388">
        <v>4</v>
      </c>
      <c r="D308" s="354"/>
      <c r="E308" s="354"/>
      <c r="F308" s="354"/>
      <c r="G308" s="354"/>
      <c r="H308" s="517"/>
      <c r="I308" s="505"/>
      <c r="J308" s="354"/>
      <c r="K308" s="354"/>
      <c r="L308" s="354"/>
      <c r="M308" s="354"/>
      <c r="N308" s="421"/>
      <c r="O308" s="421"/>
      <c r="P308" s="421"/>
      <c r="Q308" s="421"/>
      <c r="R308" s="421"/>
      <c r="S308" s="421"/>
      <c r="T308" s="421"/>
      <c r="U308" s="421"/>
      <c r="V308" s="421"/>
      <c r="W308" s="421"/>
      <c r="X308" s="421"/>
      <c r="Y308" s="421"/>
      <c r="Z308" s="421"/>
      <c r="AA308" s="421"/>
      <c r="AB308" s="421"/>
      <c r="AC308" s="421"/>
      <c r="AD308" s="421"/>
      <c r="AE308" s="421"/>
      <c r="AF308" s="421"/>
      <c r="AG308" s="421"/>
      <c r="AL308" s="354"/>
      <c r="AM308" s="354"/>
      <c r="AN308" s="354"/>
      <c r="AO308" s="358"/>
      <c r="AP308" s="358"/>
      <c r="AQ308" s="342"/>
      <c r="AR308" s="342"/>
      <c r="AS308" s="342"/>
      <c r="AT308" s="342"/>
      <c r="AU308" s="342"/>
      <c r="AV308" s="342"/>
      <c r="AW308" s="342"/>
      <c r="AX308" s="342"/>
      <c r="AY308" s="342"/>
      <c r="AZ308" s="342"/>
      <c r="BA308" s="342"/>
      <c r="BB308" s="342"/>
      <c r="BC308" s="342"/>
      <c r="BD308" s="342"/>
      <c r="BE308" s="342"/>
    </row>
    <row r="309" spans="1:57" ht="14.25" hidden="1" customHeight="1" outlineLevel="1">
      <c r="A309" s="404" t="s">
        <v>152</v>
      </c>
      <c r="B309" s="415" t="s">
        <v>1793</v>
      </c>
      <c r="C309" s="380">
        <v>0</v>
      </c>
      <c r="D309" s="354"/>
      <c r="E309" s="354"/>
      <c r="F309" s="354"/>
      <c r="G309" s="354"/>
      <c r="H309" s="517"/>
      <c r="I309" s="505"/>
      <c r="J309" s="354"/>
      <c r="K309" s="354"/>
      <c r="L309" s="354"/>
      <c r="M309" s="354"/>
      <c r="N309" s="421"/>
      <c r="O309" s="421"/>
      <c r="P309" s="421"/>
      <c r="Q309" s="421"/>
      <c r="R309" s="421"/>
      <c r="S309" s="421"/>
      <c r="T309" s="421"/>
      <c r="U309" s="421"/>
      <c r="V309" s="421"/>
      <c r="W309" s="421"/>
      <c r="X309" s="421"/>
      <c r="Y309" s="421"/>
      <c r="Z309" s="421"/>
      <c r="AA309" s="421"/>
      <c r="AB309" s="421"/>
      <c r="AC309" s="421"/>
      <c r="AD309" s="421"/>
      <c r="AE309" s="421"/>
      <c r="AF309" s="421"/>
      <c r="AG309" s="421"/>
      <c r="AL309" s="354"/>
      <c r="AM309" s="354"/>
      <c r="AN309" s="354"/>
      <c r="AO309" s="358"/>
      <c r="AP309" s="358"/>
      <c r="AQ309" s="342"/>
      <c r="AR309" s="342"/>
      <c r="AS309" s="342"/>
      <c r="AT309" s="342"/>
      <c r="AU309" s="342"/>
      <c r="AV309" s="342"/>
      <c r="AW309" s="342"/>
      <c r="AX309" s="342"/>
      <c r="AY309" s="342"/>
      <c r="AZ309" s="342"/>
      <c r="BA309" s="342"/>
      <c r="BB309" s="342"/>
      <c r="BC309" s="342"/>
      <c r="BD309" s="342"/>
      <c r="BE309" s="342"/>
    </row>
    <row r="310" spans="1:57" ht="14.25" hidden="1" customHeight="1" outlineLevel="1">
      <c r="D310" s="354"/>
      <c r="E310" s="354"/>
      <c r="F310" s="354"/>
      <c r="G310" s="354"/>
      <c r="H310" s="517"/>
      <c r="I310" s="505"/>
      <c r="J310" s="354"/>
      <c r="K310" s="354"/>
      <c r="L310" s="354"/>
      <c r="M310" s="354"/>
      <c r="N310" s="421"/>
      <c r="O310" s="421"/>
      <c r="P310" s="421"/>
      <c r="Q310" s="421"/>
      <c r="R310" s="421"/>
      <c r="S310" s="421"/>
      <c r="T310" s="421"/>
      <c r="U310" s="421"/>
      <c r="V310" s="421"/>
      <c r="W310" s="421"/>
      <c r="X310" s="421"/>
      <c r="Y310" s="421"/>
      <c r="Z310" s="421"/>
      <c r="AA310" s="421"/>
      <c r="AB310" s="421"/>
      <c r="AC310" s="421"/>
      <c r="AD310" s="421"/>
      <c r="AE310" s="421"/>
      <c r="AF310" s="421"/>
      <c r="AG310" s="421"/>
      <c r="AL310" s="354"/>
      <c r="AM310" s="354"/>
      <c r="AN310" s="354"/>
      <c r="AO310" s="358"/>
      <c r="AP310" s="358"/>
      <c r="AQ310" s="342"/>
      <c r="AR310" s="342"/>
      <c r="AS310" s="342"/>
      <c r="AT310" s="342"/>
      <c r="AU310" s="342"/>
      <c r="AV310" s="342"/>
      <c r="AW310" s="342"/>
      <c r="AX310" s="342"/>
      <c r="AY310" s="342"/>
      <c r="AZ310" s="342"/>
      <c r="BA310" s="342"/>
      <c r="BB310" s="342"/>
      <c r="BC310" s="342"/>
      <c r="BD310" s="342"/>
      <c r="BE310" s="342"/>
    </row>
    <row r="311" spans="1:57" ht="14.25" hidden="1" customHeight="1" outlineLevel="1">
      <c r="A311" s="416" t="s">
        <v>1963</v>
      </c>
      <c r="B311" s="415" t="s">
        <v>1796</v>
      </c>
      <c r="C311" s="501">
        <v>10000</v>
      </c>
      <c r="D311" s="354"/>
      <c r="E311" s="354"/>
      <c r="F311" s="354"/>
      <c r="G311" s="354"/>
      <c r="H311" s="517"/>
      <c r="I311" s="505"/>
      <c r="J311" s="354"/>
      <c r="K311" s="354"/>
      <c r="L311" s="354"/>
      <c r="M311" s="354"/>
      <c r="N311" s="421"/>
      <c r="O311" s="421"/>
      <c r="P311" s="421"/>
      <c r="Q311" s="421"/>
      <c r="R311" s="421"/>
      <c r="S311" s="421"/>
      <c r="T311" s="421"/>
      <c r="U311" s="421"/>
      <c r="V311" s="421"/>
      <c r="W311" s="421"/>
      <c r="X311" s="421"/>
      <c r="Y311" s="421"/>
      <c r="Z311" s="421"/>
      <c r="AA311" s="421"/>
      <c r="AB311" s="421"/>
      <c r="AC311" s="421"/>
      <c r="AD311" s="421"/>
      <c r="AE311" s="421"/>
      <c r="AF311" s="421"/>
      <c r="AG311" s="421"/>
      <c r="AL311" s="354"/>
      <c r="AM311" s="354"/>
      <c r="AN311" s="354"/>
      <c r="AO311" s="358"/>
      <c r="AP311" s="358"/>
      <c r="AQ311" s="342"/>
      <c r="AR311" s="342"/>
      <c r="AS311" s="342"/>
      <c r="AT311" s="342"/>
      <c r="AU311" s="342"/>
      <c r="AV311" s="342"/>
      <c r="AW311" s="342"/>
      <c r="AX311" s="342"/>
      <c r="AY311" s="342"/>
      <c r="AZ311" s="342"/>
      <c r="BA311" s="342"/>
      <c r="BB311" s="342"/>
      <c r="BC311" s="342"/>
      <c r="BD311" s="342"/>
      <c r="BE311" s="342"/>
    </row>
    <row r="312" spans="1:57" ht="14.25" customHeight="1" collapsed="1">
      <c r="A312" s="3062" t="s">
        <v>1964</v>
      </c>
      <c r="B312" s="3062"/>
      <c r="C312" s="3062"/>
      <c r="D312" s="3062"/>
      <c r="E312" s="3062"/>
      <c r="F312" s="419" t="s">
        <v>1798</v>
      </c>
      <c r="G312" s="354"/>
      <c r="H312" s="517"/>
      <c r="I312" s="505"/>
      <c r="J312" s="354"/>
      <c r="K312" s="354"/>
      <c r="L312" s="354"/>
      <c r="M312" s="354"/>
      <c r="N312" s="421"/>
      <c r="O312" s="421"/>
      <c r="P312" s="421"/>
      <c r="Q312" s="421"/>
      <c r="R312" s="421"/>
      <c r="S312" s="421"/>
      <c r="T312" s="421"/>
      <c r="U312" s="421"/>
      <c r="V312" s="421"/>
      <c r="W312" s="421"/>
      <c r="X312" s="421"/>
      <c r="Y312" s="421"/>
      <c r="Z312" s="421"/>
      <c r="AA312" s="421"/>
      <c r="AB312" s="421"/>
      <c r="AC312" s="421"/>
      <c r="AD312" s="421"/>
      <c r="AE312" s="421"/>
      <c r="AF312" s="421"/>
      <c r="AG312" s="421"/>
      <c r="AL312" s="354"/>
      <c r="AM312" s="354"/>
      <c r="AN312" s="354"/>
      <c r="AO312" s="358"/>
      <c r="AP312" s="358"/>
      <c r="AQ312" s="342"/>
      <c r="AR312" s="342"/>
      <c r="AS312" s="342"/>
      <c r="AT312" s="342"/>
      <c r="AU312" s="342"/>
      <c r="AV312" s="342"/>
      <c r="AW312" s="342"/>
      <c r="AX312" s="342"/>
      <c r="AY312" s="342"/>
      <c r="AZ312" s="342"/>
      <c r="BA312" s="342"/>
      <c r="BB312" s="342"/>
      <c r="BC312" s="342"/>
      <c r="BD312" s="342"/>
      <c r="BE312" s="342"/>
    </row>
    <row r="313" spans="1:57" ht="14.25" customHeight="1">
      <c r="A313" s="424"/>
      <c r="B313" s="463"/>
      <c r="C313" s="424"/>
      <c r="D313" s="354"/>
      <c r="E313" s="354"/>
      <c r="F313" s="354"/>
      <c r="G313" s="354"/>
      <c r="H313" s="517"/>
      <c r="I313" s="505"/>
      <c r="J313" s="354"/>
      <c r="K313" s="354"/>
      <c r="L313" s="354"/>
      <c r="AL313" s="354"/>
      <c r="AM313" s="354"/>
      <c r="AN313" s="354"/>
      <c r="AO313" s="358"/>
      <c r="AP313" s="358"/>
      <c r="AQ313" s="342"/>
      <c r="AR313" s="342"/>
      <c r="AS313" s="342"/>
      <c r="AT313" s="342"/>
      <c r="AU313" s="342"/>
      <c r="AV313" s="342"/>
      <c r="AW313" s="342"/>
      <c r="AX313" s="342"/>
      <c r="AY313" s="342"/>
      <c r="AZ313" s="342"/>
      <c r="BA313" s="342"/>
      <c r="BB313" s="342"/>
      <c r="BC313" s="342"/>
      <c r="BD313" s="342"/>
      <c r="BE313" s="342"/>
    </row>
    <row r="314" spans="1:57" ht="14.25" hidden="1" customHeight="1" outlineLevel="1">
      <c r="A314" s="3090" t="s">
        <v>1965</v>
      </c>
      <c r="B314" s="3090"/>
      <c r="C314" s="3090"/>
      <c r="D314" s="3090"/>
      <c r="E314" s="3090"/>
      <c r="H314" s="354"/>
      <c r="I314" s="3063" t="s">
        <v>1965</v>
      </c>
      <c r="J314" s="3063"/>
      <c r="K314" s="3063"/>
      <c r="L314" s="3063"/>
      <c r="M314" s="3063"/>
      <c r="N314" s="3063"/>
      <c r="O314" s="3063"/>
      <c r="P314" s="3063"/>
      <c r="Q314" s="3063"/>
      <c r="R314" s="3063"/>
      <c r="S314" s="3063"/>
      <c r="T314" s="3063"/>
      <c r="U314" s="3063"/>
      <c r="V314" s="3063"/>
      <c r="W314" s="3063"/>
      <c r="X314" s="3063"/>
      <c r="Y314" s="3063"/>
      <c r="Z314" s="3063"/>
      <c r="AA314" s="3063"/>
      <c r="AB314" s="3063"/>
      <c r="AC314" s="3063"/>
      <c r="AL314" s="354"/>
      <c r="AM314" s="354"/>
      <c r="AN314" s="354"/>
      <c r="AO314" s="358"/>
      <c r="AP314" s="358"/>
      <c r="AQ314" s="342"/>
      <c r="AR314" s="342"/>
      <c r="AS314" s="342"/>
      <c r="AT314" s="342"/>
      <c r="AU314" s="342"/>
      <c r="AV314" s="342"/>
      <c r="AW314" s="342"/>
      <c r="AX314" s="342"/>
      <c r="AY314" s="342"/>
      <c r="AZ314" s="342"/>
      <c r="BA314" s="342"/>
      <c r="BB314" s="342"/>
      <c r="BC314" s="342"/>
      <c r="BD314" s="342"/>
      <c r="BE314" s="342"/>
    </row>
    <row r="315" spans="1:57" ht="14.25" hidden="1" customHeight="1" outlineLevel="1">
      <c r="A315" s="354"/>
      <c r="B315" s="509"/>
      <c r="C315" s="503"/>
      <c r="D315" s="503"/>
      <c r="E315" s="503"/>
      <c r="F315" s="503"/>
      <c r="G315" s="354"/>
      <c r="H315" s="366"/>
      <c r="I315" s="3063"/>
      <c r="J315" s="3063"/>
      <c r="K315" s="3063"/>
      <c r="L315" s="3063"/>
      <c r="M315" s="3063"/>
      <c r="N315" s="3063"/>
      <c r="O315" s="3063"/>
      <c r="P315" s="3063"/>
      <c r="Q315" s="3063"/>
      <c r="R315" s="3063"/>
      <c r="S315" s="3063"/>
      <c r="T315" s="3063"/>
      <c r="U315" s="3063"/>
      <c r="V315" s="3063"/>
      <c r="W315" s="3063"/>
      <c r="X315" s="3063"/>
      <c r="Y315" s="3063"/>
      <c r="Z315" s="3063"/>
      <c r="AA315" s="3063"/>
      <c r="AB315" s="3063"/>
      <c r="AC315" s="3063"/>
      <c r="AD315" s="354"/>
      <c r="AE315" s="354"/>
      <c r="AF315" s="354"/>
      <c r="AG315" s="354"/>
      <c r="AH315" s="354"/>
      <c r="AI315" s="354"/>
      <c r="AJ315" s="354"/>
      <c r="AK315" s="354"/>
      <c r="AL315" s="354"/>
      <c r="AM315" s="354"/>
      <c r="AN315" s="354"/>
      <c r="AO315" s="358"/>
      <c r="AP315" s="358"/>
      <c r="AQ315" s="342"/>
      <c r="AR315" s="342"/>
      <c r="AS315" s="342"/>
      <c r="AT315" s="342"/>
      <c r="AU315" s="342"/>
      <c r="AV315" s="342"/>
      <c r="AW315" s="342"/>
      <c r="AX315" s="342"/>
      <c r="AY315" s="342"/>
      <c r="AZ315" s="342"/>
      <c r="BA315" s="342"/>
      <c r="BB315" s="342"/>
      <c r="BC315" s="342"/>
      <c r="BD315" s="342"/>
      <c r="BE315" s="342"/>
    </row>
    <row r="316" spans="1:57" ht="14.25" hidden="1" customHeight="1" outlineLevel="1">
      <c r="A316" s="3095" t="s">
        <v>1884</v>
      </c>
      <c r="B316" s="3095"/>
      <c r="C316" s="3095"/>
      <c r="D316" s="3095"/>
      <c r="E316" s="507">
        <v>1</v>
      </c>
      <c r="F316" s="466"/>
      <c r="G316" s="365"/>
      <c r="AO316" s="358"/>
      <c r="AP316" s="358"/>
      <c r="AQ316" s="342"/>
      <c r="AR316" s="342"/>
      <c r="AS316" s="342"/>
      <c r="AT316" s="342"/>
      <c r="AU316" s="342"/>
      <c r="AV316" s="342"/>
      <c r="AW316" s="342"/>
      <c r="AX316" s="342"/>
      <c r="AY316" s="342"/>
      <c r="AZ316" s="342"/>
      <c r="BA316" s="342"/>
      <c r="BB316" s="342"/>
      <c r="BC316" s="342"/>
      <c r="BD316" s="342"/>
      <c r="BE316" s="342"/>
    </row>
    <row r="317" spans="1:57" ht="14.25" hidden="1" customHeight="1" outlineLevel="1">
      <c r="A317" s="3095" t="s">
        <v>1885</v>
      </c>
      <c r="B317" s="3095"/>
      <c r="C317" s="3095"/>
      <c r="D317" s="3095"/>
      <c r="E317" s="507">
        <v>1</v>
      </c>
      <c r="F317" s="466"/>
      <c r="G317" s="365"/>
      <c r="AO317" s="358"/>
      <c r="AP317" s="358"/>
      <c r="AQ317" s="342"/>
      <c r="AR317" s="342"/>
      <c r="AS317" s="342"/>
      <c r="AT317" s="342"/>
      <c r="AU317" s="342"/>
      <c r="AV317" s="342"/>
      <c r="AW317" s="342"/>
      <c r="AX317" s="342"/>
      <c r="AY317" s="342"/>
      <c r="AZ317" s="342"/>
      <c r="BA317" s="342"/>
      <c r="BB317" s="342"/>
      <c r="BC317" s="342"/>
      <c r="BD317" s="342"/>
      <c r="BE317" s="342"/>
    </row>
    <row r="318" spans="1:57" ht="14.25" hidden="1" customHeight="1" outlineLevel="1">
      <c r="B318" s="479"/>
      <c r="C318" s="480"/>
      <c r="D318" s="354"/>
      <c r="E318" s="354"/>
      <c r="F318" s="354"/>
      <c r="G318" s="523"/>
      <c r="K318" s="3097" t="s">
        <v>1966</v>
      </c>
      <c r="L318" s="3097"/>
      <c r="M318" s="3097"/>
      <c r="N318" s="3097"/>
      <c r="AO318" s="358"/>
      <c r="AP318" s="358"/>
      <c r="AQ318" s="342"/>
      <c r="AR318" s="342"/>
      <c r="AS318" s="342"/>
      <c r="AT318" s="342"/>
      <c r="AU318" s="342"/>
      <c r="AV318" s="342"/>
      <c r="AW318" s="342"/>
      <c r="AX318" s="342"/>
      <c r="AY318" s="342"/>
      <c r="AZ318" s="342"/>
      <c r="BA318" s="342"/>
      <c r="BB318" s="342"/>
      <c r="BC318" s="342">
        <v>1</v>
      </c>
      <c r="BD318" s="342">
        <f>E340</f>
        <v>5.4</v>
      </c>
      <c r="BE318" s="342"/>
    </row>
    <row r="319" spans="1:57" ht="14.25" hidden="1" customHeight="1" outlineLevel="1">
      <c r="A319" s="331" t="s">
        <v>1889</v>
      </c>
      <c r="E319" s="354"/>
      <c r="F319" s="354"/>
      <c r="G319" s="523"/>
      <c r="K319" s="3097"/>
      <c r="L319" s="3097"/>
      <c r="M319" s="3097"/>
      <c r="N319" s="3097"/>
      <c r="AO319" s="358"/>
      <c r="AP319" s="358"/>
      <c r="AQ319" s="342"/>
      <c r="AR319" s="342"/>
      <c r="AS319" s="342"/>
      <c r="AT319" s="342"/>
      <c r="AU319" s="342"/>
      <c r="AV319" s="342"/>
      <c r="AW319" s="342"/>
      <c r="AX319" s="342"/>
      <c r="AY319" s="342"/>
      <c r="AZ319" s="342"/>
      <c r="BA319" s="342"/>
      <c r="BB319" s="342"/>
      <c r="BC319" s="342"/>
      <c r="BD319" s="342"/>
      <c r="BE319" s="342"/>
    </row>
    <row r="320" spans="1:57" ht="14.25" hidden="1" customHeight="1" outlineLevel="1">
      <c r="A320" s="477" t="s">
        <v>1890</v>
      </c>
      <c r="E320" s="366"/>
      <c r="F320" s="366"/>
      <c r="G320" s="366"/>
      <c r="H320" s="366"/>
      <c r="I320" s="366"/>
      <c r="J320" s="366"/>
      <c r="K320" s="3097"/>
      <c r="L320" s="3097"/>
      <c r="M320" s="3097"/>
      <c r="N320" s="3097"/>
      <c r="O320" s="449"/>
      <c r="P320" s="449"/>
      <c r="Q320" s="366"/>
      <c r="R320" s="366"/>
      <c r="S320" s="366"/>
      <c r="T320" s="366"/>
      <c r="U320" s="366"/>
      <c r="V320" s="366"/>
      <c r="W320" s="366"/>
      <c r="X320" s="366"/>
      <c r="Y320" s="366"/>
      <c r="Z320" s="366"/>
      <c r="AA320" s="366"/>
      <c r="AB320" s="366"/>
      <c r="AC320" s="366"/>
      <c r="AD320" s="366"/>
      <c r="AE320" s="524"/>
      <c r="AF320" s="524"/>
      <c r="AG320" s="524"/>
      <c r="AH320" s="366"/>
      <c r="AI320" s="366"/>
      <c r="AJ320" s="366"/>
      <c r="AK320" s="366"/>
      <c r="AL320" s="366"/>
      <c r="AO320" s="358"/>
      <c r="AP320" s="358"/>
      <c r="AQ320" s="342"/>
      <c r="AR320" s="342"/>
      <c r="AS320" s="342"/>
      <c r="AT320" s="342"/>
      <c r="AU320" s="342"/>
      <c r="AV320" s="342"/>
      <c r="AW320" s="342"/>
      <c r="AX320" s="342"/>
      <c r="AY320" s="342"/>
      <c r="AZ320" s="342"/>
      <c r="BA320" s="342"/>
      <c r="BB320" s="342"/>
      <c r="BC320" s="342">
        <v>2</v>
      </c>
      <c r="BD320" s="342">
        <f>E330</f>
        <v>6.4</v>
      </c>
      <c r="BE320" s="342"/>
    </row>
    <row r="321" spans="1:57" ht="14.25" hidden="1" customHeight="1" outlineLevel="1">
      <c r="A321" s="478" t="s">
        <v>1891</v>
      </c>
      <c r="E321" s="502" t="s">
        <v>156</v>
      </c>
      <c r="F321" s="355"/>
      <c r="G321" s="366"/>
      <c r="H321" s="366"/>
      <c r="J321" s="355"/>
      <c r="K321" s="3097"/>
      <c r="L321" s="3097"/>
      <c r="M321" s="3097"/>
      <c r="N321" s="3097"/>
      <c r="O321" s="449"/>
      <c r="P321" s="366"/>
      <c r="Q321" s="366"/>
      <c r="R321" s="366" t="s">
        <v>1926</v>
      </c>
      <c r="S321" s="366"/>
      <c r="T321" s="366"/>
      <c r="U321" s="366"/>
      <c r="V321" s="366"/>
      <c r="W321" s="366"/>
      <c r="X321" s="366"/>
      <c r="Z321" s="366"/>
      <c r="AA321" s="366"/>
      <c r="AB321" s="366"/>
      <c r="AC321" s="366"/>
      <c r="AD321" s="366"/>
      <c r="AE321" s="366"/>
      <c r="AF321" s="366"/>
      <c r="AG321" s="366"/>
      <c r="AH321" s="366"/>
      <c r="AI321" s="366"/>
      <c r="AJ321" s="366"/>
      <c r="AK321" s="366"/>
      <c r="AL321" s="366"/>
      <c r="AO321" s="358"/>
      <c r="AP321" s="358"/>
      <c r="AQ321" s="342"/>
      <c r="AR321" s="342"/>
      <c r="AS321" s="342"/>
      <c r="AT321" s="342"/>
      <c r="AU321" s="342"/>
      <c r="AV321" s="342"/>
      <c r="AW321" s="342"/>
      <c r="AX321" s="342"/>
      <c r="AY321" s="342"/>
      <c r="AZ321" s="342"/>
      <c r="BA321" s="342"/>
      <c r="BB321" s="342"/>
      <c r="BC321" s="342">
        <v>3</v>
      </c>
      <c r="BD321" s="342">
        <f>E326</f>
        <v>6.6</v>
      </c>
      <c r="BE321" s="342"/>
    </row>
    <row r="322" spans="1:57" ht="14.25" hidden="1" customHeight="1" outlineLevel="1">
      <c r="A322" s="483" t="s">
        <v>1967</v>
      </c>
      <c r="E322" s="366">
        <v>7.6</v>
      </c>
      <c r="F322" s="366"/>
      <c r="G322" s="366"/>
      <c r="H322" s="366"/>
      <c r="J322" s="366"/>
      <c r="K322" s="366"/>
      <c r="L322" s="449"/>
      <c r="M322" s="449"/>
      <c r="N322" s="449"/>
      <c r="O322" s="366"/>
      <c r="P322" s="366"/>
      <c r="Q322" s="366"/>
      <c r="R322" s="366"/>
      <c r="S322" s="366"/>
      <c r="T322" s="366"/>
      <c r="U322" s="366"/>
      <c r="V322" s="366"/>
      <c r="W322" s="366"/>
      <c r="X322" s="366"/>
      <c r="Z322" s="366"/>
      <c r="AA322" s="366"/>
      <c r="AB322" s="366"/>
      <c r="AC322" s="366"/>
      <c r="AD322" s="366"/>
      <c r="AE322" s="364"/>
      <c r="AF322" s="364"/>
      <c r="AG322" s="364"/>
      <c r="AH322" s="366"/>
      <c r="AI322" s="366"/>
      <c r="AJ322" s="366"/>
      <c r="AK322" s="366"/>
      <c r="AL322" s="366"/>
      <c r="AO322" s="358"/>
      <c r="AP322" s="358"/>
      <c r="AQ322" s="342"/>
      <c r="AR322" s="342"/>
      <c r="AS322" s="342"/>
      <c r="AT322" s="342"/>
      <c r="AU322" s="342"/>
      <c r="AV322" s="342"/>
      <c r="AW322" s="342"/>
      <c r="AX322" s="342"/>
      <c r="AY322" s="342"/>
      <c r="AZ322" s="342"/>
      <c r="BA322" s="342"/>
      <c r="BB322" s="342"/>
      <c r="BC322" s="342">
        <v>4</v>
      </c>
      <c r="BD322" s="342"/>
      <c r="BE322" s="342"/>
    </row>
    <row r="323" spans="1:57" ht="14.25" hidden="1" customHeight="1" outlineLevel="1">
      <c r="E323" s="366"/>
      <c r="F323" s="366"/>
      <c r="G323" s="366"/>
      <c r="H323" s="366"/>
      <c r="I323" s="366"/>
      <c r="J323" s="366"/>
      <c r="K323" s="366"/>
      <c r="L323" s="366"/>
      <c r="M323" s="366"/>
      <c r="N323" s="366"/>
      <c r="O323" s="366"/>
      <c r="P323" s="366"/>
      <c r="Q323" s="366"/>
      <c r="R323" s="366"/>
      <c r="S323" s="366"/>
      <c r="T323" s="366"/>
      <c r="U323" s="366"/>
      <c r="V323" s="366"/>
      <c r="W323" s="366"/>
      <c r="X323" s="366"/>
      <c r="Z323" s="366"/>
      <c r="AA323" s="366"/>
      <c r="AB323" s="366"/>
      <c r="AC323" s="366"/>
      <c r="AD323" s="366"/>
      <c r="AE323" s="364"/>
      <c r="AF323" s="364"/>
      <c r="AG323" s="364"/>
      <c r="AH323" s="366"/>
      <c r="AI323" s="366"/>
      <c r="AJ323" s="366"/>
      <c r="AK323" s="366"/>
      <c r="AL323" s="366"/>
      <c r="AO323" s="358"/>
      <c r="AP323" s="358"/>
      <c r="AQ323" s="342"/>
      <c r="AR323" s="342"/>
      <c r="AS323" s="342"/>
      <c r="AT323" s="342"/>
      <c r="AU323" s="342"/>
      <c r="AV323" s="342"/>
      <c r="AW323" s="342"/>
      <c r="AX323" s="342"/>
      <c r="AY323" s="342"/>
      <c r="AZ323" s="342"/>
      <c r="BA323" s="342"/>
      <c r="BB323" s="342"/>
      <c r="BC323" s="342">
        <v>5</v>
      </c>
      <c r="BD323" s="342">
        <f>E322</f>
        <v>7.6</v>
      </c>
      <c r="BE323" s="342"/>
    </row>
    <row r="324" spans="1:57" ht="14.25" hidden="1" customHeight="1" outlineLevel="1">
      <c r="A324" s="525" t="s">
        <v>1968</v>
      </c>
      <c r="B324" s="438" t="s">
        <v>1969</v>
      </c>
      <c r="C324" s="377" t="s">
        <v>1966</v>
      </c>
      <c r="D324" s="377" t="s">
        <v>1970</v>
      </c>
      <c r="E324" s="366"/>
      <c r="F324" s="366"/>
      <c r="G324" s="366"/>
      <c r="H324" s="366"/>
      <c r="I324" s="366"/>
      <c r="J324" s="366"/>
      <c r="K324" s="366"/>
      <c r="L324" s="366"/>
      <c r="M324" s="366"/>
      <c r="N324" s="366"/>
      <c r="O324" s="366"/>
      <c r="P324" s="366"/>
      <c r="Q324" s="366"/>
      <c r="R324" s="366"/>
      <c r="S324" s="366"/>
      <c r="T324" s="366"/>
      <c r="U324" s="366"/>
      <c r="V324" s="366"/>
      <c r="W324" s="366"/>
      <c r="X324" s="366"/>
      <c r="Z324" s="366"/>
      <c r="AA324" s="366"/>
      <c r="AB324" s="366"/>
      <c r="AC324" s="366"/>
      <c r="AD324" s="366"/>
      <c r="AE324" s="364"/>
      <c r="AF324" s="364"/>
      <c r="AG324" s="364"/>
      <c r="AH324" s="366"/>
      <c r="AI324" s="366"/>
      <c r="AJ324" s="366"/>
      <c r="AK324" s="366"/>
      <c r="AL324" s="366"/>
      <c r="AO324" s="358"/>
      <c r="AP324" s="358"/>
      <c r="AQ324" s="342"/>
      <c r="AR324" s="342"/>
      <c r="AS324" s="342"/>
      <c r="AT324" s="342"/>
      <c r="AU324" s="342"/>
      <c r="AV324" s="342"/>
      <c r="AW324" s="342"/>
      <c r="AX324" s="342"/>
      <c r="AY324" s="342"/>
      <c r="AZ324" s="342"/>
      <c r="BA324" s="342"/>
      <c r="BB324" s="342"/>
      <c r="BC324" s="342">
        <v>1</v>
      </c>
      <c r="BD324" s="342">
        <f>R344</f>
        <v>6.6</v>
      </c>
      <c r="BE324" s="342"/>
    </row>
    <row r="325" spans="1:57" ht="14.25" hidden="1" customHeight="1" outlineLevel="1">
      <c r="A325" s="526"/>
      <c r="B325" s="527"/>
      <c r="C325" s="528" t="s">
        <v>1821</v>
      </c>
      <c r="D325" s="528" t="s">
        <v>1798</v>
      </c>
      <c r="E325" s="502" t="s">
        <v>156</v>
      </c>
      <c r="F325" s="502"/>
      <c r="H325" s="366"/>
      <c r="I325" s="366"/>
      <c r="J325" s="366"/>
      <c r="K325" s="366"/>
      <c r="L325" s="366"/>
      <c r="M325" s="366"/>
      <c r="N325" s="366"/>
      <c r="O325" s="366"/>
      <c r="P325" s="366"/>
      <c r="Q325" s="366"/>
      <c r="R325" s="366"/>
      <c r="S325" s="366"/>
      <c r="T325" s="366"/>
      <c r="U325" s="366"/>
      <c r="V325" s="366"/>
      <c r="W325" s="366"/>
      <c r="X325" s="366"/>
      <c r="Z325" s="366"/>
      <c r="AA325" s="3097" t="s">
        <v>1970</v>
      </c>
      <c r="AB325" s="3097"/>
      <c r="AC325" s="3097"/>
      <c r="AD325" s="3097"/>
      <c r="AE325" s="366"/>
      <c r="AF325" s="366"/>
      <c r="AG325" s="366"/>
      <c r="AH325" s="366"/>
      <c r="AI325" s="366"/>
      <c r="AJ325" s="366"/>
      <c r="AK325" s="366"/>
      <c r="AL325" s="366"/>
      <c r="AO325" s="358"/>
      <c r="AP325" s="358"/>
      <c r="AQ325" s="342"/>
      <c r="AR325" s="342"/>
      <c r="AS325" s="342"/>
      <c r="AT325" s="342"/>
      <c r="AU325" s="342"/>
      <c r="AV325" s="342"/>
      <c r="AW325" s="342"/>
      <c r="AX325" s="342"/>
      <c r="AY325" s="342"/>
      <c r="AZ325" s="342"/>
      <c r="BA325" s="342"/>
      <c r="BB325" s="342"/>
      <c r="BC325" s="342">
        <v>2</v>
      </c>
      <c r="BD325" s="342"/>
      <c r="BE325" s="342"/>
    </row>
    <row r="326" spans="1:57" ht="14.25" hidden="1" customHeight="1" outlineLevel="1">
      <c r="A326" s="529" t="s">
        <v>1971</v>
      </c>
      <c r="B326" s="527" t="s">
        <v>159</v>
      </c>
      <c r="C326" s="387">
        <v>2</v>
      </c>
      <c r="D326" s="387">
        <v>1</v>
      </c>
      <c r="E326" s="366">
        <v>6.6</v>
      </c>
      <c r="F326" s="366"/>
      <c r="H326" s="366"/>
      <c r="I326" s="366"/>
      <c r="J326" s="366"/>
      <c r="K326" s="366"/>
      <c r="L326" s="366"/>
      <c r="M326" s="366"/>
      <c r="N326" s="366"/>
      <c r="O326" s="366"/>
      <c r="P326" s="366"/>
      <c r="Q326" s="366"/>
      <c r="R326" s="366"/>
      <c r="S326" s="366"/>
      <c r="T326" s="366"/>
      <c r="U326" s="366"/>
      <c r="V326" s="366"/>
      <c r="W326" s="366"/>
      <c r="X326" s="366"/>
      <c r="Z326" s="366"/>
      <c r="AA326" s="3097"/>
      <c r="AB326" s="3097"/>
      <c r="AC326" s="3097"/>
      <c r="AD326" s="3097"/>
      <c r="AE326" s="366"/>
      <c r="AF326" s="366"/>
      <c r="AG326" s="366"/>
      <c r="AH326" s="366"/>
      <c r="AI326" s="366"/>
      <c r="AJ326" s="366"/>
      <c r="AK326" s="366"/>
      <c r="AL326" s="366"/>
      <c r="AO326" s="358"/>
      <c r="AP326" s="358"/>
      <c r="AQ326" s="342"/>
      <c r="AR326" s="342"/>
      <c r="AS326" s="342"/>
      <c r="AT326" s="342"/>
      <c r="AU326" s="342"/>
      <c r="AV326" s="342"/>
      <c r="AW326" s="342"/>
      <c r="AX326" s="342"/>
      <c r="AY326" s="342"/>
      <c r="AZ326" s="342"/>
      <c r="BA326" s="342"/>
      <c r="BB326" s="342"/>
      <c r="BC326" s="342">
        <v>3</v>
      </c>
      <c r="BD326" s="342">
        <f>W335</f>
        <v>7.6</v>
      </c>
      <c r="BE326" s="342"/>
    </row>
    <row r="327" spans="1:57" ht="14.25" hidden="1" customHeight="1" outlineLevel="1">
      <c r="A327" s="263" t="s">
        <v>1972</v>
      </c>
      <c r="B327" s="415" t="s">
        <v>156</v>
      </c>
      <c r="C327" s="530">
        <v>0.4</v>
      </c>
      <c r="D327" s="387"/>
      <c r="E327" s="366"/>
      <c r="F327" s="366"/>
      <c r="G327" s="366"/>
      <c r="H327" s="366"/>
      <c r="I327" s="366"/>
      <c r="J327" s="366" t="s">
        <v>1973</v>
      </c>
      <c r="K327" s="366"/>
      <c r="L327" s="366"/>
      <c r="M327" s="366"/>
      <c r="N327" s="366"/>
      <c r="O327" s="366"/>
      <c r="P327" s="366"/>
      <c r="Q327" s="366"/>
      <c r="R327" s="366"/>
      <c r="S327" s="366"/>
      <c r="T327" s="366"/>
      <c r="U327" s="366"/>
      <c r="V327" s="366"/>
      <c r="W327" s="366"/>
      <c r="X327" s="381" t="s">
        <v>1974</v>
      </c>
      <c r="Z327" s="366"/>
      <c r="AA327" s="3097"/>
      <c r="AB327" s="3097"/>
      <c r="AC327" s="3097"/>
      <c r="AD327" s="3097"/>
      <c r="AE327" s="366"/>
      <c r="AF327" s="366"/>
      <c r="AG327" s="366"/>
      <c r="AH327" s="366"/>
      <c r="AI327" s="366"/>
      <c r="AJ327" s="366"/>
      <c r="AK327" s="366"/>
      <c r="AL327" s="366"/>
      <c r="AO327" s="358"/>
      <c r="AP327" s="358"/>
      <c r="AQ327" s="342"/>
      <c r="AR327" s="342"/>
      <c r="AS327" s="342"/>
      <c r="AT327" s="342"/>
      <c r="AU327" s="342"/>
      <c r="AV327" s="342"/>
      <c r="AW327" s="342"/>
      <c r="AX327" s="342"/>
      <c r="AY327" s="342"/>
      <c r="AZ327" s="342"/>
      <c r="BA327" s="342"/>
      <c r="BB327" s="342"/>
      <c r="BC327" s="342">
        <v>1</v>
      </c>
      <c r="BD327" s="342">
        <f>E336</f>
        <v>60</v>
      </c>
      <c r="BE327" s="342"/>
    </row>
    <row r="328" spans="1:57" ht="14.25" hidden="1" customHeight="1" outlineLevel="1">
      <c r="A328" s="263" t="s">
        <v>1975</v>
      </c>
      <c r="B328" s="415" t="s">
        <v>156</v>
      </c>
      <c r="C328" s="530">
        <v>0.4</v>
      </c>
      <c r="D328" s="387">
        <v>0.4</v>
      </c>
      <c r="E328" s="366"/>
      <c r="F328" s="366"/>
      <c r="G328" s="366"/>
      <c r="H328" s="366"/>
      <c r="I328" s="366"/>
      <c r="J328" s="366"/>
      <c r="K328" s="366"/>
      <c r="L328" s="366"/>
      <c r="M328" s="366"/>
      <c r="N328" s="366"/>
      <c r="O328" s="366"/>
      <c r="P328" s="366"/>
      <c r="Q328" s="366"/>
      <c r="R328" s="366"/>
      <c r="S328" s="366"/>
      <c r="T328" s="366"/>
      <c r="U328" s="366"/>
      <c r="V328" s="366"/>
      <c r="W328" s="366"/>
      <c r="X328" s="381"/>
      <c r="Z328" s="366"/>
      <c r="AA328" s="3097"/>
      <c r="AB328" s="3097"/>
      <c r="AC328" s="3097"/>
      <c r="AD328" s="3097"/>
      <c r="AE328" s="366"/>
      <c r="AF328" s="366"/>
      <c r="AG328" s="366"/>
      <c r="AH328" s="366"/>
      <c r="AI328" s="366"/>
      <c r="AJ328" s="366"/>
      <c r="AK328" s="366"/>
      <c r="AL328" s="366"/>
      <c r="AO328" s="358"/>
      <c r="AP328" s="358"/>
      <c r="AQ328" s="342"/>
      <c r="AR328" s="342"/>
      <c r="AS328" s="342"/>
      <c r="AT328" s="342"/>
      <c r="AU328" s="342"/>
      <c r="AV328" s="342"/>
      <c r="AW328" s="342"/>
      <c r="AX328" s="342"/>
      <c r="AY328" s="342"/>
      <c r="AZ328" s="342"/>
      <c r="BA328" s="342"/>
      <c r="BB328" s="342"/>
      <c r="BC328" s="342">
        <v>1</v>
      </c>
      <c r="BD328" s="342">
        <f>R347</f>
        <v>60</v>
      </c>
      <c r="BE328" s="342"/>
    </row>
    <row r="329" spans="1:57" ht="14.25" hidden="1" customHeight="1" outlineLevel="1">
      <c r="A329" s="488" t="s">
        <v>1976</v>
      </c>
      <c r="B329" s="438" t="s">
        <v>156</v>
      </c>
      <c r="C329" s="531">
        <f>D87</f>
        <v>2</v>
      </c>
      <c r="D329" s="387">
        <v>2</v>
      </c>
      <c r="E329" s="502" t="s">
        <v>156</v>
      </c>
      <c r="F329" s="355"/>
      <c r="G329" s="355"/>
      <c r="H329" s="366"/>
      <c r="I329" s="366"/>
      <c r="J329" s="366"/>
      <c r="K329" s="366"/>
      <c r="L329" s="366"/>
      <c r="M329" s="366"/>
      <c r="N329" s="366"/>
      <c r="O329" s="366"/>
      <c r="P329" s="366"/>
      <c r="Q329" s="366"/>
      <c r="R329" s="366"/>
      <c r="S329" s="366"/>
      <c r="T329" s="366"/>
      <c r="U329" s="366"/>
      <c r="V329" s="366"/>
      <c r="W329" s="366"/>
      <c r="AO329" s="358"/>
      <c r="AP329" s="358"/>
      <c r="AQ329" s="342"/>
      <c r="AR329" s="342"/>
      <c r="AS329" s="342"/>
      <c r="AT329" s="342"/>
      <c r="AU329" s="342"/>
      <c r="AV329" s="342"/>
      <c r="AW329" s="342"/>
      <c r="AX329" s="342"/>
      <c r="AY329" s="342"/>
      <c r="AZ329" s="342"/>
      <c r="BA329" s="342"/>
      <c r="BB329" s="342"/>
      <c r="BC329" s="342"/>
      <c r="BD329" s="342"/>
      <c r="BE329" s="342"/>
    </row>
    <row r="330" spans="1:57" ht="14.25" hidden="1" customHeight="1" outlineLevel="1">
      <c r="A330" s="488" t="s">
        <v>1977</v>
      </c>
      <c r="B330" s="438" t="s">
        <v>156</v>
      </c>
      <c r="C330" s="387">
        <v>1</v>
      </c>
      <c r="D330" s="387"/>
      <c r="E330" s="466">
        <v>6.4</v>
      </c>
      <c r="F330" s="381"/>
      <c r="G330" s="366"/>
      <c r="H330" s="366"/>
      <c r="I330" s="366"/>
      <c r="J330" s="366"/>
      <c r="K330" s="366"/>
      <c r="L330" s="366"/>
      <c r="M330" s="466" t="s">
        <v>1958</v>
      </c>
      <c r="N330" s="366"/>
      <c r="O330" s="366"/>
      <c r="P330" s="366"/>
      <c r="Q330" s="366"/>
      <c r="R330" s="366"/>
      <c r="S330" s="366"/>
      <c r="T330" s="366"/>
      <c r="U330" s="366"/>
      <c r="V330" s="366"/>
      <c r="W330" s="366"/>
      <c r="AO330" s="358"/>
      <c r="AP330" s="358"/>
      <c r="AQ330" s="342"/>
      <c r="AR330" s="342"/>
      <c r="AS330" s="342"/>
      <c r="AT330" s="342"/>
      <c r="AU330" s="342"/>
      <c r="AV330" s="342"/>
      <c r="AW330" s="342"/>
      <c r="AX330" s="342"/>
      <c r="AY330" s="342"/>
      <c r="AZ330" s="342"/>
      <c r="BA330" s="342"/>
      <c r="BB330" s="342"/>
      <c r="BC330" s="342"/>
      <c r="BD330" s="342"/>
      <c r="BE330" s="342"/>
    </row>
    <row r="331" spans="1:57" ht="14.25" hidden="1" customHeight="1" outlineLevel="1">
      <c r="A331" s="488" t="s">
        <v>1978</v>
      </c>
      <c r="B331" s="438" t="s">
        <v>156</v>
      </c>
      <c r="C331" s="531">
        <v>1</v>
      </c>
      <c r="D331" s="387">
        <v>0</v>
      </c>
      <c r="E331" s="366"/>
      <c r="F331" s="366"/>
      <c r="G331" s="366"/>
      <c r="H331" s="366"/>
      <c r="I331" s="366"/>
      <c r="J331" s="366"/>
      <c r="K331" s="366"/>
      <c r="L331" s="366"/>
      <c r="M331" s="366"/>
      <c r="N331" s="366"/>
      <c r="O331" s="366"/>
      <c r="P331" s="366"/>
      <c r="Q331" s="366"/>
      <c r="R331" s="366"/>
      <c r="S331" s="366"/>
      <c r="T331" s="366"/>
      <c r="U331" s="366"/>
      <c r="V331" s="366"/>
      <c r="W331" s="366"/>
      <c r="X331" s="366"/>
      <c r="AO331" s="358"/>
      <c r="AP331" s="358"/>
      <c r="AQ331" s="342"/>
      <c r="AR331" s="342"/>
      <c r="AS331" s="342"/>
      <c r="AT331" s="342"/>
      <c r="AU331" s="342"/>
      <c r="AV331" s="342"/>
      <c r="AW331" s="342"/>
      <c r="AX331" s="342"/>
      <c r="AY331" s="342"/>
      <c r="AZ331" s="342"/>
      <c r="BA331" s="342"/>
      <c r="BB331" s="342"/>
      <c r="BC331" s="342"/>
      <c r="BD331" s="342"/>
      <c r="BE331" s="342"/>
    </row>
    <row r="332" spans="1:57" ht="14.25" hidden="1" customHeight="1" outlineLevel="1">
      <c r="A332" s="488" t="s">
        <v>1979</v>
      </c>
      <c r="B332" s="438" t="s">
        <v>156</v>
      </c>
      <c r="C332" s="531">
        <v>2</v>
      </c>
      <c r="D332" s="387">
        <v>2.5</v>
      </c>
      <c r="E332" s="366"/>
      <c r="F332" s="366"/>
      <c r="G332" s="366"/>
      <c r="H332" s="366"/>
      <c r="I332" s="366"/>
      <c r="J332" s="366"/>
      <c r="K332" s="366"/>
      <c r="L332" s="366"/>
      <c r="M332" s="366"/>
      <c r="N332" s="366"/>
      <c r="O332" s="381"/>
      <c r="P332" s="366"/>
      <c r="Q332" s="366"/>
      <c r="R332" s="366"/>
      <c r="S332" s="366" t="s">
        <v>1980</v>
      </c>
      <c r="T332" s="366"/>
      <c r="U332" s="366"/>
      <c r="V332" s="366"/>
      <c r="W332" s="366"/>
      <c r="X332" s="366"/>
      <c r="AO332" s="358"/>
      <c r="AP332" s="358"/>
      <c r="AQ332" s="342"/>
      <c r="AR332" s="342"/>
      <c r="AS332" s="342"/>
      <c r="AT332" s="342"/>
      <c r="AU332" s="342"/>
      <c r="AV332" s="342"/>
      <c r="AW332" s="342"/>
      <c r="AX332" s="342"/>
      <c r="AY332" s="342"/>
      <c r="AZ332" s="342"/>
      <c r="BA332" s="342"/>
      <c r="BB332" s="342"/>
      <c r="BC332" s="342"/>
      <c r="BD332" s="342"/>
      <c r="BE332" s="342"/>
    </row>
    <row r="333" spans="1:57" ht="14.25" hidden="1" customHeight="1" outlineLevel="1">
      <c r="A333" s="263" t="s">
        <v>1981</v>
      </c>
      <c r="B333" s="415" t="s">
        <v>156</v>
      </c>
      <c r="C333" s="530">
        <v>2</v>
      </c>
      <c r="D333" s="387">
        <v>3</v>
      </c>
      <c r="E333" s="366"/>
      <c r="F333" s="366"/>
      <c r="G333" s="366"/>
      <c r="H333" s="366"/>
      <c r="I333" s="366"/>
      <c r="J333" s="366"/>
      <c r="K333" s="366"/>
      <c r="L333" s="366"/>
      <c r="M333" s="366"/>
      <c r="N333" s="366"/>
      <c r="O333" s="366"/>
      <c r="P333" s="366"/>
      <c r="Q333" s="366"/>
      <c r="R333" s="366"/>
      <c r="S333" s="366"/>
      <c r="T333" s="366"/>
      <c r="U333" s="366"/>
      <c r="V333" s="366"/>
      <c r="W333" s="366"/>
      <c r="X333" s="366"/>
      <c r="AO333" s="358"/>
      <c r="AP333" s="358"/>
      <c r="AQ333" s="342"/>
      <c r="AR333" s="342"/>
      <c r="AS333" s="342"/>
      <c r="AT333" s="342"/>
      <c r="AU333" s="342"/>
      <c r="AV333" s="342"/>
      <c r="AW333" s="342"/>
      <c r="AX333" s="342"/>
      <c r="AY333" s="342"/>
      <c r="AZ333" s="342"/>
      <c r="BA333" s="342"/>
      <c r="BB333" s="342"/>
      <c r="BC333" s="342"/>
      <c r="BD333" s="342"/>
      <c r="BE333" s="342"/>
    </row>
    <row r="334" spans="1:57" ht="14.25" hidden="1" customHeight="1" outlineLevel="1">
      <c r="A334" s="331" t="s">
        <v>1907</v>
      </c>
      <c r="E334" s="366"/>
      <c r="F334" s="366"/>
      <c r="G334" s="366"/>
      <c r="H334" s="366"/>
      <c r="I334" s="366"/>
      <c r="J334" s="366"/>
      <c r="K334" s="366"/>
      <c r="L334" s="366"/>
      <c r="M334" s="366"/>
      <c r="N334" s="515"/>
      <c r="O334" s="515"/>
      <c r="P334" s="366"/>
      <c r="Q334" s="366"/>
      <c r="R334" s="366"/>
      <c r="S334" s="366"/>
      <c r="T334" s="366"/>
      <c r="U334" s="366"/>
      <c r="W334" s="3098" t="s">
        <v>156</v>
      </c>
      <c r="X334" s="3098"/>
      <c r="Y334" s="524"/>
      <c r="Z334" s="524"/>
      <c r="AA334" s="524"/>
      <c r="AB334" s="366"/>
      <c r="AC334" s="366"/>
      <c r="AD334" s="366" t="s">
        <v>1926</v>
      </c>
      <c r="AE334" s="366"/>
      <c r="AF334" s="366"/>
      <c r="AG334" s="366"/>
      <c r="AH334" s="366"/>
      <c r="AI334" s="366"/>
      <c r="AO334" s="358"/>
      <c r="AP334" s="358"/>
      <c r="AQ334" s="342"/>
      <c r="AR334" s="342"/>
      <c r="AS334" s="342"/>
      <c r="AT334" s="342"/>
      <c r="AU334" s="342"/>
      <c r="AV334" s="342"/>
      <c r="AW334" s="342"/>
      <c r="AX334" s="342"/>
      <c r="AY334" s="342"/>
      <c r="AZ334" s="342"/>
      <c r="BA334" s="342"/>
      <c r="BB334" s="342"/>
      <c r="BC334" s="342"/>
      <c r="BD334" s="342"/>
      <c r="BE334" s="342"/>
    </row>
    <row r="335" spans="1:57" ht="14.25" hidden="1" customHeight="1" outlineLevel="1">
      <c r="A335" s="489" t="s">
        <v>1908</v>
      </c>
      <c r="G335" s="366"/>
      <c r="H335" s="355"/>
      <c r="I335" s="366"/>
      <c r="J335" s="366"/>
      <c r="K335" s="366"/>
      <c r="L335" s="366"/>
      <c r="M335" s="366"/>
      <c r="N335" s="366"/>
      <c r="O335" s="366"/>
      <c r="P335" s="366"/>
      <c r="Q335" s="366"/>
      <c r="R335" s="366"/>
      <c r="S335" s="366"/>
      <c r="T335" s="366"/>
      <c r="U335" s="366"/>
      <c r="W335" s="3099">
        <v>7.6</v>
      </c>
      <c r="X335" s="3099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O335" s="358"/>
      <c r="AP335" s="358"/>
      <c r="AQ335" s="342"/>
      <c r="AR335" s="342"/>
      <c r="AS335" s="342"/>
      <c r="AT335" s="342"/>
      <c r="AU335" s="342"/>
      <c r="AV335" s="342"/>
      <c r="AW335" s="342"/>
      <c r="AX335" s="342"/>
      <c r="AY335" s="342"/>
      <c r="AZ335" s="342"/>
      <c r="BA335" s="342"/>
      <c r="BB335" s="342"/>
      <c r="BC335" s="342"/>
      <c r="BD335" s="342"/>
      <c r="BE335" s="342"/>
    </row>
    <row r="336" spans="1:57" ht="14.25" hidden="1" customHeight="1" outlineLevel="1">
      <c r="A336" s="331" t="s">
        <v>1909</v>
      </c>
      <c r="D336" s="532"/>
      <c r="E336" s="466">
        <v>60</v>
      </c>
      <c r="F336" s="381"/>
      <c r="G336" s="366"/>
      <c r="H336" s="366"/>
      <c r="I336" s="366"/>
      <c r="J336" s="366"/>
      <c r="K336" s="366"/>
      <c r="L336" s="366"/>
      <c r="M336" s="366"/>
      <c r="N336" s="366"/>
      <c r="O336" s="366"/>
      <c r="P336" s="381" t="s">
        <v>1982</v>
      </c>
      <c r="Q336" s="366"/>
      <c r="R336" s="366"/>
      <c r="S336" s="366"/>
      <c r="T336" s="366"/>
      <c r="U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O336" s="358"/>
      <c r="AP336" s="358"/>
      <c r="AQ336" s="342"/>
      <c r="AR336" s="342"/>
      <c r="AS336" s="342"/>
      <c r="AT336" s="342"/>
      <c r="AU336" s="342"/>
      <c r="AV336" s="342"/>
      <c r="AW336" s="342"/>
      <c r="AX336" s="342"/>
      <c r="AY336" s="342"/>
      <c r="AZ336" s="342"/>
      <c r="BA336" s="342"/>
      <c r="BB336" s="342"/>
      <c r="BC336" s="342"/>
      <c r="BD336" s="342"/>
      <c r="BE336" s="342"/>
    </row>
    <row r="337" spans="1:58" ht="14.25" hidden="1" customHeight="1" outlineLevel="1">
      <c r="A337" s="491" t="s">
        <v>270</v>
      </c>
      <c r="D337" s="532"/>
      <c r="E337" s="466" t="s">
        <v>1937</v>
      </c>
      <c r="F337" s="381"/>
      <c r="G337" s="366"/>
      <c r="H337" s="366"/>
      <c r="I337" s="366"/>
      <c r="J337" s="366"/>
      <c r="K337" s="366"/>
      <c r="L337" s="366"/>
      <c r="M337" s="366"/>
      <c r="N337" s="366"/>
      <c r="O337" s="366"/>
      <c r="P337" s="366"/>
      <c r="Q337" s="366"/>
      <c r="R337" s="366"/>
      <c r="S337" s="366"/>
      <c r="T337" s="366"/>
      <c r="U337" s="366"/>
      <c r="W337" s="366"/>
      <c r="X337" s="366"/>
      <c r="Y337" s="366"/>
      <c r="Z337" s="366"/>
      <c r="AA337" s="366"/>
      <c r="AB337" s="366"/>
      <c r="AC337" s="366"/>
      <c r="AD337" s="366"/>
      <c r="AE337" s="366"/>
      <c r="AF337" s="366"/>
      <c r="AG337" s="366"/>
      <c r="AH337" s="366"/>
      <c r="AI337" s="366"/>
      <c r="AO337" s="358"/>
      <c r="AP337" s="358"/>
      <c r="AQ337" s="342"/>
      <c r="AR337" s="342"/>
      <c r="AS337" s="342"/>
      <c r="AT337" s="342"/>
      <c r="AU337" s="342"/>
      <c r="AV337" s="342"/>
      <c r="AW337" s="342"/>
      <c r="AX337" s="342"/>
      <c r="AY337" s="342"/>
      <c r="AZ337" s="342"/>
      <c r="BA337" s="342"/>
      <c r="BB337" s="342"/>
      <c r="BC337" s="342"/>
      <c r="BD337" s="342"/>
      <c r="BE337" s="342"/>
    </row>
    <row r="338" spans="1:58" ht="14.25" hidden="1" customHeight="1" outlineLevel="1">
      <c r="A338" s="443" t="s">
        <v>1910</v>
      </c>
      <c r="D338" s="533"/>
      <c r="E338" s="466"/>
      <c r="F338" s="366"/>
      <c r="G338" s="366"/>
      <c r="H338" s="381"/>
      <c r="I338" s="421"/>
      <c r="J338" s="366"/>
      <c r="K338" s="366"/>
      <c r="L338" s="366"/>
      <c r="M338" s="366"/>
      <c r="N338" s="366"/>
      <c r="O338" s="366"/>
      <c r="P338" s="366"/>
      <c r="Q338" s="366"/>
      <c r="R338" s="366"/>
      <c r="S338" s="366"/>
      <c r="T338" s="366"/>
      <c r="U338" s="366"/>
      <c r="W338" s="366"/>
      <c r="X338" s="366"/>
      <c r="Y338" s="366"/>
      <c r="Z338" s="366"/>
      <c r="AA338" s="366"/>
      <c r="AB338" s="366"/>
      <c r="AC338" s="366"/>
      <c r="AD338" s="366"/>
      <c r="AE338" s="366"/>
      <c r="AF338" s="366"/>
      <c r="AG338" s="366"/>
      <c r="AH338" s="366"/>
      <c r="AI338" s="366"/>
      <c r="AO338" s="358"/>
      <c r="AP338" s="358"/>
      <c r="AQ338" s="342"/>
      <c r="AR338" s="342"/>
      <c r="AS338" s="342"/>
      <c r="AT338" s="342"/>
      <c r="AU338" s="342"/>
      <c r="AV338" s="342"/>
      <c r="AW338" s="342"/>
      <c r="AX338" s="342"/>
      <c r="AY338" s="342"/>
      <c r="AZ338" s="342"/>
      <c r="BA338" s="342"/>
      <c r="BB338" s="342"/>
      <c r="BC338" s="342"/>
      <c r="BD338" s="342"/>
      <c r="BE338" s="342"/>
    </row>
    <row r="339" spans="1:58" ht="14.25" hidden="1" customHeight="1" outlineLevel="1">
      <c r="A339" s="491" t="s">
        <v>277</v>
      </c>
      <c r="D339" s="533"/>
      <c r="E339" s="466"/>
      <c r="F339" s="366"/>
      <c r="G339" s="366"/>
      <c r="H339" s="421"/>
      <c r="I339" s="421"/>
      <c r="J339" s="366"/>
      <c r="K339" s="366"/>
      <c r="L339" s="366"/>
      <c r="M339" s="366"/>
      <c r="N339" s="366"/>
      <c r="O339" s="366"/>
      <c r="P339" s="366"/>
      <c r="Q339" s="366"/>
      <c r="R339" s="366"/>
      <c r="S339" s="366"/>
      <c r="T339" s="366"/>
      <c r="U339" s="366"/>
      <c r="W339" s="366"/>
      <c r="X339" s="366"/>
      <c r="Y339" s="366"/>
      <c r="Z339" s="366"/>
      <c r="AA339" s="366"/>
      <c r="AB339" s="366"/>
      <c r="AC339" s="366"/>
      <c r="AD339" s="366"/>
      <c r="AE339" s="366"/>
      <c r="AF339" s="366"/>
      <c r="AG339" s="366"/>
      <c r="AH339" s="366"/>
      <c r="AI339" s="366"/>
      <c r="AO339" s="358"/>
      <c r="AP339" s="358"/>
      <c r="AQ339" s="342"/>
      <c r="AR339" s="342"/>
      <c r="AS339" s="342"/>
      <c r="AT339" s="458"/>
      <c r="AU339" s="342"/>
      <c r="AV339" s="342"/>
      <c r="AW339" s="342"/>
      <c r="AX339" s="342"/>
      <c r="AY339" s="342"/>
      <c r="AZ339" s="342"/>
      <c r="BA339" s="342"/>
      <c r="BB339" s="342"/>
      <c r="BC339" s="342"/>
      <c r="BD339" s="342"/>
      <c r="BE339" s="342"/>
    </row>
    <row r="340" spans="1:58" ht="14.25" hidden="1" customHeight="1" outlineLevel="1">
      <c r="A340" s="331" t="s">
        <v>1911</v>
      </c>
      <c r="D340" s="465"/>
      <c r="E340" s="466">
        <v>5.4</v>
      </c>
      <c r="F340" s="381"/>
      <c r="G340" s="366"/>
      <c r="H340" s="421"/>
      <c r="I340" s="421"/>
      <c r="J340" s="366"/>
      <c r="K340" s="366"/>
      <c r="L340" s="366"/>
      <c r="M340" s="366"/>
      <c r="N340" s="366"/>
      <c r="O340" s="366"/>
      <c r="P340" s="366"/>
      <c r="Q340" s="366"/>
      <c r="R340" s="366"/>
      <c r="S340" s="366"/>
      <c r="T340" s="366"/>
      <c r="U340" s="366"/>
      <c r="W340" s="366" t="s">
        <v>1973</v>
      </c>
      <c r="X340" s="366"/>
      <c r="Y340" s="366"/>
      <c r="Z340" s="366"/>
      <c r="AA340" s="366"/>
      <c r="AB340" s="366"/>
      <c r="AC340" s="366"/>
      <c r="AD340" s="366"/>
      <c r="AE340" s="366"/>
      <c r="AF340" s="366"/>
      <c r="AG340" s="366"/>
      <c r="AH340" s="366"/>
      <c r="AI340" s="366"/>
      <c r="AO340" s="358"/>
      <c r="AP340" s="358"/>
      <c r="AQ340" s="342"/>
      <c r="AR340" s="342"/>
      <c r="AS340" s="342"/>
      <c r="AT340" s="458"/>
      <c r="AU340" s="342"/>
      <c r="AV340" s="342"/>
      <c r="AW340" s="342"/>
      <c r="AX340" s="342"/>
      <c r="AY340" s="342"/>
      <c r="AZ340" s="342"/>
      <c r="BA340" s="342"/>
      <c r="BB340" s="342"/>
      <c r="BC340" s="342"/>
      <c r="BD340" s="342"/>
      <c r="BE340" s="342"/>
    </row>
    <row r="341" spans="1:58" ht="14.25" hidden="1" customHeight="1" outlineLevel="1">
      <c r="A341" s="491" t="s">
        <v>1014</v>
      </c>
      <c r="D341" s="354"/>
      <c r="E341" s="502" t="s">
        <v>156</v>
      </c>
      <c r="F341" s="355"/>
      <c r="G341" s="366"/>
      <c r="H341" s="381"/>
      <c r="I341" s="421"/>
      <c r="K341" s="366"/>
      <c r="L341" s="366"/>
      <c r="M341" s="366"/>
      <c r="N341" s="466" t="s">
        <v>1983</v>
      </c>
      <c r="O341" s="366"/>
      <c r="P341" s="366"/>
      <c r="Q341" s="366"/>
      <c r="R341" s="366"/>
      <c r="S341" s="366"/>
      <c r="T341" s="366"/>
      <c r="U341" s="366"/>
      <c r="W341" s="366"/>
      <c r="X341" s="366"/>
      <c r="Y341" s="366"/>
      <c r="Z341" s="366"/>
      <c r="AA341" s="366"/>
      <c r="AB341" s="366"/>
      <c r="AC341" s="366"/>
      <c r="AD341" s="366"/>
      <c r="AE341" s="366"/>
      <c r="AF341" s="366"/>
      <c r="AG341" s="366"/>
      <c r="AH341" s="366"/>
      <c r="AI341" s="366"/>
      <c r="AO341" s="358"/>
      <c r="AP341" s="358"/>
      <c r="AR341" s="342"/>
      <c r="AS341" s="342"/>
      <c r="AT341" s="458"/>
      <c r="AU341" s="458"/>
      <c r="AV341" s="458"/>
      <c r="AW341" s="342"/>
      <c r="AX341" s="342"/>
      <c r="AY341" s="342"/>
      <c r="AZ341" s="342"/>
      <c r="BA341" s="342"/>
      <c r="BB341" s="342"/>
      <c r="BC341" s="342"/>
      <c r="BD341" s="342"/>
      <c r="BE341" s="342"/>
    </row>
    <row r="342" spans="1:58" ht="14.25" hidden="1" customHeight="1" outlineLevel="1">
      <c r="A342" s="331" t="s">
        <v>1913</v>
      </c>
      <c r="B342" s="490"/>
      <c r="C342" s="534"/>
      <c r="D342" s="354"/>
      <c r="E342" s="472"/>
      <c r="F342" s="472"/>
      <c r="G342" s="366"/>
      <c r="H342" s="366"/>
      <c r="I342" s="366"/>
      <c r="K342" s="366"/>
      <c r="L342" s="421"/>
      <c r="M342" s="366"/>
      <c r="N342" s="366"/>
      <c r="O342" s="366"/>
      <c r="P342" s="466"/>
      <c r="Q342" s="366"/>
      <c r="R342" s="366"/>
      <c r="S342" s="366"/>
      <c r="T342" s="366"/>
      <c r="U342" s="366"/>
      <c r="W342" s="366"/>
      <c r="X342" s="366"/>
      <c r="Y342" s="366"/>
      <c r="Z342" s="366"/>
      <c r="AA342" s="366"/>
      <c r="AB342" s="366"/>
      <c r="AC342" s="366"/>
      <c r="AD342" s="366"/>
      <c r="AE342" s="366"/>
      <c r="AF342" s="366"/>
      <c r="AG342" s="366"/>
      <c r="AH342" s="366" t="s">
        <v>1974</v>
      </c>
      <c r="AI342" s="366"/>
      <c r="AO342" s="358"/>
      <c r="AP342" s="358"/>
      <c r="AQ342" s="342"/>
      <c r="AR342" s="342"/>
      <c r="AS342" s="342"/>
      <c r="AT342" s="458"/>
      <c r="AU342" s="458"/>
      <c r="AV342" s="458"/>
      <c r="AW342" s="342"/>
      <c r="AX342" s="342"/>
      <c r="AY342" s="342"/>
      <c r="AZ342" s="342"/>
      <c r="BA342" s="342"/>
      <c r="BB342" s="342"/>
      <c r="BC342" s="342"/>
      <c r="BD342" s="342"/>
      <c r="BE342" s="342"/>
    </row>
    <row r="343" spans="1:58" ht="14.25" hidden="1" customHeight="1" outlineLevel="1">
      <c r="A343" s="494" t="s">
        <v>706</v>
      </c>
      <c r="B343" s="490"/>
      <c r="C343" s="534"/>
      <c r="D343" s="424"/>
      <c r="E343" s="472"/>
      <c r="F343" s="472"/>
      <c r="G343" s="366"/>
      <c r="H343" s="366"/>
      <c r="I343" s="366"/>
      <c r="K343" s="482"/>
      <c r="L343" s="421"/>
      <c r="M343" s="366"/>
      <c r="N343" s="366"/>
      <c r="O343" s="366"/>
      <c r="P343" s="466"/>
      <c r="Q343" s="366"/>
      <c r="R343" s="482" t="s">
        <v>156</v>
      </c>
      <c r="S343" s="366"/>
      <c r="T343" s="366"/>
      <c r="U343" s="366"/>
      <c r="W343" s="366"/>
      <c r="X343" s="366"/>
      <c r="Y343" s="366"/>
      <c r="Z343" s="366"/>
      <c r="AA343" s="381" t="s">
        <v>1958</v>
      </c>
      <c r="AB343" s="381"/>
      <c r="AC343" s="366"/>
      <c r="AD343" s="366"/>
      <c r="AE343" s="366"/>
      <c r="AF343" s="366"/>
      <c r="AG343" s="366"/>
      <c r="AH343" s="366"/>
      <c r="AI343" s="366"/>
      <c r="AO343" s="358"/>
      <c r="AP343" s="358"/>
      <c r="AQ343" s="342"/>
      <c r="AR343" s="342"/>
      <c r="AS343" s="342"/>
      <c r="AT343" s="458"/>
      <c r="AU343" s="458"/>
      <c r="AV343" s="458"/>
      <c r="AW343" s="342"/>
      <c r="AX343" s="342"/>
      <c r="AY343" s="342"/>
      <c r="AZ343" s="342"/>
      <c r="BA343" s="342"/>
      <c r="BB343" s="342"/>
      <c r="BC343" s="342"/>
      <c r="BD343" s="342"/>
      <c r="BE343" s="342"/>
    </row>
    <row r="344" spans="1:58" s="370" customFormat="1" ht="14.25" hidden="1" customHeight="1" outlineLevel="1">
      <c r="A344" s="331" t="s">
        <v>1917</v>
      </c>
      <c r="B344" s="332"/>
      <c r="C344" s="331"/>
      <c r="D344" s="424"/>
      <c r="E344" s="472"/>
      <c r="F344" s="472"/>
      <c r="G344" s="366"/>
      <c r="H344" s="366"/>
      <c r="I344" s="366"/>
      <c r="J344" s="381"/>
      <c r="K344" s="421"/>
      <c r="L344" s="421"/>
      <c r="M344" s="366"/>
      <c r="N344" s="366"/>
      <c r="O344" s="366"/>
      <c r="P344" s="466"/>
      <c r="Q344" s="366"/>
      <c r="R344" s="366">
        <v>6.6</v>
      </c>
      <c r="S344" s="366"/>
      <c r="T344" s="366"/>
      <c r="U344" s="366"/>
      <c r="V344" s="331"/>
      <c r="W344" s="366"/>
      <c r="X344" s="366"/>
      <c r="Y344" s="366"/>
      <c r="Z344" s="366"/>
      <c r="AA344" s="366"/>
      <c r="AB344" s="366"/>
      <c r="AC344" s="366"/>
      <c r="AD344" s="366"/>
      <c r="AE344" s="366"/>
      <c r="AF344" s="366"/>
      <c r="AG344" s="366"/>
      <c r="AH344" s="366"/>
      <c r="AI344" s="366"/>
      <c r="AJ344" s="366"/>
      <c r="AL344" s="482"/>
      <c r="AM344" s="424"/>
      <c r="AN344" s="424"/>
      <c r="AO344" s="425"/>
      <c r="AP344" s="425"/>
      <c r="AQ344" s="426"/>
      <c r="AR344" s="426"/>
      <c r="AS344" s="426"/>
      <c r="AT344" s="353"/>
      <c r="AU344" s="353"/>
      <c r="AV344" s="353"/>
      <c r="AW344" s="426"/>
      <c r="AX344" s="426"/>
      <c r="AY344" s="426"/>
      <c r="AZ344" s="426"/>
      <c r="BA344" s="426"/>
      <c r="BB344" s="426"/>
      <c r="BC344" s="426"/>
      <c r="BD344" s="426"/>
      <c r="BE344" s="426"/>
      <c r="BF344" s="428"/>
    </row>
    <row r="345" spans="1:58" s="370" customFormat="1" ht="14.25" hidden="1" customHeight="1" outlineLevel="1">
      <c r="A345" s="491" t="s">
        <v>753</v>
      </c>
      <c r="D345" s="424"/>
      <c r="E345" s="472"/>
      <c r="F345" s="472"/>
      <c r="G345" s="366"/>
      <c r="H345" s="366"/>
      <c r="I345" s="366"/>
      <c r="J345" s="381"/>
      <c r="K345" s="421"/>
      <c r="L345" s="421"/>
      <c r="N345" s="366"/>
      <c r="O345" s="366"/>
      <c r="P345" s="466"/>
      <c r="Q345" s="366"/>
      <c r="R345" s="366"/>
      <c r="S345" s="366"/>
      <c r="T345" s="366"/>
      <c r="U345" s="366"/>
      <c r="V345" s="331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424"/>
      <c r="AN345" s="424"/>
      <c r="AO345" s="425"/>
      <c r="AP345" s="425"/>
      <c r="AQ345" s="426"/>
      <c r="AR345" s="426"/>
      <c r="AS345" s="426"/>
      <c r="AT345" s="353"/>
      <c r="AU345" s="353"/>
      <c r="AV345" s="353"/>
      <c r="AW345" s="426"/>
      <c r="AX345" s="426"/>
      <c r="AY345" s="426"/>
      <c r="AZ345" s="426"/>
      <c r="BA345" s="426"/>
      <c r="BB345" s="426"/>
      <c r="BC345" s="426"/>
      <c r="BD345" s="426"/>
      <c r="BE345" s="426"/>
      <c r="BF345" s="428"/>
    </row>
    <row r="346" spans="1:58" s="370" customFormat="1" ht="14.25" hidden="1" customHeight="1" outlineLevel="1">
      <c r="A346" s="331" t="s">
        <v>1919</v>
      </c>
      <c r="D346" s="424"/>
      <c r="E346" s="472"/>
      <c r="F346" s="472"/>
      <c r="G346" s="366"/>
      <c r="H346" s="366"/>
      <c r="I346" s="366"/>
      <c r="J346" s="381"/>
      <c r="K346" s="421"/>
      <c r="L346" s="421"/>
      <c r="M346" s="366"/>
      <c r="N346" s="366"/>
      <c r="O346" s="366"/>
      <c r="P346" s="466"/>
      <c r="Q346" s="366"/>
      <c r="R346" s="366" t="s">
        <v>1937</v>
      </c>
      <c r="S346" s="366"/>
      <c r="T346" s="366"/>
      <c r="U346" s="366"/>
      <c r="V346" s="366"/>
      <c r="W346" s="366"/>
      <c r="X346" s="366"/>
      <c r="Y346" s="366"/>
      <c r="Z346" s="366"/>
      <c r="AA346" s="366"/>
      <c r="AB346" s="366"/>
      <c r="AC346" s="366"/>
      <c r="AD346" s="366"/>
      <c r="AE346" s="366"/>
      <c r="AF346" s="366"/>
      <c r="AG346" s="366"/>
      <c r="AH346" s="366"/>
      <c r="AI346" s="366"/>
      <c r="AJ346" s="366"/>
      <c r="AK346" s="366"/>
      <c r="AL346" s="366"/>
      <c r="AM346" s="424"/>
      <c r="AN346" s="424"/>
      <c r="AO346" s="425"/>
      <c r="AP346" s="425"/>
      <c r="AQ346" s="426"/>
      <c r="AR346" s="426"/>
      <c r="AS346" s="426"/>
      <c r="AT346" s="353"/>
      <c r="AU346" s="353"/>
      <c r="AV346" s="353"/>
      <c r="AW346" s="426"/>
      <c r="AX346" s="426"/>
      <c r="AY346" s="426"/>
      <c r="AZ346" s="426"/>
      <c r="BA346" s="426"/>
      <c r="BB346" s="426"/>
      <c r="BC346" s="426"/>
      <c r="BD346" s="426"/>
      <c r="BE346" s="426"/>
      <c r="BF346" s="428"/>
    </row>
    <row r="347" spans="1:58" s="370" customFormat="1" ht="14.25" hidden="1" customHeight="1" outlineLevel="1">
      <c r="A347" s="491" t="s">
        <v>785</v>
      </c>
      <c r="D347" s="424"/>
      <c r="E347" s="472"/>
      <c r="F347" s="472"/>
      <c r="G347" s="366"/>
      <c r="H347" s="366"/>
      <c r="I347" s="366"/>
      <c r="J347" s="381"/>
      <c r="K347" s="421"/>
      <c r="L347" s="421"/>
      <c r="N347" s="366"/>
      <c r="O347" s="366"/>
      <c r="P347" s="466"/>
      <c r="Q347" s="366"/>
      <c r="R347" s="366">
        <v>60</v>
      </c>
      <c r="S347" s="366"/>
      <c r="T347" s="366"/>
      <c r="U347" s="366"/>
      <c r="V347" s="366"/>
      <c r="W347" s="366"/>
      <c r="X347" s="366"/>
      <c r="Y347" s="366"/>
      <c r="Z347" s="366"/>
      <c r="AA347" s="366"/>
      <c r="AB347" s="366"/>
      <c r="AC347" s="366"/>
      <c r="AD347" s="366"/>
      <c r="AE347" s="366"/>
      <c r="AF347" s="366"/>
      <c r="AG347" s="366"/>
      <c r="AH347" s="331"/>
      <c r="AI347" s="366"/>
      <c r="AJ347" s="366"/>
      <c r="AK347" s="366"/>
      <c r="AL347" s="366"/>
      <c r="AM347" s="424"/>
      <c r="AN347" s="424"/>
      <c r="AO347" s="425"/>
      <c r="AP347" s="425"/>
      <c r="AQ347" s="426"/>
      <c r="AR347" s="426"/>
      <c r="AS347" s="426"/>
      <c r="AT347" s="353"/>
      <c r="AU347" s="353"/>
      <c r="AV347" s="353"/>
      <c r="AW347" s="426"/>
      <c r="AX347" s="426"/>
      <c r="AY347" s="426"/>
      <c r="AZ347" s="426"/>
      <c r="BA347" s="426"/>
      <c r="BB347" s="426"/>
      <c r="BC347" s="426"/>
      <c r="BD347" s="426"/>
      <c r="BE347" s="426"/>
      <c r="BF347" s="428"/>
    </row>
    <row r="348" spans="1:58" s="370" customFormat="1" ht="14.25" hidden="1" customHeight="1" outlineLevel="1">
      <c r="A348" s="331" t="s">
        <v>1922</v>
      </c>
      <c r="B348" s="490"/>
      <c r="C348" s="366"/>
      <c r="D348" s="424"/>
      <c r="E348" s="424"/>
      <c r="F348" s="424"/>
      <c r="G348" s="424"/>
      <c r="H348" s="472"/>
      <c r="I348" s="424"/>
      <c r="J348" s="424"/>
      <c r="K348" s="424"/>
      <c r="L348" s="381"/>
      <c r="M348" s="421"/>
      <c r="N348" s="421"/>
      <c r="O348" s="366"/>
      <c r="P348" s="366"/>
      <c r="Q348" s="366"/>
      <c r="R348" s="466"/>
      <c r="S348" s="366"/>
      <c r="T348" s="366"/>
      <c r="U348" s="366"/>
      <c r="V348" s="366"/>
      <c r="W348" s="366"/>
      <c r="X348" s="366"/>
      <c r="Y348" s="366"/>
      <c r="Z348" s="366" t="s">
        <v>1983</v>
      </c>
      <c r="AA348" s="366"/>
      <c r="AB348" s="366"/>
      <c r="AC348" s="366"/>
      <c r="AD348" s="366"/>
      <c r="AE348" s="366"/>
      <c r="AF348" s="366"/>
      <c r="AG348" s="366"/>
      <c r="AH348" s="366"/>
      <c r="AI348" s="366"/>
      <c r="AJ348" s="424"/>
      <c r="AK348" s="424"/>
      <c r="AL348" s="424"/>
      <c r="AM348" s="424"/>
      <c r="AN348" s="424"/>
      <c r="AO348" s="425"/>
      <c r="AP348" s="425"/>
      <c r="AQ348" s="426"/>
      <c r="AR348" s="426"/>
      <c r="AS348" s="426"/>
      <c r="AT348" s="353"/>
      <c r="AU348" s="353"/>
      <c r="AV348" s="353"/>
      <c r="AW348" s="426"/>
      <c r="AX348" s="426"/>
      <c r="AY348" s="426"/>
      <c r="AZ348" s="426"/>
      <c r="BA348" s="426"/>
      <c r="BB348" s="426"/>
      <c r="BC348" s="426"/>
      <c r="BD348" s="426"/>
      <c r="BE348" s="426"/>
      <c r="BF348" s="428"/>
    </row>
    <row r="349" spans="1:58" s="370" customFormat="1" ht="14.25" hidden="1" customHeight="1" outlineLevel="1">
      <c r="A349" s="414" t="s">
        <v>152</v>
      </c>
      <c r="B349" s="415" t="s">
        <v>1793</v>
      </c>
      <c r="C349" s="388">
        <v>4</v>
      </c>
      <c r="D349" s="424"/>
      <c r="E349" s="424"/>
      <c r="F349" s="424"/>
      <c r="G349" s="424"/>
      <c r="H349" s="472"/>
      <c r="I349" s="424"/>
      <c r="J349" s="424"/>
      <c r="K349" s="424"/>
      <c r="L349" s="381"/>
      <c r="M349" s="421"/>
      <c r="N349" s="421"/>
      <c r="O349" s="366"/>
      <c r="P349" s="366"/>
      <c r="Q349" s="366"/>
      <c r="R349" s="466"/>
      <c r="S349" s="366"/>
      <c r="T349" s="366"/>
      <c r="U349" s="366"/>
      <c r="V349" s="366"/>
      <c r="W349" s="366"/>
      <c r="X349" s="366"/>
      <c r="Y349" s="366"/>
      <c r="Z349" s="366"/>
      <c r="AA349" s="421"/>
      <c r="AB349" s="421"/>
      <c r="AC349" s="421"/>
      <c r="AD349" s="421"/>
      <c r="AE349" s="366"/>
      <c r="AF349" s="421"/>
      <c r="AG349" s="421"/>
      <c r="AH349" s="421"/>
      <c r="AI349" s="424"/>
      <c r="AJ349" s="424"/>
      <c r="AK349" s="424"/>
      <c r="AL349" s="424"/>
      <c r="AM349" s="424"/>
      <c r="AN349" s="424"/>
      <c r="AO349" s="425"/>
      <c r="AP349" s="425"/>
      <c r="AQ349" s="426"/>
      <c r="AR349" s="426"/>
      <c r="AS349" s="426"/>
      <c r="AT349" s="353"/>
      <c r="AU349" s="353"/>
      <c r="AV349" s="353"/>
      <c r="AW349" s="426"/>
      <c r="AX349" s="426"/>
      <c r="AY349" s="426"/>
      <c r="AZ349" s="426"/>
      <c r="BA349" s="426"/>
      <c r="BB349" s="426"/>
      <c r="BC349" s="426"/>
      <c r="BD349" s="426"/>
      <c r="BE349" s="426"/>
      <c r="BF349" s="428"/>
    </row>
    <row r="350" spans="1:58" s="370" customFormat="1" ht="14.25" hidden="1" customHeight="1" outlineLevel="1">
      <c r="A350" s="404" t="s">
        <v>152</v>
      </c>
      <c r="B350" s="415" t="s">
        <v>1793</v>
      </c>
      <c r="C350" s="380">
        <v>0</v>
      </c>
      <c r="D350" s="424"/>
      <c r="E350" s="424"/>
      <c r="F350" s="424"/>
      <c r="G350" s="424"/>
      <c r="H350" s="472"/>
      <c r="I350" s="424"/>
      <c r="J350" s="424"/>
      <c r="K350" s="424"/>
      <c r="L350" s="381"/>
      <c r="M350" s="421"/>
      <c r="N350" s="421"/>
      <c r="O350" s="366"/>
      <c r="P350" s="366"/>
      <c r="Q350" s="366"/>
      <c r="R350" s="466"/>
      <c r="S350" s="366"/>
      <c r="T350" s="366"/>
      <c r="U350" s="366"/>
      <c r="V350" s="366"/>
      <c r="W350" s="366"/>
      <c r="X350" s="366"/>
      <c r="Y350" s="366"/>
      <c r="Z350" s="366"/>
      <c r="AA350" s="421"/>
      <c r="AB350" s="421"/>
      <c r="AC350" s="421"/>
      <c r="AD350" s="421"/>
      <c r="AE350" s="366"/>
      <c r="AF350" s="421"/>
      <c r="AG350" s="421"/>
      <c r="AH350" s="421"/>
      <c r="AI350" s="424"/>
      <c r="AJ350" s="424"/>
      <c r="AK350" s="424"/>
      <c r="AL350" s="424"/>
      <c r="AM350" s="424"/>
      <c r="AN350" s="424"/>
      <c r="AO350" s="425"/>
      <c r="AP350" s="425"/>
      <c r="AQ350" s="426"/>
      <c r="AR350" s="426"/>
      <c r="AS350" s="426"/>
      <c r="AT350" s="353"/>
      <c r="AU350" s="353"/>
      <c r="AV350" s="353"/>
      <c r="AW350" s="426"/>
      <c r="AX350" s="426"/>
      <c r="AY350" s="426"/>
      <c r="AZ350" s="426"/>
      <c r="BA350" s="426"/>
      <c r="BB350" s="426"/>
      <c r="BC350" s="426"/>
      <c r="BD350" s="426"/>
      <c r="BE350" s="426"/>
      <c r="BF350" s="428"/>
    </row>
    <row r="351" spans="1:58" s="370" customFormat="1" ht="14.25" hidden="1" customHeight="1" outlineLevel="1">
      <c r="A351" s="331"/>
      <c r="B351" s="332"/>
      <c r="C351" s="331"/>
      <c r="D351" s="424"/>
      <c r="E351" s="424"/>
      <c r="F351" s="424"/>
      <c r="G351" s="424"/>
      <c r="H351" s="472"/>
      <c r="I351" s="424"/>
      <c r="J351" s="424"/>
      <c r="K351" s="424"/>
      <c r="L351" s="381"/>
      <c r="M351" s="421"/>
      <c r="N351" s="421"/>
      <c r="O351" s="366"/>
      <c r="P351" s="366"/>
      <c r="Q351" s="366"/>
      <c r="R351" s="466"/>
      <c r="S351" s="366"/>
      <c r="T351" s="366"/>
      <c r="U351" s="366"/>
      <c r="V351" s="366"/>
      <c r="W351" s="366"/>
      <c r="X351" s="366"/>
      <c r="Y351" s="366"/>
      <c r="Z351" s="366"/>
      <c r="AA351" s="421"/>
      <c r="AB351" s="421"/>
      <c r="AC351" s="421"/>
      <c r="AD351" s="421"/>
      <c r="AE351" s="366"/>
      <c r="AF351" s="421"/>
      <c r="AG351" s="421"/>
      <c r="AH351" s="421"/>
      <c r="AI351" s="424"/>
      <c r="AJ351" s="424"/>
      <c r="AK351" s="424"/>
      <c r="AL351" s="424"/>
      <c r="AM351" s="424"/>
      <c r="AN351" s="424"/>
      <c r="AO351" s="425"/>
      <c r="AP351" s="425"/>
      <c r="AQ351" s="426"/>
      <c r="AR351" s="426"/>
      <c r="AS351" s="426"/>
      <c r="AT351" s="353"/>
      <c r="AU351" s="353"/>
      <c r="AV351" s="353"/>
      <c r="AW351" s="426"/>
      <c r="AX351" s="426"/>
      <c r="AY351" s="426"/>
      <c r="AZ351" s="426"/>
      <c r="BA351" s="426"/>
      <c r="BB351" s="426"/>
      <c r="BC351" s="426"/>
      <c r="BD351" s="426"/>
      <c r="BE351" s="426"/>
      <c r="BF351" s="428"/>
    </row>
    <row r="352" spans="1:58" s="370" customFormat="1" ht="14.25" hidden="1" customHeight="1" outlineLevel="1">
      <c r="A352" s="416" t="s">
        <v>1984</v>
      </c>
      <c r="B352" s="415" t="s">
        <v>1796</v>
      </c>
      <c r="C352" s="501">
        <v>10000</v>
      </c>
      <c r="D352" s="424"/>
      <c r="E352" s="424"/>
      <c r="F352" s="424"/>
      <c r="G352" s="424"/>
      <c r="H352" s="472"/>
      <c r="I352" s="424"/>
      <c r="J352" s="424"/>
      <c r="K352" s="424"/>
      <c r="L352" s="381"/>
      <c r="M352" s="421"/>
      <c r="N352" s="421"/>
      <c r="O352" s="366"/>
      <c r="P352" s="366"/>
      <c r="Q352" s="366"/>
      <c r="R352" s="466"/>
      <c r="S352" s="366"/>
      <c r="T352" s="366"/>
      <c r="U352" s="366"/>
      <c r="V352" s="366"/>
      <c r="W352" s="366"/>
      <c r="X352" s="366"/>
      <c r="Y352" s="366"/>
      <c r="Z352" s="366"/>
      <c r="AA352" s="421"/>
      <c r="AB352" s="421"/>
      <c r="AC352" s="421"/>
      <c r="AD352" s="421"/>
      <c r="AE352" s="366"/>
      <c r="AF352" s="421"/>
      <c r="AG352" s="421"/>
      <c r="AH352" s="421"/>
      <c r="AI352" s="424"/>
      <c r="AJ352" s="424"/>
      <c r="AK352" s="424"/>
      <c r="AL352" s="424"/>
      <c r="AM352" s="424"/>
      <c r="AN352" s="424"/>
      <c r="AO352" s="425"/>
      <c r="AP352" s="425"/>
      <c r="AQ352" s="426"/>
      <c r="AR352" s="426"/>
      <c r="AS352" s="426"/>
      <c r="AT352" s="353"/>
      <c r="AU352" s="353"/>
      <c r="AV352" s="353"/>
      <c r="AW352" s="426"/>
      <c r="AX352" s="426"/>
      <c r="AY352" s="426"/>
      <c r="AZ352" s="426"/>
      <c r="BA352" s="426"/>
      <c r="BB352" s="426"/>
      <c r="BC352" s="426"/>
      <c r="BD352" s="426"/>
      <c r="BE352" s="426"/>
      <c r="BF352" s="428"/>
    </row>
    <row r="353" spans="1:58" s="370" customFormat="1" ht="14.25" customHeight="1" collapsed="1">
      <c r="A353" s="3062" t="s">
        <v>1985</v>
      </c>
      <c r="B353" s="3062"/>
      <c r="C353" s="3062"/>
      <c r="D353" s="3062"/>
      <c r="E353" s="3062"/>
      <c r="F353" s="419" t="s">
        <v>1798</v>
      </c>
      <c r="G353" s="424"/>
      <c r="H353" s="472"/>
      <c r="I353" s="424"/>
      <c r="J353" s="424"/>
      <c r="K353" s="424"/>
      <c r="L353" s="381"/>
      <c r="M353" s="421"/>
      <c r="N353" s="421"/>
      <c r="O353" s="366"/>
      <c r="P353" s="366"/>
      <c r="Q353" s="366"/>
      <c r="R353" s="466"/>
      <c r="S353" s="366"/>
      <c r="T353" s="366"/>
      <c r="U353" s="366"/>
      <c r="V353" s="366"/>
      <c r="W353" s="366"/>
      <c r="X353" s="366"/>
      <c r="Y353" s="366"/>
      <c r="Z353" s="366"/>
      <c r="AA353" s="421"/>
      <c r="AB353" s="421"/>
      <c r="AC353" s="421"/>
      <c r="AD353" s="421"/>
      <c r="AE353" s="366"/>
      <c r="AF353" s="421"/>
      <c r="AG353" s="421"/>
      <c r="AH353" s="421"/>
      <c r="AI353" s="424"/>
      <c r="AJ353" s="424"/>
      <c r="AK353" s="424"/>
      <c r="AL353" s="424"/>
      <c r="AM353" s="424"/>
      <c r="AN353" s="424"/>
      <c r="AO353" s="425"/>
      <c r="AP353" s="425"/>
      <c r="AQ353" s="426"/>
      <c r="AR353" s="426"/>
      <c r="AS353" s="426"/>
      <c r="AT353" s="353"/>
      <c r="AU353" s="353"/>
      <c r="AV353" s="353"/>
      <c r="AW353" s="426"/>
      <c r="AX353" s="426"/>
      <c r="AY353" s="426"/>
      <c r="AZ353" s="426"/>
      <c r="BA353" s="426"/>
      <c r="BB353" s="426"/>
      <c r="BC353" s="426"/>
      <c r="BD353" s="426"/>
      <c r="BE353" s="426"/>
      <c r="BF353" s="428"/>
    </row>
    <row r="354" spans="1:58" ht="14.25" customHeight="1">
      <c r="A354" s="354"/>
      <c r="B354" s="464"/>
      <c r="C354" s="354"/>
      <c r="D354" s="354"/>
      <c r="E354" s="354"/>
      <c r="F354" s="354"/>
      <c r="G354" s="452"/>
      <c r="H354" s="366"/>
      <c r="I354" s="452"/>
      <c r="AI354" s="421"/>
      <c r="AJ354" s="421"/>
      <c r="AK354" s="421"/>
      <c r="AL354" s="421"/>
      <c r="AM354" s="421"/>
      <c r="AN354" s="421"/>
      <c r="AO354" s="358"/>
      <c r="AP354" s="358"/>
      <c r="AQ354" s="342"/>
      <c r="AR354" s="342"/>
      <c r="AS354" s="342"/>
      <c r="AT354" s="341"/>
      <c r="AU354" s="341"/>
      <c r="AV354" s="341"/>
      <c r="AW354" s="342"/>
      <c r="AX354" s="342"/>
      <c r="AY354" s="342"/>
      <c r="AZ354" s="342"/>
      <c r="BA354" s="342"/>
      <c r="BB354" s="342"/>
      <c r="BC354" s="342"/>
      <c r="BD354" s="342"/>
      <c r="BE354" s="342"/>
    </row>
    <row r="355" spans="1:58" ht="14.25" hidden="1" customHeight="1" outlineLevel="1">
      <c r="A355" s="3096" t="s">
        <v>1986</v>
      </c>
      <c r="B355" s="3096"/>
      <c r="C355" s="3096"/>
      <c r="D355" s="3096"/>
      <c r="E355" s="3096"/>
      <c r="H355" s="354"/>
      <c r="I355" s="3063" t="s">
        <v>1987</v>
      </c>
      <c r="J355" s="3063"/>
      <c r="K355" s="3063"/>
      <c r="L355" s="3063"/>
      <c r="M355" s="3063"/>
      <c r="N355" s="3063"/>
      <c r="O355" s="3063"/>
      <c r="P355" s="3063"/>
      <c r="Q355" s="3063"/>
      <c r="R355" s="3063"/>
      <c r="S355" s="3063"/>
      <c r="T355" s="3063"/>
      <c r="U355" s="3063"/>
      <c r="V355" s="3063"/>
      <c r="W355" s="3063"/>
      <c r="X355" s="3063"/>
      <c r="Y355" s="3063"/>
      <c r="Z355" s="3063"/>
      <c r="AA355" s="3063"/>
      <c r="AB355" s="3063"/>
      <c r="AC355" s="3063"/>
      <c r="AD355" s="3063"/>
      <c r="AE355" s="3063"/>
      <c r="AF355" s="3063"/>
      <c r="AG355" s="3063"/>
      <c r="AI355" s="421"/>
      <c r="AJ355" s="421"/>
      <c r="AK355" s="421"/>
      <c r="AL355" s="421"/>
      <c r="AM355" s="421"/>
      <c r="AN355" s="421"/>
      <c r="AO355" s="358"/>
      <c r="AP355" s="358"/>
      <c r="AQ355" s="342"/>
      <c r="AR355" s="342"/>
      <c r="AS355" s="342"/>
      <c r="AT355" s="341"/>
      <c r="AU355" s="341"/>
      <c r="AV355" s="341"/>
      <c r="AW355" s="342"/>
      <c r="AX355" s="342"/>
      <c r="AY355" s="342"/>
      <c r="AZ355" s="342"/>
      <c r="BA355" s="342"/>
      <c r="BB355" s="342"/>
      <c r="BC355" s="342"/>
      <c r="BD355" s="342"/>
      <c r="BE355" s="342"/>
    </row>
    <row r="356" spans="1:58" ht="14.25" hidden="1" customHeight="1" outlineLevel="1">
      <c r="A356" s="354"/>
      <c r="B356" s="509"/>
      <c r="C356" s="503"/>
      <c r="D356" s="503"/>
      <c r="E356" s="503"/>
      <c r="F356" s="503"/>
      <c r="G356" s="354"/>
      <c r="H356" s="354"/>
      <c r="I356" s="3063"/>
      <c r="J356" s="3063"/>
      <c r="K356" s="3063"/>
      <c r="L356" s="3063"/>
      <c r="M356" s="3063"/>
      <c r="N356" s="3063"/>
      <c r="O356" s="3063"/>
      <c r="P356" s="3063"/>
      <c r="Q356" s="3063"/>
      <c r="R356" s="3063"/>
      <c r="S356" s="3063"/>
      <c r="T356" s="3063"/>
      <c r="U356" s="3063"/>
      <c r="V356" s="3063"/>
      <c r="W356" s="3063"/>
      <c r="X356" s="3063"/>
      <c r="Y356" s="3063"/>
      <c r="Z356" s="3063"/>
      <c r="AA356" s="3063"/>
      <c r="AB356" s="3063"/>
      <c r="AC356" s="3063"/>
      <c r="AD356" s="3063"/>
      <c r="AE356" s="3063"/>
      <c r="AF356" s="3063"/>
      <c r="AG356" s="3063"/>
      <c r="AH356" s="354"/>
      <c r="AI356" s="354"/>
      <c r="AJ356" s="354"/>
      <c r="AK356" s="354"/>
      <c r="AL356" s="354"/>
      <c r="AM356" s="354"/>
      <c r="AN356" s="354"/>
      <c r="AO356" s="358"/>
      <c r="AP356" s="358"/>
      <c r="AQ356" s="535"/>
      <c r="AR356" s="535"/>
      <c r="AS356" s="535"/>
      <c r="AT356" s="341"/>
      <c r="AU356" s="341"/>
      <c r="AV356" s="341"/>
      <c r="AW356" s="342"/>
      <c r="AX356" s="342"/>
      <c r="AY356" s="342"/>
      <c r="AZ356" s="342"/>
      <c r="BA356" s="342"/>
      <c r="BB356" s="342"/>
      <c r="BC356" s="342"/>
      <c r="BD356" s="342"/>
      <c r="BE356" s="342"/>
    </row>
    <row r="357" spans="1:58" ht="14.25" hidden="1" customHeight="1" outlineLevel="1">
      <c r="A357" s="3095" t="s">
        <v>1884</v>
      </c>
      <c r="B357" s="3095"/>
      <c r="C357" s="3095"/>
      <c r="D357" s="3095"/>
      <c r="E357" s="507">
        <v>1</v>
      </c>
      <c r="F357" s="466"/>
      <c r="AM357" s="354"/>
      <c r="AN357" s="354"/>
      <c r="AO357" s="358"/>
      <c r="AP357" s="358"/>
      <c r="AQ357" s="535"/>
      <c r="AR357" s="535"/>
      <c r="AS357" s="535"/>
      <c r="AT357" s="341"/>
      <c r="AU357" s="341"/>
      <c r="AV357" s="341"/>
      <c r="AW357" s="342"/>
      <c r="AX357" s="342"/>
      <c r="AY357" s="342"/>
      <c r="AZ357" s="342"/>
      <c r="BA357" s="342"/>
      <c r="BB357" s="342"/>
      <c r="BC357" s="342"/>
      <c r="BD357" s="342"/>
      <c r="BE357" s="342"/>
    </row>
    <row r="358" spans="1:58" ht="14.25" hidden="1" customHeight="1" outlineLevel="1">
      <c r="A358" s="3095" t="s">
        <v>1885</v>
      </c>
      <c r="B358" s="3095"/>
      <c r="C358" s="3095"/>
      <c r="D358" s="3095"/>
      <c r="E358" s="507">
        <v>1</v>
      </c>
      <c r="F358" s="466"/>
      <c r="AM358" s="354"/>
      <c r="AN358" s="354"/>
      <c r="AO358" s="358"/>
      <c r="AP358" s="358"/>
      <c r="AQ358" s="384"/>
      <c r="AR358" s="423"/>
      <c r="AS358" s="423"/>
      <c r="AT358" s="341"/>
      <c r="AU358" s="341"/>
      <c r="AV358" s="341"/>
      <c r="AW358" s="342"/>
      <c r="AX358" s="342"/>
      <c r="AY358" s="342"/>
      <c r="AZ358" s="342"/>
      <c r="BA358" s="342"/>
      <c r="BB358" s="342"/>
      <c r="BC358" s="342"/>
      <c r="BD358" s="342"/>
      <c r="BE358" s="342"/>
    </row>
    <row r="359" spans="1:58" ht="14.25" hidden="1" customHeight="1" outlineLevel="1">
      <c r="AM359" s="354"/>
      <c r="AN359" s="354"/>
      <c r="AO359" s="358"/>
      <c r="AP359" s="358"/>
      <c r="AQ359" s="342"/>
      <c r="AR359" s="342"/>
      <c r="AS359" s="342"/>
      <c r="AT359" s="341"/>
      <c r="AU359" s="341"/>
      <c r="AV359" s="341"/>
      <c r="AW359" s="342"/>
      <c r="AX359" s="342"/>
      <c r="AY359" s="342" t="s">
        <v>1903</v>
      </c>
      <c r="AZ359" s="342"/>
      <c r="BA359" s="342"/>
      <c r="BB359" s="342"/>
      <c r="BC359" s="342">
        <v>1</v>
      </c>
      <c r="BD359" s="384">
        <f>связи1!C551</f>
        <v>3</v>
      </c>
      <c r="BE359" s="342"/>
    </row>
    <row r="360" spans="1:58" ht="14.25" hidden="1" customHeight="1" outlineLevel="1">
      <c r="A360" s="477" t="s">
        <v>1988</v>
      </c>
      <c r="B360" s="3100" t="s">
        <v>1989</v>
      </c>
      <c r="AM360" s="354"/>
      <c r="AN360" s="354"/>
      <c r="AO360" s="358"/>
      <c r="AP360" s="358"/>
      <c r="AQ360" s="342"/>
      <c r="AR360" s="342"/>
      <c r="AS360" s="342"/>
      <c r="AT360" s="341"/>
      <c r="AU360" s="341"/>
      <c r="AV360" s="341"/>
      <c r="AW360" s="342"/>
      <c r="AX360" s="342"/>
      <c r="AY360" s="342" t="s">
        <v>1906</v>
      </c>
      <c r="AZ360" s="342"/>
      <c r="BA360" s="342"/>
      <c r="BB360" s="342"/>
      <c r="BC360" s="342">
        <v>2</v>
      </c>
      <c r="BD360" s="384">
        <f>связи1!C552</f>
        <v>6</v>
      </c>
      <c r="BE360" s="342"/>
    </row>
    <row r="361" spans="1:58" ht="14.25" hidden="1" customHeight="1" outlineLevel="1">
      <c r="A361" s="536" t="s">
        <v>1990</v>
      </c>
      <c r="B361" s="3100"/>
      <c r="C361" s="537" t="s">
        <v>1991</v>
      </c>
      <c r="D361" s="525" t="s">
        <v>1753</v>
      </c>
      <c r="G361" s="355" t="s">
        <v>156</v>
      </c>
      <c r="H361" s="357"/>
      <c r="I361" s="357"/>
      <c r="J361" s="357"/>
      <c r="K361" s="357"/>
      <c r="M361" s="355"/>
      <c r="N361" s="357"/>
      <c r="O361" s="357"/>
      <c r="P361" s="357"/>
      <c r="Q361" s="357"/>
      <c r="R361" s="357"/>
      <c r="S361" s="357"/>
      <c r="T361" s="357"/>
      <c r="U361" s="357"/>
      <c r="V361" s="357"/>
      <c r="W361" s="357"/>
      <c r="X361" s="357"/>
      <c r="Y361" s="357"/>
      <c r="Z361" s="357"/>
      <c r="AA361" s="381" t="s">
        <v>1937</v>
      </c>
      <c r="AB361" s="381"/>
      <c r="AC361" s="357"/>
      <c r="AD361" s="357"/>
      <c r="AE361" s="357"/>
      <c r="AF361" s="357"/>
      <c r="AG361" s="357"/>
      <c r="AH361" s="357"/>
      <c r="AM361" s="354"/>
      <c r="AN361" s="354"/>
      <c r="AO361" s="358"/>
      <c r="AP361" s="358"/>
      <c r="AQ361" s="423"/>
      <c r="AR361" s="423"/>
      <c r="AS361" s="423"/>
      <c r="AT361" s="341"/>
      <c r="AU361" s="341"/>
      <c r="AV361" s="341"/>
      <c r="AW361" s="342"/>
      <c r="AX361" s="342"/>
      <c r="AY361" s="342" t="s">
        <v>1992</v>
      </c>
      <c r="AZ361" s="342"/>
      <c r="BA361" s="342"/>
      <c r="BB361" s="342"/>
      <c r="BC361" s="342">
        <v>3</v>
      </c>
      <c r="BD361" s="384">
        <f>связи1!C553</f>
        <v>2.9</v>
      </c>
      <c r="BE361" s="342"/>
    </row>
    <row r="362" spans="1:58" ht="14.25" hidden="1" customHeight="1" outlineLevel="1">
      <c r="A362" s="538" t="s">
        <v>1993</v>
      </c>
      <c r="B362" s="3100"/>
      <c r="C362" s="539" t="s">
        <v>156</v>
      </c>
      <c r="D362" s="540">
        <v>3</v>
      </c>
      <c r="E362" s="366"/>
      <c r="F362" s="366"/>
      <c r="G362" s="360">
        <v>7.5</v>
      </c>
      <c r="H362" s="357"/>
      <c r="I362" s="357"/>
      <c r="J362" s="357"/>
      <c r="K362" s="357"/>
      <c r="M362" s="360"/>
      <c r="N362" s="357"/>
      <c r="O362" s="357"/>
      <c r="P362" s="357"/>
      <c r="Q362" s="357"/>
      <c r="R362" s="357"/>
      <c r="S362" s="357"/>
      <c r="T362" s="357"/>
      <c r="U362" s="357"/>
      <c r="V362" s="357"/>
      <c r="W362" s="357"/>
      <c r="X362" s="357"/>
      <c r="Y362" s="366"/>
      <c r="Z362" s="366"/>
      <c r="AA362" s="541">
        <v>45</v>
      </c>
      <c r="AB362" s="541"/>
      <c r="AC362" s="357"/>
      <c r="AD362" s="357"/>
      <c r="AE362" s="357"/>
      <c r="AF362" s="357"/>
      <c r="AG362" s="357"/>
      <c r="AH362" s="357"/>
      <c r="AM362" s="354"/>
      <c r="AN362" s="354"/>
      <c r="AO362" s="358"/>
      <c r="AP362" s="358"/>
      <c r="AQ362" s="423"/>
      <c r="AR362" s="423"/>
      <c r="AS362" s="384"/>
      <c r="AT362" s="341"/>
      <c r="AU362" s="341"/>
      <c r="AV362" s="341"/>
      <c r="AW362" s="342"/>
      <c r="AX362" s="342"/>
      <c r="AY362" s="342" t="s">
        <v>1994</v>
      </c>
      <c r="AZ362" s="342"/>
      <c r="BA362" s="342"/>
      <c r="BB362" s="342"/>
      <c r="BC362" s="342">
        <v>4</v>
      </c>
      <c r="BD362" s="384">
        <f>связи1!C556</f>
        <v>2.5</v>
      </c>
      <c r="BE362" s="342"/>
    </row>
    <row r="363" spans="1:58" ht="14.25" hidden="1" customHeight="1" outlineLevel="1">
      <c r="B363" s="460"/>
      <c r="H363" s="360"/>
      <c r="I363" s="360"/>
      <c r="J363" s="360"/>
      <c r="K363" s="356"/>
      <c r="L363" s="360"/>
      <c r="M363" s="360"/>
      <c r="N363" s="356"/>
      <c r="O363" s="356"/>
      <c r="P363" s="356"/>
      <c r="Q363" s="356"/>
      <c r="R363" s="356"/>
      <c r="S363" s="356"/>
      <c r="T363" s="356"/>
      <c r="U363" s="356"/>
      <c r="V363" s="356"/>
      <c r="W363" s="356"/>
      <c r="X363" s="356"/>
      <c r="Y363" s="366"/>
      <c r="Z363" s="366"/>
      <c r="AA363" s="541"/>
      <c r="AB363" s="541"/>
      <c r="AC363" s="356"/>
      <c r="AD363" s="356"/>
      <c r="AE363" s="356"/>
      <c r="AF363" s="356"/>
      <c r="AG363" s="356"/>
      <c r="AH363" s="356"/>
      <c r="AM363" s="354"/>
      <c r="AN363" s="354"/>
      <c r="AO363" s="358"/>
      <c r="AP363" s="358"/>
      <c r="AQ363" s="423"/>
      <c r="AR363" s="423"/>
      <c r="AS363" s="423"/>
      <c r="AT363" s="341"/>
      <c r="AU363" s="341"/>
      <c r="AV363" s="341"/>
      <c r="AW363" s="342"/>
      <c r="AX363" s="342"/>
      <c r="AY363" s="342" t="s">
        <v>1995</v>
      </c>
      <c r="AZ363" s="342"/>
      <c r="BA363" s="342"/>
      <c r="BB363" s="342"/>
      <c r="BC363" s="342">
        <v>5</v>
      </c>
      <c r="BD363" s="384">
        <f>связи1!C558</f>
        <v>1.2</v>
      </c>
      <c r="BE363" s="342"/>
    </row>
    <row r="364" spans="1:58" ht="14.25" hidden="1" customHeight="1" outlineLevel="1">
      <c r="A364" s="404" t="s">
        <v>1988</v>
      </c>
      <c r="B364" s="3100" t="s">
        <v>1996</v>
      </c>
      <c r="G364" s="355" t="s">
        <v>156</v>
      </c>
      <c r="H364" s="360"/>
      <c r="J364" s="355"/>
      <c r="K364" s="356"/>
      <c r="L364" s="356"/>
      <c r="M364" s="356"/>
      <c r="N364" s="356"/>
      <c r="O364" s="356"/>
      <c r="P364" s="356"/>
      <c r="Q364" s="356"/>
      <c r="R364" s="356"/>
      <c r="S364" s="356"/>
      <c r="T364" s="356"/>
      <c r="U364" s="356"/>
      <c r="V364" s="356"/>
      <c r="W364" s="356"/>
      <c r="X364" s="356"/>
      <c r="Y364" s="356"/>
      <c r="Z364" s="356"/>
      <c r="AA364" s="356"/>
      <c r="AB364" s="356"/>
      <c r="AC364" s="356"/>
      <c r="AD364" s="356"/>
      <c r="AE364" s="356"/>
      <c r="AF364" s="356"/>
      <c r="AG364" s="356"/>
      <c r="AH364" s="356"/>
      <c r="AM364" s="354"/>
      <c r="AN364" s="354"/>
      <c r="AO364" s="358"/>
      <c r="AP364" s="358"/>
      <c r="AQ364" s="342"/>
      <c r="AR364" s="535"/>
      <c r="AS364" s="423"/>
      <c r="AT364" s="341"/>
      <c r="AU364" s="341"/>
      <c r="AV364" s="341"/>
      <c r="AW364" s="342"/>
      <c r="AX364" s="342"/>
      <c r="AY364" s="342" t="s">
        <v>1997</v>
      </c>
      <c r="AZ364" s="342"/>
      <c r="BA364" s="342"/>
      <c r="BB364" s="342"/>
      <c r="BC364" s="342">
        <v>6</v>
      </c>
      <c r="BD364" s="384">
        <f>связи1!C557</f>
        <v>1.9000000000000001</v>
      </c>
      <c r="BE364" s="342"/>
    </row>
    <row r="365" spans="1:58" ht="14.25" hidden="1" customHeight="1" outlineLevel="1">
      <c r="A365" s="404" t="s">
        <v>1998</v>
      </c>
      <c r="B365" s="3100"/>
      <c r="C365" s="537" t="s">
        <v>1991</v>
      </c>
      <c r="D365" s="525" t="s">
        <v>1753</v>
      </c>
      <c r="G365" s="360">
        <v>7.3</v>
      </c>
      <c r="H365" s="360"/>
      <c r="J365" s="360"/>
      <c r="K365" s="360"/>
      <c r="L365" s="356"/>
      <c r="M365" s="356"/>
      <c r="N365" s="356"/>
      <c r="O365" s="356"/>
      <c r="P365" s="356"/>
      <c r="Q365" s="356"/>
      <c r="R365" s="356"/>
      <c r="S365" s="356"/>
      <c r="T365" s="356"/>
      <c r="U365" s="356"/>
      <c r="V365" s="356"/>
      <c r="W365" s="356"/>
      <c r="X365" s="356"/>
      <c r="Y365" s="356"/>
      <c r="Z365" s="356"/>
      <c r="AA365" s="356"/>
      <c r="AB365" s="356"/>
      <c r="AC365" s="360"/>
      <c r="AD365" s="360"/>
      <c r="AE365" s="360"/>
      <c r="AF365" s="360"/>
      <c r="AG365" s="360"/>
      <c r="AH365" s="360"/>
      <c r="AM365" s="354"/>
      <c r="AN365" s="354"/>
      <c r="AO365" s="358"/>
      <c r="AP365" s="358"/>
      <c r="AQ365" s="342"/>
      <c r="AR365" s="535"/>
      <c r="AS365" s="423"/>
      <c r="AT365" s="341"/>
      <c r="AU365" s="341"/>
      <c r="AV365" s="341"/>
      <c r="AW365" s="342"/>
      <c r="AX365" s="342"/>
      <c r="AY365" s="342" t="s">
        <v>1999</v>
      </c>
      <c r="AZ365" s="342"/>
      <c r="BA365" s="342"/>
      <c r="BB365" s="342"/>
      <c r="BC365" s="342">
        <v>7</v>
      </c>
      <c r="BD365" s="384">
        <f>AH387</f>
        <v>0</v>
      </c>
      <c r="BE365" s="342"/>
    </row>
    <row r="366" spans="1:58" ht="14.25" hidden="1" customHeight="1" outlineLevel="1">
      <c r="A366" s="538" t="s">
        <v>2000</v>
      </c>
      <c r="B366" s="3100"/>
      <c r="C366" s="539" t="s">
        <v>156</v>
      </c>
      <c r="D366" s="540">
        <v>2</v>
      </c>
      <c r="G366" s="366"/>
      <c r="H366" s="360"/>
      <c r="I366" s="360"/>
      <c r="J366" s="360"/>
      <c r="K366" s="360"/>
      <c r="L366" s="356"/>
      <c r="M366" s="356"/>
      <c r="N366" s="356"/>
      <c r="O366" s="356"/>
      <c r="P366" s="356"/>
      <c r="Q366" s="356"/>
      <c r="R366" s="356"/>
      <c r="S366" s="356"/>
      <c r="T366" s="356"/>
      <c r="U366" s="356"/>
      <c r="V366" s="356"/>
      <c r="W366" s="356"/>
      <c r="X366" s="356"/>
      <c r="Y366" s="356"/>
      <c r="Z366" s="356"/>
      <c r="AA366" s="356"/>
      <c r="AB366" s="356"/>
      <c r="AC366" s="360"/>
      <c r="AD366" s="360"/>
      <c r="AE366" s="360"/>
      <c r="AG366" s="482"/>
      <c r="AH366" s="482" t="s">
        <v>156</v>
      </c>
      <c r="AM366" s="354"/>
      <c r="AN366" s="354"/>
      <c r="AO366" s="358"/>
      <c r="AP366" s="358"/>
      <c r="AQ366" s="342"/>
      <c r="AR366" s="384"/>
      <c r="AS366" s="423"/>
      <c r="AT366" s="341"/>
      <c r="AU366" s="341"/>
      <c r="AV366" s="341"/>
      <c r="AW366" s="342"/>
      <c r="AX366" s="342"/>
      <c r="AY366" s="342" t="s">
        <v>2001</v>
      </c>
      <c r="AZ366" s="342"/>
      <c r="BA366" s="342"/>
      <c r="BB366" s="342"/>
      <c r="BC366" s="342">
        <v>8</v>
      </c>
      <c r="BD366" s="384">
        <f>AH383</f>
        <v>0.2</v>
      </c>
      <c r="BE366" s="342"/>
    </row>
    <row r="367" spans="1:58" ht="14.25" hidden="1" customHeight="1" outlineLevel="1">
      <c r="G367" s="366"/>
      <c r="H367" s="360"/>
      <c r="I367" s="360"/>
      <c r="J367" s="360"/>
      <c r="K367" s="360"/>
      <c r="L367" s="356"/>
      <c r="M367" s="356"/>
      <c r="N367" s="356"/>
      <c r="O367" s="356"/>
      <c r="P367" s="356"/>
      <c r="Q367" s="356"/>
      <c r="R367" s="356"/>
      <c r="S367" s="356"/>
      <c r="T367" s="390"/>
      <c r="U367" s="356"/>
      <c r="V367" s="356"/>
      <c r="W367" s="356"/>
      <c r="X367" s="356"/>
      <c r="Y367" s="356"/>
      <c r="Z367" s="356"/>
      <c r="AA367" s="356"/>
      <c r="AB367" s="356"/>
      <c r="AC367" s="360"/>
      <c r="AD367" s="360"/>
      <c r="AE367" s="360"/>
      <c r="AG367" s="356"/>
      <c r="AH367" s="356">
        <v>6.3</v>
      </c>
      <c r="AM367" s="354"/>
      <c r="AN367" s="354"/>
      <c r="AO367" s="358"/>
      <c r="AP367" s="358"/>
      <c r="AQ367" s="342"/>
      <c r="AR367" s="384"/>
      <c r="AS367" s="423"/>
      <c r="AT367" s="341"/>
      <c r="AU367" s="341"/>
      <c r="AV367" s="341"/>
      <c r="AW367" s="342"/>
      <c r="AX367" s="342"/>
      <c r="AY367" s="342" t="s">
        <v>2002</v>
      </c>
      <c r="AZ367" s="342"/>
      <c r="BA367" s="342"/>
      <c r="BB367" s="342"/>
      <c r="BC367" s="342">
        <v>9</v>
      </c>
      <c r="BD367" s="384">
        <f>AH379</f>
        <v>3.2</v>
      </c>
      <c r="BE367" s="342"/>
    </row>
    <row r="368" spans="1:58" ht="14.25" hidden="1" customHeight="1" outlineLevel="1">
      <c r="A368" s="404" t="s">
        <v>1988</v>
      </c>
      <c r="B368" s="3100" t="s">
        <v>2003</v>
      </c>
      <c r="G368" s="366"/>
      <c r="H368" s="360"/>
      <c r="I368" s="360"/>
      <c r="J368" s="360"/>
      <c r="K368" s="360"/>
      <c r="L368" s="356"/>
      <c r="M368" s="356"/>
      <c r="N368" s="356"/>
      <c r="O368" s="356"/>
      <c r="P368" s="356"/>
      <c r="Q368" s="356"/>
      <c r="R368" s="356"/>
      <c r="S368" s="356"/>
      <c r="T368" s="356"/>
      <c r="U368" s="356"/>
      <c r="V368" s="356"/>
      <c r="W368" s="356"/>
      <c r="X368" s="356"/>
      <c r="Y368" s="356"/>
      <c r="Z368" s="356"/>
      <c r="AA368" s="356"/>
      <c r="AB368" s="356"/>
      <c r="AC368" s="360"/>
      <c r="AD368" s="360"/>
      <c r="AE368" s="360"/>
      <c r="AF368" s="356"/>
      <c r="AG368" s="356"/>
      <c r="AH368" s="360"/>
      <c r="AM368" s="354"/>
      <c r="AN368" s="354"/>
      <c r="AO368" s="358"/>
      <c r="AP368" s="358"/>
      <c r="AQ368" s="342"/>
      <c r="AR368" s="423"/>
      <c r="AS368" s="423"/>
      <c r="AT368" s="341"/>
      <c r="AU368" s="341"/>
      <c r="AV368" s="341"/>
      <c r="AW368" s="342"/>
      <c r="AX368" s="342"/>
      <c r="AY368" s="342" t="s">
        <v>2004</v>
      </c>
      <c r="AZ368" s="342"/>
      <c r="BA368" s="342"/>
      <c r="BB368" s="342"/>
      <c r="BC368" s="342">
        <v>10</v>
      </c>
      <c r="BD368" s="384">
        <f>AH375</f>
        <v>3.4</v>
      </c>
      <c r="BE368" s="342"/>
    </row>
    <row r="369" spans="1:57" ht="14.25" hidden="1" customHeight="1" outlineLevel="1">
      <c r="A369" s="542" t="s">
        <v>2005</v>
      </c>
      <c r="B369" s="3100"/>
      <c r="C369" s="537" t="s">
        <v>1991</v>
      </c>
      <c r="D369" s="525" t="s">
        <v>1753</v>
      </c>
      <c r="G369" s="456" t="s">
        <v>156</v>
      </c>
      <c r="H369" s="360"/>
      <c r="I369" s="360"/>
      <c r="J369" s="360"/>
      <c r="K369" s="360"/>
      <c r="L369" s="356"/>
      <c r="M369" s="356"/>
      <c r="N369" s="356"/>
      <c r="O369" s="356"/>
      <c r="P369" s="356"/>
      <c r="Q369" s="356"/>
      <c r="R369" s="356"/>
      <c r="S369" s="356"/>
      <c r="T369" s="356"/>
      <c r="U369" s="356"/>
      <c r="V369" s="356"/>
      <c r="W369" s="356"/>
      <c r="X369" s="356"/>
      <c r="Y369" s="356"/>
      <c r="Z369" s="356"/>
      <c r="AA369" s="356"/>
      <c r="AB369" s="356"/>
      <c r="AC369" s="360"/>
      <c r="AD369" s="360"/>
      <c r="AE369" s="356"/>
      <c r="AF369" s="360"/>
      <c r="AH369" s="355"/>
      <c r="AM369" s="354"/>
      <c r="AN369" s="354"/>
      <c r="AO369" s="358"/>
      <c r="AP369" s="358"/>
      <c r="AQ369" s="342"/>
      <c r="AR369" s="423"/>
      <c r="AS369" s="423"/>
      <c r="AT369" s="341"/>
      <c r="AU369" s="341"/>
      <c r="AV369" s="341"/>
      <c r="AW369" s="342"/>
      <c r="AX369" s="342"/>
      <c r="AY369" s="342" t="s">
        <v>1994</v>
      </c>
      <c r="AZ369" s="342"/>
      <c r="BA369" s="342"/>
      <c r="BB369" s="342"/>
      <c r="BC369" s="342">
        <v>1</v>
      </c>
      <c r="BD369" s="384"/>
      <c r="BE369" s="342"/>
    </row>
    <row r="370" spans="1:57" ht="14.25" hidden="1" customHeight="1" outlineLevel="1">
      <c r="A370" s="538" t="s">
        <v>2006</v>
      </c>
      <c r="B370" s="3100"/>
      <c r="C370" s="539" t="s">
        <v>156</v>
      </c>
      <c r="D370" s="540">
        <v>3</v>
      </c>
      <c r="G370" s="515">
        <v>6</v>
      </c>
      <c r="H370" s="360"/>
      <c r="I370" s="360"/>
      <c r="J370" s="360"/>
      <c r="K370" s="360"/>
      <c r="L370" s="356"/>
      <c r="M370" s="356"/>
      <c r="N370" s="356"/>
      <c r="O370" s="356"/>
      <c r="P370" s="356"/>
      <c r="Q370" s="356"/>
      <c r="R370" s="356"/>
      <c r="S370" s="356"/>
      <c r="T370" s="356"/>
      <c r="U370" s="356"/>
      <c r="V370" s="356"/>
      <c r="W370" s="356"/>
      <c r="X370" s="356"/>
      <c r="Y370" s="356"/>
      <c r="Z370" s="356"/>
      <c r="AA370" s="356"/>
      <c r="AB370" s="356"/>
      <c r="AC370" s="360"/>
      <c r="AD370" s="360"/>
      <c r="AE370" s="360"/>
      <c r="AF370" s="360"/>
      <c r="AH370" s="355" t="s">
        <v>156</v>
      </c>
      <c r="AM370" s="354"/>
      <c r="AN370" s="354"/>
      <c r="AO370" s="358"/>
      <c r="AP370" s="358"/>
      <c r="AQ370" s="342"/>
      <c r="AR370" s="423"/>
      <c r="AS370" s="423"/>
      <c r="AT370" s="341"/>
      <c r="AU370" s="341"/>
      <c r="AV370" s="341"/>
      <c r="AW370" s="342"/>
      <c r="AX370" s="342"/>
      <c r="AY370" s="342" t="s">
        <v>2007</v>
      </c>
      <c r="AZ370" s="342"/>
      <c r="BA370" s="342"/>
      <c r="BB370" s="342"/>
      <c r="BC370" s="342"/>
      <c r="BD370" s="384">
        <f>G373</f>
        <v>5.8</v>
      </c>
      <c r="BE370" s="342"/>
    </row>
    <row r="371" spans="1:57" ht="14.25" hidden="1" customHeight="1" outlineLevel="1">
      <c r="G371" s="366"/>
      <c r="H371" s="360"/>
      <c r="I371" s="360"/>
      <c r="J371" s="360"/>
      <c r="K371" s="360"/>
      <c r="L371" s="356"/>
      <c r="M371" s="356"/>
      <c r="N371" s="356"/>
      <c r="O371" s="356"/>
      <c r="P371" s="356"/>
      <c r="Q371" s="356"/>
      <c r="R371" s="356"/>
      <c r="S371" s="356"/>
      <c r="T371" s="356"/>
      <c r="U371" s="356"/>
      <c r="V371" s="356"/>
      <c r="W371" s="356"/>
      <c r="X371" s="356"/>
      <c r="Y371" s="356"/>
      <c r="Z371" s="356"/>
      <c r="AA371" s="356"/>
      <c r="AB371" s="356"/>
      <c r="AC371" s="360"/>
      <c r="AD371" s="360"/>
      <c r="AE371" s="360"/>
      <c r="AF371" s="360"/>
      <c r="AG371" s="356"/>
      <c r="AH371" s="356">
        <v>6.1</v>
      </c>
      <c r="AM371" s="354"/>
      <c r="AN371" s="354"/>
      <c r="AO371" s="358"/>
      <c r="AP371" s="358"/>
      <c r="AQ371" s="342"/>
      <c r="AR371" s="423"/>
      <c r="AS371" s="543"/>
      <c r="AT371" s="341"/>
      <c r="AU371" s="341"/>
      <c r="AV371" s="341"/>
      <c r="AW371" s="342"/>
      <c r="AX371" s="342"/>
      <c r="AY371" s="342" t="s">
        <v>2008</v>
      </c>
      <c r="AZ371" s="342"/>
      <c r="BA371" s="342"/>
      <c r="BB371" s="342"/>
      <c r="BC371" s="342"/>
      <c r="BD371" s="384">
        <f>G370</f>
        <v>6</v>
      </c>
      <c r="BE371" s="342"/>
    </row>
    <row r="372" spans="1:57" ht="14.25" hidden="1" customHeight="1" outlineLevel="1">
      <c r="A372" s="404" t="s">
        <v>1988</v>
      </c>
      <c r="B372" s="3100" t="s">
        <v>2009</v>
      </c>
      <c r="G372" s="456" t="s">
        <v>156</v>
      </c>
      <c r="H372" s="360"/>
      <c r="I372" s="360"/>
      <c r="J372" s="360"/>
      <c r="K372" s="360"/>
      <c r="L372" s="356"/>
      <c r="M372" s="356"/>
      <c r="N372" s="356"/>
      <c r="O372" s="356"/>
      <c r="P372" s="356"/>
      <c r="Q372" s="356"/>
      <c r="R372" s="356"/>
      <c r="S372" s="356"/>
      <c r="T372" s="356"/>
      <c r="U372" s="356"/>
      <c r="V372" s="356"/>
      <c r="W372" s="356"/>
      <c r="X372" s="356"/>
      <c r="Y372" s="356"/>
      <c r="Z372" s="356"/>
      <c r="AA372" s="356"/>
      <c r="AB372" s="356"/>
      <c r="AC372" s="360"/>
      <c r="AD372" s="360"/>
      <c r="AE372" s="360"/>
      <c r="AF372" s="360"/>
      <c r="AG372" s="360"/>
      <c r="AH372" s="360"/>
      <c r="AM372" s="354"/>
      <c r="AN372" s="354"/>
      <c r="AO372" s="358"/>
      <c r="AP372" s="358"/>
      <c r="AQ372" s="342"/>
      <c r="AR372" s="423"/>
      <c r="AS372" s="543"/>
      <c r="AT372" s="341"/>
      <c r="AU372" s="341"/>
      <c r="AV372" s="341"/>
      <c r="AW372" s="342"/>
      <c r="AX372" s="342"/>
      <c r="AY372" s="342" t="s">
        <v>2010</v>
      </c>
      <c r="AZ372" s="342"/>
      <c r="BA372" s="342"/>
      <c r="BB372" s="342"/>
      <c r="BC372" s="342"/>
      <c r="BD372" s="384">
        <f>G362</f>
        <v>7.5</v>
      </c>
      <c r="BE372" s="342"/>
    </row>
    <row r="373" spans="1:57" ht="14.25" hidden="1" customHeight="1" outlineLevel="1">
      <c r="A373" s="404" t="s">
        <v>1749</v>
      </c>
      <c r="B373" s="3100"/>
      <c r="C373" s="537" t="s">
        <v>1991</v>
      </c>
      <c r="D373" s="525" t="s">
        <v>1753</v>
      </c>
      <c r="G373" s="515">
        <v>5.8</v>
      </c>
      <c r="H373" s="360"/>
      <c r="I373" s="360"/>
      <c r="J373" s="360"/>
      <c r="K373" s="360"/>
      <c r="L373" s="356"/>
      <c r="M373" s="356"/>
      <c r="N373" s="356"/>
      <c r="O373" s="356"/>
      <c r="P373" s="356"/>
      <c r="Q373" s="356"/>
      <c r="R373" s="356"/>
      <c r="S373" s="356"/>
      <c r="T373" s="356"/>
      <c r="U373" s="356"/>
      <c r="V373" s="356"/>
      <c r="W373" s="356"/>
      <c r="X373" s="356"/>
      <c r="Y373" s="356"/>
      <c r="Z373" s="356"/>
      <c r="AA373" s="356"/>
      <c r="AB373" s="356"/>
      <c r="AC373" s="360"/>
      <c r="AD373" s="360"/>
      <c r="AE373" s="360"/>
      <c r="AF373" s="360"/>
      <c r="AH373" s="355"/>
      <c r="AM373" s="354"/>
      <c r="AN373" s="354"/>
      <c r="AO373" s="358"/>
      <c r="AP373" s="358"/>
      <c r="AQ373" s="342"/>
      <c r="AR373" s="423"/>
      <c r="AS373" s="543"/>
      <c r="AT373" s="341"/>
      <c r="AU373" s="341"/>
      <c r="AV373" s="341"/>
      <c r="AW373" s="342"/>
      <c r="AX373" s="342"/>
      <c r="AY373" s="342" t="s">
        <v>2011</v>
      </c>
      <c r="AZ373" s="342"/>
      <c r="BA373" s="342"/>
      <c r="BB373" s="342"/>
      <c r="BC373" s="342"/>
      <c r="BD373" s="384">
        <f>G365</f>
        <v>7.3</v>
      </c>
      <c r="BE373" s="342"/>
    </row>
    <row r="374" spans="1:57" ht="14.25" hidden="1" customHeight="1" outlineLevel="1">
      <c r="A374" s="538" t="s">
        <v>2012</v>
      </c>
      <c r="B374" s="3100"/>
      <c r="C374" s="539" t="s">
        <v>156</v>
      </c>
      <c r="D374" s="540">
        <v>2.5</v>
      </c>
      <c r="G374" s="366"/>
      <c r="H374" s="360"/>
      <c r="I374" s="360"/>
      <c r="J374" s="360"/>
      <c r="K374" s="360"/>
      <c r="L374" s="356"/>
      <c r="M374" s="356"/>
      <c r="N374" s="356"/>
      <c r="O374" s="356"/>
      <c r="P374" s="356"/>
      <c r="Q374" s="356"/>
      <c r="R374" s="356"/>
      <c r="S374" s="356"/>
      <c r="T374" s="356"/>
      <c r="U374" s="356"/>
      <c r="V374" s="356"/>
      <c r="W374" s="356"/>
      <c r="X374" s="356"/>
      <c r="Y374" s="356"/>
      <c r="Z374" s="356"/>
      <c r="AA374" s="356"/>
      <c r="AB374" s="356"/>
      <c r="AC374" s="360"/>
      <c r="AD374" s="360"/>
      <c r="AE374" s="360"/>
      <c r="AF374" s="360"/>
      <c r="AH374" s="355" t="s">
        <v>156</v>
      </c>
      <c r="AM374" s="354"/>
      <c r="AN374" s="354"/>
      <c r="AO374" s="358"/>
      <c r="AP374" s="358"/>
      <c r="AQ374" s="342"/>
      <c r="AR374" s="423"/>
      <c r="AS374" s="543"/>
      <c r="AT374" s="341"/>
      <c r="AU374" s="341"/>
      <c r="AV374" s="341"/>
      <c r="AW374" s="342"/>
      <c r="AX374" s="342"/>
      <c r="AY374" s="342" t="s">
        <v>2013</v>
      </c>
      <c r="AZ374" s="342"/>
      <c r="BA374" s="342"/>
      <c r="BB374" s="342"/>
      <c r="BC374" s="342"/>
      <c r="BD374" s="384">
        <f>AH371</f>
        <v>6.1</v>
      </c>
      <c r="BE374" s="342"/>
    </row>
    <row r="375" spans="1:57" ht="14.25" hidden="1" customHeight="1" outlineLevel="1">
      <c r="A375" s="544"/>
      <c r="G375" s="366"/>
      <c r="H375" s="360"/>
      <c r="I375" s="360"/>
      <c r="J375" s="360"/>
      <c r="K375" s="360"/>
      <c r="L375" s="356"/>
      <c r="M375" s="356"/>
      <c r="N375" s="356"/>
      <c r="O375" s="356"/>
      <c r="P375" s="356"/>
      <c r="Q375" s="356"/>
      <c r="R375" s="356"/>
      <c r="S375" s="356"/>
      <c r="T375" s="356"/>
      <c r="U375" s="356"/>
      <c r="V375" s="356"/>
      <c r="W375" s="356"/>
      <c r="X375" s="356"/>
      <c r="Y375" s="356"/>
      <c r="Z375" s="356"/>
      <c r="AA375" s="356"/>
      <c r="AB375" s="356"/>
      <c r="AC375" s="360"/>
      <c r="AD375" s="360"/>
      <c r="AE375" s="360"/>
      <c r="AF375" s="364"/>
      <c r="AG375" s="356"/>
      <c r="AH375" s="356">
        <v>3.4</v>
      </c>
      <c r="AM375" s="354"/>
      <c r="AN375" s="354"/>
      <c r="AO375" s="358"/>
      <c r="AP375" s="358"/>
      <c r="AQ375" s="342"/>
      <c r="AR375" s="423"/>
      <c r="AS375" s="543"/>
      <c r="AT375" s="341"/>
      <c r="AU375" s="341"/>
      <c r="AV375" s="341"/>
      <c r="AW375" s="342"/>
      <c r="AX375" s="342"/>
      <c r="AY375" s="342" t="s">
        <v>2014</v>
      </c>
      <c r="AZ375" s="342"/>
      <c r="BA375" s="342"/>
      <c r="BB375" s="342"/>
      <c r="BC375" s="342"/>
      <c r="BD375" s="384">
        <f>AH367</f>
        <v>6.3</v>
      </c>
      <c r="BE375" s="342"/>
    </row>
    <row r="376" spans="1:57" ht="14.25" hidden="1" customHeight="1" outlineLevel="1">
      <c r="A376" s="537" t="s">
        <v>1093</v>
      </c>
      <c r="B376" s="545" t="s">
        <v>120</v>
      </c>
      <c r="C376" s="3101" t="s">
        <v>1753</v>
      </c>
      <c r="D376" s="3101"/>
      <c r="E376" s="3101"/>
      <c r="F376" s="3101"/>
      <c r="H376" s="456" t="s">
        <v>156</v>
      </c>
      <c r="I376" s="356"/>
      <c r="J376" s="356"/>
      <c r="K376" s="360"/>
      <c r="L376" s="356"/>
      <c r="M376" s="356"/>
      <c r="N376" s="356"/>
      <c r="O376" s="356"/>
      <c r="P376" s="356"/>
      <c r="Q376" s="356"/>
      <c r="R376" s="356"/>
      <c r="S376" s="356"/>
      <c r="T376" s="356"/>
      <c r="U376" s="356"/>
      <c r="V376" s="356"/>
      <c r="W376" s="356"/>
      <c r="X376" s="356"/>
      <c r="Y376" s="356"/>
      <c r="Z376" s="356"/>
      <c r="AA376" s="366"/>
      <c r="AB376" s="356"/>
      <c r="AC376" s="360"/>
      <c r="AD376" s="360"/>
      <c r="AE376" s="360"/>
      <c r="AF376" s="364"/>
      <c r="AG376" s="364"/>
      <c r="AH376" s="360"/>
      <c r="AM376" s="354"/>
      <c r="AN376" s="354"/>
      <c r="AO376" s="358"/>
      <c r="AP376" s="358"/>
      <c r="AQ376" s="342"/>
      <c r="AR376" s="423"/>
      <c r="AS376" s="543"/>
      <c r="AT376" s="341"/>
      <c r="AU376" s="341"/>
      <c r="AV376" s="341"/>
      <c r="AW376" s="342"/>
      <c r="AX376" s="342"/>
      <c r="AY376" s="342"/>
      <c r="AZ376" s="342"/>
      <c r="BA376" s="342"/>
      <c r="BB376" s="342"/>
      <c r="BC376" s="342" t="s">
        <v>2015</v>
      </c>
      <c r="BD376" s="384">
        <f>H377</f>
        <v>6.1</v>
      </c>
      <c r="BE376" s="342"/>
    </row>
    <row r="377" spans="1:57" ht="14.25" hidden="1" customHeight="1" outlineLevel="1">
      <c r="A377" s="380" t="s">
        <v>2016</v>
      </c>
      <c r="B377" s="413" t="s">
        <v>159</v>
      </c>
      <c r="C377" s="413" t="s">
        <v>1966</v>
      </c>
      <c r="D377" s="438" t="s">
        <v>1970</v>
      </c>
      <c r="E377" s="546" t="s">
        <v>2017</v>
      </c>
      <c r="F377" s="438" t="s">
        <v>2018</v>
      </c>
      <c r="G377" s="466"/>
      <c r="H377" s="360">
        <v>6.1</v>
      </c>
      <c r="I377" s="360"/>
      <c r="J377" s="356"/>
      <c r="K377" s="360"/>
      <c r="L377" s="356"/>
      <c r="M377" s="356"/>
      <c r="N377" s="364"/>
      <c r="O377" s="364"/>
      <c r="P377" s="356"/>
      <c r="Q377" s="356"/>
      <c r="R377" s="356"/>
      <c r="S377" s="356"/>
      <c r="T377" s="366"/>
      <c r="U377" s="366"/>
      <c r="V377" s="356"/>
      <c r="W377" s="356"/>
      <c r="X377" s="356"/>
      <c r="Y377" s="356"/>
      <c r="Z377" s="356"/>
      <c r="AA377" s="356"/>
      <c r="AB377" s="356"/>
      <c r="AC377" s="360"/>
      <c r="AD377" s="360"/>
      <c r="AE377" s="360"/>
      <c r="AF377" s="364"/>
      <c r="AH377" s="355"/>
      <c r="AM377" s="354"/>
      <c r="AN377" s="354"/>
      <c r="AO377" s="358"/>
      <c r="AP377" s="358"/>
      <c r="AQ377" s="342"/>
      <c r="AR377" s="423"/>
      <c r="AS377" s="543"/>
      <c r="AT377" s="341"/>
      <c r="AU377" s="341"/>
      <c r="AV377" s="341"/>
      <c r="AW377" s="342"/>
      <c r="AX377" s="342"/>
      <c r="AY377" s="342"/>
      <c r="AZ377" s="342"/>
      <c r="BA377" s="342"/>
      <c r="BB377" s="342"/>
      <c r="BC377" s="342"/>
      <c r="BD377" s="342"/>
      <c r="BE377" s="342"/>
    </row>
    <row r="378" spans="1:57" ht="14.25" hidden="1" customHeight="1" outlineLevel="1">
      <c r="A378" s="380" t="s">
        <v>2019</v>
      </c>
      <c r="B378" s="413" t="s">
        <v>159</v>
      </c>
      <c r="C378" s="388">
        <v>1</v>
      </c>
      <c r="D378" s="488">
        <v>1</v>
      </c>
      <c r="E378" s="547">
        <v>1</v>
      </c>
      <c r="F378" s="488">
        <v>1</v>
      </c>
      <c r="G378" s="466"/>
      <c r="H378" s="360"/>
      <c r="I378" s="360"/>
      <c r="J378" s="356"/>
      <c r="K378" s="360"/>
      <c r="L378" s="356"/>
      <c r="M378" s="356"/>
      <c r="N378" s="364"/>
      <c r="O378" s="364"/>
      <c r="P378" s="356"/>
      <c r="Q378" s="356"/>
      <c r="R378" s="356"/>
      <c r="S378" s="356"/>
      <c r="T378" s="366"/>
      <c r="U378" s="366"/>
      <c r="V378" s="356"/>
      <c r="W378" s="356"/>
      <c r="X378" s="356"/>
      <c r="Y378" s="356"/>
      <c r="Z378" s="356"/>
      <c r="AA378" s="356"/>
      <c r="AB378" s="356"/>
      <c r="AC378" s="356"/>
      <c r="AD378" s="356"/>
      <c r="AE378" s="356"/>
      <c r="AF378" s="356"/>
      <c r="AH378" s="355" t="s">
        <v>156</v>
      </c>
      <c r="AM378" s="354"/>
      <c r="AN378" s="354"/>
      <c r="AO378" s="358"/>
      <c r="AP378" s="358"/>
      <c r="AQ378" s="342"/>
      <c r="AR378" s="423"/>
      <c r="AS378" s="543"/>
      <c r="AT378" s="341"/>
      <c r="AU378" s="341"/>
      <c r="AV378" s="341"/>
      <c r="AW378" s="342"/>
      <c r="AX378" s="342"/>
      <c r="AY378" s="342"/>
      <c r="AZ378" s="342"/>
      <c r="BA378" s="342"/>
      <c r="BB378" s="342"/>
      <c r="BC378" s="342"/>
      <c r="BD378" s="342"/>
      <c r="BE378" s="342"/>
    </row>
    <row r="379" spans="1:57" ht="14.25" hidden="1" customHeight="1" outlineLevel="1">
      <c r="A379" s="548" t="s">
        <v>1754</v>
      </c>
      <c r="B379" s="438" t="s">
        <v>156</v>
      </c>
      <c r="C379" s="488">
        <v>3</v>
      </c>
      <c r="D379" s="488">
        <v>3</v>
      </c>
      <c r="E379" s="547">
        <v>3</v>
      </c>
      <c r="F379" s="549">
        <v>3</v>
      </c>
      <c r="G379" s="466"/>
      <c r="H379" s="356"/>
      <c r="I379" s="356"/>
      <c r="J379" s="356"/>
      <c r="K379" s="360"/>
      <c r="L379" s="356"/>
      <c r="M379" s="356"/>
      <c r="N379" s="364"/>
      <c r="O379" s="364"/>
      <c r="P379" s="356"/>
      <c r="Q379" s="356"/>
      <c r="R379" s="356"/>
      <c r="S379" s="356"/>
      <c r="T379" s="366"/>
      <c r="U379" s="366"/>
      <c r="V379" s="356"/>
      <c r="W379" s="356"/>
      <c r="X379" s="356"/>
      <c r="Y379" s="356"/>
      <c r="Z379" s="356"/>
      <c r="AA379" s="356"/>
      <c r="AB379" s="356"/>
      <c r="AC379" s="356"/>
      <c r="AD379" s="356"/>
      <c r="AE379" s="356"/>
      <c r="AF379" s="356"/>
      <c r="AG379" s="356"/>
      <c r="AH379" s="356">
        <v>3.2</v>
      </c>
      <c r="AM379" s="354"/>
      <c r="AN379" s="354"/>
      <c r="AO379" s="358"/>
      <c r="AP379" s="358"/>
      <c r="AQ379" s="342"/>
      <c r="AR379" s="423"/>
      <c r="AS379" s="543"/>
      <c r="AT379" s="341"/>
      <c r="AU379" s="341"/>
      <c r="AV379" s="341"/>
      <c r="AW379" s="342"/>
      <c r="AX379" s="342"/>
      <c r="AY379" s="342"/>
      <c r="AZ379" s="342"/>
      <c r="BA379" s="342"/>
      <c r="BB379" s="342"/>
      <c r="BC379" s="342"/>
      <c r="BD379" s="342"/>
      <c r="BE379" s="342"/>
    </row>
    <row r="380" spans="1:57" ht="14.25" hidden="1" customHeight="1" outlineLevel="1">
      <c r="A380" s="548" t="s">
        <v>1755</v>
      </c>
      <c r="B380" s="438" t="s">
        <v>156</v>
      </c>
      <c r="C380" s="488">
        <v>6</v>
      </c>
      <c r="D380" s="488">
        <v>3</v>
      </c>
      <c r="E380" s="547">
        <v>3</v>
      </c>
      <c r="F380" s="550">
        <v>5</v>
      </c>
      <c r="H380" s="356"/>
      <c r="I380" s="356"/>
      <c r="J380" s="356"/>
      <c r="K380" s="356"/>
      <c r="L380" s="356"/>
      <c r="M380" s="356"/>
      <c r="N380" s="356"/>
      <c r="O380" s="356"/>
      <c r="P380" s="356"/>
      <c r="Q380" s="356"/>
      <c r="R380" s="356"/>
      <c r="S380" s="356"/>
      <c r="T380" s="366"/>
      <c r="U380" s="366"/>
      <c r="V380" s="356"/>
      <c r="W380" s="356"/>
      <c r="X380" s="356"/>
      <c r="Y380" s="356"/>
      <c r="Z380" s="356"/>
      <c r="AA380" s="356"/>
      <c r="AB380" s="356"/>
      <c r="AC380" s="356"/>
      <c r="AD380" s="356"/>
      <c r="AE380" s="356"/>
      <c r="AF380" s="356"/>
      <c r="AG380" s="364"/>
      <c r="AH380" s="364"/>
      <c r="AM380" s="354"/>
      <c r="AN380" s="354"/>
      <c r="AO380" s="358"/>
      <c r="AP380" s="358"/>
      <c r="AQ380" s="342"/>
      <c r="AR380" s="423"/>
      <c r="AS380" s="342"/>
      <c r="AT380" s="342"/>
      <c r="AU380" s="341"/>
      <c r="AV380" s="341"/>
      <c r="AW380" s="342"/>
      <c r="AX380" s="342"/>
      <c r="AY380" s="342"/>
      <c r="AZ380" s="342"/>
      <c r="BA380" s="342"/>
      <c r="BB380" s="342"/>
      <c r="BC380" s="342"/>
      <c r="BD380" s="342"/>
      <c r="BE380" s="342"/>
    </row>
    <row r="381" spans="1:57" ht="14.25" hidden="1" customHeight="1" outlineLevel="1">
      <c r="A381" s="548" t="s">
        <v>1756</v>
      </c>
      <c r="B381" s="438" t="s">
        <v>156</v>
      </c>
      <c r="C381" s="551">
        <v>2.9</v>
      </c>
      <c r="D381" s="488">
        <v>2.9</v>
      </c>
      <c r="E381" s="547">
        <v>2.9</v>
      </c>
      <c r="F381" s="550">
        <v>3</v>
      </c>
      <c r="H381" s="356"/>
      <c r="I381" s="356"/>
      <c r="J381" s="356"/>
      <c r="K381" s="356"/>
      <c r="L381" s="356"/>
      <c r="M381" s="356"/>
      <c r="N381" s="356"/>
      <c r="O381" s="356"/>
      <c r="P381" s="356"/>
      <c r="Q381" s="356"/>
      <c r="R381" s="356"/>
      <c r="S381" s="356"/>
      <c r="T381" s="356"/>
      <c r="U381" s="356"/>
      <c r="V381" s="356"/>
      <c r="W381" s="356"/>
      <c r="X381" s="356"/>
      <c r="Y381" s="356"/>
      <c r="Z381" s="356"/>
      <c r="AA381" s="356"/>
      <c r="AB381" s="356"/>
      <c r="AC381" s="356"/>
      <c r="AD381" s="356"/>
      <c r="AE381" s="356"/>
      <c r="AF381" s="356"/>
      <c r="AH381" s="355"/>
      <c r="AM381" s="354"/>
      <c r="AN381" s="354"/>
      <c r="AO381" s="358"/>
      <c r="AP381" s="358"/>
      <c r="AQ381" s="342"/>
      <c r="AR381" s="423"/>
      <c r="AS381" s="342"/>
      <c r="AT381" s="342"/>
      <c r="AU381" s="341"/>
      <c r="AV381" s="341"/>
      <c r="AW381" s="342"/>
      <c r="AX381" s="342"/>
      <c r="AY381" s="342"/>
      <c r="AZ381" s="342"/>
      <c r="BA381" s="342"/>
      <c r="BB381" s="342"/>
      <c r="BC381" s="342"/>
      <c r="BD381" s="342"/>
      <c r="BE381" s="342"/>
    </row>
    <row r="382" spans="1:57" ht="14.25" hidden="1" customHeight="1" outlineLevel="1">
      <c r="A382" s="548" t="s">
        <v>1757</v>
      </c>
      <c r="B382" s="438" t="s">
        <v>156</v>
      </c>
      <c r="C382" s="388">
        <v>5</v>
      </c>
      <c r="D382" s="388">
        <v>4.0999999999999996</v>
      </c>
      <c r="E382" s="552">
        <v>6</v>
      </c>
      <c r="F382" s="550">
        <v>4</v>
      </c>
      <c r="H382" s="356"/>
      <c r="I382" s="356"/>
      <c r="J382" s="356"/>
      <c r="K382" s="356"/>
      <c r="L382" s="356"/>
      <c r="M382" s="356"/>
      <c r="N382" s="356"/>
      <c r="O382" s="356"/>
      <c r="P382" s="356"/>
      <c r="Q382" s="356"/>
      <c r="R382" s="356"/>
      <c r="S382" s="356"/>
      <c r="T382" s="356"/>
      <c r="U382" s="366"/>
      <c r="V382" s="356"/>
      <c r="W382" s="356"/>
      <c r="X382" s="356"/>
      <c r="Y382" s="356"/>
      <c r="Z382" s="356"/>
      <c r="AA382" s="356"/>
      <c r="AB382" s="356"/>
      <c r="AC382" s="356"/>
      <c r="AD382" s="356"/>
      <c r="AE382" s="356"/>
      <c r="AF382" s="356"/>
      <c r="AH382" s="355" t="s">
        <v>156</v>
      </c>
      <c r="AM382" s="354"/>
      <c r="AN382" s="354"/>
      <c r="AO382" s="358"/>
      <c r="AP382" s="358"/>
      <c r="AQ382" s="342"/>
      <c r="AR382" s="423"/>
      <c r="AS382" s="342"/>
      <c r="AT382" s="342"/>
      <c r="AU382" s="341"/>
      <c r="AV382" s="341"/>
      <c r="AW382" s="342"/>
      <c r="AX382" s="342"/>
      <c r="AY382" s="342"/>
      <c r="AZ382" s="342"/>
      <c r="BA382" s="342"/>
      <c r="BB382" s="342"/>
      <c r="BC382" s="342"/>
      <c r="BD382" s="342"/>
      <c r="BE382" s="342"/>
    </row>
    <row r="383" spans="1:57" ht="14.25" hidden="1" customHeight="1" outlineLevel="1">
      <c r="A383" s="548" t="s">
        <v>1758</v>
      </c>
      <c r="B383" s="438" t="s">
        <v>156</v>
      </c>
      <c r="C383" s="370">
        <v>1.2</v>
      </c>
      <c r="D383" s="553">
        <v>2.1</v>
      </c>
      <c r="E383" s="554">
        <v>1.5</v>
      </c>
      <c r="F383" s="488">
        <v>2.7</v>
      </c>
      <c r="H383" s="356"/>
      <c r="I383" s="356"/>
      <c r="J383" s="356"/>
      <c r="K383" s="356"/>
      <c r="L383" s="356"/>
      <c r="M383" s="356"/>
      <c r="N383" s="356"/>
      <c r="O383" s="356"/>
      <c r="P383" s="356"/>
      <c r="Q383" s="356"/>
      <c r="R383" s="356"/>
      <c r="S383" s="356"/>
      <c r="T383" s="356"/>
      <c r="U383" s="356"/>
      <c r="V383" s="356"/>
      <c r="W383" s="356"/>
      <c r="X383" s="356"/>
      <c r="Y383" s="356"/>
      <c r="Z383" s="356"/>
      <c r="AA383" s="356"/>
      <c r="AB383" s="356"/>
      <c r="AC383" s="356"/>
      <c r="AD383" s="356"/>
      <c r="AE383" s="356"/>
      <c r="AF383" s="356"/>
      <c r="AG383" s="356"/>
      <c r="AH383" s="356">
        <v>0.2</v>
      </c>
      <c r="AM383" s="354"/>
      <c r="AN383" s="354"/>
      <c r="AO383" s="358"/>
      <c r="AP383" s="358"/>
      <c r="AQ383" s="342"/>
      <c r="AR383" s="423"/>
      <c r="AS383" s="543"/>
      <c r="AT383" s="341"/>
      <c r="AU383" s="341"/>
      <c r="AV383" s="341"/>
      <c r="AW383" s="342"/>
      <c r="AX383" s="342"/>
      <c r="AY383" s="342"/>
      <c r="AZ383" s="342"/>
      <c r="BA383" s="342"/>
      <c r="BB383" s="342"/>
      <c r="BC383" s="342"/>
      <c r="BD383" s="342"/>
      <c r="BE383" s="342"/>
    </row>
    <row r="384" spans="1:57" ht="14.25" hidden="1" customHeight="1" outlineLevel="1">
      <c r="A384" s="548" t="s">
        <v>1760</v>
      </c>
      <c r="B384" s="438" t="s">
        <v>156</v>
      </c>
      <c r="C384" s="551">
        <v>2.5</v>
      </c>
      <c r="D384" s="488">
        <v>2.2000000000000002</v>
      </c>
      <c r="E384" s="547">
        <v>2.2000000000000002</v>
      </c>
      <c r="F384" s="488">
        <v>2.7</v>
      </c>
      <c r="H384" s="356"/>
      <c r="I384" s="356"/>
      <c r="J384" s="356"/>
      <c r="K384" s="356"/>
      <c r="L384" s="356"/>
      <c r="M384" s="356"/>
      <c r="N384" s="356"/>
      <c r="O384" s="356"/>
      <c r="P384" s="356"/>
      <c r="Q384" s="356"/>
      <c r="R384" s="356"/>
      <c r="S384" s="356"/>
      <c r="T384" s="356"/>
      <c r="U384" s="356"/>
      <c r="V384" s="356"/>
      <c r="W384" s="356"/>
      <c r="X384" s="356"/>
      <c r="Y384" s="356"/>
      <c r="Z384" s="356"/>
      <c r="AA384" s="356"/>
      <c r="AB384" s="356"/>
      <c r="AC384" s="356"/>
      <c r="AD384" s="356"/>
      <c r="AE384" s="356"/>
      <c r="AF384" s="356"/>
      <c r="AG384" s="356"/>
      <c r="AH384" s="356"/>
      <c r="AM384" s="354"/>
      <c r="AN384" s="354"/>
      <c r="AO384" s="358"/>
      <c r="AP384" s="358"/>
      <c r="AQ384" s="342"/>
      <c r="AR384" s="543"/>
      <c r="AS384" s="543"/>
      <c r="AT384" s="341"/>
      <c r="AU384" s="341"/>
      <c r="AV384" s="341"/>
      <c r="AW384" s="342"/>
      <c r="AX384" s="342"/>
      <c r="AY384" s="342"/>
      <c r="AZ384" s="342"/>
      <c r="BA384" s="342"/>
      <c r="BB384" s="342"/>
      <c r="BC384" s="342"/>
      <c r="BD384" s="342"/>
      <c r="BE384" s="342"/>
    </row>
    <row r="385" spans="1:58" ht="14.25" hidden="1" customHeight="1" outlineLevel="1">
      <c r="H385" s="356"/>
      <c r="I385" s="356"/>
      <c r="J385" s="356"/>
      <c r="K385" s="356"/>
      <c r="L385" s="356"/>
      <c r="M385" s="356"/>
      <c r="N385" s="356"/>
      <c r="O385" s="356"/>
      <c r="P385" s="356"/>
      <c r="Q385" s="356"/>
      <c r="R385" s="356"/>
      <c r="S385" s="356"/>
      <c r="T385" s="356"/>
      <c r="U385" s="356"/>
      <c r="V385" s="356"/>
      <c r="W385" s="356"/>
      <c r="X385" s="356"/>
      <c r="Y385" s="356"/>
      <c r="Z385" s="356"/>
      <c r="AA385" s="356"/>
      <c r="AB385" s="356"/>
      <c r="AC385" s="356"/>
      <c r="AD385" s="356"/>
      <c r="AE385" s="356"/>
      <c r="AF385" s="356"/>
      <c r="AH385" s="355"/>
      <c r="AM385" s="354"/>
      <c r="AN385" s="354"/>
      <c r="AO385" s="358"/>
      <c r="AP385" s="358"/>
      <c r="AQ385" s="342"/>
      <c r="AR385" s="384"/>
      <c r="AS385" s="543"/>
      <c r="AT385" s="341"/>
      <c r="AU385" s="341"/>
      <c r="AV385" s="341"/>
      <c r="AW385" s="342"/>
      <c r="AX385" s="342"/>
      <c r="AY385" s="342"/>
      <c r="AZ385" s="342"/>
      <c r="BA385" s="342"/>
      <c r="BB385" s="342"/>
      <c r="BC385" s="342"/>
      <c r="BD385" s="342"/>
      <c r="BE385" s="342"/>
    </row>
    <row r="386" spans="1:58" ht="14.25" hidden="1" customHeight="1" outlineLevel="1">
      <c r="A386" s="3094" t="s">
        <v>2020</v>
      </c>
      <c r="B386" s="3094"/>
      <c r="C386" s="3094"/>
      <c r="D386" s="3094"/>
      <c r="E386" s="3094"/>
      <c r="F386" s="3094"/>
      <c r="H386" s="356"/>
      <c r="I386" s="356"/>
      <c r="J386" s="356"/>
      <c r="K386" s="356"/>
      <c r="L386" s="356"/>
      <c r="M386" s="356"/>
      <c r="N386" s="356"/>
      <c r="O386" s="356"/>
      <c r="P386" s="356"/>
      <c r="Q386" s="356"/>
      <c r="R386" s="356"/>
      <c r="S386" s="356"/>
      <c r="T386" s="356"/>
      <c r="U386" s="356"/>
      <c r="V386" s="356"/>
      <c r="W386" s="356"/>
      <c r="X386" s="356"/>
      <c r="Y386" s="356"/>
      <c r="Z386" s="356"/>
      <c r="AA386" s="356"/>
      <c r="AB386" s="356"/>
      <c r="AC386" s="356"/>
      <c r="AD386" s="356"/>
      <c r="AE386" s="356"/>
      <c r="AF386" s="366"/>
      <c r="AH386" s="355" t="s">
        <v>156</v>
      </c>
      <c r="AM386" s="354"/>
      <c r="AN386" s="354"/>
      <c r="AO386" s="358"/>
      <c r="AP386" s="358"/>
      <c r="AQ386" s="342"/>
      <c r="AR386" s="543"/>
      <c r="AS386" s="543"/>
      <c r="AT386" s="341"/>
      <c r="AU386" s="341"/>
      <c r="AV386" s="341"/>
      <c r="AW386" s="342"/>
      <c r="AX386" s="342"/>
      <c r="AY386" s="342"/>
      <c r="AZ386" s="342"/>
      <c r="BA386" s="342"/>
      <c r="BB386" s="342"/>
      <c r="BC386" s="342"/>
      <c r="BD386" s="342"/>
      <c r="BE386" s="342"/>
    </row>
    <row r="387" spans="1:58" ht="14.25" hidden="1" customHeight="1" outlineLevel="1">
      <c r="A387" s="555" t="s">
        <v>2021</v>
      </c>
      <c r="B387" s="556" t="s">
        <v>156</v>
      </c>
      <c r="C387" s="557">
        <v>0.5</v>
      </c>
      <c r="D387" s="488">
        <v>0.6</v>
      </c>
      <c r="E387" s="547">
        <v>0.6</v>
      </c>
      <c r="F387" s="488">
        <v>0.6</v>
      </c>
      <c r="H387" s="356"/>
      <c r="I387" s="356"/>
      <c r="J387" s="356"/>
      <c r="K387" s="356"/>
      <c r="L387" s="356"/>
      <c r="M387" s="356"/>
      <c r="N387" s="356"/>
      <c r="O387" s="356"/>
      <c r="P387" s="356"/>
      <c r="Q387" s="356"/>
      <c r="R387" s="356"/>
      <c r="S387" s="356"/>
      <c r="T387" s="356"/>
      <c r="U387" s="356"/>
      <c r="V387" s="356"/>
      <c r="W387" s="356"/>
      <c r="X387" s="356"/>
      <c r="Y387" s="356"/>
      <c r="Z387" s="356"/>
      <c r="AA387" s="356"/>
      <c r="AB387" s="356"/>
      <c r="AC387" s="356"/>
      <c r="AD387" s="356"/>
      <c r="AE387" s="356"/>
      <c r="AF387" s="366"/>
      <c r="AG387" s="356"/>
      <c r="AH387" s="356">
        <v>0</v>
      </c>
      <c r="AM387" s="354"/>
      <c r="AN387" s="354"/>
      <c r="AO387" s="358"/>
      <c r="AP387" s="358"/>
      <c r="AQ387" s="342"/>
      <c r="AR387" s="543"/>
      <c r="AS387" s="543"/>
      <c r="AT387" s="341"/>
      <c r="AU387" s="341"/>
      <c r="AV387" s="341"/>
      <c r="AW387" s="342"/>
      <c r="AX387" s="342"/>
      <c r="AY387" s="342"/>
      <c r="AZ387" s="342"/>
      <c r="BA387" s="342"/>
      <c r="BB387" s="342"/>
      <c r="BC387" s="342"/>
      <c r="BD387" s="342"/>
      <c r="BE387" s="342"/>
    </row>
    <row r="388" spans="1:58" ht="14.25" hidden="1" customHeight="1" outlineLevel="1">
      <c r="A388" s="555" t="s">
        <v>2022</v>
      </c>
      <c r="B388" s="556" t="s">
        <v>156</v>
      </c>
      <c r="C388" s="558">
        <v>0.7</v>
      </c>
      <c r="D388" s="488">
        <v>0.6</v>
      </c>
      <c r="E388" s="547">
        <v>0.6</v>
      </c>
      <c r="F388" s="488">
        <v>0.6</v>
      </c>
      <c r="H388" s="356"/>
      <c r="I388" s="356"/>
      <c r="J388" s="356"/>
      <c r="K388" s="356"/>
      <c r="L388" s="356"/>
      <c r="M388" s="356"/>
      <c r="N388" s="356"/>
      <c r="O388" s="356"/>
      <c r="P388" s="356"/>
      <c r="Q388" s="356"/>
      <c r="R388" s="356"/>
      <c r="S388" s="356"/>
      <c r="T388" s="356"/>
      <c r="U388" s="356"/>
      <c r="V388" s="356"/>
      <c r="W388" s="356"/>
      <c r="X388" s="356"/>
      <c r="Y388" s="356"/>
      <c r="Z388" s="356"/>
      <c r="AA388" s="356"/>
      <c r="AB388" s="356"/>
      <c r="AC388" s="356"/>
      <c r="AD388" s="356"/>
      <c r="AE388" s="356"/>
      <c r="AF388" s="366"/>
      <c r="AG388" s="364"/>
      <c r="AH388" s="364"/>
      <c r="AM388" s="354"/>
      <c r="AN388" s="354"/>
      <c r="AO388" s="358"/>
      <c r="AP388" s="358"/>
      <c r="AQ388" s="342"/>
      <c r="AR388" s="543"/>
      <c r="AS388" s="543"/>
      <c r="AT388" s="341"/>
      <c r="AU388" s="341"/>
      <c r="AV388" s="341"/>
      <c r="AW388" s="342"/>
      <c r="AX388" s="342"/>
      <c r="AY388" s="342"/>
      <c r="AZ388" s="342"/>
      <c r="BA388" s="342"/>
      <c r="BB388" s="342"/>
      <c r="BC388" s="342"/>
      <c r="BD388" s="342"/>
      <c r="BE388" s="342"/>
    </row>
    <row r="389" spans="1:58" ht="14.25" hidden="1" customHeight="1" outlineLevel="1">
      <c r="A389" s="555" t="s">
        <v>2023</v>
      </c>
      <c r="B389" s="556" t="s">
        <v>156</v>
      </c>
      <c r="C389" s="558">
        <v>0.5</v>
      </c>
      <c r="D389" s="488">
        <v>0.5</v>
      </c>
      <c r="E389" s="547">
        <v>0.8</v>
      </c>
      <c r="F389" s="488">
        <v>0.8</v>
      </c>
      <c r="H389" s="356"/>
      <c r="I389" s="356"/>
      <c r="J389" s="356"/>
      <c r="K389" s="356"/>
      <c r="L389" s="356"/>
      <c r="M389" s="356"/>
      <c r="N389" s="356"/>
      <c r="O389" s="356"/>
      <c r="P389" s="356"/>
      <c r="Q389" s="356"/>
      <c r="R389" s="356"/>
      <c r="S389" s="356"/>
      <c r="T389" s="366"/>
      <c r="U389" s="356"/>
      <c r="V389" s="356"/>
      <c r="W389" s="356"/>
      <c r="X389" s="356"/>
      <c r="Y389" s="356"/>
      <c r="Z389" s="356"/>
      <c r="AA389" s="356"/>
      <c r="AB389" s="356"/>
      <c r="AC389" s="356"/>
      <c r="AD389" s="356"/>
      <c r="AE389" s="356"/>
      <c r="AF389" s="356"/>
      <c r="AG389" s="356"/>
      <c r="AH389" s="356"/>
      <c r="AI389" s="481"/>
      <c r="AJ389" s="481"/>
      <c r="AM389" s="354"/>
      <c r="AN389" s="354"/>
      <c r="AO389" s="358"/>
      <c r="AP389" s="358"/>
      <c r="AQ389" s="342"/>
      <c r="AR389" s="543"/>
      <c r="AS389" s="543"/>
      <c r="AT389" s="341"/>
      <c r="AU389" s="341"/>
      <c r="AV389" s="341"/>
      <c r="AW389" s="342"/>
      <c r="AX389" s="342"/>
      <c r="AY389" s="342"/>
      <c r="AZ389" s="342"/>
      <c r="BA389" s="342"/>
      <c r="BB389" s="342"/>
      <c r="BC389" s="342"/>
      <c r="BD389" s="342"/>
      <c r="BE389" s="342"/>
    </row>
    <row r="390" spans="1:58" ht="14.25" hidden="1" customHeight="1" outlineLevel="1">
      <c r="A390" s="555" t="s">
        <v>2024</v>
      </c>
      <c r="B390" s="438" t="s">
        <v>156</v>
      </c>
      <c r="C390" s="507">
        <v>0.7</v>
      </c>
      <c r="D390" s="558">
        <v>0.4</v>
      </c>
      <c r="E390" s="558">
        <v>0.9</v>
      </c>
      <c r="F390" s="559">
        <v>0.9</v>
      </c>
      <c r="H390" s="356"/>
      <c r="I390" s="356"/>
      <c r="J390" s="356"/>
      <c r="K390" s="356"/>
      <c r="L390" s="356"/>
      <c r="M390" s="356"/>
      <c r="N390" s="356"/>
      <c r="O390" s="356"/>
      <c r="P390" s="356"/>
      <c r="Q390" s="356"/>
      <c r="R390" s="356"/>
      <c r="S390" s="356"/>
      <c r="T390" s="356"/>
      <c r="U390" s="356"/>
      <c r="V390" s="356"/>
      <c r="W390" s="356"/>
      <c r="X390" s="356"/>
      <c r="Y390" s="356"/>
      <c r="Z390" s="356"/>
      <c r="AA390" s="356"/>
      <c r="AB390" s="356"/>
      <c r="AC390" s="356"/>
      <c r="AD390" s="356"/>
      <c r="AE390" s="356"/>
      <c r="AF390" s="356"/>
      <c r="AG390" s="364"/>
      <c r="AH390" s="364"/>
      <c r="AI390" s="481"/>
      <c r="AJ390" s="481"/>
      <c r="AM390" s="354"/>
      <c r="AN390" s="354"/>
      <c r="AO390" s="358"/>
      <c r="AP390" s="358"/>
      <c r="AQ390" s="342"/>
      <c r="AR390" s="543"/>
      <c r="AS390" s="543"/>
      <c r="AT390" s="341"/>
      <c r="AU390" s="341"/>
      <c r="AV390" s="341"/>
      <c r="AW390" s="342"/>
      <c r="AX390" s="342"/>
      <c r="AY390" s="342"/>
      <c r="AZ390" s="342"/>
      <c r="BA390" s="342"/>
      <c r="BB390" s="342"/>
      <c r="BC390" s="342"/>
      <c r="BD390" s="342"/>
      <c r="BE390" s="342"/>
    </row>
    <row r="391" spans="1:58" s="370" customFormat="1" ht="14.25" hidden="1" customHeight="1" outlineLevel="1">
      <c r="A391" s="555" t="s">
        <v>2025</v>
      </c>
      <c r="B391" s="556" t="s">
        <v>156</v>
      </c>
      <c r="C391" s="558">
        <v>2</v>
      </c>
      <c r="D391" s="488">
        <v>1</v>
      </c>
      <c r="E391" s="488">
        <v>2</v>
      </c>
      <c r="F391" s="488">
        <v>3</v>
      </c>
      <c r="G391" s="331"/>
      <c r="H391" s="356"/>
      <c r="I391" s="356"/>
      <c r="J391" s="356"/>
      <c r="K391" s="356"/>
      <c r="L391" s="356"/>
      <c r="M391" s="356"/>
      <c r="N391" s="356"/>
      <c r="O391" s="356"/>
      <c r="P391" s="356"/>
      <c r="Q391" s="356"/>
      <c r="R391" s="356"/>
      <c r="S391" s="356"/>
      <c r="T391" s="356"/>
      <c r="U391" s="393"/>
      <c r="V391" s="393"/>
      <c r="W391" s="356"/>
      <c r="X391" s="356"/>
      <c r="Y391" s="356"/>
      <c r="Z391" s="356"/>
      <c r="AA391" s="356"/>
      <c r="AB391" s="356"/>
      <c r="AC391" s="356"/>
      <c r="AD391" s="356"/>
      <c r="AE391" s="356"/>
      <c r="AF391" s="356"/>
      <c r="AG391" s="364"/>
      <c r="AH391" s="364"/>
      <c r="AI391" s="356"/>
      <c r="AJ391" s="356"/>
      <c r="AM391" s="424"/>
      <c r="AN391" s="424"/>
      <c r="AO391" s="425"/>
      <c r="AP391" s="425"/>
      <c r="AQ391" s="426"/>
      <c r="AR391" s="399"/>
      <c r="AS391" s="399"/>
      <c r="AT391" s="340"/>
      <c r="AU391" s="340"/>
      <c r="AV391" s="340"/>
      <c r="AW391" s="426"/>
      <c r="AX391" s="426"/>
      <c r="AY391" s="426"/>
      <c r="AZ391" s="426"/>
      <c r="BA391" s="426"/>
      <c r="BB391" s="426"/>
      <c r="BC391" s="426"/>
      <c r="BD391" s="426"/>
      <c r="BE391" s="426"/>
      <c r="BF391" s="428"/>
    </row>
    <row r="392" spans="1:58" s="370" customFormat="1" ht="14.25" hidden="1" customHeight="1" outlineLevel="1">
      <c r="D392" s="366"/>
      <c r="E392" s="366"/>
      <c r="F392" s="366"/>
      <c r="G392" s="331"/>
      <c r="H392" s="398"/>
      <c r="I392" s="398"/>
      <c r="J392" s="398"/>
      <c r="K392" s="481"/>
      <c r="L392" s="481"/>
      <c r="M392" s="481"/>
      <c r="N392" s="398"/>
      <c r="O392" s="481"/>
      <c r="P392" s="481"/>
      <c r="Q392" s="481"/>
      <c r="R392" s="481"/>
      <c r="S392" s="481"/>
      <c r="T392" s="481"/>
      <c r="U392" s="560"/>
      <c r="V392" s="560"/>
      <c r="W392" s="481"/>
      <c r="X392" s="481"/>
      <c r="Y392" s="481"/>
      <c r="Z392" s="481"/>
      <c r="AA392" s="481"/>
      <c r="AB392" s="481"/>
      <c r="AC392" s="481"/>
      <c r="AD392" s="481"/>
      <c r="AE392" s="481"/>
      <c r="AF392" s="481"/>
      <c r="AG392" s="331"/>
      <c r="AH392" s="331"/>
      <c r="AI392" s="356"/>
      <c r="AJ392" s="356"/>
      <c r="AM392" s="424"/>
      <c r="AN392" s="424"/>
      <c r="AO392" s="425"/>
      <c r="AP392" s="425"/>
      <c r="AQ392" s="426"/>
      <c r="AR392" s="399"/>
      <c r="AS392" s="399"/>
      <c r="AT392" s="340"/>
      <c r="AU392" s="340"/>
      <c r="AV392" s="340"/>
      <c r="AW392" s="426"/>
      <c r="AX392" s="426"/>
      <c r="AY392" s="426"/>
      <c r="AZ392" s="426"/>
      <c r="BA392" s="426"/>
      <c r="BB392" s="426"/>
      <c r="BC392" s="426"/>
      <c r="BD392" s="426"/>
      <c r="BE392" s="426"/>
      <c r="BF392" s="428"/>
    </row>
    <row r="393" spans="1:58" s="370" customFormat="1" ht="14.25" hidden="1" customHeight="1" outlineLevel="1">
      <c r="A393" s="331" t="s">
        <v>1889</v>
      </c>
      <c r="B393" s="490"/>
      <c r="C393" s="510"/>
      <c r="D393" s="366"/>
      <c r="E393" s="366"/>
      <c r="F393" s="366"/>
      <c r="G393" s="366"/>
      <c r="H393" s="424"/>
      <c r="I393" s="460"/>
      <c r="J393" s="460"/>
      <c r="K393" s="356"/>
      <c r="L393" s="561"/>
      <c r="M393" s="561"/>
      <c r="N393" s="561"/>
      <c r="O393" s="356"/>
      <c r="P393" s="356"/>
      <c r="Q393" s="356"/>
      <c r="R393" s="561"/>
      <c r="S393" s="356"/>
      <c r="T393" s="356"/>
      <c r="U393" s="356"/>
      <c r="V393" s="356"/>
      <c r="W393" s="356"/>
      <c r="X393" s="356"/>
      <c r="Y393" s="393"/>
      <c r="Z393" s="393"/>
      <c r="AA393" s="356"/>
      <c r="AB393" s="356"/>
      <c r="AC393" s="356"/>
      <c r="AD393" s="356"/>
      <c r="AE393" s="356"/>
      <c r="AF393" s="356"/>
      <c r="AG393" s="356"/>
      <c r="AH393" s="356"/>
      <c r="AI393" s="356"/>
      <c r="AJ393" s="356"/>
      <c r="AM393" s="424"/>
      <c r="AN393" s="424"/>
      <c r="AO393" s="425"/>
      <c r="AP393" s="425"/>
      <c r="AQ393" s="426"/>
      <c r="AR393" s="399"/>
      <c r="AS393" s="399"/>
      <c r="AT393" s="340"/>
      <c r="AU393" s="340"/>
      <c r="AV393" s="340"/>
      <c r="AW393" s="426"/>
      <c r="AX393" s="426"/>
      <c r="AY393" s="426"/>
      <c r="AZ393" s="426"/>
      <c r="BA393" s="426"/>
      <c r="BB393" s="426"/>
      <c r="BC393" s="426"/>
      <c r="BD393" s="426"/>
      <c r="BE393" s="426"/>
      <c r="BF393" s="428"/>
    </row>
    <row r="394" spans="1:58" s="370" customFormat="1" ht="14.25" hidden="1" customHeight="1" outlineLevel="1">
      <c r="A394" s="477" t="s">
        <v>1890</v>
      </c>
      <c r="B394" s="490"/>
      <c r="C394" s="510"/>
      <c r="D394" s="366"/>
      <c r="E394" s="366"/>
      <c r="F394" s="366"/>
      <c r="G394" s="366"/>
      <c r="H394" s="424"/>
      <c r="I394" s="460"/>
      <c r="J394" s="460"/>
      <c r="K394" s="356"/>
      <c r="L394" s="561"/>
      <c r="M394" s="561"/>
      <c r="N394" s="561"/>
      <c r="O394" s="356"/>
      <c r="P394" s="356"/>
      <c r="Q394" s="356"/>
      <c r="R394" s="561"/>
      <c r="S394" s="356"/>
      <c r="T394" s="356"/>
      <c r="U394" s="356"/>
      <c r="V394" s="356"/>
      <c r="W394" s="356"/>
      <c r="X394" s="356"/>
      <c r="Y394" s="393"/>
      <c r="Z394" s="393"/>
      <c r="AA394" s="356"/>
      <c r="AB394" s="356"/>
      <c r="AC394" s="356"/>
      <c r="AD394" s="356"/>
      <c r="AE394" s="356"/>
      <c r="AF394" s="356"/>
      <c r="AG394" s="356"/>
      <c r="AH394" s="356"/>
      <c r="AI394" s="356"/>
      <c r="AJ394" s="356"/>
      <c r="AM394" s="424"/>
      <c r="AN394" s="424"/>
      <c r="AO394" s="425"/>
      <c r="AP394" s="425"/>
      <c r="AQ394" s="426"/>
      <c r="AR394" s="399"/>
      <c r="AS394" s="399"/>
      <c r="AT394" s="340"/>
      <c r="AU394" s="340"/>
      <c r="AV394" s="340"/>
      <c r="AW394" s="426"/>
      <c r="AX394" s="426"/>
      <c r="AY394" s="426"/>
      <c r="AZ394" s="426"/>
      <c r="BA394" s="426"/>
      <c r="BB394" s="426"/>
      <c r="BC394" s="426"/>
      <c r="BD394" s="426"/>
      <c r="BE394" s="426"/>
      <c r="BF394" s="428"/>
    </row>
    <row r="395" spans="1:58" s="370" customFormat="1" ht="14.25" hidden="1" customHeight="1" outlineLevel="1">
      <c r="A395" s="478" t="s">
        <v>1891</v>
      </c>
      <c r="B395" s="490"/>
      <c r="C395" s="562"/>
      <c r="D395" s="562"/>
      <c r="E395" s="562"/>
      <c r="F395" s="562"/>
      <c r="G395" s="366"/>
      <c r="H395" s="424"/>
      <c r="I395" s="460"/>
      <c r="J395" s="460"/>
      <c r="K395" s="356"/>
      <c r="L395" s="561"/>
      <c r="M395" s="561"/>
      <c r="N395" s="561"/>
      <c r="O395" s="356"/>
      <c r="P395" s="356"/>
      <c r="Q395" s="356"/>
      <c r="R395" s="561"/>
      <c r="S395" s="356"/>
      <c r="T395" s="356"/>
      <c r="U395" s="356"/>
      <c r="V395" s="356"/>
      <c r="W395" s="356"/>
      <c r="X395" s="356"/>
      <c r="Y395" s="393"/>
      <c r="Z395" s="393"/>
      <c r="AA395" s="356"/>
      <c r="AB395" s="356"/>
      <c r="AC395" s="356"/>
      <c r="AD395" s="356"/>
      <c r="AE395" s="356"/>
      <c r="AF395" s="356"/>
      <c r="AG395" s="356"/>
      <c r="AH395" s="356"/>
      <c r="AI395" s="356"/>
      <c r="AJ395" s="356"/>
      <c r="AM395" s="424"/>
      <c r="AN395" s="424"/>
      <c r="AO395" s="425"/>
      <c r="AP395" s="425"/>
      <c r="AQ395" s="426"/>
      <c r="AR395" s="399"/>
      <c r="AS395" s="399"/>
      <c r="AT395" s="340"/>
      <c r="AU395" s="340"/>
      <c r="AV395" s="340"/>
      <c r="AW395" s="426"/>
      <c r="AX395" s="426"/>
      <c r="AY395" s="426"/>
      <c r="AZ395" s="426"/>
      <c r="BA395" s="426"/>
      <c r="BB395" s="426"/>
      <c r="BC395" s="426"/>
      <c r="BD395" s="426"/>
      <c r="BE395" s="426"/>
      <c r="BF395" s="428"/>
    </row>
    <row r="396" spans="1:58" s="370" customFormat="1" ht="14.25" hidden="1" customHeight="1" outlineLevel="1">
      <c r="A396" s="483" t="s">
        <v>2026</v>
      </c>
      <c r="B396" s="490"/>
      <c r="C396" s="562"/>
      <c r="D396" s="562"/>
      <c r="E396" s="562"/>
      <c r="F396" s="562"/>
      <c r="G396" s="366"/>
      <c r="H396" s="424"/>
      <c r="I396" s="460"/>
      <c r="J396" s="460"/>
      <c r="K396" s="356"/>
      <c r="L396" s="561"/>
      <c r="M396" s="561"/>
      <c r="N396" s="561"/>
      <c r="O396" s="356"/>
      <c r="P396" s="356"/>
      <c r="Q396" s="356"/>
      <c r="R396" s="561"/>
      <c r="S396" s="356"/>
      <c r="T396" s="356"/>
      <c r="U396" s="356"/>
      <c r="V396" s="356"/>
      <c r="W396" s="356"/>
      <c r="X396" s="356"/>
      <c r="Y396" s="393"/>
      <c r="Z396" s="393"/>
      <c r="AA396" s="356"/>
      <c r="AB396" s="356"/>
      <c r="AC396" s="356"/>
      <c r="AD396" s="356"/>
      <c r="AE396" s="356"/>
      <c r="AF396" s="356"/>
      <c r="AG396" s="356"/>
      <c r="AH396" s="356"/>
      <c r="AI396" s="356"/>
      <c r="AJ396" s="356"/>
      <c r="AM396" s="424"/>
      <c r="AN396" s="424"/>
      <c r="AO396" s="425"/>
      <c r="AP396" s="425"/>
      <c r="AQ396" s="426"/>
      <c r="AR396" s="399"/>
      <c r="AS396" s="399"/>
      <c r="AT396" s="340"/>
      <c r="AU396" s="340"/>
      <c r="AV396" s="340"/>
      <c r="AW396" s="426"/>
      <c r="AX396" s="426"/>
      <c r="AY396" s="426"/>
      <c r="AZ396" s="426"/>
      <c r="BA396" s="426"/>
      <c r="BB396" s="426"/>
      <c r="BC396" s="426"/>
      <c r="BD396" s="426"/>
      <c r="BE396" s="426"/>
      <c r="BF396" s="428"/>
    </row>
    <row r="397" spans="1:58" s="370" customFormat="1" ht="14.25" hidden="1" customHeight="1" outlineLevel="1">
      <c r="A397" s="331" t="s">
        <v>1907</v>
      </c>
      <c r="B397" s="332"/>
      <c r="C397" s="562"/>
      <c r="D397" s="562"/>
      <c r="E397" s="562"/>
      <c r="F397" s="562"/>
      <c r="G397" s="366"/>
      <c r="H397" s="424"/>
      <c r="I397" s="460"/>
      <c r="J397" s="460"/>
      <c r="K397" s="356"/>
      <c r="L397" s="561"/>
      <c r="M397" s="561"/>
      <c r="N397" s="561"/>
      <c r="O397" s="356"/>
      <c r="P397" s="356"/>
      <c r="Q397" s="356"/>
      <c r="R397" s="561"/>
      <c r="S397" s="356"/>
      <c r="T397" s="356"/>
      <c r="U397" s="356"/>
      <c r="V397" s="356"/>
      <c r="W397" s="356"/>
      <c r="X397" s="356"/>
      <c r="Y397" s="393"/>
      <c r="Z397" s="393"/>
      <c r="AA397" s="356"/>
      <c r="AB397" s="356"/>
      <c r="AC397" s="356"/>
      <c r="AD397" s="356"/>
      <c r="AE397" s="356"/>
      <c r="AF397" s="356"/>
      <c r="AG397" s="356"/>
      <c r="AH397" s="356"/>
      <c r="AI397" s="356"/>
      <c r="AJ397" s="356"/>
      <c r="AM397" s="424"/>
      <c r="AN397" s="424"/>
      <c r="AO397" s="425"/>
      <c r="AP397" s="425"/>
      <c r="AQ397" s="426"/>
      <c r="AR397" s="399"/>
      <c r="AS397" s="399"/>
      <c r="AT397" s="340"/>
      <c r="AU397" s="340"/>
      <c r="AV397" s="340"/>
      <c r="AW397" s="426"/>
      <c r="AX397" s="426"/>
      <c r="AY397" s="426"/>
      <c r="AZ397" s="426"/>
      <c r="BA397" s="426"/>
      <c r="BB397" s="426"/>
      <c r="BC397" s="426"/>
      <c r="BD397" s="426"/>
      <c r="BE397" s="426"/>
      <c r="BF397" s="428"/>
    </row>
    <row r="398" spans="1:58" s="370" customFormat="1" ht="14.25" hidden="1" customHeight="1" outlineLevel="1">
      <c r="A398" s="489" t="s">
        <v>1908</v>
      </c>
      <c r="B398" s="332"/>
      <c r="C398" s="562"/>
      <c r="D398" s="562"/>
      <c r="E398" s="562"/>
      <c r="F398" s="562"/>
      <c r="G398" s="366"/>
      <c r="H398" s="424"/>
      <c r="I398" s="460"/>
      <c r="J398" s="460"/>
      <c r="K398" s="356"/>
      <c r="L398" s="561"/>
      <c r="M398" s="561"/>
      <c r="N398" s="561"/>
      <c r="O398" s="356"/>
      <c r="P398" s="356"/>
      <c r="Q398" s="356"/>
      <c r="R398" s="561"/>
      <c r="S398" s="356"/>
      <c r="T398" s="356"/>
      <c r="U398" s="356"/>
      <c r="V398" s="356"/>
      <c r="W398" s="356"/>
      <c r="X398" s="356"/>
      <c r="Y398" s="393"/>
      <c r="Z398" s="393"/>
      <c r="AA398" s="356"/>
      <c r="AB398" s="356"/>
      <c r="AC398" s="356"/>
      <c r="AD398" s="356"/>
      <c r="AE398" s="356"/>
      <c r="AF398" s="356"/>
      <c r="AG398" s="356"/>
      <c r="AH398" s="356"/>
      <c r="AI398" s="356"/>
      <c r="AJ398" s="356"/>
      <c r="AM398" s="424"/>
      <c r="AN398" s="424"/>
      <c r="AO398" s="425"/>
      <c r="AP398" s="425"/>
      <c r="AQ398" s="426"/>
      <c r="AR398" s="399"/>
      <c r="AS398" s="399"/>
      <c r="AT398" s="340"/>
      <c r="AU398" s="340"/>
      <c r="AV398" s="340"/>
      <c r="AW398" s="426"/>
      <c r="AX398" s="426"/>
      <c r="AY398" s="426"/>
      <c r="AZ398" s="426"/>
      <c r="BA398" s="426"/>
      <c r="BB398" s="426"/>
      <c r="BC398" s="426"/>
      <c r="BD398" s="426"/>
      <c r="BE398" s="426"/>
      <c r="BF398" s="428"/>
    </row>
    <row r="399" spans="1:58" s="370" customFormat="1" ht="14.25" hidden="1" customHeight="1" outlineLevel="1">
      <c r="A399" s="331" t="s">
        <v>1909</v>
      </c>
      <c r="B399" s="332"/>
      <c r="C399" s="562"/>
      <c r="D399" s="562"/>
      <c r="E399" s="562"/>
      <c r="F399" s="562"/>
      <c r="G399" s="366"/>
      <c r="H399" s="424"/>
      <c r="I399" s="460"/>
      <c r="J399" s="460"/>
      <c r="K399" s="356"/>
      <c r="L399" s="561"/>
      <c r="M399" s="561"/>
      <c r="N399" s="561"/>
      <c r="O399" s="356"/>
      <c r="P399" s="356"/>
      <c r="Q399" s="356"/>
      <c r="R399" s="561"/>
      <c r="S399" s="356"/>
      <c r="T399" s="356"/>
      <c r="U399" s="356"/>
      <c r="V399" s="356"/>
      <c r="W399" s="356"/>
      <c r="X399" s="356"/>
      <c r="Y399" s="393"/>
      <c r="Z399" s="393"/>
      <c r="AA399" s="356"/>
      <c r="AB399" s="356"/>
      <c r="AC399" s="356"/>
      <c r="AD399" s="356"/>
      <c r="AE399" s="356"/>
      <c r="AF399" s="356"/>
      <c r="AG399" s="356"/>
      <c r="AH399" s="356"/>
      <c r="AI399" s="356"/>
      <c r="AJ399" s="356"/>
      <c r="AM399" s="424"/>
      <c r="AN399" s="424"/>
      <c r="AO399" s="425"/>
      <c r="AP399" s="425"/>
      <c r="AQ399" s="426"/>
      <c r="AR399" s="399"/>
      <c r="AS399" s="399"/>
      <c r="AT399" s="340"/>
      <c r="AU399" s="340"/>
      <c r="AV399" s="340"/>
      <c r="AW399" s="426"/>
      <c r="AX399" s="426"/>
      <c r="AY399" s="426"/>
      <c r="AZ399" s="426"/>
      <c r="BA399" s="426"/>
      <c r="BB399" s="426"/>
      <c r="BC399" s="426"/>
      <c r="BD399" s="426"/>
      <c r="BE399" s="426"/>
      <c r="BF399" s="428"/>
    </row>
    <row r="400" spans="1:58" s="370" customFormat="1" ht="14.25" hidden="1" customHeight="1" outlineLevel="1">
      <c r="A400" s="491" t="s">
        <v>270</v>
      </c>
      <c r="B400" s="332"/>
      <c r="C400" s="562"/>
      <c r="D400" s="562"/>
      <c r="E400" s="562"/>
      <c r="F400" s="562"/>
      <c r="G400" s="366"/>
      <c r="H400" s="424"/>
      <c r="I400" s="460"/>
      <c r="J400" s="460"/>
      <c r="K400" s="356"/>
      <c r="L400" s="561"/>
      <c r="M400" s="561"/>
      <c r="N400" s="561"/>
      <c r="O400" s="356"/>
      <c r="P400" s="356"/>
      <c r="Q400" s="356"/>
      <c r="R400" s="561"/>
      <c r="S400" s="356"/>
      <c r="T400" s="356"/>
      <c r="U400" s="356"/>
      <c r="V400" s="356"/>
      <c r="W400" s="356"/>
      <c r="X400" s="356"/>
      <c r="Y400" s="393"/>
      <c r="Z400" s="393"/>
      <c r="AA400" s="356"/>
      <c r="AB400" s="356"/>
      <c r="AC400" s="356"/>
      <c r="AD400" s="356"/>
      <c r="AE400" s="356"/>
      <c r="AF400" s="356"/>
      <c r="AG400" s="356"/>
      <c r="AH400" s="356"/>
      <c r="AI400" s="356"/>
      <c r="AJ400" s="356"/>
      <c r="AM400" s="424"/>
      <c r="AN400" s="424"/>
      <c r="AO400" s="425"/>
      <c r="AP400" s="425"/>
      <c r="AQ400" s="426"/>
      <c r="AR400" s="399"/>
      <c r="AS400" s="399"/>
      <c r="AT400" s="340"/>
      <c r="AU400" s="340"/>
      <c r="AV400" s="340"/>
      <c r="AW400" s="426"/>
      <c r="AX400" s="426"/>
      <c r="AY400" s="426"/>
      <c r="AZ400" s="426"/>
      <c r="BA400" s="426"/>
      <c r="BB400" s="426"/>
      <c r="BC400" s="426"/>
      <c r="BD400" s="426"/>
      <c r="BE400" s="426"/>
      <c r="BF400" s="428"/>
    </row>
    <row r="401" spans="1:58" s="370" customFormat="1" ht="14.25" hidden="1" customHeight="1" outlineLevel="1">
      <c r="A401" s="331" t="s">
        <v>1910</v>
      </c>
      <c r="B401" s="332"/>
      <c r="C401" s="562"/>
      <c r="D401" s="562"/>
      <c r="E401" s="562"/>
      <c r="F401" s="562"/>
      <c r="G401" s="366"/>
      <c r="H401" s="424"/>
      <c r="I401" s="460"/>
      <c r="J401" s="460"/>
      <c r="K401" s="356"/>
      <c r="L401" s="561"/>
      <c r="M401" s="561"/>
      <c r="N401" s="561"/>
      <c r="O401" s="356"/>
      <c r="P401" s="356"/>
      <c r="Q401" s="356"/>
      <c r="R401" s="561"/>
      <c r="S401" s="356"/>
      <c r="T401" s="356"/>
      <c r="U401" s="356"/>
      <c r="V401" s="356"/>
      <c r="W401" s="356"/>
      <c r="X401" s="356"/>
      <c r="Y401" s="393"/>
      <c r="Z401" s="393"/>
      <c r="AA401" s="356"/>
      <c r="AB401" s="356"/>
      <c r="AC401" s="356"/>
      <c r="AD401" s="356"/>
      <c r="AE401" s="356"/>
      <c r="AF401" s="356"/>
      <c r="AG401" s="356"/>
      <c r="AH401" s="356"/>
      <c r="AI401" s="356"/>
      <c r="AJ401" s="356"/>
      <c r="AM401" s="424"/>
      <c r="AN401" s="424"/>
      <c r="AO401" s="425"/>
      <c r="AP401" s="425"/>
      <c r="AQ401" s="426"/>
      <c r="AR401" s="399"/>
      <c r="AS401" s="399"/>
      <c r="AT401" s="340"/>
      <c r="AU401" s="340"/>
      <c r="AV401" s="340"/>
      <c r="AW401" s="426"/>
      <c r="AX401" s="426"/>
      <c r="AY401" s="426"/>
      <c r="AZ401" s="426"/>
      <c r="BA401" s="426"/>
      <c r="BB401" s="426"/>
      <c r="BC401" s="426"/>
      <c r="BD401" s="426"/>
      <c r="BE401" s="426"/>
      <c r="BF401" s="428"/>
    </row>
    <row r="402" spans="1:58" s="370" customFormat="1" ht="14.25" hidden="1" customHeight="1" outlineLevel="1">
      <c r="A402" s="491" t="s">
        <v>277</v>
      </c>
      <c r="B402" s="332"/>
      <c r="C402" s="562"/>
      <c r="D402" s="562"/>
      <c r="E402" s="562"/>
      <c r="F402" s="562"/>
      <c r="G402" s="366"/>
      <c r="H402" s="424"/>
      <c r="I402" s="460"/>
      <c r="J402" s="460"/>
      <c r="K402" s="356"/>
      <c r="L402" s="561"/>
      <c r="M402" s="561"/>
      <c r="N402" s="561"/>
      <c r="O402" s="356"/>
      <c r="P402" s="356"/>
      <c r="Q402" s="356"/>
      <c r="R402" s="561"/>
      <c r="S402" s="356"/>
      <c r="T402" s="356"/>
      <c r="U402" s="356"/>
      <c r="V402" s="356"/>
      <c r="W402" s="356"/>
      <c r="X402" s="356"/>
      <c r="Y402" s="393"/>
      <c r="Z402" s="393"/>
      <c r="AA402" s="356"/>
      <c r="AB402" s="356"/>
      <c r="AC402" s="356"/>
      <c r="AD402" s="356"/>
      <c r="AE402" s="356"/>
      <c r="AF402" s="356"/>
      <c r="AG402" s="356"/>
      <c r="AH402" s="356"/>
      <c r="AI402" s="356"/>
      <c r="AJ402" s="356"/>
      <c r="AM402" s="424"/>
      <c r="AN402" s="424"/>
      <c r="AO402" s="425"/>
      <c r="AP402" s="425"/>
      <c r="AQ402" s="426"/>
      <c r="AR402" s="399"/>
      <c r="AS402" s="399"/>
      <c r="AT402" s="340"/>
      <c r="AU402" s="340"/>
      <c r="AV402" s="340"/>
      <c r="AW402" s="426"/>
      <c r="AX402" s="426"/>
      <c r="AY402" s="426"/>
      <c r="AZ402" s="426"/>
      <c r="BA402" s="426"/>
      <c r="BB402" s="426"/>
      <c r="BC402" s="426"/>
      <c r="BD402" s="426"/>
      <c r="BE402" s="426"/>
      <c r="BF402" s="428"/>
    </row>
    <row r="403" spans="1:58" s="370" customFormat="1" ht="14.25" hidden="1" customHeight="1" outlineLevel="1">
      <c r="A403" s="331" t="s">
        <v>1911</v>
      </c>
      <c r="B403" s="332"/>
      <c r="C403" s="562"/>
      <c r="D403" s="562"/>
      <c r="E403" s="562"/>
      <c r="F403" s="562"/>
      <c r="G403" s="366"/>
      <c r="H403" s="424"/>
      <c r="I403" s="460"/>
      <c r="J403" s="460"/>
      <c r="K403" s="356"/>
      <c r="L403" s="561"/>
      <c r="M403" s="561"/>
      <c r="N403" s="561"/>
      <c r="O403" s="356"/>
      <c r="P403" s="356"/>
      <c r="Q403" s="356"/>
      <c r="R403" s="561"/>
      <c r="S403" s="356"/>
      <c r="T403" s="356"/>
      <c r="U403" s="356"/>
      <c r="V403" s="356"/>
      <c r="W403" s="356"/>
      <c r="X403" s="356"/>
      <c r="Y403" s="393"/>
      <c r="Z403" s="393"/>
      <c r="AA403" s="356"/>
      <c r="AB403" s="356"/>
      <c r="AC403" s="356"/>
      <c r="AD403" s="356"/>
      <c r="AE403" s="356"/>
      <c r="AF403" s="356"/>
      <c r="AG403" s="356"/>
      <c r="AH403" s="356"/>
      <c r="AI403" s="356"/>
      <c r="AJ403" s="356"/>
      <c r="AM403" s="424"/>
      <c r="AN403" s="424"/>
      <c r="AO403" s="425"/>
      <c r="AP403" s="425"/>
      <c r="AQ403" s="426"/>
      <c r="AR403" s="399"/>
      <c r="AS403" s="399"/>
      <c r="AT403" s="340"/>
      <c r="AU403" s="340"/>
      <c r="AV403" s="340"/>
      <c r="AW403" s="426"/>
      <c r="AX403" s="426"/>
      <c r="AY403" s="426"/>
      <c r="AZ403" s="426"/>
      <c r="BA403" s="426"/>
      <c r="BB403" s="426"/>
      <c r="BC403" s="426"/>
      <c r="BD403" s="426"/>
      <c r="BE403" s="426"/>
      <c r="BF403" s="428"/>
    </row>
    <row r="404" spans="1:58" s="370" customFormat="1" ht="14.25" hidden="1" customHeight="1" outlineLevel="1">
      <c r="A404" s="493" t="s">
        <v>493</v>
      </c>
      <c r="B404" s="332"/>
      <c r="C404" s="562"/>
      <c r="D404" s="562"/>
      <c r="E404" s="562"/>
      <c r="F404" s="562"/>
      <c r="G404" s="366"/>
      <c r="H404" s="424"/>
      <c r="I404" s="460"/>
      <c r="J404" s="460"/>
      <c r="K404" s="356"/>
      <c r="L404" s="561"/>
      <c r="M404" s="561"/>
      <c r="N404" s="561"/>
      <c r="O404" s="356"/>
      <c r="P404" s="356"/>
      <c r="Q404" s="356"/>
      <c r="R404" s="561"/>
      <c r="S404" s="356"/>
      <c r="T404" s="356"/>
      <c r="U404" s="356"/>
      <c r="V404" s="356"/>
      <c r="W404" s="356"/>
      <c r="X404" s="356"/>
      <c r="Y404" s="393"/>
      <c r="Z404" s="393"/>
      <c r="AA404" s="356"/>
      <c r="AB404" s="356"/>
      <c r="AC404" s="356"/>
      <c r="AD404" s="356"/>
      <c r="AE404" s="356"/>
      <c r="AF404" s="356"/>
      <c r="AG404" s="356"/>
      <c r="AH404" s="356"/>
      <c r="AI404" s="356"/>
      <c r="AJ404" s="356"/>
      <c r="AM404" s="424"/>
      <c r="AN404" s="424"/>
      <c r="AO404" s="425"/>
      <c r="AP404" s="425"/>
      <c r="AQ404" s="426"/>
      <c r="AR404" s="399"/>
      <c r="AS404" s="399"/>
      <c r="AT404" s="340"/>
      <c r="AU404" s="340"/>
      <c r="AV404" s="340"/>
      <c r="AW404" s="426"/>
      <c r="AX404" s="426"/>
      <c r="AY404" s="426"/>
      <c r="AZ404" s="426"/>
      <c r="BA404" s="426"/>
      <c r="BB404" s="426"/>
      <c r="BC404" s="426"/>
      <c r="BD404" s="426"/>
      <c r="BE404" s="426"/>
      <c r="BF404" s="428"/>
    </row>
    <row r="405" spans="1:58" s="370" customFormat="1" ht="14.25" hidden="1" customHeight="1" outlineLevel="1">
      <c r="A405" s="331" t="s">
        <v>1913</v>
      </c>
      <c r="B405" s="490"/>
      <c r="C405" s="534"/>
      <c r="D405" s="366"/>
      <c r="E405" s="366"/>
      <c r="F405" s="366"/>
      <c r="G405" s="366"/>
      <c r="H405" s="424"/>
      <c r="I405" s="460"/>
      <c r="J405" s="460"/>
      <c r="K405" s="356"/>
      <c r="L405" s="561"/>
      <c r="M405" s="561"/>
      <c r="N405" s="561"/>
      <c r="O405" s="356"/>
      <c r="P405" s="356"/>
      <c r="Q405" s="356"/>
      <c r="R405" s="561"/>
      <c r="S405" s="356"/>
      <c r="T405" s="356"/>
      <c r="U405" s="356"/>
      <c r="V405" s="356"/>
      <c r="W405" s="356"/>
      <c r="X405" s="356"/>
      <c r="Y405" s="393"/>
      <c r="Z405" s="393"/>
      <c r="AA405" s="356"/>
      <c r="AB405" s="356"/>
      <c r="AC405" s="356"/>
      <c r="AD405" s="356"/>
      <c r="AE405" s="356"/>
      <c r="AF405" s="356"/>
      <c r="AG405" s="356"/>
      <c r="AH405" s="356"/>
      <c r="AI405" s="356"/>
      <c r="AJ405" s="356"/>
      <c r="AM405" s="424"/>
      <c r="AN405" s="424"/>
      <c r="AO405" s="425"/>
      <c r="AP405" s="425"/>
      <c r="AQ405" s="426"/>
      <c r="AR405" s="399"/>
      <c r="AS405" s="399"/>
      <c r="AT405" s="340"/>
      <c r="AU405" s="340"/>
      <c r="AV405" s="340"/>
      <c r="AW405" s="426"/>
      <c r="AX405" s="426"/>
      <c r="AY405" s="426"/>
      <c r="AZ405" s="426"/>
      <c r="BA405" s="426"/>
      <c r="BB405" s="426"/>
      <c r="BC405" s="426"/>
      <c r="BD405" s="426"/>
      <c r="BE405" s="426"/>
      <c r="BF405" s="428"/>
    </row>
    <row r="406" spans="1:58" s="370" customFormat="1" ht="14.25" hidden="1" customHeight="1" outlineLevel="1">
      <c r="A406" s="494" t="s">
        <v>708</v>
      </c>
      <c r="B406" s="490"/>
      <c r="C406" s="534"/>
      <c r="D406" s="366"/>
      <c r="E406" s="366"/>
      <c r="F406" s="366"/>
      <c r="G406" s="366"/>
      <c r="H406" s="424"/>
      <c r="I406" s="460"/>
      <c r="J406" s="460"/>
      <c r="K406" s="356"/>
      <c r="L406" s="561"/>
      <c r="M406" s="561"/>
      <c r="N406" s="561"/>
      <c r="O406" s="356"/>
      <c r="P406" s="356"/>
      <c r="Q406" s="356"/>
      <c r="R406" s="561"/>
      <c r="S406" s="356"/>
      <c r="T406" s="356"/>
      <c r="U406" s="356"/>
      <c r="V406" s="356"/>
      <c r="W406" s="356"/>
      <c r="X406" s="356"/>
      <c r="Y406" s="393"/>
      <c r="Z406" s="393"/>
      <c r="AA406" s="356"/>
      <c r="AB406" s="356"/>
      <c r="AC406" s="356"/>
      <c r="AD406" s="356"/>
      <c r="AE406" s="356"/>
      <c r="AF406" s="356"/>
      <c r="AG406" s="356"/>
      <c r="AH406" s="356"/>
      <c r="AI406" s="356"/>
      <c r="AJ406" s="356"/>
      <c r="AM406" s="424"/>
      <c r="AN406" s="424"/>
      <c r="AO406" s="425"/>
      <c r="AP406" s="425"/>
      <c r="AQ406" s="426"/>
      <c r="AR406" s="399"/>
      <c r="AS406" s="399"/>
      <c r="AT406" s="340"/>
      <c r="AU406" s="340"/>
      <c r="AV406" s="340"/>
      <c r="AW406" s="426"/>
      <c r="AX406" s="426"/>
      <c r="AY406" s="426"/>
      <c r="AZ406" s="426"/>
      <c r="BA406" s="426"/>
      <c r="BB406" s="426"/>
      <c r="BC406" s="426"/>
      <c r="BD406" s="426"/>
      <c r="BE406" s="426"/>
      <c r="BF406" s="428"/>
    </row>
    <row r="407" spans="1:58" s="370" customFormat="1" ht="14.25" hidden="1" customHeight="1" outlineLevel="1">
      <c r="A407" s="331" t="s">
        <v>1917</v>
      </c>
      <c r="B407" s="332"/>
      <c r="C407" s="331"/>
      <c r="D407" s="366"/>
      <c r="E407" s="366"/>
      <c r="F407" s="366"/>
      <c r="G407" s="366"/>
      <c r="H407" s="424"/>
      <c r="I407" s="460"/>
      <c r="J407" s="460"/>
      <c r="K407" s="356"/>
      <c r="L407" s="561"/>
      <c r="M407" s="561"/>
      <c r="N407" s="561"/>
      <c r="O407" s="356"/>
      <c r="P407" s="356"/>
      <c r="Q407" s="356"/>
      <c r="R407" s="561"/>
      <c r="S407" s="356"/>
      <c r="T407" s="356"/>
      <c r="U407" s="356"/>
      <c r="V407" s="356"/>
      <c r="W407" s="356"/>
      <c r="X407" s="356"/>
      <c r="Y407" s="393"/>
      <c r="Z407" s="393"/>
      <c r="AA407" s="356"/>
      <c r="AB407" s="356"/>
      <c r="AC407" s="356"/>
      <c r="AD407" s="356"/>
      <c r="AE407" s="356"/>
      <c r="AF407" s="356"/>
      <c r="AG407" s="356"/>
      <c r="AH407" s="356"/>
      <c r="AI407" s="356"/>
      <c r="AJ407" s="356"/>
      <c r="AM407" s="424"/>
      <c r="AN407" s="424"/>
      <c r="AO407" s="425"/>
      <c r="AP407" s="425"/>
      <c r="AQ407" s="426"/>
      <c r="AR407" s="399"/>
      <c r="AS407" s="399"/>
      <c r="AT407" s="340"/>
      <c r="AU407" s="340"/>
      <c r="AV407" s="340"/>
      <c r="AW407" s="426"/>
      <c r="AX407" s="426"/>
      <c r="AY407" s="426"/>
      <c r="AZ407" s="426"/>
      <c r="BA407" s="426"/>
      <c r="BB407" s="426"/>
      <c r="BC407" s="426"/>
      <c r="BD407" s="426"/>
      <c r="BE407" s="426"/>
      <c r="BF407" s="428"/>
    </row>
    <row r="408" spans="1:58" s="370" customFormat="1" ht="14.25" hidden="1" customHeight="1" outlineLevel="1">
      <c r="A408" s="491" t="s">
        <v>2027</v>
      </c>
      <c r="D408" s="366"/>
      <c r="E408" s="366"/>
      <c r="F408" s="366"/>
      <c r="G408" s="366"/>
      <c r="H408" s="424"/>
      <c r="I408" s="460"/>
      <c r="J408" s="460"/>
      <c r="K408" s="356"/>
      <c r="L408" s="561"/>
      <c r="M408" s="561"/>
      <c r="N408" s="561"/>
      <c r="O408" s="356"/>
      <c r="P408" s="356"/>
      <c r="Q408" s="356"/>
      <c r="R408" s="561"/>
      <c r="S408" s="356"/>
      <c r="T408" s="356"/>
      <c r="U408" s="356"/>
      <c r="V408" s="356"/>
      <c r="W408" s="356"/>
      <c r="X408" s="356"/>
      <c r="Y408" s="393"/>
      <c r="Z408" s="393"/>
      <c r="AA408" s="356"/>
      <c r="AB408" s="356"/>
      <c r="AC408" s="356"/>
      <c r="AD408" s="356"/>
      <c r="AE408" s="356"/>
      <c r="AF408" s="356"/>
      <c r="AG408" s="356"/>
      <c r="AH408" s="356"/>
      <c r="AI408" s="356"/>
      <c r="AJ408" s="356"/>
      <c r="AM408" s="424"/>
      <c r="AN408" s="424"/>
      <c r="AO408" s="425"/>
      <c r="AP408" s="425"/>
      <c r="AQ408" s="426"/>
      <c r="AR408" s="399"/>
      <c r="AS408" s="399"/>
      <c r="AT408" s="340"/>
      <c r="AU408" s="340"/>
      <c r="AV408" s="340"/>
      <c r="AW408" s="426"/>
      <c r="AX408" s="426"/>
      <c r="AY408" s="426"/>
      <c r="AZ408" s="426"/>
      <c r="BA408" s="426"/>
      <c r="BB408" s="426"/>
      <c r="BC408" s="426"/>
      <c r="BD408" s="426"/>
      <c r="BE408" s="426"/>
      <c r="BF408" s="428"/>
    </row>
    <row r="409" spans="1:58" s="370" customFormat="1" ht="14.25" hidden="1" customHeight="1" outlineLevel="1">
      <c r="A409" s="331" t="s">
        <v>1919</v>
      </c>
      <c r="D409" s="366"/>
      <c r="E409" s="366"/>
      <c r="F409" s="366"/>
      <c r="G409" s="366"/>
      <c r="H409" s="424"/>
      <c r="I409" s="460"/>
      <c r="J409" s="460"/>
      <c r="K409" s="356"/>
      <c r="L409" s="561"/>
      <c r="M409" s="561"/>
      <c r="N409" s="561"/>
      <c r="O409" s="356"/>
      <c r="P409" s="356"/>
      <c r="Q409" s="356"/>
      <c r="R409" s="561"/>
      <c r="S409" s="356"/>
      <c r="T409" s="356"/>
      <c r="U409" s="356"/>
      <c r="V409" s="356"/>
      <c r="W409" s="356"/>
      <c r="X409" s="356"/>
      <c r="Y409" s="393"/>
      <c r="Z409" s="393"/>
      <c r="AA409" s="356"/>
      <c r="AB409" s="356"/>
      <c r="AC409" s="356"/>
      <c r="AD409" s="356"/>
      <c r="AE409" s="356"/>
      <c r="AF409" s="356"/>
      <c r="AG409" s="356"/>
      <c r="AH409" s="356"/>
      <c r="AI409" s="356"/>
      <c r="AJ409" s="356"/>
      <c r="AM409" s="424"/>
      <c r="AN409" s="424"/>
      <c r="AO409" s="425"/>
      <c r="AP409" s="425"/>
      <c r="AQ409" s="426"/>
      <c r="AR409" s="399"/>
      <c r="AS409" s="399"/>
      <c r="AT409" s="340"/>
      <c r="AU409" s="340"/>
      <c r="AV409" s="340"/>
      <c r="AW409" s="426"/>
      <c r="AX409" s="426"/>
      <c r="AY409" s="426"/>
      <c r="AZ409" s="426"/>
      <c r="BA409" s="426"/>
      <c r="BB409" s="426"/>
      <c r="BC409" s="426"/>
      <c r="BD409" s="426"/>
      <c r="BE409" s="426"/>
      <c r="BF409" s="428"/>
    </row>
    <row r="410" spans="1:58" s="370" customFormat="1" ht="14.25" hidden="1" customHeight="1" outlineLevel="1">
      <c r="A410" s="491" t="s">
        <v>1791</v>
      </c>
      <c r="D410" s="366"/>
      <c r="E410" s="366"/>
      <c r="F410" s="366"/>
      <c r="G410" s="366"/>
      <c r="H410" s="424"/>
      <c r="I410" s="460"/>
      <c r="J410" s="460"/>
      <c r="K410" s="356"/>
      <c r="L410" s="561"/>
      <c r="M410" s="561"/>
      <c r="N410" s="561"/>
      <c r="O410" s="356"/>
      <c r="P410" s="356"/>
      <c r="Q410" s="356"/>
      <c r="R410" s="561"/>
      <c r="S410" s="356"/>
      <c r="T410" s="356"/>
      <c r="U410" s="356"/>
      <c r="V410" s="356"/>
      <c r="W410" s="356"/>
      <c r="X410" s="356"/>
      <c r="Y410" s="393"/>
      <c r="Z410" s="393"/>
      <c r="AA410" s="356"/>
      <c r="AB410" s="356"/>
      <c r="AC410" s="356"/>
      <c r="AD410" s="356"/>
      <c r="AE410" s="356"/>
      <c r="AF410" s="356"/>
      <c r="AG410" s="356"/>
      <c r="AH410" s="356"/>
      <c r="AI410" s="356"/>
      <c r="AJ410" s="356"/>
      <c r="AM410" s="424"/>
      <c r="AN410" s="424"/>
      <c r="AO410" s="425"/>
      <c r="AP410" s="425"/>
      <c r="AQ410" s="426"/>
      <c r="AR410" s="399"/>
      <c r="AS410" s="399"/>
      <c r="AT410" s="340"/>
      <c r="AU410" s="340"/>
      <c r="AV410" s="340"/>
      <c r="AW410" s="426"/>
      <c r="AX410" s="426"/>
      <c r="AY410" s="426"/>
      <c r="AZ410" s="426"/>
      <c r="BA410" s="426"/>
      <c r="BB410" s="426"/>
      <c r="BC410" s="426"/>
      <c r="BD410" s="426"/>
      <c r="BE410" s="426"/>
      <c r="BF410" s="428"/>
    </row>
    <row r="411" spans="1:58" s="370" customFormat="1" ht="14.25" hidden="1" customHeight="1" outlineLevel="1">
      <c r="A411" s="331" t="s">
        <v>1922</v>
      </c>
      <c r="B411" s="490"/>
      <c r="C411" s="366"/>
      <c r="D411" s="366"/>
      <c r="E411" s="366"/>
      <c r="F411" s="366"/>
      <c r="G411" s="366"/>
      <c r="H411" s="424"/>
      <c r="I411" s="460"/>
      <c r="J411" s="460"/>
      <c r="K411" s="356"/>
      <c r="L411" s="561"/>
      <c r="M411" s="561"/>
      <c r="N411" s="561"/>
      <c r="O411" s="356"/>
      <c r="P411" s="356"/>
      <c r="Q411" s="356"/>
      <c r="R411" s="561"/>
      <c r="S411" s="356"/>
      <c r="T411" s="356"/>
      <c r="U411" s="356"/>
      <c r="V411" s="356"/>
      <c r="W411" s="356"/>
      <c r="X411" s="356"/>
      <c r="Y411" s="393"/>
      <c r="Z411" s="393"/>
      <c r="AA411" s="356"/>
      <c r="AB411" s="356"/>
      <c r="AC411" s="356"/>
      <c r="AD411" s="356"/>
      <c r="AE411" s="356"/>
      <c r="AF411" s="356"/>
      <c r="AG411" s="356"/>
      <c r="AH411" s="356"/>
      <c r="AI411" s="356"/>
      <c r="AJ411" s="356"/>
      <c r="AM411" s="424"/>
      <c r="AN411" s="424"/>
      <c r="AO411" s="425"/>
      <c r="AP411" s="425"/>
      <c r="AQ411" s="426"/>
      <c r="AR411" s="399"/>
      <c r="AS411" s="399"/>
      <c r="AT411" s="340"/>
      <c r="AU411" s="340"/>
      <c r="AV411" s="340"/>
      <c r="AW411" s="426"/>
      <c r="AX411" s="426"/>
      <c r="AY411" s="426"/>
      <c r="AZ411" s="426"/>
      <c r="BA411" s="426"/>
      <c r="BB411" s="426"/>
      <c r="BC411" s="426"/>
      <c r="BD411" s="426"/>
      <c r="BE411" s="426"/>
      <c r="BF411" s="428"/>
    </row>
    <row r="412" spans="1:58" ht="14.25" hidden="1" customHeight="1" outlineLevel="1">
      <c r="A412" s="414" t="s">
        <v>152</v>
      </c>
      <c r="B412" s="415" t="s">
        <v>1793</v>
      </c>
      <c r="C412" s="388">
        <v>2</v>
      </c>
      <c r="D412" s="424"/>
      <c r="E412" s="424"/>
      <c r="F412" s="424"/>
      <c r="G412" s="424"/>
      <c r="H412" s="424"/>
      <c r="I412" s="424"/>
      <c r="J412" s="505"/>
      <c r="K412" s="460"/>
      <c r="AI412" s="454"/>
      <c r="AJ412" s="454"/>
      <c r="AK412" s="454"/>
      <c r="AL412" s="454"/>
      <c r="AM412" s="424"/>
      <c r="AN412" s="424"/>
      <c r="AO412" s="425"/>
      <c r="AP412" s="367"/>
      <c r="AQ412" s="340"/>
      <c r="AR412" s="340"/>
      <c r="AS412" s="340"/>
      <c r="AT412" s="340"/>
      <c r="AU412" s="340"/>
      <c r="AV412" s="340"/>
      <c r="AW412" s="426"/>
      <c r="AX412" s="426"/>
      <c r="AY412" s="426"/>
      <c r="AZ412" s="426"/>
      <c r="BA412" s="426"/>
      <c r="BB412" s="426"/>
      <c r="BC412" s="426"/>
      <c r="BD412" s="426"/>
      <c r="BE412" s="426"/>
    </row>
    <row r="413" spans="1:58" ht="14.25" hidden="1" customHeight="1" outlineLevel="1">
      <c r="A413" s="404" t="s">
        <v>152</v>
      </c>
      <c r="B413" s="415" t="s">
        <v>1793</v>
      </c>
      <c r="C413" s="380">
        <v>0</v>
      </c>
      <c r="D413" s="424"/>
      <c r="E413" s="424"/>
      <c r="F413" s="424"/>
      <c r="G413" s="424"/>
      <c r="H413" s="424"/>
      <c r="I413" s="424"/>
      <c r="J413" s="505"/>
      <c r="K413" s="460"/>
      <c r="AI413" s="454"/>
      <c r="AJ413" s="454"/>
      <c r="AK413" s="454"/>
      <c r="AL413" s="454"/>
      <c r="AM413" s="424"/>
      <c r="AN413" s="424"/>
      <c r="AO413" s="425"/>
      <c r="AP413" s="367"/>
      <c r="AQ413" s="340"/>
      <c r="AR413" s="340"/>
      <c r="AS413" s="340"/>
      <c r="AT413" s="340"/>
      <c r="AU413" s="340"/>
      <c r="AV413" s="340"/>
      <c r="AW413" s="426"/>
      <c r="AX413" s="426"/>
      <c r="AY413" s="426"/>
      <c r="AZ413" s="426"/>
      <c r="BA413" s="426"/>
      <c r="BB413" s="426"/>
      <c r="BC413" s="426"/>
      <c r="BD413" s="426"/>
      <c r="BE413" s="426"/>
    </row>
    <row r="414" spans="1:58" ht="14.25" hidden="1" customHeight="1" outlineLevel="1">
      <c r="D414" s="424"/>
      <c r="E414" s="424"/>
      <c r="F414" s="424"/>
      <c r="G414" s="424"/>
      <c r="H414" s="424"/>
      <c r="I414" s="424"/>
      <c r="J414" s="505"/>
      <c r="K414" s="460"/>
      <c r="AI414" s="454"/>
      <c r="AJ414" s="454"/>
      <c r="AK414" s="454"/>
      <c r="AL414" s="454"/>
      <c r="AM414" s="424"/>
      <c r="AN414" s="424"/>
      <c r="AO414" s="425"/>
      <c r="AP414" s="367"/>
      <c r="AQ414" s="340"/>
      <c r="AR414" s="340"/>
      <c r="AS414" s="340"/>
      <c r="AT414" s="340"/>
      <c r="AU414" s="340"/>
      <c r="AV414" s="340"/>
      <c r="AW414" s="426"/>
      <c r="AX414" s="426"/>
      <c r="AY414" s="426"/>
      <c r="AZ414" s="426"/>
      <c r="BA414" s="426"/>
      <c r="BB414" s="426"/>
      <c r="BC414" s="426"/>
      <c r="BD414" s="426"/>
      <c r="BE414" s="426"/>
    </row>
    <row r="415" spans="1:58" ht="14.25" hidden="1" customHeight="1" outlineLevel="1">
      <c r="A415" s="416" t="s">
        <v>2028</v>
      </c>
      <c r="B415" s="415" t="s">
        <v>1796</v>
      </c>
      <c r="C415" s="501">
        <v>10000</v>
      </c>
      <c r="D415" s="424"/>
      <c r="E415" s="424"/>
      <c r="F415" s="424"/>
      <c r="G415" s="424"/>
      <c r="H415" s="424"/>
      <c r="I415" s="424"/>
      <c r="J415" s="505"/>
      <c r="K415" s="460"/>
      <c r="AI415" s="454"/>
      <c r="AJ415" s="454"/>
      <c r="AK415" s="454"/>
      <c r="AL415" s="454"/>
      <c r="AM415" s="424"/>
      <c r="AN415" s="424"/>
      <c r="AO415" s="425"/>
      <c r="AP415" s="367"/>
      <c r="AQ415" s="340"/>
      <c r="AR415" s="340"/>
      <c r="AS415" s="340"/>
      <c r="AT415" s="340"/>
      <c r="AU415" s="340"/>
      <c r="AV415" s="340"/>
      <c r="AW415" s="426"/>
      <c r="AX415" s="426"/>
      <c r="AY415" s="426"/>
      <c r="AZ415" s="426"/>
      <c r="BA415" s="426"/>
      <c r="BB415" s="426"/>
      <c r="BC415" s="426"/>
      <c r="BD415" s="426"/>
      <c r="BE415" s="426"/>
    </row>
    <row r="416" spans="1:58" ht="14.25" customHeight="1" collapsed="1">
      <c r="A416" s="3062" t="s">
        <v>2029</v>
      </c>
      <c r="B416" s="3062"/>
      <c r="C416" s="3062"/>
      <c r="D416" s="3062"/>
      <c r="E416" s="3062"/>
      <c r="F416" s="419" t="s">
        <v>1798</v>
      </c>
      <c r="G416" s="424"/>
      <c r="H416" s="424"/>
      <c r="I416" s="424"/>
      <c r="J416" s="505"/>
      <c r="K416" s="460"/>
      <c r="AI416" s="454"/>
      <c r="AJ416" s="454"/>
      <c r="AK416" s="454"/>
      <c r="AL416" s="454"/>
      <c r="AM416" s="424"/>
      <c r="AN416" s="424"/>
      <c r="AO416" s="425"/>
      <c r="AP416" s="367"/>
      <c r="AQ416" s="340"/>
      <c r="AR416" s="340"/>
      <c r="AS416" s="340"/>
      <c r="AT416" s="340"/>
      <c r="AU416" s="340"/>
      <c r="AV416" s="340"/>
      <c r="AW416" s="426"/>
      <c r="AX416" s="426"/>
      <c r="AY416" s="426"/>
      <c r="AZ416" s="426"/>
      <c r="BA416" s="426"/>
      <c r="BB416" s="426"/>
      <c r="BC416" s="426"/>
      <c r="BD416" s="426"/>
      <c r="BE416" s="426"/>
    </row>
    <row r="417" spans="1:57" ht="14.25" customHeight="1">
      <c r="A417" s="424"/>
      <c r="B417" s="463"/>
      <c r="C417" s="424"/>
      <c r="D417" s="424"/>
      <c r="E417" s="424"/>
      <c r="F417" s="424"/>
      <c r="G417" s="424"/>
      <c r="H417" s="424"/>
      <c r="I417" s="424"/>
      <c r="J417" s="505"/>
      <c r="K417" s="460"/>
      <c r="AI417" s="454"/>
      <c r="AJ417" s="454"/>
      <c r="AK417" s="454"/>
      <c r="AL417" s="454"/>
      <c r="AM417" s="424"/>
      <c r="AN417" s="424"/>
      <c r="AO417" s="425"/>
      <c r="AP417" s="367"/>
      <c r="AQ417" s="340"/>
      <c r="AR417" s="340"/>
      <c r="AS417" s="340"/>
      <c r="AT417" s="340"/>
      <c r="AU417" s="340"/>
      <c r="AV417" s="340"/>
      <c r="AW417" s="426"/>
      <c r="AX417" s="426"/>
      <c r="AY417" s="426"/>
      <c r="AZ417" s="426"/>
      <c r="BA417" s="426"/>
      <c r="BB417" s="426"/>
      <c r="BC417" s="426"/>
      <c r="BD417" s="426"/>
      <c r="BE417" s="426"/>
    </row>
    <row r="418" spans="1:57" ht="14.25" hidden="1" customHeight="1" outlineLevel="1">
      <c r="A418" s="3090" t="s">
        <v>2030</v>
      </c>
      <c r="B418" s="3090"/>
      <c r="C418" s="3090"/>
      <c r="D418" s="3090"/>
      <c r="E418" s="3090"/>
      <c r="H418" s="424"/>
      <c r="I418" s="424"/>
      <c r="J418" s="505"/>
      <c r="K418" s="3063" t="s">
        <v>2031</v>
      </c>
      <c r="L418" s="3063"/>
      <c r="M418" s="3063"/>
      <c r="N418" s="3063"/>
      <c r="O418" s="3063"/>
      <c r="P418" s="3063"/>
      <c r="Q418" s="3063"/>
      <c r="R418" s="3063"/>
      <c r="S418" s="3063"/>
      <c r="T418" s="3063"/>
      <c r="U418" s="3063"/>
      <c r="V418" s="3063"/>
      <c r="W418" s="3063"/>
      <c r="X418" s="3063"/>
      <c r="Y418" s="3063"/>
      <c r="Z418" s="3063"/>
      <c r="AA418" s="3063"/>
      <c r="AB418" s="3063"/>
      <c r="AC418" s="3063"/>
      <c r="AD418" s="3063"/>
      <c r="AE418" s="3063"/>
      <c r="AF418" s="3063"/>
      <c r="AG418" s="3063"/>
      <c r="AI418" s="454"/>
      <c r="AJ418" s="454"/>
      <c r="AK418" s="454"/>
      <c r="AL418" s="454"/>
      <c r="AM418" s="424"/>
      <c r="AN418" s="424"/>
      <c r="AO418" s="425"/>
      <c r="AP418" s="367"/>
      <c r="AQ418" s="340"/>
      <c r="AR418" s="340"/>
      <c r="AS418" s="340"/>
      <c r="AT418" s="340"/>
      <c r="AU418" s="340"/>
      <c r="AV418" s="340"/>
      <c r="AW418" s="426"/>
      <c r="AX418" s="426"/>
      <c r="AY418" s="426"/>
      <c r="AZ418" s="426"/>
      <c r="BA418" s="426"/>
      <c r="BB418" s="426"/>
      <c r="BC418" s="426"/>
      <c r="BD418" s="426"/>
      <c r="BE418" s="426"/>
    </row>
    <row r="419" spans="1:57" ht="14.25" hidden="1" customHeight="1" outlineLevel="1">
      <c r="A419" s="366"/>
      <c r="B419" s="381"/>
      <c r="C419" s="366"/>
      <c r="D419" s="366"/>
      <c r="E419" s="366"/>
      <c r="F419" s="366"/>
      <c r="G419" s="502"/>
      <c r="H419" s="354"/>
      <c r="K419" s="3063"/>
      <c r="L419" s="3063"/>
      <c r="M419" s="3063"/>
      <c r="N419" s="3063"/>
      <c r="O419" s="3063"/>
      <c r="P419" s="3063"/>
      <c r="Q419" s="3063"/>
      <c r="R419" s="3063"/>
      <c r="S419" s="3063"/>
      <c r="T419" s="3063"/>
      <c r="U419" s="3063"/>
      <c r="V419" s="3063"/>
      <c r="W419" s="3063"/>
      <c r="X419" s="3063"/>
      <c r="Y419" s="3063"/>
      <c r="Z419" s="3063"/>
      <c r="AA419" s="3063"/>
      <c r="AB419" s="3063"/>
      <c r="AC419" s="3063"/>
      <c r="AD419" s="3063"/>
      <c r="AE419" s="3063"/>
      <c r="AF419" s="3063"/>
      <c r="AG419" s="3063"/>
      <c r="AL419" s="354"/>
      <c r="AM419" s="354"/>
      <c r="AN419" s="354"/>
      <c r="AO419" s="358"/>
      <c r="AP419" s="459"/>
      <c r="AQ419" s="341"/>
      <c r="AR419" s="341"/>
      <c r="AS419" s="341"/>
      <c r="AT419" s="341"/>
      <c r="AU419" s="341"/>
      <c r="AV419" s="341"/>
      <c r="AW419" s="342"/>
      <c r="AX419" s="342"/>
      <c r="AY419" s="342"/>
      <c r="AZ419" s="342"/>
      <c r="BA419" s="342"/>
      <c r="BB419" s="342"/>
      <c r="BC419" s="342"/>
      <c r="BD419" s="342"/>
      <c r="BE419" s="342"/>
    </row>
    <row r="420" spans="1:57" ht="14.25" hidden="1" customHeight="1" outlineLevel="1">
      <c r="A420" s="3095" t="s">
        <v>1884</v>
      </c>
      <c r="B420" s="3095"/>
      <c r="C420" s="3095"/>
      <c r="D420" s="3095"/>
      <c r="E420" s="507">
        <v>1.1499999999999999</v>
      </c>
      <c r="F420" s="466"/>
      <c r="G420" s="503"/>
      <c r="H420" s="366"/>
      <c r="AL420" s="354"/>
      <c r="AM420" s="354"/>
      <c r="AN420" s="354"/>
      <c r="AO420" s="358"/>
      <c r="AP420" s="459"/>
      <c r="AQ420" s="341"/>
      <c r="AR420" s="341"/>
      <c r="AS420" s="341"/>
      <c r="AT420" s="341"/>
      <c r="AU420" s="341"/>
      <c r="AV420" s="341"/>
      <c r="AW420" s="342"/>
      <c r="AX420" s="342"/>
      <c r="AY420" s="342"/>
      <c r="AZ420" s="342"/>
      <c r="BA420" s="342"/>
      <c r="BB420" s="342"/>
      <c r="BC420" s="342"/>
      <c r="BD420" s="342"/>
      <c r="BE420" s="342"/>
    </row>
    <row r="421" spans="1:57" ht="14.25" hidden="1" customHeight="1" outlineLevel="1">
      <c r="A421" s="3095" t="s">
        <v>1885</v>
      </c>
      <c r="B421" s="3095"/>
      <c r="C421" s="3095"/>
      <c r="D421" s="3095"/>
      <c r="E421" s="507">
        <v>1</v>
      </c>
      <c r="F421" s="466"/>
      <c r="G421" s="354"/>
      <c r="H421" s="366"/>
      <c r="AL421" s="354"/>
      <c r="AM421" s="354"/>
      <c r="AN421" s="354"/>
      <c r="AO421" s="358"/>
      <c r="AP421" s="459"/>
      <c r="AQ421" s="341"/>
      <c r="AR421" s="341"/>
      <c r="AS421" s="341"/>
      <c r="AT421" s="341"/>
      <c r="AU421" s="341"/>
      <c r="AV421" s="341"/>
      <c r="AW421" s="342"/>
      <c r="AX421" s="342"/>
      <c r="AY421" s="342"/>
      <c r="AZ421" s="342"/>
      <c r="BA421" s="342"/>
      <c r="BB421" s="342"/>
      <c r="BC421" s="342"/>
      <c r="BD421" s="342"/>
      <c r="BE421" s="342"/>
    </row>
    <row r="422" spans="1:57" ht="14.25" hidden="1" customHeight="1" outlineLevel="1">
      <c r="D422" s="366"/>
      <c r="E422" s="381"/>
      <c r="F422" s="381"/>
      <c r="G422" s="366"/>
      <c r="H422" s="366"/>
      <c r="AL422" s="354"/>
      <c r="AM422" s="354"/>
      <c r="AN422" s="354"/>
      <c r="AO422" s="358"/>
      <c r="AP422" s="459"/>
      <c r="AQ422" s="341"/>
      <c r="AR422" s="341"/>
      <c r="AS422" s="341"/>
      <c r="AT422" s="341"/>
      <c r="AU422" s="341"/>
      <c r="AV422" s="341"/>
      <c r="AW422" s="342"/>
      <c r="AX422" s="342"/>
      <c r="AY422" s="342"/>
      <c r="AZ422" s="342"/>
      <c r="BA422" s="342"/>
      <c r="BB422" s="342"/>
      <c r="BC422" s="342">
        <v>1</v>
      </c>
      <c r="BD422" s="342">
        <f>G451</f>
        <v>0</v>
      </c>
      <c r="BE422" s="342"/>
    </row>
    <row r="423" spans="1:57" ht="14.25" hidden="1" customHeight="1" outlineLevel="1">
      <c r="A423" s="537" t="s">
        <v>1093</v>
      </c>
      <c r="B423" s="545" t="s">
        <v>120</v>
      </c>
      <c r="C423" s="563" t="s">
        <v>1753</v>
      </c>
      <c r="D423" s="366"/>
      <c r="E423" s="381"/>
      <c r="F423" s="381"/>
      <c r="G423" s="366"/>
      <c r="H423" s="366"/>
      <c r="AL423" s="354"/>
      <c r="AM423" s="354"/>
      <c r="AN423" s="354"/>
      <c r="AO423" s="358"/>
      <c r="AP423" s="459"/>
      <c r="AQ423" s="341"/>
      <c r="AR423" s="341"/>
      <c r="AS423" s="341"/>
      <c r="AT423" s="341"/>
      <c r="AU423" s="341"/>
      <c r="AV423" s="341"/>
      <c r="AW423" s="342"/>
      <c r="AX423" s="342"/>
      <c r="AY423" s="342"/>
      <c r="AZ423" s="342"/>
      <c r="BA423" s="342"/>
      <c r="BB423" s="342"/>
      <c r="BC423" s="342">
        <v>2</v>
      </c>
      <c r="BD423" s="342">
        <f>G447</f>
        <v>0.2</v>
      </c>
      <c r="BE423" s="342"/>
    </row>
    <row r="424" spans="1:57" ht="14.25" hidden="1" customHeight="1" outlineLevel="1">
      <c r="A424" s="564" t="s">
        <v>2032</v>
      </c>
      <c r="B424" s="438" t="s">
        <v>159</v>
      </c>
      <c r="C424" s="555">
        <v>2</v>
      </c>
      <c r="D424" s="366"/>
      <c r="E424" s="366"/>
      <c r="F424" s="366"/>
      <c r="G424" s="366"/>
      <c r="H424" s="355"/>
      <c r="I424" s="364"/>
      <c r="J424" s="364"/>
      <c r="K424" s="364"/>
      <c r="L424" s="364"/>
      <c r="M424" s="364"/>
      <c r="N424" s="364"/>
      <c r="O424" s="364"/>
      <c r="P424" s="364"/>
      <c r="Q424" s="364"/>
      <c r="R424" s="364"/>
      <c r="S424" s="364"/>
      <c r="T424" s="364"/>
      <c r="U424" s="364"/>
      <c r="V424" s="364"/>
      <c r="W424" s="364"/>
      <c r="X424" s="364"/>
      <c r="Y424" s="364"/>
      <c r="Z424" s="364"/>
      <c r="AA424" s="364"/>
      <c r="AB424" s="364"/>
      <c r="AC424" s="364"/>
      <c r="AD424" s="364"/>
      <c r="AE424" s="364"/>
      <c r="AF424" s="364"/>
      <c r="AG424" s="364"/>
      <c r="AH424" s="364"/>
      <c r="AL424" s="354"/>
      <c r="AM424" s="354"/>
      <c r="AN424" s="354"/>
      <c r="AO424" s="358"/>
      <c r="AP424" s="367"/>
      <c r="AQ424" s="3102"/>
      <c r="AR424" s="3102"/>
      <c r="AS424" s="340"/>
      <c r="AT424" s="341"/>
      <c r="AU424" s="341"/>
      <c r="AV424" s="341"/>
      <c r="AW424" s="342"/>
      <c r="AX424" s="342"/>
      <c r="AY424" s="342"/>
      <c r="AZ424" s="342"/>
      <c r="BA424" s="342"/>
      <c r="BB424" s="342"/>
      <c r="BC424" s="342">
        <v>3</v>
      </c>
      <c r="BD424" s="342">
        <f>G443</f>
        <v>3.2</v>
      </c>
      <c r="BE424" s="342"/>
    </row>
    <row r="425" spans="1:57" ht="14.25" hidden="1" customHeight="1" outlineLevel="1">
      <c r="A425" s="548" t="s">
        <v>2033</v>
      </c>
      <c r="B425" s="438" t="s">
        <v>156</v>
      </c>
      <c r="C425" s="488">
        <v>4</v>
      </c>
      <c r="D425" s="366"/>
      <c r="E425" s="505"/>
      <c r="F425" s="505"/>
      <c r="G425" s="366"/>
      <c r="H425" s="366"/>
      <c r="I425" s="366"/>
      <c r="J425" s="366"/>
      <c r="K425" s="366"/>
      <c r="L425" s="366"/>
      <c r="M425" s="366"/>
      <c r="N425" s="366"/>
      <c r="O425" s="366"/>
      <c r="P425" s="366"/>
      <c r="Q425" s="456" t="s">
        <v>156</v>
      </c>
      <c r="R425" s="355"/>
      <c r="S425" s="366"/>
      <c r="T425" s="366"/>
      <c r="U425" s="366"/>
      <c r="V425" s="366"/>
      <c r="W425" s="366"/>
      <c r="X425" s="366"/>
      <c r="Y425" s="366"/>
      <c r="Z425" s="366"/>
      <c r="AB425" s="466" t="s">
        <v>1937</v>
      </c>
      <c r="AC425" s="366"/>
      <c r="AD425" s="366"/>
      <c r="AE425" s="366"/>
      <c r="AF425" s="366"/>
      <c r="AG425" s="366"/>
      <c r="AH425" s="366"/>
      <c r="AL425" s="354"/>
      <c r="AM425" s="354"/>
      <c r="AN425" s="354"/>
      <c r="AO425" s="358"/>
      <c r="AP425" s="367"/>
      <c r="AQ425" s="340"/>
      <c r="AR425" s="340"/>
      <c r="AS425" s="340"/>
      <c r="AT425" s="341"/>
      <c r="AU425" s="341"/>
      <c r="AV425" s="341"/>
      <c r="AW425" s="342"/>
      <c r="AX425" s="342"/>
      <c r="AY425" s="342"/>
      <c r="AZ425" s="342"/>
      <c r="BA425" s="342"/>
      <c r="BB425" s="342"/>
      <c r="BC425" s="342">
        <v>4</v>
      </c>
      <c r="BD425" s="342">
        <f>G439</f>
        <v>3.4</v>
      </c>
      <c r="BE425" s="342"/>
    </row>
    <row r="426" spans="1:57" ht="14.25" hidden="1" customHeight="1" outlineLevel="1">
      <c r="A426" s="548" t="s">
        <v>1755</v>
      </c>
      <c r="B426" s="438" t="s">
        <v>156</v>
      </c>
      <c r="C426" s="488">
        <v>5</v>
      </c>
      <c r="D426" s="366"/>
      <c r="E426" s="505"/>
      <c r="F426" s="505"/>
      <c r="G426" s="456" t="s">
        <v>156</v>
      </c>
      <c r="H426" s="355"/>
      <c r="I426" s="366"/>
      <c r="J426" s="366"/>
      <c r="K426" s="366"/>
      <c r="L426" s="366"/>
      <c r="M426" s="366"/>
      <c r="N426" s="366"/>
      <c r="O426" s="366"/>
      <c r="P426" s="366"/>
      <c r="Q426" s="366">
        <v>6.2</v>
      </c>
      <c r="R426" s="366"/>
      <c r="S426" s="366"/>
      <c r="T426" s="366"/>
      <c r="U426" s="366"/>
      <c r="V426" s="366"/>
      <c r="W426" s="366"/>
      <c r="X426" s="366"/>
      <c r="Y426" s="366"/>
      <c r="Z426" s="366"/>
      <c r="AB426" s="366">
        <v>20</v>
      </c>
      <c r="AC426" s="366"/>
      <c r="AD426" s="381" t="s">
        <v>1937</v>
      </c>
      <c r="AE426" s="381"/>
      <c r="AF426" s="366"/>
      <c r="AG426" s="366"/>
      <c r="AH426" s="366"/>
      <c r="AL426" s="354"/>
      <c r="AM426" s="354"/>
      <c r="AN426" s="354"/>
      <c r="AO426" s="358"/>
      <c r="AP426" s="367"/>
      <c r="AQ426" s="340"/>
      <c r="AR426" s="340"/>
      <c r="AS426" s="340"/>
      <c r="AT426" s="341"/>
      <c r="AU426" s="341"/>
      <c r="AV426" s="341"/>
      <c r="AW426" s="342"/>
      <c r="AX426" s="342"/>
      <c r="AY426" s="342" t="s">
        <v>1903</v>
      </c>
      <c r="AZ426" s="342"/>
      <c r="BA426" s="342"/>
      <c r="BB426" s="342"/>
      <c r="BC426" s="342">
        <v>5</v>
      </c>
      <c r="BD426" s="342">
        <f>C425</f>
        <v>4</v>
      </c>
      <c r="BE426" s="342"/>
    </row>
    <row r="427" spans="1:57" ht="14.25" hidden="1" customHeight="1" outlineLevel="1">
      <c r="A427" s="331" t="s">
        <v>2034</v>
      </c>
      <c r="B427" s="438"/>
      <c r="C427" s="488">
        <v>2</v>
      </c>
      <c r="D427" s="366"/>
      <c r="E427" s="505"/>
      <c r="F427" s="505"/>
      <c r="G427" s="515">
        <v>5.0999999999999996</v>
      </c>
      <c r="H427" s="366"/>
      <c r="I427" s="366"/>
      <c r="J427" s="366"/>
      <c r="K427" s="366"/>
      <c r="L427" s="366"/>
      <c r="M427" s="366"/>
      <c r="N427" s="366"/>
      <c r="O427" s="366"/>
      <c r="P427" s="366"/>
      <c r="Q427" s="366"/>
      <c r="R427" s="366"/>
      <c r="S427" s="366"/>
      <c r="T427" s="366"/>
      <c r="U427" s="366"/>
      <c r="V427" s="366"/>
      <c r="W427" s="366"/>
      <c r="X427" s="366"/>
      <c r="Y427" s="366"/>
      <c r="Z427" s="366"/>
      <c r="AA427" s="366"/>
      <c r="AB427" s="366"/>
      <c r="AC427" s="366"/>
      <c r="AD427" s="366">
        <v>25</v>
      </c>
      <c r="AE427" s="366"/>
      <c r="AF427" s="366"/>
      <c r="AG427" s="366"/>
      <c r="AH427" s="366"/>
      <c r="AL427" s="354"/>
      <c r="AM427" s="354"/>
      <c r="AN427" s="354"/>
      <c r="AO427" s="358"/>
      <c r="AP427" s="367"/>
      <c r="AQ427" s="340"/>
      <c r="AR427" s="340"/>
      <c r="AS427" s="340"/>
      <c r="AT427" s="341"/>
      <c r="AU427" s="341"/>
      <c r="AV427" s="341"/>
      <c r="AW427" s="342"/>
      <c r="AX427" s="342"/>
      <c r="AY427" s="342" t="s">
        <v>1906</v>
      </c>
      <c r="AZ427" s="342"/>
      <c r="BA427" s="342"/>
      <c r="BB427" s="342"/>
      <c r="BC427" s="342">
        <v>6</v>
      </c>
      <c r="BD427" s="342">
        <f>C426</f>
        <v>5</v>
      </c>
      <c r="BE427" s="342"/>
    </row>
    <row r="428" spans="1:57" ht="14.25" hidden="1" customHeight="1" outlineLevel="1">
      <c r="A428" s="486" t="s">
        <v>2035</v>
      </c>
      <c r="B428" s="438"/>
      <c r="C428" s="488">
        <v>1.5</v>
      </c>
      <c r="D428" s="381"/>
      <c r="E428" s="505"/>
      <c r="F428" s="505"/>
      <c r="G428" s="366"/>
      <c r="H428" s="366"/>
      <c r="I428" s="421"/>
      <c r="J428" s="421"/>
      <c r="K428" s="421"/>
      <c r="L428" s="421"/>
      <c r="M428" s="421"/>
      <c r="N428" s="421"/>
      <c r="O428" s="421"/>
      <c r="P428" s="421"/>
      <c r="Q428" s="421"/>
      <c r="R428" s="421"/>
      <c r="S428" s="421"/>
      <c r="T428" s="421"/>
      <c r="U428" s="421"/>
      <c r="V428" s="421"/>
      <c r="W428" s="421"/>
      <c r="X428" s="421"/>
      <c r="Y428" s="421"/>
      <c r="Z428" s="421"/>
      <c r="AA428" s="421"/>
      <c r="AB428" s="421"/>
      <c r="AC428" s="421"/>
      <c r="AD428" s="366"/>
      <c r="AE428" s="366"/>
      <c r="AF428" s="421"/>
      <c r="AG428" s="421"/>
      <c r="AH428" s="421"/>
      <c r="AL428" s="354"/>
      <c r="AM428" s="354"/>
      <c r="AN428" s="354"/>
      <c r="AO428" s="358"/>
      <c r="AP428" s="367"/>
      <c r="AQ428" s="340"/>
      <c r="AR428" s="340"/>
      <c r="AS428" s="340"/>
      <c r="AT428" s="341"/>
      <c r="AU428" s="341"/>
      <c r="AV428" s="341"/>
      <c r="AW428" s="342"/>
      <c r="AX428" s="342"/>
      <c r="AY428" s="342" t="s">
        <v>1992</v>
      </c>
      <c r="AZ428" s="342"/>
      <c r="BA428" s="342"/>
      <c r="BB428" s="342"/>
      <c r="BC428" s="342">
        <v>7</v>
      </c>
      <c r="BD428" s="342">
        <f>C429</f>
        <v>3.2</v>
      </c>
      <c r="BE428" s="342"/>
    </row>
    <row r="429" spans="1:57" ht="14.25" hidden="1" customHeight="1" outlineLevel="1">
      <c r="A429" s="548" t="s">
        <v>2036</v>
      </c>
      <c r="B429" s="438" t="s">
        <v>156</v>
      </c>
      <c r="C429" s="488">
        <v>3.2</v>
      </c>
      <c r="D429" s="381"/>
      <c r="E429" s="505"/>
      <c r="F429" s="505"/>
      <c r="G429" s="366"/>
      <c r="H429" s="366"/>
      <c r="I429" s="366"/>
      <c r="J429" s="366"/>
      <c r="K429" s="366"/>
      <c r="L429" s="366"/>
      <c r="M429" s="366"/>
      <c r="N429" s="366"/>
      <c r="O429" s="366"/>
      <c r="P429" s="366"/>
      <c r="Q429" s="366"/>
      <c r="R429" s="366"/>
      <c r="S429" s="366" t="s">
        <v>1873</v>
      </c>
      <c r="T429" s="366"/>
      <c r="U429" s="366"/>
      <c r="V429" s="366"/>
      <c r="W429" s="366"/>
      <c r="X429" s="366"/>
      <c r="Y429" s="366"/>
      <c r="Z429" s="366"/>
      <c r="AA429" s="366"/>
      <c r="AB429" s="366"/>
      <c r="AC429" s="366"/>
      <c r="AD429" s="366"/>
      <c r="AE429" s="366"/>
      <c r="AF429" s="366"/>
      <c r="AG429" s="366"/>
      <c r="AH429" s="366"/>
      <c r="AL429" s="354"/>
      <c r="AM429" s="354"/>
      <c r="AN429" s="354"/>
      <c r="AO429" s="358"/>
      <c r="AP429" s="367"/>
      <c r="AQ429" s="340"/>
      <c r="AR429" s="340"/>
      <c r="AS429" s="340"/>
      <c r="AT429" s="341"/>
      <c r="AU429" s="341"/>
      <c r="AV429" s="341"/>
      <c r="AW429" s="342"/>
      <c r="AX429" s="342"/>
      <c r="AY429" s="342" t="s">
        <v>1994</v>
      </c>
      <c r="AZ429" s="342"/>
      <c r="BA429" s="342"/>
      <c r="BB429" s="342"/>
      <c r="BC429" s="342">
        <v>8</v>
      </c>
      <c r="BD429" s="342">
        <f>C430</f>
        <v>2.2000000000000002</v>
      </c>
      <c r="BE429" s="342"/>
    </row>
    <row r="430" spans="1:57" ht="14.25" hidden="1" customHeight="1" outlineLevel="1">
      <c r="A430" s="548" t="s">
        <v>2037</v>
      </c>
      <c r="B430" s="438" t="s">
        <v>156</v>
      </c>
      <c r="C430" s="488">
        <v>2.2000000000000002</v>
      </c>
      <c r="D430" s="381"/>
      <c r="E430" s="505"/>
      <c r="F430" s="505"/>
      <c r="G430" s="456" t="s">
        <v>156</v>
      </c>
      <c r="H430" s="355"/>
      <c r="I430" s="366"/>
      <c r="J430" s="366"/>
      <c r="K430" s="366"/>
      <c r="L430" s="366"/>
      <c r="M430" s="366"/>
      <c r="N430" s="366"/>
      <c r="O430" s="366"/>
      <c r="P430" s="366"/>
      <c r="Q430" s="366"/>
      <c r="R430" s="366"/>
      <c r="S430" s="366"/>
      <c r="T430" s="366"/>
      <c r="U430" s="366"/>
      <c r="V430" s="366"/>
      <c r="W430" s="366"/>
      <c r="X430" s="366"/>
      <c r="Y430" s="366"/>
      <c r="Z430" s="366"/>
      <c r="AA430" s="366"/>
      <c r="AB430" s="366"/>
      <c r="AC430" s="366"/>
      <c r="AD430" s="366"/>
      <c r="AE430" s="366"/>
      <c r="AF430" s="366"/>
      <c r="AG430" s="366"/>
      <c r="AH430" s="366"/>
      <c r="AL430" s="354"/>
      <c r="AM430" s="354"/>
      <c r="AN430" s="354"/>
      <c r="AO430" s="358"/>
      <c r="AP430" s="367"/>
      <c r="AQ430" s="340"/>
      <c r="AR430" s="340"/>
      <c r="AS430" s="340"/>
      <c r="AT430" s="341"/>
      <c r="AU430" s="341"/>
      <c r="AV430" s="341"/>
      <c r="AW430" s="342"/>
      <c r="AX430" s="342"/>
      <c r="AY430" s="342" t="s">
        <v>1995</v>
      </c>
      <c r="AZ430" s="342"/>
      <c r="BA430" s="342"/>
      <c r="BB430" s="342"/>
      <c r="BC430" s="342">
        <v>9</v>
      </c>
      <c r="BD430" s="342"/>
      <c r="BE430" s="342"/>
    </row>
    <row r="431" spans="1:57" ht="14.25" hidden="1" customHeight="1" outlineLevel="1">
      <c r="A431" s="565" t="s">
        <v>2038</v>
      </c>
      <c r="B431" s="438" t="s">
        <v>156</v>
      </c>
      <c r="C431" s="488">
        <v>8</v>
      </c>
      <c r="D431" s="381"/>
      <c r="E431" s="505"/>
      <c r="F431" s="505"/>
      <c r="G431" s="515">
        <v>4.9000000000000004</v>
      </c>
      <c r="H431" s="381"/>
      <c r="I431" s="366"/>
      <c r="J431" s="366"/>
      <c r="K431" s="366"/>
      <c r="L431" s="366"/>
      <c r="M431" s="366"/>
      <c r="N431" s="366"/>
      <c r="O431" s="366"/>
      <c r="P431" s="366"/>
      <c r="Q431" s="366"/>
      <c r="R431" s="366" t="s">
        <v>1874</v>
      </c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L431" s="354"/>
      <c r="AM431" s="354"/>
      <c r="AN431" s="354"/>
      <c r="AO431" s="358"/>
      <c r="AP431" s="367"/>
      <c r="AQ431" s="3102"/>
      <c r="AR431" s="3102"/>
      <c r="AS431" s="340"/>
      <c r="AT431" s="340"/>
      <c r="AU431" s="340"/>
      <c r="AV431" s="340"/>
      <c r="AW431" s="342"/>
      <c r="AX431" s="342"/>
      <c r="AY431" s="342" t="s">
        <v>1997</v>
      </c>
      <c r="AZ431" s="342"/>
      <c r="BA431" s="342"/>
      <c r="BB431" s="342"/>
      <c r="BC431" s="342">
        <v>10</v>
      </c>
      <c r="BD431" s="342">
        <f>C431</f>
        <v>8</v>
      </c>
      <c r="BE431" s="342"/>
    </row>
    <row r="432" spans="1:57" ht="14.25" hidden="1" customHeight="1" outlineLevel="1">
      <c r="A432" s="548" t="s">
        <v>1758</v>
      </c>
      <c r="B432" s="438" t="s">
        <v>156</v>
      </c>
      <c r="C432" s="551">
        <v>2.7</v>
      </c>
      <c r="D432" s="381"/>
      <c r="E432" s="505"/>
      <c r="F432" s="505"/>
      <c r="G432" s="381"/>
      <c r="H432" s="381"/>
      <c r="I432" s="366"/>
      <c r="J432" s="366"/>
      <c r="K432" s="366"/>
      <c r="L432" s="366"/>
      <c r="M432" s="366"/>
      <c r="N432" s="366"/>
      <c r="O432" s="366"/>
      <c r="P432" s="366"/>
      <c r="Q432" s="366"/>
      <c r="R432" s="366"/>
      <c r="S432" s="366"/>
      <c r="T432" s="366"/>
      <c r="U432" s="366"/>
      <c r="V432" s="366"/>
      <c r="W432" s="366"/>
      <c r="X432" s="366"/>
      <c r="Y432" s="366"/>
      <c r="Z432" s="366"/>
      <c r="AA432" s="366"/>
      <c r="AB432" s="366"/>
      <c r="AC432" s="366"/>
      <c r="AD432" s="466" t="s">
        <v>1873</v>
      </c>
      <c r="AE432" s="366"/>
      <c r="AF432" s="366"/>
      <c r="AG432" s="366"/>
      <c r="AH432" s="366"/>
      <c r="AL432" s="354"/>
      <c r="AM432" s="354"/>
      <c r="AN432" s="354"/>
      <c r="AO432" s="358"/>
      <c r="AP432" s="367"/>
      <c r="AQ432" s="340"/>
      <c r="AR432" s="340"/>
      <c r="AS432" s="340"/>
      <c r="AT432" s="340"/>
      <c r="AU432" s="340"/>
      <c r="AV432" s="340"/>
      <c r="AW432" s="342"/>
      <c r="AX432" s="342"/>
      <c r="AY432" s="342" t="s">
        <v>2039</v>
      </c>
      <c r="AZ432" s="342"/>
      <c r="BA432" s="342"/>
      <c r="BB432" s="342"/>
      <c r="BC432" s="342"/>
      <c r="BD432" s="342"/>
      <c r="BE432" s="342"/>
    </row>
    <row r="433" spans="1:57" ht="14.25" hidden="1" customHeight="1" outlineLevel="1">
      <c r="A433" s="555" t="s">
        <v>2040</v>
      </c>
      <c r="B433" s="556" t="s">
        <v>156</v>
      </c>
      <c r="C433" s="558">
        <v>0.8</v>
      </c>
      <c r="D433" s="381"/>
      <c r="E433" s="505"/>
      <c r="F433" s="505"/>
      <c r="G433" s="366"/>
      <c r="H433" s="366"/>
      <c r="I433" s="366"/>
      <c r="J433" s="366"/>
      <c r="K433" s="366"/>
      <c r="L433" s="366"/>
      <c r="M433" s="366"/>
      <c r="N433" s="366"/>
      <c r="O433" s="366"/>
      <c r="P433" s="366"/>
      <c r="Q433" s="366"/>
      <c r="R433" s="366"/>
      <c r="S433" s="366"/>
      <c r="T433" s="366" t="s">
        <v>2041</v>
      </c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L433" s="354"/>
      <c r="AM433" s="354"/>
      <c r="AN433" s="354"/>
      <c r="AO433" s="358"/>
      <c r="AP433" s="367"/>
      <c r="AQ433" s="340"/>
      <c r="AR433" s="340"/>
      <c r="AS433" s="340"/>
      <c r="AT433" s="340"/>
      <c r="AU433" s="340"/>
      <c r="AV433" s="340"/>
      <c r="AW433" s="342"/>
      <c r="AX433" s="342"/>
      <c r="AY433" s="342" t="s">
        <v>2042</v>
      </c>
      <c r="AZ433" s="342"/>
      <c r="BA433" s="342"/>
      <c r="BB433" s="342"/>
      <c r="BC433" s="342"/>
      <c r="BD433" s="342">
        <f>C427</f>
        <v>2</v>
      </c>
      <c r="BE433" s="342"/>
    </row>
    <row r="434" spans="1:57" ht="14.25" hidden="1" customHeight="1" outlineLevel="1">
      <c r="A434" s="503"/>
      <c r="B434" s="381"/>
      <c r="C434" s="381"/>
      <c r="D434" s="505"/>
      <c r="E434" s="505"/>
      <c r="F434" s="505"/>
      <c r="G434" s="456" t="s">
        <v>156</v>
      </c>
      <c r="H434" s="355"/>
      <c r="I434" s="366"/>
      <c r="J434" s="366"/>
      <c r="K434" s="366"/>
      <c r="L434" s="366"/>
      <c r="M434" s="366"/>
      <c r="N434" s="366"/>
      <c r="O434" s="366"/>
      <c r="P434" s="366"/>
      <c r="Q434" s="366"/>
      <c r="R434" s="366"/>
      <c r="S434" s="366"/>
      <c r="T434" s="366"/>
      <c r="U434" s="366"/>
      <c r="V434" s="366" t="s">
        <v>2041</v>
      </c>
      <c r="W434" s="366"/>
      <c r="X434" s="366"/>
      <c r="Y434" s="366"/>
      <c r="Z434" s="366" t="s">
        <v>1874</v>
      </c>
      <c r="AA434" s="366"/>
      <c r="AB434" s="366"/>
      <c r="AC434" s="366"/>
      <c r="AD434" s="366"/>
      <c r="AE434" s="366"/>
      <c r="AF434" s="366"/>
      <c r="AG434" s="366"/>
      <c r="AH434" s="366"/>
      <c r="AL434" s="354"/>
      <c r="AM434" s="354"/>
      <c r="AN434" s="354"/>
      <c r="AO434" s="358"/>
      <c r="AP434" s="367"/>
      <c r="AQ434" s="340"/>
      <c r="AR434" s="340"/>
      <c r="AS434" s="340"/>
      <c r="AT434" s="340"/>
      <c r="AU434" s="340"/>
      <c r="AV434" s="340"/>
      <c r="AW434" s="342"/>
      <c r="AX434" s="342"/>
      <c r="AY434" s="342" t="s">
        <v>2043</v>
      </c>
      <c r="AZ434" s="342"/>
      <c r="BA434" s="342"/>
      <c r="BB434" s="342"/>
      <c r="BC434" s="342"/>
      <c r="BD434" s="342">
        <f>C428</f>
        <v>1.5</v>
      </c>
      <c r="BE434" s="342"/>
    </row>
    <row r="435" spans="1:57" ht="14.25" hidden="1" customHeight="1" outlineLevel="1">
      <c r="A435" s="331" t="s">
        <v>1889</v>
      </c>
      <c r="B435" s="472"/>
      <c r="C435" s="505"/>
      <c r="D435" s="502"/>
      <c r="E435" s="505"/>
      <c r="F435" s="505"/>
      <c r="G435" s="515">
        <v>5.0999999999999996</v>
      </c>
      <c r="H435" s="381"/>
      <c r="I435" s="366"/>
      <c r="J435" s="366"/>
      <c r="K435" s="366"/>
      <c r="L435" s="366"/>
      <c r="M435" s="366"/>
      <c r="N435" s="366"/>
      <c r="O435" s="366"/>
      <c r="P435" s="366"/>
      <c r="Q435" s="366"/>
      <c r="R435" s="366"/>
      <c r="S435" s="366"/>
      <c r="T435" s="366"/>
      <c r="U435" s="366"/>
      <c r="V435" s="366"/>
      <c r="W435" s="366"/>
      <c r="X435" s="366"/>
      <c r="Y435" s="366"/>
      <c r="Z435" s="366"/>
      <c r="AA435" s="366"/>
      <c r="AB435" s="366"/>
      <c r="AC435" s="366"/>
      <c r="AD435" s="366"/>
      <c r="AE435" s="366"/>
      <c r="AF435" s="366"/>
      <c r="AG435" s="366"/>
      <c r="AH435" s="366"/>
      <c r="AL435" s="354"/>
      <c r="AM435" s="354"/>
      <c r="AN435" s="354"/>
      <c r="AO435" s="358"/>
      <c r="AP435" s="367"/>
      <c r="AQ435" s="340"/>
      <c r="AR435" s="340"/>
      <c r="AS435" s="340"/>
      <c r="AT435" s="340"/>
      <c r="AU435" s="340"/>
      <c r="AV435" s="340"/>
      <c r="AW435" s="342"/>
      <c r="AX435" s="342"/>
      <c r="AY435" s="342"/>
      <c r="AZ435" s="342"/>
      <c r="BA435" s="342"/>
      <c r="BB435" s="342"/>
      <c r="BC435" s="342"/>
      <c r="BD435" s="342"/>
      <c r="BE435" s="342"/>
    </row>
    <row r="436" spans="1:57" ht="14.25" hidden="1" customHeight="1" outlineLevel="1">
      <c r="A436" s="477" t="s">
        <v>1890</v>
      </c>
      <c r="B436" s="566"/>
      <c r="C436" s="567"/>
      <c r="D436" s="354"/>
      <c r="E436" s="505"/>
      <c r="F436" s="505"/>
      <c r="G436" s="381"/>
      <c r="H436" s="381"/>
      <c r="I436" s="366"/>
      <c r="J436" s="366"/>
      <c r="K436" s="366"/>
      <c r="L436" s="366"/>
      <c r="M436" s="366"/>
      <c r="N436" s="366"/>
      <c r="O436" s="366"/>
      <c r="P436" s="366"/>
      <c r="Q436" s="366"/>
      <c r="R436" s="366"/>
      <c r="S436" s="366"/>
      <c r="T436" s="366"/>
      <c r="U436" s="366"/>
      <c r="V436" s="366"/>
      <c r="W436" s="366"/>
      <c r="X436" s="366"/>
      <c r="Y436" s="366"/>
      <c r="Z436" s="366"/>
      <c r="AA436" s="366"/>
      <c r="AB436" s="366"/>
      <c r="AC436" s="366"/>
      <c r="AD436" s="366"/>
      <c r="AE436" s="366"/>
      <c r="AF436" s="366"/>
      <c r="AG436" s="366"/>
      <c r="AH436" s="366"/>
      <c r="AL436" s="354"/>
      <c r="AM436" s="354"/>
      <c r="AN436" s="354"/>
      <c r="AO436" s="358"/>
      <c r="AP436" s="367"/>
      <c r="AQ436" s="340"/>
      <c r="AR436" s="340"/>
      <c r="AS436" s="340"/>
      <c r="AT436" s="340"/>
      <c r="AU436" s="340"/>
      <c r="AV436" s="340"/>
      <c r="AW436" s="342"/>
      <c r="AX436" s="342"/>
      <c r="AY436" s="342"/>
      <c r="AZ436" s="342"/>
      <c r="BA436" s="342"/>
      <c r="BB436" s="342" t="s">
        <v>1999</v>
      </c>
      <c r="BC436" s="342"/>
      <c r="BD436" s="342">
        <f>G451</f>
        <v>0</v>
      </c>
      <c r="BE436" s="342"/>
    </row>
    <row r="437" spans="1:57" ht="14.25" hidden="1" customHeight="1" outlineLevel="1">
      <c r="A437" s="478" t="s">
        <v>1891</v>
      </c>
      <c r="B437" s="373"/>
      <c r="C437" s="364"/>
      <c r="D437" s="354"/>
      <c r="E437" s="505"/>
      <c r="F437" s="505"/>
      <c r="G437" s="366"/>
      <c r="H437" s="366"/>
      <c r="I437" s="366"/>
      <c r="J437" s="366"/>
      <c r="K437" s="366"/>
      <c r="L437" s="366"/>
      <c r="M437" s="366"/>
      <c r="N437" s="366"/>
      <c r="O437" s="366"/>
      <c r="P437" s="366"/>
      <c r="Q437" s="366"/>
      <c r="R437" s="366"/>
      <c r="S437" s="366"/>
      <c r="T437" s="366"/>
      <c r="U437" s="366"/>
      <c r="V437" s="366"/>
      <c r="W437" s="366"/>
      <c r="X437" s="366"/>
      <c r="Y437" s="366"/>
      <c r="Z437" s="366"/>
      <c r="AA437" s="366"/>
      <c r="AB437" s="366"/>
      <c r="AC437" s="366"/>
      <c r="AD437" s="366"/>
      <c r="AE437" s="366"/>
      <c r="AF437" s="366"/>
      <c r="AG437" s="366"/>
      <c r="AH437" s="366"/>
      <c r="AL437" s="354"/>
      <c r="AM437" s="354"/>
      <c r="AN437" s="354"/>
      <c r="AO437" s="358"/>
      <c r="AP437" s="367"/>
      <c r="AQ437" s="340"/>
      <c r="AR437" s="340"/>
      <c r="AS437" s="340"/>
      <c r="AT437" s="340"/>
      <c r="AU437" s="340"/>
      <c r="AV437" s="340"/>
      <c r="AW437" s="342"/>
      <c r="AX437" s="342"/>
      <c r="AY437" s="342"/>
      <c r="AZ437" s="342"/>
      <c r="BA437" s="342"/>
      <c r="BB437" s="342" t="s">
        <v>2001</v>
      </c>
      <c r="BC437" s="342"/>
      <c r="BD437" s="342">
        <f>G447</f>
        <v>0.2</v>
      </c>
      <c r="BE437" s="342"/>
    </row>
    <row r="438" spans="1:57" ht="14.25" hidden="1" customHeight="1" outlineLevel="1">
      <c r="A438" s="483" t="s">
        <v>1967</v>
      </c>
      <c r="B438" s="490"/>
      <c r="C438" s="513"/>
      <c r="D438" s="354"/>
      <c r="E438" s="505"/>
      <c r="F438" s="505"/>
      <c r="G438" s="456" t="s">
        <v>156</v>
      </c>
      <c r="H438" s="355"/>
      <c r="I438" s="366"/>
      <c r="J438" s="366"/>
      <c r="K438" s="366"/>
      <c r="L438" s="366"/>
      <c r="M438" s="366"/>
      <c r="N438" s="366"/>
      <c r="O438" s="366"/>
      <c r="P438" s="366"/>
      <c r="Q438" s="366"/>
      <c r="R438" s="366"/>
      <c r="S438" s="366"/>
      <c r="T438" s="366"/>
      <c r="U438" s="366"/>
      <c r="V438" s="366"/>
      <c r="W438" s="366"/>
      <c r="X438" s="366"/>
      <c r="Y438" s="366"/>
      <c r="Z438" s="366"/>
      <c r="AA438" s="366"/>
      <c r="AB438" s="366"/>
      <c r="AC438" s="366"/>
      <c r="AD438" s="366"/>
      <c r="AE438" s="366"/>
      <c r="AF438" s="366"/>
      <c r="AG438" s="366"/>
      <c r="AH438" s="366"/>
      <c r="AL438" s="354"/>
      <c r="AM438" s="354"/>
      <c r="AN438" s="354"/>
      <c r="AO438" s="358"/>
      <c r="AP438" s="367"/>
      <c r="AQ438" s="340"/>
      <c r="AR438" s="340"/>
      <c r="AS438" s="340"/>
      <c r="AT438" s="340"/>
      <c r="AU438" s="340"/>
      <c r="AV438" s="340"/>
      <c r="AW438" s="342"/>
      <c r="AX438" s="342"/>
      <c r="AY438" s="342"/>
      <c r="AZ438" s="342"/>
      <c r="BA438" s="342"/>
      <c r="BB438" s="342" t="s">
        <v>2044</v>
      </c>
      <c r="BC438" s="342"/>
      <c r="BD438" s="342">
        <f>G443</f>
        <v>3.2</v>
      </c>
      <c r="BE438" s="342"/>
    </row>
    <row r="439" spans="1:57" ht="14.25" hidden="1" customHeight="1" outlineLevel="1">
      <c r="A439" s="331" t="s">
        <v>1907</v>
      </c>
      <c r="D439" s="354"/>
      <c r="E439" s="505"/>
      <c r="F439" s="505"/>
      <c r="G439" s="515">
        <v>3.4</v>
      </c>
      <c r="H439" s="381"/>
      <c r="I439" s="364"/>
      <c r="J439" s="366"/>
      <c r="K439" s="366"/>
      <c r="L439" s="366"/>
      <c r="M439" s="366"/>
      <c r="N439" s="366"/>
      <c r="O439" s="366"/>
      <c r="P439" s="366"/>
      <c r="Q439" s="366"/>
      <c r="R439" s="366"/>
      <c r="S439" s="366"/>
      <c r="T439" s="366"/>
      <c r="U439" s="366"/>
      <c r="V439" s="366"/>
      <c r="W439" s="366"/>
      <c r="X439" s="366"/>
      <c r="Y439" s="366"/>
      <c r="Z439" s="366"/>
      <c r="AA439" s="366"/>
      <c r="AB439" s="366"/>
      <c r="AC439" s="366"/>
      <c r="AD439" s="366"/>
      <c r="AE439" s="366"/>
      <c r="AF439" s="366"/>
      <c r="AG439" s="366"/>
      <c r="AH439" s="366"/>
      <c r="AL439" s="354"/>
      <c r="AM439" s="354"/>
      <c r="AN439" s="354"/>
      <c r="AO439" s="358"/>
      <c r="AP439" s="367"/>
      <c r="AQ439" s="340"/>
      <c r="AR439" s="340"/>
      <c r="AS439" s="340"/>
      <c r="AT439" s="340"/>
      <c r="AU439" s="340"/>
      <c r="AV439" s="340"/>
      <c r="AW439" s="342"/>
      <c r="AX439" s="342"/>
      <c r="AY439" s="342"/>
      <c r="AZ439" s="342"/>
      <c r="BA439" s="342"/>
      <c r="BB439" s="342" t="s">
        <v>2045</v>
      </c>
      <c r="BC439" s="342"/>
      <c r="BD439" s="342">
        <f>G439</f>
        <v>3.4</v>
      </c>
      <c r="BE439" s="342"/>
    </row>
    <row r="440" spans="1:57" ht="14.25" hidden="1" customHeight="1" outlineLevel="1">
      <c r="A440" s="489" t="s">
        <v>1908</v>
      </c>
      <c r="D440" s="503"/>
      <c r="E440" s="505"/>
      <c r="F440" s="505"/>
      <c r="G440" s="381"/>
      <c r="H440" s="381"/>
      <c r="I440" s="364"/>
      <c r="J440" s="366"/>
      <c r="K440" s="366"/>
      <c r="L440" s="366"/>
      <c r="M440" s="366"/>
      <c r="N440" s="366"/>
      <c r="O440" s="366"/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L440" s="354"/>
      <c r="AM440" s="354"/>
      <c r="AN440" s="354"/>
      <c r="AO440" s="358"/>
      <c r="AP440" s="367"/>
      <c r="AQ440" s="340"/>
      <c r="AR440" s="340"/>
      <c r="AS440" s="340"/>
      <c r="AT440" s="340"/>
      <c r="AU440" s="340"/>
      <c r="AV440" s="340"/>
      <c r="AW440" s="342"/>
      <c r="AX440" s="342"/>
      <c r="AY440" s="342"/>
      <c r="AZ440" s="342"/>
      <c r="BA440" s="342"/>
      <c r="BB440" s="342" t="s">
        <v>2046</v>
      </c>
      <c r="BC440" s="342"/>
      <c r="BD440" s="342">
        <f>G435</f>
        <v>5.0999999999999996</v>
      </c>
      <c r="BE440" s="342"/>
    </row>
    <row r="441" spans="1:57" ht="14.25" hidden="1" customHeight="1" outlineLevel="1">
      <c r="A441" s="331" t="s">
        <v>1909</v>
      </c>
      <c r="D441" s="366"/>
      <c r="E441" s="505"/>
      <c r="F441" s="505"/>
      <c r="G441" s="366"/>
      <c r="H441" s="364"/>
      <c r="I441" s="364"/>
      <c r="J441" s="366"/>
      <c r="K441" s="366"/>
      <c r="L441" s="366"/>
      <c r="M441" s="366"/>
      <c r="N441" s="366"/>
      <c r="O441" s="366"/>
      <c r="P441" s="366"/>
      <c r="Q441" s="366"/>
      <c r="R441" s="366"/>
      <c r="S441" s="366"/>
      <c r="T441" s="366"/>
      <c r="U441" s="366"/>
      <c r="V441" s="366"/>
      <c r="W441" s="366"/>
      <c r="X441" s="366"/>
      <c r="Y441" s="366"/>
      <c r="Z441" s="366"/>
      <c r="AA441" s="366"/>
      <c r="AB441" s="366"/>
      <c r="AC441" s="366"/>
      <c r="AD441" s="366"/>
      <c r="AE441" s="366"/>
      <c r="AF441" s="366"/>
      <c r="AG441" s="366"/>
      <c r="AH441" s="366"/>
      <c r="AL441" s="354"/>
      <c r="AM441" s="354"/>
      <c r="AN441" s="354"/>
      <c r="AO441" s="358"/>
      <c r="AP441" s="367"/>
      <c r="AQ441" s="340"/>
      <c r="AR441" s="340"/>
      <c r="AS441" s="340"/>
      <c r="AT441" s="340"/>
      <c r="AU441" s="340"/>
      <c r="AV441" s="340"/>
      <c r="AW441" s="342"/>
      <c r="AX441" s="342"/>
      <c r="AY441" s="342"/>
      <c r="AZ441" s="342"/>
      <c r="BA441" s="342"/>
      <c r="BB441" s="342" t="s">
        <v>2047</v>
      </c>
      <c r="BC441" s="342"/>
      <c r="BD441" s="342">
        <f>G427</f>
        <v>5.0999999999999996</v>
      </c>
      <c r="BE441" s="342"/>
    </row>
    <row r="442" spans="1:57" ht="14.25" hidden="1" customHeight="1" outlineLevel="1">
      <c r="A442" s="491" t="s">
        <v>270</v>
      </c>
      <c r="D442" s="354"/>
      <c r="E442" s="505"/>
      <c r="F442" s="505"/>
      <c r="G442" s="456" t="s">
        <v>156</v>
      </c>
      <c r="H442" s="355"/>
      <c r="I442" s="364"/>
      <c r="J442" s="366"/>
      <c r="K442" s="366"/>
      <c r="L442" s="366"/>
      <c r="M442" s="366"/>
      <c r="N442" s="366"/>
      <c r="O442" s="366"/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L442" s="354"/>
      <c r="AM442" s="354"/>
      <c r="AN442" s="354"/>
      <c r="AO442" s="358"/>
      <c r="AP442" s="367"/>
      <c r="AQ442" s="568"/>
      <c r="AR442" s="568"/>
      <c r="AS442" s="340"/>
      <c r="AT442" s="340"/>
      <c r="AU442" s="340"/>
      <c r="AV442" s="340"/>
      <c r="AW442" s="342"/>
      <c r="AX442" s="342"/>
      <c r="AY442" s="342"/>
      <c r="AZ442" s="342"/>
      <c r="BA442" s="342"/>
      <c r="BB442" s="342" t="s">
        <v>1546</v>
      </c>
      <c r="BC442" s="342"/>
      <c r="BD442" s="342">
        <f>Q426</f>
        <v>6.2</v>
      </c>
      <c r="BE442" s="342"/>
    </row>
    <row r="443" spans="1:57" ht="14.25" hidden="1" customHeight="1" outlineLevel="1">
      <c r="A443" s="331" t="s">
        <v>1910</v>
      </c>
      <c r="D443" s="354"/>
      <c r="E443" s="505"/>
      <c r="F443" s="505"/>
      <c r="G443" s="515">
        <v>3.2</v>
      </c>
      <c r="H443" s="381"/>
      <c r="I443" s="364"/>
      <c r="J443" s="366"/>
      <c r="K443" s="366"/>
      <c r="L443" s="366"/>
      <c r="M443" s="366"/>
      <c r="N443" s="366"/>
      <c r="O443" s="366"/>
      <c r="P443" s="366"/>
      <c r="Q443" s="366"/>
      <c r="R443" s="366"/>
      <c r="S443" s="366"/>
      <c r="T443" s="366"/>
      <c r="U443" s="366"/>
      <c r="V443" s="366"/>
      <c r="W443" s="366"/>
      <c r="X443" s="366"/>
      <c r="Y443" s="366"/>
      <c r="Z443" s="366"/>
      <c r="AA443" s="366"/>
      <c r="AB443" s="366"/>
      <c r="AC443" s="366"/>
      <c r="AD443" s="366"/>
      <c r="AE443" s="366"/>
      <c r="AF443" s="366"/>
      <c r="AG443" s="366"/>
      <c r="AH443" s="366"/>
      <c r="AL443" s="354"/>
      <c r="AM443" s="354"/>
      <c r="AN443" s="354"/>
      <c r="AO443" s="358"/>
      <c r="AP443" s="367"/>
      <c r="AQ443" s="342"/>
      <c r="AR443" s="340"/>
      <c r="AS443" s="340"/>
      <c r="AT443" s="340"/>
      <c r="AU443" s="340"/>
      <c r="AV443" s="340"/>
      <c r="AW443" s="342"/>
      <c r="AX443" s="342"/>
      <c r="AY443" s="342"/>
      <c r="AZ443" s="342"/>
      <c r="BA443" s="342"/>
      <c r="BB443" s="342" t="s">
        <v>2048</v>
      </c>
      <c r="BC443" s="342"/>
      <c r="BD443" s="342">
        <f>AD427</f>
        <v>25</v>
      </c>
      <c r="BE443" s="342"/>
    </row>
    <row r="444" spans="1:57" ht="14.25" hidden="1" customHeight="1" outlineLevel="1">
      <c r="A444" s="491" t="s">
        <v>277</v>
      </c>
      <c r="D444" s="354"/>
      <c r="E444" s="505"/>
      <c r="F444" s="505"/>
      <c r="G444" s="515"/>
      <c r="H444" s="381"/>
      <c r="I444" s="364"/>
      <c r="J444" s="366"/>
      <c r="K444" s="366"/>
      <c r="L444" s="366"/>
      <c r="M444" s="366"/>
      <c r="N444" s="366"/>
      <c r="O444" s="366"/>
      <c r="P444" s="366"/>
      <c r="Q444" s="366"/>
      <c r="R444" s="366"/>
      <c r="S444" s="366"/>
      <c r="T444" s="366"/>
      <c r="U444" s="366"/>
      <c r="V444" s="366"/>
      <c r="W444" s="366"/>
      <c r="X444" s="366"/>
      <c r="Y444" s="366"/>
      <c r="Z444" s="366"/>
      <c r="AA444" s="366"/>
      <c r="AB444" s="366"/>
      <c r="AC444" s="366"/>
      <c r="AD444" s="366"/>
      <c r="AE444" s="366"/>
      <c r="AF444" s="366"/>
      <c r="AG444" s="366"/>
      <c r="AH444" s="366"/>
      <c r="AL444" s="354"/>
      <c r="AM444" s="354"/>
      <c r="AN444" s="354"/>
      <c r="AO444" s="358"/>
      <c r="AP444" s="367"/>
      <c r="AQ444" s="340"/>
      <c r="AR444" s="340"/>
      <c r="AS444" s="340"/>
      <c r="AT444" s="340"/>
      <c r="AU444" s="340"/>
      <c r="AV444" s="340"/>
      <c r="AW444" s="342"/>
      <c r="AX444" s="342"/>
      <c r="AY444" s="342"/>
      <c r="AZ444" s="342"/>
      <c r="BA444" s="342"/>
      <c r="BB444" s="342" t="s">
        <v>2048</v>
      </c>
      <c r="BC444" s="342"/>
      <c r="BD444" s="342">
        <f>AB426</f>
        <v>20</v>
      </c>
      <c r="BE444" s="342"/>
    </row>
    <row r="445" spans="1:57" ht="14.25" hidden="1" customHeight="1" outlineLevel="1">
      <c r="A445" s="331" t="s">
        <v>1911</v>
      </c>
      <c r="D445" s="354"/>
      <c r="E445" s="505"/>
      <c r="F445" s="505"/>
      <c r="G445" s="515"/>
      <c r="H445" s="366"/>
      <c r="I445" s="366"/>
      <c r="J445" s="366"/>
      <c r="K445" s="366"/>
      <c r="L445" s="366"/>
      <c r="M445" s="366"/>
      <c r="N445" s="366"/>
      <c r="O445" s="366"/>
      <c r="P445" s="366"/>
      <c r="Q445" s="366"/>
      <c r="R445" s="366"/>
      <c r="S445" s="366"/>
      <c r="T445" s="366"/>
      <c r="U445" s="366"/>
      <c r="V445" s="366"/>
      <c r="W445" s="366"/>
      <c r="X445" s="366"/>
      <c r="Y445" s="366"/>
      <c r="Z445" s="366"/>
      <c r="AA445" s="366"/>
      <c r="AB445" s="366"/>
      <c r="AC445" s="366"/>
      <c r="AD445" s="366"/>
      <c r="AE445" s="366"/>
      <c r="AF445" s="366"/>
      <c r="AG445" s="366"/>
      <c r="AH445" s="366"/>
      <c r="AL445" s="354"/>
      <c r="AM445" s="354"/>
      <c r="AN445" s="354"/>
      <c r="AO445" s="358"/>
      <c r="AP445" s="367"/>
      <c r="AQ445" s="340"/>
      <c r="AR445" s="340"/>
      <c r="AS445" s="340"/>
      <c r="AT445" s="340"/>
      <c r="AU445" s="340"/>
      <c r="AV445" s="340"/>
      <c r="AW445" s="342"/>
      <c r="AX445" s="342"/>
      <c r="AY445" s="342"/>
      <c r="AZ445" s="342"/>
      <c r="BA445" s="342"/>
      <c r="BB445" s="342"/>
      <c r="BC445" s="342"/>
      <c r="BD445" s="342"/>
      <c r="BE445" s="342"/>
    </row>
    <row r="446" spans="1:57" ht="14.25" hidden="1" customHeight="1" outlineLevel="1">
      <c r="A446" s="493" t="s">
        <v>493</v>
      </c>
      <c r="D446" s="354"/>
      <c r="E446" s="505"/>
      <c r="F446" s="505"/>
      <c r="G446" s="456" t="s">
        <v>156</v>
      </c>
      <c r="H446" s="355"/>
      <c r="I446" s="366"/>
      <c r="J446" s="366"/>
      <c r="K446" s="366"/>
      <c r="L446" s="366"/>
      <c r="M446" s="366"/>
      <c r="N446" s="366"/>
      <c r="O446" s="366"/>
      <c r="P446" s="366"/>
      <c r="Q446" s="366"/>
      <c r="R446" s="366"/>
      <c r="S446" s="366"/>
      <c r="T446" s="366"/>
      <c r="U446" s="366"/>
      <c r="V446" s="366"/>
      <c r="W446" s="366"/>
      <c r="X446" s="366"/>
      <c r="Y446" s="366"/>
      <c r="Z446" s="366"/>
      <c r="AA446" s="366"/>
      <c r="AB446" s="366"/>
      <c r="AC446" s="366"/>
      <c r="AD446" s="366"/>
      <c r="AE446" s="366"/>
      <c r="AF446" s="366"/>
      <c r="AG446" s="366"/>
      <c r="AH446" s="366"/>
      <c r="AL446" s="354"/>
      <c r="AM446" s="354"/>
      <c r="AN446" s="354"/>
      <c r="AO446" s="358"/>
      <c r="AP446" s="367"/>
      <c r="AQ446" s="340"/>
      <c r="AR446" s="340"/>
      <c r="AS446" s="340"/>
      <c r="AT446" s="340"/>
      <c r="AU446" s="340"/>
      <c r="AV446" s="340"/>
      <c r="AW446" s="342"/>
      <c r="AX446" s="342"/>
      <c r="AY446" s="342"/>
      <c r="AZ446" s="342"/>
      <c r="BA446" s="342"/>
      <c r="BB446" s="342"/>
      <c r="BC446" s="342"/>
      <c r="BD446" s="342"/>
      <c r="BE446" s="342"/>
    </row>
    <row r="447" spans="1:57" ht="14.25" hidden="1" customHeight="1" outlineLevel="1">
      <c r="A447" s="331" t="s">
        <v>1913</v>
      </c>
      <c r="B447" s="490"/>
      <c r="C447" s="534"/>
      <c r="D447" s="354"/>
      <c r="E447" s="505"/>
      <c r="F447" s="505"/>
      <c r="G447" s="515">
        <v>0.2</v>
      </c>
      <c r="H447" s="381"/>
      <c r="I447" s="366"/>
      <c r="J447" s="366"/>
      <c r="K447" s="366"/>
      <c r="L447" s="366"/>
      <c r="M447" s="366"/>
      <c r="N447" s="366"/>
      <c r="O447" s="366"/>
      <c r="P447" s="366"/>
      <c r="Q447" s="366"/>
      <c r="R447" s="366"/>
      <c r="S447" s="366"/>
      <c r="T447" s="366"/>
      <c r="U447" s="366"/>
      <c r="V447" s="366"/>
      <c r="W447" s="366"/>
      <c r="X447" s="366"/>
      <c r="Y447" s="366"/>
      <c r="Z447" s="366"/>
      <c r="AA447" s="366"/>
      <c r="AB447" s="366"/>
      <c r="AC447" s="366"/>
      <c r="AD447" s="366"/>
      <c r="AE447" s="366"/>
      <c r="AF447" s="366"/>
      <c r="AG447" s="366"/>
      <c r="AH447" s="366"/>
      <c r="AL447" s="354"/>
      <c r="AM447" s="354"/>
      <c r="AN447" s="354"/>
      <c r="AO447" s="358"/>
      <c r="AP447" s="367"/>
      <c r="AQ447" s="340"/>
      <c r="AR447" s="340"/>
      <c r="AS447" s="340"/>
      <c r="AT447" s="340"/>
      <c r="AU447" s="340"/>
      <c r="AV447" s="340"/>
      <c r="AW447" s="342"/>
      <c r="AX447" s="342"/>
      <c r="AY447" s="342"/>
      <c r="AZ447" s="342"/>
      <c r="BA447" s="342"/>
      <c r="BB447" s="342"/>
      <c r="BC447" s="342"/>
      <c r="BD447" s="342"/>
      <c r="BE447" s="342"/>
    </row>
    <row r="448" spans="1:57" ht="14.25" hidden="1" customHeight="1" outlineLevel="1">
      <c r="A448" s="494" t="s">
        <v>706</v>
      </c>
      <c r="B448" s="490"/>
      <c r="C448" s="534"/>
      <c r="D448" s="354"/>
      <c r="E448" s="505"/>
      <c r="F448" s="505"/>
      <c r="G448" s="381"/>
      <c r="H448" s="381"/>
      <c r="I448" s="366"/>
      <c r="J448" s="366"/>
      <c r="K448" s="366"/>
      <c r="L448" s="366"/>
      <c r="M448" s="366"/>
      <c r="N448" s="366"/>
      <c r="O448" s="366"/>
      <c r="P448" s="366"/>
      <c r="Q448" s="366"/>
      <c r="R448" s="366"/>
      <c r="S448" s="366"/>
      <c r="T448" s="366"/>
      <c r="U448" s="366"/>
      <c r="V448" s="366"/>
      <c r="W448" s="366"/>
      <c r="X448" s="366"/>
      <c r="Y448" s="366"/>
      <c r="Z448" s="366"/>
      <c r="AA448" s="366"/>
      <c r="AB448" s="366"/>
      <c r="AC448" s="366"/>
      <c r="AD448" s="366"/>
      <c r="AE448" s="366"/>
      <c r="AF448" s="366"/>
      <c r="AG448" s="366"/>
      <c r="AH448" s="366"/>
      <c r="AL448" s="354"/>
      <c r="AM448" s="354"/>
      <c r="AN448" s="354"/>
      <c r="AO448" s="358"/>
      <c r="AP448" s="367"/>
      <c r="AQ448" s="340"/>
      <c r="AR448" s="340"/>
      <c r="AS448" s="340"/>
      <c r="AT448" s="340"/>
      <c r="AU448" s="340"/>
      <c r="AV448" s="340"/>
      <c r="AW448" s="342"/>
      <c r="AX448" s="342"/>
      <c r="AY448" s="342"/>
      <c r="AZ448" s="342"/>
      <c r="BA448" s="342"/>
      <c r="BB448" s="342"/>
      <c r="BC448" s="342"/>
      <c r="BD448" s="342"/>
      <c r="BE448" s="342"/>
    </row>
    <row r="449" spans="1:58" ht="14.25" hidden="1" customHeight="1" outlineLevel="1">
      <c r="A449" s="331" t="s">
        <v>1917</v>
      </c>
      <c r="D449" s="354"/>
      <c r="E449" s="505"/>
      <c r="F449" s="505"/>
      <c r="G449" s="366"/>
      <c r="H449" s="364"/>
      <c r="I449" s="364"/>
      <c r="J449" s="366"/>
      <c r="K449" s="366"/>
      <c r="L449" s="366"/>
      <c r="M449" s="366"/>
      <c r="N449" s="366"/>
      <c r="O449" s="366"/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L449" s="354"/>
      <c r="AM449" s="354"/>
      <c r="AN449" s="354"/>
      <c r="AO449" s="358"/>
      <c r="AP449" s="367"/>
      <c r="AQ449" s="340"/>
      <c r="AR449" s="340"/>
      <c r="AS449" s="340"/>
      <c r="AT449" s="340"/>
      <c r="AU449" s="340"/>
      <c r="AV449" s="340"/>
      <c r="AW449" s="342"/>
      <c r="AX449" s="342"/>
      <c r="AY449" s="342"/>
      <c r="AZ449" s="342"/>
      <c r="BA449" s="342"/>
      <c r="BB449" s="342"/>
      <c r="BC449" s="342"/>
      <c r="BD449" s="342"/>
      <c r="BE449" s="342"/>
    </row>
    <row r="450" spans="1:58" ht="14.25" hidden="1" customHeight="1" outlineLevel="1">
      <c r="A450" s="491" t="s">
        <v>753</v>
      </c>
      <c r="B450" s="370"/>
      <c r="C450" s="370"/>
      <c r="D450" s="354"/>
      <c r="E450" s="505"/>
      <c r="F450" s="505"/>
      <c r="G450" s="456" t="s">
        <v>156</v>
      </c>
      <c r="H450" s="355"/>
      <c r="I450" s="364"/>
      <c r="J450" s="366"/>
      <c r="K450" s="366"/>
      <c r="L450" s="366"/>
      <c r="M450" s="366"/>
      <c r="N450" s="366"/>
      <c r="O450" s="366"/>
      <c r="P450" s="366"/>
      <c r="Q450" s="366"/>
      <c r="R450" s="366"/>
      <c r="S450" s="366"/>
      <c r="T450" s="366"/>
      <c r="U450" s="366"/>
      <c r="V450" s="366"/>
      <c r="W450" s="366"/>
      <c r="X450" s="366"/>
      <c r="Y450" s="366"/>
      <c r="Z450" s="366"/>
      <c r="AA450" s="366"/>
      <c r="AB450" s="366"/>
      <c r="AC450" s="366"/>
      <c r="AD450" s="366"/>
      <c r="AE450" s="366"/>
      <c r="AF450" s="366"/>
      <c r="AG450" s="366"/>
      <c r="AH450" s="366"/>
      <c r="AL450" s="354"/>
      <c r="AM450" s="354"/>
      <c r="AN450" s="354"/>
      <c r="AO450" s="358"/>
      <c r="AP450" s="367"/>
      <c r="AQ450" s="568"/>
      <c r="AR450" s="568"/>
      <c r="AS450" s="340"/>
      <c r="AT450" s="340"/>
      <c r="AU450" s="340"/>
      <c r="AV450" s="340"/>
      <c r="AW450" s="342"/>
      <c r="AX450" s="342"/>
      <c r="AY450" s="342"/>
      <c r="AZ450" s="342"/>
      <c r="BA450" s="342"/>
      <c r="BB450" s="342"/>
      <c r="BC450" s="342"/>
      <c r="BD450" s="342"/>
      <c r="BE450" s="342"/>
    </row>
    <row r="451" spans="1:58" ht="14.25" hidden="1" customHeight="1" outlineLevel="1">
      <c r="A451" s="331" t="s">
        <v>1919</v>
      </c>
      <c r="B451" s="370"/>
      <c r="C451" s="370"/>
      <c r="D451" s="354"/>
      <c r="E451" s="505"/>
      <c r="F451" s="505"/>
      <c r="G451" s="515">
        <v>0</v>
      </c>
      <c r="H451" s="381"/>
      <c r="I451" s="364"/>
      <c r="J451" s="366"/>
      <c r="K451" s="366"/>
      <c r="L451" s="366"/>
      <c r="M451" s="366"/>
      <c r="N451" s="366"/>
      <c r="O451" s="366"/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482"/>
      <c r="AA451" s="482"/>
      <c r="AB451" s="366"/>
      <c r="AC451" s="366"/>
      <c r="AD451" s="366"/>
      <c r="AE451" s="366"/>
      <c r="AF451" s="366"/>
      <c r="AG451" s="366"/>
      <c r="AH451" s="366"/>
      <c r="AL451" s="354"/>
      <c r="AM451" s="354"/>
      <c r="AN451" s="354"/>
      <c r="AO451" s="358"/>
      <c r="AP451" s="367"/>
      <c r="AQ451" s="340"/>
      <c r="AR451" s="340"/>
      <c r="AS451" s="340"/>
      <c r="AT451" s="340"/>
      <c r="AU451" s="340"/>
      <c r="AV451" s="340"/>
      <c r="AW451" s="342"/>
      <c r="AX451" s="342"/>
      <c r="AY451" s="342"/>
      <c r="AZ451" s="342"/>
      <c r="BA451" s="342"/>
      <c r="BB451" s="342"/>
      <c r="BC451" s="342"/>
      <c r="BD451" s="342"/>
      <c r="BE451" s="342"/>
    </row>
    <row r="452" spans="1:58" ht="14.25" hidden="1" customHeight="1" outlineLevel="1">
      <c r="A452" s="491" t="s">
        <v>785</v>
      </c>
      <c r="B452" s="370"/>
      <c r="C452" s="370"/>
      <c r="D452" s="354"/>
      <c r="E452" s="505"/>
      <c r="F452" s="505"/>
      <c r="G452" s="381"/>
      <c r="H452" s="381"/>
      <c r="I452" s="366"/>
      <c r="J452" s="366"/>
      <c r="K452" s="366"/>
      <c r="L452" s="366"/>
      <c r="M452" s="366"/>
      <c r="N452" s="366"/>
      <c r="O452" s="366"/>
      <c r="P452" s="366"/>
      <c r="Q452" s="366"/>
      <c r="R452" s="366"/>
      <c r="S452" s="366"/>
      <c r="T452" s="366"/>
      <c r="U452" s="366"/>
      <c r="V452" s="366"/>
      <c r="W452" s="366"/>
      <c r="X452" s="366"/>
      <c r="Y452" s="366"/>
      <c r="Z452" s="482"/>
      <c r="AA452" s="482"/>
      <c r="AB452" s="366"/>
      <c r="AC452" s="366"/>
      <c r="AD452" s="366"/>
      <c r="AE452" s="366"/>
      <c r="AF452" s="366"/>
      <c r="AG452" s="366"/>
      <c r="AH452" s="366"/>
      <c r="AL452" s="354"/>
      <c r="AM452" s="354"/>
      <c r="AN452" s="354"/>
      <c r="AO452" s="358"/>
      <c r="AP452" s="367"/>
      <c r="AQ452" s="340"/>
      <c r="AR452" s="340"/>
      <c r="AS452" s="340"/>
      <c r="AT452" s="340"/>
      <c r="AU452" s="340"/>
      <c r="AV452" s="340"/>
      <c r="AW452" s="342"/>
      <c r="AX452" s="342"/>
      <c r="AY452" s="342"/>
      <c r="AZ452" s="342"/>
      <c r="BA452" s="342"/>
      <c r="BB452" s="342"/>
      <c r="BC452" s="342"/>
      <c r="BD452" s="342"/>
      <c r="BE452" s="342"/>
    </row>
    <row r="453" spans="1:58" ht="14.25" hidden="1" customHeight="1" outlineLevel="1">
      <c r="A453" s="331" t="s">
        <v>1922</v>
      </c>
      <c r="B453" s="490"/>
      <c r="C453" s="366"/>
      <c r="D453" s="354"/>
      <c r="E453" s="505"/>
      <c r="F453" s="505"/>
      <c r="G453" s="366"/>
      <c r="H453" s="364"/>
      <c r="I453" s="364"/>
      <c r="J453" s="366"/>
      <c r="K453" s="366"/>
      <c r="L453" s="366"/>
      <c r="M453" s="366"/>
      <c r="N453" s="366"/>
      <c r="O453" s="366"/>
      <c r="P453" s="366"/>
      <c r="Q453" s="366"/>
      <c r="R453" s="366"/>
      <c r="S453" s="366"/>
      <c r="T453" s="366"/>
      <c r="U453" s="366"/>
      <c r="V453" s="366"/>
      <c r="W453" s="366"/>
      <c r="X453" s="366"/>
      <c r="Y453" s="366"/>
      <c r="Z453" s="482"/>
      <c r="AA453" s="482"/>
      <c r="AB453" s="366"/>
      <c r="AC453" s="366"/>
      <c r="AD453" s="366"/>
      <c r="AE453" s="366"/>
      <c r="AF453" s="366"/>
      <c r="AG453" s="366"/>
      <c r="AH453" s="466"/>
      <c r="AI453" s="452"/>
      <c r="AJ453" s="452"/>
      <c r="AK453" s="452"/>
      <c r="AL453" s="354"/>
      <c r="AM453" s="354"/>
      <c r="AN453" s="354"/>
      <c r="AO453" s="358"/>
      <c r="AP453" s="367"/>
      <c r="AQ453" s="340"/>
      <c r="AR453" s="340"/>
      <c r="AS453" s="340"/>
      <c r="AT453" s="340"/>
      <c r="AU453" s="340"/>
      <c r="AV453" s="340"/>
      <c r="AW453" s="342"/>
      <c r="AX453" s="342"/>
      <c r="AY453" s="342"/>
      <c r="AZ453" s="342"/>
      <c r="BA453" s="342"/>
      <c r="BB453" s="342"/>
      <c r="BC453" s="342"/>
      <c r="BD453" s="342"/>
      <c r="BE453" s="342"/>
    </row>
    <row r="454" spans="1:58" ht="14.25" hidden="1" customHeight="1" outlineLevel="1">
      <c r="A454" s="414" t="s">
        <v>152</v>
      </c>
      <c r="B454" s="415" t="s">
        <v>1793</v>
      </c>
      <c r="C454" s="388">
        <v>1</v>
      </c>
      <c r="D454" s="354"/>
      <c r="E454" s="505"/>
      <c r="F454" s="505"/>
      <c r="G454" s="366"/>
      <c r="H454" s="364"/>
      <c r="I454" s="364"/>
      <c r="J454" s="366"/>
      <c r="K454" s="366"/>
      <c r="L454" s="366"/>
      <c r="M454" s="366"/>
      <c r="N454" s="366"/>
      <c r="O454" s="366"/>
      <c r="P454" s="366"/>
      <c r="Q454" s="366"/>
      <c r="R454" s="366"/>
      <c r="S454" s="366"/>
      <c r="T454" s="366"/>
      <c r="U454" s="366"/>
      <c r="V454" s="366"/>
      <c r="W454" s="366"/>
      <c r="X454" s="366"/>
      <c r="Y454" s="366"/>
      <c r="Z454" s="366"/>
      <c r="AA454" s="366"/>
      <c r="AB454" s="366"/>
      <c r="AC454" s="366"/>
      <c r="AD454" s="366"/>
      <c r="AE454" s="366"/>
      <c r="AF454" s="366"/>
      <c r="AG454" s="366"/>
      <c r="AH454" s="366"/>
      <c r="AI454" s="452"/>
      <c r="AJ454" s="452"/>
      <c r="AK454" s="452"/>
      <c r="AL454" s="354"/>
      <c r="AM454" s="354"/>
      <c r="AN454" s="354"/>
      <c r="AO454" s="358"/>
      <c r="AP454" s="367"/>
      <c r="AQ454" s="340"/>
      <c r="AR454" s="340"/>
      <c r="AS454" s="340"/>
      <c r="AT454" s="340"/>
      <c r="AU454" s="340"/>
      <c r="AV454" s="340"/>
      <c r="AW454" s="342"/>
      <c r="AX454" s="342"/>
      <c r="AY454" s="342"/>
      <c r="AZ454" s="342"/>
      <c r="BA454" s="342"/>
      <c r="BB454" s="342"/>
      <c r="BC454" s="342"/>
      <c r="BD454" s="342"/>
      <c r="BE454" s="342"/>
    </row>
    <row r="455" spans="1:58" ht="14.25" hidden="1" customHeight="1" outlineLevel="1">
      <c r="A455" s="404" t="s">
        <v>152</v>
      </c>
      <c r="B455" s="415" t="s">
        <v>1793</v>
      </c>
      <c r="C455" s="380">
        <v>0</v>
      </c>
      <c r="D455" s="354"/>
      <c r="E455" s="505"/>
      <c r="F455" s="505"/>
      <c r="G455" s="366"/>
      <c r="H455" s="364"/>
      <c r="I455" s="364"/>
      <c r="J455" s="366"/>
      <c r="K455" s="366"/>
      <c r="L455" s="366"/>
      <c r="M455" s="366"/>
      <c r="N455" s="366"/>
      <c r="O455" s="366"/>
      <c r="P455" s="366"/>
      <c r="Q455" s="366"/>
      <c r="R455" s="366"/>
      <c r="S455" s="366"/>
      <c r="T455" s="366"/>
      <c r="U455" s="366"/>
      <c r="V455" s="366"/>
      <c r="W455" s="366"/>
      <c r="X455" s="366"/>
      <c r="Y455" s="366"/>
      <c r="Z455" s="366"/>
      <c r="AA455" s="366"/>
      <c r="AB455" s="366"/>
      <c r="AC455" s="366"/>
      <c r="AD455" s="366"/>
      <c r="AE455" s="366"/>
      <c r="AF455" s="366"/>
      <c r="AG455" s="366"/>
      <c r="AH455" s="366"/>
      <c r="AI455" s="452"/>
      <c r="AJ455" s="452"/>
      <c r="AK455" s="452"/>
      <c r="AL455" s="354"/>
      <c r="AM455" s="354"/>
      <c r="AN455" s="354"/>
      <c r="AO455" s="358"/>
      <c r="AP455" s="367"/>
      <c r="AQ455" s="340"/>
      <c r="AR455" s="340"/>
      <c r="AS455" s="340"/>
      <c r="AT455" s="340"/>
      <c r="AU455" s="340"/>
      <c r="AV455" s="340"/>
      <c r="AW455" s="342"/>
      <c r="AX455" s="342"/>
      <c r="AY455" s="342"/>
      <c r="AZ455" s="342"/>
      <c r="BA455" s="342"/>
      <c r="BB455" s="342"/>
      <c r="BC455" s="342"/>
      <c r="BD455" s="342"/>
      <c r="BE455" s="342"/>
    </row>
    <row r="456" spans="1:58" ht="14.25" hidden="1" customHeight="1" outlineLevel="1">
      <c r="D456" s="354"/>
      <c r="E456" s="505"/>
      <c r="F456" s="505"/>
      <c r="G456" s="366"/>
      <c r="H456" s="366"/>
      <c r="I456" s="366"/>
      <c r="J456" s="366"/>
      <c r="K456" s="366"/>
      <c r="L456" s="366"/>
      <c r="M456" s="366"/>
      <c r="N456" s="366"/>
      <c r="O456" s="366"/>
      <c r="P456" s="366"/>
      <c r="Q456" s="366"/>
      <c r="R456" s="366"/>
      <c r="S456" s="366"/>
      <c r="T456" s="366"/>
      <c r="U456" s="366"/>
      <c r="V456" s="366"/>
      <c r="W456" s="366"/>
      <c r="X456" s="366"/>
      <c r="Y456" s="366"/>
      <c r="Z456" s="366"/>
      <c r="AA456" s="366"/>
      <c r="AB456" s="366"/>
      <c r="AC456" s="366"/>
      <c r="AD456" s="366"/>
      <c r="AE456" s="366" t="s">
        <v>1983</v>
      </c>
      <c r="AF456" s="366"/>
      <c r="AG456" s="366"/>
      <c r="AH456" s="366"/>
      <c r="AI456" s="452"/>
      <c r="AJ456" s="452"/>
      <c r="AK456" s="452"/>
      <c r="AL456" s="354"/>
      <c r="AM456" s="354"/>
      <c r="AN456" s="354"/>
      <c r="AO456" s="358"/>
      <c r="AP456" s="367"/>
      <c r="AQ456" s="340"/>
      <c r="AR456" s="340"/>
      <c r="AS456" s="340"/>
      <c r="AT456" s="340"/>
      <c r="AU456" s="340"/>
      <c r="AV456" s="340"/>
      <c r="AW456" s="342"/>
      <c r="AX456" s="342"/>
      <c r="AY456" s="342"/>
      <c r="AZ456" s="342"/>
      <c r="BA456" s="342"/>
      <c r="BB456" s="342"/>
      <c r="BC456" s="342"/>
      <c r="BD456" s="342"/>
      <c r="BE456" s="342"/>
    </row>
    <row r="457" spans="1:58" ht="14.25" hidden="1" customHeight="1" outlineLevel="1">
      <c r="A457" s="416" t="s">
        <v>2049</v>
      </c>
      <c r="B457" s="415" t="s">
        <v>1796</v>
      </c>
      <c r="C457" s="501">
        <v>3000</v>
      </c>
      <c r="D457" s="354"/>
      <c r="E457" s="505"/>
      <c r="F457" s="505"/>
      <c r="G457" s="366"/>
      <c r="H457" s="366"/>
      <c r="I457" s="366"/>
      <c r="J457" s="366"/>
      <c r="K457" s="366"/>
      <c r="L457" s="366"/>
      <c r="M457" s="366"/>
      <c r="N457" s="366"/>
      <c r="O457" s="366"/>
      <c r="P457" s="366"/>
      <c r="Q457" s="366" t="s">
        <v>1876</v>
      </c>
      <c r="R457" s="366"/>
      <c r="S457" s="366"/>
      <c r="T457" s="366"/>
      <c r="U457" s="366"/>
      <c r="V457" s="366"/>
      <c r="W457" s="355"/>
      <c r="X457" s="355"/>
      <c r="Y457" s="366"/>
      <c r="Z457" s="366"/>
      <c r="AA457" s="366"/>
      <c r="AB457" s="366"/>
      <c r="AC457" s="366"/>
      <c r="AD457" s="366"/>
      <c r="AE457" s="366"/>
      <c r="AF457" s="366"/>
      <c r="AG457" s="366"/>
      <c r="AH457" s="366"/>
      <c r="AI457" s="452"/>
      <c r="AJ457" s="452"/>
      <c r="AK457" s="452"/>
      <c r="AL457" s="354"/>
      <c r="AM457" s="354"/>
      <c r="AN457" s="354"/>
      <c r="AO457" s="358"/>
      <c r="AP457" s="367"/>
      <c r="AQ457" s="340"/>
      <c r="AR457" s="340"/>
      <c r="AS457" s="340"/>
      <c r="AT457" s="340"/>
      <c r="AU457" s="340"/>
      <c r="AV457" s="340"/>
      <c r="AW457" s="342"/>
      <c r="AX457" s="342"/>
      <c r="AY457" s="342"/>
      <c r="AZ457" s="342"/>
      <c r="BA457" s="342"/>
      <c r="BB457" s="342"/>
      <c r="BC457" s="342"/>
      <c r="BD457" s="342"/>
      <c r="BE457" s="342"/>
    </row>
    <row r="458" spans="1:58" ht="14.25" customHeight="1" collapsed="1">
      <c r="A458" s="3062" t="s">
        <v>2050</v>
      </c>
      <c r="B458" s="3062"/>
      <c r="C458" s="3062"/>
      <c r="D458" s="3062"/>
      <c r="E458" s="3062"/>
      <c r="F458" s="569" t="s">
        <v>1798</v>
      </c>
      <c r="G458" s="366"/>
      <c r="H458" s="366"/>
      <c r="I458" s="366"/>
      <c r="J458" s="366"/>
      <c r="K458" s="366"/>
      <c r="L458" s="366"/>
      <c r="M458" s="366"/>
      <c r="N458" s="366"/>
      <c r="O458" s="366"/>
      <c r="P458" s="366"/>
      <c r="Q458" s="366"/>
      <c r="R458" s="366"/>
      <c r="S458" s="366"/>
      <c r="T458" s="366"/>
      <c r="U458" s="366"/>
      <c r="V458" s="366"/>
      <c r="W458" s="355"/>
      <c r="X458" s="355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452"/>
      <c r="AJ458" s="452"/>
      <c r="AK458" s="452"/>
      <c r="AL458" s="354"/>
      <c r="AM458" s="354"/>
      <c r="AN458" s="354"/>
      <c r="AO458" s="358"/>
      <c r="AP458" s="367"/>
      <c r="AQ458" s="340"/>
      <c r="AR458" s="340"/>
      <c r="AS458" s="340"/>
      <c r="AT458" s="340"/>
      <c r="AU458" s="340"/>
      <c r="AV458" s="340"/>
      <c r="AW458" s="342"/>
      <c r="AX458" s="342"/>
      <c r="AY458" s="342"/>
      <c r="AZ458" s="342"/>
      <c r="BA458" s="342"/>
      <c r="BB458" s="342"/>
      <c r="BC458" s="342"/>
      <c r="BD458" s="342"/>
      <c r="BE458" s="342"/>
    </row>
    <row r="459" spans="1:58" ht="14.25" customHeight="1">
      <c r="A459" s="354"/>
      <c r="B459" s="464"/>
      <c r="C459" s="354"/>
      <c r="D459" s="354"/>
      <c r="E459" s="505"/>
      <c r="F459" s="505"/>
      <c r="G459" s="452"/>
      <c r="H459" s="452"/>
      <c r="I459" s="452"/>
      <c r="J459" s="355"/>
      <c r="K459" s="355"/>
      <c r="L459" s="366"/>
      <c r="M459" s="452"/>
      <c r="N459" s="354"/>
      <c r="O459" s="452"/>
      <c r="P459" s="452"/>
      <c r="R459" s="452"/>
      <c r="S459" s="452"/>
      <c r="T459" s="452"/>
      <c r="U459" s="452"/>
      <c r="V459" s="452"/>
      <c r="W459" s="366"/>
      <c r="X459" s="366"/>
      <c r="Y459" s="452"/>
      <c r="Z459" s="452"/>
      <c r="AA459" s="452"/>
      <c r="AB459" s="452"/>
      <c r="AC459" s="452"/>
      <c r="AD459" s="452"/>
      <c r="AE459" s="452"/>
      <c r="AF459" s="452"/>
      <c r="AG459" s="452"/>
      <c r="AH459" s="452"/>
      <c r="AI459" s="452"/>
      <c r="AJ459" s="452"/>
      <c r="AK459" s="452"/>
      <c r="AL459" s="354"/>
      <c r="AM459" s="354"/>
      <c r="AN459" s="354"/>
      <c r="AO459" s="358"/>
      <c r="AP459" s="367"/>
      <c r="AQ459" s="340"/>
      <c r="AR459" s="340"/>
      <c r="AS459" s="340"/>
      <c r="AT459" s="340"/>
      <c r="AU459" s="340"/>
      <c r="AV459" s="340"/>
      <c r="AW459" s="342"/>
      <c r="AX459" s="342"/>
      <c r="AY459" s="342"/>
      <c r="AZ459" s="342"/>
      <c r="BA459" s="342"/>
      <c r="BB459" s="342"/>
      <c r="BC459" s="342"/>
      <c r="BD459" s="342"/>
      <c r="BE459" s="342"/>
    </row>
    <row r="460" spans="1:58" ht="14.25" hidden="1" customHeight="1" outlineLevel="1">
      <c r="A460" s="3096" t="s">
        <v>2051</v>
      </c>
      <c r="B460" s="3096"/>
      <c r="C460" s="3096"/>
      <c r="D460" s="3096"/>
      <c r="E460" s="3096"/>
      <c r="G460" s="362"/>
      <c r="I460" s="3063" t="s">
        <v>2052</v>
      </c>
      <c r="J460" s="3063"/>
      <c r="K460" s="3063"/>
      <c r="L460" s="3063"/>
      <c r="M460" s="3063"/>
      <c r="N460" s="3063"/>
      <c r="O460" s="3063"/>
      <c r="P460" s="3063"/>
      <c r="Q460" s="3063"/>
      <c r="R460" s="3063"/>
      <c r="S460" s="3063"/>
      <c r="T460" s="3063"/>
      <c r="U460" s="3063"/>
      <c r="V460" s="3063"/>
      <c r="W460" s="3063"/>
      <c r="X460" s="3063"/>
      <c r="Y460" s="3063"/>
      <c r="Z460" s="3063"/>
      <c r="AA460" s="3063"/>
      <c r="AB460" s="3063"/>
      <c r="AC460" s="3063"/>
      <c r="AD460" s="3063"/>
      <c r="AE460" s="3063"/>
      <c r="AK460" s="454"/>
      <c r="AL460" s="454"/>
      <c r="AM460" s="454"/>
      <c r="AN460" s="454"/>
      <c r="AO460" s="454"/>
      <c r="AP460" s="454"/>
      <c r="AQ460" s="570"/>
      <c r="AV460" s="341"/>
      <c r="AW460" s="342"/>
      <c r="AX460" s="342"/>
      <c r="AY460" s="342"/>
      <c r="AZ460" s="342"/>
      <c r="BA460" s="342"/>
      <c r="BB460" s="342"/>
      <c r="BC460" s="342"/>
      <c r="BD460" s="342"/>
      <c r="BE460" s="342"/>
    </row>
    <row r="461" spans="1:58" s="370" customFormat="1" ht="14.25" hidden="1" customHeight="1" outlineLevel="1">
      <c r="A461" s="509"/>
      <c r="B461" s="509"/>
      <c r="C461" s="518"/>
      <c r="D461" s="518"/>
      <c r="E461" s="518"/>
      <c r="F461" s="509"/>
      <c r="G461" s="509"/>
      <c r="H461" s="366"/>
      <c r="I461" s="3063"/>
      <c r="J461" s="3063"/>
      <c r="K461" s="3063"/>
      <c r="L461" s="3063"/>
      <c r="M461" s="3063"/>
      <c r="N461" s="3063"/>
      <c r="O461" s="3063"/>
      <c r="P461" s="3063"/>
      <c r="Q461" s="3063"/>
      <c r="R461" s="3063"/>
      <c r="S461" s="3063"/>
      <c r="T461" s="3063"/>
      <c r="U461" s="3063"/>
      <c r="V461" s="3063"/>
      <c r="W461" s="3063"/>
      <c r="X461" s="3063"/>
      <c r="Y461" s="3063"/>
      <c r="Z461" s="3063"/>
      <c r="AA461" s="3063"/>
      <c r="AB461" s="3063"/>
      <c r="AC461" s="3063"/>
      <c r="AD461" s="3063"/>
      <c r="AE461" s="3063"/>
      <c r="AK461" s="454"/>
      <c r="AL461" s="454"/>
      <c r="AM461" s="454"/>
      <c r="AN461" s="454"/>
      <c r="AO461" s="454"/>
      <c r="AP461" s="454"/>
      <c r="AQ461" s="570"/>
      <c r="AR461" s="428"/>
      <c r="AS461" s="428"/>
      <c r="AT461" s="428"/>
      <c r="AU461" s="428"/>
      <c r="AV461" s="340"/>
      <c r="AW461" s="426"/>
      <c r="AX461" s="426"/>
      <c r="AY461" s="426"/>
      <c r="AZ461" s="426"/>
      <c r="BA461" s="426"/>
      <c r="BB461" s="426"/>
      <c r="BC461" s="426"/>
      <c r="BD461" s="426"/>
      <c r="BE461" s="426"/>
      <c r="BF461" s="428"/>
    </row>
    <row r="462" spans="1:58" s="364" customFormat="1" ht="14.25" hidden="1" customHeight="1" outlineLevel="1">
      <c r="A462" s="3096" t="s">
        <v>2053</v>
      </c>
      <c r="B462" s="3096"/>
      <c r="C462" s="3096"/>
      <c r="D462" s="571" t="s">
        <v>1821</v>
      </c>
      <c r="E462" s="509"/>
      <c r="F462" s="509"/>
      <c r="G462" s="509"/>
      <c r="H462" s="366"/>
      <c r="I462" s="520"/>
      <c r="J462" s="505"/>
      <c r="K462" s="452"/>
      <c r="L462" s="354"/>
      <c r="M462" s="452"/>
      <c r="N462" s="452"/>
      <c r="O462" s="452"/>
      <c r="P462" s="452"/>
      <c r="Q462" s="452"/>
      <c r="R462" s="452"/>
      <c r="S462" s="452"/>
      <c r="T462" s="452"/>
      <c r="U462" s="452"/>
      <c r="V462" s="452"/>
      <c r="W462" s="452"/>
      <c r="X462" s="452"/>
      <c r="Y462" s="452"/>
      <c r="Z462" s="452"/>
      <c r="AA462" s="452"/>
      <c r="AB462" s="452"/>
      <c r="AC462" s="452"/>
      <c r="AD462" s="520"/>
      <c r="AE462" s="520"/>
      <c r="AK462" s="421"/>
      <c r="AL462" s="421"/>
      <c r="AM462" s="421"/>
      <c r="AN462" s="421"/>
      <c r="AO462" s="421"/>
      <c r="AP462" s="421"/>
      <c r="AQ462" s="572"/>
      <c r="AR462" s="368"/>
      <c r="AS462" s="368"/>
      <c r="AT462" s="368"/>
      <c r="AU462" s="368"/>
      <c r="AV462" s="340"/>
      <c r="AW462" s="340"/>
      <c r="AX462" s="340"/>
      <c r="AY462" s="340"/>
      <c r="AZ462" s="340"/>
      <c r="BA462" s="340"/>
      <c r="BB462" s="340"/>
      <c r="BC462" s="340"/>
      <c r="BD462" s="340"/>
      <c r="BE462" s="340"/>
      <c r="BF462" s="368"/>
    </row>
    <row r="463" spans="1:58" s="364" customFormat="1" ht="14.25" hidden="1" customHeight="1" outlineLevel="1">
      <c r="A463" s="509"/>
      <c r="B463" s="509"/>
      <c r="C463" s="509"/>
      <c r="D463" s="509"/>
      <c r="E463" s="509"/>
      <c r="F463" s="366"/>
      <c r="G463" s="381"/>
      <c r="H463" s="354"/>
      <c r="I463" s="456" t="s">
        <v>2054</v>
      </c>
      <c r="J463" s="331"/>
      <c r="K463" s="331"/>
      <c r="L463" s="331"/>
      <c r="M463" s="331"/>
      <c r="N463" s="331"/>
      <c r="O463" s="331"/>
      <c r="P463" s="331"/>
      <c r="Q463" s="331"/>
      <c r="R463" s="331"/>
      <c r="S463" s="331"/>
      <c r="T463" s="331"/>
      <c r="U463" s="331"/>
      <c r="V463" s="452"/>
      <c r="W463" s="452"/>
      <c r="X463" s="452"/>
      <c r="Y463" s="452"/>
      <c r="Z463" s="452"/>
      <c r="AA463" s="452"/>
      <c r="AB463" s="452"/>
      <c r="AC463" s="452"/>
      <c r="AD463" s="520"/>
      <c r="AE463" s="520"/>
      <c r="AK463" s="421"/>
      <c r="AL463" s="421"/>
      <c r="AM463" s="421"/>
      <c r="AN463" s="421"/>
      <c r="AO463" s="421"/>
      <c r="AP463" s="421"/>
      <c r="AQ463" s="572"/>
      <c r="AR463" s="368"/>
      <c r="AS463" s="368"/>
      <c r="AT463" s="368"/>
      <c r="AU463" s="368"/>
      <c r="AV463" s="340"/>
      <c r="AW463" s="340"/>
      <c r="AX463" s="340"/>
      <c r="AY463" s="340"/>
      <c r="AZ463" s="340"/>
      <c r="BA463" s="340"/>
      <c r="BB463" s="340"/>
      <c r="BC463" s="340"/>
      <c r="BD463" s="340"/>
      <c r="BE463" s="340"/>
      <c r="BF463" s="368"/>
    </row>
    <row r="464" spans="1:58" ht="14.25" hidden="1" customHeight="1" outlineLevel="1">
      <c r="A464" s="525" t="s">
        <v>2055</v>
      </c>
      <c r="B464" s="438" t="s">
        <v>120</v>
      </c>
      <c r="C464" s="525" t="s">
        <v>2056</v>
      </c>
      <c r="D464" s="366"/>
      <c r="E464" s="366"/>
      <c r="V464" s="452"/>
      <c r="W464" s="452"/>
      <c r="X464" s="452"/>
      <c r="Y464" s="452"/>
      <c r="Z464" s="452"/>
      <c r="AA464" s="452"/>
      <c r="AB464" s="452"/>
      <c r="AC464" s="452"/>
      <c r="AD464" s="354"/>
      <c r="AE464" s="354"/>
      <c r="AF464" s="354"/>
      <c r="AG464" s="354"/>
      <c r="AH464" s="354"/>
      <c r="AI464" s="354"/>
      <c r="AJ464" s="354"/>
      <c r="AK464" s="354"/>
      <c r="AL464" s="354"/>
      <c r="AM464" s="354"/>
      <c r="AN464" s="354"/>
      <c r="AO464" s="459"/>
      <c r="AP464" s="459"/>
      <c r="AQ464" s="341"/>
      <c r="AR464" s="341"/>
      <c r="AS464" s="341"/>
      <c r="AT464" s="341"/>
      <c r="AU464" s="341"/>
      <c r="AV464" s="341"/>
      <c r="AW464" s="342"/>
      <c r="AX464" s="342"/>
      <c r="AY464" s="342"/>
      <c r="AZ464" s="342"/>
      <c r="BA464" s="342"/>
      <c r="BB464" s="342"/>
      <c r="BC464" s="342"/>
      <c r="BD464" s="342"/>
      <c r="BE464" s="342"/>
    </row>
    <row r="465" spans="1:57" ht="14.25" hidden="1" customHeight="1" outlineLevel="1">
      <c r="A465" s="525" t="s">
        <v>2057</v>
      </c>
      <c r="B465" s="438" t="s">
        <v>159</v>
      </c>
      <c r="C465" s="507">
        <v>1</v>
      </c>
      <c r="D465" s="381"/>
      <c r="E465" s="366"/>
      <c r="F465" s="366"/>
      <c r="G465" s="366"/>
      <c r="H465" s="366"/>
      <c r="I465" s="472"/>
      <c r="V465" s="452"/>
      <c r="W465" s="452"/>
      <c r="X465" s="452"/>
      <c r="Y465" s="452"/>
      <c r="Z465" s="452"/>
      <c r="AA465" s="452"/>
      <c r="AB465" s="452"/>
      <c r="AC465" s="452"/>
      <c r="AD465" s="354"/>
      <c r="AE465" s="354"/>
      <c r="AF465" s="354"/>
      <c r="AG465" s="354"/>
      <c r="AH465" s="354"/>
      <c r="AI465" s="354"/>
      <c r="AJ465" s="354"/>
      <c r="AK465" s="354"/>
      <c r="AL465" s="354"/>
      <c r="AM465" s="452"/>
      <c r="AN465" s="354"/>
      <c r="AO465" s="459"/>
      <c r="AP465" s="459"/>
      <c r="AQ465" s="341"/>
      <c r="AR465" s="341"/>
      <c r="AS465" s="341"/>
      <c r="AT465" s="341"/>
      <c r="AU465" s="341"/>
      <c r="AV465" s="341"/>
      <c r="AW465" s="342"/>
      <c r="AX465" s="342"/>
      <c r="AY465" s="342"/>
      <c r="AZ465" s="342"/>
      <c r="BA465" s="342"/>
      <c r="BB465" s="342"/>
      <c r="BC465" s="342"/>
      <c r="BD465" s="342"/>
      <c r="BE465" s="342"/>
    </row>
    <row r="466" spans="1:57" ht="14.25" hidden="1" customHeight="1" outlineLevel="1">
      <c r="A466" s="488" t="s">
        <v>2058</v>
      </c>
      <c r="B466" s="438" t="s">
        <v>156</v>
      </c>
      <c r="C466" s="507">
        <v>3</v>
      </c>
      <c r="D466" s="366"/>
      <c r="E466" s="366"/>
      <c r="F466" s="366"/>
      <c r="G466" s="366"/>
      <c r="H466" s="366"/>
      <c r="I466" s="472"/>
      <c r="V466" s="452"/>
      <c r="W466" s="452"/>
      <c r="X466" s="452"/>
      <c r="Y466" s="452"/>
      <c r="Z466" s="452"/>
      <c r="AA466" s="452"/>
      <c r="AB466" s="452"/>
      <c r="AC466" s="452"/>
      <c r="AM466" s="452"/>
      <c r="AN466" s="452"/>
      <c r="AO466" s="459"/>
      <c r="AP466" s="459"/>
      <c r="AQ466" s="341"/>
      <c r="AR466" s="341"/>
      <c r="AS466" s="341"/>
      <c r="AT466" s="341"/>
      <c r="AU466" s="341"/>
      <c r="AV466" s="341"/>
      <c r="AW466" s="342"/>
      <c r="AX466" s="342"/>
      <c r="AY466" s="342"/>
      <c r="AZ466" s="342"/>
      <c r="BA466" s="342"/>
      <c r="BB466" s="342"/>
      <c r="BC466" s="342"/>
      <c r="BD466" s="342"/>
      <c r="BE466" s="342"/>
    </row>
    <row r="467" spans="1:57" ht="14.25" hidden="1" customHeight="1" outlineLevel="1">
      <c r="A467" s="488" t="s">
        <v>2059</v>
      </c>
      <c r="B467" s="438" t="s">
        <v>156</v>
      </c>
      <c r="C467" s="507">
        <v>1</v>
      </c>
      <c r="D467" s="366"/>
      <c r="E467" s="366"/>
      <c r="F467" s="3103" t="s">
        <v>1894</v>
      </c>
      <c r="G467" s="366"/>
      <c r="H467" s="366"/>
      <c r="I467" s="472"/>
      <c r="J467" s="505"/>
      <c r="U467" s="331" t="s">
        <v>2060</v>
      </c>
      <c r="V467" s="452"/>
      <c r="W467" s="452"/>
      <c r="X467" s="452"/>
      <c r="Y467" s="452"/>
      <c r="Z467" s="452"/>
      <c r="AA467" s="452"/>
      <c r="AB467" s="452"/>
      <c r="AC467" s="452"/>
      <c r="AM467" s="452"/>
      <c r="AN467" s="452"/>
      <c r="AO467" s="459"/>
      <c r="AP467" s="459"/>
      <c r="AQ467" s="341"/>
      <c r="AR467" s="341"/>
      <c r="AS467" s="341"/>
      <c r="AT467" s="341"/>
      <c r="AU467" s="341"/>
      <c r="AV467" s="341"/>
      <c r="AW467" s="342"/>
      <c r="AX467" s="342"/>
      <c r="AY467" s="342"/>
      <c r="AZ467" s="342"/>
      <c r="BA467" s="342"/>
      <c r="BB467" s="342"/>
      <c r="BC467" s="342">
        <v>1</v>
      </c>
      <c r="BD467" s="384" t="e">
        <f>#REF!</f>
        <v>#REF!</v>
      </c>
      <c r="BE467" s="342"/>
    </row>
    <row r="468" spans="1:57" ht="14.25" hidden="1" customHeight="1" outlineLevel="1">
      <c r="A468" s="486" t="s">
        <v>2061</v>
      </c>
      <c r="B468" s="438" t="s">
        <v>156</v>
      </c>
      <c r="C468" s="507">
        <v>0.9</v>
      </c>
      <c r="D468" s="366"/>
      <c r="E468" s="366"/>
      <c r="F468" s="3103"/>
      <c r="G468" s="366"/>
      <c r="H468" s="366"/>
      <c r="I468" s="472"/>
      <c r="J468" s="505"/>
      <c r="U468" s="331" t="s">
        <v>2062</v>
      </c>
      <c r="V468" s="452"/>
      <c r="W468" s="452"/>
      <c r="X468" s="452"/>
      <c r="Y468" s="452"/>
      <c r="Z468" s="452"/>
      <c r="AA468" s="452"/>
      <c r="AB468" s="452"/>
      <c r="AC468" s="452"/>
      <c r="AM468" s="452"/>
      <c r="AN468" s="452"/>
      <c r="AO468" s="459"/>
      <c r="AP468" s="459"/>
      <c r="AQ468" s="341"/>
      <c r="AR468" s="341"/>
      <c r="AS468" s="341"/>
      <c r="AT468" s="341"/>
      <c r="AU468" s="341"/>
      <c r="AV468" s="341"/>
      <c r="AW468" s="342"/>
      <c r="AX468" s="342"/>
      <c r="AY468" s="342"/>
      <c r="AZ468" s="342"/>
      <c r="BA468" s="342"/>
      <c r="BB468" s="342"/>
      <c r="BC468" s="342">
        <v>2</v>
      </c>
      <c r="BD468" s="384" t="e">
        <f>#REF!</f>
        <v>#REF!</v>
      </c>
      <c r="BE468" s="342"/>
    </row>
    <row r="469" spans="1:57" ht="14.25" hidden="1" customHeight="1" outlineLevel="1">
      <c r="A469" s="354"/>
      <c r="B469" s="464"/>
      <c r="C469" s="354"/>
      <c r="D469" s="354"/>
      <c r="E469" s="354"/>
      <c r="F469" s="3103"/>
      <c r="G469" s="366"/>
      <c r="H469" s="366"/>
      <c r="I469" s="472"/>
      <c r="J469" s="505"/>
      <c r="V469" s="452"/>
      <c r="W469" s="452"/>
      <c r="X469" s="452"/>
      <c r="Y469" s="452"/>
      <c r="Z469" s="452"/>
      <c r="AA469" s="452"/>
      <c r="AB469" s="452"/>
      <c r="AC469" s="452"/>
      <c r="AM469" s="452"/>
      <c r="AN469" s="452"/>
      <c r="AO469" s="459"/>
      <c r="AP469" s="459"/>
      <c r="AQ469" s="341"/>
      <c r="AR469" s="341"/>
      <c r="AS469" s="341"/>
      <c r="AT469" s="341"/>
      <c r="AU469" s="341"/>
      <c r="AV469" s="341"/>
      <c r="AW469" s="342"/>
      <c r="AX469" s="342"/>
      <c r="AY469" s="342"/>
      <c r="AZ469" s="342"/>
      <c r="BA469" s="342"/>
      <c r="BB469" s="342"/>
      <c r="BC469" s="342">
        <v>3</v>
      </c>
      <c r="BD469" s="384" t="e">
        <f>#REF!</f>
        <v>#REF!</v>
      </c>
      <c r="BE469" s="342"/>
    </row>
    <row r="470" spans="1:57" ht="14.25" hidden="1" customHeight="1" outlineLevel="1">
      <c r="A470" s="366" t="s">
        <v>2063</v>
      </c>
      <c r="B470" s="381"/>
      <c r="C470" s="366"/>
      <c r="D470" s="366"/>
      <c r="E470" s="366"/>
      <c r="F470" s="366"/>
      <c r="G470" s="366"/>
      <c r="H470" s="366"/>
      <c r="I470" s="472"/>
      <c r="J470" s="505"/>
      <c r="K470" s="366"/>
      <c r="L470" s="520"/>
      <c r="M470" s="366"/>
      <c r="N470" s="366"/>
      <c r="O470" s="366"/>
      <c r="P470" s="366"/>
      <c r="Q470" s="366"/>
      <c r="R470" s="366"/>
      <c r="S470" s="366"/>
      <c r="T470" s="366"/>
      <c r="U470" s="366" t="s">
        <v>2064</v>
      </c>
      <c r="V470" s="452"/>
      <c r="W470" s="452"/>
      <c r="X470" s="452"/>
      <c r="Y470" s="452"/>
      <c r="Z470" s="452"/>
      <c r="AA470" s="452"/>
      <c r="AB470" s="452"/>
      <c r="AC470" s="452"/>
      <c r="AM470" s="452"/>
      <c r="AN470" s="452"/>
      <c r="AO470" s="459"/>
      <c r="AP470" s="459"/>
      <c r="AQ470" s="341"/>
      <c r="AR470" s="341"/>
      <c r="AS470" s="341"/>
      <c r="AT470" s="341"/>
      <c r="AU470" s="341"/>
      <c r="AV470" s="341"/>
      <c r="AW470" s="342"/>
      <c r="AX470" s="342"/>
      <c r="AY470" s="342"/>
      <c r="AZ470" s="342"/>
      <c r="BA470" s="342"/>
      <c r="BB470" s="342"/>
      <c r="BC470" s="342"/>
      <c r="BD470" s="342"/>
      <c r="BE470" s="342"/>
    </row>
    <row r="471" spans="1:57" ht="14.25" hidden="1" customHeight="1" outlineLevel="1">
      <c r="A471" s="483" t="s">
        <v>2065</v>
      </c>
      <c r="B471" s="381"/>
      <c r="C471" s="366"/>
      <c r="D471" s="366"/>
      <c r="E471" s="366"/>
      <c r="F471" s="366"/>
      <c r="G471" s="366"/>
      <c r="H471" s="366"/>
      <c r="I471" s="472"/>
      <c r="J471" s="505"/>
      <c r="K471" s="366"/>
      <c r="L471" s="520"/>
      <c r="M471" s="366"/>
      <c r="N471" s="366"/>
      <c r="O471" s="366"/>
      <c r="P471" s="366"/>
      <c r="Q471" s="366"/>
      <c r="R471" s="366"/>
      <c r="S471" s="366"/>
      <c r="T471" s="366"/>
      <c r="U471" s="366"/>
      <c r="V471" s="452"/>
      <c r="W471" s="452"/>
      <c r="X471" s="452"/>
      <c r="Y471" s="452"/>
      <c r="Z471" s="452"/>
      <c r="AA471" s="452"/>
      <c r="AB471" s="452"/>
      <c r="AC471" s="452"/>
      <c r="AM471" s="452"/>
      <c r="AN471" s="452"/>
      <c r="AO471" s="459"/>
      <c r="AP471" s="459"/>
      <c r="AQ471" s="341"/>
      <c r="AR471" s="341"/>
      <c r="AS471" s="341"/>
      <c r="AT471" s="341"/>
      <c r="AU471" s="341"/>
      <c r="AV471" s="341"/>
      <c r="AW471" s="342"/>
      <c r="AX471" s="342"/>
      <c r="AY471" s="342"/>
      <c r="AZ471" s="342"/>
      <c r="BA471" s="342"/>
      <c r="BB471" s="342"/>
      <c r="BC471" s="342"/>
      <c r="BD471" s="342"/>
      <c r="BE471" s="342"/>
    </row>
    <row r="472" spans="1:57" ht="14.25" hidden="1" customHeight="1" outlineLevel="1">
      <c r="A472" s="331" t="s">
        <v>2066</v>
      </c>
      <c r="B472" s="381"/>
      <c r="C472" s="366"/>
      <c r="D472" s="366"/>
      <c r="E472" s="366"/>
      <c r="F472" s="366"/>
      <c r="G472" s="366"/>
      <c r="H472" s="366"/>
      <c r="I472" s="472"/>
      <c r="J472" s="505"/>
      <c r="K472" s="366"/>
      <c r="L472" s="520"/>
      <c r="M472" s="366"/>
      <c r="N472" s="366"/>
      <c r="O472" s="366"/>
      <c r="P472" s="366"/>
      <c r="Q472" s="366"/>
      <c r="R472" s="366"/>
      <c r="S472" s="366"/>
      <c r="T472" s="366"/>
      <c r="U472" s="366"/>
      <c r="V472" s="452"/>
      <c r="W472" s="452"/>
      <c r="X472" s="452"/>
      <c r="Y472" s="452"/>
      <c r="Z472" s="452"/>
      <c r="AA472" s="452"/>
      <c r="AB472" s="452"/>
      <c r="AC472" s="452"/>
      <c r="AM472" s="452"/>
      <c r="AN472" s="452"/>
      <c r="AO472" s="459"/>
      <c r="AP472" s="459"/>
      <c r="AQ472" s="341"/>
      <c r="AR472" s="341"/>
      <c r="AS472" s="341"/>
      <c r="AT472" s="341"/>
      <c r="AU472" s="341"/>
      <c r="AV472" s="341"/>
      <c r="AW472" s="342"/>
      <c r="AX472" s="342"/>
      <c r="AY472" s="342"/>
      <c r="AZ472" s="342"/>
      <c r="BA472" s="342"/>
      <c r="BB472" s="342"/>
      <c r="BC472" s="342"/>
      <c r="BD472" s="342"/>
      <c r="BE472" s="342"/>
    </row>
    <row r="473" spans="1:57" ht="14.25" hidden="1" customHeight="1" outlineLevel="1">
      <c r="A473" s="483" t="s">
        <v>404</v>
      </c>
      <c r="B473" s="381"/>
      <c r="C473" s="366"/>
      <c r="D473" s="366"/>
      <c r="E473" s="366"/>
      <c r="F473" s="366"/>
      <c r="G473" s="366"/>
      <c r="H473" s="366"/>
      <c r="I473" s="472"/>
      <c r="J473" s="505"/>
      <c r="K473" s="366"/>
      <c r="L473" s="520"/>
      <c r="M473" s="366"/>
      <c r="N473" s="366"/>
      <c r="O473" s="366"/>
      <c r="P473" s="366"/>
      <c r="Q473" s="366"/>
      <c r="R473" s="366"/>
      <c r="S473" s="366"/>
      <c r="T473" s="366"/>
      <c r="U473" s="366"/>
      <c r="V473" s="452"/>
      <c r="W473" s="452"/>
      <c r="X473" s="452"/>
      <c r="Y473" s="452"/>
      <c r="Z473" s="452"/>
      <c r="AA473" s="452"/>
      <c r="AB473" s="452"/>
      <c r="AC473" s="452"/>
      <c r="AM473" s="452"/>
      <c r="AN473" s="452"/>
      <c r="AO473" s="459"/>
      <c r="AP473" s="459"/>
      <c r="AQ473" s="341"/>
      <c r="AR473" s="341"/>
      <c r="AS473" s="341"/>
      <c r="AT473" s="341"/>
      <c r="AU473" s="341"/>
      <c r="AV473" s="341"/>
      <c r="AW473" s="342"/>
      <c r="AX473" s="342"/>
      <c r="AY473" s="342"/>
      <c r="AZ473" s="342"/>
      <c r="BA473" s="342"/>
      <c r="BB473" s="342"/>
      <c r="BC473" s="342"/>
      <c r="BD473" s="342"/>
      <c r="BE473" s="342"/>
    </row>
    <row r="474" spans="1:57" ht="14.25" hidden="1" customHeight="1" outlineLevel="1">
      <c r="A474" s="331" t="s">
        <v>2067</v>
      </c>
      <c r="B474" s="381"/>
      <c r="C474" s="366"/>
      <c r="D474" s="366"/>
      <c r="E474" s="366"/>
      <c r="F474" s="366"/>
      <c r="G474" s="366"/>
      <c r="H474" s="366"/>
      <c r="I474" s="366"/>
      <c r="J474" s="366"/>
      <c r="K474" s="366"/>
      <c r="L474" s="520"/>
      <c r="M474" s="366"/>
      <c r="N474" s="366"/>
      <c r="O474" s="366"/>
      <c r="P474" s="366"/>
      <c r="Q474" s="366"/>
      <c r="R474" s="366"/>
      <c r="S474" s="366"/>
      <c r="T474" s="366"/>
      <c r="U474" s="366"/>
      <c r="V474" s="452"/>
      <c r="W474" s="452"/>
      <c r="X474" s="452"/>
      <c r="Y474" s="452"/>
      <c r="Z474" s="452"/>
      <c r="AA474" s="452"/>
      <c r="AB474" s="452"/>
      <c r="AC474" s="452"/>
      <c r="AM474" s="452"/>
      <c r="AN474" s="452"/>
      <c r="AO474" s="459"/>
      <c r="AP474" s="459"/>
      <c r="AQ474" s="341"/>
      <c r="AR474" s="341"/>
      <c r="AS474" s="341"/>
      <c r="AT474" s="341"/>
      <c r="AU474" s="341"/>
      <c r="AV474" s="341"/>
      <c r="AW474" s="342"/>
      <c r="AX474" s="342"/>
      <c r="AY474" s="342"/>
      <c r="AZ474" s="342"/>
      <c r="BA474" s="342"/>
      <c r="BB474" s="342"/>
      <c r="BC474" s="342"/>
      <c r="BD474" s="342"/>
      <c r="BE474" s="342"/>
    </row>
    <row r="475" spans="1:57" ht="14.25" hidden="1" customHeight="1" outlineLevel="1">
      <c r="A475" s="483" t="s">
        <v>2068</v>
      </c>
      <c r="D475" s="366"/>
      <c r="E475" s="366"/>
      <c r="F475" s="366"/>
      <c r="G475" s="366"/>
      <c r="H475" s="366"/>
      <c r="I475" s="366"/>
      <c r="J475" s="366"/>
      <c r="K475" s="366"/>
      <c r="L475" s="520"/>
      <c r="M475" s="366"/>
      <c r="N475" s="366"/>
      <c r="O475" s="366"/>
      <c r="P475" s="366"/>
      <c r="Q475" s="366"/>
      <c r="R475" s="366"/>
      <c r="S475" s="366"/>
      <c r="T475" s="366"/>
      <c r="U475" s="366"/>
      <c r="V475" s="452"/>
      <c r="W475" s="452"/>
      <c r="X475" s="452"/>
      <c r="Y475" s="452"/>
      <c r="Z475" s="452"/>
      <c r="AA475" s="452"/>
      <c r="AB475" s="452"/>
      <c r="AC475" s="452"/>
      <c r="AM475" s="452"/>
      <c r="AN475" s="452"/>
      <c r="AO475" s="459"/>
      <c r="AP475" s="459"/>
      <c r="AQ475" s="341"/>
      <c r="AR475" s="341"/>
      <c r="AS475" s="341"/>
      <c r="AT475" s="341"/>
      <c r="AU475" s="341"/>
      <c r="AV475" s="341"/>
      <c r="AW475" s="342"/>
      <c r="AX475" s="342"/>
      <c r="AY475" s="342"/>
      <c r="AZ475" s="342"/>
      <c r="BA475" s="342"/>
      <c r="BB475" s="342"/>
      <c r="BC475" s="342"/>
      <c r="BD475" s="342"/>
      <c r="BE475" s="342"/>
    </row>
    <row r="476" spans="1:57" ht="14.25" hidden="1" customHeight="1" outlineLevel="1">
      <c r="F476" s="366"/>
      <c r="G476" s="366"/>
      <c r="H476" s="366"/>
      <c r="I476" s="366"/>
      <c r="J476" s="366"/>
      <c r="K476" s="366"/>
      <c r="L476" s="520"/>
      <c r="M476" s="366"/>
      <c r="N476" s="366"/>
      <c r="O476" s="366"/>
      <c r="P476" s="366"/>
      <c r="Q476" s="366"/>
      <c r="R476" s="366"/>
      <c r="S476" s="366"/>
      <c r="T476" s="366"/>
      <c r="U476" s="366"/>
      <c r="V476" s="354"/>
      <c r="W476" s="354"/>
      <c r="X476" s="354"/>
      <c r="Y476" s="354"/>
      <c r="Z476" s="354"/>
      <c r="AA476" s="354"/>
      <c r="AB476" s="354"/>
      <c r="AC476" s="452"/>
      <c r="AM476" s="452"/>
      <c r="AN476" s="452"/>
      <c r="AO476" s="459"/>
      <c r="AP476" s="459"/>
      <c r="AQ476" s="341"/>
      <c r="AR476" s="341"/>
      <c r="AS476" s="341"/>
      <c r="AT476" s="341"/>
      <c r="AU476" s="341"/>
      <c r="AV476" s="341"/>
      <c r="AW476" s="342"/>
      <c r="AX476" s="342"/>
      <c r="AY476" s="342"/>
      <c r="AZ476" s="342"/>
      <c r="BA476" s="342"/>
      <c r="BB476" s="342"/>
      <c r="BC476" s="342"/>
      <c r="BD476" s="342"/>
      <c r="BE476" s="342"/>
    </row>
    <row r="477" spans="1:57" ht="14.25" hidden="1" customHeight="1" outlineLevel="1">
      <c r="F477" s="366"/>
      <c r="G477" s="366"/>
      <c r="H477" s="366"/>
      <c r="I477" s="472"/>
      <c r="J477" s="505"/>
      <c r="K477" s="3099" t="s">
        <v>2069</v>
      </c>
      <c r="L477" s="3099"/>
      <c r="M477" s="3099"/>
      <c r="N477" s="3099"/>
      <c r="O477" s="3099"/>
      <c r="P477" s="366"/>
      <c r="Q477" s="366"/>
      <c r="R477" s="366"/>
      <c r="S477" s="366"/>
      <c r="T477" s="366"/>
      <c r="U477" s="366"/>
      <c r="V477" s="354"/>
      <c r="W477" s="354"/>
      <c r="X477" s="354"/>
      <c r="Y477" s="354"/>
      <c r="Z477" s="354"/>
      <c r="AA477" s="354"/>
      <c r="AB477" s="354"/>
      <c r="AC477" s="452"/>
      <c r="AM477" s="452"/>
      <c r="AN477" s="452"/>
      <c r="AO477" s="459"/>
      <c r="AP477" s="459"/>
      <c r="AQ477" s="341"/>
      <c r="AR477" s="341"/>
      <c r="AS477" s="341"/>
      <c r="AT477" s="341"/>
      <c r="AU477" s="341"/>
      <c r="AV477" s="341"/>
      <c r="AW477" s="342"/>
      <c r="AX477" s="342"/>
      <c r="AY477" s="342"/>
      <c r="AZ477" s="342"/>
      <c r="BA477" s="342"/>
      <c r="BB477" s="342"/>
      <c r="BC477" s="342"/>
      <c r="BD477" s="342"/>
      <c r="BE477" s="342"/>
    </row>
    <row r="478" spans="1:57" ht="14.25" hidden="1" customHeight="1" outlineLevel="1">
      <c r="G478" s="3104" t="s">
        <v>2070</v>
      </c>
      <c r="H478" s="3104"/>
      <c r="I478" s="472"/>
      <c r="J478" s="505"/>
      <c r="K478" s="3099"/>
      <c r="L478" s="3099"/>
      <c r="M478" s="3099"/>
      <c r="N478" s="3099"/>
      <c r="O478" s="3099"/>
      <c r="P478" s="354"/>
      <c r="Q478" s="354"/>
      <c r="R478" s="354"/>
      <c r="S478" s="354"/>
      <c r="T478" s="354"/>
      <c r="U478" s="354"/>
      <c r="V478" s="354"/>
      <c r="W478" s="354"/>
      <c r="X478" s="354"/>
      <c r="Y478" s="354"/>
      <c r="Z478" s="354"/>
      <c r="AA478" s="354"/>
      <c r="AB478" s="354"/>
      <c r="AC478" s="452"/>
      <c r="AM478" s="452"/>
      <c r="AN478" s="452"/>
      <c r="AO478" s="459"/>
      <c r="AP478" s="459"/>
      <c r="AQ478" s="341"/>
      <c r="AR478" s="341"/>
      <c r="AS478" s="341"/>
      <c r="AT478" s="341"/>
      <c r="AU478" s="341"/>
      <c r="AV478" s="341"/>
      <c r="AW478" s="342"/>
      <c r="AX478" s="342"/>
      <c r="AY478" s="342"/>
      <c r="AZ478" s="342"/>
      <c r="BA478" s="342"/>
      <c r="BB478" s="342"/>
      <c r="BC478" s="342"/>
      <c r="BD478" s="342"/>
      <c r="BE478" s="342"/>
    </row>
    <row r="479" spans="1:57" ht="14.25" hidden="1" customHeight="1" outlineLevel="1">
      <c r="G479" s="366"/>
      <c r="H479" s="354"/>
      <c r="I479" s="472"/>
      <c r="J479" s="505"/>
      <c r="K479" s="3099"/>
      <c r="L479" s="3099"/>
      <c r="M479" s="3099"/>
      <c r="N479" s="3099"/>
      <c r="O479" s="3099"/>
      <c r="P479" s="354"/>
      <c r="Q479" s="354"/>
      <c r="R479" s="354"/>
      <c r="S479" s="354"/>
      <c r="T479" s="354"/>
      <c r="U479" s="354"/>
      <c r="V479" s="354"/>
      <c r="W479" s="354"/>
      <c r="X479" s="354"/>
      <c r="Y479" s="354"/>
      <c r="Z479" s="354"/>
      <c r="AA479" s="354"/>
      <c r="AB479" s="354"/>
      <c r="AC479" s="452"/>
      <c r="AM479" s="452"/>
      <c r="AN479" s="452"/>
      <c r="AO479" s="459"/>
      <c r="AP479" s="459"/>
      <c r="AQ479" s="341"/>
      <c r="AR479" s="341"/>
      <c r="AS479" s="341"/>
      <c r="AT479" s="341"/>
      <c r="AU479" s="341"/>
      <c r="AV479" s="341"/>
      <c r="AW479" s="342"/>
      <c r="AX479" s="342"/>
      <c r="AY479" s="342"/>
      <c r="AZ479" s="342"/>
      <c r="BA479" s="342"/>
      <c r="BB479" s="342"/>
      <c r="BC479" s="342"/>
      <c r="BD479" s="342"/>
      <c r="BE479" s="342"/>
    </row>
    <row r="480" spans="1:57" ht="14.25" hidden="1" customHeight="1" outlineLevel="1">
      <c r="G480" s="366"/>
      <c r="H480" s="354"/>
      <c r="I480" s="472"/>
      <c r="J480" s="505"/>
      <c r="K480" s="354" t="s">
        <v>2071</v>
      </c>
      <c r="L480" s="354"/>
      <c r="M480" s="354"/>
      <c r="N480" s="354"/>
      <c r="O480" s="354"/>
      <c r="P480" s="354"/>
      <c r="Q480" s="354"/>
      <c r="R480" s="354"/>
      <c r="S480" s="354"/>
      <c r="T480" s="354"/>
      <c r="U480" s="354"/>
      <c r="V480" s="354"/>
      <c r="W480" s="354"/>
      <c r="X480" s="354"/>
      <c r="Y480" s="354"/>
      <c r="Z480" s="354"/>
      <c r="AA480" s="354"/>
      <c r="AB480" s="354"/>
      <c r="AC480" s="452"/>
      <c r="AM480" s="452"/>
      <c r="AN480" s="452"/>
      <c r="AO480" s="459"/>
      <c r="AP480" s="459"/>
      <c r="AQ480" s="341"/>
      <c r="AR480" s="341"/>
      <c r="AS480" s="341"/>
      <c r="AT480" s="341"/>
      <c r="AU480" s="341"/>
      <c r="AV480" s="341"/>
      <c r="AW480" s="342"/>
      <c r="AX480" s="342"/>
      <c r="AY480" s="342"/>
      <c r="AZ480" s="342"/>
      <c r="BA480" s="342"/>
      <c r="BB480" s="342"/>
      <c r="BC480" s="342"/>
      <c r="BD480" s="342"/>
      <c r="BE480" s="342"/>
    </row>
    <row r="481" spans="1:58" ht="12.75" hidden="1" customHeight="1" outlineLevel="1">
      <c r="A481" s="3096" t="s">
        <v>2072</v>
      </c>
      <c r="B481" s="3096"/>
      <c r="C481" s="3096"/>
      <c r="D481" s="571" t="s">
        <v>1798</v>
      </c>
      <c r="E481" s="366"/>
      <c r="AM481" s="452"/>
      <c r="AN481" s="452"/>
      <c r="AO481" s="459"/>
      <c r="AP481" s="459"/>
      <c r="AQ481" s="341"/>
      <c r="AR481" s="341"/>
      <c r="AS481" s="341"/>
      <c r="AT481" s="341"/>
      <c r="AU481" s="341"/>
      <c r="AV481" s="341"/>
      <c r="AW481" s="342"/>
      <c r="AX481" s="342"/>
      <c r="AY481" s="342"/>
      <c r="AZ481" s="342"/>
      <c r="BA481" s="342"/>
      <c r="BB481" s="342"/>
      <c r="BC481" s="342"/>
      <c r="BD481" s="342"/>
      <c r="BE481" s="342"/>
    </row>
    <row r="482" spans="1:58" ht="14.25" hidden="1" customHeight="1" outlineLevel="1">
      <c r="D482" s="364"/>
      <c r="E482" s="366"/>
      <c r="AM482" s="366"/>
      <c r="AN482" s="452"/>
      <c r="AO482" s="459"/>
      <c r="AP482" s="459"/>
      <c r="AQ482" s="341"/>
      <c r="AR482" s="341"/>
      <c r="AS482" s="341"/>
      <c r="AT482" s="341"/>
      <c r="AU482" s="341"/>
      <c r="AV482" s="341"/>
      <c r="AW482" s="342"/>
      <c r="AX482" s="342"/>
      <c r="AY482" s="342"/>
      <c r="AZ482" s="342"/>
      <c r="BA482" s="342"/>
      <c r="BB482" s="342"/>
      <c r="BC482" s="342"/>
      <c r="BD482" s="342"/>
      <c r="BE482" s="342"/>
    </row>
    <row r="483" spans="1:58" ht="14.25" hidden="1" customHeight="1" outlineLevel="1">
      <c r="A483" s="525" t="s">
        <v>2055</v>
      </c>
      <c r="B483" s="438" t="s">
        <v>120</v>
      </c>
      <c r="C483" s="525" t="s">
        <v>2056</v>
      </c>
      <c r="D483" s="364"/>
      <c r="E483" s="366"/>
      <c r="AM483" s="366"/>
      <c r="AN483" s="452"/>
      <c r="AO483" s="459"/>
      <c r="AP483" s="459"/>
      <c r="AQ483" s="341"/>
      <c r="AR483" s="341"/>
      <c r="AS483" s="341"/>
      <c r="AT483" s="341"/>
      <c r="AU483" s="341"/>
      <c r="AV483" s="341"/>
      <c r="AW483" s="342"/>
      <c r="AX483" s="342"/>
      <c r="AY483" s="342"/>
      <c r="AZ483" s="342"/>
      <c r="BA483" s="342"/>
      <c r="BB483" s="342"/>
      <c r="BC483" s="342"/>
      <c r="BD483" s="342"/>
      <c r="BE483" s="342"/>
    </row>
    <row r="484" spans="1:58" ht="14.25" hidden="1" customHeight="1" outlineLevel="1">
      <c r="A484" s="525" t="s">
        <v>2057</v>
      </c>
      <c r="B484" s="438" t="s">
        <v>159</v>
      </c>
      <c r="C484" s="507">
        <v>1</v>
      </c>
      <c r="D484" s="364"/>
      <c r="E484" s="366"/>
      <c r="I484" s="456" t="s">
        <v>2054</v>
      </c>
      <c r="AN484" s="452"/>
      <c r="AO484" s="459"/>
      <c r="AP484" s="459"/>
      <c r="AQ484" s="341"/>
      <c r="AR484" s="341"/>
      <c r="AS484" s="341"/>
      <c r="AT484" s="341"/>
      <c r="AU484" s="341"/>
      <c r="AV484" s="341"/>
      <c r="AW484" s="342"/>
      <c r="AX484" s="342"/>
      <c r="AY484" s="342"/>
      <c r="AZ484" s="342"/>
      <c r="BA484" s="342"/>
      <c r="BB484" s="342"/>
      <c r="BC484" s="342"/>
      <c r="BD484" s="342"/>
      <c r="BE484" s="342"/>
    </row>
    <row r="485" spans="1:58" ht="14.25" hidden="1" customHeight="1" outlineLevel="1">
      <c r="A485" s="488" t="s">
        <v>2058</v>
      </c>
      <c r="B485" s="438" t="s">
        <v>156</v>
      </c>
      <c r="C485" s="507">
        <v>2</v>
      </c>
      <c r="D485" s="364"/>
      <c r="E485" s="366"/>
      <c r="AN485" s="452"/>
      <c r="AO485" s="459"/>
      <c r="AP485" s="459"/>
      <c r="AQ485" s="341"/>
      <c r="AR485" s="341"/>
      <c r="AS485" s="341"/>
      <c r="AT485" s="341"/>
      <c r="AU485" s="341"/>
      <c r="AV485" s="341"/>
      <c r="AW485" s="342"/>
      <c r="AX485" s="342"/>
      <c r="AY485" s="342"/>
      <c r="AZ485" s="342"/>
      <c r="BA485" s="342"/>
      <c r="BB485" s="342"/>
      <c r="BC485" s="342"/>
      <c r="BD485" s="342"/>
      <c r="BE485" s="342"/>
    </row>
    <row r="486" spans="1:58" s="364" customFormat="1" ht="14.25" hidden="1" customHeight="1" outlineLevel="1">
      <c r="A486" s="488" t="s">
        <v>2059</v>
      </c>
      <c r="B486" s="438" t="s">
        <v>156</v>
      </c>
      <c r="C486" s="507">
        <v>1.6</v>
      </c>
      <c r="D486" s="366"/>
      <c r="E486" s="366"/>
      <c r="F486" s="366"/>
      <c r="G486" s="366"/>
      <c r="H486" s="366"/>
      <c r="I486" s="472"/>
      <c r="J486" s="331"/>
      <c r="K486" s="331"/>
      <c r="L486" s="331"/>
      <c r="M486" s="331"/>
      <c r="N486" s="331"/>
      <c r="O486" s="331"/>
      <c r="P486" s="331"/>
      <c r="Q486" s="331"/>
      <c r="R486" s="331"/>
      <c r="S486" s="331"/>
      <c r="T486" s="331"/>
      <c r="U486" s="331"/>
      <c r="V486" s="366"/>
      <c r="W486" s="366"/>
      <c r="X486" s="366"/>
      <c r="Y486" s="366"/>
      <c r="Z486" s="366"/>
      <c r="AA486" s="366"/>
      <c r="AB486" s="366"/>
      <c r="AC486" s="366"/>
      <c r="AD486" s="366"/>
      <c r="AE486" s="366"/>
      <c r="AF486" s="366"/>
      <c r="AG486" s="366"/>
      <c r="AH486" s="366"/>
      <c r="AI486" s="366"/>
      <c r="AJ486" s="366"/>
      <c r="AK486" s="366"/>
      <c r="AL486" s="366"/>
      <c r="AM486" s="366"/>
      <c r="AN486" s="366"/>
      <c r="AO486" s="367"/>
      <c r="AP486" s="367"/>
      <c r="AQ486" s="340"/>
      <c r="AR486" s="340"/>
      <c r="AS486" s="573"/>
      <c r="AT486" s="573"/>
      <c r="AU486" s="340"/>
      <c r="AV486" s="340"/>
      <c r="AW486" s="340"/>
      <c r="AX486" s="340"/>
      <c r="AY486" s="340"/>
      <c r="AZ486" s="340"/>
      <c r="BA486" s="340"/>
      <c r="BB486" s="340"/>
      <c r="BC486" s="340"/>
      <c r="BD486" s="340"/>
      <c r="BE486" s="340"/>
      <c r="BF486" s="368"/>
    </row>
    <row r="487" spans="1:58" s="364" customFormat="1" ht="14.25" hidden="1" customHeight="1" outlineLevel="1">
      <c r="A487" s="486" t="s">
        <v>2073</v>
      </c>
      <c r="B487" s="438" t="s">
        <v>156</v>
      </c>
      <c r="C487" s="507">
        <v>0.9</v>
      </c>
      <c r="D487" s="366"/>
      <c r="E487" s="366"/>
      <c r="F487" s="366"/>
      <c r="G487" s="366"/>
      <c r="H487" s="366"/>
      <c r="I487" s="472"/>
      <c r="J487" s="331"/>
      <c r="K487" s="331"/>
      <c r="L487" s="331"/>
      <c r="M487" s="331"/>
      <c r="N487" s="331"/>
      <c r="O487" s="331"/>
      <c r="P487" s="331"/>
      <c r="Q487" s="331"/>
      <c r="R487" s="331"/>
      <c r="S487" s="331"/>
      <c r="T487" s="331"/>
      <c r="U487" s="331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7"/>
      <c r="AP487" s="367"/>
      <c r="AQ487" s="340"/>
      <c r="AR487" s="340"/>
      <c r="AS487" s="573"/>
      <c r="AT487" s="573"/>
      <c r="AU487" s="340"/>
      <c r="AV487" s="340"/>
      <c r="AW487" s="340"/>
      <c r="AX487" s="340"/>
      <c r="AY487" s="340"/>
      <c r="AZ487" s="340"/>
      <c r="BA487" s="340"/>
      <c r="BB487" s="340"/>
      <c r="BC487" s="340"/>
      <c r="BD487" s="340"/>
      <c r="BE487" s="340"/>
      <c r="BF487" s="368"/>
    </row>
    <row r="488" spans="1:58" s="364" customFormat="1" ht="14.25" hidden="1" customHeight="1" outlineLevel="1">
      <c r="A488" s="492"/>
      <c r="B488" s="490"/>
      <c r="C488" s="492"/>
      <c r="D488" s="366"/>
      <c r="E488" s="366"/>
      <c r="F488" s="3103" t="s">
        <v>1912</v>
      </c>
      <c r="G488" s="366"/>
      <c r="H488" s="366"/>
      <c r="I488" s="472"/>
      <c r="J488" s="505"/>
      <c r="K488" s="331"/>
      <c r="L488" s="331"/>
      <c r="M488" s="331"/>
      <c r="N488" s="331"/>
      <c r="O488" s="331"/>
      <c r="P488" s="331"/>
      <c r="Q488" s="331"/>
      <c r="R488" s="331"/>
      <c r="S488" s="331"/>
      <c r="T488" s="331"/>
      <c r="U488" s="331" t="s">
        <v>2060</v>
      </c>
      <c r="V488" s="366"/>
      <c r="W488" s="366"/>
      <c r="X488" s="366"/>
      <c r="Y488" s="366"/>
      <c r="Z488" s="366"/>
      <c r="AA488" s="366"/>
      <c r="AB488" s="366"/>
      <c r="AC488" s="366"/>
      <c r="AD488" s="366"/>
      <c r="AE488" s="366"/>
      <c r="AF488" s="366"/>
      <c r="AG488" s="366"/>
      <c r="AH488" s="366"/>
      <c r="AI488" s="366"/>
      <c r="AJ488" s="366"/>
      <c r="AK488" s="366"/>
      <c r="AL488" s="366"/>
      <c r="AM488" s="366"/>
      <c r="AN488" s="366"/>
      <c r="AO488" s="367"/>
      <c r="AP488" s="367"/>
      <c r="AQ488" s="340"/>
      <c r="AR488" s="340"/>
      <c r="AS488" s="573"/>
      <c r="AT488" s="573"/>
      <c r="AU488" s="340"/>
      <c r="AV488" s="340"/>
      <c r="AW488" s="340"/>
      <c r="AX488" s="340"/>
      <c r="AY488" s="340"/>
      <c r="AZ488" s="340"/>
      <c r="BA488" s="340"/>
      <c r="BB488" s="340"/>
      <c r="BC488" s="340"/>
      <c r="BD488" s="340"/>
      <c r="BE488" s="340"/>
      <c r="BF488" s="368"/>
    </row>
    <row r="489" spans="1:58" s="364" customFormat="1" ht="14.25" hidden="1" customHeight="1" outlineLevel="1">
      <c r="A489" s="3103" t="s">
        <v>2074</v>
      </c>
      <c r="B489" s="3103"/>
      <c r="D489" s="366"/>
      <c r="E489" s="366"/>
      <c r="F489" s="3103"/>
      <c r="G489" s="366"/>
      <c r="H489" s="366"/>
      <c r="I489" s="472"/>
      <c r="J489" s="505"/>
      <c r="K489" s="331"/>
      <c r="L489" s="331"/>
      <c r="M489" s="331"/>
      <c r="N489" s="331"/>
      <c r="O489" s="331"/>
      <c r="P489" s="331"/>
      <c r="Q489" s="331"/>
      <c r="R489" s="331"/>
      <c r="S489" s="331"/>
      <c r="T489" s="331"/>
      <c r="U489" s="331" t="s">
        <v>2062</v>
      </c>
      <c r="V489" s="366"/>
      <c r="W489" s="366"/>
      <c r="X489" s="366"/>
      <c r="Y489" s="366"/>
      <c r="Z489" s="366"/>
      <c r="AA489" s="366"/>
      <c r="AB489" s="366"/>
      <c r="AC489" s="366"/>
      <c r="AD489" s="366"/>
      <c r="AE489" s="366"/>
      <c r="AF489" s="366"/>
      <c r="AG489" s="366"/>
      <c r="AH489" s="366"/>
      <c r="AI489" s="366"/>
      <c r="AJ489" s="366"/>
      <c r="AK489" s="366"/>
      <c r="AL489" s="366"/>
      <c r="AM489" s="366"/>
      <c r="AN489" s="366"/>
      <c r="AO489" s="367"/>
      <c r="AP489" s="367"/>
      <c r="AQ489" s="340"/>
      <c r="AR489" s="340"/>
      <c r="AS489" s="573"/>
      <c r="AT489" s="573"/>
      <c r="AU489" s="340"/>
      <c r="AV489" s="340"/>
      <c r="AW489" s="340"/>
      <c r="AX489" s="340"/>
      <c r="AY489" s="340"/>
      <c r="AZ489" s="340"/>
      <c r="BA489" s="340"/>
      <c r="BB489" s="340"/>
      <c r="BC489" s="340"/>
      <c r="BD489" s="340"/>
      <c r="BE489" s="340"/>
      <c r="BF489" s="368"/>
    </row>
    <row r="490" spans="1:58" s="364" customFormat="1" ht="16.5" hidden="1" customHeight="1" outlineLevel="1">
      <c r="A490" s="3103"/>
      <c r="B490" s="3103"/>
      <c r="D490" s="366"/>
      <c r="E490" s="366"/>
      <c r="F490" s="3103"/>
      <c r="G490" s="366"/>
      <c r="H490" s="366"/>
      <c r="I490" s="472"/>
      <c r="J490" s="505"/>
      <c r="K490" s="331"/>
      <c r="L490" s="331"/>
      <c r="M490" s="331"/>
      <c r="N490" s="331"/>
      <c r="O490" s="331"/>
      <c r="P490" s="331"/>
      <c r="Q490" s="331"/>
      <c r="R490" s="331"/>
      <c r="S490" s="331"/>
      <c r="T490" s="331"/>
      <c r="U490" s="331"/>
      <c r="V490" s="366"/>
      <c r="W490" s="366"/>
      <c r="X490" s="366"/>
      <c r="Y490" s="366"/>
      <c r="Z490" s="366"/>
      <c r="AA490" s="366"/>
      <c r="AB490" s="366"/>
      <c r="AC490" s="366"/>
      <c r="AD490" s="366"/>
      <c r="AE490" s="366"/>
      <c r="AF490" s="366"/>
      <c r="AG490" s="366"/>
      <c r="AH490" s="366"/>
      <c r="AI490" s="366"/>
      <c r="AJ490" s="366"/>
      <c r="AK490" s="366"/>
      <c r="AL490" s="366"/>
      <c r="AM490" s="366"/>
      <c r="AN490" s="366"/>
      <c r="AO490" s="367"/>
      <c r="AP490" s="367"/>
      <c r="AQ490" s="340"/>
      <c r="AR490" s="340"/>
      <c r="AS490" s="573"/>
      <c r="AT490" s="573"/>
      <c r="AU490" s="340"/>
      <c r="AV490" s="340"/>
      <c r="AW490" s="340"/>
      <c r="AX490" s="340"/>
      <c r="AY490" s="340"/>
      <c r="AZ490" s="340"/>
      <c r="BA490" s="340"/>
      <c r="BB490" s="340"/>
      <c r="BC490" s="340"/>
      <c r="BD490" s="340"/>
      <c r="BE490" s="340"/>
      <c r="BF490" s="368"/>
    </row>
    <row r="491" spans="1:58" s="364" customFormat="1" ht="14.25" hidden="1" customHeight="1" outlineLevel="1">
      <c r="A491" s="525" t="s">
        <v>2075</v>
      </c>
      <c r="B491" s="574" t="s">
        <v>1821</v>
      </c>
      <c r="D491" s="366"/>
      <c r="E491" s="366"/>
      <c r="F491" s="366"/>
      <c r="G491" s="366"/>
      <c r="H491" s="366"/>
      <c r="I491" s="472"/>
      <c r="J491" s="505"/>
      <c r="K491" s="366"/>
      <c r="L491" s="520"/>
      <c r="M491" s="366"/>
      <c r="N491" s="366"/>
      <c r="O491" s="366"/>
      <c r="P491" s="366"/>
      <c r="Q491" s="366"/>
      <c r="R491" s="366"/>
      <c r="S491" s="366"/>
      <c r="T491" s="366"/>
      <c r="U491" s="366" t="s">
        <v>2064</v>
      </c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7"/>
      <c r="AP491" s="367"/>
      <c r="AQ491" s="340"/>
      <c r="AR491" s="340"/>
      <c r="AS491" s="573"/>
      <c r="AT491" s="573"/>
      <c r="AU491" s="340"/>
      <c r="AV491" s="340"/>
      <c r="AW491" s="340"/>
      <c r="AX491" s="340"/>
      <c r="AY491" s="340"/>
      <c r="AZ491" s="340"/>
      <c r="BA491" s="340"/>
      <c r="BB491" s="340"/>
      <c r="BC491" s="340"/>
      <c r="BD491" s="340"/>
      <c r="BE491" s="340"/>
      <c r="BF491" s="368"/>
    </row>
    <row r="492" spans="1:58" s="364" customFormat="1" ht="14.25" hidden="1" customHeight="1" outlineLevel="1">
      <c r="A492" s="525" t="s">
        <v>2076</v>
      </c>
      <c r="B492" s="574" t="s">
        <v>1798</v>
      </c>
      <c r="D492" s="366"/>
      <c r="E492" s="366"/>
      <c r="F492" s="366"/>
      <c r="G492" s="366"/>
      <c r="H492" s="366"/>
      <c r="I492" s="472"/>
      <c r="J492" s="505"/>
      <c r="K492" s="366"/>
      <c r="L492" s="520"/>
      <c r="M492" s="366"/>
      <c r="N492" s="366"/>
      <c r="O492" s="366"/>
      <c r="P492" s="366"/>
      <c r="Q492" s="366"/>
      <c r="R492" s="366"/>
      <c r="S492" s="366"/>
      <c r="T492" s="366"/>
      <c r="U492" s="366"/>
      <c r="V492" s="366"/>
      <c r="W492" s="366"/>
      <c r="X492" s="366"/>
      <c r="Y492" s="366"/>
      <c r="Z492" s="366"/>
      <c r="AA492" s="366"/>
      <c r="AB492" s="366"/>
      <c r="AC492" s="366"/>
      <c r="AD492" s="366"/>
      <c r="AE492" s="366"/>
      <c r="AF492" s="366"/>
      <c r="AG492" s="366"/>
      <c r="AH492" s="366"/>
      <c r="AI492" s="366"/>
      <c r="AJ492" s="366"/>
      <c r="AK492" s="366"/>
      <c r="AL492" s="366"/>
      <c r="AM492" s="366"/>
      <c r="AN492" s="366"/>
      <c r="AO492" s="367"/>
      <c r="AP492" s="367"/>
      <c r="AQ492" s="340"/>
      <c r="AR492" s="340"/>
      <c r="AS492" s="573"/>
      <c r="AT492" s="573"/>
      <c r="AU492" s="340"/>
      <c r="AV492" s="340"/>
      <c r="AW492" s="340"/>
      <c r="AX492" s="340"/>
      <c r="AY492" s="340"/>
      <c r="AZ492" s="340"/>
      <c r="BA492" s="340"/>
      <c r="BB492" s="340"/>
      <c r="BC492" s="340"/>
      <c r="BD492" s="340"/>
      <c r="BE492" s="340"/>
      <c r="BF492" s="368"/>
    </row>
    <row r="493" spans="1:58" s="364" customFormat="1" ht="14.25" hidden="1" customHeight="1" outlineLevel="1">
      <c r="D493" s="366"/>
      <c r="E493" s="366"/>
      <c r="F493" s="366"/>
      <c r="G493" s="366"/>
      <c r="H493" s="366"/>
      <c r="I493" s="472"/>
      <c r="J493" s="505"/>
      <c r="K493" s="366"/>
      <c r="L493" s="520"/>
      <c r="M493" s="366"/>
      <c r="N493" s="366"/>
      <c r="O493" s="366"/>
      <c r="P493" s="366"/>
      <c r="Q493" s="366"/>
      <c r="R493" s="366"/>
      <c r="S493" s="366"/>
      <c r="T493" s="366"/>
      <c r="U493" s="366"/>
      <c r="V493" s="366"/>
      <c r="W493" s="366"/>
      <c r="X493" s="366"/>
      <c r="Y493" s="366"/>
      <c r="Z493" s="366"/>
      <c r="AA493" s="366"/>
      <c r="AB493" s="366"/>
      <c r="AC493" s="366"/>
      <c r="AD493" s="366"/>
      <c r="AE493" s="366"/>
      <c r="AF493" s="366"/>
      <c r="AG493" s="366"/>
      <c r="AH493" s="366"/>
      <c r="AI493" s="366"/>
      <c r="AJ493" s="366"/>
      <c r="AK493" s="366"/>
      <c r="AL493" s="366"/>
      <c r="AM493" s="366"/>
      <c r="AN493" s="366"/>
      <c r="AO493" s="367"/>
      <c r="AP493" s="367"/>
      <c r="AQ493" s="340"/>
      <c r="AR493" s="340"/>
      <c r="AS493" s="573"/>
      <c r="AT493" s="573"/>
      <c r="AU493" s="340"/>
      <c r="AV493" s="340"/>
      <c r="AW493" s="340"/>
      <c r="AX493" s="340"/>
      <c r="AY493" s="340"/>
      <c r="AZ493" s="340"/>
      <c r="BA493" s="340"/>
      <c r="BB493" s="340"/>
      <c r="BC493" s="340"/>
      <c r="BD493" s="340"/>
      <c r="BE493" s="340"/>
      <c r="BF493" s="368"/>
    </row>
    <row r="494" spans="1:58" s="364" customFormat="1" ht="14.25" hidden="1" customHeight="1" outlineLevel="1">
      <c r="A494" s="492" t="s">
        <v>2077</v>
      </c>
      <c r="B494" s="490"/>
      <c r="C494" s="492"/>
      <c r="D494" s="366"/>
      <c r="E494" s="366"/>
      <c r="F494" s="366"/>
      <c r="G494" s="366"/>
      <c r="H494" s="366"/>
      <c r="I494" s="472"/>
      <c r="J494" s="505"/>
      <c r="K494" s="366"/>
      <c r="L494" s="520"/>
      <c r="M494" s="366"/>
      <c r="N494" s="366"/>
      <c r="O494" s="366"/>
      <c r="P494" s="366"/>
      <c r="Q494" s="366"/>
      <c r="R494" s="366"/>
      <c r="S494" s="366"/>
      <c r="T494" s="366"/>
      <c r="U494" s="366"/>
      <c r="V494" s="366"/>
      <c r="W494" s="366"/>
      <c r="X494" s="366"/>
      <c r="Y494" s="366"/>
      <c r="Z494" s="366"/>
      <c r="AA494" s="366"/>
      <c r="AB494" s="366"/>
      <c r="AC494" s="366"/>
      <c r="AD494" s="366"/>
      <c r="AE494" s="366"/>
      <c r="AF494" s="366"/>
      <c r="AG494" s="366"/>
      <c r="AH494" s="366"/>
      <c r="AI494" s="366"/>
      <c r="AJ494" s="366"/>
      <c r="AK494" s="366"/>
      <c r="AL494" s="366"/>
      <c r="AM494" s="366"/>
      <c r="AN494" s="366"/>
      <c r="AO494" s="367"/>
      <c r="AP494" s="367"/>
      <c r="AQ494" s="340"/>
      <c r="AR494" s="340"/>
      <c r="AS494" s="573"/>
      <c r="AT494" s="573"/>
      <c r="AU494" s="340"/>
      <c r="AV494" s="340"/>
      <c r="AW494" s="340"/>
      <c r="AX494" s="340"/>
      <c r="AY494" s="340"/>
      <c r="AZ494" s="340"/>
      <c r="BA494" s="340"/>
      <c r="BB494" s="340"/>
      <c r="BC494" s="340"/>
      <c r="BD494" s="340"/>
      <c r="BE494" s="340"/>
      <c r="BF494" s="368"/>
    </row>
    <row r="495" spans="1:58" s="364" customFormat="1" ht="14.25" hidden="1" customHeight="1" outlineLevel="1">
      <c r="A495" s="483" t="s">
        <v>1263</v>
      </c>
      <c r="B495" s="490"/>
      <c r="C495" s="492"/>
      <c r="D495" s="366"/>
      <c r="E495" s="366"/>
      <c r="F495" s="366"/>
      <c r="G495" s="366"/>
      <c r="H495" s="3099" t="s">
        <v>2069</v>
      </c>
      <c r="I495" s="3099"/>
      <c r="J495" s="3099"/>
      <c r="K495" s="3099"/>
      <c r="L495" s="520"/>
      <c r="M495" s="366"/>
      <c r="N495" s="366"/>
      <c r="O495" s="366"/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7"/>
      <c r="AP495" s="367"/>
      <c r="AQ495" s="340"/>
      <c r="AR495" s="340"/>
      <c r="AS495" s="573"/>
      <c r="AT495" s="573"/>
      <c r="AU495" s="340"/>
      <c r="AV495" s="340"/>
      <c r="AW495" s="340"/>
      <c r="AX495" s="340"/>
      <c r="AY495" s="340"/>
      <c r="AZ495" s="340"/>
      <c r="BA495" s="340"/>
      <c r="BB495" s="340"/>
      <c r="BC495" s="340"/>
      <c r="BD495" s="340"/>
      <c r="BE495" s="340"/>
      <c r="BF495" s="368"/>
    </row>
    <row r="496" spans="1:58" s="364" customFormat="1" ht="14.25" hidden="1" customHeight="1" outlineLevel="1">
      <c r="A496" s="492" t="s">
        <v>2078</v>
      </c>
      <c r="B496" s="490"/>
      <c r="C496" s="492"/>
      <c r="D496" s="366"/>
      <c r="E496" s="366"/>
      <c r="F496" s="3099" t="s">
        <v>2070</v>
      </c>
      <c r="G496" s="3099"/>
      <c r="H496" s="3099"/>
      <c r="I496" s="3099"/>
      <c r="J496" s="3099"/>
      <c r="K496" s="3099"/>
      <c r="L496" s="520"/>
      <c r="M496" s="366"/>
      <c r="N496" s="366"/>
      <c r="O496" s="366"/>
      <c r="P496" s="366"/>
      <c r="Q496" s="366"/>
      <c r="R496" s="366"/>
      <c r="S496" s="366"/>
      <c r="T496" s="366"/>
      <c r="U496" s="366"/>
      <c r="V496" s="366"/>
      <c r="W496" s="366"/>
      <c r="X496" s="366"/>
      <c r="Y496" s="366"/>
      <c r="Z496" s="366"/>
      <c r="AA496" s="366"/>
      <c r="AB496" s="366"/>
      <c r="AC496" s="366"/>
      <c r="AD496" s="366"/>
      <c r="AE496" s="366"/>
      <c r="AF496" s="366"/>
      <c r="AG496" s="366"/>
      <c r="AH496" s="366"/>
      <c r="AI496" s="366"/>
      <c r="AJ496" s="366"/>
      <c r="AK496" s="366"/>
      <c r="AL496" s="366"/>
      <c r="AM496" s="366"/>
      <c r="AN496" s="366"/>
      <c r="AO496" s="367"/>
      <c r="AP496" s="367"/>
      <c r="AQ496" s="340"/>
      <c r="AR496" s="340"/>
      <c r="AS496" s="573"/>
      <c r="AT496" s="573"/>
      <c r="AU496" s="340"/>
      <c r="AV496" s="340"/>
      <c r="AW496" s="340"/>
      <c r="AX496" s="340"/>
      <c r="AY496" s="340"/>
      <c r="AZ496" s="340"/>
      <c r="BA496" s="340"/>
      <c r="BB496" s="340"/>
      <c r="BC496" s="340"/>
      <c r="BD496" s="340"/>
      <c r="BE496" s="340"/>
      <c r="BF496" s="368"/>
    </row>
    <row r="497" spans="1:58" s="364" customFormat="1" ht="14.25" hidden="1" customHeight="1" outlineLevel="1">
      <c r="A497" s="493" t="s">
        <v>983</v>
      </c>
      <c r="B497" s="490"/>
      <c r="C497" s="492"/>
      <c r="D497" s="366"/>
      <c r="E497" s="366"/>
      <c r="F497" s="366"/>
      <c r="G497" s="366"/>
      <c r="H497" s="3099"/>
      <c r="I497" s="3099"/>
      <c r="J497" s="3099"/>
      <c r="K497" s="3099"/>
      <c r="L497" s="520"/>
      <c r="M497" s="366"/>
      <c r="N497" s="366"/>
      <c r="O497" s="366"/>
      <c r="P497" s="366"/>
      <c r="Q497" s="366"/>
      <c r="R497" s="366"/>
      <c r="S497" s="366"/>
      <c r="T497" s="366"/>
      <c r="U497" s="366"/>
      <c r="V497" s="366"/>
      <c r="W497" s="366"/>
      <c r="X497" s="366"/>
      <c r="Y497" s="366"/>
      <c r="Z497" s="366"/>
      <c r="AA497" s="366"/>
      <c r="AB497" s="366"/>
      <c r="AC497" s="366"/>
      <c r="AD497" s="366"/>
      <c r="AE497" s="366"/>
      <c r="AF497" s="366"/>
      <c r="AG497" s="366"/>
      <c r="AH497" s="366"/>
      <c r="AI497" s="366"/>
      <c r="AJ497" s="366"/>
      <c r="AK497" s="366"/>
      <c r="AL497" s="366"/>
      <c r="AM497" s="366"/>
      <c r="AN497" s="366"/>
      <c r="AO497" s="367"/>
      <c r="AP497" s="367"/>
      <c r="AQ497" s="340"/>
      <c r="AR497" s="340"/>
      <c r="AS497" s="573"/>
      <c r="AT497" s="573"/>
      <c r="AU497" s="340"/>
      <c r="AV497" s="340"/>
      <c r="AW497" s="340"/>
      <c r="AX497" s="340"/>
      <c r="AY497" s="340"/>
      <c r="AZ497" s="340"/>
      <c r="BA497" s="340"/>
      <c r="BB497" s="340"/>
      <c r="BC497" s="340"/>
      <c r="BD497" s="340"/>
      <c r="BE497" s="340"/>
      <c r="BF497" s="368"/>
    </row>
    <row r="498" spans="1:58" s="364" customFormat="1" ht="14.25" hidden="1" customHeight="1" outlineLevel="1">
      <c r="A498" s="478" t="s">
        <v>2079</v>
      </c>
      <c r="B498" s="490"/>
      <c r="C498" s="492"/>
      <c r="D498" s="366"/>
      <c r="E498" s="366"/>
      <c r="F498" s="366"/>
      <c r="G498" s="366"/>
      <c r="H498" s="366"/>
      <c r="I498" s="472"/>
      <c r="J498" s="505"/>
      <c r="K498" s="366"/>
      <c r="L498" s="520"/>
      <c r="M498" s="366"/>
      <c r="N498" s="366"/>
      <c r="O498" s="366"/>
      <c r="P498" s="366"/>
      <c r="Q498" s="366"/>
      <c r="R498" s="366"/>
      <c r="S498" s="366"/>
      <c r="T498" s="366"/>
      <c r="U498" s="366"/>
      <c r="V498" s="366"/>
      <c r="W498" s="366"/>
      <c r="X498" s="366"/>
      <c r="Y498" s="366"/>
      <c r="Z498" s="366"/>
      <c r="AA498" s="366"/>
      <c r="AB498" s="366"/>
      <c r="AC498" s="366"/>
      <c r="AD498" s="366"/>
      <c r="AE498" s="366"/>
      <c r="AF498" s="366"/>
      <c r="AG498" s="366"/>
      <c r="AH498" s="366"/>
      <c r="AI498" s="366"/>
      <c r="AJ498" s="366"/>
      <c r="AK498" s="366"/>
      <c r="AL498" s="366"/>
      <c r="AM498" s="366"/>
      <c r="AN498" s="366"/>
      <c r="AO498" s="367"/>
      <c r="AP498" s="367"/>
      <c r="AQ498" s="340"/>
      <c r="AR498" s="340"/>
      <c r="AS498" s="573"/>
      <c r="AT498" s="573"/>
      <c r="AU498" s="340"/>
      <c r="AV498" s="340"/>
      <c r="AW498" s="340"/>
      <c r="AX498" s="340"/>
      <c r="AY498" s="340"/>
      <c r="AZ498" s="340"/>
      <c r="BA498" s="340"/>
      <c r="BB498" s="340"/>
      <c r="BC498" s="340"/>
      <c r="BD498" s="340"/>
      <c r="BE498" s="340"/>
      <c r="BF498" s="368"/>
    </row>
    <row r="499" spans="1:58" s="364" customFormat="1" ht="14.25" hidden="1" customHeight="1" outlineLevel="1">
      <c r="A499" s="483" t="s">
        <v>379</v>
      </c>
      <c r="B499" s="490"/>
      <c r="C499" s="492"/>
      <c r="D499" s="366"/>
      <c r="E499" s="366"/>
      <c r="F499" s="366"/>
      <c r="G499" s="366"/>
      <c r="H499" s="366"/>
      <c r="I499" s="472"/>
      <c r="J499" s="505"/>
      <c r="K499" s="366"/>
      <c r="L499" s="520"/>
      <c r="M499" s="366"/>
      <c r="N499" s="366"/>
      <c r="O499" s="366"/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7"/>
      <c r="AP499" s="367"/>
      <c r="AQ499" s="340"/>
      <c r="AR499" s="340"/>
      <c r="AS499" s="573"/>
      <c r="AT499" s="573"/>
      <c r="AU499" s="340"/>
      <c r="AV499" s="340"/>
      <c r="AW499" s="340"/>
      <c r="AX499" s="340"/>
      <c r="AY499" s="340"/>
      <c r="AZ499" s="340"/>
      <c r="BA499" s="340"/>
      <c r="BB499" s="340"/>
      <c r="BC499" s="340"/>
      <c r="BD499" s="340"/>
      <c r="BE499" s="340"/>
      <c r="BF499" s="368"/>
    </row>
    <row r="500" spans="1:58" s="364" customFormat="1" ht="14.25" hidden="1" customHeight="1" outlineLevel="1">
      <c r="A500" s="331" t="s">
        <v>2080</v>
      </c>
      <c r="B500" s="490"/>
      <c r="C500" s="492"/>
      <c r="D500" s="366"/>
      <c r="E500" s="366"/>
      <c r="F500" s="366"/>
      <c r="G500" s="366"/>
      <c r="H500" s="515" t="s">
        <v>2071</v>
      </c>
      <c r="I500" s="381"/>
      <c r="J500" s="381"/>
      <c r="K500" s="381"/>
      <c r="L500" s="520"/>
      <c r="M500" s="366"/>
      <c r="N500" s="366"/>
      <c r="O500" s="366"/>
      <c r="P500" s="366"/>
      <c r="Q500" s="366"/>
      <c r="R500" s="366"/>
      <c r="S500" s="366"/>
      <c r="T500" s="366"/>
      <c r="U500" s="366"/>
      <c r="V500" s="366"/>
      <c r="W500" s="366"/>
      <c r="X500" s="366"/>
      <c r="Y500" s="366"/>
      <c r="Z500" s="366"/>
      <c r="AA500" s="366"/>
      <c r="AB500" s="366"/>
      <c r="AC500" s="366"/>
      <c r="AD500" s="366"/>
      <c r="AE500" s="366"/>
      <c r="AF500" s="366"/>
      <c r="AG500" s="366"/>
      <c r="AH500" s="366"/>
      <c r="AI500" s="366"/>
      <c r="AJ500" s="366"/>
      <c r="AK500" s="366"/>
      <c r="AL500" s="366"/>
      <c r="AM500" s="366"/>
      <c r="AN500" s="366"/>
      <c r="AO500" s="367"/>
      <c r="AP500" s="367"/>
      <c r="AQ500" s="340"/>
      <c r="AR500" s="340"/>
      <c r="AS500" s="573"/>
      <c r="AT500" s="573"/>
      <c r="AU500" s="340"/>
      <c r="AV500" s="340"/>
      <c r="AW500" s="340"/>
      <c r="AX500" s="340"/>
      <c r="AY500" s="340"/>
      <c r="AZ500" s="340"/>
      <c r="BA500" s="340"/>
      <c r="BB500" s="340"/>
      <c r="BC500" s="340"/>
      <c r="BD500" s="340"/>
      <c r="BE500" s="340"/>
      <c r="BF500" s="368"/>
    </row>
    <row r="501" spans="1:58" s="364" customFormat="1" ht="14.25" hidden="1" customHeight="1" outlineLevel="1">
      <c r="A501" s="483" t="s">
        <v>343</v>
      </c>
      <c r="B501" s="490"/>
      <c r="C501" s="492"/>
      <c r="D501" s="366"/>
      <c r="E501" s="366"/>
      <c r="F501" s="366"/>
      <c r="G501" s="366"/>
      <c r="H501" s="366"/>
      <c r="I501" s="472"/>
      <c r="J501" s="505"/>
      <c r="K501" s="366"/>
      <c r="L501" s="520"/>
      <c r="M501" s="366"/>
      <c r="N501" s="366"/>
      <c r="O501" s="366"/>
      <c r="P501" s="366"/>
      <c r="Q501" s="366"/>
      <c r="R501" s="366"/>
      <c r="S501" s="366"/>
      <c r="T501" s="366"/>
      <c r="U501" s="366"/>
      <c r="V501" s="366"/>
      <c r="W501" s="366"/>
      <c r="X501" s="366"/>
      <c r="Y501" s="366"/>
      <c r="Z501" s="366"/>
      <c r="AA501" s="366"/>
      <c r="AB501" s="366"/>
      <c r="AC501" s="366"/>
      <c r="AD501" s="366"/>
      <c r="AE501" s="366"/>
      <c r="AF501" s="366"/>
      <c r="AG501" s="366"/>
      <c r="AH501" s="366"/>
      <c r="AI501" s="366"/>
      <c r="AJ501" s="366"/>
      <c r="AK501" s="366"/>
      <c r="AL501" s="366"/>
      <c r="AM501" s="366"/>
      <c r="AN501" s="366"/>
      <c r="AO501" s="367"/>
      <c r="AP501" s="367"/>
      <c r="AQ501" s="340"/>
      <c r="AR501" s="340"/>
      <c r="AS501" s="573"/>
      <c r="AT501" s="573"/>
      <c r="AU501" s="340"/>
      <c r="AV501" s="340"/>
      <c r="AW501" s="340"/>
      <c r="AX501" s="340"/>
      <c r="AY501" s="340"/>
      <c r="AZ501" s="340"/>
      <c r="BA501" s="340"/>
      <c r="BB501" s="340"/>
      <c r="BC501" s="340"/>
      <c r="BD501" s="340"/>
      <c r="BE501" s="340"/>
      <c r="BF501" s="368"/>
    </row>
    <row r="502" spans="1:58" s="364" customFormat="1" ht="14.25" hidden="1" customHeight="1" outlineLevel="1">
      <c r="A502" s="331" t="s">
        <v>2081</v>
      </c>
      <c r="B502" s="490"/>
      <c r="C502" s="492"/>
      <c r="D502" s="366"/>
      <c r="E502" s="366"/>
      <c r="F502" s="366"/>
      <c r="G502" s="366"/>
      <c r="H502" s="366"/>
      <c r="I502" s="472"/>
      <c r="J502" s="505"/>
      <c r="K502" s="366"/>
      <c r="L502" s="520"/>
      <c r="M502" s="366"/>
      <c r="N502" s="366"/>
      <c r="O502" s="366"/>
      <c r="P502" s="366"/>
      <c r="Q502" s="366"/>
      <c r="R502" s="366"/>
      <c r="S502" s="366"/>
      <c r="T502" s="366"/>
      <c r="U502" s="366"/>
      <c r="V502" s="366"/>
      <c r="W502" s="366"/>
      <c r="X502" s="366"/>
      <c r="Y502" s="366"/>
      <c r="Z502" s="366"/>
      <c r="AA502" s="366"/>
      <c r="AB502" s="366"/>
      <c r="AC502" s="366"/>
      <c r="AD502" s="366"/>
      <c r="AE502" s="366"/>
      <c r="AF502" s="366"/>
      <c r="AG502" s="366"/>
      <c r="AH502" s="366"/>
      <c r="AI502" s="366"/>
      <c r="AJ502" s="366"/>
      <c r="AK502" s="366"/>
      <c r="AL502" s="366"/>
      <c r="AM502" s="366"/>
      <c r="AN502" s="366"/>
      <c r="AO502" s="367"/>
      <c r="AP502" s="367"/>
      <c r="AQ502" s="340"/>
      <c r="AR502" s="340"/>
      <c r="AS502" s="573"/>
      <c r="AT502" s="573"/>
      <c r="AU502" s="340"/>
      <c r="AV502" s="340"/>
      <c r="AW502" s="340"/>
      <c r="AX502" s="340"/>
      <c r="AY502" s="340"/>
      <c r="AZ502" s="340"/>
      <c r="BA502" s="340"/>
      <c r="BB502" s="340"/>
      <c r="BC502" s="340"/>
      <c r="BD502" s="340"/>
      <c r="BE502" s="340"/>
      <c r="BF502" s="368"/>
    </row>
    <row r="503" spans="1:58" s="364" customFormat="1" ht="14.25" hidden="1" customHeight="1" outlineLevel="1">
      <c r="A503" s="483" t="s">
        <v>339</v>
      </c>
      <c r="B503" s="490"/>
      <c r="C503" s="492"/>
      <c r="D503" s="366"/>
      <c r="E503" s="366"/>
      <c r="F503" s="366"/>
      <c r="G503" s="366"/>
      <c r="H503" s="366"/>
      <c r="I503" s="472"/>
      <c r="J503" s="505"/>
      <c r="K503" s="366"/>
      <c r="L503" s="520"/>
      <c r="M503" s="366"/>
      <c r="N503" s="366"/>
      <c r="O503" s="366"/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7"/>
      <c r="AP503" s="367"/>
      <c r="AQ503" s="340"/>
      <c r="AR503" s="340"/>
      <c r="AS503" s="573"/>
      <c r="AT503" s="573"/>
      <c r="AU503" s="340"/>
      <c r="AV503" s="340"/>
      <c r="AW503" s="340"/>
      <c r="AX503" s="340"/>
      <c r="AY503" s="340"/>
      <c r="AZ503" s="340"/>
      <c r="BA503" s="340"/>
      <c r="BB503" s="340"/>
      <c r="BC503" s="340"/>
      <c r="BD503" s="340"/>
      <c r="BE503" s="340"/>
      <c r="BF503" s="368"/>
    </row>
    <row r="504" spans="1:58" s="364" customFormat="1" ht="14.25" hidden="1" customHeight="1" outlineLevel="1">
      <c r="A504" s="331" t="s">
        <v>2082</v>
      </c>
      <c r="B504" s="490"/>
      <c r="C504" s="492"/>
      <c r="D504" s="366"/>
      <c r="E504" s="366"/>
      <c r="F504" s="366"/>
      <c r="G504" s="366"/>
      <c r="H504" s="366"/>
      <c r="I504" s="472"/>
      <c r="J504" s="505"/>
      <c r="K504" s="366"/>
      <c r="L504" s="520"/>
      <c r="M504" s="366"/>
      <c r="N504" s="366"/>
      <c r="O504" s="366"/>
      <c r="P504" s="366"/>
      <c r="Q504" s="366"/>
      <c r="R504" s="366"/>
      <c r="S504" s="366"/>
      <c r="T504" s="366"/>
      <c r="U504" s="366"/>
      <c r="V504" s="366"/>
      <c r="W504" s="366"/>
      <c r="X504" s="366"/>
      <c r="Y504" s="366"/>
      <c r="Z504" s="366"/>
      <c r="AA504" s="366"/>
      <c r="AB504" s="366"/>
      <c r="AC504" s="366"/>
      <c r="AD504" s="366"/>
      <c r="AE504" s="366"/>
      <c r="AF504" s="366"/>
      <c r="AG504" s="366"/>
      <c r="AH504" s="366"/>
      <c r="AI504" s="366"/>
      <c r="AJ504" s="366"/>
      <c r="AK504" s="366"/>
      <c r="AL504" s="366"/>
      <c r="AM504" s="366"/>
      <c r="AN504" s="366"/>
      <c r="AO504" s="367"/>
      <c r="AP504" s="367"/>
      <c r="AQ504" s="340"/>
      <c r="AR504" s="340"/>
      <c r="AS504" s="573"/>
      <c r="AT504" s="573"/>
      <c r="AU504" s="340"/>
      <c r="AV504" s="340"/>
      <c r="AW504" s="340"/>
      <c r="AX504" s="340"/>
      <c r="AY504" s="340"/>
      <c r="AZ504" s="340"/>
      <c r="BA504" s="340"/>
      <c r="BB504" s="340"/>
      <c r="BC504" s="340"/>
      <c r="BD504" s="340"/>
      <c r="BE504" s="340"/>
      <c r="BF504" s="368"/>
    </row>
    <row r="505" spans="1:58" s="364" customFormat="1" ht="14.25" hidden="1" customHeight="1" outlineLevel="1">
      <c r="A505" s="493" t="s">
        <v>382</v>
      </c>
      <c r="B505" s="490"/>
      <c r="C505" s="492"/>
      <c r="D505" s="366"/>
      <c r="E505" s="366"/>
      <c r="F505" s="366"/>
      <c r="G505" s="366"/>
      <c r="H505" s="366"/>
      <c r="I505" s="472"/>
      <c r="J505" s="505"/>
      <c r="K505" s="366"/>
      <c r="L505" s="520"/>
      <c r="M505" s="366"/>
      <c r="N505" s="366"/>
      <c r="O505" s="366"/>
      <c r="P505" s="366"/>
      <c r="Q505" s="366"/>
      <c r="R505" s="366"/>
      <c r="S505" s="366"/>
      <c r="T505" s="366"/>
      <c r="U505" s="366"/>
      <c r="V505" s="366"/>
      <c r="W505" s="366"/>
      <c r="X505" s="366"/>
      <c r="Y505" s="366"/>
      <c r="Z505" s="366"/>
      <c r="AA505" s="366"/>
      <c r="AB505" s="366"/>
      <c r="AC505" s="366"/>
      <c r="AD505" s="366"/>
      <c r="AE505" s="366"/>
      <c r="AF505" s="366"/>
      <c r="AG505" s="366"/>
      <c r="AH505" s="366"/>
      <c r="AI505" s="366"/>
      <c r="AJ505" s="366"/>
      <c r="AK505" s="366"/>
      <c r="AL505" s="366"/>
      <c r="AM505" s="366"/>
      <c r="AN505" s="366"/>
      <c r="AO505" s="367"/>
      <c r="AP505" s="367"/>
      <c r="AQ505" s="340"/>
      <c r="AR505" s="340"/>
      <c r="AS505" s="573"/>
      <c r="AT505" s="573"/>
      <c r="AU505" s="340"/>
      <c r="AV505" s="340"/>
      <c r="AW505" s="340"/>
      <c r="AX505" s="340"/>
      <c r="AY505" s="340"/>
      <c r="AZ505" s="340"/>
      <c r="BA505" s="340"/>
      <c r="BB505" s="340"/>
      <c r="BC505" s="340"/>
      <c r="BD505" s="340"/>
      <c r="BE505" s="340"/>
      <c r="BF505" s="368"/>
    </row>
    <row r="506" spans="1:58" s="364" customFormat="1" ht="14.25" hidden="1" customHeight="1" outlineLevel="1">
      <c r="A506" s="492"/>
      <c r="B506" s="490"/>
      <c r="C506" s="492"/>
      <c r="D506" s="366"/>
      <c r="E506" s="366"/>
      <c r="F506" s="366"/>
      <c r="G506" s="366"/>
      <c r="H506" s="366"/>
      <c r="I506" s="472"/>
      <c r="J506" s="505"/>
      <c r="K506" s="366"/>
      <c r="L506" s="520"/>
      <c r="M506" s="366"/>
      <c r="N506" s="366"/>
      <c r="O506" s="366"/>
      <c r="P506" s="366"/>
      <c r="Q506" s="366"/>
      <c r="R506" s="366"/>
      <c r="S506" s="366"/>
      <c r="T506" s="366"/>
      <c r="U506" s="366"/>
      <c r="V506" s="366"/>
      <c r="W506" s="366"/>
      <c r="X506" s="366"/>
      <c r="Y506" s="366"/>
      <c r="Z506" s="366"/>
      <c r="AA506" s="366"/>
      <c r="AB506" s="366"/>
      <c r="AC506" s="366"/>
      <c r="AD506" s="366"/>
      <c r="AE506" s="366"/>
      <c r="AF506" s="366"/>
      <c r="AG506" s="366"/>
      <c r="AH506" s="366"/>
      <c r="AI506" s="366"/>
      <c r="AJ506" s="366"/>
      <c r="AK506" s="366"/>
      <c r="AL506" s="366"/>
      <c r="AM506" s="366"/>
      <c r="AN506" s="366"/>
      <c r="AO506" s="367"/>
      <c r="AP506" s="367"/>
      <c r="AQ506" s="340"/>
      <c r="AR506" s="340"/>
      <c r="AS506" s="573"/>
      <c r="AT506" s="573"/>
      <c r="AU506" s="340"/>
      <c r="AV506" s="340"/>
      <c r="AW506" s="340"/>
      <c r="AX506" s="340"/>
      <c r="AY506" s="340"/>
      <c r="AZ506" s="340"/>
      <c r="BA506" s="340"/>
      <c r="BB506" s="340"/>
      <c r="BC506" s="340"/>
      <c r="BD506" s="340"/>
      <c r="BE506" s="340"/>
      <c r="BF506" s="368"/>
    </row>
    <row r="507" spans="1:58" s="364" customFormat="1" ht="14.25" hidden="1" customHeight="1" outlineLevel="1">
      <c r="A507" s="331" t="s">
        <v>1922</v>
      </c>
      <c r="B507" s="490"/>
      <c r="C507" s="366"/>
      <c r="D507" s="366"/>
      <c r="E507" s="366"/>
      <c r="F507" s="366"/>
      <c r="G507" s="366"/>
      <c r="H507" s="366"/>
      <c r="I507" s="472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7"/>
      <c r="AP507" s="367"/>
      <c r="AQ507" s="340"/>
      <c r="AR507" s="340"/>
      <c r="AS507" s="573"/>
      <c r="AT507" s="573"/>
      <c r="AU507" s="340"/>
      <c r="AV507" s="340"/>
      <c r="AW507" s="340"/>
      <c r="AX507" s="340"/>
      <c r="AY507" s="340"/>
      <c r="AZ507" s="340"/>
      <c r="BA507" s="340"/>
      <c r="BB507" s="340"/>
      <c r="BC507" s="340"/>
      <c r="BD507" s="340"/>
      <c r="BE507" s="340"/>
      <c r="BF507" s="368"/>
    </row>
    <row r="508" spans="1:58" s="364" customFormat="1" ht="14.25" hidden="1" customHeight="1" outlineLevel="1">
      <c r="A508" s="414" t="s">
        <v>152</v>
      </c>
      <c r="B508" s="415" t="s">
        <v>1793</v>
      </c>
      <c r="C508" s="388">
        <v>0</v>
      </c>
      <c r="D508" s="366"/>
      <c r="E508" s="366"/>
      <c r="F508" s="366"/>
      <c r="G508" s="366"/>
      <c r="H508" s="366"/>
      <c r="I508" s="472"/>
      <c r="AF508" s="366"/>
      <c r="AG508" s="366"/>
      <c r="AH508" s="366"/>
      <c r="AI508" s="366"/>
      <c r="AJ508" s="366"/>
      <c r="AK508" s="366"/>
      <c r="AL508" s="366"/>
      <c r="AM508" s="366"/>
      <c r="AN508" s="366"/>
      <c r="AO508" s="367"/>
      <c r="AP508" s="367"/>
      <c r="AQ508" s="340"/>
      <c r="AR508" s="340"/>
      <c r="AS508" s="573"/>
      <c r="AT508" s="573"/>
      <c r="AU508" s="340"/>
      <c r="AV508" s="340"/>
      <c r="AW508" s="340"/>
      <c r="AX508" s="340"/>
      <c r="AY508" s="340"/>
      <c r="AZ508" s="340"/>
      <c r="BA508" s="340"/>
      <c r="BB508" s="340"/>
      <c r="BC508" s="340"/>
      <c r="BD508" s="340"/>
      <c r="BE508" s="340"/>
      <c r="BF508" s="368"/>
    </row>
    <row r="509" spans="1:58" s="364" customFormat="1" ht="14.25" hidden="1" customHeight="1" outlineLevel="1">
      <c r="A509" s="404" t="s">
        <v>152</v>
      </c>
      <c r="B509" s="415" t="s">
        <v>1793</v>
      </c>
      <c r="C509" s="380">
        <v>0</v>
      </c>
      <c r="D509" s="366"/>
      <c r="E509" s="366"/>
      <c r="F509" s="366"/>
      <c r="G509" s="366"/>
      <c r="H509" s="366"/>
      <c r="I509" s="472"/>
      <c r="J509" s="505"/>
      <c r="K509" s="366"/>
      <c r="L509" s="520"/>
      <c r="M509" s="366"/>
      <c r="N509" s="366"/>
      <c r="O509" s="366"/>
      <c r="P509" s="366"/>
      <c r="Q509" s="366"/>
      <c r="R509" s="366"/>
      <c r="S509" s="366"/>
      <c r="T509" s="366"/>
      <c r="U509" s="366"/>
      <c r="V509" s="366"/>
      <c r="W509" s="366"/>
      <c r="X509" s="366"/>
      <c r="Y509" s="366"/>
      <c r="Z509" s="366"/>
      <c r="AA509" s="366"/>
      <c r="AB509" s="366"/>
      <c r="AC509" s="366"/>
      <c r="AD509" s="366"/>
      <c r="AE509" s="366"/>
      <c r="AF509" s="366"/>
      <c r="AG509" s="366"/>
      <c r="AH509" s="366"/>
      <c r="AI509" s="366"/>
      <c r="AJ509" s="366"/>
      <c r="AK509" s="366"/>
      <c r="AL509" s="366"/>
      <c r="AM509" s="366"/>
      <c r="AN509" s="366"/>
      <c r="AO509" s="367"/>
      <c r="AP509" s="367"/>
      <c r="AQ509" s="340"/>
      <c r="AR509" s="340"/>
      <c r="AS509" s="573"/>
      <c r="AT509" s="573"/>
      <c r="AU509" s="340"/>
      <c r="AV509" s="340"/>
      <c r="AW509" s="340"/>
      <c r="AX509" s="340"/>
      <c r="AY509" s="340"/>
      <c r="AZ509" s="340"/>
      <c r="BA509" s="340"/>
      <c r="BB509" s="340"/>
      <c r="BC509" s="340"/>
      <c r="BD509" s="340"/>
      <c r="BE509" s="340"/>
      <c r="BF509" s="368"/>
    </row>
    <row r="510" spans="1:58" s="364" customFormat="1" ht="14.25" hidden="1" customHeight="1" outlineLevel="1">
      <c r="A510" s="331"/>
      <c r="B510" s="332"/>
      <c r="C510" s="331"/>
      <c r="D510" s="366"/>
      <c r="E510" s="366"/>
      <c r="F510" s="366"/>
      <c r="G510" s="366"/>
      <c r="H510" s="366"/>
      <c r="I510" s="472"/>
      <c r="J510" s="505"/>
      <c r="K510" s="366"/>
      <c r="L510" s="520"/>
      <c r="M510" s="366"/>
      <c r="N510" s="366"/>
      <c r="O510" s="366"/>
      <c r="P510" s="366"/>
      <c r="Q510" s="366"/>
      <c r="R510" s="366"/>
      <c r="S510" s="366"/>
      <c r="T510" s="366"/>
      <c r="U510" s="366"/>
      <c r="V510" s="366"/>
      <c r="W510" s="366"/>
      <c r="X510" s="366"/>
      <c r="Y510" s="366"/>
      <c r="Z510" s="366"/>
      <c r="AA510" s="366"/>
      <c r="AB510" s="366"/>
      <c r="AC510" s="366"/>
      <c r="AD510" s="366"/>
      <c r="AE510" s="366"/>
      <c r="AF510" s="366"/>
      <c r="AG510" s="366"/>
      <c r="AH510" s="366"/>
      <c r="AI510" s="366"/>
      <c r="AJ510" s="366"/>
      <c r="AK510" s="366"/>
      <c r="AL510" s="366"/>
      <c r="AM510" s="366"/>
      <c r="AN510" s="366"/>
      <c r="AO510" s="367"/>
      <c r="AP510" s="367"/>
      <c r="AQ510" s="340"/>
      <c r="AR510" s="340"/>
      <c r="AS510" s="573"/>
      <c r="AT510" s="573"/>
      <c r="AU510" s="340"/>
      <c r="AV510" s="340"/>
      <c r="AW510" s="340"/>
      <c r="AX510" s="340"/>
      <c r="AY510" s="340"/>
      <c r="AZ510" s="340"/>
      <c r="BA510" s="340"/>
      <c r="BB510" s="340"/>
      <c r="BC510" s="340"/>
      <c r="BD510" s="340"/>
      <c r="BE510" s="340"/>
      <c r="BF510" s="368"/>
    </row>
    <row r="511" spans="1:58" s="364" customFormat="1" ht="14.25" hidden="1" customHeight="1" outlineLevel="1">
      <c r="A511" s="416" t="s">
        <v>2083</v>
      </c>
      <c r="B511" s="415" t="s">
        <v>1796</v>
      </c>
      <c r="C511" s="501">
        <v>0</v>
      </c>
      <c r="D511" s="366"/>
      <c r="E511" s="366"/>
      <c r="F511" s="366"/>
      <c r="G511" s="366"/>
      <c r="H511" s="366"/>
      <c r="I511" s="472"/>
      <c r="J511" s="505"/>
      <c r="K511" s="366"/>
      <c r="L511" s="520"/>
      <c r="M511" s="366"/>
      <c r="N511" s="366"/>
      <c r="O511" s="366"/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7"/>
      <c r="AP511" s="367"/>
      <c r="AQ511" s="340"/>
      <c r="AR511" s="340"/>
      <c r="AS511" s="573"/>
      <c r="AT511" s="573"/>
      <c r="AU511" s="340"/>
      <c r="AV511" s="340"/>
      <c r="AW511" s="340"/>
      <c r="AX511" s="340"/>
      <c r="AY511" s="340"/>
      <c r="AZ511" s="340"/>
      <c r="BA511" s="340"/>
      <c r="BB511" s="340"/>
      <c r="BC511" s="340"/>
      <c r="BD511" s="340"/>
      <c r="BE511" s="340"/>
      <c r="BF511" s="368"/>
    </row>
    <row r="512" spans="1:58" s="364" customFormat="1" ht="14.25" customHeight="1" collapsed="1">
      <c r="A512" s="3062" t="s">
        <v>2084</v>
      </c>
      <c r="B512" s="3062"/>
      <c r="C512" s="3062"/>
      <c r="D512" s="3062"/>
      <c r="E512" s="3062"/>
      <c r="F512" s="571" t="s">
        <v>1798</v>
      </c>
      <c r="G512" s="366"/>
      <c r="H512" s="366"/>
      <c r="I512" s="472"/>
      <c r="J512" s="505"/>
      <c r="K512" s="366"/>
      <c r="L512" s="520"/>
      <c r="M512" s="366"/>
      <c r="N512" s="366"/>
      <c r="O512" s="366"/>
      <c r="P512" s="366"/>
      <c r="Q512" s="366"/>
      <c r="R512" s="366"/>
      <c r="S512" s="366"/>
      <c r="T512" s="366"/>
      <c r="U512" s="366"/>
      <c r="V512" s="366"/>
      <c r="W512" s="366"/>
      <c r="X512" s="366"/>
      <c r="Y512" s="366"/>
      <c r="Z512" s="366"/>
      <c r="AA512" s="366"/>
      <c r="AB512" s="366"/>
      <c r="AC512" s="366"/>
      <c r="AD512" s="366"/>
      <c r="AE512" s="366"/>
      <c r="AF512" s="366"/>
      <c r="AG512" s="366"/>
      <c r="AH512" s="366"/>
      <c r="AI512" s="366"/>
      <c r="AJ512" s="366"/>
      <c r="AK512" s="366"/>
      <c r="AL512" s="366"/>
      <c r="AM512" s="366"/>
      <c r="AN512" s="366"/>
      <c r="AO512" s="367"/>
      <c r="AP512" s="367"/>
      <c r="AQ512" s="340"/>
      <c r="AR512" s="340"/>
      <c r="AS512" s="573"/>
      <c r="AT512" s="573"/>
      <c r="AU512" s="340"/>
      <c r="AV512" s="340"/>
      <c r="AW512" s="340"/>
      <c r="AX512" s="340"/>
      <c r="AY512" s="340"/>
      <c r="AZ512" s="340"/>
      <c r="BA512" s="340"/>
      <c r="BB512" s="340"/>
      <c r="BC512" s="340"/>
      <c r="BD512" s="340"/>
      <c r="BE512" s="340"/>
      <c r="BF512" s="368"/>
    </row>
    <row r="513" spans="1:58" s="364" customFormat="1" ht="14.25" customHeight="1">
      <c r="A513" s="575"/>
      <c r="G513" s="366"/>
      <c r="H513" s="366"/>
      <c r="I513" s="472"/>
      <c r="AF513" s="366"/>
      <c r="AG513" s="366"/>
      <c r="AH513" s="366"/>
      <c r="AI513" s="366"/>
      <c r="AJ513" s="366"/>
      <c r="AK513" s="366"/>
      <c r="AL513" s="366"/>
      <c r="AM513" s="366"/>
      <c r="AN513" s="366"/>
      <c r="AO513" s="367"/>
      <c r="AP513" s="367"/>
      <c r="AQ513" s="340"/>
      <c r="AR513" s="340"/>
      <c r="AS513" s="573"/>
      <c r="AT513" s="573"/>
      <c r="AU513" s="340"/>
      <c r="AV513" s="340"/>
      <c r="AW513" s="340"/>
      <c r="AX513" s="340"/>
      <c r="AY513" s="340"/>
      <c r="AZ513" s="340"/>
      <c r="BA513" s="340"/>
      <c r="BB513" s="340"/>
      <c r="BC513" s="340"/>
      <c r="BD513" s="340"/>
      <c r="BE513" s="340"/>
      <c r="BF513" s="368"/>
    </row>
    <row r="514" spans="1:58" s="364" customFormat="1" ht="14.25" customHeight="1" outlineLevel="1">
      <c r="A514" s="3096" t="s">
        <v>2085</v>
      </c>
      <c r="B514" s="3096"/>
      <c r="C514" s="3096"/>
      <c r="D514" s="3096"/>
      <c r="E514" s="3096"/>
      <c r="G514" s="366"/>
      <c r="H514" s="366"/>
      <c r="I514" s="472"/>
      <c r="J514" s="3063" t="s">
        <v>2086</v>
      </c>
      <c r="K514" s="3063"/>
      <c r="L514" s="3063"/>
      <c r="M514" s="3063"/>
      <c r="N514" s="3063"/>
      <c r="O514" s="3063"/>
      <c r="P514" s="3063"/>
      <c r="Q514" s="3063"/>
      <c r="R514" s="3063"/>
      <c r="S514" s="3063"/>
      <c r="T514" s="3063"/>
      <c r="U514" s="3063"/>
      <c r="V514" s="3063"/>
      <c r="W514" s="3063"/>
      <c r="X514" s="3063"/>
      <c r="Y514" s="3063"/>
      <c r="Z514" s="3063"/>
      <c r="AA514" s="3063"/>
      <c r="AB514" s="3063"/>
      <c r="AC514" s="3063"/>
      <c r="AD514" s="3063"/>
      <c r="AE514" s="3063"/>
      <c r="AF514" s="366"/>
      <c r="AG514" s="366"/>
      <c r="AH514" s="366"/>
      <c r="AI514" s="366"/>
      <c r="AJ514" s="366"/>
      <c r="AK514" s="366"/>
      <c r="AL514" s="366"/>
      <c r="AM514" s="366"/>
      <c r="AN514" s="366"/>
      <c r="AO514" s="367"/>
      <c r="AP514" s="367"/>
      <c r="AQ514" s="340"/>
      <c r="AR514" s="340"/>
      <c r="AS514" s="573"/>
      <c r="AT514" s="573"/>
      <c r="AU514" s="340"/>
      <c r="AV514" s="340"/>
      <c r="AW514" s="340"/>
      <c r="AX514" s="340"/>
      <c r="AY514" s="340"/>
      <c r="AZ514" s="340"/>
      <c r="BA514" s="340"/>
      <c r="BB514" s="340"/>
      <c r="BC514" s="340"/>
      <c r="BD514" s="340"/>
      <c r="BE514" s="340"/>
      <c r="BF514" s="368"/>
    </row>
    <row r="515" spans="1:58" s="364" customFormat="1" ht="14.25" customHeight="1" outlineLevel="1">
      <c r="A515" s="509"/>
      <c r="B515" s="509"/>
      <c r="C515" s="509"/>
      <c r="D515" s="509"/>
      <c r="E515" s="509"/>
      <c r="F515" s="509"/>
      <c r="G515" s="366"/>
      <c r="H515" s="366"/>
      <c r="I515" s="472"/>
      <c r="J515" s="3063"/>
      <c r="K515" s="3063"/>
      <c r="L515" s="3063"/>
      <c r="M515" s="3063"/>
      <c r="N515" s="3063"/>
      <c r="O515" s="3063"/>
      <c r="P515" s="3063"/>
      <c r="Q515" s="3063"/>
      <c r="R515" s="3063"/>
      <c r="S515" s="3063"/>
      <c r="T515" s="3063"/>
      <c r="U515" s="3063"/>
      <c r="V515" s="3063"/>
      <c r="W515" s="3063"/>
      <c r="X515" s="3063"/>
      <c r="Y515" s="3063"/>
      <c r="Z515" s="3063"/>
      <c r="AA515" s="3063"/>
      <c r="AB515" s="3063"/>
      <c r="AC515" s="3063"/>
      <c r="AD515" s="3063"/>
      <c r="AE515" s="3063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7"/>
      <c r="AP515" s="367"/>
      <c r="AQ515" s="340"/>
      <c r="AR515" s="340"/>
      <c r="AS515" s="573"/>
      <c r="AT515" s="573"/>
      <c r="AU515" s="340"/>
      <c r="AV515" s="340"/>
      <c r="AW515" s="340"/>
      <c r="AX515" s="340"/>
      <c r="AY515" s="340"/>
      <c r="AZ515" s="340"/>
      <c r="BA515" s="340"/>
      <c r="BB515" s="340"/>
      <c r="BC515" s="340"/>
      <c r="BD515" s="340"/>
      <c r="BE515" s="340"/>
      <c r="BF515" s="368"/>
    </row>
    <row r="516" spans="1:58" ht="14.25" customHeight="1" outlineLevel="1">
      <c r="A516" s="3095" t="s">
        <v>2087</v>
      </c>
      <c r="B516" s="3095"/>
      <c r="C516" s="3095"/>
      <c r="D516" s="3095"/>
      <c r="E516" s="507">
        <v>1</v>
      </c>
      <c r="F516" s="466"/>
      <c r="H516" s="366"/>
      <c r="AK516" s="454"/>
      <c r="AL516" s="454"/>
      <c r="AM516" s="454"/>
      <c r="AN516" s="454"/>
      <c r="AO516" s="454"/>
      <c r="AP516" s="454"/>
      <c r="AQ516" s="570"/>
      <c r="AR516" s="570"/>
      <c r="AS516" s="570"/>
      <c r="AT516" s="570"/>
      <c r="AU516" s="570"/>
      <c r="AV516" s="341"/>
      <c r="AW516" s="342"/>
      <c r="AX516" s="342"/>
      <c r="AY516" s="342"/>
      <c r="AZ516" s="342"/>
      <c r="BA516" s="342"/>
      <c r="BB516" s="342"/>
      <c r="BC516" s="342"/>
      <c r="BD516" s="342"/>
      <c r="BE516" s="342"/>
    </row>
    <row r="517" spans="1:58" s="364" customFormat="1" ht="14.25" customHeight="1" outlineLevel="1">
      <c r="A517" s="3095" t="s">
        <v>2088</v>
      </c>
      <c r="B517" s="3095"/>
      <c r="C517" s="3095"/>
      <c r="D517" s="3095"/>
      <c r="E517" s="507">
        <v>1.1000000000000001</v>
      </c>
      <c r="F517" s="466"/>
      <c r="G517" s="366"/>
      <c r="H517" s="366"/>
      <c r="AK517" s="454"/>
      <c r="AL517" s="454"/>
      <c r="AM517" s="454"/>
      <c r="AN517" s="454"/>
      <c r="AO517" s="454"/>
      <c r="AP517" s="454"/>
      <c r="AQ517" s="570"/>
      <c r="AR517" s="570"/>
      <c r="AS517" s="570"/>
      <c r="AT517" s="570"/>
      <c r="AU517" s="570"/>
      <c r="AV517" s="340"/>
      <c r="AW517" s="340"/>
      <c r="AX517" s="340"/>
      <c r="AY517" s="340"/>
      <c r="AZ517" s="340"/>
      <c r="BA517" s="340"/>
      <c r="BB517" s="340"/>
      <c r="BC517" s="340"/>
      <c r="BD517" s="340"/>
      <c r="BE517" s="340"/>
      <c r="BF517" s="368"/>
    </row>
    <row r="518" spans="1:58" ht="14.25" customHeight="1" outlineLevel="1">
      <c r="A518" s="364"/>
      <c r="B518" s="364"/>
      <c r="C518" s="364"/>
      <c r="D518" s="364"/>
      <c r="E518" s="364"/>
      <c r="F518" s="364"/>
      <c r="H518" s="366"/>
      <c r="I518" s="454"/>
      <c r="J518" s="454"/>
      <c r="K518" s="454"/>
      <c r="L518" s="454"/>
      <c r="M518" s="454"/>
      <c r="N518" s="454"/>
      <c r="O518" s="454"/>
      <c r="P518" s="454"/>
      <c r="Q518" s="454"/>
      <c r="R518" s="454"/>
      <c r="S518" s="454"/>
      <c r="T518" s="454"/>
      <c r="U518" s="454"/>
      <c r="V518" s="454"/>
      <c r="W518" s="454"/>
      <c r="X518" s="454"/>
      <c r="Y518" s="454"/>
      <c r="Z518" s="454"/>
      <c r="AA518" s="454"/>
      <c r="AB518" s="454"/>
      <c r="AC518" s="454"/>
      <c r="AD518" s="454"/>
      <c r="AE518" s="454"/>
      <c r="AF518" s="454"/>
      <c r="AG518" s="454"/>
      <c r="AH518" s="454"/>
      <c r="AI518" s="454"/>
      <c r="AJ518" s="454"/>
      <c r="AK518" s="454"/>
      <c r="AL518" s="454"/>
      <c r="AM518" s="454"/>
      <c r="AN518" s="454"/>
      <c r="AO518" s="454"/>
      <c r="AP518" s="454"/>
      <c r="AQ518" s="570"/>
      <c r="AR518" s="570"/>
      <c r="AS518" s="570"/>
      <c r="AT518" s="570"/>
      <c r="AU518" s="570"/>
      <c r="AV518" s="341"/>
      <c r="AW518" s="342"/>
      <c r="AX518" s="342"/>
      <c r="AY518" s="342"/>
      <c r="AZ518" s="342"/>
      <c r="BA518" s="342"/>
      <c r="BB518" s="342"/>
      <c r="BC518" s="342"/>
      <c r="BD518" s="342"/>
      <c r="BE518" s="342"/>
    </row>
    <row r="519" spans="1:58" ht="14.25" customHeight="1" outlineLevel="1">
      <c r="A519" s="3094" t="s">
        <v>2089</v>
      </c>
      <c r="B519" s="3094"/>
      <c r="C519" s="3094"/>
      <c r="D519" s="571" t="s">
        <v>1821</v>
      </c>
      <c r="G519" s="422"/>
      <c r="H519" s="360"/>
      <c r="I519" s="360"/>
      <c r="J519" s="356"/>
      <c r="K519" s="356"/>
      <c r="L519" s="356"/>
      <c r="M519" s="398"/>
      <c r="N519" s="398"/>
      <c r="O519" s="398"/>
      <c r="P519" s="398"/>
      <c r="Q519" s="398"/>
      <c r="R519" s="398"/>
      <c r="S519" s="398"/>
      <c r="T519" s="398"/>
      <c r="U519" s="356"/>
      <c r="V519" s="356"/>
      <c r="W519" s="356"/>
      <c r="X519" s="366"/>
      <c r="Y519" s="366"/>
      <c r="Z519" s="389"/>
      <c r="AA519" s="389"/>
      <c r="AB519" s="356"/>
      <c r="AC519" s="356"/>
      <c r="AK519" s="454"/>
      <c r="AL519" s="454"/>
      <c r="AM519" s="454"/>
      <c r="AN519" s="454"/>
      <c r="AO519" s="454"/>
      <c r="AP519" s="454"/>
      <c r="AQ519" s="570"/>
      <c r="AR519" s="570"/>
      <c r="AS519" s="570"/>
      <c r="AT519" s="570"/>
      <c r="AU519" s="570"/>
      <c r="AV519" s="341"/>
      <c r="AW519" s="342"/>
      <c r="AX519" s="342"/>
      <c r="AY519" s="342"/>
      <c r="AZ519" s="342"/>
      <c r="BA519" s="342"/>
      <c r="BB519" s="342"/>
      <c r="BC519" s="342"/>
      <c r="BD519" s="342"/>
      <c r="BE519" s="342"/>
    </row>
    <row r="520" spans="1:58" ht="14.25" customHeight="1" outlineLevel="1">
      <c r="A520" s="366"/>
      <c r="B520" s="381"/>
      <c r="C520" s="366"/>
      <c r="D520" s="366"/>
      <c r="E520" s="381"/>
      <c r="F520" s="381"/>
      <c r="G520" s="422"/>
      <c r="H520" s="355"/>
      <c r="I520" s="355"/>
      <c r="J520" s="356"/>
      <c r="K520" s="356"/>
      <c r="L520" s="356"/>
      <c r="M520" s="398"/>
      <c r="N520" s="398"/>
      <c r="O520" s="398"/>
      <c r="P520" s="398"/>
      <c r="Q520" s="398"/>
      <c r="R520" s="398"/>
      <c r="S520" s="398"/>
      <c r="T520" s="398"/>
      <c r="U520" s="356"/>
      <c r="V520" s="356"/>
      <c r="W520" s="356"/>
      <c r="X520" s="356"/>
      <c r="Y520" s="356"/>
      <c r="Z520" s="356"/>
      <c r="AA520" s="356"/>
      <c r="AB520" s="356"/>
      <c r="AC520" s="356"/>
      <c r="AD520" s="356"/>
      <c r="AE520" s="356"/>
      <c r="AF520" s="364"/>
      <c r="AG520" s="364"/>
      <c r="AK520" s="454"/>
      <c r="AL520" s="454"/>
      <c r="AM520" s="454"/>
      <c r="AN520" s="454"/>
      <c r="AO520" s="454"/>
      <c r="AP520" s="454"/>
      <c r="AQ520" s="570"/>
      <c r="AR520" s="570"/>
      <c r="AS520" s="570"/>
      <c r="AT520" s="570"/>
      <c r="AU520" s="570"/>
      <c r="AV520" s="341"/>
      <c r="AW520" s="342"/>
      <c r="AX520" s="342"/>
      <c r="AY520" s="342" t="e">
        <f>#REF!</f>
        <v>#REF!</v>
      </c>
      <c r="AZ520" s="342"/>
      <c r="BA520" s="342"/>
      <c r="BB520" s="342"/>
      <c r="BC520" s="342"/>
      <c r="BD520" s="342"/>
      <c r="BE520" s="342"/>
    </row>
    <row r="521" spans="1:58" ht="14.25" customHeight="1" outlineLevel="1">
      <c r="A521" s="486" t="s">
        <v>2090</v>
      </c>
      <c r="B521" s="438" t="s">
        <v>156</v>
      </c>
      <c r="C521" s="488">
        <v>1</v>
      </c>
      <c r="D521" s="366"/>
      <c r="E521" s="381"/>
      <c r="F521" s="381"/>
      <c r="G521" s="422"/>
      <c r="H521" s="356"/>
      <c r="I521" s="356"/>
      <c r="J521" s="360"/>
      <c r="K521" s="356"/>
      <c r="L521" s="356"/>
      <c r="M521" s="398"/>
      <c r="N521" s="481"/>
      <c r="O521" s="481"/>
      <c r="P521" s="481"/>
      <c r="Q521" s="481"/>
      <c r="R521" s="481"/>
      <c r="S521" s="481"/>
      <c r="T521" s="481"/>
      <c r="U521" s="356"/>
      <c r="V521" s="356"/>
      <c r="W521" s="356"/>
      <c r="X521" s="356"/>
      <c r="Y521" s="356"/>
      <c r="Z521" s="356"/>
      <c r="AA521" s="356"/>
      <c r="AB521" s="360"/>
      <c r="AC521" s="360"/>
      <c r="AD521" s="357"/>
      <c r="AE521" s="357"/>
      <c r="AH521" s="454"/>
      <c r="AN521" s="454"/>
      <c r="AO521" s="454"/>
      <c r="AP521" s="454"/>
      <c r="AQ521" s="570"/>
      <c r="AR521" s="570"/>
      <c r="AS521" s="570"/>
      <c r="AT521" s="570"/>
      <c r="AU521" s="570"/>
      <c r="AV521" s="341"/>
      <c r="AW521" s="342"/>
      <c r="AX521" s="342"/>
      <c r="AY521" s="342" t="e">
        <f>#REF!</f>
        <v>#REF!</v>
      </c>
      <c r="AZ521" s="342"/>
      <c r="BA521" s="342"/>
      <c r="BB521" s="342"/>
      <c r="BC521" s="342"/>
      <c r="BD521" s="342"/>
      <c r="BE521" s="342"/>
    </row>
    <row r="522" spans="1:58" ht="14.25" customHeight="1" outlineLevel="1">
      <c r="A522" s="547" t="s">
        <v>2091</v>
      </c>
      <c r="B522" s="438" t="s">
        <v>156</v>
      </c>
      <c r="C522" s="507">
        <v>3</v>
      </c>
      <c r="G522" s="422"/>
      <c r="H522" s="356"/>
      <c r="I522" s="356"/>
      <c r="J522" s="360"/>
      <c r="K522" s="356"/>
      <c r="L522" s="356"/>
      <c r="M522" s="398"/>
      <c r="N522" s="481"/>
      <c r="O522" s="481"/>
      <c r="P522" s="481"/>
      <c r="Q522" s="481"/>
      <c r="R522" s="481"/>
      <c r="S522" s="481"/>
      <c r="T522" s="481"/>
      <c r="U522" s="356"/>
      <c r="V522" s="356"/>
      <c r="W522" s="356"/>
      <c r="X522" s="356"/>
      <c r="Y522" s="356"/>
      <c r="Z522" s="356"/>
      <c r="AA522" s="356"/>
      <c r="AB522" s="360"/>
      <c r="AC522" s="360"/>
      <c r="AD522" s="356"/>
      <c r="AE522" s="356"/>
      <c r="AH522" s="454"/>
      <c r="AN522" s="454"/>
      <c r="AO522" s="576"/>
      <c r="AP522" s="576"/>
      <c r="AQ522" s="570"/>
      <c r="AR522" s="570"/>
      <c r="AS522" s="570"/>
      <c r="AT522" s="570"/>
      <c r="AU522" s="570"/>
      <c r="AV522" s="341"/>
      <c r="AW522" s="342"/>
      <c r="AX522" s="342"/>
      <c r="AY522" s="342" t="e">
        <f>#REF!</f>
        <v>#REF!</v>
      </c>
      <c r="AZ522" s="342"/>
      <c r="BA522" s="342"/>
      <c r="BB522" s="342"/>
      <c r="BC522" s="342"/>
      <c r="BD522" s="342"/>
      <c r="BE522" s="342"/>
    </row>
    <row r="523" spans="1:58" ht="14.25" customHeight="1" outlineLevel="1">
      <c r="A523" s="547" t="s">
        <v>2092</v>
      </c>
      <c r="B523" s="438" t="s">
        <v>156</v>
      </c>
      <c r="C523" s="507">
        <v>3</v>
      </c>
      <c r="G523" s="422"/>
      <c r="H523" s="422"/>
      <c r="I523" s="422"/>
      <c r="J523" s="422"/>
      <c r="K523" s="481"/>
      <c r="L523" s="481"/>
      <c r="M523" s="398"/>
      <c r="N523" s="481"/>
      <c r="O523" s="481"/>
      <c r="P523" s="481"/>
      <c r="Q523" s="481"/>
      <c r="R523" s="481"/>
      <c r="S523" s="485"/>
      <c r="T523" s="481"/>
      <c r="U523" s="356"/>
      <c r="V523" s="356"/>
      <c r="W523" s="356"/>
      <c r="X523" s="356"/>
      <c r="Y523" s="356"/>
      <c r="Z523" s="356"/>
      <c r="AA523" s="356"/>
      <c r="AB523" s="360"/>
      <c r="AC523" s="360"/>
      <c r="AD523" s="356"/>
      <c r="AE523" s="356"/>
      <c r="AO523" s="331"/>
      <c r="AP523" s="331"/>
      <c r="AS523" s="342"/>
      <c r="AT523" s="342"/>
      <c r="AU523" s="341"/>
      <c r="AV523" s="341"/>
      <c r="AW523" s="342"/>
      <c r="AX523" s="342"/>
      <c r="AY523" s="342" t="e">
        <f>#REF!</f>
        <v>#REF!</v>
      </c>
      <c r="AZ523" s="342"/>
      <c r="BA523" s="342"/>
      <c r="BB523" s="342"/>
      <c r="BC523" s="342"/>
      <c r="BD523" s="342"/>
      <c r="BE523" s="342"/>
    </row>
    <row r="524" spans="1:58" ht="14.25" customHeight="1" outlineLevel="1">
      <c r="A524" s="547" t="s">
        <v>2093</v>
      </c>
      <c r="B524" s="438" t="s">
        <v>156</v>
      </c>
      <c r="C524" s="507">
        <v>2.7</v>
      </c>
      <c r="G524" s="422"/>
      <c r="H524" s="422"/>
      <c r="I524" s="422"/>
      <c r="J524" s="422"/>
      <c r="K524" s="481"/>
      <c r="L524" s="481"/>
      <c r="M524" s="398"/>
      <c r="N524" s="481"/>
      <c r="O524" s="481"/>
      <c r="P524" s="481"/>
      <c r="Q524" s="481"/>
      <c r="R524" s="481"/>
      <c r="S524" s="481"/>
      <c r="T524" s="481"/>
      <c r="U524" s="356"/>
      <c r="V524" s="356"/>
      <c r="W524" s="356"/>
      <c r="X524" s="356"/>
      <c r="Y524" s="356"/>
      <c r="Z524" s="356"/>
      <c r="AA524" s="356"/>
      <c r="AB524" s="360"/>
      <c r="AC524" s="360"/>
      <c r="AD524" s="360"/>
      <c r="AE524" s="360"/>
      <c r="AO524" s="331"/>
      <c r="AP524" s="331"/>
      <c r="AS524" s="342"/>
      <c r="AT524" s="342"/>
      <c r="AU524" s="341"/>
      <c r="AV524" s="341"/>
      <c r="AW524" s="342"/>
      <c r="AX524" s="342"/>
      <c r="AY524" s="342">
        <f>G546</f>
        <v>4.5</v>
      </c>
      <c r="AZ524" s="342"/>
      <c r="BA524" s="342"/>
      <c r="BB524" s="342"/>
      <c r="BC524" s="342"/>
      <c r="BD524" s="342"/>
      <c r="BE524" s="342"/>
    </row>
    <row r="525" spans="1:58" ht="14.25" customHeight="1" outlineLevel="1">
      <c r="A525" s="488" t="s">
        <v>2094</v>
      </c>
      <c r="B525" s="438" t="s">
        <v>156</v>
      </c>
      <c r="C525" s="507">
        <v>2.7</v>
      </c>
      <c r="D525" s="366"/>
      <c r="E525" s="366"/>
      <c r="F525" s="366"/>
      <c r="G525" s="422"/>
      <c r="H525" s="422"/>
      <c r="I525" s="422"/>
      <c r="J525" s="422"/>
      <c r="K525" s="481"/>
      <c r="L525" s="481"/>
      <c r="M525" s="398"/>
      <c r="N525" s="481"/>
      <c r="O525" s="481"/>
      <c r="P525" s="481"/>
      <c r="Q525" s="481"/>
      <c r="R525" s="481"/>
      <c r="S525" s="481"/>
      <c r="T525" s="481"/>
      <c r="U525" s="356"/>
      <c r="V525" s="356"/>
      <c r="W525" s="356"/>
      <c r="X525" s="356"/>
      <c r="Y525" s="356"/>
      <c r="Z525" s="356"/>
      <c r="AA525" s="356"/>
      <c r="AB525" s="360"/>
      <c r="AC525" s="360"/>
      <c r="AD525" s="360"/>
      <c r="AE525" s="482"/>
      <c r="AO525" s="331"/>
      <c r="AP525" s="331"/>
      <c r="AS525" s="342"/>
      <c r="AT525" s="342"/>
      <c r="AU525" s="341"/>
      <c r="AV525" s="341"/>
      <c r="AW525" s="342"/>
      <c r="AX525" s="342"/>
      <c r="AY525" s="342">
        <v>2.5</v>
      </c>
      <c r="AZ525" s="342"/>
      <c r="BA525" s="342"/>
      <c r="BB525" s="342"/>
      <c r="BC525" s="342">
        <f>AF549</f>
        <v>4</v>
      </c>
      <c r="BD525" s="342"/>
      <c r="BE525" s="342"/>
    </row>
    <row r="526" spans="1:58" ht="14.25" customHeight="1" outlineLevel="1">
      <c r="A526" s="577" t="s">
        <v>2095</v>
      </c>
      <c r="B526" s="415" t="s">
        <v>156</v>
      </c>
      <c r="C526" s="488">
        <v>4.5</v>
      </c>
      <c r="G526" s="422"/>
      <c r="H526" s="422"/>
      <c r="I526" s="422"/>
      <c r="J526" s="422"/>
      <c r="K526" s="481"/>
      <c r="L526" s="481"/>
      <c r="M526" s="398"/>
      <c r="N526" s="481"/>
      <c r="O526" s="481"/>
      <c r="P526" s="481"/>
      <c r="Q526" s="481"/>
      <c r="R526" s="578" t="s">
        <v>1958</v>
      </c>
      <c r="S526" s="481"/>
      <c r="T526" s="481"/>
      <c r="U526" s="356"/>
      <c r="V526" s="356"/>
      <c r="W526" s="356"/>
      <c r="X526" s="356"/>
      <c r="Y526" s="356"/>
      <c r="Z526" s="356"/>
      <c r="AA526" s="356"/>
      <c r="AB526" s="360"/>
      <c r="AC526" s="360"/>
      <c r="AD526" s="360"/>
      <c r="AE526" s="356"/>
      <c r="AS526" s="342"/>
      <c r="AT526" s="342"/>
      <c r="AU526" s="341"/>
      <c r="AV526" s="341"/>
      <c r="AW526" s="342"/>
      <c r="AX526" s="342"/>
      <c r="AY526" s="342">
        <f>AF549</f>
        <v>4</v>
      </c>
      <c r="AZ526" s="342"/>
      <c r="BA526" s="342"/>
      <c r="BB526" s="342"/>
      <c r="BC526" s="342">
        <f>AD545</f>
        <v>4.2</v>
      </c>
      <c r="BD526" s="342"/>
      <c r="BE526" s="342"/>
    </row>
    <row r="527" spans="1:58" ht="14.25" customHeight="1" outlineLevel="1">
      <c r="E527" s="3105" t="s">
        <v>2096</v>
      </c>
      <c r="F527" s="3105"/>
      <c r="G527" s="422"/>
      <c r="H527" s="422"/>
      <c r="I527" s="422"/>
      <c r="J527" s="422"/>
      <c r="K527" s="481"/>
      <c r="L527" s="481"/>
      <c r="M527" s="398"/>
      <c r="N527" s="481"/>
      <c r="O527" s="481"/>
      <c r="P527" s="481"/>
      <c r="Q527" s="481"/>
      <c r="R527" s="481"/>
      <c r="S527" s="481"/>
      <c r="T527" s="481"/>
      <c r="U527" s="356"/>
      <c r="V527" s="356"/>
      <c r="W527" s="356"/>
      <c r="X527" s="356"/>
      <c r="Y527" s="356"/>
      <c r="Z527" s="356"/>
      <c r="AA527" s="356"/>
      <c r="AB527" s="360"/>
      <c r="AC527" s="360"/>
      <c r="AD527" s="360"/>
      <c r="AE527" s="356"/>
      <c r="AS527" s="342"/>
      <c r="AT527" s="342"/>
      <c r="AU527" s="341"/>
      <c r="AV527" s="341"/>
      <c r="AW527" s="342"/>
      <c r="AX527" s="342"/>
      <c r="AY527" s="342">
        <f>AD545</f>
        <v>4.2</v>
      </c>
      <c r="AZ527" s="342"/>
      <c r="BA527" s="342"/>
      <c r="BB527" s="342"/>
      <c r="BC527" s="342">
        <f>Z541</f>
        <v>7</v>
      </c>
      <c r="BD527" s="342"/>
      <c r="BE527" s="342"/>
    </row>
    <row r="528" spans="1:58" ht="14.25" customHeight="1" outlineLevel="1">
      <c r="A528" s="331" t="s">
        <v>2097</v>
      </c>
      <c r="E528" s="3105"/>
      <c r="F528" s="3105"/>
      <c r="G528" s="422"/>
      <c r="H528" s="422"/>
      <c r="I528" s="422"/>
      <c r="J528" s="422"/>
      <c r="K528" s="481"/>
      <c r="L528" s="481"/>
      <c r="M528" s="398"/>
      <c r="N528" s="481"/>
      <c r="O528" s="481"/>
      <c r="P528" s="481"/>
      <c r="Q528" s="481"/>
      <c r="R528" s="481"/>
      <c r="S528" s="481"/>
      <c r="T528" s="481"/>
      <c r="U528" s="356"/>
      <c r="V528" s="356"/>
      <c r="W528" s="356"/>
      <c r="X528" s="356"/>
      <c r="Y528" s="356"/>
      <c r="Z528" s="356"/>
      <c r="AA528" s="356"/>
      <c r="AB528" s="360"/>
      <c r="AC528" s="360"/>
      <c r="AD528" s="356"/>
      <c r="AE528" s="360"/>
      <c r="AS528" s="342"/>
      <c r="AT528" s="342"/>
      <c r="AU528" s="341"/>
      <c r="AV528" s="341"/>
      <c r="AW528" s="342"/>
      <c r="AX528" s="342"/>
      <c r="AY528" s="342">
        <f>Z541</f>
        <v>7</v>
      </c>
      <c r="AZ528" s="342"/>
      <c r="BA528" s="342"/>
      <c r="BB528" s="342"/>
      <c r="BC528" s="342">
        <f>G546</f>
        <v>4.5</v>
      </c>
      <c r="BD528" s="342"/>
      <c r="BE528" s="342"/>
    </row>
    <row r="529" spans="1:57" ht="14.25" customHeight="1" outlineLevel="1">
      <c r="A529" s="493" t="s">
        <v>2098</v>
      </c>
      <c r="E529" s="3105"/>
      <c r="F529" s="3105"/>
      <c r="G529" s="422"/>
      <c r="H529" s="422"/>
      <c r="I529" s="422"/>
      <c r="J529" s="422"/>
      <c r="K529" s="481"/>
      <c r="L529" s="481"/>
      <c r="M529" s="398"/>
      <c r="N529" s="481"/>
      <c r="O529" s="481"/>
      <c r="P529" s="481"/>
      <c r="Q529" s="481"/>
      <c r="R529" s="481"/>
      <c r="S529" s="481"/>
      <c r="T529" s="481"/>
      <c r="U529" s="356"/>
      <c r="V529" s="356"/>
      <c r="W529" s="356"/>
      <c r="X529" s="356"/>
      <c r="Y529" s="356"/>
      <c r="Z529" s="356"/>
      <c r="AA529" s="356"/>
      <c r="AB529" s="360"/>
      <c r="AC529" s="360"/>
      <c r="AD529" s="360"/>
      <c r="AE529" s="360"/>
      <c r="AS529" s="342"/>
      <c r="AT529" s="342"/>
      <c r="AU529" s="341"/>
      <c r="AV529" s="341"/>
      <c r="AW529" s="342"/>
      <c r="AX529" s="342"/>
      <c r="AY529" s="342">
        <f>H542</f>
        <v>60</v>
      </c>
      <c r="AZ529" s="342"/>
      <c r="BA529" s="342"/>
      <c r="BB529" s="342"/>
      <c r="BC529" s="342">
        <f>H542</f>
        <v>60</v>
      </c>
      <c r="BD529" s="342"/>
      <c r="BE529" s="342"/>
    </row>
    <row r="530" spans="1:57" ht="14.25" customHeight="1" outlineLevel="1">
      <c r="A530" s="554" t="s">
        <v>2099</v>
      </c>
      <c r="B530" s="579"/>
      <c r="E530" s="3105"/>
      <c r="F530" s="3105"/>
      <c r="G530" s="422"/>
      <c r="H530" s="422"/>
      <c r="I530" s="422"/>
      <c r="J530" s="422"/>
      <c r="K530" s="481"/>
      <c r="L530" s="481"/>
      <c r="M530" s="398"/>
      <c r="N530" s="481"/>
      <c r="O530" s="481"/>
      <c r="P530" s="481"/>
      <c r="Q530" s="481"/>
      <c r="R530" s="481"/>
      <c r="S530" s="481"/>
      <c r="T530" s="481"/>
      <c r="U530" s="356"/>
      <c r="V530" s="356"/>
      <c r="W530" s="356"/>
      <c r="X530" s="356"/>
      <c r="Y530" s="356"/>
      <c r="Z530" s="356"/>
      <c r="AA530" s="356"/>
      <c r="AB530" s="360"/>
      <c r="AC530" s="360"/>
      <c r="AD530" s="360"/>
      <c r="AE530" s="360"/>
      <c r="AS530" s="342"/>
      <c r="AT530" s="342"/>
      <c r="AU530" s="341"/>
      <c r="AV530" s="341"/>
      <c r="AW530" s="342"/>
      <c r="AX530" s="342"/>
      <c r="AY530" s="342"/>
      <c r="AZ530" s="342"/>
      <c r="BA530" s="342"/>
      <c r="BB530" s="342"/>
      <c r="BC530" s="342"/>
      <c r="BD530" s="342"/>
      <c r="BE530" s="342"/>
    </row>
    <row r="531" spans="1:57" ht="14.25" customHeight="1" outlineLevel="1">
      <c r="A531" s="580" t="s">
        <v>864</v>
      </c>
      <c r="E531" s="3105"/>
      <c r="F531" s="3105"/>
      <c r="G531" s="422"/>
      <c r="H531" s="422"/>
      <c r="I531" s="422"/>
      <c r="J531" s="422"/>
      <c r="K531" s="481"/>
      <c r="L531" s="367" t="s">
        <v>2100</v>
      </c>
      <c r="M531" s="398"/>
      <c r="N531" s="481"/>
      <c r="O531" s="481"/>
      <c r="P531" s="481"/>
      <c r="Q531" s="481"/>
      <c r="R531" s="481"/>
      <c r="S531" s="481"/>
      <c r="T531" s="481"/>
      <c r="U531" s="356"/>
      <c r="V531" s="356"/>
      <c r="W531" s="356"/>
      <c r="X531" s="356"/>
      <c r="Y531" s="356"/>
      <c r="Z531" s="356"/>
      <c r="AA531" s="356"/>
      <c r="AB531" s="360"/>
      <c r="AC531" s="360"/>
      <c r="AD531" s="360"/>
      <c r="AE531" s="360"/>
      <c r="AS531" s="342"/>
      <c r="AT531" s="342"/>
      <c r="AU531" s="341"/>
      <c r="AV531" s="341"/>
      <c r="AW531" s="342"/>
      <c r="AX531" s="342"/>
      <c r="AY531" s="342"/>
      <c r="AZ531" s="342"/>
      <c r="BA531" s="342"/>
      <c r="BB531" s="342"/>
      <c r="BC531" s="342"/>
      <c r="BD531" s="342"/>
      <c r="BE531" s="342"/>
    </row>
    <row r="532" spans="1:57" ht="14.25" customHeight="1" outlineLevel="1">
      <c r="A532" s="581" t="s">
        <v>2101</v>
      </c>
      <c r="B532" s="381"/>
      <c r="G532" s="356"/>
      <c r="H532" s="356"/>
      <c r="I532" s="481"/>
      <c r="J532" s="481"/>
      <c r="K532" s="481"/>
      <c r="L532" s="481"/>
      <c r="M532" s="481"/>
      <c r="N532" s="481"/>
      <c r="O532" s="481"/>
      <c r="P532" s="481"/>
      <c r="Q532" s="481"/>
      <c r="R532" s="481"/>
      <c r="S532" s="481"/>
      <c r="U532" s="356"/>
      <c r="V532" s="356"/>
      <c r="W532" s="356"/>
      <c r="X532" s="356"/>
      <c r="Y532" s="356"/>
      <c r="Z532" s="366"/>
      <c r="AA532" s="356"/>
      <c r="AB532" s="360"/>
      <c r="AC532" s="360"/>
      <c r="AD532" s="360"/>
      <c r="AE532" s="360"/>
      <c r="AS532" s="342"/>
      <c r="AT532" s="342"/>
      <c r="AU532" s="341"/>
      <c r="AV532" s="341"/>
      <c r="AW532" s="342"/>
      <c r="AX532" s="342"/>
      <c r="AY532" s="342"/>
      <c r="AZ532" s="342"/>
      <c r="BA532" s="342"/>
      <c r="BB532" s="342"/>
      <c r="BC532" s="342"/>
      <c r="BD532" s="342"/>
      <c r="BE532" s="342"/>
    </row>
    <row r="533" spans="1:57" ht="14.25" customHeight="1" outlineLevel="1">
      <c r="A533" s="582" t="s">
        <v>1449</v>
      </c>
      <c r="G533" s="356"/>
      <c r="H533" s="356"/>
      <c r="I533" s="481"/>
      <c r="J533" s="422"/>
      <c r="K533" s="481"/>
      <c r="L533" s="481"/>
      <c r="O533" s="481"/>
      <c r="P533" s="481"/>
      <c r="Q533" s="481"/>
      <c r="R533" s="481"/>
      <c r="S533" s="354"/>
      <c r="T533" s="481"/>
      <c r="U533" s="356"/>
      <c r="V533" s="356"/>
      <c r="W533" s="356"/>
      <c r="X533" s="356"/>
      <c r="Y533" s="356"/>
      <c r="Z533" s="356"/>
      <c r="AA533" s="356"/>
      <c r="AB533" s="360"/>
      <c r="AC533" s="360"/>
      <c r="AD533" s="360"/>
      <c r="AE533" s="360"/>
      <c r="AS533" s="342"/>
      <c r="AT533" s="342"/>
      <c r="AU533" s="341"/>
      <c r="AV533" s="341"/>
      <c r="AW533" s="342"/>
      <c r="AX533" s="342"/>
      <c r="AY533" s="342"/>
      <c r="AZ533" s="342"/>
      <c r="BA533" s="342"/>
      <c r="BB533" s="342"/>
      <c r="BC533" s="342"/>
      <c r="BD533" s="342"/>
      <c r="BE533" s="342"/>
    </row>
    <row r="534" spans="1:57" ht="14.25" customHeight="1" outlineLevel="1">
      <c r="A534" s="228" t="s">
        <v>1447</v>
      </c>
      <c r="B534" s="583" t="s">
        <v>1821</v>
      </c>
      <c r="G534" s="508"/>
      <c r="H534" s="520"/>
      <c r="I534" s="520"/>
      <c r="J534" s="520"/>
      <c r="K534" s="520"/>
      <c r="L534" s="520"/>
      <c r="M534" s="520"/>
      <c r="N534" s="520"/>
      <c r="O534" s="520"/>
      <c r="P534" s="520"/>
      <c r="R534" s="381"/>
      <c r="S534" s="520"/>
      <c r="T534" s="520"/>
      <c r="U534" s="520"/>
      <c r="V534" s="520"/>
      <c r="W534" s="520"/>
      <c r="X534" s="520"/>
      <c r="Y534" s="520"/>
      <c r="Z534" s="520"/>
      <c r="AA534" s="520"/>
      <c r="AB534" s="520"/>
      <c r="AC534" s="520"/>
      <c r="AD534" s="360"/>
      <c r="AE534" s="364"/>
      <c r="AS534" s="342"/>
      <c r="AT534" s="342"/>
      <c r="AU534" s="341"/>
      <c r="AV534" s="341"/>
      <c r="AW534" s="342"/>
      <c r="AX534" s="342"/>
      <c r="AY534" s="342"/>
      <c r="AZ534" s="342"/>
      <c r="BA534" s="342"/>
      <c r="BB534" s="342"/>
      <c r="BC534" s="342"/>
      <c r="BD534" s="342"/>
      <c r="BE534" s="342"/>
    </row>
    <row r="535" spans="1:57" ht="14.25" customHeight="1" outlineLevel="1">
      <c r="A535" s="584" t="s">
        <v>2102</v>
      </c>
      <c r="B535" s="585" t="s">
        <v>1821</v>
      </c>
      <c r="AD535" s="360"/>
      <c r="AE535" s="364"/>
      <c r="AS535" s="342"/>
      <c r="AT535" s="342"/>
      <c r="AU535" s="341"/>
      <c r="AV535" s="341"/>
      <c r="AW535" s="342"/>
      <c r="AX535" s="342"/>
      <c r="AY535" s="342"/>
      <c r="AZ535" s="342"/>
      <c r="BA535" s="342"/>
      <c r="BB535" s="342"/>
      <c r="BC535" s="342"/>
      <c r="BD535" s="342"/>
      <c r="BE535" s="342"/>
    </row>
    <row r="536" spans="1:57" ht="14.25" customHeight="1" outlineLevel="1">
      <c r="A536" s="584" t="s">
        <v>2103</v>
      </c>
      <c r="B536" s="585" t="s">
        <v>1821</v>
      </c>
      <c r="E536" s="366"/>
      <c r="F536" s="366"/>
      <c r="AD536" s="360"/>
      <c r="AE536" s="364"/>
      <c r="AS536" s="342"/>
      <c r="AT536" s="342"/>
      <c r="AU536" s="341"/>
      <c r="AV536" s="341"/>
      <c r="AW536" s="342"/>
      <c r="AX536" s="342"/>
      <c r="AY536" s="342"/>
      <c r="AZ536" s="342"/>
      <c r="BA536" s="342"/>
      <c r="BB536" s="342"/>
      <c r="BC536" s="342"/>
      <c r="BD536" s="342"/>
      <c r="BE536" s="342"/>
    </row>
    <row r="537" spans="1:57" ht="14.25" customHeight="1" outlineLevel="1">
      <c r="A537" s="586" t="s">
        <v>919</v>
      </c>
      <c r="B537" s="587" t="s">
        <v>1821</v>
      </c>
      <c r="AD537" s="588"/>
      <c r="AE537" s="588"/>
      <c r="AF537" s="588"/>
      <c r="AG537" s="588"/>
      <c r="AS537" s="342"/>
      <c r="AT537" s="342"/>
      <c r="AU537" s="341"/>
      <c r="AV537" s="341"/>
      <c r="AW537" s="342"/>
      <c r="AX537" s="342"/>
      <c r="AY537" s="342"/>
      <c r="AZ537" s="342"/>
      <c r="BA537" s="342"/>
      <c r="BB537" s="342"/>
      <c r="BC537" s="342"/>
      <c r="BD537" s="342"/>
      <c r="BE537" s="342"/>
    </row>
    <row r="538" spans="1:57" ht="14.25" customHeight="1" outlineLevel="1">
      <c r="G538" s="354"/>
      <c r="H538" s="366"/>
      <c r="I538" s="366"/>
      <c r="J538" s="366"/>
      <c r="K538" s="589" t="s">
        <v>2104</v>
      </c>
      <c r="L538" s="366"/>
      <c r="M538" s="366"/>
      <c r="N538" s="354" t="s">
        <v>2105</v>
      </c>
      <c r="O538" s="366"/>
      <c r="P538" s="366"/>
      <c r="R538" s="381"/>
      <c r="S538" s="366"/>
      <c r="T538" s="366"/>
      <c r="U538" s="366"/>
      <c r="V538" s="366"/>
      <c r="W538" s="366"/>
      <c r="X538" s="366"/>
      <c r="Y538" s="354" t="s">
        <v>2106</v>
      </c>
      <c r="Z538" s="366"/>
      <c r="AA538" s="366"/>
      <c r="AB538" s="366"/>
      <c r="AC538" s="366"/>
      <c r="AD538" s="367"/>
      <c r="AE538" s="367"/>
      <c r="AF538" s="367"/>
      <c r="AG538" s="367"/>
      <c r="AS538" s="342"/>
      <c r="AT538" s="342"/>
      <c r="AU538" s="341"/>
      <c r="AV538" s="341"/>
      <c r="AW538" s="342"/>
      <c r="AX538" s="342"/>
      <c r="AY538" s="342"/>
      <c r="AZ538" s="342"/>
      <c r="BA538" s="342"/>
      <c r="BB538" s="342"/>
      <c r="BC538" s="342"/>
      <c r="BD538" s="342"/>
      <c r="BE538" s="342"/>
    </row>
    <row r="539" spans="1:57" ht="14.25" customHeight="1" outlineLevel="1">
      <c r="A539" s="478" t="s">
        <v>2107</v>
      </c>
      <c r="D539" s="492"/>
      <c r="G539" s="354"/>
      <c r="H539" s="421"/>
      <c r="I539" s="421"/>
      <c r="J539" s="421"/>
      <c r="K539" s="421"/>
      <c r="L539" s="421"/>
      <c r="M539" s="421"/>
      <c r="N539" s="421"/>
      <c r="O539" s="421"/>
      <c r="P539" s="421"/>
      <c r="Q539" s="381"/>
      <c r="R539" s="381"/>
      <c r="S539" s="421"/>
      <c r="T539" s="421"/>
      <c r="U539" s="421"/>
      <c r="V539" s="421"/>
      <c r="W539" s="421"/>
      <c r="X539" s="421"/>
      <c r="Y539" s="421"/>
      <c r="Z539" s="366"/>
      <c r="AA539" s="366"/>
      <c r="AB539" s="366"/>
      <c r="AC539" s="366"/>
      <c r="AD539" s="367"/>
      <c r="AE539" s="367"/>
      <c r="AF539" s="367"/>
      <c r="AG539" s="367"/>
      <c r="AS539" s="342"/>
      <c r="AT539" s="342"/>
      <c r="AU539" s="341"/>
      <c r="AV539" s="341"/>
      <c r="AW539" s="342"/>
      <c r="AX539" s="342"/>
      <c r="AY539" s="342"/>
      <c r="AZ539" s="342"/>
      <c r="BA539" s="342"/>
      <c r="BB539" s="342"/>
      <c r="BC539" s="342"/>
      <c r="BD539" s="342"/>
      <c r="BE539" s="342"/>
    </row>
    <row r="540" spans="1:57" ht="14.25" customHeight="1" outlineLevel="1">
      <c r="A540" s="483" t="s">
        <v>297</v>
      </c>
      <c r="G540" s="354"/>
      <c r="I540" s="355"/>
      <c r="J540" s="421"/>
      <c r="K540" s="421"/>
      <c r="L540" s="421"/>
      <c r="M540" s="421"/>
      <c r="N540" s="421"/>
      <c r="O540" s="421"/>
      <c r="P540" s="421"/>
      <c r="Q540" s="421"/>
      <c r="R540" s="421"/>
      <c r="S540" s="421"/>
      <c r="T540" s="421"/>
      <c r="U540" s="421"/>
      <c r="V540" s="421"/>
      <c r="W540" s="421"/>
      <c r="X540" s="421"/>
      <c r="Y540" s="421"/>
      <c r="Z540" s="3098" t="s">
        <v>156</v>
      </c>
      <c r="AA540" s="3098"/>
      <c r="AB540" s="355"/>
      <c r="AC540" s="366"/>
      <c r="AD540" s="367"/>
      <c r="AE540" s="367"/>
      <c r="AF540" s="367"/>
      <c r="AG540" s="367"/>
      <c r="AS540" s="342"/>
      <c r="AT540" s="342"/>
      <c r="AU540" s="341"/>
      <c r="AV540" s="341"/>
      <c r="AW540" s="342"/>
      <c r="AX540" s="342"/>
      <c r="AY540" s="342"/>
      <c r="AZ540" s="342"/>
      <c r="BA540" s="342"/>
      <c r="BB540" s="342"/>
      <c r="BC540" s="342"/>
      <c r="BD540" s="342"/>
      <c r="BE540" s="342"/>
    </row>
    <row r="541" spans="1:57" ht="14.25" customHeight="1" outlineLevel="1">
      <c r="A541" s="478" t="s">
        <v>2108</v>
      </c>
      <c r="B541" s="381"/>
      <c r="C541" s="381"/>
      <c r="D541" s="381"/>
      <c r="E541" s="366"/>
      <c r="F541" s="366"/>
      <c r="G541" s="354"/>
      <c r="H541" s="381" t="s">
        <v>1937</v>
      </c>
      <c r="I541" s="381"/>
      <c r="J541" s="421"/>
      <c r="K541" s="421"/>
      <c r="L541" s="421"/>
      <c r="M541" s="421"/>
      <c r="N541" s="421"/>
      <c r="O541" s="421"/>
      <c r="P541" s="421"/>
      <c r="Q541" s="421"/>
      <c r="R541" s="421"/>
      <c r="S541" s="421"/>
      <c r="T541" s="421"/>
      <c r="U541" s="421"/>
      <c r="V541" s="421"/>
      <c r="W541" s="421"/>
      <c r="X541" s="421"/>
      <c r="Y541" s="421"/>
      <c r="Z541" s="381">
        <v>7</v>
      </c>
      <c r="AA541" s="381"/>
      <c r="AB541" s="381"/>
      <c r="AC541" s="366"/>
      <c r="AD541" s="367"/>
      <c r="AE541" s="367"/>
      <c r="AF541" s="367"/>
      <c r="AG541" s="367"/>
      <c r="AS541" s="342"/>
      <c r="AT541" s="342"/>
      <c r="AU541" s="341"/>
      <c r="AV541" s="341"/>
      <c r="AW541" s="342"/>
      <c r="AX541" s="342"/>
      <c r="AY541" s="342"/>
      <c r="AZ541" s="342"/>
      <c r="BA541" s="342"/>
      <c r="BB541" s="342"/>
      <c r="BC541" s="342"/>
      <c r="BD541" s="342"/>
      <c r="BE541" s="342"/>
    </row>
    <row r="542" spans="1:57" ht="14.25" customHeight="1" outlineLevel="1">
      <c r="A542" s="483" t="s">
        <v>295</v>
      </c>
      <c r="B542" s="381"/>
      <c r="C542" s="381"/>
      <c r="D542" s="381"/>
      <c r="E542" s="366"/>
      <c r="F542" s="366"/>
      <c r="G542" s="354"/>
      <c r="H542" s="381">
        <v>60</v>
      </c>
      <c r="I542" s="381"/>
      <c r="J542" s="421"/>
      <c r="K542" s="421"/>
      <c r="L542" s="421"/>
      <c r="M542" s="421"/>
      <c r="N542" s="421"/>
      <c r="O542" s="421"/>
      <c r="P542" s="421"/>
      <c r="Q542" s="421"/>
      <c r="R542" s="421"/>
      <c r="S542" s="421"/>
      <c r="T542" s="421"/>
      <c r="U542" s="421"/>
      <c r="V542" s="421"/>
      <c r="W542" s="421"/>
      <c r="X542" s="421"/>
      <c r="Y542" s="421"/>
      <c r="Z542" s="366"/>
      <c r="AA542" s="381"/>
      <c r="AB542" s="381"/>
      <c r="AC542" s="366"/>
      <c r="AD542" s="367"/>
      <c r="AE542" s="367"/>
      <c r="AF542" s="367"/>
      <c r="AG542" s="367"/>
      <c r="AS542" s="342"/>
      <c r="AT542" s="342"/>
      <c r="AU542" s="341"/>
      <c r="AV542" s="341"/>
      <c r="AW542" s="342"/>
      <c r="AX542" s="342"/>
      <c r="AY542" s="342"/>
      <c r="AZ542" s="342"/>
      <c r="BA542" s="342"/>
      <c r="BB542" s="342"/>
      <c r="BC542" s="342"/>
      <c r="BD542" s="342"/>
      <c r="BE542" s="342"/>
    </row>
    <row r="543" spans="1:57" ht="14.25" customHeight="1" outlineLevel="1">
      <c r="A543" s="331" t="s">
        <v>2109</v>
      </c>
      <c r="E543" s="366"/>
      <c r="F543" s="366"/>
      <c r="G543" s="354"/>
      <c r="H543" s="421"/>
      <c r="I543" s="421"/>
      <c r="J543" s="421"/>
      <c r="K543" s="421"/>
      <c r="L543" s="421"/>
      <c r="M543" s="421"/>
      <c r="N543" s="421"/>
      <c r="O543" s="421"/>
      <c r="P543" s="421"/>
      <c r="Q543" s="421"/>
      <c r="R543" s="421"/>
      <c r="S543" s="421"/>
      <c r="T543" s="421"/>
      <c r="U543" s="421"/>
      <c r="V543" s="421"/>
      <c r="W543" s="421"/>
      <c r="X543" s="421"/>
      <c r="Y543" s="421"/>
      <c r="Z543" s="366"/>
      <c r="AA543" s="366"/>
      <c r="AB543" s="366"/>
      <c r="AC543" s="366"/>
      <c r="AE543" s="590"/>
      <c r="AF543" s="367"/>
      <c r="AG543" s="367"/>
      <c r="AS543" s="342"/>
      <c r="AT543" s="342"/>
      <c r="AU543" s="341"/>
      <c r="AV543" s="341"/>
      <c r="AW543" s="342"/>
      <c r="AX543" s="342"/>
      <c r="AY543" s="342"/>
      <c r="AZ543" s="342"/>
      <c r="BA543" s="342"/>
      <c r="BB543" s="342"/>
      <c r="BC543" s="342"/>
      <c r="BD543" s="342"/>
      <c r="BE543" s="342"/>
    </row>
    <row r="544" spans="1:57" ht="14.25" customHeight="1" outlineLevel="1">
      <c r="A544" s="483" t="s">
        <v>297</v>
      </c>
      <c r="G544" s="354"/>
      <c r="H544" s="421"/>
      <c r="I544" s="421"/>
      <c r="J544" s="421"/>
      <c r="K544" s="421"/>
      <c r="L544" s="421"/>
      <c r="M544" s="421"/>
      <c r="N544" s="421"/>
      <c r="O544" s="421"/>
      <c r="P544" s="421"/>
      <c r="Q544" s="421"/>
      <c r="R544" s="421"/>
      <c r="S544" s="421"/>
      <c r="T544" s="421"/>
      <c r="U544" s="3106" t="s">
        <v>1958</v>
      </c>
      <c r="V544" s="3106"/>
      <c r="W544" s="421"/>
      <c r="X544" s="421"/>
      <c r="Y544" s="421"/>
      <c r="Z544" s="366"/>
      <c r="AA544" s="366"/>
      <c r="AB544" s="366"/>
      <c r="AC544" s="366"/>
      <c r="AD544" s="590" t="s">
        <v>156</v>
      </c>
      <c r="AE544" s="590"/>
      <c r="AF544" s="367"/>
      <c r="AG544" s="367"/>
      <c r="AS544" s="342"/>
      <c r="AT544" s="342"/>
      <c r="AU544" s="341"/>
      <c r="AV544" s="341"/>
      <c r="AW544" s="342"/>
      <c r="AX544" s="342"/>
      <c r="AY544" s="342"/>
      <c r="AZ544" s="342"/>
      <c r="BA544" s="342"/>
      <c r="BB544" s="342"/>
      <c r="BC544" s="342"/>
      <c r="BD544" s="342"/>
      <c r="BE544" s="342"/>
    </row>
    <row r="545" spans="1:57" ht="14.25" customHeight="1" outlineLevel="1">
      <c r="A545" s="478" t="s">
        <v>2079</v>
      </c>
      <c r="G545" s="355" t="s">
        <v>156</v>
      </c>
      <c r="H545" s="421"/>
      <c r="I545" s="421"/>
      <c r="J545" s="421"/>
      <c r="K545" s="421"/>
      <c r="L545" s="421"/>
      <c r="M545" s="421"/>
      <c r="N545" s="421"/>
      <c r="O545" s="421"/>
      <c r="P545" s="421"/>
      <c r="Q545" s="421"/>
      <c r="R545" s="421"/>
      <c r="S545" s="421"/>
      <c r="T545" s="421"/>
      <c r="U545" s="3106"/>
      <c r="V545" s="3106"/>
      <c r="W545" s="421"/>
      <c r="X545" s="421"/>
      <c r="Y545" s="421"/>
      <c r="Z545" s="366"/>
      <c r="AA545" s="366"/>
      <c r="AB545" s="366"/>
      <c r="AC545" s="366"/>
      <c r="AD545" s="521">
        <v>4.2</v>
      </c>
      <c r="AE545" s="521"/>
      <c r="AF545" s="367"/>
      <c r="AG545" s="367"/>
      <c r="AS545" s="342"/>
      <c r="AT545" s="342"/>
      <c r="AU545" s="341"/>
      <c r="AV545" s="341"/>
      <c r="AW545" s="342"/>
      <c r="AX545" s="342"/>
      <c r="AY545" s="342"/>
      <c r="AZ545" s="342"/>
      <c r="BA545" s="342"/>
      <c r="BB545" s="342"/>
      <c r="BC545" s="342"/>
      <c r="BD545" s="342"/>
      <c r="BE545" s="342"/>
    </row>
    <row r="546" spans="1:57" ht="14.25" customHeight="1" outlineLevel="1">
      <c r="A546" s="483" t="s">
        <v>379</v>
      </c>
      <c r="G546" s="381">
        <v>4.5</v>
      </c>
      <c r="H546" s="421"/>
      <c r="I546" s="421"/>
      <c r="J546" s="421"/>
      <c r="K546" s="421"/>
      <c r="L546" s="421"/>
      <c r="M546" s="421"/>
      <c r="N546" s="421"/>
      <c r="O546" s="421"/>
      <c r="P546" s="421"/>
      <c r="Q546" s="421"/>
      <c r="R546" s="421"/>
      <c r="S546" s="421"/>
      <c r="T546" s="421"/>
      <c r="U546" s="421"/>
      <c r="V546" s="421"/>
      <c r="W546" s="421"/>
      <c r="X546" s="421"/>
      <c r="Y546" s="421"/>
      <c r="Z546" s="366"/>
      <c r="AA546" s="366"/>
      <c r="AB546" s="366"/>
      <c r="AC546" s="366"/>
      <c r="AD546" s="367"/>
      <c r="AE546" s="367"/>
      <c r="AF546" s="367"/>
      <c r="AG546" s="367"/>
      <c r="AS546" s="342"/>
      <c r="AT546" s="342"/>
      <c r="AU546" s="341"/>
      <c r="AV546" s="341"/>
      <c r="AW546" s="342"/>
      <c r="AX546" s="342"/>
      <c r="AY546" s="342"/>
      <c r="AZ546" s="342"/>
      <c r="BA546" s="342"/>
      <c r="BB546" s="342"/>
      <c r="BC546" s="342"/>
      <c r="BD546" s="342"/>
      <c r="BE546" s="342"/>
    </row>
    <row r="547" spans="1:57" ht="14.25" customHeight="1" outlineLevel="1">
      <c r="A547" s="331" t="s">
        <v>2080</v>
      </c>
      <c r="G547" s="354"/>
      <c r="H547" s="421"/>
      <c r="I547" s="421"/>
      <c r="J547" s="421"/>
      <c r="K547" s="421"/>
      <c r="L547" s="421"/>
      <c r="M547" s="421"/>
      <c r="N547" s="421"/>
      <c r="O547" s="421"/>
      <c r="P547" s="421"/>
      <c r="Q547" s="421"/>
      <c r="R547" s="421"/>
      <c r="S547" s="421"/>
      <c r="T547" s="421"/>
      <c r="U547" s="421"/>
      <c r="V547" s="421"/>
      <c r="W547" s="421"/>
      <c r="X547" s="421"/>
      <c r="Y547" s="421"/>
      <c r="Z547" s="366"/>
      <c r="AA547" s="366"/>
      <c r="AB547" s="366"/>
      <c r="AC547" s="366"/>
      <c r="AD547" s="367"/>
      <c r="AE547" s="367"/>
      <c r="AG547" s="590"/>
      <c r="AS547" s="342"/>
      <c r="AT547" s="342"/>
      <c r="AU547" s="341"/>
      <c r="AV547" s="341"/>
      <c r="AW547" s="342"/>
      <c r="AX547" s="342"/>
      <c r="AY547" s="342"/>
      <c r="AZ547" s="342"/>
      <c r="BA547" s="342"/>
      <c r="BB547" s="342"/>
      <c r="BC547" s="342"/>
      <c r="BD547" s="342"/>
      <c r="BE547" s="342"/>
    </row>
    <row r="548" spans="1:57" ht="14.25" customHeight="1" outlineLevel="1">
      <c r="A548" s="483" t="s">
        <v>343</v>
      </c>
      <c r="G548" s="354"/>
      <c r="H548" s="421"/>
      <c r="I548" s="421"/>
      <c r="J548" s="421"/>
      <c r="K548" s="421"/>
      <c r="L548" s="421"/>
      <c r="M548" s="421"/>
      <c r="N548" s="421"/>
      <c r="O548" s="421"/>
      <c r="P548" s="421"/>
      <c r="Q548" s="421"/>
      <c r="R548" s="421"/>
      <c r="S548" s="421"/>
      <c r="T548" s="421"/>
      <c r="U548" s="421"/>
      <c r="V548" s="421"/>
      <c r="W548" s="421"/>
      <c r="X548" s="421"/>
      <c r="Y548" s="421"/>
      <c r="Z548" s="366"/>
      <c r="AA548" s="366"/>
      <c r="AB548" s="366"/>
      <c r="AC548" s="366"/>
      <c r="AD548" s="367"/>
      <c r="AE548" s="367"/>
      <c r="AF548" s="590" t="s">
        <v>156</v>
      </c>
      <c r="AG548" s="590"/>
      <c r="AS548" s="341"/>
      <c r="AT548" s="341"/>
      <c r="AU548" s="341"/>
      <c r="AV548" s="341"/>
      <c r="AW548" s="342"/>
      <c r="AX548" s="342"/>
      <c r="AY548" s="342"/>
      <c r="AZ548" s="342"/>
      <c r="BA548" s="342"/>
      <c r="BB548" s="342"/>
      <c r="BC548" s="342"/>
      <c r="BD548" s="342"/>
      <c r="BE548" s="342"/>
    </row>
    <row r="549" spans="1:57" ht="14.25" customHeight="1" outlineLevel="1">
      <c r="A549" s="331" t="s">
        <v>2081</v>
      </c>
      <c r="G549" s="354"/>
      <c r="H549" s="421"/>
      <c r="I549" s="421"/>
      <c r="J549" s="421"/>
      <c r="K549" s="421"/>
      <c r="L549" s="421"/>
      <c r="M549" s="421"/>
      <c r="N549" s="421"/>
      <c r="O549" s="421"/>
      <c r="P549" s="421"/>
      <c r="Q549" s="421"/>
      <c r="R549" s="421"/>
      <c r="S549" s="421"/>
      <c r="T549" s="421"/>
      <c r="U549" s="421"/>
      <c r="V549" s="421"/>
      <c r="W549" s="421"/>
      <c r="X549" s="421"/>
      <c r="Y549" s="421"/>
      <c r="Z549" s="366"/>
      <c r="AA549" s="366"/>
      <c r="AB549" s="366"/>
      <c r="AC549" s="366"/>
      <c r="AD549" s="367"/>
      <c r="AE549" s="367"/>
      <c r="AF549" s="521">
        <v>4</v>
      </c>
      <c r="AG549" s="521"/>
      <c r="AS549" s="341"/>
      <c r="AT549" s="341"/>
      <c r="AU549" s="341"/>
      <c r="AV549" s="341"/>
      <c r="AW549" s="342"/>
      <c r="AX549" s="342"/>
      <c r="AY549" s="342"/>
      <c r="AZ549" s="342"/>
      <c r="BA549" s="342"/>
      <c r="BB549" s="342"/>
      <c r="BC549" s="342"/>
      <c r="BD549" s="342"/>
      <c r="BE549" s="342"/>
    </row>
    <row r="550" spans="1:57" ht="14.25" customHeight="1" outlineLevel="1">
      <c r="A550" s="483" t="s">
        <v>339</v>
      </c>
      <c r="G550" s="354"/>
      <c r="H550" s="421"/>
      <c r="I550" s="421"/>
      <c r="J550" s="421"/>
      <c r="K550" s="421"/>
      <c r="L550" s="421"/>
      <c r="M550" s="421"/>
      <c r="N550" s="421"/>
      <c r="O550" s="421"/>
      <c r="P550" s="421"/>
      <c r="Q550" s="421"/>
      <c r="R550" s="421"/>
      <c r="S550" s="421"/>
      <c r="T550" s="421"/>
      <c r="U550" s="421"/>
      <c r="V550" s="421"/>
      <c r="W550" s="421"/>
      <c r="X550" s="421"/>
      <c r="Y550" s="421"/>
      <c r="Z550" s="366"/>
      <c r="AA550" s="366"/>
      <c r="AB550" s="366"/>
      <c r="AC550" s="366"/>
      <c r="AD550" s="367"/>
      <c r="AE550" s="367"/>
      <c r="AF550" s="367"/>
      <c r="AG550" s="367"/>
      <c r="AS550" s="341"/>
      <c r="AT550" s="341"/>
      <c r="AU550" s="341"/>
      <c r="AV550" s="341"/>
      <c r="AW550" s="342"/>
      <c r="AX550" s="342"/>
      <c r="AY550" s="342"/>
      <c r="AZ550" s="342"/>
      <c r="BA550" s="342"/>
      <c r="BB550" s="342"/>
      <c r="BC550" s="342"/>
      <c r="BD550" s="342"/>
      <c r="BE550" s="342"/>
    </row>
    <row r="551" spans="1:57" ht="14.25" customHeight="1" outlineLevel="1">
      <c r="A551" s="331" t="s">
        <v>2082</v>
      </c>
      <c r="G551" s="354"/>
      <c r="H551" s="421"/>
      <c r="I551" s="421"/>
      <c r="J551" s="421"/>
      <c r="K551" s="421"/>
      <c r="L551" s="421"/>
      <c r="M551" s="421"/>
      <c r="N551" s="421"/>
      <c r="O551" s="421"/>
      <c r="P551" s="421"/>
      <c r="Q551" s="421"/>
      <c r="R551" s="421"/>
      <c r="S551" s="421"/>
      <c r="T551" s="421"/>
      <c r="U551" s="421"/>
      <c r="V551" s="421"/>
      <c r="W551" s="421"/>
      <c r="X551" s="421"/>
      <c r="Y551" s="421"/>
      <c r="Z551" s="366"/>
      <c r="AA551" s="366"/>
      <c r="AB551" s="366"/>
      <c r="AC551" s="366"/>
      <c r="AD551" s="367"/>
      <c r="AE551" s="367"/>
      <c r="AF551" s="367"/>
      <c r="AG551" s="367"/>
      <c r="AS551" s="341"/>
      <c r="AT551" s="341"/>
      <c r="AU551" s="341"/>
      <c r="AV551" s="341"/>
      <c r="AW551" s="342"/>
      <c r="AX551" s="342"/>
      <c r="AY551" s="342"/>
      <c r="AZ551" s="342"/>
      <c r="BA551" s="342"/>
      <c r="BB551" s="342"/>
      <c r="BC551" s="342"/>
      <c r="BD551" s="342"/>
      <c r="BE551" s="342"/>
    </row>
    <row r="552" spans="1:57" ht="14.25" customHeight="1" outlineLevel="1">
      <c r="A552" s="493" t="s">
        <v>381</v>
      </c>
      <c r="G552" s="354"/>
      <c r="H552" s="421"/>
      <c r="I552" s="421"/>
      <c r="J552" s="421"/>
      <c r="K552" s="421"/>
      <c r="L552" s="421"/>
      <c r="M552" s="366"/>
      <c r="N552" s="421"/>
      <c r="O552" s="421"/>
      <c r="P552" s="421"/>
      <c r="Q552" s="421"/>
      <c r="R552" s="421"/>
      <c r="S552" s="421"/>
      <c r="T552" s="421"/>
      <c r="U552" s="421"/>
      <c r="V552" s="421"/>
      <c r="W552" s="421"/>
      <c r="X552" s="421"/>
      <c r="Y552" s="421"/>
      <c r="Z552" s="366"/>
      <c r="AA552" s="366"/>
      <c r="AB552" s="366"/>
      <c r="AC552" s="366"/>
      <c r="AD552" s="367"/>
      <c r="AE552" s="367"/>
      <c r="AF552" s="367"/>
      <c r="AG552" s="367"/>
      <c r="AS552" s="341"/>
      <c r="AT552" s="341"/>
      <c r="AU552" s="341"/>
      <c r="AV552" s="341"/>
      <c r="AW552" s="342"/>
      <c r="AX552" s="342"/>
      <c r="AY552" s="342"/>
      <c r="AZ552" s="342"/>
      <c r="BA552" s="342"/>
      <c r="BB552" s="342"/>
      <c r="BC552" s="342"/>
      <c r="BD552" s="342"/>
      <c r="BE552" s="342"/>
    </row>
    <row r="553" spans="1:57" ht="14.25" customHeight="1" outlineLevel="1">
      <c r="A553" s="478" t="s">
        <v>2110</v>
      </c>
      <c r="B553" s="413" t="s">
        <v>208</v>
      </c>
      <c r="C553" s="438" t="s">
        <v>853</v>
      </c>
      <c r="D553" s="413" t="s">
        <v>1802</v>
      </c>
      <c r="G553" s="354"/>
      <c r="H553" s="366"/>
      <c r="I553" s="366"/>
      <c r="J553" s="366"/>
      <c r="K553" s="366"/>
      <c r="L553" s="366"/>
      <c r="M553" s="366"/>
      <c r="N553" s="366"/>
      <c r="O553" s="366"/>
      <c r="P553" s="366"/>
      <c r="Q553" s="366"/>
      <c r="R553" s="366"/>
      <c r="S553" s="366"/>
      <c r="T553" s="366"/>
      <c r="U553" s="366"/>
      <c r="V553" s="366"/>
      <c r="W553" s="366"/>
      <c r="X553" s="366"/>
      <c r="Y553" s="366"/>
      <c r="Z553" s="366"/>
      <c r="AA553" s="366"/>
      <c r="AB553" s="366"/>
      <c r="AC553" s="366"/>
      <c r="AD553" s="367" t="s">
        <v>2100</v>
      </c>
      <c r="AE553" s="367"/>
      <c r="AF553" s="521"/>
      <c r="AG553" s="521"/>
      <c r="AS553" s="341"/>
      <c r="AT553" s="341"/>
      <c r="AU553" s="341"/>
      <c r="AV553" s="341"/>
      <c r="AW553" s="342"/>
      <c r="AX553" s="342"/>
      <c r="AY553" s="342"/>
      <c r="AZ553" s="342"/>
      <c r="BA553" s="342"/>
      <c r="BB553" s="342"/>
      <c r="BC553" s="342"/>
      <c r="BD553" s="342"/>
      <c r="BE553" s="342"/>
    </row>
    <row r="554" spans="1:57" ht="14.25" customHeight="1" outlineLevel="1">
      <c r="A554" s="483" t="s">
        <v>380</v>
      </c>
      <c r="B554" s="438" t="s">
        <v>156</v>
      </c>
      <c r="C554" s="507">
        <v>2</v>
      </c>
      <c r="D554" s="380">
        <v>4</v>
      </c>
      <c r="H554" s="366"/>
      <c r="I554" s="366"/>
      <c r="J554" s="366"/>
      <c r="K554" s="366"/>
      <c r="L554" s="366"/>
      <c r="M554" s="366"/>
      <c r="N554" s="366"/>
      <c r="O554" s="366"/>
      <c r="P554" s="366"/>
      <c r="Q554" s="366"/>
      <c r="R554" s="366"/>
      <c r="S554" s="366"/>
      <c r="T554" s="366"/>
      <c r="U554" s="366"/>
      <c r="V554" s="366"/>
      <c r="W554" s="366"/>
      <c r="X554" s="366"/>
      <c r="Y554" s="366"/>
      <c r="Z554" s="366"/>
      <c r="AA554" s="366"/>
      <c r="AB554" s="366"/>
      <c r="AC554" s="366"/>
      <c r="AD554" s="367"/>
      <c r="AE554" s="367"/>
      <c r="AF554" s="521"/>
      <c r="AG554" s="521"/>
      <c r="AS554" s="341"/>
      <c r="AT554" s="341"/>
      <c r="AU554" s="341"/>
      <c r="AV554" s="341"/>
      <c r="AW554" s="342"/>
      <c r="AX554" s="342"/>
      <c r="AY554" s="342"/>
      <c r="AZ554" s="342"/>
      <c r="BA554" s="342"/>
      <c r="BB554" s="342"/>
      <c r="BC554" s="342"/>
      <c r="BD554" s="342"/>
      <c r="BE554" s="342"/>
    </row>
    <row r="555" spans="1:57" ht="14.25" customHeight="1" outlineLevel="1">
      <c r="B555" s="438" t="s">
        <v>156</v>
      </c>
      <c r="C555" s="488">
        <v>3</v>
      </c>
      <c r="D555" s="488">
        <v>2</v>
      </c>
      <c r="E555" s="362"/>
      <c r="F555" s="362"/>
      <c r="G555" s="354"/>
      <c r="H555" s="366"/>
      <c r="I555" s="366"/>
      <c r="J555" s="366"/>
      <c r="K555" s="366"/>
      <c r="L555" s="366"/>
      <c r="M555" s="366"/>
      <c r="N555" s="366"/>
      <c r="O555" s="366"/>
      <c r="P555" s="366"/>
      <c r="Q555" s="366"/>
      <c r="R555" s="366"/>
      <c r="S555" s="366"/>
      <c r="T555" s="366"/>
      <c r="U555" s="366"/>
      <c r="V555" s="366"/>
      <c r="W555" s="366"/>
      <c r="X555" s="366"/>
      <c r="Y555" s="366"/>
      <c r="Z555" s="366"/>
      <c r="AA555" s="366"/>
      <c r="AB555" s="366"/>
      <c r="AC555" s="366"/>
      <c r="AD555" s="367"/>
      <c r="AE555" s="367"/>
      <c r="AF555" s="521"/>
      <c r="AG555" s="521"/>
      <c r="AS555" s="341"/>
      <c r="AT555" s="341"/>
      <c r="AU555" s="341"/>
      <c r="AV555" s="341"/>
      <c r="AW555" s="342"/>
      <c r="AX555" s="342"/>
      <c r="AY555" s="342"/>
      <c r="AZ555" s="342"/>
      <c r="BA555" s="342"/>
      <c r="BB555" s="342"/>
      <c r="BC555" s="342"/>
      <c r="BD555" s="342"/>
      <c r="BE555" s="342"/>
    </row>
    <row r="556" spans="1:57" ht="14.25" customHeight="1" outlineLevel="1">
      <c r="A556" s="487" t="s">
        <v>2111</v>
      </c>
      <c r="B556" s="413" t="s">
        <v>208</v>
      </c>
      <c r="C556" s="525" t="s">
        <v>853</v>
      </c>
      <c r="D556" s="381"/>
      <c r="E556" s="362"/>
      <c r="F556" s="362"/>
      <c r="G556" s="354"/>
      <c r="H556" s="366"/>
      <c r="I556" s="366"/>
      <c r="J556" s="366"/>
      <c r="K556" s="366"/>
      <c r="L556" s="366"/>
      <c r="M556" s="366"/>
      <c r="N556" s="366"/>
      <c r="O556" s="366"/>
      <c r="P556" s="366"/>
      <c r="Q556" s="366"/>
      <c r="R556" s="366"/>
      <c r="S556" s="366"/>
      <c r="T556" s="366"/>
      <c r="U556" s="366"/>
      <c r="V556" s="366"/>
      <c r="W556" s="366"/>
      <c r="X556" s="366"/>
      <c r="Y556" s="366"/>
      <c r="Z556" s="366"/>
      <c r="AA556" s="366"/>
      <c r="AB556" s="366"/>
      <c r="AC556" s="366"/>
      <c r="AD556" s="367"/>
      <c r="AE556" s="367"/>
      <c r="AF556" s="521"/>
      <c r="AG556" s="521"/>
      <c r="AS556" s="341"/>
      <c r="AT556" s="341"/>
      <c r="AU556" s="341"/>
      <c r="AV556" s="341"/>
      <c r="AW556" s="342"/>
      <c r="AX556" s="342"/>
      <c r="AY556" s="342"/>
      <c r="AZ556" s="342"/>
      <c r="BA556" s="342"/>
      <c r="BB556" s="342"/>
      <c r="BC556" s="342"/>
      <c r="BD556" s="342"/>
      <c r="BE556" s="342"/>
    </row>
    <row r="557" spans="1:57" ht="14.25" customHeight="1" outlineLevel="1">
      <c r="A557" s="263" t="s">
        <v>1972</v>
      </c>
      <c r="B557" s="415" t="s">
        <v>156</v>
      </c>
      <c r="C557" s="484">
        <v>0.5</v>
      </c>
      <c r="D557" s="381"/>
      <c r="E557" s="3105" t="s">
        <v>2112</v>
      </c>
      <c r="F557" s="3105"/>
      <c r="G557" s="354"/>
      <c r="H557" s="366"/>
      <c r="I557" s="366"/>
      <c r="J557" s="366"/>
      <c r="K557" s="366"/>
      <c r="L557" s="366"/>
      <c r="M557" s="366"/>
      <c r="N557" s="366"/>
      <c r="O557" s="366"/>
      <c r="P557" s="366"/>
      <c r="Q557" s="366"/>
      <c r="R557" s="366"/>
      <c r="S557" s="366"/>
      <c r="T557" s="366"/>
      <c r="U557" s="366"/>
      <c r="V557" s="366"/>
      <c r="W557" s="366"/>
      <c r="X557" s="366"/>
      <c r="Y557" s="366"/>
      <c r="Z557" s="366"/>
      <c r="AA557" s="366"/>
      <c r="AB557" s="366"/>
      <c r="AC557" s="366"/>
      <c r="AD557" s="367"/>
      <c r="AE557" s="367"/>
      <c r="AF557" s="521"/>
      <c r="AG557" s="521"/>
      <c r="AS557" s="341"/>
      <c r="AT557" s="341"/>
      <c r="AU557" s="341"/>
      <c r="AV557" s="341"/>
      <c r="AW557" s="342"/>
      <c r="AX557" s="342"/>
      <c r="AY557" s="342"/>
      <c r="AZ557" s="342"/>
      <c r="BA557" s="342"/>
      <c r="BB557" s="342"/>
      <c r="BC557" s="342"/>
      <c r="BD557" s="342"/>
      <c r="BE557" s="342"/>
    </row>
    <row r="558" spans="1:57" ht="14.25" customHeight="1" outlineLevel="1">
      <c r="A558" s="263" t="s">
        <v>1975</v>
      </c>
      <c r="B558" s="415" t="s">
        <v>156</v>
      </c>
      <c r="C558" s="484">
        <v>0.8</v>
      </c>
      <c r="D558" s="381"/>
      <c r="E558" s="3105"/>
      <c r="F558" s="3105"/>
      <c r="G558" s="354"/>
      <c r="H558" s="366"/>
      <c r="I558" s="366"/>
      <c r="J558" s="366"/>
      <c r="K558" s="366"/>
      <c r="L558" s="366"/>
      <c r="M558" s="366"/>
      <c r="N558" s="366"/>
      <c r="O558" s="366"/>
      <c r="P558" s="366"/>
      <c r="Q558" s="366"/>
      <c r="R558" s="366"/>
      <c r="S558" s="366"/>
      <c r="T558" s="366"/>
      <c r="U558" s="366"/>
      <c r="V558" s="366"/>
      <c r="W558" s="366"/>
      <c r="X558" s="366"/>
      <c r="Y558" s="366"/>
      <c r="Z558" s="366"/>
      <c r="AA558" s="366"/>
      <c r="AB558" s="366"/>
      <c r="AC558" s="366"/>
      <c r="AD558" s="367"/>
      <c r="AE558" s="367"/>
      <c r="AF558" s="521"/>
      <c r="AG558" s="521"/>
      <c r="AS558" s="341"/>
      <c r="AT558" s="341"/>
      <c r="AU558" s="341"/>
      <c r="AV558" s="341"/>
      <c r="AW558" s="342"/>
      <c r="AX558" s="342"/>
      <c r="AY558" s="342"/>
      <c r="AZ558" s="342"/>
      <c r="BA558" s="342"/>
      <c r="BB558" s="342"/>
      <c r="BC558" s="342"/>
      <c r="BD558" s="342"/>
      <c r="BE558" s="342"/>
    </row>
    <row r="559" spans="1:57" ht="14.25" customHeight="1" outlineLevel="1">
      <c r="A559" s="331" t="s">
        <v>2113</v>
      </c>
      <c r="D559" s="366"/>
      <c r="E559" s="3105"/>
      <c r="F559" s="3105"/>
      <c r="G559" s="354"/>
      <c r="H559" s="366"/>
      <c r="I559" s="367" t="s">
        <v>2104</v>
      </c>
      <c r="J559" s="366"/>
      <c r="K559" s="366"/>
      <c r="L559" s="366"/>
      <c r="M559" s="366"/>
      <c r="N559" s="366"/>
      <c r="O559" s="366"/>
      <c r="P559" s="366"/>
      <c r="Q559" s="366"/>
      <c r="R559" s="366"/>
      <c r="S559" s="366"/>
      <c r="T559" s="366"/>
      <c r="U559" s="366"/>
      <c r="V559" s="366"/>
      <c r="W559" s="366"/>
      <c r="X559" s="366"/>
      <c r="Y559" s="366"/>
      <c r="Z559" s="366"/>
      <c r="AA559" s="366"/>
      <c r="AB559" s="366"/>
      <c r="AC559" s="366"/>
      <c r="AE559" s="367"/>
      <c r="AF559" s="521"/>
      <c r="AG559" s="521"/>
      <c r="AS559" s="341"/>
      <c r="AT559" s="341"/>
      <c r="AU559" s="341"/>
      <c r="AV559" s="341"/>
      <c r="AW559" s="342"/>
      <c r="AX559" s="342"/>
      <c r="AY559" s="342"/>
      <c r="AZ559" s="342"/>
      <c r="BA559" s="342"/>
      <c r="BB559" s="342"/>
      <c r="BC559" s="342"/>
      <c r="BD559" s="342"/>
      <c r="BE559" s="342"/>
    </row>
    <row r="560" spans="1:57" ht="14.25" customHeight="1" outlineLevel="1">
      <c r="A560" s="477" t="s">
        <v>1988</v>
      </c>
      <c r="D560" s="366"/>
      <c r="E560" s="3105"/>
      <c r="F560" s="3105"/>
      <c r="G560" s="354"/>
      <c r="H560" s="366"/>
      <c r="I560" s="366"/>
      <c r="J560" s="366"/>
      <c r="K560" s="366"/>
      <c r="L560" s="366"/>
      <c r="M560" s="381"/>
      <c r="N560" s="366"/>
      <c r="O560" s="366"/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7"/>
      <c r="AE560" s="367"/>
      <c r="AF560" s="521"/>
      <c r="AG560" s="521"/>
      <c r="AS560" s="341"/>
      <c r="AT560" s="341"/>
      <c r="AU560" s="341"/>
      <c r="AV560" s="341"/>
      <c r="AW560" s="342"/>
      <c r="AX560" s="342"/>
      <c r="AY560" s="342"/>
      <c r="AZ560" s="342"/>
      <c r="BA560" s="342"/>
      <c r="BB560" s="342"/>
      <c r="BC560" s="342"/>
      <c r="BD560" s="342"/>
      <c r="BE560" s="342"/>
    </row>
    <row r="561" spans="1:57" ht="14.25" customHeight="1" outlineLevel="1">
      <c r="A561" s="331" t="s">
        <v>1889</v>
      </c>
      <c r="B561" s="472"/>
      <c r="C561" s="505"/>
      <c r="E561" s="3105"/>
      <c r="F561" s="3105"/>
      <c r="G561" s="354"/>
      <c r="H561" s="366"/>
      <c r="I561" s="366"/>
      <c r="J561" s="366"/>
      <c r="K561" s="366"/>
      <c r="L561" s="366"/>
      <c r="M561" s="366"/>
      <c r="N561" s="366"/>
      <c r="O561" s="366"/>
      <c r="P561" s="366"/>
      <c r="Q561" s="366"/>
      <c r="R561" s="366"/>
      <c r="S561" s="366"/>
      <c r="T561" s="366"/>
      <c r="U561" s="366"/>
      <c r="V561" s="366"/>
      <c r="W561" s="366"/>
      <c r="X561" s="366"/>
      <c r="Y561" s="366"/>
      <c r="Z561" s="366"/>
      <c r="AA561" s="366"/>
      <c r="AB561" s="366"/>
      <c r="AC561" s="366"/>
      <c r="AD561" s="367"/>
      <c r="AE561" s="367"/>
      <c r="AF561" s="521"/>
      <c r="AG561" s="521"/>
      <c r="AS561" s="341"/>
      <c r="AT561" s="341"/>
      <c r="AU561" s="341"/>
      <c r="AV561" s="341"/>
      <c r="AW561" s="342"/>
      <c r="AX561" s="342"/>
      <c r="AY561" s="342"/>
      <c r="AZ561" s="342"/>
      <c r="BA561" s="342"/>
      <c r="BB561" s="342"/>
      <c r="BC561" s="342"/>
      <c r="BD561" s="342"/>
      <c r="BE561" s="342"/>
    </row>
    <row r="562" spans="1:57" ht="14.25" customHeight="1" outlineLevel="1">
      <c r="A562" s="477" t="s">
        <v>1890</v>
      </c>
      <c r="B562" s="566"/>
      <c r="C562" s="567"/>
      <c r="E562" s="362"/>
      <c r="F562" s="362"/>
      <c r="G562" s="354"/>
      <c r="H562" s="366"/>
      <c r="I562" s="366"/>
      <c r="J562" s="366"/>
      <c r="K562" s="366"/>
      <c r="L562" s="366"/>
      <c r="M562" s="366"/>
      <c r="N562" s="366"/>
      <c r="O562" s="366"/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7"/>
      <c r="AE562" s="367"/>
      <c r="AF562" s="521"/>
      <c r="AG562" s="521"/>
      <c r="AS562" s="341"/>
      <c r="AT562" s="341"/>
      <c r="AU562" s="341"/>
      <c r="AV562" s="341"/>
      <c r="AW562" s="342"/>
      <c r="AX562" s="342"/>
      <c r="AY562" s="342"/>
      <c r="AZ562" s="342"/>
      <c r="BA562" s="342"/>
      <c r="BB562" s="342"/>
      <c r="BC562" s="342"/>
      <c r="BD562" s="342"/>
      <c r="BE562" s="342"/>
    </row>
    <row r="563" spans="1:57" ht="14.25" customHeight="1" outlineLevel="1">
      <c r="A563" s="331" t="s">
        <v>1907</v>
      </c>
      <c r="E563" s="362"/>
      <c r="F563" s="362"/>
      <c r="G563" s="354"/>
      <c r="H563" s="366"/>
      <c r="I563" s="366"/>
      <c r="J563" s="366"/>
      <c r="K563" s="366"/>
      <c r="L563" s="366"/>
      <c r="M563" s="366"/>
      <c r="N563" s="366"/>
      <c r="O563" s="366"/>
      <c r="P563" s="366"/>
      <c r="Q563" s="366"/>
      <c r="R563" s="366"/>
      <c r="S563" s="366"/>
      <c r="T563" s="366"/>
      <c r="U563" s="366"/>
      <c r="V563" s="366"/>
      <c r="W563" s="366"/>
      <c r="X563" s="366"/>
      <c r="Y563" s="366"/>
      <c r="Z563" s="366"/>
      <c r="AA563" s="366"/>
      <c r="AB563" s="366"/>
      <c r="AC563" s="366"/>
      <c r="AD563" s="367"/>
      <c r="AE563" s="367"/>
      <c r="AF563" s="521"/>
      <c r="AG563" s="521"/>
      <c r="AS563" s="341"/>
      <c r="AT563" s="341"/>
      <c r="AU563" s="341"/>
      <c r="AV563" s="341"/>
      <c r="AW563" s="342"/>
      <c r="AX563" s="342"/>
      <c r="AY563" s="342"/>
      <c r="AZ563" s="342"/>
      <c r="BA563" s="342"/>
      <c r="BB563" s="342"/>
      <c r="BC563" s="342"/>
      <c r="BD563" s="342"/>
      <c r="BE563" s="342"/>
    </row>
    <row r="564" spans="1:57" ht="14.25" customHeight="1" outlineLevel="1">
      <c r="A564" s="489" t="s">
        <v>1908</v>
      </c>
      <c r="E564" s="362"/>
      <c r="F564" s="362"/>
      <c r="G564" s="354"/>
      <c r="H564" s="366"/>
      <c r="I564" s="366"/>
      <c r="J564" s="366"/>
      <c r="K564" s="366"/>
      <c r="L564" s="366"/>
      <c r="M564" s="366"/>
      <c r="N564" s="366"/>
      <c r="O564" s="366"/>
      <c r="P564" s="366"/>
      <c r="Q564" s="366"/>
      <c r="R564" s="366"/>
      <c r="S564" s="366"/>
      <c r="T564" s="366"/>
      <c r="U564" s="366"/>
      <c r="V564" s="366"/>
      <c r="W564" s="366"/>
      <c r="X564" s="366"/>
      <c r="Y564" s="366"/>
      <c r="Z564" s="366"/>
      <c r="AA564" s="366"/>
      <c r="AB564" s="366"/>
      <c r="AC564" s="366"/>
      <c r="AD564" s="367"/>
      <c r="AE564" s="367"/>
      <c r="AF564" s="521"/>
      <c r="AG564" s="521"/>
      <c r="AS564" s="341"/>
      <c r="AT564" s="341"/>
      <c r="AU564" s="341"/>
      <c r="AV564" s="341"/>
      <c r="AW564" s="342"/>
      <c r="AX564" s="342"/>
      <c r="AY564" s="342"/>
      <c r="AZ564" s="342"/>
      <c r="BA564" s="342"/>
      <c r="BB564" s="342"/>
      <c r="BC564" s="342"/>
      <c r="BD564" s="342"/>
      <c r="BE564" s="342"/>
    </row>
    <row r="565" spans="1:57" ht="14.25" customHeight="1" outlineLevel="1">
      <c r="A565" s="331" t="s">
        <v>1909</v>
      </c>
      <c r="E565" s="362"/>
      <c r="F565" s="362"/>
      <c r="G565" s="354"/>
      <c r="H565" s="366"/>
      <c r="I565" s="366"/>
      <c r="J565" s="366"/>
      <c r="K565" s="366"/>
      <c r="L565" s="366"/>
      <c r="M565" s="366"/>
      <c r="N565" s="366"/>
      <c r="O565" s="366"/>
      <c r="P565" s="366"/>
      <c r="Q565" s="366"/>
      <c r="R565" s="366"/>
      <c r="S565" s="366"/>
      <c r="T565" s="366"/>
      <c r="U565" s="366"/>
      <c r="V565" s="366"/>
      <c r="W565" s="366"/>
      <c r="X565" s="366"/>
      <c r="Y565" s="366"/>
      <c r="Z565" s="366"/>
      <c r="AA565" s="366"/>
      <c r="AB565" s="366"/>
      <c r="AC565" s="366"/>
      <c r="AD565" s="367"/>
      <c r="AE565" s="367"/>
      <c r="AF565" s="521"/>
      <c r="AG565" s="521"/>
      <c r="AS565" s="341"/>
      <c r="AT565" s="341"/>
      <c r="AU565" s="341"/>
      <c r="AV565" s="341"/>
      <c r="AW565" s="342"/>
      <c r="AX565" s="342"/>
      <c r="AY565" s="342"/>
      <c r="AZ565" s="342"/>
      <c r="BA565" s="342"/>
      <c r="BB565" s="342"/>
      <c r="BC565" s="342"/>
      <c r="BD565" s="342"/>
      <c r="BE565" s="342"/>
    </row>
    <row r="566" spans="1:57" ht="14.25" customHeight="1" outlineLevel="1">
      <c r="A566" s="491" t="s">
        <v>270</v>
      </c>
      <c r="E566" s="362"/>
      <c r="F566" s="362"/>
      <c r="G566" s="354"/>
      <c r="H566" s="366"/>
      <c r="I566" s="460"/>
      <c r="J566" s="366"/>
      <c r="K566" s="366"/>
      <c r="L566" s="366"/>
      <c r="M566" s="366"/>
      <c r="N566" s="366"/>
      <c r="O566" s="366"/>
      <c r="P566" s="366"/>
      <c r="Q566" s="366"/>
      <c r="R566" s="366"/>
      <c r="S566" s="366"/>
      <c r="T566" s="366"/>
      <c r="U566" s="366"/>
      <c r="V566" s="366"/>
      <c r="W566" s="366"/>
      <c r="X566" s="366"/>
      <c r="Y566" s="366"/>
      <c r="Z566" s="366"/>
      <c r="AA566" s="366"/>
      <c r="AB566" s="366"/>
      <c r="AC566" s="366"/>
      <c r="AD566" s="367"/>
      <c r="AE566" s="367"/>
      <c r="AF566" s="367"/>
      <c r="AG566" s="367"/>
      <c r="AS566" s="341"/>
      <c r="AT566" s="341"/>
      <c r="AU566" s="341"/>
      <c r="AV566" s="341"/>
      <c r="AW566" s="342"/>
      <c r="AX566" s="342"/>
      <c r="AY566" s="342"/>
      <c r="AZ566" s="342"/>
      <c r="BA566" s="342"/>
      <c r="BB566" s="342"/>
      <c r="BC566" s="342"/>
      <c r="BD566" s="342"/>
      <c r="BE566" s="342"/>
    </row>
    <row r="567" spans="1:57" ht="14.25" customHeight="1" outlineLevel="1">
      <c r="A567" s="331" t="s">
        <v>1910</v>
      </c>
      <c r="E567" s="362"/>
      <c r="F567" s="362"/>
      <c r="G567" s="354"/>
      <c r="H567" s="354"/>
      <c r="I567" s="460"/>
      <c r="J567" s="460"/>
      <c r="K567" s="505"/>
      <c r="L567" s="452"/>
      <c r="M567" s="452"/>
      <c r="N567" s="452"/>
      <c r="O567" s="354" t="s">
        <v>2105</v>
      </c>
      <c r="P567" s="354"/>
      <c r="Q567" s="354"/>
      <c r="R567" s="354"/>
      <c r="S567" s="354"/>
      <c r="T567" s="354"/>
      <c r="U567" s="354"/>
      <c r="V567" s="354"/>
      <c r="W567" s="354"/>
      <c r="X567" s="354" t="s">
        <v>2106</v>
      </c>
      <c r="Y567" s="354"/>
      <c r="Z567" s="354"/>
      <c r="AA567" s="354"/>
      <c r="AB567" s="452"/>
      <c r="AC567" s="452"/>
      <c r="AD567" s="459"/>
      <c r="AE567" s="459"/>
      <c r="AF567" s="459"/>
      <c r="AG567" s="459"/>
      <c r="AS567" s="341"/>
      <c r="AT567" s="341"/>
      <c r="AU567" s="341"/>
      <c r="AV567" s="341"/>
      <c r="AW567" s="342"/>
      <c r="AX567" s="342"/>
      <c r="AY567" s="342"/>
      <c r="AZ567" s="342"/>
      <c r="BA567" s="342"/>
      <c r="BB567" s="342"/>
      <c r="BC567" s="342"/>
      <c r="BD567" s="342"/>
      <c r="BE567" s="342"/>
    </row>
    <row r="568" spans="1:57" ht="14.25" customHeight="1" outlineLevel="1">
      <c r="A568" s="491" t="s">
        <v>277</v>
      </c>
      <c r="E568" s="362"/>
      <c r="F568" s="362"/>
      <c r="I568" s="424"/>
      <c r="J568" s="354"/>
      <c r="K568" s="354"/>
      <c r="L568" s="460"/>
      <c r="M568" s="354"/>
      <c r="N568" s="354"/>
      <c r="O568" s="354"/>
      <c r="P568" s="354"/>
      <c r="Q568" s="354"/>
      <c r="AS568" s="341"/>
      <c r="AT568" s="341"/>
      <c r="AU568" s="341"/>
      <c r="AV568" s="341"/>
      <c r="AW568" s="342"/>
      <c r="AX568" s="342"/>
      <c r="AY568" s="342"/>
      <c r="AZ568" s="342"/>
      <c r="BA568" s="342"/>
      <c r="BB568" s="342"/>
      <c r="BC568" s="342"/>
      <c r="BD568" s="342"/>
      <c r="BE568" s="342"/>
    </row>
    <row r="569" spans="1:57" ht="14.25" customHeight="1" outlineLevel="1">
      <c r="A569" s="331" t="s">
        <v>1911</v>
      </c>
      <c r="E569" s="362"/>
      <c r="F569" s="362"/>
      <c r="I569" s="424"/>
      <c r="J569" s="354"/>
      <c r="K569" s="354"/>
      <c r="L569" s="460"/>
      <c r="M569" s="354"/>
      <c r="N569" s="354"/>
      <c r="O569" s="354"/>
      <c r="P569" s="354"/>
      <c r="Q569" s="354"/>
      <c r="AS569" s="341"/>
      <c r="AT569" s="341"/>
      <c r="AU569" s="341"/>
      <c r="AV569" s="341"/>
      <c r="AW569" s="342"/>
      <c r="AX569" s="342"/>
      <c r="AY569" s="342"/>
      <c r="AZ569" s="342"/>
      <c r="BA569" s="342"/>
      <c r="BB569" s="342"/>
      <c r="BC569" s="342"/>
      <c r="BD569" s="342"/>
      <c r="BE569" s="342"/>
    </row>
    <row r="570" spans="1:57" ht="14.25" customHeight="1" outlineLevel="1">
      <c r="A570" s="493" t="s">
        <v>493</v>
      </c>
      <c r="E570" s="362"/>
      <c r="F570" s="362"/>
      <c r="AS570" s="341"/>
      <c r="AT570" s="341"/>
      <c r="AU570" s="341"/>
      <c r="AV570" s="341"/>
      <c r="AW570" s="342"/>
      <c r="AX570" s="342"/>
      <c r="AY570" s="342"/>
      <c r="AZ570" s="342"/>
      <c r="BA570" s="342"/>
      <c r="BB570" s="342"/>
      <c r="BC570" s="342"/>
      <c r="BD570" s="342"/>
      <c r="BE570" s="342"/>
    </row>
    <row r="571" spans="1:57" ht="14.25" customHeight="1" outlineLevel="1">
      <c r="A571" s="331" t="s">
        <v>1913</v>
      </c>
      <c r="B571" s="490"/>
      <c r="C571" s="534"/>
      <c r="E571" s="362"/>
      <c r="F571" s="362"/>
      <c r="AS571" s="341"/>
      <c r="AT571" s="341"/>
      <c r="AU571" s="341"/>
      <c r="AV571" s="341"/>
      <c r="AW571" s="342"/>
      <c r="AX571" s="342"/>
      <c r="AY571" s="342"/>
      <c r="AZ571" s="342"/>
      <c r="BA571" s="342"/>
      <c r="BB571" s="342"/>
      <c r="BC571" s="342"/>
      <c r="BD571" s="342"/>
      <c r="BE571" s="342"/>
    </row>
    <row r="572" spans="1:57" ht="14.25" customHeight="1" outlineLevel="1">
      <c r="A572" s="494" t="s">
        <v>294</v>
      </c>
      <c r="B572" s="490"/>
      <c r="C572" s="534"/>
      <c r="E572" s="362"/>
      <c r="F572" s="362"/>
      <c r="AS572" s="341"/>
      <c r="AT572" s="341"/>
      <c r="AU572" s="341"/>
      <c r="AV572" s="341"/>
      <c r="AW572" s="342"/>
      <c r="AX572" s="342"/>
      <c r="AY572" s="342"/>
      <c r="AZ572" s="342"/>
      <c r="BA572" s="342"/>
      <c r="BB572" s="342"/>
      <c r="BC572" s="342"/>
      <c r="BD572" s="342"/>
      <c r="BE572" s="342"/>
    </row>
    <row r="573" spans="1:57" ht="14.25" customHeight="1" outlineLevel="1">
      <c r="A573" s="331" t="s">
        <v>1917</v>
      </c>
      <c r="E573" s="362"/>
      <c r="F573" s="362"/>
      <c r="AS573" s="341"/>
      <c r="AT573" s="341"/>
      <c r="AU573" s="341"/>
      <c r="AV573" s="341"/>
      <c r="AW573" s="342"/>
      <c r="AX573" s="342"/>
      <c r="AY573" s="342"/>
      <c r="AZ573" s="342"/>
      <c r="BA573" s="342"/>
      <c r="BB573" s="342"/>
      <c r="BC573" s="342"/>
      <c r="BD573" s="342"/>
      <c r="BE573" s="342"/>
    </row>
    <row r="574" spans="1:57" ht="14.25" customHeight="1" outlineLevel="1">
      <c r="A574" s="491" t="s">
        <v>753</v>
      </c>
      <c r="B574" s="370"/>
      <c r="C574" s="370"/>
      <c r="E574" s="362"/>
      <c r="F574" s="362"/>
      <c r="AS574" s="341"/>
      <c r="AT574" s="341"/>
      <c r="AU574" s="341"/>
      <c r="AV574" s="341"/>
      <c r="AW574" s="342"/>
      <c r="AX574" s="342"/>
      <c r="AY574" s="342"/>
      <c r="AZ574" s="342"/>
      <c r="BA574" s="342"/>
      <c r="BB574" s="342"/>
      <c r="BC574" s="342"/>
      <c r="BD574" s="342"/>
      <c r="BE574" s="342"/>
    </row>
    <row r="575" spans="1:57" ht="14.25" customHeight="1" outlineLevel="1">
      <c r="A575" s="331" t="s">
        <v>1919</v>
      </c>
      <c r="B575" s="370"/>
      <c r="C575" s="370"/>
      <c r="E575" s="362"/>
      <c r="F575" s="362"/>
      <c r="AS575" s="341"/>
      <c r="AT575" s="341"/>
      <c r="AU575" s="341"/>
      <c r="AV575" s="341"/>
      <c r="AW575" s="342"/>
      <c r="AX575" s="342"/>
      <c r="AY575" s="342"/>
      <c r="AZ575" s="342"/>
      <c r="BA575" s="342"/>
      <c r="BB575" s="342"/>
      <c r="BC575" s="342"/>
      <c r="BD575" s="342"/>
      <c r="BE575" s="342"/>
    </row>
    <row r="576" spans="1:57" ht="14.25" customHeight="1" outlineLevel="1">
      <c r="A576" s="491" t="s">
        <v>785</v>
      </c>
      <c r="B576" s="370"/>
      <c r="C576" s="370"/>
      <c r="E576" s="362"/>
      <c r="F576" s="362"/>
      <c r="AS576" s="341"/>
      <c r="AT576" s="341"/>
      <c r="AU576" s="341"/>
      <c r="AV576" s="341"/>
      <c r="AW576" s="342"/>
      <c r="AX576" s="342"/>
      <c r="AY576" s="342"/>
      <c r="AZ576" s="342"/>
      <c r="BA576" s="342"/>
      <c r="BB576" s="342"/>
      <c r="BC576" s="342"/>
      <c r="BD576" s="342"/>
      <c r="BE576" s="342"/>
    </row>
    <row r="577" spans="1:58" s="370" customFormat="1" ht="14.25" customHeight="1" outlineLevel="1">
      <c r="A577" s="500"/>
      <c r="E577" s="364"/>
      <c r="F577" s="364"/>
      <c r="AO577" s="591"/>
      <c r="AP577" s="591"/>
      <c r="AQ577" s="428"/>
      <c r="AR577" s="428"/>
      <c r="AS577" s="340"/>
      <c r="AT577" s="340"/>
      <c r="AU577" s="340"/>
      <c r="AV577" s="340"/>
      <c r="AW577" s="426"/>
      <c r="AX577" s="426"/>
      <c r="AY577" s="426"/>
      <c r="AZ577" s="426"/>
      <c r="BA577" s="426"/>
      <c r="BB577" s="426"/>
      <c r="BC577" s="426"/>
      <c r="BD577" s="426"/>
      <c r="BE577" s="426"/>
      <c r="BF577" s="428"/>
    </row>
    <row r="578" spans="1:58" s="370" customFormat="1" ht="14.25" customHeight="1" outlineLevel="1">
      <c r="A578" s="3094" t="s">
        <v>2114</v>
      </c>
      <c r="B578" s="3094"/>
      <c r="C578" s="3094"/>
      <c r="D578" s="571" t="s">
        <v>1798</v>
      </c>
      <c r="E578" s="364"/>
      <c r="F578" s="364"/>
      <c r="AO578" s="591"/>
      <c r="AP578" s="591"/>
      <c r="AQ578" s="428"/>
      <c r="AR578" s="428"/>
      <c r="AS578" s="340"/>
      <c r="AT578" s="340"/>
      <c r="AU578" s="340"/>
      <c r="AV578" s="340"/>
      <c r="AW578" s="426"/>
      <c r="AX578" s="426"/>
      <c r="AY578" s="426"/>
      <c r="AZ578" s="426"/>
      <c r="BA578" s="426"/>
      <c r="BB578" s="426"/>
      <c r="BC578" s="426"/>
      <c r="BD578" s="426"/>
      <c r="BE578" s="426"/>
      <c r="BF578" s="428"/>
    </row>
    <row r="579" spans="1:58" s="370" customFormat="1" ht="14.25" customHeight="1" outlineLevel="1">
      <c r="E579" s="364"/>
      <c r="F579" s="331"/>
      <c r="G579" s="331"/>
      <c r="H579" s="331"/>
      <c r="I579" s="456" t="s">
        <v>2054</v>
      </c>
      <c r="J579" s="331"/>
      <c r="K579" s="331"/>
      <c r="L579" s="331"/>
      <c r="M579" s="331"/>
      <c r="N579" s="331"/>
      <c r="O579" s="331"/>
      <c r="P579" s="331"/>
      <c r="Q579" s="331"/>
      <c r="R579" s="331"/>
      <c r="S579" s="331"/>
      <c r="T579" s="331"/>
      <c r="U579" s="331"/>
      <c r="AO579" s="591"/>
      <c r="AP579" s="591"/>
      <c r="AQ579" s="428"/>
      <c r="AR579" s="428"/>
      <c r="AS579" s="340"/>
      <c r="AT579" s="340"/>
      <c r="AU579" s="340"/>
      <c r="AV579" s="340"/>
      <c r="AW579" s="426"/>
      <c r="AX579" s="426"/>
      <c r="AY579" s="426"/>
      <c r="AZ579" s="426"/>
      <c r="BA579" s="426"/>
      <c r="BB579" s="426"/>
      <c r="BC579" s="426"/>
      <c r="BD579" s="426"/>
      <c r="BE579" s="426"/>
      <c r="BF579" s="428"/>
    </row>
    <row r="580" spans="1:58" s="370" customFormat="1" ht="14.25" customHeight="1" outlineLevel="1">
      <c r="A580" s="525" t="s">
        <v>2055</v>
      </c>
      <c r="B580" s="438" t="s">
        <v>120</v>
      </c>
      <c r="C580" s="525" t="s">
        <v>2056</v>
      </c>
      <c r="E580" s="364"/>
      <c r="F580" s="331"/>
      <c r="G580" s="331"/>
      <c r="H580" s="331"/>
      <c r="I580" s="331"/>
      <c r="J580" s="331"/>
      <c r="K580" s="331"/>
      <c r="L580" s="331"/>
      <c r="M580" s="331"/>
      <c r="N580" s="331"/>
      <c r="O580" s="331"/>
      <c r="P580" s="331"/>
      <c r="Q580" s="331"/>
      <c r="R580" s="331"/>
      <c r="S580" s="331"/>
      <c r="T580" s="331"/>
      <c r="U580" s="331"/>
      <c r="AO580" s="591"/>
      <c r="AP580" s="591"/>
      <c r="AQ580" s="428"/>
      <c r="AR580" s="428"/>
      <c r="AS580" s="340"/>
      <c r="AT580" s="340"/>
      <c r="AU580" s="340"/>
      <c r="AV580" s="340"/>
      <c r="AW580" s="426"/>
      <c r="AX580" s="426"/>
      <c r="AY580" s="426"/>
      <c r="AZ580" s="426"/>
      <c r="BA580" s="426"/>
      <c r="BB580" s="426"/>
      <c r="BC580" s="426"/>
      <c r="BD580" s="426"/>
      <c r="BE580" s="426"/>
      <c r="BF580" s="428"/>
    </row>
    <row r="581" spans="1:58" s="370" customFormat="1" ht="14.25" customHeight="1" outlineLevel="1">
      <c r="A581" s="525" t="s">
        <v>2057</v>
      </c>
      <c r="B581" s="438" t="s">
        <v>159</v>
      </c>
      <c r="C581" s="507">
        <v>1</v>
      </c>
      <c r="E581" s="364"/>
      <c r="F581" s="366"/>
      <c r="G581" s="366"/>
      <c r="H581" s="366"/>
      <c r="I581" s="472"/>
      <c r="J581" s="331"/>
      <c r="K581" s="331"/>
      <c r="L581" s="331"/>
      <c r="M581" s="331"/>
      <c r="N581" s="331"/>
      <c r="O581" s="331"/>
      <c r="P581" s="331"/>
      <c r="Q581" s="331"/>
      <c r="R581" s="331"/>
      <c r="S581" s="331"/>
      <c r="T581" s="331"/>
      <c r="U581" s="331"/>
      <c r="AO581" s="591"/>
      <c r="AP581" s="591"/>
      <c r="AQ581" s="428"/>
      <c r="AR581" s="428"/>
      <c r="AS581" s="340"/>
      <c r="AT581" s="340"/>
      <c r="AU581" s="340"/>
      <c r="AV581" s="340"/>
      <c r="AW581" s="426"/>
      <c r="AX581" s="426"/>
      <c r="AY581" s="426"/>
      <c r="AZ581" s="426"/>
      <c r="BA581" s="426"/>
      <c r="BB581" s="426"/>
      <c r="BC581" s="426"/>
      <c r="BD581" s="426"/>
      <c r="BE581" s="426"/>
      <c r="BF581" s="428"/>
    </row>
    <row r="582" spans="1:58" s="370" customFormat="1" ht="14.25" customHeight="1" outlineLevel="1">
      <c r="A582" s="488" t="s">
        <v>2058</v>
      </c>
      <c r="B582" s="438" t="s">
        <v>156</v>
      </c>
      <c r="C582" s="507">
        <v>2</v>
      </c>
      <c r="E582" s="364"/>
      <c r="F582" s="366"/>
      <c r="G582" s="366"/>
      <c r="H582" s="366"/>
      <c r="I582" s="472"/>
      <c r="J582" s="331"/>
      <c r="K582" s="331"/>
      <c r="L582" s="331"/>
      <c r="M582" s="331"/>
      <c r="N582" s="331"/>
      <c r="O582" s="331"/>
      <c r="P582" s="331"/>
      <c r="Q582" s="331"/>
      <c r="R582" s="331"/>
      <c r="S582" s="331"/>
      <c r="T582" s="331"/>
      <c r="U582" s="331"/>
      <c r="AO582" s="591"/>
      <c r="AP582" s="591"/>
      <c r="AQ582" s="428"/>
      <c r="AR582" s="428"/>
      <c r="AS582" s="340"/>
      <c r="AT582" s="340"/>
      <c r="AU582" s="340"/>
      <c r="AV582" s="340"/>
      <c r="AW582" s="426"/>
      <c r="AX582" s="426"/>
      <c r="AY582" s="426"/>
      <c r="AZ582" s="426"/>
      <c r="BA582" s="426"/>
      <c r="BB582" s="426"/>
      <c r="BC582" s="426"/>
      <c r="BD582" s="426"/>
      <c r="BE582" s="426"/>
      <c r="BF582" s="428"/>
    </row>
    <row r="583" spans="1:58" s="370" customFormat="1" ht="14.25" customHeight="1" outlineLevel="1">
      <c r="A583" s="488" t="s">
        <v>2059</v>
      </c>
      <c r="B583" s="438" t="s">
        <v>156</v>
      </c>
      <c r="C583" s="507">
        <v>1.6</v>
      </c>
      <c r="E583" s="364"/>
      <c r="F583" s="3103" t="s">
        <v>1912</v>
      </c>
      <c r="G583" s="366"/>
      <c r="H583" s="366"/>
      <c r="I583" s="472"/>
      <c r="J583" s="505"/>
      <c r="K583" s="331"/>
      <c r="L583" s="331"/>
      <c r="M583" s="331"/>
      <c r="N583" s="331"/>
      <c r="O583" s="331"/>
      <c r="P583" s="331"/>
      <c r="Q583" s="331"/>
      <c r="R583" s="331"/>
      <c r="S583" s="331"/>
      <c r="T583" s="331"/>
      <c r="U583" s="331" t="s">
        <v>2060</v>
      </c>
      <c r="AO583" s="591"/>
      <c r="AP583" s="591"/>
      <c r="AQ583" s="428"/>
      <c r="AR583" s="428"/>
      <c r="AS583" s="340"/>
      <c r="AT583" s="340"/>
      <c r="AU583" s="340"/>
      <c r="AV583" s="340"/>
      <c r="AW583" s="426"/>
      <c r="AX583" s="426"/>
      <c r="AY583" s="426"/>
      <c r="AZ583" s="426"/>
      <c r="BA583" s="426"/>
      <c r="BB583" s="426"/>
      <c r="BC583" s="426"/>
      <c r="BD583" s="426"/>
      <c r="BE583" s="426"/>
      <c r="BF583" s="428"/>
    </row>
    <row r="584" spans="1:58" s="370" customFormat="1" ht="14.25" customHeight="1" outlineLevel="1">
      <c r="A584" s="486" t="s">
        <v>2115</v>
      </c>
      <c r="B584" s="438" t="s">
        <v>156</v>
      </c>
      <c r="C584" s="507">
        <v>0.9</v>
      </c>
      <c r="E584" s="364"/>
      <c r="F584" s="3103"/>
      <c r="G584" s="366"/>
      <c r="H584" s="366"/>
      <c r="I584" s="472"/>
      <c r="J584" s="505"/>
      <c r="K584" s="331"/>
      <c r="L584" s="331"/>
      <c r="M584" s="331"/>
      <c r="N584" s="331"/>
      <c r="O584" s="331"/>
      <c r="P584" s="331"/>
      <c r="Q584" s="331"/>
      <c r="R584" s="331"/>
      <c r="S584" s="331"/>
      <c r="T584" s="331"/>
      <c r="U584" s="331" t="s">
        <v>2062</v>
      </c>
      <c r="AO584" s="591"/>
      <c r="AP584" s="591"/>
      <c r="AQ584" s="428"/>
      <c r="AR584" s="428"/>
      <c r="AS584" s="340"/>
      <c r="AT584" s="340"/>
      <c r="AU584" s="340"/>
      <c r="AV584" s="340"/>
      <c r="AW584" s="426"/>
      <c r="AX584" s="426"/>
      <c r="AY584" s="426"/>
      <c r="AZ584" s="426"/>
      <c r="BA584" s="426"/>
      <c r="BB584" s="426"/>
      <c r="BC584" s="426"/>
      <c r="BD584" s="426"/>
      <c r="BE584" s="426"/>
      <c r="BF584" s="428"/>
    </row>
    <row r="585" spans="1:58" s="370" customFormat="1" ht="14.25" customHeight="1" outlineLevel="1">
      <c r="A585" s="592" t="s">
        <v>2116</v>
      </c>
      <c r="B585" s="593" t="s">
        <v>159</v>
      </c>
      <c r="C585" s="594">
        <v>3</v>
      </c>
      <c r="E585" s="364"/>
      <c r="F585" s="3103"/>
      <c r="G585" s="366"/>
      <c r="H585" s="366"/>
      <c r="I585" s="472"/>
      <c r="J585" s="505"/>
      <c r="K585" s="331"/>
      <c r="L585" s="331"/>
      <c r="M585" s="331"/>
      <c r="N585" s="331"/>
      <c r="O585" s="331"/>
      <c r="P585" s="331"/>
      <c r="Q585" s="331"/>
      <c r="R585" s="331"/>
      <c r="S585" s="331"/>
      <c r="T585" s="331"/>
      <c r="U585" s="331"/>
      <c r="AO585" s="591"/>
      <c r="AP585" s="591"/>
      <c r="AQ585" s="428"/>
      <c r="AR585" s="428"/>
      <c r="AS585" s="340"/>
      <c r="AT585" s="340"/>
      <c r="AU585" s="340"/>
      <c r="AV585" s="340"/>
      <c r="AW585" s="426"/>
      <c r="AX585" s="426"/>
      <c r="AY585" s="426"/>
      <c r="AZ585" s="426"/>
      <c r="BA585" s="426"/>
      <c r="BB585" s="426"/>
      <c r="BC585" s="426"/>
      <c r="BD585" s="426"/>
      <c r="BE585" s="426"/>
      <c r="BF585" s="428"/>
    </row>
    <row r="586" spans="1:58" s="370" customFormat="1" ht="14.25" customHeight="1" outlineLevel="1">
      <c r="A586" s="591"/>
      <c r="B586" s="591"/>
      <c r="C586" s="591"/>
      <c r="E586" s="364"/>
      <c r="F586" s="366"/>
      <c r="G586" s="366"/>
      <c r="H586" s="366"/>
      <c r="I586" s="472"/>
      <c r="J586" s="505"/>
      <c r="K586" s="366"/>
      <c r="L586" s="520"/>
      <c r="M586" s="366"/>
      <c r="N586" s="366"/>
      <c r="O586" s="366"/>
      <c r="P586" s="366"/>
      <c r="Q586" s="366"/>
      <c r="R586" s="366"/>
      <c r="S586" s="366"/>
      <c r="T586" s="366"/>
      <c r="U586" s="366" t="s">
        <v>2064</v>
      </c>
      <c r="AO586" s="591"/>
      <c r="AP586" s="591"/>
      <c r="AQ586" s="428"/>
      <c r="AR586" s="428"/>
      <c r="AS586" s="340"/>
      <c r="AT586" s="340"/>
      <c r="AU586" s="340"/>
      <c r="AV586" s="340"/>
      <c r="AW586" s="426"/>
      <c r="AX586" s="426"/>
      <c r="AY586" s="426"/>
      <c r="AZ586" s="426"/>
      <c r="BA586" s="426"/>
      <c r="BB586" s="426"/>
      <c r="BC586" s="426"/>
      <c r="BD586" s="426"/>
      <c r="BE586" s="426"/>
      <c r="BF586" s="428"/>
    </row>
    <row r="587" spans="1:58" s="370" customFormat="1" ht="14.25" customHeight="1" outlineLevel="1">
      <c r="A587" s="492" t="s">
        <v>2117</v>
      </c>
      <c r="E587" s="364"/>
      <c r="F587" s="366"/>
      <c r="G587" s="366"/>
      <c r="H587" s="366"/>
      <c r="I587" s="472"/>
      <c r="J587" s="505"/>
      <c r="K587" s="366"/>
      <c r="L587" s="520"/>
      <c r="M587" s="366"/>
      <c r="N587" s="366"/>
      <c r="O587" s="366"/>
      <c r="P587" s="366"/>
      <c r="Q587" s="366"/>
      <c r="R587" s="366"/>
      <c r="S587" s="366"/>
      <c r="T587" s="366"/>
      <c r="U587" s="366"/>
      <c r="AO587" s="591"/>
      <c r="AP587" s="591"/>
      <c r="AQ587" s="428"/>
      <c r="AR587" s="428"/>
      <c r="AS587" s="340"/>
      <c r="AT587" s="340"/>
      <c r="AU587" s="340"/>
      <c r="AV587" s="340"/>
      <c r="AW587" s="426"/>
      <c r="AX587" s="426"/>
      <c r="AY587" s="426"/>
      <c r="AZ587" s="426"/>
      <c r="BA587" s="426"/>
      <c r="BB587" s="426"/>
      <c r="BC587" s="426"/>
      <c r="BD587" s="426"/>
      <c r="BE587" s="426"/>
      <c r="BF587" s="428"/>
    </row>
    <row r="588" spans="1:58" s="370" customFormat="1" ht="14.25" customHeight="1" outlineLevel="1">
      <c r="A588" s="483" t="s">
        <v>1263</v>
      </c>
      <c r="E588" s="364"/>
      <c r="F588" s="366"/>
      <c r="G588" s="366"/>
      <c r="H588" s="366"/>
      <c r="I588" s="472"/>
      <c r="J588" s="505"/>
      <c r="K588" s="366"/>
      <c r="L588" s="520"/>
      <c r="M588" s="366"/>
      <c r="N588" s="366"/>
      <c r="O588" s="366"/>
      <c r="P588" s="366"/>
      <c r="Q588" s="366"/>
      <c r="R588" s="366"/>
      <c r="S588" s="366"/>
      <c r="T588" s="366"/>
      <c r="U588" s="366"/>
      <c r="AO588" s="591"/>
      <c r="AP588" s="591"/>
      <c r="AQ588" s="428"/>
      <c r="AR588" s="428"/>
      <c r="AS588" s="340"/>
      <c r="AT588" s="340"/>
      <c r="AU588" s="340"/>
      <c r="AV588" s="340"/>
      <c r="AW588" s="426"/>
      <c r="AX588" s="426"/>
      <c r="AY588" s="426"/>
      <c r="AZ588" s="426"/>
      <c r="BA588" s="426"/>
      <c r="BB588" s="426"/>
      <c r="BC588" s="426"/>
      <c r="BD588" s="426"/>
      <c r="BE588" s="426"/>
      <c r="BF588" s="428"/>
    </row>
    <row r="589" spans="1:58" s="370" customFormat="1" ht="14.25" customHeight="1" outlineLevel="1">
      <c r="A589" s="492" t="s">
        <v>2078</v>
      </c>
      <c r="E589" s="364"/>
      <c r="F589" s="366"/>
      <c r="G589" s="366"/>
      <c r="H589" s="366"/>
      <c r="I589" s="472"/>
      <c r="J589" s="505"/>
      <c r="K589" s="366"/>
      <c r="L589" s="520"/>
      <c r="M589" s="366"/>
      <c r="N589" s="366"/>
      <c r="O589" s="366"/>
      <c r="P589" s="366"/>
      <c r="Q589" s="366"/>
      <c r="R589" s="366"/>
      <c r="S589" s="366"/>
      <c r="T589" s="366"/>
      <c r="U589" s="366"/>
      <c r="AO589" s="591"/>
      <c r="AP589" s="591"/>
      <c r="AQ589" s="428"/>
      <c r="AR589" s="428"/>
      <c r="AS589" s="340"/>
      <c r="AT589" s="340"/>
      <c r="AU589" s="340"/>
      <c r="AV589" s="340"/>
      <c r="AW589" s="426"/>
      <c r="AX589" s="426"/>
      <c r="AY589" s="426"/>
      <c r="AZ589" s="426"/>
      <c r="BA589" s="426"/>
      <c r="BB589" s="426"/>
      <c r="BC589" s="426"/>
      <c r="BD589" s="426"/>
      <c r="BE589" s="426"/>
      <c r="BF589" s="428"/>
    </row>
    <row r="590" spans="1:58" s="370" customFormat="1" ht="14.25" customHeight="1" outlineLevel="1">
      <c r="A590" s="493" t="s">
        <v>983</v>
      </c>
      <c r="E590" s="364"/>
      <c r="F590" s="366"/>
      <c r="G590" s="366"/>
      <c r="H590" s="3099" t="s">
        <v>2118</v>
      </c>
      <c r="I590" s="3099"/>
      <c r="J590" s="3099"/>
      <c r="K590" s="3099"/>
      <c r="L590" s="520"/>
      <c r="M590" s="366"/>
      <c r="N590" s="366"/>
      <c r="O590" s="366"/>
      <c r="P590" s="366"/>
      <c r="Q590" s="366"/>
      <c r="R590" s="366"/>
      <c r="S590" s="366"/>
      <c r="T590" s="366"/>
      <c r="U590" s="366"/>
      <c r="AO590" s="591"/>
      <c r="AP590" s="591"/>
      <c r="AQ590" s="428"/>
      <c r="AR590" s="428"/>
      <c r="AS590" s="340"/>
      <c r="AT590" s="340"/>
      <c r="AU590" s="340"/>
      <c r="AV590" s="340"/>
      <c r="AW590" s="426"/>
      <c r="AX590" s="426"/>
      <c r="AY590" s="426"/>
      <c r="AZ590" s="426"/>
      <c r="BA590" s="426"/>
      <c r="BB590" s="426"/>
      <c r="BC590" s="426"/>
      <c r="BD590" s="426"/>
      <c r="BE590" s="426"/>
      <c r="BF590" s="428"/>
    </row>
    <row r="591" spans="1:58" s="370" customFormat="1" ht="14.25" customHeight="1" outlineLevel="1">
      <c r="A591" s="478" t="s">
        <v>2079</v>
      </c>
      <c r="E591" s="364"/>
      <c r="F591" s="3099" t="s">
        <v>2070</v>
      </c>
      <c r="G591" s="3099"/>
      <c r="H591" s="3099"/>
      <c r="I591" s="3099"/>
      <c r="J591" s="3099"/>
      <c r="K591" s="3099"/>
      <c r="L591" s="520"/>
      <c r="M591" s="366"/>
      <c r="N591" s="366"/>
      <c r="O591" s="366"/>
      <c r="P591" s="366"/>
      <c r="Q591" s="366"/>
      <c r="R591" s="366"/>
      <c r="S591" s="366"/>
      <c r="T591" s="366"/>
      <c r="U591" s="366"/>
      <c r="AO591" s="591"/>
      <c r="AP591" s="591"/>
      <c r="AQ591" s="428"/>
      <c r="AR591" s="428"/>
      <c r="AS591" s="340"/>
      <c r="AT591" s="340"/>
      <c r="AU591" s="340"/>
      <c r="AV591" s="340"/>
      <c r="AW591" s="426"/>
      <c r="AX591" s="426"/>
      <c r="AY591" s="426"/>
      <c r="AZ591" s="426"/>
      <c r="BA591" s="426"/>
      <c r="BB591" s="426"/>
      <c r="BC591" s="426"/>
      <c r="BD591" s="426"/>
      <c r="BE591" s="426"/>
      <c r="BF591" s="428"/>
    </row>
    <row r="592" spans="1:58" s="370" customFormat="1" ht="14.25" customHeight="1" outlineLevel="1">
      <c r="A592" s="483" t="s">
        <v>379</v>
      </c>
      <c r="E592" s="364"/>
      <c r="F592" s="366"/>
      <c r="G592" s="366"/>
      <c r="H592" s="3099"/>
      <c r="I592" s="3099"/>
      <c r="J592" s="3099"/>
      <c r="K592" s="3099"/>
      <c r="L592" s="520"/>
      <c r="M592" s="366"/>
      <c r="N592" s="366"/>
      <c r="O592" s="366"/>
      <c r="P592" s="366"/>
      <c r="Q592" s="366"/>
      <c r="R592" s="366"/>
      <c r="S592" s="366"/>
      <c r="T592" s="366"/>
      <c r="U592" s="366"/>
      <c r="AO592" s="591"/>
      <c r="AP592" s="591"/>
      <c r="AQ592" s="428"/>
      <c r="AR592" s="428"/>
      <c r="AS592" s="340"/>
      <c r="AT592" s="340"/>
      <c r="AU592" s="340"/>
      <c r="AV592" s="340"/>
      <c r="AW592" s="426"/>
      <c r="AX592" s="426"/>
      <c r="AY592" s="426"/>
      <c r="AZ592" s="426"/>
      <c r="BA592" s="426"/>
      <c r="BB592" s="426"/>
      <c r="BC592" s="426"/>
      <c r="BD592" s="426"/>
      <c r="BE592" s="426"/>
      <c r="BF592" s="428"/>
    </row>
    <row r="593" spans="1:58" s="370" customFormat="1" ht="14.25" customHeight="1" outlineLevel="1">
      <c r="A593" s="331" t="s">
        <v>2080</v>
      </c>
      <c r="E593" s="364"/>
      <c r="F593" s="366"/>
      <c r="G593" s="366"/>
      <c r="H593" s="366"/>
      <c r="I593" s="472"/>
      <c r="J593" s="505"/>
      <c r="K593" s="366"/>
      <c r="L593" s="520"/>
      <c r="M593" s="366"/>
      <c r="N593" s="366"/>
      <c r="O593" s="366"/>
      <c r="P593" s="366"/>
      <c r="Q593" s="366"/>
      <c r="R593" s="366"/>
      <c r="S593" s="366"/>
      <c r="T593" s="366"/>
      <c r="U593" s="366"/>
      <c r="AO593" s="591"/>
      <c r="AP593" s="591"/>
      <c r="AQ593" s="428"/>
      <c r="AR593" s="428"/>
      <c r="AS593" s="340"/>
      <c r="AT593" s="340"/>
      <c r="AU593" s="340"/>
      <c r="AV593" s="340"/>
      <c r="AW593" s="426"/>
      <c r="AX593" s="426"/>
      <c r="AY593" s="426"/>
      <c r="AZ593" s="426"/>
      <c r="BA593" s="426"/>
      <c r="BB593" s="426"/>
      <c r="BC593" s="426"/>
      <c r="BD593" s="426"/>
      <c r="BE593" s="426"/>
      <c r="BF593" s="428"/>
    </row>
    <row r="594" spans="1:58" s="370" customFormat="1" ht="14.25" customHeight="1" outlineLevel="1">
      <c r="A594" s="483" t="s">
        <v>343</v>
      </c>
      <c r="E594" s="364"/>
      <c r="F594" s="366"/>
      <c r="G594" s="366"/>
      <c r="H594" s="366"/>
      <c r="I594" s="472"/>
      <c r="J594" s="505"/>
      <c r="K594" s="366"/>
      <c r="L594" s="520"/>
      <c r="M594" s="366"/>
      <c r="N594" s="366"/>
      <c r="O594" s="366"/>
      <c r="P594" s="366"/>
      <c r="Q594" s="366"/>
      <c r="R594" s="366"/>
      <c r="S594" s="366"/>
      <c r="T594" s="366"/>
      <c r="U594" s="366"/>
      <c r="AO594" s="591"/>
      <c r="AP594" s="591"/>
      <c r="AQ594" s="428"/>
      <c r="AR594" s="428"/>
      <c r="AS594" s="340"/>
      <c r="AT594" s="340"/>
      <c r="AU594" s="340"/>
      <c r="AV594" s="340"/>
      <c r="AW594" s="426"/>
      <c r="AX594" s="426"/>
      <c r="AY594" s="426"/>
      <c r="AZ594" s="426"/>
      <c r="BA594" s="426"/>
      <c r="BB594" s="426"/>
      <c r="BC594" s="426"/>
      <c r="BD594" s="426"/>
      <c r="BE594" s="426"/>
      <c r="BF594" s="428"/>
    </row>
    <row r="595" spans="1:58" s="370" customFormat="1" ht="14.25" customHeight="1" outlineLevel="1">
      <c r="A595" s="331" t="s">
        <v>2081</v>
      </c>
      <c r="E595" s="364"/>
      <c r="F595" s="366"/>
      <c r="G595" s="366"/>
      <c r="H595" s="515" t="s">
        <v>2071</v>
      </c>
      <c r="I595" s="381"/>
      <c r="J595" s="381"/>
      <c r="K595" s="381"/>
      <c r="L595" s="520"/>
      <c r="M595" s="366"/>
      <c r="N595" s="366"/>
      <c r="O595" s="366"/>
      <c r="P595" s="366"/>
      <c r="Q595" s="366"/>
      <c r="R595" s="366"/>
      <c r="S595" s="366"/>
      <c r="T595" s="366"/>
      <c r="U595" s="366"/>
      <c r="AO595" s="591"/>
      <c r="AP595" s="591"/>
      <c r="AQ595" s="428"/>
      <c r="AR595" s="428"/>
      <c r="AS595" s="340"/>
      <c r="AT595" s="340"/>
      <c r="AU595" s="340"/>
      <c r="AV595" s="340"/>
      <c r="AW595" s="426"/>
      <c r="AX595" s="426"/>
      <c r="AY595" s="426"/>
      <c r="AZ595" s="426"/>
      <c r="BA595" s="426"/>
      <c r="BB595" s="426"/>
      <c r="BC595" s="426"/>
      <c r="BD595" s="426"/>
      <c r="BE595" s="426"/>
      <c r="BF595" s="428"/>
    </row>
    <row r="596" spans="1:58" s="370" customFormat="1" ht="14.25" customHeight="1" outlineLevel="1">
      <c r="A596" s="483" t="s">
        <v>339</v>
      </c>
      <c r="E596" s="364"/>
      <c r="F596" s="366"/>
      <c r="G596" s="366"/>
      <c r="H596" s="366"/>
      <c r="I596" s="472"/>
      <c r="J596" s="505"/>
      <c r="K596" s="366"/>
      <c r="L596" s="520"/>
      <c r="M596" s="366"/>
      <c r="N596" s="366"/>
      <c r="O596" s="366"/>
      <c r="P596" s="366"/>
      <c r="Q596" s="366"/>
      <c r="R596" s="366"/>
      <c r="S596" s="366"/>
      <c r="T596" s="366"/>
      <c r="U596" s="366"/>
      <c r="AO596" s="591"/>
      <c r="AP596" s="591"/>
      <c r="AQ596" s="428"/>
      <c r="AR596" s="428"/>
      <c r="AS596" s="340"/>
      <c r="AT596" s="340"/>
      <c r="AU596" s="340"/>
      <c r="AV596" s="340"/>
      <c r="AW596" s="426"/>
      <c r="AX596" s="426"/>
      <c r="AY596" s="426"/>
      <c r="AZ596" s="426"/>
      <c r="BA596" s="426"/>
      <c r="BB596" s="426"/>
      <c r="BC596" s="426"/>
      <c r="BD596" s="426"/>
      <c r="BE596" s="426"/>
      <c r="BF596" s="428"/>
    </row>
    <row r="597" spans="1:58" s="370" customFormat="1" ht="14.25" customHeight="1" outlineLevel="1">
      <c r="A597" s="331" t="s">
        <v>2082</v>
      </c>
      <c r="E597" s="364"/>
      <c r="F597" s="364"/>
      <c r="AO597" s="591"/>
      <c r="AP597" s="591"/>
      <c r="AQ597" s="428"/>
      <c r="AR597" s="428"/>
      <c r="AS597" s="340"/>
      <c r="AT597" s="340"/>
      <c r="AU597" s="340"/>
      <c r="AV597" s="340"/>
      <c r="AW597" s="426"/>
      <c r="AX597" s="426"/>
      <c r="AY597" s="426"/>
      <c r="AZ597" s="426"/>
      <c r="BA597" s="426"/>
      <c r="BB597" s="426"/>
      <c r="BC597" s="426"/>
      <c r="BD597" s="426"/>
      <c r="BE597" s="426"/>
      <c r="BF597" s="428"/>
    </row>
    <row r="598" spans="1:58" s="370" customFormat="1" ht="14.25" customHeight="1" outlineLevel="1">
      <c r="A598" s="493" t="s">
        <v>382</v>
      </c>
      <c r="E598" s="364"/>
      <c r="F598" s="364"/>
      <c r="AO598" s="591"/>
      <c r="AP598" s="591"/>
      <c r="AQ598" s="428"/>
      <c r="AR598" s="428"/>
      <c r="AS598" s="340"/>
      <c r="AT598" s="340"/>
      <c r="AU598" s="340"/>
      <c r="AV598" s="340"/>
      <c r="AW598" s="426"/>
      <c r="AX598" s="426"/>
      <c r="AY598" s="426"/>
      <c r="AZ598" s="426"/>
      <c r="BA598" s="426"/>
      <c r="BB598" s="426"/>
      <c r="BC598" s="426"/>
      <c r="BD598" s="426"/>
      <c r="BE598" s="426"/>
      <c r="BF598" s="428"/>
    </row>
    <row r="599" spans="1:58" ht="14.25" customHeight="1" outlineLevel="1">
      <c r="A599" s="500"/>
      <c r="B599" s="370"/>
      <c r="C599" s="370"/>
      <c r="E599" s="362"/>
      <c r="F599" s="362"/>
      <c r="AS599" s="341"/>
      <c r="AT599" s="341"/>
      <c r="AU599" s="341"/>
      <c r="AV599" s="341"/>
      <c r="AW599" s="342"/>
      <c r="AX599" s="342"/>
      <c r="AY599" s="342"/>
      <c r="AZ599" s="342"/>
      <c r="BA599" s="342"/>
      <c r="BB599" s="342"/>
      <c r="BC599" s="342"/>
      <c r="BD599" s="342"/>
      <c r="BE599" s="342"/>
    </row>
    <row r="600" spans="1:58" ht="14.25" customHeight="1" outlineLevel="1">
      <c r="A600" s="3107" t="s">
        <v>2119</v>
      </c>
      <c r="B600" s="3107"/>
      <c r="C600" s="3107"/>
      <c r="E600" s="362"/>
      <c r="F600" s="362"/>
      <c r="AS600" s="341"/>
      <c r="AT600" s="341"/>
      <c r="AU600" s="341"/>
      <c r="AV600" s="341"/>
      <c r="AW600" s="342"/>
      <c r="AX600" s="342"/>
      <c r="AY600" s="342"/>
      <c r="AZ600" s="342"/>
      <c r="BA600" s="342"/>
      <c r="BB600" s="342"/>
      <c r="BC600" s="342"/>
      <c r="BD600" s="342"/>
      <c r="BE600" s="342"/>
    </row>
    <row r="601" spans="1:58" ht="14.25" customHeight="1" outlineLevel="1">
      <c r="A601" s="404" t="s">
        <v>800</v>
      </c>
      <c r="B601" s="413" t="s">
        <v>159</v>
      </c>
      <c r="C601" s="388"/>
      <c r="E601" s="362"/>
      <c r="F601" s="362"/>
      <c r="AS601" s="341"/>
      <c r="AT601" s="341"/>
      <c r="AU601" s="341"/>
      <c r="AV601" s="341"/>
      <c r="AW601" s="342"/>
      <c r="AX601" s="342"/>
      <c r="AY601" s="342"/>
      <c r="AZ601" s="342"/>
      <c r="BA601" s="342"/>
      <c r="BB601" s="342"/>
      <c r="BC601" s="342"/>
      <c r="BD601" s="342"/>
      <c r="BE601" s="342"/>
    </row>
    <row r="602" spans="1:58" ht="14.25" customHeight="1" outlineLevel="1">
      <c r="A602" s="404" t="s">
        <v>798</v>
      </c>
      <c r="B602" s="413" t="s">
        <v>159</v>
      </c>
      <c r="C602" s="388"/>
      <c r="E602" s="362"/>
      <c r="F602" s="362"/>
      <c r="AS602" s="341"/>
      <c r="AT602" s="341"/>
      <c r="AU602" s="341"/>
      <c r="AV602" s="341"/>
      <c r="AW602" s="342"/>
      <c r="AX602" s="342"/>
      <c r="AY602" s="342"/>
      <c r="AZ602" s="342"/>
      <c r="BA602" s="342"/>
      <c r="BB602" s="342"/>
      <c r="BC602" s="342"/>
      <c r="BD602" s="342"/>
      <c r="BE602" s="342"/>
    </row>
    <row r="603" spans="1:58" ht="14.25" customHeight="1" outlineLevel="1">
      <c r="A603" s="404" t="s">
        <v>805</v>
      </c>
      <c r="B603" s="413" t="s">
        <v>159</v>
      </c>
      <c r="C603" s="388"/>
      <c r="E603" s="362"/>
      <c r="F603" s="362"/>
      <c r="AS603" s="341"/>
      <c r="AT603" s="341"/>
      <c r="AU603" s="341"/>
      <c r="AV603" s="341"/>
      <c r="AW603" s="342"/>
      <c r="AX603" s="342"/>
      <c r="AY603" s="342"/>
      <c r="AZ603" s="342"/>
      <c r="BA603" s="342"/>
      <c r="BB603" s="342"/>
      <c r="BC603" s="342"/>
      <c r="BD603" s="342"/>
      <c r="BE603" s="342"/>
    </row>
    <row r="604" spans="1:58" ht="14.25" customHeight="1" outlineLevel="1">
      <c r="A604" s="404" t="s">
        <v>804</v>
      </c>
      <c r="B604" s="413" t="s">
        <v>159</v>
      </c>
      <c r="C604" s="388"/>
      <c r="E604" s="362"/>
      <c r="F604" s="362"/>
      <c r="AS604" s="341"/>
      <c r="AT604" s="341"/>
      <c r="AU604" s="341"/>
      <c r="AV604" s="341"/>
      <c r="AW604" s="342"/>
      <c r="AX604" s="342"/>
      <c r="AY604" s="342"/>
      <c r="AZ604" s="342"/>
      <c r="BA604" s="342"/>
      <c r="BB604" s="342"/>
      <c r="BC604" s="342"/>
      <c r="BD604" s="342"/>
      <c r="BE604" s="342"/>
    </row>
    <row r="605" spans="1:58" ht="14.25" customHeight="1" outlineLevel="1">
      <c r="A605" s="404" t="s">
        <v>817</v>
      </c>
      <c r="B605" s="413" t="s">
        <v>159</v>
      </c>
      <c r="C605" s="388"/>
      <c r="E605" s="362"/>
      <c r="F605" s="362"/>
      <c r="AS605" s="341"/>
      <c r="AT605" s="341"/>
      <c r="AU605" s="341"/>
      <c r="AV605" s="341"/>
      <c r="AW605" s="342"/>
      <c r="AX605" s="342"/>
      <c r="AY605" s="342"/>
      <c r="AZ605" s="342"/>
      <c r="BA605" s="342"/>
      <c r="BB605" s="342"/>
      <c r="BC605" s="342"/>
      <c r="BD605" s="342"/>
      <c r="BE605" s="342"/>
    </row>
    <row r="606" spans="1:58" ht="14.25" customHeight="1" outlineLevel="1">
      <c r="A606" s="404" t="s">
        <v>814</v>
      </c>
      <c r="B606" s="413" t="s">
        <v>159</v>
      </c>
      <c r="C606" s="388"/>
      <c r="E606" s="362"/>
      <c r="F606" s="362"/>
      <c r="AS606" s="341"/>
      <c r="AT606" s="341"/>
      <c r="AU606" s="341"/>
      <c r="AV606" s="341"/>
      <c r="AW606" s="342"/>
      <c r="AX606" s="342"/>
      <c r="AY606" s="342"/>
      <c r="AZ606" s="342"/>
      <c r="BA606" s="342"/>
      <c r="BB606" s="342"/>
      <c r="BC606" s="342"/>
      <c r="BD606" s="342"/>
      <c r="BE606" s="342"/>
    </row>
    <row r="607" spans="1:58" ht="14.25" customHeight="1" outlineLevel="1">
      <c r="A607" s="404" t="s">
        <v>833</v>
      </c>
      <c r="B607" s="413" t="s">
        <v>188</v>
      </c>
      <c r="C607" s="388"/>
      <c r="E607" s="362"/>
      <c r="F607" s="362"/>
      <c r="AS607" s="341"/>
      <c r="AT607" s="341"/>
      <c r="AU607" s="341"/>
      <c r="AV607" s="341"/>
      <c r="AW607" s="342"/>
      <c r="AX607" s="342"/>
      <c r="AY607" s="342"/>
      <c r="AZ607" s="342"/>
      <c r="BA607" s="342"/>
      <c r="BB607" s="342"/>
      <c r="BC607" s="342"/>
      <c r="BD607" s="342"/>
      <c r="BE607" s="342"/>
    </row>
    <row r="608" spans="1:58" ht="14.25" customHeight="1" outlineLevel="1">
      <c r="A608" s="404" t="s">
        <v>830</v>
      </c>
      <c r="B608" s="413" t="s">
        <v>188</v>
      </c>
      <c r="C608" s="388"/>
      <c r="E608" s="362"/>
      <c r="F608" s="362"/>
      <c r="AS608" s="341"/>
      <c r="AT608" s="341"/>
      <c r="AU608" s="341"/>
      <c r="AV608" s="341"/>
      <c r="AW608" s="342"/>
      <c r="AX608" s="342"/>
      <c r="AY608" s="342"/>
      <c r="AZ608" s="342"/>
      <c r="BA608" s="342"/>
      <c r="BB608" s="342"/>
      <c r="BC608" s="342"/>
      <c r="BD608" s="342"/>
      <c r="BE608" s="342"/>
    </row>
    <row r="609" spans="1:57" ht="14.25" customHeight="1" outlineLevel="1">
      <c r="A609" s="404" t="s">
        <v>842</v>
      </c>
      <c r="B609" s="413" t="s">
        <v>188</v>
      </c>
      <c r="C609" s="388"/>
      <c r="E609" s="362"/>
      <c r="F609" s="362"/>
      <c r="AS609" s="341"/>
      <c r="AT609" s="341"/>
      <c r="AU609" s="341"/>
      <c r="AV609" s="341"/>
      <c r="AW609" s="342"/>
      <c r="AX609" s="342"/>
      <c r="AY609" s="342"/>
      <c r="AZ609" s="342"/>
      <c r="BA609" s="342"/>
      <c r="BB609" s="342"/>
      <c r="BC609" s="342"/>
      <c r="BD609" s="342"/>
      <c r="BE609" s="342"/>
    </row>
    <row r="610" spans="1:57" ht="14.25" customHeight="1" outlineLevel="1">
      <c r="A610" s="404" t="s">
        <v>848</v>
      </c>
      <c r="B610" s="413" t="s">
        <v>188</v>
      </c>
      <c r="C610" s="388"/>
      <c r="E610" s="362"/>
      <c r="F610" s="362"/>
      <c r="AS610" s="341"/>
      <c r="AT610" s="341"/>
      <c r="AU610" s="341"/>
      <c r="AV610" s="341"/>
      <c r="AW610" s="342"/>
      <c r="AX610" s="342"/>
      <c r="AY610" s="342"/>
      <c r="AZ610" s="342"/>
      <c r="BA610" s="342"/>
      <c r="BB610" s="342"/>
      <c r="BC610" s="342"/>
      <c r="BD610" s="342"/>
      <c r="BE610" s="342"/>
    </row>
    <row r="611" spans="1:57" ht="14.25" customHeight="1" outlineLevel="1">
      <c r="A611" s="500"/>
      <c r="B611" s="370"/>
      <c r="C611" s="370"/>
      <c r="E611" s="362"/>
      <c r="F611" s="362"/>
      <c r="AS611" s="341"/>
      <c r="AT611" s="341"/>
      <c r="AU611" s="341"/>
      <c r="AV611" s="341"/>
      <c r="AW611" s="342"/>
      <c r="AX611" s="342"/>
      <c r="AY611" s="342"/>
      <c r="AZ611" s="342"/>
      <c r="BA611" s="342"/>
      <c r="BB611" s="342"/>
      <c r="BC611" s="342"/>
      <c r="BD611" s="342"/>
      <c r="BE611" s="342"/>
    </row>
    <row r="612" spans="1:57" ht="14.25" customHeight="1" outlineLevel="1">
      <c r="A612" s="331" t="s">
        <v>1922</v>
      </c>
      <c r="B612" s="490"/>
      <c r="C612" s="366"/>
      <c r="E612" s="362"/>
      <c r="F612" s="362"/>
      <c r="AS612" s="341"/>
      <c r="AT612" s="341"/>
      <c r="AU612" s="341"/>
      <c r="AV612" s="341"/>
      <c r="AW612" s="342"/>
      <c r="AX612" s="342"/>
      <c r="AY612" s="342"/>
      <c r="AZ612" s="342"/>
      <c r="BA612" s="342"/>
      <c r="BB612" s="342"/>
      <c r="BC612" s="342"/>
      <c r="BD612" s="342"/>
      <c r="BE612" s="342"/>
    </row>
    <row r="613" spans="1:57" ht="14.25" customHeight="1" outlineLevel="1">
      <c r="A613" s="414" t="s">
        <v>152</v>
      </c>
      <c r="B613" s="415" t="s">
        <v>1793</v>
      </c>
      <c r="C613" s="388">
        <v>1</v>
      </c>
      <c r="E613" s="362"/>
      <c r="F613" s="362"/>
      <c r="AS613" s="341"/>
      <c r="AT613" s="341"/>
      <c r="AU613" s="341"/>
      <c r="AV613" s="341"/>
      <c r="AW613" s="342"/>
      <c r="AX613" s="342"/>
      <c r="AY613" s="342"/>
      <c r="AZ613" s="342"/>
      <c r="BA613" s="342"/>
      <c r="BB613" s="342"/>
      <c r="BC613" s="342"/>
      <c r="BD613" s="342"/>
      <c r="BE613" s="342"/>
    </row>
    <row r="614" spans="1:57" ht="14.25" customHeight="1" outlineLevel="1">
      <c r="A614" s="404" t="s">
        <v>152</v>
      </c>
      <c r="B614" s="415" t="s">
        <v>1793</v>
      </c>
      <c r="C614" s="380">
        <v>0</v>
      </c>
      <c r="E614" s="362"/>
      <c r="F614" s="362"/>
      <c r="AS614" s="341"/>
      <c r="AT614" s="341"/>
      <c r="AU614" s="341"/>
      <c r="AV614" s="341"/>
      <c r="AW614" s="342"/>
      <c r="AX614" s="342"/>
      <c r="AY614" s="342"/>
      <c r="AZ614" s="342"/>
      <c r="BA614" s="342"/>
      <c r="BB614" s="342"/>
      <c r="BC614" s="342"/>
      <c r="BD614" s="342"/>
      <c r="BE614" s="342"/>
    </row>
    <row r="615" spans="1:57" ht="14.25" customHeight="1" outlineLevel="1">
      <c r="E615" s="362"/>
      <c r="F615" s="362"/>
      <c r="AS615" s="341"/>
      <c r="AT615" s="341"/>
      <c r="AU615" s="341"/>
      <c r="AV615" s="341"/>
      <c r="AW615" s="342"/>
      <c r="AX615" s="342"/>
      <c r="AY615" s="342"/>
      <c r="AZ615" s="342"/>
      <c r="BA615" s="342"/>
      <c r="BB615" s="342"/>
      <c r="BC615" s="342"/>
      <c r="BD615" s="342"/>
      <c r="BE615" s="342"/>
    </row>
    <row r="616" spans="1:57" ht="14.25" customHeight="1" outlineLevel="1">
      <c r="A616" s="416" t="s">
        <v>2120</v>
      </c>
      <c r="B616" s="415" t="s">
        <v>1796</v>
      </c>
      <c r="C616" s="501">
        <v>0</v>
      </c>
      <c r="E616" s="362"/>
      <c r="F616" s="362"/>
      <c r="AS616" s="341"/>
      <c r="AT616" s="341"/>
      <c r="AU616" s="341"/>
      <c r="AV616" s="341"/>
      <c r="AW616" s="342"/>
      <c r="AX616" s="342"/>
      <c r="AY616" s="342"/>
      <c r="AZ616" s="342"/>
      <c r="BA616" s="342"/>
      <c r="BB616" s="342"/>
      <c r="BC616" s="342"/>
      <c r="BD616" s="342"/>
      <c r="BE616" s="342"/>
    </row>
    <row r="617" spans="1:57" ht="14.25" customHeight="1">
      <c r="A617" s="3062" t="s">
        <v>2121</v>
      </c>
      <c r="B617" s="3062"/>
      <c r="C617" s="3062"/>
      <c r="D617" s="3062"/>
      <c r="E617" s="3062"/>
      <c r="F617" s="595" t="s">
        <v>1798</v>
      </c>
      <c r="AS617" s="341"/>
      <c r="AT617" s="341"/>
      <c r="AU617" s="341"/>
      <c r="AV617" s="341"/>
      <c r="AW617" s="342"/>
      <c r="AX617" s="342"/>
      <c r="AY617" s="342"/>
      <c r="AZ617" s="342"/>
      <c r="BA617" s="342"/>
      <c r="BB617" s="342"/>
      <c r="BC617" s="342"/>
      <c r="BD617" s="342"/>
      <c r="BE617" s="342"/>
    </row>
    <row r="618" spans="1:57" ht="14.25" customHeight="1">
      <c r="E618" s="362"/>
      <c r="F618" s="362"/>
      <c r="AS618" s="341"/>
      <c r="AT618" s="341"/>
      <c r="AU618" s="341"/>
      <c r="AV618" s="341"/>
      <c r="AW618" s="342"/>
      <c r="AX618" s="342"/>
      <c r="AY618" s="342"/>
      <c r="AZ618" s="342"/>
      <c r="BA618" s="342"/>
      <c r="BB618" s="342"/>
      <c r="BC618" s="342"/>
      <c r="BD618" s="342"/>
      <c r="BE618" s="342"/>
    </row>
    <row r="619" spans="1:57" ht="14.25" hidden="1" customHeight="1" outlineLevel="1">
      <c r="A619" s="3096" t="s">
        <v>2122</v>
      </c>
      <c r="B619" s="3096"/>
      <c r="C619" s="3096"/>
      <c r="D619" s="3096"/>
      <c r="E619" s="3096"/>
      <c r="J619" s="3063" t="s">
        <v>2122</v>
      </c>
      <c r="K619" s="3063"/>
      <c r="L619" s="3063"/>
      <c r="M619" s="3063"/>
      <c r="N619" s="3063"/>
      <c r="O619" s="3063"/>
      <c r="P619" s="3063"/>
      <c r="Q619" s="3063"/>
      <c r="R619" s="3063"/>
      <c r="S619" s="3063"/>
      <c r="T619" s="3063"/>
      <c r="U619" s="3063"/>
      <c r="V619" s="3063"/>
      <c r="W619" s="3063"/>
      <c r="X619" s="3063"/>
      <c r="Y619" s="3063"/>
      <c r="Z619" s="3063"/>
      <c r="AA619" s="3063"/>
      <c r="AB619" s="3063"/>
      <c r="AC619" s="3063"/>
      <c r="AD619" s="3063"/>
      <c r="AE619" s="3063"/>
      <c r="AS619" s="341"/>
      <c r="AT619" s="341"/>
      <c r="AU619" s="341"/>
      <c r="AV619" s="341"/>
      <c r="AW619" s="342"/>
      <c r="AX619" s="342"/>
      <c r="AY619" s="342"/>
      <c r="AZ619" s="342"/>
      <c r="BA619" s="342"/>
      <c r="BB619" s="342"/>
      <c r="BC619" s="342"/>
      <c r="BD619" s="342"/>
      <c r="BE619" s="342"/>
    </row>
    <row r="620" spans="1:57" ht="14.25" hidden="1" customHeight="1" outlineLevel="1">
      <c r="A620" s="354"/>
      <c r="B620" s="464"/>
      <c r="C620" s="354"/>
      <c r="D620" s="354"/>
      <c r="E620" s="354"/>
      <c r="F620" s="362"/>
      <c r="J620" s="3063"/>
      <c r="K620" s="3063"/>
      <c r="L620" s="3063"/>
      <c r="M620" s="3063"/>
      <c r="N620" s="3063"/>
      <c r="O620" s="3063"/>
      <c r="P620" s="3063"/>
      <c r="Q620" s="3063"/>
      <c r="R620" s="3063"/>
      <c r="S620" s="3063"/>
      <c r="T620" s="3063"/>
      <c r="U620" s="3063"/>
      <c r="V620" s="3063"/>
      <c r="W620" s="3063"/>
      <c r="X620" s="3063"/>
      <c r="Y620" s="3063"/>
      <c r="Z620" s="3063"/>
      <c r="AA620" s="3063"/>
      <c r="AB620" s="3063"/>
      <c r="AC620" s="3063"/>
      <c r="AD620" s="3063"/>
      <c r="AE620" s="3063"/>
      <c r="AS620" s="341"/>
      <c r="AT620" s="341"/>
      <c r="AU620" s="341"/>
      <c r="AV620" s="341"/>
      <c r="AW620" s="342"/>
      <c r="AX620" s="342"/>
      <c r="AY620" s="342"/>
      <c r="AZ620" s="342"/>
      <c r="BA620" s="342"/>
      <c r="BB620" s="342"/>
      <c r="BC620" s="342"/>
      <c r="BD620" s="342"/>
      <c r="BE620" s="342"/>
    </row>
    <row r="621" spans="1:57" ht="14.25" hidden="1" customHeight="1" outlineLevel="1">
      <c r="A621" s="3095" t="s">
        <v>2087</v>
      </c>
      <c r="B621" s="3095"/>
      <c r="C621" s="3095"/>
      <c r="D621" s="3095"/>
      <c r="E621" s="488">
        <v>1.1000000000000001</v>
      </c>
      <c r="F621" s="362"/>
      <c r="AS621" s="341"/>
      <c r="AT621" s="341"/>
      <c r="AU621" s="341"/>
      <c r="AV621" s="341"/>
      <c r="AW621" s="342"/>
      <c r="AX621" s="342"/>
      <c r="AY621" s="342"/>
      <c r="AZ621" s="342"/>
      <c r="BA621" s="342"/>
      <c r="BB621" s="342"/>
      <c r="BC621" s="342"/>
      <c r="BD621" s="342"/>
      <c r="BE621" s="342"/>
    </row>
    <row r="622" spans="1:57" ht="14.25" hidden="1" customHeight="1" outlineLevel="1">
      <c r="A622" s="3095" t="s">
        <v>2088</v>
      </c>
      <c r="B622" s="3095"/>
      <c r="C622" s="3095"/>
      <c r="D622" s="3095"/>
      <c r="E622" s="488">
        <v>1.2</v>
      </c>
      <c r="F622" s="362"/>
      <c r="AS622" s="341"/>
      <c r="AT622" s="341"/>
      <c r="AU622" s="341"/>
      <c r="AV622" s="341"/>
      <c r="AW622" s="342"/>
      <c r="AX622" s="342"/>
      <c r="AY622" s="342"/>
      <c r="AZ622" s="342"/>
      <c r="BA622" s="342"/>
      <c r="BB622" s="342"/>
      <c r="BC622" s="342"/>
      <c r="BD622" s="342"/>
      <c r="BE622" s="342"/>
    </row>
    <row r="623" spans="1:57" ht="14.25" hidden="1" customHeight="1" outlineLevel="1">
      <c r="E623" s="362"/>
      <c r="F623" s="362"/>
      <c r="I623" s="424"/>
      <c r="J623" s="354"/>
      <c r="K623" s="354"/>
      <c r="L623" s="460"/>
      <c r="M623" s="354"/>
      <c r="N623" s="354"/>
      <c r="O623" s="354"/>
      <c r="P623" s="354"/>
      <c r="Q623" s="354"/>
      <c r="AS623" s="341"/>
      <c r="AT623" s="341"/>
      <c r="AU623" s="341"/>
      <c r="AV623" s="341"/>
      <c r="AW623" s="342"/>
      <c r="AX623" s="342"/>
      <c r="AY623" s="342"/>
      <c r="AZ623" s="342"/>
      <c r="BA623" s="342"/>
      <c r="BB623" s="342"/>
      <c r="BC623" s="342"/>
      <c r="BD623" s="342"/>
      <c r="BE623" s="342"/>
    </row>
    <row r="624" spans="1:57" ht="14.25" hidden="1" customHeight="1" outlineLevel="1">
      <c r="A624" s="380" t="s">
        <v>2123</v>
      </c>
      <c r="B624" s="415" t="s">
        <v>156</v>
      </c>
      <c r="C624" s="380">
        <v>3</v>
      </c>
      <c r="E624" s="362"/>
      <c r="F624" s="362"/>
      <c r="I624" s="424"/>
      <c r="J624" s="354"/>
      <c r="K624" s="354"/>
      <c r="L624" s="460"/>
      <c r="M624" s="354"/>
      <c r="N624" s="354"/>
      <c r="O624" s="354"/>
      <c r="P624" s="354"/>
      <c r="Q624" s="354"/>
      <c r="AS624" s="341"/>
      <c r="AT624" s="341"/>
      <c r="AU624" s="341"/>
      <c r="AV624" s="341"/>
      <c r="AW624" s="342"/>
      <c r="AX624" s="342"/>
      <c r="AY624" s="342"/>
      <c r="AZ624" s="342"/>
      <c r="BA624" s="342"/>
      <c r="BB624" s="342"/>
      <c r="BC624" s="342"/>
      <c r="BD624" s="342"/>
      <c r="BE624" s="342"/>
    </row>
    <row r="625" spans="1:57" ht="14.25" hidden="1" customHeight="1" outlineLevel="1">
      <c r="A625" s="380" t="s">
        <v>2124</v>
      </c>
      <c r="B625" s="415" t="s">
        <v>156</v>
      </c>
      <c r="C625" s="380">
        <v>1</v>
      </c>
      <c r="E625" s="362"/>
      <c r="F625" s="362"/>
      <c r="I625" s="424"/>
      <c r="J625" s="354"/>
      <c r="K625" s="354"/>
      <c r="L625" s="460"/>
      <c r="M625" s="354"/>
      <c r="N625" s="354"/>
      <c r="O625" s="354"/>
      <c r="P625" s="354"/>
      <c r="Q625" s="354"/>
      <c r="AS625" s="341"/>
      <c r="AT625" s="341"/>
      <c r="AU625" s="341"/>
      <c r="AV625" s="341"/>
      <c r="AW625" s="342"/>
      <c r="AX625" s="342"/>
      <c r="AY625" s="342"/>
      <c r="AZ625" s="342"/>
      <c r="BA625" s="342"/>
      <c r="BB625" s="342"/>
      <c r="BC625" s="342"/>
      <c r="BD625" s="342"/>
      <c r="BE625" s="342"/>
    </row>
    <row r="626" spans="1:57" ht="14.25" hidden="1" customHeight="1" outlineLevel="1">
      <c r="A626" s="380" t="s">
        <v>2125</v>
      </c>
      <c r="B626" s="415" t="s">
        <v>156</v>
      </c>
      <c r="C626" s="380">
        <v>3</v>
      </c>
      <c r="E626" s="362"/>
      <c r="F626" s="362"/>
      <c r="I626" s="424"/>
      <c r="J626" s="354"/>
      <c r="K626" s="354"/>
      <c r="L626" s="460"/>
      <c r="M626" s="354"/>
      <c r="N626" s="354"/>
      <c r="O626" s="354"/>
      <c r="P626" s="354"/>
      <c r="Q626" s="354"/>
      <c r="AS626" s="341"/>
      <c r="AT626" s="341"/>
      <c r="AU626" s="341"/>
      <c r="AV626" s="341"/>
      <c r="AW626" s="342"/>
      <c r="AX626" s="342"/>
      <c r="AY626" s="342"/>
      <c r="AZ626" s="342"/>
      <c r="BA626" s="342"/>
      <c r="BB626" s="342"/>
      <c r="BC626" s="342"/>
      <c r="BD626" s="342"/>
      <c r="BE626" s="342"/>
    </row>
    <row r="627" spans="1:57" ht="14.25" hidden="1" customHeight="1" outlineLevel="1">
      <c r="A627" s="331" t="s">
        <v>2126</v>
      </c>
      <c r="B627" s="496" t="s">
        <v>156</v>
      </c>
      <c r="C627" s="596">
        <v>2.2999999999999998</v>
      </c>
      <c r="E627" s="362"/>
      <c r="F627" s="362"/>
      <c r="I627" s="424"/>
      <c r="J627" s="354"/>
      <c r="K627" s="354"/>
      <c r="L627" s="460"/>
      <c r="M627" s="354"/>
      <c r="N627" s="354"/>
      <c r="O627" s="354"/>
      <c r="P627" s="354"/>
      <c r="Q627" s="354"/>
      <c r="AS627" s="341"/>
      <c r="AT627" s="341"/>
      <c r="AU627" s="341"/>
      <c r="AV627" s="341"/>
      <c r="AW627" s="342"/>
      <c r="AX627" s="342"/>
      <c r="AY627" s="342"/>
      <c r="AZ627" s="342"/>
      <c r="BA627" s="342"/>
      <c r="BB627" s="342"/>
      <c r="BC627" s="342"/>
      <c r="BD627" s="342"/>
      <c r="BE627" s="342"/>
    </row>
    <row r="628" spans="1:57" ht="14.25" hidden="1" customHeight="1" outlineLevel="1">
      <c r="A628" s="380" t="s">
        <v>2127</v>
      </c>
      <c r="B628" s="415" t="s">
        <v>156</v>
      </c>
      <c r="C628" s="380">
        <v>0.4</v>
      </c>
      <c r="F628" s="362"/>
      <c r="I628" s="424"/>
      <c r="J628" s="354"/>
      <c r="K628" s="354"/>
      <c r="L628" s="460"/>
      <c r="M628" s="354"/>
      <c r="N628" s="354"/>
      <c r="O628" s="354"/>
      <c r="P628" s="354"/>
      <c r="Q628" s="354"/>
      <c r="AS628" s="341"/>
      <c r="AT628" s="341"/>
      <c r="AU628" s="341"/>
      <c r="AV628" s="341"/>
      <c r="AW628" s="342"/>
      <c r="AX628" s="342"/>
      <c r="AY628" s="342"/>
      <c r="AZ628" s="342"/>
      <c r="BA628" s="342"/>
      <c r="BB628" s="342"/>
      <c r="BC628" s="342"/>
      <c r="BD628" s="342"/>
      <c r="BE628" s="342"/>
    </row>
    <row r="629" spans="1:57" ht="14.25" hidden="1" customHeight="1" outlineLevel="1">
      <c r="A629" s="380" t="s">
        <v>2128</v>
      </c>
      <c r="B629" s="415" t="s">
        <v>156</v>
      </c>
      <c r="C629" s="380">
        <v>0.4</v>
      </c>
      <c r="F629" s="362"/>
      <c r="I629" s="424"/>
      <c r="J629" s="354"/>
      <c r="K629" s="354"/>
      <c r="L629" s="460"/>
      <c r="M629" s="354"/>
      <c r="N629" s="354"/>
      <c r="O629" s="354"/>
      <c r="P629" s="354"/>
      <c r="Q629" s="354"/>
      <c r="AS629" s="341"/>
      <c r="AT629" s="341"/>
      <c r="AU629" s="341"/>
      <c r="AV629" s="341"/>
      <c r="AW629" s="342"/>
      <c r="AX629" s="342"/>
      <c r="AY629" s="342"/>
      <c r="AZ629" s="342"/>
      <c r="BA629" s="342"/>
      <c r="BB629" s="342"/>
      <c r="BC629" s="342"/>
      <c r="BD629" s="342"/>
      <c r="BE629" s="342"/>
    </row>
    <row r="630" spans="1:57" ht="14.25" hidden="1" customHeight="1" outlineLevel="1">
      <c r="A630" s="331" t="s">
        <v>2129</v>
      </c>
      <c r="B630" s="415" t="s">
        <v>156</v>
      </c>
      <c r="C630" s="597">
        <v>1</v>
      </c>
      <c r="E630" s="362"/>
      <c r="F630" s="362"/>
      <c r="I630" s="424"/>
      <c r="J630" s="354"/>
      <c r="K630" s="354"/>
      <c r="L630" s="460"/>
      <c r="M630" s="354"/>
      <c r="N630" s="354"/>
      <c r="O630" s="354"/>
      <c r="P630" s="354"/>
      <c r="Q630" s="354"/>
      <c r="AS630" s="341"/>
      <c r="AT630" s="341"/>
      <c r="AU630" s="341"/>
      <c r="AV630" s="341"/>
      <c r="AW630" s="342"/>
      <c r="AX630" s="342"/>
      <c r="AY630" s="342"/>
      <c r="AZ630" s="342"/>
      <c r="BA630" s="342"/>
      <c r="BB630" s="342"/>
      <c r="BC630" s="342"/>
      <c r="BD630" s="342"/>
      <c r="BE630" s="342"/>
    </row>
    <row r="631" spans="1:57" ht="14.25" hidden="1" customHeight="1" outlineLevel="1">
      <c r="A631" s="598" t="s">
        <v>2130</v>
      </c>
      <c r="B631" s="599" t="s">
        <v>159</v>
      </c>
      <c r="C631" s="598">
        <v>3</v>
      </c>
      <c r="E631" s="362"/>
      <c r="F631" s="3105" t="s">
        <v>2096</v>
      </c>
      <c r="G631" s="3105"/>
      <c r="I631" s="424"/>
      <c r="J631" s="354"/>
      <c r="K631" s="354"/>
      <c r="L631" s="460"/>
      <c r="M631" s="354"/>
      <c r="N631" s="354"/>
      <c r="O631" s="354"/>
      <c r="P631" s="354"/>
      <c r="Q631" s="354"/>
      <c r="AS631" s="341"/>
      <c r="AT631" s="341"/>
      <c r="AU631" s="341"/>
      <c r="AV631" s="341"/>
      <c r="AW631" s="342"/>
      <c r="AX631" s="342"/>
      <c r="AY631" s="342"/>
      <c r="AZ631" s="342"/>
      <c r="BA631" s="342"/>
      <c r="BB631" s="342"/>
      <c r="BC631" s="342"/>
      <c r="BD631" s="342"/>
      <c r="BE631" s="342"/>
    </row>
    <row r="632" spans="1:57" ht="14.25" hidden="1" customHeight="1" outlineLevel="1">
      <c r="A632" s="598" t="s">
        <v>2131</v>
      </c>
      <c r="B632" s="413" t="s">
        <v>208</v>
      </c>
      <c r="C632" s="413" t="s">
        <v>293</v>
      </c>
      <c r="D632" s="413" t="s">
        <v>1800</v>
      </c>
      <c r="E632" s="362"/>
      <c r="F632" s="3105"/>
      <c r="G632" s="3105"/>
      <c r="I632" s="424"/>
      <c r="J632" s="354"/>
      <c r="K632" s="354"/>
      <c r="L632" s="460"/>
      <c r="M632" s="354"/>
      <c r="N632" s="354"/>
      <c r="O632" s="354"/>
      <c r="P632" s="354"/>
      <c r="Q632" s="354"/>
      <c r="AS632" s="341"/>
      <c r="AT632" s="341"/>
      <c r="AU632" s="341"/>
      <c r="AV632" s="341"/>
      <c r="AW632" s="342"/>
      <c r="AX632" s="342"/>
      <c r="AY632" s="342"/>
      <c r="AZ632" s="342"/>
      <c r="BA632" s="342"/>
      <c r="BB632" s="342"/>
      <c r="BC632" s="342"/>
      <c r="BD632" s="342"/>
      <c r="BE632" s="342"/>
    </row>
    <row r="633" spans="1:57" ht="14.25" hidden="1" customHeight="1" outlineLevel="1">
      <c r="A633" s="596"/>
      <c r="B633" s="600" t="s">
        <v>156</v>
      </c>
      <c r="C633" s="601">
        <v>0.2</v>
      </c>
      <c r="D633" s="380">
        <v>0.4</v>
      </c>
      <c r="E633" s="362"/>
      <c r="F633" s="3105"/>
      <c r="G633" s="3105"/>
      <c r="I633" s="424"/>
      <c r="J633" s="354"/>
      <c r="K633" s="354"/>
      <c r="L633" s="460"/>
      <c r="M633" s="354"/>
      <c r="N633" s="354"/>
      <c r="O633" s="354"/>
      <c r="P633" s="354"/>
      <c r="Q633" s="354"/>
      <c r="AS633" s="341"/>
      <c r="AT633" s="341"/>
      <c r="AU633" s="341"/>
      <c r="AV633" s="341"/>
      <c r="AW633" s="342"/>
      <c r="AX633" s="342"/>
      <c r="AY633" s="342"/>
      <c r="AZ633" s="342"/>
      <c r="BA633" s="342"/>
      <c r="BB633" s="342"/>
      <c r="BC633" s="342"/>
      <c r="BD633" s="342"/>
      <c r="BE633" s="342"/>
    </row>
    <row r="634" spans="1:57" ht="14.25" hidden="1" customHeight="1" outlineLevel="1">
      <c r="A634" s="331" t="s">
        <v>2132</v>
      </c>
      <c r="B634" s="413" t="s">
        <v>208</v>
      </c>
      <c r="C634" s="413" t="s">
        <v>293</v>
      </c>
      <c r="D634" s="413" t="s">
        <v>1802</v>
      </c>
      <c r="E634" s="362"/>
      <c r="F634" s="3105"/>
      <c r="G634" s="3105"/>
      <c r="I634" s="424"/>
      <c r="J634" s="354"/>
      <c r="K634" s="354"/>
      <c r="L634" s="460"/>
      <c r="M634" s="354"/>
      <c r="N634" s="354"/>
      <c r="O634" s="354"/>
      <c r="P634" s="354"/>
      <c r="Q634" s="354"/>
      <c r="AS634" s="341"/>
      <c r="AT634" s="341"/>
      <c r="AU634" s="341"/>
      <c r="AV634" s="341"/>
      <c r="AW634" s="342"/>
      <c r="AX634" s="342"/>
      <c r="AY634" s="342"/>
      <c r="AZ634" s="342"/>
      <c r="BA634" s="342"/>
      <c r="BB634" s="342"/>
      <c r="BC634" s="342"/>
      <c r="BD634" s="342"/>
      <c r="BE634" s="342"/>
    </row>
    <row r="635" spans="1:57" ht="14.25" hidden="1" customHeight="1" outlineLevel="1">
      <c r="A635" s="414" t="s">
        <v>294</v>
      </c>
      <c r="B635" s="413" t="s">
        <v>156</v>
      </c>
      <c r="C635" s="380">
        <v>2.5</v>
      </c>
      <c r="D635" s="380">
        <v>2</v>
      </c>
      <c r="F635" s="3105"/>
      <c r="G635" s="3105"/>
      <c r="I635" s="424"/>
      <c r="J635" s="354"/>
      <c r="K635" s="354"/>
      <c r="L635" s="460"/>
      <c r="M635" s="354"/>
      <c r="N635" s="354"/>
      <c r="O635" s="354"/>
      <c r="P635" s="354"/>
      <c r="Q635" s="354"/>
      <c r="AS635" s="341"/>
      <c r="AT635" s="341"/>
      <c r="AU635" s="341"/>
      <c r="AV635" s="341"/>
      <c r="AW635" s="342"/>
      <c r="AX635" s="342"/>
      <c r="AY635" s="342"/>
      <c r="AZ635" s="342"/>
      <c r="BA635" s="342"/>
      <c r="BB635" s="342"/>
      <c r="BC635" s="342"/>
      <c r="BD635" s="342"/>
      <c r="BE635" s="342"/>
    </row>
    <row r="636" spans="1:57" ht="14.25" hidden="1" customHeight="1" outlineLevel="1">
      <c r="A636" s="331" t="s">
        <v>2080</v>
      </c>
      <c r="I636" s="424"/>
      <c r="J636" s="354"/>
      <c r="K636" s="354"/>
      <c r="L636" s="460"/>
      <c r="M636" s="354"/>
      <c r="N636" s="354"/>
      <c r="O636" s="354"/>
      <c r="P636" s="354"/>
      <c r="Q636" s="354"/>
      <c r="AS636" s="341"/>
      <c r="AT636" s="341"/>
      <c r="AU636" s="341"/>
      <c r="AV636" s="341"/>
      <c r="AW636" s="342"/>
      <c r="AX636" s="342"/>
      <c r="AY636" s="342"/>
      <c r="AZ636" s="342"/>
      <c r="BA636" s="342"/>
      <c r="BB636" s="342"/>
      <c r="BC636" s="342"/>
      <c r="BD636" s="342"/>
      <c r="BE636" s="342"/>
    </row>
    <row r="637" spans="1:57" ht="14.25" hidden="1" customHeight="1" outlineLevel="1">
      <c r="A637" s="483" t="s">
        <v>343</v>
      </c>
      <c r="I637" s="424"/>
      <c r="J637" s="354"/>
      <c r="K637" s="354"/>
      <c r="L637" s="460"/>
      <c r="M637" s="354"/>
      <c r="N637" s="354"/>
      <c r="O637" s="354"/>
      <c r="P637" s="354"/>
      <c r="Q637" s="354"/>
      <c r="AS637" s="341"/>
      <c r="AT637" s="341"/>
      <c r="AU637" s="341"/>
      <c r="AV637" s="341"/>
      <c r="AW637" s="342"/>
      <c r="AX637" s="342"/>
      <c r="AY637" s="342"/>
      <c r="AZ637" s="342"/>
      <c r="BA637" s="342"/>
      <c r="BB637" s="342"/>
      <c r="BC637" s="342"/>
      <c r="BD637" s="342"/>
      <c r="BE637" s="342"/>
    </row>
    <row r="638" spans="1:57" ht="14.25" hidden="1" customHeight="1" outlineLevel="1">
      <c r="A638" s="331" t="s">
        <v>2081</v>
      </c>
      <c r="I638" s="424"/>
      <c r="J638" s="354"/>
      <c r="K638" s="354"/>
      <c r="L638" s="460"/>
      <c r="M638" s="354"/>
      <c r="N638" s="354"/>
      <c r="O638" s="354"/>
      <c r="P638" s="354"/>
      <c r="Q638" s="354"/>
      <c r="AS638" s="341"/>
      <c r="AT638" s="341"/>
      <c r="AU638" s="341"/>
      <c r="AV638" s="341"/>
      <c r="AW638" s="342"/>
      <c r="AX638" s="342"/>
      <c r="AY638" s="342"/>
      <c r="AZ638" s="342"/>
      <c r="BA638" s="342"/>
      <c r="BB638" s="342"/>
      <c r="BC638" s="342"/>
      <c r="BD638" s="342"/>
      <c r="BE638" s="342"/>
    </row>
    <row r="639" spans="1:57" ht="14.25" hidden="1" customHeight="1" outlineLevel="1">
      <c r="A639" s="483" t="s">
        <v>339</v>
      </c>
      <c r="I639" s="424"/>
      <c r="J639" s="354"/>
      <c r="K639" s="354"/>
      <c r="L639" s="460"/>
      <c r="M639" s="354"/>
      <c r="N639" s="354"/>
      <c r="O639" s="354"/>
      <c r="P639" s="354"/>
      <c r="Q639" s="354"/>
      <c r="AS639" s="341"/>
      <c r="AT639" s="341"/>
      <c r="AU639" s="341"/>
      <c r="AV639" s="341"/>
      <c r="AW639" s="342"/>
      <c r="AX639" s="342"/>
      <c r="AY639" s="342"/>
      <c r="AZ639" s="342"/>
      <c r="BA639" s="342"/>
      <c r="BB639" s="342"/>
      <c r="BC639" s="342"/>
      <c r="BD639" s="342"/>
      <c r="BE639" s="342"/>
    </row>
    <row r="640" spans="1:57" ht="14.25" hidden="1" customHeight="1" outlineLevel="1">
      <c r="A640" s="331" t="s">
        <v>2082</v>
      </c>
      <c r="E640" s="362"/>
      <c r="I640" s="424"/>
      <c r="J640" s="354"/>
      <c r="K640" s="354"/>
      <c r="L640" s="460"/>
      <c r="M640" s="354"/>
      <c r="N640" s="354"/>
      <c r="O640" s="354"/>
      <c r="P640" s="354"/>
      <c r="Q640" s="354"/>
      <c r="AS640" s="341"/>
      <c r="AT640" s="341"/>
      <c r="AU640" s="341"/>
      <c r="AV640" s="341"/>
      <c r="AW640" s="342"/>
      <c r="AX640" s="342"/>
      <c r="AY640" s="342"/>
      <c r="AZ640" s="342"/>
      <c r="BA640" s="342"/>
      <c r="BB640" s="342"/>
      <c r="BC640" s="342"/>
      <c r="BD640" s="342"/>
      <c r="BE640" s="342"/>
    </row>
    <row r="641" spans="1:57" ht="14.25" hidden="1" customHeight="1" outlineLevel="1">
      <c r="A641" s="493" t="s">
        <v>381</v>
      </c>
      <c r="E641" s="362"/>
      <c r="F641" s="362"/>
      <c r="I641" s="424"/>
      <c r="J641" s="354"/>
      <c r="K641" s="354"/>
      <c r="L641" s="460"/>
      <c r="M641" s="354"/>
      <c r="N641" s="354"/>
      <c r="O641" s="354"/>
      <c r="P641" s="354"/>
      <c r="Q641" s="354"/>
      <c r="AS641" s="341"/>
      <c r="AT641" s="341"/>
      <c r="AU641" s="341"/>
      <c r="AV641" s="341"/>
      <c r="AW641" s="342"/>
      <c r="AX641" s="342"/>
      <c r="AY641" s="342"/>
      <c r="AZ641" s="342"/>
      <c r="BA641" s="342"/>
      <c r="BB641" s="342"/>
      <c r="BC641" s="342"/>
      <c r="BD641" s="342"/>
      <c r="BE641" s="342"/>
    </row>
    <row r="642" spans="1:57" ht="14.25" hidden="1" customHeight="1" outlineLevel="1">
      <c r="A642" s="478" t="s">
        <v>2110</v>
      </c>
      <c r="B642" s="413" t="s">
        <v>208</v>
      </c>
      <c r="C642" s="438" t="s">
        <v>853</v>
      </c>
      <c r="D642" s="413" t="s">
        <v>1802</v>
      </c>
      <c r="E642" s="362"/>
      <c r="F642" s="362"/>
      <c r="I642" s="424"/>
      <c r="J642" s="354"/>
      <c r="K642" s="354"/>
      <c r="L642" s="460"/>
      <c r="M642" s="354"/>
      <c r="N642" s="354"/>
      <c r="O642" s="354"/>
      <c r="P642" s="354"/>
      <c r="Q642" s="354"/>
      <c r="AS642" s="341"/>
      <c r="AT642" s="341"/>
      <c r="AU642" s="341"/>
      <c r="AV642" s="341"/>
      <c r="AW642" s="342"/>
      <c r="AX642" s="342"/>
      <c r="AY642" s="342"/>
      <c r="AZ642" s="342"/>
      <c r="BA642" s="342"/>
      <c r="BB642" s="342"/>
      <c r="BC642" s="342"/>
      <c r="BD642" s="342"/>
      <c r="BE642" s="342"/>
    </row>
    <row r="643" spans="1:57" ht="14.25" hidden="1" customHeight="1" outlineLevel="1">
      <c r="A643" s="483" t="s">
        <v>295</v>
      </c>
      <c r="B643" s="438" t="s">
        <v>156</v>
      </c>
      <c r="C643" s="507">
        <v>2</v>
      </c>
      <c r="D643" s="380">
        <v>4</v>
      </c>
      <c r="F643" s="362"/>
      <c r="I643" s="424"/>
      <c r="J643" s="354"/>
      <c r="K643" s="354"/>
      <c r="L643" s="460"/>
      <c r="M643" s="354"/>
      <c r="N643" s="354"/>
      <c r="O643" s="354"/>
      <c r="P643" s="354"/>
      <c r="Q643" s="354"/>
      <c r="AS643" s="341"/>
      <c r="AT643" s="341"/>
      <c r="AU643" s="341"/>
      <c r="AV643" s="341"/>
      <c r="AW643" s="342"/>
      <c r="AX643" s="342"/>
      <c r="AY643" s="342"/>
      <c r="AZ643" s="342"/>
      <c r="BA643" s="342"/>
      <c r="BB643" s="342"/>
      <c r="BC643" s="342"/>
      <c r="BD643" s="342"/>
      <c r="BE643" s="342"/>
    </row>
    <row r="644" spans="1:57" ht="14.25" hidden="1" customHeight="1" outlineLevel="1">
      <c r="F644" s="362"/>
      <c r="I644" s="424"/>
      <c r="J644" s="354"/>
      <c r="K644" s="354"/>
      <c r="L644" s="460"/>
      <c r="M644" s="354"/>
      <c r="N644" s="354"/>
      <c r="O644" s="354"/>
      <c r="P644" s="354"/>
      <c r="Q644" s="354"/>
      <c r="AS644" s="341"/>
      <c r="AT644" s="341"/>
      <c r="AU644" s="341"/>
      <c r="AV644" s="341"/>
      <c r="AW644" s="342"/>
      <c r="AX644" s="342"/>
      <c r="AY644" s="342"/>
      <c r="AZ644" s="342"/>
      <c r="BA644" s="342"/>
      <c r="BB644" s="342"/>
      <c r="BC644" s="342"/>
      <c r="BD644" s="342"/>
      <c r="BE644" s="342"/>
    </row>
    <row r="645" spans="1:57" ht="14.25" hidden="1" customHeight="1" outlineLevel="1">
      <c r="A645" s="331" t="s">
        <v>2113</v>
      </c>
      <c r="I645" s="424"/>
      <c r="J645" s="354"/>
      <c r="K645" s="354"/>
      <c r="L645" s="460"/>
      <c r="M645" s="354"/>
      <c r="N645" s="354"/>
      <c r="O645" s="354"/>
      <c r="P645" s="354"/>
      <c r="Q645" s="354"/>
      <c r="AS645" s="341"/>
      <c r="AT645" s="341"/>
      <c r="AU645" s="341"/>
      <c r="AV645" s="341"/>
      <c r="AW645" s="342"/>
      <c r="AX645" s="342"/>
      <c r="AY645" s="342"/>
      <c r="AZ645" s="342"/>
      <c r="BA645" s="342"/>
      <c r="BB645" s="342"/>
      <c r="BC645" s="342"/>
      <c r="BD645" s="342"/>
      <c r="BE645" s="342"/>
    </row>
    <row r="646" spans="1:57" ht="14.25" hidden="1" customHeight="1" outlineLevel="1">
      <c r="A646" s="477" t="s">
        <v>2133</v>
      </c>
      <c r="I646" s="424"/>
      <c r="J646" s="354"/>
      <c r="K646" s="354"/>
      <c r="L646" s="460"/>
      <c r="M646" s="354"/>
      <c r="N646" s="354"/>
      <c r="O646" s="354"/>
      <c r="P646" s="354"/>
      <c r="Q646" s="354"/>
      <c r="AS646" s="341"/>
      <c r="AT646" s="341"/>
      <c r="AU646" s="341"/>
      <c r="AV646" s="341"/>
      <c r="AW646" s="342"/>
      <c r="AX646" s="342"/>
      <c r="AY646" s="342"/>
      <c r="AZ646" s="342"/>
      <c r="BA646" s="342"/>
      <c r="BB646" s="342"/>
      <c r="BC646" s="342"/>
      <c r="BD646" s="342"/>
      <c r="BE646" s="342"/>
    </row>
    <row r="647" spans="1:57" ht="14.25" hidden="1" customHeight="1" outlineLevel="1">
      <c r="A647" s="331" t="s">
        <v>1889</v>
      </c>
      <c r="I647" s="424"/>
      <c r="J647" s="354"/>
      <c r="K647" s="354"/>
      <c r="L647" s="460"/>
      <c r="M647" s="354"/>
      <c r="N647" s="354"/>
      <c r="O647" s="354"/>
      <c r="P647" s="354"/>
      <c r="Q647" s="354"/>
      <c r="AS647" s="341"/>
      <c r="AT647" s="341"/>
      <c r="AU647" s="341"/>
      <c r="AV647" s="341"/>
      <c r="AW647" s="342"/>
      <c r="AX647" s="342"/>
      <c r="AY647" s="342"/>
      <c r="AZ647" s="342"/>
      <c r="BA647" s="342"/>
      <c r="BB647" s="342"/>
      <c r="BC647" s="342"/>
      <c r="BD647" s="342"/>
      <c r="BE647" s="342"/>
    </row>
    <row r="648" spans="1:57" ht="14.25" hidden="1" customHeight="1" outlineLevel="1">
      <c r="A648" s="477" t="s">
        <v>1890</v>
      </c>
      <c r="E648" s="362"/>
      <c r="F648" s="3105" t="s">
        <v>2112</v>
      </c>
      <c r="G648" s="3105"/>
      <c r="I648" s="424"/>
      <c r="J648" s="354"/>
      <c r="K648" s="354"/>
      <c r="L648" s="460"/>
      <c r="M648" s="354"/>
      <c r="N648" s="354"/>
      <c r="O648" s="354"/>
      <c r="P648" s="354"/>
      <c r="Q648" s="354"/>
      <c r="AS648" s="341"/>
      <c r="AT648" s="341"/>
      <c r="AU648" s="341"/>
      <c r="AV648" s="341"/>
      <c r="AW648" s="342"/>
      <c r="AX648" s="342"/>
      <c r="AY648" s="342"/>
      <c r="AZ648" s="342"/>
      <c r="BA648" s="342"/>
      <c r="BB648" s="342"/>
      <c r="BC648" s="342"/>
      <c r="BD648" s="342"/>
      <c r="BE648" s="342"/>
    </row>
    <row r="649" spans="1:57" ht="14.25" hidden="1" customHeight="1" outlineLevel="1">
      <c r="A649" s="331" t="s">
        <v>1907</v>
      </c>
      <c r="E649" s="362"/>
      <c r="F649" s="3105"/>
      <c r="G649" s="3105"/>
      <c r="I649" s="424"/>
      <c r="J649" s="354"/>
      <c r="K649" s="354"/>
      <c r="L649" s="460"/>
      <c r="M649" s="354"/>
      <c r="N649" s="354"/>
      <c r="O649" s="354"/>
      <c r="P649" s="354"/>
      <c r="Q649" s="354"/>
      <c r="AS649" s="341"/>
      <c r="AT649" s="341"/>
      <c r="AU649" s="341"/>
      <c r="AV649" s="341"/>
      <c r="AW649" s="342"/>
      <c r="AX649" s="342"/>
      <c r="AY649" s="342"/>
      <c r="AZ649" s="342"/>
      <c r="BA649" s="342"/>
      <c r="BB649" s="342"/>
      <c r="BC649" s="342"/>
      <c r="BD649" s="342"/>
      <c r="BE649" s="342"/>
    </row>
    <row r="650" spans="1:57" ht="14.25" hidden="1" customHeight="1" outlineLevel="1">
      <c r="A650" s="489" t="s">
        <v>2134</v>
      </c>
      <c r="E650" s="362"/>
      <c r="F650" s="3105"/>
      <c r="G650" s="3105"/>
      <c r="I650" s="424"/>
      <c r="J650" s="354"/>
      <c r="K650" s="354"/>
      <c r="L650" s="460"/>
      <c r="M650" s="354"/>
      <c r="N650" s="354"/>
      <c r="O650" s="354"/>
      <c r="P650" s="354"/>
      <c r="Q650" s="354"/>
      <c r="AS650" s="341"/>
      <c r="AT650" s="341"/>
      <c r="AU650" s="341"/>
      <c r="AV650" s="341"/>
      <c r="AW650" s="342"/>
      <c r="AX650" s="342"/>
      <c r="AY650" s="342"/>
      <c r="AZ650" s="342"/>
      <c r="BA650" s="342"/>
      <c r="BB650" s="342"/>
      <c r="BC650" s="342"/>
      <c r="BD650" s="342"/>
      <c r="BE650" s="342"/>
    </row>
    <row r="651" spans="1:57" ht="14.25" hidden="1" customHeight="1" outlineLevel="1">
      <c r="A651" s="331" t="s">
        <v>1909</v>
      </c>
      <c r="E651" s="362"/>
      <c r="F651" s="3105"/>
      <c r="G651" s="3105"/>
      <c r="I651" s="424"/>
      <c r="J651" s="354"/>
      <c r="K651" s="354"/>
      <c r="L651" s="460"/>
      <c r="M651" s="354"/>
      <c r="N651" s="354"/>
      <c r="O651" s="354"/>
      <c r="P651" s="354"/>
      <c r="Q651" s="354"/>
      <c r="AS651" s="341"/>
      <c r="AT651" s="341"/>
      <c r="AU651" s="341"/>
      <c r="AV651" s="341"/>
      <c r="AW651" s="342"/>
      <c r="AX651" s="342"/>
      <c r="AY651" s="342"/>
      <c r="AZ651" s="342"/>
      <c r="BA651" s="342"/>
      <c r="BB651" s="342"/>
      <c r="BC651" s="342"/>
      <c r="BD651" s="342"/>
      <c r="BE651" s="342"/>
    </row>
    <row r="652" spans="1:57" ht="14.25" hidden="1" customHeight="1" outlineLevel="1">
      <c r="A652" s="491" t="s">
        <v>270</v>
      </c>
      <c r="E652" s="362"/>
      <c r="F652" s="3105"/>
      <c r="G652" s="3105"/>
      <c r="I652" s="424"/>
      <c r="J652" s="354"/>
      <c r="K652" s="354"/>
      <c r="L652" s="460"/>
      <c r="M652" s="354"/>
      <c r="N652" s="354"/>
      <c r="O652" s="354"/>
      <c r="P652" s="354"/>
      <c r="Q652" s="354"/>
      <c r="AS652" s="341"/>
      <c r="AT652" s="341"/>
      <c r="AU652" s="341"/>
      <c r="AV652" s="341"/>
      <c r="AW652" s="342"/>
      <c r="AX652" s="342"/>
      <c r="AY652" s="342"/>
      <c r="AZ652" s="342"/>
      <c r="BA652" s="342"/>
      <c r="BB652" s="342"/>
      <c r="BC652" s="342"/>
      <c r="BD652" s="342"/>
      <c r="BE652" s="342"/>
    </row>
    <row r="653" spans="1:57" ht="14.25" hidden="1" customHeight="1" outlineLevel="1">
      <c r="A653" s="331" t="s">
        <v>1910</v>
      </c>
      <c r="E653" s="362"/>
      <c r="F653" s="362"/>
      <c r="I653" s="424"/>
      <c r="J653" s="354"/>
      <c r="K653" s="354"/>
      <c r="L653" s="460"/>
      <c r="M653" s="354"/>
      <c r="N653" s="354"/>
      <c r="O653" s="354"/>
      <c r="P653" s="354"/>
      <c r="Q653" s="354"/>
      <c r="AS653" s="341"/>
      <c r="AT653" s="341"/>
      <c r="AU653" s="341"/>
      <c r="AV653" s="341"/>
      <c r="AW653" s="342"/>
      <c r="AX653" s="342"/>
      <c r="AY653" s="342"/>
      <c r="AZ653" s="342"/>
      <c r="BA653" s="342"/>
      <c r="BB653" s="342"/>
      <c r="BC653" s="342"/>
      <c r="BD653" s="342"/>
      <c r="BE653" s="342"/>
    </row>
    <row r="654" spans="1:57" ht="14.25" hidden="1" customHeight="1" outlineLevel="1">
      <c r="A654" s="491" t="s">
        <v>493</v>
      </c>
      <c r="E654" s="362"/>
      <c r="F654" s="362"/>
      <c r="I654" s="424"/>
      <c r="J654" s="354"/>
      <c r="K654" s="354"/>
      <c r="L654" s="460"/>
      <c r="M654" s="354"/>
      <c r="N654" s="354"/>
      <c r="O654" s="354"/>
      <c r="P654" s="354"/>
      <c r="Q654" s="354"/>
      <c r="AS654" s="341"/>
      <c r="AT654" s="341"/>
      <c r="AU654" s="341"/>
      <c r="AV654" s="341"/>
      <c r="AW654" s="342"/>
      <c r="AX654" s="342"/>
      <c r="AY654" s="342"/>
      <c r="AZ654" s="342"/>
      <c r="BA654" s="342"/>
      <c r="BB654" s="342"/>
      <c r="BC654" s="342"/>
      <c r="BD654" s="342"/>
      <c r="BE654" s="342"/>
    </row>
    <row r="655" spans="1:57" ht="14.25" hidden="1" customHeight="1" outlineLevel="1">
      <c r="A655" s="331" t="s">
        <v>1911</v>
      </c>
      <c r="E655" s="362"/>
      <c r="F655" s="362"/>
      <c r="I655" s="424"/>
      <c r="J655" s="354"/>
      <c r="K655" s="354"/>
      <c r="L655" s="460"/>
      <c r="M655" s="354"/>
      <c r="N655" s="354"/>
      <c r="O655" s="354"/>
      <c r="P655" s="354"/>
      <c r="Q655" s="354"/>
      <c r="AS655" s="341"/>
      <c r="AT655" s="341"/>
      <c r="AU655" s="341"/>
      <c r="AV655" s="341"/>
      <c r="AW655" s="342"/>
      <c r="AX655" s="342"/>
      <c r="AY655" s="342"/>
      <c r="AZ655" s="342"/>
      <c r="BA655" s="342"/>
      <c r="BB655" s="342"/>
      <c r="BC655" s="342"/>
      <c r="BD655" s="342"/>
      <c r="BE655" s="342"/>
    </row>
    <row r="656" spans="1:57" ht="14.25" hidden="1" customHeight="1" outlineLevel="1">
      <c r="A656" s="493" t="s">
        <v>493</v>
      </c>
      <c r="E656" s="362"/>
      <c r="F656" s="362"/>
      <c r="I656" s="424"/>
      <c r="J656" s="354"/>
      <c r="K656" s="354"/>
      <c r="L656" s="460"/>
      <c r="M656" s="354"/>
      <c r="N656" s="354"/>
      <c r="O656" s="354"/>
      <c r="P656" s="354"/>
      <c r="Q656" s="354"/>
      <c r="AS656" s="341"/>
      <c r="AT656" s="341"/>
      <c r="AU656" s="341"/>
      <c r="AV656" s="341"/>
      <c r="AW656" s="342"/>
      <c r="AX656" s="342"/>
      <c r="AY656" s="342"/>
      <c r="AZ656" s="342"/>
      <c r="BA656" s="342"/>
      <c r="BB656" s="342"/>
      <c r="BC656" s="342"/>
      <c r="BD656" s="342"/>
      <c r="BE656" s="342"/>
    </row>
    <row r="657" spans="1:57" ht="14.25" hidden="1" customHeight="1" outlineLevel="1">
      <c r="A657" s="331" t="s">
        <v>1917</v>
      </c>
      <c r="E657" s="362"/>
      <c r="AS657" s="341"/>
      <c r="AT657" s="341"/>
      <c r="AU657" s="341"/>
      <c r="AV657" s="341"/>
      <c r="AW657" s="342"/>
      <c r="AX657" s="342"/>
      <c r="AY657" s="342"/>
      <c r="AZ657" s="342"/>
      <c r="BA657" s="342"/>
      <c r="BB657" s="342"/>
      <c r="BC657" s="342"/>
      <c r="BD657" s="342"/>
      <c r="BE657" s="342"/>
    </row>
    <row r="658" spans="1:57" ht="14.25" hidden="1" customHeight="1" outlineLevel="1">
      <c r="A658" s="491" t="s">
        <v>2135</v>
      </c>
      <c r="E658" s="362"/>
      <c r="AS658" s="341"/>
      <c r="AT658" s="341"/>
      <c r="AU658" s="341"/>
      <c r="AV658" s="341"/>
      <c r="AW658" s="342"/>
      <c r="AX658" s="342"/>
      <c r="AY658" s="342"/>
      <c r="AZ658" s="342"/>
      <c r="BA658" s="342"/>
      <c r="BB658" s="342"/>
      <c r="BC658" s="342"/>
      <c r="BD658" s="342"/>
      <c r="BE658" s="342"/>
    </row>
    <row r="659" spans="1:57" ht="14.25" hidden="1" customHeight="1" outlineLevel="1">
      <c r="E659" s="362"/>
      <c r="J659" s="424"/>
      <c r="K659" s="354"/>
      <c r="L659" s="354"/>
      <c r="M659" s="460"/>
      <c r="N659" s="354"/>
      <c r="O659" s="354"/>
      <c r="P659" s="354"/>
      <c r="Q659" s="354"/>
      <c r="R659" s="354"/>
      <c r="AS659" s="341"/>
      <c r="AT659" s="341"/>
      <c r="AU659" s="341"/>
      <c r="AV659" s="341"/>
      <c r="AW659" s="342"/>
      <c r="AX659" s="342"/>
      <c r="AY659" s="342"/>
      <c r="AZ659" s="342"/>
      <c r="BA659" s="342"/>
      <c r="BB659" s="342"/>
      <c r="BC659" s="342"/>
      <c r="BD659" s="342"/>
      <c r="BE659" s="342"/>
    </row>
    <row r="660" spans="1:57" ht="14.25" hidden="1" customHeight="1" outlineLevel="1">
      <c r="A660" s="331" t="s">
        <v>2136</v>
      </c>
      <c r="E660" s="362"/>
      <c r="J660" s="424"/>
      <c r="K660" s="354"/>
      <c r="L660" s="354"/>
      <c r="M660" s="460"/>
      <c r="N660" s="354"/>
      <c r="O660" s="354"/>
      <c r="P660" s="354"/>
      <c r="Q660" s="354"/>
      <c r="R660" s="354"/>
      <c r="AS660" s="341"/>
      <c r="AT660" s="341"/>
      <c r="AU660" s="341"/>
      <c r="AV660" s="341"/>
      <c r="AW660" s="342"/>
      <c r="AX660" s="342"/>
      <c r="AY660" s="342"/>
      <c r="AZ660" s="342"/>
      <c r="BA660" s="342"/>
      <c r="BB660" s="342"/>
      <c r="BC660" s="342"/>
      <c r="BD660" s="342"/>
      <c r="BE660" s="342"/>
    </row>
    <row r="661" spans="1:57" ht="14.25" hidden="1" customHeight="1" outlineLevel="1">
      <c r="A661" s="493" t="s">
        <v>2098</v>
      </c>
      <c r="E661" s="362"/>
      <c r="J661" s="424"/>
      <c r="K661" s="354"/>
      <c r="L661" s="354"/>
      <c r="M661" s="460"/>
      <c r="N661" s="354"/>
      <c r="O661" s="354"/>
      <c r="P661" s="354"/>
      <c r="Q661" s="354"/>
      <c r="R661" s="354"/>
      <c r="AS661" s="341"/>
      <c r="AT661" s="341"/>
      <c r="AU661" s="341"/>
      <c r="AV661" s="341"/>
      <c r="AW661" s="342"/>
      <c r="AX661" s="342"/>
      <c r="AY661" s="342"/>
      <c r="AZ661" s="342"/>
      <c r="BA661" s="342"/>
      <c r="BB661" s="342"/>
      <c r="BC661" s="342"/>
      <c r="BD661" s="342"/>
      <c r="BE661" s="342"/>
    </row>
    <row r="662" spans="1:57" ht="14.25" hidden="1" customHeight="1" outlineLevel="1">
      <c r="A662" s="554" t="s">
        <v>2099</v>
      </c>
      <c r="B662" s="579"/>
      <c r="E662" s="362"/>
      <c r="J662" s="424"/>
      <c r="K662" s="354"/>
      <c r="L662" s="354"/>
      <c r="M662" s="460"/>
      <c r="N662" s="354"/>
      <c r="O662" s="354"/>
      <c r="P662" s="354"/>
      <c r="Q662" s="354"/>
      <c r="R662" s="354"/>
      <c r="AS662" s="341"/>
      <c r="AT662" s="341"/>
      <c r="AU662" s="341"/>
      <c r="AV662" s="341"/>
      <c r="AW662" s="342"/>
      <c r="AX662" s="342"/>
      <c r="AY662" s="342"/>
      <c r="AZ662" s="342"/>
      <c r="BA662" s="342"/>
      <c r="BB662" s="342"/>
      <c r="BC662" s="342"/>
      <c r="BD662" s="342"/>
      <c r="BE662" s="342"/>
    </row>
    <row r="663" spans="1:57" ht="14.25" hidden="1" customHeight="1" outlineLevel="1">
      <c r="A663" s="580" t="s">
        <v>878</v>
      </c>
      <c r="E663" s="362"/>
      <c r="J663" s="424"/>
      <c r="K663" s="354"/>
      <c r="L663" s="354"/>
      <c r="M663" s="460"/>
      <c r="N663" s="354"/>
      <c r="O663" s="354"/>
      <c r="P663" s="354"/>
      <c r="Q663" s="354"/>
      <c r="R663" s="354"/>
      <c r="AS663" s="341"/>
      <c r="AT663" s="341"/>
      <c r="AU663" s="341"/>
      <c r="AV663" s="341"/>
      <c r="AW663" s="342"/>
      <c r="AX663" s="342"/>
      <c r="AY663" s="342"/>
      <c r="AZ663" s="342"/>
      <c r="BA663" s="342"/>
      <c r="BB663" s="342"/>
      <c r="BC663" s="342"/>
      <c r="BD663" s="342"/>
      <c r="BE663" s="342"/>
    </row>
    <row r="664" spans="1:57" ht="14.25" hidden="1" customHeight="1" outlineLevel="1">
      <c r="A664" s="581" t="s">
        <v>2101</v>
      </c>
      <c r="B664" s="381"/>
      <c r="E664" s="362"/>
      <c r="J664" s="424"/>
      <c r="K664" s="354"/>
      <c r="L664" s="354"/>
      <c r="M664" s="460"/>
      <c r="N664" s="354"/>
      <c r="O664" s="354"/>
      <c r="P664" s="354"/>
      <c r="Q664" s="354"/>
      <c r="R664" s="354"/>
      <c r="AS664" s="341"/>
      <c r="AT664" s="341"/>
      <c r="AU664" s="341"/>
      <c r="AV664" s="341"/>
      <c r="AW664" s="342"/>
      <c r="AX664" s="342"/>
      <c r="AY664" s="342"/>
      <c r="AZ664" s="342"/>
      <c r="BA664" s="342"/>
      <c r="BB664" s="342"/>
      <c r="BC664" s="342"/>
      <c r="BD664" s="342"/>
      <c r="BE664" s="342"/>
    </row>
    <row r="665" spans="1:57" ht="14.25" hidden="1" customHeight="1" outlineLevel="1">
      <c r="A665" s="582" t="s">
        <v>1449</v>
      </c>
      <c r="E665" s="362"/>
      <c r="J665" s="424"/>
      <c r="K665" s="354"/>
      <c r="L665" s="354"/>
      <c r="M665" s="460"/>
      <c r="N665" s="354"/>
      <c r="O665" s="354"/>
      <c r="P665" s="354"/>
      <c r="Q665" s="354"/>
      <c r="R665" s="354"/>
      <c r="AS665" s="341"/>
      <c r="AT665" s="341"/>
      <c r="AU665" s="341"/>
      <c r="AV665" s="341"/>
      <c r="AW665" s="342"/>
      <c r="AX665" s="342"/>
      <c r="AY665" s="342"/>
      <c r="AZ665" s="342"/>
      <c r="BA665" s="342"/>
      <c r="BB665" s="342"/>
      <c r="BC665" s="342"/>
      <c r="BD665" s="342"/>
      <c r="BE665" s="342"/>
    </row>
    <row r="666" spans="1:57" ht="14.25" hidden="1" customHeight="1" outlineLevel="1">
      <c r="A666" s="228" t="s">
        <v>1447</v>
      </c>
      <c r="B666" s="583" t="s">
        <v>1821</v>
      </c>
      <c r="E666" s="362"/>
      <c r="F666" s="3105" t="s">
        <v>2137</v>
      </c>
      <c r="G666" s="3105"/>
      <c r="J666" s="424"/>
      <c r="K666" s="354"/>
      <c r="L666" s="354"/>
      <c r="M666" s="460"/>
      <c r="N666" s="354"/>
      <c r="O666" s="354"/>
      <c r="P666" s="354"/>
      <c r="Q666" s="354"/>
      <c r="R666" s="354"/>
      <c r="AS666" s="341"/>
      <c r="AT666" s="341"/>
      <c r="AU666" s="341"/>
      <c r="AV666" s="341"/>
      <c r="AW666" s="342"/>
      <c r="AX666" s="342"/>
      <c r="AY666" s="342"/>
      <c r="AZ666" s="342"/>
      <c r="BA666" s="342"/>
      <c r="BB666" s="342"/>
      <c r="BC666" s="342"/>
      <c r="BD666" s="342"/>
      <c r="BE666" s="342"/>
    </row>
    <row r="667" spans="1:57" ht="14.25" hidden="1" customHeight="1" outlineLevel="1">
      <c r="A667" s="584" t="s">
        <v>2102</v>
      </c>
      <c r="B667" s="585" t="s">
        <v>1821</v>
      </c>
      <c r="E667" s="362"/>
      <c r="F667" s="3105"/>
      <c r="G667" s="3105"/>
      <c r="J667" s="424"/>
      <c r="K667" s="354"/>
      <c r="L667" s="354"/>
      <c r="M667" s="460"/>
      <c r="N667" s="354"/>
      <c r="O667" s="354"/>
      <c r="P667" s="354"/>
      <c r="Q667" s="354"/>
      <c r="R667" s="354"/>
      <c r="AS667" s="341"/>
      <c r="AT667" s="341"/>
      <c r="AU667" s="341"/>
      <c r="AV667" s="341"/>
      <c r="AW667" s="342"/>
      <c r="AX667" s="342"/>
      <c r="AY667" s="342"/>
      <c r="AZ667" s="342"/>
      <c r="BA667" s="342"/>
      <c r="BB667" s="342"/>
      <c r="BC667" s="342"/>
      <c r="BD667" s="342"/>
      <c r="BE667" s="342"/>
    </row>
    <row r="668" spans="1:57" ht="14.25" hidden="1" customHeight="1" outlineLevel="1">
      <c r="A668" s="584" t="s">
        <v>2103</v>
      </c>
      <c r="B668" s="585" t="s">
        <v>1821</v>
      </c>
      <c r="E668" s="362"/>
      <c r="F668" s="3105"/>
      <c r="G668" s="3105"/>
      <c r="J668" s="424"/>
      <c r="K668" s="354"/>
      <c r="L668" s="354"/>
      <c r="M668" s="460"/>
      <c r="N668" s="354"/>
      <c r="O668" s="354"/>
      <c r="P668" s="354"/>
      <c r="Q668" s="354"/>
      <c r="R668" s="354"/>
      <c r="AS668" s="341"/>
      <c r="AT668" s="341"/>
      <c r="AU668" s="341"/>
      <c r="AV668" s="341"/>
      <c r="AW668" s="342"/>
      <c r="AX668" s="342"/>
      <c r="AY668" s="342"/>
      <c r="AZ668" s="342"/>
      <c r="BA668" s="342"/>
      <c r="BB668" s="342"/>
      <c r="BC668" s="342"/>
      <c r="BD668" s="342"/>
      <c r="BE668" s="342"/>
    </row>
    <row r="669" spans="1:57" ht="14.25" hidden="1" customHeight="1" outlineLevel="1">
      <c r="A669" s="586" t="s">
        <v>917</v>
      </c>
      <c r="B669" s="587" t="s">
        <v>1821</v>
      </c>
      <c r="E669" s="362"/>
      <c r="F669" s="3105"/>
      <c r="G669" s="3105"/>
      <c r="J669" s="424"/>
      <c r="K669" s="354"/>
      <c r="L669" s="354"/>
      <c r="M669" s="460"/>
      <c r="N669" s="354"/>
      <c r="O669" s="354"/>
      <c r="P669" s="354"/>
      <c r="Q669" s="354"/>
      <c r="R669" s="354"/>
      <c r="AS669" s="341"/>
      <c r="AT669" s="341"/>
      <c r="AU669" s="341"/>
      <c r="AV669" s="341"/>
      <c r="AW669" s="342"/>
      <c r="AX669" s="342"/>
      <c r="AY669" s="342"/>
      <c r="AZ669" s="342"/>
      <c r="BA669" s="342"/>
      <c r="BB669" s="342"/>
      <c r="BC669" s="342"/>
      <c r="BD669" s="342"/>
      <c r="BE669" s="342"/>
    </row>
    <row r="670" spans="1:57" ht="14.25" hidden="1" customHeight="1" outlineLevel="1">
      <c r="A670" s="428"/>
      <c r="E670" s="362"/>
      <c r="F670" s="3105"/>
      <c r="G670" s="3105"/>
      <c r="J670" s="424"/>
      <c r="K670" s="354"/>
      <c r="L670" s="354"/>
      <c r="M670" s="460"/>
      <c r="N670" s="354"/>
      <c r="O670" s="354"/>
      <c r="P670" s="354"/>
      <c r="Q670" s="354"/>
      <c r="R670" s="354"/>
      <c r="AS670" s="341"/>
      <c r="AT670" s="341"/>
      <c r="AU670" s="341"/>
      <c r="AV670" s="341"/>
      <c r="AW670" s="342"/>
      <c r="AX670" s="342"/>
      <c r="AY670" s="342"/>
      <c r="AZ670" s="342"/>
      <c r="BA670" s="342"/>
      <c r="BB670" s="342"/>
      <c r="BC670" s="342"/>
      <c r="BD670" s="342"/>
      <c r="BE670" s="342"/>
    </row>
    <row r="671" spans="1:57" ht="14.25" hidden="1" customHeight="1" outlineLevel="1">
      <c r="A671" s="478" t="s">
        <v>2107</v>
      </c>
      <c r="E671" s="362"/>
      <c r="F671" s="362"/>
      <c r="J671" s="424"/>
      <c r="K671" s="354"/>
      <c r="L671" s="354"/>
      <c r="M671" s="460"/>
      <c r="N671" s="354"/>
      <c r="O671" s="354"/>
      <c r="P671" s="354"/>
      <c r="Q671" s="354"/>
      <c r="R671" s="354"/>
      <c r="AS671" s="341"/>
      <c r="AT671" s="341"/>
      <c r="AU671" s="341"/>
      <c r="AV671" s="341"/>
      <c r="AW671" s="342"/>
      <c r="AX671" s="342"/>
      <c r="AY671" s="342"/>
      <c r="AZ671" s="342"/>
      <c r="BA671" s="342"/>
      <c r="BB671" s="342"/>
      <c r="BC671" s="342"/>
      <c r="BD671" s="342"/>
      <c r="BE671" s="342"/>
    </row>
    <row r="672" spans="1:57" ht="14.25" hidden="1" customHeight="1" outlineLevel="1">
      <c r="A672" s="483" t="s">
        <v>303</v>
      </c>
      <c r="E672" s="362"/>
      <c r="F672" s="362"/>
      <c r="J672" s="424"/>
      <c r="K672" s="354"/>
      <c r="L672" s="354"/>
      <c r="M672" s="460"/>
      <c r="N672" s="354"/>
      <c r="O672" s="354"/>
      <c r="P672" s="354"/>
      <c r="Q672" s="354"/>
      <c r="R672" s="354"/>
      <c r="AS672" s="341"/>
      <c r="AT672" s="341"/>
      <c r="AU672" s="341"/>
      <c r="AV672" s="341"/>
      <c r="AW672" s="342"/>
      <c r="AX672" s="342"/>
      <c r="AY672" s="342"/>
      <c r="AZ672" s="342"/>
      <c r="BA672" s="342"/>
      <c r="BB672" s="342"/>
      <c r="BC672" s="342"/>
      <c r="BD672" s="342"/>
      <c r="BE672" s="342"/>
    </row>
    <row r="673" spans="1:57" ht="14.25" hidden="1" customHeight="1" outlineLevel="1">
      <c r="A673" s="478" t="s">
        <v>2138</v>
      </c>
      <c r="E673" s="362"/>
      <c r="F673" s="362"/>
      <c r="J673" s="424"/>
      <c r="K673" s="354"/>
      <c r="L673" s="354"/>
      <c r="M673" s="460"/>
      <c r="N673" s="354"/>
      <c r="O673" s="354"/>
      <c r="P673" s="354"/>
      <c r="Q673" s="354"/>
      <c r="R673" s="354"/>
      <c r="AS673" s="341"/>
      <c r="AT673" s="341"/>
      <c r="AU673" s="341"/>
      <c r="AV673" s="341"/>
      <c r="AW673" s="342"/>
      <c r="AX673" s="342"/>
      <c r="AY673" s="342"/>
      <c r="AZ673" s="342"/>
      <c r="BA673" s="342"/>
      <c r="BB673" s="342"/>
      <c r="BC673" s="342"/>
      <c r="BD673" s="342"/>
      <c r="BE673" s="342"/>
    </row>
    <row r="674" spans="1:57" ht="14.25" hidden="1" customHeight="1" outlineLevel="1">
      <c r="A674" s="483" t="s">
        <v>302</v>
      </c>
      <c r="E674" s="362"/>
      <c r="F674" s="362"/>
      <c r="J674" s="424"/>
      <c r="K674" s="354"/>
      <c r="L674" s="354"/>
      <c r="M674" s="460"/>
      <c r="N674" s="354"/>
      <c r="O674" s="354"/>
      <c r="P674" s="354"/>
      <c r="Q674" s="354"/>
      <c r="R674" s="354"/>
      <c r="AS674" s="341"/>
      <c r="AT674" s="341"/>
      <c r="AU674" s="341"/>
      <c r="AV674" s="341"/>
      <c r="AW674" s="342"/>
      <c r="AX674" s="342"/>
      <c r="AY674" s="342"/>
      <c r="AZ674" s="342"/>
      <c r="BA674" s="342"/>
      <c r="BB674" s="342"/>
      <c r="BC674" s="342"/>
      <c r="BD674" s="342"/>
      <c r="BE674" s="342"/>
    </row>
    <row r="675" spans="1:57" ht="14.25" hidden="1" customHeight="1" outlineLevel="1">
      <c r="A675" s="331" t="s">
        <v>2139</v>
      </c>
      <c r="E675" s="362"/>
      <c r="F675" s="362"/>
      <c r="J675" s="424"/>
      <c r="K675" s="354"/>
      <c r="L675" s="354"/>
      <c r="M675" s="460"/>
      <c r="N675" s="354"/>
      <c r="O675" s="354"/>
      <c r="P675" s="354"/>
      <c r="Q675" s="354"/>
      <c r="R675" s="354"/>
      <c r="AS675" s="341"/>
      <c r="AT675" s="341"/>
      <c r="AU675" s="341"/>
      <c r="AV675" s="341"/>
      <c r="AW675" s="342"/>
      <c r="AX675" s="342"/>
      <c r="AY675" s="342"/>
      <c r="AZ675" s="342"/>
      <c r="BA675" s="342"/>
      <c r="BB675" s="342"/>
      <c r="BC675" s="342"/>
      <c r="BD675" s="342"/>
      <c r="BE675" s="342"/>
    </row>
    <row r="676" spans="1:57" ht="14.25" hidden="1" customHeight="1" outlineLevel="1">
      <c r="A676" s="483" t="s">
        <v>313</v>
      </c>
      <c r="E676" s="362"/>
      <c r="F676" s="362"/>
      <c r="I676" s="424"/>
      <c r="J676" s="354"/>
      <c r="K676" s="354"/>
      <c r="L676" s="460"/>
      <c r="M676" s="354"/>
      <c r="N676" s="354"/>
      <c r="O676" s="354"/>
      <c r="P676" s="354"/>
      <c r="Q676" s="354"/>
      <c r="AS676" s="341"/>
      <c r="AT676" s="341"/>
      <c r="AU676" s="341"/>
      <c r="AV676" s="341"/>
      <c r="AW676" s="342"/>
      <c r="AX676" s="342"/>
      <c r="AY676" s="342"/>
      <c r="AZ676" s="342"/>
      <c r="BA676" s="342"/>
      <c r="BB676" s="342"/>
      <c r="BC676" s="342"/>
      <c r="BD676" s="342"/>
      <c r="BE676" s="342"/>
    </row>
    <row r="677" spans="1:57" ht="14.25" hidden="1" customHeight="1" outlineLevel="1">
      <c r="E677" s="362"/>
      <c r="F677" s="362"/>
      <c r="I677" s="424"/>
      <c r="J677" s="354"/>
      <c r="K677" s="354"/>
      <c r="L677" s="460"/>
      <c r="M677" s="354"/>
      <c r="N677" s="354"/>
      <c r="O677" s="354"/>
      <c r="P677" s="354"/>
      <c r="Q677" s="354"/>
      <c r="AS677" s="341"/>
      <c r="AT677" s="341"/>
      <c r="AU677" s="341"/>
      <c r="AV677" s="341"/>
      <c r="AW677" s="342"/>
      <c r="AX677" s="342"/>
      <c r="AY677" s="342"/>
      <c r="AZ677" s="342"/>
      <c r="BA677" s="342"/>
      <c r="BB677" s="342"/>
      <c r="BC677" s="342"/>
      <c r="BD677" s="342"/>
      <c r="BE677" s="342"/>
    </row>
    <row r="678" spans="1:57" ht="14.25" hidden="1" customHeight="1" outlineLevel="1">
      <c r="A678" s="3107" t="s">
        <v>2119</v>
      </c>
      <c r="B678" s="3107"/>
      <c r="C678" s="3107"/>
      <c r="E678" s="362"/>
      <c r="F678" s="362"/>
      <c r="I678" s="424"/>
      <c r="J678" s="354"/>
      <c r="K678" s="354"/>
      <c r="L678" s="460"/>
      <c r="M678" s="354"/>
      <c r="N678" s="354"/>
      <c r="O678" s="354"/>
      <c r="P678" s="354"/>
      <c r="Q678" s="354"/>
      <c r="AS678" s="341"/>
      <c r="AT678" s="341"/>
      <c r="AU678" s="341"/>
      <c r="AV678" s="341"/>
      <c r="AW678" s="342"/>
      <c r="AX678" s="342"/>
      <c r="AY678" s="342"/>
      <c r="AZ678" s="342"/>
      <c r="BA678" s="342"/>
      <c r="BB678" s="342"/>
      <c r="BC678" s="342"/>
      <c r="BD678" s="342"/>
      <c r="BE678" s="342"/>
    </row>
    <row r="679" spans="1:57" ht="14.25" hidden="1" customHeight="1" outlineLevel="1">
      <c r="A679" s="404" t="s">
        <v>800</v>
      </c>
      <c r="B679" s="413" t="s">
        <v>159</v>
      </c>
      <c r="C679" s="388">
        <v>6</v>
      </c>
      <c r="E679" s="362"/>
      <c r="F679" s="362"/>
      <c r="I679" s="424"/>
      <c r="J679" s="354"/>
      <c r="K679" s="354"/>
      <c r="L679" s="460"/>
      <c r="M679" s="354"/>
      <c r="N679" s="354"/>
      <c r="O679" s="354"/>
      <c r="P679" s="354"/>
      <c r="Q679" s="354"/>
      <c r="AS679" s="341"/>
      <c r="AT679" s="341"/>
      <c r="AU679" s="341"/>
      <c r="AV679" s="341"/>
      <c r="AW679" s="342"/>
      <c r="AX679" s="342"/>
      <c r="AY679" s="342"/>
      <c r="AZ679" s="342"/>
      <c r="BA679" s="342"/>
      <c r="BB679" s="342"/>
      <c r="BC679" s="342"/>
      <c r="BD679" s="342"/>
      <c r="BE679" s="342"/>
    </row>
    <row r="680" spans="1:57" ht="14.25" hidden="1" customHeight="1" outlineLevel="1">
      <c r="A680" s="404" t="s">
        <v>798</v>
      </c>
      <c r="B680" s="413" t="s">
        <v>159</v>
      </c>
      <c r="C680" s="388"/>
      <c r="E680" s="362"/>
      <c r="F680" s="362"/>
      <c r="I680" s="424"/>
      <c r="J680" s="354"/>
      <c r="K680" s="354"/>
      <c r="L680" s="460"/>
      <c r="M680" s="354"/>
      <c r="N680" s="354"/>
      <c r="O680" s="354"/>
      <c r="P680" s="354"/>
      <c r="Q680" s="354"/>
      <c r="AS680" s="341"/>
      <c r="AT680" s="341"/>
      <c r="AU680" s="341"/>
      <c r="AV680" s="341"/>
      <c r="AW680" s="342"/>
      <c r="AX680" s="342"/>
      <c r="AY680" s="342"/>
      <c r="AZ680" s="342"/>
      <c r="BA680" s="342"/>
      <c r="BB680" s="342"/>
      <c r="BC680" s="342"/>
      <c r="BD680" s="342"/>
      <c r="BE680" s="342"/>
    </row>
    <row r="681" spans="1:57" ht="14.25" hidden="1" customHeight="1" outlineLevel="1">
      <c r="A681" s="404" t="s">
        <v>805</v>
      </c>
      <c r="B681" s="413" t="s">
        <v>159</v>
      </c>
      <c r="C681" s="388">
        <v>2</v>
      </c>
      <c r="E681" s="362"/>
      <c r="F681" s="362"/>
      <c r="I681" s="424"/>
      <c r="J681" s="354"/>
      <c r="K681" s="354"/>
      <c r="L681" s="460"/>
      <c r="M681" s="354"/>
      <c r="N681" s="354"/>
      <c r="O681" s="354"/>
      <c r="P681" s="354"/>
      <c r="Q681" s="354"/>
      <c r="AS681" s="341"/>
      <c r="AT681" s="341"/>
      <c r="AU681" s="341"/>
      <c r="AV681" s="341"/>
      <c r="AW681" s="342"/>
      <c r="AX681" s="342"/>
      <c r="AY681" s="342"/>
      <c r="AZ681" s="342"/>
      <c r="BA681" s="342"/>
      <c r="BB681" s="342"/>
      <c r="BC681" s="342"/>
      <c r="BD681" s="342"/>
      <c r="BE681" s="342"/>
    </row>
    <row r="682" spans="1:57" ht="14.25" hidden="1" customHeight="1" outlineLevel="1">
      <c r="A682" s="404" t="s">
        <v>804</v>
      </c>
      <c r="B682" s="413" t="s">
        <v>159</v>
      </c>
      <c r="C682" s="388"/>
      <c r="E682" s="362"/>
      <c r="F682" s="362"/>
      <c r="I682" s="424"/>
      <c r="J682" s="354"/>
      <c r="K682" s="354"/>
      <c r="L682" s="460"/>
      <c r="M682" s="354"/>
      <c r="N682" s="354"/>
      <c r="O682" s="354"/>
      <c r="P682" s="354"/>
      <c r="Q682" s="354"/>
      <c r="AS682" s="341"/>
      <c r="AT682" s="341"/>
      <c r="AU682" s="341"/>
      <c r="AV682" s="341"/>
      <c r="AW682" s="342"/>
      <c r="AX682" s="342"/>
      <c r="AY682" s="342"/>
      <c r="AZ682" s="342"/>
      <c r="BA682" s="342"/>
      <c r="BB682" s="342"/>
      <c r="BC682" s="342"/>
      <c r="BD682" s="342"/>
      <c r="BE682" s="342"/>
    </row>
    <row r="683" spans="1:57" ht="14.25" hidden="1" customHeight="1" outlineLevel="1">
      <c r="A683" s="404" t="s">
        <v>817</v>
      </c>
      <c r="B683" s="413" t="s">
        <v>159</v>
      </c>
      <c r="C683" s="388">
        <v>6</v>
      </c>
      <c r="E683" s="362"/>
      <c r="F683" s="362"/>
      <c r="I683" s="424"/>
      <c r="J683" s="354"/>
      <c r="K683" s="354"/>
      <c r="L683" s="460"/>
      <c r="M683" s="354"/>
      <c r="N683" s="354"/>
      <c r="O683" s="354"/>
      <c r="P683" s="354"/>
      <c r="Q683" s="354"/>
      <c r="AS683" s="341"/>
      <c r="AT683" s="341"/>
      <c r="AU683" s="341"/>
      <c r="AV683" s="341"/>
      <c r="AW683" s="342"/>
      <c r="AX683" s="342"/>
      <c r="AY683" s="342"/>
      <c r="AZ683" s="342"/>
      <c r="BA683" s="342"/>
      <c r="BB683" s="342"/>
      <c r="BC683" s="342"/>
      <c r="BD683" s="342"/>
      <c r="BE683" s="342"/>
    </row>
    <row r="684" spans="1:57" ht="14.25" hidden="1" customHeight="1" outlineLevel="1">
      <c r="A684" s="404" t="s">
        <v>814</v>
      </c>
      <c r="B684" s="413" t="s">
        <v>159</v>
      </c>
      <c r="C684" s="388"/>
      <c r="E684" s="362"/>
      <c r="F684" s="362"/>
      <c r="I684" s="424"/>
      <c r="J684" s="354"/>
      <c r="K684" s="354"/>
      <c r="L684" s="460"/>
      <c r="M684" s="354"/>
      <c r="N684" s="354"/>
      <c r="O684" s="354"/>
      <c r="P684" s="354"/>
      <c r="Q684" s="354"/>
      <c r="AS684" s="341"/>
      <c r="AT684" s="341"/>
      <c r="AU684" s="341"/>
      <c r="AV684" s="341"/>
      <c r="AW684" s="342"/>
      <c r="AX684" s="342"/>
      <c r="AY684" s="342"/>
      <c r="AZ684" s="342"/>
      <c r="BA684" s="342"/>
      <c r="BB684" s="342"/>
      <c r="BC684" s="342"/>
      <c r="BD684" s="342"/>
      <c r="BE684" s="342"/>
    </row>
    <row r="685" spans="1:57" ht="14.25" hidden="1" customHeight="1" outlineLevel="1">
      <c r="A685" s="404" t="s">
        <v>833</v>
      </c>
      <c r="B685" s="413" t="s">
        <v>188</v>
      </c>
      <c r="C685" s="388"/>
      <c r="E685" s="362"/>
      <c r="F685" s="362"/>
      <c r="I685" s="424"/>
      <c r="J685" s="354"/>
      <c r="K685" s="354"/>
      <c r="L685" s="460"/>
      <c r="M685" s="354"/>
      <c r="N685" s="354"/>
      <c r="O685" s="354"/>
      <c r="P685" s="354"/>
      <c r="Q685" s="354"/>
      <c r="AS685" s="341"/>
      <c r="AT685" s="341"/>
      <c r="AU685" s="341"/>
      <c r="AV685" s="341"/>
      <c r="AW685" s="342"/>
      <c r="AX685" s="342"/>
      <c r="AY685" s="342"/>
      <c r="AZ685" s="342"/>
      <c r="BA685" s="342"/>
      <c r="BB685" s="342"/>
      <c r="BC685" s="342"/>
      <c r="BD685" s="342"/>
      <c r="BE685" s="342"/>
    </row>
    <row r="686" spans="1:57" ht="14.25" hidden="1" customHeight="1" outlineLevel="1">
      <c r="A686" s="404" t="s">
        <v>830</v>
      </c>
      <c r="B686" s="413" t="s">
        <v>188</v>
      </c>
      <c r="C686" s="388"/>
      <c r="E686" s="362"/>
      <c r="F686" s="362"/>
      <c r="I686" s="424"/>
      <c r="J686" s="354"/>
      <c r="K686" s="354"/>
      <c r="L686" s="460"/>
      <c r="M686" s="354"/>
      <c r="N686" s="354"/>
      <c r="O686" s="354"/>
      <c r="P686" s="354"/>
      <c r="Q686" s="354"/>
      <c r="AS686" s="341"/>
      <c r="AT686" s="341"/>
      <c r="AU686" s="341"/>
      <c r="AV686" s="341"/>
      <c r="AW686" s="342"/>
      <c r="AX686" s="342"/>
      <c r="AY686" s="342"/>
      <c r="AZ686" s="342"/>
      <c r="BA686" s="342"/>
      <c r="BB686" s="342"/>
      <c r="BC686" s="342"/>
      <c r="BD686" s="342"/>
      <c r="BE686" s="342"/>
    </row>
    <row r="687" spans="1:57" ht="14.25" hidden="1" customHeight="1" outlineLevel="1">
      <c r="A687" s="404" t="s">
        <v>842</v>
      </c>
      <c r="B687" s="413" t="s">
        <v>188</v>
      </c>
      <c r="C687" s="388">
        <v>1</v>
      </c>
      <c r="E687" s="362"/>
      <c r="F687" s="362"/>
      <c r="I687" s="424"/>
      <c r="J687" s="354"/>
      <c r="K687" s="354"/>
      <c r="L687" s="460"/>
      <c r="M687" s="354"/>
      <c r="N687" s="354"/>
      <c r="O687" s="354"/>
      <c r="P687" s="354"/>
      <c r="Q687" s="354"/>
      <c r="AS687" s="341"/>
      <c r="AT687" s="341"/>
      <c r="AU687" s="341"/>
      <c r="AV687" s="341"/>
      <c r="AW687" s="342"/>
      <c r="AX687" s="342"/>
      <c r="AY687" s="342"/>
      <c r="AZ687" s="342"/>
      <c r="BA687" s="342"/>
      <c r="BB687" s="342"/>
      <c r="BC687" s="342"/>
      <c r="BD687" s="342"/>
      <c r="BE687" s="342"/>
    </row>
    <row r="688" spans="1:57" ht="14.25" hidden="1" customHeight="1" outlineLevel="1">
      <c r="A688" s="404" t="s">
        <v>848</v>
      </c>
      <c r="B688" s="413" t="s">
        <v>188</v>
      </c>
      <c r="C688" s="388">
        <v>1</v>
      </c>
      <c r="E688" s="362"/>
      <c r="F688" s="362"/>
      <c r="I688" s="424"/>
      <c r="J688" s="354"/>
      <c r="K688" s="354"/>
      <c r="L688" s="460"/>
      <c r="M688" s="354"/>
      <c r="N688" s="354"/>
      <c r="O688" s="354"/>
      <c r="P688" s="354"/>
      <c r="Q688" s="354"/>
      <c r="AS688" s="341"/>
      <c r="AT688" s="341"/>
      <c r="AU688" s="341"/>
      <c r="AV688" s="341"/>
      <c r="AW688" s="342"/>
      <c r="AX688" s="342"/>
      <c r="AY688" s="342"/>
      <c r="AZ688" s="342"/>
      <c r="BA688" s="342"/>
      <c r="BB688" s="342"/>
      <c r="BC688" s="342"/>
      <c r="BD688" s="342"/>
      <c r="BE688" s="342"/>
    </row>
    <row r="689" spans="1:57" ht="14.25" hidden="1" customHeight="1" outlineLevel="1">
      <c r="E689" s="362"/>
      <c r="F689" s="362"/>
      <c r="I689" s="424"/>
      <c r="J689" s="354"/>
      <c r="K689" s="354"/>
      <c r="L689" s="460"/>
      <c r="M689" s="354"/>
      <c r="N689" s="354"/>
      <c r="O689" s="354"/>
      <c r="P689" s="354"/>
      <c r="Q689" s="354"/>
      <c r="AS689" s="341"/>
      <c r="AT689" s="341"/>
      <c r="AU689" s="341"/>
      <c r="AV689" s="341"/>
      <c r="AW689" s="342"/>
      <c r="AX689" s="342"/>
      <c r="AY689" s="342"/>
      <c r="AZ689" s="342"/>
      <c r="BA689" s="342"/>
      <c r="BB689" s="342"/>
      <c r="BC689" s="342"/>
      <c r="BD689" s="342"/>
      <c r="BE689" s="342"/>
    </row>
    <row r="690" spans="1:57" ht="14.25" hidden="1" customHeight="1" outlineLevel="1">
      <c r="A690" s="489" t="s">
        <v>155</v>
      </c>
      <c r="B690" s="602" t="s">
        <v>1793</v>
      </c>
      <c r="C690" s="603">
        <v>0</v>
      </c>
      <c r="E690" s="362"/>
      <c r="F690" s="362"/>
      <c r="I690" s="424"/>
      <c r="J690" s="354"/>
      <c r="K690" s="354"/>
      <c r="L690" s="460"/>
      <c r="M690" s="354"/>
      <c r="N690" s="354"/>
      <c r="O690" s="354"/>
      <c r="P690" s="354"/>
      <c r="Q690" s="354"/>
      <c r="AS690" s="341"/>
      <c r="AT690" s="341"/>
      <c r="AU690" s="341"/>
      <c r="AV690" s="341"/>
      <c r="AW690" s="342"/>
      <c r="AX690" s="342"/>
      <c r="AY690" s="342"/>
      <c r="AZ690" s="342"/>
      <c r="BA690" s="342"/>
      <c r="BB690" s="342"/>
      <c r="BC690" s="342"/>
      <c r="BD690" s="342"/>
      <c r="BE690" s="342"/>
    </row>
    <row r="691" spans="1:57" ht="14.25" hidden="1" customHeight="1" outlineLevel="1">
      <c r="A691" s="489" t="s">
        <v>152</v>
      </c>
      <c r="B691" s="602" t="s">
        <v>1793</v>
      </c>
      <c r="C691" s="604">
        <v>0</v>
      </c>
      <c r="E691" s="362"/>
      <c r="F691" s="362"/>
      <c r="AS691" s="341"/>
      <c r="AT691" s="341"/>
      <c r="AU691" s="341"/>
      <c r="AV691" s="341"/>
      <c r="AW691" s="342"/>
      <c r="AX691" s="342"/>
      <c r="AY691" s="342"/>
      <c r="AZ691" s="342"/>
      <c r="BA691" s="342"/>
      <c r="BB691" s="342"/>
      <c r="BC691" s="342"/>
      <c r="BD691" s="342"/>
      <c r="BE691" s="342"/>
    </row>
    <row r="692" spans="1:57" ht="14.25" hidden="1" customHeight="1" outlineLevel="1">
      <c r="A692" s="263" t="s">
        <v>2140</v>
      </c>
      <c r="B692" s="262" t="s">
        <v>1796</v>
      </c>
      <c r="C692" s="605">
        <v>5000</v>
      </c>
      <c r="E692" s="362"/>
      <c r="F692" s="362"/>
      <c r="AS692" s="341"/>
      <c r="AT692" s="341"/>
      <c r="AU692" s="341"/>
      <c r="AV692" s="341"/>
      <c r="AW692" s="342"/>
      <c r="AX692" s="342"/>
      <c r="AY692" s="342"/>
      <c r="AZ692" s="342"/>
      <c r="BA692" s="342"/>
      <c r="BB692" s="342"/>
      <c r="BC692" s="342"/>
      <c r="BD692" s="342"/>
      <c r="BE692" s="342"/>
    </row>
    <row r="693" spans="1:57" ht="14.25" customHeight="1" collapsed="1">
      <c r="A693" s="3062" t="s">
        <v>2141</v>
      </c>
      <c r="B693" s="3062"/>
      <c r="C693" s="3062"/>
      <c r="D693" s="3062"/>
      <c r="E693" s="3062"/>
      <c r="F693" s="595" t="s">
        <v>1798</v>
      </c>
      <c r="AS693" s="341"/>
      <c r="AT693" s="341"/>
      <c r="AU693" s="341"/>
      <c r="AV693" s="341"/>
      <c r="AW693" s="342"/>
      <c r="AX693" s="342"/>
      <c r="AY693" s="342"/>
      <c r="AZ693" s="342"/>
      <c r="BA693" s="342"/>
      <c r="BB693" s="342"/>
      <c r="BC693" s="342"/>
      <c r="BD693" s="342"/>
      <c r="BE693" s="342"/>
    </row>
    <row r="694" spans="1:57" ht="14.25" customHeight="1">
      <c r="E694" s="362"/>
      <c r="F694" s="362"/>
      <c r="I694" s="424"/>
      <c r="J694" s="354"/>
      <c r="K694" s="354"/>
      <c r="L694" s="460"/>
      <c r="M694" s="354"/>
      <c r="N694" s="354"/>
      <c r="O694" s="354"/>
      <c r="P694" s="354"/>
      <c r="Q694" s="354"/>
      <c r="AS694" s="341"/>
      <c r="AT694" s="341"/>
      <c r="AU694" s="341"/>
      <c r="AV694" s="341"/>
      <c r="AW694" s="342"/>
      <c r="AX694" s="342"/>
      <c r="AY694" s="342"/>
      <c r="AZ694" s="342"/>
      <c r="BA694" s="342"/>
      <c r="BB694" s="342"/>
      <c r="BC694" s="342"/>
      <c r="BD694" s="342"/>
      <c r="BE694" s="342"/>
    </row>
    <row r="695" spans="1:57" ht="14.25" hidden="1" customHeight="1" outlineLevel="1">
      <c r="A695" s="3108" t="s">
        <v>852</v>
      </c>
      <c r="B695" s="3108"/>
      <c r="C695" s="3108"/>
      <c r="D695" s="3108"/>
      <c r="E695" s="3108"/>
      <c r="F695" s="3108"/>
      <c r="G695" s="3108"/>
      <c r="H695" s="606"/>
      <c r="I695" s="606"/>
      <c r="J695" s="606"/>
      <c r="K695" s="606"/>
      <c r="L695" s="606"/>
      <c r="M695" s="606"/>
      <c r="N695" s="606"/>
      <c r="O695" s="606"/>
      <c r="P695" s="606"/>
      <c r="Q695" s="606"/>
      <c r="R695" s="606"/>
      <c r="S695" s="606"/>
      <c r="T695" s="606"/>
      <c r="U695" s="606"/>
      <c r="V695" s="606"/>
      <c r="W695" s="606"/>
      <c r="X695" s="606"/>
      <c r="Y695" s="606"/>
      <c r="Z695" s="606"/>
      <c r="AA695" s="606"/>
      <c r="AB695" s="606"/>
      <c r="AC695" s="606"/>
      <c r="AD695" s="606"/>
      <c r="AE695" s="606"/>
      <c r="AF695" s="606"/>
      <c r="AG695" s="354"/>
      <c r="AH695" s="354"/>
      <c r="AI695" s="354"/>
      <c r="AJ695" s="354"/>
      <c r="AK695" s="354"/>
      <c r="AL695" s="354"/>
      <c r="AM695" s="354"/>
      <c r="AN695" s="354"/>
      <c r="AO695" s="358"/>
      <c r="AP695" s="358"/>
      <c r="AQ695" s="342"/>
      <c r="AR695" s="342"/>
      <c r="AS695" s="342"/>
      <c r="AT695" s="342"/>
      <c r="AU695" s="341"/>
      <c r="AV695" s="341"/>
      <c r="AW695" s="342"/>
      <c r="AX695" s="342"/>
      <c r="AY695" s="342"/>
      <c r="AZ695" s="342"/>
      <c r="BA695" s="342"/>
      <c r="BB695" s="342"/>
      <c r="BC695" s="342"/>
      <c r="BD695" s="342"/>
      <c r="BE695" s="342"/>
    </row>
    <row r="696" spans="1:57" ht="14.25" hidden="1" customHeight="1" outlineLevel="1">
      <c r="A696" s="3108"/>
      <c r="B696" s="3108"/>
      <c r="C696" s="3108"/>
      <c r="D696" s="3108"/>
      <c r="E696" s="3108"/>
      <c r="F696" s="3108"/>
      <c r="G696" s="3108"/>
      <c r="H696" s="606"/>
      <c r="I696" s="606"/>
      <c r="J696" s="606"/>
      <c r="K696" s="606"/>
      <c r="L696" s="606"/>
      <c r="M696" s="606"/>
      <c r="N696" s="606"/>
      <c r="O696" s="606"/>
      <c r="P696" s="606"/>
      <c r="Q696" s="606"/>
      <c r="R696" s="606"/>
      <c r="S696" s="606"/>
      <c r="T696" s="606"/>
      <c r="U696" s="606"/>
      <c r="V696" s="606"/>
      <c r="W696" s="606"/>
      <c r="X696" s="606"/>
      <c r="Y696" s="606"/>
      <c r="Z696" s="606"/>
      <c r="AA696" s="606"/>
      <c r="AB696" s="606"/>
      <c r="AC696" s="606"/>
      <c r="AD696" s="606"/>
      <c r="AE696" s="606"/>
      <c r="AF696" s="606"/>
      <c r="AG696" s="354"/>
      <c r="AH696" s="354"/>
      <c r="AI696" s="354"/>
      <c r="AJ696" s="354"/>
      <c r="AK696" s="354"/>
      <c r="AL696" s="354"/>
      <c r="AM696" s="354"/>
      <c r="AN696" s="354"/>
      <c r="AO696" s="358"/>
      <c r="AP696" s="358"/>
      <c r="AQ696" s="342"/>
      <c r="AR696" s="342"/>
      <c r="AS696" s="342"/>
      <c r="AT696" s="342"/>
      <c r="AU696" s="341"/>
      <c r="AV696" s="341"/>
      <c r="AW696" s="342"/>
      <c r="AX696" s="342"/>
      <c r="AY696" s="342"/>
      <c r="AZ696" s="342"/>
      <c r="BA696" s="342"/>
      <c r="BB696" s="342"/>
      <c r="BC696" s="342"/>
      <c r="BD696" s="342"/>
      <c r="BE696" s="342"/>
    </row>
    <row r="697" spans="1:57" ht="14.25" hidden="1" customHeight="1" outlineLevel="1">
      <c r="A697" s="3109" t="s">
        <v>1806</v>
      </c>
      <c r="B697" s="3109"/>
      <c r="C697" s="3109"/>
      <c r="D697" s="3109"/>
      <c r="E697" s="607">
        <v>1</v>
      </c>
      <c r="F697" s="240"/>
      <c r="G697" s="240"/>
      <c r="H697" s="240"/>
      <c r="I697" s="240"/>
      <c r="J697" s="240"/>
      <c r="K697" s="240"/>
      <c r="L697" s="240"/>
      <c r="M697" s="240"/>
      <c r="N697" s="240"/>
      <c r="O697" s="240"/>
      <c r="P697" s="240"/>
      <c r="Q697" s="240"/>
      <c r="R697" s="240"/>
      <c r="S697" s="240"/>
      <c r="T697" s="240"/>
      <c r="U697" s="240"/>
      <c r="V697" s="240"/>
      <c r="W697" s="240"/>
      <c r="X697" s="240"/>
      <c r="Y697" s="240"/>
      <c r="Z697" s="240"/>
      <c r="AA697" s="608"/>
      <c r="AB697" s="609"/>
      <c r="AC697" s="609"/>
      <c r="AD697" s="342"/>
      <c r="AE697" s="342"/>
      <c r="AF697" s="342">
        <f>E697</f>
        <v>1</v>
      </c>
      <c r="AG697" s="354"/>
      <c r="AH697" s="354"/>
      <c r="AI697" s="354"/>
      <c r="AJ697" s="354"/>
      <c r="AK697" s="354"/>
      <c r="AL697" s="354"/>
      <c r="AM697" s="354"/>
      <c r="AN697" s="354"/>
      <c r="AO697" s="358"/>
      <c r="AP697" s="358"/>
      <c r="AQ697" s="342"/>
      <c r="AR697" s="342"/>
      <c r="AS697" s="342"/>
      <c r="AT697" s="342"/>
      <c r="AU697" s="341"/>
      <c r="AV697" s="341"/>
      <c r="AW697" s="342"/>
      <c r="AX697" s="342"/>
      <c r="AY697" s="342"/>
      <c r="AZ697" s="342"/>
      <c r="BA697" s="342"/>
      <c r="BB697" s="342"/>
      <c r="BC697" s="342"/>
      <c r="BD697" s="342"/>
      <c r="BE697" s="342"/>
    </row>
    <row r="698" spans="1:57" ht="14.25" hidden="1" customHeight="1" outlineLevel="1">
      <c r="A698" s="3110" t="s">
        <v>1808</v>
      </c>
      <c r="B698" s="3110"/>
      <c r="C698" s="3110"/>
      <c r="D698" s="3110"/>
      <c r="E698" s="611">
        <v>1</v>
      </c>
      <c r="F698" s="240"/>
      <c r="G698" s="240"/>
      <c r="H698" s="240"/>
      <c r="I698" s="240"/>
      <c r="J698" s="240"/>
      <c r="K698" s="240"/>
      <c r="L698" s="240"/>
      <c r="M698" s="240"/>
      <c r="N698" s="240"/>
      <c r="O698" s="240"/>
      <c r="P698" s="240"/>
      <c r="Q698" s="240"/>
      <c r="R698" s="240"/>
      <c r="S698" s="240"/>
      <c r="T698" s="240"/>
      <c r="U698" s="240"/>
      <c r="V698" s="240"/>
      <c r="W698" s="240"/>
      <c r="X698" s="240"/>
      <c r="Y698" s="240"/>
      <c r="Z698" s="240"/>
      <c r="AA698" s="608"/>
      <c r="AB698" s="609"/>
      <c r="AC698" s="609"/>
      <c r="AD698" s="342"/>
      <c r="AE698" s="342"/>
      <c r="AF698" s="342"/>
      <c r="AG698" s="354"/>
      <c r="AH698" s="354"/>
      <c r="AI698" s="354"/>
      <c r="AJ698" s="354"/>
      <c r="AK698" s="354"/>
      <c r="AL698" s="354"/>
      <c r="AM698" s="354"/>
      <c r="AN698" s="354"/>
      <c r="AO698" s="358"/>
      <c r="AP698" s="358"/>
      <c r="AQ698" s="342"/>
      <c r="AR698" s="342"/>
      <c r="AS698" s="342"/>
      <c r="AT698" s="342"/>
      <c r="AU698" s="341"/>
      <c r="AV698" s="341"/>
      <c r="AW698" s="342"/>
      <c r="AX698" s="342"/>
      <c r="AY698" s="342"/>
      <c r="AZ698" s="342"/>
      <c r="BA698" s="342"/>
      <c r="BB698" s="342"/>
      <c r="BC698" s="342"/>
      <c r="BD698" s="342"/>
      <c r="BE698" s="342"/>
    </row>
    <row r="699" spans="1:57" ht="14.25" hidden="1" customHeight="1" outlineLevel="1">
      <c r="A699" s="362"/>
      <c r="B699" s="579"/>
      <c r="C699" s="362"/>
      <c r="D699" s="362"/>
      <c r="E699" s="240"/>
      <c r="F699" s="240"/>
      <c r="G699" s="240"/>
      <c r="H699" s="240"/>
      <c r="I699" s="240"/>
      <c r="J699" s="240"/>
      <c r="K699" s="240"/>
      <c r="L699" s="240"/>
      <c r="M699" s="240"/>
      <c r="N699" s="240"/>
      <c r="O699" s="240"/>
      <c r="P699" s="240"/>
      <c r="Q699" s="240"/>
      <c r="R699" s="240"/>
      <c r="S699" s="240"/>
      <c r="T699" s="240"/>
      <c r="U699" s="240"/>
      <c r="V699" s="240"/>
      <c r="W699" s="240"/>
      <c r="X699" s="240"/>
      <c r="Y699" s="273"/>
      <c r="Z699" s="273"/>
      <c r="AA699" s="612">
        <f>E698</f>
        <v>1</v>
      </c>
      <c r="AB699" s="613"/>
      <c r="AC699" s="613"/>
      <c r="AD699" s="426"/>
      <c r="AE699" s="426"/>
      <c r="AF699" s="426"/>
      <c r="AG699" s="424"/>
      <c r="AH699" s="424"/>
      <c r="AI699" s="424"/>
      <c r="AJ699" s="424"/>
      <c r="AK699" s="424"/>
      <c r="AL699" s="424"/>
      <c r="AM699" s="424"/>
      <c r="AN699" s="424"/>
      <c r="AO699" s="425"/>
      <c r="AP699" s="425"/>
      <c r="AQ699" s="426"/>
      <c r="AR699" s="426"/>
      <c r="AS699" s="426"/>
      <c r="AT699" s="426"/>
      <c r="AU699" s="340"/>
      <c r="AV699" s="340"/>
      <c r="AW699" s="426"/>
      <c r="AX699" s="426"/>
      <c r="AY699" s="426"/>
      <c r="AZ699" s="426"/>
      <c r="BA699" s="426"/>
      <c r="BB699" s="426"/>
      <c r="BC699" s="426"/>
      <c r="BD699" s="426"/>
      <c r="BE699" s="426"/>
    </row>
    <row r="700" spans="1:57" ht="14.25" hidden="1" customHeight="1" outlineLevel="1">
      <c r="A700" s="554" t="s">
        <v>2099</v>
      </c>
      <c r="B700" s="579"/>
      <c r="C700" s="362"/>
      <c r="D700" s="362"/>
      <c r="E700" s="240"/>
      <c r="F700" s="240"/>
      <c r="G700" s="240"/>
      <c r="H700" s="240"/>
      <c r="I700" s="240"/>
      <c r="J700" s="240"/>
      <c r="K700" s="240"/>
      <c r="L700" s="240"/>
      <c r="M700" s="240"/>
      <c r="N700" s="240"/>
      <c r="O700" s="240"/>
      <c r="P700" s="240"/>
      <c r="Q700" s="240"/>
      <c r="R700" s="240"/>
      <c r="S700" s="240"/>
      <c r="T700" s="240"/>
      <c r="U700" s="240"/>
      <c r="V700" s="240"/>
      <c r="W700" s="240"/>
      <c r="X700" s="240"/>
      <c r="Y700" s="273"/>
      <c r="Z700" s="273"/>
      <c r="AA700" s="612"/>
      <c r="AB700" s="613"/>
      <c r="AC700" s="613"/>
      <c r="AD700" s="426"/>
      <c r="AE700" s="426"/>
      <c r="AF700" s="426"/>
      <c r="AG700" s="424"/>
      <c r="AH700" s="424"/>
      <c r="AI700" s="424"/>
      <c r="AJ700" s="424"/>
      <c r="AK700" s="424"/>
      <c r="AL700" s="424"/>
      <c r="AM700" s="424"/>
      <c r="AN700" s="424"/>
      <c r="AO700" s="425"/>
      <c r="AP700" s="425"/>
      <c r="AQ700" s="426"/>
      <c r="AR700" s="426"/>
      <c r="AS700" s="426"/>
      <c r="AT700" s="426"/>
      <c r="AU700" s="340"/>
      <c r="AV700" s="340"/>
      <c r="AW700" s="426"/>
      <c r="AX700" s="426"/>
      <c r="AY700" s="426"/>
      <c r="AZ700" s="426"/>
      <c r="BA700" s="426"/>
      <c r="BB700" s="426"/>
      <c r="BC700" s="426"/>
      <c r="BD700" s="426"/>
      <c r="BE700" s="426"/>
    </row>
    <row r="701" spans="1:57" ht="14.25" hidden="1" customHeight="1" outlineLevel="1">
      <c r="A701" s="580" t="s">
        <v>880</v>
      </c>
      <c r="C701" s="366"/>
      <c r="D701" s="366"/>
      <c r="E701" s="366"/>
      <c r="F701" s="366"/>
      <c r="G701" s="366"/>
      <c r="H701" s="240"/>
      <c r="I701" s="240"/>
      <c r="J701" s="240"/>
      <c r="K701" s="240"/>
      <c r="L701" s="240"/>
      <c r="M701" s="240"/>
      <c r="N701" s="240"/>
      <c r="O701" s="240"/>
      <c r="P701" s="240"/>
      <c r="Q701" s="240"/>
      <c r="R701" s="240"/>
      <c r="S701" s="240"/>
      <c r="T701" s="240"/>
      <c r="U701" s="240"/>
      <c r="V701" s="240"/>
      <c r="W701" s="240"/>
      <c r="X701" s="240"/>
      <c r="Y701" s="273"/>
      <c r="Z701" s="273"/>
      <c r="AA701" s="273"/>
      <c r="AB701" s="614"/>
      <c r="AC701" s="614"/>
      <c r="AD701" s="424"/>
      <c r="AE701" s="424"/>
      <c r="AF701" s="424"/>
      <c r="AG701" s="424"/>
      <c r="AH701" s="424"/>
      <c r="AI701" s="424"/>
      <c r="AJ701" s="424"/>
      <c r="AK701" s="424"/>
      <c r="AL701" s="424"/>
      <c r="AM701" s="424"/>
      <c r="AN701" s="424"/>
      <c r="AO701" s="425"/>
      <c r="AP701" s="425"/>
      <c r="AQ701" s="426"/>
      <c r="AR701" s="426"/>
      <c r="AS701" s="426"/>
      <c r="AT701" s="426"/>
      <c r="AU701" s="340"/>
      <c r="AV701" s="340"/>
      <c r="AW701" s="426"/>
      <c r="AX701" s="426"/>
      <c r="AY701" s="426"/>
      <c r="AZ701" s="426"/>
      <c r="BA701" s="426"/>
      <c r="BB701" s="426"/>
      <c r="BC701" s="426"/>
      <c r="BD701" s="426"/>
      <c r="BE701" s="426"/>
    </row>
    <row r="702" spans="1:57" ht="14.25" hidden="1" customHeight="1" outlineLevel="1">
      <c r="A702" s="581" t="s">
        <v>2101</v>
      </c>
      <c r="B702" s="381"/>
      <c r="C702" s="381"/>
      <c r="D702" s="381"/>
      <c r="E702" s="381"/>
      <c r="F702" s="381"/>
      <c r="G702" s="381"/>
      <c r="H702" s="240"/>
      <c r="I702" s="240"/>
      <c r="J702" s="240"/>
      <c r="K702" s="240"/>
      <c r="L702" s="240"/>
      <c r="M702" s="240"/>
      <c r="N702" s="240"/>
      <c r="O702" s="240"/>
      <c r="P702" s="240"/>
      <c r="Q702" s="240"/>
      <c r="R702" s="240"/>
      <c r="S702" s="240"/>
      <c r="T702" s="240"/>
      <c r="U702" s="240"/>
      <c r="V702" s="240"/>
      <c r="W702" s="240"/>
      <c r="X702" s="240"/>
      <c r="Y702" s="273"/>
      <c r="Z702" s="273"/>
      <c r="AA702" s="273"/>
      <c r="AB702" s="614"/>
      <c r="AC702" s="614"/>
      <c r="AD702" s="424"/>
      <c r="AE702" s="424"/>
      <c r="AF702" s="424"/>
      <c r="AG702" s="424"/>
      <c r="AH702" s="424"/>
      <c r="AI702" s="424"/>
      <c r="AJ702" s="424"/>
      <c r="AK702" s="424"/>
      <c r="AL702" s="424"/>
      <c r="AM702" s="424"/>
      <c r="AN702" s="424"/>
      <c r="AO702" s="425"/>
      <c r="AP702" s="425"/>
      <c r="AQ702" s="426"/>
      <c r="AR702" s="426"/>
      <c r="AS702" s="426"/>
      <c r="AT702" s="426"/>
      <c r="AU702" s="340"/>
      <c r="AV702" s="340"/>
      <c r="AW702" s="426"/>
      <c r="AX702" s="426"/>
      <c r="AY702" s="426"/>
      <c r="AZ702" s="426"/>
      <c r="BA702" s="426"/>
      <c r="BB702" s="426"/>
      <c r="BC702" s="426"/>
      <c r="BD702" s="426"/>
      <c r="BE702" s="426"/>
    </row>
    <row r="703" spans="1:57" ht="14.25" hidden="1" customHeight="1" outlineLevel="1">
      <c r="A703" s="582" t="s">
        <v>2142</v>
      </c>
      <c r="D703" s="240"/>
      <c r="E703" s="240"/>
      <c r="F703" s="240"/>
      <c r="G703" s="354"/>
      <c r="H703" s="366"/>
      <c r="I703" s="366"/>
      <c r="J703" s="366"/>
      <c r="K703" s="366"/>
      <c r="L703" s="366"/>
      <c r="M703" s="366"/>
      <c r="N703" s="366"/>
      <c r="O703" s="366"/>
      <c r="P703" s="366"/>
      <c r="Q703" s="366"/>
      <c r="R703" s="366"/>
      <c r="S703" s="366"/>
      <c r="T703" s="366"/>
      <c r="U703" s="366"/>
      <c r="V703" s="366"/>
      <c r="W703" s="366"/>
      <c r="X703" s="366"/>
      <c r="Y703" s="366"/>
      <c r="Z703" s="366"/>
      <c r="AA703" s="354"/>
      <c r="AB703" s="354"/>
      <c r="AC703" s="354"/>
      <c r="AD703" s="366"/>
      <c r="AE703" s="366"/>
      <c r="AF703" s="240"/>
      <c r="AG703" s="240"/>
      <c r="AH703" s="366"/>
      <c r="AI703" s="240"/>
      <c r="AJ703" s="240"/>
      <c r="AK703" s="366"/>
      <c r="AL703" s="240"/>
      <c r="AM703" s="240"/>
      <c r="AN703" s="366"/>
      <c r="AO703" s="615"/>
      <c r="AP703" s="615"/>
      <c r="AQ703" s="340"/>
      <c r="AR703" s="340"/>
      <c r="AS703" s="340"/>
      <c r="AT703" s="340"/>
      <c r="AU703" s="340"/>
      <c r="AV703" s="340"/>
      <c r="AW703" s="340"/>
      <c r="AX703" s="342"/>
      <c r="AY703" s="342"/>
      <c r="AZ703" s="342"/>
      <c r="BA703" s="342"/>
      <c r="BB703" s="342"/>
      <c r="BC703" s="342"/>
      <c r="BD703" s="342"/>
      <c r="BE703" s="342"/>
    </row>
    <row r="704" spans="1:57" ht="14.25" hidden="1" customHeight="1" outlineLevel="1">
      <c r="A704" s="228" t="s">
        <v>1447</v>
      </c>
      <c r="B704" s="583" t="s">
        <v>1821</v>
      </c>
      <c r="C704" s="616"/>
      <c r="G704" s="240"/>
      <c r="H704" s="364"/>
      <c r="I704" s="354"/>
      <c r="J704" s="354"/>
      <c r="K704" s="240"/>
      <c r="L704" s="240"/>
      <c r="M704" s="370"/>
      <c r="N704" s="370"/>
      <c r="O704" s="617"/>
      <c r="P704" s="617"/>
      <c r="Q704" s="452"/>
      <c r="R704" s="452"/>
      <c r="S704" s="354"/>
      <c r="T704" s="354"/>
      <c r="U704" s="354"/>
      <c r="V704" s="354"/>
      <c r="W704" s="354"/>
      <c r="X704" s="354"/>
      <c r="Y704" s="354"/>
      <c r="Z704" s="354"/>
      <c r="AA704" s="354"/>
      <c r="AB704" s="354"/>
      <c r="AC704" s="354"/>
      <c r="AD704" s="354"/>
      <c r="AE704" s="354"/>
      <c r="AF704" s="354"/>
      <c r="AG704" s="354"/>
      <c r="AH704" s="354"/>
      <c r="AI704" s="354"/>
      <c r="AJ704" s="354"/>
      <c r="AK704" s="354"/>
      <c r="AL704" s="354"/>
      <c r="AM704" s="354"/>
      <c r="AN704" s="354"/>
      <c r="AO704" s="358"/>
      <c r="AP704" s="358"/>
      <c r="AQ704" s="342"/>
      <c r="AR704" s="342"/>
      <c r="AS704" s="342"/>
      <c r="AT704" s="342"/>
      <c r="AU704" s="341"/>
      <c r="AV704" s="341"/>
      <c r="AW704" s="342"/>
      <c r="AX704" s="342"/>
      <c r="AY704" s="342"/>
      <c r="AZ704" s="342"/>
      <c r="BA704" s="342"/>
      <c r="BB704" s="342"/>
      <c r="BC704" s="342"/>
      <c r="BD704" s="342"/>
      <c r="BE704" s="342"/>
    </row>
    <row r="705" spans="1:58" ht="14.25" hidden="1" customHeight="1" outlineLevel="1">
      <c r="A705" s="584" t="s">
        <v>2102</v>
      </c>
      <c r="B705" s="585" t="s">
        <v>1821</v>
      </c>
      <c r="C705" s="618"/>
      <c r="G705" s="618"/>
      <c r="H705" s="516"/>
      <c r="I705" s="354"/>
      <c r="J705" s="354"/>
      <c r="K705" s="240"/>
      <c r="L705" s="240"/>
      <c r="M705" s="370"/>
      <c r="N705" s="370"/>
      <c r="O705" s="617"/>
      <c r="P705" s="617"/>
      <c r="Q705" s="452"/>
      <c r="R705" s="452"/>
      <c r="S705" s="354"/>
      <c r="T705" s="354"/>
      <c r="U705" s="354"/>
      <c r="V705" s="354"/>
      <c r="W705" s="354"/>
      <c r="X705" s="354"/>
      <c r="Y705" s="354"/>
      <c r="Z705" s="354"/>
      <c r="AA705" s="354"/>
      <c r="AB705" s="354"/>
      <c r="AC705" s="354"/>
      <c r="AD705" s="354"/>
      <c r="AE705" s="354"/>
      <c r="AF705" s="354"/>
      <c r="AG705" s="354"/>
      <c r="AH705" s="354"/>
      <c r="AI705" s="354"/>
      <c r="AJ705" s="354"/>
      <c r="AK705" s="354"/>
      <c r="AL705" s="354"/>
      <c r="AM705" s="354"/>
      <c r="AN705" s="354"/>
      <c r="AO705" s="358"/>
      <c r="AP705" s="358"/>
      <c r="AQ705" s="342"/>
      <c r="AR705" s="342"/>
      <c r="AS705" s="342"/>
      <c r="AT705" s="342"/>
      <c r="AU705" s="341"/>
      <c r="AV705" s="341"/>
      <c r="AW705" s="342"/>
      <c r="AX705" s="342"/>
      <c r="AY705" s="342"/>
      <c r="AZ705" s="342"/>
      <c r="BA705" s="342"/>
      <c r="BB705" s="342"/>
      <c r="BC705" s="342"/>
      <c r="BD705" s="342"/>
      <c r="BE705" s="342"/>
    </row>
    <row r="706" spans="1:58" ht="14.25" hidden="1" customHeight="1" outlineLevel="1">
      <c r="A706" s="584" t="s">
        <v>2103</v>
      </c>
      <c r="B706" s="585" t="s">
        <v>1821</v>
      </c>
      <c r="C706" s="618"/>
      <c r="G706" s="618"/>
      <c r="H706" s="516"/>
      <c r="I706" s="354"/>
      <c r="J706" s="354"/>
      <c r="K706" s="240"/>
      <c r="L706" s="240"/>
      <c r="M706" s="370"/>
      <c r="N706" s="370"/>
      <c r="O706" s="617"/>
      <c r="P706" s="617"/>
      <c r="Q706" s="452"/>
      <c r="R706" s="452"/>
      <c r="S706" s="354"/>
      <c r="T706" s="354"/>
      <c r="U706" s="354"/>
      <c r="V706" s="354"/>
      <c r="W706" s="354"/>
      <c r="X706" s="354"/>
      <c r="Y706" s="354"/>
      <c r="Z706" s="354"/>
      <c r="AA706" s="354"/>
      <c r="AB706" s="354"/>
      <c r="AC706" s="354"/>
      <c r="AD706" s="354"/>
      <c r="AE706" s="354"/>
      <c r="AF706" s="354"/>
      <c r="AG706" s="354"/>
      <c r="AH706" s="354"/>
      <c r="AI706" s="354"/>
      <c r="AJ706" s="354"/>
      <c r="AK706" s="354"/>
      <c r="AL706" s="354"/>
      <c r="AM706" s="354"/>
      <c r="AN706" s="354"/>
      <c r="AO706" s="358"/>
      <c r="AP706" s="358"/>
      <c r="AQ706" s="342"/>
      <c r="AR706" s="342"/>
      <c r="AS706" s="342"/>
      <c r="AT706" s="342"/>
      <c r="AU706" s="341"/>
      <c r="AV706" s="341"/>
      <c r="AW706" s="342"/>
      <c r="AX706" s="342"/>
      <c r="AY706" s="342"/>
      <c r="AZ706" s="342"/>
      <c r="BA706" s="342"/>
      <c r="BB706" s="342"/>
      <c r="BC706" s="342"/>
      <c r="BD706" s="342"/>
      <c r="BE706" s="342"/>
    </row>
    <row r="707" spans="1:58" ht="14.25" hidden="1" customHeight="1" outlineLevel="1">
      <c r="A707" s="586" t="s">
        <v>917</v>
      </c>
      <c r="B707" s="587" t="s">
        <v>1821</v>
      </c>
      <c r="C707" s="618"/>
      <c r="G707" s="618"/>
      <c r="H707" s="516"/>
      <c r="I707" s="354"/>
      <c r="J707" s="354"/>
      <c r="K707" s="240"/>
      <c r="L707" s="240"/>
      <c r="M707" s="370"/>
      <c r="N707" s="370"/>
      <c r="O707" s="617"/>
      <c r="P707" s="617"/>
      <c r="Q707" s="452"/>
      <c r="R707" s="452"/>
      <c r="S707" s="354"/>
      <c r="T707" s="354"/>
      <c r="U707" s="354"/>
      <c r="V707" s="354"/>
      <c r="W707" s="354"/>
      <c r="X707" s="354"/>
      <c r="Y707" s="354"/>
      <c r="Z707" s="354"/>
      <c r="AA707" s="354"/>
      <c r="AB707" s="354"/>
      <c r="AC707" s="354"/>
      <c r="AD707" s="354"/>
      <c r="AE707" s="354"/>
      <c r="AF707" s="354"/>
      <c r="AG707" s="354"/>
      <c r="AH707" s="354"/>
      <c r="AI707" s="354"/>
      <c r="AJ707" s="354"/>
      <c r="AK707" s="354"/>
      <c r="AL707" s="354"/>
      <c r="AM707" s="354"/>
      <c r="AN707" s="354"/>
      <c r="AO707" s="358"/>
      <c r="AP707" s="358"/>
      <c r="AQ707" s="342"/>
      <c r="AR707" s="342"/>
      <c r="AS707" s="342"/>
      <c r="AT707" s="342"/>
      <c r="AU707" s="341"/>
      <c r="AV707" s="341"/>
      <c r="AW707" s="342"/>
      <c r="AX707" s="342"/>
      <c r="AY707" s="342"/>
      <c r="AZ707" s="342"/>
      <c r="BA707" s="342"/>
      <c r="BB707" s="342"/>
      <c r="BC707" s="342"/>
      <c r="BD707" s="342"/>
      <c r="BE707" s="342"/>
    </row>
    <row r="708" spans="1:58" ht="14.25" hidden="1" customHeight="1" outlineLevel="1">
      <c r="A708" s="618"/>
      <c r="B708" s="587"/>
      <c r="C708" s="618"/>
      <c r="G708" s="618"/>
      <c r="H708" s="516"/>
      <c r="I708" s="354"/>
      <c r="J708" s="354"/>
      <c r="K708" s="240"/>
      <c r="L708" s="240"/>
      <c r="M708" s="370"/>
      <c r="N708" s="370"/>
      <c r="O708" s="617"/>
      <c r="P708" s="617"/>
      <c r="Q708" s="452"/>
      <c r="R708" s="452"/>
      <c r="S708" s="354"/>
      <c r="T708" s="354"/>
      <c r="U708" s="354"/>
      <c r="V708" s="354"/>
      <c r="W708" s="354"/>
      <c r="X708" s="354"/>
      <c r="Y708" s="354"/>
      <c r="Z708" s="354"/>
      <c r="AA708" s="354"/>
      <c r="AB708" s="354"/>
      <c r="AC708" s="354"/>
      <c r="AD708" s="354"/>
      <c r="AE708" s="354"/>
      <c r="AF708" s="354"/>
      <c r="AG708" s="354"/>
      <c r="AH708" s="354"/>
      <c r="AI708" s="354"/>
      <c r="AJ708" s="354"/>
      <c r="AK708" s="354"/>
      <c r="AL708" s="354"/>
      <c r="AM708" s="354"/>
      <c r="AN708" s="354"/>
      <c r="AO708" s="358"/>
      <c r="AP708" s="358"/>
      <c r="AQ708" s="342"/>
      <c r="AR708" s="342"/>
      <c r="AS708" s="342"/>
      <c r="AT708" s="342"/>
      <c r="AU708" s="341"/>
      <c r="AV708" s="341"/>
      <c r="AW708" s="342"/>
      <c r="AX708" s="342"/>
      <c r="AY708" s="342"/>
      <c r="AZ708" s="342"/>
      <c r="BA708" s="342"/>
      <c r="BB708" s="342"/>
      <c r="BC708" s="342"/>
      <c r="BD708" s="342"/>
      <c r="BE708" s="342"/>
    </row>
    <row r="709" spans="1:58" ht="14.25" hidden="1" customHeight="1" outlineLevel="1">
      <c r="A709" s="414" t="s">
        <v>152</v>
      </c>
      <c r="B709" s="602" t="s">
        <v>1793</v>
      </c>
      <c r="C709" s="603">
        <v>1</v>
      </c>
      <c r="G709" s="618"/>
      <c r="H709" s="516"/>
      <c r="I709" s="354"/>
      <c r="J709" s="354"/>
      <c r="K709" s="240"/>
      <c r="L709" s="240"/>
      <c r="M709" s="370"/>
      <c r="N709" s="370"/>
      <c r="O709" s="617"/>
      <c r="P709" s="617"/>
      <c r="Q709" s="452"/>
      <c r="R709" s="452"/>
      <c r="S709" s="354"/>
      <c r="T709" s="354"/>
      <c r="U709" s="354"/>
      <c r="V709" s="354"/>
      <c r="W709" s="354"/>
      <c r="X709" s="354"/>
      <c r="Y709" s="354"/>
      <c r="Z709" s="354"/>
      <c r="AA709" s="354"/>
      <c r="AB709" s="354"/>
      <c r="AC709" s="354"/>
      <c r="AD709" s="354"/>
      <c r="AE709" s="354"/>
      <c r="AF709" s="354"/>
      <c r="AG709" s="354"/>
      <c r="AH709" s="354"/>
      <c r="AI709" s="354"/>
      <c r="AJ709" s="354"/>
      <c r="AK709" s="354"/>
      <c r="AL709" s="354"/>
      <c r="AM709" s="354"/>
      <c r="AN709" s="354"/>
      <c r="AO709" s="358"/>
      <c r="AP709" s="358"/>
      <c r="AQ709" s="342"/>
      <c r="AR709" s="342"/>
      <c r="AS709" s="342"/>
      <c r="AT709" s="342"/>
      <c r="AU709" s="341"/>
      <c r="AV709" s="341"/>
      <c r="AW709" s="342"/>
      <c r="AX709" s="342"/>
      <c r="AY709" s="342"/>
      <c r="AZ709" s="342"/>
      <c r="BA709" s="342"/>
      <c r="BB709" s="342"/>
      <c r="BC709" s="342"/>
      <c r="BD709" s="342"/>
      <c r="BE709" s="342"/>
    </row>
    <row r="710" spans="1:58" ht="14.25" hidden="1" customHeight="1" outlineLevel="1">
      <c r="A710" s="489" t="s">
        <v>152</v>
      </c>
      <c r="B710" s="602" t="s">
        <v>1793</v>
      </c>
      <c r="C710" s="604">
        <v>0</v>
      </c>
      <c r="G710" s="618"/>
      <c r="H710" s="516"/>
      <c r="I710" s="354"/>
      <c r="J710" s="354"/>
      <c r="K710" s="240"/>
      <c r="L710" s="240"/>
      <c r="M710" s="370"/>
      <c r="N710" s="370"/>
      <c r="O710" s="617"/>
      <c r="P710" s="617"/>
      <c r="Q710" s="452"/>
      <c r="R710" s="452"/>
      <c r="S710" s="354"/>
      <c r="T710" s="354"/>
      <c r="U710" s="354"/>
      <c r="V710" s="354"/>
      <c r="W710" s="354"/>
      <c r="X710" s="354"/>
      <c r="Y710" s="354"/>
      <c r="Z710" s="354"/>
      <c r="AA710" s="354"/>
      <c r="AB710" s="354"/>
      <c r="AC710" s="354"/>
      <c r="AD710" s="354"/>
      <c r="AE710" s="354"/>
      <c r="AF710" s="354"/>
      <c r="AG710" s="354"/>
      <c r="AH710" s="354"/>
      <c r="AI710" s="354"/>
      <c r="AJ710" s="354"/>
      <c r="AK710" s="354"/>
      <c r="AL710" s="354"/>
      <c r="AM710" s="354"/>
      <c r="AN710" s="354"/>
      <c r="AO710" s="358"/>
      <c r="AP710" s="358"/>
      <c r="AQ710" s="342"/>
      <c r="AR710" s="342"/>
      <c r="AS710" s="342"/>
      <c r="AT710" s="342"/>
      <c r="AU710" s="341"/>
      <c r="AV710" s="341"/>
      <c r="AW710" s="342"/>
      <c r="AX710" s="342"/>
      <c r="AY710" s="342"/>
      <c r="AZ710" s="342"/>
      <c r="BA710" s="342"/>
      <c r="BB710" s="342"/>
      <c r="BC710" s="342"/>
      <c r="BD710" s="342"/>
      <c r="BE710" s="342"/>
    </row>
    <row r="711" spans="1:58" ht="14.25" hidden="1" customHeight="1" outlineLevel="1">
      <c r="A711" s="489" t="s">
        <v>152</v>
      </c>
      <c r="B711" s="602" t="s">
        <v>1793</v>
      </c>
      <c r="C711" s="604">
        <v>0</v>
      </c>
      <c r="G711" s="616"/>
      <c r="H711" s="616"/>
      <c r="I711" s="616"/>
      <c r="J711" s="616"/>
      <c r="K711" s="616"/>
      <c r="L711" s="616"/>
      <c r="M711" s="616"/>
      <c r="N711" s="616"/>
      <c r="O711" s="616"/>
      <c r="P711" s="616"/>
      <c r="Q711" s="452"/>
      <c r="R711" s="452"/>
      <c r="S711" s="354"/>
      <c r="T711" s="354"/>
      <c r="U711" s="354"/>
      <c r="V711" s="354"/>
      <c r="W711" s="354"/>
      <c r="X711" s="354"/>
      <c r="Y711" s="354"/>
      <c r="Z711" s="354"/>
      <c r="AA711" s="354"/>
      <c r="AB711" s="354"/>
      <c r="AC711" s="354"/>
      <c r="AD711" s="354"/>
      <c r="AE711" s="354"/>
      <c r="AF711" s="354"/>
      <c r="AG711" s="354"/>
      <c r="AH711" s="354"/>
      <c r="AI711" s="354"/>
      <c r="AJ711" s="354"/>
      <c r="AK711" s="354"/>
      <c r="AL711" s="354"/>
      <c r="AM711" s="354"/>
      <c r="AN711" s="354"/>
      <c r="AO711" s="358"/>
      <c r="AP711" s="358"/>
      <c r="AQ711" s="342"/>
      <c r="AR711" s="342"/>
      <c r="AS711" s="342"/>
      <c r="AT711" s="342"/>
      <c r="AU711" s="341"/>
      <c r="AV711" s="341"/>
      <c r="AW711" s="342"/>
      <c r="AX711" s="342"/>
      <c r="AY711" s="342"/>
      <c r="AZ711" s="342"/>
      <c r="BA711" s="342"/>
      <c r="BB711" s="342"/>
      <c r="BC711" s="342"/>
      <c r="BD711" s="342"/>
      <c r="BE711" s="342"/>
    </row>
    <row r="712" spans="1:58" ht="14.25" hidden="1" customHeight="1" outlineLevel="1">
      <c r="A712" s="263" t="s">
        <v>2143</v>
      </c>
      <c r="B712" s="262" t="s">
        <v>1796</v>
      </c>
      <c r="C712" s="605">
        <v>6000</v>
      </c>
      <c r="G712" s="616"/>
      <c r="H712" s="616"/>
      <c r="I712" s="616"/>
      <c r="J712" s="616"/>
      <c r="K712" s="616"/>
      <c r="L712" s="616"/>
      <c r="M712" s="616"/>
      <c r="N712" s="616"/>
      <c r="O712" s="617"/>
      <c r="P712" s="617"/>
      <c r="Q712" s="452"/>
      <c r="R712" s="452"/>
      <c r="S712" s="354"/>
      <c r="T712" s="354"/>
      <c r="U712" s="354"/>
      <c r="V712" s="354"/>
      <c r="W712" s="354"/>
      <c r="X712" s="354"/>
      <c r="Y712" s="354"/>
      <c r="Z712" s="354"/>
      <c r="AA712" s="354"/>
      <c r="AB712" s="354"/>
      <c r="AC712" s="354"/>
      <c r="AD712" s="354"/>
      <c r="AE712" s="354"/>
      <c r="AF712" s="354"/>
      <c r="AG712" s="354"/>
      <c r="AH712" s="354"/>
      <c r="AI712" s="354"/>
      <c r="AJ712" s="354"/>
      <c r="AK712" s="354"/>
      <c r="AL712" s="354"/>
      <c r="AM712" s="354"/>
      <c r="AN712" s="354"/>
      <c r="AO712" s="358"/>
      <c r="AP712" s="358"/>
      <c r="AQ712" s="342"/>
      <c r="AR712" s="342"/>
      <c r="AS712" s="342"/>
      <c r="AT712" s="342"/>
      <c r="AU712" s="341"/>
      <c r="AV712" s="341"/>
      <c r="AW712" s="342"/>
      <c r="AX712" s="342"/>
      <c r="AY712" s="342"/>
      <c r="AZ712" s="342"/>
      <c r="BA712" s="342"/>
      <c r="BB712" s="342"/>
      <c r="BC712" s="342"/>
      <c r="BD712" s="342"/>
      <c r="BE712" s="342"/>
    </row>
    <row r="713" spans="1:58" s="364" customFormat="1" ht="14.25" hidden="1" customHeight="1" outlineLevel="1">
      <c r="A713" s="492"/>
      <c r="B713" s="490"/>
      <c r="C713" s="492"/>
      <c r="G713" s="616"/>
      <c r="H713" s="616"/>
      <c r="I713" s="616"/>
      <c r="J713" s="616"/>
      <c r="K713" s="616"/>
      <c r="L713" s="616"/>
      <c r="M713" s="616"/>
      <c r="N713" s="616"/>
      <c r="O713" s="617"/>
      <c r="P713" s="617"/>
      <c r="Q713" s="366"/>
      <c r="R713" s="366"/>
      <c r="S713" s="366"/>
      <c r="T713" s="366"/>
      <c r="U713" s="366"/>
      <c r="V713" s="366"/>
      <c r="W713" s="366"/>
      <c r="X713" s="366"/>
      <c r="Y713" s="366"/>
      <c r="Z713" s="366"/>
      <c r="AA713" s="366"/>
      <c r="AB713" s="366"/>
      <c r="AC713" s="366"/>
      <c r="AD713" s="366"/>
      <c r="AE713" s="366"/>
      <c r="AF713" s="366"/>
      <c r="AG713" s="366"/>
      <c r="AH713" s="366"/>
      <c r="AI713" s="366"/>
      <c r="AJ713" s="366"/>
      <c r="AK713" s="366"/>
      <c r="AL713" s="366"/>
      <c r="AM713" s="366"/>
      <c r="AN713" s="366"/>
      <c r="AO713" s="367"/>
      <c r="AP713" s="367"/>
      <c r="AQ713" s="340"/>
      <c r="AR713" s="340"/>
      <c r="AS713" s="340"/>
      <c r="AT713" s="340"/>
      <c r="AU713" s="340"/>
      <c r="AV713" s="340"/>
      <c r="AW713" s="340"/>
      <c r="AX713" s="340"/>
      <c r="AY713" s="340"/>
      <c r="AZ713" s="340"/>
      <c r="BA713" s="340"/>
      <c r="BB713" s="340"/>
      <c r="BC713" s="340"/>
      <c r="BD713" s="340"/>
      <c r="BE713" s="340"/>
      <c r="BF713" s="368"/>
    </row>
    <row r="714" spans="1:58" ht="14.25" customHeight="1" collapsed="1">
      <c r="A714" s="3111" t="s">
        <v>2144</v>
      </c>
      <c r="B714" s="3111"/>
      <c r="C714" s="3111"/>
      <c r="D714" s="3111"/>
      <c r="E714" s="3111"/>
      <c r="F714" s="583" t="s">
        <v>1798</v>
      </c>
      <c r="H714" s="619"/>
      <c r="I714" s="619"/>
      <c r="J714" s="619"/>
      <c r="K714" s="619"/>
      <c r="L714" s="619"/>
      <c r="M714" s="3112"/>
      <c r="N714" s="3112"/>
      <c r="O714" s="3112"/>
      <c r="P714" s="617"/>
      <c r="Q714" s="452"/>
      <c r="R714" s="452"/>
      <c r="S714" s="354"/>
      <c r="T714" s="354"/>
      <c r="U714" s="354"/>
      <c r="V714" s="354"/>
      <c r="W714" s="354"/>
      <c r="X714" s="354"/>
      <c r="Y714" s="354"/>
      <c r="Z714" s="354"/>
      <c r="AA714" s="354"/>
      <c r="AB714" s="354"/>
      <c r="AC714" s="354"/>
      <c r="AD714" s="354"/>
      <c r="AE714" s="354"/>
      <c r="AF714" s="354"/>
      <c r="AG714" s="354"/>
      <c r="AH714" s="354"/>
      <c r="AI714" s="354"/>
      <c r="AJ714" s="354"/>
      <c r="AK714" s="354"/>
      <c r="AL714" s="354"/>
      <c r="AM714" s="354"/>
      <c r="AN714" s="354"/>
      <c r="AO714" s="358"/>
      <c r="AP714" s="358"/>
      <c r="AQ714" s="342"/>
      <c r="AR714" s="342"/>
      <c r="AS714" s="342"/>
      <c r="AT714" s="342"/>
      <c r="AU714" s="341"/>
      <c r="AV714" s="384">
        <f>M714</f>
        <v>0</v>
      </c>
      <c r="AW714" s="342"/>
      <c r="AX714" s="342"/>
      <c r="AY714" s="342"/>
      <c r="AZ714" s="342"/>
      <c r="BA714" s="342"/>
      <c r="BB714" s="342"/>
      <c r="BC714" s="342"/>
      <c r="BD714" s="342"/>
      <c r="BE714" s="342"/>
    </row>
    <row r="715" spans="1:58" ht="14.25" customHeight="1">
      <c r="A715" s="482"/>
      <c r="B715" s="355"/>
      <c r="C715" s="502"/>
      <c r="D715" s="502"/>
      <c r="E715" s="502"/>
      <c r="F715" s="502"/>
      <c r="G715" s="502"/>
      <c r="H715" s="355"/>
      <c r="I715" s="472"/>
      <c r="J715" s="505"/>
      <c r="K715" s="620"/>
      <c r="L715" s="460"/>
      <c r="M715" s="505"/>
      <c r="N715" s="452"/>
      <c r="O715" s="452"/>
      <c r="P715" s="452"/>
      <c r="Q715" s="354"/>
      <c r="R715" s="354"/>
      <c r="S715" s="354"/>
      <c r="T715" s="354"/>
      <c r="U715" s="354"/>
      <c r="V715" s="354"/>
      <c r="W715" s="354"/>
      <c r="X715" s="354"/>
      <c r="Y715" s="354"/>
      <c r="Z715" s="354"/>
      <c r="AA715" s="354"/>
      <c r="AB715" s="354"/>
      <c r="AC715" s="354"/>
      <c r="AD715" s="354"/>
      <c r="AE715" s="354"/>
      <c r="AF715" s="354"/>
      <c r="AG715" s="354"/>
      <c r="AH715" s="354"/>
      <c r="AI715" s="354"/>
      <c r="AJ715" s="354"/>
      <c r="AK715" s="354"/>
      <c r="AL715" s="354"/>
      <c r="AM715" s="354"/>
      <c r="AN715" s="354"/>
      <c r="AO715" s="358"/>
      <c r="AP715" s="358"/>
      <c r="AQ715" s="342"/>
      <c r="AR715" s="342"/>
      <c r="AS715" s="342"/>
      <c r="AT715" s="342"/>
      <c r="AU715" s="341"/>
      <c r="AV715" s="341"/>
      <c r="AW715" s="342"/>
      <c r="AX715" s="342"/>
      <c r="AY715" s="342"/>
      <c r="AZ715" s="342"/>
      <c r="BA715" s="342"/>
      <c r="BB715" s="342"/>
      <c r="BC715" s="342"/>
      <c r="BD715" s="342"/>
      <c r="BE715" s="342"/>
    </row>
    <row r="716" spans="1:58" ht="14.25" hidden="1" customHeight="1" outlineLevel="1">
      <c r="A716" s="3108" t="s">
        <v>2145</v>
      </c>
      <c r="B716" s="3108"/>
      <c r="C716" s="3108"/>
      <c r="D716" s="3108"/>
      <c r="E716" s="3108"/>
      <c r="F716" s="3108"/>
      <c r="G716" s="3108"/>
      <c r="H716" s="606"/>
      <c r="I716" s="606"/>
      <c r="J716" s="606"/>
      <c r="K716" s="606"/>
      <c r="L716" s="606"/>
      <c r="M716" s="606"/>
      <c r="N716" s="606"/>
      <c r="O716" s="606"/>
      <c r="P716" s="606"/>
      <c r="Q716" s="606"/>
      <c r="R716" s="606"/>
      <c r="S716" s="606"/>
      <c r="T716" s="606"/>
      <c r="U716" s="606"/>
      <c r="V716" s="606"/>
      <c r="W716" s="606"/>
      <c r="X716" s="606"/>
      <c r="Y716" s="606"/>
      <c r="Z716" s="606"/>
      <c r="AA716" s="606"/>
      <c r="AB716" s="606"/>
      <c r="AC716" s="606"/>
      <c r="AD716" s="606"/>
      <c r="AE716" s="606"/>
      <c r="AF716" s="354"/>
      <c r="AG716" s="354"/>
      <c r="AH716" s="354"/>
      <c r="AI716" s="354"/>
      <c r="AJ716" s="354"/>
      <c r="AK716" s="354"/>
      <c r="AL716" s="354"/>
      <c r="AM716" s="354"/>
      <c r="AN716" s="354"/>
      <c r="AO716" s="358"/>
      <c r="AP716" s="358"/>
      <c r="AQ716" s="342"/>
      <c r="AR716" s="342"/>
      <c r="AS716" s="342"/>
      <c r="AT716" s="342"/>
      <c r="AU716" s="341"/>
      <c r="AV716" s="341"/>
      <c r="AW716" s="342"/>
      <c r="AX716" s="342"/>
      <c r="AY716" s="342"/>
      <c r="AZ716" s="342"/>
      <c r="BA716" s="342"/>
      <c r="BB716" s="342"/>
      <c r="BC716" s="342"/>
      <c r="BD716" s="342"/>
      <c r="BE716" s="342"/>
    </row>
    <row r="717" spans="1:58" ht="14.25" hidden="1" customHeight="1" outlineLevel="1">
      <c r="A717" s="3108"/>
      <c r="B717" s="3108"/>
      <c r="C717" s="3108"/>
      <c r="D717" s="3108"/>
      <c r="E717" s="3108"/>
      <c r="F717" s="3108"/>
      <c r="G717" s="3108"/>
      <c r="H717" s="606"/>
      <c r="I717" s="606"/>
      <c r="J717" s="606"/>
      <c r="K717" s="606"/>
      <c r="L717" s="606"/>
      <c r="M717" s="606"/>
      <c r="N717" s="606"/>
      <c r="O717" s="606"/>
      <c r="P717" s="606"/>
      <c r="Q717" s="606"/>
      <c r="R717" s="606"/>
      <c r="S717" s="606"/>
      <c r="T717" s="606"/>
      <c r="U717" s="606"/>
      <c r="V717" s="606"/>
      <c r="W717" s="606"/>
      <c r="X717" s="606"/>
      <c r="Y717" s="606"/>
      <c r="Z717" s="606"/>
      <c r="AA717" s="606"/>
      <c r="AB717" s="606"/>
      <c r="AC717" s="606"/>
      <c r="AD717" s="606"/>
      <c r="AE717" s="606"/>
      <c r="AF717" s="354"/>
      <c r="AG717" s="354"/>
      <c r="AH717" s="354"/>
      <c r="AI717" s="354"/>
      <c r="AJ717" s="354"/>
      <c r="AK717" s="354"/>
      <c r="AL717" s="354"/>
      <c r="AM717" s="354"/>
      <c r="AN717" s="354"/>
      <c r="AO717" s="358"/>
      <c r="AP717" s="358"/>
      <c r="AQ717" s="342"/>
      <c r="AR717" s="342"/>
      <c r="AS717" s="342"/>
      <c r="AT717" s="342"/>
      <c r="AU717" s="341"/>
      <c r="AV717" s="341"/>
      <c r="AW717" s="342"/>
      <c r="AX717" s="342"/>
      <c r="AY717" s="342"/>
      <c r="AZ717" s="342"/>
      <c r="BA717" s="342"/>
      <c r="BB717" s="342"/>
      <c r="BC717" s="342"/>
      <c r="BD717" s="342"/>
      <c r="BE717" s="342"/>
    </row>
    <row r="718" spans="1:58" ht="14.25" hidden="1" customHeight="1" outlineLevel="1">
      <c r="A718" s="621" t="s">
        <v>1806</v>
      </c>
      <c r="B718" s="434"/>
      <c r="C718" s="621"/>
      <c r="D718" s="622">
        <v>1.1000000000000001</v>
      </c>
      <c r="G718" s="240"/>
      <c r="H718" s="240"/>
      <c r="I718" s="240"/>
      <c r="J718" s="240"/>
      <c r="K718" s="240"/>
      <c r="L718" s="240"/>
      <c r="M718" s="240"/>
      <c r="N718" s="240"/>
      <c r="O718" s="240"/>
      <c r="P718" s="240"/>
      <c r="Q718" s="240"/>
      <c r="R718" s="240"/>
      <c r="S718" s="240"/>
      <c r="T718" s="240"/>
      <c r="U718" s="240"/>
      <c r="V718" s="240"/>
      <c r="W718" s="240"/>
      <c r="X718" s="240"/>
      <c r="Y718" s="240"/>
      <c r="Z718" s="240"/>
      <c r="AA718" s="240"/>
      <c r="AB718" s="354"/>
      <c r="AC718" s="354"/>
      <c r="AD718" s="354"/>
      <c r="AE718" s="426"/>
      <c r="AF718" s="354"/>
      <c r="AG718" s="354"/>
      <c r="AH718" s="354"/>
      <c r="AI718" s="354"/>
      <c r="AJ718" s="354"/>
      <c r="AK718" s="354"/>
      <c r="AL718" s="354"/>
      <c r="AM718" s="354"/>
      <c r="AN718" s="354"/>
      <c r="AO718" s="358"/>
      <c r="AP718" s="358"/>
      <c r="AQ718" s="342"/>
      <c r="AR718" s="342"/>
      <c r="AS718" s="342"/>
      <c r="AT718" s="342"/>
      <c r="AU718" s="341"/>
      <c r="AV718" s="341"/>
      <c r="AW718" s="342"/>
      <c r="AX718" s="342"/>
      <c r="AY718" s="342"/>
      <c r="AZ718" s="342"/>
      <c r="BA718" s="342"/>
      <c r="BB718" s="342"/>
      <c r="BC718" s="342"/>
      <c r="BD718" s="342"/>
      <c r="BE718" s="342"/>
    </row>
    <row r="719" spans="1:58" ht="14.25" hidden="1" customHeight="1" outlineLevel="1">
      <c r="A719" s="430" t="s">
        <v>1808</v>
      </c>
      <c r="B719" s="435"/>
      <c r="C719" s="430"/>
      <c r="D719" s="592">
        <v>1.05</v>
      </c>
      <c r="G719" s="240"/>
      <c r="H719" s="240"/>
      <c r="I719" s="240"/>
      <c r="J719" s="240"/>
      <c r="K719" s="240"/>
      <c r="L719" s="240"/>
      <c r="M719" s="240"/>
      <c r="N719" s="240"/>
      <c r="O719" s="240"/>
      <c r="P719" s="240"/>
      <c r="Q719" s="240"/>
      <c r="R719" s="240"/>
      <c r="S719" s="240"/>
      <c r="T719" s="240"/>
      <c r="U719" s="240"/>
      <c r="V719" s="240"/>
      <c r="W719" s="240"/>
      <c r="X719" s="240"/>
      <c r="Y719" s="240"/>
      <c r="Z719" s="240"/>
      <c r="AA719" s="240"/>
      <c r="AB719" s="354"/>
      <c r="AC719" s="354"/>
      <c r="AD719" s="354"/>
      <c r="AE719" s="354"/>
      <c r="AF719" s="354"/>
      <c r="AG719" s="354"/>
      <c r="AH719" s="354"/>
      <c r="AI719" s="354"/>
      <c r="AJ719" s="354"/>
      <c r="AK719" s="354"/>
      <c r="AL719" s="354"/>
      <c r="AM719" s="354"/>
      <c r="AN719" s="354"/>
      <c r="AO719" s="358"/>
      <c r="AP719" s="358"/>
      <c r="AQ719" s="342"/>
      <c r="AR719" s="342"/>
      <c r="AS719" s="342"/>
      <c r="AT719" s="342"/>
      <c r="AU719" s="341"/>
      <c r="AV719" s="341"/>
      <c r="AW719" s="342"/>
      <c r="AX719" s="342"/>
      <c r="AY719" s="342"/>
      <c r="AZ719" s="342"/>
      <c r="BA719" s="342"/>
      <c r="BB719" s="342"/>
      <c r="BC719" s="342"/>
      <c r="BD719" s="342"/>
      <c r="BE719" s="342"/>
    </row>
    <row r="720" spans="1:58" ht="14.25" hidden="1" customHeight="1" outlineLevel="1">
      <c r="A720" s="364"/>
      <c r="B720" s="273"/>
      <c r="C720" s="240"/>
      <c r="D720" s="240"/>
      <c r="E720" s="240"/>
      <c r="F720" s="240"/>
      <c r="G720" s="240"/>
      <c r="H720" s="240"/>
      <c r="I720" s="240"/>
      <c r="J720" s="240"/>
      <c r="K720" s="240"/>
      <c r="L720" s="240"/>
      <c r="M720" s="240"/>
      <c r="N720" s="240"/>
      <c r="O720" s="240"/>
      <c r="P720" s="240"/>
      <c r="Q720" s="240"/>
      <c r="R720" s="240"/>
      <c r="S720" s="240"/>
      <c r="T720" s="240"/>
      <c r="U720" s="240"/>
      <c r="V720" s="240"/>
      <c r="W720" s="240"/>
      <c r="X720" s="240"/>
      <c r="Y720" s="273"/>
      <c r="Z720" s="273"/>
      <c r="AA720" s="612"/>
      <c r="AB720" s="424"/>
      <c r="AC720" s="424"/>
      <c r="AD720" s="424"/>
      <c r="AE720" s="424"/>
      <c r="AF720" s="424"/>
      <c r="AG720" s="424"/>
      <c r="AH720" s="424"/>
      <c r="AI720" s="424"/>
      <c r="AJ720" s="424"/>
      <c r="AK720" s="424"/>
      <c r="AL720" s="424"/>
      <c r="AM720" s="424"/>
      <c r="AN720" s="424"/>
      <c r="AO720" s="425"/>
      <c r="AP720" s="425"/>
      <c r="AQ720" s="426"/>
      <c r="AR720" s="426"/>
      <c r="AS720" s="426"/>
      <c r="AT720" s="426"/>
      <c r="AU720" s="340"/>
      <c r="AV720" s="340"/>
      <c r="AW720" s="426"/>
      <c r="AX720" s="426"/>
      <c r="AY720" s="426"/>
      <c r="AZ720" s="426"/>
      <c r="BA720" s="426"/>
      <c r="BB720" s="426"/>
      <c r="BC720" s="426"/>
      <c r="BD720" s="426"/>
      <c r="BE720" s="426"/>
    </row>
    <row r="721" spans="1:58" ht="14.25" hidden="1" customHeight="1" outlineLevel="1">
      <c r="A721" s="513" t="s">
        <v>2146</v>
      </c>
      <c r="B721" s="623"/>
      <c r="C721" s="624"/>
      <c r="D721" s="355"/>
      <c r="I721" s="355"/>
      <c r="J721" s="460"/>
      <c r="K721" s="625"/>
      <c r="L721" s="499"/>
      <c r="M721" s="499"/>
      <c r="N721" s="499"/>
      <c r="O721" s="499"/>
      <c r="P721" s="499"/>
      <c r="Q721" s="499"/>
      <c r="R721" s="452"/>
      <c r="S721" s="452"/>
      <c r="T721" s="354"/>
      <c r="U721" s="354"/>
      <c r="V721" s="354"/>
      <c r="W721" s="354"/>
      <c r="X721" s="354"/>
      <c r="Y721" s="354"/>
      <c r="Z721" s="354"/>
      <c r="AA721" s="354"/>
      <c r="AB721" s="354"/>
      <c r="AC721" s="354"/>
      <c r="AD721" s="354"/>
      <c r="AE721" s="354"/>
      <c r="AF721" s="354"/>
      <c r="AG721" s="354"/>
      <c r="AH721" s="354"/>
      <c r="AI721" s="354"/>
      <c r="AJ721" s="354"/>
      <c r="AK721" s="354"/>
      <c r="AL721" s="354"/>
      <c r="AM721" s="354"/>
      <c r="AN721" s="354"/>
      <c r="AO721" s="358"/>
      <c r="AP721" s="358"/>
      <c r="AQ721" s="342"/>
      <c r="AR721" s="342"/>
      <c r="AS721" s="342"/>
      <c r="AT721" s="342"/>
      <c r="AU721" s="341"/>
      <c r="AV721" s="341"/>
      <c r="AW721" s="342"/>
      <c r="AX721" s="342"/>
      <c r="AY721" s="342"/>
      <c r="AZ721" s="342"/>
      <c r="BA721" s="342"/>
      <c r="BB721" s="342"/>
      <c r="BC721" s="342"/>
      <c r="BD721" s="342"/>
      <c r="BE721" s="342"/>
    </row>
    <row r="722" spans="1:58" ht="14.25" hidden="1" customHeight="1" outlineLevel="1">
      <c r="A722" s="555" t="s">
        <v>2147</v>
      </c>
      <c r="B722" s="556" t="s">
        <v>156</v>
      </c>
      <c r="C722" s="626">
        <v>0.3</v>
      </c>
      <c r="D722" s="627"/>
      <c r="I722" s="628"/>
      <c r="J722" s="628"/>
      <c r="K722" s="628"/>
      <c r="L722" s="628"/>
      <c r="M722" s="499"/>
      <c r="N722" s="499"/>
      <c r="O722" s="499"/>
      <c r="P722" s="499"/>
      <c r="Q722" s="499"/>
      <c r="R722" s="452"/>
      <c r="S722" s="452"/>
      <c r="T722" s="354"/>
      <c r="U722" s="354"/>
      <c r="V722" s="354"/>
      <c r="W722" s="354"/>
      <c r="X722" s="354"/>
      <c r="Y722" s="354"/>
      <c r="Z722" s="354"/>
      <c r="AA722" s="354"/>
      <c r="AB722" s="354"/>
      <c r="AC722" s="354"/>
      <c r="AD722" s="354"/>
      <c r="AE722" s="354"/>
      <c r="AF722" s="354"/>
      <c r="AG722" s="354"/>
      <c r="AH722" s="354"/>
      <c r="AI722" s="354"/>
      <c r="AJ722" s="354"/>
      <c r="AK722" s="354"/>
      <c r="AL722" s="354"/>
      <c r="AM722" s="354"/>
      <c r="AN722" s="354"/>
      <c r="AO722" s="358"/>
      <c r="AP722" s="358"/>
      <c r="AQ722" s="342"/>
      <c r="AR722" s="342"/>
      <c r="AS722" s="342"/>
      <c r="AT722" s="342"/>
      <c r="AU722" s="341"/>
      <c r="AV722" s="341"/>
      <c r="AW722" s="342"/>
      <c r="AX722" s="342"/>
      <c r="AY722" s="342"/>
      <c r="AZ722" s="342"/>
      <c r="BA722" s="342"/>
      <c r="BB722" s="342"/>
      <c r="BC722" s="342"/>
      <c r="BD722" s="342"/>
      <c r="BE722" s="342"/>
    </row>
    <row r="723" spans="1:58" ht="14.25" hidden="1" customHeight="1" outlineLevel="1">
      <c r="A723" s="564" t="s">
        <v>2148</v>
      </c>
      <c r="B723" s="556" t="s">
        <v>156</v>
      </c>
      <c r="C723" s="626">
        <v>0.3</v>
      </c>
      <c r="D723" s="627"/>
      <c r="I723" s="628"/>
      <c r="J723" s="628"/>
      <c r="K723" s="628"/>
      <c r="L723" s="628"/>
      <c r="M723" s="499"/>
      <c r="N723" s="499"/>
      <c r="O723" s="499"/>
      <c r="P723" s="499"/>
      <c r="Q723" s="499"/>
      <c r="R723" s="452"/>
      <c r="S723" s="452"/>
      <c r="T723" s="354"/>
      <c r="U723" s="354"/>
      <c r="V723" s="354"/>
      <c r="W723" s="354"/>
      <c r="X723" s="354"/>
      <c r="Y723" s="354"/>
      <c r="Z723" s="354"/>
      <c r="AA723" s="354"/>
      <c r="AB723" s="354"/>
      <c r="AC723" s="354"/>
      <c r="AD723" s="354"/>
      <c r="AE723" s="354"/>
      <c r="AF723" s="354"/>
      <c r="AG723" s="354"/>
      <c r="AH723" s="354"/>
      <c r="AI723" s="354"/>
      <c r="AJ723" s="354"/>
      <c r="AK723" s="354"/>
      <c r="AL723" s="354"/>
      <c r="AM723" s="354"/>
      <c r="AN723" s="354"/>
      <c r="AO723" s="358"/>
      <c r="AP723" s="358"/>
      <c r="AQ723" s="342"/>
      <c r="AR723" s="342"/>
      <c r="AS723" s="342"/>
      <c r="AT723" s="342"/>
      <c r="AU723" s="341"/>
      <c r="AV723" s="341"/>
      <c r="AW723" s="342"/>
      <c r="AX723" s="342"/>
      <c r="AY723" s="342"/>
      <c r="AZ723" s="342"/>
      <c r="BA723" s="342"/>
      <c r="BB723" s="342"/>
      <c r="BC723" s="342"/>
      <c r="BD723" s="342"/>
      <c r="BE723" s="342"/>
    </row>
    <row r="724" spans="1:58" ht="14.25" hidden="1" customHeight="1" outlineLevel="1">
      <c r="A724" s="564" t="s">
        <v>2149</v>
      </c>
      <c r="B724" s="556" t="s">
        <v>156</v>
      </c>
      <c r="C724" s="626">
        <v>0.3</v>
      </c>
      <c r="D724" s="627"/>
      <c r="I724" s="628"/>
      <c r="J724" s="628"/>
      <c r="K724" s="628"/>
      <c r="L724" s="628"/>
      <c r="M724" s="499"/>
      <c r="N724" s="499"/>
      <c r="O724" s="499"/>
      <c r="P724" s="499"/>
      <c r="Q724" s="499"/>
      <c r="R724" s="452"/>
      <c r="S724" s="452"/>
      <c r="T724" s="354"/>
      <c r="U724" s="354"/>
      <c r="V724" s="354"/>
      <c r="W724" s="354"/>
      <c r="X724" s="354"/>
      <c r="Y724" s="354"/>
      <c r="Z724" s="354"/>
      <c r="AA724" s="354"/>
      <c r="AB724" s="354"/>
      <c r="AC724" s="354"/>
      <c r="AD724" s="354"/>
      <c r="AE724" s="354"/>
      <c r="AF724" s="354"/>
      <c r="AG724" s="354"/>
      <c r="AH724" s="354"/>
      <c r="AI724" s="354"/>
      <c r="AJ724" s="354"/>
      <c r="AK724" s="354"/>
      <c r="AL724" s="354"/>
      <c r="AM724" s="354"/>
      <c r="AN724" s="354"/>
      <c r="AO724" s="358"/>
      <c r="AP724" s="358"/>
      <c r="AQ724" s="342"/>
      <c r="AR724" s="342"/>
      <c r="AS724" s="342"/>
      <c r="AT724" s="342"/>
      <c r="AU724" s="341"/>
      <c r="AV724" s="341"/>
      <c r="AW724" s="342"/>
      <c r="AX724" s="342"/>
      <c r="AY724" s="342"/>
      <c r="AZ724" s="342"/>
      <c r="BA724" s="342"/>
      <c r="BB724" s="342"/>
      <c r="BC724" s="342"/>
      <c r="BD724" s="342"/>
      <c r="BE724" s="342"/>
    </row>
    <row r="725" spans="1:58" ht="14.25" hidden="1" customHeight="1" outlineLevel="1">
      <c r="A725" s="564" t="s">
        <v>2150</v>
      </c>
      <c r="B725" s="556" t="s">
        <v>156</v>
      </c>
      <c r="C725" s="626">
        <v>0.3</v>
      </c>
      <c r="D725" s="627"/>
      <c r="I725" s="499"/>
      <c r="J725" s="499"/>
      <c r="K725" s="499"/>
      <c r="L725" s="499"/>
      <c r="M725" s="499"/>
      <c r="N725" s="499"/>
      <c r="O725" s="499"/>
      <c r="P725" s="499"/>
      <c r="Q725" s="499"/>
      <c r="R725" s="452"/>
      <c r="S725" s="452"/>
      <c r="T725" s="354"/>
      <c r="U725" s="354"/>
      <c r="V725" s="354"/>
      <c r="W725" s="354"/>
      <c r="X725" s="354"/>
      <c r="Y725" s="354"/>
      <c r="Z725" s="354"/>
      <c r="AA725" s="354"/>
      <c r="AB725" s="354"/>
      <c r="AC725" s="354"/>
      <c r="AD725" s="354"/>
      <c r="AE725" s="354"/>
      <c r="AF725" s="354"/>
      <c r="AG725" s="354"/>
      <c r="AH725" s="354"/>
      <c r="AI725" s="354"/>
      <c r="AJ725" s="354"/>
      <c r="AK725" s="354"/>
      <c r="AL725" s="354"/>
      <c r="AM725" s="354"/>
      <c r="AN725" s="354"/>
      <c r="AO725" s="358"/>
      <c r="AP725" s="358"/>
      <c r="AQ725" s="342"/>
      <c r="AR725" s="342"/>
      <c r="AS725" s="342"/>
      <c r="AT725" s="342"/>
      <c r="AU725" s="341"/>
      <c r="AV725" s="341"/>
      <c r="AW725" s="342"/>
      <c r="AX725" s="342"/>
      <c r="AY725" s="342"/>
      <c r="AZ725" s="342"/>
      <c r="BA725" s="342"/>
      <c r="BB725" s="342"/>
      <c r="BC725" s="342"/>
      <c r="BD725" s="342"/>
      <c r="BE725" s="342"/>
    </row>
    <row r="726" spans="1:58" ht="14.25" hidden="1" customHeight="1" outlineLevel="1">
      <c r="A726" s="555" t="s">
        <v>2151</v>
      </c>
      <c r="B726" s="556" t="s">
        <v>156</v>
      </c>
      <c r="C726" s="626">
        <v>0.4</v>
      </c>
      <c r="D726" s="627"/>
      <c r="I726" s="499"/>
      <c r="J726" s="499"/>
      <c r="K726" s="499"/>
      <c r="L726" s="499"/>
      <c r="M726" s="499"/>
      <c r="N726" s="499"/>
      <c r="O726" s="499"/>
      <c r="P726" s="499"/>
      <c r="Q726" s="499"/>
      <c r="R726" s="452"/>
      <c r="S726" s="452"/>
      <c r="T726" s="354"/>
      <c r="U726" s="354"/>
      <c r="V726" s="354"/>
      <c r="W726" s="354"/>
      <c r="X726" s="354"/>
      <c r="Y726" s="354"/>
      <c r="Z726" s="354"/>
      <c r="AA726" s="354"/>
      <c r="AB726" s="354"/>
      <c r="AC726" s="354"/>
      <c r="AD726" s="354"/>
      <c r="AE726" s="354"/>
      <c r="AF726" s="354"/>
      <c r="AG726" s="354"/>
      <c r="AH726" s="354"/>
      <c r="AI726" s="354"/>
      <c r="AJ726" s="354"/>
      <c r="AK726" s="354"/>
      <c r="AL726" s="354"/>
      <c r="AM726" s="354"/>
      <c r="AN726" s="354"/>
      <c r="AO726" s="358"/>
      <c r="AP726" s="358"/>
      <c r="AQ726" s="342"/>
      <c r="AR726" s="342"/>
      <c r="AS726" s="342"/>
      <c r="AT726" s="342"/>
      <c r="AU726" s="341"/>
      <c r="AV726" s="341"/>
      <c r="AW726" s="342"/>
      <c r="AX726" s="342"/>
      <c r="AY726" s="342"/>
      <c r="AZ726" s="342"/>
      <c r="BA726" s="342"/>
      <c r="BB726" s="342"/>
      <c r="BC726" s="342"/>
      <c r="BD726" s="342"/>
      <c r="BE726" s="342"/>
    </row>
    <row r="727" spans="1:58" ht="14.25" hidden="1" customHeight="1" outlineLevel="1">
      <c r="A727" s="482" t="s">
        <v>2152</v>
      </c>
      <c r="B727" s="355"/>
      <c r="C727" s="629"/>
      <c r="D727" s="628"/>
      <c r="I727" s="499"/>
      <c r="J727" s="499"/>
      <c r="K727" s="499"/>
      <c r="L727" s="499"/>
      <c r="M727" s="499"/>
      <c r="N727" s="499"/>
      <c r="O727" s="499"/>
      <c r="P727" s="499"/>
      <c r="Q727" s="499"/>
      <c r="R727" s="452"/>
      <c r="S727" s="452"/>
      <c r="T727" s="354"/>
      <c r="U727" s="354"/>
      <c r="V727" s="354"/>
      <c r="W727" s="354"/>
      <c r="X727" s="354"/>
      <c r="Y727" s="354"/>
      <c r="Z727" s="354"/>
      <c r="AA727" s="354"/>
      <c r="AB727" s="354"/>
      <c r="AC727" s="354"/>
      <c r="AD727" s="354"/>
      <c r="AE727" s="354"/>
      <c r="AF727" s="354"/>
      <c r="AG727" s="354"/>
      <c r="AH727" s="354"/>
      <c r="AI727" s="354"/>
      <c r="AJ727" s="354"/>
      <c r="AK727" s="354"/>
      <c r="AL727" s="354"/>
      <c r="AM727" s="354"/>
      <c r="AN727" s="354"/>
      <c r="AO727" s="358"/>
      <c r="AP727" s="358"/>
      <c r="AQ727" s="342"/>
      <c r="AR727" s="342"/>
      <c r="AS727" s="342"/>
      <c r="AT727" s="342"/>
      <c r="AU727" s="341"/>
      <c r="AV727" s="341"/>
      <c r="AW727" s="342"/>
      <c r="AX727" s="342"/>
      <c r="AY727" s="342"/>
      <c r="AZ727" s="342"/>
      <c r="BA727" s="342"/>
      <c r="BB727" s="342"/>
      <c r="BC727" s="342"/>
      <c r="BD727" s="342"/>
      <c r="BE727" s="342"/>
    </row>
    <row r="728" spans="1:58" ht="14.25" hidden="1" customHeight="1" outlineLevel="1">
      <c r="A728" s="630" t="s">
        <v>200</v>
      </c>
      <c r="B728" s="355"/>
      <c r="C728" s="629"/>
      <c r="D728" s="628"/>
      <c r="I728" s="499"/>
      <c r="J728" s="499"/>
      <c r="K728" s="499"/>
      <c r="L728" s="499"/>
      <c r="M728" s="499"/>
      <c r="N728" s="499"/>
      <c r="O728" s="499"/>
      <c r="P728" s="499"/>
      <c r="Q728" s="499"/>
      <c r="R728" s="452"/>
      <c r="S728" s="452"/>
      <c r="T728" s="354"/>
      <c r="U728" s="354"/>
      <c r="V728" s="354"/>
      <c r="W728" s="354"/>
      <c r="X728" s="354"/>
      <c r="Y728" s="354"/>
      <c r="Z728" s="354"/>
      <c r="AA728" s="354"/>
      <c r="AB728" s="354"/>
      <c r="AC728" s="354"/>
      <c r="AD728" s="354"/>
      <c r="AE728" s="354"/>
      <c r="AF728" s="354"/>
      <c r="AG728" s="354"/>
      <c r="AH728" s="354"/>
      <c r="AI728" s="354"/>
      <c r="AJ728" s="354"/>
      <c r="AK728" s="354"/>
      <c r="AL728" s="354"/>
      <c r="AM728" s="354"/>
      <c r="AN728" s="354"/>
      <c r="AO728" s="358"/>
      <c r="AP728" s="358"/>
      <c r="AQ728" s="342"/>
      <c r="AR728" s="342"/>
      <c r="AS728" s="342"/>
      <c r="AT728" s="342"/>
      <c r="AU728" s="341"/>
      <c r="AV728" s="341"/>
      <c r="AW728" s="342"/>
      <c r="AX728" s="342"/>
      <c r="AY728" s="342"/>
      <c r="AZ728" s="342"/>
      <c r="BA728" s="342"/>
      <c r="BB728" s="342"/>
      <c r="BC728" s="342"/>
      <c r="BD728" s="342"/>
      <c r="BE728" s="342"/>
    </row>
    <row r="729" spans="1:58" s="364" customFormat="1" ht="14.25" hidden="1" customHeight="1" outlineLevel="1">
      <c r="A729" s="482" t="s">
        <v>2153</v>
      </c>
      <c r="B729" s="355"/>
      <c r="C729" s="629"/>
      <c r="D729" s="447"/>
      <c r="I729" s="447"/>
      <c r="J729" s="447"/>
      <c r="K729" s="447"/>
      <c r="L729" s="447"/>
      <c r="M729" s="447"/>
      <c r="N729" s="447"/>
      <c r="O729" s="447"/>
      <c r="P729" s="447"/>
      <c r="Q729" s="447"/>
      <c r="R729" s="366"/>
      <c r="S729" s="366"/>
      <c r="T729" s="366"/>
      <c r="U729" s="366"/>
      <c r="V729" s="366"/>
      <c r="W729" s="366"/>
      <c r="X729" s="366"/>
      <c r="Y729" s="366"/>
      <c r="Z729" s="366"/>
      <c r="AA729" s="366"/>
      <c r="AB729" s="366"/>
      <c r="AC729" s="366"/>
      <c r="AD729" s="366"/>
      <c r="AE729" s="366"/>
      <c r="AF729" s="366"/>
      <c r="AG729" s="366"/>
      <c r="AH729" s="366"/>
      <c r="AI729" s="366"/>
      <c r="AJ729" s="366"/>
      <c r="AK729" s="366"/>
      <c r="AL729" s="366"/>
      <c r="AM729" s="366"/>
      <c r="AN729" s="366"/>
      <c r="AO729" s="367"/>
      <c r="AP729" s="367"/>
      <c r="AQ729" s="340"/>
      <c r="AR729" s="340"/>
      <c r="AS729" s="340"/>
      <c r="AT729" s="340"/>
      <c r="AU729" s="340"/>
      <c r="AV729" s="340"/>
      <c r="AW729" s="340"/>
      <c r="AX729" s="340"/>
      <c r="AY729" s="340"/>
      <c r="AZ729" s="340"/>
      <c r="BA729" s="340"/>
      <c r="BB729" s="340"/>
      <c r="BC729" s="340"/>
      <c r="BD729" s="340"/>
      <c r="BE729" s="340"/>
      <c r="BF729" s="368"/>
    </row>
    <row r="730" spans="1:58" ht="14.25" hidden="1" customHeight="1" outlineLevel="1">
      <c r="A730" s="631" t="s">
        <v>265</v>
      </c>
      <c r="B730" s="355"/>
      <c r="C730" s="629"/>
      <c r="D730" s="628"/>
      <c r="I730" s="499"/>
      <c r="J730" s="499"/>
      <c r="K730" s="499"/>
      <c r="L730" s="499"/>
      <c r="M730" s="499"/>
      <c r="N730" s="499"/>
      <c r="O730" s="499"/>
      <c r="P730" s="499"/>
      <c r="Q730" s="499"/>
      <c r="R730" s="452"/>
      <c r="S730" s="452"/>
      <c r="T730" s="354"/>
      <c r="U730" s="354"/>
      <c r="V730" s="354"/>
      <c r="W730" s="354"/>
      <c r="X730" s="354"/>
      <c r="Y730" s="354"/>
      <c r="Z730" s="354"/>
      <c r="AA730" s="354"/>
      <c r="AB730" s="354"/>
      <c r="AC730" s="354"/>
      <c r="AD730" s="354"/>
      <c r="AE730" s="354"/>
      <c r="AF730" s="354"/>
      <c r="AG730" s="354"/>
      <c r="AH730" s="354"/>
      <c r="AI730" s="354"/>
      <c r="AJ730" s="354"/>
      <c r="AK730" s="354"/>
      <c r="AL730" s="354"/>
      <c r="AM730" s="354"/>
      <c r="AN730" s="354"/>
      <c r="AO730" s="358"/>
      <c r="AP730" s="358"/>
      <c r="AQ730" s="342"/>
      <c r="AR730" s="342"/>
      <c r="AS730" s="342"/>
      <c r="AT730" s="342"/>
      <c r="AU730" s="341"/>
      <c r="AV730" s="341"/>
      <c r="AW730" s="342"/>
      <c r="AX730" s="342"/>
      <c r="AY730" s="342"/>
      <c r="AZ730" s="342"/>
      <c r="BA730" s="342"/>
      <c r="BB730" s="342"/>
      <c r="BC730" s="342"/>
      <c r="BD730" s="342"/>
      <c r="BE730" s="342"/>
    </row>
    <row r="731" spans="1:58" s="364" customFormat="1" ht="14.25" hidden="1" customHeight="1" outlineLevel="1">
      <c r="A731" s="382" t="s">
        <v>2154</v>
      </c>
      <c r="I731" s="447"/>
      <c r="J731" s="447"/>
      <c r="K731" s="447"/>
      <c r="L731" s="447"/>
      <c r="M731" s="447"/>
      <c r="N731" s="447"/>
      <c r="O731" s="447"/>
      <c r="P731" s="447"/>
      <c r="Q731" s="447"/>
      <c r="R731" s="366"/>
      <c r="S731" s="366"/>
      <c r="T731" s="366"/>
      <c r="U731" s="366"/>
      <c r="V731" s="366"/>
      <c r="W731" s="366"/>
      <c r="X731" s="366"/>
      <c r="Y731" s="366"/>
      <c r="Z731" s="366"/>
      <c r="AA731" s="366"/>
      <c r="AB731" s="366"/>
      <c r="AC731" s="366"/>
      <c r="AD731" s="366"/>
      <c r="AE731" s="366"/>
      <c r="AF731" s="366"/>
      <c r="AG731" s="366"/>
      <c r="AH731" s="366"/>
      <c r="AI731" s="366"/>
      <c r="AJ731" s="366"/>
      <c r="AK731" s="366"/>
      <c r="AL731" s="366"/>
      <c r="AM731" s="366"/>
      <c r="AN731" s="366"/>
      <c r="AO731" s="367"/>
      <c r="AP731" s="367"/>
      <c r="AQ731" s="340"/>
      <c r="AR731" s="340"/>
      <c r="AS731" s="340"/>
      <c r="AT731" s="340"/>
      <c r="AU731" s="340"/>
      <c r="AV731" s="340"/>
      <c r="AW731" s="340"/>
      <c r="AX731" s="340"/>
      <c r="AY731" s="340"/>
      <c r="AZ731" s="340"/>
      <c r="BA731" s="340"/>
      <c r="BB731" s="340"/>
      <c r="BC731" s="340"/>
      <c r="BD731" s="340"/>
      <c r="BE731" s="340"/>
      <c r="BF731" s="368"/>
    </row>
    <row r="732" spans="1:58" ht="14.25" hidden="1" customHeight="1" outlineLevel="1">
      <c r="A732" s="632" t="s">
        <v>179</v>
      </c>
      <c r="B732" s="556" t="s">
        <v>1802</v>
      </c>
      <c r="C732" s="626">
        <v>6</v>
      </c>
      <c r="D732" s="633"/>
      <c r="I732" s="634"/>
      <c r="J732" s="634"/>
      <c r="K732" s="634"/>
      <c r="L732" s="499"/>
      <c r="M732" s="499"/>
      <c r="N732" s="499"/>
      <c r="O732" s="499"/>
      <c r="P732" s="499"/>
      <c r="Q732" s="499"/>
      <c r="R732" s="452"/>
      <c r="S732" s="452"/>
      <c r="T732" s="354"/>
      <c r="U732" s="354"/>
      <c r="V732" s="354"/>
      <c r="W732" s="354"/>
      <c r="X732" s="354"/>
      <c r="Y732" s="354"/>
      <c r="Z732" s="354"/>
      <c r="AA732" s="354"/>
      <c r="AB732" s="354"/>
      <c r="AC732" s="354"/>
      <c r="AD732" s="354"/>
      <c r="AE732" s="354"/>
      <c r="AF732" s="354"/>
      <c r="AG732" s="354"/>
      <c r="AH732" s="354"/>
      <c r="AI732" s="354"/>
      <c r="AJ732" s="354"/>
      <c r="AK732" s="354"/>
      <c r="AL732" s="354"/>
      <c r="AM732" s="354"/>
      <c r="AN732" s="354"/>
      <c r="AO732" s="358"/>
      <c r="AP732" s="358"/>
      <c r="AQ732" s="342"/>
      <c r="AR732" s="342"/>
      <c r="AS732" s="342"/>
      <c r="AT732" s="342"/>
      <c r="AU732" s="341"/>
      <c r="AV732" s="341"/>
      <c r="AW732" s="342"/>
      <c r="AX732" s="342"/>
      <c r="AY732" s="342"/>
      <c r="AZ732" s="342"/>
      <c r="BA732" s="342"/>
      <c r="BB732" s="342"/>
      <c r="BC732" s="342"/>
      <c r="BD732" s="342"/>
      <c r="BE732" s="342"/>
    </row>
    <row r="733" spans="1:58" s="364" customFormat="1" ht="14.25" hidden="1" customHeight="1" outlineLevel="1">
      <c r="A733" s="482" t="s">
        <v>2155</v>
      </c>
      <c r="B733" s="355"/>
      <c r="C733" s="629"/>
      <c r="D733" s="635"/>
      <c r="I733" s="635"/>
      <c r="J733" s="635"/>
      <c r="K733" s="635"/>
      <c r="L733" s="447"/>
      <c r="M733" s="447"/>
      <c r="N733" s="447"/>
      <c r="O733" s="447"/>
      <c r="P733" s="447"/>
      <c r="Q733" s="447"/>
      <c r="R733" s="366"/>
      <c r="S733" s="366"/>
      <c r="T733" s="366"/>
      <c r="U733" s="366"/>
      <c r="V733" s="366"/>
      <c r="W733" s="366"/>
      <c r="X733" s="366"/>
      <c r="Y733" s="366"/>
      <c r="Z733" s="366"/>
      <c r="AA733" s="366"/>
      <c r="AB733" s="366"/>
      <c r="AC733" s="366"/>
      <c r="AD733" s="366"/>
      <c r="AE733" s="366"/>
      <c r="AF733" s="366"/>
      <c r="AG733" s="366"/>
      <c r="AH733" s="366"/>
      <c r="AI733" s="366"/>
      <c r="AJ733" s="366"/>
      <c r="AK733" s="366"/>
      <c r="AL733" s="366"/>
      <c r="AM733" s="366"/>
      <c r="AN733" s="366"/>
      <c r="AO733" s="367"/>
      <c r="AP733" s="367"/>
      <c r="AQ733" s="340"/>
      <c r="AR733" s="340"/>
      <c r="AS733" s="340"/>
      <c r="AT733" s="340"/>
      <c r="AU733" s="340"/>
      <c r="AV733" s="340"/>
      <c r="AW733" s="340"/>
      <c r="AX733" s="340"/>
      <c r="AY733" s="340"/>
      <c r="AZ733" s="340"/>
      <c r="BA733" s="340"/>
      <c r="BB733" s="340"/>
      <c r="BC733" s="340"/>
      <c r="BD733" s="340"/>
      <c r="BE733" s="340"/>
      <c r="BF733" s="368"/>
    </row>
    <row r="734" spans="1:58" s="364" customFormat="1" ht="14.25" hidden="1" customHeight="1" outlineLevel="1">
      <c r="A734" s="630" t="s">
        <v>178</v>
      </c>
      <c r="B734" s="385" t="s">
        <v>2156</v>
      </c>
      <c r="C734" s="626">
        <v>0.4</v>
      </c>
      <c r="D734" s="635"/>
      <c r="I734" s="635"/>
      <c r="J734" s="635"/>
      <c r="K734" s="635"/>
      <c r="L734" s="447"/>
      <c r="M734" s="447"/>
      <c r="N734" s="447"/>
      <c r="O734" s="447"/>
      <c r="P734" s="447"/>
      <c r="Q734" s="447"/>
      <c r="R734" s="366"/>
      <c r="S734" s="366"/>
      <c r="T734" s="366"/>
      <c r="U734" s="366"/>
      <c r="V734" s="366"/>
      <c r="W734" s="366"/>
      <c r="X734" s="366"/>
      <c r="Y734" s="366"/>
      <c r="Z734" s="366"/>
      <c r="AA734" s="366"/>
      <c r="AB734" s="366"/>
      <c r="AC734" s="366"/>
      <c r="AD734" s="366"/>
      <c r="AE734" s="366"/>
      <c r="AF734" s="366"/>
      <c r="AG734" s="366"/>
      <c r="AH734" s="366"/>
      <c r="AI734" s="366"/>
      <c r="AJ734" s="366"/>
      <c r="AK734" s="366"/>
      <c r="AL734" s="366"/>
      <c r="AM734" s="366"/>
      <c r="AN734" s="366"/>
      <c r="AO734" s="367"/>
      <c r="AP734" s="367"/>
      <c r="AQ734" s="340"/>
      <c r="AR734" s="340"/>
      <c r="AS734" s="340"/>
      <c r="AT734" s="340"/>
      <c r="AU734" s="340"/>
      <c r="AV734" s="340"/>
      <c r="AW734" s="340"/>
      <c r="AX734" s="340"/>
      <c r="AY734" s="340"/>
      <c r="AZ734" s="340"/>
      <c r="BA734" s="340"/>
      <c r="BB734" s="340"/>
      <c r="BC734" s="340"/>
      <c r="BD734" s="340"/>
      <c r="BE734" s="340"/>
      <c r="BF734" s="368"/>
    </row>
    <row r="735" spans="1:58" ht="14.25" hidden="1" customHeight="1" outlineLevel="1">
      <c r="A735" s="636" t="s">
        <v>2157</v>
      </c>
      <c r="B735" s="556" t="s">
        <v>156</v>
      </c>
      <c r="C735" s="626">
        <v>10</v>
      </c>
      <c r="D735" s="447"/>
      <c r="I735" s="447"/>
      <c r="J735" s="499"/>
      <c r="K735" s="625"/>
      <c r="L735" s="499"/>
      <c r="M735" s="499"/>
      <c r="N735" s="499"/>
      <c r="O735" s="499"/>
      <c r="P735" s="499"/>
      <c r="Q735" s="499"/>
      <c r="R735" s="452"/>
      <c r="S735" s="452"/>
      <c r="T735" s="354"/>
      <c r="U735" s="354"/>
      <c r="V735" s="354"/>
      <c r="W735" s="354"/>
      <c r="X735" s="354"/>
      <c r="Y735" s="354"/>
      <c r="Z735" s="354"/>
      <c r="AA735" s="354"/>
      <c r="AB735" s="354"/>
      <c r="AC735" s="354"/>
      <c r="AD735" s="354"/>
      <c r="AE735" s="354"/>
      <c r="AF735" s="354"/>
      <c r="AG735" s="354"/>
      <c r="AH735" s="354"/>
      <c r="AI735" s="354"/>
      <c r="AJ735" s="354"/>
      <c r="AK735" s="354"/>
      <c r="AL735" s="354"/>
      <c r="AM735" s="354"/>
      <c r="AN735" s="354"/>
      <c r="AO735" s="358"/>
      <c r="AP735" s="358"/>
      <c r="AQ735" s="342"/>
      <c r="AR735" s="342"/>
      <c r="AS735" s="342"/>
      <c r="AT735" s="342"/>
      <c r="AU735" s="341"/>
      <c r="AV735" s="341"/>
      <c r="AW735" s="342"/>
      <c r="AX735" s="342"/>
      <c r="AY735" s="342"/>
      <c r="AZ735" s="342"/>
      <c r="BA735" s="342"/>
      <c r="BB735" s="342"/>
      <c r="BC735" s="342"/>
      <c r="BD735" s="342"/>
      <c r="BE735" s="342"/>
    </row>
    <row r="736" spans="1:58" ht="14.25" hidden="1" customHeight="1" outlineLevel="1">
      <c r="A736" s="637" t="s">
        <v>2158</v>
      </c>
      <c r="B736" s="490"/>
      <c r="C736" s="502"/>
      <c r="D736" s="447"/>
      <c r="I736" s="638"/>
      <c r="J736" s="639"/>
      <c r="K736" s="639"/>
      <c r="L736" s="639"/>
      <c r="M736" s="639"/>
      <c r="N736" s="639"/>
      <c r="O736" s="639"/>
      <c r="P736" s="639"/>
      <c r="Q736" s="499"/>
      <c r="R736" s="452"/>
      <c r="S736" s="452"/>
      <c r="T736" s="354"/>
      <c r="U736" s="354"/>
      <c r="V736" s="354"/>
      <c r="W736" s="354"/>
      <c r="X736" s="354"/>
      <c r="Y736" s="354"/>
      <c r="Z736" s="354"/>
      <c r="AA736" s="354"/>
      <c r="AB736" s="354"/>
      <c r="AC736" s="354"/>
      <c r="AD736" s="354"/>
      <c r="AE736" s="354"/>
      <c r="AF736" s="354"/>
      <c r="AG736" s="354"/>
      <c r="AH736" s="354"/>
      <c r="AI736" s="354"/>
      <c r="AJ736" s="354"/>
      <c r="AK736" s="354"/>
      <c r="AL736" s="354"/>
      <c r="AM736" s="354"/>
      <c r="AN736" s="354"/>
      <c r="AO736" s="358"/>
      <c r="AP736" s="358"/>
      <c r="AQ736" s="342"/>
      <c r="AR736" s="342"/>
      <c r="AS736" s="342"/>
      <c r="AT736" s="342"/>
      <c r="AU736" s="341"/>
      <c r="AV736" s="341"/>
      <c r="AW736" s="342"/>
      <c r="AX736" s="342"/>
      <c r="AY736" s="342"/>
      <c r="AZ736" s="342"/>
      <c r="BA736" s="342"/>
      <c r="BB736" s="342"/>
      <c r="BC736" s="342"/>
      <c r="BD736" s="342"/>
      <c r="BE736" s="342"/>
    </row>
    <row r="737" spans="1:58" ht="14.25" hidden="1" customHeight="1" outlineLevel="1">
      <c r="A737" s="536" t="s">
        <v>294</v>
      </c>
      <c r="B737" s="355"/>
      <c r="C737" s="502"/>
      <c r="D737" s="447"/>
      <c r="I737" s="499"/>
      <c r="J737" s="499"/>
      <c r="K737" s="625"/>
      <c r="L737" s="499"/>
      <c r="M737" s="499"/>
      <c r="N737" s="499"/>
      <c r="O737" s="499"/>
      <c r="P737" s="499"/>
      <c r="Q737" s="499"/>
      <c r="R737" s="452"/>
      <c r="S737" s="452"/>
      <c r="T737" s="354"/>
      <c r="U737" s="354"/>
      <c r="V737" s="354"/>
      <c r="W737" s="354"/>
      <c r="X737" s="354"/>
      <c r="Y737" s="354"/>
      <c r="Z737" s="354"/>
      <c r="AA737" s="354"/>
      <c r="AB737" s="354"/>
      <c r="AC737" s="354"/>
      <c r="AD737" s="354"/>
      <c r="AE737" s="354"/>
      <c r="AF737" s="354"/>
      <c r="AG737" s="354"/>
      <c r="AH737" s="354"/>
      <c r="AI737" s="354"/>
      <c r="AJ737" s="354"/>
      <c r="AK737" s="354"/>
      <c r="AL737" s="354"/>
      <c r="AM737" s="354"/>
      <c r="AN737" s="354"/>
      <c r="AO737" s="358"/>
      <c r="AP737" s="358"/>
      <c r="AQ737" s="342"/>
      <c r="AR737" s="342"/>
      <c r="AS737" s="342"/>
      <c r="AT737" s="342"/>
      <c r="AU737" s="341"/>
      <c r="AV737" s="341"/>
      <c r="AW737" s="342"/>
      <c r="AX737" s="342"/>
      <c r="AY737" s="342"/>
      <c r="AZ737" s="342"/>
      <c r="BA737" s="342"/>
      <c r="BB737" s="342"/>
      <c r="BC737" s="342"/>
      <c r="BD737" s="342"/>
      <c r="BE737" s="342"/>
    </row>
    <row r="738" spans="1:58" s="370" customFormat="1" ht="14.25" hidden="1" customHeight="1" outlineLevel="1">
      <c r="A738" s="640"/>
      <c r="B738" s="355"/>
      <c r="C738" s="502"/>
      <c r="D738" s="447"/>
      <c r="I738" s="641"/>
      <c r="J738" s="641"/>
      <c r="K738" s="642"/>
      <c r="L738" s="641"/>
      <c r="M738" s="641"/>
      <c r="N738" s="641"/>
      <c r="O738" s="641"/>
      <c r="P738" s="641"/>
      <c r="Q738" s="641"/>
      <c r="R738" s="366"/>
      <c r="S738" s="366"/>
      <c r="T738" s="424"/>
      <c r="U738" s="424"/>
      <c r="V738" s="424"/>
      <c r="W738" s="424"/>
      <c r="X738" s="424"/>
      <c r="Y738" s="424"/>
      <c r="Z738" s="424"/>
      <c r="AA738" s="424"/>
      <c r="AB738" s="424"/>
      <c r="AC738" s="424"/>
      <c r="AD738" s="424"/>
      <c r="AE738" s="424"/>
      <c r="AF738" s="424"/>
      <c r="AG738" s="424"/>
      <c r="AH738" s="424"/>
      <c r="AI738" s="424"/>
      <c r="AJ738" s="424"/>
      <c r="AK738" s="424"/>
      <c r="AL738" s="424"/>
      <c r="AM738" s="424"/>
      <c r="AN738" s="424"/>
      <c r="AO738" s="425"/>
      <c r="AP738" s="425"/>
      <c r="AQ738" s="426"/>
      <c r="AR738" s="426"/>
      <c r="AS738" s="426"/>
      <c r="AT738" s="426"/>
      <c r="AU738" s="340"/>
      <c r="AV738" s="340"/>
      <c r="AW738" s="426"/>
      <c r="AX738" s="426"/>
      <c r="AY738" s="426"/>
      <c r="AZ738" s="426"/>
      <c r="BA738" s="426"/>
      <c r="BB738" s="426"/>
      <c r="BC738" s="426"/>
      <c r="BD738" s="426"/>
      <c r="BE738" s="426"/>
      <c r="BF738" s="428"/>
    </row>
    <row r="739" spans="1:58" ht="14.25" hidden="1" customHeight="1" outlineLevel="1">
      <c r="A739" s="643" t="s">
        <v>2159</v>
      </c>
      <c r="B739" s="556" t="s">
        <v>1820</v>
      </c>
      <c r="C739" s="644" t="s">
        <v>1821</v>
      </c>
      <c r="D739" s="447"/>
      <c r="I739" s="499"/>
      <c r="J739" s="499"/>
      <c r="K739" s="625"/>
      <c r="L739" s="499"/>
      <c r="M739" s="499"/>
      <c r="N739" s="499"/>
      <c r="O739" s="499"/>
      <c r="P739" s="499"/>
      <c r="Q739" s="499"/>
      <c r="R739" s="452"/>
      <c r="S739" s="452"/>
      <c r="T739" s="354"/>
      <c r="U739" s="354"/>
      <c r="V739" s="354"/>
      <c r="W739" s="354"/>
      <c r="X739" s="354"/>
      <c r="Y739" s="354"/>
      <c r="Z739" s="354"/>
      <c r="AA739" s="354"/>
      <c r="AB739" s="354"/>
      <c r="AC739" s="354"/>
      <c r="AD739" s="354"/>
      <c r="AE739" s="354"/>
      <c r="AF739" s="354"/>
      <c r="AG739" s="354"/>
      <c r="AH739" s="354"/>
      <c r="AI739" s="354"/>
      <c r="AJ739" s="354"/>
      <c r="AK739" s="354"/>
      <c r="AL739" s="354"/>
      <c r="AM739" s="354"/>
      <c r="AN739" s="354"/>
      <c r="AO739" s="358"/>
      <c r="AP739" s="358"/>
      <c r="AQ739" s="342"/>
      <c r="AR739" s="342"/>
      <c r="AS739" s="342"/>
      <c r="AT739" s="342"/>
      <c r="AU739" s="341"/>
      <c r="AV739" s="341"/>
      <c r="AW739" s="342"/>
      <c r="AX739" s="342"/>
      <c r="AY739" s="342"/>
      <c r="AZ739" s="342"/>
      <c r="BA739" s="342"/>
      <c r="BB739" s="342"/>
      <c r="BC739" s="342"/>
      <c r="BD739" s="342"/>
      <c r="BE739" s="342"/>
    </row>
    <row r="740" spans="1:58" s="364" customFormat="1" ht="14.25" hidden="1" customHeight="1" outlineLevel="1">
      <c r="A740" s="378" t="s">
        <v>2160</v>
      </c>
      <c r="B740" s="374" t="s">
        <v>1322</v>
      </c>
      <c r="C740" s="244">
        <v>0.3</v>
      </c>
      <c r="D740" s="447"/>
      <c r="I740" s="447"/>
      <c r="J740" s="447"/>
      <c r="K740" s="645"/>
      <c r="L740" s="447"/>
      <c r="M740" s="447"/>
      <c r="N740" s="447"/>
      <c r="O740" s="447"/>
      <c r="P740" s="447"/>
      <c r="Q740" s="447"/>
      <c r="R740" s="366"/>
      <c r="S740" s="366"/>
      <c r="T740" s="366"/>
      <c r="U740" s="366"/>
      <c r="V740" s="366"/>
      <c r="W740" s="366"/>
      <c r="X740" s="366"/>
      <c r="Y740" s="366"/>
      <c r="Z740" s="366"/>
      <c r="AA740" s="366"/>
      <c r="AB740" s="366"/>
      <c r="AC740" s="366"/>
      <c r="AD740" s="366"/>
      <c r="AE740" s="366"/>
      <c r="AF740" s="366"/>
      <c r="AG740" s="366"/>
      <c r="AH740" s="366"/>
      <c r="AI740" s="366"/>
      <c r="AJ740" s="366"/>
      <c r="AK740" s="366"/>
      <c r="AL740" s="366"/>
      <c r="AM740" s="366"/>
      <c r="AN740" s="366"/>
      <c r="AO740" s="367"/>
      <c r="AP740" s="367"/>
      <c r="AQ740" s="340"/>
      <c r="AR740" s="340"/>
      <c r="AS740" s="340"/>
      <c r="AT740" s="340"/>
      <c r="AU740" s="340"/>
      <c r="AV740" s="340"/>
      <c r="AW740" s="340"/>
      <c r="AX740" s="340"/>
      <c r="AY740" s="340"/>
      <c r="AZ740" s="340"/>
      <c r="BA740" s="340"/>
      <c r="BB740" s="340"/>
      <c r="BC740" s="340"/>
      <c r="BD740" s="340"/>
      <c r="BE740" s="340"/>
      <c r="BF740" s="368"/>
    </row>
    <row r="741" spans="1:58" ht="14.25" hidden="1" customHeight="1" outlineLevel="1">
      <c r="A741" s="436" t="s">
        <v>2161</v>
      </c>
      <c r="B741" s="374" t="s">
        <v>1322</v>
      </c>
      <c r="C741" s="244">
        <v>3</v>
      </c>
      <c r="D741" s="646"/>
      <c r="E741" s="646"/>
      <c r="F741" s="646"/>
      <c r="I741" s="647"/>
      <c r="J741" s="648"/>
      <c r="K741" s="648"/>
      <c r="L741" s="648"/>
      <c r="M741" s="648"/>
      <c r="N741" s="648"/>
      <c r="O741" s="648"/>
      <c r="P741" s="460"/>
      <c r="Q741" s="460"/>
      <c r="R741" s="452"/>
      <c r="S741" s="452"/>
      <c r="T741" s="354"/>
      <c r="U741" s="354"/>
      <c r="V741" s="354"/>
      <c r="W741" s="354"/>
      <c r="X741" s="354"/>
      <c r="Y741" s="354"/>
      <c r="Z741" s="354"/>
      <c r="AA741" s="354"/>
      <c r="AB741" s="354"/>
      <c r="AC741" s="354"/>
      <c r="AD741" s="354"/>
      <c r="AE741" s="354"/>
      <c r="AF741" s="354"/>
      <c r="AG741" s="354"/>
      <c r="AH741" s="354"/>
      <c r="AI741" s="354"/>
      <c r="AJ741" s="354"/>
      <c r="AK741" s="354"/>
      <c r="AL741" s="354"/>
      <c r="AM741" s="354"/>
      <c r="AN741" s="354"/>
      <c r="AO741" s="358"/>
      <c r="AP741" s="358"/>
      <c r="AQ741" s="342"/>
      <c r="AR741" s="342"/>
      <c r="AS741" s="342"/>
      <c r="AT741" s="342"/>
      <c r="AU741" s="341"/>
      <c r="AV741" s="341"/>
      <c r="AW741" s="342"/>
      <c r="AX741" s="342"/>
      <c r="AY741" s="342"/>
      <c r="AZ741" s="342"/>
      <c r="BA741" s="342"/>
      <c r="BB741" s="342"/>
      <c r="BC741" s="342"/>
      <c r="BD741" s="342"/>
      <c r="BE741" s="342"/>
    </row>
    <row r="742" spans="1:58" ht="14.25" hidden="1" customHeight="1" outlineLevel="1">
      <c r="A742" s="331" t="s">
        <v>2162</v>
      </c>
      <c r="D742" s="364"/>
      <c r="K742" s="649"/>
      <c r="O742" s="650"/>
      <c r="P742" s="651"/>
      <c r="R742" s="452"/>
      <c r="S742" s="452"/>
      <c r="T742" s="354"/>
      <c r="U742" s="354"/>
      <c r="V742" s="354"/>
      <c r="W742" s="354"/>
      <c r="X742" s="354"/>
      <c r="Y742" s="354"/>
      <c r="Z742" s="354"/>
      <c r="AA742" s="354"/>
      <c r="AB742" s="354"/>
      <c r="AC742" s="354"/>
      <c r="AD742" s="354"/>
      <c r="AE742" s="354"/>
      <c r="AF742" s="354"/>
      <c r="AG742" s="354"/>
      <c r="AH742" s="354"/>
      <c r="AI742" s="354"/>
      <c r="AJ742" s="354"/>
      <c r="AK742" s="354"/>
      <c r="AL742" s="354"/>
      <c r="AM742" s="354"/>
      <c r="AN742" s="354"/>
      <c r="AO742" s="358"/>
      <c r="AP742" s="358"/>
      <c r="AQ742" s="342"/>
      <c r="AR742" s="342"/>
      <c r="AS742" s="342"/>
      <c r="AT742" s="342"/>
      <c r="AU742" s="341"/>
      <c r="AV742" s="341"/>
      <c r="AW742" s="342"/>
      <c r="AX742" s="342"/>
      <c r="AY742" s="342"/>
      <c r="AZ742" s="342"/>
      <c r="BA742" s="342"/>
      <c r="BB742" s="342"/>
      <c r="BC742" s="342"/>
      <c r="BD742" s="342"/>
      <c r="BE742" s="342"/>
    </row>
    <row r="743" spans="1:58" ht="14.25" hidden="1" customHeight="1" outlineLevel="1">
      <c r="A743" s="404" t="s">
        <v>201</v>
      </c>
      <c r="D743" s="364"/>
      <c r="K743" s="649"/>
      <c r="O743" s="650"/>
      <c r="P743" s="651"/>
      <c r="R743" s="452"/>
      <c r="S743" s="452"/>
      <c r="T743" s="354"/>
      <c r="U743" s="354"/>
      <c r="V743" s="354"/>
      <c r="W743" s="354"/>
      <c r="X743" s="354"/>
      <c r="Y743" s="354"/>
      <c r="Z743" s="354"/>
      <c r="AA743" s="354"/>
      <c r="AB743" s="354"/>
      <c r="AC743" s="354"/>
      <c r="AD743" s="354"/>
      <c r="AE743" s="354"/>
      <c r="AF743" s="354"/>
      <c r="AG743" s="354"/>
      <c r="AH743" s="354"/>
      <c r="AI743" s="354"/>
      <c r="AJ743" s="354"/>
      <c r="AK743" s="354"/>
      <c r="AL743" s="354"/>
      <c r="AM743" s="354"/>
      <c r="AN743" s="354"/>
      <c r="AO743" s="358"/>
      <c r="AP743" s="358"/>
      <c r="AQ743" s="342"/>
      <c r="AR743" s="342"/>
      <c r="AS743" s="342"/>
      <c r="AT743" s="342"/>
      <c r="AU743" s="341"/>
      <c r="AV743" s="341"/>
      <c r="AW743" s="342"/>
      <c r="AX743" s="342"/>
      <c r="AY743" s="342"/>
      <c r="AZ743" s="342"/>
      <c r="BA743" s="342"/>
      <c r="BB743" s="342"/>
      <c r="BC743" s="342"/>
      <c r="BD743" s="342"/>
      <c r="BE743" s="342"/>
    </row>
    <row r="744" spans="1:58" ht="14.25" hidden="1" customHeight="1" outlineLevel="1">
      <c r="D744" s="364"/>
      <c r="K744" s="649"/>
      <c r="O744" s="650"/>
      <c r="P744" s="651"/>
      <c r="R744" s="452"/>
      <c r="S744" s="452"/>
      <c r="T744" s="354"/>
      <c r="U744" s="354"/>
      <c r="V744" s="354"/>
      <c r="W744" s="354"/>
      <c r="X744" s="354"/>
      <c r="Y744" s="354"/>
      <c r="Z744" s="354"/>
      <c r="AA744" s="354"/>
      <c r="AB744" s="354"/>
      <c r="AC744" s="354"/>
      <c r="AD744" s="354"/>
      <c r="AE744" s="354"/>
      <c r="AF744" s="354"/>
      <c r="AG744" s="354"/>
      <c r="AH744" s="354"/>
      <c r="AI744" s="354"/>
      <c r="AJ744" s="354"/>
      <c r="AK744" s="354"/>
      <c r="AL744" s="354"/>
      <c r="AM744" s="354"/>
      <c r="AN744" s="354"/>
      <c r="AO744" s="358"/>
      <c r="AP744" s="358"/>
      <c r="AQ744" s="342"/>
      <c r="AR744" s="342"/>
      <c r="AS744" s="342"/>
      <c r="AT744" s="342"/>
      <c r="AU744" s="341"/>
      <c r="AV744" s="341"/>
      <c r="AW744" s="342"/>
      <c r="AX744" s="342"/>
      <c r="AY744" s="342"/>
      <c r="AZ744" s="342"/>
      <c r="BA744" s="342"/>
      <c r="BB744" s="342"/>
      <c r="BC744" s="342"/>
      <c r="BD744" s="342"/>
      <c r="BE744" s="342"/>
    </row>
    <row r="745" spans="1:58" ht="14.25" hidden="1" customHeight="1" outlineLevel="1">
      <c r="A745" s="652" t="s">
        <v>2163</v>
      </c>
      <c r="B745" s="415" t="s">
        <v>2164</v>
      </c>
      <c r="C745" s="653" t="s">
        <v>1798</v>
      </c>
      <c r="D745" s="364"/>
      <c r="K745" s="649"/>
      <c r="O745" s="650"/>
      <c r="P745" s="651"/>
      <c r="R745" s="452"/>
      <c r="S745" s="452"/>
      <c r="T745" s="354"/>
      <c r="U745" s="354"/>
      <c r="V745" s="354"/>
      <c r="W745" s="354"/>
      <c r="X745" s="354"/>
      <c r="Y745" s="354"/>
      <c r="Z745" s="354"/>
      <c r="AA745" s="354"/>
      <c r="AB745" s="354"/>
      <c r="AC745" s="354"/>
      <c r="AD745" s="354"/>
      <c r="AE745" s="354"/>
      <c r="AF745" s="354"/>
      <c r="AG745" s="354"/>
      <c r="AH745" s="354"/>
      <c r="AI745" s="354"/>
      <c r="AJ745" s="354"/>
      <c r="AK745" s="354"/>
      <c r="AL745" s="354"/>
      <c r="AM745" s="354"/>
      <c r="AN745" s="354"/>
      <c r="AO745" s="358"/>
      <c r="AP745" s="358"/>
      <c r="AQ745" s="342"/>
      <c r="AR745" s="342"/>
      <c r="AS745" s="342"/>
      <c r="AT745" s="342"/>
      <c r="AU745" s="341"/>
      <c r="AV745" s="341"/>
      <c r="AW745" s="342"/>
      <c r="AX745" s="342"/>
      <c r="AY745" s="342"/>
      <c r="AZ745" s="342"/>
      <c r="BA745" s="342"/>
      <c r="BB745" s="342"/>
      <c r="BC745" s="342"/>
      <c r="BD745" s="342"/>
      <c r="BE745" s="342"/>
    </row>
    <row r="746" spans="1:58" ht="14.25" hidden="1" customHeight="1" outlineLevel="1">
      <c r="A746" s="555" t="s">
        <v>2165</v>
      </c>
      <c r="B746" s="556" t="s">
        <v>156</v>
      </c>
      <c r="C746" s="626">
        <v>0.8</v>
      </c>
      <c r="D746" s="616"/>
      <c r="I746" s="616"/>
      <c r="J746" s="616"/>
      <c r="K746" s="616"/>
      <c r="L746" s="616"/>
      <c r="M746" s="616"/>
      <c r="N746" s="616"/>
      <c r="O746" s="616"/>
      <c r="P746" s="616"/>
      <c r="Q746" s="616"/>
      <c r="R746" s="452"/>
      <c r="S746" s="452"/>
      <c r="T746" s="354"/>
      <c r="U746" s="354"/>
      <c r="V746" s="354"/>
      <c r="W746" s="354"/>
      <c r="X746" s="354"/>
      <c r="Y746" s="354"/>
      <c r="Z746" s="354"/>
      <c r="AA746" s="354"/>
      <c r="AB746" s="354"/>
      <c r="AC746" s="354"/>
      <c r="AD746" s="354"/>
      <c r="AE746" s="354"/>
      <c r="AF746" s="354"/>
      <c r="AG746" s="354"/>
      <c r="AH746" s="354"/>
      <c r="AI746" s="354"/>
      <c r="AJ746" s="354"/>
      <c r="AK746" s="354"/>
      <c r="AL746" s="354"/>
      <c r="AM746" s="354"/>
      <c r="AN746" s="354"/>
      <c r="AO746" s="358"/>
      <c r="AP746" s="358"/>
      <c r="AQ746" s="342"/>
      <c r="AR746" s="342"/>
      <c r="AS746" s="342"/>
      <c r="AT746" s="342"/>
      <c r="AU746" s="341"/>
      <c r="AV746" s="341"/>
      <c r="AW746" s="342"/>
      <c r="AX746" s="342"/>
      <c r="AY746" s="342"/>
      <c r="AZ746" s="342"/>
      <c r="BA746" s="342"/>
      <c r="BB746" s="342"/>
      <c r="BC746" s="342"/>
      <c r="BD746" s="342"/>
      <c r="BE746" s="342"/>
    </row>
    <row r="747" spans="1:58" ht="14.25" hidden="1" customHeight="1" outlineLevel="1">
      <c r="A747" s="555" t="s">
        <v>2166</v>
      </c>
      <c r="B747" s="556" t="s">
        <v>156</v>
      </c>
      <c r="C747" s="626">
        <v>0.1</v>
      </c>
      <c r="D747" s="616"/>
      <c r="I747" s="616"/>
      <c r="J747" s="616"/>
      <c r="K747" s="616"/>
      <c r="L747" s="616"/>
      <c r="M747" s="616"/>
      <c r="N747" s="616"/>
      <c r="O747" s="616"/>
      <c r="P747" s="617"/>
      <c r="Q747" s="617"/>
      <c r="R747" s="452"/>
      <c r="S747" s="452"/>
      <c r="T747" s="354"/>
      <c r="U747" s="354"/>
      <c r="V747" s="354"/>
      <c r="W747" s="354"/>
      <c r="X747" s="354"/>
      <c r="Y747" s="354"/>
      <c r="Z747" s="354"/>
      <c r="AA747" s="354"/>
      <c r="AB747" s="354"/>
      <c r="AC747" s="354"/>
      <c r="AD747" s="354"/>
      <c r="AE747" s="354"/>
      <c r="AF747" s="354"/>
      <c r="AG747" s="354"/>
      <c r="AH747" s="354"/>
      <c r="AI747" s="354"/>
      <c r="AJ747" s="354"/>
      <c r="AK747" s="354"/>
      <c r="AL747" s="354"/>
      <c r="AM747" s="354"/>
      <c r="AN747" s="354"/>
      <c r="AO747" s="358"/>
      <c r="AP747" s="358"/>
      <c r="AQ747" s="342"/>
      <c r="AR747" s="342"/>
      <c r="AS747" s="342"/>
      <c r="AT747" s="342"/>
      <c r="AU747" s="341"/>
      <c r="AV747" s="341"/>
      <c r="AW747" s="342"/>
      <c r="AX747" s="342"/>
      <c r="AY747" s="342"/>
      <c r="AZ747" s="342"/>
      <c r="BA747" s="342"/>
      <c r="BB747" s="342"/>
      <c r="BC747" s="342"/>
      <c r="BD747" s="342"/>
      <c r="BE747" s="342"/>
    </row>
    <row r="748" spans="1:58" ht="14.25" hidden="1" customHeight="1" outlineLevel="1">
      <c r="A748" s="555" t="s">
        <v>2167</v>
      </c>
      <c r="B748" s="556" t="s">
        <v>156</v>
      </c>
      <c r="C748" s="654">
        <v>0.2</v>
      </c>
      <c r="D748" s="616"/>
      <c r="I748" s="616"/>
      <c r="J748" s="616"/>
      <c r="K748" s="616"/>
      <c r="L748" s="616"/>
      <c r="M748" s="616"/>
      <c r="N748" s="616"/>
      <c r="O748" s="616"/>
      <c r="P748" s="617"/>
      <c r="Q748" s="617"/>
      <c r="R748" s="452"/>
      <c r="S748" s="452"/>
      <c r="T748" s="354"/>
      <c r="U748" s="354"/>
      <c r="V748" s="354"/>
      <c r="W748" s="354"/>
      <c r="X748" s="354"/>
      <c r="Y748" s="354"/>
      <c r="Z748" s="354"/>
      <c r="AA748" s="354"/>
      <c r="AB748" s="354"/>
      <c r="AC748" s="354"/>
      <c r="AD748" s="354"/>
      <c r="AE748" s="354"/>
      <c r="AF748" s="354"/>
      <c r="AG748" s="354"/>
      <c r="AH748" s="354"/>
      <c r="AI748" s="354"/>
      <c r="AJ748" s="354"/>
      <c r="AK748" s="354"/>
      <c r="AL748" s="354"/>
      <c r="AM748" s="354"/>
      <c r="AN748" s="354"/>
      <c r="AO748" s="358"/>
      <c r="AP748" s="358"/>
      <c r="AQ748" s="342"/>
      <c r="AR748" s="342"/>
      <c r="AS748" s="342"/>
      <c r="AT748" s="342"/>
      <c r="AU748" s="341"/>
      <c r="AV748" s="341"/>
      <c r="AW748" s="342"/>
      <c r="AX748" s="342"/>
      <c r="AY748" s="342"/>
      <c r="AZ748" s="342"/>
      <c r="BA748" s="342"/>
      <c r="BB748" s="342"/>
      <c r="BC748" s="342"/>
      <c r="BD748" s="342"/>
      <c r="BE748" s="342"/>
    </row>
    <row r="749" spans="1:58" ht="14.25" hidden="1" customHeight="1" outlineLevel="1">
      <c r="A749" s="555" t="s">
        <v>2168</v>
      </c>
      <c r="B749" s="556" t="s">
        <v>156</v>
      </c>
      <c r="C749" s="655">
        <v>0.8</v>
      </c>
      <c r="D749" s="382"/>
      <c r="E749" s="382"/>
      <c r="F749" s="382"/>
      <c r="G749" s="382"/>
      <c r="H749" s="499"/>
      <c r="I749" s="650"/>
      <c r="J749" s="651"/>
      <c r="K749" s="625"/>
      <c r="L749" s="499"/>
      <c r="M749" s="499"/>
      <c r="N749" s="499"/>
      <c r="O749" s="650"/>
      <c r="P749" s="651"/>
      <c r="Q749" s="499"/>
      <c r="R749" s="452"/>
      <c r="S749" s="452"/>
      <c r="T749" s="354"/>
      <c r="U749" s="354"/>
      <c r="V749" s="354"/>
      <c r="W749" s="354"/>
      <c r="X749" s="354"/>
      <c r="Y749" s="354"/>
      <c r="Z749" s="354"/>
      <c r="AA749" s="354"/>
      <c r="AB749" s="354"/>
      <c r="AC749" s="354"/>
      <c r="AD749" s="354"/>
      <c r="AE749" s="354"/>
      <c r="AF749" s="354"/>
      <c r="AG749" s="354"/>
      <c r="AH749" s="354"/>
      <c r="AI749" s="354"/>
      <c r="AJ749" s="354"/>
      <c r="AK749" s="354"/>
      <c r="AL749" s="354"/>
      <c r="AM749" s="354"/>
      <c r="AN749" s="354"/>
      <c r="AO749" s="358"/>
      <c r="AP749" s="358"/>
      <c r="AQ749" s="342"/>
      <c r="AR749" s="342"/>
      <c r="AS749" s="342"/>
      <c r="AT749" s="342"/>
      <c r="AU749" s="341"/>
      <c r="AV749" s="341"/>
      <c r="AW749" s="342"/>
      <c r="AX749" s="342"/>
      <c r="AY749" s="342"/>
      <c r="AZ749" s="342"/>
      <c r="BA749" s="342"/>
      <c r="BB749" s="342"/>
      <c r="BC749" s="342"/>
      <c r="BD749" s="342"/>
      <c r="BE749" s="342"/>
    </row>
    <row r="750" spans="1:58" ht="14.25" hidden="1" customHeight="1" outlineLevel="1">
      <c r="A750" s="482" t="s">
        <v>2169</v>
      </c>
      <c r="C750" s="3081" t="s">
        <v>2170</v>
      </c>
      <c r="D750" s="3081"/>
      <c r="E750" s="3081"/>
      <c r="F750" s="3081"/>
      <c r="G750" s="3081"/>
      <c r="H750" s="447"/>
      <c r="J750" s="656"/>
      <c r="K750" s="656"/>
      <c r="L750" s="656"/>
      <c r="M750" s="656"/>
      <c r="N750" s="656"/>
      <c r="O750" s="656"/>
      <c r="P750" s="656"/>
      <c r="Q750" s="499"/>
      <c r="R750" s="452"/>
      <c r="S750" s="452"/>
      <c r="T750" s="354"/>
      <c r="U750" s="354"/>
      <c r="V750" s="354"/>
      <c r="W750" s="354"/>
      <c r="X750" s="354"/>
      <c r="Y750" s="354"/>
      <c r="Z750" s="354"/>
      <c r="AA750" s="354"/>
      <c r="AB750" s="354"/>
      <c r="AC750" s="354"/>
      <c r="AD750" s="354"/>
      <c r="AE750" s="354"/>
      <c r="AF750" s="354"/>
      <c r="AG750" s="354"/>
      <c r="AH750" s="354"/>
      <c r="AI750" s="354"/>
      <c r="AJ750" s="354"/>
      <c r="AK750" s="354"/>
      <c r="AL750" s="354"/>
      <c r="AM750" s="354"/>
      <c r="AN750" s="354"/>
      <c r="AO750" s="358"/>
      <c r="AP750" s="358"/>
      <c r="AQ750" s="342"/>
      <c r="AR750" s="342"/>
      <c r="AS750" s="342"/>
      <c r="AT750" s="342"/>
      <c r="AU750" s="341"/>
      <c r="AV750" s="341"/>
      <c r="AW750" s="342"/>
      <c r="AX750" s="342"/>
      <c r="AY750" s="342"/>
      <c r="AZ750" s="342"/>
      <c r="BA750" s="342"/>
      <c r="BB750" s="342"/>
      <c r="BC750" s="342"/>
      <c r="BD750" s="342"/>
      <c r="BE750" s="342"/>
    </row>
    <row r="751" spans="1:58" ht="14.25" hidden="1" customHeight="1" outlineLevel="1">
      <c r="A751" s="657" t="s">
        <v>294</v>
      </c>
      <c r="C751" s="3113" t="s">
        <v>1020</v>
      </c>
      <c r="D751" s="3113"/>
      <c r="E751" s="3113"/>
      <c r="F751" s="658" t="s">
        <v>1820</v>
      </c>
      <c r="G751" s="659" t="s">
        <v>1821</v>
      </c>
      <c r="I751" s="639"/>
      <c r="J751" s="639"/>
      <c r="K751" s="625"/>
      <c r="L751" s="499"/>
      <c r="M751" s="499"/>
      <c r="N751" s="499"/>
      <c r="O751" s="650"/>
      <c r="P751" s="651"/>
      <c r="Q751" s="499"/>
      <c r="R751" s="452"/>
      <c r="S751" s="452"/>
      <c r="T751" s="354"/>
      <c r="U751" s="354"/>
      <c r="V751" s="354"/>
      <c r="W751" s="354"/>
      <c r="X751" s="354"/>
      <c r="Y751" s="354"/>
      <c r="Z751" s="354"/>
      <c r="AA751" s="354"/>
      <c r="AB751" s="354"/>
      <c r="AC751" s="354"/>
      <c r="AD751" s="354"/>
      <c r="AE751" s="354"/>
      <c r="AF751" s="354"/>
      <c r="AG751" s="354"/>
      <c r="AH751" s="354"/>
      <c r="AI751" s="354"/>
      <c r="AJ751" s="354"/>
      <c r="AK751" s="354"/>
      <c r="AL751" s="354"/>
      <c r="AM751" s="354"/>
      <c r="AN751" s="354"/>
      <c r="AO751" s="358"/>
      <c r="AP751" s="358"/>
      <c r="AQ751" s="342"/>
      <c r="AR751" s="342"/>
      <c r="AS751" s="342"/>
      <c r="AT751" s="342"/>
      <c r="AU751" s="341"/>
      <c r="AV751" s="341"/>
      <c r="AW751" s="342"/>
      <c r="AX751" s="342"/>
      <c r="AY751" s="342"/>
      <c r="AZ751" s="342"/>
      <c r="BA751" s="342"/>
      <c r="BB751" s="342"/>
      <c r="BC751" s="342"/>
      <c r="BD751" s="342"/>
      <c r="BE751" s="342"/>
    </row>
    <row r="752" spans="1:58" ht="14.25" hidden="1" customHeight="1" outlineLevel="1">
      <c r="A752" s="331" t="s">
        <v>2171</v>
      </c>
      <c r="B752" s="355"/>
      <c r="C752" s="3114" t="s">
        <v>2172</v>
      </c>
      <c r="D752" s="3114"/>
      <c r="E752" s="3114"/>
      <c r="F752" s="660"/>
      <c r="G752" s="661"/>
      <c r="H752" s="447"/>
      <c r="J752" s="651"/>
      <c r="K752" s="625"/>
      <c r="L752" s="499"/>
      <c r="M752" s="499"/>
      <c r="N752" s="499"/>
      <c r="O752" s="650"/>
      <c r="P752" s="651"/>
      <c r="Q752" s="499"/>
      <c r="R752" s="452"/>
      <c r="S752" s="452"/>
      <c r="T752" s="354"/>
      <c r="U752" s="354"/>
      <c r="V752" s="354"/>
      <c r="W752" s="354"/>
      <c r="X752" s="354"/>
      <c r="Y752" s="354"/>
      <c r="Z752" s="354"/>
      <c r="AA752" s="354"/>
      <c r="AB752" s="354"/>
      <c r="AC752" s="354"/>
      <c r="AD752" s="354"/>
      <c r="AE752" s="354"/>
      <c r="AF752" s="354"/>
      <c r="AG752" s="354"/>
      <c r="AH752" s="354"/>
      <c r="AI752" s="354"/>
      <c r="AJ752" s="354"/>
      <c r="AK752" s="354"/>
      <c r="AL752" s="354"/>
      <c r="AM752" s="354"/>
      <c r="AN752" s="354"/>
      <c r="AO752" s="358"/>
      <c r="AP752" s="358"/>
      <c r="AQ752" s="342"/>
      <c r="AR752" s="342"/>
      <c r="AS752" s="342"/>
      <c r="AT752" s="342"/>
      <c r="AU752" s="341"/>
      <c r="AV752" s="341"/>
      <c r="AW752" s="342"/>
      <c r="AX752" s="342"/>
      <c r="AY752" s="342"/>
      <c r="AZ752" s="342"/>
      <c r="BA752" s="342"/>
      <c r="BB752" s="342"/>
      <c r="BC752" s="342"/>
      <c r="BD752" s="342"/>
      <c r="BE752" s="342"/>
    </row>
    <row r="753" spans="1:57" ht="14.25" hidden="1" customHeight="1" outlineLevel="1">
      <c r="A753" s="491" t="s">
        <v>199</v>
      </c>
      <c r="B753" s="355"/>
      <c r="C753" s="3115" t="s">
        <v>1027</v>
      </c>
      <c r="D753" s="3115"/>
      <c r="E753" s="3115"/>
      <c r="F753" s="375" t="s">
        <v>1820</v>
      </c>
      <c r="G753" s="644" t="s">
        <v>1821</v>
      </c>
      <c r="H753" s="447"/>
      <c r="J753" s="651"/>
      <c r="K753" s="625"/>
      <c r="L753" s="499"/>
      <c r="M753" s="499"/>
      <c r="N753" s="499"/>
      <c r="O753" s="650"/>
      <c r="P753" s="651"/>
      <c r="Q753" s="499"/>
      <c r="R753" s="452"/>
      <c r="S753" s="452"/>
      <c r="T753" s="354"/>
      <c r="U753" s="354"/>
      <c r="V753" s="354"/>
      <c r="W753" s="354"/>
      <c r="X753" s="354"/>
      <c r="Y753" s="354"/>
      <c r="Z753" s="354"/>
      <c r="AA753" s="354"/>
      <c r="AB753" s="354"/>
      <c r="AC753" s="354"/>
      <c r="AD753" s="354"/>
      <c r="AE753" s="354"/>
      <c r="AF753" s="354"/>
      <c r="AG753" s="354"/>
      <c r="AH753" s="354"/>
      <c r="AI753" s="354"/>
      <c r="AJ753" s="354"/>
      <c r="AK753" s="354"/>
      <c r="AL753" s="354"/>
      <c r="AM753" s="354"/>
      <c r="AN753" s="354"/>
      <c r="AO753" s="358"/>
      <c r="AP753" s="358"/>
      <c r="AQ753" s="342"/>
      <c r="AR753" s="342"/>
      <c r="AS753" s="342"/>
      <c r="AT753" s="342"/>
      <c r="AU753" s="341"/>
      <c r="AV753" s="341"/>
      <c r="AW753" s="342"/>
      <c r="AX753" s="342"/>
      <c r="AY753" s="342"/>
      <c r="AZ753" s="342"/>
      <c r="BA753" s="342"/>
      <c r="BB753" s="342"/>
      <c r="BC753" s="342"/>
      <c r="BD753" s="342"/>
      <c r="BE753" s="342"/>
    </row>
    <row r="754" spans="1:57" ht="14.25" hidden="1" customHeight="1" outlineLevel="1">
      <c r="B754" s="355"/>
      <c r="C754" s="502"/>
      <c r="H754" s="447"/>
      <c r="J754" s="651"/>
      <c r="K754" s="625"/>
      <c r="L754" s="499"/>
      <c r="M754" s="499"/>
      <c r="N754" s="499"/>
      <c r="O754" s="650"/>
      <c r="P754" s="651"/>
      <c r="Q754" s="499"/>
      <c r="R754" s="452"/>
      <c r="S754" s="452"/>
      <c r="T754" s="354"/>
      <c r="U754" s="354"/>
      <c r="V754" s="354"/>
      <c r="W754" s="354"/>
      <c r="X754" s="354"/>
      <c r="Y754" s="354"/>
      <c r="Z754" s="354"/>
      <c r="AA754" s="354"/>
      <c r="AB754" s="354"/>
      <c r="AC754" s="354"/>
      <c r="AD754" s="354"/>
      <c r="AE754" s="354"/>
      <c r="AF754" s="354"/>
      <c r="AG754" s="354"/>
      <c r="AH754" s="354"/>
      <c r="AI754" s="354"/>
      <c r="AJ754" s="354"/>
      <c r="AK754" s="354"/>
      <c r="AL754" s="354"/>
      <c r="AM754" s="354"/>
      <c r="AN754" s="354"/>
      <c r="AO754" s="358"/>
      <c r="AP754" s="358"/>
      <c r="AQ754" s="342"/>
      <c r="AR754" s="342"/>
      <c r="AS754" s="342"/>
      <c r="AT754" s="342"/>
      <c r="AU754" s="341"/>
      <c r="AV754" s="341"/>
      <c r="AW754" s="342"/>
      <c r="AX754" s="342"/>
      <c r="AY754" s="342"/>
      <c r="AZ754" s="342"/>
      <c r="BA754" s="342"/>
      <c r="BB754" s="342"/>
      <c r="BC754" s="342"/>
      <c r="BD754" s="342"/>
      <c r="BE754" s="342"/>
    </row>
    <row r="755" spans="1:57" ht="14.25" hidden="1" customHeight="1" outlineLevel="1">
      <c r="A755" s="364" t="s">
        <v>2173</v>
      </c>
      <c r="B755" s="273"/>
      <c r="C755" s="240"/>
      <c r="H755" s="447"/>
      <c r="J755" s="651"/>
      <c r="K755" s="625"/>
      <c r="L755" s="499"/>
      <c r="M755" s="499"/>
      <c r="N755" s="499"/>
      <c r="O755" s="650"/>
      <c r="P755" s="651"/>
      <c r="Q755" s="499"/>
      <c r="R755" s="452"/>
      <c r="S755" s="452"/>
      <c r="T755" s="354"/>
      <c r="U755" s="354"/>
      <c r="V755" s="354"/>
      <c r="W755" s="354"/>
      <c r="X755" s="354"/>
      <c r="Y755" s="354"/>
      <c r="Z755" s="354"/>
      <c r="AA755" s="354"/>
      <c r="AB755" s="354"/>
      <c r="AC755" s="354"/>
      <c r="AD755" s="354"/>
      <c r="AE755" s="354"/>
      <c r="AF755" s="354"/>
      <c r="AG755" s="354"/>
      <c r="AH755" s="354"/>
      <c r="AI755" s="354"/>
      <c r="AJ755" s="354"/>
      <c r="AK755" s="354"/>
      <c r="AL755" s="354"/>
      <c r="AM755" s="354"/>
      <c r="AN755" s="354"/>
      <c r="AO755" s="358"/>
      <c r="AP755" s="358"/>
      <c r="AQ755" s="342"/>
      <c r="AR755" s="342"/>
      <c r="AS755" s="342"/>
      <c r="AT755" s="342"/>
      <c r="AU755" s="341"/>
      <c r="AV755" s="341"/>
      <c r="AW755" s="342"/>
      <c r="AX755" s="342"/>
      <c r="AY755" s="342"/>
      <c r="AZ755" s="342"/>
      <c r="BA755" s="342"/>
      <c r="BB755" s="342"/>
      <c r="BC755" s="342"/>
      <c r="BD755" s="342"/>
      <c r="BE755" s="342"/>
    </row>
    <row r="756" spans="1:57" ht="14.25" hidden="1" customHeight="1" outlineLevel="1">
      <c r="A756" s="414" t="s">
        <v>152</v>
      </c>
      <c r="B756" s="602" t="s">
        <v>154</v>
      </c>
      <c r="C756" s="603">
        <v>4</v>
      </c>
      <c r="H756" s="447"/>
      <c r="J756" s="651"/>
      <c r="K756" s="625"/>
      <c r="L756" s="499"/>
      <c r="M756" s="499"/>
      <c r="N756" s="499"/>
      <c r="O756" s="650"/>
      <c r="P756" s="651"/>
      <c r="Q756" s="499"/>
      <c r="R756" s="452"/>
      <c r="S756" s="452"/>
      <c r="T756" s="354"/>
      <c r="U756" s="354"/>
      <c r="V756" s="354"/>
      <c r="W756" s="354"/>
      <c r="X756" s="354"/>
      <c r="Y756" s="354"/>
      <c r="Z756" s="354"/>
      <c r="AA756" s="354"/>
      <c r="AB756" s="354"/>
      <c r="AC756" s="354"/>
      <c r="AD756" s="354"/>
      <c r="AE756" s="354"/>
      <c r="AF756" s="354"/>
      <c r="AG756" s="354"/>
      <c r="AH756" s="354"/>
      <c r="AI756" s="354"/>
      <c r="AJ756" s="354"/>
      <c r="AK756" s="354"/>
      <c r="AL756" s="354"/>
      <c r="AM756" s="354"/>
      <c r="AN756" s="354"/>
      <c r="AO756" s="358"/>
      <c r="AP756" s="358"/>
      <c r="AQ756" s="342"/>
      <c r="AR756" s="342"/>
      <c r="AS756" s="342"/>
      <c r="AT756" s="342"/>
      <c r="AU756" s="341"/>
      <c r="AV756" s="341"/>
      <c r="AW756" s="342"/>
      <c r="AX756" s="342"/>
      <c r="AY756" s="342"/>
      <c r="AZ756" s="342"/>
      <c r="BA756" s="342"/>
      <c r="BB756" s="342"/>
      <c r="BC756" s="342"/>
      <c r="BD756" s="342"/>
      <c r="BE756" s="342"/>
    </row>
    <row r="757" spans="1:57" ht="14.25" hidden="1" customHeight="1" outlineLevel="1">
      <c r="A757" s="489" t="s">
        <v>152</v>
      </c>
      <c r="B757" s="662" t="s">
        <v>159</v>
      </c>
      <c r="C757" s="604">
        <v>4</v>
      </c>
      <c r="H757" s="447"/>
      <c r="J757" s="651"/>
      <c r="K757" s="625"/>
      <c r="L757" s="499"/>
      <c r="M757" s="499"/>
      <c r="N757" s="499"/>
      <c r="O757" s="650"/>
      <c r="P757" s="651"/>
      <c r="Q757" s="499"/>
      <c r="R757" s="452"/>
      <c r="S757" s="452"/>
      <c r="T757" s="354"/>
      <c r="U757" s="354"/>
      <c r="V757" s="354"/>
      <c r="W757" s="354"/>
      <c r="X757" s="354"/>
      <c r="Y757" s="354"/>
      <c r="Z757" s="354"/>
      <c r="AA757" s="354"/>
      <c r="AB757" s="354"/>
      <c r="AC757" s="354"/>
      <c r="AD757" s="354"/>
      <c r="AE757" s="354"/>
      <c r="AF757" s="354"/>
      <c r="AG757" s="354"/>
      <c r="AH757" s="354"/>
      <c r="AI757" s="354"/>
      <c r="AJ757" s="354"/>
      <c r="AK757" s="354"/>
      <c r="AL757" s="354"/>
      <c r="AM757" s="354"/>
      <c r="AN757" s="354"/>
      <c r="AO757" s="358"/>
      <c r="AP757" s="358"/>
      <c r="AQ757" s="342"/>
      <c r="AR757" s="342"/>
      <c r="AS757" s="342"/>
      <c r="AT757" s="342"/>
      <c r="AU757" s="341"/>
      <c r="AV757" s="341"/>
      <c r="AW757" s="342"/>
      <c r="AX757" s="342"/>
      <c r="AY757" s="342"/>
      <c r="AZ757" s="342"/>
      <c r="BA757" s="342"/>
      <c r="BB757" s="342"/>
      <c r="BC757" s="342"/>
      <c r="BD757" s="342"/>
      <c r="BE757" s="342"/>
    </row>
    <row r="758" spans="1:57" ht="14.25" hidden="1" customHeight="1" outlineLevel="1">
      <c r="A758" s="489" t="s">
        <v>152</v>
      </c>
      <c r="B758" s="662" t="s">
        <v>159</v>
      </c>
      <c r="C758" s="604">
        <v>6</v>
      </c>
      <c r="H758" s="447"/>
      <c r="J758" s="651"/>
      <c r="K758" s="625"/>
      <c r="L758" s="499"/>
      <c r="M758" s="499"/>
      <c r="N758" s="499"/>
      <c r="O758" s="650"/>
      <c r="P758" s="651"/>
      <c r="Q758" s="499"/>
      <c r="R758" s="452"/>
      <c r="S758" s="452"/>
      <c r="T758" s="354"/>
      <c r="U758" s="354"/>
      <c r="V758" s="354"/>
      <c r="W758" s="354"/>
      <c r="X758" s="354"/>
      <c r="Y758" s="354"/>
      <c r="Z758" s="354"/>
      <c r="AA758" s="354"/>
      <c r="AB758" s="354"/>
      <c r="AC758" s="354"/>
      <c r="AD758" s="354"/>
      <c r="AE758" s="354"/>
      <c r="AF758" s="354"/>
      <c r="AG758" s="354"/>
      <c r="AH758" s="354"/>
      <c r="AI758" s="354"/>
      <c r="AJ758" s="354"/>
      <c r="AK758" s="354"/>
      <c r="AL758" s="354"/>
      <c r="AM758" s="354"/>
      <c r="AN758" s="354"/>
      <c r="AO758" s="358"/>
      <c r="AP758" s="358"/>
      <c r="AQ758" s="342"/>
      <c r="AR758" s="342"/>
      <c r="AS758" s="342"/>
      <c r="AT758" s="342"/>
      <c r="AU758" s="341"/>
      <c r="AV758" s="341"/>
      <c r="AW758" s="342"/>
      <c r="AX758" s="342"/>
      <c r="AY758" s="342"/>
      <c r="AZ758" s="342"/>
      <c r="BA758" s="342"/>
      <c r="BB758" s="342"/>
      <c r="BC758" s="342"/>
      <c r="BD758" s="342"/>
      <c r="BE758" s="342"/>
    </row>
    <row r="759" spans="1:57" ht="14.25" hidden="1" customHeight="1" outlineLevel="1">
      <c r="A759" s="489" t="s">
        <v>152</v>
      </c>
      <c r="B759" s="662" t="s">
        <v>154</v>
      </c>
      <c r="C759" s="604">
        <v>4</v>
      </c>
      <c r="H759" s="447"/>
      <c r="J759" s="651"/>
      <c r="K759" s="625"/>
      <c r="L759" s="499"/>
      <c r="M759" s="499"/>
      <c r="N759" s="499"/>
      <c r="O759" s="650"/>
      <c r="P759" s="651"/>
      <c r="Q759" s="499"/>
      <c r="R759" s="452"/>
      <c r="S759" s="452"/>
      <c r="T759" s="354"/>
      <c r="U759" s="354"/>
      <c r="V759" s="354"/>
      <c r="W759" s="354"/>
      <c r="X759" s="354"/>
      <c r="Y759" s="354"/>
      <c r="Z759" s="354"/>
      <c r="AA759" s="354"/>
      <c r="AB759" s="354"/>
      <c r="AC759" s="354"/>
      <c r="AD759" s="354"/>
      <c r="AE759" s="354"/>
      <c r="AF759" s="354"/>
      <c r="AG759" s="354"/>
      <c r="AH759" s="354"/>
      <c r="AI759" s="354"/>
      <c r="AJ759" s="354"/>
      <c r="AK759" s="354"/>
      <c r="AL759" s="354"/>
      <c r="AM759" s="354"/>
      <c r="AN759" s="354"/>
      <c r="AO759" s="358"/>
      <c r="AP759" s="358"/>
      <c r="AQ759" s="342"/>
      <c r="AR759" s="342"/>
      <c r="AS759" s="342"/>
      <c r="AT759" s="342"/>
      <c r="AU759" s="341"/>
      <c r="AV759" s="341"/>
      <c r="AW759" s="342"/>
      <c r="AX759" s="342"/>
      <c r="AY759" s="342"/>
      <c r="AZ759" s="342"/>
      <c r="BA759" s="342"/>
      <c r="BB759" s="342"/>
      <c r="BC759" s="342"/>
      <c r="BD759" s="342"/>
      <c r="BE759" s="342"/>
    </row>
    <row r="760" spans="1:57" ht="14.25" hidden="1" customHeight="1" outlineLevel="1">
      <c r="A760" s="414" t="s">
        <v>152</v>
      </c>
      <c r="B760" s="602"/>
      <c r="C760" s="603">
        <v>0</v>
      </c>
      <c r="H760" s="447"/>
      <c r="J760" s="651"/>
      <c r="K760" s="625"/>
      <c r="L760" s="499"/>
      <c r="M760" s="499"/>
      <c r="N760" s="499"/>
      <c r="O760" s="650"/>
      <c r="P760" s="651"/>
      <c r="Q760" s="499"/>
      <c r="R760" s="452"/>
      <c r="S760" s="452"/>
      <c r="T760" s="354"/>
      <c r="U760" s="354"/>
      <c r="V760" s="354"/>
      <c r="W760" s="354"/>
      <c r="X760" s="354"/>
      <c r="Y760" s="354"/>
      <c r="Z760" s="354"/>
      <c r="AA760" s="354"/>
      <c r="AB760" s="354"/>
      <c r="AC760" s="354"/>
      <c r="AD760" s="354"/>
      <c r="AE760" s="354"/>
      <c r="AF760" s="354"/>
      <c r="AG760" s="354"/>
      <c r="AH760" s="354"/>
      <c r="AI760" s="354"/>
      <c r="AJ760" s="354"/>
      <c r="AK760" s="354"/>
      <c r="AL760" s="354"/>
      <c r="AM760" s="354"/>
      <c r="AN760" s="354"/>
      <c r="AO760" s="358"/>
      <c r="AP760" s="358"/>
      <c r="AQ760" s="342"/>
      <c r="AR760" s="342"/>
      <c r="AS760" s="342"/>
      <c r="AT760" s="342"/>
      <c r="AU760" s="341"/>
      <c r="AV760" s="341"/>
      <c r="AW760" s="342"/>
      <c r="AX760" s="342"/>
      <c r="AY760" s="342"/>
      <c r="AZ760" s="342"/>
      <c r="BA760" s="342"/>
      <c r="BB760" s="342"/>
      <c r="BC760" s="342"/>
      <c r="BD760" s="342"/>
      <c r="BE760" s="342"/>
    </row>
    <row r="761" spans="1:57" ht="14.25" hidden="1" customHeight="1" outlineLevel="1">
      <c r="B761" s="355"/>
      <c r="C761" s="502"/>
      <c r="H761" s="447"/>
      <c r="J761" s="651"/>
      <c r="K761" s="625"/>
      <c r="L761" s="499"/>
      <c r="M761" s="499"/>
      <c r="N761" s="499"/>
      <c r="O761" s="650"/>
      <c r="P761" s="651"/>
      <c r="Q761" s="499"/>
      <c r="R761" s="452"/>
      <c r="S761" s="452"/>
      <c r="T761" s="354"/>
      <c r="U761" s="354"/>
      <c r="V761" s="354"/>
      <c r="W761" s="354"/>
      <c r="X761" s="354"/>
      <c r="Y761" s="354"/>
      <c r="Z761" s="354"/>
      <c r="AA761" s="354"/>
      <c r="AB761" s="354"/>
      <c r="AC761" s="354"/>
      <c r="AD761" s="354"/>
      <c r="AE761" s="354"/>
      <c r="AF761" s="354"/>
      <c r="AG761" s="354"/>
      <c r="AH761" s="354"/>
      <c r="AI761" s="354"/>
      <c r="AJ761" s="354"/>
      <c r="AK761" s="354"/>
      <c r="AL761" s="354"/>
      <c r="AM761" s="354"/>
      <c r="AN761" s="354"/>
      <c r="AO761" s="358"/>
      <c r="AP761" s="358"/>
      <c r="AQ761" s="342"/>
      <c r="AR761" s="342"/>
      <c r="AS761" s="342"/>
      <c r="AT761" s="342"/>
      <c r="AU761" s="341"/>
      <c r="AV761" s="341"/>
      <c r="AW761" s="342"/>
      <c r="AX761" s="342"/>
      <c r="AY761" s="342"/>
      <c r="AZ761" s="342"/>
      <c r="BA761" s="342"/>
      <c r="BB761" s="342"/>
      <c r="BC761" s="342"/>
      <c r="BD761" s="342"/>
      <c r="BE761" s="342"/>
    </row>
    <row r="762" spans="1:57" ht="14.25" hidden="1" customHeight="1" outlineLevel="1">
      <c r="A762" s="263" t="s">
        <v>2174</v>
      </c>
      <c r="B762" s="415" t="s">
        <v>1796</v>
      </c>
      <c r="C762" s="663">
        <v>8000</v>
      </c>
      <c r="H762" s="447"/>
      <c r="J762" s="651"/>
      <c r="K762" s="625"/>
      <c r="L762" s="499"/>
      <c r="M762" s="499"/>
      <c r="N762" s="499"/>
      <c r="O762" s="650"/>
      <c r="P762" s="651"/>
      <c r="Q762" s="499"/>
      <c r="R762" s="452"/>
      <c r="S762" s="452"/>
      <c r="T762" s="354"/>
      <c r="U762" s="354"/>
      <c r="V762" s="354"/>
      <c r="W762" s="354"/>
      <c r="X762" s="354"/>
      <c r="Y762" s="354"/>
      <c r="Z762" s="354"/>
      <c r="AA762" s="354"/>
      <c r="AB762" s="354"/>
      <c r="AC762" s="354"/>
      <c r="AD762" s="354"/>
      <c r="AE762" s="354"/>
      <c r="AF762" s="354"/>
      <c r="AG762" s="354"/>
      <c r="AH762" s="354"/>
      <c r="AI762" s="354"/>
      <c r="AJ762" s="354"/>
      <c r="AK762" s="354"/>
      <c r="AL762" s="354"/>
      <c r="AM762" s="354"/>
      <c r="AN762" s="354"/>
      <c r="AO762" s="358"/>
      <c r="AP762" s="358"/>
      <c r="AQ762" s="342"/>
      <c r="AR762" s="342"/>
      <c r="AS762" s="342"/>
      <c r="AT762" s="342"/>
      <c r="AU762" s="341"/>
      <c r="AV762" s="341"/>
      <c r="AW762" s="342"/>
      <c r="AX762" s="342"/>
      <c r="AY762" s="342"/>
      <c r="AZ762" s="342"/>
      <c r="BA762" s="342"/>
      <c r="BB762" s="342"/>
      <c r="BC762" s="342"/>
      <c r="BD762" s="342"/>
      <c r="BE762" s="342"/>
    </row>
    <row r="763" spans="1:57" ht="14.25" hidden="1" customHeight="1" outlineLevel="1">
      <c r="H763" s="447"/>
      <c r="J763" s="651"/>
      <c r="K763" s="625"/>
      <c r="L763" s="499"/>
      <c r="M763" s="499"/>
      <c r="N763" s="499"/>
      <c r="O763" s="650"/>
      <c r="P763" s="651"/>
      <c r="Q763" s="499"/>
      <c r="R763" s="452"/>
      <c r="S763" s="452"/>
      <c r="T763" s="354"/>
      <c r="U763" s="354"/>
      <c r="V763" s="354"/>
      <c r="W763" s="354"/>
      <c r="X763" s="354"/>
      <c r="Y763" s="354"/>
      <c r="Z763" s="354"/>
      <c r="AA763" s="354"/>
      <c r="AB763" s="354"/>
      <c r="AC763" s="354"/>
      <c r="AD763" s="354"/>
      <c r="AE763" s="354"/>
      <c r="AF763" s="354"/>
      <c r="AG763" s="354"/>
      <c r="AH763" s="354"/>
      <c r="AI763" s="354"/>
      <c r="AJ763" s="354"/>
      <c r="AK763" s="354"/>
      <c r="AL763" s="354"/>
      <c r="AM763" s="354"/>
      <c r="AN763" s="354"/>
      <c r="AO763" s="358"/>
      <c r="AP763" s="358"/>
      <c r="AQ763" s="342"/>
      <c r="AR763" s="342"/>
      <c r="AS763" s="342"/>
      <c r="AT763" s="342"/>
      <c r="AU763" s="341"/>
      <c r="AV763" s="341"/>
      <c r="AW763" s="342"/>
      <c r="AX763" s="342"/>
      <c r="AY763" s="342"/>
      <c r="AZ763" s="342"/>
      <c r="BA763" s="342"/>
      <c r="BB763" s="342"/>
      <c r="BC763" s="342"/>
      <c r="BD763" s="342"/>
      <c r="BE763" s="342"/>
    </row>
    <row r="764" spans="1:57" ht="14.25" customHeight="1" collapsed="1">
      <c r="A764" s="3116" t="s">
        <v>2175</v>
      </c>
      <c r="B764" s="3116"/>
      <c r="C764" s="3116"/>
      <c r="D764" s="3116"/>
      <c r="E764" s="3116"/>
      <c r="F764" s="653" t="s">
        <v>1798</v>
      </c>
      <c r="H764" s="646"/>
      <c r="I764" s="646"/>
      <c r="J764" s="646"/>
      <c r="K764" s="646"/>
      <c r="L764" s="646"/>
      <c r="M764" s="616"/>
      <c r="N764" s="616"/>
      <c r="O764" s="616"/>
      <c r="P764" s="575"/>
      <c r="Q764" s="366"/>
      <c r="R764" s="575"/>
      <c r="S764" s="354"/>
      <c r="T764" s="575"/>
      <c r="U764" s="575"/>
      <c r="V764" s="575"/>
      <c r="W764" s="354"/>
      <c r="X764" s="354"/>
      <c r="Y764" s="354"/>
      <c r="Z764" s="354"/>
      <c r="AA764" s="354"/>
      <c r="AB764" s="354"/>
      <c r="AC764" s="354"/>
      <c r="AD764" s="354"/>
      <c r="AE764" s="354"/>
      <c r="AF764" s="354"/>
      <c r="AG764" s="354"/>
      <c r="AH764" s="354"/>
      <c r="AI764" s="354"/>
      <c r="AJ764" s="354"/>
      <c r="AK764" s="354"/>
      <c r="AL764" s="354"/>
      <c r="AM764" s="354"/>
      <c r="AN764" s="354"/>
      <c r="AO764" s="358"/>
      <c r="AP764" s="358"/>
      <c r="AQ764" s="342"/>
      <c r="AR764" s="342"/>
      <c r="AS764" s="342"/>
      <c r="AT764" s="342"/>
      <c r="AU764" s="341"/>
      <c r="AV764" s="664">
        <f>M764</f>
        <v>0</v>
      </c>
      <c r="AW764" s="342"/>
      <c r="AX764" s="342"/>
      <c r="AY764" s="342"/>
      <c r="AZ764" s="342"/>
      <c r="BA764" s="342"/>
      <c r="BB764" s="342"/>
      <c r="BC764" s="342"/>
      <c r="BD764" s="342"/>
      <c r="BE764" s="342"/>
    </row>
    <row r="765" spans="1:57" ht="14.25" customHeight="1">
      <c r="A765" s="482"/>
      <c r="B765" s="355"/>
      <c r="C765" s="502"/>
      <c r="D765" s="502"/>
      <c r="E765" s="502"/>
      <c r="F765" s="502"/>
      <c r="G765" s="502"/>
      <c r="H765" s="355"/>
      <c r="I765" s="472"/>
      <c r="J765" s="505"/>
      <c r="K765" s="620"/>
      <c r="L765" s="460"/>
      <c r="M765" s="505"/>
      <c r="N765" s="452"/>
      <c r="O765" s="452"/>
      <c r="P765" s="452"/>
      <c r="Q765" s="354"/>
      <c r="R765" s="354"/>
      <c r="S765" s="354"/>
      <c r="T765" s="354"/>
      <c r="U765" s="354"/>
      <c r="V765" s="354"/>
      <c r="W765" s="354"/>
      <c r="X765" s="354"/>
      <c r="Y765" s="354"/>
      <c r="Z765" s="354"/>
      <c r="AA765" s="354"/>
      <c r="AB765" s="354"/>
      <c r="AC765" s="354"/>
      <c r="AD765" s="354"/>
      <c r="AE765" s="354"/>
      <c r="AF765" s="354"/>
      <c r="AG765" s="354"/>
      <c r="AH765" s="354"/>
      <c r="AI765" s="354"/>
      <c r="AJ765" s="354"/>
      <c r="AK765" s="354"/>
      <c r="AL765" s="354"/>
      <c r="AM765" s="354"/>
      <c r="AN765" s="354"/>
      <c r="AO765" s="358"/>
      <c r="AP765" s="358"/>
      <c r="AQ765" s="342"/>
      <c r="AR765" s="342"/>
      <c r="AS765" s="342"/>
      <c r="AT765" s="342"/>
      <c r="AU765" s="341"/>
      <c r="AV765" s="341"/>
      <c r="AW765" s="342"/>
      <c r="AX765" s="342"/>
      <c r="AY765" s="342"/>
      <c r="AZ765" s="342"/>
      <c r="BA765" s="342"/>
      <c r="BB765" s="342"/>
      <c r="BC765" s="342"/>
      <c r="BD765" s="342"/>
      <c r="BE765" s="342"/>
    </row>
    <row r="766" spans="1:57" ht="14.25" hidden="1" customHeight="1" outlineLevel="1">
      <c r="A766" s="3117" t="s">
        <v>2176</v>
      </c>
      <c r="B766" s="3117"/>
      <c r="C766" s="3117"/>
      <c r="D766" s="3117"/>
      <c r="E766" s="3117"/>
      <c r="F766" s="3117"/>
      <c r="G766" s="3117"/>
      <c r="H766" s="665"/>
      <c r="I766" s="665"/>
      <c r="J766" s="665"/>
      <c r="K766" s="665"/>
      <c r="L766" s="665"/>
      <c r="M766" s="665"/>
      <c r="N766" s="665"/>
      <c r="O766" s="665"/>
      <c r="P766" s="665"/>
      <c r="Q766" s="665"/>
      <c r="R766" s="665"/>
      <c r="S766" s="665"/>
      <c r="T766" s="665"/>
      <c r="U766" s="665"/>
      <c r="V766" s="665"/>
      <c r="W766" s="665"/>
      <c r="X766" s="665"/>
      <c r="Y766" s="665"/>
      <c r="Z766" s="665"/>
      <c r="AA766" s="665"/>
      <c r="AB766" s="665"/>
      <c r="AC766" s="665"/>
      <c r="AD766" s="665"/>
      <c r="AE766" s="665"/>
      <c r="AF766" s="665"/>
      <c r="AG766" s="665"/>
      <c r="AH766" s="354"/>
      <c r="AI766" s="354"/>
      <c r="AJ766" s="354"/>
      <c r="AK766" s="354"/>
      <c r="AL766" s="354"/>
      <c r="AM766" s="354"/>
      <c r="AN766" s="354"/>
      <c r="AO766" s="358"/>
      <c r="AP766" s="358"/>
      <c r="AQ766" s="342"/>
      <c r="AR766" s="342"/>
      <c r="AS766" s="342"/>
      <c r="AT766" s="342"/>
      <c r="AU766" s="341"/>
      <c r="AV766" s="341"/>
      <c r="AW766" s="342"/>
      <c r="AX766" s="342"/>
      <c r="AY766" s="342"/>
      <c r="AZ766" s="342"/>
      <c r="BA766" s="342"/>
      <c r="BB766" s="342"/>
      <c r="BC766" s="342"/>
      <c r="BD766" s="342"/>
      <c r="BE766" s="342"/>
    </row>
    <row r="767" spans="1:57" ht="14.25" hidden="1" customHeight="1" outlineLevel="1">
      <c r="A767" s="3117"/>
      <c r="B767" s="3117"/>
      <c r="C767" s="3117"/>
      <c r="D767" s="3117"/>
      <c r="E767" s="3117"/>
      <c r="F767" s="3117"/>
      <c r="G767" s="3117"/>
      <c r="H767" s="665"/>
      <c r="I767" s="665"/>
      <c r="J767" s="665"/>
      <c r="K767" s="665"/>
      <c r="L767" s="665"/>
      <c r="M767" s="665"/>
      <c r="N767" s="665"/>
      <c r="O767" s="665"/>
      <c r="P767" s="665"/>
      <c r="Q767" s="665"/>
      <c r="R767" s="665"/>
      <c r="S767" s="665"/>
      <c r="T767" s="665"/>
      <c r="U767" s="665"/>
      <c r="V767" s="665"/>
      <c r="W767" s="665"/>
      <c r="X767" s="665"/>
      <c r="Y767" s="665"/>
      <c r="Z767" s="665"/>
      <c r="AA767" s="665"/>
      <c r="AB767" s="665"/>
      <c r="AC767" s="665"/>
      <c r="AD767" s="665"/>
      <c r="AE767" s="665"/>
      <c r="AF767" s="665"/>
      <c r="AG767" s="665"/>
      <c r="AH767" s="354"/>
      <c r="AI767" s="354"/>
      <c r="AJ767" s="354"/>
      <c r="AK767" s="354"/>
      <c r="AL767" s="354"/>
      <c r="AM767" s="354"/>
      <c r="AN767" s="354"/>
      <c r="AO767" s="358"/>
      <c r="AP767" s="358"/>
      <c r="AQ767" s="342"/>
      <c r="AR767" s="342"/>
      <c r="AS767" s="342"/>
      <c r="AT767" s="342"/>
      <c r="AU767" s="341"/>
      <c r="AV767" s="341"/>
      <c r="AW767" s="342"/>
      <c r="AX767" s="342"/>
      <c r="AY767" s="342"/>
      <c r="AZ767" s="342"/>
      <c r="BA767" s="342"/>
      <c r="BB767" s="342"/>
      <c r="BC767" s="342"/>
      <c r="BD767" s="342"/>
      <c r="BE767" s="342"/>
    </row>
    <row r="768" spans="1:57" ht="14.25" hidden="1" customHeight="1" outlineLevel="1">
      <c r="A768" s="621" t="s">
        <v>1806</v>
      </c>
      <c r="B768" s="434"/>
      <c r="C768" s="621"/>
      <c r="D768" s="666">
        <v>1</v>
      </c>
      <c r="G768" s="240"/>
      <c r="H768" s="240"/>
      <c r="I768" s="240"/>
      <c r="J768" s="240"/>
      <c r="K768" s="240"/>
      <c r="L768" s="240"/>
      <c r="M768" s="240"/>
      <c r="N768" s="240"/>
      <c r="O768" s="240"/>
      <c r="P768" s="240"/>
      <c r="Q768" s="240"/>
      <c r="R768" s="240"/>
      <c r="S768" s="240"/>
      <c r="T768" s="240"/>
      <c r="U768" s="240"/>
      <c r="V768" s="240"/>
      <c r="W768" s="240"/>
      <c r="X768" s="240"/>
      <c r="Y768" s="667"/>
      <c r="Z768" s="667"/>
      <c r="AA768" s="668"/>
      <c r="AB768" s="667"/>
      <c r="AC768" s="669"/>
      <c r="AD768" s="669"/>
      <c r="AE768" s="669"/>
      <c r="AF768" s="670"/>
      <c r="AH768" s="670"/>
      <c r="AI768" s="670"/>
      <c r="AJ768" s="354"/>
      <c r="AK768" s="354"/>
      <c r="AL768" s="354"/>
      <c r="AM768" s="354"/>
      <c r="AN768" s="354"/>
      <c r="AO768" s="358"/>
      <c r="AP768" s="358"/>
      <c r="AQ768" s="342"/>
      <c r="AR768" s="342"/>
      <c r="AS768" s="342"/>
      <c r="AT768" s="342"/>
      <c r="AU768" s="341"/>
      <c r="AV768" s="341"/>
      <c r="AW768" s="342"/>
      <c r="AX768" s="342"/>
      <c r="AY768" s="342"/>
      <c r="AZ768" s="342"/>
      <c r="BA768" s="342"/>
      <c r="BB768" s="342"/>
      <c r="BC768" s="342"/>
      <c r="BD768" s="342"/>
      <c r="BE768" s="342"/>
    </row>
    <row r="769" spans="1:58" ht="14.25" hidden="1" customHeight="1" outlineLevel="1">
      <c r="A769" s="430" t="s">
        <v>1808</v>
      </c>
      <c r="B769" s="435"/>
      <c r="C769" s="430"/>
      <c r="D769" s="215">
        <v>1</v>
      </c>
      <c r="G769" s="240"/>
      <c r="H769" s="240"/>
      <c r="I769" s="240"/>
      <c r="J769" s="240"/>
      <c r="K769" s="240"/>
      <c r="L769" s="240"/>
      <c r="M769" s="240"/>
      <c r="N769" s="240"/>
      <c r="O769" s="240"/>
      <c r="P769" s="240"/>
      <c r="Q769" s="240"/>
      <c r="R769" s="240"/>
      <c r="S769" s="240"/>
      <c r="T769" s="240"/>
      <c r="U769" s="240"/>
      <c r="V769" s="240"/>
      <c r="W769" s="240"/>
      <c r="X769" s="240"/>
      <c r="Y769" s="667"/>
      <c r="Z769" s="667"/>
      <c r="AA769" s="667"/>
      <c r="AB769" s="667"/>
      <c r="AC769" s="669"/>
      <c r="AD769" s="669"/>
      <c r="AE769" s="669"/>
      <c r="AF769" s="670"/>
      <c r="AG769" s="670"/>
      <c r="AH769" s="670"/>
      <c r="AI769" s="670"/>
      <c r="AJ769" s="354"/>
      <c r="AK769" s="354"/>
      <c r="AL769" s="354"/>
      <c r="AM769" s="354"/>
      <c r="AN769" s="354"/>
      <c r="AO769" s="358"/>
      <c r="AP769" s="358"/>
      <c r="AQ769" s="342"/>
      <c r="AR769" s="342"/>
      <c r="AS769" s="342"/>
      <c r="AT769" s="342"/>
      <c r="AU769" s="341"/>
      <c r="AV769" s="341"/>
      <c r="AW769" s="342"/>
      <c r="AX769" s="342"/>
      <c r="AY769" s="342"/>
      <c r="AZ769" s="342"/>
      <c r="BA769" s="342"/>
      <c r="BB769" s="342"/>
      <c r="BC769" s="342"/>
      <c r="BD769" s="342"/>
      <c r="BE769" s="342"/>
    </row>
    <row r="770" spans="1:58" ht="14.25" hidden="1" customHeight="1" outlineLevel="1">
      <c r="A770" s="364"/>
      <c r="B770" s="273"/>
      <c r="C770" s="240"/>
      <c r="D770" s="240"/>
      <c r="E770" s="240"/>
      <c r="F770" s="240"/>
      <c r="G770" s="240"/>
      <c r="H770" s="240"/>
      <c r="I770" s="240"/>
      <c r="J770" s="240"/>
      <c r="K770" s="240"/>
      <c r="L770" s="240"/>
      <c r="M770" s="240"/>
      <c r="N770" s="240"/>
      <c r="O770" s="240"/>
      <c r="P770" s="240"/>
      <c r="Q770" s="240"/>
      <c r="R770" s="240"/>
      <c r="S770" s="240"/>
      <c r="T770" s="240"/>
      <c r="U770" s="240"/>
      <c r="V770" s="240"/>
      <c r="W770" s="364"/>
      <c r="X770" s="240"/>
      <c r="Y770" s="671"/>
      <c r="Z770" s="671"/>
      <c r="AA770" s="364"/>
      <c r="AB770" s="671"/>
      <c r="AC770" s="669"/>
      <c r="AD770" s="669"/>
      <c r="AE770" s="669"/>
      <c r="AF770" s="672"/>
      <c r="AG770" s="672"/>
      <c r="AH770" s="672"/>
      <c r="AI770" s="672"/>
      <c r="AJ770" s="424"/>
      <c r="AK770" s="424"/>
      <c r="AL770" s="424"/>
      <c r="AM770" s="424"/>
      <c r="AN770" s="424"/>
      <c r="AO770" s="425"/>
      <c r="AP770" s="425"/>
      <c r="AQ770" s="426"/>
      <c r="AR770" s="426"/>
      <c r="AS770" s="426"/>
      <c r="AT770" s="426"/>
      <c r="AU770" s="340"/>
      <c r="AV770" s="340"/>
      <c r="AW770" s="426"/>
      <c r="AX770" s="426"/>
      <c r="AY770" s="426"/>
      <c r="AZ770" s="426"/>
      <c r="BA770" s="426"/>
      <c r="BB770" s="426"/>
      <c r="BC770" s="426"/>
      <c r="BD770" s="426"/>
      <c r="BE770" s="426"/>
    </row>
    <row r="771" spans="1:58" ht="14.25" hidden="1" customHeight="1" outlineLevel="1">
      <c r="A771" s="673" t="s">
        <v>1093</v>
      </c>
      <c r="B771" s="413" t="s">
        <v>120</v>
      </c>
      <c r="C771" s="413" t="s">
        <v>1753</v>
      </c>
      <c r="D771" s="447"/>
      <c r="E771" s="364"/>
      <c r="F771" s="364"/>
      <c r="G771" s="364"/>
      <c r="H771" s="638"/>
      <c r="I771" s="447"/>
      <c r="J771" s="447"/>
      <c r="K771" s="447"/>
      <c r="L771" s="638"/>
      <c r="M771" s="638"/>
      <c r="N771" s="638"/>
      <c r="O771" s="638"/>
      <c r="P771" s="638"/>
      <c r="Q771" s="638"/>
      <c r="R771" s="638"/>
      <c r="S771" s="638"/>
      <c r="T771" s="638"/>
      <c r="U771" s="638"/>
      <c r="V771" s="638"/>
      <c r="W771" s="638"/>
      <c r="X771" s="638"/>
      <c r="Y771" s="674"/>
      <c r="Z771" s="674"/>
      <c r="AA771" s="674"/>
      <c r="AB771" s="674"/>
      <c r="AC771" s="670"/>
      <c r="AD771" s="670"/>
      <c r="AE771" s="670"/>
      <c r="AF771" s="670"/>
      <c r="AG771" s="670"/>
      <c r="AH771" s="670"/>
      <c r="AI771" s="670"/>
      <c r="AJ771" s="354"/>
      <c r="AK771" s="354"/>
      <c r="AL771" s="354"/>
      <c r="AM771" s="354"/>
      <c r="AN771" s="354"/>
      <c r="AO771" s="358"/>
      <c r="AP771" s="358"/>
      <c r="AQ771" s="342"/>
      <c r="AR771" s="342"/>
      <c r="AS771" s="342"/>
      <c r="AT771" s="342"/>
      <c r="AU771" s="341"/>
      <c r="AV771" s="341"/>
      <c r="AW771" s="342"/>
      <c r="AX771" s="342"/>
      <c r="AY771" s="342"/>
      <c r="AZ771" s="342"/>
      <c r="BA771" s="342"/>
      <c r="BB771" s="342"/>
      <c r="BC771" s="342"/>
      <c r="BD771" s="342"/>
      <c r="BE771" s="342"/>
    </row>
    <row r="772" spans="1:58" ht="14.25" hidden="1" customHeight="1" outlineLevel="1">
      <c r="A772" s="378" t="s">
        <v>2177</v>
      </c>
      <c r="B772" s="374" t="s">
        <v>156</v>
      </c>
      <c r="C772" s="675">
        <v>0.2</v>
      </c>
      <c r="D772" s="617"/>
      <c r="E772" s="364"/>
      <c r="F772" s="364"/>
      <c r="G772" s="364"/>
      <c r="H772" s="364"/>
      <c r="I772" s="364"/>
      <c r="J772" s="364"/>
      <c r="K772" s="676"/>
      <c r="L772" s="364"/>
      <c r="M772" s="364"/>
      <c r="N772" s="366"/>
      <c r="O772" s="366"/>
      <c r="P772" s="452"/>
      <c r="Q772" s="354"/>
      <c r="R772" s="354"/>
      <c r="S772" s="354"/>
      <c r="T772" s="354"/>
      <c r="U772" s="354"/>
      <c r="V772" s="354"/>
      <c r="W772" s="354"/>
      <c r="X772" s="354"/>
      <c r="Y772" s="354"/>
      <c r="Z772" s="354"/>
      <c r="AA772" s="354"/>
      <c r="AB772" s="354"/>
      <c r="AC772" s="354"/>
      <c r="AD772" s="354"/>
      <c r="AE772" s="354"/>
      <c r="AF772" s="354"/>
      <c r="AG772" s="354"/>
      <c r="AH772" s="354"/>
      <c r="AI772" s="354"/>
      <c r="AJ772" s="354"/>
      <c r="AK772" s="354"/>
      <c r="AL772" s="354"/>
      <c r="AM772" s="354"/>
      <c r="AN772" s="354"/>
      <c r="AO772" s="358"/>
      <c r="AP772" s="358"/>
      <c r="AQ772" s="342"/>
      <c r="AR772" s="342"/>
      <c r="AS772" s="342"/>
      <c r="AT772" s="342"/>
      <c r="AU772" s="341"/>
      <c r="AV772" s="341"/>
      <c r="AW772" s="342"/>
      <c r="AX772" s="342"/>
      <c r="AY772" s="342"/>
      <c r="AZ772" s="342"/>
      <c r="BA772" s="342"/>
      <c r="BB772" s="342"/>
      <c r="BC772" s="342"/>
      <c r="BD772" s="342"/>
      <c r="BE772" s="342"/>
    </row>
    <row r="773" spans="1:58" ht="14.25" hidden="1" customHeight="1" outlineLevel="1">
      <c r="A773" s="378" t="s">
        <v>2178</v>
      </c>
      <c r="B773" s="374" t="s">
        <v>156</v>
      </c>
      <c r="C773" s="675">
        <v>0.2</v>
      </c>
      <c r="D773" s="617"/>
      <c r="E773" s="364"/>
      <c r="F773" s="364"/>
      <c r="G773" s="364"/>
      <c r="H773" s="364"/>
      <c r="I773" s="364"/>
      <c r="J773" s="364"/>
      <c r="K773" s="676"/>
      <c r="L773" s="364"/>
      <c r="M773" s="364"/>
      <c r="N773" s="366"/>
      <c r="O773" s="366"/>
      <c r="P773" s="452"/>
      <c r="Q773" s="354"/>
      <c r="R773" s="354"/>
      <c r="S773" s="354"/>
      <c r="T773" s="354"/>
      <c r="U773" s="354"/>
      <c r="V773" s="354"/>
      <c r="W773" s="354"/>
      <c r="X773" s="354"/>
      <c r="Y773" s="354"/>
      <c r="Z773" s="354"/>
      <c r="AA773" s="354"/>
      <c r="AB773" s="354"/>
      <c r="AC773" s="354"/>
      <c r="AD773" s="354"/>
      <c r="AE773" s="354"/>
      <c r="AF773" s="354"/>
      <c r="AG773" s="354"/>
      <c r="AH773" s="354"/>
      <c r="AI773" s="354"/>
      <c r="AJ773" s="354"/>
      <c r="AK773" s="354"/>
      <c r="AL773" s="354"/>
      <c r="AM773" s="354"/>
      <c r="AN773" s="354"/>
      <c r="AO773" s="358"/>
      <c r="AP773" s="358"/>
      <c r="AQ773" s="342"/>
      <c r="AR773" s="342"/>
      <c r="AS773" s="342"/>
      <c r="AT773" s="342"/>
      <c r="AU773" s="341"/>
      <c r="AV773" s="341"/>
      <c r="AW773" s="342"/>
      <c r="AX773" s="342"/>
      <c r="AY773" s="342"/>
      <c r="AZ773" s="342"/>
      <c r="BA773" s="342"/>
      <c r="BB773" s="342"/>
      <c r="BC773" s="342"/>
      <c r="BD773" s="342"/>
      <c r="BE773" s="342"/>
    </row>
    <row r="774" spans="1:58" ht="14.25" hidden="1" customHeight="1" outlineLevel="1">
      <c r="A774" s="378" t="s">
        <v>2179</v>
      </c>
      <c r="B774" s="374" t="s">
        <v>156</v>
      </c>
      <c r="C774" s="675">
        <v>0.1</v>
      </c>
      <c r="D774" s="617"/>
      <c r="E774" s="364"/>
      <c r="F774" s="364"/>
      <c r="G774" s="364"/>
      <c r="H774" s="364"/>
      <c r="I774" s="364"/>
      <c r="J774" s="364"/>
      <c r="K774" s="676"/>
      <c r="L774" s="364"/>
      <c r="M774" s="364"/>
      <c r="N774" s="366"/>
      <c r="O774" s="366"/>
      <c r="P774" s="452"/>
      <c r="Q774" s="354"/>
      <c r="R774" s="354"/>
      <c r="S774" s="354"/>
      <c r="T774" s="354"/>
      <c r="U774" s="354"/>
      <c r="V774" s="354"/>
      <c r="W774" s="354"/>
      <c r="X774" s="354"/>
      <c r="Y774" s="354"/>
      <c r="Z774" s="354"/>
      <c r="AA774" s="354"/>
      <c r="AB774" s="354"/>
      <c r="AC774" s="354"/>
      <c r="AD774" s="354"/>
      <c r="AE774" s="354"/>
      <c r="AF774" s="354"/>
      <c r="AG774" s="354"/>
      <c r="AH774" s="354"/>
      <c r="AI774" s="354"/>
      <c r="AJ774" s="354"/>
      <c r="AK774" s="354"/>
      <c r="AL774" s="354"/>
      <c r="AM774" s="354"/>
      <c r="AN774" s="354"/>
      <c r="AO774" s="358"/>
      <c r="AP774" s="358"/>
      <c r="AQ774" s="342"/>
      <c r="AR774" s="342"/>
      <c r="AS774" s="342"/>
      <c r="AT774" s="342"/>
      <c r="AU774" s="341"/>
      <c r="AV774" s="341"/>
      <c r="AW774" s="342"/>
      <c r="AX774" s="342"/>
      <c r="AY774" s="342"/>
      <c r="AZ774" s="342"/>
      <c r="BA774" s="342"/>
      <c r="BB774" s="342"/>
      <c r="BC774" s="342"/>
      <c r="BD774" s="342"/>
      <c r="BE774" s="342"/>
    </row>
    <row r="775" spans="1:58" ht="14.25" hidden="1" customHeight="1" outlineLevel="1">
      <c r="A775" s="677" t="s">
        <v>2180</v>
      </c>
      <c r="B775" s="442"/>
      <c r="C775" s="678"/>
      <c r="D775" s="617"/>
      <c r="E775" s="364"/>
      <c r="F775" s="364"/>
      <c r="G775" s="364"/>
      <c r="H775" s="364"/>
      <c r="I775" s="364"/>
      <c r="J775" s="364"/>
      <c r="K775" s="676"/>
      <c r="L775" s="364"/>
      <c r="M775" s="364"/>
      <c r="N775" s="366"/>
      <c r="O775" s="366"/>
      <c r="P775" s="452"/>
      <c r="Q775" s="354"/>
      <c r="R775" s="354"/>
      <c r="S775" s="354"/>
      <c r="T775" s="354"/>
      <c r="U775" s="354"/>
      <c r="V775" s="354"/>
      <c r="W775" s="354"/>
      <c r="X775" s="354"/>
      <c r="Y775" s="354"/>
      <c r="Z775" s="354"/>
      <c r="AA775" s="354"/>
      <c r="AB775" s="354"/>
      <c r="AC775" s="354"/>
      <c r="AD775" s="354"/>
      <c r="AE775" s="354"/>
      <c r="AF775" s="354"/>
      <c r="AG775" s="354"/>
      <c r="AH775" s="354"/>
      <c r="AI775" s="354"/>
      <c r="AJ775" s="354"/>
      <c r="AK775" s="354"/>
      <c r="AL775" s="354"/>
      <c r="AM775" s="354"/>
      <c r="AN775" s="354"/>
      <c r="AO775" s="358"/>
      <c r="AP775" s="358"/>
      <c r="AQ775" s="342"/>
      <c r="AR775" s="342"/>
      <c r="AS775" s="342"/>
      <c r="AT775" s="342"/>
      <c r="AU775" s="341"/>
      <c r="AV775" s="341"/>
      <c r="AW775" s="342"/>
      <c r="AX775" s="342"/>
      <c r="AY775" s="342"/>
      <c r="AZ775" s="342"/>
      <c r="BA775" s="342"/>
      <c r="BB775" s="342"/>
      <c r="BC775" s="342"/>
      <c r="BD775" s="342"/>
      <c r="BE775" s="342"/>
    </row>
    <row r="776" spans="1:58" ht="14.25" hidden="1" customHeight="1" outlineLevel="1">
      <c r="A776" s="631" t="s">
        <v>2181</v>
      </c>
      <c r="B776" s="442"/>
      <c r="C776" s="678"/>
      <c r="D776" s="617"/>
      <c r="E776" s="364"/>
      <c r="F776" s="364"/>
      <c r="G776" s="364"/>
      <c r="H776" s="364"/>
      <c r="I776" s="364"/>
      <c r="J776" s="364"/>
      <c r="K776" s="676"/>
      <c r="L776" s="364"/>
      <c r="M776" s="364"/>
      <c r="N776" s="366"/>
      <c r="O776" s="366"/>
      <c r="P776" s="452"/>
      <c r="Q776" s="354"/>
      <c r="R776" s="354"/>
      <c r="S776" s="354"/>
      <c r="T776" s="354"/>
      <c r="U776" s="354"/>
      <c r="V776" s="354"/>
      <c r="W776" s="354"/>
      <c r="X776" s="354"/>
      <c r="Y776" s="354"/>
      <c r="Z776" s="354"/>
      <c r="AA776" s="354"/>
      <c r="AB776" s="354"/>
      <c r="AC776" s="354"/>
      <c r="AD776" s="354"/>
      <c r="AE776" s="354"/>
      <c r="AF776" s="354"/>
      <c r="AG776" s="354"/>
      <c r="AH776" s="354"/>
      <c r="AI776" s="354"/>
      <c r="AJ776" s="354"/>
      <c r="AK776" s="354"/>
      <c r="AL776" s="354"/>
      <c r="AM776" s="354"/>
      <c r="AN776" s="354"/>
      <c r="AO776" s="358"/>
      <c r="AP776" s="358"/>
      <c r="AQ776" s="342"/>
      <c r="AR776" s="342"/>
      <c r="AS776" s="342"/>
      <c r="AT776" s="342"/>
      <c r="AU776" s="341"/>
      <c r="AV776" s="341"/>
      <c r="AW776" s="342"/>
      <c r="AX776" s="342"/>
      <c r="AY776" s="342"/>
      <c r="AZ776" s="342"/>
      <c r="BA776" s="342"/>
      <c r="BB776" s="342"/>
      <c r="BC776" s="342"/>
      <c r="BD776" s="342"/>
      <c r="BE776" s="342"/>
    </row>
    <row r="777" spans="1:58" ht="14.25" hidden="1" customHeight="1" outlineLevel="1">
      <c r="A777" s="378" t="s">
        <v>2182</v>
      </c>
      <c r="B777" s="374" t="s">
        <v>156</v>
      </c>
      <c r="C777" s="675">
        <v>0</v>
      </c>
      <c r="D777" s="617"/>
      <c r="E777" s="364"/>
      <c r="F777" s="364"/>
      <c r="G777" s="364"/>
      <c r="H777" s="364"/>
      <c r="I777" s="364"/>
      <c r="J777" s="364"/>
      <c r="K777" s="676"/>
      <c r="L777" s="364"/>
      <c r="M777" s="364"/>
      <c r="N777" s="366"/>
      <c r="O777" s="366"/>
      <c r="P777" s="452"/>
      <c r="Q777" s="354"/>
      <c r="R777" s="354"/>
      <c r="S777" s="354"/>
      <c r="T777" s="354"/>
      <c r="U777" s="354"/>
      <c r="V777" s="354"/>
      <c r="W777" s="354"/>
      <c r="X777" s="354"/>
      <c r="Y777" s="354"/>
      <c r="Z777" s="354"/>
      <c r="AA777" s="354"/>
      <c r="AB777" s="354"/>
      <c r="AC777" s="354"/>
      <c r="AD777" s="354"/>
      <c r="AE777" s="354"/>
      <c r="AF777" s="354"/>
      <c r="AG777" s="354"/>
      <c r="AH777" s="354"/>
      <c r="AI777" s="354"/>
      <c r="AJ777" s="354"/>
      <c r="AK777" s="354"/>
      <c r="AL777" s="354"/>
      <c r="AM777" s="354"/>
      <c r="AN777" s="354"/>
      <c r="AO777" s="358"/>
      <c r="AP777" s="358"/>
      <c r="AQ777" s="342"/>
      <c r="AR777" s="342"/>
      <c r="AS777" s="342"/>
      <c r="AT777" s="342"/>
      <c r="AU777" s="341"/>
      <c r="AV777" s="341"/>
      <c r="AW777" s="342"/>
      <c r="AX777" s="342"/>
      <c r="AY777" s="342"/>
      <c r="AZ777" s="342"/>
      <c r="BA777" s="342"/>
      <c r="BB777" s="342"/>
      <c r="BC777" s="342"/>
      <c r="BD777" s="342"/>
      <c r="BE777" s="342"/>
    </row>
    <row r="778" spans="1:58" ht="14.25" hidden="1" customHeight="1" outlineLevel="1">
      <c r="A778" s="378" t="s">
        <v>2183</v>
      </c>
      <c r="B778" s="374" t="s">
        <v>156</v>
      </c>
      <c r="C778" s="675">
        <v>0</v>
      </c>
      <c r="D778" s="617"/>
      <c r="E778" s="364"/>
      <c r="F778" s="364"/>
      <c r="G778" s="364"/>
      <c r="H778" s="364"/>
      <c r="I778" s="364"/>
      <c r="J778" s="364"/>
      <c r="K778" s="676"/>
      <c r="L778" s="364"/>
      <c r="M778" s="364"/>
      <c r="N778" s="366"/>
      <c r="O778" s="366"/>
      <c r="P778" s="452"/>
      <c r="Q778" s="354"/>
      <c r="R778" s="354"/>
      <c r="S778" s="354"/>
      <c r="T778" s="354"/>
      <c r="U778" s="354"/>
      <c r="V778" s="354"/>
      <c r="W778" s="354"/>
      <c r="X778" s="354"/>
      <c r="Y778" s="354"/>
      <c r="Z778" s="354"/>
      <c r="AA778" s="354"/>
      <c r="AB778" s="354"/>
      <c r="AC778" s="354"/>
      <c r="AD778" s="354"/>
      <c r="AE778" s="354"/>
      <c r="AF778" s="354"/>
      <c r="AG778" s="354"/>
      <c r="AH778" s="354"/>
      <c r="AI778" s="354"/>
      <c r="AJ778" s="354"/>
      <c r="AK778" s="354"/>
      <c r="AL778" s="354"/>
      <c r="AM778" s="354"/>
      <c r="AN778" s="354"/>
      <c r="AO778" s="358"/>
      <c r="AP778" s="358"/>
      <c r="AQ778" s="342"/>
      <c r="AR778" s="342"/>
      <c r="AS778" s="342"/>
      <c r="AT778" s="342"/>
      <c r="AU778" s="341"/>
      <c r="AV778" s="341"/>
      <c r="AW778" s="342"/>
      <c r="AX778" s="342"/>
      <c r="AY778" s="342"/>
      <c r="AZ778" s="342"/>
      <c r="BA778" s="342"/>
      <c r="BB778" s="342"/>
      <c r="BC778" s="342"/>
      <c r="BD778" s="342"/>
      <c r="BE778" s="342"/>
    </row>
    <row r="779" spans="1:58" ht="14.25" hidden="1" customHeight="1" outlineLevel="1">
      <c r="A779" s="378" t="s">
        <v>2184</v>
      </c>
      <c r="B779" s="374" t="s">
        <v>156</v>
      </c>
      <c r="C779" s="675">
        <v>0</v>
      </c>
      <c r="D779" s="617"/>
      <c r="E779" s="364"/>
      <c r="F779" s="364"/>
      <c r="G779" s="364"/>
      <c r="H779" s="364"/>
      <c r="I779" s="364"/>
      <c r="J779" s="364"/>
      <c r="K779" s="676"/>
      <c r="L779" s="364"/>
      <c r="M779" s="364"/>
      <c r="N779" s="366"/>
      <c r="O779" s="366"/>
      <c r="P779" s="452"/>
      <c r="Q779" s="354"/>
      <c r="R779" s="354"/>
      <c r="S779" s="354"/>
      <c r="T779" s="354"/>
      <c r="U779" s="354"/>
      <c r="V779" s="354"/>
      <c r="W779" s="354"/>
      <c r="X779" s="354"/>
      <c r="Y779" s="354"/>
      <c r="Z779" s="354"/>
      <c r="AA779" s="354"/>
      <c r="AB779" s="354"/>
      <c r="AC779" s="354"/>
      <c r="AD779" s="354"/>
      <c r="AE779" s="354"/>
      <c r="AF779" s="354"/>
      <c r="AG779" s="354"/>
      <c r="AH779" s="354"/>
      <c r="AI779" s="354"/>
      <c r="AJ779" s="354"/>
      <c r="AK779" s="354"/>
      <c r="AL779" s="354"/>
      <c r="AM779" s="354"/>
      <c r="AN779" s="354"/>
      <c r="AO779" s="358"/>
      <c r="AP779" s="358"/>
      <c r="AQ779" s="342"/>
      <c r="AR779" s="342"/>
      <c r="AS779" s="342"/>
      <c r="AT779" s="342"/>
      <c r="AU779" s="341"/>
      <c r="AV779" s="341"/>
      <c r="AW779" s="342"/>
      <c r="AX779" s="342"/>
      <c r="AY779" s="342"/>
      <c r="AZ779" s="342"/>
      <c r="BA779" s="342"/>
      <c r="BB779" s="342"/>
      <c r="BC779" s="342"/>
      <c r="BD779" s="342"/>
      <c r="BE779" s="342"/>
    </row>
    <row r="780" spans="1:58" s="364" customFormat="1" ht="14.25" hidden="1" customHeight="1" outlineLevel="1">
      <c r="A780" s="617" t="s">
        <v>2153</v>
      </c>
      <c r="B780" s="442"/>
      <c r="C780" s="679"/>
      <c r="D780" s="617"/>
      <c r="K780" s="676"/>
      <c r="N780" s="366"/>
      <c r="O780" s="366"/>
      <c r="P780" s="366"/>
      <c r="Q780" s="366"/>
      <c r="R780" s="366"/>
      <c r="S780" s="366"/>
      <c r="T780" s="366"/>
      <c r="U780" s="366"/>
      <c r="V780" s="366"/>
      <c r="W780" s="366"/>
      <c r="X780" s="366"/>
      <c r="Y780" s="366"/>
      <c r="Z780" s="366"/>
      <c r="AA780" s="366"/>
      <c r="AB780" s="366"/>
      <c r="AC780" s="366"/>
      <c r="AD780" s="366"/>
      <c r="AE780" s="366"/>
      <c r="AF780" s="366"/>
      <c r="AG780" s="366"/>
      <c r="AH780" s="366"/>
      <c r="AI780" s="366"/>
      <c r="AJ780" s="366"/>
      <c r="AK780" s="366"/>
      <c r="AL780" s="366"/>
      <c r="AM780" s="366"/>
      <c r="AN780" s="366"/>
      <c r="AO780" s="367"/>
      <c r="AP780" s="367"/>
      <c r="AQ780" s="340"/>
      <c r="AR780" s="340"/>
      <c r="AS780" s="340"/>
      <c r="AT780" s="340"/>
      <c r="AU780" s="340"/>
      <c r="AV780" s="340"/>
      <c r="AW780" s="340"/>
      <c r="AX780" s="340"/>
      <c r="AY780" s="340"/>
      <c r="AZ780" s="340"/>
      <c r="BA780" s="340"/>
      <c r="BB780" s="340"/>
      <c r="BC780" s="340"/>
      <c r="BD780" s="340"/>
      <c r="BE780" s="340"/>
      <c r="BF780" s="368"/>
    </row>
    <row r="781" spans="1:58" ht="14.25" hidden="1" customHeight="1" outlineLevel="1">
      <c r="A781" s="536" t="s">
        <v>264</v>
      </c>
      <c r="B781" s="442"/>
      <c r="C781" s="679"/>
      <c r="D781" s="617"/>
      <c r="E781" s="364"/>
      <c r="F781" s="364"/>
      <c r="G781" s="364"/>
      <c r="H781" s="364"/>
      <c r="I781" s="364"/>
      <c r="J781" s="364"/>
      <c r="K781" s="676"/>
      <c r="L781" s="364"/>
      <c r="M781" s="364"/>
      <c r="N781" s="366"/>
      <c r="O781" s="366"/>
      <c r="P781" s="452"/>
      <c r="Q781" s="354"/>
      <c r="R781" s="354"/>
      <c r="S781" s="354"/>
      <c r="T781" s="354"/>
      <c r="U781" s="354"/>
      <c r="V781" s="354"/>
      <c r="W781" s="354"/>
      <c r="X781" s="354"/>
      <c r="Y781" s="354"/>
      <c r="Z781" s="354"/>
      <c r="AA781" s="354"/>
      <c r="AB781" s="354"/>
      <c r="AC781" s="354"/>
      <c r="AD781" s="354"/>
      <c r="AE781" s="354"/>
      <c r="AF781" s="354"/>
      <c r="AG781" s="354"/>
      <c r="AH781" s="354"/>
      <c r="AI781" s="354"/>
      <c r="AJ781" s="354"/>
      <c r="AK781" s="354"/>
      <c r="AL781" s="354"/>
      <c r="AM781" s="354"/>
      <c r="AN781" s="354"/>
      <c r="AO781" s="358"/>
      <c r="AP781" s="358"/>
      <c r="AQ781" s="342"/>
      <c r="AR781" s="342"/>
      <c r="AS781" s="342"/>
      <c r="AT781" s="342"/>
      <c r="AU781" s="341"/>
      <c r="AV781" s="341"/>
      <c r="AW781" s="342"/>
      <c r="AX781" s="342"/>
      <c r="AY781" s="342"/>
      <c r="AZ781" s="342"/>
      <c r="BA781" s="342"/>
      <c r="BB781" s="342"/>
      <c r="BC781" s="342"/>
      <c r="BD781" s="342"/>
      <c r="BE781" s="342"/>
    </row>
    <row r="782" spans="1:58" ht="14.25" hidden="1" customHeight="1" outlineLevel="1">
      <c r="A782" s="680" t="s">
        <v>2185</v>
      </c>
      <c r="B782" s="442"/>
      <c r="C782" s="679"/>
      <c r="D782" s="617"/>
      <c r="E782" s="364"/>
      <c r="F782" s="364"/>
      <c r="G782" s="364"/>
      <c r="H782" s="364"/>
      <c r="I782" s="364"/>
      <c r="J782" s="364"/>
      <c r="K782" s="676"/>
      <c r="L782" s="364"/>
      <c r="M782" s="364"/>
      <c r="N782" s="366"/>
      <c r="O782" s="366"/>
      <c r="P782" s="452"/>
      <c r="Q782" s="354"/>
      <c r="R782" s="354"/>
      <c r="S782" s="354"/>
      <c r="T782" s="354"/>
      <c r="U782" s="354"/>
      <c r="V782" s="354"/>
      <c r="W782" s="354"/>
      <c r="X782" s="354"/>
      <c r="Y782" s="354"/>
      <c r="Z782" s="354"/>
      <c r="AA782" s="354"/>
      <c r="AB782" s="354"/>
      <c r="AC782" s="354"/>
      <c r="AD782" s="354"/>
      <c r="AE782" s="354"/>
      <c r="AF782" s="354"/>
      <c r="AG782" s="354"/>
      <c r="AH782" s="354"/>
      <c r="AI782" s="354"/>
      <c r="AJ782" s="354"/>
      <c r="AK782" s="354"/>
      <c r="AL782" s="354"/>
      <c r="AM782" s="354"/>
      <c r="AN782" s="354"/>
      <c r="AO782" s="358"/>
      <c r="AP782" s="358"/>
      <c r="AQ782" s="342"/>
      <c r="AR782" s="342"/>
      <c r="AS782" s="342"/>
      <c r="AT782" s="342"/>
      <c r="AU782" s="341"/>
      <c r="AV782" s="341"/>
      <c r="AW782" s="342"/>
      <c r="AX782" s="342"/>
      <c r="AY782" s="342"/>
      <c r="AZ782" s="342"/>
      <c r="BA782" s="342"/>
      <c r="BB782" s="342"/>
      <c r="BC782" s="342"/>
      <c r="BD782" s="342"/>
      <c r="BE782" s="342"/>
    </row>
    <row r="783" spans="1:58" ht="14.25" hidden="1" customHeight="1" outlineLevel="1">
      <c r="A783" s="536" t="s">
        <v>202</v>
      </c>
      <c r="B783" s="442"/>
      <c r="C783" s="679"/>
      <c r="D783" s="617"/>
      <c r="E783" s="364"/>
      <c r="F783" s="364"/>
      <c r="G783" s="364"/>
      <c r="H783" s="364"/>
      <c r="I783" s="364"/>
      <c r="J783" s="364"/>
      <c r="K783" s="676"/>
      <c r="L783" s="364"/>
      <c r="M783" s="364"/>
      <c r="N783" s="366"/>
      <c r="O783" s="366"/>
      <c r="P783" s="452"/>
      <c r="Q783" s="354"/>
      <c r="R783" s="354"/>
      <c r="S783" s="354"/>
      <c r="T783" s="354"/>
      <c r="U783" s="354"/>
      <c r="V783" s="354"/>
      <c r="W783" s="354"/>
      <c r="X783" s="354"/>
      <c r="Y783" s="354"/>
      <c r="Z783" s="354"/>
      <c r="AA783" s="354"/>
      <c r="AB783" s="354"/>
      <c r="AC783" s="354"/>
      <c r="AD783" s="354"/>
      <c r="AE783" s="354"/>
      <c r="AF783" s="354"/>
      <c r="AG783" s="354"/>
      <c r="AH783" s="354"/>
      <c r="AI783" s="354"/>
      <c r="AJ783" s="354"/>
      <c r="AK783" s="354"/>
      <c r="AL783" s="354"/>
      <c r="AM783" s="354"/>
      <c r="AN783" s="354"/>
      <c r="AO783" s="358"/>
      <c r="AP783" s="358"/>
      <c r="AQ783" s="342"/>
      <c r="AR783" s="342"/>
      <c r="AS783" s="342"/>
      <c r="AT783" s="342"/>
      <c r="AU783" s="341"/>
      <c r="AV783" s="341"/>
      <c r="AW783" s="342"/>
      <c r="AX783" s="342"/>
      <c r="AY783" s="342"/>
      <c r="AZ783" s="342"/>
      <c r="BA783" s="342"/>
      <c r="BB783" s="342"/>
      <c r="BC783" s="342"/>
      <c r="BD783" s="342"/>
      <c r="BE783" s="342"/>
    </row>
    <row r="784" spans="1:58" ht="14.25" hidden="1" customHeight="1" outlineLevel="1">
      <c r="A784" s="681" t="s">
        <v>2186</v>
      </c>
      <c r="B784" s="374" t="s">
        <v>156</v>
      </c>
      <c r="C784" s="675">
        <v>0</v>
      </c>
      <c r="D784" s="617"/>
      <c r="E784" s="364"/>
      <c r="F784" s="364"/>
      <c r="G784" s="364"/>
      <c r="H784" s="364"/>
      <c r="I784" s="364"/>
      <c r="J784" s="364"/>
      <c r="K784" s="676"/>
      <c r="L784" s="364"/>
      <c r="M784" s="364"/>
      <c r="N784" s="366"/>
      <c r="O784" s="366"/>
      <c r="P784" s="452"/>
      <c r="Q784" s="354"/>
      <c r="R784" s="354"/>
      <c r="S784" s="354"/>
      <c r="T784" s="354"/>
      <c r="U784" s="354"/>
      <c r="V784" s="354"/>
      <c r="W784" s="354"/>
      <c r="X784" s="354"/>
      <c r="Y784" s="354"/>
      <c r="Z784" s="354"/>
      <c r="AA784" s="354"/>
      <c r="AB784" s="354"/>
      <c r="AC784" s="354"/>
      <c r="AD784" s="354"/>
      <c r="AE784" s="354"/>
      <c r="AF784" s="354"/>
      <c r="AG784" s="354"/>
      <c r="AH784" s="354"/>
      <c r="AI784" s="354"/>
      <c r="AJ784" s="354"/>
      <c r="AK784" s="354"/>
      <c r="AL784" s="354"/>
      <c r="AM784" s="354"/>
      <c r="AN784" s="354"/>
      <c r="AO784" s="358"/>
      <c r="AP784" s="358"/>
      <c r="AQ784" s="342"/>
      <c r="AR784" s="342"/>
      <c r="AS784" s="342"/>
      <c r="AT784" s="342"/>
      <c r="AU784" s="341"/>
      <c r="AV784" s="341"/>
      <c r="AW784" s="342"/>
      <c r="AX784" s="342"/>
      <c r="AY784" s="342"/>
      <c r="AZ784" s="342"/>
      <c r="BA784" s="342"/>
      <c r="BB784" s="342"/>
      <c r="BC784" s="342"/>
      <c r="BD784" s="342"/>
      <c r="BE784" s="342"/>
    </row>
    <row r="785" spans="1:58" ht="14.25" hidden="1" customHeight="1" outlineLevel="1">
      <c r="A785" s="378" t="s">
        <v>2187</v>
      </c>
      <c r="B785" s="374" t="s">
        <v>156</v>
      </c>
      <c r="C785" s="675">
        <v>0</v>
      </c>
      <c r="D785" s="617"/>
      <c r="E785" s="364"/>
      <c r="F785" s="364"/>
      <c r="G785" s="364"/>
      <c r="H785" s="364"/>
      <c r="I785" s="364"/>
      <c r="J785" s="364"/>
      <c r="K785" s="676"/>
      <c r="L785" s="364"/>
      <c r="M785" s="364"/>
      <c r="N785" s="366"/>
      <c r="O785" s="366"/>
      <c r="P785" s="452"/>
      <c r="Q785" s="354"/>
      <c r="R785" s="354"/>
      <c r="S785" s="354"/>
      <c r="T785" s="354"/>
      <c r="U785" s="354"/>
      <c r="V785" s="354"/>
      <c r="W785" s="354"/>
      <c r="X785" s="354"/>
      <c r="Y785" s="354"/>
      <c r="Z785" s="354"/>
      <c r="AA785" s="354"/>
      <c r="AB785" s="354"/>
      <c r="AC785" s="354"/>
      <c r="AD785" s="354"/>
      <c r="AE785" s="354"/>
      <c r="AF785" s="354"/>
      <c r="AG785" s="354"/>
      <c r="AH785" s="354"/>
      <c r="AI785" s="354"/>
      <c r="AJ785" s="354"/>
      <c r="AK785" s="354"/>
      <c r="AL785" s="354"/>
      <c r="AM785" s="354"/>
      <c r="AN785" s="354"/>
      <c r="AO785" s="358"/>
      <c r="AP785" s="358"/>
      <c r="AQ785" s="342"/>
      <c r="AR785" s="342"/>
      <c r="AS785" s="342"/>
      <c r="AT785" s="342"/>
      <c r="AU785" s="341"/>
      <c r="AV785" s="341"/>
      <c r="AW785" s="342"/>
      <c r="AX785" s="342"/>
      <c r="AY785" s="342"/>
      <c r="AZ785" s="342"/>
      <c r="BA785" s="342"/>
      <c r="BB785" s="342"/>
      <c r="BC785" s="342"/>
      <c r="BD785" s="342"/>
      <c r="BE785" s="342"/>
    </row>
    <row r="786" spans="1:58" ht="14.25" hidden="1" customHeight="1" outlineLevel="1">
      <c r="A786" s="378" t="s">
        <v>2188</v>
      </c>
      <c r="B786" s="374" t="s">
        <v>156</v>
      </c>
      <c r="C786" s="675">
        <v>0</v>
      </c>
      <c r="D786" s="617"/>
      <c r="E786" s="364"/>
      <c r="F786" s="364"/>
      <c r="G786" s="364"/>
      <c r="H786" s="364"/>
      <c r="I786" s="364"/>
      <c r="J786" s="364"/>
      <c r="K786" s="676"/>
      <c r="L786" s="364"/>
      <c r="M786" s="364"/>
      <c r="N786" s="366"/>
      <c r="O786" s="366"/>
      <c r="P786" s="452"/>
      <c r="Q786" s="354"/>
      <c r="R786" s="354"/>
      <c r="S786" s="354"/>
      <c r="T786" s="354"/>
      <c r="U786" s="354"/>
      <c r="V786" s="354"/>
      <c r="W786" s="354"/>
      <c r="X786" s="354"/>
      <c r="Y786" s="354"/>
      <c r="Z786" s="354"/>
      <c r="AA786" s="354"/>
      <c r="AB786" s="354"/>
      <c r="AC786" s="354"/>
      <c r="AD786" s="354"/>
      <c r="AE786" s="354"/>
      <c r="AF786" s="354"/>
      <c r="AG786" s="354"/>
      <c r="AH786" s="354"/>
      <c r="AI786" s="354"/>
      <c r="AJ786" s="354"/>
      <c r="AK786" s="354"/>
      <c r="AL786" s="354"/>
      <c r="AM786" s="354"/>
      <c r="AN786" s="354"/>
      <c r="AO786" s="358"/>
      <c r="AP786" s="358"/>
      <c r="AQ786" s="342"/>
      <c r="AR786" s="342"/>
      <c r="AS786" s="342"/>
      <c r="AT786" s="342"/>
      <c r="AU786" s="341"/>
      <c r="AV786" s="341"/>
      <c r="AW786" s="342"/>
      <c r="AX786" s="342"/>
      <c r="AY786" s="342"/>
      <c r="AZ786" s="342"/>
      <c r="BA786" s="342"/>
      <c r="BB786" s="342"/>
      <c r="BC786" s="342"/>
      <c r="BD786" s="342"/>
      <c r="BE786" s="342"/>
    </row>
    <row r="787" spans="1:58" ht="14.25" hidden="1" customHeight="1" outlineLevel="1">
      <c r="A787" s="682" t="s">
        <v>2189</v>
      </c>
      <c r="B787" s="442"/>
      <c r="C787" s="679"/>
      <c r="D787" s="617"/>
      <c r="E787" s="364"/>
      <c r="F787" s="364"/>
      <c r="G787" s="364"/>
      <c r="H787" s="364"/>
      <c r="I787" s="364"/>
      <c r="J787" s="364"/>
      <c r="K787" s="676"/>
      <c r="L787" s="364"/>
      <c r="M787" s="364"/>
      <c r="N787" s="366"/>
      <c r="O787" s="366"/>
      <c r="P787" s="452"/>
      <c r="Q787" s="354"/>
      <c r="R787" s="354"/>
      <c r="S787" s="354"/>
      <c r="T787" s="354"/>
      <c r="U787" s="354"/>
      <c r="V787" s="354"/>
      <c r="W787" s="354"/>
      <c r="X787" s="354"/>
      <c r="Y787" s="354"/>
      <c r="Z787" s="354"/>
      <c r="AA787" s="354"/>
      <c r="AB787" s="354"/>
      <c r="AC787" s="354"/>
      <c r="AD787" s="354"/>
      <c r="AE787" s="354"/>
      <c r="AF787" s="354"/>
      <c r="AG787" s="354"/>
      <c r="AH787" s="354"/>
      <c r="AI787" s="354"/>
      <c r="AJ787" s="354"/>
      <c r="AK787" s="354"/>
      <c r="AL787" s="354"/>
      <c r="AM787" s="354"/>
      <c r="AN787" s="354"/>
      <c r="AO787" s="358"/>
      <c r="AP787" s="358"/>
      <c r="AQ787" s="342"/>
      <c r="AR787" s="342"/>
      <c r="AS787" s="342"/>
      <c r="AT787" s="342"/>
      <c r="AU787" s="341"/>
      <c r="AV787" s="341"/>
      <c r="AW787" s="342"/>
      <c r="AX787" s="342"/>
      <c r="AY787" s="342"/>
      <c r="AZ787" s="342"/>
      <c r="BA787" s="342"/>
      <c r="BB787" s="342"/>
      <c r="BC787" s="342"/>
      <c r="BD787" s="342"/>
      <c r="BE787" s="342"/>
    </row>
    <row r="788" spans="1:58" ht="14.25" hidden="1" customHeight="1" outlineLevel="1">
      <c r="A788" s="536" t="s">
        <v>173</v>
      </c>
      <c r="B788" s="374" t="s">
        <v>1802</v>
      </c>
      <c r="C788" s="675">
        <v>4</v>
      </c>
      <c r="D788" s="617"/>
      <c r="E788" s="364"/>
      <c r="F788" s="364"/>
      <c r="G788" s="364"/>
      <c r="H788" s="364"/>
      <c r="I788" s="364"/>
      <c r="J788" s="364"/>
      <c r="K788" s="676"/>
      <c r="L788" s="364"/>
      <c r="M788" s="364"/>
      <c r="N788" s="366"/>
      <c r="O788" s="366"/>
      <c r="P788" s="452"/>
      <c r="Q788" s="354"/>
      <c r="R788" s="354"/>
      <c r="S788" s="354"/>
      <c r="T788" s="354"/>
      <c r="U788" s="354"/>
      <c r="V788" s="354"/>
      <c r="W788" s="354"/>
      <c r="X788" s="354"/>
      <c r="Y788" s="354"/>
      <c r="Z788" s="354"/>
      <c r="AA788" s="354"/>
      <c r="AB788" s="354"/>
      <c r="AC788" s="354"/>
      <c r="AD788" s="354"/>
      <c r="AE788" s="354"/>
      <c r="AF788" s="354"/>
      <c r="AG788" s="354"/>
      <c r="AH788" s="354"/>
      <c r="AI788" s="354"/>
      <c r="AJ788" s="354"/>
      <c r="AK788" s="354"/>
      <c r="AL788" s="354"/>
      <c r="AM788" s="354"/>
      <c r="AN788" s="354"/>
      <c r="AO788" s="358"/>
      <c r="AP788" s="358"/>
      <c r="AQ788" s="342"/>
      <c r="AR788" s="342"/>
      <c r="AS788" s="342"/>
      <c r="AT788" s="342"/>
      <c r="AU788" s="341"/>
      <c r="AV788" s="341"/>
      <c r="AW788" s="342"/>
      <c r="AX788" s="342"/>
      <c r="AY788" s="342"/>
      <c r="AZ788" s="342"/>
      <c r="BA788" s="342"/>
      <c r="BB788" s="342"/>
      <c r="BC788" s="342"/>
      <c r="BD788" s="342"/>
      <c r="BE788" s="342"/>
    </row>
    <row r="789" spans="1:58" ht="14.25" hidden="1" customHeight="1" outlineLevel="1">
      <c r="A789" s="331" t="s">
        <v>2190</v>
      </c>
      <c r="D789" s="617"/>
      <c r="E789" s="364"/>
      <c r="F789" s="364"/>
      <c r="G789" s="364"/>
      <c r="H789" s="364"/>
      <c r="I789" s="364"/>
      <c r="J789" s="364"/>
      <c r="K789" s="676"/>
      <c r="L789" s="364"/>
      <c r="M789" s="364"/>
      <c r="N789" s="366"/>
      <c r="O789" s="366"/>
      <c r="P789" s="452"/>
      <c r="Q789" s="354"/>
      <c r="R789" s="354"/>
      <c r="S789" s="354"/>
      <c r="T789" s="354"/>
      <c r="U789" s="354"/>
      <c r="V789" s="354"/>
      <c r="W789" s="354"/>
      <c r="X789" s="354"/>
      <c r="Y789" s="354"/>
      <c r="Z789" s="354"/>
      <c r="AA789" s="354"/>
      <c r="AB789" s="354"/>
      <c r="AC789" s="354"/>
      <c r="AD789" s="354"/>
      <c r="AE789" s="354"/>
      <c r="AF789" s="354"/>
      <c r="AG789" s="354"/>
      <c r="AH789" s="354"/>
      <c r="AI789" s="354"/>
      <c r="AJ789" s="354"/>
      <c r="AK789" s="354"/>
      <c r="AL789" s="354"/>
      <c r="AM789" s="354"/>
      <c r="AN789" s="354"/>
      <c r="AO789" s="358"/>
      <c r="AP789" s="358"/>
      <c r="AQ789" s="342"/>
      <c r="AR789" s="342"/>
      <c r="AS789" s="342"/>
      <c r="AT789" s="342"/>
      <c r="AU789" s="341"/>
      <c r="AV789" s="341"/>
      <c r="AW789" s="342"/>
      <c r="AX789" s="342"/>
      <c r="AY789" s="342"/>
      <c r="AZ789" s="342"/>
      <c r="BA789" s="342"/>
      <c r="BB789" s="342"/>
      <c r="BC789" s="342"/>
      <c r="BD789" s="342"/>
      <c r="BE789" s="342"/>
    </row>
    <row r="790" spans="1:58" ht="14.25" hidden="1" customHeight="1" outlineLevel="1">
      <c r="A790" s="404" t="s">
        <v>173</v>
      </c>
      <c r="B790" s="413" t="s">
        <v>2156</v>
      </c>
      <c r="C790" s="594">
        <v>0.4</v>
      </c>
      <c r="D790" s="617"/>
      <c r="E790" s="364"/>
      <c r="F790" s="364"/>
      <c r="G790" s="364"/>
      <c r="H790" s="364"/>
      <c r="I790" s="364"/>
      <c r="J790" s="364"/>
      <c r="K790" s="676"/>
      <c r="L790" s="364"/>
      <c r="M790" s="364"/>
      <c r="N790" s="366"/>
      <c r="O790" s="366"/>
      <c r="P790" s="452"/>
      <c r="Q790" s="354"/>
      <c r="R790" s="354"/>
      <c r="S790" s="354"/>
      <c r="T790" s="354"/>
      <c r="U790" s="354"/>
      <c r="V790" s="354"/>
      <c r="W790" s="354"/>
      <c r="X790" s="354"/>
      <c r="Y790" s="354"/>
      <c r="Z790" s="354"/>
      <c r="AA790" s="354"/>
      <c r="AB790" s="354"/>
      <c r="AC790" s="354"/>
      <c r="AD790" s="354"/>
      <c r="AE790" s="354"/>
      <c r="AF790" s="354"/>
      <c r="AG790" s="354"/>
      <c r="AH790" s="354"/>
      <c r="AI790" s="354"/>
      <c r="AJ790" s="354"/>
      <c r="AK790" s="354"/>
      <c r="AL790" s="354"/>
      <c r="AM790" s="354"/>
      <c r="AN790" s="354"/>
      <c r="AO790" s="358"/>
      <c r="AP790" s="358"/>
      <c r="AQ790" s="342"/>
      <c r="AR790" s="342"/>
      <c r="AS790" s="342"/>
      <c r="AT790" s="342"/>
      <c r="AU790" s="341"/>
      <c r="AV790" s="341"/>
      <c r="AW790" s="342"/>
      <c r="AX790" s="342"/>
      <c r="AY790" s="342"/>
      <c r="AZ790" s="342"/>
      <c r="BA790" s="342"/>
      <c r="BB790" s="342"/>
      <c r="BC790" s="342"/>
      <c r="BD790" s="342"/>
      <c r="BE790" s="342"/>
    </row>
    <row r="791" spans="1:58" ht="14.25" hidden="1" customHeight="1" outlineLevel="1">
      <c r="A791" s="331" t="s">
        <v>2191</v>
      </c>
      <c r="D791" s="617"/>
      <c r="E791" s="364"/>
      <c r="F791" s="364"/>
      <c r="G791" s="364"/>
      <c r="H791" s="364"/>
      <c r="I791" s="364"/>
      <c r="J791" s="364"/>
      <c r="K791" s="676"/>
      <c r="L791" s="364"/>
      <c r="M791" s="364"/>
      <c r="N791" s="366"/>
      <c r="O791" s="366"/>
      <c r="P791" s="452"/>
      <c r="Q791" s="354"/>
      <c r="R791" s="354"/>
      <c r="S791" s="354"/>
      <c r="T791" s="354"/>
      <c r="U791" s="354"/>
      <c r="V791" s="354"/>
      <c r="W791" s="354"/>
      <c r="X791" s="354"/>
      <c r="Y791" s="354"/>
      <c r="Z791" s="354"/>
      <c r="AA791" s="354"/>
      <c r="AB791" s="354"/>
      <c r="AC791" s="354"/>
      <c r="AD791" s="354"/>
      <c r="AE791" s="354"/>
      <c r="AF791" s="354"/>
      <c r="AG791" s="354"/>
      <c r="AH791" s="354"/>
      <c r="AI791" s="354"/>
      <c r="AJ791" s="354"/>
      <c r="AK791" s="354"/>
      <c r="AL791" s="354"/>
      <c r="AM791" s="354"/>
      <c r="AN791" s="354"/>
      <c r="AO791" s="358"/>
      <c r="AP791" s="358"/>
      <c r="AQ791" s="342"/>
      <c r="AR791" s="342"/>
      <c r="AS791" s="342"/>
      <c r="AT791" s="342"/>
      <c r="AU791" s="341"/>
      <c r="AV791" s="341"/>
      <c r="AW791" s="342"/>
      <c r="AX791" s="342"/>
      <c r="AY791" s="342"/>
      <c r="AZ791" s="342"/>
      <c r="BA791" s="342"/>
      <c r="BB791" s="342"/>
      <c r="BC791" s="342"/>
      <c r="BD791" s="342"/>
      <c r="BE791" s="342"/>
    </row>
    <row r="792" spans="1:58" ht="14.25" hidden="1" customHeight="1" outlineLevel="1">
      <c r="A792" s="404" t="s">
        <v>173</v>
      </c>
      <c r="B792" s="374" t="s">
        <v>2156</v>
      </c>
      <c r="C792" s="675">
        <v>0.2</v>
      </c>
      <c r="D792" s="617"/>
      <c r="E792" s="364"/>
      <c r="F792" s="364"/>
      <c r="G792" s="364"/>
      <c r="H792" s="364"/>
      <c r="I792" s="364"/>
      <c r="J792" s="364"/>
      <c r="K792" s="676"/>
      <c r="L792" s="364"/>
      <c r="M792" s="364"/>
      <c r="N792" s="366"/>
      <c r="O792" s="366"/>
      <c r="P792" s="452"/>
      <c r="Q792" s="354"/>
      <c r="R792" s="354"/>
      <c r="S792" s="354"/>
      <c r="T792" s="354"/>
      <c r="U792" s="354"/>
      <c r="V792" s="354"/>
      <c r="W792" s="354"/>
      <c r="X792" s="354"/>
      <c r="Y792" s="354"/>
      <c r="Z792" s="354"/>
      <c r="AA792" s="354"/>
      <c r="AB792" s="354"/>
      <c r="AC792" s="354"/>
      <c r="AD792" s="354"/>
      <c r="AE792" s="354"/>
      <c r="AF792" s="354"/>
      <c r="AG792" s="354"/>
      <c r="AH792" s="354"/>
      <c r="AI792" s="354"/>
      <c r="AJ792" s="354"/>
      <c r="AK792" s="354"/>
      <c r="AL792" s="354"/>
      <c r="AM792" s="354"/>
      <c r="AN792" s="354"/>
      <c r="AO792" s="358"/>
      <c r="AP792" s="358"/>
      <c r="AQ792" s="342"/>
      <c r="AR792" s="342"/>
      <c r="AS792" s="342"/>
      <c r="AT792" s="342"/>
      <c r="AU792" s="341"/>
      <c r="AV792" s="341"/>
      <c r="AW792" s="342"/>
      <c r="AX792" s="342"/>
      <c r="AY792" s="342"/>
      <c r="AZ792" s="342"/>
      <c r="BA792" s="342"/>
      <c r="BB792" s="342"/>
      <c r="BC792" s="342"/>
      <c r="BD792" s="342"/>
      <c r="BE792" s="342"/>
    </row>
    <row r="793" spans="1:58" ht="14.25" hidden="1" customHeight="1" outlineLevel="1">
      <c r="A793" s="260" t="s">
        <v>2192</v>
      </c>
      <c r="B793" s="374" t="s">
        <v>159</v>
      </c>
      <c r="C793" s="675">
        <v>1</v>
      </c>
      <c r="D793" s="683"/>
      <c r="E793" s="364"/>
      <c r="F793" s="364"/>
      <c r="G793" s="364"/>
      <c r="H793" s="364"/>
      <c r="I793" s="364"/>
      <c r="J793" s="364"/>
      <c r="K793" s="676"/>
      <c r="L793" s="364"/>
      <c r="M793" s="364"/>
      <c r="N793" s="366"/>
      <c r="O793" s="366"/>
      <c r="P793" s="452"/>
      <c r="Q793" s="354"/>
      <c r="R793" s="354"/>
      <c r="S793" s="354"/>
      <c r="T793" s="354"/>
      <c r="U793" s="354"/>
      <c r="V793" s="354"/>
      <c r="W793" s="354"/>
      <c r="X793" s="354"/>
      <c r="Y793" s="354"/>
      <c r="Z793" s="354"/>
      <c r="AA793" s="354"/>
      <c r="AB793" s="354"/>
      <c r="AC793" s="354"/>
      <c r="AD793" s="354"/>
      <c r="AE793" s="354"/>
      <c r="AF793" s="354"/>
      <c r="AG793" s="354"/>
      <c r="AH793" s="354"/>
      <c r="AI793" s="354"/>
      <c r="AJ793" s="354"/>
      <c r="AK793" s="354"/>
      <c r="AL793" s="354"/>
      <c r="AM793" s="354"/>
      <c r="AN793" s="354"/>
      <c r="AO793" s="358"/>
      <c r="AP793" s="358"/>
      <c r="AQ793" s="342"/>
      <c r="AR793" s="342"/>
      <c r="AS793" s="342"/>
      <c r="AT793" s="342"/>
      <c r="AU793" s="341"/>
      <c r="AV793" s="341"/>
      <c r="AW793" s="342"/>
      <c r="AX793" s="342"/>
      <c r="AY793" s="342"/>
      <c r="AZ793" s="342"/>
      <c r="BA793" s="342"/>
      <c r="BB793" s="342"/>
      <c r="BC793" s="342"/>
      <c r="BD793" s="342"/>
      <c r="BE793" s="342"/>
    </row>
    <row r="794" spans="1:58" s="364" customFormat="1" ht="14.25" hidden="1" customHeight="1" outlineLevel="1">
      <c r="A794" s="684" t="s">
        <v>2170</v>
      </c>
      <c r="B794" s="442"/>
      <c r="C794" s="679"/>
      <c r="D794" s="683"/>
      <c r="K794" s="676"/>
      <c r="N794" s="366"/>
      <c r="O794" s="366"/>
      <c r="P794" s="366"/>
      <c r="Q794" s="366"/>
      <c r="R794" s="366"/>
      <c r="S794" s="366"/>
      <c r="T794" s="366"/>
      <c r="U794" s="366"/>
      <c r="V794" s="366"/>
      <c r="W794" s="366"/>
      <c r="X794" s="366"/>
      <c r="Y794" s="366"/>
      <c r="Z794" s="366"/>
      <c r="AA794" s="366"/>
      <c r="AB794" s="366"/>
      <c r="AC794" s="366"/>
      <c r="AD794" s="366"/>
      <c r="AE794" s="366"/>
      <c r="AF794" s="366"/>
      <c r="AG794" s="366"/>
      <c r="AH794" s="366"/>
      <c r="AI794" s="366"/>
      <c r="AJ794" s="366"/>
      <c r="AK794" s="366"/>
      <c r="AL794" s="366"/>
      <c r="AM794" s="366"/>
      <c r="AN794" s="366"/>
      <c r="AO794" s="367"/>
      <c r="AP794" s="367"/>
      <c r="AQ794" s="340"/>
      <c r="AR794" s="340"/>
      <c r="AS794" s="340"/>
      <c r="AT794" s="340"/>
      <c r="AU794" s="340"/>
      <c r="AV794" s="340"/>
      <c r="AW794" s="340"/>
      <c r="AX794" s="340"/>
      <c r="AY794" s="340"/>
      <c r="AZ794" s="340"/>
      <c r="BA794" s="340"/>
      <c r="BB794" s="340"/>
      <c r="BC794" s="340"/>
      <c r="BD794" s="340"/>
      <c r="BE794" s="340"/>
      <c r="BF794" s="368"/>
    </row>
    <row r="795" spans="1:58" ht="14.25" hidden="1" customHeight="1" outlineLevel="1">
      <c r="A795" s="631" t="s">
        <v>1020</v>
      </c>
      <c r="B795" s="375" t="s">
        <v>1820</v>
      </c>
      <c r="C795" s="644" t="s">
        <v>1821</v>
      </c>
      <c r="D795" s="617"/>
      <c r="E795" s="364"/>
      <c r="F795" s="364"/>
      <c r="G795" s="364"/>
      <c r="H795" s="364"/>
      <c r="I795" s="364"/>
      <c r="J795" s="364"/>
      <c r="K795" s="676"/>
      <c r="L795" s="364"/>
      <c r="M795" s="364"/>
      <c r="N795" s="366"/>
      <c r="O795" s="366"/>
      <c r="P795" s="452"/>
      <c r="Q795" s="354"/>
      <c r="R795" s="354"/>
      <c r="S795" s="354"/>
      <c r="T795" s="354"/>
      <c r="U795" s="354"/>
      <c r="V795" s="354"/>
      <c r="W795" s="354"/>
      <c r="X795" s="354"/>
      <c r="Y795" s="354"/>
      <c r="Z795" s="354"/>
      <c r="AA795" s="354"/>
      <c r="AB795" s="354"/>
      <c r="AC795" s="354"/>
      <c r="AD795" s="354"/>
      <c r="AE795" s="354"/>
      <c r="AF795" s="354"/>
      <c r="AG795" s="354"/>
      <c r="AH795" s="354"/>
      <c r="AI795" s="354"/>
      <c r="AJ795" s="354"/>
      <c r="AK795" s="354"/>
      <c r="AL795" s="354"/>
      <c r="AM795" s="354"/>
      <c r="AN795" s="354"/>
      <c r="AO795" s="358"/>
      <c r="AP795" s="358"/>
      <c r="AQ795" s="342"/>
      <c r="AR795" s="342"/>
      <c r="AS795" s="342"/>
      <c r="AT795" s="342"/>
      <c r="AU795" s="341"/>
      <c r="AV795" s="341"/>
      <c r="AW795" s="342"/>
      <c r="AX795" s="342"/>
      <c r="AY795" s="342"/>
      <c r="AZ795" s="342"/>
      <c r="BA795" s="342"/>
      <c r="BB795" s="342"/>
      <c r="BC795" s="342"/>
      <c r="BD795" s="342"/>
      <c r="BE795" s="342"/>
    </row>
    <row r="796" spans="1:58" s="364" customFormat="1" ht="14.25" hidden="1" customHeight="1" outlineLevel="1">
      <c r="A796" s="680" t="s">
        <v>2172</v>
      </c>
      <c r="B796" s="660"/>
      <c r="C796" s="661"/>
      <c r="D796" s="617"/>
      <c r="K796" s="676"/>
      <c r="N796" s="366"/>
      <c r="O796" s="366"/>
      <c r="P796" s="366"/>
      <c r="Q796" s="366"/>
      <c r="R796" s="366"/>
      <c r="S796" s="366"/>
      <c r="T796" s="366"/>
      <c r="U796" s="366"/>
      <c r="V796" s="366"/>
      <c r="W796" s="366"/>
      <c r="X796" s="366"/>
      <c r="Y796" s="366"/>
      <c r="Z796" s="366"/>
      <c r="AA796" s="366"/>
      <c r="AB796" s="366"/>
      <c r="AC796" s="366"/>
      <c r="AD796" s="366"/>
      <c r="AE796" s="366"/>
      <c r="AF796" s="366"/>
      <c r="AG796" s="366"/>
      <c r="AH796" s="366"/>
      <c r="AI796" s="366"/>
      <c r="AJ796" s="366"/>
      <c r="AK796" s="366"/>
      <c r="AL796" s="366"/>
      <c r="AM796" s="366"/>
      <c r="AN796" s="366"/>
      <c r="AO796" s="367"/>
      <c r="AP796" s="367"/>
      <c r="AQ796" s="340"/>
      <c r="AR796" s="340"/>
      <c r="AS796" s="340"/>
      <c r="AT796" s="340"/>
      <c r="AU796" s="340"/>
      <c r="AV796" s="340"/>
      <c r="AW796" s="340"/>
      <c r="AX796" s="340"/>
      <c r="AY796" s="340"/>
      <c r="AZ796" s="340"/>
      <c r="BA796" s="340"/>
      <c r="BB796" s="340"/>
      <c r="BC796" s="340"/>
      <c r="BD796" s="340"/>
      <c r="BE796" s="340"/>
      <c r="BF796" s="368"/>
    </row>
    <row r="797" spans="1:58" ht="14.25" hidden="1" customHeight="1" outlineLevel="1">
      <c r="A797" s="536" t="s">
        <v>1027</v>
      </c>
      <c r="B797" s="375" t="s">
        <v>1820</v>
      </c>
      <c r="C797" s="644" t="s">
        <v>1821</v>
      </c>
      <c r="D797" s="617"/>
      <c r="E797" s="364"/>
      <c r="F797" s="364"/>
      <c r="G797" s="364"/>
      <c r="H797" s="364"/>
      <c r="I797" s="364"/>
      <c r="J797" s="364"/>
      <c r="K797" s="676"/>
      <c r="L797" s="364"/>
      <c r="M797" s="364"/>
      <c r="N797" s="366"/>
      <c r="O797" s="366"/>
      <c r="P797" s="452"/>
      <c r="Q797" s="354"/>
      <c r="R797" s="354"/>
      <c r="S797" s="354"/>
      <c r="T797" s="354"/>
      <c r="U797" s="354"/>
      <c r="V797" s="354"/>
      <c r="W797" s="354"/>
      <c r="X797" s="354"/>
      <c r="Y797" s="354"/>
      <c r="Z797" s="354"/>
      <c r="AA797" s="354"/>
      <c r="AB797" s="354"/>
      <c r="AC797" s="354"/>
      <c r="AD797" s="354"/>
      <c r="AE797" s="354"/>
      <c r="AF797" s="354"/>
      <c r="AG797" s="354"/>
      <c r="AH797" s="354"/>
      <c r="AI797" s="354"/>
      <c r="AJ797" s="354"/>
      <c r="AK797" s="354"/>
      <c r="AL797" s="354"/>
      <c r="AM797" s="354"/>
      <c r="AN797" s="354"/>
      <c r="AO797" s="358"/>
      <c r="AP797" s="358"/>
      <c r="AQ797" s="342"/>
      <c r="AR797" s="342"/>
      <c r="AS797" s="342"/>
      <c r="AT797" s="342"/>
      <c r="AU797" s="341"/>
      <c r="AV797" s="341"/>
      <c r="AW797" s="342"/>
      <c r="AX797" s="342"/>
      <c r="AY797" s="342"/>
      <c r="AZ797" s="342"/>
      <c r="BA797" s="342"/>
      <c r="BB797" s="342"/>
      <c r="BC797" s="342"/>
      <c r="BD797" s="342"/>
      <c r="BE797" s="342"/>
    </row>
    <row r="798" spans="1:58" ht="14.25" hidden="1" customHeight="1" outlineLevel="1">
      <c r="A798" s="685" t="s">
        <v>2193</v>
      </c>
      <c r="B798" s="374" t="s">
        <v>156</v>
      </c>
      <c r="C798" s="244">
        <f>фундамент!C465</f>
        <v>0</v>
      </c>
      <c r="D798" s="617"/>
      <c r="E798" s="364"/>
      <c r="F798" s="364"/>
      <c r="G798" s="364"/>
      <c r="H798" s="364"/>
      <c r="I798" s="364"/>
      <c r="J798" s="364"/>
      <c r="K798" s="676"/>
      <c r="L798" s="364"/>
      <c r="M798" s="364"/>
      <c r="N798" s="366"/>
      <c r="O798" s="366"/>
      <c r="P798" s="452"/>
      <c r="Q798" s="354"/>
      <c r="R798" s="354"/>
      <c r="S798" s="354"/>
      <c r="T798" s="354"/>
      <c r="U798" s="354"/>
      <c r="V798" s="354"/>
      <c r="W798" s="354"/>
      <c r="X798" s="354"/>
      <c r="Y798" s="354"/>
      <c r="Z798" s="354"/>
      <c r="AA798" s="354"/>
      <c r="AB798" s="354"/>
      <c r="AC798" s="354"/>
      <c r="AD798" s="354"/>
      <c r="AE798" s="354"/>
      <c r="AF798" s="354"/>
      <c r="AG798" s="354"/>
      <c r="AH798" s="354"/>
      <c r="AI798" s="354"/>
      <c r="AJ798" s="354"/>
      <c r="AK798" s="354"/>
      <c r="AL798" s="354"/>
      <c r="AM798" s="354"/>
      <c r="AN798" s="354"/>
      <c r="AO798" s="358"/>
      <c r="AP798" s="358"/>
      <c r="AQ798" s="342"/>
      <c r="AR798" s="342"/>
      <c r="AS798" s="342"/>
      <c r="AT798" s="342"/>
      <c r="AU798" s="341"/>
      <c r="AV798" s="341"/>
      <c r="AW798" s="342"/>
      <c r="AX798" s="342"/>
      <c r="AY798" s="342"/>
      <c r="AZ798" s="342"/>
      <c r="BA798" s="342"/>
      <c r="BB798" s="342"/>
      <c r="BC798" s="342"/>
      <c r="BD798" s="342"/>
      <c r="BE798" s="342"/>
    </row>
    <row r="799" spans="1:58" ht="14.25" hidden="1" customHeight="1" outlineLevel="1">
      <c r="A799" s="630" t="s">
        <v>1038</v>
      </c>
      <c r="B799" s="442"/>
      <c r="C799" s="686"/>
      <c r="D799" s="617"/>
      <c r="E799" s="364"/>
      <c r="F799" s="364"/>
      <c r="G799" s="364"/>
      <c r="H799" s="364"/>
      <c r="I799" s="364"/>
      <c r="J799" s="364"/>
      <c r="K799" s="676"/>
      <c r="L799" s="364"/>
      <c r="M799" s="364"/>
      <c r="N799" s="366"/>
      <c r="O799" s="366"/>
      <c r="P799" s="452"/>
      <c r="Q799" s="354"/>
      <c r="R799" s="354"/>
      <c r="S799" s="354"/>
      <c r="T799" s="354"/>
      <c r="U799" s="354"/>
      <c r="V799" s="354"/>
      <c r="W799" s="354"/>
      <c r="X799" s="354"/>
      <c r="Y799" s="354"/>
      <c r="Z799" s="354"/>
      <c r="AA799" s="354"/>
      <c r="AB799" s="354"/>
      <c r="AC799" s="354"/>
      <c r="AD799" s="354"/>
      <c r="AE799" s="354"/>
      <c r="AF799" s="354"/>
      <c r="AG799" s="354"/>
      <c r="AH799" s="354"/>
      <c r="AI799" s="354"/>
      <c r="AJ799" s="354"/>
      <c r="AK799" s="354"/>
      <c r="AL799" s="354"/>
      <c r="AM799" s="354"/>
      <c r="AN799" s="354"/>
      <c r="AO799" s="358"/>
      <c r="AP799" s="358"/>
      <c r="AQ799" s="342"/>
      <c r="AR799" s="342"/>
      <c r="AS799" s="342"/>
      <c r="AT799" s="342"/>
      <c r="AU799" s="341"/>
      <c r="AV799" s="341"/>
      <c r="AW799" s="342"/>
      <c r="AX799" s="342"/>
      <c r="AY799" s="342"/>
      <c r="AZ799" s="342"/>
      <c r="BA799" s="342"/>
      <c r="BB799" s="342"/>
      <c r="BC799" s="342"/>
      <c r="BD799" s="342"/>
      <c r="BE799" s="342"/>
    </row>
    <row r="800" spans="1:58" ht="14.25" hidden="1" customHeight="1" outlineLevel="1">
      <c r="A800" s="687" t="s">
        <v>2194</v>
      </c>
      <c r="B800" s="374" t="s">
        <v>159</v>
      </c>
      <c r="C800" s="675">
        <v>0</v>
      </c>
      <c r="D800" s="617"/>
      <c r="E800" s="364"/>
      <c r="F800" s="364"/>
      <c r="G800" s="364"/>
      <c r="H800" s="364"/>
      <c r="I800" s="364"/>
      <c r="J800" s="364"/>
      <c r="K800" s="676"/>
      <c r="L800" s="364"/>
      <c r="M800" s="364"/>
      <c r="N800" s="366"/>
      <c r="O800" s="366"/>
      <c r="P800" s="452"/>
      <c r="Q800" s="354"/>
      <c r="R800" s="354"/>
      <c r="S800" s="354"/>
      <c r="T800" s="354"/>
      <c r="U800" s="354"/>
      <c r="V800" s="354"/>
      <c r="W800" s="354"/>
      <c r="X800" s="354"/>
      <c r="Y800" s="354"/>
      <c r="Z800" s="354"/>
      <c r="AA800" s="354"/>
      <c r="AB800" s="354"/>
      <c r="AC800" s="354"/>
      <c r="AD800" s="354"/>
      <c r="AE800" s="354"/>
      <c r="AF800" s="354"/>
      <c r="AG800" s="354"/>
      <c r="AH800" s="354"/>
      <c r="AI800" s="354"/>
      <c r="AJ800" s="354"/>
      <c r="AK800" s="354"/>
      <c r="AL800" s="354"/>
      <c r="AM800" s="354"/>
      <c r="AN800" s="354"/>
      <c r="AO800" s="358"/>
      <c r="AP800" s="358"/>
      <c r="AQ800" s="342"/>
      <c r="AR800" s="342"/>
      <c r="AS800" s="342"/>
      <c r="AT800" s="342"/>
      <c r="AU800" s="341"/>
      <c r="AV800" s="341"/>
      <c r="AW800" s="342"/>
      <c r="AX800" s="342"/>
      <c r="AY800" s="342"/>
      <c r="AZ800" s="342"/>
      <c r="BA800" s="342"/>
      <c r="BB800" s="342"/>
      <c r="BC800" s="342"/>
      <c r="BD800" s="342"/>
      <c r="BE800" s="342"/>
    </row>
    <row r="801" spans="1:58" ht="14.25" hidden="1" customHeight="1" outlineLevel="1">
      <c r="A801" s="536" t="s">
        <v>1054</v>
      </c>
      <c r="B801" s="442"/>
      <c r="C801" s="679"/>
      <c r="D801" s="617"/>
      <c r="E801" s="364"/>
      <c r="F801" s="364"/>
      <c r="G801" s="364"/>
      <c r="H801" s="364"/>
      <c r="I801" s="364"/>
      <c r="J801" s="364"/>
      <c r="K801" s="676"/>
      <c r="L801" s="364"/>
      <c r="M801" s="364"/>
      <c r="N801" s="366"/>
      <c r="O801" s="366"/>
      <c r="P801" s="452"/>
      <c r="Q801" s="354"/>
      <c r="R801" s="354"/>
      <c r="S801" s="354"/>
      <c r="T801" s="354"/>
      <c r="U801" s="354"/>
      <c r="V801" s="354"/>
      <c r="W801" s="354"/>
      <c r="X801" s="354"/>
      <c r="Y801" s="354"/>
      <c r="Z801" s="354"/>
      <c r="AA801" s="354"/>
      <c r="AB801" s="354"/>
      <c r="AC801" s="354"/>
      <c r="AD801" s="354"/>
      <c r="AE801" s="354"/>
      <c r="AF801" s="354"/>
      <c r="AG801" s="354"/>
      <c r="AH801" s="354"/>
      <c r="AI801" s="354"/>
      <c r="AJ801" s="354"/>
      <c r="AK801" s="354"/>
      <c r="AL801" s="354"/>
      <c r="AM801" s="354"/>
      <c r="AN801" s="354"/>
      <c r="AO801" s="358"/>
      <c r="AP801" s="358"/>
      <c r="AQ801" s="342"/>
      <c r="AR801" s="342"/>
      <c r="AS801" s="342"/>
      <c r="AT801" s="342"/>
      <c r="AU801" s="341"/>
      <c r="AV801" s="341"/>
      <c r="AW801" s="342"/>
      <c r="AX801" s="342"/>
      <c r="AY801" s="342"/>
      <c r="AZ801" s="342"/>
      <c r="BA801" s="342"/>
      <c r="BB801" s="342"/>
      <c r="BC801" s="342"/>
      <c r="BD801" s="342"/>
      <c r="BE801" s="342"/>
    </row>
    <row r="802" spans="1:58" ht="14.25" hidden="1" customHeight="1" outlineLevel="1">
      <c r="A802" s="681" t="s">
        <v>2195</v>
      </c>
      <c r="B802" s="374" t="s">
        <v>156</v>
      </c>
      <c r="C802" s="675">
        <v>0</v>
      </c>
      <c r="D802" s="617"/>
      <c r="E802" s="364"/>
      <c r="F802" s="364"/>
      <c r="G802" s="364"/>
      <c r="H802" s="364"/>
      <c r="I802" s="364"/>
      <c r="J802" s="364"/>
      <c r="K802" s="676"/>
      <c r="L802" s="364"/>
      <c r="M802" s="364"/>
      <c r="N802" s="366"/>
      <c r="O802" s="366"/>
      <c r="P802" s="452"/>
      <c r="Q802" s="354"/>
      <c r="R802" s="354"/>
      <c r="S802" s="354"/>
      <c r="T802" s="354"/>
      <c r="U802" s="354"/>
      <c r="V802" s="354"/>
      <c r="W802" s="354"/>
      <c r="X802" s="354"/>
      <c r="Y802" s="354"/>
      <c r="Z802" s="354"/>
      <c r="AA802" s="354"/>
      <c r="AB802" s="354"/>
      <c r="AC802" s="354"/>
      <c r="AD802" s="354"/>
      <c r="AE802" s="354"/>
      <c r="AF802" s="354"/>
      <c r="AG802" s="354"/>
      <c r="AH802" s="354"/>
      <c r="AI802" s="354"/>
      <c r="AJ802" s="354"/>
      <c r="AK802" s="354"/>
      <c r="AL802" s="354"/>
      <c r="AM802" s="354"/>
      <c r="AN802" s="354"/>
      <c r="AO802" s="358"/>
      <c r="AP802" s="358"/>
      <c r="AQ802" s="342"/>
      <c r="AR802" s="342"/>
      <c r="AS802" s="342"/>
      <c r="AT802" s="342"/>
      <c r="AU802" s="341"/>
      <c r="AV802" s="341"/>
      <c r="AW802" s="342"/>
      <c r="AX802" s="342"/>
      <c r="AY802" s="342"/>
      <c r="AZ802" s="342"/>
      <c r="BA802" s="342"/>
      <c r="BB802" s="342"/>
      <c r="BC802" s="342"/>
      <c r="BD802" s="342"/>
      <c r="BE802" s="342"/>
    </row>
    <row r="803" spans="1:58" ht="14.25" hidden="1" customHeight="1" outlineLevel="1">
      <c r="A803" s="378" t="s">
        <v>2196</v>
      </c>
      <c r="B803" s="374" t="s">
        <v>156</v>
      </c>
      <c r="C803" s="675">
        <v>0</v>
      </c>
      <c r="D803" s="617"/>
      <c r="E803" s="364"/>
      <c r="F803" s="364"/>
      <c r="G803" s="364"/>
      <c r="H803" s="364"/>
      <c r="I803" s="364"/>
      <c r="J803" s="364"/>
      <c r="K803" s="676"/>
      <c r="L803" s="364"/>
      <c r="M803" s="364"/>
      <c r="N803" s="366"/>
      <c r="O803" s="366"/>
      <c r="P803" s="452"/>
      <c r="Q803" s="354"/>
      <c r="R803" s="354"/>
      <c r="S803" s="354"/>
      <c r="T803" s="354"/>
      <c r="U803" s="354"/>
      <c r="V803" s="354"/>
      <c r="W803" s="354"/>
      <c r="X803" s="354"/>
      <c r="Y803" s="354"/>
      <c r="Z803" s="354"/>
      <c r="AA803" s="354"/>
      <c r="AB803" s="354"/>
      <c r="AC803" s="354"/>
      <c r="AD803" s="354"/>
      <c r="AE803" s="354"/>
      <c r="AF803" s="354"/>
      <c r="AG803" s="354"/>
      <c r="AH803" s="354"/>
      <c r="AI803" s="354"/>
      <c r="AJ803" s="354"/>
      <c r="AK803" s="354"/>
      <c r="AL803" s="354"/>
      <c r="AM803" s="354"/>
      <c r="AN803" s="354"/>
      <c r="AO803" s="358"/>
      <c r="AP803" s="358"/>
      <c r="AQ803" s="342"/>
      <c r="AR803" s="342"/>
      <c r="AS803" s="342"/>
      <c r="AT803" s="342"/>
      <c r="AU803" s="341"/>
      <c r="AV803" s="341"/>
      <c r="AW803" s="342"/>
      <c r="AX803" s="342"/>
      <c r="AY803" s="342"/>
      <c r="AZ803" s="342"/>
      <c r="BA803" s="342"/>
      <c r="BB803" s="342"/>
      <c r="BC803" s="342"/>
      <c r="BD803" s="342"/>
      <c r="BE803" s="342"/>
    </row>
    <row r="804" spans="1:58" ht="14.25" hidden="1" customHeight="1" outlineLevel="1">
      <c r="A804" s="688" t="s">
        <v>2163</v>
      </c>
      <c r="B804" s="375" t="s">
        <v>1820</v>
      </c>
      <c r="C804" s="689" t="s">
        <v>1798</v>
      </c>
      <c r="D804" s="690"/>
      <c r="E804" s="364"/>
      <c r="F804" s="364"/>
      <c r="G804" s="364"/>
      <c r="H804" s="364"/>
      <c r="I804" s="691"/>
      <c r="J804" s="505"/>
      <c r="K804" s="676"/>
      <c r="L804" s="364"/>
      <c r="M804" s="364"/>
      <c r="N804" s="366"/>
      <c r="O804" s="366"/>
      <c r="P804" s="452"/>
      <c r="Q804" s="354"/>
      <c r="R804" s="354"/>
      <c r="S804" s="354"/>
      <c r="T804" s="354"/>
      <c r="U804" s="354"/>
      <c r="V804" s="354"/>
      <c r="W804" s="354"/>
      <c r="X804" s="354"/>
      <c r="Y804" s="354"/>
      <c r="Z804" s="354"/>
      <c r="AA804" s="354"/>
      <c r="AB804" s="354"/>
      <c r="AC804" s="354"/>
      <c r="AD804" s="354"/>
      <c r="AE804" s="354"/>
      <c r="AF804" s="354"/>
      <c r="AG804" s="354"/>
      <c r="AH804" s="354"/>
      <c r="AI804" s="354"/>
      <c r="AJ804" s="354"/>
      <c r="AK804" s="354"/>
      <c r="AL804" s="354"/>
      <c r="AM804" s="354"/>
      <c r="AN804" s="354"/>
      <c r="AO804" s="358"/>
      <c r="AP804" s="358"/>
      <c r="AQ804" s="342"/>
      <c r="AR804" s="342"/>
      <c r="AS804" s="342"/>
      <c r="AT804" s="342"/>
      <c r="AU804" s="341"/>
      <c r="AV804" s="341"/>
      <c r="AW804" s="342"/>
      <c r="AX804" s="342"/>
      <c r="AY804" s="342"/>
      <c r="AZ804" s="342"/>
      <c r="BA804" s="342"/>
      <c r="BB804" s="342"/>
      <c r="BC804" s="342"/>
      <c r="BD804" s="342"/>
      <c r="BE804" s="342"/>
    </row>
    <row r="805" spans="1:58" s="364" customFormat="1" ht="14.25" hidden="1" customHeight="1" outlineLevel="1">
      <c r="A805" s="680" t="s">
        <v>2197</v>
      </c>
      <c r="B805" s="660"/>
      <c r="C805" s="692"/>
      <c r="D805" s="690"/>
      <c r="I805" s="691"/>
      <c r="J805" s="505"/>
      <c r="K805" s="676"/>
      <c r="N805" s="366"/>
      <c r="O805" s="366"/>
      <c r="P805" s="366"/>
      <c r="Q805" s="366"/>
      <c r="R805" s="366"/>
      <c r="S805" s="366"/>
      <c r="T805" s="366"/>
      <c r="U805" s="366"/>
      <c r="V805" s="366"/>
      <c r="W805" s="366"/>
      <c r="X805" s="366"/>
      <c r="Y805" s="366"/>
      <c r="Z805" s="366"/>
      <c r="AA805" s="366"/>
      <c r="AB805" s="366"/>
      <c r="AC805" s="366"/>
      <c r="AD805" s="366"/>
      <c r="AE805" s="366"/>
      <c r="AF805" s="366"/>
      <c r="AG805" s="366"/>
      <c r="AH805" s="366"/>
      <c r="AI805" s="366"/>
      <c r="AJ805" s="366"/>
      <c r="AK805" s="366"/>
      <c r="AL805" s="366"/>
      <c r="AM805" s="366"/>
      <c r="AN805" s="366"/>
      <c r="AO805" s="367"/>
      <c r="AP805" s="367"/>
      <c r="AQ805" s="340"/>
      <c r="AR805" s="340"/>
      <c r="AS805" s="340"/>
      <c r="AT805" s="340"/>
      <c r="AU805" s="340"/>
      <c r="AV805" s="340"/>
      <c r="AW805" s="340"/>
      <c r="AX805" s="340"/>
      <c r="AY805" s="340"/>
      <c r="AZ805" s="340"/>
      <c r="BA805" s="340"/>
      <c r="BB805" s="340"/>
      <c r="BC805" s="340"/>
      <c r="BD805" s="340"/>
      <c r="BE805" s="340"/>
      <c r="BF805" s="368"/>
    </row>
    <row r="806" spans="1:58" s="364" customFormat="1" ht="14.25" hidden="1" customHeight="1" outlineLevel="1">
      <c r="A806" s="536" t="s">
        <v>200</v>
      </c>
      <c r="B806" s="660"/>
      <c r="C806" s="692"/>
      <c r="D806" s="690"/>
      <c r="I806" s="691"/>
      <c r="J806" s="505"/>
      <c r="K806" s="676"/>
      <c r="N806" s="366"/>
      <c r="O806" s="366"/>
      <c r="P806" s="366"/>
      <c r="Q806" s="366"/>
      <c r="R806" s="366"/>
      <c r="S806" s="366"/>
      <c r="T806" s="366"/>
      <c r="U806" s="366"/>
      <c r="V806" s="366"/>
      <c r="W806" s="366"/>
      <c r="X806" s="366"/>
      <c r="Y806" s="366"/>
      <c r="Z806" s="366"/>
      <c r="AA806" s="366"/>
      <c r="AB806" s="366"/>
      <c r="AC806" s="366"/>
      <c r="AD806" s="366"/>
      <c r="AE806" s="366"/>
      <c r="AF806" s="366"/>
      <c r="AG806" s="366"/>
      <c r="AH806" s="366"/>
      <c r="AI806" s="366"/>
      <c r="AJ806" s="366"/>
      <c r="AK806" s="366"/>
      <c r="AL806" s="366"/>
      <c r="AM806" s="366"/>
      <c r="AN806" s="366"/>
      <c r="AO806" s="367"/>
      <c r="AP806" s="367"/>
      <c r="AQ806" s="340"/>
      <c r="AR806" s="340"/>
      <c r="AS806" s="340"/>
      <c r="AT806" s="340"/>
      <c r="AU806" s="340"/>
      <c r="AV806" s="340"/>
      <c r="AW806" s="340"/>
      <c r="AX806" s="340"/>
      <c r="AY806" s="340"/>
      <c r="AZ806" s="340"/>
      <c r="BA806" s="340"/>
      <c r="BB806" s="340"/>
      <c r="BC806" s="340"/>
      <c r="BD806" s="340"/>
      <c r="BE806" s="340"/>
      <c r="BF806" s="368"/>
    </row>
    <row r="807" spans="1:58" ht="14.25" hidden="1" customHeight="1" outlineLevel="1">
      <c r="A807" s="681" t="s">
        <v>2165</v>
      </c>
      <c r="B807" s="374" t="s">
        <v>156</v>
      </c>
      <c r="C807" s="244">
        <v>0.8</v>
      </c>
      <c r="D807" s="617"/>
      <c r="E807" s="364"/>
      <c r="F807" s="364"/>
      <c r="G807" s="364"/>
      <c r="H807" s="364"/>
      <c r="I807" s="467"/>
      <c r="J807" s="505"/>
      <c r="K807" s="676"/>
      <c r="L807" s="364"/>
      <c r="M807" s="364"/>
      <c r="N807" s="366"/>
      <c r="O807" s="366"/>
      <c r="P807" s="452"/>
      <c r="Q807" s="354"/>
      <c r="R807" s="354"/>
      <c r="S807" s="354"/>
      <c r="T807" s="354"/>
      <c r="U807" s="354"/>
      <c r="V807" s="354"/>
      <c r="W807" s="354"/>
      <c r="X807" s="354"/>
      <c r="Y807" s="354"/>
      <c r="Z807" s="354"/>
      <c r="AA807" s="354"/>
      <c r="AB807" s="354"/>
      <c r="AC807" s="354"/>
      <c r="AD807" s="354"/>
      <c r="AE807" s="354"/>
      <c r="AF807" s="354"/>
      <c r="AG807" s="354"/>
      <c r="AH807" s="354"/>
      <c r="AI807" s="354"/>
      <c r="AJ807" s="354"/>
      <c r="AK807" s="354"/>
      <c r="AL807" s="354"/>
      <c r="AM807" s="354"/>
      <c r="AN807" s="354"/>
      <c r="AO807" s="358"/>
      <c r="AP807" s="358"/>
      <c r="AQ807" s="342"/>
      <c r="AR807" s="342"/>
      <c r="AS807" s="342"/>
      <c r="AT807" s="342"/>
      <c r="AU807" s="341"/>
      <c r="AV807" s="341"/>
      <c r="AW807" s="342"/>
      <c r="AX807" s="342"/>
      <c r="AY807" s="342"/>
      <c r="AZ807" s="342"/>
      <c r="BA807" s="342"/>
      <c r="BB807" s="342"/>
      <c r="BC807" s="342"/>
      <c r="BD807" s="342"/>
      <c r="BE807" s="342"/>
    </row>
    <row r="808" spans="1:58" ht="14.25" hidden="1" customHeight="1" outlineLevel="1">
      <c r="A808" s="378" t="s">
        <v>2166</v>
      </c>
      <c r="B808" s="374" t="s">
        <v>156</v>
      </c>
      <c r="C808" s="244">
        <v>0.1</v>
      </c>
      <c r="D808" s="617"/>
      <c r="E808" s="364"/>
      <c r="F808" s="364"/>
      <c r="G808" s="364"/>
      <c r="H808" s="364"/>
      <c r="I808" s="691"/>
      <c r="J808" s="505"/>
      <c r="K808" s="676"/>
      <c r="L808" s="364"/>
      <c r="M808" s="364"/>
      <c r="N808" s="366"/>
      <c r="O808" s="366"/>
      <c r="P808" s="452"/>
      <c r="Q808" s="354"/>
      <c r="R808" s="354"/>
      <c r="S808" s="354"/>
      <c r="T808" s="354"/>
      <c r="U808" s="354"/>
      <c r="V808" s="354"/>
      <c r="W808" s="354"/>
      <c r="X808" s="354"/>
      <c r="Y808" s="354"/>
      <c r="Z808" s="354"/>
      <c r="AA808" s="354"/>
      <c r="AB808" s="354"/>
      <c r="AC808" s="354"/>
      <c r="AD808" s="354"/>
      <c r="AE808" s="354"/>
      <c r="AF808" s="354"/>
      <c r="AG808" s="354"/>
      <c r="AH808" s="354"/>
      <c r="AI808" s="354"/>
      <c r="AJ808" s="354"/>
      <c r="AK808" s="354"/>
      <c r="AL808" s="354"/>
      <c r="AM808" s="354"/>
      <c r="AN808" s="354"/>
      <c r="AO808" s="358"/>
      <c r="AP808" s="358"/>
      <c r="AQ808" s="342"/>
      <c r="AR808" s="342"/>
      <c r="AS808" s="342"/>
      <c r="AT808" s="342"/>
      <c r="AU808" s="341"/>
      <c r="AV808" s="341"/>
      <c r="AW808" s="342"/>
      <c r="AX808" s="342"/>
      <c r="AY808" s="342"/>
      <c r="AZ808" s="342"/>
      <c r="BA808" s="342"/>
      <c r="BB808" s="342"/>
      <c r="BC808" s="342"/>
      <c r="BD808" s="342"/>
      <c r="BE808" s="342"/>
    </row>
    <row r="809" spans="1:58" ht="14.25" hidden="1" customHeight="1" outlineLevel="1">
      <c r="A809" s="378" t="s">
        <v>2198</v>
      </c>
      <c r="B809" s="374" t="s">
        <v>156</v>
      </c>
      <c r="C809" s="244">
        <v>0.05</v>
      </c>
      <c r="D809" s="617"/>
      <c r="E809" s="364"/>
      <c r="F809" s="364"/>
      <c r="G809" s="364"/>
      <c r="H809" s="364"/>
      <c r="I809" s="364"/>
      <c r="J809" s="505"/>
      <c r="K809" s="676"/>
      <c r="L809" s="364"/>
      <c r="M809" s="364"/>
      <c r="N809" s="366"/>
      <c r="O809" s="366"/>
      <c r="P809" s="452"/>
      <c r="Q809" s="354"/>
      <c r="R809" s="354"/>
      <c r="S809" s="354"/>
      <c r="T809" s="354"/>
      <c r="U809" s="354"/>
      <c r="V809" s="354"/>
      <c r="W809" s="354"/>
      <c r="X809" s="354"/>
      <c r="Y809" s="354"/>
      <c r="Z809" s="354"/>
      <c r="AA809" s="354"/>
      <c r="AB809" s="354"/>
      <c r="AC809" s="354"/>
      <c r="AD809" s="354"/>
      <c r="AE809" s="354"/>
      <c r="AF809" s="354"/>
      <c r="AG809" s="354"/>
      <c r="AH809" s="354"/>
      <c r="AI809" s="354"/>
      <c r="AJ809" s="354"/>
      <c r="AK809" s="354"/>
      <c r="AL809" s="354"/>
      <c r="AM809" s="354"/>
      <c r="AN809" s="354"/>
      <c r="AO809" s="358"/>
      <c r="AP809" s="358"/>
      <c r="AQ809" s="342"/>
      <c r="AR809" s="342"/>
      <c r="AS809" s="342"/>
      <c r="AT809" s="342"/>
      <c r="AU809" s="341"/>
      <c r="AV809" s="341"/>
      <c r="AW809" s="342"/>
      <c r="AX809" s="342"/>
      <c r="AY809" s="342"/>
      <c r="AZ809" s="342"/>
      <c r="BA809" s="342"/>
      <c r="BB809" s="342"/>
      <c r="BC809" s="342"/>
      <c r="BD809" s="342"/>
      <c r="BE809" s="342"/>
    </row>
    <row r="810" spans="1:58" ht="14.25" hidden="1" customHeight="1" outlineLevel="1">
      <c r="A810" s="378" t="s">
        <v>2167</v>
      </c>
      <c r="B810" s="374" t="s">
        <v>156</v>
      </c>
      <c r="C810" s="654">
        <v>0.2</v>
      </c>
      <c r="D810" s="617"/>
      <c r="E810" s="364"/>
      <c r="F810" s="364"/>
      <c r="G810" s="364"/>
      <c r="H810" s="364"/>
      <c r="I810" s="691"/>
      <c r="J810" s="505"/>
      <c r="K810" s="676"/>
      <c r="L810" s="364"/>
      <c r="M810" s="364"/>
      <c r="N810" s="366"/>
      <c r="O810" s="366"/>
      <c r="P810" s="452"/>
      <c r="Q810" s="354"/>
      <c r="R810" s="354"/>
      <c r="S810" s="354"/>
      <c r="T810" s="354"/>
      <c r="U810" s="354"/>
      <c r="V810" s="354"/>
      <c r="W810" s="354"/>
      <c r="X810" s="354"/>
      <c r="Y810" s="354"/>
      <c r="Z810" s="354"/>
      <c r="AA810" s="354"/>
      <c r="AB810" s="354"/>
      <c r="AC810" s="354"/>
      <c r="AD810" s="354"/>
      <c r="AE810" s="354"/>
      <c r="AF810" s="354"/>
      <c r="AG810" s="354"/>
      <c r="AH810" s="354"/>
      <c r="AI810" s="354"/>
      <c r="AJ810" s="354"/>
      <c r="AK810" s="354"/>
      <c r="AL810" s="354"/>
      <c r="AM810" s="354"/>
      <c r="AN810" s="354"/>
      <c r="AO810" s="358"/>
      <c r="AP810" s="358"/>
      <c r="AQ810" s="342"/>
      <c r="AR810" s="342"/>
      <c r="AS810" s="342"/>
      <c r="AT810" s="342"/>
      <c r="AU810" s="341"/>
      <c r="AV810" s="341"/>
      <c r="AW810" s="342"/>
      <c r="AX810" s="342"/>
      <c r="AY810" s="342"/>
      <c r="AZ810" s="342"/>
      <c r="BA810" s="342"/>
      <c r="BB810" s="342"/>
      <c r="BC810" s="342"/>
      <c r="BD810" s="342"/>
      <c r="BE810" s="342"/>
    </row>
    <row r="811" spans="1:58" ht="14.25" hidden="1" customHeight="1" outlineLevel="1">
      <c r="A811" s="378" t="s">
        <v>2168</v>
      </c>
      <c r="B811" s="374" t="s">
        <v>156</v>
      </c>
      <c r="C811" s="244">
        <v>0.8</v>
      </c>
      <c r="D811" s="617"/>
      <c r="E811" s="364"/>
      <c r="F811" s="364"/>
      <c r="G811" s="364"/>
      <c r="H811" s="364"/>
      <c r="I811" s="691"/>
      <c r="J811" s="505"/>
      <c r="K811" s="676"/>
      <c r="L811" s="364"/>
      <c r="M811" s="364"/>
      <c r="N811" s="366"/>
      <c r="O811" s="366"/>
      <c r="P811" s="452"/>
      <c r="Q811" s="354"/>
      <c r="R811" s="354"/>
      <c r="S811" s="354"/>
      <c r="T811" s="354"/>
      <c r="U811" s="354"/>
      <c r="V811" s="354"/>
      <c r="W811" s="354"/>
      <c r="X811" s="354"/>
      <c r="Y811" s="354"/>
      <c r="Z811" s="354"/>
      <c r="AA811" s="354"/>
      <c r="AB811" s="354"/>
      <c r="AC811" s="354"/>
      <c r="AD811" s="354"/>
      <c r="AE811" s="354"/>
      <c r="AF811" s="354"/>
      <c r="AG811" s="354"/>
      <c r="AH811" s="354"/>
      <c r="AI811" s="354"/>
      <c r="AJ811" s="354"/>
      <c r="AK811" s="354"/>
      <c r="AL811" s="354"/>
      <c r="AM811" s="354"/>
      <c r="AN811" s="354"/>
      <c r="AO811" s="358"/>
      <c r="AP811" s="358"/>
      <c r="AQ811" s="342"/>
      <c r="AR811" s="342"/>
      <c r="AS811" s="342"/>
      <c r="AT811" s="342"/>
      <c r="AU811" s="341"/>
      <c r="AV811" s="341"/>
      <c r="AW811" s="342"/>
      <c r="AX811" s="342"/>
      <c r="AY811" s="342"/>
      <c r="AZ811" s="342"/>
      <c r="BA811" s="342"/>
      <c r="BB811" s="342"/>
      <c r="BC811" s="342"/>
      <c r="BD811" s="342"/>
      <c r="BE811" s="342"/>
    </row>
    <row r="812" spans="1:58" s="370" customFormat="1" ht="14.25" hidden="1" customHeight="1" outlineLevel="1">
      <c r="A812" s="617"/>
      <c r="B812" s="442"/>
      <c r="C812" s="686"/>
      <c r="D812" s="617"/>
      <c r="E812" s="364"/>
      <c r="F812" s="364"/>
      <c r="G812" s="364"/>
      <c r="H812" s="364"/>
      <c r="I812" s="691"/>
      <c r="J812" s="505"/>
      <c r="K812" s="676"/>
      <c r="L812" s="364"/>
      <c r="M812" s="364"/>
      <c r="N812" s="366"/>
      <c r="O812" s="366"/>
      <c r="P812" s="366"/>
      <c r="Q812" s="424"/>
      <c r="R812" s="424"/>
      <c r="S812" s="424"/>
      <c r="T812" s="424"/>
      <c r="U812" s="424"/>
      <c r="V812" s="424"/>
      <c r="W812" s="424"/>
      <c r="X812" s="424"/>
      <c r="Y812" s="424"/>
      <c r="Z812" s="424"/>
      <c r="AA812" s="424"/>
      <c r="AB812" s="424"/>
      <c r="AC812" s="424"/>
      <c r="AD812" s="424"/>
      <c r="AE812" s="424"/>
      <c r="AF812" s="424"/>
      <c r="AG812" s="424"/>
      <c r="AH812" s="424"/>
      <c r="AI812" s="424"/>
      <c r="AJ812" s="424"/>
      <c r="AK812" s="424"/>
      <c r="AL812" s="424"/>
      <c r="AM812" s="424"/>
      <c r="AN812" s="424"/>
      <c r="AO812" s="425"/>
      <c r="AP812" s="425"/>
      <c r="AQ812" s="426"/>
      <c r="AR812" s="426"/>
      <c r="AS812" s="426"/>
      <c r="AT812" s="426"/>
      <c r="AU812" s="340"/>
      <c r="AV812" s="340"/>
      <c r="AW812" s="426"/>
      <c r="AX812" s="426"/>
      <c r="AY812" s="426"/>
      <c r="AZ812" s="426"/>
      <c r="BA812" s="426"/>
      <c r="BB812" s="426"/>
      <c r="BC812" s="426"/>
      <c r="BD812" s="426"/>
      <c r="BE812" s="426"/>
      <c r="BF812" s="428"/>
    </row>
    <row r="813" spans="1:58" s="370" customFormat="1" ht="14.25" hidden="1" customHeight="1" outlineLevel="1">
      <c r="A813" s="3118" t="s">
        <v>2199</v>
      </c>
      <c r="B813" s="3118"/>
      <c r="C813" s="3118"/>
      <c r="D813" s="617"/>
      <c r="E813" s="364"/>
      <c r="F813" s="364"/>
      <c r="G813" s="364"/>
      <c r="H813" s="364"/>
      <c r="I813" s="691"/>
      <c r="J813" s="505"/>
      <c r="K813" s="676"/>
      <c r="L813" s="364"/>
      <c r="M813" s="364"/>
      <c r="N813" s="366"/>
      <c r="O813" s="366"/>
      <c r="P813" s="366"/>
      <c r="Q813" s="424"/>
      <c r="R813" s="424"/>
      <c r="S813" s="424"/>
      <c r="T813" s="424"/>
      <c r="U813" s="424"/>
      <c r="V813" s="424"/>
      <c r="W813" s="424"/>
      <c r="X813" s="424"/>
      <c r="Y813" s="424"/>
      <c r="Z813" s="424"/>
      <c r="AA813" s="424"/>
      <c r="AB813" s="424"/>
      <c r="AC813" s="424"/>
      <c r="AD813" s="424"/>
      <c r="AE813" s="424"/>
      <c r="AF813" s="424"/>
      <c r="AG813" s="424"/>
      <c r="AH813" s="424"/>
      <c r="AI813" s="424"/>
      <c r="AJ813" s="424"/>
      <c r="AK813" s="424"/>
      <c r="AL813" s="424"/>
      <c r="AM813" s="424"/>
      <c r="AN813" s="424"/>
      <c r="AO813" s="425"/>
      <c r="AP813" s="425"/>
      <c r="AQ813" s="426"/>
      <c r="AR813" s="426"/>
      <c r="AS813" s="426"/>
      <c r="AT813" s="426"/>
      <c r="AU813" s="340"/>
      <c r="AV813" s="340"/>
      <c r="AW813" s="426"/>
      <c r="AX813" s="426"/>
      <c r="AY813" s="426"/>
      <c r="AZ813" s="426"/>
      <c r="BA813" s="426"/>
      <c r="BB813" s="426"/>
      <c r="BC813" s="426"/>
      <c r="BD813" s="426"/>
      <c r="BE813" s="426"/>
      <c r="BF813" s="428"/>
    </row>
    <row r="814" spans="1:58" s="370" customFormat="1" ht="14.25" hidden="1" customHeight="1" outlineLevel="1">
      <c r="A814" s="536" t="s">
        <v>152</v>
      </c>
      <c r="B814" s="374" t="s">
        <v>1793</v>
      </c>
      <c r="C814" s="244">
        <v>3</v>
      </c>
      <c r="D814" s="617"/>
      <c r="E814" s="364"/>
      <c r="F814" s="364"/>
      <c r="G814" s="364"/>
      <c r="H814" s="364"/>
      <c r="I814" s="691"/>
      <c r="J814" s="505"/>
      <c r="K814" s="676"/>
      <c r="L814" s="364"/>
      <c r="M814" s="364"/>
      <c r="N814" s="366"/>
      <c r="O814" s="366"/>
      <c r="P814" s="366"/>
      <c r="Q814" s="424"/>
      <c r="R814" s="424"/>
      <c r="S814" s="424"/>
      <c r="T814" s="424"/>
      <c r="U814" s="424"/>
      <c r="V814" s="424"/>
      <c r="W814" s="424"/>
      <c r="X814" s="424"/>
      <c r="Y814" s="424"/>
      <c r="Z814" s="424"/>
      <c r="AA814" s="424"/>
      <c r="AB814" s="424"/>
      <c r="AC814" s="424"/>
      <c r="AD814" s="424"/>
      <c r="AE814" s="424"/>
      <c r="AF814" s="424"/>
      <c r="AG814" s="424"/>
      <c r="AH814" s="424"/>
      <c r="AI814" s="424"/>
      <c r="AJ814" s="424"/>
      <c r="AK814" s="424"/>
      <c r="AL814" s="424"/>
      <c r="AM814" s="424"/>
      <c r="AN814" s="424"/>
      <c r="AO814" s="425"/>
      <c r="AP814" s="425"/>
      <c r="AQ814" s="426"/>
      <c r="AR814" s="426"/>
      <c r="AS814" s="426"/>
      <c r="AT814" s="426"/>
      <c r="AU814" s="340"/>
      <c r="AV814" s="340"/>
      <c r="AW814" s="426"/>
      <c r="AX814" s="426"/>
      <c r="AY814" s="426"/>
      <c r="AZ814" s="426"/>
      <c r="BA814" s="426"/>
      <c r="BB814" s="426"/>
      <c r="BC814" s="426"/>
      <c r="BD814" s="426"/>
      <c r="BE814" s="426"/>
      <c r="BF814" s="428"/>
    </row>
    <row r="815" spans="1:58" s="370" customFormat="1" ht="14.25" hidden="1" customHeight="1" outlineLevel="1">
      <c r="A815" s="536" t="s">
        <v>152</v>
      </c>
      <c r="B815" s="374" t="s">
        <v>1793</v>
      </c>
      <c r="C815" s="244">
        <v>0</v>
      </c>
      <c r="D815" s="617"/>
      <c r="E815" s="364"/>
      <c r="F815" s="364"/>
      <c r="G815" s="364"/>
      <c r="H815" s="364"/>
      <c r="I815" s="691"/>
      <c r="J815" s="505"/>
      <c r="K815" s="676"/>
      <c r="L815" s="364"/>
      <c r="M815" s="364"/>
      <c r="N815" s="366"/>
      <c r="O815" s="366"/>
      <c r="P815" s="366"/>
      <c r="Q815" s="424"/>
      <c r="R815" s="424"/>
      <c r="S815" s="424"/>
      <c r="T815" s="424"/>
      <c r="U815" s="424"/>
      <c r="V815" s="424"/>
      <c r="W815" s="424"/>
      <c r="X815" s="424"/>
      <c r="Y815" s="424"/>
      <c r="Z815" s="424"/>
      <c r="AA815" s="424"/>
      <c r="AB815" s="424"/>
      <c r="AC815" s="424"/>
      <c r="AD815" s="424"/>
      <c r="AE815" s="424"/>
      <c r="AF815" s="424"/>
      <c r="AG815" s="424"/>
      <c r="AH815" s="424"/>
      <c r="AI815" s="424"/>
      <c r="AJ815" s="424"/>
      <c r="AK815" s="424"/>
      <c r="AL815" s="424"/>
      <c r="AM815" s="424"/>
      <c r="AN815" s="424"/>
      <c r="AO815" s="425"/>
      <c r="AP815" s="425"/>
      <c r="AQ815" s="426"/>
      <c r="AR815" s="426"/>
      <c r="AS815" s="426"/>
      <c r="AT815" s="426"/>
      <c r="AU815" s="340"/>
      <c r="AV815" s="340"/>
      <c r="AW815" s="426"/>
      <c r="AX815" s="426"/>
      <c r="AY815" s="426"/>
      <c r="AZ815" s="426"/>
      <c r="BA815" s="426"/>
      <c r="BB815" s="426"/>
      <c r="BC815" s="426"/>
      <c r="BD815" s="426"/>
      <c r="BE815" s="426"/>
      <c r="BF815" s="428"/>
    </row>
    <row r="816" spans="1:58" s="370" customFormat="1" ht="14.25" hidden="1" customHeight="1" outlineLevel="1">
      <c r="A816" s="536" t="s">
        <v>152</v>
      </c>
      <c r="B816" s="374" t="s">
        <v>1793</v>
      </c>
      <c r="C816" s="244">
        <v>0</v>
      </c>
      <c r="D816" s="617"/>
      <c r="E816" s="364"/>
      <c r="F816" s="364"/>
      <c r="G816" s="364"/>
      <c r="H816" s="364"/>
      <c r="I816" s="691"/>
      <c r="J816" s="505"/>
      <c r="K816" s="676"/>
      <c r="L816" s="364"/>
      <c r="M816" s="364"/>
      <c r="N816" s="366"/>
      <c r="O816" s="366"/>
      <c r="P816" s="366"/>
      <c r="Q816" s="424"/>
      <c r="R816" s="424"/>
      <c r="S816" s="424"/>
      <c r="T816" s="424"/>
      <c r="U816" s="424"/>
      <c r="V816" s="424"/>
      <c r="W816" s="424"/>
      <c r="X816" s="424"/>
      <c r="Y816" s="424"/>
      <c r="Z816" s="424"/>
      <c r="AA816" s="424"/>
      <c r="AB816" s="424"/>
      <c r="AC816" s="424"/>
      <c r="AD816" s="424"/>
      <c r="AE816" s="424"/>
      <c r="AF816" s="424"/>
      <c r="AG816" s="424"/>
      <c r="AH816" s="424"/>
      <c r="AI816" s="424"/>
      <c r="AJ816" s="424"/>
      <c r="AK816" s="424"/>
      <c r="AL816" s="424"/>
      <c r="AM816" s="424"/>
      <c r="AN816" s="424"/>
      <c r="AO816" s="425"/>
      <c r="AP816" s="425"/>
      <c r="AQ816" s="426"/>
      <c r="AR816" s="426"/>
      <c r="AS816" s="426"/>
      <c r="AT816" s="426"/>
      <c r="AU816" s="340"/>
      <c r="AV816" s="340"/>
      <c r="AW816" s="426"/>
      <c r="AX816" s="426"/>
      <c r="AY816" s="426"/>
      <c r="AZ816" s="426"/>
      <c r="BA816" s="426"/>
      <c r="BB816" s="426"/>
      <c r="BC816" s="426"/>
      <c r="BD816" s="426"/>
      <c r="BE816" s="426"/>
      <c r="BF816" s="428"/>
    </row>
    <row r="817" spans="1:58" s="370" customFormat="1" ht="14.25" hidden="1" customHeight="1" outlineLevel="1">
      <c r="A817" s="536" t="s">
        <v>152</v>
      </c>
      <c r="B817" s="374" t="s">
        <v>1793</v>
      </c>
      <c r="C817" s="244">
        <v>0</v>
      </c>
      <c r="D817" s="617"/>
      <c r="E817" s="364"/>
      <c r="F817" s="364"/>
      <c r="G817" s="364"/>
      <c r="H817" s="364"/>
      <c r="I817" s="691"/>
      <c r="J817" s="505"/>
      <c r="K817" s="676"/>
      <c r="L817" s="364"/>
      <c r="M817" s="364"/>
      <c r="N817" s="366"/>
      <c r="O817" s="366"/>
      <c r="P817" s="366"/>
      <c r="Q817" s="424"/>
      <c r="R817" s="424"/>
      <c r="S817" s="424"/>
      <c r="T817" s="424"/>
      <c r="U817" s="424"/>
      <c r="V817" s="424"/>
      <c r="W817" s="424"/>
      <c r="X817" s="424"/>
      <c r="Y817" s="424"/>
      <c r="Z817" s="424"/>
      <c r="AA817" s="424"/>
      <c r="AB817" s="424"/>
      <c r="AC817" s="424"/>
      <c r="AD817" s="424"/>
      <c r="AE817" s="424"/>
      <c r="AF817" s="424"/>
      <c r="AG817" s="424"/>
      <c r="AH817" s="424"/>
      <c r="AI817" s="424"/>
      <c r="AJ817" s="424"/>
      <c r="AK817" s="424"/>
      <c r="AL817" s="424"/>
      <c r="AM817" s="424"/>
      <c r="AN817" s="424"/>
      <c r="AO817" s="425"/>
      <c r="AP817" s="425"/>
      <c r="AQ817" s="426"/>
      <c r="AR817" s="426"/>
      <c r="AS817" s="426"/>
      <c r="AT817" s="426"/>
      <c r="AU817" s="340"/>
      <c r="AV817" s="340"/>
      <c r="AW817" s="426"/>
      <c r="AX817" s="426"/>
      <c r="AY817" s="426"/>
      <c r="AZ817" s="426"/>
      <c r="BA817" s="426"/>
      <c r="BB817" s="426"/>
      <c r="BC817" s="426"/>
      <c r="BD817" s="426"/>
      <c r="BE817" s="426"/>
      <c r="BF817" s="428"/>
    </row>
    <row r="818" spans="1:58" s="370" customFormat="1" ht="14.25" hidden="1" customHeight="1" outlineLevel="1">
      <c r="A818" s="536" t="s">
        <v>152</v>
      </c>
      <c r="B818" s="374" t="s">
        <v>1793</v>
      </c>
      <c r="C818" s="244">
        <v>0</v>
      </c>
      <c r="D818" s="617"/>
      <c r="E818" s="364"/>
      <c r="F818" s="364"/>
      <c r="G818" s="364"/>
      <c r="H818" s="364"/>
      <c r="I818" s="691"/>
      <c r="J818" s="505"/>
      <c r="K818" s="676"/>
      <c r="L818" s="364"/>
      <c r="M818" s="364"/>
      <c r="N818" s="366"/>
      <c r="O818" s="366"/>
      <c r="P818" s="366"/>
      <c r="Q818" s="424"/>
      <c r="R818" s="424"/>
      <c r="S818" s="424"/>
      <c r="T818" s="424"/>
      <c r="U818" s="424"/>
      <c r="V818" s="424"/>
      <c r="W818" s="424"/>
      <c r="X818" s="424"/>
      <c r="Y818" s="424"/>
      <c r="Z818" s="424"/>
      <c r="AA818" s="424"/>
      <c r="AB818" s="424"/>
      <c r="AC818" s="424"/>
      <c r="AD818" s="424"/>
      <c r="AE818" s="424"/>
      <c r="AF818" s="424"/>
      <c r="AG818" s="424"/>
      <c r="AH818" s="424"/>
      <c r="AI818" s="424"/>
      <c r="AJ818" s="424"/>
      <c r="AK818" s="424"/>
      <c r="AL818" s="424"/>
      <c r="AM818" s="424"/>
      <c r="AN818" s="424"/>
      <c r="AO818" s="425"/>
      <c r="AP818" s="425"/>
      <c r="AQ818" s="426"/>
      <c r="AR818" s="426"/>
      <c r="AS818" s="426"/>
      <c r="AT818" s="426"/>
      <c r="AU818" s="340"/>
      <c r="AV818" s="340"/>
      <c r="AW818" s="426"/>
      <c r="AX818" s="426"/>
      <c r="AY818" s="426"/>
      <c r="AZ818" s="426"/>
      <c r="BA818" s="426"/>
      <c r="BB818" s="426"/>
      <c r="BC818" s="426"/>
      <c r="BD818" s="426"/>
      <c r="BE818" s="426"/>
      <c r="BF818" s="428"/>
    </row>
    <row r="819" spans="1:58" s="370" customFormat="1" ht="14.25" hidden="1" customHeight="1" outlineLevel="1">
      <c r="A819" s="617"/>
      <c r="B819" s="442"/>
      <c r="C819" s="686"/>
      <c r="D819" s="617"/>
      <c r="E819" s="364"/>
      <c r="F819" s="364"/>
      <c r="G819" s="364"/>
      <c r="H819" s="364"/>
      <c r="I819" s="691"/>
      <c r="J819" s="505"/>
      <c r="K819" s="676"/>
      <c r="L819" s="364"/>
      <c r="M819" s="364"/>
      <c r="N819" s="366"/>
      <c r="O819" s="366"/>
      <c r="P819" s="366"/>
      <c r="Q819" s="424"/>
      <c r="R819" s="424"/>
      <c r="S819" s="424"/>
      <c r="T819" s="424"/>
      <c r="U819" s="424"/>
      <c r="V819" s="424"/>
      <c r="W819" s="424"/>
      <c r="X819" s="424"/>
      <c r="Y819" s="424"/>
      <c r="Z819" s="424"/>
      <c r="AA819" s="424"/>
      <c r="AB819" s="424"/>
      <c r="AC819" s="424"/>
      <c r="AD819" s="424"/>
      <c r="AE819" s="424"/>
      <c r="AF819" s="424"/>
      <c r="AG819" s="424"/>
      <c r="AH819" s="424"/>
      <c r="AI819" s="424"/>
      <c r="AJ819" s="424"/>
      <c r="AK819" s="424"/>
      <c r="AL819" s="424"/>
      <c r="AM819" s="424"/>
      <c r="AN819" s="424"/>
      <c r="AO819" s="425"/>
      <c r="AP819" s="425"/>
      <c r="AQ819" s="426"/>
      <c r="AR819" s="426"/>
      <c r="AS819" s="426"/>
      <c r="AT819" s="426"/>
      <c r="AU819" s="340"/>
      <c r="AV819" s="340"/>
      <c r="AW819" s="426"/>
      <c r="AX819" s="426"/>
      <c r="AY819" s="426"/>
      <c r="AZ819" s="426"/>
      <c r="BA819" s="426"/>
      <c r="BB819" s="426"/>
      <c r="BC819" s="426"/>
      <c r="BD819" s="426"/>
      <c r="BE819" s="426"/>
      <c r="BF819" s="428"/>
    </row>
    <row r="820" spans="1:58" s="370" customFormat="1" ht="14.25" hidden="1" customHeight="1" outlineLevel="1">
      <c r="A820" s="643" t="s">
        <v>2200</v>
      </c>
      <c r="B820" s="374" t="s">
        <v>1796</v>
      </c>
      <c r="C820" s="245">
        <v>12000</v>
      </c>
      <c r="D820" s="617"/>
      <c r="E820" s="364"/>
      <c r="F820" s="364"/>
      <c r="G820" s="364"/>
      <c r="H820" s="364"/>
      <c r="I820" s="691"/>
      <c r="J820" s="505"/>
      <c r="K820" s="676"/>
      <c r="L820" s="364"/>
      <c r="M820" s="364"/>
      <c r="N820" s="366"/>
      <c r="O820" s="366"/>
      <c r="P820" s="366"/>
      <c r="Q820" s="424"/>
      <c r="R820" s="424"/>
      <c r="S820" s="424"/>
      <c r="T820" s="424"/>
      <c r="U820" s="424"/>
      <c r="V820" s="424"/>
      <c r="W820" s="424"/>
      <c r="X820" s="424"/>
      <c r="Y820" s="424"/>
      <c r="Z820" s="424"/>
      <c r="AA820" s="424"/>
      <c r="AB820" s="424"/>
      <c r="AC820" s="424"/>
      <c r="AD820" s="424"/>
      <c r="AE820" s="424"/>
      <c r="AF820" s="424"/>
      <c r="AG820" s="424"/>
      <c r="AH820" s="424"/>
      <c r="AI820" s="424"/>
      <c r="AJ820" s="424"/>
      <c r="AK820" s="424"/>
      <c r="AL820" s="424"/>
      <c r="AM820" s="424"/>
      <c r="AN820" s="424"/>
      <c r="AO820" s="425"/>
      <c r="AP820" s="425"/>
      <c r="AQ820" s="426"/>
      <c r="AR820" s="426"/>
      <c r="AS820" s="426"/>
      <c r="AT820" s="426"/>
      <c r="AU820" s="340"/>
      <c r="AV820" s="340"/>
      <c r="AW820" s="426"/>
      <c r="AX820" s="426"/>
      <c r="AY820" s="426"/>
      <c r="AZ820" s="426"/>
      <c r="BA820" s="426"/>
      <c r="BB820" s="426"/>
      <c r="BC820" s="426"/>
      <c r="BD820" s="426"/>
      <c r="BE820" s="426"/>
      <c r="BF820" s="428"/>
    </row>
    <row r="821" spans="1:58" s="370" customFormat="1" ht="14.25" hidden="1" customHeight="1" outlineLevel="1">
      <c r="A821" s="617"/>
      <c r="B821" s="442"/>
      <c r="C821" s="686"/>
      <c r="D821" s="617"/>
      <c r="E821" s="364"/>
      <c r="F821" s="364"/>
      <c r="G821" s="364"/>
      <c r="H821" s="364"/>
      <c r="I821" s="691"/>
      <c r="J821" s="505"/>
      <c r="K821" s="676"/>
      <c r="L821" s="364"/>
      <c r="M821" s="364"/>
      <c r="N821" s="366"/>
      <c r="O821" s="366"/>
      <c r="P821" s="366"/>
      <c r="Q821" s="424"/>
      <c r="R821" s="424"/>
      <c r="S821" s="424"/>
      <c r="T821" s="424"/>
      <c r="U821" s="424"/>
      <c r="V821" s="424"/>
      <c r="W821" s="424"/>
      <c r="X821" s="424"/>
      <c r="Y821" s="424"/>
      <c r="Z821" s="424"/>
      <c r="AA821" s="424"/>
      <c r="AB821" s="424"/>
      <c r="AC821" s="424"/>
      <c r="AD821" s="424"/>
      <c r="AE821" s="424"/>
      <c r="AF821" s="424"/>
      <c r="AG821" s="424"/>
      <c r="AH821" s="424"/>
      <c r="AI821" s="424"/>
      <c r="AJ821" s="424"/>
      <c r="AK821" s="424"/>
      <c r="AL821" s="424"/>
      <c r="AM821" s="424"/>
      <c r="AN821" s="424"/>
      <c r="AO821" s="425"/>
      <c r="AP821" s="425"/>
      <c r="AQ821" s="426"/>
      <c r="AR821" s="426"/>
      <c r="AS821" s="426"/>
      <c r="AT821" s="426"/>
      <c r="AU821" s="340"/>
      <c r="AV821" s="340"/>
      <c r="AW821" s="426"/>
      <c r="AX821" s="426"/>
      <c r="AY821" s="426"/>
      <c r="AZ821" s="426"/>
      <c r="BA821" s="426"/>
      <c r="BB821" s="426"/>
      <c r="BC821" s="426"/>
      <c r="BD821" s="426"/>
      <c r="BE821" s="426"/>
      <c r="BF821" s="428"/>
    </row>
    <row r="822" spans="1:58" ht="14.25" customHeight="1" collapsed="1">
      <c r="A822" s="3116" t="s">
        <v>2201</v>
      </c>
      <c r="B822" s="3116"/>
      <c r="C822" s="3116"/>
      <c r="D822" s="3116"/>
      <c r="E822" s="3116"/>
      <c r="F822" s="653" t="s">
        <v>1798</v>
      </c>
      <c r="H822" s="646"/>
      <c r="I822" s="646"/>
      <c r="J822" s="646"/>
      <c r="K822" s="646"/>
      <c r="L822" s="646"/>
      <c r="M822" s="616"/>
      <c r="N822" s="616"/>
      <c r="O822" s="616"/>
      <c r="P822" s="575"/>
      <c r="Q822" s="366"/>
      <c r="R822" s="575"/>
      <c r="S822" s="366"/>
      <c r="T822" s="575"/>
      <c r="U822" s="575"/>
      <c r="V822" s="575"/>
      <c r="W822" s="354"/>
      <c r="X822" s="354"/>
      <c r="Y822" s="354"/>
      <c r="Z822" s="354"/>
      <c r="AA822" s="354"/>
      <c r="AB822" s="354"/>
      <c r="AC822" s="354"/>
      <c r="AD822" s="354"/>
      <c r="AE822" s="354"/>
      <c r="AF822" s="354"/>
      <c r="AG822" s="354"/>
      <c r="AH822" s="354"/>
      <c r="AI822" s="354"/>
      <c r="AJ822" s="354"/>
      <c r="AK822" s="354"/>
      <c r="AL822" s="354"/>
      <c r="AM822" s="354"/>
      <c r="AN822" s="354"/>
      <c r="AO822" s="358"/>
      <c r="AP822" s="358"/>
      <c r="AQ822" s="342"/>
      <c r="AR822" s="342"/>
      <c r="AS822" s="342"/>
      <c r="AT822" s="342"/>
      <c r="AU822" s="341"/>
      <c r="AV822" s="664">
        <f>M822</f>
        <v>0</v>
      </c>
      <c r="AW822" s="342"/>
      <c r="AX822" s="342"/>
      <c r="AY822" s="342"/>
      <c r="AZ822" s="342"/>
      <c r="BA822" s="342"/>
      <c r="BB822" s="342"/>
      <c r="BC822" s="342"/>
      <c r="BD822" s="342"/>
      <c r="BE822" s="342"/>
    </row>
    <row r="823" spans="1:58" ht="14.25" customHeight="1">
      <c r="A823" s="502"/>
      <c r="B823" s="355"/>
      <c r="C823" s="502"/>
      <c r="D823" s="502"/>
      <c r="E823" s="502"/>
      <c r="F823" s="502"/>
      <c r="G823" s="502"/>
      <c r="H823" s="355"/>
      <c r="I823" s="472"/>
      <c r="J823" s="505"/>
      <c r="K823" s="620"/>
      <c r="L823" s="460"/>
      <c r="M823" s="505"/>
      <c r="N823" s="452"/>
      <c r="O823" s="452"/>
      <c r="P823" s="452"/>
      <c r="Q823" s="452"/>
      <c r="R823" s="452"/>
      <c r="S823" s="452"/>
      <c r="T823" s="452"/>
      <c r="U823" s="354"/>
      <c r="V823" s="452"/>
      <c r="W823" s="452"/>
      <c r="X823" s="452"/>
      <c r="Y823" s="452"/>
      <c r="Z823" s="452"/>
      <c r="AA823" s="452"/>
      <c r="AB823" s="452"/>
      <c r="AC823" s="452"/>
      <c r="AD823" s="452"/>
      <c r="AE823" s="452"/>
      <c r="AF823" s="452"/>
      <c r="AG823" s="452"/>
      <c r="AH823" s="452"/>
      <c r="AI823" s="452"/>
      <c r="AJ823" s="452"/>
      <c r="AK823" s="452"/>
      <c r="AL823" s="452"/>
      <c r="AM823" s="452"/>
      <c r="AN823" s="452"/>
      <c r="AO823" s="459"/>
      <c r="AP823" s="459"/>
      <c r="AQ823" s="341"/>
      <c r="AR823" s="341"/>
      <c r="AS823" s="341"/>
      <c r="AT823" s="341"/>
      <c r="AU823" s="341"/>
      <c r="AV823" s="341"/>
      <c r="AW823" s="342"/>
      <c r="AX823" s="342"/>
      <c r="AY823" s="342"/>
      <c r="AZ823" s="342"/>
      <c r="BA823" s="342"/>
      <c r="BB823" s="342"/>
      <c r="BC823" s="342"/>
      <c r="BD823" s="342"/>
      <c r="BE823" s="342"/>
    </row>
    <row r="824" spans="1:58" ht="14.25" customHeight="1" outlineLevel="1">
      <c r="A824" s="3117" t="s">
        <v>2202</v>
      </c>
      <c r="B824" s="3117"/>
      <c r="C824" s="3117"/>
      <c r="D824" s="3117"/>
      <c r="E824" s="3117"/>
      <c r="F824" s="3117"/>
      <c r="G824" s="3117"/>
      <c r="H824" s="665"/>
      <c r="I824" s="665"/>
      <c r="J824" s="665"/>
      <c r="K824" s="665"/>
      <c r="L824" s="665"/>
      <c r="M824" s="665"/>
      <c r="N824" s="665"/>
      <c r="O824" s="665"/>
      <c r="P824" s="665"/>
      <c r="Q824" s="665"/>
      <c r="R824" s="665"/>
      <c r="S824" s="665"/>
      <c r="T824" s="665"/>
      <c r="U824" s="665"/>
      <c r="V824" s="693"/>
      <c r="W824" s="693"/>
      <c r="X824" s="693"/>
      <c r="Y824" s="693"/>
      <c r="Z824" s="693"/>
      <c r="AA824" s="693"/>
      <c r="AB824" s="693"/>
      <c r="AC824" s="693"/>
      <c r="AD824" s="693"/>
      <c r="AE824" s="693"/>
      <c r="AF824" s="693"/>
      <c r="AG824" s="694"/>
      <c r="AH824" s="694"/>
      <c r="AI824" s="694"/>
      <c r="AJ824" s="694"/>
      <c r="AK824" s="452"/>
      <c r="AL824" s="452"/>
      <c r="AM824" s="452"/>
      <c r="AN824" s="452"/>
      <c r="AO824" s="459"/>
      <c r="AP824" s="459"/>
      <c r="AQ824" s="341"/>
      <c r="AR824" s="341"/>
      <c r="AS824" s="341"/>
      <c r="AT824" s="341"/>
      <c r="AU824" s="341"/>
      <c r="AV824" s="341"/>
      <c r="AW824" s="342"/>
      <c r="AX824" s="342"/>
      <c r="AY824" s="342"/>
      <c r="AZ824" s="342"/>
      <c r="BA824" s="342"/>
      <c r="BB824" s="342"/>
      <c r="BC824" s="342"/>
      <c r="BD824" s="342"/>
      <c r="BE824" s="342"/>
    </row>
    <row r="825" spans="1:58" ht="14.25" customHeight="1" outlineLevel="1">
      <c r="A825" s="3117"/>
      <c r="B825" s="3117"/>
      <c r="C825" s="3117"/>
      <c r="D825" s="3117"/>
      <c r="E825" s="3117"/>
      <c r="F825" s="3117"/>
      <c r="G825" s="3117"/>
      <c r="H825" s="665"/>
      <c r="I825" s="665"/>
      <c r="J825" s="665"/>
      <c r="K825" s="665"/>
      <c r="L825" s="665"/>
      <c r="M825" s="665"/>
      <c r="N825" s="665"/>
      <c r="O825" s="665"/>
      <c r="P825" s="665"/>
      <c r="Q825" s="665"/>
      <c r="R825" s="665"/>
      <c r="S825" s="665"/>
      <c r="T825" s="665"/>
      <c r="U825" s="665"/>
      <c r="V825" s="693"/>
      <c r="W825" s="693"/>
      <c r="X825" s="693"/>
      <c r="Y825" s="693"/>
      <c r="Z825" s="693"/>
      <c r="AA825" s="693"/>
      <c r="AB825" s="693"/>
      <c r="AC825" s="693"/>
      <c r="AD825" s="693"/>
      <c r="AE825" s="693"/>
      <c r="AF825" s="693"/>
      <c r="AG825" s="694"/>
      <c r="AH825" s="694"/>
      <c r="AI825" s="694"/>
      <c r="AJ825" s="694"/>
      <c r="AK825" s="452"/>
      <c r="AL825" s="452"/>
      <c r="AM825" s="452"/>
      <c r="AN825" s="452"/>
      <c r="AO825" s="459"/>
      <c r="AP825" s="459"/>
      <c r="AQ825" s="341"/>
      <c r="AR825" s="341"/>
      <c r="AS825" s="341"/>
      <c r="AT825" s="341"/>
      <c r="AU825" s="341"/>
      <c r="AV825" s="341"/>
      <c r="AW825" s="342"/>
      <c r="AX825" s="342"/>
      <c r="AY825" s="342"/>
      <c r="AZ825" s="342"/>
      <c r="BA825" s="342"/>
      <c r="BB825" s="342"/>
      <c r="BC825" s="342"/>
      <c r="BD825" s="342"/>
      <c r="BE825" s="342"/>
    </row>
    <row r="826" spans="1:58" ht="14.25" customHeight="1" outlineLevel="1">
      <c r="A826" s="3095" t="s">
        <v>2087</v>
      </c>
      <c r="B826" s="3095"/>
      <c r="C826" s="3095"/>
      <c r="D826" s="3095"/>
      <c r="E826" s="488">
        <v>1.1000000000000001</v>
      </c>
      <c r="F826" s="695"/>
      <c r="G826" s="695"/>
      <c r="H826" s="695"/>
      <c r="I826" s="695"/>
      <c r="J826" s="695"/>
      <c r="K826" s="695"/>
      <c r="L826" s="695"/>
      <c r="M826" s="695"/>
      <c r="N826" s="695"/>
      <c r="O826" s="695"/>
      <c r="P826" s="695"/>
      <c r="Q826" s="695"/>
      <c r="R826" s="695"/>
      <c r="S826" s="695"/>
      <c r="T826" s="695"/>
      <c r="U826" s="695"/>
      <c r="V826" s="696"/>
      <c r="W826" s="696"/>
      <c r="X826" s="696"/>
      <c r="Y826" s="697"/>
      <c r="Z826" s="697"/>
      <c r="AA826" s="697"/>
      <c r="AB826" s="697"/>
      <c r="AC826" s="697"/>
      <c r="AD826" s="698"/>
      <c r="AE826" s="698"/>
      <c r="AF826" s="698"/>
      <c r="AG826" s="669"/>
      <c r="AH826" s="669"/>
      <c r="AI826" s="669"/>
      <c r="AJ826" s="669"/>
      <c r="AK826" s="366"/>
      <c r="AL826" s="366"/>
      <c r="AM826" s="366"/>
      <c r="AN826" s="366"/>
      <c r="AO826" s="367"/>
      <c r="AP826" s="367"/>
      <c r="AQ826" s="340"/>
      <c r="AR826" s="340"/>
      <c r="AS826" s="340"/>
      <c r="AT826" s="340"/>
      <c r="AU826" s="340"/>
      <c r="AV826" s="340"/>
      <c r="AW826" s="426"/>
      <c r="AX826" s="426"/>
      <c r="AY826" s="426"/>
      <c r="AZ826" s="426"/>
      <c r="BA826" s="426"/>
      <c r="BB826" s="426"/>
      <c r="BC826" s="426"/>
      <c r="BD826" s="426"/>
      <c r="BE826" s="426"/>
    </row>
    <row r="827" spans="1:58" ht="14.25" customHeight="1" outlineLevel="1">
      <c r="A827" s="3095" t="s">
        <v>2088</v>
      </c>
      <c r="B827" s="3095"/>
      <c r="C827" s="3095"/>
      <c r="D827" s="3095"/>
      <c r="E827" s="488">
        <v>1.2</v>
      </c>
      <c r="F827" s="695"/>
      <c r="G827" s="695"/>
      <c r="H827" s="695"/>
      <c r="I827" s="695"/>
      <c r="J827" s="695"/>
      <c r="K827" s="695"/>
      <c r="L827" s="695"/>
      <c r="M827" s="695"/>
      <c r="N827" s="695"/>
      <c r="O827" s="695"/>
      <c r="P827" s="695"/>
      <c r="Q827" s="695"/>
      <c r="R827" s="695"/>
      <c r="S827" s="695"/>
      <c r="T827" s="695"/>
      <c r="U827" s="695"/>
      <c r="V827" s="696"/>
      <c r="W827" s="696"/>
      <c r="X827" s="696"/>
      <c r="Y827" s="697"/>
      <c r="Z827" s="697"/>
      <c r="AA827" s="697"/>
      <c r="AB827" s="697"/>
      <c r="AC827" s="697"/>
      <c r="AD827" s="698"/>
      <c r="AE827" s="698"/>
      <c r="AF827" s="698"/>
      <c r="AG827" s="669"/>
      <c r="AH827" s="669"/>
      <c r="AI827" s="669"/>
      <c r="AJ827" s="669"/>
      <c r="AK827" s="366"/>
      <c r="AL827" s="366"/>
      <c r="AM827" s="366"/>
      <c r="AN827" s="366"/>
      <c r="AO827" s="367"/>
      <c r="AP827" s="367"/>
      <c r="AQ827" s="340"/>
      <c r="AR827" s="340"/>
      <c r="AS827" s="340"/>
      <c r="AT827" s="340"/>
      <c r="AU827" s="340"/>
      <c r="AV827" s="340"/>
      <c r="AW827" s="426"/>
      <c r="AX827" s="426"/>
      <c r="AY827" s="426"/>
      <c r="AZ827" s="426"/>
      <c r="BA827" s="426"/>
      <c r="BB827" s="426"/>
      <c r="BC827" s="426"/>
      <c r="BD827" s="426"/>
      <c r="BE827" s="426"/>
    </row>
    <row r="828" spans="1:58" ht="14.25" customHeight="1" outlineLevel="1">
      <c r="D828" s="366"/>
      <c r="F828" s="695"/>
      <c r="G828" s="695"/>
      <c r="H828" s="695"/>
      <c r="I828" s="695"/>
      <c r="J828" s="695"/>
      <c r="K828" s="695"/>
      <c r="L828" s="695"/>
      <c r="M828" s="695"/>
      <c r="N828" s="695"/>
      <c r="O828" s="695"/>
      <c r="P828" s="695"/>
      <c r="Q828" s="695"/>
      <c r="R828" s="695"/>
      <c r="S828" s="695"/>
      <c r="T828" s="695"/>
      <c r="U828" s="695"/>
      <c r="V828" s="696"/>
      <c r="W828" s="696"/>
      <c r="X828" s="696"/>
      <c r="Y828" s="697"/>
      <c r="Z828" s="697"/>
      <c r="AA828" s="697"/>
      <c r="AB828" s="697"/>
      <c r="AC828" s="697"/>
      <c r="AD828" s="698"/>
      <c r="AE828" s="698"/>
      <c r="AF828" s="698"/>
      <c r="AG828" s="669"/>
      <c r="AH828" s="669"/>
      <c r="AI828" s="669"/>
      <c r="AJ828" s="669"/>
      <c r="AK828" s="366"/>
      <c r="AL828" s="366"/>
      <c r="AM828" s="366"/>
      <c r="AN828" s="366"/>
      <c r="AO828" s="367"/>
      <c r="AP828" s="367"/>
      <c r="AQ828" s="340"/>
      <c r="AR828" s="340"/>
      <c r="AS828" s="340"/>
      <c r="AT828" s="340"/>
      <c r="AU828" s="340"/>
      <c r="AV828" s="340"/>
      <c r="AW828" s="426"/>
      <c r="AX828" s="426"/>
      <c r="AY828" s="426"/>
      <c r="AZ828" s="426"/>
      <c r="BA828" s="426"/>
      <c r="BB828" s="426"/>
      <c r="BC828" s="426"/>
      <c r="BD828" s="426"/>
      <c r="BE828" s="426"/>
    </row>
    <row r="829" spans="1:58" ht="14.25" customHeight="1" outlineLevel="1">
      <c r="A829" s="525" t="s">
        <v>1236</v>
      </c>
      <c r="B829" s="438" t="s">
        <v>120</v>
      </c>
      <c r="C829" s="525" t="s">
        <v>1753</v>
      </c>
      <c r="D829" s="366"/>
      <c r="F829" s="695"/>
      <c r="G829" s="695"/>
      <c r="H829" s="452"/>
      <c r="I829" s="452"/>
      <c r="J829" s="453"/>
      <c r="K829" s="453"/>
      <c r="L829" s="453"/>
      <c r="M829" s="452"/>
      <c r="N829" s="452"/>
      <c r="O829" s="354"/>
      <c r="P829" s="452"/>
      <c r="Q829" s="452"/>
      <c r="R829" s="452"/>
      <c r="S829" s="452"/>
      <c r="T829" s="452"/>
      <c r="U829" s="452"/>
      <c r="V829" s="452"/>
      <c r="W829" s="452"/>
      <c r="X829" s="452"/>
      <c r="Y829" s="452"/>
      <c r="Z829" s="452"/>
      <c r="AA829" s="452"/>
      <c r="AB829" s="452"/>
      <c r="AC829" s="452"/>
      <c r="AD829" s="453"/>
      <c r="AE829" s="453"/>
      <c r="AF829" s="453"/>
      <c r="AG829" s="453"/>
      <c r="AH829" s="457"/>
      <c r="AI829" s="669"/>
      <c r="AJ829" s="669"/>
      <c r="AK829" s="366"/>
      <c r="AL829" s="366"/>
      <c r="AM829" s="366"/>
      <c r="AN829" s="366"/>
      <c r="AO829" s="367"/>
      <c r="AP829" s="367"/>
      <c r="AQ829" s="340"/>
      <c r="AR829" s="340"/>
      <c r="AS829" s="340"/>
      <c r="AT829" s="340"/>
      <c r="AU829" s="340"/>
      <c r="AV829" s="340"/>
      <c r="AW829" s="426"/>
      <c r="AX829" s="426"/>
      <c r="AY829" s="426"/>
      <c r="AZ829" s="426"/>
      <c r="BA829" s="426"/>
      <c r="BB829" s="426"/>
      <c r="BC829" s="426"/>
      <c r="BD829" s="426"/>
      <c r="BE829" s="426"/>
    </row>
    <row r="830" spans="1:58" ht="14.25" customHeight="1" outlineLevel="1">
      <c r="A830" s="477" t="s">
        <v>4227</v>
      </c>
      <c r="B830" s="438" t="s">
        <v>156</v>
      </c>
      <c r="C830" s="699">
        <v>0.6</v>
      </c>
      <c r="D830" s="366"/>
      <c r="F830" s="695"/>
      <c r="G830" s="695"/>
      <c r="H830" s="452"/>
      <c r="I830" s="452"/>
      <c r="J830" s="453"/>
      <c r="K830" s="453"/>
      <c r="L830" s="453"/>
      <c r="M830" s="452"/>
      <c r="N830" s="452"/>
      <c r="O830" s="354"/>
      <c r="P830" s="452"/>
      <c r="Q830" s="452"/>
      <c r="R830" s="452"/>
      <c r="S830" s="452"/>
      <c r="T830" s="452"/>
      <c r="U830" s="452"/>
      <c r="V830" s="452"/>
      <c r="W830" s="452"/>
      <c r="X830" s="452"/>
      <c r="Y830" s="452"/>
      <c r="Z830" s="452"/>
      <c r="AA830" s="452"/>
      <c r="AB830" s="452"/>
      <c r="AC830" s="452"/>
      <c r="AD830" s="453"/>
      <c r="AE830" s="453"/>
      <c r="AF830" s="453"/>
      <c r="AG830" s="453"/>
      <c r="AH830" s="457"/>
      <c r="AI830" s="669"/>
      <c r="AJ830" s="669"/>
      <c r="AK830" s="366"/>
      <c r="AL830" s="366"/>
      <c r="AM830" s="366"/>
      <c r="AN830" s="366"/>
      <c r="AO830" s="367"/>
      <c r="AP830" s="367"/>
      <c r="AQ830" s="340"/>
      <c r="AR830" s="340"/>
      <c r="AS830" s="340"/>
      <c r="AT830" s="340"/>
      <c r="AU830" s="340"/>
      <c r="AV830" s="340"/>
      <c r="AW830" s="426"/>
      <c r="AX830" s="426"/>
      <c r="AY830" s="426"/>
      <c r="AZ830" s="426"/>
      <c r="BA830" s="426"/>
      <c r="BB830" s="426"/>
      <c r="BC830" s="426"/>
      <c r="BD830" s="426"/>
      <c r="BE830" s="426"/>
    </row>
    <row r="831" spans="1:58" ht="14.25" customHeight="1" outlineLevel="1">
      <c r="A831" s="700" t="s">
        <v>1093</v>
      </c>
      <c r="B831" s="438" t="s">
        <v>120</v>
      </c>
      <c r="C831" s="525" t="s">
        <v>853</v>
      </c>
      <c r="D831" s="366"/>
      <c r="F831" s="695"/>
      <c r="G831" s="695"/>
      <c r="H831" s="452"/>
      <c r="I831" s="452"/>
      <c r="J831" s="453"/>
      <c r="K831" s="453"/>
      <c r="L831" s="453"/>
      <c r="M831" s="452"/>
      <c r="N831" s="452"/>
      <c r="O831" s="354"/>
      <c r="P831" s="452"/>
      <c r="Q831" s="452"/>
      <c r="R831" s="452"/>
      <c r="S831" s="452"/>
      <c r="T831" s="452"/>
      <c r="U831" s="452"/>
      <c r="V831" s="452"/>
      <c r="W831" s="452"/>
      <c r="X831" s="452"/>
      <c r="Y831" s="452"/>
      <c r="Z831" s="452"/>
      <c r="AA831" s="452"/>
      <c r="AB831" s="452"/>
      <c r="AC831" s="452"/>
      <c r="AD831" s="453"/>
      <c r="AE831" s="453"/>
      <c r="AF831" s="453"/>
      <c r="AG831" s="453"/>
      <c r="AH831" s="457"/>
      <c r="AI831" s="669"/>
      <c r="AJ831" s="669"/>
      <c r="AK831" s="366"/>
      <c r="AL831" s="366"/>
      <c r="AM831" s="366"/>
      <c r="AN831" s="366"/>
      <c r="AO831" s="367"/>
      <c r="AP831" s="367"/>
      <c r="AQ831" s="340"/>
      <c r="AR831" s="340"/>
      <c r="AS831" s="340"/>
      <c r="AT831" s="340"/>
      <c r="AU831" s="340"/>
      <c r="AV831" s="340"/>
      <c r="AW831" s="426"/>
      <c r="AX831" s="426"/>
      <c r="AY831" s="426"/>
      <c r="AZ831" s="426"/>
      <c r="BA831" s="426"/>
      <c r="BB831" s="426"/>
      <c r="BC831" s="426"/>
      <c r="BD831" s="426"/>
      <c r="BE831" s="426"/>
    </row>
    <row r="832" spans="1:58" ht="14.25" customHeight="1" outlineLevel="1">
      <c r="A832" s="701" t="s">
        <v>2203</v>
      </c>
      <c r="B832" s="702" t="s">
        <v>156</v>
      </c>
      <c r="C832" s="703">
        <v>4</v>
      </c>
      <c r="D832" s="366"/>
      <c r="F832" s="695"/>
      <c r="G832" s="695"/>
      <c r="H832" s="452"/>
      <c r="I832" s="452"/>
      <c r="J832" s="453"/>
      <c r="K832" s="453"/>
      <c r="L832" s="453"/>
      <c r="M832" s="452"/>
      <c r="N832" s="452"/>
      <c r="O832" s="354"/>
      <c r="P832" s="452"/>
      <c r="Q832" s="452"/>
      <c r="R832" s="452"/>
      <c r="S832" s="452"/>
      <c r="T832" s="452"/>
      <c r="U832" s="452"/>
      <c r="V832" s="452"/>
      <c r="W832" s="452"/>
      <c r="X832" s="452"/>
      <c r="Y832" s="452"/>
      <c r="Z832" s="452"/>
      <c r="AA832" s="452"/>
      <c r="AB832" s="452"/>
      <c r="AC832" s="452"/>
      <c r="AD832" s="452"/>
      <c r="AE832" s="452"/>
      <c r="AF832" s="452"/>
      <c r="AG832" s="452"/>
      <c r="AH832" s="459"/>
      <c r="AI832" s="669"/>
      <c r="AJ832" s="669"/>
      <c r="AK832" s="366"/>
      <c r="AL832" s="366"/>
      <c r="AM832" s="366"/>
      <c r="AN832" s="366"/>
      <c r="AO832" s="367"/>
      <c r="AP832" s="367"/>
      <c r="AQ832" s="340"/>
      <c r="AR832" s="340"/>
      <c r="AS832" s="340"/>
      <c r="AT832" s="340"/>
      <c r="AU832" s="340"/>
      <c r="AV832" s="340"/>
      <c r="AW832" s="426"/>
      <c r="AX832" s="426"/>
      <c r="AY832" s="426"/>
      <c r="AZ832" s="426"/>
      <c r="BA832" s="426"/>
      <c r="BB832" s="426"/>
      <c r="BC832" s="426"/>
      <c r="BD832" s="426"/>
      <c r="BE832" s="426"/>
    </row>
    <row r="833" spans="1:57" ht="14.25" customHeight="1" outlineLevel="1">
      <c r="A833" s="548" t="s">
        <v>2204</v>
      </c>
      <c r="B833" s="438" t="s">
        <v>156</v>
      </c>
      <c r="C833" s="488">
        <v>5</v>
      </c>
      <c r="D833" s="366"/>
      <c r="F833" s="695"/>
      <c r="G833" s="695"/>
      <c r="H833" s="452"/>
      <c r="I833" s="452"/>
      <c r="J833" s="453"/>
      <c r="K833" s="453"/>
      <c r="L833" s="453"/>
      <c r="M833" s="452"/>
      <c r="N833" s="452"/>
      <c r="O833" s="354"/>
      <c r="P833" s="452"/>
      <c r="Q833" s="452"/>
      <c r="R833" s="452"/>
      <c r="S833" s="452"/>
      <c r="T833" s="452"/>
      <c r="U833" s="452"/>
      <c r="V833" s="452"/>
      <c r="W833" s="452"/>
      <c r="X833" s="452"/>
      <c r="Y833" s="452"/>
      <c r="Z833" s="452"/>
      <c r="AA833" s="452"/>
      <c r="AB833" s="452"/>
      <c r="AC833" s="452"/>
      <c r="AD833" s="452"/>
      <c r="AE833" s="452"/>
      <c r="AF833" s="452"/>
      <c r="AG833" s="452"/>
      <c r="AH833" s="358"/>
      <c r="AI833" s="669"/>
      <c r="AJ833" s="669"/>
      <c r="AK833" s="366"/>
      <c r="AL833" s="366"/>
      <c r="AM833" s="366"/>
      <c r="AN833" s="366"/>
      <c r="AO833" s="367"/>
      <c r="AP833" s="367"/>
      <c r="AQ833" s="340"/>
      <c r="AR833" s="340"/>
      <c r="AS833" s="340"/>
      <c r="AT833" s="340"/>
      <c r="AU833" s="340"/>
      <c r="AV833" s="340"/>
      <c r="AW833" s="426"/>
      <c r="AX833" s="426"/>
      <c r="AY833" s="426"/>
      <c r="AZ833" s="426"/>
      <c r="BA833" s="426"/>
      <c r="BB833" s="426"/>
      <c r="BC833" s="426"/>
      <c r="BD833" s="426"/>
      <c r="BE833" s="426"/>
    </row>
    <row r="834" spans="1:57" ht="14.25" customHeight="1" outlineLevel="1">
      <c r="A834" s="548" t="s">
        <v>2205</v>
      </c>
      <c r="B834" s="438" t="s">
        <v>156</v>
      </c>
      <c r="C834" s="488">
        <v>3</v>
      </c>
      <c r="E834" s="354"/>
      <c r="F834" s="695"/>
      <c r="G834" s="695"/>
      <c r="H834" s="452"/>
      <c r="I834" s="452"/>
      <c r="J834" s="452"/>
      <c r="K834" s="452"/>
      <c r="L834" s="452"/>
      <c r="M834" s="452"/>
      <c r="N834" s="452"/>
      <c r="O834" s="354"/>
      <c r="P834" s="452"/>
      <c r="Q834" s="452"/>
      <c r="R834" s="452"/>
      <c r="S834" s="452"/>
      <c r="T834" s="452"/>
      <c r="U834" s="452"/>
      <c r="V834" s="354"/>
      <c r="W834" s="452"/>
      <c r="X834" s="452"/>
      <c r="Y834" s="452"/>
      <c r="Z834" s="452"/>
      <c r="AA834" s="452"/>
      <c r="AB834" s="452"/>
      <c r="AC834" s="452"/>
      <c r="AD834" s="452"/>
      <c r="AE834" s="452"/>
      <c r="AF834" s="452"/>
      <c r="AG834" s="452"/>
      <c r="AH834" s="459"/>
      <c r="AI834" s="669"/>
      <c r="AJ834" s="669"/>
      <c r="AK834" s="366"/>
      <c r="AL834" s="366"/>
      <c r="AM834" s="366"/>
      <c r="AN834" s="366"/>
      <c r="AO834" s="367"/>
      <c r="AP834" s="367"/>
      <c r="AQ834" s="340"/>
      <c r="AR834" s="340"/>
      <c r="AS834" s="340"/>
      <c r="AT834" s="340"/>
      <c r="AU834" s="340"/>
      <c r="AV834" s="340"/>
      <c r="AW834" s="426"/>
      <c r="AX834" s="426"/>
      <c r="AY834" s="426"/>
      <c r="AZ834" s="426"/>
      <c r="BA834" s="426"/>
      <c r="BB834" s="426"/>
      <c r="BC834" s="426"/>
      <c r="BD834" s="426"/>
      <c r="BE834" s="426"/>
    </row>
    <row r="835" spans="1:57" ht="14.25" customHeight="1" outlineLevel="1">
      <c r="A835" s="700" t="s">
        <v>1093</v>
      </c>
      <c r="B835" s="438" t="s">
        <v>120</v>
      </c>
      <c r="C835" s="525" t="s">
        <v>853</v>
      </c>
      <c r="D835" s="525" t="s">
        <v>1802</v>
      </c>
      <c r="E835" s="354"/>
      <c r="F835" s="695"/>
      <c r="G835" s="695"/>
      <c r="H835" s="452"/>
      <c r="I835" s="452"/>
      <c r="J835" s="452"/>
      <c r="K835" s="452"/>
      <c r="L835" s="452"/>
      <c r="M835" s="452"/>
      <c r="N835" s="452"/>
      <c r="O835" s="354"/>
      <c r="P835" s="452"/>
      <c r="Q835" s="452"/>
      <c r="R835" s="452"/>
      <c r="S835" s="452"/>
      <c r="T835" s="452"/>
      <c r="U835" s="452"/>
      <c r="V835" s="452"/>
      <c r="W835" s="452"/>
      <c r="X835" s="452"/>
      <c r="Y835" s="452"/>
      <c r="Z835" s="354"/>
      <c r="AA835" s="452"/>
      <c r="AB835" s="452"/>
      <c r="AC835" s="452"/>
      <c r="AD835" s="452"/>
      <c r="AE835" s="452"/>
      <c r="AF835" s="452"/>
      <c r="AG835" s="452"/>
      <c r="AH835" s="459"/>
      <c r="AI835" s="669"/>
      <c r="AJ835" s="669"/>
      <c r="AK835" s="366"/>
      <c r="AL835" s="366"/>
      <c r="AM835" s="366"/>
      <c r="AN835" s="366"/>
      <c r="AO835" s="367"/>
      <c r="AP835" s="367"/>
      <c r="AQ835" s="340"/>
      <c r="AR835" s="340"/>
      <c r="AS835" s="340"/>
      <c r="AT835" s="340"/>
      <c r="AU835" s="340"/>
      <c r="AV835" s="340"/>
      <c r="AW835" s="426"/>
      <c r="AX835" s="426"/>
      <c r="AY835" s="426"/>
      <c r="AZ835" s="426"/>
      <c r="BA835" s="426"/>
      <c r="BB835" s="426"/>
      <c r="BC835" s="426"/>
      <c r="BD835" s="426"/>
      <c r="BE835" s="426"/>
    </row>
    <row r="836" spans="1:57" ht="14.25" customHeight="1" outlineLevel="1">
      <c r="A836" s="3119" t="s">
        <v>2206</v>
      </c>
      <c r="B836" s="438" t="s">
        <v>156</v>
      </c>
      <c r="C836" s="488">
        <v>3</v>
      </c>
      <c r="D836" s="488">
        <v>0</v>
      </c>
      <c r="E836" s="354"/>
      <c r="F836" s="695"/>
      <c r="G836" s="695"/>
      <c r="H836" s="452"/>
      <c r="I836" s="452"/>
      <c r="J836" s="452"/>
      <c r="K836" s="452"/>
      <c r="L836" s="452"/>
      <c r="M836" s="452"/>
      <c r="N836" s="452"/>
      <c r="O836" s="354"/>
      <c r="P836" s="452"/>
      <c r="Q836" s="452"/>
      <c r="R836" s="452"/>
      <c r="S836" s="452"/>
      <c r="T836" s="452"/>
      <c r="U836" s="452"/>
      <c r="V836" s="452"/>
      <c r="W836" s="452"/>
      <c r="X836" s="452"/>
      <c r="Y836" s="452"/>
      <c r="Z836" s="452"/>
      <c r="AA836" s="452"/>
      <c r="AB836" s="452"/>
      <c r="AC836" s="452"/>
      <c r="AD836" s="452"/>
      <c r="AE836" s="452"/>
      <c r="AF836" s="452"/>
      <c r="AG836" s="452"/>
      <c r="AH836" s="459"/>
      <c r="AI836" s="669"/>
      <c r="AJ836" s="669"/>
      <c r="AK836" s="366"/>
      <c r="AL836" s="366"/>
      <c r="AM836" s="366"/>
      <c r="AN836" s="366"/>
      <c r="AO836" s="367"/>
      <c r="AP836" s="367"/>
      <c r="AQ836" s="340"/>
      <c r="AR836" s="340"/>
      <c r="AS836" s="340"/>
      <c r="AT836" s="340"/>
      <c r="AU836" s="340"/>
      <c r="AV836" s="340"/>
      <c r="AW836" s="426"/>
      <c r="AX836" s="426"/>
      <c r="AY836" s="426"/>
      <c r="AZ836" s="426"/>
      <c r="BA836" s="426"/>
      <c r="BB836" s="426"/>
      <c r="BC836" s="426"/>
      <c r="BD836" s="426"/>
      <c r="BE836" s="426"/>
    </row>
    <row r="837" spans="1:57" ht="14.25" customHeight="1" outlineLevel="1">
      <c r="A837" s="3119"/>
      <c r="B837" s="438" t="s">
        <v>156</v>
      </c>
      <c r="C837" s="488">
        <v>1</v>
      </c>
      <c r="D837" s="488">
        <v>0</v>
      </c>
      <c r="F837" s="695"/>
      <c r="G837" s="695"/>
      <c r="H837" s="452"/>
      <c r="I837" s="452"/>
      <c r="J837" s="452"/>
      <c r="K837" s="452"/>
      <c r="L837" s="452"/>
      <c r="M837" s="452"/>
      <c r="N837" s="452"/>
      <c r="O837" s="354"/>
      <c r="P837" s="452"/>
      <c r="Q837" s="452"/>
      <c r="R837" s="452"/>
      <c r="S837" s="452"/>
      <c r="T837" s="452"/>
      <c r="U837" s="452"/>
      <c r="V837" s="452"/>
      <c r="W837" s="452"/>
      <c r="X837" s="452"/>
      <c r="Y837" s="452"/>
      <c r="Z837" s="452"/>
      <c r="AA837" s="452"/>
      <c r="AB837" s="452"/>
      <c r="AC837" s="452"/>
      <c r="AD837" s="452"/>
      <c r="AE837" s="452"/>
      <c r="AF837" s="452"/>
      <c r="AG837" s="452"/>
      <c r="AH837" s="459"/>
      <c r="AI837" s="669"/>
      <c r="AJ837" s="669"/>
      <c r="AK837" s="366"/>
      <c r="AL837" s="366"/>
      <c r="AM837" s="366"/>
      <c r="AN837" s="366"/>
      <c r="AO837" s="367"/>
      <c r="AP837" s="367"/>
      <c r="AQ837" s="340"/>
      <c r="AR837" s="340"/>
      <c r="AS837" s="340"/>
      <c r="AT837" s="340"/>
      <c r="AU837" s="340"/>
      <c r="AV837" s="340"/>
      <c r="AW837" s="426"/>
      <c r="AX837" s="426"/>
      <c r="AY837" s="426"/>
      <c r="AZ837" s="426"/>
      <c r="BA837" s="426"/>
      <c r="BB837" s="426"/>
      <c r="BC837" s="426"/>
      <c r="BD837" s="426"/>
      <c r="BE837" s="426"/>
    </row>
    <row r="838" spans="1:57" ht="14.25" customHeight="1" outlineLevel="1">
      <c r="A838" s="3119" t="s">
        <v>2207</v>
      </c>
      <c r="B838" s="438" t="s">
        <v>156</v>
      </c>
      <c r="C838" s="488">
        <v>0</v>
      </c>
      <c r="D838" s="488">
        <v>0</v>
      </c>
      <c r="F838" s="695"/>
      <c r="G838" s="695"/>
      <c r="H838" s="452"/>
      <c r="I838" s="452"/>
      <c r="J838" s="452"/>
      <c r="K838" s="452"/>
      <c r="L838" s="452"/>
      <c r="M838" s="452"/>
      <c r="N838" s="452"/>
      <c r="O838" s="354"/>
      <c r="P838" s="452"/>
      <c r="Q838" s="452"/>
      <c r="R838" s="452"/>
      <c r="S838" s="452"/>
      <c r="T838" s="452"/>
      <c r="U838" s="452"/>
      <c r="V838" s="452"/>
      <c r="W838" s="452"/>
      <c r="X838" s="452"/>
      <c r="Y838" s="452"/>
      <c r="Z838" s="452"/>
      <c r="AA838" s="452"/>
      <c r="AB838" s="452"/>
      <c r="AC838" s="452"/>
      <c r="AD838" s="452"/>
      <c r="AE838" s="452"/>
      <c r="AF838" s="452"/>
      <c r="AG838" s="452"/>
      <c r="AH838" s="459"/>
      <c r="AI838" s="669"/>
      <c r="AJ838" s="669"/>
      <c r="AK838" s="366"/>
      <c r="AL838" s="366"/>
      <c r="AM838" s="366"/>
      <c r="AN838" s="366"/>
      <c r="AO838" s="367"/>
      <c r="AP838" s="367"/>
      <c r="AQ838" s="340"/>
      <c r="AR838" s="340"/>
      <c r="AS838" s="340"/>
      <c r="AT838" s="340"/>
      <c r="AU838" s="340"/>
      <c r="AV838" s="340"/>
      <c r="AW838" s="426"/>
      <c r="AX838" s="426"/>
      <c r="AY838" s="426"/>
      <c r="AZ838" s="426"/>
      <c r="BA838" s="426"/>
      <c r="BB838" s="426"/>
      <c r="BC838" s="426"/>
      <c r="BD838" s="426"/>
      <c r="BE838" s="426"/>
    </row>
    <row r="839" spans="1:57" ht="14.25" customHeight="1" outlineLevel="1">
      <c r="A839" s="3119"/>
      <c r="B839" s="438" t="s">
        <v>156</v>
      </c>
      <c r="C839" s="488">
        <v>0</v>
      </c>
      <c r="D839" s="488">
        <v>0</v>
      </c>
      <c r="F839" s="695"/>
      <c r="G839" s="695"/>
      <c r="H839" s="452"/>
      <c r="I839" s="452"/>
      <c r="J839" s="452"/>
      <c r="K839" s="452"/>
      <c r="L839" s="452"/>
      <c r="M839" s="452"/>
      <c r="N839" s="452"/>
      <c r="O839" s="354"/>
      <c r="P839" s="452"/>
      <c r="Q839" s="452"/>
      <c r="R839" s="452"/>
      <c r="S839" s="452"/>
      <c r="T839" s="452"/>
      <c r="U839" s="452"/>
      <c r="V839" s="452"/>
      <c r="W839" s="452"/>
      <c r="X839" s="452"/>
      <c r="Y839" s="452"/>
      <c r="Z839" s="452"/>
      <c r="AA839" s="452"/>
      <c r="AB839" s="452"/>
      <c r="AC839" s="354"/>
      <c r="AD839" s="452" t="s">
        <v>1868</v>
      </c>
      <c r="AE839" s="452"/>
      <c r="AF839" s="452"/>
      <c r="AG839" s="452"/>
      <c r="AH839" s="459"/>
      <c r="AI839" s="669"/>
      <c r="AJ839" s="669"/>
      <c r="AK839" s="366"/>
      <c r="AL839" s="366"/>
      <c r="AM839" s="366"/>
      <c r="AN839" s="366"/>
      <c r="AO839" s="367"/>
      <c r="AP839" s="367"/>
      <c r="AQ839" s="340"/>
      <c r="AR839" s="340"/>
      <c r="AS839" s="340"/>
      <c r="AT839" s="340"/>
      <c r="AU839" s="340"/>
      <c r="AV839" s="340"/>
      <c r="AW839" s="426"/>
      <c r="AX839" s="426"/>
      <c r="AY839" s="426"/>
      <c r="AZ839" s="426"/>
      <c r="BA839" s="426"/>
      <c r="BB839" s="426"/>
      <c r="BC839" s="426"/>
      <c r="BD839" s="426"/>
      <c r="BE839" s="426"/>
    </row>
    <row r="840" spans="1:57" ht="14.25" customHeight="1" outlineLevel="1">
      <c r="A840" s="705" t="s">
        <v>2208</v>
      </c>
      <c r="B840" s="438" t="s">
        <v>120</v>
      </c>
      <c r="C840" s="438" t="s">
        <v>1800</v>
      </c>
      <c r="D840" s="438" t="s">
        <v>293</v>
      </c>
      <c r="E840" s="438" t="s">
        <v>1802</v>
      </c>
      <c r="F840" s="695"/>
      <c r="G840" s="695"/>
      <c r="H840" s="452"/>
      <c r="I840" s="452"/>
      <c r="J840" s="452"/>
      <c r="K840" s="452"/>
      <c r="L840" s="452"/>
      <c r="M840" s="452"/>
      <c r="N840" s="452"/>
      <c r="O840" s="354" t="s">
        <v>2209</v>
      </c>
      <c r="P840" s="452"/>
      <c r="Q840" s="354"/>
      <c r="R840" s="452"/>
      <c r="S840" s="452"/>
      <c r="T840" s="452"/>
      <c r="U840" s="452"/>
      <c r="V840" s="452"/>
      <c r="W840" s="452"/>
      <c r="X840" s="452"/>
      <c r="Y840" s="452"/>
      <c r="Z840" s="452"/>
      <c r="AA840" s="452"/>
      <c r="AB840" s="452"/>
      <c r="AC840" s="452"/>
      <c r="AD840" s="452"/>
      <c r="AE840" s="452"/>
      <c r="AF840" s="452"/>
      <c r="AG840" s="452"/>
      <c r="AH840" s="459"/>
      <c r="AI840" s="669"/>
      <c r="AJ840" s="669"/>
      <c r="AK840" s="366"/>
      <c r="AL840" s="366"/>
      <c r="AM840" s="366"/>
      <c r="AN840" s="366"/>
      <c r="AO840" s="367"/>
      <c r="AP840" s="367"/>
      <c r="AQ840" s="340"/>
      <c r="AR840" s="340"/>
      <c r="AS840" s="340"/>
      <c r="AT840" s="340"/>
      <c r="AU840" s="340"/>
      <c r="AV840" s="340"/>
      <c r="AW840" s="426"/>
      <c r="AX840" s="426"/>
      <c r="AY840" s="426"/>
      <c r="AZ840" s="426"/>
      <c r="BA840" s="426"/>
      <c r="BB840" s="426"/>
      <c r="BC840" s="426"/>
      <c r="BD840" s="426"/>
      <c r="BE840" s="426"/>
    </row>
    <row r="841" spans="1:57" ht="14.25" customHeight="1" outlineLevel="1">
      <c r="A841" s="3119" t="s">
        <v>2210</v>
      </c>
      <c r="B841" s="438" t="s">
        <v>156</v>
      </c>
      <c r="C841" s="507">
        <v>0</v>
      </c>
      <c r="D841" s="507">
        <v>0</v>
      </c>
      <c r="E841" s="507">
        <v>0</v>
      </c>
      <c r="F841" s="695"/>
      <c r="G841" s="695"/>
      <c r="H841" s="452"/>
      <c r="I841" s="452"/>
      <c r="J841" s="452"/>
      <c r="K841" s="452"/>
      <c r="L841" s="452"/>
      <c r="M841" s="452"/>
      <c r="N841" s="452"/>
      <c r="O841" s="354"/>
      <c r="P841" s="452"/>
      <c r="Q841" s="452"/>
      <c r="R841" s="452"/>
      <c r="S841" s="452"/>
      <c r="T841" s="452"/>
      <c r="U841" s="452"/>
      <c r="V841" s="452"/>
      <c r="W841" s="452"/>
      <c r="X841" s="452"/>
      <c r="Y841" s="452"/>
      <c r="Z841" s="452"/>
      <c r="AA841" s="452"/>
      <c r="AB841" s="452"/>
      <c r="AC841" s="452"/>
      <c r="AD841" s="452"/>
      <c r="AE841" s="452"/>
      <c r="AF841" s="452"/>
      <c r="AG841" s="452"/>
      <c r="AH841" s="459"/>
      <c r="AI841" s="669"/>
      <c r="AJ841" s="669"/>
      <c r="AK841" s="366"/>
      <c r="AL841" s="366"/>
      <c r="AM841" s="366"/>
      <c r="AN841" s="366"/>
      <c r="AO841" s="367"/>
      <c r="AP841" s="367"/>
      <c r="AQ841" s="340"/>
      <c r="AR841" s="340"/>
      <c r="AS841" s="340"/>
      <c r="AT841" s="340"/>
      <c r="AU841" s="340"/>
      <c r="AV841" s="340"/>
      <c r="AW841" s="426"/>
      <c r="AX841" s="426"/>
      <c r="AY841" s="426"/>
      <c r="AZ841" s="426"/>
      <c r="BA841" s="426"/>
      <c r="BB841" s="426"/>
      <c r="BC841" s="426"/>
      <c r="BD841" s="426"/>
      <c r="BE841" s="426"/>
    </row>
    <row r="842" spans="1:57" ht="14.25" customHeight="1" outlineLevel="1">
      <c r="A842" s="3119"/>
      <c r="B842" s="438" t="s">
        <v>156</v>
      </c>
      <c r="C842" s="507">
        <v>0</v>
      </c>
      <c r="D842" s="507">
        <v>0</v>
      </c>
      <c r="E842" s="507">
        <v>0</v>
      </c>
      <c r="F842" s="695"/>
      <c r="G842" s="695"/>
      <c r="H842" s="452"/>
      <c r="I842" s="452"/>
      <c r="J842" s="452"/>
      <c r="K842" s="452"/>
      <c r="L842" s="452"/>
      <c r="M842" s="354"/>
      <c r="N842" s="354"/>
      <c r="O842" s="354"/>
      <c r="P842" s="354"/>
      <c r="Q842" s="354"/>
      <c r="R842" s="354"/>
      <c r="S842" s="354"/>
      <c r="T842" s="354"/>
      <c r="U842" s="354"/>
      <c r="V842" s="354"/>
      <c r="W842" s="354"/>
      <c r="X842" s="354"/>
      <c r="Y842" s="354"/>
      <c r="Z842" s="354"/>
      <c r="AA842" s="354"/>
      <c r="AB842" s="354"/>
      <c r="AC842" s="354"/>
      <c r="AD842" s="354"/>
      <c r="AE842" s="354"/>
      <c r="AF842" s="354"/>
      <c r="AG842" s="354"/>
      <c r="AH842" s="358"/>
      <c r="AI842" s="669"/>
      <c r="AJ842" s="669"/>
      <c r="AK842" s="366"/>
      <c r="AL842" s="366"/>
      <c r="AM842" s="366"/>
      <c r="AN842" s="366"/>
      <c r="AO842" s="367"/>
      <c r="AP842" s="367"/>
      <c r="AQ842" s="340"/>
      <c r="AR842" s="340"/>
      <c r="AS842" s="340"/>
      <c r="AT842" s="340"/>
      <c r="AU842" s="340"/>
      <c r="AV842" s="340"/>
      <c r="AW842" s="426"/>
      <c r="AX842" s="426"/>
      <c r="AY842" s="426"/>
      <c r="AZ842" s="426"/>
      <c r="BA842" s="426"/>
      <c r="BB842" s="426"/>
      <c r="BC842" s="426"/>
      <c r="BD842" s="426"/>
      <c r="BE842" s="426"/>
    </row>
    <row r="843" spans="1:57" ht="14.25" customHeight="1" outlineLevel="1">
      <c r="A843" s="3119"/>
      <c r="B843" s="438" t="s">
        <v>156</v>
      </c>
      <c r="C843" s="507">
        <v>0</v>
      </c>
      <c r="D843" s="507">
        <v>0</v>
      </c>
      <c r="E843" s="507">
        <v>0</v>
      </c>
      <c r="F843" s="695"/>
      <c r="G843" s="695"/>
      <c r="H843" s="452"/>
      <c r="I843" s="452"/>
      <c r="J843" s="452"/>
      <c r="K843" s="452"/>
      <c r="L843" s="452"/>
      <c r="M843" s="354"/>
      <c r="N843" s="354"/>
      <c r="O843" s="354"/>
      <c r="P843" s="354"/>
      <c r="Q843" s="354"/>
      <c r="R843" s="354"/>
      <c r="S843" s="354"/>
      <c r="T843" s="354"/>
      <c r="U843" s="354"/>
      <c r="V843" s="354"/>
      <c r="W843" s="354"/>
      <c r="X843" s="354"/>
      <c r="Y843" s="354"/>
      <c r="Z843" s="354"/>
      <c r="AA843" s="354"/>
      <c r="AB843" s="354"/>
      <c r="AC843" s="354"/>
      <c r="AD843" s="354"/>
      <c r="AE843" s="354"/>
      <c r="AF843" s="354"/>
      <c r="AG843" s="354"/>
      <c r="AH843" s="358"/>
      <c r="AI843" s="669"/>
      <c r="AJ843" s="669"/>
      <c r="AK843" s="366"/>
      <c r="AL843" s="366"/>
      <c r="AM843" s="366"/>
      <c r="AN843" s="366"/>
      <c r="AO843" s="367"/>
      <c r="AP843" s="367"/>
      <c r="AQ843" s="340"/>
      <c r="AR843" s="340"/>
      <c r="AS843" s="340"/>
      <c r="AT843" s="340"/>
      <c r="AU843" s="340"/>
      <c r="AV843" s="340"/>
      <c r="AW843" s="426"/>
      <c r="AX843" s="426"/>
      <c r="AY843" s="426"/>
      <c r="AZ843" s="426"/>
      <c r="BA843" s="426"/>
      <c r="BB843" s="426"/>
      <c r="BC843" s="426"/>
      <c r="BD843" s="426"/>
      <c r="BE843" s="426"/>
    </row>
    <row r="844" spans="1:57" ht="14.25" customHeight="1" outlineLevel="1">
      <c r="A844" s="3120" t="s">
        <v>2211</v>
      </c>
      <c r="B844" s="438" t="s">
        <v>156</v>
      </c>
      <c r="C844" s="507">
        <v>1</v>
      </c>
      <c r="D844" s="507">
        <v>2</v>
      </c>
      <c r="E844" s="507">
        <v>0</v>
      </c>
      <c r="F844" s="695"/>
      <c r="G844" s="695"/>
      <c r="H844" s="452"/>
      <c r="I844" s="452"/>
      <c r="J844" s="452"/>
      <c r="K844" s="452"/>
      <c r="L844" s="452"/>
      <c r="M844" s="354"/>
      <c r="N844" s="354"/>
      <c r="O844" s="354"/>
      <c r="P844" s="354"/>
      <c r="Q844" s="354"/>
      <c r="R844" s="354"/>
      <c r="S844" s="354"/>
      <c r="T844" s="354"/>
      <c r="U844" s="354"/>
      <c r="V844" s="354"/>
      <c r="W844" s="354"/>
      <c r="X844" s="354"/>
      <c r="Y844" s="354"/>
      <c r="Z844" s="354"/>
      <c r="AA844" s="354"/>
      <c r="AB844" s="354"/>
      <c r="AC844" s="354"/>
      <c r="AD844" s="354"/>
      <c r="AE844" s="354"/>
      <c r="AF844" s="354"/>
      <c r="AG844" s="354"/>
      <c r="AH844" s="358"/>
      <c r="AI844" s="669"/>
      <c r="AJ844" s="669"/>
      <c r="AK844" s="366"/>
      <c r="AL844" s="366"/>
      <c r="AM844" s="366"/>
      <c r="AN844" s="366"/>
      <c r="AO844" s="367"/>
      <c r="AP844" s="367"/>
      <c r="AQ844" s="340"/>
      <c r="AR844" s="340"/>
      <c r="AS844" s="340"/>
      <c r="AT844" s="340"/>
      <c r="AU844" s="340"/>
      <c r="AV844" s="340"/>
      <c r="AW844" s="426"/>
      <c r="AX844" s="426"/>
      <c r="AY844" s="426"/>
      <c r="AZ844" s="426"/>
      <c r="BA844" s="426"/>
      <c r="BB844" s="426"/>
      <c r="BC844" s="426"/>
      <c r="BD844" s="426"/>
      <c r="BE844" s="426"/>
    </row>
    <row r="845" spans="1:57" ht="14.25" customHeight="1" outlineLevel="1">
      <c r="A845" s="3120"/>
      <c r="B845" s="438" t="s">
        <v>156</v>
      </c>
      <c r="C845" s="507">
        <v>0</v>
      </c>
      <c r="D845" s="507">
        <v>2.7</v>
      </c>
      <c r="E845" s="507">
        <v>0</v>
      </c>
      <c r="F845" s="695"/>
      <c r="G845" s="695"/>
      <c r="H845" s="452"/>
      <c r="I845" s="452"/>
      <c r="J845" s="452"/>
      <c r="K845" s="452"/>
      <c r="L845" s="452"/>
      <c r="M845" s="452"/>
      <c r="N845" s="452"/>
      <c r="O845" s="354"/>
      <c r="P845" s="452"/>
      <c r="Q845" s="452"/>
      <c r="R845" s="452"/>
      <c r="S845" s="452"/>
      <c r="T845" s="452"/>
      <c r="U845" s="452"/>
      <c r="V845" s="706" t="s">
        <v>2212</v>
      </c>
      <c r="W845" s="706"/>
      <c r="X845" s="452"/>
      <c r="Y845" s="452"/>
      <c r="Z845" s="452"/>
      <c r="AA845" s="452"/>
      <c r="AB845" s="452"/>
      <c r="AC845" s="452"/>
      <c r="AD845" s="452"/>
      <c r="AE845" s="452"/>
      <c r="AF845" s="452"/>
      <c r="AG845" s="452"/>
      <c r="AH845" s="459"/>
      <c r="AI845" s="669"/>
      <c r="AJ845" s="669"/>
      <c r="AK845" s="366"/>
      <c r="AL845" s="366"/>
      <c r="AM845" s="366"/>
      <c r="AN845" s="366"/>
      <c r="AO845" s="367"/>
      <c r="AP845" s="367"/>
      <c r="AQ845" s="340"/>
      <c r="AR845" s="340"/>
      <c r="AS845" s="340"/>
      <c r="AT845" s="340"/>
      <c r="AU845" s="340"/>
      <c r="AV845" s="340"/>
      <c r="AW845" s="426"/>
      <c r="AX845" s="426"/>
      <c r="AY845" s="426"/>
      <c r="AZ845" s="426"/>
      <c r="BA845" s="426"/>
      <c r="BB845" s="426"/>
      <c r="BC845" s="426"/>
      <c r="BD845" s="426"/>
      <c r="BE845" s="426"/>
    </row>
    <row r="846" spans="1:57" ht="14.25" customHeight="1" outlineLevel="1">
      <c r="A846" s="707" t="s">
        <v>2213</v>
      </c>
      <c r="B846" s="438" t="s">
        <v>156</v>
      </c>
      <c r="C846" s="488">
        <v>2</v>
      </c>
      <c r="D846" s="488">
        <v>2</v>
      </c>
      <c r="E846" s="488">
        <v>0</v>
      </c>
      <c r="F846" s="695"/>
      <c r="G846" s="695"/>
      <c r="H846" s="452"/>
      <c r="I846" s="452"/>
      <c r="J846" s="354"/>
      <c r="K846" s="354"/>
      <c r="L846" s="354"/>
      <c r="M846" s="452"/>
      <c r="N846" s="452"/>
      <c r="O846" s="354"/>
      <c r="P846" s="452"/>
      <c r="Q846" s="452"/>
      <c r="R846" s="452"/>
      <c r="S846" s="452"/>
      <c r="T846" s="452"/>
      <c r="U846" s="452"/>
      <c r="V846" s="452"/>
      <c r="W846" s="452"/>
      <c r="X846" s="452"/>
      <c r="Y846" s="452"/>
      <c r="Z846" s="452"/>
      <c r="AA846" s="452"/>
      <c r="AB846" s="452"/>
      <c r="AC846" s="452"/>
      <c r="AD846" s="452"/>
      <c r="AE846" s="452"/>
      <c r="AF846" s="452"/>
      <c r="AG846" s="452"/>
      <c r="AH846" s="459"/>
      <c r="AI846" s="669"/>
      <c r="AJ846" s="669"/>
      <c r="AK846" s="366"/>
      <c r="AL846" s="366"/>
      <c r="AM846" s="366"/>
      <c r="AN846" s="366"/>
      <c r="AO846" s="367"/>
      <c r="AP846" s="367"/>
      <c r="AQ846" s="340"/>
      <c r="AR846" s="340"/>
      <c r="AS846" s="340"/>
      <c r="AT846" s="340"/>
      <c r="AU846" s="340"/>
      <c r="AV846" s="340"/>
      <c r="AW846" s="426"/>
      <c r="AX846" s="426"/>
      <c r="AY846" s="426"/>
      <c r="AZ846" s="426"/>
      <c r="BA846" s="426"/>
      <c r="BB846" s="426"/>
      <c r="BC846" s="426"/>
      <c r="BD846" s="426"/>
      <c r="BE846" s="426"/>
    </row>
    <row r="847" spans="1:57" ht="14.25" customHeight="1" outlineLevel="1">
      <c r="B847" s="614"/>
      <c r="C847" s="695"/>
      <c r="D847" s="695"/>
      <c r="E847" s="695"/>
      <c r="F847" s="695"/>
      <c r="G847" s="695"/>
      <c r="H847" s="452"/>
      <c r="I847" s="452"/>
      <c r="J847" s="354"/>
      <c r="K847" s="354"/>
      <c r="L847" s="354"/>
      <c r="M847" s="354"/>
      <c r="N847" s="354"/>
      <c r="O847" s="354"/>
      <c r="P847" s="354"/>
      <c r="Q847" s="354"/>
      <c r="R847" s="354"/>
      <c r="S847" s="354"/>
      <c r="T847" s="354"/>
      <c r="U847" s="354"/>
      <c r="V847" s="354"/>
      <c r="W847" s="354"/>
      <c r="X847" s="354"/>
      <c r="Y847" s="354"/>
      <c r="Z847" s="354"/>
      <c r="AA847" s="354"/>
      <c r="AB847" s="354"/>
      <c r="AC847" s="354"/>
      <c r="AD847" s="354"/>
      <c r="AE847" s="354"/>
      <c r="AF847" s="354"/>
      <c r="AG847" s="354"/>
      <c r="AH847" s="358"/>
      <c r="AI847" s="669"/>
      <c r="AJ847" s="669"/>
      <c r="AK847" s="366"/>
      <c r="AL847" s="366"/>
      <c r="AM847" s="366"/>
      <c r="AN847" s="366"/>
      <c r="AO847" s="367"/>
      <c r="AP847" s="367"/>
      <c r="AQ847" s="340"/>
      <c r="AR847" s="340"/>
      <c r="AS847" s="340"/>
      <c r="AT847" s="340"/>
      <c r="AU847" s="340"/>
      <c r="AV847" s="340"/>
      <c r="AW847" s="426"/>
      <c r="AX847" s="426"/>
      <c r="AY847" s="426"/>
      <c r="AZ847" s="426"/>
      <c r="BA847" s="426"/>
      <c r="BB847" s="426"/>
      <c r="BC847" s="426"/>
      <c r="BD847" s="426"/>
      <c r="BE847" s="426"/>
    </row>
    <row r="848" spans="1:57" ht="14.25" customHeight="1" outlineLevel="1">
      <c r="A848" s="366"/>
      <c r="B848" s="373"/>
      <c r="C848" s="365"/>
      <c r="D848" s="695"/>
      <c r="E848" s="695"/>
      <c r="F848" s="695"/>
      <c r="G848" s="695"/>
      <c r="H848" s="452"/>
      <c r="I848" s="452"/>
      <c r="J848" s="354"/>
      <c r="K848" s="354"/>
      <c r="L848" s="354"/>
      <c r="M848" s="354"/>
      <c r="N848" s="354"/>
      <c r="O848" s="354"/>
      <c r="P848" s="354"/>
      <c r="Q848" s="354"/>
      <c r="R848" s="354"/>
      <c r="S848" s="354"/>
      <c r="T848" s="354"/>
      <c r="U848" s="354"/>
      <c r="V848" s="354"/>
      <c r="W848" s="354"/>
      <c r="X848" s="354"/>
      <c r="Y848" s="354"/>
      <c r="Z848" s="354"/>
      <c r="AA848" s="354"/>
      <c r="AB848" s="354"/>
      <c r="AC848" s="354"/>
      <c r="AD848" s="354"/>
      <c r="AE848" s="354"/>
      <c r="AF848" s="354"/>
      <c r="AG848" s="354"/>
      <c r="AH848" s="358"/>
      <c r="AI848" s="669"/>
      <c r="AJ848" s="669"/>
      <c r="AK848" s="366"/>
      <c r="AL848" s="366"/>
      <c r="AM848" s="366"/>
      <c r="AN848" s="366"/>
      <c r="AO848" s="367"/>
      <c r="AP848" s="367"/>
      <c r="AQ848" s="340"/>
      <c r="AR848" s="340"/>
      <c r="AS848" s="340"/>
      <c r="AT848" s="340"/>
      <c r="AU848" s="340"/>
      <c r="AV848" s="340"/>
      <c r="AW848" s="426"/>
      <c r="AX848" s="426"/>
      <c r="AY848" s="426"/>
      <c r="AZ848" s="426"/>
      <c r="BA848" s="426"/>
      <c r="BB848" s="426"/>
      <c r="BC848" s="426"/>
      <c r="BD848" s="426"/>
      <c r="BE848" s="426"/>
    </row>
    <row r="849" spans="1:57" ht="14.25" customHeight="1" outlineLevel="1">
      <c r="A849" s="708" t="str">
        <f>A830</f>
        <v>Монолитные стены</v>
      </c>
      <c r="B849" s="709" t="s">
        <v>120</v>
      </c>
      <c r="C849" s="402"/>
      <c r="D849" s="695"/>
      <c r="E849" s="695"/>
      <c r="F849" s="695"/>
      <c r="G849" s="695"/>
      <c r="H849" s="452"/>
      <c r="I849" s="452"/>
      <c r="J849" s="354"/>
      <c r="K849" s="354"/>
      <c r="L849" s="354"/>
      <c r="M849" s="354"/>
      <c r="N849" s="354"/>
      <c r="O849" s="354"/>
      <c r="P849" s="354"/>
      <c r="Q849" s="354"/>
      <c r="R849" s="354"/>
      <c r="S849" s="354"/>
      <c r="T849" s="354"/>
      <c r="U849" s="354"/>
      <c r="V849" s="354"/>
      <c r="W849" s="354"/>
      <c r="X849" s="354"/>
      <c r="Y849" s="354"/>
      <c r="Z849" s="354"/>
      <c r="AA849" s="354"/>
      <c r="AB849" s="354"/>
      <c r="AC849" s="354"/>
      <c r="AD849" s="354"/>
      <c r="AE849" s="354"/>
      <c r="AF849" s="354"/>
      <c r="AG849" s="354"/>
      <c r="AH849" s="358"/>
      <c r="AI849" s="669"/>
      <c r="AJ849" s="669"/>
      <c r="AK849" s="366"/>
      <c r="AL849" s="366"/>
      <c r="AM849" s="366"/>
      <c r="AN849" s="366"/>
      <c r="AO849" s="367"/>
      <c r="AP849" s="367"/>
      <c r="AQ849" s="340"/>
      <c r="AR849" s="340"/>
      <c r="AS849" s="340"/>
      <c r="AT849" s="340"/>
      <c r="AU849" s="340"/>
      <c r="AV849" s="340"/>
      <c r="AW849" s="426"/>
      <c r="AX849" s="426"/>
      <c r="AY849" s="426"/>
      <c r="AZ849" s="426"/>
      <c r="BA849" s="426"/>
      <c r="BB849" s="426"/>
      <c r="BC849" s="426"/>
      <c r="BD849" s="426"/>
      <c r="BE849" s="426"/>
    </row>
    <row r="850" spans="1:57" ht="14.25" customHeight="1" outlineLevel="1">
      <c r="A850" s="525" t="s">
        <v>2214</v>
      </c>
      <c r="B850" s="438" t="s">
        <v>1820</v>
      </c>
      <c r="C850" s="595" t="s">
        <v>1821</v>
      </c>
      <c r="D850" s="695"/>
      <c r="E850" s="695"/>
      <c r="F850" s="695"/>
      <c r="G850" s="695"/>
      <c r="H850" s="452"/>
      <c r="I850" s="452"/>
      <c r="J850" s="354"/>
      <c r="K850" s="354"/>
      <c r="L850" s="354"/>
      <c r="M850" s="354"/>
      <c r="N850" s="354"/>
      <c r="O850" s="354"/>
      <c r="P850" s="354"/>
      <c r="Q850" s="354"/>
      <c r="R850" s="354"/>
      <c r="S850" s="354"/>
      <c r="T850" s="354"/>
      <c r="U850" s="354"/>
      <c r="V850" s="354"/>
      <c r="W850" s="354"/>
      <c r="X850" s="354"/>
      <c r="Y850" s="354"/>
      <c r="Z850" s="354"/>
      <c r="AA850" s="354"/>
      <c r="AB850" s="354"/>
      <c r="AC850" s="354"/>
      <c r="AD850" s="354"/>
      <c r="AE850" s="354" t="s">
        <v>2215</v>
      </c>
      <c r="AF850" s="354"/>
      <c r="AG850" s="354"/>
      <c r="AH850" s="358"/>
      <c r="AI850" s="669"/>
      <c r="AJ850" s="669"/>
      <c r="AK850" s="366"/>
      <c r="AL850" s="366"/>
      <c r="AM850" s="366"/>
      <c r="AN850" s="366"/>
      <c r="AO850" s="367"/>
      <c r="AP850" s="367"/>
      <c r="AQ850" s="340"/>
      <c r="AR850" s="340"/>
      <c r="AS850" s="340"/>
      <c r="AT850" s="340"/>
      <c r="AU850" s="340"/>
      <c r="AV850" s="340"/>
      <c r="AW850" s="426"/>
      <c r="AX850" s="426"/>
      <c r="AY850" s="426"/>
      <c r="AZ850" s="426"/>
      <c r="BA850" s="426"/>
      <c r="BB850" s="426"/>
      <c r="BC850" s="426"/>
      <c r="BD850" s="426"/>
      <c r="BE850" s="426"/>
    </row>
    <row r="851" spans="1:57" ht="14.25" customHeight="1" outlineLevel="1">
      <c r="A851" s="488" t="s">
        <v>2216</v>
      </c>
      <c r="B851" s="438" t="s">
        <v>156</v>
      </c>
      <c r="C851" s="387">
        <v>0.2</v>
      </c>
      <c r="D851" s="695"/>
      <c r="E851" s="695"/>
      <c r="F851" s="695"/>
      <c r="G851" s="695"/>
      <c r="H851" s="452"/>
      <c r="I851" s="452"/>
      <c r="J851" s="354"/>
      <c r="K851" s="354"/>
      <c r="L851" s="354"/>
      <c r="M851" s="354"/>
      <c r="N851" s="354" t="s">
        <v>2217</v>
      </c>
      <c r="O851" s="354"/>
      <c r="P851" s="354"/>
      <c r="Q851" s="354"/>
      <c r="R851" s="354"/>
      <c r="S851" s="354"/>
      <c r="T851" s="354"/>
      <c r="U851" s="354"/>
      <c r="V851" s="354"/>
      <c r="W851" s="354"/>
      <c r="X851" s="354"/>
      <c r="Y851" s="354"/>
      <c r="Z851" s="354"/>
      <c r="AA851" s="354"/>
      <c r="AB851" s="354"/>
      <c r="AC851" s="354"/>
      <c r="AD851" s="354"/>
      <c r="AE851" s="354"/>
      <c r="AF851" s="354"/>
      <c r="AG851" s="354"/>
      <c r="AH851" s="358"/>
      <c r="AI851" s="669"/>
      <c r="AJ851" s="669"/>
      <c r="AK851" s="366"/>
      <c r="AL851" s="366"/>
      <c r="AM851" s="366"/>
      <c r="AN851" s="366"/>
      <c r="AO851" s="367"/>
      <c r="AP851" s="367"/>
      <c r="AQ851" s="340"/>
      <c r="AR851" s="340"/>
      <c r="AS851" s="340"/>
      <c r="AT851" s="340"/>
      <c r="AU851" s="340"/>
      <c r="AV851" s="340"/>
      <c r="AW851" s="426"/>
      <c r="AX851" s="426"/>
      <c r="AY851" s="426"/>
      <c r="AZ851" s="426"/>
      <c r="BA851" s="426"/>
      <c r="BB851" s="426"/>
      <c r="BC851" s="426"/>
      <c r="BD851" s="426"/>
      <c r="BE851" s="426"/>
    </row>
    <row r="852" spans="1:57" ht="14.25" customHeight="1" outlineLevel="1">
      <c r="A852" s="488" t="s">
        <v>2218</v>
      </c>
      <c r="B852" s="438" t="s">
        <v>159</v>
      </c>
      <c r="C852" s="387">
        <v>4</v>
      </c>
      <c r="D852" s="695"/>
      <c r="E852" s="695"/>
      <c r="F852" s="695"/>
      <c r="G852" s="695"/>
      <c r="H852" s="452"/>
      <c r="I852" s="452"/>
      <c r="J852" s="354"/>
      <c r="K852" s="354"/>
      <c r="L852" s="354"/>
      <c r="M852" s="354"/>
      <c r="N852" s="354"/>
      <c r="O852" s="354"/>
      <c r="P852" s="354"/>
      <c r="Q852" s="452"/>
      <c r="R852" s="354"/>
      <c r="S852" s="354"/>
      <c r="T852" s="354"/>
      <c r="U852" s="354"/>
      <c r="V852" s="354"/>
      <c r="W852" s="354"/>
      <c r="X852" s="354"/>
      <c r="Y852" s="354"/>
      <c r="Z852" s="354"/>
      <c r="AA852" s="354"/>
      <c r="AB852" s="452"/>
      <c r="AC852" s="354"/>
      <c r="AD852" s="354"/>
      <c r="AE852" s="354"/>
      <c r="AF852" s="354"/>
      <c r="AG852" s="354"/>
      <c r="AH852" s="358"/>
      <c r="AI852" s="669"/>
      <c r="AJ852" s="669"/>
      <c r="AK852" s="366"/>
      <c r="AL852" s="366"/>
      <c r="AM852" s="366"/>
      <c r="AN852" s="366"/>
      <c r="AO852" s="367"/>
      <c r="AP852" s="367"/>
      <c r="AQ852" s="340"/>
      <c r="AR852" s="340"/>
      <c r="AS852" s="340"/>
      <c r="AT852" s="340"/>
      <c r="AU852" s="340"/>
      <c r="AV852" s="340"/>
      <c r="AW852" s="426"/>
      <c r="AX852" s="426"/>
      <c r="AY852" s="426"/>
      <c r="AZ852" s="426"/>
      <c r="BA852" s="426"/>
      <c r="BB852" s="426"/>
      <c r="BC852" s="426"/>
      <c r="BD852" s="426"/>
      <c r="BE852" s="426"/>
    </row>
    <row r="853" spans="1:57" ht="14.25" customHeight="1" outlineLevel="1">
      <c r="A853" s="488" t="s">
        <v>2219</v>
      </c>
      <c r="B853" s="438" t="s">
        <v>156</v>
      </c>
      <c r="C853" s="387">
        <v>0.4</v>
      </c>
      <c r="D853" s="695"/>
      <c r="E853" s="695"/>
      <c r="F853" s="695"/>
      <c r="G853" s="695"/>
      <c r="H853" s="452"/>
      <c r="I853" s="452"/>
      <c r="J853" s="354"/>
      <c r="K853" s="354"/>
      <c r="L853" s="354"/>
      <c r="M853" s="354"/>
      <c r="N853" s="354"/>
      <c r="O853" s="354"/>
      <c r="P853" s="354"/>
      <c r="Q853" s="354"/>
      <c r="R853" s="354"/>
      <c r="S853" s="354"/>
      <c r="T853" s="354"/>
      <c r="U853" s="354"/>
      <c r="V853" s="354"/>
      <c r="W853" s="354"/>
      <c r="X853" s="354"/>
      <c r="Y853" s="354"/>
      <c r="Z853" s="354"/>
      <c r="AA853" s="354"/>
      <c r="AB853" s="354"/>
      <c r="AC853" s="354"/>
      <c r="AD853" s="354"/>
      <c r="AE853" s="354"/>
      <c r="AF853" s="354"/>
      <c r="AG853" s="354"/>
      <c r="AH853" s="358"/>
      <c r="AI853" s="669"/>
      <c r="AJ853" s="669"/>
      <c r="AK853" s="366"/>
      <c r="AL853" s="366"/>
      <c r="AM853" s="366"/>
      <c r="AN853" s="366"/>
      <c r="AO853" s="367"/>
      <c r="AP853" s="367"/>
      <c r="AQ853" s="340"/>
      <c r="AR853" s="340"/>
      <c r="AS853" s="340"/>
      <c r="AT853" s="340"/>
      <c r="AU853" s="340"/>
      <c r="AV853" s="340"/>
      <c r="AW853" s="426"/>
      <c r="AX853" s="426"/>
      <c r="AY853" s="426"/>
      <c r="AZ853" s="426"/>
      <c r="BA853" s="426"/>
      <c r="BB853" s="426"/>
      <c r="BC853" s="426"/>
      <c r="BD853" s="426"/>
      <c r="BE853" s="426"/>
    </row>
    <row r="854" spans="1:57" ht="14.25" customHeight="1" outlineLevel="1">
      <c r="A854" s="525" t="s">
        <v>2220</v>
      </c>
      <c r="B854" s="438" t="s">
        <v>120</v>
      </c>
      <c r="C854" s="402"/>
      <c r="D854" s="695"/>
      <c r="E854" s="695"/>
      <c r="F854" s="695"/>
      <c r="G854" s="695"/>
      <c r="H854" s="695"/>
      <c r="I854" s="695"/>
      <c r="J854" s="695"/>
      <c r="K854" s="695"/>
      <c r="L854" s="695"/>
      <c r="M854" s="695"/>
      <c r="N854" s="695"/>
      <c r="O854" s="695"/>
      <c r="P854" s="695"/>
      <c r="Q854" s="695"/>
      <c r="R854" s="695"/>
      <c r="S854" s="695"/>
      <c r="T854" s="695"/>
      <c r="U854" s="695"/>
      <c r="V854" s="696"/>
      <c r="W854" s="696"/>
      <c r="X854" s="696"/>
      <c r="Y854" s="697"/>
      <c r="Z854" s="697"/>
      <c r="AA854" s="697"/>
      <c r="AB854" s="697"/>
      <c r="AC854" s="697"/>
      <c r="AD854" s="698"/>
      <c r="AE854" s="698"/>
      <c r="AF854" s="698"/>
      <c r="AG854" s="669"/>
      <c r="AH854" s="669"/>
      <c r="AI854" s="669"/>
      <c r="AJ854" s="669"/>
      <c r="AK854" s="366"/>
      <c r="AL854" s="366"/>
      <c r="AM854" s="366"/>
      <c r="AN854" s="366"/>
      <c r="AO854" s="367"/>
      <c r="AP854" s="367"/>
      <c r="AQ854" s="340"/>
      <c r="AR854" s="340"/>
      <c r="AS854" s="340"/>
      <c r="AT854" s="340"/>
      <c r="AU854" s="340"/>
      <c r="AV854" s="340"/>
      <c r="AW854" s="426"/>
      <c r="AX854" s="426"/>
      <c r="AY854" s="426"/>
      <c r="AZ854" s="426"/>
      <c r="BA854" s="426"/>
      <c r="BB854" s="426"/>
      <c r="BC854" s="426"/>
      <c r="BD854" s="426"/>
      <c r="BE854" s="426"/>
    </row>
    <row r="855" spans="1:57" ht="14.25" customHeight="1" outlineLevel="1">
      <c r="A855" s="488" t="s">
        <v>2221</v>
      </c>
      <c r="B855" s="438" t="s">
        <v>156</v>
      </c>
      <c r="C855" s="387">
        <v>0.05</v>
      </c>
      <c r="D855" s="695"/>
      <c r="E855" s="695"/>
      <c r="F855" s="695"/>
      <c r="G855" s="695"/>
      <c r="H855" s="695"/>
      <c r="I855" s="695"/>
      <c r="J855" s="695"/>
      <c r="K855" s="695"/>
      <c r="L855" s="695"/>
      <c r="M855" s="695"/>
      <c r="N855" s="695"/>
      <c r="O855" s="695"/>
      <c r="P855" s="695"/>
      <c r="Q855" s="695"/>
      <c r="R855" s="695"/>
      <c r="S855" s="695"/>
      <c r="T855" s="695"/>
      <c r="U855" s="695"/>
      <c r="V855" s="696"/>
      <c r="W855" s="696"/>
      <c r="X855" s="696"/>
      <c r="Y855" s="697"/>
      <c r="Z855" s="697"/>
      <c r="AA855" s="697"/>
      <c r="AB855" s="697"/>
      <c r="AC855" s="697"/>
      <c r="AD855" s="698"/>
      <c r="AE855" s="698"/>
      <c r="AF855" s="698"/>
      <c r="AG855" s="669"/>
      <c r="AH855" s="669"/>
      <c r="AI855" s="669"/>
      <c r="AJ855" s="669"/>
      <c r="AK855" s="366"/>
      <c r="AL855" s="366"/>
      <c r="AM855" s="366"/>
      <c r="AN855" s="366"/>
      <c r="AO855" s="367"/>
      <c r="AP855" s="367"/>
      <c r="AQ855" s="340"/>
      <c r="AR855" s="340"/>
      <c r="AS855" s="340"/>
      <c r="AT855" s="340"/>
      <c r="AU855" s="340"/>
      <c r="AV855" s="340"/>
      <c r="AW855" s="426"/>
      <c r="AX855" s="426"/>
      <c r="AY855" s="426"/>
      <c r="AZ855" s="426"/>
      <c r="BA855" s="426"/>
      <c r="BB855" s="426"/>
      <c r="BC855" s="426"/>
      <c r="BD855" s="426"/>
      <c r="BE855" s="426"/>
    </row>
    <row r="856" spans="1:57" ht="14.25" customHeight="1" outlineLevel="1">
      <c r="A856" s="488" t="s">
        <v>2222</v>
      </c>
      <c r="B856" s="438" t="s">
        <v>156</v>
      </c>
      <c r="C856" s="387">
        <v>0.2</v>
      </c>
      <c r="D856" s="695"/>
      <c r="E856" s="695"/>
      <c r="F856" s="695"/>
      <c r="G856" s="695"/>
      <c r="H856" s="695"/>
      <c r="I856" s="695"/>
      <c r="J856" s="695"/>
      <c r="K856" s="695"/>
      <c r="L856" s="695"/>
      <c r="M856" s="695"/>
      <c r="N856" s="695"/>
      <c r="O856" s="695"/>
      <c r="P856" s="695"/>
      <c r="Q856" s="695"/>
      <c r="R856" s="695"/>
      <c r="S856" s="695"/>
      <c r="T856" s="695"/>
      <c r="U856" s="695"/>
      <c r="V856" s="696"/>
      <c r="W856" s="696"/>
      <c r="X856" s="696"/>
      <c r="Y856" s="697"/>
      <c r="Z856" s="697"/>
      <c r="AA856" s="697"/>
      <c r="AB856" s="697"/>
      <c r="AC856" s="697"/>
      <c r="AD856" s="698"/>
      <c r="AE856" s="698"/>
      <c r="AF856" s="698"/>
      <c r="AG856" s="669"/>
      <c r="AH856" s="669"/>
      <c r="AI856" s="669"/>
      <c r="AJ856" s="669"/>
      <c r="AK856" s="366"/>
      <c r="AL856" s="366"/>
      <c r="AM856" s="366"/>
      <c r="AN856" s="366"/>
      <c r="AO856" s="367"/>
      <c r="AP856" s="367"/>
      <c r="AQ856" s="340"/>
      <c r="AR856" s="340"/>
      <c r="AS856" s="340"/>
      <c r="AT856" s="340"/>
      <c r="AU856" s="340"/>
      <c r="AV856" s="340"/>
      <c r="AW856" s="426"/>
      <c r="AX856" s="426"/>
      <c r="AY856" s="426"/>
      <c r="AZ856" s="426"/>
      <c r="BA856" s="426"/>
      <c r="BB856" s="426"/>
      <c r="BC856" s="426"/>
      <c r="BD856" s="426"/>
      <c r="BE856" s="426"/>
    </row>
    <row r="857" spans="1:57" ht="14.25" customHeight="1" outlineLevel="1">
      <c r="A857" s="488" t="s">
        <v>2223</v>
      </c>
      <c r="B857" s="438" t="s">
        <v>159</v>
      </c>
      <c r="C857" s="387">
        <v>2</v>
      </c>
      <c r="D857" s="695"/>
      <c r="E857" s="695"/>
      <c r="F857" s="695"/>
      <c r="G857" s="695"/>
      <c r="H857" s="695"/>
      <c r="I857" s="695"/>
      <c r="J857" s="695"/>
      <c r="K857" s="695"/>
      <c r="L857" s="695"/>
      <c r="M857" s="695"/>
      <c r="N857" s="695"/>
      <c r="O857" s="695"/>
      <c r="P857" s="695"/>
      <c r="Q857" s="695"/>
      <c r="R857" s="695"/>
      <c r="S857" s="695"/>
      <c r="T857" s="695"/>
      <c r="U857" s="695"/>
      <c r="V857" s="696"/>
      <c r="W857" s="696"/>
      <c r="X857" s="696"/>
      <c r="Y857" s="697"/>
      <c r="Z857" s="697"/>
      <c r="AA857" s="697"/>
      <c r="AB857" s="697"/>
      <c r="AC857" s="697"/>
      <c r="AD857" s="698"/>
      <c r="AE857" s="698"/>
      <c r="AF857" s="698"/>
      <c r="AG857" s="669"/>
      <c r="AH857" s="669"/>
      <c r="AI857" s="669"/>
      <c r="AJ857" s="669"/>
      <c r="AK857" s="366"/>
      <c r="AL857" s="366"/>
      <c r="AM857" s="366"/>
      <c r="AN857" s="366"/>
      <c r="AO857" s="367"/>
      <c r="AP857" s="367"/>
      <c r="AQ857" s="340"/>
      <c r="AR857" s="340"/>
      <c r="AS857" s="340"/>
      <c r="AT857" s="340"/>
      <c r="AU857" s="340"/>
      <c r="AV857" s="340"/>
      <c r="AW857" s="426"/>
      <c r="AX857" s="426"/>
      <c r="AY857" s="426"/>
      <c r="AZ857" s="426"/>
      <c r="BA857" s="426"/>
      <c r="BB857" s="426"/>
      <c r="BC857" s="426"/>
      <c r="BD857" s="426"/>
      <c r="BE857" s="426"/>
    </row>
    <row r="858" spans="1:57" ht="14.25" customHeight="1" outlineLevel="1">
      <c r="A858" s="488" t="s">
        <v>2224</v>
      </c>
      <c r="B858" s="438" t="s">
        <v>154</v>
      </c>
      <c r="C858" s="710">
        <v>5</v>
      </c>
      <c r="D858" s="695"/>
      <c r="E858" s="695"/>
      <c r="F858" s="695"/>
      <c r="G858" s="695"/>
      <c r="H858" s="695"/>
      <c r="I858" s="695"/>
      <c r="J858" s="695"/>
      <c r="K858" s="695"/>
      <c r="L858" s="695"/>
      <c r="M858" s="695"/>
      <c r="N858" s="695"/>
      <c r="O858" s="695"/>
      <c r="P858" s="695"/>
      <c r="Q858" s="695"/>
      <c r="R858" s="695"/>
      <c r="S858" s="695"/>
      <c r="T858" s="695"/>
      <c r="U858" s="695"/>
      <c r="V858" s="696"/>
      <c r="W858" s="696"/>
      <c r="X858" s="696"/>
      <c r="Y858" s="697"/>
      <c r="Z858" s="697"/>
      <c r="AA858" s="697"/>
      <c r="AB858" s="697"/>
      <c r="AC858" s="697"/>
      <c r="AD858" s="698"/>
      <c r="AE858" s="698"/>
      <c r="AF858" s="698"/>
      <c r="AG858" s="669"/>
      <c r="AH858" s="669"/>
      <c r="AI858" s="669"/>
      <c r="AJ858" s="669"/>
      <c r="AK858" s="366"/>
      <c r="AL858" s="366"/>
      <c r="AM858" s="366"/>
      <c r="AN858" s="366"/>
      <c r="AO858" s="367"/>
      <c r="AP858" s="367"/>
      <c r="AQ858" s="340"/>
      <c r="AR858" s="340"/>
      <c r="AS858" s="340"/>
      <c r="AT858" s="340"/>
      <c r="AU858" s="340"/>
      <c r="AV858" s="340"/>
      <c r="AW858" s="426"/>
      <c r="AX858" s="426"/>
      <c r="AY858" s="426"/>
      <c r="AZ858" s="426"/>
      <c r="BA858" s="426"/>
      <c r="BB858" s="426"/>
      <c r="BC858" s="426"/>
      <c r="BD858" s="426"/>
      <c r="BE858" s="426"/>
    </row>
    <row r="859" spans="1:57" ht="14.25" customHeight="1" outlineLevel="1">
      <c r="A859" s="525" t="s">
        <v>2225</v>
      </c>
      <c r="B859" s="438" t="s">
        <v>1820</v>
      </c>
      <c r="C859" s="595" t="s">
        <v>1821</v>
      </c>
      <c r="D859" s="695"/>
      <c r="E859" s="695"/>
      <c r="F859" s="695"/>
      <c r="G859" s="695"/>
      <c r="H859" s="695"/>
      <c r="I859" s="695"/>
      <c r="J859" s="695"/>
      <c r="K859" s="695"/>
      <c r="L859" s="695"/>
      <c r="M859" s="695"/>
      <c r="N859" s="695"/>
      <c r="O859" s="695"/>
      <c r="P859" s="695"/>
      <c r="Q859" s="695"/>
      <c r="R859" s="695"/>
      <c r="S859" s="695"/>
      <c r="T859" s="695"/>
      <c r="U859" s="695"/>
      <c r="V859" s="696"/>
      <c r="W859" s="696"/>
      <c r="X859" s="696"/>
      <c r="Y859" s="697"/>
      <c r="Z859" s="697"/>
      <c r="AA859" s="697"/>
      <c r="AB859" s="697"/>
      <c r="AC859" s="697"/>
      <c r="AD859" s="698"/>
      <c r="AE859" s="698"/>
      <c r="AF859" s="698"/>
      <c r="AG859" s="669"/>
      <c r="AH859" s="669"/>
      <c r="AI859" s="669"/>
      <c r="AJ859" s="669"/>
      <c r="AK859" s="366"/>
      <c r="AL859" s="366"/>
      <c r="AM859" s="366"/>
      <c r="AN859" s="366"/>
      <c r="AO859" s="367"/>
      <c r="AP859" s="367"/>
      <c r="AQ859" s="340"/>
      <c r="AR859" s="340"/>
      <c r="AS859" s="340"/>
      <c r="AT859" s="340"/>
      <c r="AU859" s="340"/>
      <c r="AV859" s="340"/>
      <c r="AW859" s="426"/>
      <c r="AX859" s="426"/>
      <c r="AY859" s="426"/>
      <c r="AZ859" s="426"/>
      <c r="BA859" s="426"/>
      <c r="BB859" s="426"/>
      <c r="BC859" s="426"/>
      <c r="BD859" s="426"/>
      <c r="BE859" s="426"/>
    </row>
    <row r="860" spans="1:57" ht="14.25" customHeight="1" outlineLevel="1">
      <c r="A860" s="263" t="s">
        <v>1172</v>
      </c>
      <c r="B860" s="415" t="s">
        <v>154</v>
      </c>
      <c r="C860" s="262">
        <v>5</v>
      </c>
      <c r="D860" s="695"/>
      <c r="E860" s="695"/>
      <c r="F860" s="695"/>
      <c r="G860" s="695"/>
      <c r="H860" s="695"/>
      <c r="I860" s="695"/>
      <c r="J860" s="695"/>
      <c r="K860" s="695"/>
      <c r="L860" s="695"/>
      <c r="M860" s="695"/>
      <c r="N860" s="695"/>
      <c r="O860" s="695"/>
      <c r="P860" s="695"/>
      <c r="Q860" s="695"/>
      <c r="R860" s="695"/>
      <c r="S860" s="695"/>
      <c r="T860" s="695"/>
      <c r="U860" s="695"/>
      <c r="V860" s="696"/>
      <c r="W860" s="696"/>
      <c r="X860" s="696"/>
      <c r="Y860" s="697"/>
      <c r="Z860" s="697"/>
      <c r="AA860" s="697"/>
      <c r="AB860" s="697"/>
      <c r="AC860" s="697"/>
      <c r="AD860" s="698"/>
      <c r="AE860" s="698"/>
      <c r="AF860" s="698"/>
      <c r="AG860" s="669"/>
      <c r="AH860" s="669"/>
      <c r="AI860" s="669"/>
      <c r="AJ860" s="669"/>
      <c r="AK860" s="366"/>
      <c r="AL860" s="366"/>
      <c r="AM860" s="366"/>
      <c r="AN860" s="366"/>
      <c r="AO860" s="367"/>
      <c r="AP860" s="367"/>
      <c r="AQ860" s="340"/>
      <c r="AR860" s="340"/>
      <c r="AS860" s="340"/>
      <c r="AT860" s="340"/>
      <c r="AU860" s="340"/>
      <c r="AV860" s="340"/>
      <c r="AW860" s="426"/>
      <c r="AX860" s="426"/>
      <c r="AY860" s="426"/>
      <c r="AZ860" s="426"/>
      <c r="BA860" s="426"/>
      <c r="BB860" s="426"/>
      <c r="BC860" s="426"/>
      <c r="BD860" s="426"/>
      <c r="BE860" s="426"/>
    </row>
    <row r="861" spans="1:57" ht="14.25" customHeight="1" outlineLevel="1">
      <c r="A861" s="263" t="s">
        <v>2226</v>
      </c>
      <c r="B861" s="415" t="s">
        <v>156</v>
      </c>
      <c r="C861" s="262">
        <v>0.4</v>
      </c>
      <c r="D861" s="695"/>
      <c r="E861" s="695"/>
      <c r="F861" s="695"/>
      <c r="G861" s="695"/>
      <c r="H861" s="695"/>
      <c r="I861" s="695"/>
      <c r="J861" s="695"/>
      <c r="K861" s="695"/>
      <c r="L861" s="695"/>
      <c r="M861" s="695"/>
      <c r="N861" s="695"/>
      <c r="O861" s="695"/>
      <c r="P861" s="695"/>
      <c r="Q861" s="695"/>
      <c r="R861" s="695"/>
      <c r="S861" s="695"/>
      <c r="T861" s="695"/>
      <c r="U861" s="695"/>
      <c r="V861" s="696"/>
      <c r="W861" s="696"/>
      <c r="X861" s="696"/>
      <c r="Y861" s="697"/>
      <c r="Z861" s="697"/>
      <c r="AA861" s="697"/>
      <c r="AB861" s="697"/>
      <c r="AC861" s="697"/>
      <c r="AD861" s="698"/>
      <c r="AE861" s="698"/>
      <c r="AF861" s="698"/>
      <c r="AG861" s="669"/>
      <c r="AH861" s="669"/>
      <c r="AI861" s="669"/>
      <c r="AJ861" s="669"/>
      <c r="AK861" s="366"/>
      <c r="AL861" s="366"/>
      <c r="AM861" s="366"/>
      <c r="AN861" s="366"/>
      <c r="AO861" s="367"/>
      <c r="AP861" s="367"/>
      <c r="AQ861" s="340"/>
      <c r="AR861" s="340"/>
      <c r="AS861" s="340"/>
      <c r="AT861" s="340"/>
      <c r="AU861" s="340"/>
      <c r="AV861" s="340"/>
      <c r="AW861" s="426"/>
      <c r="AX861" s="426"/>
      <c r="AY861" s="426"/>
      <c r="AZ861" s="426"/>
      <c r="BA861" s="426"/>
      <c r="BB861" s="426"/>
      <c r="BC861" s="426"/>
      <c r="BD861" s="426"/>
      <c r="BE861" s="426"/>
    </row>
    <row r="862" spans="1:57" ht="14.25" customHeight="1" outlineLevel="1">
      <c r="A862" s="263" t="s">
        <v>2149</v>
      </c>
      <c r="B862" s="415" t="s">
        <v>156</v>
      </c>
      <c r="C862" s="262">
        <v>0.4</v>
      </c>
      <c r="D862" s="695"/>
      <c r="E862" s="695"/>
      <c r="F862" s="695"/>
      <c r="G862" s="695"/>
      <c r="H862" s="695"/>
      <c r="I862" s="695"/>
      <c r="J862" s="695"/>
      <c r="K862" s="695"/>
      <c r="L862" s="695"/>
      <c r="M862" s="695"/>
      <c r="N862" s="695"/>
      <c r="O862" s="695"/>
      <c r="P862" s="695"/>
      <c r="Q862" s="695"/>
      <c r="R862" s="695"/>
      <c r="S862" s="695"/>
      <c r="T862" s="695"/>
      <c r="U862" s="695"/>
      <c r="V862" s="696"/>
      <c r="W862" s="696"/>
      <c r="X862" s="696"/>
      <c r="Y862" s="697"/>
      <c r="Z862" s="697"/>
      <c r="AA862" s="697"/>
      <c r="AB862" s="697"/>
      <c r="AC862" s="697"/>
      <c r="AD862" s="698"/>
      <c r="AE862" s="698"/>
      <c r="AF862" s="698"/>
      <c r="AG862" s="669"/>
      <c r="AH862" s="669"/>
      <c r="AI862" s="669"/>
      <c r="AJ862" s="669"/>
      <c r="AK862" s="366"/>
      <c r="AL862" s="366"/>
      <c r="AM862" s="366"/>
      <c r="AN862" s="366"/>
      <c r="AO862" s="367"/>
      <c r="AP862" s="367"/>
      <c r="AQ862" s="340"/>
      <c r="AR862" s="340"/>
      <c r="AS862" s="340"/>
      <c r="AT862" s="340"/>
      <c r="AU862" s="340"/>
      <c r="AV862" s="340"/>
      <c r="AW862" s="426"/>
      <c r="AX862" s="426"/>
      <c r="AY862" s="426"/>
      <c r="AZ862" s="426"/>
      <c r="BA862" s="426"/>
      <c r="BB862" s="426"/>
      <c r="BC862" s="426"/>
      <c r="BD862" s="426"/>
      <c r="BE862" s="426"/>
    </row>
    <row r="863" spans="1:57" ht="14.25" customHeight="1" outlineLevel="1">
      <c r="A863" s="263" t="s">
        <v>2150</v>
      </c>
      <c r="B863" s="415" t="s">
        <v>156</v>
      </c>
      <c r="C863" s="262">
        <v>0.2</v>
      </c>
      <c r="D863" s="695"/>
      <c r="E863" s="695"/>
      <c r="F863" s="695"/>
      <c r="G863" s="695"/>
      <c r="H863" s="695"/>
      <c r="I863" s="695"/>
      <c r="J863" s="695"/>
      <c r="K863" s="695"/>
      <c r="L863" s="695"/>
      <c r="M863" s="695"/>
      <c r="N863" s="695"/>
      <c r="O863" s="695"/>
      <c r="P863" s="695"/>
      <c r="Q863" s="695"/>
      <c r="R863" s="695"/>
      <c r="S863" s="695"/>
      <c r="T863" s="695"/>
      <c r="U863" s="695"/>
      <c r="V863" s="696"/>
      <c r="W863" s="696"/>
      <c r="X863" s="696"/>
      <c r="Y863" s="697"/>
      <c r="Z863" s="697"/>
      <c r="AA863" s="697"/>
      <c r="AB863" s="697"/>
      <c r="AC863" s="697"/>
      <c r="AD863" s="698"/>
      <c r="AE863" s="698"/>
      <c r="AF863" s="698"/>
      <c r="AG863" s="669"/>
      <c r="AH863" s="669"/>
      <c r="AI863" s="669"/>
      <c r="AJ863" s="669"/>
      <c r="AK863" s="366"/>
      <c r="AL863" s="366"/>
      <c r="AM863" s="366"/>
      <c r="AN863" s="366"/>
      <c r="AO863" s="367"/>
      <c r="AP863" s="367"/>
      <c r="AQ863" s="340"/>
      <c r="AR863" s="340"/>
      <c r="AS863" s="340"/>
      <c r="AT863" s="340"/>
      <c r="AU863" s="340"/>
      <c r="AV863" s="340"/>
      <c r="AW863" s="426"/>
      <c r="AX863" s="426"/>
      <c r="AY863" s="426"/>
      <c r="AZ863" s="426"/>
      <c r="BA863" s="426"/>
      <c r="BB863" s="426"/>
      <c r="BC863" s="426"/>
      <c r="BD863" s="426"/>
      <c r="BE863" s="426"/>
    </row>
    <row r="864" spans="1:57" ht="14.25" customHeight="1" outlineLevel="1">
      <c r="A864" s="263" t="s">
        <v>2151</v>
      </c>
      <c r="B864" s="415" t="s">
        <v>156</v>
      </c>
      <c r="C864" s="262">
        <v>0.3</v>
      </c>
      <c r="D864" s="695"/>
      <c r="E864" s="695"/>
      <c r="F864" s="695"/>
      <c r="G864" s="695"/>
      <c r="H864" s="695"/>
      <c r="I864" s="695"/>
      <c r="J864" s="695"/>
      <c r="K864" s="695"/>
      <c r="L864" s="695"/>
      <c r="M864" s="695"/>
      <c r="N864" s="695"/>
      <c r="O864" s="695"/>
      <c r="P864" s="695"/>
      <c r="Q864" s="695"/>
      <c r="R864" s="695"/>
      <c r="S864" s="695"/>
      <c r="T864" s="695"/>
      <c r="U864" s="695"/>
      <c r="V864" s="696"/>
      <c r="W864" s="696"/>
      <c r="X864" s="696"/>
      <c r="Y864" s="697"/>
      <c r="Z864" s="697"/>
      <c r="AA864" s="697"/>
      <c r="AB864" s="697"/>
      <c r="AC864" s="697"/>
      <c r="AD864" s="698"/>
      <c r="AE864" s="698"/>
      <c r="AF864" s="698"/>
      <c r="AG864" s="669"/>
      <c r="AH864" s="669"/>
      <c r="AI864" s="669"/>
      <c r="AJ864" s="669"/>
      <c r="AK864" s="366"/>
      <c r="AL864" s="366"/>
      <c r="AM864" s="366"/>
      <c r="AN864" s="366"/>
      <c r="AO864" s="367"/>
      <c r="AP864" s="367"/>
      <c r="AQ864" s="340"/>
      <c r="AR864" s="340"/>
      <c r="AS864" s="340"/>
      <c r="AT864" s="340"/>
      <c r="AU864" s="340"/>
      <c r="AV864" s="340"/>
      <c r="AW864" s="426"/>
      <c r="AX864" s="426"/>
      <c r="AY864" s="426"/>
      <c r="AZ864" s="426"/>
      <c r="BA864" s="426"/>
      <c r="BB864" s="426"/>
      <c r="BC864" s="426"/>
      <c r="BD864" s="426"/>
      <c r="BE864" s="426"/>
    </row>
    <row r="865" spans="1:57" ht="14.25" customHeight="1" outlineLevel="1">
      <c r="A865" s="263" t="s">
        <v>2227</v>
      </c>
      <c r="B865" s="415" t="s">
        <v>156</v>
      </c>
      <c r="C865" s="262">
        <v>0.04</v>
      </c>
      <c r="D865" s="695"/>
      <c r="E865" s="695"/>
      <c r="F865" s="695"/>
      <c r="G865" s="695"/>
      <c r="H865" s="695"/>
      <c r="I865" s="695"/>
      <c r="J865" s="695"/>
      <c r="K865" s="695"/>
      <c r="L865" s="695"/>
      <c r="M865" s="695"/>
      <c r="N865" s="695"/>
      <c r="O865" s="695"/>
      <c r="P865" s="695"/>
      <c r="Q865" s="695"/>
      <c r="R865" s="695"/>
      <c r="S865" s="695"/>
      <c r="T865" s="695"/>
      <c r="U865" s="695"/>
      <c r="V865" s="696"/>
      <c r="W865" s="696"/>
      <c r="X865" s="696"/>
      <c r="Y865" s="697"/>
      <c r="Z865" s="697"/>
      <c r="AA865" s="697"/>
      <c r="AB865" s="697"/>
      <c r="AC865" s="697"/>
      <c r="AD865" s="698"/>
      <c r="AE865" s="698"/>
      <c r="AF865" s="698"/>
      <c r="AG865" s="669"/>
      <c r="AH865" s="669"/>
      <c r="AI865" s="669"/>
      <c r="AJ865" s="669"/>
      <c r="AK865" s="366"/>
      <c r="AL865" s="366"/>
      <c r="AM865" s="366"/>
      <c r="AN865" s="366"/>
      <c r="AO865" s="367"/>
      <c r="AP865" s="367"/>
      <c r="AQ865" s="340"/>
      <c r="AR865" s="340"/>
      <c r="AS865" s="340"/>
      <c r="AT865" s="340"/>
      <c r="AU865" s="340"/>
      <c r="AV865" s="340"/>
      <c r="AW865" s="426"/>
      <c r="AX865" s="426"/>
      <c r="AY865" s="426"/>
      <c r="AZ865" s="426"/>
      <c r="BA865" s="426"/>
      <c r="BB865" s="426"/>
      <c r="BC865" s="426"/>
      <c r="BD865" s="426"/>
      <c r="BE865" s="426"/>
    </row>
    <row r="866" spans="1:57" ht="14.25" customHeight="1" outlineLevel="1">
      <c r="A866" s="263" t="s">
        <v>2228</v>
      </c>
      <c r="B866" s="415" t="s">
        <v>159</v>
      </c>
      <c r="C866" s="262">
        <v>4</v>
      </c>
      <c r="D866" s="695"/>
      <c r="E866" s="695"/>
      <c r="F866" s="695"/>
      <c r="G866" s="695"/>
      <c r="H866" s="695"/>
      <c r="I866" s="695"/>
      <c r="J866" s="695"/>
      <c r="K866" s="695"/>
      <c r="L866" s="695"/>
      <c r="M866" s="695"/>
      <c r="N866" s="695"/>
      <c r="O866" s="695"/>
      <c r="P866" s="695"/>
      <c r="Q866" s="695"/>
      <c r="R866" s="695"/>
      <c r="S866" s="695"/>
      <c r="T866" s="695"/>
      <c r="U866" s="695"/>
      <c r="V866" s="696"/>
      <c r="W866" s="696"/>
      <c r="X866" s="696"/>
      <c r="Y866" s="697"/>
      <c r="Z866" s="697"/>
      <c r="AA866" s="697"/>
      <c r="AB866" s="697"/>
      <c r="AC866" s="697"/>
      <c r="AD866" s="698"/>
      <c r="AE866" s="698"/>
      <c r="AF866" s="698"/>
      <c r="AG866" s="669"/>
      <c r="AH866" s="669"/>
      <c r="AI866" s="669"/>
      <c r="AJ866" s="669"/>
      <c r="AK866" s="366"/>
      <c r="AL866" s="366"/>
      <c r="AM866" s="366"/>
      <c r="AN866" s="366"/>
      <c r="AO866" s="367"/>
      <c r="AP866" s="367"/>
      <c r="AQ866" s="340"/>
      <c r="AR866" s="340"/>
      <c r="AS866" s="340"/>
      <c r="AT866" s="340"/>
      <c r="AU866" s="340"/>
      <c r="AV866" s="340"/>
      <c r="AW866" s="426"/>
      <c r="AX866" s="426"/>
      <c r="AY866" s="426"/>
      <c r="AZ866" s="426"/>
      <c r="BA866" s="426"/>
      <c r="BB866" s="426"/>
      <c r="BC866" s="426"/>
      <c r="BD866" s="426"/>
      <c r="BE866" s="426"/>
    </row>
    <row r="867" spans="1:57" ht="14.25" customHeight="1" outlineLevel="1">
      <c r="A867" s="263" t="s">
        <v>2229</v>
      </c>
      <c r="B867" s="415" t="s">
        <v>156</v>
      </c>
      <c r="C867" s="262">
        <v>0.6</v>
      </c>
      <c r="D867" s="695"/>
      <c r="E867" s="695"/>
      <c r="F867" s="695"/>
      <c r="G867" s="695"/>
      <c r="H867" s="695"/>
      <c r="I867" s="695"/>
      <c r="J867" s="695"/>
      <c r="K867" s="695"/>
      <c r="L867" s="695"/>
      <c r="M867" s="695"/>
      <c r="N867" s="695"/>
      <c r="O867" s="695"/>
      <c r="P867" s="695"/>
      <c r="Q867" s="695"/>
      <c r="R867" s="695"/>
      <c r="S867" s="695"/>
      <c r="T867" s="695"/>
      <c r="U867" s="695"/>
      <c r="V867" s="696"/>
      <c r="W867" s="696"/>
      <c r="X867" s="696"/>
      <c r="Y867" s="697"/>
      <c r="Z867" s="697"/>
      <c r="AA867" s="697"/>
      <c r="AB867" s="697"/>
      <c r="AC867" s="697"/>
      <c r="AD867" s="698"/>
      <c r="AE867" s="698"/>
      <c r="AF867" s="698"/>
      <c r="AG867" s="669"/>
      <c r="AH867" s="669"/>
      <c r="AI867" s="669"/>
      <c r="AJ867" s="669"/>
      <c r="AK867" s="366"/>
      <c r="AL867" s="366"/>
      <c r="AM867" s="366"/>
      <c r="AN867" s="366"/>
      <c r="AO867" s="367"/>
      <c r="AP867" s="367"/>
      <c r="AQ867" s="340"/>
      <c r="AR867" s="340"/>
      <c r="AS867" s="340"/>
      <c r="AT867" s="340"/>
      <c r="AU867" s="340"/>
      <c r="AV867" s="340"/>
      <c r="AW867" s="426"/>
      <c r="AX867" s="426"/>
      <c r="AY867" s="426"/>
      <c r="AZ867" s="426"/>
      <c r="BA867" s="426"/>
      <c r="BB867" s="426"/>
      <c r="BC867" s="426"/>
      <c r="BD867" s="426"/>
      <c r="BE867" s="426"/>
    </row>
    <row r="868" spans="1:57" ht="14.25" customHeight="1" outlineLevel="1">
      <c r="A868" s="525" t="s">
        <v>2230</v>
      </c>
      <c r="B868" s="438" t="s">
        <v>1820</v>
      </c>
      <c r="C868" s="595" t="s">
        <v>1821</v>
      </c>
      <c r="D868" s="695"/>
      <c r="E868" s="695"/>
      <c r="F868" s="695"/>
      <c r="G868" s="695"/>
      <c r="H868" s="695"/>
      <c r="I868" s="695"/>
      <c r="J868" s="695"/>
      <c r="K868" s="695"/>
      <c r="L868" s="695"/>
      <c r="M868" s="695"/>
      <c r="N868" s="695"/>
      <c r="O868" s="695"/>
      <c r="P868" s="695"/>
      <c r="Q868" s="695"/>
      <c r="R868" s="695"/>
      <c r="S868" s="695"/>
      <c r="T868" s="695"/>
      <c r="U868" s="695"/>
      <c r="V868" s="696"/>
      <c r="W868" s="696"/>
      <c r="X868" s="696"/>
      <c r="Y868" s="697"/>
      <c r="Z868" s="697"/>
      <c r="AA868" s="697"/>
      <c r="AB868" s="697"/>
      <c r="AC868" s="697"/>
      <c r="AD868" s="698"/>
      <c r="AE868" s="698"/>
      <c r="AF868" s="698"/>
      <c r="AG868" s="669"/>
      <c r="AH868" s="669"/>
      <c r="AI868" s="669"/>
      <c r="AJ868" s="669"/>
      <c r="AK868" s="366"/>
      <c r="AL868" s="366"/>
      <c r="AM868" s="366"/>
      <c r="AN868" s="366"/>
      <c r="AO868" s="367"/>
      <c r="AP868" s="367"/>
      <c r="AQ868" s="340"/>
      <c r="AR868" s="340"/>
      <c r="AS868" s="340"/>
      <c r="AT868" s="340"/>
      <c r="AU868" s="340"/>
      <c r="AV868" s="340"/>
      <c r="AW868" s="426"/>
      <c r="AX868" s="426"/>
      <c r="AY868" s="426"/>
      <c r="AZ868" s="426"/>
      <c r="BA868" s="426"/>
      <c r="BB868" s="426"/>
      <c r="BC868" s="426"/>
      <c r="BD868" s="426"/>
      <c r="BE868" s="426"/>
    </row>
    <row r="869" spans="1:57" ht="14.25" customHeight="1" outlineLevel="1">
      <c r="A869" s="263" t="s">
        <v>2177</v>
      </c>
      <c r="B869" s="415" t="s">
        <v>156</v>
      </c>
      <c r="C869" s="710">
        <v>0</v>
      </c>
      <c r="D869" s="695"/>
      <c r="E869" s="695"/>
      <c r="F869" s="695"/>
      <c r="G869" s="695"/>
      <c r="H869" s="695"/>
      <c r="I869" s="695"/>
      <c r="J869" s="695"/>
      <c r="K869" s="695"/>
      <c r="L869" s="695"/>
      <c r="M869" s="695"/>
      <c r="N869" s="695"/>
      <c r="O869" s="695"/>
      <c r="P869" s="695"/>
      <c r="Q869" s="695"/>
      <c r="R869" s="695"/>
      <c r="S869" s="695"/>
      <c r="T869" s="695"/>
      <c r="U869" s="695"/>
      <c r="V869" s="696"/>
      <c r="W869" s="696"/>
      <c r="X869" s="696"/>
      <c r="Y869" s="697"/>
      <c r="Z869" s="697"/>
      <c r="AA869" s="697"/>
      <c r="AB869" s="697"/>
      <c r="AC869" s="697"/>
      <c r="AD869" s="698"/>
      <c r="AE869" s="698"/>
      <c r="AF869" s="698"/>
      <c r="AG869" s="669"/>
      <c r="AH869" s="669"/>
      <c r="AI869" s="669"/>
      <c r="AJ869" s="669"/>
      <c r="AK869" s="366"/>
      <c r="AL869" s="366"/>
      <c r="AM869" s="366"/>
      <c r="AN869" s="366"/>
      <c r="AO869" s="367"/>
      <c r="AP869" s="367"/>
      <c r="AQ869" s="340"/>
      <c r="AR869" s="340"/>
      <c r="AS869" s="340"/>
      <c r="AT869" s="340"/>
      <c r="AU869" s="340"/>
      <c r="AV869" s="340"/>
      <c r="AW869" s="426"/>
      <c r="AX869" s="426"/>
      <c r="AY869" s="426"/>
      <c r="AZ869" s="426"/>
      <c r="BA869" s="426"/>
      <c r="BB869" s="426"/>
      <c r="BC869" s="426"/>
      <c r="BD869" s="426"/>
      <c r="BE869" s="426"/>
    </row>
    <row r="870" spans="1:57" ht="14.25" customHeight="1" outlineLevel="1">
      <c r="A870" s="263" t="s">
        <v>2178</v>
      </c>
      <c r="B870" s="415" t="s">
        <v>156</v>
      </c>
      <c r="C870" s="710">
        <v>0</v>
      </c>
      <c r="D870" s="695"/>
      <c r="E870" s="695"/>
      <c r="F870" s="695"/>
      <c r="G870" s="695"/>
      <c r="H870" s="695"/>
      <c r="I870" s="695"/>
      <c r="J870" s="695"/>
      <c r="K870" s="695"/>
      <c r="L870" s="695"/>
      <c r="M870" s="695"/>
      <c r="N870" s="695"/>
      <c r="O870" s="695"/>
      <c r="P870" s="695"/>
      <c r="Q870" s="695"/>
      <c r="R870" s="695"/>
      <c r="S870" s="695"/>
      <c r="T870" s="695"/>
      <c r="U870" s="695"/>
      <c r="V870" s="696"/>
      <c r="W870" s="696"/>
      <c r="X870" s="696"/>
      <c r="Y870" s="697"/>
      <c r="Z870" s="697"/>
      <c r="AA870" s="697"/>
      <c r="AB870" s="697"/>
      <c r="AC870" s="697"/>
      <c r="AD870" s="698"/>
      <c r="AE870" s="698"/>
      <c r="AF870" s="698"/>
      <c r="AG870" s="669"/>
      <c r="AH870" s="669"/>
      <c r="AI870" s="669"/>
      <c r="AJ870" s="669"/>
      <c r="AK870" s="366"/>
      <c r="AL870" s="366"/>
      <c r="AM870" s="366"/>
      <c r="AN870" s="366"/>
      <c r="AO870" s="367"/>
      <c r="AP870" s="367"/>
      <c r="AQ870" s="340"/>
      <c r="AR870" s="340"/>
      <c r="AS870" s="340"/>
      <c r="AT870" s="340"/>
      <c r="AU870" s="340"/>
      <c r="AV870" s="340"/>
      <c r="AW870" s="426"/>
      <c r="AX870" s="426"/>
      <c r="AY870" s="426"/>
      <c r="AZ870" s="426"/>
      <c r="BA870" s="426"/>
      <c r="BB870" s="426"/>
      <c r="BC870" s="426"/>
      <c r="BD870" s="426"/>
      <c r="BE870" s="426"/>
    </row>
    <row r="871" spans="1:57" ht="14.25" customHeight="1" outlineLevel="1">
      <c r="A871" s="263" t="s">
        <v>2179</v>
      </c>
      <c r="B871" s="415" t="s">
        <v>156</v>
      </c>
      <c r="C871" s="710">
        <v>0.2</v>
      </c>
      <c r="D871" s="695"/>
      <c r="E871" s="695"/>
      <c r="F871" s="695"/>
      <c r="G871" s="695"/>
      <c r="H871" s="695"/>
      <c r="I871" s="695"/>
      <c r="J871" s="695"/>
      <c r="K871" s="695"/>
      <c r="L871" s="695"/>
      <c r="M871" s="695"/>
      <c r="N871" s="695"/>
      <c r="O871" s="695"/>
      <c r="P871" s="695"/>
      <c r="Q871" s="695"/>
      <c r="R871" s="695"/>
      <c r="S871" s="695"/>
      <c r="T871" s="695"/>
      <c r="U871" s="695"/>
      <c r="V871" s="696"/>
      <c r="W871" s="696"/>
      <c r="X871" s="696"/>
      <c r="Y871" s="697"/>
      <c r="Z871" s="697"/>
      <c r="AA871" s="697"/>
      <c r="AB871" s="697"/>
      <c r="AC871" s="697"/>
      <c r="AD871" s="698"/>
      <c r="AE871" s="698"/>
      <c r="AF871" s="698"/>
      <c r="AG871" s="669"/>
      <c r="AH871" s="669"/>
      <c r="AI871" s="669"/>
      <c r="AJ871" s="669"/>
      <c r="AK871" s="366"/>
      <c r="AL871" s="366"/>
      <c r="AM871" s="366"/>
      <c r="AN871" s="366"/>
      <c r="AO871" s="367"/>
      <c r="AP871" s="367"/>
      <c r="AQ871" s="340"/>
      <c r="AR871" s="340"/>
      <c r="AS871" s="340"/>
      <c r="AT871" s="340"/>
      <c r="AU871" s="340"/>
      <c r="AV871" s="340"/>
      <c r="AW871" s="426"/>
      <c r="AX871" s="426"/>
      <c r="AY871" s="426"/>
      <c r="AZ871" s="426"/>
      <c r="BA871" s="426"/>
      <c r="BB871" s="426"/>
      <c r="BC871" s="426"/>
      <c r="BD871" s="426"/>
      <c r="BE871" s="426"/>
    </row>
    <row r="872" spans="1:57" ht="14.25" customHeight="1" outlineLevel="1">
      <c r="A872" s="711" t="s">
        <v>706</v>
      </c>
      <c r="B872" s="415" t="s">
        <v>156</v>
      </c>
      <c r="C872" s="710">
        <v>0.1</v>
      </c>
      <c r="D872" s="695"/>
      <c r="E872" s="695"/>
      <c r="F872" s="695"/>
      <c r="G872" s="695"/>
      <c r="H872" s="695"/>
      <c r="I872" s="695"/>
      <c r="J872" s="695"/>
      <c r="K872" s="695"/>
      <c r="L872" s="695"/>
      <c r="M872" s="695"/>
      <c r="N872" s="695"/>
      <c r="O872" s="695"/>
      <c r="P872" s="695"/>
      <c r="Q872" s="695"/>
      <c r="R872" s="695"/>
      <c r="S872" s="695"/>
      <c r="T872" s="695"/>
      <c r="U872" s="695"/>
      <c r="V872" s="696"/>
      <c r="W872" s="696"/>
      <c r="X872" s="696"/>
      <c r="Y872" s="697"/>
      <c r="Z872" s="697"/>
      <c r="AA872" s="697"/>
      <c r="AB872" s="697"/>
      <c r="AC872" s="697"/>
      <c r="AD872" s="698"/>
      <c r="AE872" s="698"/>
      <c r="AF872" s="698"/>
      <c r="AG872" s="669"/>
      <c r="AH872" s="669"/>
      <c r="AI872" s="669"/>
      <c r="AJ872" s="669"/>
      <c r="AK872" s="366"/>
      <c r="AL872" s="366"/>
      <c r="AM872" s="366"/>
      <c r="AN872" s="366"/>
      <c r="AO872" s="367"/>
      <c r="AP872" s="367"/>
      <c r="AQ872" s="340"/>
      <c r="AR872" s="340"/>
      <c r="AS872" s="340"/>
      <c r="AT872" s="340"/>
      <c r="AU872" s="340"/>
      <c r="AV872" s="340"/>
      <c r="AW872" s="426"/>
      <c r="AX872" s="426"/>
      <c r="AY872" s="426"/>
      <c r="AZ872" s="426"/>
      <c r="BA872" s="426"/>
      <c r="BB872" s="426"/>
      <c r="BC872" s="426"/>
      <c r="BD872" s="426"/>
      <c r="BE872" s="426"/>
    </row>
    <row r="873" spans="1:57" ht="14.25" customHeight="1" outlineLevel="1">
      <c r="A873" s="263" t="s">
        <v>2231</v>
      </c>
      <c r="B873" s="415" t="s">
        <v>156</v>
      </c>
      <c r="C873" s="710">
        <v>0.25</v>
      </c>
      <c r="D873" s="366"/>
      <c r="G873" s="366"/>
      <c r="H873" s="355"/>
      <c r="I873" s="472"/>
      <c r="J873" s="505"/>
      <c r="K873" s="460"/>
      <c r="L873" s="460"/>
      <c r="M873" s="505"/>
      <c r="N873" s="366"/>
      <c r="O873" s="366"/>
      <c r="P873" s="452"/>
      <c r="Q873" s="452"/>
      <c r="R873" s="452"/>
      <c r="S873" s="452"/>
      <c r="T873" s="452"/>
      <c r="U873" s="354"/>
      <c r="V873" s="694"/>
      <c r="W873" s="694"/>
      <c r="X873" s="694"/>
      <c r="Y873" s="694"/>
      <c r="Z873" s="694"/>
      <c r="AA873" s="694"/>
      <c r="AB873" s="694"/>
      <c r="AC873" s="694"/>
      <c r="AD873" s="694"/>
      <c r="AE873" s="694"/>
      <c r="AF873" s="694"/>
      <c r="AG873" s="694"/>
      <c r="AH873" s="694"/>
      <c r="AI873" s="694"/>
      <c r="AJ873" s="694"/>
      <c r="AK873" s="452"/>
      <c r="AL873" s="452"/>
      <c r="AM873" s="452"/>
      <c r="AN873" s="452"/>
      <c r="AO873" s="459"/>
      <c r="AP873" s="459"/>
      <c r="AQ873" s="341"/>
      <c r="AR873" s="341"/>
      <c r="AS873" s="341"/>
      <c r="AT873" s="341"/>
      <c r="AU873" s="341"/>
      <c r="AV873" s="341"/>
      <c r="AW873" s="342"/>
      <c r="AX873" s="342"/>
      <c r="AY873" s="342"/>
      <c r="AZ873" s="342"/>
      <c r="BA873" s="342"/>
      <c r="BB873" s="342"/>
      <c r="BC873" s="342"/>
      <c r="BD873" s="342"/>
      <c r="BE873" s="342"/>
    </row>
    <row r="874" spans="1:57" ht="14.25" customHeight="1" outlineLevel="1">
      <c r="A874" s="263" t="s">
        <v>2232</v>
      </c>
      <c r="B874" s="415" t="s">
        <v>156</v>
      </c>
      <c r="C874" s="710">
        <v>0.2</v>
      </c>
      <c r="D874" s="381"/>
      <c r="E874" s="366"/>
      <c r="F874" s="366"/>
      <c r="G874" s="366"/>
      <c r="H874" s="355"/>
      <c r="I874" s="472"/>
      <c r="J874" s="505"/>
      <c r="K874" s="460"/>
      <c r="L874" s="460"/>
      <c r="M874" s="505"/>
      <c r="N874" s="366"/>
      <c r="O874" s="366"/>
      <c r="P874" s="452"/>
      <c r="Q874" s="452"/>
      <c r="R874" s="452"/>
      <c r="S874" s="452"/>
      <c r="T874" s="452"/>
      <c r="U874" s="354"/>
      <c r="V874" s="452"/>
      <c r="W874" s="452"/>
      <c r="X874" s="452"/>
      <c r="Y874" s="452"/>
      <c r="Z874" s="452"/>
      <c r="AA874" s="452"/>
      <c r="AB874" s="452"/>
      <c r="AC874" s="452"/>
      <c r="AD874" s="452"/>
      <c r="AE874" s="452"/>
      <c r="AF874" s="452"/>
      <c r="AG874" s="452"/>
      <c r="AH874" s="452"/>
      <c r="AI874" s="452"/>
      <c r="AJ874" s="452"/>
      <c r="AK874" s="452"/>
      <c r="AL874" s="452"/>
      <c r="AM874" s="452"/>
      <c r="AN874" s="452"/>
      <c r="AO874" s="459"/>
      <c r="AP874" s="459"/>
      <c r="AQ874" s="341"/>
      <c r="AR874" s="341"/>
      <c r="AS874" s="341"/>
      <c r="AT874" s="341"/>
      <c r="AU874" s="341"/>
      <c r="AV874" s="341"/>
      <c r="AW874" s="342"/>
      <c r="AX874" s="342"/>
      <c r="AY874" s="342"/>
      <c r="AZ874" s="342"/>
      <c r="BA874" s="342"/>
      <c r="BB874" s="342"/>
      <c r="BC874" s="342"/>
      <c r="BD874" s="342"/>
      <c r="BE874" s="342"/>
    </row>
    <row r="875" spans="1:57" ht="14.25" customHeight="1" outlineLevel="1">
      <c r="A875" s="263" t="s">
        <v>2233</v>
      </c>
      <c r="B875" s="415" t="s">
        <v>159</v>
      </c>
      <c r="C875" s="710">
        <v>2</v>
      </c>
      <c r="D875" s="366"/>
      <c r="H875" s="366"/>
      <c r="I875" s="472"/>
      <c r="J875" s="505"/>
      <c r="K875" s="460"/>
      <c r="L875" s="460"/>
      <c r="M875" s="505"/>
      <c r="N875" s="366"/>
      <c r="O875" s="366"/>
      <c r="P875" s="452"/>
      <c r="Q875" s="452"/>
      <c r="R875" s="452"/>
      <c r="S875" s="452"/>
      <c r="T875" s="452"/>
      <c r="U875" s="354"/>
      <c r="V875" s="452"/>
      <c r="W875" s="452"/>
      <c r="X875" s="452"/>
      <c r="Y875" s="452"/>
      <c r="Z875" s="452"/>
      <c r="AA875" s="452"/>
      <c r="AB875" s="452"/>
      <c r="AC875" s="452"/>
      <c r="AD875" s="452"/>
      <c r="AE875" s="452"/>
      <c r="AF875" s="452"/>
      <c r="AG875" s="452"/>
      <c r="AH875" s="452"/>
      <c r="AI875" s="452"/>
      <c r="AJ875" s="452"/>
      <c r="AK875" s="452"/>
      <c r="AL875" s="452"/>
      <c r="AM875" s="452"/>
      <c r="AN875" s="452"/>
      <c r="AO875" s="459"/>
      <c r="AP875" s="459"/>
      <c r="AQ875" s="341"/>
      <c r="AR875" s="341"/>
      <c r="AS875" s="341"/>
      <c r="AT875" s="341"/>
      <c r="AU875" s="341"/>
      <c r="AV875" s="341"/>
      <c r="AW875" s="342"/>
      <c r="AX875" s="342"/>
      <c r="AY875" s="342"/>
      <c r="AZ875" s="342"/>
      <c r="BA875" s="342"/>
      <c r="BB875" s="342"/>
      <c r="BC875" s="342"/>
      <c r="BD875" s="342"/>
      <c r="BE875" s="342"/>
    </row>
    <row r="876" spans="1:57" ht="14.25" customHeight="1" outlineLevel="1">
      <c r="A876" s="712" t="s">
        <v>2234</v>
      </c>
      <c r="B876" s="490"/>
      <c r="C876" s="532"/>
      <c r="D876" s="366"/>
      <c r="H876" s="366"/>
      <c r="I876" s="472"/>
      <c r="J876" s="505"/>
      <c r="K876" s="460"/>
      <c r="L876" s="460"/>
      <c r="M876" s="505"/>
      <c r="N876" s="366"/>
      <c r="O876" s="366"/>
      <c r="P876" s="452"/>
      <c r="Q876" s="452"/>
      <c r="R876" s="452"/>
      <c r="S876" s="452"/>
      <c r="T876" s="452"/>
      <c r="U876" s="354"/>
      <c r="V876" s="452"/>
      <c r="W876" s="452"/>
      <c r="X876" s="452"/>
      <c r="Y876" s="452"/>
      <c r="Z876" s="452"/>
      <c r="AA876" s="452"/>
      <c r="AB876" s="452"/>
      <c r="AC876" s="452"/>
      <c r="AD876" s="452"/>
      <c r="AE876" s="452"/>
      <c r="AF876" s="452"/>
      <c r="AG876" s="452"/>
      <c r="AH876" s="452"/>
      <c r="AI876" s="452"/>
      <c r="AJ876" s="452"/>
      <c r="AK876" s="452"/>
      <c r="AL876" s="452"/>
      <c r="AM876" s="452"/>
      <c r="AN876" s="452"/>
      <c r="AO876" s="459"/>
      <c r="AP876" s="459"/>
      <c r="AQ876" s="341"/>
      <c r="AR876" s="341"/>
      <c r="AS876" s="341"/>
      <c r="AT876" s="341"/>
      <c r="AU876" s="341"/>
      <c r="AV876" s="341"/>
      <c r="AW876" s="342"/>
      <c r="AX876" s="342"/>
      <c r="AY876" s="342"/>
      <c r="AZ876" s="342"/>
      <c r="BA876" s="342"/>
      <c r="BB876" s="342"/>
      <c r="BC876" s="342"/>
      <c r="BD876" s="342"/>
      <c r="BE876" s="342"/>
    </row>
    <row r="877" spans="1:57" ht="14.25" customHeight="1" outlineLevel="1">
      <c r="A877" s="713" t="s">
        <v>706</v>
      </c>
      <c r="B877" s="490"/>
      <c r="C877" s="532"/>
      <c r="D877" s="366"/>
      <c r="H877" s="366"/>
      <c r="I877" s="472"/>
      <c r="J877" s="505"/>
      <c r="K877" s="460"/>
      <c r="L877" s="460"/>
      <c r="M877" s="505"/>
      <c r="N877" s="366"/>
      <c r="O877" s="366"/>
      <c r="P877" s="452"/>
      <c r="Q877" s="452"/>
      <c r="R877" s="452"/>
      <c r="S877" s="452"/>
      <c r="T877" s="452"/>
      <c r="U877" s="354"/>
      <c r="V877" s="452"/>
      <c r="W877" s="452"/>
      <c r="X877" s="452"/>
      <c r="Y877" s="452"/>
      <c r="Z877" s="452"/>
      <c r="AA877" s="452"/>
      <c r="AB877" s="452"/>
      <c r="AC877" s="452"/>
      <c r="AD877" s="452"/>
      <c r="AE877" s="452"/>
      <c r="AF877" s="452"/>
      <c r="AG877" s="452"/>
      <c r="AH877" s="452"/>
      <c r="AI877" s="452"/>
      <c r="AJ877" s="452"/>
      <c r="AK877" s="452"/>
      <c r="AL877" s="452"/>
      <c r="AM877" s="452"/>
      <c r="AN877" s="452"/>
      <c r="AO877" s="459"/>
      <c r="AP877" s="459"/>
      <c r="AQ877" s="341"/>
      <c r="AR877" s="341"/>
      <c r="AS877" s="341"/>
      <c r="AT877" s="341"/>
      <c r="AU877" s="341"/>
      <c r="AV877" s="341"/>
      <c r="AW877" s="342"/>
      <c r="AX877" s="342"/>
      <c r="AY877" s="342"/>
      <c r="AZ877" s="342"/>
      <c r="BA877" s="342"/>
      <c r="BB877" s="342"/>
      <c r="BC877" s="342"/>
      <c r="BD877" s="342"/>
      <c r="BE877" s="342"/>
    </row>
    <row r="878" spans="1:57" ht="14.25" customHeight="1" outlineLevel="1">
      <c r="A878" s="631" t="s">
        <v>1020</v>
      </c>
      <c r="B878" s="415" t="s">
        <v>1820</v>
      </c>
      <c r="C878" s="585" t="s">
        <v>1821</v>
      </c>
      <c r="D878" s="366"/>
      <c r="H878" s="366"/>
      <c r="I878" s="472"/>
      <c r="J878" s="505"/>
      <c r="K878" s="460"/>
      <c r="L878" s="460"/>
      <c r="M878" s="505"/>
      <c r="N878" s="366"/>
      <c r="O878" s="366"/>
      <c r="P878" s="452"/>
      <c r="Q878" s="452"/>
      <c r="R878" s="452"/>
      <c r="S878" s="452"/>
      <c r="T878" s="452"/>
      <c r="U878" s="354"/>
      <c r="V878" s="452"/>
      <c r="W878" s="452"/>
      <c r="X878" s="452"/>
      <c r="Y878" s="452"/>
      <c r="Z878" s="452"/>
      <c r="AA878" s="452"/>
      <c r="AB878" s="452"/>
      <c r="AC878" s="452"/>
      <c r="AD878" s="452"/>
      <c r="AE878" s="452"/>
      <c r="AF878" s="452"/>
      <c r="AG878" s="452"/>
      <c r="AH878" s="452"/>
      <c r="AI878" s="452"/>
      <c r="AJ878" s="452"/>
      <c r="AK878" s="452"/>
      <c r="AL878" s="452"/>
      <c r="AM878" s="452"/>
      <c r="AN878" s="452"/>
      <c r="AO878" s="459"/>
      <c r="AP878" s="459"/>
      <c r="AQ878" s="341"/>
      <c r="AR878" s="341"/>
      <c r="AS878" s="341"/>
      <c r="AT878" s="341"/>
      <c r="AU878" s="341"/>
      <c r="AV878" s="341"/>
      <c r="AW878" s="342"/>
      <c r="AX878" s="342"/>
      <c r="AY878" s="342"/>
      <c r="AZ878" s="342"/>
      <c r="BA878" s="342"/>
      <c r="BB878" s="342"/>
      <c r="BC878" s="342"/>
      <c r="BD878" s="342"/>
      <c r="BE878" s="342"/>
    </row>
    <row r="879" spans="1:57" ht="14.25" customHeight="1" outlineLevel="1">
      <c r="A879" s="536" t="s">
        <v>1032</v>
      </c>
      <c r="B879" s="415" t="s">
        <v>1820</v>
      </c>
      <c r="C879" s="585" t="s">
        <v>1798</v>
      </c>
      <c r="D879" s="366"/>
      <c r="H879" s="366"/>
      <c r="I879" s="472"/>
      <c r="J879" s="505"/>
      <c r="K879" s="460"/>
      <c r="L879" s="460"/>
      <c r="M879" s="505"/>
      <c r="N879" s="366"/>
      <c r="O879" s="366"/>
      <c r="P879" s="452"/>
      <c r="Q879" s="452"/>
      <c r="R879" s="452"/>
      <c r="S879" s="452"/>
      <c r="T879" s="452"/>
      <c r="U879" s="354"/>
      <c r="V879" s="452"/>
      <c r="W879" s="452"/>
      <c r="X879" s="452"/>
      <c r="Y879" s="452"/>
      <c r="Z879" s="452"/>
      <c r="AA879" s="452"/>
      <c r="AB879" s="452"/>
      <c r="AC879" s="452"/>
      <c r="AD879" s="452"/>
      <c r="AE879" s="452"/>
      <c r="AF879" s="452"/>
      <c r="AG879" s="452"/>
      <c r="AH879" s="452"/>
      <c r="AI879" s="452"/>
      <c r="AJ879" s="452"/>
      <c r="AK879" s="452"/>
      <c r="AL879" s="452"/>
      <c r="AM879" s="452"/>
      <c r="AN879" s="452"/>
      <c r="AO879" s="459"/>
      <c r="AP879" s="459"/>
      <c r="AQ879" s="341"/>
      <c r="AR879" s="341"/>
      <c r="AS879" s="341"/>
      <c r="AT879" s="341"/>
      <c r="AU879" s="341"/>
      <c r="AV879" s="341"/>
      <c r="AW879" s="342"/>
      <c r="AX879" s="342"/>
      <c r="AY879" s="342"/>
      <c r="AZ879" s="342"/>
      <c r="BA879" s="342"/>
      <c r="BB879" s="342"/>
      <c r="BC879" s="342"/>
      <c r="BD879" s="342"/>
      <c r="BE879" s="342"/>
    </row>
    <row r="880" spans="1:57" ht="14.25" customHeight="1" outlineLevel="1">
      <c r="A880" s="630" t="s">
        <v>1042</v>
      </c>
      <c r="B880" s="415" t="s">
        <v>156</v>
      </c>
      <c r="C880" s="710">
        <v>6</v>
      </c>
      <c r="D880" s="366"/>
      <c r="H880" s="366"/>
      <c r="I880" s="472"/>
      <c r="J880" s="505"/>
      <c r="K880" s="460"/>
      <c r="L880" s="460"/>
      <c r="M880" s="505"/>
      <c r="N880" s="366"/>
      <c r="O880" s="366"/>
      <c r="P880" s="452"/>
      <c r="Q880" s="452"/>
      <c r="R880" s="452"/>
      <c r="S880" s="452"/>
      <c r="T880" s="452"/>
      <c r="U880" s="354"/>
      <c r="V880" s="452"/>
      <c r="W880" s="452"/>
      <c r="X880" s="452"/>
      <c r="Y880" s="452"/>
      <c r="Z880" s="452"/>
      <c r="AA880" s="452"/>
      <c r="AB880" s="452"/>
      <c r="AC880" s="452"/>
      <c r="AD880" s="452"/>
      <c r="AE880" s="452"/>
      <c r="AF880" s="452"/>
      <c r="AG880" s="452"/>
      <c r="AH880" s="452"/>
      <c r="AI880" s="452"/>
      <c r="AJ880" s="452"/>
      <c r="AK880" s="452"/>
      <c r="AL880" s="452"/>
      <c r="AM880" s="452"/>
      <c r="AN880" s="452"/>
      <c r="AO880" s="459"/>
      <c r="AP880" s="459"/>
      <c r="AQ880" s="341"/>
      <c r="AR880" s="341"/>
      <c r="AS880" s="341"/>
      <c r="AT880" s="341"/>
      <c r="AU880" s="341"/>
      <c r="AV880" s="341"/>
      <c r="AW880" s="342"/>
      <c r="AX880" s="342"/>
      <c r="AY880" s="342"/>
      <c r="AZ880" s="342"/>
      <c r="BA880" s="342"/>
      <c r="BB880" s="342"/>
      <c r="BC880" s="342"/>
      <c r="BD880" s="342"/>
      <c r="BE880" s="342"/>
    </row>
    <row r="881" spans="1:58" ht="14.25" customHeight="1" outlineLevel="1">
      <c r="A881" s="536" t="s">
        <v>1055</v>
      </c>
      <c r="B881" s="415" t="s">
        <v>159</v>
      </c>
      <c r="C881" s="710">
        <v>2</v>
      </c>
      <c r="D881" s="366"/>
      <c r="H881" s="366"/>
      <c r="I881" s="472"/>
      <c r="J881" s="505"/>
      <c r="K881" s="460"/>
      <c r="L881" s="460"/>
      <c r="M881" s="505"/>
      <c r="N881" s="366"/>
      <c r="O881" s="366"/>
      <c r="P881" s="452"/>
      <c r="Q881" s="452"/>
      <c r="R881" s="452"/>
      <c r="S881" s="452"/>
      <c r="T881" s="452"/>
      <c r="U881" s="354"/>
      <c r="V881" s="452"/>
      <c r="W881" s="452"/>
      <c r="X881" s="452"/>
      <c r="Y881" s="452"/>
      <c r="Z881" s="452"/>
      <c r="AA881" s="452"/>
      <c r="AB881" s="452"/>
      <c r="AC881" s="452"/>
      <c r="AD881" s="452"/>
      <c r="AE881" s="452"/>
      <c r="AF881" s="452"/>
      <c r="AG881" s="452"/>
      <c r="AH881" s="452"/>
      <c r="AI881" s="452"/>
      <c r="AJ881" s="452"/>
      <c r="AK881" s="452"/>
      <c r="AL881" s="452"/>
      <c r="AM881" s="452"/>
      <c r="AN881" s="452"/>
      <c r="AO881" s="459"/>
      <c r="AP881" s="459"/>
      <c r="AQ881" s="341"/>
      <c r="AR881" s="341"/>
      <c r="AS881" s="341"/>
      <c r="AT881" s="341"/>
      <c r="AU881" s="341"/>
      <c r="AV881" s="341"/>
      <c r="AW881" s="342"/>
      <c r="AX881" s="342"/>
      <c r="AY881" s="342"/>
      <c r="AZ881" s="342"/>
      <c r="BA881" s="342"/>
      <c r="BB881" s="342"/>
      <c r="BC881" s="342"/>
      <c r="BD881" s="342"/>
      <c r="BE881" s="342"/>
    </row>
    <row r="882" spans="1:58" ht="14.25" customHeight="1" outlineLevel="1">
      <c r="A882" s="492"/>
      <c r="B882" s="490"/>
      <c r="C882" s="587"/>
      <c r="D882" s="366"/>
      <c r="H882" s="366"/>
      <c r="I882" s="472"/>
      <c r="J882" s="505"/>
      <c r="K882" s="460"/>
      <c r="L882" s="460"/>
      <c r="M882" s="505"/>
      <c r="N882" s="366"/>
      <c r="O882" s="366"/>
      <c r="P882" s="452"/>
      <c r="Q882" s="452"/>
      <c r="R882" s="452"/>
      <c r="S882" s="452"/>
      <c r="T882" s="452"/>
      <c r="U882" s="354"/>
      <c r="V882" s="452"/>
      <c r="W882" s="452"/>
      <c r="X882" s="452"/>
      <c r="Y882" s="452"/>
      <c r="Z882" s="452"/>
      <c r="AA882" s="452"/>
      <c r="AB882" s="452"/>
      <c r="AC882" s="452"/>
      <c r="AD882" s="452"/>
      <c r="AE882" s="452"/>
      <c r="AF882" s="452"/>
      <c r="AG882" s="452"/>
      <c r="AH882" s="452"/>
      <c r="AI882" s="452"/>
      <c r="AJ882" s="452"/>
      <c r="AK882" s="452"/>
      <c r="AL882" s="452"/>
      <c r="AM882" s="452"/>
      <c r="AN882" s="452"/>
      <c r="AO882" s="459"/>
      <c r="AP882" s="459"/>
      <c r="AQ882" s="341"/>
      <c r="AR882" s="341"/>
      <c r="AS882" s="341"/>
      <c r="AT882" s="341"/>
      <c r="AU882" s="341"/>
      <c r="AV882" s="341"/>
      <c r="AW882" s="342"/>
      <c r="AX882" s="342"/>
      <c r="AY882" s="342"/>
      <c r="AZ882" s="342"/>
      <c r="BA882" s="342"/>
      <c r="BB882" s="342"/>
      <c r="BC882" s="342"/>
      <c r="BD882" s="342"/>
      <c r="BE882" s="342"/>
    </row>
    <row r="883" spans="1:58" ht="14.25" customHeight="1" outlineLevel="1">
      <c r="A883" s="714" t="s">
        <v>152</v>
      </c>
      <c r="B883" s="438" t="s">
        <v>1793</v>
      </c>
      <c r="C883" s="488">
        <v>0</v>
      </c>
      <c r="D883" s="366"/>
      <c r="H883" s="516"/>
      <c r="I883" s="472"/>
      <c r="J883" s="505"/>
      <c r="K883" s="460"/>
      <c r="L883" s="460"/>
      <c r="M883" s="505"/>
      <c r="N883" s="366"/>
      <c r="O883" s="366"/>
      <c r="P883" s="452"/>
      <c r="Q883" s="452"/>
      <c r="R883" s="452"/>
      <c r="S883" s="452"/>
      <c r="T883" s="452"/>
      <c r="U883" s="354"/>
      <c r="V883" s="452"/>
      <c r="W883" s="452"/>
      <c r="X883" s="452"/>
      <c r="Y883" s="452"/>
      <c r="Z883" s="452"/>
      <c r="AA883" s="452"/>
      <c r="AB883" s="452"/>
      <c r="AC883" s="452"/>
      <c r="AD883" s="452"/>
      <c r="AE883" s="452"/>
      <c r="AF883" s="452"/>
      <c r="AG883" s="452"/>
      <c r="AH883" s="452"/>
      <c r="AI883" s="452"/>
      <c r="AJ883" s="452"/>
      <c r="AK883" s="452"/>
      <c r="AL883" s="452"/>
      <c r="AM883" s="452"/>
      <c r="AN883" s="452"/>
      <c r="AO883" s="459"/>
      <c r="AP883" s="459"/>
      <c r="AQ883" s="341"/>
      <c r="AR883" s="341"/>
      <c r="AS883" s="341"/>
      <c r="AT883" s="341"/>
      <c r="AU883" s="341"/>
      <c r="AV883" s="341"/>
      <c r="AW883" s="342"/>
      <c r="AX883" s="342"/>
      <c r="AY883" s="342"/>
      <c r="AZ883" s="342"/>
      <c r="BA883" s="342"/>
      <c r="BB883" s="342"/>
      <c r="BC883" s="342"/>
      <c r="BD883" s="342"/>
      <c r="BE883" s="342"/>
    </row>
    <row r="884" spans="1:58" ht="14.25" customHeight="1" outlineLevel="1">
      <c r="A884" s="412" t="s">
        <v>152</v>
      </c>
      <c r="B884" s="413" t="s">
        <v>1793</v>
      </c>
      <c r="C884" s="380">
        <v>0</v>
      </c>
      <c r="D884" s="366"/>
      <c r="E884" s="366"/>
      <c r="F884" s="366"/>
      <c r="G884" s="366"/>
      <c r="H884" s="381"/>
      <c r="I884" s="472"/>
      <c r="J884" s="505"/>
      <c r="K884" s="460"/>
      <c r="L884" s="460"/>
      <c r="M884" s="505"/>
      <c r="N884" s="366"/>
      <c r="O884" s="366"/>
      <c r="P884" s="452"/>
      <c r="Q884" s="452"/>
      <c r="R884" s="452"/>
      <c r="S884" s="452"/>
      <c r="T884" s="452"/>
      <c r="U884" s="354"/>
      <c r="V884" s="452"/>
      <c r="W884" s="452"/>
      <c r="X884" s="452"/>
      <c r="Y884" s="452"/>
      <c r="Z884" s="452"/>
      <c r="AA884" s="452"/>
      <c r="AB884" s="452"/>
      <c r="AC884" s="452"/>
      <c r="AD884" s="452"/>
      <c r="AE884" s="452"/>
      <c r="AF884" s="452"/>
      <c r="AG884" s="452"/>
      <c r="AH884" s="452"/>
      <c r="AI884" s="452"/>
      <c r="AJ884" s="452"/>
      <c r="AK884" s="452"/>
      <c r="AL884" s="452"/>
      <c r="AM884" s="452"/>
      <c r="AN884" s="452"/>
      <c r="AO884" s="459"/>
      <c r="AP884" s="459"/>
      <c r="AQ884" s="341"/>
      <c r="AR884" s="341"/>
      <c r="AS884" s="341"/>
      <c r="AT884" s="341"/>
      <c r="AU884" s="341"/>
      <c r="AV884" s="341"/>
      <c r="AW884" s="342"/>
      <c r="AX884" s="342"/>
      <c r="AY884" s="342"/>
      <c r="AZ884" s="342"/>
      <c r="BA884" s="342"/>
      <c r="BB884" s="342"/>
      <c r="BC884" s="342"/>
      <c r="BD884" s="342"/>
      <c r="BE884" s="342"/>
    </row>
    <row r="885" spans="1:58" ht="14.25" customHeight="1" outlineLevel="1">
      <c r="A885" s="715" t="s">
        <v>152</v>
      </c>
      <c r="B885" s="413" t="s">
        <v>1793</v>
      </c>
      <c r="C885" s="380">
        <v>0</v>
      </c>
      <c r="D885" s="492"/>
      <c r="H885" s="490"/>
      <c r="I885" s="472"/>
      <c r="J885" s="505"/>
      <c r="K885" s="460"/>
      <c r="L885" s="460"/>
      <c r="M885" s="505"/>
      <c r="N885" s="366"/>
      <c r="O885" s="366"/>
      <c r="P885" s="452"/>
      <c r="Q885" s="452"/>
      <c r="R885" s="452"/>
      <c r="S885" s="452"/>
      <c r="T885" s="452"/>
      <c r="U885" s="354"/>
      <c r="V885" s="452"/>
      <c r="W885" s="452"/>
      <c r="X885" s="452"/>
      <c r="Y885" s="452"/>
      <c r="Z885" s="452"/>
      <c r="AA885" s="452"/>
      <c r="AB885" s="452"/>
      <c r="AC885" s="452"/>
      <c r="AD885" s="452"/>
      <c r="AE885" s="452"/>
      <c r="AF885" s="452"/>
      <c r="AG885" s="452"/>
      <c r="AH885" s="452"/>
      <c r="AI885" s="452"/>
      <c r="AJ885" s="452"/>
      <c r="AK885" s="452"/>
      <c r="AL885" s="452"/>
      <c r="AM885" s="452"/>
      <c r="AN885" s="452"/>
      <c r="AO885" s="459"/>
      <c r="AP885" s="459"/>
      <c r="AQ885" s="341"/>
      <c r="AR885" s="341"/>
      <c r="AS885" s="341"/>
      <c r="AT885" s="341"/>
      <c r="AU885" s="341"/>
      <c r="AV885" s="341"/>
      <c r="AW885" s="342"/>
      <c r="AX885" s="342"/>
      <c r="AY885" s="342"/>
      <c r="AZ885" s="342"/>
      <c r="BA885" s="342"/>
      <c r="BB885" s="342"/>
      <c r="BC885" s="342"/>
      <c r="BD885" s="342"/>
      <c r="BE885" s="342"/>
    </row>
    <row r="886" spans="1:58" ht="14.25" customHeight="1" outlineLevel="1">
      <c r="A886" s="715" t="s">
        <v>152</v>
      </c>
      <c r="B886" s="413" t="s">
        <v>1793</v>
      </c>
      <c r="C886" s="380">
        <v>0</v>
      </c>
      <c r="D886" s="492"/>
      <c r="H886" s="516"/>
      <c r="I886" s="472"/>
      <c r="J886" s="505"/>
      <c r="K886" s="460"/>
      <c r="L886" s="460"/>
      <c r="M886" s="505"/>
      <c r="N886" s="366"/>
      <c r="O886" s="366"/>
      <c r="P886" s="452"/>
      <c r="Q886" s="452"/>
      <c r="R886" s="452"/>
      <c r="S886" s="452"/>
      <c r="T886" s="452"/>
      <c r="U886" s="354"/>
      <c r="V886" s="452"/>
      <c r="W886" s="452"/>
      <c r="X886" s="452"/>
      <c r="Y886" s="452"/>
      <c r="Z886" s="452"/>
      <c r="AA886" s="452"/>
      <c r="AB886" s="452"/>
      <c r="AC886" s="452"/>
      <c r="AD886" s="452"/>
      <c r="AE886" s="452"/>
      <c r="AF886" s="452"/>
      <c r="AG886" s="452"/>
      <c r="AH886" s="452"/>
      <c r="AI886" s="452"/>
      <c r="AJ886" s="452"/>
      <c r="AK886" s="452"/>
      <c r="AL886" s="452"/>
      <c r="AM886" s="452"/>
      <c r="AN886" s="452"/>
      <c r="AO886" s="459"/>
      <c r="AP886" s="459"/>
      <c r="AQ886" s="341"/>
      <c r="AR886" s="341"/>
      <c r="AS886" s="341"/>
      <c r="AT886" s="341"/>
      <c r="AU886" s="341"/>
      <c r="AV886" s="341"/>
      <c r="AW886" s="342"/>
      <c r="AX886" s="342"/>
      <c r="AY886" s="342"/>
      <c r="AZ886" s="342"/>
      <c r="BA886" s="342"/>
      <c r="BB886" s="342"/>
      <c r="BC886" s="342"/>
      <c r="BD886" s="342"/>
      <c r="BE886" s="342"/>
    </row>
    <row r="887" spans="1:58" ht="14.25" customHeight="1" outlineLevel="1">
      <c r="A887" s="362"/>
      <c r="D887" s="492"/>
      <c r="H887" s="516"/>
      <c r="I887" s="472"/>
      <c r="J887" s="505"/>
      <c r="K887" s="460"/>
      <c r="L887" s="460"/>
      <c r="M887" s="505"/>
      <c r="N887" s="366"/>
      <c r="O887" s="366"/>
      <c r="P887" s="452"/>
      <c r="Q887" s="452"/>
      <c r="R887" s="452"/>
      <c r="S887" s="452"/>
      <c r="T887" s="452"/>
      <c r="U887" s="354"/>
      <c r="V887" s="452"/>
      <c r="W887" s="452"/>
      <c r="X887" s="452"/>
      <c r="Y887" s="452"/>
      <c r="Z887" s="452"/>
      <c r="AA887" s="452"/>
      <c r="AB887" s="452"/>
      <c r="AC887" s="452"/>
      <c r="AD887" s="452"/>
      <c r="AE887" s="452"/>
      <c r="AF887" s="452"/>
      <c r="AG887" s="452"/>
      <c r="AH887" s="452"/>
      <c r="AI887" s="452"/>
      <c r="AJ887" s="452"/>
      <c r="AK887" s="452"/>
      <c r="AL887" s="452"/>
      <c r="AM887" s="452"/>
      <c r="AN887" s="452"/>
      <c r="AO887" s="459"/>
      <c r="AP887" s="459"/>
      <c r="AQ887" s="341"/>
      <c r="AR887" s="341"/>
      <c r="AS887" s="341"/>
      <c r="AT887" s="341"/>
      <c r="AU887" s="341"/>
      <c r="AV887" s="341"/>
      <c r="AW887" s="342"/>
      <c r="AX887" s="342"/>
      <c r="AY887" s="342"/>
      <c r="AZ887" s="342"/>
      <c r="BA887" s="342"/>
      <c r="BB887" s="342"/>
      <c r="BC887" s="342"/>
      <c r="BD887" s="342"/>
      <c r="BE887" s="342"/>
    </row>
    <row r="888" spans="1:58" ht="14.25" customHeight="1" outlineLevel="1">
      <c r="A888" s="488" t="s">
        <v>2235</v>
      </c>
      <c r="B888" s="415" t="s">
        <v>1796</v>
      </c>
      <c r="C888" s="716">
        <v>5000</v>
      </c>
      <c r="D888" s="492"/>
      <c r="H888" s="516"/>
      <c r="I888" s="472"/>
      <c r="J888" s="505"/>
      <c r="K888" s="460"/>
      <c r="L888" s="460"/>
      <c r="M888" s="505"/>
      <c r="N888" s="366"/>
      <c r="O888" s="366"/>
      <c r="P888" s="452"/>
      <c r="Q888" s="452"/>
      <c r="R888" s="452"/>
      <c r="S888" s="452"/>
      <c r="T888" s="452"/>
      <c r="U888" s="354"/>
      <c r="V888" s="452"/>
      <c r="W888" s="452"/>
      <c r="X888" s="452"/>
      <c r="Y888" s="452"/>
      <c r="Z888" s="452"/>
      <c r="AA888" s="452"/>
      <c r="AB888" s="452"/>
      <c r="AC888" s="452"/>
      <c r="AD888" s="452"/>
      <c r="AE888" s="452"/>
      <c r="AF888" s="452"/>
      <c r="AG888" s="452"/>
      <c r="AH888" s="452"/>
      <c r="AI888" s="452"/>
      <c r="AJ888" s="452"/>
      <c r="AK888" s="452"/>
      <c r="AL888" s="452"/>
      <c r="AM888" s="452"/>
      <c r="AN888" s="452"/>
      <c r="AO888" s="459"/>
      <c r="AP888" s="459"/>
      <c r="AQ888" s="341"/>
      <c r="AR888" s="341"/>
      <c r="AS888" s="341"/>
      <c r="AT888" s="341"/>
      <c r="AU888" s="341"/>
      <c r="AV888" s="341"/>
      <c r="AW888" s="342"/>
      <c r="AX888" s="342"/>
      <c r="AY888" s="342"/>
      <c r="AZ888" s="342"/>
      <c r="BA888" s="342"/>
      <c r="BB888" s="342"/>
      <c r="BC888" s="342"/>
      <c r="BD888" s="342"/>
      <c r="BE888" s="342"/>
    </row>
    <row r="889" spans="1:58" ht="14.25" customHeight="1" outlineLevel="1">
      <c r="D889" s="492"/>
      <c r="H889" s="516"/>
      <c r="I889" s="472"/>
      <c r="J889" s="505"/>
      <c r="K889" s="460"/>
      <c r="L889" s="460"/>
      <c r="M889" s="505"/>
      <c r="N889" s="366"/>
      <c r="O889" s="366"/>
      <c r="P889" s="452"/>
      <c r="Q889" s="452"/>
      <c r="R889" s="452"/>
      <c r="S889" s="452"/>
      <c r="T889" s="452"/>
      <c r="U889" s="354"/>
      <c r="V889" s="452"/>
      <c r="W889" s="452"/>
      <c r="X889" s="452"/>
      <c r="Y889" s="452"/>
      <c r="Z889" s="452"/>
      <c r="AA889" s="452"/>
      <c r="AB889" s="452"/>
      <c r="AC889" s="452"/>
      <c r="AD889" s="452"/>
      <c r="AE889" s="452"/>
      <c r="AF889" s="452"/>
      <c r="AG889" s="452"/>
      <c r="AH889" s="452"/>
      <c r="AI889" s="452"/>
      <c r="AJ889" s="452"/>
      <c r="AK889" s="452"/>
      <c r="AL889" s="452"/>
      <c r="AM889" s="452"/>
      <c r="AN889" s="452"/>
      <c r="AO889" s="459"/>
      <c r="AP889" s="459"/>
      <c r="AQ889" s="341"/>
      <c r="AR889" s="341"/>
      <c r="AS889" s="341"/>
      <c r="AT889" s="341"/>
      <c r="AU889" s="341"/>
      <c r="AV889" s="341"/>
      <c r="AW889" s="342"/>
      <c r="AX889" s="342"/>
      <c r="AY889" s="342"/>
      <c r="AZ889" s="342"/>
      <c r="BA889" s="342"/>
      <c r="BB889" s="342"/>
      <c r="BC889" s="342"/>
      <c r="BD889" s="342"/>
      <c r="BE889" s="342"/>
    </row>
    <row r="890" spans="1:58" ht="14.25" customHeight="1">
      <c r="A890" s="3116" t="s">
        <v>2236</v>
      </c>
      <c r="B890" s="3116"/>
      <c r="C890" s="3116"/>
      <c r="D890" s="3116"/>
      <c r="E890" s="3116"/>
      <c r="F890" s="653" t="s">
        <v>1798</v>
      </c>
      <c r="H890" s="646"/>
      <c r="I890" s="646"/>
      <c r="J890" s="646"/>
      <c r="K890" s="646"/>
      <c r="L890" s="646"/>
      <c r="M890" s="616"/>
      <c r="N890" s="616"/>
      <c r="O890" s="616"/>
      <c r="P890" s="452"/>
      <c r="Q890" s="452"/>
      <c r="R890" s="452"/>
      <c r="S890" s="354"/>
      <c r="T890" s="452"/>
      <c r="U890" s="354"/>
      <c r="V890" s="452"/>
      <c r="W890" s="452"/>
      <c r="X890" s="452"/>
      <c r="Y890" s="452"/>
      <c r="Z890" s="452"/>
      <c r="AA890" s="452"/>
      <c r="AB890" s="452"/>
      <c r="AC890" s="452"/>
      <c r="AD890" s="452"/>
      <c r="AE890" s="452"/>
      <c r="AF890" s="452"/>
      <c r="AG890" s="452"/>
      <c r="AH890" s="452"/>
      <c r="AI890" s="452"/>
      <c r="AJ890" s="452"/>
      <c r="AK890" s="452"/>
      <c r="AL890" s="452"/>
      <c r="AM890" s="452"/>
      <c r="AN890" s="452"/>
      <c r="AO890" s="459"/>
      <c r="AP890" s="459"/>
      <c r="AQ890" s="341"/>
      <c r="AR890" s="341"/>
      <c r="AS890" s="341"/>
      <c r="AT890" s="341"/>
      <c r="AU890" s="341"/>
      <c r="AV890" s="543">
        <f>M890</f>
        <v>0</v>
      </c>
      <c r="AW890" s="342"/>
      <c r="AX890" s="342"/>
      <c r="AY890" s="342"/>
      <c r="AZ890" s="342"/>
      <c r="BA890" s="342"/>
      <c r="BB890" s="342"/>
      <c r="BC890" s="342"/>
      <c r="BD890" s="342"/>
      <c r="BE890" s="342"/>
    </row>
    <row r="891" spans="1:58" ht="14.25" customHeight="1">
      <c r="A891" s="502"/>
      <c r="B891" s="355"/>
      <c r="C891" s="502"/>
      <c r="D891" s="502"/>
      <c r="E891" s="502"/>
      <c r="F891" s="502"/>
      <c r="G891" s="502"/>
      <c r="H891" s="355"/>
      <c r="I891" s="472"/>
      <c r="J891" s="354"/>
      <c r="P891" s="381"/>
      <c r="Q891" s="452"/>
      <c r="R891" s="452"/>
      <c r="S891" s="452"/>
      <c r="T891" s="452"/>
      <c r="AI891" s="452"/>
      <c r="AJ891" s="452"/>
      <c r="AK891" s="452"/>
      <c r="AL891" s="452"/>
      <c r="AM891" s="452"/>
      <c r="AN891" s="452"/>
      <c r="AO891" s="459"/>
      <c r="AP891" s="459"/>
      <c r="AQ891" s="341"/>
      <c r="AR891" s="341"/>
      <c r="AS891" s="341"/>
      <c r="AT891" s="341"/>
      <c r="AU891" s="341"/>
      <c r="AV891" s="341"/>
      <c r="AW891" s="342"/>
      <c r="AX891" s="342"/>
      <c r="AY891" s="342"/>
      <c r="AZ891" s="342"/>
      <c r="BA891" s="342"/>
      <c r="BB891" s="342"/>
      <c r="BC891" s="342"/>
      <c r="BD891" s="342"/>
      <c r="BE891" s="342"/>
    </row>
    <row r="892" spans="1:58" ht="14.25" hidden="1" customHeight="1" outlineLevel="1">
      <c r="A892" s="3121" t="s">
        <v>2237</v>
      </c>
      <c r="B892" s="3121"/>
      <c r="C892" s="3121"/>
      <c r="D892" s="3121"/>
      <c r="E892" s="3121"/>
      <c r="F892" s="3121"/>
      <c r="G892" s="3121"/>
      <c r="AI892" s="665"/>
      <c r="AJ892" s="354"/>
      <c r="AK892" s="354"/>
      <c r="AL892" s="354"/>
      <c r="AM892" s="354"/>
      <c r="AN892" s="354"/>
      <c r="AO892" s="358"/>
      <c r="AP892" s="358"/>
      <c r="AQ892" s="342"/>
      <c r="AR892" s="342"/>
      <c r="AS892" s="342"/>
      <c r="AT892" s="342"/>
      <c r="AU892" s="342"/>
      <c r="AV892" s="342"/>
      <c r="AW892" s="342"/>
      <c r="AX892" s="342"/>
      <c r="AY892" s="342"/>
      <c r="AZ892" s="342"/>
      <c r="BA892" s="342"/>
      <c r="BB892" s="342"/>
      <c r="BC892" s="342"/>
      <c r="BD892" s="342"/>
      <c r="BE892" s="342"/>
    </row>
    <row r="893" spans="1:58" ht="14.25" hidden="1" customHeight="1" outlineLevel="1">
      <c r="A893" s="3121"/>
      <c r="B893" s="3121"/>
      <c r="C893" s="3121"/>
      <c r="D893" s="3121"/>
      <c r="E893" s="3121"/>
      <c r="F893" s="3121"/>
      <c r="G893" s="3121"/>
      <c r="AI893" s="665"/>
      <c r="AJ893" s="354"/>
      <c r="AK893" s="354"/>
      <c r="AL893" s="354"/>
      <c r="AM893" s="354"/>
      <c r="AN893" s="354"/>
      <c r="AO893" s="358"/>
      <c r="AP893" s="358"/>
      <c r="AQ893" s="342"/>
      <c r="AR893" s="342"/>
      <c r="AS893" s="342"/>
      <c r="AT893" s="342"/>
      <c r="AU893" s="342"/>
      <c r="AV893" s="342"/>
      <c r="AW893" s="342"/>
      <c r="AX893" s="342"/>
      <c r="AY893" s="342"/>
      <c r="AZ893" s="342"/>
      <c r="BA893" s="342"/>
      <c r="BB893" s="342"/>
      <c r="BC893" s="342"/>
      <c r="BD893" s="342"/>
      <c r="BE893" s="342"/>
    </row>
    <row r="894" spans="1:58" ht="14.25" hidden="1" customHeight="1" outlineLevel="1">
      <c r="A894" s="430" t="s">
        <v>1806</v>
      </c>
      <c r="B894" s="717"/>
      <c r="C894" s="718"/>
      <c r="D894" s="378">
        <v>1.1000000000000001</v>
      </c>
      <c r="G894" s="665"/>
      <c r="H894" s="665"/>
      <c r="I894" s="665"/>
      <c r="J894" s="367"/>
      <c r="P894" s="521"/>
      <c r="Q894" s="665"/>
      <c r="R894" s="665"/>
      <c r="S894" s="665"/>
      <c r="T894" s="665"/>
      <c r="U894" s="453"/>
      <c r="V894" s="453"/>
      <c r="W894" s="453"/>
      <c r="X894" s="453"/>
      <c r="Y894" s="453"/>
      <c r="Z894" s="453"/>
      <c r="AA894" s="453"/>
      <c r="AB894" s="457"/>
      <c r="AC894" s="457"/>
      <c r="AD894" s="457"/>
      <c r="AE894" s="457"/>
      <c r="AF894" s="457"/>
      <c r="AG894" s="457"/>
      <c r="AH894" s="719"/>
      <c r="AI894" s="665"/>
      <c r="AJ894" s="354"/>
      <c r="AK894" s="354"/>
      <c r="AL894" s="354"/>
      <c r="AM894" s="354"/>
      <c r="AN894" s="354"/>
      <c r="AO894" s="358"/>
      <c r="AP894" s="358"/>
      <c r="AQ894" s="342"/>
      <c r="AR894" s="342"/>
      <c r="AS894" s="342"/>
      <c r="AT894" s="342"/>
      <c r="AU894" s="342"/>
      <c r="AV894" s="342"/>
      <c r="AW894" s="342"/>
      <c r="AX894" s="342"/>
      <c r="AY894" s="342"/>
      <c r="AZ894" s="342"/>
      <c r="BA894" s="342"/>
      <c r="BB894" s="342"/>
      <c r="BC894" s="342"/>
      <c r="BD894" s="342"/>
      <c r="BE894" s="342"/>
    </row>
    <row r="895" spans="1:58" ht="14.25" hidden="1" customHeight="1" outlineLevel="1">
      <c r="A895" s="430" t="s">
        <v>1808</v>
      </c>
      <c r="B895" s="717"/>
      <c r="C895" s="718"/>
      <c r="D895" s="378">
        <v>1</v>
      </c>
      <c r="E895" s="533" t="s">
        <v>156</v>
      </c>
      <c r="G895" s="665"/>
      <c r="H895" s="665"/>
      <c r="J895" s="356"/>
      <c r="K895" s="354"/>
      <c r="L895" s="354"/>
      <c r="M895" s="720"/>
      <c r="N895" s="381"/>
      <c r="O895" s="381"/>
      <c r="P895" s="354"/>
      <c r="Q895" s="665"/>
      <c r="R895" s="665"/>
      <c r="S895" s="665"/>
      <c r="T895" s="665"/>
      <c r="U895" s="699">
        <v>0.6</v>
      </c>
      <c r="V895" s="720"/>
      <c r="W895" s="3122">
        <v>42</v>
      </c>
      <c r="X895" s="3122"/>
      <c r="Y895" s="3122"/>
      <c r="Z895" s="3122"/>
      <c r="AA895" s="3122"/>
      <c r="AB895" s="3122"/>
      <c r="AC895" s="3122"/>
      <c r="AD895" s="3122"/>
      <c r="AE895" s="3122"/>
      <c r="AF895" s="3122"/>
      <c r="AG895" s="721"/>
      <c r="AH895" s="722">
        <v>0.6</v>
      </c>
      <c r="AI895" s="665"/>
      <c r="AJ895" s="354"/>
      <c r="AK895" s="354"/>
      <c r="AL895" s="354"/>
      <c r="AM895" s="354"/>
      <c r="AN895" s="354"/>
      <c r="AO895" s="358"/>
      <c r="AP895" s="358"/>
      <c r="AQ895" s="342"/>
      <c r="AR895" s="342"/>
      <c r="AS895" s="342"/>
      <c r="AT895" s="342"/>
      <c r="AU895" s="342"/>
      <c r="AV895" s="342"/>
      <c r="AW895" s="342"/>
      <c r="AX895" s="342"/>
      <c r="AY895" s="342"/>
      <c r="AZ895" s="342"/>
      <c r="BA895" s="342"/>
      <c r="BB895" s="342"/>
      <c r="BC895" s="342"/>
      <c r="BD895" s="342"/>
      <c r="BE895" s="342"/>
    </row>
    <row r="896" spans="1:58" s="370" customFormat="1" ht="14.25" hidden="1" customHeight="1" outlineLevel="1">
      <c r="A896" s="240"/>
      <c r="B896" s="723"/>
      <c r="C896" s="665"/>
      <c r="D896" s="617"/>
      <c r="E896" s="356">
        <f>'Ввод данных'!F205</f>
        <v>7.8</v>
      </c>
      <c r="G896" s="665"/>
      <c r="H896" s="665"/>
      <c r="I896" s="665"/>
      <c r="J896" s="367"/>
      <c r="K896" s="3123"/>
      <c r="L896" s="3123"/>
      <c r="M896" s="3123"/>
      <c r="N896" s="3123"/>
      <c r="O896" s="3123"/>
      <c r="P896" s="367"/>
      <c r="Q896" s="665"/>
      <c r="R896" s="665"/>
      <c r="S896" s="665"/>
      <c r="T896" s="665"/>
      <c r="U896" s="724">
        <v>0.6</v>
      </c>
      <c r="V896" s="725"/>
      <c r="W896" s="725">
        <v>39</v>
      </c>
      <c r="X896" s="725"/>
      <c r="Y896" s="725"/>
      <c r="Z896" s="725"/>
      <c r="AA896" s="725"/>
      <c r="AB896" s="725"/>
      <c r="AC896" s="725"/>
      <c r="AD896" s="725"/>
      <c r="AE896" s="725"/>
      <c r="AF896" s="725"/>
      <c r="AG896" s="726"/>
      <c r="AH896" s="722">
        <v>0.6</v>
      </c>
      <c r="AI896" s="665"/>
      <c r="AJ896" s="424"/>
      <c r="AK896" s="424"/>
      <c r="AL896" s="424"/>
      <c r="AM896" s="424"/>
      <c r="AN896" s="424"/>
      <c r="AO896" s="425"/>
      <c r="AP896" s="425"/>
      <c r="AQ896" s="426"/>
      <c r="AR896" s="426"/>
      <c r="AS896" s="426"/>
      <c r="AT896" s="426"/>
      <c r="AU896" s="426"/>
      <c r="AV896" s="426"/>
      <c r="AW896" s="426"/>
      <c r="AX896" s="426"/>
      <c r="AY896" s="426"/>
      <c r="AZ896" s="426"/>
      <c r="BA896" s="426"/>
      <c r="BB896" s="426"/>
      <c r="BC896" s="426"/>
      <c r="BD896" s="426"/>
      <c r="BE896" s="426"/>
      <c r="BF896" s="428"/>
    </row>
    <row r="897" spans="1:57" ht="14.25" hidden="1" customHeight="1" outlineLevel="1">
      <c r="A897" s="727" t="s">
        <v>2238</v>
      </c>
      <c r="B897" s="614"/>
      <c r="C897" s="695"/>
      <c r="D897" s="695"/>
      <c r="F897" s="460"/>
      <c r="G897" s="695"/>
      <c r="H897" s="354" t="s">
        <v>2239</v>
      </c>
      <c r="I897" s="452"/>
      <c r="J897" s="3124"/>
      <c r="K897" s="3124"/>
      <c r="L897" s="3124"/>
      <c r="M897" s="3124"/>
      <c r="N897" s="3124"/>
      <c r="O897" s="3124"/>
      <c r="P897" s="3124"/>
      <c r="Q897" s="452"/>
      <c r="R897" s="354" t="s">
        <v>2240</v>
      </c>
      <c r="S897" s="665"/>
      <c r="T897" s="665"/>
      <c r="U897" s="724">
        <v>0.6</v>
      </c>
      <c r="V897" s="725"/>
      <c r="W897" s="725">
        <v>36</v>
      </c>
      <c r="X897" s="725"/>
      <c r="Y897" s="725"/>
      <c r="Z897" s="725"/>
      <c r="AA897" s="725"/>
      <c r="AB897" s="725"/>
      <c r="AC897" s="725"/>
      <c r="AD897" s="725"/>
      <c r="AE897" s="725"/>
      <c r="AF897" s="725"/>
      <c r="AG897" s="726"/>
      <c r="AH897" s="722">
        <v>0.6</v>
      </c>
      <c r="AI897" s="728"/>
      <c r="AJ897" s="424"/>
      <c r="AK897" s="424"/>
      <c r="AL897" s="424"/>
      <c r="AM897" s="424"/>
      <c r="AN897" s="424"/>
      <c r="AO897" s="425"/>
      <c r="AP897" s="425"/>
      <c r="AQ897" s="426"/>
      <c r="AR897" s="426"/>
      <c r="AS897" s="426"/>
      <c r="AT897" s="426"/>
      <c r="AU897" s="426"/>
      <c r="AV897" s="426"/>
      <c r="AW897" s="426"/>
      <c r="AX897" s="426"/>
      <c r="AY897" s="426"/>
      <c r="AZ897" s="426"/>
      <c r="BA897" s="426"/>
      <c r="BB897" s="426"/>
      <c r="BC897" s="426"/>
      <c r="BD897" s="426"/>
      <c r="BE897" s="426"/>
    </row>
    <row r="898" spans="1:57" ht="14.25" hidden="1" customHeight="1" outlineLevel="1">
      <c r="A898" s="331" t="s">
        <v>2241</v>
      </c>
      <c r="B898" s="614"/>
      <c r="C898" s="695"/>
      <c r="E898" s="695"/>
      <c r="F898" s="695"/>
      <c r="G898" s="695"/>
      <c r="H898" s="3124"/>
      <c r="I898" s="3124"/>
      <c r="J898" s="3124"/>
      <c r="K898" s="3124"/>
      <c r="L898" s="3124"/>
      <c r="M898" s="3124"/>
      <c r="N898" s="3124"/>
      <c r="O898" s="3124"/>
      <c r="P898" s="3124"/>
      <c r="Q898" s="3124"/>
      <c r="R898" s="3124"/>
      <c r="S898" s="665"/>
      <c r="T898" s="665"/>
      <c r="U898" s="354" t="s">
        <v>2242</v>
      </c>
      <c r="V898" s="729"/>
      <c r="W898" s="452"/>
      <c r="X898" s="452"/>
      <c r="Y898" s="354"/>
      <c r="Z898" s="366"/>
      <c r="AA898" s="366"/>
      <c r="AB898" s="358"/>
      <c r="AC898" s="358"/>
      <c r="AD898" s="358"/>
      <c r="AE898" s="459"/>
      <c r="AF898" s="459"/>
      <c r="AG898" s="730"/>
      <c r="AH898" s="358" t="s">
        <v>2243</v>
      </c>
      <c r="AI898" s="728"/>
      <c r="AJ898" s="424"/>
      <c r="AK898" s="424"/>
      <c r="AL898" s="424"/>
      <c r="AM898" s="424"/>
      <c r="AN898" s="424"/>
      <c r="AO898" s="425"/>
      <c r="AP898" s="425"/>
      <c r="AQ898" s="426"/>
      <c r="AR898" s="426"/>
      <c r="AS898" s="426"/>
      <c r="AT898" s="426"/>
      <c r="AU898" s="426"/>
      <c r="AV898" s="426"/>
      <c r="AW898" s="426"/>
      <c r="AX898" s="426"/>
      <c r="AY898" s="426"/>
      <c r="AZ898" s="426"/>
      <c r="BA898" s="426"/>
      <c r="BB898" s="426"/>
      <c r="BC898" s="426"/>
      <c r="BD898" s="426"/>
      <c r="BE898" s="426"/>
    </row>
    <row r="899" spans="1:57" ht="14.25" hidden="1" customHeight="1" outlineLevel="1">
      <c r="A899" s="715" t="s">
        <v>305</v>
      </c>
      <c r="B899" s="364"/>
      <c r="C899" s="364"/>
      <c r="D899" s="695"/>
      <c r="F899" s="356"/>
      <c r="G899" s="695"/>
      <c r="H899" s="488">
        <v>0.3</v>
      </c>
      <c r="I899" s="731"/>
      <c r="J899" s="732" t="s">
        <v>2244</v>
      </c>
      <c r="K899" s="695"/>
      <c r="L899" s="695"/>
      <c r="M899" s="695"/>
      <c r="N899" s="695"/>
      <c r="O899" s="695"/>
      <c r="P899" s="695"/>
      <c r="Q899" s="731"/>
      <c r="R899" s="488">
        <v>0.3</v>
      </c>
      <c r="S899" s="695"/>
      <c r="T899" s="695"/>
      <c r="U899" s="488">
        <v>0.3</v>
      </c>
      <c r="V899" s="731"/>
      <c r="W899" s="704" t="s">
        <v>2244</v>
      </c>
      <c r="X899" s="731"/>
      <c r="Y899" s="731"/>
      <c r="Z899" s="731"/>
      <c r="AA899" s="731"/>
      <c r="AB899" s="731"/>
      <c r="AC899" s="733"/>
      <c r="AD899" s="734"/>
      <c r="AE899" s="734"/>
      <c r="AF899" s="735"/>
      <c r="AG899" s="736"/>
      <c r="AH899" s="488">
        <v>0.3</v>
      </c>
      <c r="AS899" s="426"/>
      <c r="AT899" s="426"/>
      <c r="AU899" s="426"/>
      <c r="AV899" s="426"/>
      <c r="AW899" s="426"/>
      <c r="AX899" s="426"/>
      <c r="AY899" s="426"/>
      <c r="AZ899" s="426"/>
      <c r="BA899" s="426"/>
      <c r="BB899" s="426"/>
      <c r="BC899" s="426"/>
      <c r="BD899" s="426"/>
      <c r="BE899" s="426"/>
    </row>
    <row r="900" spans="1:57" ht="14.25" hidden="1" customHeight="1" outlineLevel="1">
      <c r="A900" s="366" t="s">
        <v>2245</v>
      </c>
      <c r="B900" s="381"/>
      <c r="C900" s="366"/>
      <c r="D900" s="695"/>
      <c r="E900" s="533" t="s">
        <v>156</v>
      </c>
      <c r="H900" s="488">
        <v>0.3</v>
      </c>
      <c r="I900" s="731"/>
      <c r="J900" s="707" t="s">
        <v>2246</v>
      </c>
      <c r="K900" s="734"/>
      <c r="L900" s="734"/>
      <c r="M900" s="734"/>
      <c r="N900" s="734"/>
      <c r="O900" s="734"/>
      <c r="P900" s="737"/>
      <c r="Q900" s="731"/>
      <c r="R900" s="488">
        <v>0.3</v>
      </c>
      <c r="S900" s="695"/>
      <c r="T900" s="695"/>
      <c r="U900" s="488">
        <v>0.3</v>
      </c>
      <c r="V900" s="738"/>
      <c r="W900" s="739" t="s">
        <v>2246</v>
      </c>
      <c r="X900" s="695"/>
      <c r="Y900" s="695"/>
      <c r="Z900" s="695"/>
      <c r="AA900" s="695"/>
      <c r="AB900" s="695"/>
      <c r="AC900" s="695"/>
      <c r="AD900" s="695"/>
      <c r="AE900" s="695"/>
      <c r="AF900" s="723"/>
      <c r="AG900" s="740"/>
      <c r="AH900" s="488">
        <v>0.3</v>
      </c>
      <c r="AS900" s="426"/>
      <c r="AT900" s="426"/>
      <c r="AU900" s="426"/>
      <c r="AV900" s="426"/>
      <c r="AW900" s="426"/>
      <c r="AX900" s="426"/>
      <c r="AY900" s="426"/>
      <c r="AZ900" s="426"/>
      <c r="BA900" s="426"/>
      <c r="BB900" s="426"/>
      <c r="BC900" s="426"/>
      <c r="BD900" s="426"/>
      <c r="BE900" s="426"/>
    </row>
    <row r="901" spans="1:57" ht="14.25" hidden="1" customHeight="1" outlineLevel="1">
      <c r="A901" s="741" t="s">
        <v>307</v>
      </c>
      <c r="B901" s="381"/>
      <c r="C901" s="366"/>
      <c r="D901" s="695"/>
      <c r="E901" s="460">
        <f>'Ввод данных'!H5</f>
        <v>5.3</v>
      </c>
      <c r="G901" s="360"/>
      <c r="H901" s="488">
        <v>0.3</v>
      </c>
      <c r="I901" s="486"/>
      <c r="J901" s="742" t="s">
        <v>2247</v>
      </c>
      <c r="K901" s="354"/>
      <c r="L901" s="354"/>
      <c r="M901" s="354"/>
      <c r="N901" s="354"/>
      <c r="O901" s="354"/>
      <c r="P901" s="354"/>
      <c r="Q901" s="486"/>
      <c r="R901" s="488">
        <v>0.3</v>
      </c>
      <c r="S901" s="354"/>
      <c r="T901" s="354"/>
      <c r="U901" s="488">
        <v>0.3</v>
      </c>
      <c r="V901" s="380"/>
      <c r="W901" s="707" t="s">
        <v>2247</v>
      </c>
      <c r="X901" s="743"/>
      <c r="Y901" s="743"/>
      <c r="Z901" s="743"/>
      <c r="AA901" s="743"/>
      <c r="AB901" s="743"/>
      <c r="AC901" s="743"/>
      <c r="AD901" s="743"/>
      <c r="AE901" s="743"/>
      <c r="AF901" s="744"/>
      <c r="AG901" s="380"/>
      <c r="AH901" s="488">
        <v>0.3</v>
      </c>
      <c r="AS901" s="426"/>
      <c r="AT901" s="426"/>
      <c r="AU901" s="426"/>
      <c r="AV901" s="426"/>
      <c r="AW901" s="426"/>
      <c r="AX901" s="426"/>
      <c r="AY901" s="426"/>
      <c r="AZ901" s="426"/>
      <c r="BA901" s="426"/>
      <c r="BB901" s="426"/>
      <c r="BC901" s="426"/>
      <c r="BD901" s="426"/>
      <c r="BE901" s="426"/>
    </row>
    <row r="902" spans="1:57" ht="14.25" hidden="1" customHeight="1" outlineLevel="1">
      <c r="A902" s="366" t="s">
        <v>2248</v>
      </c>
      <c r="B902" s="381"/>
      <c r="C902" s="366"/>
      <c r="G902" s="360"/>
      <c r="H902" s="488">
        <v>0.3</v>
      </c>
      <c r="I902" s="745"/>
      <c r="J902" s="707" t="s">
        <v>2249</v>
      </c>
      <c r="K902" s="746"/>
      <c r="L902" s="746"/>
      <c r="M902" s="746"/>
      <c r="N902" s="746"/>
      <c r="O902" s="747"/>
      <c r="P902" s="748"/>
      <c r="Q902" s="488"/>
      <c r="R902" s="488">
        <v>0.3</v>
      </c>
      <c r="S902" s="366"/>
      <c r="T902" s="354"/>
      <c r="U902" s="488">
        <v>0.3</v>
      </c>
      <c r="V902" s="725"/>
      <c r="W902" s="739" t="s">
        <v>2249</v>
      </c>
      <c r="X902" s="453"/>
      <c r="Y902" s="453"/>
      <c r="Z902" s="453"/>
      <c r="AA902" s="453"/>
      <c r="AB902" s="457"/>
      <c r="AC902" s="457"/>
      <c r="AD902" s="457"/>
      <c r="AE902" s="457"/>
      <c r="AF902" s="457"/>
      <c r="AG902" s="726"/>
      <c r="AH902" s="488">
        <v>0.3</v>
      </c>
      <c r="AS902" s="426"/>
      <c r="AT902" s="426"/>
      <c r="AU902" s="426"/>
      <c r="AV902" s="426"/>
      <c r="AW902" s="426"/>
      <c r="AX902" s="426"/>
      <c r="AY902" s="426"/>
      <c r="AZ902" s="426"/>
      <c r="BA902" s="426"/>
      <c r="BB902" s="426"/>
      <c r="BC902" s="426"/>
      <c r="BD902" s="426"/>
      <c r="BE902" s="426"/>
    </row>
    <row r="903" spans="1:57" ht="14.25" hidden="1" customHeight="1" outlineLevel="1">
      <c r="A903" s="741" t="s">
        <v>308</v>
      </c>
      <c r="B903" s="381"/>
      <c r="C903" s="366"/>
      <c r="E903" s="533" t="s">
        <v>156</v>
      </c>
      <c r="G903" s="360"/>
      <c r="H903" s="488">
        <v>0.3</v>
      </c>
      <c r="I903" s="745"/>
      <c r="J903" s="742" t="s">
        <v>2250</v>
      </c>
      <c r="K903" s="354"/>
      <c r="L903" s="354"/>
      <c r="M903" s="354"/>
      <c r="N903" s="354"/>
      <c r="O903" s="381"/>
      <c r="P903" s="381"/>
      <c r="Q903" s="488"/>
      <c r="R903" s="488">
        <v>0.3</v>
      </c>
      <c r="S903" s="366"/>
      <c r="T903" s="354"/>
      <c r="U903" s="488">
        <v>0.3</v>
      </c>
      <c r="V903" s="725"/>
      <c r="W903" s="707" t="s">
        <v>2250</v>
      </c>
      <c r="X903" s="749"/>
      <c r="Y903" s="749"/>
      <c r="Z903" s="749"/>
      <c r="AA903" s="749"/>
      <c r="AB903" s="750"/>
      <c r="AC903" s="750"/>
      <c r="AD903" s="750"/>
      <c r="AE903" s="750"/>
      <c r="AF903" s="751"/>
      <c r="AG903" s="726"/>
      <c r="AH903" s="488">
        <v>0.3</v>
      </c>
      <c r="AS903" s="426"/>
      <c r="AT903" s="426"/>
      <c r="AU903" s="426"/>
      <c r="AV903" s="426"/>
      <c r="AW903" s="426"/>
      <c r="AX903" s="426"/>
      <c r="AY903" s="426"/>
      <c r="AZ903" s="426"/>
      <c r="BA903" s="426"/>
      <c r="BB903" s="426"/>
      <c r="BC903" s="426"/>
      <c r="BD903" s="426"/>
      <c r="BE903" s="426"/>
    </row>
    <row r="904" spans="1:57" ht="14.25" hidden="1" customHeight="1" outlineLevel="1">
      <c r="A904" s="331" t="s">
        <v>2251</v>
      </c>
      <c r="E904" s="356">
        <f>'Ввод данных'!H10</f>
        <v>5.2</v>
      </c>
      <c r="F904" s="460"/>
      <c r="G904" s="381"/>
      <c r="H904" s="488">
        <v>0.3</v>
      </c>
      <c r="I904" s="745"/>
      <c r="J904" s="707" t="s">
        <v>2252</v>
      </c>
      <c r="K904" s="746"/>
      <c r="L904" s="746"/>
      <c r="M904" s="746"/>
      <c r="N904" s="746"/>
      <c r="O904" s="747"/>
      <c r="P904" s="748"/>
      <c r="Q904" s="488"/>
      <c r="R904" s="488">
        <v>0.3</v>
      </c>
      <c r="S904" s="366"/>
      <c r="T904" s="354"/>
      <c r="U904" s="488">
        <v>0.3</v>
      </c>
      <c r="V904" s="725"/>
      <c r="W904" s="739" t="s">
        <v>2252</v>
      </c>
      <c r="X904" s="453"/>
      <c r="Y904" s="453"/>
      <c r="Z904" s="453"/>
      <c r="AA904" s="453"/>
      <c r="AB904" s="457"/>
      <c r="AC904" s="457"/>
      <c r="AD904" s="457"/>
      <c r="AE904" s="457"/>
      <c r="AF904" s="457"/>
      <c r="AG904" s="726"/>
      <c r="AH904" s="488">
        <v>0.3</v>
      </c>
      <c r="AS904" s="426"/>
      <c r="AT904" s="426"/>
      <c r="AU904" s="426"/>
      <c r="AV904" s="426"/>
      <c r="AW904" s="426"/>
      <c r="AX904" s="426"/>
      <c r="AY904" s="426"/>
      <c r="AZ904" s="426"/>
      <c r="BA904" s="426"/>
      <c r="BB904" s="426"/>
      <c r="BC904" s="426"/>
      <c r="BD904" s="426"/>
      <c r="BE904" s="426"/>
    </row>
    <row r="905" spans="1:57" ht="14.25" hidden="1" customHeight="1" outlineLevel="1">
      <c r="A905" s="715" t="s">
        <v>295</v>
      </c>
      <c r="E905" s="638"/>
      <c r="F905" s="638"/>
      <c r="G905" s="482"/>
      <c r="H905" s="488">
        <v>0.3</v>
      </c>
      <c r="I905" s="745"/>
      <c r="J905" s="742" t="s">
        <v>2253</v>
      </c>
      <c r="K905" s="354"/>
      <c r="L905" s="354"/>
      <c r="M905" s="354"/>
      <c r="N905" s="354"/>
      <c r="O905" s="381"/>
      <c r="P905" s="381"/>
      <c r="Q905" s="488"/>
      <c r="R905" s="488">
        <v>0.3</v>
      </c>
      <c r="S905" s="366"/>
      <c r="T905" s="354"/>
      <c r="U905" s="488">
        <v>0.3</v>
      </c>
      <c r="V905" s="725"/>
      <c r="W905" s="707" t="s">
        <v>2253</v>
      </c>
      <c r="X905" s="749"/>
      <c r="Y905" s="749"/>
      <c r="Z905" s="749"/>
      <c r="AA905" s="749"/>
      <c r="AB905" s="750"/>
      <c r="AC905" s="750"/>
      <c r="AD905" s="750"/>
      <c r="AE905" s="750"/>
      <c r="AF905" s="751"/>
      <c r="AG905" s="726"/>
      <c r="AH905" s="488">
        <v>0.3</v>
      </c>
      <c r="AS905" s="426"/>
      <c r="AT905" s="426"/>
      <c r="AU905" s="426"/>
      <c r="AV905" s="426"/>
      <c r="AW905" s="426"/>
      <c r="AX905" s="426"/>
      <c r="AY905" s="426"/>
      <c r="AZ905" s="426"/>
      <c r="BA905" s="426"/>
      <c r="BB905" s="426"/>
      <c r="BC905" s="426"/>
      <c r="BD905" s="426"/>
      <c r="BE905" s="426"/>
    </row>
    <row r="906" spans="1:57" ht="14.25" hidden="1" customHeight="1" outlineLevel="1">
      <c r="G906" s="482"/>
      <c r="H906" s="488">
        <v>0.3</v>
      </c>
      <c r="I906" s="380"/>
      <c r="J906" s="707" t="s">
        <v>2254</v>
      </c>
      <c r="K906" s="746"/>
      <c r="L906" s="746"/>
      <c r="M906" s="746"/>
      <c r="N906" s="747"/>
      <c r="O906" s="747"/>
      <c r="P906" s="748"/>
      <c r="Q906" s="699"/>
      <c r="R906" s="488">
        <v>0.3</v>
      </c>
      <c r="S906" s="366"/>
      <c r="T906" s="354"/>
      <c r="U906" s="488">
        <v>0.3</v>
      </c>
      <c r="V906" s="699"/>
      <c r="W906" s="739" t="s">
        <v>2254</v>
      </c>
      <c r="X906" s="381"/>
      <c r="Y906" s="381"/>
      <c r="Z906" s="381"/>
      <c r="AA906" s="381"/>
      <c r="AB906" s="521"/>
      <c r="AC906" s="521"/>
      <c r="AD906" s="521"/>
      <c r="AE906" s="521"/>
      <c r="AF906" s="521"/>
      <c r="AG906" s="722"/>
      <c r="AH906" s="488">
        <v>0.3</v>
      </c>
      <c r="AS906" s="426"/>
      <c r="AT906" s="426"/>
      <c r="AU906" s="426"/>
      <c r="AV906" s="426"/>
      <c r="AW906" s="426"/>
      <c r="AX906" s="426"/>
      <c r="AY906" s="426"/>
      <c r="AZ906" s="426"/>
      <c r="BA906" s="426"/>
      <c r="BB906" s="426"/>
      <c r="BC906" s="426"/>
      <c r="BD906" s="426"/>
      <c r="BE906" s="426"/>
    </row>
    <row r="907" spans="1:57" ht="14.25" hidden="1" customHeight="1" outlineLevel="1">
      <c r="A907" s="691" t="s">
        <v>2255</v>
      </c>
      <c r="B907" s="381"/>
      <c r="C907" s="638"/>
      <c r="D907" s="695"/>
      <c r="G907" s="638"/>
      <c r="H907" s="488">
        <v>0.3</v>
      </c>
      <c r="I907" s="380"/>
      <c r="J907" s="742" t="s">
        <v>2256</v>
      </c>
      <c r="Q907" s="699"/>
      <c r="R907" s="488">
        <v>0.3</v>
      </c>
      <c r="S907" s="366"/>
      <c r="T907" s="354"/>
      <c r="U907" s="488">
        <v>0.3</v>
      </c>
      <c r="V907" s="380"/>
      <c r="W907" s="707" t="s">
        <v>2256</v>
      </c>
      <c r="X907" s="743"/>
      <c r="Y907" s="743"/>
      <c r="Z907" s="743"/>
      <c r="AA907" s="743"/>
      <c r="AB907" s="743"/>
      <c r="AC907" s="743"/>
      <c r="AD907" s="743"/>
      <c r="AE907" s="743"/>
      <c r="AF907" s="744"/>
      <c r="AG907" s="380"/>
      <c r="AH907" s="488">
        <v>0.3</v>
      </c>
      <c r="AS907" s="426"/>
      <c r="AT907" s="426"/>
      <c r="AU907" s="426"/>
      <c r="AV907" s="426"/>
      <c r="AW907" s="426"/>
      <c r="AX907" s="426"/>
      <c r="AY907" s="426"/>
      <c r="AZ907" s="426"/>
      <c r="BA907" s="426"/>
      <c r="BB907" s="426"/>
      <c r="BC907" s="426"/>
      <c r="BD907" s="426"/>
      <c r="BE907" s="426"/>
    </row>
    <row r="908" spans="1:57" ht="14.25" hidden="1" customHeight="1" outlineLevel="1">
      <c r="A908" s="331" t="s">
        <v>2241</v>
      </c>
      <c r="B908" s="381"/>
      <c r="C908" s="638"/>
      <c r="D908" s="364"/>
      <c r="E908" s="366"/>
      <c r="F908" s="366"/>
      <c r="G908" s="638"/>
      <c r="H908" s="488">
        <v>0.3</v>
      </c>
      <c r="I908" s="752"/>
      <c r="J908" s="707" t="s">
        <v>2257</v>
      </c>
      <c r="K908" s="743"/>
      <c r="L908" s="743"/>
      <c r="M908" s="743"/>
      <c r="N908" s="743"/>
      <c r="O908" s="743"/>
      <c r="P908" s="744"/>
      <c r="Q908" s="722"/>
      <c r="R908" s="488">
        <v>0.3</v>
      </c>
      <c r="S908" s="521"/>
      <c r="T908" s="452"/>
      <c r="U908" s="488">
        <v>0.3</v>
      </c>
      <c r="V908" s="380"/>
      <c r="W908" s="739" t="s">
        <v>2257</v>
      </c>
      <c r="X908" s="362"/>
      <c r="Y908" s="362"/>
      <c r="Z908" s="362"/>
      <c r="AA908" s="362"/>
      <c r="AB908" s="362"/>
      <c r="AC908" s="362"/>
      <c r="AD908" s="362"/>
      <c r="AE908" s="362"/>
      <c r="AF908" s="362"/>
      <c r="AG908" s="380"/>
      <c r="AH908" s="488">
        <v>0.3</v>
      </c>
      <c r="AS908" s="426"/>
      <c r="AT908" s="426"/>
      <c r="AU908" s="426"/>
      <c r="AV908" s="426"/>
      <c r="AW908" s="426"/>
      <c r="AX908" s="426"/>
      <c r="AY908" s="426"/>
      <c r="AZ908" s="426"/>
      <c r="BA908" s="426"/>
      <c r="BB908" s="426"/>
      <c r="BC908" s="426"/>
      <c r="BD908" s="426"/>
      <c r="BE908" s="426"/>
    </row>
    <row r="909" spans="1:57" ht="14.25" hidden="1" customHeight="1" outlineLevel="1">
      <c r="A909" s="715" t="s">
        <v>404</v>
      </c>
      <c r="B909" s="381"/>
      <c r="C909" s="638"/>
      <c r="D909" s="364"/>
      <c r="G909" s="753"/>
      <c r="H909" s="488">
        <v>0.3</v>
      </c>
      <c r="I909" s="752"/>
      <c r="J909" s="754" t="s">
        <v>2258</v>
      </c>
      <c r="K909" s="755"/>
      <c r="L909" s="755"/>
      <c r="M909" s="755"/>
      <c r="N909" s="755"/>
      <c r="O909" s="755"/>
      <c r="P909" s="756"/>
      <c r="Q909" s="486"/>
      <c r="R909" s="488">
        <v>0.3</v>
      </c>
      <c r="S909" s="521"/>
      <c r="T909" s="362"/>
      <c r="U909" s="488">
        <v>0.3</v>
      </c>
      <c r="V909" s="380"/>
      <c r="W909" s="707" t="s">
        <v>2258</v>
      </c>
      <c r="X909" s="743"/>
      <c r="Y909" s="743"/>
      <c r="Z909" s="743"/>
      <c r="AA909" s="743"/>
      <c r="AB909" s="743"/>
      <c r="AC909" s="743"/>
      <c r="AD909" s="743"/>
      <c r="AE909" s="743"/>
      <c r="AF909" s="744"/>
      <c r="AG909" s="380"/>
      <c r="AH909" s="488">
        <v>0.3</v>
      </c>
      <c r="AW909" s="342"/>
      <c r="AX909" s="426"/>
      <c r="AY909" s="426"/>
      <c r="AZ909" s="426"/>
      <c r="BA909" s="426"/>
      <c r="BB909" s="426"/>
      <c r="BC909" s="426"/>
      <c r="BD909" s="426"/>
      <c r="BE909" s="426"/>
    </row>
    <row r="910" spans="1:57" ht="14.25" hidden="1" customHeight="1" outlineLevel="1">
      <c r="A910" s="366" t="s">
        <v>2245</v>
      </c>
      <c r="E910" s="638"/>
      <c r="F910" s="638"/>
      <c r="G910" s="638"/>
      <c r="H910" s="488">
        <v>0.3</v>
      </c>
      <c r="I910" s="752"/>
      <c r="J910" s="707" t="s">
        <v>2259</v>
      </c>
      <c r="K910" s="743"/>
      <c r="L910" s="743"/>
      <c r="M910" s="743"/>
      <c r="N910" s="743"/>
      <c r="O910" s="743"/>
      <c r="P910" s="744"/>
      <c r="Q910" s="486"/>
      <c r="R910" s="488">
        <v>0.3</v>
      </c>
      <c r="S910" s="521"/>
      <c r="T910" s="362"/>
      <c r="U910" s="488">
        <v>0.3</v>
      </c>
      <c r="V910" s="380"/>
      <c r="W910" s="739" t="s">
        <v>2259</v>
      </c>
      <c r="X910" s="362"/>
      <c r="Y910" s="362"/>
      <c r="Z910" s="362"/>
      <c r="AA910" s="362"/>
      <c r="AB910" s="362"/>
      <c r="AC910" s="362"/>
      <c r="AD910" s="362"/>
      <c r="AE910" s="362"/>
      <c r="AF910" s="362"/>
      <c r="AG910" s="380"/>
      <c r="AH910" s="488">
        <v>0.3</v>
      </c>
      <c r="AW910" s="342"/>
      <c r="AX910" s="426"/>
      <c r="AY910" s="426"/>
      <c r="AZ910" s="426"/>
      <c r="BA910" s="426"/>
      <c r="BB910" s="426"/>
      <c r="BC910" s="426"/>
      <c r="BD910" s="426"/>
      <c r="BE910" s="426"/>
    </row>
    <row r="911" spans="1:57" ht="14.25" hidden="1" customHeight="1" outlineLevel="1">
      <c r="A911" s="493" t="s">
        <v>401</v>
      </c>
      <c r="E911" s="638"/>
      <c r="F911" s="638"/>
      <c r="G911" s="638"/>
      <c r="H911" s="488">
        <v>0.3</v>
      </c>
      <c r="I911" s="380"/>
      <c r="J911" s="707" t="s">
        <v>2260</v>
      </c>
      <c r="K911" s="743"/>
      <c r="L911" s="743"/>
      <c r="M911" s="743"/>
      <c r="N911" s="743"/>
      <c r="O911" s="743"/>
      <c r="P911" s="744"/>
      <c r="Q911" s="380"/>
      <c r="R911" s="488">
        <v>0.3</v>
      </c>
      <c r="S911" s="453"/>
      <c r="T911" s="362"/>
      <c r="U911" s="488">
        <v>0.3</v>
      </c>
      <c r="V911" s="380"/>
      <c r="W911" s="707" t="s">
        <v>2260</v>
      </c>
      <c r="X911" s="743"/>
      <c r="Y911" s="743"/>
      <c r="Z911" s="743"/>
      <c r="AA911" s="743"/>
      <c r="AB911" s="743"/>
      <c r="AC911" s="743"/>
      <c r="AD911" s="743"/>
      <c r="AE911" s="743"/>
      <c r="AF911" s="744"/>
      <c r="AG911" s="380"/>
      <c r="AH911" s="488">
        <v>0.3</v>
      </c>
      <c r="AW911" s="342"/>
      <c r="AX911" s="426"/>
      <c r="AY911" s="426"/>
      <c r="AZ911" s="426"/>
      <c r="BA911" s="426"/>
      <c r="BB911" s="426"/>
      <c r="BC911" s="426"/>
      <c r="BD911" s="426"/>
      <c r="BE911" s="426"/>
    </row>
    <row r="912" spans="1:57" ht="14.25" hidden="1" customHeight="1" outlineLevel="1">
      <c r="A912" s="366" t="s">
        <v>2248</v>
      </c>
      <c r="E912" s="366"/>
      <c r="F912" s="366"/>
      <c r="G912" s="354"/>
      <c r="H912" s="488">
        <v>0.3</v>
      </c>
      <c r="I912" s="380"/>
      <c r="J912" s="707" t="s">
        <v>2261</v>
      </c>
      <c r="K912" s="743"/>
      <c r="L912" s="743"/>
      <c r="M912" s="743"/>
      <c r="N912" s="743"/>
      <c r="O912" s="743"/>
      <c r="P912" s="744"/>
      <c r="Q912" s="380"/>
      <c r="R912" s="488">
        <v>0.3</v>
      </c>
      <c r="S912" s="453"/>
      <c r="T912" s="362"/>
      <c r="U912" s="488">
        <v>0.3</v>
      </c>
      <c r="V912" s="598"/>
      <c r="W912" s="739" t="s">
        <v>2261</v>
      </c>
      <c r="X912" s="362"/>
      <c r="Y912" s="362"/>
      <c r="Z912" s="362"/>
      <c r="AA912" s="362"/>
      <c r="AB912" s="362"/>
      <c r="AC912" s="362"/>
      <c r="AD912" s="362"/>
      <c r="AE912" s="362"/>
      <c r="AF912" s="362"/>
      <c r="AG912" s="598"/>
      <c r="AH912" s="488">
        <v>0.3</v>
      </c>
      <c r="AW912" s="342"/>
      <c r="AX912" s="342"/>
      <c r="AY912" s="342"/>
      <c r="AZ912" s="342"/>
      <c r="BA912" s="342"/>
      <c r="BB912" s="342"/>
      <c r="BC912" s="342"/>
      <c r="BD912" s="342"/>
      <c r="BE912" s="342"/>
    </row>
    <row r="913" spans="1:57" ht="14.25" hidden="1" customHeight="1" outlineLevel="1">
      <c r="A913" s="493" t="s">
        <v>401</v>
      </c>
      <c r="E913" s="757"/>
      <c r="F913" s="757"/>
      <c r="G913" s="354"/>
      <c r="H913" s="488">
        <v>0.3</v>
      </c>
      <c r="I913" s="488"/>
      <c r="J913" s="758" t="s">
        <v>2262</v>
      </c>
      <c r="K913" s="759"/>
      <c r="L913" s="759"/>
      <c r="M913" s="759"/>
      <c r="N913" s="759"/>
      <c r="O913" s="759"/>
      <c r="P913" s="759"/>
      <c r="Q913" s="488"/>
      <c r="R913" s="488">
        <v>0.3</v>
      </c>
      <c r="S913" s="381"/>
      <c r="T913" s="362"/>
      <c r="U913" s="488">
        <v>0.3</v>
      </c>
      <c r="V913" s="488"/>
      <c r="W913" s="760" t="s">
        <v>2263</v>
      </c>
      <c r="X913" s="747"/>
      <c r="Y913" s="747"/>
      <c r="Z913" s="747"/>
      <c r="AA913" s="747"/>
      <c r="AB913" s="747"/>
      <c r="AC913" s="747"/>
      <c r="AD913" s="747"/>
      <c r="AE913" s="747"/>
      <c r="AF913" s="748"/>
      <c r="AG913" s="752"/>
      <c r="AH913" s="488">
        <v>0.3</v>
      </c>
      <c r="AW913" s="342"/>
      <c r="AX913" s="342"/>
      <c r="AY913" s="342"/>
      <c r="AZ913" s="342"/>
      <c r="BA913" s="342"/>
      <c r="BB913" s="342"/>
      <c r="BC913" s="342"/>
      <c r="BD913" s="342"/>
      <c r="BE913" s="342"/>
    </row>
    <row r="914" spans="1:57" ht="14.25" hidden="1" customHeight="1" outlineLevel="1">
      <c r="A914" s="331" t="s">
        <v>2251</v>
      </c>
      <c r="E914" s="757"/>
      <c r="F914" s="757"/>
      <c r="G914" s="482"/>
      <c r="H914" s="488">
        <v>0.3</v>
      </c>
      <c r="I914" s="486"/>
      <c r="J914" s="707" t="s">
        <v>2264</v>
      </c>
      <c r="K914" s="749"/>
      <c r="L914" s="749"/>
      <c r="M914" s="749"/>
      <c r="N914" s="749"/>
      <c r="O914" s="749"/>
      <c r="P914" s="761"/>
      <c r="Q914" s="488"/>
      <c r="R914" s="488">
        <v>0.3</v>
      </c>
      <c r="S914" s="453"/>
      <c r="T914" s="362"/>
      <c r="U914" s="488">
        <v>0.3</v>
      </c>
      <c r="V914" s="762"/>
      <c r="W914" s="739" t="s">
        <v>2264</v>
      </c>
      <c r="X914" s="453"/>
      <c r="Y914" s="453"/>
      <c r="Z914" s="453"/>
      <c r="AA914" s="453"/>
      <c r="AB914" s="453"/>
      <c r="AC914" s="453"/>
      <c r="AD914" s="453"/>
      <c r="AE914" s="453"/>
      <c r="AF914" s="453"/>
      <c r="AG914" s="763"/>
      <c r="AH914" s="488">
        <v>0.3</v>
      </c>
      <c r="AW914" s="342"/>
      <c r="AX914" s="342"/>
      <c r="AY914" s="342"/>
      <c r="AZ914" s="342"/>
      <c r="BA914" s="342"/>
      <c r="BB914" s="342"/>
      <c r="BC914" s="342"/>
      <c r="BD914" s="342"/>
      <c r="BE914" s="342"/>
    </row>
    <row r="915" spans="1:57" ht="14.25" hidden="1" customHeight="1" outlineLevel="1">
      <c r="A915" s="715" t="s">
        <v>404</v>
      </c>
      <c r="E915" s="460"/>
      <c r="F915" s="460"/>
      <c r="G915" s="482"/>
      <c r="H915" s="488">
        <v>0.3</v>
      </c>
      <c r="I915" s="486"/>
      <c r="J915" s="707" t="s">
        <v>2265</v>
      </c>
      <c r="K915" s="749"/>
      <c r="L915" s="749"/>
      <c r="M915" s="749"/>
      <c r="N915" s="749"/>
      <c r="O915" s="749"/>
      <c r="P915" s="761"/>
      <c r="Q915" s="488"/>
      <c r="R915" s="488">
        <v>0.3</v>
      </c>
      <c r="S915" s="453"/>
      <c r="T915" s="362"/>
      <c r="U915" s="488">
        <v>0.3</v>
      </c>
      <c r="V915" s="725"/>
      <c r="W915" s="707" t="s">
        <v>2266</v>
      </c>
      <c r="X915" s="749"/>
      <c r="Y915" s="749"/>
      <c r="Z915" s="749"/>
      <c r="AA915" s="749"/>
      <c r="AB915" s="749"/>
      <c r="AC915" s="749"/>
      <c r="AD915" s="749"/>
      <c r="AE915" s="749"/>
      <c r="AF915" s="761"/>
      <c r="AG915" s="726"/>
      <c r="AH915" s="488">
        <v>0.3</v>
      </c>
      <c r="AW915" s="342"/>
      <c r="AX915" s="342"/>
      <c r="AY915" s="342"/>
      <c r="AZ915" s="342"/>
      <c r="BA915" s="342"/>
      <c r="BB915" s="342"/>
      <c r="BC915" s="342"/>
      <c r="BD915" s="342"/>
      <c r="BE915" s="342"/>
    </row>
    <row r="916" spans="1:57" ht="14.25" hidden="1" customHeight="1" outlineLevel="1">
      <c r="E916" s="533" t="s">
        <v>156</v>
      </c>
      <c r="F916" s="460"/>
      <c r="G916" s="482"/>
      <c r="H916" s="488">
        <v>0.3</v>
      </c>
      <c r="I916" s="725"/>
      <c r="J916" s="707" t="s">
        <v>2267</v>
      </c>
      <c r="K916" s="749"/>
      <c r="L916" s="749"/>
      <c r="M916" s="749"/>
      <c r="N916" s="749"/>
      <c r="O916" s="749"/>
      <c r="P916" s="761"/>
      <c r="Q916" s="488"/>
      <c r="R916" s="488">
        <v>0.3</v>
      </c>
      <c r="S916" s="453"/>
      <c r="T916" s="362"/>
      <c r="U916" s="488">
        <v>0.3</v>
      </c>
      <c r="V916" s="725"/>
      <c r="W916" s="739" t="s">
        <v>2268</v>
      </c>
      <c r="X916" s="453"/>
      <c r="Y916" s="453"/>
      <c r="Z916" s="453"/>
      <c r="AA916" s="453"/>
      <c r="AB916" s="453"/>
      <c r="AC916" s="453"/>
      <c r="AD916" s="453"/>
      <c r="AE916" s="453"/>
      <c r="AF916" s="453"/>
      <c r="AG916" s="726"/>
      <c r="AH916" s="488">
        <v>0.3</v>
      </c>
      <c r="AW916" s="342"/>
      <c r="AX916" s="342"/>
      <c r="AY916" s="342"/>
      <c r="AZ916" s="342"/>
      <c r="BA916" s="342"/>
      <c r="BB916" s="342"/>
      <c r="BC916" s="342"/>
      <c r="BD916" s="342"/>
      <c r="BE916" s="342"/>
    </row>
    <row r="917" spans="1:57" ht="14.25" hidden="1" customHeight="1" outlineLevel="1">
      <c r="E917" s="356">
        <f>'Ввод данных'!H13</f>
        <v>3.2</v>
      </c>
      <c r="F917" s="366"/>
      <c r="G917" s="482"/>
      <c r="H917" s="488">
        <v>0.3</v>
      </c>
      <c r="I917" s="725"/>
      <c r="J917" s="707" t="s">
        <v>2269</v>
      </c>
      <c r="K917" s="749"/>
      <c r="L917" s="749"/>
      <c r="M917" s="749"/>
      <c r="N917" s="749"/>
      <c r="O917" s="749"/>
      <c r="P917" s="761"/>
      <c r="Q917" s="488"/>
      <c r="R917" s="488">
        <v>0.3</v>
      </c>
      <c r="S917" s="453"/>
      <c r="T917" s="362"/>
      <c r="U917" s="488">
        <v>0.3</v>
      </c>
      <c r="V917" s="725"/>
      <c r="W917" s="707" t="s">
        <v>2270</v>
      </c>
      <c r="X917" s="749"/>
      <c r="Y917" s="749"/>
      <c r="Z917" s="749"/>
      <c r="AA917" s="749"/>
      <c r="AB917" s="749"/>
      <c r="AC917" s="749"/>
      <c r="AD917" s="749"/>
      <c r="AE917" s="749"/>
      <c r="AF917" s="761"/>
      <c r="AG917" s="726"/>
      <c r="AH917" s="488">
        <v>0.3</v>
      </c>
      <c r="AW917" s="342"/>
      <c r="AX917" s="342"/>
      <c r="AY917" s="342"/>
      <c r="AZ917" s="342"/>
      <c r="BA917" s="342"/>
      <c r="BB917" s="342"/>
      <c r="BC917" s="342"/>
      <c r="BD917" s="342"/>
      <c r="BE917" s="342"/>
    </row>
    <row r="918" spans="1:57" ht="14.25" hidden="1" customHeight="1" outlineLevel="1">
      <c r="A918" s="380" t="s">
        <v>2271</v>
      </c>
      <c r="B918" s="438" t="s">
        <v>156</v>
      </c>
      <c r="C918" s="380">
        <v>0.03</v>
      </c>
      <c r="E918" s="366"/>
      <c r="F918" s="366"/>
      <c r="G918" s="354"/>
      <c r="H918" s="488">
        <v>0.3</v>
      </c>
      <c r="I918" s="725"/>
      <c r="J918" s="707" t="s">
        <v>2272</v>
      </c>
      <c r="K918" s="749"/>
      <c r="L918" s="749"/>
      <c r="M918" s="749"/>
      <c r="N918" s="749"/>
      <c r="O918" s="749"/>
      <c r="P918" s="761"/>
      <c r="Q918" s="488"/>
      <c r="R918" s="488">
        <v>0.3</v>
      </c>
      <c r="S918" s="453"/>
      <c r="T918" s="362"/>
      <c r="U918" s="488">
        <v>0.3</v>
      </c>
      <c r="V918" s="725"/>
      <c r="W918" s="739" t="s">
        <v>2273</v>
      </c>
      <c r="X918" s="453"/>
      <c r="Y918" s="453"/>
      <c r="Z918" s="453"/>
      <c r="AA918" s="453"/>
      <c r="AB918" s="453"/>
      <c r="AC918" s="453"/>
      <c r="AD918" s="453"/>
      <c r="AE918" s="453"/>
      <c r="AF918" s="453"/>
      <c r="AG918" s="726"/>
      <c r="AH918" s="488">
        <v>0.3</v>
      </c>
      <c r="AW918" s="342"/>
      <c r="AX918" s="342"/>
      <c r="AY918" s="342"/>
      <c r="AZ918" s="342"/>
      <c r="BA918" s="342"/>
      <c r="BB918" s="342"/>
      <c r="BC918" s="342"/>
      <c r="BD918" s="342"/>
      <c r="BE918" s="342"/>
    </row>
    <row r="919" spans="1:57" ht="14.25" hidden="1" customHeight="1" outlineLevel="1">
      <c r="E919" s="533" t="s">
        <v>156</v>
      </c>
      <c r="F919" s="366"/>
      <c r="G919" s="354"/>
      <c r="H919" s="488">
        <v>0.3</v>
      </c>
      <c r="I919" s="725"/>
      <c r="J919" s="707" t="s">
        <v>2274</v>
      </c>
      <c r="K919" s="749"/>
      <c r="L919" s="749"/>
      <c r="M919" s="749"/>
      <c r="N919" s="749"/>
      <c r="O919" s="749"/>
      <c r="P919" s="761"/>
      <c r="Q919" s="488"/>
      <c r="R919" s="488">
        <v>0.3</v>
      </c>
      <c r="S919" s="453"/>
      <c r="T919" s="362"/>
      <c r="U919" s="488">
        <v>0.3</v>
      </c>
      <c r="V919" s="725"/>
      <c r="W919" s="707" t="s">
        <v>2275</v>
      </c>
      <c r="X919" s="749"/>
      <c r="Y919" s="749"/>
      <c r="Z919" s="749"/>
      <c r="AA919" s="749"/>
      <c r="AB919" s="749"/>
      <c r="AC919" s="749"/>
      <c r="AD919" s="764"/>
      <c r="AE919" s="765"/>
      <c r="AF919" s="766"/>
      <c r="AG919" s="726"/>
      <c r="AH919" s="488">
        <v>0.3</v>
      </c>
      <c r="AW919" s="342"/>
      <c r="AX919" s="342"/>
      <c r="AY919" s="342"/>
      <c r="AZ919" s="342"/>
      <c r="BA919" s="342"/>
      <c r="BB919" s="342"/>
      <c r="BC919" s="342"/>
      <c r="BD919" s="342"/>
      <c r="BE919" s="342"/>
    </row>
    <row r="920" spans="1:57" ht="14.25" hidden="1" customHeight="1" outlineLevel="1">
      <c r="A920" s="767" t="s">
        <v>2276</v>
      </c>
      <c r="B920" s="381"/>
      <c r="E920" s="356">
        <f>'Ввод данных'!H17</f>
        <v>3</v>
      </c>
      <c r="F920" s="366"/>
      <c r="G920" s="354"/>
      <c r="H920" s="488">
        <v>0.3</v>
      </c>
      <c r="I920" s="725"/>
      <c r="J920" s="707" t="s">
        <v>2277</v>
      </c>
      <c r="K920" s="749"/>
      <c r="L920" s="749"/>
      <c r="M920" s="749"/>
      <c r="N920" s="749"/>
      <c r="O920" s="749"/>
      <c r="P920" s="761"/>
      <c r="Q920" s="488"/>
      <c r="R920" s="488">
        <v>0.3</v>
      </c>
      <c r="S920" s="453"/>
      <c r="T920" s="362"/>
      <c r="U920" s="488">
        <v>0.3</v>
      </c>
      <c r="V920" s="725"/>
      <c r="W920" s="739" t="s">
        <v>2278</v>
      </c>
      <c r="X920" s="453"/>
      <c r="Y920" s="453"/>
      <c r="Z920" s="453"/>
      <c r="AA920" s="453"/>
      <c r="AB920" s="453"/>
      <c r="AC920" s="453"/>
      <c r="AD920" s="521"/>
      <c r="AE920" s="521"/>
      <c r="AF920" s="521"/>
      <c r="AG920" s="726"/>
      <c r="AH920" s="488">
        <v>0.3</v>
      </c>
      <c r="AW920" s="342"/>
      <c r="AX920" s="342"/>
      <c r="AY920" s="342"/>
      <c r="AZ920" s="342"/>
      <c r="BA920" s="342"/>
      <c r="BB920" s="342"/>
      <c r="BC920" s="342"/>
      <c r="BD920" s="342"/>
      <c r="BE920" s="342"/>
    </row>
    <row r="921" spans="1:57" ht="14.25" hidden="1" customHeight="1" outlineLevel="1">
      <c r="A921" s="488" t="s">
        <v>2279</v>
      </c>
      <c r="B921" s="438" t="s">
        <v>156</v>
      </c>
      <c r="C921" s="488">
        <v>0.3</v>
      </c>
      <c r="F921" s="366"/>
      <c r="G921" s="354"/>
      <c r="H921" s="488">
        <v>0.3</v>
      </c>
      <c r="I921" s="725"/>
      <c r="J921" s="707" t="s">
        <v>2280</v>
      </c>
      <c r="K921" s="749"/>
      <c r="L921" s="749"/>
      <c r="M921" s="749"/>
      <c r="N921" s="749"/>
      <c r="O921" s="749"/>
      <c r="P921" s="761"/>
      <c r="Q921" s="488"/>
      <c r="R921" s="488">
        <v>0.3</v>
      </c>
      <c r="S921" s="453"/>
      <c r="T921" s="362"/>
      <c r="U921" s="768">
        <v>0.3</v>
      </c>
      <c r="V921" s="720"/>
      <c r="W921" s="707" t="s">
        <v>2281</v>
      </c>
      <c r="X921" s="749"/>
      <c r="Y921" s="749"/>
      <c r="Z921" s="749"/>
      <c r="AA921" s="749"/>
      <c r="AB921" s="765"/>
      <c r="AC921" s="765"/>
      <c r="AD921" s="765"/>
      <c r="AE921" s="765"/>
      <c r="AF921" s="766"/>
      <c r="AG921" s="721"/>
      <c r="AH921" s="769">
        <v>0.3</v>
      </c>
      <c r="AW921" s="342"/>
      <c r="AX921" s="342"/>
      <c r="AY921" s="342"/>
      <c r="AZ921" s="342"/>
      <c r="BA921" s="342"/>
      <c r="BB921" s="342"/>
      <c r="BC921" s="342"/>
      <c r="BD921" s="342"/>
      <c r="BE921" s="342"/>
    </row>
    <row r="922" spans="1:57" ht="14.25" hidden="1" customHeight="1" outlineLevel="1">
      <c r="F922" s="356"/>
      <c r="G922" s="354"/>
      <c r="H922" s="770">
        <v>0.3</v>
      </c>
      <c r="I922" s="771"/>
      <c r="J922" s="772" t="s">
        <v>2282</v>
      </c>
      <c r="K922" s="773"/>
      <c r="L922" s="773"/>
      <c r="M922" s="773"/>
      <c r="N922" s="773"/>
      <c r="O922" s="773"/>
      <c r="P922" s="774"/>
      <c r="Q922" s="770"/>
      <c r="R922" s="770">
        <v>0.3</v>
      </c>
      <c r="S922" s="453"/>
      <c r="T922" s="362"/>
      <c r="U922" s="770">
        <v>0.3</v>
      </c>
      <c r="V922" s="771"/>
      <c r="W922" s="775" t="s">
        <v>2283</v>
      </c>
      <c r="X922" s="776"/>
      <c r="Y922" s="776"/>
      <c r="Z922" s="776"/>
      <c r="AA922" s="776"/>
      <c r="AB922" s="777"/>
      <c r="AC922" s="777"/>
      <c r="AD922" s="777"/>
      <c r="AE922" s="777"/>
      <c r="AF922" s="777"/>
      <c r="AG922" s="778"/>
      <c r="AH922" s="779">
        <v>0.3</v>
      </c>
      <c r="AW922" s="342"/>
      <c r="AX922" s="342"/>
      <c r="AY922" s="342"/>
      <c r="AZ922" s="342"/>
      <c r="BA922" s="342"/>
      <c r="BB922" s="342"/>
      <c r="BC922" s="342"/>
      <c r="BD922" s="342"/>
      <c r="BE922" s="342"/>
    </row>
    <row r="923" spans="1:57" ht="14.25" hidden="1" customHeight="1" outlineLevel="1">
      <c r="A923" s="525" t="s">
        <v>2284</v>
      </c>
      <c r="B923" s="438" t="s">
        <v>120</v>
      </c>
      <c r="C923" s="525" t="s">
        <v>853</v>
      </c>
      <c r="D923" s="525" t="s">
        <v>853</v>
      </c>
      <c r="E923" s="366"/>
      <c r="F923" s="366"/>
      <c r="H923" s="488">
        <v>0.3</v>
      </c>
      <c r="I923" s="725"/>
      <c r="J923" s="707" t="s">
        <v>2285</v>
      </c>
      <c r="K923" s="749"/>
      <c r="L923" s="749"/>
      <c r="M923" s="749"/>
      <c r="N923" s="749"/>
      <c r="O923" s="749"/>
      <c r="P923" s="761"/>
      <c r="Q923" s="488"/>
      <c r="R923" s="488">
        <v>0.3</v>
      </c>
      <c r="S923" s="453"/>
      <c r="T923" s="362"/>
      <c r="U923" s="780">
        <v>0.3</v>
      </c>
      <c r="V923" s="762"/>
      <c r="W923" s="739" t="s">
        <v>2286</v>
      </c>
      <c r="X923" s="453"/>
      <c r="Y923" s="453"/>
      <c r="Z923" s="453"/>
      <c r="AA923" s="453"/>
      <c r="AB923" s="453"/>
      <c r="AC923" s="453"/>
      <c r="AD923" s="453"/>
      <c r="AE923" s="453"/>
      <c r="AF923" s="453"/>
      <c r="AG923" s="763"/>
      <c r="AH923" s="781">
        <v>0.3</v>
      </c>
      <c r="AW923" s="342"/>
      <c r="AX923" s="342"/>
      <c r="AY923" s="342"/>
      <c r="AZ923" s="342"/>
      <c r="BA923" s="342"/>
      <c r="BB923" s="342"/>
      <c r="BC923" s="342"/>
      <c r="BD923" s="342"/>
      <c r="BE923" s="342"/>
    </row>
    <row r="924" spans="1:57" ht="14.25" hidden="1" customHeight="1" outlineLevel="1">
      <c r="A924" s="488" t="s">
        <v>2287</v>
      </c>
      <c r="B924" s="438" t="s">
        <v>156</v>
      </c>
      <c r="C924" s="488">
        <v>1</v>
      </c>
      <c r="D924" s="488">
        <v>0.5</v>
      </c>
      <c r="F924" s="366"/>
      <c r="G924" s="366"/>
      <c r="H924" s="488">
        <v>0.3</v>
      </c>
      <c r="I924" s="725"/>
      <c r="J924" s="707" t="s">
        <v>2288</v>
      </c>
      <c r="K924" s="749"/>
      <c r="L924" s="749"/>
      <c r="M924" s="749"/>
      <c r="N924" s="749"/>
      <c r="O924" s="749"/>
      <c r="P924" s="761"/>
      <c r="Q924" s="488"/>
      <c r="R924" s="488">
        <v>0.3</v>
      </c>
      <c r="S924" s="453"/>
      <c r="T924" s="362"/>
      <c r="U924" s="547">
        <v>0.3</v>
      </c>
      <c r="V924" s="486"/>
      <c r="W924" s="707" t="s">
        <v>2289</v>
      </c>
      <c r="X924" s="749"/>
      <c r="Y924" s="749"/>
      <c r="Z924" s="749"/>
      <c r="AA924" s="749"/>
      <c r="AB924" s="749"/>
      <c r="AC924" s="749"/>
      <c r="AD924" s="749"/>
      <c r="AE924" s="749"/>
      <c r="AF924" s="761"/>
      <c r="AG924" s="726"/>
      <c r="AH924" s="782">
        <v>0.3</v>
      </c>
      <c r="AW924" s="342"/>
      <c r="AX924" s="342"/>
      <c r="AY924" s="342"/>
      <c r="AZ924" s="342"/>
      <c r="BA924" s="342"/>
      <c r="BB924" s="342"/>
      <c r="BC924" s="342"/>
      <c r="BD924" s="342"/>
      <c r="BE924" s="342"/>
    </row>
    <row r="925" spans="1:57" ht="14.25" hidden="1" customHeight="1" outlineLevel="1">
      <c r="A925" s="488" t="s">
        <v>2290</v>
      </c>
      <c r="B925" s="438" t="s">
        <v>156</v>
      </c>
      <c r="C925" s="488">
        <v>1</v>
      </c>
      <c r="D925" s="488">
        <v>0.5</v>
      </c>
      <c r="F925" s="356"/>
      <c r="G925" s="366"/>
      <c r="H925" s="488">
        <v>0.3</v>
      </c>
      <c r="I925" s="725"/>
      <c r="J925" s="707" t="s">
        <v>2291</v>
      </c>
      <c r="K925" s="749"/>
      <c r="L925" s="749"/>
      <c r="M925" s="749"/>
      <c r="N925" s="749"/>
      <c r="O925" s="749"/>
      <c r="P925" s="761"/>
      <c r="Q925" s="488"/>
      <c r="R925" s="488">
        <v>0.3</v>
      </c>
      <c r="S925" s="453"/>
      <c r="T925" s="362"/>
      <c r="U925" s="547">
        <v>0.3</v>
      </c>
      <c r="V925" s="725"/>
      <c r="W925" s="739" t="s">
        <v>2292</v>
      </c>
      <c r="X925" s="453"/>
      <c r="Y925" s="453"/>
      <c r="Z925" s="453"/>
      <c r="AA925" s="453"/>
      <c r="AB925" s="453"/>
      <c r="AC925" s="453"/>
      <c r="AD925" s="453"/>
      <c r="AE925" s="453"/>
      <c r="AF925" s="453"/>
      <c r="AG925" s="726"/>
      <c r="AH925" s="782">
        <v>0.3</v>
      </c>
      <c r="AW925" s="342"/>
      <c r="AX925" s="342"/>
      <c r="AY925" s="342"/>
      <c r="AZ925" s="342"/>
      <c r="BA925" s="342"/>
      <c r="BB925" s="342"/>
      <c r="BC925" s="342"/>
      <c r="BD925" s="342"/>
      <c r="BE925" s="342"/>
    </row>
    <row r="926" spans="1:57" ht="14.25" hidden="1" customHeight="1" outlineLevel="1">
      <c r="A926" s="488" t="s">
        <v>2293</v>
      </c>
      <c r="B926" s="438" t="s">
        <v>156</v>
      </c>
      <c r="C926" s="488">
        <v>1</v>
      </c>
      <c r="D926" s="488">
        <v>0.5</v>
      </c>
      <c r="E926" s="366"/>
      <c r="F926" s="366"/>
      <c r="H926" s="488">
        <v>0.3</v>
      </c>
      <c r="I926" s="725"/>
      <c r="J926" s="707" t="s">
        <v>2294</v>
      </c>
      <c r="K926" s="749"/>
      <c r="L926" s="749"/>
      <c r="M926" s="749"/>
      <c r="N926" s="749"/>
      <c r="O926" s="749"/>
      <c r="P926" s="761"/>
      <c r="Q926" s="488"/>
      <c r="R926" s="488">
        <v>0.3</v>
      </c>
      <c r="S926" s="453"/>
      <c r="T926" s="362"/>
      <c r="U926" s="547">
        <v>0.3</v>
      </c>
      <c r="V926" s="725"/>
      <c r="W926" s="707" t="s">
        <v>2295</v>
      </c>
      <c r="X926" s="749"/>
      <c r="Y926" s="749"/>
      <c r="Z926" s="749"/>
      <c r="AA926" s="749"/>
      <c r="AB926" s="749"/>
      <c r="AC926" s="749"/>
      <c r="AD926" s="749"/>
      <c r="AE926" s="749"/>
      <c r="AF926" s="761"/>
      <c r="AG926" s="726"/>
      <c r="AH926" s="782">
        <v>0.3</v>
      </c>
      <c r="AW926" s="342"/>
      <c r="AX926" s="342"/>
      <c r="AY926" s="342"/>
      <c r="AZ926" s="342"/>
      <c r="BA926" s="342"/>
      <c r="BB926" s="342"/>
      <c r="BC926" s="342"/>
      <c r="BD926" s="342"/>
      <c r="BE926" s="342"/>
    </row>
    <row r="927" spans="1:57" ht="14.25" hidden="1" customHeight="1" outlineLevel="1">
      <c r="A927" s="488" t="s">
        <v>2296</v>
      </c>
      <c r="B927" s="438" t="s">
        <v>156</v>
      </c>
      <c r="C927" s="488">
        <v>1</v>
      </c>
      <c r="D927" s="488">
        <v>0.5</v>
      </c>
      <c r="E927" s="366"/>
      <c r="F927" s="366"/>
      <c r="G927" s="366"/>
      <c r="H927" s="488">
        <v>0.4</v>
      </c>
      <c r="I927" s="725"/>
      <c r="J927" s="707" t="s">
        <v>2297</v>
      </c>
      <c r="K927" s="749"/>
      <c r="L927" s="749"/>
      <c r="M927" s="749"/>
      <c r="N927" s="749"/>
      <c r="O927" s="749"/>
      <c r="P927" s="761"/>
      <c r="Q927" s="488"/>
      <c r="R927" s="488">
        <v>0.4</v>
      </c>
      <c r="S927" s="453"/>
      <c r="T927" s="362"/>
      <c r="U927" s="547">
        <v>0.4</v>
      </c>
      <c r="V927" s="725"/>
      <c r="W927" s="739" t="s">
        <v>2298</v>
      </c>
      <c r="X927" s="453"/>
      <c r="Y927" s="453"/>
      <c r="Z927" s="453"/>
      <c r="AA927" s="453"/>
      <c r="AB927" s="453"/>
      <c r="AC927" s="453"/>
      <c r="AD927" s="453"/>
      <c r="AE927" s="453"/>
      <c r="AF927" s="453"/>
      <c r="AG927" s="726"/>
      <c r="AH927" s="782">
        <v>0.4</v>
      </c>
      <c r="AW927" s="342"/>
      <c r="AX927" s="342"/>
      <c r="AY927" s="342"/>
      <c r="AZ927" s="342"/>
      <c r="BA927" s="342"/>
      <c r="BB927" s="342"/>
      <c r="BC927" s="342"/>
      <c r="BD927" s="342"/>
      <c r="BE927" s="342"/>
    </row>
    <row r="928" spans="1:57" ht="14.25" hidden="1" customHeight="1" outlineLevel="1">
      <c r="A928" s="577" t="s">
        <v>2299</v>
      </c>
      <c r="B928" s="438" t="s">
        <v>159</v>
      </c>
      <c r="C928" s="388"/>
      <c r="D928" s="488">
        <v>1</v>
      </c>
      <c r="E928" s="366"/>
      <c r="F928" s="366"/>
      <c r="G928" s="366"/>
      <c r="H928" s="488">
        <v>0.5</v>
      </c>
      <c r="I928" s="725"/>
      <c r="J928" s="707" t="s">
        <v>2300</v>
      </c>
      <c r="K928" s="749"/>
      <c r="L928" s="749"/>
      <c r="M928" s="749"/>
      <c r="N928" s="749"/>
      <c r="O928" s="749"/>
      <c r="P928" s="761"/>
      <c r="Q928" s="488"/>
      <c r="R928" s="488">
        <v>0.5</v>
      </c>
      <c r="S928" s="453"/>
      <c r="T928" s="362"/>
      <c r="U928" s="547">
        <v>0.5</v>
      </c>
      <c r="V928" s="725"/>
      <c r="W928" s="707" t="s">
        <v>2301</v>
      </c>
      <c r="X928" s="749"/>
      <c r="Y928" s="749"/>
      <c r="Z928" s="749"/>
      <c r="AA928" s="749"/>
      <c r="AB928" s="749"/>
      <c r="AC928" s="749"/>
      <c r="AD928" s="749"/>
      <c r="AE928" s="749"/>
      <c r="AF928" s="761"/>
      <c r="AG928" s="726"/>
      <c r="AH928" s="782">
        <v>0.5</v>
      </c>
      <c r="AW928" s="342"/>
      <c r="AX928" s="342"/>
      <c r="AY928" s="342"/>
      <c r="AZ928" s="342"/>
      <c r="BA928" s="342"/>
      <c r="BB928" s="342"/>
      <c r="BC928" s="342"/>
      <c r="BD928" s="342"/>
      <c r="BE928" s="342"/>
    </row>
    <row r="929" spans="1:57" ht="14.25" hidden="1" customHeight="1" outlineLevel="1">
      <c r="E929" s="366"/>
      <c r="F929" s="366"/>
      <c r="G929" s="366"/>
      <c r="H929" s="488">
        <v>0.6</v>
      </c>
      <c r="I929" s="488"/>
      <c r="J929" s="760" t="s">
        <v>2302</v>
      </c>
      <c r="K929" s="747"/>
      <c r="L929" s="747"/>
      <c r="M929" s="747"/>
      <c r="N929" s="747"/>
      <c r="O929" s="747"/>
      <c r="P929" s="747"/>
      <c r="Q929" s="488"/>
      <c r="R929" s="488">
        <v>0.6</v>
      </c>
      <c r="S929" s="783"/>
      <c r="T929" s="362"/>
      <c r="U929" s="547">
        <v>0.6</v>
      </c>
      <c r="V929" s="488"/>
      <c r="W929" s="515" t="s">
        <v>2303</v>
      </c>
      <c r="X929" s="381"/>
      <c r="Y929" s="381"/>
      <c r="Z929" s="381"/>
      <c r="AA929" s="381"/>
      <c r="AB929" s="381"/>
      <c r="AC929" s="381"/>
      <c r="AD929" s="381"/>
      <c r="AE929" s="381"/>
      <c r="AF929" s="381"/>
      <c r="AG929" s="722"/>
      <c r="AH929" s="782">
        <v>0.6</v>
      </c>
      <c r="AW929" s="342"/>
      <c r="AX929" s="342"/>
      <c r="AY929" s="342"/>
      <c r="AZ929" s="342"/>
      <c r="BA929" s="342"/>
      <c r="BB929" s="342"/>
      <c r="BC929" s="342"/>
      <c r="BD929" s="342"/>
      <c r="BE929" s="342"/>
    </row>
    <row r="930" spans="1:57" ht="14.25" hidden="1" customHeight="1" outlineLevel="1">
      <c r="A930" s="331" t="s">
        <v>2304</v>
      </c>
      <c r="E930" s="366"/>
      <c r="F930" s="366"/>
      <c r="G930" s="366"/>
      <c r="H930" s="488">
        <v>0.6</v>
      </c>
      <c r="I930" s="725"/>
      <c r="J930" s="707" t="s">
        <v>2305</v>
      </c>
      <c r="K930" s="749"/>
      <c r="L930" s="749"/>
      <c r="M930" s="749"/>
      <c r="N930" s="749"/>
      <c r="O930" s="749"/>
      <c r="P930" s="761"/>
      <c r="Q930" s="784"/>
      <c r="R930" s="488">
        <v>0.6</v>
      </c>
      <c r="S930" s="453"/>
      <c r="T930" s="362"/>
      <c r="U930" s="488">
        <v>0.6</v>
      </c>
      <c r="V930" s="725"/>
      <c r="W930" s="707" t="s">
        <v>2306</v>
      </c>
      <c r="X930" s="749"/>
      <c r="Y930" s="749"/>
      <c r="Z930" s="749"/>
      <c r="AA930" s="749"/>
      <c r="AB930" s="749"/>
      <c r="AC930" s="749"/>
      <c r="AD930" s="749"/>
      <c r="AE930" s="749"/>
      <c r="AF930" s="761"/>
      <c r="AG930" s="726"/>
      <c r="AH930" s="488">
        <v>0.6</v>
      </c>
      <c r="AW930" s="342"/>
      <c r="AX930" s="342"/>
      <c r="AY930" s="342"/>
      <c r="AZ930" s="342"/>
      <c r="BA930" s="342"/>
      <c r="BB930" s="342"/>
      <c r="BC930" s="342"/>
      <c r="BD930" s="342"/>
      <c r="BE930" s="342"/>
    </row>
    <row r="931" spans="1:57" ht="14.25" hidden="1" customHeight="1" outlineLevel="1">
      <c r="A931" s="714" t="s">
        <v>493</v>
      </c>
      <c r="E931" s="366"/>
      <c r="F931" s="366"/>
      <c r="G931" s="366"/>
      <c r="H931" s="488">
        <v>0.6</v>
      </c>
      <c r="I931" s="725"/>
      <c r="J931" s="707" t="s">
        <v>2307</v>
      </c>
      <c r="K931" s="749"/>
      <c r="L931" s="749"/>
      <c r="M931" s="749"/>
      <c r="N931" s="749"/>
      <c r="O931" s="749"/>
      <c r="P931" s="761"/>
      <c r="Q931" s="784"/>
      <c r="R931" s="488">
        <v>0.6</v>
      </c>
      <c r="S931" s="453"/>
      <c r="T931" s="362"/>
      <c r="U931" s="488">
        <v>0.6</v>
      </c>
      <c r="V931" s="725"/>
      <c r="W931" s="739" t="s">
        <v>2308</v>
      </c>
      <c r="X931" s="453"/>
      <c r="Y931" s="453"/>
      <c r="Z931" s="453"/>
      <c r="AA931" s="453"/>
      <c r="AB931" s="453"/>
      <c r="AC931" s="453"/>
      <c r="AD931" s="453"/>
      <c r="AE931" s="453"/>
      <c r="AF931" s="453"/>
      <c r="AG931" s="726"/>
      <c r="AH931" s="488">
        <v>0.6</v>
      </c>
      <c r="AW931" s="342"/>
      <c r="AX931" s="342"/>
      <c r="AY931" s="342"/>
      <c r="AZ931" s="342"/>
      <c r="BA931" s="342"/>
      <c r="BB931" s="342"/>
      <c r="BC931" s="342"/>
      <c r="BD931" s="342"/>
      <c r="BE931" s="342"/>
    </row>
    <row r="932" spans="1:57" ht="14.25" hidden="1" customHeight="1" outlineLevel="1">
      <c r="A932" s="366" t="s">
        <v>2309</v>
      </c>
      <c r="E932" s="366"/>
      <c r="F932" s="366"/>
      <c r="G932" s="366"/>
      <c r="H932" s="488">
        <v>0.6</v>
      </c>
      <c r="I932" s="725"/>
      <c r="J932" s="707" t="s">
        <v>2310</v>
      </c>
      <c r="K932" s="749"/>
      <c r="L932" s="749"/>
      <c r="M932" s="749"/>
      <c r="N932" s="749"/>
      <c r="O932" s="749"/>
      <c r="P932" s="761"/>
      <c r="Q932" s="784"/>
      <c r="R932" s="488">
        <v>0.6</v>
      </c>
      <c r="S932" s="453"/>
      <c r="T932" s="362"/>
      <c r="U932" s="488">
        <v>0.6</v>
      </c>
      <c r="V932" s="725"/>
      <c r="W932" s="707" t="s">
        <v>2311</v>
      </c>
      <c r="X932" s="749"/>
      <c r="Y932" s="749"/>
      <c r="Z932" s="749"/>
      <c r="AA932" s="749"/>
      <c r="AB932" s="749"/>
      <c r="AC932" s="749"/>
      <c r="AD932" s="749"/>
      <c r="AE932" s="749"/>
      <c r="AF932" s="761"/>
      <c r="AG932" s="726"/>
      <c r="AH932" s="488">
        <v>0.6</v>
      </c>
      <c r="AW932" s="342"/>
      <c r="AX932" s="342"/>
      <c r="AY932" s="342"/>
      <c r="AZ932" s="342"/>
      <c r="BA932" s="342"/>
      <c r="BB932" s="342"/>
      <c r="BC932" s="342"/>
      <c r="BD932" s="342"/>
      <c r="BE932" s="342"/>
    </row>
    <row r="933" spans="1:57" ht="14.25" hidden="1" customHeight="1" outlineLevel="1">
      <c r="A933" s="493" t="s">
        <v>2312</v>
      </c>
      <c r="B933" s="381"/>
      <c r="C933" s="366"/>
      <c r="E933" s="366"/>
      <c r="F933" s="366"/>
      <c r="H933" s="488">
        <v>0.6</v>
      </c>
      <c r="I933" s="725"/>
      <c r="J933" s="707" t="s">
        <v>2313</v>
      </c>
      <c r="K933" s="749"/>
      <c r="L933" s="749"/>
      <c r="M933" s="749"/>
      <c r="N933" s="749"/>
      <c r="O933" s="749"/>
      <c r="P933" s="761"/>
      <c r="Q933" s="784"/>
      <c r="R933" s="488">
        <v>0.6</v>
      </c>
      <c r="S933" s="453"/>
      <c r="T933" s="362"/>
      <c r="U933" s="488">
        <v>0.6</v>
      </c>
      <c r="V933" s="725"/>
      <c r="W933" s="739" t="s">
        <v>2314</v>
      </c>
      <c r="X933" s="453"/>
      <c r="Y933" s="453"/>
      <c r="Z933" s="453"/>
      <c r="AA933" s="453"/>
      <c r="AB933" s="453"/>
      <c r="AC933" s="453"/>
      <c r="AD933" s="453"/>
      <c r="AE933" s="453"/>
      <c r="AF933" s="453"/>
      <c r="AG933" s="726"/>
      <c r="AH933" s="488">
        <v>0.6</v>
      </c>
      <c r="AW933" s="342"/>
      <c r="AX933" s="342"/>
      <c r="AY933" s="342"/>
      <c r="AZ933" s="342"/>
      <c r="BA933" s="342"/>
      <c r="BB933" s="342"/>
      <c r="BC933" s="342"/>
      <c r="BD933" s="342"/>
      <c r="BE933" s="342"/>
    </row>
    <row r="934" spans="1:57" ht="14.25" hidden="1" customHeight="1" outlineLevel="1">
      <c r="A934" s="366" t="s">
        <v>2315</v>
      </c>
      <c r="B934" s="492"/>
      <c r="C934" s="364"/>
      <c r="E934" s="366"/>
      <c r="F934" s="366"/>
      <c r="G934" s="381"/>
      <c r="H934" s="488">
        <v>0.6</v>
      </c>
      <c r="I934" s="725"/>
      <c r="J934" s="707" t="s">
        <v>2316</v>
      </c>
      <c r="K934" s="749"/>
      <c r="L934" s="749"/>
      <c r="M934" s="749"/>
      <c r="N934" s="749"/>
      <c r="O934" s="749"/>
      <c r="P934" s="761"/>
      <c r="Q934" s="784"/>
      <c r="R934" s="488">
        <v>0.6</v>
      </c>
      <c r="S934" s="453"/>
      <c r="T934" s="362"/>
      <c r="U934" s="488">
        <v>0.6</v>
      </c>
      <c r="V934" s="725"/>
      <c r="W934" s="707" t="s">
        <v>2317</v>
      </c>
      <c r="X934" s="749"/>
      <c r="Y934" s="749"/>
      <c r="Z934" s="749"/>
      <c r="AA934" s="749"/>
      <c r="AB934" s="749"/>
      <c r="AC934" s="749"/>
      <c r="AD934" s="749"/>
      <c r="AE934" s="749"/>
      <c r="AF934" s="761"/>
      <c r="AG934" s="726"/>
      <c r="AH934" s="488">
        <v>0.6</v>
      </c>
      <c r="AW934" s="342"/>
      <c r="AX934" s="342"/>
      <c r="AY934" s="342"/>
      <c r="AZ934" s="342"/>
      <c r="BA934" s="342"/>
      <c r="BB934" s="342"/>
      <c r="BC934" s="342"/>
      <c r="BD934" s="342"/>
      <c r="BE934" s="342"/>
    </row>
    <row r="935" spans="1:57" ht="14.25" hidden="1" customHeight="1" outlineLevel="1">
      <c r="A935" s="493" t="s">
        <v>2318</v>
      </c>
      <c r="B935" s="492"/>
      <c r="C935" s="364"/>
      <c r="E935" s="366"/>
      <c r="F935" s="366"/>
      <c r="G935" s="366"/>
      <c r="H935" s="488">
        <v>0.6</v>
      </c>
      <c r="I935" s="725"/>
      <c r="J935" s="707" t="s">
        <v>2319</v>
      </c>
      <c r="K935" s="749"/>
      <c r="L935" s="749"/>
      <c r="M935" s="749"/>
      <c r="N935" s="749"/>
      <c r="O935" s="749"/>
      <c r="P935" s="761"/>
      <c r="Q935" s="784"/>
      <c r="R935" s="488">
        <v>0.6</v>
      </c>
      <c r="S935" s="453"/>
      <c r="T935" s="362"/>
      <c r="U935" s="488">
        <v>0.6</v>
      </c>
      <c r="V935" s="725"/>
      <c r="W935" s="739" t="s">
        <v>2320</v>
      </c>
      <c r="X935" s="739"/>
      <c r="Y935" s="453"/>
      <c r="Z935" s="453"/>
      <c r="AA935" s="453"/>
      <c r="AB935" s="453"/>
      <c r="AC935" s="453"/>
      <c r="AD935" s="785"/>
      <c r="AE935" s="521"/>
      <c r="AF935" s="521"/>
      <c r="AG935" s="726"/>
      <c r="AH935" s="488">
        <v>0.6</v>
      </c>
      <c r="AW935" s="342"/>
      <c r="AX935" s="342"/>
      <c r="AY935" s="342"/>
      <c r="AZ935" s="342"/>
      <c r="BA935" s="342"/>
      <c r="BB935" s="342"/>
      <c r="BC935" s="342"/>
      <c r="BD935" s="342"/>
      <c r="BE935" s="342"/>
    </row>
    <row r="936" spans="1:57" ht="14.25" hidden="1" customHeight="1" outlineLevel="1">
      <c r="A936" s="362" t="s">
        <v>2321</v>
      </c>
      <c r="E936" s="366"/>
      <c r="F936" s="366"/>
      <c r="G936" s="366"/>
      <c r="H936" s="488">
        <v>0.3</v>
      </c>
      <c r="I936" s="725"/>
      <c r="J936" s="707" t="s">
        <v>2322</v>
      </c>
      <c r="K936" s="749"/>
      <c r="L936" s="749"/>
      <c r="M936" s="749"/>
      <c r="N936" s="749"/>
      <c r="O936" s="749"/>
      <c r="P936" s="761"/>
      <c r="Q936" s="784"/>
      <c r="R936" s="488">
        <v>0.3</v>
      </c>
      <c r="S936" s="453"/>
      <c r="T936" s="362"/>
      <c r="U936" s="547">
        <v>0.3</v>
      </c>
      <c r="V936" s="725"/>
      <c r="W936" s="707" t="s">
        <v>2323</v>
      </c>
      <c r="X936" s="749"/>
      <c r="Y936" s="749"/>
      <c r="Z936" s="749"/>
      <c r="AA936" s="749"/>
      <c r="AB936" s="749"/>
      <c r="AC936" s="749"/>
      <c r="AD936" s="765"/>
      <c r="AE936" s="765"/>
      <c r="AF936" s="766"/>
      <c r="AG936" s="726"/>
      <c r="AH936" s="782">
        <v>0.3</v>
      </c>
      <c r="AW936" s="342"/>
      <c r="AX936" s="342"/>
      <c r="AY936" s="342"/>
      <c r="AZ936" s="342"/>
      <c r="BA936" s="342"/>
      <c r="BB936" s="342"/>
      <c r="BC936" s="342"/>
      <c r="BD936" s="342"/>
      <c r="BE936" s="342"/>
    </row>
    <row r="937" spans="1:57" ht="14.25" hidden="1" customHeight="1" outlineLevel="1">
      <c r="A937" s="412" t="s">
        <v>271</v>
      </c>
      <c r="E937" s="424"/>
      <c r="F937" s="424"/>
      <c r="G937" s="366"/>
      <c r="H937" s="488">
        <v>0.3</v>
      </c>
      <c r="I937" s="725"/>
      <c r="J937" s="707" t="s">
        <v>2324</v>
      </c>
      <c r="K937" s="749"/>
      <c r="L937" s="749"/>
      <c r="M937" s="749"/>
      <c r="N937" s="749"/>
      <c r="O937" s="749"/>
      <c r="P937" s="761"/>
      <c r="Q937" s="784"/>
      <c r="R937" s="488">
        <v>0.3</v>
      </c>
      <c r="S937" s="453"/>
      <c r="T937" s="362"/>
      <c r="U937" s="547">
        <v>0.3</v>
      </c>
      <c r="V937" s="725"/>
      <c r="W937" s="739" t="s">
        <v>2325</v>
      </c>
      <c r="X937" s="453"/>
      <c r="Y937" s="453"/>
      <c r="Z937" s="453"/>
      <c r="AA937" s="453"/>
      <c r="AB937" s="453"/>
      <c r="AC937" s="453"/>
      <c r="AD937" s="453"/>
      <c r="AE937" s="453"/>
      <c r="AF937" s="453"/>
      <c r="AG937" s="726"/>
      <c r="AH937" s="782">
        <v>0.3</v>
      </c>
      <c r="AW937" s="342"/>
      <c r="AX937" s="342"/>
      <c r="AY937" s="342"/>
      <c r="AZ937" s="342"/>
      <c r="BA937" s="342"/>
      <c r="BB937" s="342"/>
      <c r="BC937" s="342"/>
      <c r="BD937" s="342"/>
      <c r="BE937" s="342"/>
    </row>
    <row r="938" spans="1:57" ht="14.25" hidden="1" customHeight="1" outlineLevel="1">
      <c r="E938" s="533" t="s">
        <v>156</v>
      </c>
      <c r="F938" s="424"/>
      <c r="G938" s="366"/>
      <c r="H938" s="488">
        <v>0.3</v>
      </c>
      <c r="I938" s="725"/>
      <c r="J938" s="707" t="s">
        <v>2326</v>
      </c>
      <c r="K938" s="749"/>
      <c r="L938" s="749"/>
      <c r="M938" s="749"/>
      <c r="N938" s="749"/>
      <c r="O938" s="749"/>
      <c r="P938" s="761"/>
      <c r="Q938" s="784"/>
      <c r="R938" s="488">
        <v>0.3</v>
      </c>
      <c r="S938" s="453"/>
      <c r="T938" s="362"/>
      <c r="U938" s="547">
        <v>0.3</v>
      </c>
      <c r="V938" s="725"/>
      <c r="W938" s="707" t="s">
        <v>2327</v>
      </c>
      <c r="X938" s="749"/>
      <c r="Y938" s="749"/>
      <c r="Z938" s="749"/>
      <c r="AA938" s="749"/>
      <c r="AB938" s="749"/>
      <c r="AC938" s="749"/>
      <c r="AD938" s="749"/>
      <c r="AE938" s="749"/>
      <c r="AF938" s="761"/>
      <c r="AG938" s="726"/>
      <c r="AH938" s="782">
        <v>0.3</v>
      </c>
      <c r="AW938" s="342"/>
      <c r="AX938" s="342"/>
      <c r="AY938" s="342"/>
      <c r="AZ938" s="342"/>
      <c r="BA938" s="342"/>
      <c r="BB938" s="342"/>
      <c r="BC938" s="342"/>
      <c r="BD938" s="342"/>
      <c r="BE938" s="342"/>
    </row>
    <row r="939" spans="1:57" ht="14.25" hidden="1" customHeight="1" outlineLevel="1">
      <c r="A939" s="331" t="s">
        <v>2328</v>
      </c>
      <c r="E939" s="393">
        <f>'Ввод данных'!H21</f>
        <v>0.2</v>
      </c>
      <c r="F939" s="360"/>
      <c r="G939" s="366"/>
      <c r="H939" s="488">
        <v>0.3</v>
      </c>
      <c r="I939" s="725"/>
      <c r="J939" s="707" t="s">
        <v>2329</v>
      </c>
      <c r="K939" s="749"/>
      <c r="L939" s="749"/>
      <c r="M939" s="749"/>
      <c r="N939" s="749"/>
      <c r="O939" s="749"/>
      <c r="P939" s="761"/>
      <c r="Q939" s="784"/>
      <c r="R939" s="488">
        <v>0.3</v>
      </c>
      <c r="S939" s="453"/>
      <c r="T939" s="362"/>
      <c r="U939" s="547">
        <v>0.3</v>
      </c>
      <c r="V939" s="725"/>
      <c r="W939" s="739" t="s">
        <v>2330</v>
      </c>
      <c r="X939" s="453"/>
      <c r="Y939" s="453"/>
      <c r="Z939" s="453"/>
      <c r="AA939" s="453"/>
      <c r="AB939" s="453"/>
      <c r="AC939" s="453"/>
      <c r="AD939" s="453"/>
      <c r="AE939" s="453"/>
      <c r="AF939" s="453"/>
      <c r="AG939" s="726"/>
      <c r="AH939" s="782">
        <v>0.3</v>
      </c>
      <c r="AW939" s="342"/>
      <c r="AX939" s="342"/>
      <c r="AY939" s="342"/>
      <c r="AZ939" s="342"/>
      <c r="BA939" s="342"/>
      <c r="BB939" s="342"/>
      <c r="BC939" s="342"/>
      <c r="BD939" s="342"/>
      <c r="BE939" s="342"/>
    </row>
    <row r="940" spans="1:57" ht="14.25" hidden="1" customHeight="1" outlineLevel="1">
      <c r="A940" s="412" t="s">
        <v>392</v>
      </c>
      <c r="B940" s="381"/>
      <c r="C940" s="366"/>
      <c r="D940" s="366"/>
      <c r="E940" s="424"/>
      <c r="F940" s="424"/>
      <c r="G940" s="366"/>
      <c r="H940" s="488">
        <v>0.3</v>
      </c>
      <c r="I940" s="725"/>
      <c r="J940" s="707" t="s">
        <v>2331</v>
      </c>
      <c r="K940" s="749"/>
      <c r="L940" s="749"/>
      <c r="M940" s="749"/>
      <c r="N940" s="749"/>
      <c r="O940" s="749"/>
      <c r="P940" s="761"/>
      <c r="Q940" s="784"/>
      <c r="R940" s="488">
        <v>0.3</v>
      </c>
      <c r="S940" s="453"/>
      <c r="T940" s="362"/>
      <c r="U940" s="547">
        <v>0.3</v>
      </c>
      <c r="V940" s="486"/>
      <c r="W940" s="707" t="s">
        <v>2332</v>
      </c>
      <c r="X940" s="749"/>
      <c r="Y940" s="749"/>
      <c r="Z940" s="749"/>
      <c r="AA940" s="749"/>
      <c r="AB940" s="749"/>
      <c r="AC940" s="749"/>
      <c r="AD940" s="749"/>
      <c r="AE940" s="749"/>
      <c r="AF940" s="761"/>
      <c r="AG940" s="726"/>
      <c r="AH940" s="782">
        <v>0.3</v>
      </c>
      <c r="AW940" s="342"/>
      <c r="AX940" s="342"/>
      <c r="AY940" s="342"/>
      <c r="AZ940" s="342"/>
      <c r="BA940" s="342"/>
      <c r="BB940" s="342"/>
      <c r="BC940" s="342"/>
      <c r="BD940" s="342"/>
      <c r="BE940" s="342"/>
    </row>
    <row r="941" spans="1:57" ht="14.25" hidden="1" customHeight="1" outlineLevel="1">
      <c r="D941" s="366"/>
      <c r="E941" s="533" t="s">
        <v>156</v>
      </c>
      <c r="F941" s="424"/>
      <c r="G941" s="366"/>
      <c r="H941" s="488">
        <v>0.3</v>
      </c>
      <c r="I941" s="725"/>
      <c r="J941" s="707" t="s">
        <v>2333</v>
      </c>
      <c r="K941" s="746"/>
      <c r="L941" s="746"/>
      <c r="M941" s="746"/>
      <c r="N941" s="746"/>
      <c r="O941" s="746"/>
      <c r="P941" s="786"/>
      <c r="Q941" s="784"/>
      <c r="R941" s="488">
        <v>0.3</v>
      </c>
      <c r="S941" s="452"/>
      <c r="T941" s="362"/>
      <c r="U941" s="547">
        <v>0.3</v>
      </c>
      <c r="V941" s="725"/>
      <c r="W941" s="452" t="s">
        <v>2334</v>
      </c>
      <c r="X941" s="452"/>
      <c r="Y941" s="452"/>
      <c r="Z941" s="452"/>
      <c r="AA941" s="452"/>
      <c r="AB941" s="452"/>
      <c r="AC941" s="452"/>
      <c r="AD941" s="452"/>
      <c r="AE941" s="452"/>
      <c r="AF941" s="452"/>
      <c r="AG941" s="726"/>
      <c r="AH941" s="782">
        <v>0.3</v>
      </c>
      <c r="AW941" s="342"/>
      <c r="AX941" s="342"/>
      <c r="AY941" s="342"/>
      <c r="AZ941" s="342"/>
      <c r="BA941" s="342"/>
      <c r="BB941" s="342"/>
      <c r="BC941" s="342"/>
      <c r="BD941" s="342"/>
      <c r="BE941" s="342"/>
    </row>
    <row r="942" spans="1:57" ht="14.25" hidden="1" customHeight="1" outlineLevel="1">
      <c r="A942" s="331" t="s">
        <v>2335</v>
      </c>
      <c r="E942" s="356">
        <f>'Ввод данных'!H25</f>
        <v>0</v>
      </c>
      <c r="F942" s="356"/>
      <c r="H942" s="488">
        <v>0.3</v>
      </c>
      <c r="I942" s="725"/>
      <c r="J942" s="707" t="s">
        <v>2336</v>
      </c>
      <c r="K942" s="746"/>
      <c r="L942" s="746"/>
      <c r="M942" s="746"/>
      <c r="N942" s="746"/>
      <c r="O942" s="746"/>
      <c r="P942" s="786"/>
      <c r="Q942" s="784"/>
      <c r="R942" s="488">
        <v>0.3</v>
      </c>
      <c r="S942" s="452"/>
      <c r="T942" s="362"/>
      <c r="U942" s="547">
        <v>0.3</v>
      </c>
      <c r="V942" s="725"/>
      <c r="W942" s="548" t="s">
        <v>2337</v>
      </c>
      <c r="X942" s="746"/>
      <c r="Y942" s="746"/>
      <c r="Z942" s="746"/>
      <c r="AA942" s="746"/>
      <c r="AB942" s="746"/>
      <c r="AC942" s="746"/>
      <c r="AD942" s="746"/>
      <c r="AE942" s="746"/>
      <c r="AF942" s="786"/>
      <c r="AG942" s="726"/>
      <c r="AH942" s="782">
        <v>0.3</v>
      </c>
      <c r="AW942" s="342"/>
      <c r="AX942" s="342"/>
      <c r="AY942" s="342"/>
      <c r="AZ942" s="342"/>
      <c r="BA942" s="342"/>
      <c r="BB942" s="342"/>
      <c r="BC942" s="342"/>
      <c r="BD942" s="342"/>
      <c r="BE942" s="342"/>
    </row>
    <row r="943" spans="1:57" ht="14.25" hidden="1" customHeight="1" outlineLevel="1">
      <c r="A943" s="493" t="s">
        <v>386</v>
      </c>
      <c r="E943" s="424"/>
      <c r="F943" s="424"/>
      <c r="G943" s="366"/>
      <c r="H943" s="488">
        <v>0.4</v>
      </c>
      <c r="I943" s="725"/>
      <c r="J943" s="707" t="s">
        <v>2338</v>
      </c>
      <c r="K943" s="746"/>
      <c r="L943" s="746"/>
      <c r="M943" s="746"/>
      <c r="N943" s="746"/>
      <c r="O943" s="746"/>
      <c r="P943" s="786"/>
      <c r="Q943" s="784"/>
      <c r="R943" s="488">
        <v>0.4</v>
      </c>
      <c r="S943" s="452"/>
      <c r="T943" s="362"/>
      <c r="U943" s="547">
        <v>0.4</v>
      </c>
      <c r="V943" s="725"/>
      <c r="W943" s="452" t="s">
        <v>2339</v>
      </c>
      <c r="X943" s="452"/>
      <c r="Y943" s="452"/>
      <c r="Z943" s="452"/>
      <c r="AA943" s="452"/>
      <c r="AB943" s="452"/>
      <c r="AC943" s="452"/>
      <c r="AD943" s="452"/>
      <c r="AE943" s="452"/>
      <c r="AF943" s="452"/>
      <c r="AG943" s="726"/>
      <c r="AH943" s="782">
        <v>0.4</v>
      </c>
      <c r="AW943" s="342"/>
      <c r="AX943" s="342"/>
      <c r="AY943" s="342"/>
      <c r="AZ943" s="342"/>
      <c r="BA943" s="342"/>
      <c r="BB943" s="342"/>
      <c r="BC943" s="342"/>
      <c r="BD943" s="342"/>
      <c r="BE943" s="342"/>
    </row>
    <row r="944" spans="1:57" ht="14.25" hidden="1" customHeight="1" outlineLevel="1">
      <c r="D944" s="366"/>
      <c r="E944" s="424"/>
      <c r="F944" s="424"/>
      <c r="G944" s="366"/>
      <c r="H944" s="488">
        <v>0.5</v>
      </c>
      <c r="I944" s="725"/>
      <c r="J944" s="707" t="s">
        <v>2340</v>
      </c>
      <c r="K944" s="746"/>
      <c r="L944" s="746"/>
      <c r="M944" s="746"/>
      <c r="N944" s="746"/>
      <c r="O944" s="746"/>
      <c r="P944" s="786"/>
      <c r="Q944" s="784"/>
      <c r="R944" s="488">
        <v>0.5</v>
      </c>
      <c r="S944" s="452"/>
      <c r="T944" s="362"/>
      <c r="U944" s="547">
        <v>0.5</v>
      </c>
      <c r="V944" s="725"/>
      <c r="W944" s="548" t="s">
        <v>2341</v>
      </c>
      <c r="X944" s="746"/>
      <c r="Y944" s="746"/>
      <c r="Z944" s="746"/>
      <c r="AA944" s="746"/>
      <c r="AB944" s="746"/>
      <c r="AC944" s="746"/>
      <c r="AD944" s="746"/>
      <c r="AE944" s="746"/>
      <c r="AF944" s="786"/>
      <c r="AG944" s="726"/>
      <c r="AH944" s="782">
        <v>0.5</v>
      </c>
      <c r="AW944" s="342"/>
      <c r="AX944" s="342"/>
      <c r="AY944" s="342"/>
      <c r="AZ944" s="342"/>
      <c r="BA944" s="342"/>
      <c r="BB944" s="342"/>
      <c r="BC944" s="342"/>
      <c r="BD944" s="342"/>
      <c r="BE944" s="342"/>
    </row>
    <row r="945" spans="1:57" ht="14.25" hidden="1" customHeight="1" outlineLevel="1">
      <c r="A945" s="412" t="s">
        <v>2342</v>
      </c>
      <c r="D945" s="366"/>
      <c r="E945" s="424"/>
      <c r="F945" s="424"/>
      <c r="G945" s="366"/>
      <c r="H945" s="787">
        <v>0.6</v>
      </c>
      <c r="I945" s="788"/>
      <c r="J945" s="789" t="s">
        <v>2343</v>
      </c>
      <c r="K945" s="790"/>
      <c r="L945" s="790"/>
      <c r="M945" s="790"/>
      <c r="N945" s="790"/>
      <c r="O945" s="790"/>
      <c r="P945" s="791"/>
      <c r="Q945" s="792"/>
      <c r="R945" s="787">
        <v>0.6</v>
      </c>
      <c r="S945" s="366"/>
      <c r="T945" s="362"/>
      <c r="U945" s="789">
        <v>0.6</v>
      </c>
      <c r="V945" s="787"/>
      <c r="W945" s="793" t="s">
        <v>2343</v>
      </c>
      <c r="X945" s="794"/>
      <c r="Y945" s="794"/>
      <c r="Z945" s="794"/>
      <c r="AA945" s="794"/>
      <c r="AB945" s="794"/>
      <c r="AC945" s="794"/>
      <c r="AD945" s="794"/>
      <c r="AE945" s="794"/>
      <c r="AF945" s="795"/>
      <c r="AG945" s="796"/>
      <c r="AH945" s="797">
        <v>0.6</v>
      </c>
      <c r="AW945" s="342"/>
      <c r="AX945" s="342"/>
      <c r="AY945" s="342"/>
      <c r="AZ945" s="342"/>
      <c r="BA945" s="342"/>
      <c r="BB945" s="342"/>
      <c r="BC945" s="342"/>
      <c r="BD945" s="342"/>
      <c r="BE945" s="342"/>
    </row>
    <row r="946" spans="1:57" ht="14.25" hidden="1" customHeight="1" outlineLevel="1">
      <c r="A946" s="331" t="s">
        <v>2344</v>
      </c>
      <c r="D946" s="366"/>
      <c r="E946" s="424"/>
      <c r="F946" s="424"/>
      <c r="G946" s="366"/>
      <c r="H946" s="366"/>
      <c r="I946" s="699"/>
      <c r="J946" s="381"/>
      <c r="K946" s="381"/>
      <c r="L946" s="381"/>
      <c r="M946" s="381"/>
      <c r="N946" s="381"/>
      <c r="O946" s="381"/>
      <c r="P946" s="381"/>
      <c r="Q946" s="699"/>
      <c r="R946" s="798"/>
      <c r="S946" s="366"/>
      <c r="T946" s="366"/>
      <c r="U946" s="453"/>
      <c r="V946" s="725"/>
      <c r="W946" s="354"/>
      <c r="X946" s="354"/>
      <c r="Y946" s="354"/>
      <c r="Z946" s="354"/>
      <c r="AA946" s="354"/>
      <c r="AB946" s="358"/>
      <c r="AC946" s="358"/>
      <c r="AD946" s="358"/>
      <c r="AE946" s="358"/>
      <c r="AF946" s="358"/>
      <c r="AG946" s="726"/>
      <c r="AH946" s="457"/>
      <c r="AW946" s="342"/>
      <c r="AX946" s="342"/>
      <c r="AY946" s="342"/>
      <c r="AZ946" s="342"/>
      <c r="BA946" s="342"/>
      <c r="BB946" s="342"/>
      <c r="BC946" s="342"/>
      <c r="BD946" s="342"/>
      <c r="BE946" s="342"/>
    </row>
    <row r="947" spans="1:57" ht="14.25" hidden="1" customHeight="1" outlineLevel="1">
      <c r="A947" s="412" t="s">
        <v>392</v>
      </c>
      <c r="E947" s="424"/>
      <c r="F947" s="424"/>
      <c r="G947" s="366"/>
      <c r="H947" s="464" t="s">
        <v>2239</v>
      </c>
      <c r="I947" s="464"/>
      <c r="J947" s="464"/>
      <c r="K947" s="464"/>
      <c r="L947" s="464"/>
      <c r="M947" s="464" t="s">
        <v>1775</v>
      </c>
      <c r="N947" s="464"/>
      <c r="P947" s="464"/>
      <c r="Q947" s="464"/>
      <c r="R947" s="453" t="s">
        <v>2345</v>
      </c>
      <c r="S947" s="464"/>
      <c r="T947" s="464"/>
      <c r="U947" s="464" t="s">
        <v>2242</v>
      </c>
      <c r="V947" s="464"/>
      <c r="W947" s="464"/>
      <c r="X947" s="464"/>
      <c r="Y947" s="464"/>
      <c r="Z947" s="464"/>
      <c r="AA947" s="464"/>
      <c r="AB947" s="719" t="s">
        <v>1773</v>
      </c>
      <c r="AC947" s="719"/>
      <c r="AD947" s="719"/>
      <c r="AE947" s="719"/>
      <c r="AF947" s="719"/>
      <c r="AG947" s="719"/>
      <c r="AH947" s="719" t="s">
        <v>2243</v>
      </c>
      <c r="AW947" s="342"/>
      <c r="AX947" s="342"/>
      <c r="AY947" s="342"/>
      <c r="AZ947" s="342"/>
      <c r="BA947" s="342"/>
      <c r="BB947" s="342"/>
      <c r="BC947" s="342"/>
      <c r="BD947" s="342"/>
      <c r="BE947" s="342"/>
    </row>
    <row r="948" spans="1:57" ht="14.25" hidden="1" customHeight="1" outlineLevel="1">
      <c r="E948" s="424"/>
      <c r="F948" s="424"/>
      <c r="G948" s="366"/>
      <c r="H948" s="464"/>
      <c r="I948" s="464"/>
      <c r="J948" s="464"/>
      <c r="K948" s="464"/>
      <c r="L948" s="464"/>
      <c r="M948" s="464"/>
      <c r="N948" s="464"/>
      <c r="P948" s="464"/>
      <c r="Q948" s="464"/>
      <c r="R948" s="453"/>
      <c r="S948" s="464"/>
      <c r="T948" s="464"/>
      <c r="U948" s="464"/>
      <c r="V948" s="464"/>
      <c r="W948" s="464"/>
      <c r="X948" s="464"/>
      <c r="Y948" s="464"/>
      <c r="Z948" s="464"/>
      <c r="AA948" s="464"/>
      <c r="AB948" s="719"/>
      <c r="AC948" s="719"/>
      <c r="AD948" s="719"/>
      <c r="AE948" s="719"/>
      <c r="AF948" s="719"/>
      <c r="AG948" s="719"/>
      <c r="AH948" s="719"/>
      <c r="AW948" s="342"/>
      <c r="AX948" s="342"/>
      <c r="AY948" s="342"/>
      <c r="AZ948" s="342"/>
      <c r="BA948" s="342"/>
      <c r="BB948" s="342"/>
      <c r="BC948" s="342"/>
      <c r="BD948" s="342"/>
      <c r="BE948" s="342"/>
    </row>
    <row r="949" spans="1:57" ht="14.25" hidden="1" customHeight="1" outlineLevel="1">
      <c r="A949" s="331" t="s">
        <v>2346</v>
      </c>
      <c r="E949" s="424"/>
      <c r="F949" s="424"/>
      <c r="G949" s="366"/>
      <c r="H949" s="464"/>
      <c r="I949" s="464"/>
      <c r="J949" s="464"/>
      <c r="K949" s="464"/>
      <c r="L949" s="464"/>
      <c r="M949" s="464"/>
      <c r="N949" s="464"/>
      <c r="P949" s="464"/>
      <c r="Q949" s="464"/>
      <c r="R949" s="453"/>
      <c r="S949" s="464"/>
      <c r="T949" s="464"/>
      <c r="U949" s="464"/>
      <c r="V949" s="464"/>
      <c r="W949" s="464"/>
      <c r="X949" s="464"/>
      <c r="Y949" s="464"/>
      <c r="Z949" s="464"/>
      <c r="AA949" s="464"/>
      <c r="AB949" s="719"/>
      <c r="AC949" s="719"/>
      <c r="AD949" s="719"/>
      <c r="AE949" s="719"/>
      <c r="AF949" s="719"/>
      <c r="AG949" s="719"/>
      <c r="AH949" s="719"/>
      <c r="AW949" s="342"/>
      <c r="AX949" s="342"/>
      <c r="AY949" s="342"/>
      <c r="AZ949" s="342"/>
      <c r="BA949" s="342"/>
      <c r="BB949" s="342"/>
      <c r="BC949" s="342"/>
      <c r="BD949" s="342"/>
      <c r="BE949" s="342"/>
    </row>
    <row r="950" spans="1:57" ht="14.25" hidden="1" customHeight="1" outlineLevel="1">
      <c r="A950" s="412" t="s">
        <v>694</v>
      </c>
      <c r="E950" s="424"/>
      <c r="F950" s="424"/>
      <c r="G950" s="366"/>
      <c r="H950" s="464"/>
      <c r="I950" s="464"/>
      <c r="J950" s="464"/>
      <c r="K950" s="464"/>
      <c r="L950" s="464"/>
      <c r="M950" s="464"/>
      <c r="N950" s="464"/>
      <c r="P950" s="464"/>
      <c r="Q950" s="464"/>
      <c r="R950" s="453"/>
      <c r="S950" s="464"/>
      <c r="T950" s="464"/>
      <c r="U950" s="464"/>
      <c r="V950" s="464"/>
      <c r="W950" s="464"/>
      <c r="X950" s="464"/>
      <c r="Y950" s="464"/>
      <c r="Z950" s="464"/>
      <c r="AA950" s="464"/>
      <c r="AB950" s="719"/>
      <c r="AC950" s="719"/>
      <c r="AD950" s="719"/>
      <c r="AE950" s="719"/>
      <c r="AF950" s="719"/>
      <c r="AG950" s="719"/>
      <c r="AH950" s="719"/>
      <c r="AW950" s="342"/>
      <c r="AX950" s="342"/>
      <c r="AY950" s="342"/>
      <c r="AZ950" s="342"/>
      <c r="BA950" s="342"/>
      <c r="BB950" s="342"/>
      <c r="BC950" s="342"/>
      <c r="BD950" s="342"/>
      <c r="BE950" s="342"/>
    </row>
    <row r="951" spans="1:57" ht="14.25" hidden="1" customHeight="1" outlineLevel="1">
      <c r="A951" s="596" t="s">
        <v>2347</v>
      </c>
      <c r="B951" s="413" t="s">
        <v>396</v>
      </c>
      <c r="C951" s="799">
        <v>0.1</v>
      </c>
      <c r="E951" s="424"/>
      <c r="F951" s="424"/>
      <c r="G951" s="366"/>
      <c r="H951" s="464"/>
      <c r="I951" s="464"/>
      <c r="J951" s="464"/>
      <c r="K951" s="464"/>
      <c r="L951" s="464"/>
      <c r="M951" s="464"/>
      <c r="N951" s="464"/>
      <c r="P951" s="464"/>
      <c r="Q951" s="464"/>
      <c r="R951" s="453"/>
      <c r="S951" s="464"/>
      <c r="T951" s="464"/>
      <c r="U951" s="464"/>
      <c r="V951" s="464"/>
      <c r="W951" s="464"/>
      <c r="X951" s="464"/>
      <c r="Y951" s="464"/>
      <c r="Z951" s="464"/>
      <c r="AA951" s="464"/>
      <c r="AB951" s="719"/>
      <c r="AC951" s="719"/>
      <c r="AD951" s="719"/>
      <c r="AE951" s="719"/>
      <c r="AF951" s="719"/>
      <c r="AG951" s="719"/>
      <c r="AH951" s="719"/>
      <c r="AW951" s="342"/>
      <c r="AX951" s="342"/>
      <c r="AY951" s="342"/>
      <c r="AZ951" s="342"/>
      <c r="BA951" s="342"/>
      <c r="BB951" s="342"/>
      <c r="BC951" s="342"/>
      <c r="BD951" s="342"/>
      <c r="BE951" s="342"/>
    </row>
    <row r="952" spans="1:57" ht="14.25" hidden="1" customHeight="1" outlineLevel="1">
      <c r="A952" s="380" t="s">
        <v>2348</v>
      </c>
      <c r="B952" s="413" t="s">
        <v>159</v>
      </c>
      <c r="C952" s="799">
        <v>1</v>
      </c>
      <c r="E952" s="424"/>
      <c r="F952" s="424"/>
      <c r="G952" s="366"/>
      <c r="H952" s="464"/>
      <c r="I952" s="464"/>
      <c r="J952" s="464"/>
      <c r="K952" s="464"/>
      <c r="L952" s="464"/>
      <c r="M952" s="464"/>
      <c r="N952" s="464"/>
      <c r="P952" s="464"/>
      <c r="Q952" s="464"/>
      <c r="R952" s="453"/>
      <c r="S952" s="464"/>
      <c r="T952" s="464"/>
      <c r="U952" s="464"/>
      <c r="V952" s="464"/>
      <c r="W952" s="464"/>
      <c r="X952" s="464"/>
      <c r="Y952" s="464"/>
      <c r="Z952" s="464"/>
      <c r="AA952" s="464"/>
      <c r="AB952" s="719"/>
      <c r="AC952" s="719"/>
      <c r="AD952" s="719"/>
      <c r="AE952" s="719"/>
      <c r="AF952" s="719"/>
      <c r="AG952" s="719"/>
      <c r="AH952" s="719"/>
      <c r="AW952" s="342"/>
      <c r="AX952" s="342"/>
      <c r="AY952" s="342"/>
      <c r="AZ952" s="342"/>
      <c r="BA952" s="342"/>
      <c r="BB952" s="342"/>
      <c r="BC952" s="342"/>
      <c r="BD952" s="342"/>
      <c r="BE952" s="342"/>
    </row>
    <row r="953" spans="1:57" ht="14.25" hidden="1" customHeight="1" outlineLevel="1">
      <c r="E953" s="424"/>
      <c r="F953" s="424"/>
      <c r="G953" s="366"/>
      <c r="H953" s="464"/>
      <c r="I953" s="464"/>
      <c r="J953" s="464"/>
      <c r="K953" s="464"/>
      <c r="L953" s="464"/>
      <c r="M953" s="464"/>
      <c r="N953" s="464"/>
      <c r="P953" s="464"/>
      <c r="Q953" s="464"/>
      <c r="R953" s="453"/>
      <c r="S953" s="464"/>
      <c r="T953" s="464"/>
      <c r="U953" s="464"/>
      <c r="V953" s="464"/>
      <c r="W953" s="464"/>
      <c r="X953" s="464"/>
      <c r="Y953" s="464"/>
      <c r="Z953" s="464"/>
      <c r="AA953" s="464"/>
      <c r="AB953" s="719"/>
      <c r="AC953" s="719"/>
      <c r="AD953" s="719"/>
      <c r="AE953" s="719"/>
      <c r="AF953" s="719"/>
      <c r="AG953" s="719"/>
      <c r="AH953" s="719"/>
      <c r="AW953" s="342"/>
      <c r="AX953" s="342"/>
      <c r="AY953" s="342"/>
      <c r="AZ953" s="342"/>
      <c r="BA953" s="342"/>
      <c r="BB953" s="342"/>
      <c r="BC953" s="342"/>
      <c r="BD953" s="342"/>
      <c r="BE953" s="342"/>
    </row>
    <row r="954" spans="1:57" ht="14.25" hidden="1" customHeight="1" outlineLevel="1">
      <c r="A954" s="617" t="s">
        <v>2349</v>
      </c>
      <c r="B954" s="800"/>
      <c r="C954" s="533"/>
      <c r="E954" s="424"/>
      <c r="F954" s="424"/>
      <c r="G954" s="366"/>
      <c r="H954" s="464"/>
      <c r="I954" s="464"/>
      <c r="J954" s="464"/>
      <c r="K954" s="464"/>
      <c r="L954" s="464"/>
      <c r="M954" s="464"/>
      <c r="N954" s="464"/>
      <c r="P954" s="464"/>
      <c r="Q954" s="464"/>
      <c r="R954" s="453"/>
      <c r="S954" s="464"/>
      <c r="T954" s="464"/>
      <c r="U954" s="464"/>
      <c r="V954" s="464"/>
      <c r="W954" s="464"/>
      <c r="X954" s="464"/>
      <c r="Y954" s="464"/>
      <c r="Z954" s="464"/>
      <c r="AA954" s="464"/>
      <c r="AB954" s="719"/>
      <c r="AC954" s="719"/>
      <c r="AD954" s="719"/>
      <c r="AE954" s="719"/>
      <c r="AF954" s="719"/>
      <c r="AG954" s="719"/>
      <c r="AH954" s="719"/>
      <c r="AW954" s="342"/>
      <c r="AX954" s="342"/>
      <c r="AY954" s="342"/>
      <c r="AZ954" s="342"/>
      <c r="BA954" s="342"/>
      <c r="BB954" s="342"/>
      <c r="BC954" s="342"/>
      <c r="BD954" s="342"/>
      <c r="BE954" s="342"/>
    </row>
    <row r="955" spans="1:57" ht="14.25" hidden="1" customHeight="1" outlineLevel="1">
      <c r="A955" s="536" t="s">
        <v>1364</v>
      </c>
      <c r="B955" s="442"/>
      <c r="C955" s="801"/>
      <c r="E955" s="424"/>
      <c r="F955" s="424"/>
      <c r="G955" s="366"/>
      <c r="H955" s="464"/>
      <c r="I955" s="464"/>
      <c r="J955" s="464"/>
      <c r="K955" s="464"/>
      <c r="L955" s="464"/>
      <c r="M955" s="464"/>
      <c r="N955" s="464"/>
      <c r="P955" s="464"/>
      <c r="Q955" s="464"/>
      <c r="R955" s="453"/>
      <c r="S955" s="464"/>
      <c r="T955" s="464"/>
      <c r="U955" s="464"/>
      <c r="V955" s="464"/>
      <c r="W955" s="464"/>
      <c r="X955" s="464"/>
      <c r="Y955" s="464"/>
      <c r="Z955" s="464"/>
      <c r="AA955" s="464"/>
      <c r="AB955" s="719"/>
      <c r="AC955" s="719"/>
      <c r="AD955" s="719"/>
      <c r="AE955" s="719"/>
      <c r="AF955" s="719"/>
      <c r="AG955" s="719"/>
      <c r="AH955" s="719"/>
      <c r="AW955" s="342"/>
      <c r="AX955" s="342"/>
      <c r="AY955" s="342"/>
      <c r="AZ955" s="342"/>
      <c r="BA955" s="342"/>
      <c r="BB955" s="342"/>
      <c r="BC955" s="342"/>
      <c r="BD955" s="342"/>
      <c r="BE955" s="342"/>
    </row>
    <row r="956" spans="1:57" ht="14.25" hidden="1" customHeight="1" outlineLevel="1">
      <c r="A956" s="596" t="s">
        <v>2347</v>
      </c>
      <c r="B956" s="413" t="s">
        <v>396</v>
      </c>
      <c r="C956" s="799">
        <v>0.1</v>
      </c>
      <c r="E956" s="424"/>
      <c r="F956" s="424"/>
      <c r="G956" s="366"/>
      <c r="H956" s="464"/>
      <c r="I956" s="464"/>
      <c r="J956" s="464"/>
      <c r="K956" s="464"/>
      <c r="L956" s="464"/>
      <c r="M956" s="464"/>
      <c r="N956" s="464"/>
      <c r="P956" s="464"/>
      <c r="Q956" s="464"/>
      <c r="R956" s="453"/>
      <c r="S956" s="464"/>
      <c r="T956" s="464"/>
      <c r="U956" s="464"/>
      <c r="V956" s="464"/>
      <c r="W956" s="464"/>
      <c r="X956" s="464"/>
      <c r="Y956" s="464"/>
      <c r="Z956" s="464"/>
      <c r="AA956" s="464"/>
      <c r="AB956" s="719"/>
      <c r="AC956" s="719"/>
      <c r="AD956" s="719"/>
      <c r="AE956" s="719"/>
      <c r="AF956" s="719"/>
      <c r="AG956" s="719"/>
      <c r="AH956" s="719"/>
      <c r="AW956" s="342"/>
      <c r="AX956" s="342"/>
      <c r="AY956" s="342"/>
      <c r="AZ956" s="342"/>
      <c r="BA956" s="342"/>
      <c r="BB956" s="342"/>
      <c r="BC956" s="342"/>
      <c r="BD956" s="342"/>
      <c r="BE956" s="342"/>
    </row>
    <row r="957" spans="1:57" ht="14.25" hidden="1" customHeight="1" outlineLevel="1">
      <c r="A957" s="380" t="s">
        <v>2350</v>
      </c>
      <c r="B957" s="413" t="s">
        <v>159</v>
      </c>
      <c r="C957" s="799">
        <v>2</v>
      </c>
      <c r="E957" s="424"/>
      <c r="F957" s="424"/>
      <c r="G957" s="366"/>
      <c r="H957" s="464"/>
      <c r="I957" s="464"/>
      <c r="J957" s="464"/>
      <c r="K957" s="464"/>
      <c r="L957" s="464"/>
      <c r="M957" s="464"/>
      <c r="N957" s="464"/>
      <c r="P957" s="464"/>
      <c r="Q957" s="464"/>
      <c r="R957" s="453"/>
      <c r="S957" s="464"/>
      <c r="T957" s="464"/>
      <c r="U957" s="464"/>
      <c r="V957" s="464"/>
      <c r="W957" s="464"/>
      <c r="X957" s="464"/>
      <c r="Y957" s="464"/>
      <c r="Z957" s="464"/>
      <c r="AA957" s="464"/>
      <c r="AB957" s="719"/>
      <c r="AC957" s="719"/>
      <c r="AD957" s="719"/>
      <c r="AE957" s="719"/>
      <c r="AF957" s="719"/>
      <c r="AG957" s="719"/>
      <c r="AH957" s="719"/>
      <c r="AW957" s="342"/>
      <c r="AX957" s="342"/>
      <c r="AY957" s="342"/>
      <c r="AZ957" s="342"/>
      <c r="BA957" s="342"/>
      <c r="BB957" s="342"/>
      <c r="BC957" s="342"/>
      <c r="BD957" s="342"/>
      <c r="BE957" s="342"/>
    </row>
    <row r="958" spans="1:57" ht="14.25" hidden="1" customHeight="1" outlineLevel="1">
      <c r="C958" s="533"/>
      <c r="E958" s="424"/>
      <c r="F958" s="424"/>
      <c r="G958" s="366"/>
      <c r="H958" s="464"/>
      <c r="I958" s="464"/>
      <c r="J958" s="464"/>
      <c r="K958" s="464"/>
      <c r="L958" s="464"/>
      <c r="M958" s="464"/>
      <c r="N958" s="464"/>
      <c r="P958" s="464"/>
      <c r="Q958" s="464"/>
      <c r="R958" s="453"/>
      <c r="S958" s="464"/>
      <c r="T958" s="464"/>
      <c r="U958" s="464"/>
      <c r="V958" s="464"/>
      <c r="W958" s="464"/>
      <c r="X958" s="464"/>
      <c r="Y958" s="464"/>
      <c r="Z958" s="464"/>
      <c r="AA958" s="464"/>
      <c r="AB958" s="719"/>
      <c r="AC958" s="719"/>
      <c r="AD958" s="719"/>
      <c r="AE958" s="719"/>
      <c r="AF958" s="719"/>
      <c r="AG958" s="719"/>
      <c r="AH958" s="719"/>
      <c r="AW958" s="342"/>
      <c r="AX958" s="342"/>
      <c r="AY958" s="342"/>
      <c r="AZ958" s="342"/>
      <c r="BA958" s="342"/>
      <c r="BB958" s="342"/>
      <c r="BC958" s="342"/>
      <c r="BD958" s="342"/>
      <c r="BE958" s="342"/>
    </row>
    <row r="959" spans="1:57" ht="14.25" hidden="1" customHeight="1" outlineLevel="1">
      <c r="A959" s="617" t="s">
        <v>2351</v>
      </c>
      <c r="B959" s="800"/>
      <c r="C959" s="533"/>
      <c r="E959" s="424"/>
      <c r="F959" s="424"/>
      <c r="G959" s="366"/>
      <c r="H959" s="464"/>
      <c r="I959" s="464"/>
      <c r="J959" s="464"/>
      <c r="K959" s="464"/>
      <c r="L959" s="464"/>
      <c r="M959" s="464"/>
      <c r="N959" s="464"/>
      <c r="P959" s="464"/>
      <c r="Q959" s="464"/>
      <c r="R959" s="453"/>
      <c r="S959" s="464"/>
      <c r="T959" s="464"/>
      <c r="U959" s="464"/>
      <c r="V959" s="464"/>
      <c r="W959" s="464"/>
      <c r="X959" s="464"/>
      <c r="Y959" s="464"/>
      <c r="Z959" s="464"/>
      <c r="AA959" s="464"/>
      <c r="AB959" s="719"/>
      <c r="AC959" s="719"/>
      <c r="AD959" s="719"/>
      <c r="AE959" s="719"/>
      <c r="AF959" s="719"/>
      <c r="AG959" s="719"/>
      <c r="AH959" s="719"/>
      <c r="AW959" s="342"/>
      <c r="AX959" s="342"/>
      <c r="AY959" s="342"/>
      <c r="AZ959" s="342"/>
      <c r="BA959" s="342"/>
      <c r="BB959" s="342"/>
      <c r="BC959" s="342"/>
      <c r="BD959" s="342"/>
      <c r="BE959" s="342"/>
    </row>
    <row r="960" spans="1:57" ht="14.25" hidden="1" customHeight="1" outlineLevel="1">
      <c r="A960" s="536" t="s">
        <v>1366</v>
      </c>
      <c r="B960" s="442"/>
      <c r="C960" s="801"/>
      <c r="E960" s="424"/>
      <c r="F960" s="424"/>
      <c r="G960" s="366"/>
      <c r="H960" s="464"/>
      <c r="I960" s="464"/>
      <c r="J960" s="464"/>
      <c r="K960" s="464"/>
      <c r="L960" s="464"/>
      <c r="M960" s="464"/>
      <c r="N960" s="464"/>
      <c r="P960" s="464"/>
      <c r="Q960" s="464"/>
      <c r="R960" s="453"/>
      <c r="S960" s="464"/>
      <c r="T960" s="464"/>
      <c r="U960" s="464"/>
      <c r="V960" s="464"/>
      <c r="W960" s="464"/>
      <c r="X960" s="464"/>
      <c r="Y960" s="464"/>
      <c r="Z960" s="464"/>
      <c r="AA960" s="464"/>
      <c r="AB960" s="719"/>
      <c r="AC960" s="719"/>
      <c r="AD960" s="719"/>
      <c r="AE960" s="719"/>
      <c r="AF960" s="719"/>
      <c r="AG960" s="719"/>
      <c r="AH960" s="719"/>
      <c r="AW960" s="342"/>
      <c r="AX960" s="342"/>
      <c r="AY960" s="342"/>
      <c r="AZ960" s="342"/>
      <c r="BA960" s="342"/>
      <c r="BB960" s="342"/>
      <c r="BC960" s="342"/>
      <c r="BD960" s="342"/>
      <c r="BE960" s="342"/>
    </row>
    <row r="961" spans="1:57" ht="14.25" hidden="1" customHeight="1" outlineLevel="1">
      <c r="A961" s="596" t="s">
        <v>2347</v>
      </c>
      <c r="B961" s="413" t="s">
        <v>396</v>
      </c>
      <c r="C961" s="799">
        <v>0.1</v>
      </c>
      <c r="E961" s="424"/>
      <c r="F961" s="424"/>
      <c r="G961" s="366"/>
      <c r="H961" s="464"/>
      <c r="I961" s="464"/>
      <c r="J961" s="464"/>
      <c r="K961" s="464"/>
      <c r="L961" s="464"/>
      <c r="M961" s="464"/>
      <c r="N961" s="464"/>
      <c r="P961" s="464"/>
      <c r="Q961" s="464"/>
      <c r="R961" s="453"/>
      <c r="S961" s="464"/>
      <c r="T961" s="464"/>
      <c r="U961" s="464"/>
      <c r="V961" s="464"/>
      <c r="W961" s="464"/>
      <c r="X961" s="464"/>
      <c r="Y961" s="464"/>
      <c r="Z961" s="464"/>
      <c r="AA961" s="464"/>
      <c r="AB961" s="719"/>
      <c r="AC961" s="719"/>
      <c r="AD961" s="719"/>
      <c r="AE961" s="719"/>
      <c r="AF961" s="719"/>
      <c r="AG961" s="719"/>
      <c r="AH961" s="719"/>
      <c r="AW961" s="342"/>
      <c r="AX961" s="342"/>
      <c r="AY961" s="342"/>
      <c r="AZ961" s="342"/>
      <c r="BA961" s="342"/>
      <c r="BB961" s="342"/>
      <c r="BC961" s="342"/>
      <c r="BD961" s="342"/>
      <c r="BE961" s="342"/>
    </row>
    <row r="962" spans="1:57" ht="14.25" hidden="1" customHeight="1" outlineLevel="1">
      <c r="A962" s="380" t="s">
        <v>2350</v>
      </c>
      <c r="B962" s="413" t="s">
        <v>159</v>
      </c>
      <c r="C962" s="799">
        <v>2</v>
      </c>
      <c r="E962" s="424"/>
      <c r="F962" s="424"/>
      <c r="G962" s="366"/>
      <c r="H962" s="464"/>
      <c r="I962" s="464"/>
      <c r="J962" s="464"/>
      <c r="K962" s="464"/>
      <c r="L962" s="464"/>
      <c r="M962" s="464"/>
      <c r="N962" s="464"/>
      <c r="P962" s="464"/>
      <c r="Q962" s="464"/>
      <c r="R962" s="453"/>
      <c r="S962" s="464"/>
      <c r="T962" s="464"/>
      <c r="U962" s="464"/>
      <c r="V962" s="464"/>
      <c r="W962" s="464"/>
      <c r="X962" s="464"/>
      <c r="Y962" s="464"/>
      <c r="Z962" s="464"/>
      <c r="AA962" s="464"/>
      <c r="AB962" s="719"/>
      <c r="AC962" s="719"/>
      <c r="AD962" s="719"/>
      <c r="AE962" s="719"/>
      <c r="AF962" s="719"/>
      <c r="AG962" s="719"/>
      <c r="AH962" s="719"/>
      <c r="AW962" s="342"/>
      <c r="AX962" s="342"/>
      <c r="AY962" s="342"/>
      <c r="AZ962" s="342"/>
      <c r="BA962" s="342"/>
      <c r="BB962" s="342"/>
      <c r="BC962" s="342"/>
      <c r="BD962" s="342"/>
      <c r="BE962" s="342"/>
    </row>
    <row r="963" spans="1:57" ht="14.25" hidden="1" customHeight="1" outlineLevel="1">
      <c r="E963" s="424"/>
      <c r="F963" s="424"/>
      <c r="G963" s="366"/>
      <c r="H963" s="464"/>
      <c r="I963" s="464"/>
      <c r="J963" s="464"/>
      <c r="K963" s="464"/>
      <c r="L963" s="464"/>
      <c r="M963" s="464"/>
      <c r="N963" s="464"/>
      <c r="P963" s="464"/>
      <c r="Q963" s="464"/>
      <c r="R963" s="453"/>
      <c r="S963" s="464"/>
      <c r="T963" s="464"/>
      <c r="U963" s="464"/>
      <c r="V963" s="464"/>
      <c r="W963" s="464"/>
      <c r="X963" s="464"/>
      <c r="Y963" s="464"/>
      <c r="Z963" s="464"/>
      <c r="AA963" s="464"/>
      <c r="AB963" s="719"/>
      <c r="AC963" s="719"/>
      <c r="AD963" s="719"/>
      <c r="AE963" s="719"/>
      <c r="AF963" s="719"/>
      <c r="AG963" s="719"/>
      <c r="AH963" s="719"/>
      <c r="AW963" s="342"/>
      <c r="AX963" s="342"/>
      <c r="AY963" s="342"/>
      <c r="AZ963" s="342"/>
      <c r="BA963" s="342"/>
      <c r="BB963" s="342"/>
      <c r="BC963" s="342"/>
      <c r="BD963" s="342"/>
      <c r="BE963" s="342"/>
    </row>
    <row r="964" spans="1:57" ht="14.25" hidden="1" customHeight="1" outlineLevel="1">
      <c r="A964" s="331" t="s">
        <v>2352</v>
      </c>
      <c r="E964" s="424"/>
      <c r="F964" s="424"/>
      <c r="G964" s="366"/>
      <c r="H964" s="464"/>
      <c r="I964" s="464"/>
      <c r="J964" s="464"/>
      <c r="K964" s="464"/>
      <c r="L964" s="464"/>
      <c r="M964" s="464"/>
      <c r="N964" s="464"/>
      <c r="P964" s="464"/>
      <c r="Q964" s="464"/>
      <c r="R964" s="453"/>
      <c r="S964" s="464"/>
      <c r="T964" s="464"/>
      <c r="U964" s="464"/>
      <c r="V964" s="464"/>
      <c r="W964" s="464"/>
      <c r="X964" s="464"/>
      <c r="Y964" s="464"/>
      <c r="Z964" s="464"/>
      <c r="AA964" s="464"/>
      <c r="AB964" s="719"/>
      <c r="AC964" s="719"/>
      <c r="AD964" s="719"/>
      <c r="AE964" s="719"/>
      <c r="AF964" s="719"/>
      <c r="AG964" s="719"/>
      <c r="AH964" s="719"/>
      <c r="AW964" s="342"/>
      <c r="AX964" s="342"/>
      <c r="AY964" s="342"/>
      <c r="AZ964" s="342"/>
      <c r="BA964" s="342"/>
      <c r="BB964" s="342"/>
      <c r="BC964" s="342"/>
      <c r="BD964" s="342"/>
      <c r="BE964" s="342"/>
    </row>
    <row r="965" spans="1:57" ht="14.25" hidden="1" customHeight="1" outlineLevel="1">
      <c r="A965" s="412" t="s">
        <v>1610</v>
      </c>
      <c r="E965" s="424"/>
      <c r="F965" s="424"/>
      <c r="G965" s="366"/>
      <c r="H965" s="464"/>
      <c r="I965" s="464"/>
      <c r="J965" s="464"/>
      <c r="K965" s="464"/>
      <c r="L965" s="464"/>
      <c r="M965" s="464"/>
      <c r="N965" s="464"/>
      <c r="P965" s="464"/>
      <c r="Q965" s="464"/>
      <c r="R965" s="453"/>
      <c r="S965" s="464"/>
      <c r="T965" s="464"/>
      <c r="U965" s="464"/>
      <c r="V965" s="464"/>
      <c r="W965" s="464"/>
      <c r="X965" s="464"/>
      <c r="Y965" s="464"/>
      <c r="Z965" s="464"/>
      <c r="AA965" s="464"/>
      <c r="AB965" s="719"/>
      <c r="AC965" s="719"/>
      <c r="AD965" s="719"/>
      <c r="AE965" s="719"/>
      <c r="AF965" s="719"/>
      <c r="AG965" s="719"/>
      <c r="AH965" s="719"/>
      <c r="AW965" s="342"/>
      <c r="AX965" s="342"/>
      <c r="AY965" s="342"/>
      <c r="AZ965" s="342"/>
      <c r="BA965" s="342"/>
      <c r="BB965" s="342"/>
      <c r="BC965" s="342"/>
      <c r="BD965" s="342"/>
      <c r="BE965" s="342"/>
    </row>
    <row r="966" spans="1:57" ht="14.25" hidden="1" customHeight="1" outlineLevel="1">
      <c r="E966" s="424"/>
      <c r="F966" s="424"/>
      <c r="G966" s="366"/>
      <c r="H966" s="464"/>
      <c r="I966" s="464"/>
      <c r="J966" s="464"/>
      <c r="K966" s="464"/>
      <c r="L966" s="464"/>
      <c r="M966" s="464"/>
      <c r="N966" s="464"/>
      <c r="P966" s="464"/>
      <c r="Q966" s="464"/>
      <c r="R966" s="453"/>
      <c r="S966" s="464"/>
      <c r="T966" s="464"/>
      <c r="U966" s="464"/>
      <c r="V966" s="464"/>
      <c r="W966" s="464"/>
      <c r="X966" s="464"/>
      <c r="Y966" s="464"/>
      <c r="Z966" s="464"/>
      <c r="AA966" s="464"/>
      <c r="AB966" s="719"/>
      <c r="AC966" s="719"/>
      <c r="AD966" s="719"/>
      <c r="AE966" s="719"/>
      <c r="AF966" s="719"/>
      <c r="AG966" s="719"/>
      <c r="AH966" s="719"/>
      <c r="AW966" s="342"/>
      <c r="AX966" s="342"/>
      <c r="AY966" s="342"/>
      <c r="AZ966" s="342"/>
      <c r="BA966" s="342"/>
      <c r="BB966" s="342"/>
      <c r="BC966" s="342"/>
      <c r="BD966" s="342"/>
      <c r="BE966" s="342"/>
    </row>
    <row r="967" spans="1:57" ht="14.25" hidden="1" customHeight="1" outlineLevel="1">
      <c r="A967" s="331" t="s">
        <v>2353</v>
      </c>
      <c r="E967" s="424"/>
      <c r="F967" s="424"/>
      <c r="G967" s="366"/>
      <c r="H967" s="464"/>
      <c r="I967" s="464"/>
      <c r="J967" s="464"/>
      <c r="K967" s="464"/>
      <c r="L967" s="464"/>
      <c r="M967" s="464"/>
      <c r="N967" s="464"/>
      <c r="P967" s="464"/>
      <c r="Q967" s="464"/>
      <c r="R967" s="453"/>
      <c r="S967" s="464"/>
      <c r="T967" s="464"/>
      <c r="U967" s="464"/>
      <c r="V967" s="464"/>
      <c r="W967" s="464"/>
      <c r="X967" s="464"/>
      <c r="Y967" s="464"/>
      <c r="Z967" s="464"/>
      <c r="AA967" s="464"/>
      <c r="AB967" s="719"/>
      <c r="AC967" s="719"/>
      <c r="AD967" s="719"/>
      <c r="AE967" s="719"/>
      <c r="AF967" s="719"/>
      <c r="AG967" s="719"/>
      <c r="AH967" s="719"/>
      <c r="AW967" s="342"/>
      <c r="AX967" s="342"/>
      <c r="AY967" s="342"/>
      <c r="AZ967" s="342"/>
      <c r="BA967" s="342"/>
      <c r="BB967" s="342"/>
      <c r="BC967" s="342"/>
      <c r="BD967" s="342"/>
      <c r="BE967" s="342"/>
    </row>
    <row r="968" spans="1:57" ht="14.25" hidden="1" customHeight="1" outlineLevel="1">
      <c r="A968" s="412" t="s">
        <v>683</v>
      </c>
      <c r="E968" s="424"/>
      <c r="F968" s="424"/>
      <c r="G968" s="366"/>
      <c r="H968" s="464"/>
      <c r="I968" s="464"/>
      <c r="J968" s="464"/>
      <c r="K968" s="464"/>
      <c r="L968" s="464"/>
      <c r="M968" s="464"/>
      <c r="N968" s="464"/>
      <c r="P968" s="464"/>
      <c r="Q968" s="464"/>
      <c r="R968" s="453"/>
      <c r="S968" s="464"/>
      <c r="T968" s="464"/>
      <c r="U968" s="464"/>
      <c r="V968" s="464"/>
      <c r="W968" s="464"/>
      <c r="X968" s="464"/>
      <c r="Y968" s="464"/>
      <c r="Z968" s="464"/>
      <c r="AA968" s="464"/>
      <c r="AB968" s="719"/>
      <c r="AC968" s="719"/>
      <c r="AD968" s="719"/>
      <c r="AE968" s="719"/>
      <c r="AF968" s="719"/>
      <c r="AG968" s="719"/>
      <c r="AH968" s="719"/>
      <c r="AW968" s="342"/>
      <c r="AX968" s="342"/>
      <c r="AY968" s="342"/>
      <c r="AZ968" s="342"/>
      <c r="BA968" s="342"/>
      <c r="BB968" s="342"/>
      <c r="BC968" s="342"/>
      <c r="BD968" s="342"/>
      <c r="BE968" s="342"/>
    </row>
    <row r="969" spans="1:57" ht="14.25" hidden="1" customHeight="1" outlineLevel="1">
      <c r="A969" s="331" t="s">
        <v>2354</v>
      </c>
      <c r="E969" s="424"/>
      <c r="F969" s="424"/>
      <c r="G969" s="366"/>
      <c r="H969" s="464"/>
      <c r="I969" s="464"/>
      <c r="J969" s="464"/>
      <c r="K969" s="464"/>
      <c r="L969" s="464"/>
      <c r="M969" s="464"/>
      <c r="N969" s="464"/>
      <c r="P969" s="464"/>
      <c r="Q969" s="464"/>
      <c r="R969" s="453"/>
      <c r="S969" s="464"/>
      <c r="T969" s="464"/>
      <c r="U969" s="464"/>
      <c r="V969" s="464"/>
      <c r="W969" s="464"/>
      <c r="X969" s="464"/>
      <c r="Y969" s="464"/>
      <c r="Z969" s="464"/>
      <c r="AA969" s="464"/>
      <c r="AB969" s="719"/>
      <c r="AC969" s="719"/>
      <c r="AD969" s="719"/>
      <c r="AE969" s="719"/>
      <c r="AF969" s="719"/>
      <c r="AG969" s="719"/>
      <c r="AH969" s="719"/>
      <c r="AW969" s="342"/>
      <c r="AX969" s="342"/>
      <c r="AY969" s="342"/>
      <c r="AZ969" s="342"/>
      <c r="BA969" s="342"/>
      <c r="BB969" s="342"/>
      <c r="BC969" s="342"/>
      <c r="BD969" s="342"/>
      <c r="BE969" s="342"/>
    </row>
    <row r="970" spans="1:57" ht="14.25" hidden="1" customHeight="1" outlineLevel="1">
      <c r="A970" s="412" t="s">
        <v>683</v>
      </c>
      <c r="E970" s="424"/>
      <c r="F970" s="424"/>
      <c r="G970" s="366"/>
      <c r="H970" s="464"/>
      <c r="I970" s="464"/>
      <c r="J970" s="464"/>
      <c r="K970" s="464"/>
      <c r="L970" s="464"/>
      <c r="M970" s="464"/>
      <c r="N970" s="464"/>
      <c r="P970" s="464"/>
      <c r="Q970" s="464"/>
      <c r="R970" s="453"/>
      <c r="S970" s="464"/>
      <c r="T970" s="464"/>
      <c r="U970" s="464"/>
      <c r="V970" s="464"/>
      <c r="W970" s="464"/>
      <c r="X970" s="464"/>
      <c r="Y970" s="464"/>
      <c r="Z970" s="464"/>
      <c r="AA970" s="464"/>
      <c r="AB970" s="719"/>
      <c r="AC970" s="719"/>
      <c r="AD970" s="719"/>
      <c r="AE970" s="719"/>
      <c r="AF970" s="719"/>
      <c r="AG970" s="719"/>
      <c r="AH970" s="719"/>
      <c r="AW970" s="342"/>
      <c r="AX970" s="342"/>
      <c r="AY970" s="342"/>
      <c r="AZ970" s="342"/>
      <c r="BA970" s="342"/>
      <c r="BB970" s="342"/>
      <c r="BC970" s="342"/>
      <c r="BD970" s="342"/>
      <c r="BE970" s="342"/>
    </row>
    <row r="971" spans="1:57" ht="14.25" hidden="1" customHeight="1" outlineLevel="1">
      <c r="E971" s="424"/>
      <c r="F971" s="424"/>
      <c r="G971" s="366"/>
      <c r="H971" s="464"/>
      <c r="I971" s="464"/>
      <c r="J971" s="464"/>
      <c r="K971" s="464"/>
      <c r="L971" s="464"/>
      <c r="M971" s="464"/>
      <c r="N971" s="464"/>
      <c r="P971" s="464"/>
      <c r="Q971" s="464"/>
      <c r="R971" s="453"/>
      <c r="S971" s="464"/>
      <c r="T971" s="464"/>
      <c r="U971" s="464"/>
      <c r="V971" s="464"/>
      <c r="W971" s="464"/>
      <c r="X971" s="464"/>
      <c r="Y971" s="464"/>
      <c r="Z971" s="464"/>
      <c r="AA971" s="464"/>
      <c r="AB971" s="719"/>
      <c r="AC971" s="719"/>
      <c r="AD971" s="719"/>
      <c r="AE971" s="719"/>
      <c r="AF971" s="719"/>
      <c r="AG971" s="719"/>
      <c r="AH971" s="719"/>
      <c r="AW971" s="342"/>
      <c r="AX971" s="342"/>
      <c r="AY971" s="342"/>
      <c r="AZ971" s="342"/>
      <c r="BA971" s="342"/>
      <c r="BB971" s="342"/>
      <c r="BC971" s="342"/>
      <c r="BD971" s="342"/>
      <c r="BE971" s="342"/>
    </row>
    <row r="972" spans="1:57" ht="14.25" hidden="1" customHeight="1" outlineLevel="1">
      <c r="A972" s="331" t="s">
        <v>2355</v>
      </c>
      <c r="E972" s="424"/>
      <c r="F972" s="424"/>
      <c r="G972" s="366"/>
      <c r="H972" s="464"/>
      <c r="I972" s="464"/>
      <c r="J972" s="464"/>
      <c r="K972" s="464"/>
      <c r="L972" s="464"/>
      <c r="M972" s="464"/>
      <c r="N972" s="464"/>
      <c r="P972" s="464"/>
      <c r="Q972" s="464"/>
      <c r="R972" s="453"/>
      <c r="S972" s="464"/>
      <c r="T972" s="464"/>
      <c r="U972" s="464"/>
      <c r="V972" s="464"/>
      <c r="W972" s="464"/>
      <c r="X972" s="464"/>
      <c r="Y972" s="464"/>
      <c r="Z972" s="464"/>
      <c r="AA972" s="464"/>
      <c r="AB972" s="719"/>
      <c r="AC972" s="719"/>
      <c r="AD972" s="719"/>
      <c r="AE972" s="719"/>
      <c r="AF972" s="719"/>
      <c r="AG972" s="719"/>
      <c r="AH972" s="719"/>
      <c r="AW972" s="342"/>
      <c r="AX972" s="342"/>
      <c r="AY972" s="342"/>
      <c r="AZ972" s="342"/>
      <c r="BA972" s="342"/>
      <c r="BB972" s="342"/>
      <c r="BC972" s="342"/>
      <c r="BD972" s="342"/>
      <c r="BE972" s="342"/>
    </row>
    <row r="973" spans="1:57" ht="14.25" hidden="1" customHeight="1" outlineLevel="1">
      <c r="A973" s="802" t="s">
        <v>2356</v>
      </c>
      <c r="B973" s="438" t="s">
        <v>1793</v>
      </c>
      <c r="C973" s="487" t="s">
        <v>1902</v>
      </c>
      <c r="E973" s="424"/>
      <c r="F973" s="424"/>
      <c r="G973" s="366"/>
      <c r="H973" s="464"/>
      <c r="I973" s="464"/>
      <c r="J973" s="464"/>
      <c r="K973" s="464"/>
      <c r="L973" s="464"/>
      <c r="M973" s="464"/>
      <c r="N973" s="464"/>
      <c r="P973" s="464"/>
      <c r="Q973" s="464"/>
      <c r="R973" s="453"/>
      <c r="S973" s="464"/>
      <c r="T973" s="464"/>
      <c r="U973" s="464"/>
      <c r="V973" s="464"/>
      <c r="W973" s="464"/>
      <c r="X973" s="464"/>
      <c r="Y973" s="464"/>
      <c r="Z973" s="464"/>
      <c r="AA973" s="464"/>
      <c r="AB973" s="719"/>
      <c r="AC973" s="719"/>
      <c r="AD973" s="719"/>
      <c r="AE973" s="719"/>
      <c r="AF973" s="719"/>
      <c r="AG973" s="719"/>
      <c r="AH973" s="719"/>
      <c r="AW973" s="342"/>
      <c r="AX973" s="342"/>
      <c r="AY973" s="342"/>
      <c r="AZ973" s="342"/>
      <c r="BA973" s="342"/>
      <c r="BB973" s="342"/>
      <c r="BC973" s="342"/>
      <c r="BD973" s="342"/>
      <c r="BE973" s="342"/>
    </row>
    <row r="974" spans="1:57" ht="14.25" hidden="1" customHeight="1" outlineLevel="1">
      <c r="A974" s="802" t="s">
        <v>1323</v>
      </c>
      <c r="B974" s="476" t="s">
        <v>1322</v>
      </c>
      <c r="C974" s="380">
        <v>5</v>
      </c>
      <c r="E974" s="424"/>
      <c r="F974" s="424"/>
      <c r="G974" s="366"/>
      <c r="H974" s="464"/>
      <c r="I974" s="464"/>
      <c r="J974" s="464"/>
      <c r="K974" s="464"/>
      <c r="L974" s="464"/>
      <c r="M974" s="464"/>
      <c r="N974" s="464"/>
      <c r="P974" s="464"/>
      <c r="Q974" s="464"/>
      <c r="R974" s="453"/>
      <c r="S974" s="464"/>
      <c r="T974" s="464"/>
      <c r="U974" s="464"/>
      <c r="V974" s="464"/>
      <c r="W974" s="464"/>
      <c r="X974" s="464"/>
      <c r="Y974" s="464"/>
      <c r="Z974" s="464"/>
      <c r="AA974" s="464"/>
      <c r="AB974" s="719"/>
      <c r="AC974" s="719"/>
      <c r="AD974" s="719"/>
      <c r="AE974" s="719"/>
      <c r="AF974" s="719"/>
      <c r="AG974" s="719"/>
      <c r="AH974" s="719"/>
      <c r="AW974" s="342"/>
      <c r="AX974" s="342"/>
      <c r="AY974" s="342"/>
      <c r="AZ974" s="342"/>
      <c r="BA974" s="342"/>
      <c r="BB974" s="342"/>
      <c r="BC974" s="342"/>
      <c r="BD974" s="342"/>
      <c r="BE974" s="342"/>
    </row>
    <row r="975" spans="1:57" ht="14.25" hidden="1" customHeight="1" outlineLevel="1">
      <c r="A975" s="802" t="s">
        <v>1321</v>
      </c>
      <c r="B975" s="476" t="s">
        <v>1322</v>
      </c>
      <c r="C975" s="380"/>
      <c r="E975" s="424"/>
      <c r="F975" s="424"/>
      <c r="G975" s="366"/>
      <c r="H975" s="464"/>
      <c r="I975" s="464"/>
      <c r="J975" s="464"/>
      <c r="K975" s="464"/>
      <c r="L975" s="464"/>
      <c r="M975" s="464"/>
      <c r="N975" s="464"/>
      <c r="P975" s="464"/>
      <c r="Q975" s="464"/>
      <c r="R975" s="453"/>
      <c r="S975" s="464"/>
      <c r="T975" s="464"/>
      <c r="U975" s="464"/>
      <c r="V975" s="464"/>
      <c r="W975" s="464"/>
      <c r="X975" s="464"/>
      <c r="Y975" s="464"/>
      <c r="Z975" s="464"/>
      <c r="AA975" s="464"/>
      <c r="AB975" s="719"/>
      <c r="AC975" s="719"/>
      <c r="AD975" s="719"/>
      <c r="AE975" s="719"/>
      <c r="AF975" s="719"/>
      <c r="AG975" s="719"/>
      <c r="AH975" s="719"/>
      <c r="AW975" s="342"/>
      <c r="AX975" s="342"/>
      <c r="AY975" s="342"/>
      <c r="AZ975" s="342"/>
      <c r="BA975" s="342"/>
      <c r="BB975" s="342"/>
      <c r="BC975" s="342"/>
      <c r="BD975" s="342"/>
      <c r="BE975" s="342"/>
    </row>
    <row r="976" spans="1:57" ht="14.25" hidden="1" customHeight="1" outlineLevel="1">
      <c r="A976" s="802" t="s">
        <v>2357</v>
      </c>
      <c r="B976" s="438" t="s">
        <v>1793</v>
      </c>
      <c r="C976" s="487" t="s">
        <v>1902</v>
      </c>
      <c r="E976" s="424"/>
      <c r="F976" s="424"/>
      <c r="G976" s="366"/>
      <c r="H976" s="464"/>
      <c r="I976" s="464"/>
      <c r="J976" s="464"/>
      <c r="K976" s="464"/>
      <c r="L976" s="464"/>
      <c r="M976" s="464"/>
      <c r="N976" s="464"/>
      <c r="P976" s="464"/>
      <c r="Q976" s="464"/>
      <c r="R976" s="453"/>
      <c r="S976" s="464"/>
      <c r="T976" s="464"/>
      <c r="U976" s="464"/>
      <c r="V976" s="464"/>
      <c r="W976" s="464"/>
      <c r="X976" s="464"/>
      <c r="Y976" s="464"/>
      <c r="Z976" s="464"/>
      <c r="AA976" s="464"/>
      <c r="AB976" s="719"/>
      <c r="AC976" s="719"/>
      <c r="AD976" s="719"/>
      <c r="AE976" s="719"/>
      <c r="AF976" s="719"/>
      <c r="AG976" s="719"/>
      <c r="AH976" s="719"/>
      <c r="AW976" s="342"/>
      <c r="AX976" s="342"/>
      <c r="AY976" s="342"/>
      <c r="AZ976" s="342"/>
      <c r="BA976" s="342"/>
      <c r="BB976" s="342"/>
      <c r="BC976" s="342"/>
      <c r="BD976" s="342"/>
      <c r="BE976" s="342"/>
    </row>
    <row r="977" spans="1:57" ht="14.25" hidden="1" customHeight="1" outlineLevel="1">
      <c r="A977" s="802" t="s">
        <v>1323</v>
      </c>
      <c r="B977" s="476" t="s">
        <v>1322</v>
      </c>
      <c r="C977" s="380"/>
      <c r="E977" s="424"/>
      <c r="F977" s="424"/>
      <c r="G977" s="366"/>
      <c r="H977" s="464"/>
      <c r="I977" s="464"/>
      <c r="J977" s="464"/>
      <c r="K977" s="464"/>
      <c r="L977" s="464"/>
      <c r="M977" s="464"/>
      <c r="N977" s="464"/>
      <c r="P977" s="464"/>
      <c r="Q977" s="464"/>
      <c r="R977" s="453"/>
      <c r="S977" s="464"/>
      <c r="T977" s="464"/>
      <c r="U977" s="464"/>
      <c r="V977" s="464"/>
      <c r="W977" s="464"/>
      <c r="X977" s="464"/>
      <c r="Y977" s="464"/>
      <c r="Z977" s="464"/>
      <c r="AA977" s="464"/>
      <c r="AB977" s="719"/>
      <c r="AC977" s="719"/>
      <c r="AD977" s="719"/>
      <c r="AE977" s="719"/>
      <c r="AF977" s="719"/>
      <c r="AG977" s="719"/>
      <c r="AH977" s="719"/>
      <c r="AW977" s="342"/>
      <c r="AX977" s="342"/>
      <c r="AY977" s="342"/>
      <c r="AZ977" s="342"/>
      <c r="BA977" s="342"/>
      <c r="BB977" s="342"/>
      <c r="BC977" s="342"/>
      <c r="BD977" s="342"/>
      <c r="BE977" s="342"/>
    </row>
    <row r="978" spans="1:57" ht="14.25" hidden="1" customHeight="1" outlineLevel="1">
      <c r="A978" s="715" t="s">
        <v>1324</v>
      </c>
      <c r="B978" s="476" t="s">
        <v>1322</v>
      </c>
      <c r="C978" s="380"/>
      <c r="E978" s="424"/>
      <c r="F978" s="424"/>
      <c r="G978" s="366"/>
      <c r="H978" s="464"/>
      <c r="I978" s="464"/>
      <c r="J978" s="464"/>
      <c r="K978" s="464"/>
      <c r="L978" s="464"/>
      <c r="M978" s="464"/>
      <c r="N978" s="464"/>
      <c r="P978" s="464"/>
      <c r="Q978" s="464"/>
      <c r="R978" s="453"/>
      <c r="S978" s="464"/>
      <c r="T978" s="464"/>
      <c r="U978" s="464"/>
      <c r="V978" s="464"/>
      <c r="W978" s="464"/>
      <c r="X978" s="464"/>
      <c r="Y978" s="464"/>
      <c r="Z978" s="464"/>
      <c r="AA978" s="464"/>
      <c r="AB978" s="719"/>
      <c r="AC978" s="719"/>
      <c r="AD978" s="719"/>
      <c r="AE978" s="719"/>
      <c r="AF978" s="719"/>
      <c r="AG978" s="719"/>
      <c r="AH978" s="719"/>
      <c r="AW978" s="342"/>
      <c r="AX978" s="342"/>
      <c r="AY978" s="342"/>
      <c r="AZ978" s="342"/>
      <c r="BA978" s="342"/>
      <c r="BB978" s="342"/>
      <c r="BC978" s="342"/>
      <c r="BD978" s="342"/>
      <c r="BE978" s="342"/>
    </row>
    <row r="979" spans="1:57" ht="14.25" hidden="1" customHeight="1" outlineLevel="1">
      <c r="E979" s="424"/>
      <c r="F979" s="424"/>
      <c r="G979" s="366"/>
      <c r="H979" s="464"/>
      <c r="I979" s="464"/>
      <c r="J979" s="464"/>
      <c r="K979" s="464"/>
      <c r="L979" s="464"/>
      <c r="M979" s="464"/>
      <c r="N979" s="464"/>
      <c r="P979" s="464"/>
      <c r="Q979" s="464"/>
      <c r="R979" s="453"/>
      <c r="S979" s="464"/>
      <c r="T979" s="464"/>
      <c r="U979" s="464"/>
      <c r="V979" s="464"/>
      <c r="W979" s="464"/>
      <c r="X979" s="464"/>
      <c r="Y979" s="464"/>
      <c r="Z979" s="464"/>
      <c r="AA979" s="464"/>
      <c r="AB979" s="719"/>
      <c r="AC979" s="719"/>
      <c r="AD979" s="719"/>
      <c r="AE979" s="719"/>
      <c r="AF979" s="719"/>
      <c r="AG979" s="719"/>
      <c r="AH979" s="719"/>
      <c r="AW979" s="342"/>
      <c r="AX979" s="342"/>
      <c r="AY979" s="342"/>
      <c r="AZ979" s="342"/>
      <c r="BA979" s="342"/>
      <c r="BB979" s="342"/>
      <c r="BC979" s="342"/>
      <c r="BD979" s="342"/>
      <c r="BE979" s="342"/>
    </row>
    <row r="980" spans="1:57" ht="14.25" hidden="1" customHeight="1" outlineLevel="1">
      <c r="A980" s="331" t="s">
        <v>1922</v>
      </c>
      <c r="E980" s="424"/>
      <c r="F980" s="424"/>
      <c r="G980" s="366"/>
      <c r="H980" s="464"/>
      <c r="I980" s="464"/>
      <c r="J980" s="464"/>
      <c r="K980" s="464"/>
      <c r="L980" s="464"/>
      <c r="M980" s="464"/>
      <c r="N980" s="464"/>
      <c r="P980" s="464"/>
      <c r="Q980" s="464"/>
      <c r="R980" s="453"/>
      <c r="S980" s="464"/>
      <c r="T980" s="464"/>
      <c r="U980" s="464"/>
      <c r="V980" s="464"/>
      <c r="W980" s="464"/>
      <c r="X980" s="464"/>
      <c r="Y980" s="464"/>
      <c r="Z980" s="464"/>
      <c r="AA980" s="464"/>
      <c r="AB980" s="719"/>
      <c r="AC980" s="719"/>
      <c r="AD980" s="719"/>
      <c r="AE980" s="719"/>
      <c r="AF980" s="719"/>
      <c r="AG980" s="719"/>
      <c r="AH980" s="719"/>
      <c r="AW980" s="342"/>
      <c r="AX980" s="342"/>
      <c r="AY980" s="342"/>
      <c r="AZ980" s="342"/>
      <c r="BA980" s="342"/>
      <c r="BB980" s="342"/>
      <c r="BC980" s="342"/>
      <c r="BD980" s="342"/>
      <c r="BE980" s="342"/>
    </row>
    <row r="981" spans="1:57" ht="14.25" hidden="1" customHeight="1" outlineLevel="1">
      <c r="A981" s="714" t="s">
        <v>152</v>
      </c>
      <c r="B981" s="438" t="s">
        <v>1793</v>
      </c>
      <c r="C981" s="488">
        <v>6</v>
      </c>
      <c r="E981" s="424"/>
      <c r="F981" s="424"/>
      <c r="G981" s="366"/>
      <c r="H981" s="464"/>
      <c r="I981" s="464"/>
      <c r="J981" s="464"/>
      <c r="K981" s="464"/>
      <c r="L981" s="464"/>
      <c r="M981" s="464"/>
      <c r="N981" s="464"/>
      <c r="P981" s="464"/>
      <c r="Q981" s="464"/>
      <c r="R981" s="453"/>
      <c r="S981" s="464"/>
      <c r="T981" s="464"/>
      <c r="U981" s="464"/>
      <c r="V981" s="464"/>
      <c r="W981" s="464"/>
      <c r="X981" s="464"/>
      <c r="Y981" s="464"/>
      <c r="Z981" s="464"/>
      <c r="AA981" s="464"/>
      <c r="AB981" s="719"/>
      <c r="AC981" s="719"/>
      <c r="AD981" s="719"/>
      <c r="AE981" s="719"/>
      <c r="AF981" s="719"/>
      <c r="AG981" s="719"/>
      <c r="AH981" s="719"/>
      <c r="AW981" s="342"/>
      <c r="AX981" s="342"/>
      <c r="AY981" s="342"/>
      <c r="AZ981" s="342"/>
      <c r="BA981" s="342"/>
      <c r="BB981" s="342"/>
      <c r="BC981" s="342"/>
      <c r="BD981" s="342"/>
      <c r="BE981" s="342"/>
    </row>
    <row r="982" spans="1:57" ht="14.25" hidden="1" customHeight="1" outlineLevel="1">
      <c r="A982" s="412" t="s">
        <v>152</v>
      </c>
      <c r="B982" s="413" t="s">
        <v>1793</v>
      </c>
      <c r="C982" s="380">
        <v>0</v>
      </c>
      <c r="E982" s="424"/>
      <c r="F982" s="424"/>
      <c r="G982" s="366"/>
      <c r="H982" s="464"/>
      <c r="I982" s="464"/>
      <c r="J982" s="464"/>
      <c r="K982" s="464"/>
      <c r="L982" s="464"/>
      <c r="M982" s="464"/>
      <c r="N982" s="464"/>
      <c r="P982" s="464"/>
      <c r="Q982" s="464"/>
      <c r="R982" s="453"/>
      <c r="S982" s="464"/>
      <c r="T982" s="464"/>
      <c r="U982" s="464"/>
      <c r="V982" s="464"/>
      <c r="W982" s="464"/>
      <c r="X982" s="464"/>
      <c r="Y982" s="464"/>
      <c r="Z982" s="464"/>
      <c r="AA982" s="464"/>
      <c r="AB982" s="719"/>
      <c r="AC982" s="719"/>
      <c r="AD982" s="719"/>
      <c r="AE982" s="719"/>
      <c r="AF982" s="719"/>
      <c r="AG982" s="719"/>
      <c r="AH982" s="719"/>
      <c r="AW982" s="342"/>
      <c r="AX982" s="342"/>
      <c r="AY982" s="342"/>
      <c r="AZ982" s="342"/>
      <c r="BA982" s="342"/>
      <c r="BB982" s="342"/>
      <c r="BC982" s="342"/>
      <c r="BD982" s="342"/>
      <c r="BE982" s="342"/>
    </row>
    <row r="983" spans="1:57" ht="14.25" hidden="1" customHeight="1" outlineLevel="1">
      <c r="A983" s="488" t="s">
        <v>2358</v>
      </c>
      <c r="B983" s="415" t="s">
        <v>1796</v>
      </c>
      <c r="C983" s="488">
        <v>3000</v>
      </c>
      <c r="E983" s="424"/>
      <c r="F983" s="424"/>
      <c r="G983" s="366"/>
      <c r="H983" s="464"/>
      <c r="I983" s="464"/>
      <c r="J983" s="464"/>
      <c r="K983" s="464"/>
      <c r="L983" s="464"/>
      <c r="M983" s="464"/>
      <c r="N983" s="464"/>
      <c r="P983" s="464"/>
      <c r="Q983" s="464"/>
      <c r="R983" s="453"/>
      <c r="S983" s="464"/>
      <c r="T983" s="464"/>
      <c r="U983" s="464"/>
      <c r="V983" s="464"/>
      <c r="W983" s="464"/>
      <c r="X983" s="464"/>
      <c r="Y983" s="464"/>
      <c r="Z983" s="464"/>
      <c r="AA983" s="464"/>
      <c r="AB983" s="719"/>
      <c r="AC983" s="719"/>
      <c r="AD983" s="719"/>
      <c r="AE983" s="719"/>
      <c r="AF983" s="719"/>
      <c r="AG983" s="719"/>
      <c r="AH983" s="719"/>
      <c r="AW983" s="342"/>
      <c r="AX983" s="342"/>
      <c r="AY983" s="342"/>
      <c r="AZ983" s="342"/>
      <c r="BA983" s="342"/>
      <c r="BB983" s="342"/>
      <c r="BC983" s="342"/>
      <c r="BD983" s="342"/>
      <c r="BE983" s="342"/>
    </row>
    <row r="984" spans="1:57" ht="14.25" hidden="1" customHeight="1" outlineLevel="1">
      <c r="E984" s="424"/>
      <c r="F984" s="424"/>
      <c r="G984" s="366"/>
      <c r="H984" s="464"/>
      <c r="I984" s="464"/>
      <c r="J984" s="464"/>
      <c r="K984" s="464"/>
      <c r="L984" s="464"/>
      <c r="M984" s="464"/>
      <c r="N984" s="464"/>
      <c r="P984" s="464"/>
      <c r="Q984" s="464"/>
      <c r="R984" s="453"/>
      <c r="S984" s="464"/>
      <c r="T984" s="464"/>
      <c r="U984" s="464"/>
      <c r="V984" s="464"/>
      <c r="W984" s="464"/>
      <c r="X984" s="464"/>
      <c r="Y984" s="464"/>
      <c r="Z984" s="464"/>
      <c r="AA984" s="464"/>
      <c r="AB984" s="719"/>
      <c r="AC984" s="719"/>
      <c r="AD984" s="719"/>
      <c r="AE984" s="719"/>
      <c r="AF984" s="719"/>
      <c r="AG984" s="719"/>
      <c r="AH984" s="719"/>
      <c r="AW984" s="342"/>
      <c r="AX984" s="342"/>
      <c r="AY984" s="342"/>
      <c r="AZ984" s="342"/>
      <c r="BA984" s="342"/>
      <c r="BB984" s="342"/>
      <c r="BC984" s="342"/>
      <c r="BD984" s="342"/>
      <c r="BE984" s="342"/>
    </row>
    <row r="985" spans="1:57" ht="14.25" hidden="1" customHeight="1" outlineLevel="1">
      <c r="A985" s="380" t="s">
        <v>2359</v>
      </c>
      <c r="B985" s="413" t="s">
        <v>208</v>
      </c>
      <c r="C985" s="653" t="s">
        <v>1798</v>
      </c>
      <c r="E985" s="424"/>
      <c r="F985" s="424"/>
      <c r="G985" s="366"/>
      <c r="H985" s="464"/>
      <c r="I985" s="464"/>
      <c r="J985" s="464"/>
      <c r="K985" s="464"/>
      <c r="L985" s="464"/>
      <c r="M985" s="464"/>
      <c r="N985" s="464"/>
      <c r="P985" s="464"/>
      <c r="Q985" s="464"/>
      <c r="R985" s="453"/>
      <c r="S985" s="464"/>
      <c r="T985" s="464"/>
      <c r="U985" s="464"/>
      <c r="V985" s="464"/>
      <c r="W985" s="464"/>
      <c r="X985" s="464"/>
      <c r="Y985" s="464"/>
      <c r="Z985" s="464"/>
      <c r="AA985" s="464"/>
      <c r="AB985" s="719"/>
      <c r="AC985" s="719"/>
      <c r="AD985" s="719"/>
      <c r="AE985" s="719"/>
      <c r="AF985" s="719"/>
      <c r="AG985" s="719"/>
      <c r="AH985" s="719"/>
      <c r="AW985" s="342"/>
      <c r="AX985" s="342"/>
      <c r="AY985" s="342"/>
      <c r="AZ985" s="342"/>
      <c r="BA985" s="342"/>
      <c r="BB985" s="342"/>
      <c r="BC985" s="342"/>
      <c r="BD985" s="342"/>
      <c r="BE985" s="342"/>
    </row>
    <row r="986" spans="1:57" ht="14.25" hidden="1" customHeight="1" outlineLevel="1">
      <c r="A986" s="488" t="s">
        <v>2360</v>
      </c>
      <c r="B986" s="413" t="s">
        <v>1793</v>
      </c>
      <c r="C986" s="380">
        <v>2</v>
      </c>
      <c r="E986" s="424"/>
      <c r="F986" s="424"/>
      <c r="G986" s="366"/>
      <c r="H986" s="464"/>
      <c r="I986" s="464"/>
      <c r="J986" s="464"/>
      <c r="K986" s="464"/>
      <c r="L986" s="464"/>
      <c r="M986" s="464"/>
      <c r="N986" s="464"/>
      <c r="P986" s="464"/>
      <c r="Q986" s="464"/>
      <c r="R986" s="453"/>
      <c r="S986" s="464"/>
      <c r="T986" s="464"/>
      <c r="U986" s="464"/>
      <c r="V986" s="464"/>
      <c r="W986" s="464"/>
      <c r="X986" s="464"/>
      <c r="Y986" s="464"/>
      <c r="Z986" s="464"/>
      <c r="AA986" s="464"/>
      <c r="AB986" s="719"/>
      <c r="AC986" s="719"/>
      <c r="AD986" s="719"/>
      <c r="AE986" s="719"/>
      <c r="AF986" s="719"/>
      <c r="AG986" s="719"/>
      <c r="AH986" s="719"/>
      <c r="AW986" s="342"/>
      <c r="AX986" s="342"/>
      <c r="AY986" s="342"/>
      <c r="AZ986" s="342"/>
      <c r="BA986" s="342"/>
      <c r="BB986" s="342"/>
      <c r="BC986" s="342"/>
      <c r="BD986" s="342"/>
      <c r="BE986" s="342"/>
    </row>
    <row r="987" spans="1:57" ht="14.25" hidden="1" customHeight="1" outlineLevel="1">
      <c r="A987" s="380" t="s">
        <v>2361</v>
      </c>
      <c r="B987" s="438" t="s">
        <v>1793</v>
      </c>
      <c r="C987" s="488">
        <v>5</v>
      </c>
      <c r="E987" s="424"/>
      <c r="F987" s="424"/>
      <c r="G987" s="366"/>
      <c r="H987" s="464"/>
      <c r="I987" s="464"/>
      <c r="J987" s="464"/>
      <c r="K987" s="464"/>
      <c r="L987" s="464"/>
      <c r="M987" s="464"/>
      <c r="N987" s="464"/>
      <c r="P987" s="464"/>
      <c r="Q987" s="464"/>
      <c r="R987" s="453"/>
      <c r="S987" s="464"/>
      <c r="T987" s="464"/>
      <c r="U987" s="464"/>
      <c r="V987" s="464"/>
      <c r="W987" s="464"/>
      <c r="X987" s="464"/>
      <c r="Y987" s="464"/>
      <c r="Z987" s="464"/>
      <c r="AA987" s="464"/>
      <c r="AB987" s="719"/>
      <c r="AC987" s="719"/>
      <c r="AD987" s="719"/>
      <c r="AE987" s="719"/>
      <c r="AF987" s="719"/>
      <c r="AG987" s="719"/>
      <c r="AH987" s="719"/>
      <c r="AW987" s="342"/>
      <c r="AX987" s="342"/>
      <c r="AY987" s="342"/>
      <c r="AZ987" s="342"/>
      <c r="BA987" s="342"/>
      <c r="BB987" s="342"/>
      <c r="BC987" s="342"/>
      <c r="BD987" s="342"/>
      <c r="BE987" s="342"/>
    </row>
    <row r="988" spans="1:57" ht="14.25" hidden="1" customHeight="1" outlineLevel="1">
      <c r="A988" s="380" t="s">
        <v>2362</v>
      </c>
      <c r="B988" s="413" t="s">
        <v>1796</v>
      </c>
      <c r="C988" s="380">
        <v>800</v>
      </c>
      <c r="E988" s="424"/>
      <c r="F988" s="424"/>
      <c r="G988" s="366"/>
      <c r="H988" s="464"/>
      <c r="I988" s="464"/>
      <c r="J988" s="464"/>
      <c r="K988" s="464"/>
      <c r="L988" s="464"/>
      <c r="M988" s="464"/>
      <c r="N988" s="464"/>
      <c r="P988" s="464"/>
      <c r="Q988" s="464"/>
      <c r="R988" s="453"/>
      <c r="S988" s="464"/>
      <c r="T988" s="464"/>
      <c r="U988" s="464"/>
      <c r="V988" s="464"/>
      <c r="W988" s="464"/>
      <c r="X988" s="464"/>
      <c r="Y988" s="464"/>
      <c r="Z988" s="464"/>
      <c r="AA988" s="464"/>
      <c r="AB988" s="719"/>
      <c r="AC988" s="719"/>
      <c r="AD988" s="719"/>
      <c r="AE988" s="719"/>
      <c r="AF988" s="719"/>
      <c r="AG988" s="719"/>
      <c r="AH988" s="719"/>
      <c r="AW988" s="342"/>
      <c r="AX988" s="342"/>
      <c r="AY988" s="342"/>
      <c r="AZ988" s="342"/>
      <c r="BA988" s="342"/>
      <c r="BB988" s="342"/>
      <c r="BC988" s="342"/>
      <c r="BD988" s="342"/>
      <c r="BE988" s="342"/>
    </row>
    <row r="989" spans="1:57" ht="14.25" hidden="1" customHeight="1" outlineLevel="1">
      <c r="A989" s="366"/>
      <c r="B989" s="381"/>
      <c r="C989" s="366"/>
      <c r="E989" s="424"/>
      <c r="F989" s="424"/>
      <c r="G989" s="366"/>
      <c r="H989" s="464"/>
      <c r="I989" s="464"/>
      <c r="J989" s="464"/>
      <c r="K989" s="464"/>
      <c r="L989" s="464"/>
      <c r="M989" s="464"/>
      <c r="N989" s="464"/>
      <c r="P989" s="464"/>
      <c r="Q989" s="464"/>
      <c r="R989" s="453"/>
      <c r="S989" s="464"/>
      <c r="T989" s="464"/>
      <c r="U989" s="464"/>
      <c r="V989" s="464"/>
      <c r="W989" s="464"/>
      <c r="X989" s="464"/>
      <c r="Y989" s="464"/>
      <c r="Z989" s="464"/>
      <c r="AA989" s="464"/>
      <c r="AB989" s="719"/>
      <c r="AC989" s="719"/>
      <c r="AD989" s="719"/>
      <c r="AE989" s="719"/>
      <c r="AF989" s="719"/>
      <c r="AG989" s="719"/>
      <c r="AH989" s="719"/>
      <c r="AW989" s="342"/>
      <c r="AX989" s="342"/>
      <c r="AY989" s="342"/>
      <c r="AZ989" s="342"/>
      <c r="BA989" s="342"/>
      <c r="BB989" s="342"/>
      <c r="BC989" s="342"/>
      <c r="BD989" s="342"/>
      <c r="BE989" s="342"/>
    </row>
    <row r="990" spans="1:57" ht="14.25" hidden="1" customHeight="1" outlineLevel="1">
      <c r="A990" s="366"/>
      <c r="B990" s="381"/>
      <c r="C990" s="366"/>
      <c r="E990" s="424"/>
      <c r="F990" s="424"/>
      <c r="G990" s="366"/>
      <c r="H990" s="464"/>
      <c r="I990" s="464"/>
      <c r="J990" s="464"/>
      <c r="K990" s="464"/>
      <c r="L990" s="464"/>
      <c r="M990" s="464"/>
      <c r="N990" s="464"/>
      <c r="P990" s="464"/>
      <c r="Q990" s="464"/>
      <c r="R990" s="453"/>
      <c r="S990" s="464"/>
      <c r="T990" s="464"/>
      <c r="U990" s="464"/>
      <c r="V990" s="464"/>
      <c r="W990" s="464"/>
      <c r="X990" s="464"/>
      <c r="Y990" s="464"/>
      <c r="Z990" s="464"/>
      <c r="AA990" s="464"/>
      <c r="AB990" s="719"/>
      <c r="AC990" s="719"/>
      <c r="AD990" s="719"/>
      <c r="AE990" s="719"/>
      <c r="AF990" s="719"/>
      <c r="AG990" s="719"/>
      <c r="AH990" s="719"/>
      <c r="AW990" s="342"/>
      <c r="AX990" s="342"/>
      <c r="AY990" s="342"/>
      <c r="AZ990" s="342"/>
      <c r="BA990" s="342"/>
      <c r="BB990" s="342"/>
      <c r="BC990" s="342"/>
      <c r="BD990" s="342"/>
      <c r="BE990" s="342"/>
    </row>
    <row r="991" spans="1:57" ht="14.25" customHeight="1" collapsed="1">
      <c r="A991" s="3125" t="s">
        <v>2363</v>
      </c>
      <c r="B991" s="3125"/>
      <c r="C991" s="3125"/>
      <c r="D991" s="3125"/>
      <c r="E991" s="3125"/>
      <c r="F991" s="3125"/>
      <c r="G991" s="3125"/>
      <c r="H991" s="475"/>
      <c r="I991" s="475"/>
      <c r="J991" s="475"/>
      <c r="K991" s="475"/>
      <c r="L991" s="475"/>
      <c r="M991" s="616"/>
      <c r="N991" s="616"/>
      <c r="O991" s="616"/>
      <c r="P991" s="366"/>
      <c r="Q991" s="366"/>
      <c r="R991" s="354"/>
      <c r="S991" s="354"/>
      <c r="T991" s="354"/>
      <c r="U991" s="354"/>
      <c r="V991" s="354"/>
      <c r="W991" s="354"/>
      <c r="X991" s="354"/>
      <c r="Y991" s="354"/>
      <c r="Z991" s="366"/>
      <c r="AA991" s="364"/>
      <c r="AB991" s="364"/>
      <c r="AC991" s="366"/>
      <c r="AD991" s="366"/>
      <c r="AE991" s="366"/>
      <c r="AF991" s="366"/>
      <c r="AG991" s="366"/>
      <c r="AH991" s="366"/>
      <c r="AI991" s="366"/>
      <c r="AJ991" s="366"/>
      <c r="AK991" s="366"/>
      <c r="AL991" s="366"/>
      <c r="AM991" s="366"/>
      <c r="AN991" s="366"/>
      <c r="AO991" s="358"/>
      <c r="AP991" s="358"/>
      <c r="AQ991" s="342"/>
      <c r="AR991" s="342"/>
      <c r="AS991" s="342"/>
      <c r="AT991" s="342"/>
      <c r="AU991" s="342"/>
      <c r="AV991" s="543">
        <f>M991</f>
        <v>0</v>
      </c>
      <c r="AW991" s="342"/>
      <c r="AX991" s="342"/>
      <c r="AY991" s="341"/>
      <c r="AZ991" s="341"/>
      <c r="BA991" s="342"/>
      <c r="BB991" s="342"/>
      <c r="BC991" s="342"/>
      <c r="BD991" s="342"/>
      <c r="BE991" s="342"/>
    </row>
    <row r="992" spans="1:57" ht="14.25" customHeight="1">
      <c r="A992" s="354"/>
      <c r="B992" s="464"/>
      <c r="C992" s="354"/>
      <c r="D992" s="354"/>
      <c r="E992" s="354"/>
      <c r="F992" s="354"/>
      <c r="G992" s="354"/>
      <c r="H992" s="354"/>
      <c r="I992" s="354"/>
      <c r="J992" s="354"/>
      <c r="K992" s="354"/>
      <c r="L992" s="354"/>
      <c r="M992" s="354"/>
      <c r="N992" s="354"/>
      <c r="O992" s="354"/>
      <c r="P992" s="354"/>
      <c r="Q992" s="354"/>
      <c r="R992" s="354"/>
      <c r="S992" s="354"/>
      <c r="T992" s="354"/>
      <c r="U992" s="354"/>
      <c r="V992" s="354"/>
      <c r="W992" s="354"/>
      <c r="X992" s="354"/>
      <c r="Y992" s="354"/>
      <c r="Z992" s="354"/>
      <c r="AA992" s="354"/>
      <c r="AB992" s="354"/>
      <c r="AC992" s="354"/>
      <c r="AD992" s="354"/>
      <c r="AE992" s="354"/>
      <c r="AF992" s="354"/>
      <c r="AG992" s="354"/>
      <c r="AH992" s="354"/>
      <c r="AI992" s="354"/>
      <c r="AJ992" s="354"/>
      <c r="AK992" s="354"/>
      <c r="AL992" s="354"/>
      <c r="AM992" s="354"/>
      <c r="AN992" s="354"/>
      <c r="AO992" s="358"/>
      <c r="AP992" s="358"/>
      <c r="AQ992" s="342"/>
      <c r="AR992" s="342"/>
      <c r="AS992" s="342"/>
      <c r="AT992" s="342"/>
      <c r="AU992" s="342"/>
      <c r="AV992" s="342"/>
      <c r="AW992" s="342"/>
      <c r="AX992" s="342"/>
      <c r="AY992" s="341"/>
      <c r="AZ992" s="341"/>
      <c r="BA992" s="342"/>
      <c r="BB992" s="342"/>
      <c r="BC992" s="342"/>
      <c r="BD992" s="342"/>
      <c r="BE992" s="342"/>
    </row>
    <row r="993" spans="1:57" ht="14.25" hidden="1" customHeight="1" outlineLevel="1">
      <c r="A993" s="3121" t="s">
        <v>2364</v>
      </c>
      <c r="B993" s="3121"/>
      <c r="C993" s="3121"/>
      <c r="D993" s="3121"/>
      <c r="E993" s="3121"/>
      <c r="F993" s="3121"/>
      <c r="G993" s="3121"/>
      <c r="H993" s="665"/>
      <c r="I993" s="665"/>
      <c r="J993" s="665"/>
      <c r="K993" s="665"/>
      <c r="L993" s="665"/>
      <c r="M993" s="665"/>
      <c r="N993" s="665"/>
      <c r="O993" s="665"/>
      <c r="P993" s="665"/>
      <c r="Q993" s="665"/>
      <c r="R993" s="665"/>
      <c r="S993" s="665"/>
      <c r="T993" s="665"/>
      <c r="U993" s="665"/>
      <c r="V993" s="665"/>
      <c r="W993" s="665"/>
      <c r="X993" s="665"/>
      <c r="Y993" s="665"/>
      <c r="Z993" s="665"/>
      <c r="AA993" s="665"/>
      <c r="AB993" s="665"/>
      <c r="AC993" s="665"/>
      <c r="AD993" s="665"/>
      <c r="AE993" s="665"/>
      <c r="AF993" s="665"/>
      <c r="AG993" s="617"/>
      <c r="AH993" s="617"/>
      <c r="AI993" s="617"/>
      <c r="AJ993" s="617"/>
      <c r="AK993" s="617"/>
      <c r="AL993" s="617"/>
      <c r="AM993" s="617"/>
      <c r="AN993" s="617"/>
      <c r="AO993" s="680"/>
      <c r="AP993" s="680"/>
      <c r="AQ993" s="803"/>
      <c r="AR993" s="803"/>
      <c r="AS993" s="803"/>
      <c r="AT993" s="803"/>
      <c r="AU993" s="803"/>
      <c r="AV993" s="803"/>
      <c r="AW993" s="803"/>
      <c r="AX993" s="803"/>
      <c r="AY993" s="803"/>
      <c r="AZ993" s="803"/>
      <c r="BA993" s="803"/>
      <c r="BB993" s="803"/>
      <c r="BC993" s="803"/>
      <c r="BD993" s="803"/>
      <c r="BE993" s="803"/>
    </row>
    <row r="994" spans="1:57" ht="14.25" hidden="1" customHeight="1" outlineLevel="1">
      <c r="A994" s="3121"/>
      <c r="B994" s="3121"/>
      <c r="C994" s="3121"/>
      <c r="D994" s="3121"/>
      <c r="E994" s="3121"/>
      <c r="F994" s="3121"/>
      <c r="G994" s="3121"/>
      <c r="H994" s="665"/>
      <c r="I994" s="665"/>
      <c r="J994" s="665"/>
      <c r="K994" s="665"/>
      <c r="L994" s="665"/>
      <c r="M994" s="665"/>
      <c r="N994" s="665"/>
      <c r="O994" s="665"/>
      <c r="P994" s="665"/>
      <c r="Q994" s="665"/>
      <c r="R994" s="665"/>
      <c r="S994" s="665"/>
      <c r="T994" s="665"/>
      <c r="U994" s="665"/>
      <c r="V994" s="665"/>
      <c r="W994" s="665"/>
      <c r="X994" s="665"/>
      <c r="Y994" s="665"/>
      <c r="Z994" s="665"/>
      <c r="AA994" s="665"/>
      <c r="AB994" s="665"/>
      <c r="AC994" s="665"/>
      <c r="AD994" s="665"/>
      <c r="AE994" s="665"/>
      <c r="AF994" s="665"/>
      <c r="AG994" s="617"/>
      <c r="AH994" s="617"/>
      <c r="AI994" s="617"/>
      <c r="AJ994" s="617"/>
      <c r="AK994" s="617"/>
      <c r="AL994" s="617"/>
      <c r="AM994" s="617"/>
      <c r="AN994" s="617"/>
      <c r="AO994" s="680"/>
      <c r="AP994" s="680"/>
      <c r="AQ994" s="803"/>
      <c r="AR994" s="803"/>
      <c r="AS994" s="803"/>
      <c r="AT994" s="803"/>
      <c r="AU994" s="803"/>
      <c r="AV994" s="803"/>
      <c r="AW994" s="803"/>
      <c r="AX994" s="803"/>
      <c r="AY994" s="803"/>
      <c r="AZ994" s="803"/>
      <c r="BA994" s="803"/>
      <c r="BB994" s="803"/>
      <c r="BC994" s="803"/>
      <c r="BD994" s="803"/>
      <c r="BE994" s="803"/>
    </row>
    <row r="995" spans="1:57" ht="14.25" hidden="1" customHeight="1" outlineLevel="1">
      <c r="A995" s="430" t="s">
        <v>1806</v>
      </c>
      <c r="B995" s="431"/>
      <c r="C995" s="432"/>
      <c r="D995" s="611">
        <v>1</v>
      </c>
      <c r="G995" s="695"/>
      <c r="H995" s="695"/>
      <c r="I995" s="695"/>
      <c r="J995" s="695"/>
      <c r="K995" s="695"/>
      <c r="L995" s="695"/>
      <c r="M995" s="695"/>
      <c r="N995" s="695"/>
      <c r="O995" s="695"/>
      <c r="P995" s="695"/>
      <c r="Q995" s="695"/>
      <c r="R995" s="695"/>
      <c r="S995" s="695"/>
      <c r="T995" s="695"/>
      <c r="U995" s="695"/>
      <c r="V995" s="695"/>
      <c r="W995" s="695"/>
      <c r="X995" s="695"/>
      <c r="Y995" s="695"/>
      <c r="Z995" s="695"/>
      <c r="AA995" s="695"/>
      <c r="AB995" s="695"/>
      <c r="AC995" s="695"/>
      <c r="AD995" s="617"/>
      <c r="AE995" s="617"/>
      <c r="AF995" s="803"/>
      <c r="AG995" s="617"/>
      <c r="AH995" s="617"/>
      <c r="AI995" s="617"/>
      <c r="AJ995" s="617"/>
      <c r="AK995" s="617"/>
      <c r="AL995" s="617"/>
      <c r="AM995" s="617"/>
      <c r="AN995" s="617"/>
      <c r="AO995" s="680"/>
      <c r="AP995" s="680"/>
      <c r="AQ995" s="803"/>
      <c r="AR995" s="803"/>
      <c r="AS995" s="803"/>
      <c r="AT995" s="803"/>
      <c r="AU995" s="803"/>
      <c r="AV995" s="803"/>
      <c r="AW995" s="803"/>
      <c r="AX995" s="803"/>
      <c r="AY995" s="803"/>
      <c r="AZ995" s="803"/>
      <c r="BA995" s="803"/>
      <c r="BB995" s="803"/>
      <c r="BC995" s="803"/>
      <c r="BD995" s="803"/>
      <c r="BE995" s="803"/>
    </row>
    <row r="996" spans="1:57" ht="14.25" hidden="1" customHeight="1" outlineLevel="1">
      <c r="A996" s="430" t="s">
        <v>1808</v>
      </c>
      <c r="B996" s="431"/>
      <c r="C996" s="432"/>
      <c r="D996" s="611">
        <v>1</v>
      </c>
      <c r="G996" s="695"/>
      <c r="H996" s="695"/>
      <c r="I996" s="695"/>
      <c r="J996" s="695"/>
      <c r="K996" s="695"/>
      <c r="L996" s="695"/>
      <c r="M996" s="695"/>
      <c r="N996" s="695"/>
      <c r="O996" s="695"/>
      <c r="P996" s="695"/>
      <c r="Q996" s="695"/>
      <c r="R996" s="695"/>
      <c r="S996" s="695"/>
      <c r="T996" s="695"/>
      <c r="U996" s="695"/>
      <c r="V996" s="695"/>
      <c r="W996" s="695"/>
      <c r="X996" s="695"/>
      <c r="Y996" s="695"/>
      <c r="Z996" s="695"/>
      <c r="AA996" s="695"/>
      <c r="AB996" s="695"/>
      <c r="AC996" s="695"/>
      <c r="AD996" s="617"/>
      <c r="AE996" s="617"/>
      <c r="AF996" s="617"/>
      <c r="AG996" s="617"/>
      <c r="AH996" s="617"/>
      <c r="AI996" s="617"/>
      <c r="AJ996" s="617"/>
      <c r="AK996" s="617"/>
      <c r="AL996" s="617"/>
      <c r="AM996" s="617"/>
      <c r="AN996" s="617"/>
      <c r="AO996" s="680"/>
      <c r="AP996" s="680"/>
      <c r="AQ996" s="803"/>
      <c r="AR996" s="803"/>
      <c r="AS996" s="803"/>
      <c r="AT996" s="803"/>
      <c r="AU996" s="803"/>
      <c r="AV996" s="803"/>
      <c r="AW996" s="803"/>
      <c r="AX996" s="803"/>
      <c r="AY996" s="803"/>
      <c r="AZ996" s="803"/>
      <c r="BA996" s="803"/>
      <c r="BB996" s="803"/>
      <c r="BC996" s="803"/>
      <c r="BD996" s="803"/>
      <c r="BE996" s="803"/>
    </row>
    <row r="997" spans="1:57" ht="14.25" hidden="1" customHeight="1" outlineLevel="1">
      <c r="B997" s="614"/>
      <c r="C997" s="695"/>
      <c r="D997" s="695"/>
      <c r="E997" s="695"/>
      <c r="F997" s="695"/>
      <c r="G997" s="695"/>
      <c r="H997" s="695"/>
      <c r="I997" s="695"/>
      <c r="J997" s="695"/>
      <c r="K997" s="695"/>
      <c r="L997" s="695"/>
      <c r="M997" s="695"/>
      <c r="N997" s="695"/>
      <c r="O997" s="695"/>
      <c r="P997" s="695"/>
      <c r="Q997" s="695"/>
      <c r="R997" s="695"/>
      <c r="S997" s="695"/>
      <c r="T997" s="695"/>
      <c r="U997" s="695"/>
      <c r="V997" s="695"/>
      <c r="W997" s="695"/>
      <c r="X997" s="695"/>
      <c r="Y997" s="614"/>
      <c r="Z997" s="614"/>
      <c r="AA997" s="613"/>
      <c r="AB997" s="614"/>
      <c r="AC997" s="614"/>
      <c r="AD997" s="617"/>
      <c r="AE997" s="617"/>
      <c r="AF997" s="617"/>
      <c r="AG997" s="617"/>
      <c r="AH997" s="617"/>
      <c r="AI997" s="617"/>
      <c r="AJ997" s="617"/>
      <c r="AK997" s="617"/>
      <c r="AL997" s="617"/>
      <c r="AM997" s="617"/>
      <c r="AN997" s="617"/>
      <c r="AO997" s="680"/>
      <c r="AP997" s="680"/>
      <c r="AQ997" s="803"/>
      <c r="AR997" s="803"/>
      <c r="AS997" s="803"/>
      <c r="AT997" s="803"/>
      <c r="AU997" s="803"/>
      <c r="AV997" s="803"/>
      <c r="AW997" s="803"/>
      <c r="AX997" s="803"/>
      <c r="AY997" s="803"/>
      <c r="AZ997" s="803"/>
      <c r="BA997" s="803"/>
      <c r="BB997" s="803"/>
      <c r="BC997" s="803"/>
      <c r="BD997" s="803"/>
      <c r="BE997" s="803"/>
    </row>
    <row r="998" spans="1:57" ht="14.25" hidden="1" customHeight="1" outlineLevel="1">
      <c r="A998" s="617" t="s">
        <v>2365</v>
      </c>
      <c r="B998" s="442"/>
      <c r="C998" s="804"/>
      <c r="G998" s="617"/>
      <c r="H998" s="617"/>
      <c r="I998" s="617"/>
      <c r="J998" s="617"/>
      <c r="K998" s="617"/>
      <c r="L998" s="805"/>
      <c r="M998" s="805"/>
      <c r="N998" s="617"/>
      <c r="O998" s="617"/>
      <c r="P998" s="617"/>
      <c r="Q998" s="617"/>
      <c r="R998" s="617"/>
      <c r="S998" s="617"/>
      <c r="T998" s="617"/>
      <c r="U998" s="617"/>
      <c r="V998" s="617"/>
      <c r="W998" s="617"/>
      <c r="X998" s="617"/>
      <c r="Y998" s="617"/>
      <c r="Z998" s="617"/>
      <c r="AA998" s="617"/>
      <c r="AB998" s="617"/>
      <c r="AC998" s="617"/>
      <c r="AD998" s="617"/>
      <c r="AE998" s="617"/>
      <c r="AF998" s="617"/>
      <c r="AG998" s="617"/>
      <c r="AH998" s="617"/>
      <c r="AI998" s="617"/>
      <c r="AJ998" s="617"/>
      <c r="AK998" s="617"/>
      <c r="AL998" s="617"/>
      <c r="AM998" s="617"/>
      <c r="AN998" s="617"/>
      <c r="AO998" s="680"/>
      <c r="AP998" s="680"/>
      <c r="AQ998" s="803"/>
      <c r="AR998" s="803"/>
      <c r="AS998" s="803"/>
      <c r="AT998" s="803"/>
      <c r="AU998" s="803"/>
      <c r="AV998" s="803"/>
      <c r="AW998" s="803"/>
      <c r="AX998" s="803"/>
      <c r="AY998" s="803"/>
      <c r="AZ998" s="803"/>
      <c r="BA998" s="803"/>
      <c r="BB998" s="803"/>
      <c r="BC998" s="803"/>
      <c r="BD998" s="803"/>
      <c r="BE998" s="803"/>
    </row>
    <row r="999" spans="1:57" ht="14.25" hidden="1" customHeight="1" outlineLevel="1">
      <c r="A999" s="536" t="s">
        <v>2366</v>
      </c>
      <c r="B999" s="442"/>
      <c r="C999" s="804"/>
      <c r="G999" s="617"/>
      <c r="H999" s="617"/>
      <c r="I999" s="617"/>
      <c r="J999" s="617"/>
      <c r="K999" s="617"/>
      <c r="L999" s="617"/>
      <c r="M999" s="617"/>
      <c r="N999" s="617"/>
      <c r="O999" s="617"/>
      <c r="P999" s="617"/>
      <c r="Q999" s="617"/>
      <c r="R999" s="617"/>
      <c r="S999" s="617"/>
      <c r="T999" s="617"/>
      <c r="U999" s="617"/>
      <c r="V999" s="617"/>
      <c r="W999" s="617"/>
      <c r="X999" s="617"/>
      <c r="Y999" s="617"/>
      <c r="Z999" s="617"/>
      <c r="AA999" s="617"/>
      <c r="AB999" s="617"/>
      <c r="AC999" s="617"/>
      <c r="AD999" s="617"/>
      <c r="AE999" s="617"/>
      <c r="AF999" s="617"/>
      <c r="AG999" s="617"/>
      <c r="AH999" s="617"/>
      <c r="AI999" s="617"/>
      <c r="AJ999" s="617"/>
      <c r="AK999" s="617"/>
      <c r="AL999" s="617"/>
      <c r="AM999" s="617"/>
      <c r="AN999" s="617"/>
      <c r="AO999" s="680"/>
      <c r="AP999" s="680"/>
      <c r="AQ999" s="803"/>
      <c r="AR999" s="803"/>
      <c r="AS999" s="803"/>
      <c r="AT999" s="803"/>
      <c r="AU999" s="803"/>
      <c r="AV999" s="803"/>
      <c r="AW999" s="803"/>
      <c r="AX999" s="803"/>
      <c r="AY999" s="803"/>
      <c r="AZ999" s="803"/>
      <c r="BA999" s="803"/>
      <c r="BB999" s="803"/>
      <c r="BC999" s="803"/>
      <c r="BD999" s="803"/>
      <c r="BE999" s="803"/>
    </row>
    <row r="1000" spans="1:57" ht="14.25" hidden="1" customHeight="1" outlineLevel="1">
      <c r="A1000" s="617" t="s">
        <v>2062</v>
      </c>
      <c r="B1000" s="442"/>
      <c r="C1000" s="804"/>
      <c r="G1000" s="617"/>
      <c r="H1000" s="617"/>
      <c r="I1000" s="617"/>
      <c r="J1000" s="617"/>
      <c r="K1000" s="617"/>
      <c r="L1000" s="617"/>
      <c r="M1000" s="617"/>
      <c r="N1000" s="617"/>
      <c r="O1000" s="617"/>
      <c r="P1000" s="617"/>
      <c r="Q1000" s="617"/>
      <c r="R1000" s="617"/>
      <c r="S1000" s="617"/>
      <c r="T1000" s="617"/>
      <c r="U1000" s="617"/>
      <c r="V1000" s="617"/>
      <c r="W1000" s="617"/>
      <c r="X1000" s="617"/>
      <c r="Y1000" s="617"/>
      <c r="Z1000" s="617"/>
      <c r="AA1000" s="617"/>
      <c r="AB1000" s="617"/>
      <c r="AC1000" s="617"/>
      <c r="AD1000" s="617"/>
      <c r="AE1000" s="617"/>
      <c r="AF1000" s="617"/>
      <c r="AG1000" s="617"/>
      <c r="AH1000" s="617"/>
      <c r="AI1000" s="617"/>
      <c r="AJ1000" s="617"/>
      <c r="AK1000" s="617"/>
      <c r="AL1000" s="617"/>
      <c r="AM1000" s="617"/>
      <c r="AN1000" s="617"/>
      <c r="AO1000" s="680"/>
      <c r="AP1000" s="680"/>
      <c r="AQ1000" s="803"/>
      <c r="AR1000" s="803"/>
      <c r="AS1000" s="803"/>
      <c r="AT1000" s="803"/>
      <c r="AU1000" s="803"/>
      <c r="AV1000" s="803"/>
      <c r="AW1000" s="803"/>
      <c r="AX1000" s="803"/>
      <c r="AY1000" s="803"/>
      <c r="AZ1000" s="803"/>
      <c r="BA1000" s="803"/>
      <c r="BB1000" s="803"/>
      <c r="BC1000" s="803"/>
      <c r="BD1000" s="803"/>
      <c r="BE1000" s="803"/>
    </row>
    <row r="1001" spans="1:57" ht="14.25" hidden="1" customHeight="1" outlineLevel="1">
      <c r="A1001" s="536" t="s">
        <v>234</v>
      </c>
      <c r="B1001" s="442"/>
      <c r="C1001" s="617"/>
      <c r="G1001" s="616"/>
      <c r="H1001" s="364"/>
      <c r="I1001" s="617"/>
      <c r="J1001" s="617"/>
      <c r="K1001" s="617"/>
      <c r="L1001" s="617"/>
      <c r="M1001" s="617"/>
      <c r="N1001" s="617"/>
      <c r="O1001" s="617"/>
      <c r="P1001" s="617"/>
      <c r="Q1001" s="617"/>
      <c r="R1001" s="617"/>
      <c r="S1001" s="617"/>
      <c r="T1001" s="617"/>
      <c r="U1001" s="617"/>
      <c r="V1001" s="617"/>
      <c r="W1001" s="617"/>
      <c r="X1001" s="617"/>
      <c r="Y1001" s="617"/>
      <c r="Z1001" s="617"/>
      <c r="AA1001" s="617"/>
      <c r="AB1001" s="617"/>
      <c r="AC1001" s="617"/>
      <c r="AD1001" s="617"/>
      <c r="AE1001" s="617"/>
      <c r="AF1001" s="617"/>
      <c r="AG1001" s="617"/>
      <c r="AH1001" s="617"/>
      <c r="AI1001" s="617"/>
      <c r="AJ1001" s="617"/>
      <c r="AK1001" s="617"/>
      <c r="AL1001" s="617"/>
      <c r="AM1001" s="617"/>
      <c r="AN1001" s="617"/>
      <c r="AO1001" s="680"/>
      <c r="AP1001" s="680"/>
      <c r="AQ1001" s="803"/>
      <c r="AR1001" s="803"/>
      <c r="AS1001" s="803"/>
      <c r="AT1001" s="803"/>
      <c r="AU1001" s="803"/>
      <c r="AV1001" s="803"/>
      <c r="AW1001" s="803"/>
      <c r="AX1001" s="803"/>
      <c r="AY1001" s="803"/>
      <c r="AZ1001" s="803"/>
      <c r="BA1001" s="803"/>
      <c r="BB1001" s="803"/>
      <c r="BC1001" s="803"/>
      <c r="BD1001" s="803"/>
      <c r="BE1001" s="803"/>
    </row>
    <row r="1002" spans="1:57" ht="14.25" hidden="1" customHeight="1" outlineLevel="1">
      <c r="A1002" s="617" t="s">
        <v>2367</v>
      </c>
      <c r="B1002" s="442"/>
      <c r="C1002" s="617"/>
      <c r="G1002" s="616"/>
      <c r="H1002" s="364"/>
      <c r="I1002" s="617"/>
      <c r="J1002" s="617"/>
      <c r="K1002" s="617"/>
      <c r="L1002" s="617"/>
      <c r="M1002" s="617"/>
      <c r="N1002" s="617"/>
      <c r="O1002" s="617"/>
      <c r="P1002" s="617"/>
      <c r="Q1002" s="617"/>
      <c r="R1002" s="617"/>
      <c r="S1002" s="617"/>
      <c r="T1002" s="617"/>
      <c r="U1002" s="617"/>
      <c r="V1002" s="617"/>
      <c r="W1002" s="617"/>
      <c r="X1002" s="617"/>
      <c r="Y1002" s="617"/>
      <c r="Z1002" s="617"/>
      <c r="AA1002" s="617"/>
      <c r="AB1002" s="617"/>
      <c r="AC1002" s="617"/>
      <c r="AD1002" s="617"/>
      <c r="AE1002" s="617"/>
      <c r="AF1002" s="617"/>
      <c r="AG1002" s="617"/>
      <c r="AH1002" s="617"/>
      <c r="AI1002" s="617"/>
      <c r="AJ1002" s="617"/>
      <c r="AK1002" s="617"/>
      <c r="AL1002" s="617"/>
      <c r="AM1002" s="617"/>
      <c r="AN1002" s="617"/>
      <c r="AO1002" s="680"/>
      <c r="AP1002" s="680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</row>
    <row r="1003" spans="1:57" ht="14.25" hidden="1" customHeight="1" outlineLevel="1">
      <c r="A1003" s="536" t="s">
        <v>234</v>
      </c>
      <c r="B1003" s="442"/>
      <c r="C1003" s="617"/>
      <c r="G1003" s="616"/>
      <c r="H1003" s="364"/>
      <c r="I1003" s="617"/>
      <c r="J1003" s="617"/>
      <c r="K1003" s="617"/>
      <c r="L1003" s="617"/>
      <c r="M1003" s="617"/>
      <c r="N1003" s="617"/>
      <c r="O1003" s="617"/>
      <c r="P1003" s="617"/>
      <c r="Q1003" s="617"/>
      <c r="R1003" s="617"/>
      <c r="S1003" s="617"/>
      <c r="T1003" s="617"/>
      <c r="U1003" s="617"/>
      <c r="V1003" s="617"/>
      <c r="W1003" s="617"/>
      <c r="X1003" s="617"/>
      <c r="Y1003" s="617"/>
      <c r="Z1003" s="617"/>
      <c r="AA1003" s="617"/>
      <c r="AB1003" s="617"/>
      <c r="AC1003" s="617"/>
      <c r="AD1003" s="617"/>
      <c r="AE1003" s="617"/>
      <c r="AF1003" s="617"/>
      <c r="AG1003" s="617"/>
      <c r="AH1003" s="617"/>
      <c r="AI1003" s="617"/>
      <c r="AJ1003" s="617"/>
      <c r="AK1003" s="617"/>
      <c r="AL1003" s="617"/>
      <c r="AM1003" s="617"/>
      <c r="AN1003" s="617"/>
      <c r="AO1003" s="680"/>
      <c r="AP1003" s="680"/>
      <c r="AQ1003" s="803"/>
      <c r="AR1003" s="803"/>
      <c r="AS1003" s="803"/>
      <c r="AT1003" s="803"/>
      <c r="AU1003" s="803"/>
      <c r="AV1003" s="803"/>
      <c r="AW1003" s="803"/>
      <c r="AX1003" s="803"/>
      <c r="AY1003" s="803"/>
      <c r="AZ1003" s="803"/>
      <c r="BA1003" s="803"/>
      <c r="BB1003" s="803"/>
      <c r="BC1003" s="803"/>
      <c r="BD1003" s="803"/>
      <c r="BE1003" s="803"/>
    </row>
    <row r="1004" spans="1:57" ht="14.25" hidden="1" customHeight="1" outlineLevel="1">
      <c r="A1004" s="617" t="s">
        <v>2368</v>
      </c>
      <c r="B1004" s="442"/>
      <c r="C1004" s="617"/>
      <c r="G1004" s="616"/>
      <c r="H1004" s="364"/>
      <c r="I1004" s="617"/>
      <c r="J1004" s="617"/>
      <c r="K1004" s="617"/>
      <c r="L1004" s="617"/>
      <c r="M1004" s="617"/>
      <c r="N1004" s="617"/>
      <c r="O1004" s="617"/>
      <c r="P1004" s="617"/>
      <c r="Q1004" s="617"/>
      <c r="R1004" s="617"/>
      <c r="S1004" s="617"/>
      <c r="T1004" s="617"/>
      <c r="U1004" s="617"/>
      <c r="V1004" s="617"/>
      <c r="W1004" s="617"/>
      <c r="X1004" s="617"/>
      <c r="Y1004" s="617"/>
      <c r="Z1004" s="617"/>
      <c r="AA1004" s="617"/>
      <c r="AB1004" s="617"/>
      <c r="AC1004" s="617"/>
      <c r="AD1004" s="617"/>
      <c r="AE1004" s="617"/>
      <c r="AF1004" s="617"/>
      <c r="AG1004" s="617"/>
      <c r="AH1004" s="617"/>
      <c r="AI1004" s="617"/>
      <c r="AJ1004" s="617"/>
      <c r="AK1004" s="617"/>
      <c r="AL1004" s="617"/>
      <c r="AM1004" s="617"/>
      <c r="AN1004" s="617"/>
      <c r="AO1004" s="680"/>
      <c r="AP1004" s="680"/>
      <c r="AQ1004" s="803"/>
      <c r="AR1004" s="803"/>
      <c r="AS1004" s="803"/>
      <c r="AT1004" s="803"/>
      <c r="AU1004" s="803"/>
      <c r="AV1004" s="803"/>
      <c r="AW1004" s="803"/>
      <c r="AX1004" s="803"/>
      <c r="AY1004" s="803"/>
      <c r="AZ1004" s="803"/>
      <c r="BA1004" s="803"/>
      <c r="BB1004" s="803"/>
      <c r="BC1004" s="803"/>
      <c r="BD1004" s="803"/>
      <c r="BE1004" s="803"/>
    </row>
    <row r="1005" spans="1:57" ht="14.25" hidden="1" customHeight="1" outlineLevel="1">
      <c r="A1005" s="536" t="s">
        <v>233</v>
      </c>
      <c r="B1005" s="442"/>
      <c r="C1005" s="617"/>
      <c r="G1005" s="616"/>
      <c r="H1005" s="364"/>
      <c r="I1005" s="617"/>
      <c r="J1005" s="617"/>
      <c r="K1005" s="617"/>
      <c r="L1005" s="617"/>
      <c r="M1005" s="617"/>
      <c r="N1005" s="617"/>
      <c r="O1005" s="617"/>
      <c r="P1005" s="617"/>
      <c r="Q1005" s="617"/>
      <c r="R1005" s="617"/>
      <c r="S1005" s="617"/>
      <c r="T1005" s="617"/>
      <c r="U1005" s="617"/>
      <c r="V1005" s="617"/>
      <c r="W1005" s="617"/>
      <c r="X1005" s="617"/>
      <c r="Y1005" s="617"/>
      <c r="Z1005" s="617"/>
      <c r="AA1005" s="617"/>
      <c r="AB1005" s="617"/>
      <c r="AC1005" s="617"/>
      <c r="AD1005" s="617"/>
      <c r="AE1005" s="617"/>
      <c r="AF1005" s="617"/>
      <c r="AG1005" s="617"/>
      <c r="AH1005" s="617"/>
      <c r="AI1005" s="617"/>
      <c r="AJ1005" s="617"/>
      <c r="AK1005" s="617"/>
      <c r="AL1005" s="617"/>
      <c r="AM1005" s="617"/>
      <c r="AN1005" s="617"/>
      <c r="AO1005" s="680"/>
      <c r="AP1005" s="680"/>
      <c r="AQ1005" s="803"/>
      <c r="AR1005" s="803"/>
      <c r="AS1005" s="803"/>
      <c r="AT1005" s="803"/>
      <c r="AU1005" s="803"/>
      <c r="AV1005" s="803"/>
      <c r="AW1005" s="803"/>
      <c r="AX1005" s="803"/>
      <c r="AY1005" s="803"/>
      <c r="AZ1005" s="803"/>
      <c r="BA1005" s="803"/>
      <c r="BB1005" s="803"/>
      <c r="BC1005" s="803"/>
      <c r="BD1005" s="803"/>
      <c r="BE1005" s="803"/>
    </row>
    <row r="1006" spans="1:57" ht="14.25" hidden="1" customHeight="1" outlineLevel="1">
      <c r="A1006" s="617" t="s">
        <v>2369</v>
      </c>
      <c r="B1006" s="442"/>
      <c r="C1006" s="617"/>
      <c r="G1006" s="616"/>
      <c r="H1006" s="364"/>
      <c r="I1006" s="617"/>
      <c r="J1006" s="617"/>
      <c r="K1006" s="617"/>
      <c r="L1006" s="617"/>
      <c r="M1006" s="617"/>
      <c r="N1006" s="617"/>
      <c r="O1006" s="617"/>
      <c r="P1006" s="617"/>
      <c r="Q1006" s="617"/>
      <c r="R1006" s="617"/>
      <c r="S1006" s="617"/>
      <c r="T1006" s="617"/>
      <c r="U1006" s="617"/>
      <c r="V1006" s="617"/>
      <c r="W1006" s="617"/>
      <c r="X1006" s="617"/>
      <c r="Y1006" s="617"/>
      <c r="Z1006" s="617"/>
      <c r="AA1006" s="617"/>
      <c r="AB1006" s="617"/>
      <c r="AC1006" s="617"/>
      <c r="AD1006" s="617"/>
      <c r="AE1006" s="617"/>
      <c r="AF1006" s="617"/>
      <c r="AG1006" s="617"/>
      <c r="AH1006" s="617"/>
      <c r="AI1006" s="617"/>
      <c r="AJ1006" s="617"/>
      <c r="AK1006" s="617"/>
      <c r="AL1006" s="617"/>
      <c r="AM1006" s="617"/>
      <c r="AN1006" s="617"/>
      <c r="AO1006" s="680"/>
      <c r="AP1006" s="680"/>
      <c r="AQ1006" s="803"/>
      <c r="AR1006" s="803"/>
      <c r="AS1006" s="803"/>
      <c r="AT1006" s="803"/>
      <c r="AU1006" s="803"/>
      <c r="AV1006" s="803"/>
      <c r="AW1006" s="803"/>
      <c r="AX1006" s="803"/>
      <c r="AY1006" s="803"/>
      <c r="AZ1006" s="803"/>
      <c r="BA1006" s="803"/>
      <c r="BB1006" s="803"/>
      <c r="BC1006" s="803"/>
      <c r="BD1006" s="803"/>
      <c r="BE1006" s="803"/>
    </row>
    <row r="1007" spans="1:57" ht="14.25" hidden="1" customHeight="1" outlineLevel="1">
      <c r="A1007" s="536" t="s">
        <v>82</v>
      </c>
      <c r="B1007" s="442"/>
      <c r="C1007" s="617"/>
      <c r="G1007" s="616"/>
      <c r="H1007" s="364"/>
      <c r="I1007" s="364"/>
      <c r="J1007" s="364"/>
      <c r="L1007" s="617"/>
      <c r="O1007" s="617"/>
      <c r="P1007" s="617"/>
      <c r="Q1007" s="617"/>
      <c r="R1007" s="617"/>
      <c r="S1007" s="617"/>
      <c r="T1007" s="617"/>
      <c r="U1007" s="617"/>
      <c r="V1007" s="617"/>
      <c r="W1007" s="617"/>
      <c r="X1007" s="617"/>
      <c r="Y1007" s="617"/>
      <c r="Z1007" s="617"/>
      <c r="AA1007" s="617"/>
      <c r="AB1007" s="617"/>
      <c r="AC1007" s="617"/>
      <c r="AD1007" s="617"/>
      <c r="AE1007" s="617"/>
      <c r="AF1007" s="617"/>
      <c r="AG1007" s="617"/>
      <c r="AH1007" s="617"/>
      <c r="AI1007" s="617"/>
      <c r="AJ1007" s="617"/>
      <c r="AK1007" s="617"/>
      <c r="AL1007" s="617"/>
      <c r="AM1007" s="617"/>
      <c r="AN1007" s="617"/>
      <c r="AO1007" s="680"/>
      <c r="AP1007" s="680"/>
      <c r="AQ1007" s="803"/>
      <c r="AR1007" s="803"/>
      <c r="AS1007" s="803"/>
      <c r="AT1007" s="803"/>
      <c r="AU1007" s="803"/>
      <c r="AV1007" s="803"/>
      <c r="AW1007" s="803"/>
      <c r="AX1007" s="803"/>
      <c r="AY1007" s="803"/>
      <c r="AZ1007" s="803"/>
      <c r="BA1007" s="803"/>
      <c r="BB1007" s="803"/>
      <c r="BC1007" s="803"/>
      <c r="BD1007" s="803"/>
      <c r="BE1007" s="803"/>
    </row>
    <row r="1008" spans="1:57" ht="14.25" hidden="1" customHeight="1" outlineLevel="1">
      <c r="A1008" s="617" t="s">
        <v>2370</v>
      </c>
      <c r="B1008" s="442"/>
      <c r="C1008" s="617"/>
      <c r="G1008" s="616"/>
      <c r="H1008" s="364"/>
      <c r="I1008" s="364"/>
      <c r="J1008" s="364"/>
      <c r="L1008" s="617"/>
      <c r="O1008" s="617"/>
      <c r="P1008" s="617"/>
      <c r="Q1008" s="617"/>
      <c r="R1008" s="617"/>
      <c r="S1008" s="617"/>
      <c r="T1008" s="617"/>
      <c r="U1008" s="617"/>
      <c r="V1008" s="617"/>
      <c r="W1008" s="617"/>
      <c r="X1008" s="617"/>
      <c r="Y1008" s="617"/>
      <c r="Z1008" s="617"/>
      <c r="AA1008" s="617"/>
      <c r="AB1008" s="617"/>
      <c r="AC1008" s="617"/>
      <c r="AD1008" s="617"/>
      <c r="AE1008" s="617"/>
      <c r="AF1008" s="617"/>
      <c r="AG1008" s="617"/>
      <c r="AH1008" s="617"/>
      <c r="AI1008" s="617"/>
      <c r="AJ1008" s="617"/>
      <c r="AK1008" s="617"/>
      <c r="AL1008" s="617"/>
      <c r="AM1008" s="617"/>
      <c r="AN1008" s="617"/>
      <c r="AO1008" s="680"/>
      <c r="AP1008" s="680"/>
      <c r="AQ1008" s="803"/>
      <c r="AR1008" s="803"/>
      <c r="AS1008" s="803"/>
      <c r="AT1008" s="803"/>
      <c r="AU1008" s="803"/>
      <c r="AV1008" s="803"/>
      <c r="AW1008" s="803"/>
      <c r="AX1008" s="803"/>
      <c r="AY1008" s="803"/>
      <c r="AZ1008" s="803"/>
      <c r="BA1008" s="803"/>
      <c r="BB1008" s="803"/>
      <c r="BC1008" s="803"/>
      <c r="BD1008" s="803"/>
      <c r="BE1008" s="803"/>
    </row>
    <row r="1009" spans="1:57" ht="14.25" hidden="1" customHeight="1" outlineLevel="1">
      <c r="A1009" s="536" t="s">
        <v>152</v>
      </c>
      <c r="B1009" s="374" t="s">
        <v>159</v>
      </c>
      <c r="C1009" s="429">
        <v>2</v>
      </c>
      <c r="G1009" s="616"/>
      <c r="H1009" s="616"/>
      <c r="I1009" s="616"/>
      <c r="J1009" s="616"/>
      <c r="K1009" s="616"/>
      <c r="L1009" s="616"/>
      <c r="M1009" s="617"/>
      <c r="N1009" s="617"/>
      <c r="O1009" s="617"/>
      <c r="P1009" s="617"/>
      <c r="Q1009" s="617"/>
      <c r="R1009" s="617"/>
      <c r="S1009" s="617"/>
      <c r="T1009" s="617"/>
      <c r="U1009" s="617"/>
      <c r="V1009" s="617"/>
      <c r="W1009" s="617"/>
      <c r="X1009" s="617"/>
      <c r="Y1009" s="617"/>
      <c r="Z1009" s="617"/>
      <c r="AA1009" s="617"/>
      <c r="AB1009" s="617"/>
      <c r="AC1009" s="617"/>
      <c r="AD1009" s="617"/>
      <c r="AE1009" s="617"/>
      <c r="AF1009" s="617"/>
      <c r="AG1009" s="617"/>
      <c r="AH1009" s="617"/>
      <c r="AI1009" s="617"/>
      <c r="AJ1009" s="617"/>
      <c r="AK1009" s="617"/>
      <c r="AL1009" s="617"/>
      <c r="AM1009" s="617"/>
      <c r="AN1009" s="617"/>
      <c r="AO1009" s="680"/>
      <c r="AP1009" s="680"/>
      <c r="AQ1009" s="803"/>
      <c r="AR1009" s="803"/>
      <c r="AS1009" s="803"/>
      <c r="AT1009" s="803"/>
      <c r="AU1009" s="803"/>
      <c r="AV1009" s="803"/>
      <c r="AW1009" s="803"/>
      <c r="AX1009" s="803"/>
      <c r="AY1009" s="803"/>
      <c r="AZ1009" s="803"/>
      <c r="BA1009" s="803"/>
      <c r="BB1009" s="803"/>
      <c r="BC1009" s="803"/>
      <c r="BD1009" s="803"/>
      <c r="BE1009" s="803"/>
    </row>
    <row r="1010" spans="1:57" ht="14.25" hidden="1" customHeight="1" outlineLevel="1">
      <c r="A1010" s="617"/>
      <c r="B1010" s="442"/>
      <c r="C1010" s="616"/>
      <c r="G1010" s="616"/>
      <c r="H1010" s="616"/>
      <c r="I1010" s="616"/>
      <c r="J1010" s="616"/>
      <c r="K1010" s="616"/>
      <c r="L1010" s="616"/>
      <c r="M1010" s="617"/>
      <c r="N1010" s="617"/>
      <c r="O1010" s="617"/>
      <c r="P1010" s="617"/>
      <c r="Q1010" s="617"/>
      <c r="R1010" s="617"/>
      <c r="S1010" s="617"/>
      <c r="T1010" s="617"/>
      <c r="U1010" s="617"/>
      <c r="V1010" s="617"/>
      <c r="W1010" s="617"/>
      <c r="X1010" s="617"/>
      <c r="Y1010" s="617"/>
      <c r="Z1010" s="617"/>
      <c r="AA1010" s="617"/>
      <c r="AB1010" s="617"/>
      <c r="AC1010" s="617"/>
      <c r="AD1010" s="617"/>
      <c r="AE1010" s="617"/>
      <c r="AF1010" s="617"/>
      <c r="AG1010" s="617"/>
      <c r="AH1010" s="617"/>
      <c r="AI1010" s="617"/>
      <c r="AJ1010" s="617"/>
      <c r="AK1010" s="617"/>
      <c r="AL1010" s="617"/>
      <c r="AM1010" s="617"/>
      <c r="AN1010" s="617"/>
      <c r="AO1010" s="680"/>
      <c r="AP1010" s="680"/>
      <c r="AQ1010" s="803"/>
      <c r="AR1010" s="803"/>
      <c r="AS1010" s="803"/>
      <c r="AT1010" s="803"/>
      <c r="AU1010" s="803"/>
      <c r="AV1010" s="803"/>
      <c r="AW1010" s="803"/>
      <c r="AX1010" s="803"/>
      <c r="AY1010" s="803"/>
      <c r="AZ1010" s="803"/>
      <c r="BA1010" s="803"/>
      <c r="BB1010" s="803"/>
      <c r="BC1010" s="803"/>
      <c r="BD1010" s="803"/>
      <c r="BE1010" s="803"/>
    </row>
    <row r="1011" spans="1:57" ht="14.25" hidden="1" customHeight="1" outlineLevel="1">
      <c r="A1011" s="263" t="s">
        <v>2371</v>
      </c>
      <c r="B1011" s="415" t="s">
        <v>1796</v>
      </c>
      <c r="C1011" s="806">
        <v>3000</v>
      </c>
      <c r="G1011" s="616"/>
      <c r="H1011" s="616"/>
      <c r="I1011" s="616"/>
      <c r="J1011" s="616"/>
      <c r="K1011" s="616"/>
      <c r="L1011" s="616"/>
      <c r="M1011" s="617"/>
      <c r="N1011" s="617"/>
      <c r="O1011" s="617"/>
      <c r="P1011" s="617"/>
      <c r="Q1011" s="617"/>
      <c r="R1011" s="617"/>
      <c r="S1011" s="617"/>
      <c r="T1011" s="617"/>
      <c r="U1011" s="617"/>
      <c r="V1011" s="617"/>
      <c r="W1011" s="617"/>
      <c r="X1011" s="617"/>
      <c r="Y1011" s="617"/>
      <c r="Z1011" s="617"/>
      <c r="AA1011" s="617"/>
      <c r="AB1011" s="617"/>
      <c r="AC1011" s="617"/>
      <c r="AD1011" s="617"/>
      <c r="AE1011" s="617"/>
      <c r="AF1011" s="617"/>
      <c r="AG1011" s="617"/>
      <c r="AH1011" s="617"/>
      <c r="AI1011" s="617"/>
      <c r="AJ1011" s="617"/>
      <c r="AK1011" s="617"/>
      <c r="AL1011" s="617"/>
      <c r="AM1011" s="617"/>
      <c r="AN1011" s="617"/>
      <c r="AO1011" s="680"/>
      <c r="AP1011" s="680"/>
      <c r="AQ1011" s="803"/>
      <c r="AR1011" s="803"/>
      <c r="AS1011" s="803"/>
      <c r="AT1011" s="803"/>
      <c r="AU1011" s="803"/>
      <c r="AV1011" s="803"/>
      <c r="AW1011" s="803"/>
      <c r="AX1011" s="803"/>
      <c r="AY1011" s="803"/>
      <c r="AZ1011" s="803"/>
      <c r="BA1011" s="803"/>
      <c r="BB1011" s="803"/>
      <c r="BC1011" s="803"/>
      <c r="BD1011" s="803"/>
      <c r="BE1011" s="803"/>
    </row>
    <row r="1012" spans="1:57" ht="14.25" hidden="1" customHeight="1" outlineLevel="1">
      <c r="A1012" s="617"/>
      <c r="B1012" s="442"/>
      <c r="C1012" s="616"/>
      <c r="G1012" s="616"/>
      <c r="H1012" s="616"/>
      <c r="I1012" s="616"/>
      <c r="J1012" s="616"/>
      <c r="K1012" s="616"/>
      <c r="L1012" s="616"/>
      <c r="M1012" s="617"/>
      <c r="N1012" s="617"/>
      <c r="O1012" s="617"/>
      <c r="P1012" s="617"/>
      <c r="Q1012" s="617"/>
      <c r="R1012" s="617"/>
      <c r="S1012" s="617"/>
      <c r="T1012" s="617"/>
      <c r="U1012" s="617"/>
      <c r="V1012" s="617"/>
      <c r="W1012" s="617"/>
      <c r="X1012" s="617"/>
      <c r="Y1012" s="617"/>
      <c r="Z1012" s="617"/>
      <c r="AA1012" s="617"/>
      <c r="AB1012" s="617"/>
      <c r="AC1012" s="617"/>
      <c r="AD1012" s="617"/>
      <c r="AE1012" s="617"/>
      <c r="AF1012" s="617"/>
      <c r="AG1012" s="617"/>
      <c r="AH1012" s="617"/>
      <c r="AI1012" s="617"/>
      <c r="AJ1012" s="617"/>
      <c r="AK1012" s="617"/>
      <c r="AL1012" s="617"/>
      <c r="AM1012" s="617"/>
      <c r="AN1012" s="617"/>
      <c r="AO1012" s="680"/>
      <c r="AP1012" s="680"/>
      <c r="AQ1012" s="803"/>
      <c r="AR1012" s="803"/>
      <c r="AS1012" s="803"/>
      <c r="AT1012" s="803"/>
      <c r="AU1012" s="803"/>
      <c r="AV1012" s="803"/>
      <c r="AW1012" s="803"/>
      <c r="AX1012" s="803"/>
      <c r="AY1012" s="803"/>
      <c r="AZ1012" s="803"/>
      <c r="BA1012" s="803"/>
      <c r="BB1012" s="803"/>
      <c r="BC1012" s="803"/>
      <c r="BD1012" s="803"/>
      <c r="BE1012" s="803"/>
    </row>
    <row r="1013" spans="1:57" ht="14.25" hidden="1" customHeight="1" outlineLevel="1">
      <c r="A1013" s="380" t="s">
        <v>2359</v>
      </c>
      <c r="B1013" s="413" t="s">
        <v>208</v>
      </c>
      <c r="C1013" s="807" t="s">
        <v>1798</v>
      </c>
      <c r="G1013" s="616"/>
      <c r="H1013" s="616"/>
      <c r="I1013" s="616"/>
      <c r="J1013" s="616"/>
      <c r="K1013" s="616"/>
      <c r="L1013" s="616"/>
      <c r="M1013" s="617"/>
      <c r="N1013" s="617"/>
      <c r="O1013" s="617"/>
      <c r="P1013" s="617"/>
      <c r="Q1013" s="617"/>
      <c r="R1013" s="617"/>
      <c r="S1013" s="617"/>
      <c r="T1013" s="617"/>
      <c r="U1013" s="617"/>
      <c r="V1013" s="617"/>
      <c r="W1013" s="617"/>
      <c r="X1013" s="617"/>
      <c r="Y1013" s="617"/>
      <c r="Z1013" s="617"/>
      <c r="AA1013" s="617"/>
      <c r="AB1013" s="617"/>
      <c r="AC1013" s="617"/>
      <c r="AD1013" s="617"/>
      <c r="AE1013" s="617"/>
      <c r="AF1013" s="617"/>
      <c r="AG1013" s="617"/>
      <c r="AH1013" s="617"/>
      <c r="AI1013" s="617"/>
      <c r="AJ1013" s="617"/>
      <c r="AK1013" s="617"/>
      <c r="AL1013" s="617"/>
      <c r="AM1013" s="617"/>
      <c r="AN1013" s="617"/>
      <c r="AO1013" s="680"/>
      <c r="AP1013" s="680"/>
      <c r="AQ1013" s="803"/>
      <c r="AR1013" s="803"/>
      <c r="AS1013" s="803"/>
      <c r="AT1013" s="803"/>
      <c r="AU1013" s="803"/>
      <c r="AV1013" s="803"/>
      <c r="AW1013" s="803"/>
      <c r="AX1013" s="803"/>
      <c r="AY1013" s="803"/>
      <c r="AZ1013" s="803"/>
      <c r="BA1013" s="803"/>
      <c r="BB1013" s="803"/>
      <c r="BC1013" s="803"/>
      <c r="BD1013" s="803"/>
      <c r="BE1013" s="803"/>
    </row>
    <row r="1014" spans="1:57" ht="14.25" hidden="1" customHeight="1" outlineLevel="1">
      <c r="A1014" s="488" t="s">
        <v>2360</v>
      </c>
      <c r="B1014" s="413" t="s">
        <v>1793</v>
      </c>
      <c r="C1014" s="380">
        <v>3</v>
      </c>
      <c r="G1014" s="616"/>
      <c r="H1014" s="616"/>
      <c r="I1014" s="616"/>
      <c r="J1014" s="616"/>
      <c r="K1014" s="616"/>
      <c r="L1014" s="616"/>
      <c r="M1014" s="617"/>
      <c r="N1014" s="617"/>
      <c r="O1014" s="617"/>
      <c r="P1014" s="617"/>
      <c r="Q1014" s="617"/>
      <c r="R1014" s="617"/>
      <c r="S1014" s="617"/>
      <c r="T1014" s="617"/>
      <c r="U1014" s="617"/>
      <c r="V1014" s="617"/>
      <c r="W1014" s="617"/>
      <c r="X1014" s="617"/>
      <c r="Y1014" s="617"/>
      <c r="Z1014" s="617"/>
      <c r="AA1014" s="617"/>
      <c r="AB1014" s="617"/>
      <c r="AC1014" s="617"/>
      <c r="AD1014" s="617"/>
      <c r="AE1014" s="617"/>
      <c r="AF1014" s="617"/>
      <c r="AG1014" s="617"/>
      <c r="AH1014" s="617"/>
      <c r="AI1014" s="617"/>
      <c r="AJ1014" s="617"/>
      <c r="AK1014" s="617"/>
      <c r="AL1014" s="617"/>
      <c r="AM1014" s="617"/>
      <c r="AN1014" s="617"/>
      <c r="AO1014" s="680"/>
      <c r="AP1014" s="680"/>
      <c r="AQ1014" s="803"/>
      <c r="AR1014" s="803"/>
      <c r="AS1014" s="803"/>
      <c r="AT1014" s="803"/>
      <c r="AU1014" s="803"/>
      <c r="AV1014" s="803"/>
      <c r="AW1014" s="803"/>
      <c r="AX1014" s="803"/>
      <c r="AY1014" s="803"/>
      <c r="AZ1014" s="803"/>
      <c r="BA1014" s="803"/>
      <c r="BB1014" s="803"/>
      <c r="BC1014" s="803"/>
      <c r="BD1014" s="803"/>
      <c r="BE1014" s="803"/>
    </row>
    <row r="1015" spans="1:57" ht="14.25" hidden="1" customHeight="1" outlineLevel="1">
      <c r="A1015" s="380" t="s">
        <v>2361</v>
      </c>
      <c r="B1015" s="438" t="s">
        <v>1793</v>
      </c>
      <c r="C1015" s="488">
        <v>9</v>
      </c>
      <c r="G1015" s="616"/>
      <c r="H1015" s="616"/>
      <c r="I1015" s="616"/>
      <c r="J1015" s="616"/>
      <c r="K1015" s="616"/>
      <c r="L1015" s="616"/>
      <c r="M1015" s="617"/>
      <c r="N1015" s="617"/>
      <c r="O1015" s="617"/>
      <c r="P1015" s="617"/>
      <c r="Q1015" s="617"/>
      <c r="R1015" s="617"/>
      <c r="S1015" s="617"/>
      <c r="T1015" s="617"/>
      <c r="U1015" s="617"/>
      <c r="V1015" s="617"/>
      <c r="W1015" s="617"/>
      <c r="X1015" s="617"/>
      <c r="Y1015" s="617"/>
      <c r="Z1015" s="617"/>
      <c r="AA1015" s="617"/>
      <c r="AB1015" s="617"/>
      <c r="AC1015" s="617"/>
      <c r="AD1015" s="617"/>
      <c r="AE1015" s="617"/>
      <c r="AF1015" s="617"/>
      <c r="AG1015" s="617"/>
      <c r="AH1015" s="617"/>
      <c r="AI1015" s="617"/>
      <c r="AJ1015" s="617"/>
      <c r="AK1015" s="617"/>
      <c r="AL1015" s="617"/>
      <c r="AM1015" s="617"/>
      <c r="AN1015" s="617"/>
      <c r="AO1015" s="680"/>
      <c r="AP1015" s="680"/>
      <c r="AQ1015" s="803"/>
      <c r="AR1015" s="803"/>
      <c r="AS1015" s="803"/>
      <c r="AT1015" s="803"/>
      <c r="AU1015" s="803"/>
      <c r="AV1015" s="803"/>
      <c r="AW1015" s="803"/>
      <c r="AX1015" s="803"/>
      <c r="AY1015" s="803"/>
      <c r="AZ1015" s="803"/>
      <c r="BA1015" s="803"/>
      <c r="BB1015" s="803"/>
      <c r="BC1015" s="803"/>
      <c r="BD1015" s="803"/>
      <c r="BE1015" s="803"/>
    </row>
    <row r="1016" spans="1:57" ht="14.25" hidden="1" customHeight="1" outlineLevel="1">
      <c r="A1016" s="380" t="s">
        <v>2362</v>
      </c>
      <c r="B1016" s="413" t="s">
        <v>1796</v>
      </c>
      <c r="C1016" s="380">
        <v>700</v>
      </c>
      <c r="G1016" s="616"/>
      <c r="H1016" s="616"/>
      <c r="I1016" s="616"/>
      <c r="J1016" s="616"/>
      <c r="K1016" s="616"/>
      <c r="L1016" s="616"/>
      <c r="M1016" s="617"/>
      <c r="N1016" s="617"/>
      <c r="O1016" s="617"/>
      <c r="P1016" s="617"/>
      <c r="Q1016" s="617"/>
      <c r="R1016" s="617"/>
      <c r="S1016" s="617"/>
      <c r="T1016" s="617"/>
      <c r="U1016" s="617"/>
      <c r="V1016" s="617"/>
      <c r="W1016" s="617"/>
      <c r="X1016" s="617"/>
      <c r="Y1016" s="617"/>
      <c r="Z1016" s="617"/>
      <c r="AA1016" s="617"/>
      <c r="AB1016" s="617"/>
      <c r="AC1016" s="617"/>
      <c r="AD1016" s="617"/>
      <c r="AE1016" s="617"/>
      <c r="AF1016" s="617"/>
      <c r="AG1016" s="617"/>
      <c r="AH1016" s="617"/>
      <c r="AI1016" s="617"/>
      <c r="AJ1016" s="617"/>
      <c r="AK1016" s="617"/>
      <c r="AL1016" s="617"/>
      <c r="AM1016" s="617"/>
      <c r="AN1016" s="617"/>
      <c r="AO1016" s="680"/>
      <c r="AP1016" s="680"/>
      <c r="AQ1016" s="803"/>
      <c r="AR1016" s="803"/>
      <c r="AS1016" s="803"/>
      <c r="AT1016" s="803"/>
      <c r="AU1016" s="803"/>
      <c r="AV1016" s="803"/>
      <c r="AW1016" s="803"/>
      <c r="AX1016" s="803"/>
      <c r="AY1016" s="803"/>
      <c r="AZ1016" s="803"/>
      <c r="BA1016" s="803"/>
      <c r="BB1016" s="803"/>
      <c r="BC1016" s="803"/>
      <c r="BD1016" s="803"/>
      <c r="BE1016" s="803"/>
    </row>
    <row r="1017" spans="1:57" ht="14.25" hidden="1" customHeight="1" outlineLevel="1">
      <c r="A1017" s="617"/>
      <c r="B1017" s="442"/>
      <c r="C1017" s="616"/>
      <c r="G1017" s="616"/>
      <c r="H1017" s="616"/>
      <c r="I1017" s="616"/>
      <c r="J1017" s="616"/>
      <c r="K1017" s="616"/>
      <c r="L1017" s="616"/>
      <c r="M1017" s="617"/>
      <c r="N1017" s="617"/>
      <c r="O1017" s="617"/>
      <c r="P1017" s="617"/>
      <c r="Q1017" s="617"/>
      <c r="R1017" s="617"/>
      <c r="S1017" s="617"/>
      <c r="T1017" s="617"/>
      <c r="U1017" s="617"/>
      <c r="V1017" s="617"/>
      <c r="W1017" s="617"/>
      <c r="X1017" s="617"/>
      <c r="Y1017" s="617"/>
      <c r="Z1017" s="617"/>
      <c r="AA1017" s="617"/>
      <c r="AB1017" s="617"/>
      <c r="AC1017" s="617"/>
      <c r="AD1017" s="617"/>
      <c r="AE1017" s="617"/>
      <c r="AF1017" s="617"/>
      <c r="AG1017" s="617"/>
      <c r="AH1017" s="617"/>
      <c r="AI1017" s="617"/>
      <c r="AJ1017" s="617"/>
      <c r="AK1017" s="617"/>
      <c r="AL1017" s="617"/>
      <c r="AM1017" s="617"/>
      <c r="AN1017" s="617"/>
      <c r="AO1017" s="680"/>
      <c r="AP1017" s="680"/>
      <c r="AQ1017" s="803"/>
      <c r="AR1017" s="803"/>
      <c r="AS1017" s="803"/>
      <c r="AT1017" s="803"/>
      <c r="AU1017" s="803"/>
      <c r="AV1017" s="803"/>
      <c r="AW1017" s="803"/>
      <c r="AX1017" s="803"/>
      <c r="AY1017" s="803"/>
      <c r="AZ1017" s="803"/>
      <c r="BA1017" s="803"/>
      <c r="BB1017" s="803"/>
      <c r="BC1017" s="803"/>
      <c r="BD1017" s="803"/>
      <c r="BE1017" s="803"/>
    </row>
    <row r="1018" spans="1:57" ht="14.25" customHeight="1" collapsed="1">
      <c r="A1018" s="3126" t="s">
        <v>2364</v>
      </c>
      <c r="B1018" s="3126"/>
      <c r="C1018" s="3126"/>
      <c r="D1018" s="3126"/>
      <c r="E1018" s="3126"/>
      <c r="F1018" s="3126"/>
      <c r="G1018" s="3126"/>
      <c r="H1018" s="646"/>
      <c r="I1018" s="646"/>
      <c r="J1018" s="646"/>
      <c r="K1018" s="646"/>
      <c r="L1018" s="646"/>
      <c r="M1018" s="616"/>
      <c r="N1018" s="616"/>
      <c r="O1018" s="616"/>
      <c r="P1018" s="808"/>
      <c r="Q1018" s="452"/>
      <c r="R1018" s="808"/>
      <c r="S1018" s="808"/>
      <c r="T1018" s="808"/>
      <c r="U1018" s="808"/>
      <c r="V1018" s="808"/>
      <c r="W1018" s="808"/>
      <c r="X1018" s="808"/>
      <c r="Y1018" s="808"/>
      <c r="Z1018" s="808"/>
      <c r="AA1018" s="808"/>
      <c r="AB1018" s="808"/>
      <c r="AC1018" s="808"/>
      <c r="AD1018" s="808"/>
      <c r="AE1018" s="808"/>
      <c r="AF1018" s="808"/>
      <c r="AG1018" s="808"/>
      <c r="AH1018" s="808"/>
      <c r="AI1018" s="808"/>
      <c r="AJ1018" s="808"/>
      <c r="AK1018" s="808"/>
      <c r="AL1018" s="808"/>
      <c r="AM1018" s="808"/>
      <c r="AN1018" s="808"/>
      <c r="AO1018" s="809"/>
      <c r="AP1018" s="809"/>
      <c r="AQ1018" s="810"/>
      <c r="AR1018" s="810"/>
      <c r="AS1018" s="810"/>
      <c r="AT1018" s="810"/>
      <c r="AU1018" s="810"/>
      <c r="AV1018" s="543">
        <f>M1018</f>
        <v>0</v>
      </c>
      <c r="AW1018" s="810"/>
      <c r="AX1018" s="810"/>
      <c r="AY1018" s="810"/>
      <c r="AZ1018" s="810"/>
      <c r="BA1018" s="810"/>
      <c r="BB1018" s="810"/>
      <c r="BC1018" s="810"/>
      <c r="BD1018" s="810"/>
      <c r="BE1018" s="810"/>
    </row>
    <row r="1019" spans="1:57" ht="14.25" customHeight="1">
      <c r="A1019" s="811"/>
      <c r="B1019" s="811"/>
      <c r="C1019" s="811"/>
      <c r="D1019" s="811"/>
      <c r="E1019" s="811"/>
      <c r="F1019" s="811"/>
      <c r="G1019" s="811"/>
      <c r="H1019" s="812"/>
      <c r="I1019" s="808"/>
      <c r="J1019" s="808"/>
      <c r="K1019" s="808"/>
      <c r="L1019" s="808"/>
      <c r="M1019" s="616"/>
      <c r="N1019" s="616"/>
      <c r="O1019" s="616"/>
      <c r="P1019" s="808"/>
      <c r="Q1019" s="808"/>
      <c r="R1019" s="808"/>
      <c r="S1019" s="808"/>
      <c r="T1019" s="808"/>
      <c r="U1019" s="808"/>
      <c r="V1019" s="808"/>
      <c r="W1019" s="808"/>
      <c r="X1019" s="808"/>
      <c r="Y1019" s="808"/>
      <c r="Z1019" s="808"/>
      <c r="AA1019" s="808"/>
      <c r="AB1019" s="808"/>
      <c r="AC1019" s="808"/>
      <c r="AD1019" s="808"/>
      <c r="AE1019" s="808"/>
      <c r="AF1019" s="808"/>
      <c r="AG1019" s="808"/>
      <c r="AH1019" s="808"/>
      <c r="AI1019" s="808"/>
      <c r="AJ1019" s="808"/>
      <c r="AK1019" s="808"/>
      <c r="AL1019" s="808"/>
      <c r="AM1019" s="808"/>
      <c r="AN1019" s="808"/>
      <c r="AO1019" s="809"/>
      <c r="AP1019" s="809"/>
      <c r="AQ1019" s="810"/>
      <c r="AR1019" s="810"/>
      <c r="AS1019" s="810"/>
      <c r="AT1019" s="810"/>
      <c r="AU1019" s="810"/>
      <c r="AV1019" s="810"/>
      <c r="AW1019" s="810"/>
      <c r="AX1019" s="810"/>
      <c r="AY1019" s="810"/>
      <c r="AZ1019" s="810"/>
      <c r="BA1019" s="810"/>
      <c r="BB1019" s="810"/>
      <c r="BC1019" s="810"/>
      <c r="BD1019" s="810"/>
      <c r="BE1019" s="810"/>
    </row>
    <row r="1020" spans="1:57" ht="14.25" hidden="1" customHeight="1" outlineLevel="1">
      <c r="A1020" s="3127" t="s">
        <v>2372</v>
      </c>
      <c r="B1020" s="3127"/>
      <c r="C1020" s="3127"/>
      <c r="D1020" s="3127"/>
      <c r="E1020" s="3127"/>
      <c r="F1020" s="3127"/>
      <c r="G1020" s="3127"/>
      <c r="H1020" s="813"/>
      <c r="I1020" s="813"/>
      <c r="J1020" s="813"/>
      <c r="K1020" s="813"/>
      <c r="L1020" s="813"/>
      <c r="M1020" s="813"/>
      <c r="N1020" s="813"/>
      <c r="O1020" s="813"/>
      <c r="P1020" s="813"/>
      <c r="Q1020" s="813"/>
      <c r="R1020" s="813"/>
      <c r="S1020" s="813"/>
      <c r="T1020" s="813"/>
      <c r="U1020" s="813"/>
      <c r="V1020" s="813"/>
      <c r="W1020" s="813"/>
      <c r="X1020" s="813"/>
      <c r="Y1020" s="813"/>
      <c r="Z1020" s="813"/>
      <c r="AA1020" s="813"/>
      <c r="AB1020" s="813"/>
      <c r="AC1020" s="813"/>
      <c r="AD1020" s="813"/>
      <c r="AE1020" s="813"/>
      <c r="AF1020" s="813"/>
      <c r="AG1020" s="813"/>
      <c r="AH1020" s="813"/>
      <c r="AI1020" s="813"/>
      <c r="AJ1020" s="808"/>
      <c r="AK1020" s="808"/>
      <c r="AL1020" s="808"/>
      <c r="AM1020" s="808"/>
      <c r="AN1020" s="808"/>
      <c r="AO1020" s="809"/>
      <c r="AP1020" s="809"/>
      <c r="AQ1020" s="810"/>
      <c r="AR1020" s="810"/>
      <c r="AS1020" s="810"/>
      <c r="AT1020" s="810"/>
      <c r="AU1020" s="810"/>
      <c r="AV1020" s="810"/>
      <c r="AW1020" s="810"/>
      <c r="AX1020" s="810"/>
      <c r="AY1020" s="810"/>
      <c r="AZ1020" s="810"/>
      <c r="BA1020" s="810"/>
      <c r="BB1020" s="810"/>
      <c r="BC1020" s="810"/>
      <c r="BD1020" s="810"/>
      <c r="BE1020" s="810"/>
    </row>
    <row r="1021" spans="1:57" ht="14.25" hidden="1" customHeight="1" outlineLevel="1">
      <c r="A1021" s="3127"/>
      <c r="B1021" s="3127"/>
      <c r="C1021" s="3127"/>
      <c r="D1021" s="3127"/>
      <c r="E1021" s="3127"/>
      <c r="F1021" s="3127"/>
      <c r="G1021" s="3127"/>
      <c r="H1021" s="813"/>
      <c r="I1021" s="813"/>
      <c r="J1021" s="813"/>
      <c r="K1021" s="813"/>
      <c r="L1021" s="813"/>
      <c r="M1021" s="813"/>
      <c r="N1021" s="813"/>
      <c r="O1021" s="813"/>
      <c r="P1021" s="813"/>
      <c r="Q1021" s="813"/>
      <c r="R1021" s="813"/>
      <c r="S1021" s="813"/>
      <c r="T1021" s="813"/>
      <c r="U1021" s="813"/>
      <c r="V1021" s="813"/>
      <c r="W1021" s="813"/>
      <c r="X1021" s="813"/>
      <c r="Y1021" s="813"/>
      <c r="Z1021" s="813"/>
      <c r="AA1021" s="813"/>
      <c r="AB1021" s="813"/>
      <c r="AC1021" s="813"/>
      <c r="AD1021" s="813"/>
      <c r="AE1021" s="813"/>
      <c r="AF1021" s="813"/>
      <c r="AG1021" s="813"/>
      <c r="AH1021" s="813"/>
      <c r="AI1021" s="813"/>
      <c r="AJ1021" s="808"/>
      <c r="AK1021" s="808"/>
      <c r="AL1021" s="808"/>
      <c r="AM1021" s="808"/>
      <c r="AN1021" s="808"/>
      <c r="AO1021" s="809"/>
      <c r="AP1021" s="809"/>
      <c r="AQ1021" s="810"/>
      <c r="AR1021" s="810"/>
      <c r="AS1021" s="810"/>
      <c r="AT1021" s="810"/>
      <c r="AU1021" s="810"/>
      <c r="AV1021" s="810"/>
      <c r="AW1021" s="810"/>
      <c r="AX1021" s="810"/>
      <c r="AY1021" s="810"/>
      <c r="AZ1021" s="810"/>
      <c r="BA1021" s="810"/>
      <c r="BB1021" s="810"/>
      <c r="BC1021" s="810"/>
      <c r="BD1021" s="810"/>
      <c r="BE1021" s="810"/>
    </row>
    <row r="1022" spans="1:57" ht="14.25" hidden="1" customHeight="1" outlineLevel="1">
      <c r="A1022" s="610" t="s">
        <v>1806</v>
      </c>
      <c r="B1022" s="814"/>
      <c r="C1022" s="814"/>
      <c r="D1022" s="815">
        <v>1</v>
      </c>
      <c r="G1022" s="816"/>
      <c r="H1022" s="695"/>
      <c r="I1022" s="695"/>
      <c r="J1022" s="695"/>
      <c r="K1022" s="695"/>
      <c r="L1022" s="695"/>
      <c r="M1022" s="695"/>
      <c r="N1022" s="695"/>
      <c r="O1022" s="695"/>
      <c r="P1022" s="695"/>
      <c r="Q1022" s="695"/>
      <c r="R1022" s="695"/>
      <c r="S1022" s="695"/>
      <c r="T1022" s="695"/>
      <c r="U1022" s="695"/>
      <c r="V1022" s="695"/>
      <c r="W1022" s="695"/>
      <c r="X1022" s="695"/>
      <c r="Y1022" s="695"/>
      <c r="Z1022" s="695"/>
      <c r="AA1022" s="695"/>
      <c r="AB1022" s="695"/>
      <c r="AC1022" s="695"/>
      <c r="AD1022" s="695"/>
      <c r="AE1022" s="695"/>
      <c r="AF1022" s="617"/>
      <c r="AG1022" s="617"/>
      <c r="AH1022" s="617"/>
      <c r="AI1022" s="803"/>
      <c r="AJ1022" s="808"/>
      <c r="AK1022" s="808"/>
      <c r="AL1022" s="808"/>
      <c r="AM1022" s="808"/>
      <c r="AN1022" s="808"/>
      <c r="AO1022" s="809"/>
      <c r="AP1022" s="809"/>
      <c r="AQ1022" s="810"/>
      <c r="AR1022" s="810"/>
      <c r="AS1022" s="810"/>
      <c r="AT1022" s="810"/>
      <c r="AU1022" s="810"/>
      <c r="AV1022" s="810"/>
      <c r="AW1022" s="810"/>
      <c r="AX1022" s="810"/>
      <c r="AY1022" s="810"/>
      <c r="AZ1022" s="810"/>
      <c r="BA1022" s="810"/>
      <c r="BB1022" s="810"/>
      <c r="BC1022" s="810"/>
      <c r="BD1022" s="810"/>
      <c r="BE1022" s="810"/>
    </row>
    <row r="1023" spans="1:57" ht="14.25" hidden="1" customHeight="1" outlineLevel="1">
      <c r="A1023" s="610" t="s">
        <v>1808</v>
      </c>
      <c r="B1023" s="814"/>
      <c r="C1023" s="814"/>
      <c r="D1023" s="815">
        <v>1</v>
      </c>
      <c r="G1023" s="816"/>
      <c r="H1023" s="695"/>
      <c r="I1023" s="695"/>
      <c r="J1023" s="695"/>
      <c r="K1023" s="695"/>
      <c r="L1023" s="695"/>
      <c r="M1023" s="695"/>
      <c r="N1023" s="695"/>
      <c r="O1023" s="695"/>
      <c r="P1023" s="695"/>
      <c r="Q1023" s="695"/>
      <c r="R1023" s="695"/>
      <c r="S1023" s="695"/>
      <c r="T1023" s="695"/>
      <c r="U1023" s="695"/>
      <c r="V1023" s="695"/>
      <c r="W1023" s="695"/>
      <c r="X1023" s="695"/>
      <c r="Y1023" s="695"/>
      <c r="Z1023" s="695"/>
      <c r="AA1023" s="695"/>
      <c r="AB1023" s="695"/>
      <c r="AC1023" s="695"/>
      <c r="AD1023" s="695"/>
      <c r="AE1023" s="695"/>
      <c r="AF1023" s="617"/>
      <c r="AG1023" s="617"/>
      <c r="AH1023" s="617"/>
      <c r="AI1023" s="617"/>
      <c r="AJ1023" s="808"/>
      <c r="AK1023" s="808"/>
      <c r="AL1023" s="808"/>
      <c r="AM1023" s="808"/>
      <c r="AN1023" s="808"/>
      <c r="AO1023" s="809"/>
      <c r="AP1023" s="809"/>
      <c r="AQ1023" s="810"/>
      <c r="AR1023" s="810"/>
      <c r="AS1023" s="810"/>
      <c r="AT1023" s="810"/>
      <c r="AU1023" s="810"/>
      <c r="AV1023" s="810"/>
      <c r="AW1023" s="810"/>
      <c r="AX1023" s="810"/>
      <c r="AY1023" s="810"/>
      <c r="AZ1023" s="810"/>
      <c r="BA1023" s="810"/>
      <c r="BB1023" s="810"/>
      <c r="BC1023" s="810"/>
      <c r="BD1023" s="810"/>
      <c r="BE1023" s="810"/>
    </row>
    <row r="1024" spans="1:57" ht="14.25" hidden="1" customHeight="1" outlineLevel="1">
      <c r="A1024" s="817"/>
      <c r="B1024" s="816"/>
      <c r="C1024" s="816"/>
      <c r="D1024" s="816"/>
      <c r="E1024" s="816"/>
      <c r="F1024" s="816"/>
      <c r="G1024" s="816"/>
      <c r="H1024" s="695"/>
      <c r="I1024" s="695"/>
      <c r="J1024" s="695"/>
      <c r="K1024" s="695"/>
      <c r="L1024" s="695"/>
      <c r="M1024" s="695"/>
      <c r="N1024" s="695"/>
      <c r="O1024" s="695"/>
      <c r="P1024" s="695"/>
      <c r="Q1024" s="695"/>
      <c r="R1024" s="695"/>
      <c r="S1024" s="695"/>
      <c r="T1024" s="695"/>
      <c r="U1024" s="695"/>
      <c r="V1024" s="695"/>
      <c r="W1024" s="695"/>
      <c r="X1024" s="695"/>
      <c r="Y1024" s="614"/>
      <c r="Z1024" s="614"/>
      <c r="AA1024" s="613"/>
      <c r="AB1024" s="614"/>
      <c r="AC1024" s="614"/>
      <c r="AD1024" s="614"/>
      <c r="AE1024" s="614"/>
      <c r="AF1024" s="617"/>
      <c r="AG1024" s="617"/>
      <c r="AH1024" s="617"/>
      <c r="AI1024" s="617"/>
      <c r="AJ1024" s="808"/>
      <c r="AK1024" s="808"/>
      <c r="AL1024" s="808"/>
      <c r="AM1024" s="808"/>
      <c r="AN1024" s="808"/>
      <c r="AO1024" s="809"/>
      <c r="AP1024" s="809"/>
      <c r="AQ1024" s="810"/>
      <c r="AR1024" s="810"/>
      <c r="AS1024" s="810"/>
      <c r="AT1024" s="810"/>
      <c r="AU1024" s="810"/>
      <c r="AV1024" s="810"/>
      <c r="AW1024" s="810"/>
      <c r="AX1024" s="810"/>
      <c r="AY1024" s="810"/>
      <c r="AZ1024" s="810"/>
      <c r="BA1024" s="810"/>
      <c r="BB1024" s="810"/>
      <c r="BC1024" s="810"/>
      <c r="BD1024" s="810"/>
      <c r="BE1024" s="810"/>
    </row>
    <row r="1025" spans="1:58" ht="14.25" hidden="1" customHeight="1" outlineLevel="1">
      <c r="A1025" s="684" t="s">
        <v>2373</v>
      </c>
      <c r="B1025" s="490"/>
      <c r="C1025" s="684"/>
      <c r="D1025" s="817"/>
      <c r="E1025" s="817"/>
      <c r="F1025" s="817"/>
      <c r="G1025" s="684"/>
      <c r="H1025" s="818"/>
      <c r="I1025" s="492"/>
      <c r="J1025" s="492"/>
      <c r="K1025" s="492"/>
      <c r="L1025" s="492"/>
      <c r="M1025" s="492"/>
      <c r="N1025" s="492"/>
      <c r="O1025" s="492"/>
      <c r="P1025" s="819"/>
      <c r="Q1025" s="808"/>
      <c r="R1025" s="808"/>
      <c r="S1025" s="808"/>
      <c r="T1025" s="808"/>
      <c r="U1025" s="808"/>
      <c r="V1025" s="808"/>
      <c r="W1025" s="808"/>
      <c r="X1025" s="808"/>
      <c r="Y1025" s="808"/>
      <c r="Z1025" s="808"/>
      <c r="AA1025" s="808"/>
      <c r="AB1025" s="808"/>
      <c r="AC1025" s="808"/>
      <c r="AD1025" s="808"/>
      <c r="AE1025" s="808"/>
      <c r="AF1025" s="808"/>
      <c r="AG1025" s="808"/>
      <c r="AH1025" s="808"/>
      <c r="AI1025" s="808"/>
      <c r="AJ1025" s="808"/>
      <c r="AK1025" s="808"/>
      <c r="AL1025" s="808"/>
      <c r="AM1025" s="808"/>
      <c r="AN1025" s="808"/>
      <c r="AO1025" s="809"/>
      <c r="AP1025" s="809"/>
      <c r="AQ1025" s="810"/>
      <c r="AR1025" s="810"/>
      <c r="AS1025" s="810"/>
      <c r="AT1025" s="810"/>
      <c r="AU1025" s="810"/>
      <c r="AV1025" s="810"/>
      <c r="AW1025" s="810"/>
      <c r="AX1025" s="810"/>
      <c r="AY1025" s="810"/>
      <c r="AZ1025" s="810"/>
      <c r="BA1025" s="810"/>
      <c r="BB1025" s="810"/>
      <c r="BC1025" s="810"/>
      <c r="BD1025" s="810"/>
      <c r="BE1025" s="810"/>
    </row>
    <row r="1026" spans="1:58" ht="14.25" hidden="1" customHeight="1" outlineLevel="1">
      <c r="A1026" s="820" t="s">
        <v>2366</v>
      </c>
      <c r="B1026" s="490"/>
      <c r="C1026" s="684"/>
      <c r="D1026" s="817"/>
      <c r="E1026" s="817"/>
      <c r="F1026" s="817"/>
      <c r="G1026" s="684"/>
      <c r="H1026" s="821"/>
      <c r="I1026" s="492"/>
      <c r="J1026" s="492"/>
      <c r="K1026" s="492"/>
      <c r="L1026" s="492"/>
      <c r="M1026" s="492"/>
      <c r="N1026" s="492"/>
      <c r="O1026" s="492"/>
      <c r="P1026" s="819"/>
      <c r="Q1026" s="808"/>
      <c r="R1026" s="808"/>
      <c r="S1026" s="808"/>
      <c r="T1026" s="808"/>
      <c r="U1026" s="808"/>
      <c r="V1026" s="808"/>
      <c r="W1026" s="808"/>
      <c r="X1026" s="808"/>
      <c r="Y1026" s="808"/>
      <c r="Z1026" s="808"/>
      <c r="AA1026" s="808"/>
      <c r="AB1026" s="808"/>
      <c r="AC1026" s="808"/>
      <c r="AD1026" s="808"/>
      <c r="AE1026" s="808"/>
      <c r="AF1026" s="808"/>
      <c r="AG1026" s="808"/>
      <c r="AH1026" s="808"/>
      <c r="AI1026" s="808"/>
      <c r="AJ1026" s="808"/>
      <c r="AK1026" s="808"/>
      <c r="AL1026" s="808"/>
      <c r="AM1026" s="808"/>
      <c r="AN1026" s="808"/>
      <c r="AO1026" s="809"/>
      <c r="AP1026" s="809"/>
      <c r="AQ1026" s="810"/>
      <c r="AR1026" s="810"/>
      <c r="AS1026" s="810"/>
      <c r="AT1026" s="810"/>
      <c r="AU1026" s="810"/>
      <c r="AV1026" s="810"/>
      <c r="AW1026" s="810"/>
      <c r="AX1026" s="810"/>
      <c r="AY1026" s="810"/>
      <c r="AZ1026" s="810"/>
      <c r="BA1026" s="810"/>
      <c r="BB1026" s="810"/>
      <c r="BC1026" s="810"/>
      <c r="BD1026" s="810"/>
      <c r="BE1026" s="810"/>
    </row>
    <row r="1027" spans="1:58" ht="14.25" hidden="1" customHeight="1" outlineLevel="1">
      <c r="A1027" s="260" t="s">
        <v>2374</v>
      </c>
      <c r="B1027" s="415" t="s">
        <v>156</v>
      </c>
      <c r="C1027" s="822">
        <v>0.6</v>
      </c>
      <c r="D1027" s="817"/>
      <c r="E1027" s="817"/>
      <c r="F1027" s="817"/>
      <c r="G1027" s="684"/>
      <c r="H1027" s="818"/>
      <c r="I1027" s="492"/>
      <c r="J1027" s="492"/>
      <c r="K1027" s="492"/>
      <c r="L1027" s="492"/>
      <c r="M1027" s="492"/>
      <c r="N1027" s="492"/>
      <c r="O1027" s="492"/>
      <c r="P1027" s="819"/>
      <c r="Q1027" s="808"/>
      <c r="R1027" s="808"/>
      <c r="S1027" s="808"/>
      <c r="T1027" s="808"/>
      <c r="U1027" s="808"/>
      <c r="V1027" s="808"/>
      <c r="W1027" s="808"/>
      <c r="X1027" s="808"/>
      <c r="Y1027" s="808"/>
      <c r="Z1027" s="808"/>
      <c r="AA1027" s="808"/>
      <c r="AB1027" s="808"/>
      <c r="AC1027" s="808"/>
      <c r="AD1027" s="808"/>
      <c r="AE1027" s="808"/>
      <c r="AF1027" s="808"/>
      <c r="AG1027" s="808"/>
      <c r="AH1027" s="808"/>
      <c r="AI1027" s="808"/>
      <c r="AJ1027" s="808"/>
      <c r="AK1027" s="808"/>
      <c r="AL1027" s="808"/>
      <c r="AM1027" s="808"/>
      <c r="AN1027" s="808"/>
      <c r="AO1027" s="809"/>
      <c r="AP1027" s="809"/>
      <c r="AQ1027" s="810"/>
      <c r="AR1027" s="810"/>
      <c r="AS1027" s="810"/>
      <c r="AT1027" s="810"/>
      <c r="AU1027" s="810"/>
      <c r="AV1027" s="810"/>
      <c r="AW1027" s="810"/>
      <c r="AX1027" s="810"/>
      <c r="AY1027" s="810"/>
      <c r="AZ1027" s="810"/>
      <c r="BA1027" s="810"/>
      <c r="BB1027" s="810"/>
      <c r="BC1027" s="810"/>
      <c r="BD1027" s="810"/>
      <c r="BE1027" s="810"/>
    </row>
    <row r="1028" spans="1:58" ht="14.25" hidden="1" customHeight="1" outlineLevel="1">
      <c r="A1028" s="260" t="s">
        <v>2375</v>
      </c>
      <c r="B1028" s="415" t="s">
        <v>156</v>
      </c>
      <c r="C1028" s="822">
        <v>0.6</v>
      </c>
      <c r="D1028" s="817"/>
      <c r="E1028" s="817"/>
      <c r="F1028" s="817"/>
      <c r="G1028" s="684"/>
      <c r="H1028" s="818"/>
      <c r="I1028" s="492"/>
      <c r="J1028" s="492"/>
      <c r="K1028" s="492"/>
      <c r="L1028" s="492"/>
      <c r="M1028" s="492"/>
      <c r="N1028" s="492"/>
      <c r="O1028" s="492"/>
      <c r="P1028" s="819"/>
      <c r="Q1028" s="808"/>
      <c r="R1028" s="808"/>
      <c r="S1028" s="808"/>
      <c r="T1028" s="808"/>
      <c r="U1028" s="808"/>
      <c r="V1028" s="808"/>
      <c r="W1028" s="808"/>
      <c r="X1028" s="808"/>
      <c r="Y1028" s="808"/>
      <c r="Z1028" s="808"/>
      <c r="AA1028" s="808"/>
      <c r="AB1028" s="808"/>
      <c r="AC1028" s="808"/>
      <c r="AD1028" s="808"/>
      <c r="AE1028" s="808"/>
      <c r="AF1028" s="808"/>
      <c r="AG1028" s="808"/>
      <c r="AH1028" s="808"/>
      <c r="AI1028" s="808"/>
      <c r="AJ1028" s="808"/>
      <c r="AK1028" s="808"/>
      <c r="AL1028" s="808"/>
      <c r="AM1028" s="808"/>
      <c r="AN1028" s="808"/>
      <c r="AO1028" s="809"/>
      <c r="AP1028" s="809"/>
      <c r="AQ1028" s="810"/>
      <c r="AR1028" s="810"/>
      <c r="AS1028" s="810"/>
      <c r="AT1028" s="810"/>
      <c r="AU1028" s="810"/>
      <c r="AV1028" s="810"/>
      <c r="AW1028" s="810"/>
      <c r="AX1028" s="810"/>
      <c r="AY1028" s="810"/>
      <c r="AZ1028" s="810"/>
      <c r="BA1028" s="810"/>
      <c r="BB1028" s="810"/>
      <c r="BC1028" s="810"/>
      <c r="BD1028" s="810"/>
      <c r="BE1028" s="810"/>
    </row>
    <row r="1029" spans="1:58" ht="14.25" hidden="1" customHeight="1" outlineLevel="1">
      <c r="A1029" s="260" t="s">
        <v>2376</v>
      </c>
      <c r="B1029" s="415" t="s">
        <v>156</v>
      </c>
      <c r="C1029" s="822">
        <v>0.6</v>
      </c>
      <c r="D1029" s="817"/>
      <c r="E1029" s="817"/>
      <c r="F1029" s="817"/>
      <c r="G1029" s="684"/>
      <c r="H1029" s="818"/>
      <c r="I1029" s="492"/>
      <c r="J1029" s="492"/>
      <c r="K1029" s="492"/>
      <c r="L1029" s="492"/>
      <c r="M1029" s="492"/>
      <c r="N1029" s="492"/>
      <c r="O1029" s="492"/>
      <c r="P1029" s="819"/>
      <c r="Q1029" s="808"/>
      <c r="R1029" s="808"/>
      <c r="S1029" s="808"/>
      <c r="T1029" s="808"/>
      <c r="U1029" s="808"/>
      <c r="V1029" s="808"/>
      <c r="W1029" s="808"/>
      <c r="X1029" s="808"/>
      <c r="Y1029" s="808"/>
      <c r="Z1029" s="808"/>
      <c r="AA1029" s="808"/>
      <c r="AB1029" s="808"/>
      <c r="AC1029" s="808"/>
      <c r="AD1029" s="808"/>
      <c r="AE1029" s="808"/>
      <c r="AF1029" s="808"/>
      <c r="AG1029" s="808"/>
      <c r="AH1029" s="808"/>
      <c r="AI1029" s="808"/>
      <c r="AJ1029" s="808"/>
      <c r="AK1029" s="808"/>
      <c r="AL1029" s="808"/>
      <c r="AM1029" s="808"/>
      <c r="AN1029" s="808"/>
      <c r="AO1029" s="809"/>
      <c r="AP1029" s="809"/>
      <c r="AQ1029" s="810"/>
      <c r="AR1029" s="810"/>
      <c r="AS1029" s="810"/>
      <c r="AT1029" s="810"/>
      <c r="AU1029" s="810"/>
      <c r="AV1029" s="810"/>
      <c r="AW1029" s="810"/>
      <c r="AX1029" s="810"/>
      <c r="AY1029" s="810"/>
      <c r="AZ1029" s="810"/>
      <c r="BA1029" s="810"/>
      <c r="BB1029" s="810"/>
      <c r="BC1029" s="810"/>
      <c r="BD1029" s="810"/>
      <c r="BE1029" s="810"/>
    </row>
    <row r="1030" spans="1:58" s="364" customFormat="1" ht="14.25" hidden="1" customHeight="1" outlineLevel="1">
      <c r="A1030" s="684" t="s">
        <v>2377</v>
      </c>
      <c r="B1030" s="490"/>
      <c r="C1030" s="823"/>
      <c r="D1030" s="575"/>
      <c r="E1030" s="575"/>
      <c r="F1030" s="575"/>
      <c r="G1030" s="684"/>
      <c r="H1030" s="818"/>
      <c r="I1030" s="492"/>
      <c r="J1030" s="492"/>
      <c r="K1030" s="492"/>
      <c r="L1030" s="492"/>
      <c r="M1030" s="492"/>
      <c r="N1030" s="492"/>
      <c r="O1030" s="492"/>
      <c r="P1030" s="492"/>
      <c r="Q1030" s="617"/>
      <c r="R1030" s="617"/>
      <c r="S1030" s="617"/>
      <c r="T1030" s="617"/>
      <c r="U1030" s="617"/>
      <c r="V1030" s="617"/>
      <c r="W1030" s="617"/>
      <c r="X1030" s="617"/>
      <c r="Y1030" s="617"/>
      <c r="Z1030" s="617"/>
      <c r="AA1030" s="617"/>
      <c r="AB1030" s="617"/>
      <c r="AC1030" s="617"/>
      <c r="AD1030" s="617"/>
      <c r="AE1030" s="617"/>
      <c r="AF1030" s="617"/>
      <c r="AG1030" s="617"/>
      <c r="AH1030" s="617"/>
      <c r="AI1030" s="617"/>
      <c r="AJ1030" s="617"/>
      <c r="AK1030" s="617"/>
      <c r="AL1030" s="617"/>
      <c r="AM1030" s="617"/>
      <c r="AN1030" s="617"/>
      <c r="AO1030" s="680"/>
      <c r="AP1030" s="680"/>
      <c r="AQ1030" s="803"/>
      <c r="AR1030" s="803"/>
      <c r="AS1030" s="803"/>
      <c r="AT1030" s="803"/>
      <c r="AU1030" s="803"/>
      <c r="AV1030" s="803"/>
      <c r="AW1030" s="803"/>
      <c r="AX1030" s="803"/>
      <c r="AY1030" s="803"/>
      <c r="AZ1030" s="803"/>
      <c r="BA1030" s="803"/>
      <c r="BB1030" s="803"/>
      <c r="BC1030" s="803"/>
      <c r="BD1030" s="803"/>
      <c r="BE1030" s="803"/>
      <c r="BF1030" s="368"/>
    </row>
    <row r="1031" spans="1:58" ht="14.25" hidden="1" customHeight="1" outlineLevel="1">
      <c r="A1031" s="711" t="s">
        <v>521</v>
      </c>
      <c r="C1031" s="684"/>
      <c r="D1031" s="3128" t="s">
        <v>2378</v>
      </c>
      <c r="E1031" s="3128"/>
      <c r="F1031" s="3128"/>
      <c r="G1031" s="3128"/>
      <c r="H1031" s="3128"/>
      <c r="I1031" s="3128"/>
      <c r="J1031" s="824"/>
      <c r="K1031" s="824"/>
      <c r="L1031" s="824"/>
      <c r="M1031" s="824"/>
      <c r="N1031" s="824"/>
      <c r="O1031" s="824"/>
      <c r="P1031" s="825"/>
      <c r="Q1031" s="808"/>
      <c r="R1031" s="808"/>
      <c r="S1031" s="808"/>
      <c r="T1031" s="808"/>
      <c r="U1031" s="808"/>
      <c r="V1031" s="808"/>
      <c r="W1031" s="808"/>
      <c r="X1031" s="808"/>
      <c r="Y1031" s="808"/>
      <c r="Z1031" s="808"/>
      <c r="AA1031" s="808"/>
      <c r="AB1031" s="808"/>
      <c r="AC1031" s="808"/>
      <c r="AD1031" s="808"/>
      <c r="AE1031" s="808"/>
      <c r="AF1031" s="808"/>
      <c r="AG1031" s="808"/>
      <c r="AH1031" s="808"/>
      <c r="AI1031" s="808"/>
      <c r="AJ1031" s="808"/>
      <c r="AK1031" s="808"/>
      <c r="AL1031" s="808"/>
      <c r="AM1031" s="808"/>
      <c r="AN1031" s="808"/>
      <c r="AO1031" s="809"/>
      <c r="AP1031" s="809"/>
      <c r="AQ1031" s="810"/>
      <c r="AR1031" s="810"/>
      <c r="AS1031" s="810"/>
      <c r="AT1031" s="810"/>
      <c r="AU1031" s="810"/>
      <c r="AV1031" s="810"/>
      <c r="AW1031" s="810"/>
      <c r="AX1031" s="810"/>
      <c r="AY1031" s="810"/>
      <c r="AZ1031" s="810"/>
      <c r="BA1031" s="810"/>
      <c r="BB1031" s="810"/>
      <c r="BC1031" s="810"/>
      <c r="BD1031" s="810"/>
      <c r="BE1031" s="810"/>
    </row>
    <row r="1032" spans="1:58" s="364" customFormat="1" ht="14.25" hidden="1" customHeight="1" outlineLevel="1">
      <c r="A1032" s="684" t="s">
        <v>2379</v>
      </c>
      <c r="B1032" s="684"/>
      <c r="C1032" s="684"/>
      <c r="D1032" s="3129" t="s">
        <v>493</v>
      </c>
      <c r="E1032" s="3129"/>
      <c r="F1032" s="3129"/>
      <c r="G1032" s="3129"/>
      <c r="H1032" s="3129"/>
      <c r="I1032" s="3129"/>
      <c r="J1032" s="826" t="s">
        <v>2380</v>
      </c>
      <c r="K1032" s="827"/>
      <c r="L1032" s="828"/>
      <c r="M1032" s="829"/>
      <c r="N1032" s="828"/>
      <c r="O1032" s="829"/>
      <c r="P1032" s="830">
        <v>0.4</v>
      </c>
      <c r="Q1032" s="617"/>
      <c r="R1032" s="617"/>
      <c r="S1032" s="617"/>
      <c r="T1032" s="617"/>
      <c r="U1032" s="617"/>
      <c r="V1032" s="617"/>
      <c r="W1032" s="617"/>
      <c r="X1032" s="617"/>
      <c r="Y1032" s="617"/>
      <c r="Z1032" s="617"/>
      <c r="AA1032" s="617"/>
      <c r="AB1032" s="617"/>
      <c r="AC1032" s="617"/>
      <c r="AD1032" s="617"/>
      <c r="AE1032" s="617"/>
      <c r="AF1032" s="617"/>
      <c r="AG1032" s="617"/>
      <c r="AH1032" s="617"/>
      <c r="AI1032" s="617"/>
      <c r="AJ1032" s="617"/>
      <c r="AK1032" s="617"/>
      <c r="AL1032" s="617"/>
      <c r="AM1032" s="617"/>
      <c r="AN1032" s="617"/>
      <c r="AO1032" s="680"/>
      <c r="AP1032" s="680"/>
      <c r="AQ1032" s="803"/>
      <c r="AR1032" s="803"/>
      <c r="AS1032" s="803"/>
      <c r="AT1032" s="803"/>
      <c r="AU1032" s="803"/>
      <c r="AV1032" s="803"/>
      <c r="AW1032" s="803"/>
      <c r="AX1032" s="803"/>
      <c r="AY1032" s="803"/>
      <c r="AZ1032" s="803"/>
      <c r="BA1032" s="803"/>
      <c r="BB1032" s="803"/>
      <c r="BC1032" s="803"/>
      <c r="BD1032" s="803"/>
      <c r="BE1032" s="803"/>
      <c r="BF1032" s="368"/>
    </row>
    <row r="1033" spans="1:58" ht="14.25" hidden="1" customHeight="1" outlineLevel="1">
      <c r="A1033" s="711" t="s">
        <v>519</v>
      </c>
      <c r="C1033" s="684"/>
      <c r="D1033" s="3130" t="s">
        <v>2381</v>
      </c>
      <c r="E1033" s="3130"/>
      <c r="F1033" s="3130"/>
      <c r="G1033" s="3130"/>
      <c r="H1033" s="3130"/>
      <c r="I1033" s="3130"/>
      <c r="J1033" s="824"/>
      <c r="K1033" s="824"/>
      <c r="L1033" s="824"/>
      <c r="M1033" s="824"/>
      <c r="N1033" s="824"/>
      <c r="O1033" s="824"/>
      <c r="P1033" s="825"/>
      <c r="Q1033" s="808"/>
      <c r="R1033" s="808"/>
      <c r="S1033" s="808"/>
      <c r="T1033" s="808"/>
      <c r="U1033" s="808"/>
      <c r="V1033" s="808"/>
      <c r="W1033" s="808"/>
      <c r="X1033" s="808"/>
      <c r="Y1033" s="808"/>
      <c r="Z1033" s="808"/>
      <c r="AA1033" s="808"/>
      <c r="AB1033" s="808"/>
      <c r="AC1033" s="808"/>
      <c r="AD1033" s="808"/>
      <c r="AE1033" s="808"/>
      <c r="AF1033" s="808"/>
      <c r="AG1033" s="808"/>
      <c r="AH1033" s="808"/>
      <c r="AI1033" s="808"/>
      <c r="AJ1033" s="808"/>
      <c r="AK1033" s="808"/>
      <c r="AL1033" s="808"/>
      <c r="AM1033" s="808"/>
      <c r="AN1033" s="808"/>
      <c r="AO1033" s="809"/>
      <c r="AP1033" s="809"/>
      <c r="AQ1033" s="810"/>
      <c r="AR1033" s="810"/>
      <c r="AS1033" s="810"/>
      <c r="AT1033" s="810"/>
      <c r="AU1033" s="810"/>
      <c r="AV1033" s="810"/>
      <c r="AW1033" s="810"/>
      <c r="AX1033" s="810"/>
      <c r="AY1033" s="810"/>
      <c r="AZ1033" s="810"/>
      <c r="BA1033" s="810"/>
      <c r="BB1033" s="810"/>
      <c r="BC1033" s="810"/>
      <c r="BD1033" s="810"/>
      <c r="BE1033" s="810"/>
    </row>
    <row r="1034" spans="1:58" s="364" customFormat="1" ht="14.25" hidden="1" customHeight="1" outlineLevel="1">
      <c r="A1034" s="684" t="s">
        <v>2248</v>
      </c>
      <c r="B1034" s="684"/>
      <c r="C1034" s="684"/>
      <c r="D1034" s="3129" t="s">
        <v>493</v>
      </c>
      <c r="E1034" s="3129"/>
      <c r="F1034" s="3129"/>
      <c r="G1034" s="3129"/>
      <c r="H1034" s="3129"/>
      <c r="I1034" s="3129"/>
      <c r="J1034" s="824"/>
      <c r="K1034" s="824"/>
      <c r="L1034" s="824"/>
      <c r="M1034" s="824"/>
      <c r="N1034" s="824"/>
      <c r="O1034" s="824"/>
      <c r="P1034" s="824"/>
      <c r="Q1034" s="617"/>
      <c r="R1034" s="617"/>
      <c r="S1034" s="617"/>
      <c r="T1034" s="617"/>
      <c r="U1034" s="617"/>
      <c r="V1034" s="617"/>
      <c r="W1034" s="617"/>
      <c r="X1034" s="617"/>
      <c r="Y1034" s="617"/>
      <c r="Z1034" s="617"/>
      <c r="AA1034" s="617"/>
      <c r="AB1034" s="617"/>
      <c r="AC1034" s="617"/>
      <c r="AD1034" s="617"/>
      <c r="AE1034" s="617"/>
      <c r="AF1034" s="617"/>
      <c r="AG1034" s="617"/>
      <c r="AH1034" s="617"/>
      <c r="AI1034" s="617"/>
      <c r="AJ1034" s="617"/>
      <c r="AK1034" s="617"/>
      <c r="AL1034" s="617"/>
      <c r="AM1034" s="617"/>
      <c r="AN1034" s="617"/>
      <c r="AO1034" s="680"/>
      <c r="AP1034" s="680"/>
      <c r="AQ1034" s="803"/>
      <c r="AR1034" s="803"/>
      <c r="AS1034" s="803"/>
      <c r="AT1034" s="803"/>
      <c r="AU1034" s="803"/>
      <c r="AV1034" s="803"/>
      <c r="AW1034" s="803"/>
      <c r="AX1034" s="803"/>
      <c r="AY1034" s="803"/>
      <c r="AZ1034" s="803"/>
      <c r="BA1034" s="803"/>
      <c r="BB1034" s="803"/>
      <c r="BC1034" s="803"/>
      <c r="BD1034" s="803"/>
      <c r="BE1034" s="803"/>
      <c r="BF1034" s="368"/>
    </row>
    <row r="1035" spans="1:58" ht="14.25" hidden="1" customHeight="1" outlineLevel="1">
      <c r="A1035" s="711" t="s">
        <v>526</v>
      </c>
      <c r="C1035" s="684"/>
      <c r="D1035" s="3081" t="s">
        <v>2382</v>
      </c>
      <c r="E1035" s="3081"/>
      <c r="F1035" s="3081"/>
      <c r="G1035" s="3081"/>
      <c r="H1035" s="3081"/>
      <c r="I1035" s="3081"/>
      <c r="J1035" s="824"/>
      <c r="K1035" s="824"/>
      <c r="L1035" s="824"/>
      <c r="M1035" s="824"/>
      <c r="N1035" s="824"/>
      <c r="O1035" s="824"/>
      <c r="P1035" s="825"/>
      <c r="Q1035" s="808"/>
      <c r="R1035" s="808"/>
      <c r="S1035" s="808"/>
      <c r="T1035" s="808"/>
      <c r="U1035" s="808"/>
      <c r="V1035" s="808"/>
      <c r="W1035" s="808"/>
      <c r="X1035" s="808"/>
      <c r="Y1035" s="808"/>
      <c r="Z1035" s="808"/>
      <c r="AA1035" s="808"/>
      <c r="AB1035" s="808"/>
      <c r="AC1035" s="808"/>
      <c r="AD1035" s="808"/>
      <c r="AE1035" s="808"/>
      <c r="AF1035" s="808"/>
      <c r="AG1035" s="808"/>
      <c r="AH1035" s="808"/>
      <c r="AI1035" s="808"/>
      <c r="AJ1035" s="808"/>
      <c r="AK1035" s="808"/>
      <c r="AL1035" s="808"/>
      <c r="AM1035" s="808"/>
      <c r="AN1035" s="808"/>
      <c r="AO1035" s="809"/>
      <c r="AP1035" s="809"/>
      <c r="AQ1035" s="810"/>
      <c r="AR1035" s="810"/>
      <c r="AS1035" s="810"/>
      <c r="AT1035" s="810"/>
      <c r="AU1035" s="810"/>
      <c r="AV1035" s="810"/>
      <c r="AW1035" s="810"/>
      <c r="AX1035" s="810"/>
      <c r="AY1035" s="810"/>
      <c r="AZ1035" s="810"/>
      <c r="BA1035" s="810"/>
      <c r="BB1035" s="810"/>
      <c r="BC1035" s="810"/>
      <c r="BD1035" s="810"/>
      <c r="BE1035" s="810"/>
    </row>
    <row r="1036" spans="1:58" s="364" customFormat="1" ht="14.25" hidden="1" customHeight="1" outlineLevel="1">
      <c r="A1036" s="478" t="s">
        <v>2234</v>
      </c>
      <c r="B1036" s="373"/>
      <c r="C1036" s="684"/>
      <c r="D1036" s="3079" t="s">
        <v>493</v>
      </c>
      <c r="E1036" s="3079"/>
      <c r="F1036" s="3079"/>
      <c r="G1036" s="3079"/>
      <c r="H1036" s="3079"/>
      <c r="I1036" s="3079"/>
      <c r="J1036" s="824"/>
      <c r="K1036" s="824"/>
      <c r="L1036" s="824"/>
      <c r="M1036" s="824"/>
      <c r="N1036" s="824"/>
      <c r="O1036" s="824"/>
      <c r="P1036" s="824"/>
      <c r="Q1036" s="617"/>
      <c r="R1036" s="617"/>
      <c r="S1036" s="617"/>
      <c r="T1036" s="617"/>
      <c r="U1036" s="617"/>
      <c r="V1036" s="617"/>
      <c r="W1036" s="617"/>
      <c r="X1036" s="617"/>
      <c r="Y1036" s="617"/>
      <c r="Z1036" s="617"/>
      <c r="AA1036" s="617"/>
      <c r="AB1036" s="617"/>
      <c r="AC1036" s="617"/>
      <c r="AD1036" s="617"/>
      <c r="AE1036" s="617"/>
      <c r="AF1036" s="617"/>
      <c r="AG1036" s="617"/>
      <c r="AH1036" s="617"/>
      <c r="AI1036" s="617"/>
      <c r="AJ1036" s="617"/>
      <c r="AK1036" s="617"/>
      <c r="AL1036" s="617"/>
      <c r="AM1036" s="617"/>
      <c r="AN1036" s="617"/>
      <c r="AO1036" s="680"/>
      <c r="AP1036" s="680"/>
      <c r="AQ1036" s="803"/>
      <c r="AR1036" s="803"/>
      <c r="AS1036" s="803"/>
      <c r="AT1036" s="803"/>
      <c r="AU1036" s="803"/>
      <c r="AV1036" s="803"/>
      <c r="AW1036" s="803"/>
      <c r="AX1036" s="803"/>
      <c r="AY1036" s="803"/>
      <c r="AZ1036" s="803"/>
      <c r="BA1036" s="803"/>
      <c r="BB1036" s="803"/>
      <c r="BC1036" s="803"/>
      <c r="BD1036" s="803"/>
      <c r="BE1036" s="803"/>
      <c r="BF1036" s="368"/>
    </row>
    <row r="1037" spans="1:58" ht="14.25" hidden="1" customHeight="1" outlineLevel="1">
      <c r="A1037" s="711" t="s">
        <v>294</v>
      </c>
      <c r="B1037" s="490"/>
      <c r="C1037" s="684"/>
      <c r="D1037" s="3130" t="s">
        <v>2383</v>
      </c>
      <c r="E1037" s="3130"/>
      <c r="F1037" s="3130"/>
      <c r="G1037" s="3130"/>
      <c r="H1037" s="3130"/>
      <c r="I1037" s="3130"/>
      <c r="J1037" s="492"/>
      <c r="K1037" s="492"/>
      <c r="L1037" s="492"/>
      <c r="M1037" s="492"/>
      <c r="N1037" s="492"/>
      <c r="O1037" s="492"/>
      <c r="P1037" s="819"/>
      <c r="Q1037" s="808"/>
      <c r="R1037" s="808"/>
      <c r="S1037" s="808"/>
      <c r="T1037" s="808"/>
      <c r="U1037" s="808"/>
      <c r="V1037" s="808"/>
      <c r="W1037" s="808"/>
      <c r="X1037" s="808"/>
      <c r="Y1037" s="808"/>
      <c r="Z1037" s="808"/>
      <c r="AA1037" s="808"/>
      <c r="AB1037" s="808"/>
      <c r="AC1037" s="808"/>
      <c r="AD1037" s="808"/>
      <c r="AE1037" s="808"/>
      <c r="AF1037" s="808"/>
      <c r="AG1037" s="808"/>
      <c r="AH1037" s="808"/>
      <c r="AI1037" s="808"/>
      <c r="AJ1037" s="808"/>
      <c r="AK1037" s="808"/>
      <c r="AL1037" s="808"/>
      <c r="AM1037" s="808"/>
      <c r="AN1037" s="808"/>
      <c r="AO1037" s="809"/>
      <c r="AP1037" s="809"/>
      <c r="AQ1037" s="810"/>
      <c r="AR1037" s="810"/>
      <c r="AS1037" s="810"/>
      <c r="AT1037" s="810"/>
      <c r="AU1037" s="810"/>
      <c r="AV1037" s="810"/>
      <c r="AW1037" s="810"/>
      <c r="AX1037" s="810"/>
      <c r="AY1037" s="810"/>
      <c r="AZ1037" s="810"/>
      <c r="BA1037" s="810"/>
      <c r="BB1037" s="810"/>
      <c r="BC1037" s="810"/>
      <c r="BD1037" s="810"/>
      <c r="BE1037" s="810"/>
    </row>
    <row r="1038" spans="1:58" s="364" customFormat="1" ht="14.25" hidden="1" customHeight="1" outlineLevel="1">
      <c r="A1038" s="478" t="s">
        <v>2384</v>
      </c>
      <c r="B1038" s="490"/>
      <c r="C1038" s="684"/>
      <c r="D1038" s="3129" t="s">
        <v>493</v>
      </c>
      <c r="E1038" s="3129"/>
      <c r="F1038" s="3129"/>
      <c r="G1038" s="3129"/>
      <c r="H1038" s="3129"/>
      <c r="I1038" s="3129"/>
      <c r="J1038" s="492"/>
      <c r="K1038" s="492"/>
      <c r="L1038" s="492"/>
      <c r="M1038" s="492"/>
      <c r="N1038" s="492"/>
      <c r="O1038" s="492"/>
      <c r="P1038" s="492"/>
      <c r="Q1038" s="617"/>
      <c r="R1038" s="617"/>
      <c r="S1038" s="617"/>
      <c r="T1038" s="617"/>
      <c r="U1038" s="617"/>
      <c r="V1038" s="617"/>
      <c r="W1038" s="617"/>
      <c r="X1038" s="617"/>
      <c r="Y1038" s="617"/>
      <c r="Z1038" s="617"/>
      <c r="AA1038" s="617"/>
      <c r="AB1038" s="617"/>
      <c r="AC1038" s="617"/>
      <c r="AD1038" s="617"/>
      <c r="AE1038" s="617"/>
      <c r="AF1038" s="617"/>
      <c r="AG1038" s="617"/>
      <c r="AH1038" s="617"/>
      <c r="AI1038" s="617"/>
      <c r="AJ1038" s="617"/>
      <c r="AK1038" s="617"/>
      <c r="AL1038" s="617"/>
      <c r="AM1038" s="617"/>
      <c r="AN1038" s="617"/>
      <c r="AO1038" s="680"/>
      <c r="AP1038" s="680"/>
      <c r="AQ1038" s="803"/>
      <c r="AR1038" s="803"/>
      <c r="AS1038" s="803"/>
      <c r="AT1038" s="803"/>
      <c r="AU1038" s="803"/>
      <c r="AV1038" s="803"/>
      <c r="AW1038" s="803"/>
      <c r="AX1038" s="803"/>
      <c r="AY1038" s="803"/>
      <c r="AZ1038" s="803"/>
      <c r="BA1038" s="803"/>
      <c r="BB1038" s="803"/>
      <c r="BC1038" s="803"/>
      <c r="BD1038" s="803"/>
      <c r="BE1038" s="803"/>
      <c r="BF1038" s="368"/>
    </row>
    <row r="1039" spans="1:58" ht="14.25" hidden="1" customHeight="1" outlineLevel="1">
      <c r="A1039" s="820" t="s">
        <v>294</v>
      </c>
      <c r="B1039" s="490"/>
      <c r="C1039" s="684"/>
      <c r="D1039" s="3081" t="s">
        <v>2385</v>
      </c>
      <c r="E1039" s="3081"/>
      <c r="F1039" s="3081"/>
      <c r="G1039" s="3081"/>
      <c r="H1039" s="3081"/>
      <c r="I1039" s="3081"/>
      <c r="J1039" s="492"/>
      <c r="K1039" s="492"/>
      <c r="L1039" s="492"/>
      <c r="M1039" s="492"/>
      <c r="N1039" s="492"/>
      <c r="O1039" s="492"/>
      <c r="P1039" s="819"/>
      <c r="Q1039" s="808"/>
      <c r="R1039" s="808"/>
      <c r="S1039" s="808"/>
      <c r="T1039" s="808"/>
      <c r="U1039" s="808"/>
      <c r="V1039" s="808"/>
      <c r="W1039" s="808"/>
      <c r="X1039" s="808"/>
      <c r="Y1039" s="808"/>
      <c r="Z1039" s="808"/>
      <c r="AA1039" s="808"/>
      <c r="AB1039" s="808"/>
      <c r="AC1039" s="808"/>
      <c r="AD1039" s="808"/>
      <c r="AE1039" s="808"/>
      <c r="AF1039" s="808"/>
      <c r="AG1039" s="808"/>
      <c r="AH1039" s="808"/>
      <c r="AI1039" s="808"/>
      <c r="AJ1039" s="808"/>
      <c r="AK1039" s="808"/>
      <c r="AL1039" s="808"/>
      <c r="AM1039" s="808"/>
      <c r="AN1039" s="808"/>
      <c r="AO1039" s="809"/>
      <c r="AP1039" s="809"/>
      <c r="AQ1039" s="810"/>
      <c r="AR1039" s="810"/>
      <c r="AS1039" s="810"/>
      <c r="AT1039" s="810"/>
      <c r="AU1039" s="810"/>
      <c r="AV1039" s="810"/>
      <c r="AW1039" s="810"/>
      <c r="AX1039" s="810"/>
      <c r="AY1039" s="810"/>
      <c r="AZ1039" s="810"/>
      <c r="BA1039" s="810"/>
      <c r="BB1039" s="810"/>
      <c r="BC1039" s="810"/>
      <c r="BD1039" s="810"/>
      <c r="BE1039" s="810"/>
    </row>
    <row r="1040" spans="1:58" ht="14.25" hidden="1" customHeight="1" outlineLevel="1">
      <c r="A1040" s="498" t="s">
        <v>2062</v>
      </c>
      <c r="B1040" s="490"/>
      <c r="C1040" s="684"/>
      <c r="D1040" s="3079" t="s">
        <v>493</v>
      </c>
      <c r="E1040" s="3079"/>
      <c r="F1040" s="3079"/>
      <c r="G1040" s="3079"/>
      <c r="H1040" s="3079"/>
      <c r="I1040" s="3079"/>
      <c r="J1040" s="492"/>
      <c r="K1040" s="492"/>
      <c r="L1040" s="492"/>
      <c r="M1040" s="492"/>
      <c r="N1040" s="492"/>
      <c r="O1040" s="492"/>
      <c r="P1040" s="819"/>
      <c r="Q1040" s="808"/>
      <c r="R1040" s="808"/>
      <c r="S1040" s="808"/>
      <c r="T1040" s="808"/>
      <c r="U1040" s="808"/>
      <c r="V1040" s="808"/>
      <c r="W1040" s="808"/>
      <c r="X1040" s="808"/>
      <c r="Y1040" s="808"/>
      <c r="Z1040" s="808"/>
      <c r="AA1040" s="808"/>
      <c r="AB1040" s="808"/>
      <c r="AC1040" s="808"/>
      <c r="AD1040" s="808"/>
      <c r="AE1040" s="808"/>
      <c r="AF1040" s="808"/>
      <c r="AG1040" s="808"/>
      <c r="AH1040" s="808"/>
      <c r="AI1040" s="808"/>
      <c r="AJ1040" s="808"/>
      <c r="AK1040" s="808"/>
      <c r="AL1040" s="808"/>
      <c r="AM1040" s="808"/>
      <c r="AN1040" s="808"/>
      <c r="AO1040" s="809"/>
      <c r="AP1040" s="809"/>
      <c r="AQ1040" s="810"/>
      <c r="AR1040" s="810"/>
      <c r="AS1040" s="810"/>
      <c r="AT1040" s="810"/>
      <c r="AU1040" s="810"/>
      <c r="AV1040" s="810"/>
      <c r="AW1040" s="810"/>
      <c r="AX1040" s="810"/>
      <c r="AY1040" s="810"/>
      <c r="AZ1040" s="810"/>
      <c r="BA1040" s="810"/>
      <c r="BB1040" s="810"/>
      <c r="BC1040" s="810"/>
      <c r="BD1040" s="810"/>
      <c r="BE1040" s="810"/>
    </row>
    <row r="1041" spans="1:58" ht="14.25" hidden="1" customHeight="1" outlineLevel="1">
      <c r="A1041" s="831" t="s">
        <v>493</v>
      </c>
      <c r="B1041" s="490"/>
      <c r="C1041" s="684"/>
      <c r="D1041" s="817"/>
      <c r="E1041" s="817"/>
      <c r="F1041" s="817"/>
      <c r="G1041" s="684"/>
      <c r="H1041" s="516"/>
      <c r="I1041" s="492"/>
      <c r="J1041" s="492"/>
      <c r="K1041" s="492"/>
      <c r="L1041" s="492"/>
      <c r="M1041" s="492"/>
      <c r="N1041" s="492"/>
      <c r="O1041" s="492"/>
      <c r="P1041" s="819"/>
      <c r="Q1041" s="808"/>
      <c r="R1041" s="808"/>
      <c r="S1041" s="808"/>
      <c r="T1041" s="808"/>
      <c r="U1041" s="808"/>
      <c r="V1041" s="808"/>
      <c r="W1041" s="808"/>
      <c r="X1041" s="808"/>
      <c r="Y1041" s="808"/>
      <c r="Z1041" s="808"/>
      <c r="AA1041" s="808"/>
      <c r="AB1041" s="808"/>
      <c r="AC1041" s="808"/>
      <c r="AD1041" s="808"/>
      <c r="AE1041" s="808"/>
      <c r="AF1041" s="808"/>
      <c r="AG1041" s="808"/>
      <c r="AH1041" s="808"/>
      <c r="AI1041" s="808"/>
      <c r="AJ1041" s="808"/>
      <c r="AK1041" s="808"/>
      <c r="AL1041" s="808"/>
      <c r="AM1041" s="808"/>
      <c r="AN1041" s="808"/>
      <c r="AO1041" s="809"/>
      <c r="AP1041" s="809"/>
      <c r="AQ1041" s="810"/>
      <c r="AR1041" s="810"/>
      <c r="AS1041" s="810"/>
      <c r="AT1041" s="810"/>
      <c r="AU1041" s="810"/>
      <c r="AV1041" s="810"/>
      <c r="AW1041" s="810"/>
      <c r="AX1041" s="810"/>
      <c r="AY1041" s="810"/>
      <c r="AZ1041" s="810"/>
      <c r="BA1041" s="810"/>
      <c r="BB1041" s="810"/>
      <c r="BC1041" s="810"/>
      <c r="BD1041" s="810"/>
      <c r="BE1041" s="810"/>
    </row>
    <row r="1042" spans="1:58" ht="14.25" hidden="1" customHeight="1" outlineLevel="1">
      <c r="A1042" s="498" t="s">
        <v>2368</v>
      </c>
      <c r="B1042" s="490"/>
      <c r="C1042" s="684"/>
      <c r="D1042" s="817"/>
      <c r="E1042" s="817"/>
      <c r="F1042" s="817"/>
      <c r="G1042" s="684"/>
      <c r="H1042" s="516"/>
      <c r="I1042" s="492"/>
      <c r="J1042" s="492"/>
      <c r="K1042" s="492"/>
      <c r="L1042" s="492"/>
      <c r="M1042" s="492"/>
      <c r="N1042" s="492"/>
      <c r="O1042" s="492"/>
      <c r="P1042" s="819"/>
      <c r="Q1042" s="808"/>
      <c r="R1042" s="808"/>
      <c r="S1042" s="808"/>
      <c r="T1042" s="808"/>
      <c r="U1042" s="808"/>
      <c r="V1042" s="808"/>
      <c r="W1042" s="808"/>
      <c r="X1042" s="808"/>
      <c r="Y1042" s="808"/>
      <c r="Z1042" s="808"/>
      <c r="AA1042" s="808"/>
      <c r="AB1042" s="808"/>
      <c r="AC1042" s="808"/>
      <c r="AD1042" s="808"/>
      <c r="AE1042" s="808"/>
      <c r="AF1042" s="808"/>
      <c r="AG1042" s="808"/>
      <c r="AH1042" s="808"/>
      <c r="AI1042" s="808"/>
      <c r="AJ1042" s="808"/>
      <c r="AK1042" s="808"/>
      <c r="AL1042" s="808"/>
      <c r="AM1042" s="808"/>
      <c r="AN1042" s="808"/>
      <c r="AO1042" s="809"/>
      <c r="AP1042" s="809"/>
      <c r="AQ1042" s="810"/>
      <c r="AR1042" s="810"/>
      <c r="AS1042" s="810"/>
      <c r="AT1042" s="810"/>
      <c r="AU1042" s="810"/>
      <c r="AV1042" s="810"/>
      <c r="AW1042" s="810"/>
      <c r="AX1042" s="810"/>
      <c r="AY1042" s="810"/>
      <c r="AZ1042" s="810"/>
      <c r="BA1042" s="810"/>
      <c r="BB1042" s="810"/>
      <c r="BC1042" s="810"/>
      <c r="BD1042" s="810"/>
      <c r="BE1042" s="810"/>
    </row>
    <row r="1043" spans="1:58" ht="14.25" hidden="1" customHeight="1" outlineLevel="1">
      <c r="A1043" s="445" t="s">
        <v>493</v>
      </c>
      <c r="B1043" s="490"/>
      <c r="C1043" s="684"/>
      <c r="D1043" s="817"/>
      <c r="E1043" s="817"/>
      <c r="F1043" s="817"/>
      <c r="G1043" s="684"/>
      <c r="H1043" s="516"/>
      <c r="I1043" s="492"/>
      <c r="J1043" s="492"/>
      <c r="K1043" s="492"/>
      <c r="L1043" s="492"/>
      <c r="M1043" s="492"/>
      <c r="N1043" s="492"/>
      <c r="O1043" s="492"/>
      <c r="P1043" s="819"/>
      <c r="Q1043" s="808"/>
      <c r="R1043" s="808"/>
      <c r="S1043" s="808"/>
      <c r="T1043" s="808"/>
      <c r="U1043" s="808"/>
      <c r="V1043" s="808"/>
      <c r="W1043" s="808"/>
      <c r="X1043" s="808"/>
      <c r="Y1043" s="808"/>
      <c r="Z1043" s="808"/>
      <c r="AA1043" s="808"/>
      <c r="AB1043" s="808"/>
      <c r="AC1043" s="808"/>
      <c r="AD1043" s="808"/>
      <c r="AE1043" s="808"/>
      <c r="AF1043" s="808"/>
      <c r="AG1043" s="808"/>
      <c r="AH1043" s="808"/>
      <c r="AI1043" s="808"/>
      <c r="AJ1043" s="808"/>
      <c r="AK1043" s="808"/>
      <c r="AL1043" s="808"/>
      <c r="AM1043" s="808"/>
      <c r="AN1043" s="808"/>
      <c r="AO1043" s="809"/>
      <c r="AP1043" s="809"/>
      <c r="AQ1043" s="810"/>
      <c r="AR1043" s="810"/>
      <c r="AS1043" s="810"/>
      <c r="AT1043" s="810"/>
      <c r="AU1043" s="810"/>
      <c r="AV1043" s="810"/>
      <c r="AW1043" s="810"/>
      <c r="AX1043" s="810"/>
      <c r="AY1043" s="810"/>
      <c r="AZ1043" s="810"/>
      <c r="BA1043" s="810"/>
      <c r="BB1043" s="810"/>
      <c r="BC1043" s="810"/>
      <c r="BD1043" s="810"/>
      <c r="BE1043" s="810"/>
    </row>
    <row r="1044" spans="1:58" ht="14.25" hidden="1" customHeight="1" outlineLevel="1">
      <c r="A1044" s="498" t="s">
        <v>2386</v>
      </c>
      <c r="B1044" s="684"/>
      <c r="D1044" s="817"/>
      <c r="E1044" s="817"/>
      <c r="F1044" s="817"/>
      <c r="G1044" s="684"/>
      <c r="H1044" s="516"/>
      <c r="I1044" s="492"/>
      <c r="J1044" s="492"/>
      <c r="K1044" s="492"/>
      <c r="L1044" s="492"/>
      <c r="M1044" s="492"/>
      <c r="N1044" s="492"/>
      <c r="O1044" s="492"/>
      <c r="P1044" s="819"/>
      <c r="Q1044" s="808"/>
      <c r="R1044" s="808"/>
      <c r="S1044" s="808"/>
      <c r="T1044" s="808"/>
      <c r="U1044" s="808"/>
      <c r="V1044" s="808"/>
      <c r="W1044" s="808"/>
      <c r="X1044" s="808"/>
      <c r="Y1044" s="808"/>
      <c r="Z1044" s="808"/>
      <c r="AA1044" s="808"/>
      <c r="AB1044" s="808"/>
      <c r="AC1044" s="808"/>
      <c r="AD1044" s="808"/>
      <c r="AE1044" s="808"/>
      <c r="AF1044" s="808"/>
      <c r="AG1044" s="808"/>
      <c r="AH1044" s="808"/>
      <c r="AI1044" s="808"/>
      <c r="AJ1044" s="808"/>
      <c r="AK1044" s="808"/>
      <c r="AL1044" s="808"/>
      <c r="AM1044" s="808"/>
      <c r="AN1044" s="808"/>
      <c r="AO1044" s="809"/>
      <c r="AP1044" s="809"/>
      <c r="AQ1044" s="810"/>
      <c r="AR1044" s="810"/>
      <c r="AS1044" s="810"/>
      <c r="AT1044" s="810"/>
      <c r="AU1044" s="810"/>
      <c r="AV1044" s="810"/>
      <c r="AW1044" s="810"/>
      <c r="AX1044" s="810"/>
      <c r="AY1044" s="810"/>
      <c r="AZ1044" s="810"/>
      <c r="BA1044" s="810"/>
      <c r="BB1044" s="810"/>
      <c r="BC1044" s="810"/>
      <c r="BD1044" s="810"/>
      <c r="BE1044" s="810"/>
    </row>
    <row r="1045" spans="1:58" ht="14.25" hidden="1" customHeight="1" outlineLevel="1">
      <c r="A1045" s="445" t="s">
        <v>493</v>
      </c>
      <c r="B1045" s="490"/>
      <c r="C1045" s="684"/>
      <c r="D1045" s="817"/>
      <c r="E1045" s="817"/>
      <c r="F1045" s="817"/>
      <c r="G1045" s="684"/>
      <c r="H1045" s="516"/>
      <c r="I1045" s="492"/>
      <c r="J1045" s="492"/>
      <c r="K1045" s="492"/>
      <c r="L1045" s="492"/>
      <c r="M1045" s="492"/>
      <c r="N1045" s="492"/>
      <c r="O1045" s="492"/>
      <c r="P1045" s="819"/>
      <c r="Q1045" s="808"/>
      <c r="R1045" s="808"/>
      <c r="S1045" s="808"/>
      <c r="T1045" s="808"/>
      <c r="U1045" s="808"/>
      <c r="V1045" s="808"/>
      <c r="W1045" s="808"/>
      <c r="X1045" s="808"/>
      <c r="Y1045" s="808"/>
      <c r="Z1045" s="808"/>
      <c r="AA1045" s="808"/>
      <c r="AB1045" s="808"/>
      <c r="AC1045" s="808"/>
      <c r="AD1045" s="808"/>
      <c r="AE1045" s="808"/>
      <c r="AF1045" s="808"/>
      <c r="AG1045" s="808"/>
      <c r="AH1045" s="808"/>
      <c r="AI1045" s="808"/>
      <c r="AJ1045" s="808"/>
      <c r="AK1045" s="808"/>
      <c r="AL1045" s="808"/>
      <c r="AM1045" s="808"/>
      <c r="AN1045" s="808"/>
      <c r="AO1045" s="809"/>
      <c r="AP1045" s="809"/>
      <c r="AQ1045" s="810"/>
      <c r="AR1045" s="810"/>
      <c r="AS1045" s="810"/>
      <c r="AT1045" s="810"/>
      <c r="AU1045" s="810"/>
      <c r="AV1045" s="810"/>
      <c r="AW1045" s="810"/>
      <c r="AX1045" s="810"/>
      <c r="AY1045" s="810"/>
      <c r="AZ1045" s="810"/>
      <c r="BA1045" s="810"/>
      <c r="BB1045" s="810"/>
      <c r="BC1045" s="810"/>
      <c r="BD1045" s="810"/>
      <c r="BE1045" s="810"/>
    </row>
    <row r="1046" spans="1:58" ht="14.25" hidden="1" customHeight="1" outlineLevel="1">
      <c r="A1046" s="498" t="s">
        <v>2387</v>
      </c>
      <c r="B1046" s="490"/>
      <c r="C1046" s="684"/>
      <c r="D1046" s="817"/>
      <c r="E1046" s="817"/>
      <c r="F1046" s="817"/>
      <c r="G1046" s="684"/>
      <c r="H1046" s="516"/>
      <c r="I1046" s="492"/>
      <c r="J1046" s="492"/>
      <c r="K1046" s="492"/>
      <c r="L1046" s="492"/>
      <c r="M1046" s="492"/>
      <c r="N1046" s="492"/>
      <c r="O1046" s="492"/>
      <c r="P1046" s="819"/>
      <c r="Q1046" s="808"/>
      <c r="R1046" s="808"/>
      <c r="S1046" s="808"/>
      <c r="T1046" s="808"/>
      <c r="U1046" s="808"/>
      <c r="V1046" s="808"/>
      <c r="W1046" s="808"/>
      <c r="X1046" s="808"/>
      <c r="Y1046" s="808"/>
      <c r="Z1046" s="808"/>
      <c r="AA1046" s="808"/>
      <c r="AB1046" s="808"/>
      <c r="AC1046" s="808"/>
      <c r="AD1046" s="808"/>
      <c r="AE1046" s="808"/>
      <c r="AF1046" s="808"/>
      <c r="AG1046" s="808"/>
      <c r="AH1046" s="808"/>
      <c r="AI1046" s="808"/>
      <c r="AJ1046" s="808"/>
      <c r="AK1046" s="808"/>
      <c r="AL1046" s="808"/>
      <c r="AM1046" s="808"/>
      <c r="AN1046" s="808"/>
      <c r="AO1046" s="809"/>
      <c r="AP1046" s="809"/>
      <c r="AQ1046" s="810"/>
      <c r="AR1046" s="810"/>
      <c r="AS1046" s="810"/>
      <c r="AT1046" s="810"/>
      <c r="AU1046" s="810"/>
      <c r="AV1046" s="810"/>
      <c r="AW1046" s="810"/>
      <c r="AX1046" s="810"/>
      <c r="AY1046" s="810"/>
      <c r="AZ1046" s="810"/>
      <c r="BA1046" s="810"/>
      <c r="BB1046" s="810"/>
      <c r="BC1046" s="810"/>
      <c r="BD1046" s="810"/>
      <c r="BE1046" s="810"/>
    </row>
    <row r="1047" spans="1:58" ht="14.25" hidden="1" customHeight="1" outlineLevel="1">
      <c r="A1047" s="445" t="s">
        <v>966</v>
      </c>
      <c r="B1047" s="490"/>
      <c r="C1047" s="684"/>
      <c r="D1047" s="817"/>
      <c r="E1047" s="817"/>
      <c r="F1047" s="817"/>
      <c r="G1047" s="684"/>
      <c r="H1047" s="516"/>
      <c r="I1047" s="492"/>
      <c r="J1047" s="492"/>
      <c r="K1047" s="492"/>
      <c r="L1047" s="492"/>
      <c r="M1047" s="492"/>
      <c r="N1047" s="492"/>
      <c r="O1047" s="492"/>
      <c r="P1047" s="819"/>
      <c r="Q1047" s="808"/>
      <c r="R1047" s="808"/>
      <c r="S1047" s="808"/>
      <c r="T1047" s="808"/>
      <c r="U1047" s="808"/>
      <c r="V1047" s="808"/>
      <c r="W1047" s="808"/>
      <c r="X1047" s="808"/>
      <c r="Y1047" s="808"/>
      <c r="Z1047" s="808"/>
      <c r="AA1047" s="808"/>
      <c r="AB1047" s="808"/>
      <c r="AC1047" s="808"/>
      <c r="AD1047" s="808"/>
      <c r="AE1047" s="808"/>
      <c r="AF1047" s="808"/>
      <c r="AG1047" s="808"/>
      <c r="AH1047" s="808"/>
      <c r="AI1047" s="808"/>
      <c r="AJ1047" s="808"/>
      <c r="AK1047" s="808"/>
      <c r="AL1047" s="808"/>
      <c r="AM1047" s="808"/>
      <c r="AN1047" s="808"/>
      <c r="AO1047" s="809"/>
      <c r="AP1047" s="809"/>
      <c r="AQ1047" s="810"/>
      <c r="AR1047" s="810"/>
      <c r="AS1047" s="810"/>
      <c r="AT1047" s="810"/>
      <c r="AU1047" s="810"/>
      <c r="AV1047" s="810"/>
      <c r="AW1047" s="810"/>
      <c r="AX1047" s="810"/>
      <c r="AY1047" s="810"/>
      <c r="AZ1047" s="810"/>
      <c r="BA1047" s="810"/>
      <c r="BB1047" s="810"/>
      <c r="BC1047" s="810"/>
      <c r="BD1047" s="810"/>
      <c r="BE1047" s="810"/>
    </row>
    <row r="1048" spans="1:58" ht="14.25" hidden="1" customHeight="1" outlineLevel="1">
      <c r="A1048" s="498" t="s">
        <v>2388</v>
      </c>
      <c r="B1048" s="490"/>
      <c r="C1048" s="823"/>
      <c r="D1048" s="832"/>
      <c r="E1048" s="171" t="s">
        <v>2389</v>
      </c>
      <c r="F1048" s="833"/>
      <c r="G1048" s="834"/>
      <c r="H1048" s="835"/>
      <c r="I1048" s="836"/>
      <c r="J1048" s="836"/>
      <c r="K1048" s="837"/>
      <c r="L1048" s="492"/>
      <c r="M1048" s="492"/>
      <c r="N1048" s="492"/>
      <c r="O1048" s="492"/>
      <c r="P1048" s="819"/>
      <c r="Q1048" s="808"/>
      <c r="R1048" s="808"/>
      <c r="S1048" s="808"/>
      <c r="T1048" s="808"/>
      <c r="U1048" s="808"/>
      <c r="V1048" s="808"/>
      <c r="W1048" s="808"/>
      <c r="X1048" s="808"/>
      <c r="Y1048" s="808"/>
      <c r="Z1048" s="808"/>
      <c r="AA1048" s="808"/>
      <c r="AB1048" s="808"/>
      <c r="AC1048" s="808"/>
      <c r="AD1048" s="808"/>
      <c r="AE1048" s="808"/>
      <c r="AF1048" s="808"/>
      <c r="AG1048" s="808"/>
      <c r="AH1048" s="808"/>
      <c r="AI1048" s="808"/>
      <c r="AJ1048" s="808"/>
      <c r="AK1048" s="808"/>
      <c r="AL1048" s="808"/>
      <c r="AM1048" s="808"/>
      <c r="AN1048" s="808"/>
      <c r="AO1048" s="809"/>
      <c r="AP1048" s="809"/>
      <c r="AQ1048" s="810"/>
      <c r="AR1048" s="810"/>
      <c r="AS1048" s="810"/>
      <c r="AT1048" s="810"/>
      <c r="AU1048" s="810"/>
      <c r="AV1048" s="810"/>
      <c r="AW1048" s="810"/>
      <c r="AX1048" s="810"/>
      <c r="AY1048" s="810"/>
      <c r="AZ1048" s="810"/>
      <c r="BA1048" s="810"/>
      <c r="BB1048" s="810"/>
      <c r="BC1048" s="810"/>
      <c r="BD1048" s="810"/>
      <c r="BE1048" s="810"/>
    </row>
    <row r="1049" spans="1:58" ht="14.25" hidden="1" customHeight="1" outlineLevel="1">
      <c r="A1049" s="445" t="s">
        <v>493</v>
      </c>
      <c r="B1049" s="490"/>
      <c r="C1049" s="823"/>
      <c r="D1049" s="838"/>
      <c r="E1049" s="839"/>
      <c r="F1049" s="839"/>
      <c r="G1049" s="840"/>
      <c r="H1049" s="841"/>
      <c r="I1049" s="842"/>
      <c r="J1049" s="842"/>
      <c r="K1049" s="843"/>
      <c r="L1049" s="492"/>
      <c r="M1049" s="492"/>
      <c r="N1049" s="492"/>
      <c r="O1049" s="492"/>
      <c r="P1049" s="819"/>
      <c r="Q1049" s="808"/>
      <c r="R1049" s="808"/>
      <c r="S1049" s="808"/>
      <c r="T1049" s="808"/>
      <c r="U1049" s="808"/>
      <c r="V1049" s="808"/>
      <c r="W1049" s="808"/>
      <c r="X1049" s="808"/>
      <c r="Y1049" s="808"/>
      <c r="Z1049" s="808"/>
      <c r="AA1049" s="808"/>
      <c r="AB1049" s="808"/>
      <c r="AC1049" s="808"/>
      <c r="AD1049" s="808"/>
      <c r="AE1049" s="808"/>
      <c r="AF1049" s="808"/>
      <c r="AG1049" s="808"/>
      <c r="AH1049" s="808"/>
      <c r="AI1049" s="808"/>
      <c r="AJ1049" s="808"/>
      <c r="AK1049" s="808"/>
      <c r="AL1049" s="808"/>
      <c r="AM1049" s="808"/>
      <c r="AN1049" s="808"/>
      <c r="AO1049" s="809"/>
      <c r="AP1049" s="809"/>
      <c r="AQ1049" s="810"/>
      <c r="AR1049" s="810"/>
      <c r="AS1049" s="810"/>
      <c r="AT1049" s="810"/>
      <c r="AU1049" s="810"/>
      <c r="AV1049" s="810"/>
      <c r="AW1049" s="810"/>
      <c r="AX1049" s="810"/>
      <c r="AY1049" s="810"/>
      <c r="AZ1049" s="810"/>
      <c r="BA1049" s="810"/>
      <c r="BB1049" s="810"/>
      <c r="BC1049" s="810"/>
      <c r="BD1049" s="810"/>
      <c r="BE1049" s="810"/>
    </row>
    <row r="1050" spans="1:58" ht="14.25" hidden="1" customHeight="1" outlineLevel="1">
      <c r="A1050" s="498" t="s">
        <v>2390</v>
      </c>
      <c r="B1050" s="490"/>
      <c r="C1050" s="823"/>
      <c r="D1050" s="3128" t="s">
        <v>2391</v>
      </c>
      <c r="E1050" s="3128"/>
      <c r="F1050" s="3128"/>
      <c r="G1050" s="3128"/>
      <c r="H1050" s="3128"/>
      <c r="I1050" s="3128"/>
      <c r="J1050" s="842"/>
      <c r="K1050" s="843"/>
      <c r="L1050" s="492"/>
      <c r="M1050" s="492"/>
      <c r="N1050" s="492"/>
      <c r="O1050" s="492"/>
      <c r="P1050" s="819"/>
      <c r="Q1050" s="808"/>
      <c r="R1050" s="808"/>
      <c r="S1050" s="808"/>
      <c r="T1050" s="808"/>
      <c r="U1050" s="808"/>
      <c r="V1050" s="808"/>
      <c r="W1050" s="808"/>
      <c r="X1050" s="808"/>
      <c r="Y1050" s="808"/>
      <c r="Z1050" s="808"/>
      <c r="AA1050" s="808"/>
      <c r="AB1050" s="808"/>
      <c r="AC1050" s="808"/>
      <c r="AD1050" s="808"/>
      <c r="AE1050" s="808"/>
      <c r="AF1050" s="808"/>
      <c r="AG1050" s="808"/>
      <c r="AH1050" s="808"/>
      <c r="AI1050" s="808"/>
      <c r="AJ1050" s="808"/>
      <c r="AK1050" s="808"/>
      <c r="AL1050" s="808"/>
      <c r="AM1050" s="808"/>
      <c r="AN1050" s="808"/>
      <c r="AO1050" s="809"/>
      <c r="AP1050" s="809"/>
      <c r="AQ1050" s="810"/>
      <c r="AR1050" s="810"/>
      <c r="AS1050" s="810"/>
      <c r="AT1050" s="810"/>
      <c r="AU1050" s="810"/>
      <c r="AV1050" s="810"/>
      <c r="AW1050" s="810"/>
      <c r="AX1050" s="810"/>
      <c r="AY1050" s="810"/>
      <c r="AZ1050" s="810"/>
      <c r="BA1050" s="810"/>
      <c r="BB1050" s="810"/>
      <c r="BC1050" s="810"/>
      <c r="BD1050" s="810"/>
      <c r="BE1050" s="810"/>
    </row>
    <row r="1051" spans="1:58" ht="14.25" hidden="1" customHeight="1" outlineLevel="1">
      <c r="A1051" s="844" t="s">
        <v>493</v>
      </c>
      <c r="B1051" s="490"/>
      <c r="C1051" s="823"/>
      <c r="D1051" s="3129" t="s">
        <v>493</v>
      </c>
      <c r="E1051" s="3129"/>
      <c r="F1051" s="3129"/>
      <c r="G1051" s="3129"/>
      <c r="H1051" s="3129"/>
      <c r="I1051" s="3129"/>
      <c r="J1051" s="842"/>
      <c r="K1051" s="843"/>
      <c r="L1051" s="492"/>
      <c r="M1051" s="492"/>
      <c r="N1051" s="492"/>
      <c r="O1051" s="492"/>
      <c r="P1051" s="819"/>
      <c r="Q1051" s="808"/>
      <c r="R1051" s="808"/>
      <c r="S1051" s="808"/>
      <c r="T1051" s="808"/>
      <c r="U1051" s="808"/>
      <c r="V1051" s="808"/>
      <c r="W1051" s="808"/>
      <c r="X1051" s="808"/>
      <c r="Y1051" s="808"/>
      <c r="Z1051" s="808"/>
      <c r="AA1051" s="808"/>
      <c r="AB1051" s="808"/>
      <c r="AC1051" s="808"/>
      <c r="AD1051" s="808"/>
      <c r="AE1051" s="808"/>
      <c r="AF1051" s="808"/>
      <c r="AG1051" s="808"/>
      <c r="AH1051" s="808"/>
      <c r="AI1051" s="808"/>
      <c r="AJ1051" s="808"/>
      <c r="AK1051" s="808"/>
      <c r="AL1051" s="808"/>
      <c r="AM1051" s="808"/>
      <c r="AN1051" s="808"/>
      <c r="AO1051" s="809"/>
      <c r="AP1051" s="809"/>
      <c r="AQ1051" s="810"/>
      <c r="AR1051" s="810"/>
      <c r="AS1051" s="810"/>
      <c r="AT1051" s="810"/>
      <c r="AU1051" s="810"/>
      <c r="AV1051" s="810"/>
      <c r="AW1051" s="810"/>
      <c r="AX1051" s="810"/>
      <c r="AY1051" s="810"/>
      <c r="AZ1051" s="810"/>
      <c r="BA1051" s="810"/>
      <c r="BB1051" s="810"/>
      <c r="BC1051" s="810"/>
      <c r="BD1051" s="810"/>
      <c r="BE1051" s="810"/>
    </row>
    <row r="1052" spans="1:58" s="364" customFormat="1" ht="14.25" hidden="1" customHeight="1" outlineLevel="1">
      <c r="A1052" s="684" t="s">
        <v>2392</v>
      </c>
      <c r="B1052" s="490"/>
      <c r="C1052" s="823"/>
      <c r="D1052" s="3128" t="s">
        <v>2393</v>
      </c>
      <c r="E1052" s="3128"/>
      <c r="F1052" s="3128"/>
      <c r="G1052" s="3128"/>
      <c r="H1052" s="3128"/>
      <c r="I1052" s="3128"/>
      <c r="J1052" s="842"/>
      <c r="K1052" s="843"/>
      <c r="L1052" s="492"/>
      <c r="M1052" s="492"/>
      <c r="N1052" s="492"/>
      <c r="O1052" s="492"/>
      <c r="P1052" s="492"/>
      <c r="Q1052" s="617"/>
      <c r="R1052" s="617"/>
      <c r="S1052" s="617"/>
      <c r="T1052" s="617"/>
      <c r="U1052" s="617"/>
      <c r="V1052" s="617"/>
      <c r="W1052" s="617"/>
      <c r="X1052" s="617"/>
      <c r="Y1052" s="617"/>
      <c r="Z1052" s="617"/>
      <c r="AA1052" s="617"/>
      <c r="AB1052" s="617"/>
      <c r="AC1052" s="617"/>
      <c r="AD1052" s="617"/>
      <c r="AE1052" s="617"/>
      <c r="AF1052" s="617"/>
      <c r="AG1052" s="617"/>
      <c r="AH1052" s="617"/>
      <c r="AI1052" s="617"/>
      <c r="AJ1052" s="617"/>
      <c r="AK1052" s="617"/>
      <c r="AL1052" s="617"/>
      <c r="AM1052" s="617"/>
      <c r="AN1052" s="617"/>
      <c r="AO1052" s="680"/>
      <c r="AP1052" s="680"/>
      <c r="AQ1052" s="803"/>
      <c r="AR1052" s="803"/>
      <c r="AS1052" s="803"/>
      <c r="AT1052" s="803"/>
      <c r="AU1052" s="803"/>
      <c r="AV1052" s="803"/>
      <c r="AW1052" s="803"/>
      <c r="AX1052" s="803"/>
      <c r="AY1052" s="803"/>
      <c r="AZ1052" s="803"/>
      <c r="BA1052" s="803"/>
      <c r="BB1052" s="803"/>
      <c r="BC1052" s="803"/>
      <c r="BD1052" s="803"/>
      <c r="BE1052" s="803"/>
      <c r="BF1052" s="368"/>
    </row>
    <row r="1053" spans="1:58" ht="14.25" hidden="1" customHeight="1" outlineLevel="1">
      <c r="A1053" s="711" t="s">
        <v>753</v>
      </c>
      <c r="C1053" s="684"/>
      <c r="D1053" s="3079" t="s">
        <v>493</v>
      </c>
      <c r="E1053" s="3079"/>
      <c r="F1053" s="3079"/>
      <c r="G1053" s="3079"/>
      <c r="H1053" s="3079"/>
      <c r="I1053" s="3079"/>
      <c r="J1053" s="842"/>
      <c r="K1053" s="843"/>
      <c r="L1053" s="492"/>
      <c r="M1053" s="492"/>
      <c r="N1053" s="492"/>
      <c r="O1053" s="492"/>
      <c r="P1053" s="819"/>
      <c r="Q1053" s="808"/>
      <c r="R1053" s="808"/>
      <c r="S1053" s="808"/>
      <c r="T1053" s="808"/>
      <c r="U1053" s="808"/>
      <c r="V1053" s="808"/>
      <c r="W1053" s="808"/>
      <c r="X1053" s="808"/>
      <c r="Y1053" s="808"/>
      <c r="Z1053" s="808"/>
      <c r="AA1053" s="808"/>
      <c r="AB1053" s="808"/>
      <c r="AC1053" s="808"/>
      <c r="AD1053" s="808"/>
      <c r="AE1053" s="808"/>
      <c r="AF1053" s="808"/>
      <c r="AG1053" s="808"/>
      <c r="AH1053" s="808"/>
      <c r="AI1053" s="808"/>
      <c r="AJ1053" s="808"/>
      <c r="AK1053" s="808"/>
      <c r="AL1053" s="808"/>
      <c r="AM1053" s="808"/>
      <c r="AN1053" s="808"/>
      <c r="AO1053" s="809"/>
      <c r="AP1053" s="809"/>
      <c r="AQ1053" s="810"/>
      <c r="AR1053" s="810"/>
      <c r="AS1053" s="810"/>
      <c r="AT1053" s="810"/>
      <c r="AU1053" s="810"/>
      <c r="AV1053" s="810"/>
      <c r="AW1053" s="810"/>
      <c r="AX1053" s="810"/>
      <c r="AY1053" s="810"/>
      <c r="AZ1053" s="810"/>
      <c r="BA1053" s="810"/>
      <c r="BB1053" s="810"/>
      <c r="BC1053" s="810"/>
      <c r="BD1053" s="810"/>
      <c r="BE1053" s="810"/>
    </row>
    <row r="1054" spans="1:58" s="364" customFormat="1" ht="14.25" hidden="1" customHeight="1" outlineLevel="1">
      <c r="A1054" s="684" t="s">
        <v>2394</v>
      </c>
      <c r="B1054" s="684"/>
      <c r="C1054" s="684"/>
      <c r="D1054" s="3081" t="s">
        <v>2386</v>
      </c>
      <c r="E1054" s="3081"/>
      <c r="F1054" s="3081"/>
      <c r="G1054" s="3081"/>
      <c r="H1054" s="3081"/>
      <c r="I1054" s="3081"/>
      <c r="J1054" s="842"/>
      <c r="K1054" s="843"/>
      <c r="L1054" s="492"/>
      <c r="M1054" s="492"/>
      <c r="N1054" s="492"/>
      <c r="O1054" s="492"/>
      <c r="P1054" s="492"/>
      <c r="Q1054" s="617"/>
      <c r="R1054" s="617"/>
      <c r="S1054" s="617"/>
      <c r="T1054" s="617"/>
      <c r="U1054" s="617"/>
      <c r="V1054" s="617"/>
      <c r="W1054" s="617"/>
      <c r="X1054" s="617"/>
      <c r="Y1054" s="617"/>
      <c r="Z1054" s="617"/>
      <c r="AA1054" s="617"/>
      <c r="AB1054" s="617"/>
      <c r="AC1054" s="617"/>
      <c r="AD1054" s="617"/>
      <c r="AE1054" s="617"/>
      <c r="AF1054" s="617"/>
      <c r="AG1054" s="617"/>
      <c r="AH1054" s="617"/>
      <c r="AI1054" s="617"/>
      <c r="AJ1054" s="617"/>
      <c r="AK1054" s="617"/>
      <c r="AL1054" s="617"/>
      <c r="AM1054" s="617"/>
      <c r="AN1054" s="617"/>
      <c r="AO1054" s="680"/>
      <c r="AP1054" s="680"/>
      <c r="AQ1054" s="803"/>
      <c r="AR1054" s="803"/>
      <c r="AS1054" s="803"/>
      <c r="AT1054" s="803"/>
      <c r="AU1054" s="803"/>
      <c r="AV1054" s="803"/>
      <c r="AW1054" s="803"/>
      <c r="AX1054" s="803"/>
      <c r="AY1054" s="803"/>
      <c r="AZ1054" s="803"/>
      <c r="BA1054" s="803"/>
      <c r="BB1054" s="803"/>
      <c r="BC1054" s="803"/>
      <c r="BD1054" s="803"/>
      <c r="BE1054" s="803"/>
      <c r="BF1054" s="368"/>
    </row>
    <row r="1055" spans="1:58" ht="14.25" hidden="1" customHeight="1" outlineLevel="1">
      <c r="A1055" s="820" t="s">
        <v>785</v>
      </c>
      <c r="C1055" s="684"/>
      <c r="D1055" s="3079" t="s">
        <v>493</v>
      </c>
      <c r="E1055" s="3079"/>
      <c r="F1055" s="3079"/>
      <c r="G1055" s="3079"/>
      <c r="H1055" s="3079"/>
      <c r="I1055" s="3079"/>
      <c r="J1055" s="842"/>
      <c r="K1055" s="843"/>
      <c r="L1055" s="492"/>
      <c r="M1055" s="492"/>
      <c r="N1055" s="492"/>
      <c r="O1055" s="492"/>
      <c r="P1055" s="819"/>
      <c r="Q1055" s="808"/>
      <c r="R1055" s="808"/>
      <c r="S1055" s="808"/>
      <c r="T1055" s="808"/>
      <c r="U1055" s="808"/>
      <c r="V1055" s="808"/>
      <c r="W1055" s="808"/>
      <c r="X1055" s="808"/>
      <c r="Y1055" s="808"/>
      <c r="Z1055" s="808"/>
      <c r="AA1055" s="808"/>
      <c r="AB1055" s="808"/>
      <c r="AC1055" s="808"/>
      <c r="AD1055" s="808"/>
      <c r="AE1055" s="808"/>
      <c r="AF1055" s="808"/>
      <c r="AG1055" s="808"/>
      <c r="AH1055" s="808"/>
      <c r="AI1055" s="808"/>
      <c r="AJ1055" s="808"/>
      <c r="AK1055" s="808"/>
      <c r="AL1055" s="808"/>
      <c r="AM1055" s="808"/>
      <c r="AN1055" s="808"/>
      <c r="AO1055" s="809"/>
      <c r="AP1055" s="809"/>
      <c r="AQ1055" s="810"/>
      <c r="AR1055" s="810"/>
      <c r="AS1055" s="810"/>
      <c r="AT1055" s="810"/>
      <c r="AU1055" s="810"/>
      <c r="AV1055" s="810"/>
      <c r="AW1055" s="810"/>
      <c r="AX1055" s="810"/>
      <c r="AY1055" s="810"/>
      <c r="AZ1055" s="810"/>
      <c r="BA1055" s="810"/>
      <c r="BB1055" s="810"/>
      <c r="BC1055" s="810"/>
      <c r="BD1055" s="810"/>
      <c r="BE1055" s="810"/>
    </row>
    <row r="1056" spans="1:58" ht="14.25" hidden="1" customHeight="1" outlineLevel="1">
      <c r="A1056" s="331" t="s">
        <v>151</v>
      </c>
      <c r="D1056" s="838"/>
      <c r="E1056" s="839"/>
      <c r="F1056" s="839"/>
      <c r="G1056" s="840"/>
      <c r="H1056" s="845"/>
      <c r="I1056" s="845"/>
      <c r="J1056" s="845"/>
      <c r="K1056" s="846"/>
      <c r="L1056" s="847"/>
      <c r="M1056" s="847"/>
      <c r="N1056" s="847"/>
      <c r="O1056" s="847"/>
      <c r="P1056" s="847"/>
      <c r="Q1056" s="808"/>
      <c r="R1056" s="808"/>
      <c r="S1056" s="808"/>
      <c r="T1056" s="808"/>
      <c r="U1056" s="808"/>
      <c r="V1056" s="808"/>
      <c r="W1056" s="808"/>
      <c r="X1056" s="808"/>
      <c r="Y1056" s="808"/>
      <c r="Z1056" s="808"/>
      <c r="AA1056" s="808"/>
      <c r="AB1056" s="808"/>
      <c r="AC1056" s="808"/>
      <c r="AD1056" s="808"/>
      <c r="AE1056" s="808"/>
      <c r="AF1056" s="808"/>
      <c r="AG1056" s="808"/>
      <c r="AH1056" s="808"/>
      <c r="AI1056" s="808"/>
      <c r="AJ1056" s="808"/>
      <c r="AK1056" s="808"/>
      <c r="AL1056" s="808"/>
      <c r="AM1056" s="808"/>
      <c r="AN1056" s="808"/>
      <c r="AO1056" s="809"/>
      <c r="AP1056" s="809"/>
      <c r="AQ1056" s="810"/>
      <c r="AR1056" s="810"/>
      <c r="AS1056" s="810"/>
      <c r="AT1056" s="810"/>
      <c r="AU1056" s="810"/>
      <c r="AV1056" s="810"/>
      <c r="AW1056" s="810"/>
      <c r="AX1056" s="810"/>
      <c r="AY1056" s="810"/>
      <c r="AZ1056" s="810"/>
      <c r="BA1056" s="810"/>
      <c r="BB1056" s="810"/>
      <c r="BC1056" s="810"/>
      <c r="BD1056" s="810"/>
      <c r="BE1056" s="810"/>
    </row>
    <row r="1057" spans="1:57" ht="14.25" hidden="1" customHeight="1" outlineLevel="1">
      <c r="A1057" s="445" t="s">
        <v>152</v>
      </c>
      <c r="B1057" s="415" t="s">
        <v>1802</v>
      </c>
      <c r="C1057" s="848">
        <v>2</v>
      </c>
      <c r="D1057" s="838"/>
      <c r="E1057" s="3128" t="s">
        <v>2391</v>
      </c>
      <c r="F1057" s="3128"/>
      <c r="G1057" s="3128"/>
      <c r="H1057" s="3128"/>
      <c r="I1057" s="3128"/>
      <c r="J1057" s="3128"/>
      <c r="K1057" s="846"/>
      <c r="L1057" s="847"/>
      <c r="M1057" s="847"/>
      <c r="N1057" s="847"/>
      <c r="O1057" s="617"/>
      <c r="P1057" s="617"/>
      <c r="Q1057" s="808"/>
      <c r="R1057" s="808"/>
      <c r="S1057" s="808"/>
      <c r="T1057" s="808"/>
      <c r="U1057" s="808"/>
      <c r="V1057" s="808"/>
      <c r="W1057" s="808"/>
      <c r="X1057" s="808"/>
      <c r="Y1057" s="808"/>
      <c r="Z1057" s="808"/>
      <c r="AA1057" s="808"/>
      <c r="AB1057" s="808"/>
      <c r="AC1057" s="808"/>
      <c r="AD1057" s="808"/>
      <c r="AE1057" s="808"/>
      <c r="AF1057" s="808"/>
      <c r="AG1057" s="808"/>
      <c r="AH1057" s="808"/>
      <c r="AI1057" s="808"/>
      <c r="AJ1057" s="808"/>
      <c r="AK1057" s="808"/>
      <c r="AL1057" s="808"/>
      <c r="AM1057" s="808"/>
      <c r="AN1057" s="808"/>
      <c r="AO1057" s="809"/>
      <c r="AP1057" s="809"/>
      <c r="AQ1057" s="810"/>
      <c r="AR1057" s="810"/>
      <c r="AS1057" s="810"/>
      <c r="AT1057" s="810"/>
      <c r="AU1057" s="810"/>
      <c r="AV1057" s="810"/>
      <c r="AW1057" s="810"/>
      <c r="AX1057" s="810"/>
      <c r="AY1057" s="810"/>
      <c r="AZ1057" s="810"/>
      <c r="BA1057" s="810"/>
      <c r="BB1057" s="810"/>
      <c r="BC1057" s="810"/>
      <c r="BD1057" s="810"/>
      <c r="BE1057" s="810"/>
    </row>
    <row r="1058" spans="1:57" ht="14.25" hidden="1" customHeight="1" outlineLevel="1">
      <c r="A1058" s="849" t="s">
        <v>152</v>
      </c>
      <c r="B1058" s="415" t="s">
        <v>1802</v>
      </c>
      <c r="C1058" s="848">
        <v>0</v>
      </c>
      <c r="D1058" s="838"/>
      <c r="E1058" s="3129" t="s">
        <v>493</v>
      </c>
      <c r="F1058" s="3129"/>
      <c r="G1058" s="3129"/>
      <c r="H1058" s="3129"/>
      <c r="I1058" s="3129"/>
      <c r="J1058" s="3129"/>
      <c r="K1058" s="846"/>
      <c r="L1058" s="847"/>
      <c r="M1058" s="847"/>
      <c r="N1058" s="847"/>
      <c r="O1058" s="617"/>
      <c r="P1058" s="617"/>
      <c r="Q1058" s="808"/>
      <c r="R1058" s="808"/>
      <c r="S1058" s="808"/>
      <c r="T1058" s="808"/>
      <c r="U1058" s="808"/>
      <c r="V1058" s="808"/>
      <c r="W1058" s="808"/>
      <c r="X1058" s="808"/>
      <c r="Y1058" s="808"/>
      <c r="Z1058" s="808"/>
      <c r="AA1058" s="808"/>
      <c r="AB1058" s="808"/>
      <c r="AC1058" s="808"/>
      <c r="AD1058" s="808"/>
      <c r="AE1058" s="808"/>
      <c r="AF1058" s="808"/>
      <c r="AG1058" s="808"/>
      <c r="AH1058" s="808"/>
      <c r="AI1058" s="808"/>
      <c r="AJ1058" s="808"/>
      <c r="AK1058" s="808"/>
      <c r="AL1058" s="808"/>
      <c r="AM1058" s="808"/>
      <c r="AN1058" s="808"/>
      <c r="AO1058" s="809"/>
      <c r="AP1058" s="809"/>
      <c r="AQ1058" s="810"/>
      <c r="AR1058" s="810"/>
      <c r="AS1058" s="810"/>
      <c r="AT1058" s="810"/>
      <c r="AU1058" s="810"/>
      <c r="AV1058" s="810"/>
      <c r="AW1058" s="810"/>
      <c r="AX1058" s="810"/>
      <c r="AY1058" s="810"/>
      <c r="AZ1058" s="810"/>
      <c r="BA1058" s="810"/>
      <c r="BB1058" s="810"/>
      <c r="BC1058" s="810"/>
      <c r="BD1058" s="810"/>
      <c r="BE1058" s="810"/>
    </row>
    <row r="1059" spans="1:57" ht="14.25" hidden="1" customHeight="1" outlineLevel="1">
      <c r="A1059" s="850"/>
      <c r="B1059" s="490"/>
      <c r="C1059" s="684"/>
      <c r="D1059" s="838"/>
      <c r="E1059" s="3128" t="s">
        <v>2393</v>
      </c>
      <c r="F1059" s="3128"/>
      <c r="G1059" s="3128"/>
      <c r="H1059" s="3128"/>
      <c r="I1059" s="3128"/>
      <c r="J1059" s="3128"/>
      <c r="K1059" s="846"/>
      <c r="L1059" s="847"/>
      <c r="M1059" s="847"/>
      <c r="N1059" s="847"/>
      <c r="O1059" s="617"/>
      <c r="P1059" s="617"/>
      <c r="Q1059" s="808"/>
      <c r="R1059" s="808"/>
      <c r="S1059" s="808"/>
      <c r="T1059" s="808"/>
      <c r="U1059" s="808"/>
      <c r="V1059" s="808"/>
      <c r="W1059" s="808"/>
      <c r="X1059" s="808"/>
      <c r="Y1059" s="808"/>
      <c r="Z1059" s="808"/>
      <c r="AA1059" s="808"/>
      <c r="AB1059" s="808"/>
      <c r="AC1059" s="808"/>
      <c r="AD1059" s="808"/>
      <c r="AE1059" s="808"/>
      <c r="AF1059" s="808"/>
      <c r="AG1059" s="808"/>
      <c r="AH1059" s="808"/>
      <c r="AI1059" s="808"/>
      <c r="AJ1059" s="808"/>
      <c r="AK1059" s="808"/>
      <c r="AL1059" s="808"/>
      <c r="AM1059" s="808"/>
      <c r="AN1059" s="808"/>
      <c r="AO1059" s="809"/>
      <c r="AP1059" s="809"/>
      <c r="AQ1059" s="810"/>
      <c r="AR1059" s="810"/>
      <c r="AS1059" s="810"/>
      <c r="AT1059" s="810"/>
      <c r="AU1059" s="810"/>
      <c r="AV1059" s="810"/>
      <c r="AW1059" s="810"/>
      <c r="AX1059" s="810"/>
      <c r="AY1059" s="810"/>
      <c r="AZ1059" s="810"/>
      <c r="BA1059" s="810"/>
      <c r="BB1059" s="810"/>
      <c r="BC1059" s="810"/>
      <c r="BD1059" s="810"/>
      <c r="BE1059" s="810"/>
    </row>
    <row r="1060" spans="1:57" ht="14.25" hidden="1" customHeight="1" outlineLevel="1">
      <c r="A1060" s="260" t="s">
        <v>2395</v>
      </c>
      <c r="B1060" s="415" t="s">
        <v>1796</v>
      </c>
      <c r="C1060" s="851">
        <v>12000</v>
      </c>
      <c r="D1060" s="838"/>
      <c r="E1060" s="3079" t="s">
        <v>493</v>
      </c>
      <c r="F1060" s="3079"/>
      <c r="G1060" s="3079"/>
      <c r="H1060" s="3079"/>
      <c r="I1060" s="3079"/>
      <c r="J1060" s="3079"/>
      <c r="K1060" s="846"/>
      <c r="L1060" s="847"/>
      <c r="M1060" s="847"/>
      <c r="N1060" s="847"/>
      <c r="O1060" s="617"/>
      <c r="P1060" s="617"/>
      <c r="Q1060" s="808"/>
      <c r="R1060" s="808"/>
      <c r="S1060" s="808"/>
      <c r="T1060" s="808"/>
      <c r="U1060" s="808"/>
      <c r="V1060" s="808"/>
      <c r="W1060" s="808"/>
      <c r="X1060" s="808"/>
      <c r="Y1060" s="808"/>
      <c r="Z1060" s="808"/>
      <c r="AA1060" s="808"/>
      <c r="AB1060" s="808"/>
      <c r="AC1060" s="808"/>
      <c r="AD1060" s="808"/>
      <c r="AE1060" s="808"/>
      <c r="AF1060" s="808"/>
      <c r="AG1060" s="808"/>
      <c r="AH1060" s="808"/>
      <c r="AI1060" s="808"/>
      <c r="AJ1060" s="808"/>
      <c r="AK1060" s="808"/>
      <c r="AL1060" s="808"/>
      <c r="AM1060" s="808"/>
      <c r="AN1060" s="808"/>
      <c r="AO1060" s="809"/>
      <c r="AP1060" s="809"/>
      <c r="AQ1060" s="810"/>
      <c r="AR1060" s="810"/>
      <c r="AS1060" s="810"/>
      <c r="AT1060" s="810"/>
      <c r="AU1060" s="810"/>
      <c r="AV1060" s="810"/>
      <c r="AW1060" s="810"/>
      <c r="AX1060" s="810"/>
      <c r="AY1060" s="810"/>
      <c r="AZ1060" s="810"/>
      <c r="BA1060" s="810"/>
      <c r="BB1060" s="810"/>
      <c r="BC1060" s="810"/>
      <c r="BD1060" s="810"/>
      <c r="BE1060" s="810"/>
    </row>
    <row r="1061" spans="1:57" ht="14.25" hidden="1" customHeight="1" outlineLevel="1">
      <c r="A1061" s="684"/>
      <c r="B1061" s="684"/>
      <c r="C1061" s="684"/>
      <c r="D1061" s="838"/>
      <c r="E1061" s="3081" t="s">
        <v>2386</v>
      </c>
      <c r="F1061" s="3081"/>
      <c r="G1061" s="3081"/>
      <c r="H1061" s="3081"/>
      <c r="I1061" s="3081"/>
      <c r="J1061" s="3081"/>
      <c r="K1061" s="846"/>
      <c r="L1061" s="847"/>
      <c r="M1061" s="847"/>
      <c r="N1061" s="847"/>
      <c r="O1061" s="617"/>
      <c r="P1061" s="617"/>
      <c r="Q1061" s="808"/>
      <c r="R1061" s="808"/>
      <c r="S1061" s="808"/>
      <c r="T1061" s="808"/>
      <c r="U1061" s="808"/>
      <c r="V1061" s="808"/>
      <c r="W1061" s="808"/>
      <c r="X1061" s="808"/>
      <c r="Y1061" s="808"/>
      <c r="Z1061" s="808"/>
      <c r="AA1061" s="808"/>
      <c r="AB1061" s="808"/>
      <c r="AC1061" s="808"/>
      <c r="AD1061" s="808"/>
      <c r="AE1061" s="808"/>
      <c r="AF1061" s="808"/>
      <c r="AG1061" s="808"/>
      <c r="AH1061" s="808"/>
      <c r="AI1061" s="808"/>
      <c r="AJ1061" s="808"/>
      <c r="AK1061" s="808"/>
      <c r="AL1061" s="808"/>
      <c r="AM1061" s="808"/>
      <c r="AN1061" s="808"/>
      <c r="AO1061" s="809"/>
      <c r="AP1061" s="809"/>
      <c r="AQ1061" s="810"/>
      <c r="AR1061" s="810"/>
      <c r="AS1061" s="810"/>
      <c r="AT1061" s="810"/>
      <c r="AU1061" s="810"/>
      <c r="AV1061" s="810"/>
      <c r="AW1061" s="810"/>
      <c r="AX1061" s="810"/>
      <c r="AY1061" s="810"/>
      <c r="AZ1061" s="810"/>
      <c r="BA1061" s="810"/>
      <c r="BB1061" s="810"/>
      <c r="BC1061" s="810"/>
      <c r="BD1061" s="810"/>
      <c r="BE1061" s="810"/>
    </row>
    <row r="1062" spans="1:57" ht="14.25" hidden="1" customHeight="1" outlineLevel="1">
      <c r="A1062" s="380" t="s">
        <v>2359</v>
      </c>
      <c r="B1062" s="413" t="s">
        <v>208</v>
      </c>
      <c r="C1062" s="852" t="s">
        <v>1798</v>
      </c>
      <c r="D1062" s="838"/>
      <c r="E1062" s="3131" t="s">
        <v>493</v>
      </c>
      <c r="F1062" s="3131"/>
      <c r="G1062" s="3131"/>
      <c r="H1062" s="3131"/>
      <c r="I1062" s="3131"/>
      <c r="J1062" s="3131"/>
      <c r="K1062" s="846"/>
      <c r="L1062" s="847"/>
      <c r="M1062" s="847"/>
      <c r="N1062" s="847"/>
      <c r="O1062" s="617"/>
      <c r="P1062" s="617"/>
      <c r="Q1062" s="808"/>
      <c r="R1062" s="808"/>
      <c r="S1062" s="808"/>
      <c r="T1062" s="808"/>
      <c r="U1062" s="808"/>
      <c r="V1062" s="808"/>
      <c r="W1062" s="808"/>
      <c r="X1062" s="808"/>
      <c r="Y1062" s="808"/>
      <c r="Z1062" s="808"/>
      <c r="AA1062" s="808"/>
      <c r="AB1062" s="808"/>
      <c r="AC1062" s="808"/>
      <c r="AD1062" s="808"/>
      <c r="AE1062" s="808"/>
      <c r="AF1062" s="808"/>
      <c r="AG1062" s="808"/>
      <c r="AH1062" s="808"/>
      <c r="AI1062" s="808"/>
      <c r="AJ1062" s="808"/>
      <c r="AK1062" s="808"/>
      <c r="AL1062" s="808"/>
      <c r="AM1062" s="808"/>
      <c r="AN1062" s="808"/>
      <c r="AO1062" s="809"/>
      <c r="AP1062" s="809"/>
      <c r="AQ1062" s="810"/>
      <c r="AR1062" s="810"/>
      <c r="AS1062" s="810"/>
      <c r="AT1062" s="810"/>
      <c r="AU1062" s="810"/>
      <c r="AV1062" s="810"/>
      <c r="AW1062" s="810"/>
      <c r="AX1062" s="810"/>
      <c r="AY1062" s="810"/>
      <c r="AZ1062" s="810"/>
      <c r="BA1062" s="810"/>
      <c r="BB1062" s="810"/>
      <c r="BC1062" s="810"/>
      <c r="BD1062" s="810"/>
      <c r="BE1062" s="810"/>
    </row>
    <row r="1063" spans="1:57" ht="14.25" hidden="1" customHeight="1" outlineLevel="1">
      <c r="A1063" s="488" t="s">
        <v>2360</v>
      </c>
      <c r="B1063" s="413" t="s">
        <v>1793</v>
      </c>
      <c r="C1063" s="853">
        <v>3</v>
      </c>
      <c r="D1063" s="854"/>
      <c r="E1063" s="855"/>
      <c r="F1063" s="856"/>
      <c r="G1063" s="857"/>
      <c r="H1063" s="857"/>
      <c r="I1063" s="857"/>
      <c r="J1063" s="857"/>
      <c r="K1063" s="858"/>
      <c r="L1063" s="847"/>
      <c r="M1063" s="847"/>
      <c r="N1063" s="847"/>
      <c r="O1063" s="617"/>
      <c r="P1063" s="617"/>
      <c r="Q1063" s="808"/>
      <c r="R1063" s="808"/>
      <c r="S1063" s="808"/>
      <c r="T1063" s="808"/>
      <c r="U1063" s="808"/>
      <c r="V1063" s="808"/>
      <c r="W1063" s="808"/>
      <c r="X1063" s="808"/>
      <c r="Y1063" s="808"/>
      <c r="Z1063" s="808"/>
      <c r="AA1063" s="808"/>
      <c r="AB1063" s="808"/>
      <c r="AC1063" s="808"/>
      <c r="AD1063" s="808"/>
      <c r="AE1063" s="808"/>
      <c r="AF1063" s="808"/>
      <c r="AG1063" s="808"/>
      <c r="AH1063" s="808"/>
      <c r="AI1063" s="808"/>
      <c r="AJ1063" s="808"/>
      <c r="AK1063" s="808"/>
      <c r="AL1063" s="808"/>
      <c r="AM1063" s="808"/>
      <c r="AN1063" s="808"/>
      <c r="AO1063" s="809"/>
      <c r="AP1063" s="809"/>
      <c r="AQ1063" s="810"/>
      <c r="AR1063" s="810"/>
      <c r="AS1063" s="810"/>
      <c r="AT1063" s="810"/>
      <c r="AU1063" s="810"/>
      <c r="AV1063" s="810"/>
      <c r="AW1063" s="810"/>
      <c r="AX1063" s="810"/>
      <c r="AY1063" s="810"/>
      <c r="AZ1063" s="810"/>
      <c r="BA1063" s="810"/>
      <c r="BB1063" s="810"/>
      <c r="BC1063" s="810"/>
      <c r="BD1063" s="810"/>
      <c r="BE1063" s="810"/>
    </row>
    <row r="1064" spans="1:57" ht="14.25" hidden="1" customHeight="1" outlineLevel="1">
      <c r="A1064" s="380" t="s">
        <v>2361</v>
      </c>
      <c r="B1064" s="438" t="s">
        <v>1793</v>
      </c>
      <c r="C1064" s="488">
        <v>5</v>
      </c>
      <c r="D1064" s="817"/>
      <c r="E1064" s="817"/>
      <c r="F1064" s="817"/>
      <c r="G1064" s="847"/>
      <c r="H1064" s="847"/>
      <c r="I1064" s="847"/>
      <c r="J1064" s="847"/>
      <c r="K1064" s="847"/>
      <c r="L1064" s="847"/>
      <c r="M1064" s="847"/>
      <c r="N1064" s="847"/>
      <c r="O1064" s="617"/>
      <c r="P1064" s="617"/>
      <c r="Q1064" s="808"/>
      <c r="R1064" s="808"/>
      <c r="S1064" s="808"/>
      <c r="T1064" s="808"/>
      <c r="U1064" s="808"/>
      <c r="V1064" s="808"/>
      <c r="W1064" s="808"/>
      <c r="X1064" s="808"/>
      <c r="Y1064" s="808"/>
      <c r="Z1064" s="808"/>
      <c r="AA1064" s="808"/>
      <c r="AB1064" s="808"/>
      <c r="AC1064" s="808"/>
      <c r="AD1064" s="808"/>
      <c r="AE1064" s="808"/>
      <c r="AF1064" s="808"/>
      <c r="AG1064" s="808"/>
      <c r="AH1064" s="808"/>
      <c r="AI1064" s="808"/>
      <c r="AJ1064" s="808"/>
      <c r="AK1064" s="808"/>
      <c r="AL1064" s="808"/>
      <c r="AM1064" s="808"/>
      <c r="AN1064" s="808"/>
      <c r="AO1064" s="809"/>
      <c r="AP1064" s="809"/>
      <c r="AQ1064" s="810"/>
      <c r="AR1064" s="810"/>
      <c r="AS1064" s="810"/>
      <c r="AT1064" s="810"/>
      <c r="AU1064" s="810"/>
      <c r="AV1064" s="810"/>
      <c r="AW1064" s="810"/>
      <c r="AX1064" s="810"/>
      <c r="AY1064" s="810"/>
      <c r="AZ1064" s="810"/>
      <c r="BA1064" s="810"/>
      <c r="BB1064" s="810"/>
      <c r="BC1064" s="810"/>
      <c r="BD1064" s="810"/>
      <c r="BE1064" s="810"/>
    </row>
    <row r="1065" spans="1:57" ht="14.25" hidden="1" customHeight="1" outlineLevel="1">
      <c r="A1065" s="380" t="s">
        <v>2362</v>
      </c>
      <c r="B1065" s="413" t="s">
        <v>1796</v>
      </c>
      <c r="C1065" s="380">
        <v>700</v>
      </c>
      <c r="D1065" s="817"/>
      <c r="E1065" s="817"/>
      <c r="F1065" s="817"/>
      <c r="G1065" s="847"/>
      <c r="H1065" s="847"/>
      <c r="I1065" s="847"/>
      <c r="J1065" s="847"/>
      <c r="K1065" s="847"/>
      <c r="L1065" s="847"/>
      <c r="M1065" s="847"/>
      <c r="N1065" s="847"/>
      <c r="O1065" s="617"/>
      <c r="P1065" s="617"/>
      <c r="Q1065" s="808"/>
      <c r="R1065" s="808"/>
      <c r="S1065" s="808"/>
      <c r="T1065" s="808"/>
      <c r="U1065" s="808"/>
      <c r="V1065" s="808"/>
      <c r="W1065" s="808"/>
      <c r="X1065" s="808"/>
      <c r="Y1065" s="808"/>
      <c r="Z1065" s="808"/>
      <c r="AA1065" s="808"/>
      <c r="AB1065" s="808"/>
      <c r="AC1065" s="808"/>
      <c r="AD1065" s="808"/>
      <c r="AE1065" s="808"/>
      <c r="AF1065" s="808"/>
      <c r="AG1065" s="808"/>
      <c r="AH1065" s="808"/>
      <c r="AI1065" s="808"/>
      <c r="AJ1065" s="808"/>
      <c r="AK1065" s="808"/>
      <c r="AL1065" s="808"/>
      <c r="AM1065" s="808"/>
      <c r="AN1065" s="808"/>
      <c r="AO1065" s="809"/>
      <c r="AP1065" s="809"/>
      <c r="AQ1065" s="810"/>
      <c r="AR1065" s="810"/>
      <c r="AS1065" s="810"/>
      <c r="AT1065" s="810"/>
      <c r="AU1065" s="810"/>
      <c r="AV1065" s="810"/>
      <c r="AW1065" s="810"/>
      <c r="AX1065" s="810"/>
      <c r="AY1065" s="810"/>
      <c r="AZ1065" s="810"/>
      <c r="BA1065" s="810"/>
      <c r="BB1065" s="810"/>
      <c r="BC1065" s="810"/>
      <c r="BD1065" s="810"/>
      <c r="BE1065" s="810"/>
    </row>
    <row r="1066" spans="1:57" ht="14.25" hidden="1" customHeight="1" outlineLevel="1">
      <c r="A1066" s="684"/>
      <c r="B1066" s="684"/>
      <c r="C1066" s="684"/>
      <c r="D1066" s="817"/>
      <c r="E1066" s="817"/>
      <c r="F1066" s="817"/>
      <c r="G1066" s="847"/>
      <c r="H1066" s="847"/>
      <c r="I1066" s="847"/>
      <c r="J1066" s="847"/>
      <c r="K1066" s="847"/>
      <c r="L1066" s="847"/>
      <c r="M1066" s="847"/>
      <c r="N1066" s="847"/>
      <c r="O1066" s="617"/>
      <c r="P1066" s="617"/>
      <c r="Q1066" s="808"/>
      <c r="R1066" s="808"/>
      <c r="S1066" s="808"/>
      <c r="T1066" s="808"/>
      <c r="U1066" s="808"/>
      <c r="V1066" s="808"/>
      <c r="W1066" s="808"/>
      <c r="X1066" s="808"/>
      <c r="Y1066" s="808"/>
      <c r="Z1066" s="808"/>
      <c r="AA1066" s="808"/>
      <c r="AB1066" s="808"/>
      <c r="AC1066" s="808"/>
      <c r="AD1066" s="808"/>
      <c r="AE1066" s="808"/>
      <c r="AF1066" s="808"/>
      <c r="AG1066" s="808"/>
      <c r="AH1066" s="808"/>
      <c r="AI1066" s="808"/>
      <c r="AJ1066" s="808"/>
      <c r="AK1066" s="808"/>
      <c r="AL1066" s="808"/>
      <c r="AM1066" s="808"/>
      <c r="AN1066" s="808"/>
      <c r="AO1066" s="809"/>
      <c r="AP1066" s="809"/>
      <c r="AQ1066" s="810"/>
      <c r="AR1066" s="810"/>
      <c r="AS1066" s="810"/>
      <c r="AT1066" s="810"/>
      <c r="AU1066" s="810"/>
      <c r="AV1066" s="810"/>
      <c r="AW1066" s="810"/>
      <c r="AX1066" s="810"/>
      <c r="AY1066" s="810"/>
      <c r="AZ1066" s="810"/>
      <c r="BA1066" s="810"/>
      <c r="BB1066" s="810"/>
      <c r="BC1066" s="810"/>
      <c r="BD1066" s="810"/>
      <c r="BE1066" s="810"/>
    </row>
    <row r="1067" spans="1:57" ht="14.25" customHeight="1" collapsed="1">
      <c r="A1067" s="3126" t="s">
        <v>2396</v>
      </c>
      <c r="B1067" s="3126"/>
      <c r="C1067" s="3126"/>
      <c r="D1067" s="3126"/>
      <c r="E1067" s="3126"/>
      <c r="F1067" s="3126"/>
      <c r="G1067" s="3126"/>
      <c r="H1067" s="646"/>
      <c r="I1067" s="646"/>
      <c r="J1067" s="646"/>
      <c r="K1067" s="646"/>
      <c r="L1067" s="646"/>
      <c r="M1067" s="616"/>
      <c r="N1067" s="616"/>
      <c r="O1067" s="616"/>
      <c r="P1067" s="617"/>
      <c r="Q1067" s="452"/>
      <c r="R1067" s="617"/>
      <c r="S1067" s="808"/>
      <c r="T1067" s="617"/>
      <c r="U1067" s="617"/>
      <c r="V1067" s="617"/>
      <c r="W1067" s="617"/>
      <c r="X1067" s="617"/>
      <c r="Y1067" s="617"/>
      <c r="Z1067" s="617"/>
      <c r="AA1067" s="364"/>
      <c r="AB1067" s="364"/>
      <c r="AC1067" s="617"/>
      <c r="AD1067" s="617"/>
      <c r="AE1067" s="617"/>
      <c r="AF1067" s="617"/>
      <c r="AG1067" s="617"/>
      <c r="AH1067" s="617"/>
      <c r="AI1067" s="617"/>
      <c r="AJ1067" s="617"/>
      <c r="AK1067" s="617"/>
      <c r="AL1067" s="617"/>
      <c r="AM1067" s="617"/>
      <c r="AN1067" s="617"/>
      <c r="AO1067" s="809"/>
      <c r="AP1067" s="809"/>
      <c r="AQ1067" s="810"/>
      <c r="AR1067" s="810"/>
      <c r="AS1067" s="810"/>
      <c r="AT1067" s="810"/>
      <c r="AU1067" s="810"/>
      <c r="AV1067" s="543">
        <f>M1067</f>
        <v>0</v>
      </c>
      <c r="AW1067" s="810"/>
      <c r="AX1067" s="810"/>
      <c r="AY1067" s="810"/>
      <c r="AZ1067" s="810"/>
      <c r="BA1067" s="810"/>
      <c r="BB1067" s="810"/>
      <c r="BC1067" s="810"/>
      <c r="BD1067" s="810"/>
      <c r="BE1067" s="810"/>
    </row>
    <row r="1068" spans="1:57" ht="14.25" customHeight="1">
      <c r="A1068" s="859"/>
      <c r="B1068" s="860"/>
      <c r="C1068" s="859"/>
      <c r="D1068" s="859"/>
      <c r="E1068" s="859"/>
      <c r="F1068" s="859"/>
      <c r="G1068" s="861"/>
      <c r="H1068" s="862"/>
      <c r="I1068" s="859"/>
      <c r="J1068" s="859"/>
      <c r="K1068" s="859"/>
      <c r="L1068" s="859"/>
      <c r="M1068" s="859"/>
      <c r="N1068" s="859"/>
      <c r="O1068" s="859"/>
      <c r="P1068" s="859"/>
      <c r="Q1068" s="859"/>
      <c r="R1068" s="859"/>
      <c r="S1068" s="859"/>
      <c r="T1068" s="859"/>
      <c r="U1068" s="859"/>
      <c r="V1068" s="859"/>
      <c r="W1068" s="859"/>
      <c r="X1068" s="859"/>
      <c r="Y1068" s="859"/>
      <c r="Z1068" s="859"/>
      <c r="AA1068" s="859"/>
      <c r="AB1068" s="859"/>
      <c r="AC1068" s="859"/>
      <c r="AD1068" s="859"/>
      <c r="AE1068" s="859"/>
      <c r="AF1068" s="859"/>
      <c r="AG1068" s="859"/>
      <c r="AH1068" s="859"/>
      <c r="AI1068" s="859"/>
      <c r="AJ1068" s="859"/>
      <c r="AK1068" s="859"/>
      <c r="AL1068" s="859"/>
      <c r="AM1068" s="859"/>
      <c r="AN1068" s="859"/>
      <c r="AO1068" s="863"/>
      <c r="AP1068" s="863"/>
      <c r="AQ1068" s="864"/>
      <c r="AR1068" s="864"/>
      <c r="AS1068" s="864"/>
      <c r="AT1068" s="864"/>
      <c r="AU1068" s="864"/>
      <c r="AV1068" s="864"/>
      <c r="AW1068" s="864"/>
      <c r="AX1068" s="864"/>
      <c r="AY1068" s="864"/>
      <c r="AZ1068" s="864"/>
      <c r="BA1068" s="864"/>
      <c r="BB1068" s="864"/>
      <c r="BC1068" s="864"/>
      <c r="BD1068" s="864"/>
      <c r="BE1068" s="864"/>
    </row>
    <row r="1069" spans="1:57" ht="14.25" hidden="1" customHeight="1" outlineLevel="1">
      <c r="A1069" s="3127" t="s">
        <v>2397</v>
      </c>
      <c r="B1069" s="3127"/>
      <c r="C1069" s="3127"/>
      <c r="D1069" s="3127"/>
      <c r="E1069" s="3127"/>
      <c r="F1069" s="3127"/>
      <c r="G1069" s="3127"/>
      <c r="H1069" s="813"/>
      <c r="I1069" s="813"/>
      <c r="J1069" s="813"/>
      <c r="K1069" s="813"/>
      <c r="L1069" s="813"/>
      <c r="M1069" s="813"/>
      <c r="N1069" s="813"/>
      <c r="O1069" s="813"/>
      <c r="P1069" s="813"/>
      <c r="Q1069" s="813"/>
      <c r="R1069" s="813"/>
      <c r="S1069" s="813"/>
      <c r="T1069" s="813"/>
      <c r="U1069" s="813"/>
      <c r="V1069" s="813"/>
      <c r="W1069" s="813"/>
      <c r="X1069" s="813"/>
      <c r="Y1069" s="813"/>
      <c r="Z1069" s="813"/>
      <c r="AA1069" s="813"/>
      <c r="AB1069" s="813"/>
      <c r="AC1069" s="813"/>
      <c r="AD1069" s="813"/>
      <c r="AE1069" s="813"/>
      <c r="AF1069" s="813"/>
      <c r="AG1069" s="813"/>
      <c r="AH1069" s="813"/>
      <c r="AI1069" s="813"/>
      <c r="AJ1069" s="813"/>
      <c r="AK1069" s="813"/>
      <c r="AL1069" s="813"/>
      <c r="AM1069" s="813"/>
      <c r="AN1069" s="813"/>
      <c r="AO1069" s="813"/>
      <c r="AP1069" s="813"/>
      <c r="AQ1069" s="865"/>
      <c r="AR1069" s="866"/>
      <c r="AS1069" s="866"/>
      <c r="AT1069" s="866"/>
      <c r="AU1069" s="866"/>
      <c r="AV1069" s="866"/>
      <c r="AW1069" s="866"/>
      <c r="AX1069" s="866"/>
      <c r="AY1069" s="866"/>
      <c r="AZ1069" s="866"/>
      <c r="BA1069" s="866"/>
      <c r="BB1069" s="866"/>
      <c r="BC1069" s="866"/>
      <c r="BD1069" s="866"/>
      <c r="BE1069" s="866"/>
    </row>
    <row r="1070" spans="1:57" ht="14.25" hidden="1" customHeight="1" outlineLevel="1">
      <c r="A1070" s="3127"/>
      <c r="B1070" s="3127"/>
      <c r="C1070" s="3127"/>
      <c r="D1070" s="3127"/>
      <c r="E1070" s="3127"/>
      <c r="F1070" s="3127"/>
      <c r="G1070" s="3127"/>
      <c r="H1070" s="813"/>
      <c r="I1070" s="813"/>
      <c r="J1070" s="813"/>
      <c r="K1070" s="813"/>
      <c r="L1070" s="813"/>
      <c r="M1070" s="813"/>
      <c r="N1070" s="813"/>
      <c r="O1070" s="813"/>
      <c r="P1070" s="813"/>
      <c r="Q1070" s="813"/>
      <c r="R1070" s="813"/>
      <c r="S1070" s="813"/>
      <c r="T1070" s="813"/>
      <c r="U1070" s="813"/>
      <c r="V1070" s="813"/>
      <c r="W1070" s="813"/>
      <c r="X1070" s="813"/>
      <c r="Y1070" s="813"/>
      <c r="Z1070" s="813"/>
      <c r="AA1070" s="813"/>
      <c r="AB1070" s="813"/>
      <c r="AC1070" s="813"/>
      <c r="AD1070" s="813"/>
      <c r="AE1070" s="813"/>
      <c r="AF1070" s="813"/>
      <c r="AG1070" s="813"/>
      <c r="AH1070" s="813"/>
      <c r="AI1070" s="813"/>
      <c r="AJ1070" s="813"/>
      <c r="AK1070" s="813"/>
      <c r="AL1070" s="813"/>
      <c r="AM1070" s="813"/>
      <c r="AN1070" s="813"/>
      <c r="AO1070" s="813"/>
      <c r="AP1070" s="813"/>
      <c r="AQ1070" s="865"/>
      <c r="AR1070" s="866"/>
      <c r="AS1070" s="866"/>
      <c r="AT1070" s="866"/>
      <c r="AU1070" s="866"/>
      <c r="AV1070" s="866"/>
      <c r="AW1070" s="866"/>
      <c r="AX1070" s="866"/>
      <c r="AY1070" s="866"/>
      <c r="AZ1070" s="866"/>
      <c r="BA1070" s="866"/>
      <c r="BB1070" s="866"/>
      <c r="BC1070" s="866"/>
      <c r="BD1070" s="866"/>
      <c r="BE1070" s="866"/>
    </row>
    <row r="1071" spans="1:57" ht="14.25" hidden="1" customHeight="1" outlineLevel="1">
      <c r="A1071" s="430" t="s">
        <v>1806</v>
      </c>
      <c r="B1071" s="431"/>
      <c r="C1071" s="432"/>
      <c r="D1071" s="611">
        <v>1.1000000000000001</v>
      </c>
      <c r="G1071" s="695"/>
      <c r="H1071" s="695"/>
      <c r="I1071" s="695"/>
      <c r="J1071" s="695"/>
      <c r="K1071" s="695"/>
      <c r="L1071" s="695"/>
      <c r="M1071" s="695"/>
      <c r="N1071" s="695"/>
      <c r="O1071" s="695"/>
      <c r="P1071" s="695"/>
      <c r="Q1071" s="695"/>
      <c r="R1071" s="695"/>
      <c r="S1071" s="695"/>
      <c r="T1071" s="695"/>
      <c r="U1071" s="695"/>
      <c r="V1071" s="695"/>
      <c r="W1071" s="695"/>
      <c r="X1071" s="695"/>
      <c r="Y1071" s="695"/>
      <c r="Z1071" s="695"/>
      <c r="AA1071" s="695"/>
      <c r="AB1071" s="695"/>
      <c r="AC1071" s="695"/>
      <c r="AD1071" s="695"/>
      <c r="AE1071" s="695"/>
      <c r="AF1071" s="492"/>
      <c r="AG1071" s="492"/>
      <c r="AH1071" s="492"/>
      <c r="AI1071" s="867"/>
      <c r="AJ1071" s="492"/>
      <c r="AK1071" s="492"/>
      <c r="AL1071" s="492"/>
      <c r="AM1071" s="492"/>
      <c r="AN1071" s="492"/>
      <c r="AO1071" s="480"/>
      <c r="AP1071" s="480"/>
      <c r="AQ1071" s="867"/>
      <c r="AR1071" s="866"/>
      <c r="AS1071" s="866"/>
      <c r="AT1071" s="866"/>
      <c r="AU1071" s="866"/>
      <c r="AV1071" s="866"/>
      <c r="AW1071" s="866"/>
      <c r="AX1071" s="866"/>
      <c r="AY1071" s="866"/>
      <c r="AZ1071" s="866"/>
      <c r="BA1071" s="866"/>
      <c r="BB1071" s="866"/>
      <c r="BC1071" s="866"/>
      <c r="BD1071" s="866"/>
      <c r="BE1071" s="866"/>
    </row>
    <row r="1072" spans="1:57" ht="14.25" hidden="1" customHeight="1" outlineLevel="1">
      <c r="A1072" s="430" t="s">
        <v>1808</v>
      </c>
      <c r="B1072" s="431"/>
      <c r="C1072" s="432"/>
      <c r="D1072" s="611">
        <v>1</v>
      </c>
      <c r="G1072" s="695"/>
      <c r="H1072" s="695"/>
      <c r="I1072" s="695"/>
      <c r="J1072" s="695"/>
      <c r="K1072" s="695"/>
      <c r="L1072" s="695"/>
      <c r="M1072" s="695"/>
      <c r="N1072" s="695"/>
      <c r="O1072" s="695"/>
      <c r="P1072" s="695"/>
      <c r="Q1072" s="695"/>
      <c r="R1072" s="695"/>
      <c r="S1072" s="695"/>
      <c r="T1072" s="695"/>
      <c r="U1072" s="695"/>
      <c r="V1072" s="695"/>
      <c r="W1072" s="695"/>
      <c r="X1072" s="695"/>
      <c r="Y1072" s="695"/>
      <c r="Z1072" s="695"/>
      <c r="AA1072" s="695"/>
      <c r="AB1072" s="695"/>
      <c r="AC1072" s="695"/>
      <c r="AD1072" s="695"/>
      <c r="AE1072" s="695"/>
      <c r="AF1072" s="492"/>
      <c r="AG1072" s="492"/>
      <c r="AH1072" s="492"/>
      <c r="AI1072" s="492"/>
      <c r="AJ1072" s="492"/>
      <c r="AK1072" s="492"/>
      <c r="AL1072" s="492"/>
      <c r="AM1072" s="492"/>
      <c r="AN1072" s="492"/>
      <c r="AO1072" s="480"/>
      <c r="AP1072" s="480"/>
      <c r="AQ1072" s="867"/>
      <c r="AR1072" s="866"/>
      <c r="AS1072" s="866"/>
      <c r="AT1072" s="866"/>
      <c r="AU1072" s="866"/>
      <c r="AV1072" s="866"/>
      <c r="AW1072" s="866"/>
      <c r="AX1072" s="866"/>
      <c r="AY1072" s="866"/>
      <c r="AZ1072" s="866"/>
      <c r="BA1072" s="866"/>
      <c r="BB1072" s="866"/>
      <c r="BC1072" s="866"/>
      <c r="BD1072" s="866"/>
      <c r="BE1072" s="866"/>
    </row>
    <row r="1073" spans="1:57" ht="14.25" hidden="1" customHeight="1" outlineLevel="1">
      <c r="B1073" s="614"/>
      <c r="C1073" s="695"/>
      <c r="D1073" s="695"/>
      <c r="E1073" s="695"/>
      <c r="F1073" s="695"/>
      <c r="G1073" s="695"/>
      <c r="H1073" s="695"/>
      <c r="I1073" s="695"/>
      <c r="J1073" s="695"/>
      <c r="K1073" s="695"/>
      <c r="L1073" s="695"/>
      <c r="M1073" s="695"/>
      <c r="N1073" s="695"/>
      <c r="O1073" s="695"/>
      <c r="P1073" s="695"/>
      <c r="Q1073" s="695"/>
      <c r="R1073" s="695"/>
      <c r="S1073" s="695"/>
      <c r="T1073" s="695"/>
      <c r="U1073" s="695"/>
      <c r="V1073" s="695"/>
      <c r="W1073" s="695"/>
      <c r="X1073" s="695"/>
      <c r="Y1073" s="614"/>
      <c r="Z1073" s="614"/>
      <c r="AA1073" s="613"/>
      <c r="AB1073" s="614"/>
      <c r="AC1073" s="614"/>
      <c r="AD1073" s="614"/>
      <c r="AE1073" s="614"/>
      <c r="AF1073" s="492"/>
      <c r="AG1073" s="492"/>
      <c r="AH1073" s="492"/>
      <c r="AI1073" s="492"/>
      <c r="AJ1073" s="492"/>
      <c r="AK1073" s="492"/>
      <c r="AL1073" s="492"/>
      <c r="AM1073" s="492"/>
      <c r="AN1073" s="492"/>
      <c r="AO1073" s="480"/>
      <c r="AP1073" s="480"/>
      <c r="AQ1073" s="867"/>
      <c r="AR1073" s="866"/>
      <c r="AS1073" s="866"/>
      <c r="AT1073" s="866"/>
      <c r="AU1073" s="866"/>
      <c r="AV1073" s="866"/>
      <c r="AW1073" s="866"/>
      <c r="AX1073" s="866"/>
      <c r="AY1073" s="866"/>
      <c r="AZ1073" s="866"/>
      <c r="BA1073" s="866"/>
      <c r="BB1073" s="866"/>
      <c r="BC1073" s="866"/>
      <c r="BD1073" s="866"/>
      <c r="BE1073" s="866"/>
    </row>
    <row r="1074" spans="1:57" ht="14.25" hidden="1" customHeight="1" outlineLevel="1">
      <c r="A1074" s="366" t="s">
        <v>2398</v>
      </c>
      <c r="B1074" s="381"/>
      <c r="C1074" s="366"/>
      <c r="G1074" s="695"/>
      <c r="H1074" s="695"/>
      <c r="I1074" s="695"/>
      <c r="J1074" s="695"/>
      <c r="K1074" s="695"/>
      <c r="L1074" s="695"/>
      <c r="M1074" s="695"/>
      <c r="N1074" s="695"/>
      <c r="O1074" s="695"/>
      <c r="P1074" s="695"/>
      <c r="Q1074" s="695"/>
      <c r="R1074" s="695"/>
      <c r="S1074" s="695"/>
      <c r="T1074" s="695"/>
      <c r="U1074" s="695"/>
      <c r="V1074" s="695"/>
      <c r="W1074" s="695"/>
      <c r="X1074" s="695"/>
      <c r="Y1074" s="614"/>
      <c r="Z1074" s="614"/>
      <c r="AA1074" s="613"/>
      <c r="AB1074" s="614"/>
      <c r="AC1074" s="614"/>
      <c r="AD1074" s="614"/>
      <c r="AE1074" s="614"/>
      <c r="AF1074" s="492"/>
      <c r="AG1074" s="492"/>
      <c r="AH1074" s="492"/>
      <c r="AI1074" s="492"/>
      <c r="AJ1074" s="492"/>
      <c r="AK1074" s="492"/>
      <c r="AL1074" s="492"/>
      <c r="AM1074" s="492"/>
      <c r="AN1074" s="492"/>
      <c r="AO1074" s="480"/>
      <c r="AP1074" s="480"/>
      <c r="AQ1074" s="867"/>
      <c r="AR1074" s="866"/>
      <c r="AS1074" s="866"/>
      <c r="AT1074" s="866"/>
      <c r="AU1074" s="866"/>
      <c r="AV1074" s="866"/>
      <c r="AW1074" s="866"/>
      <c r="AX1074" s="866"/>
      <c r="AY1074" s="866"/>
      <c r="AZ1074" s="866"/>
      <c r="BA1074" s="866"/>
      <c r="BB1074" s="866"/>
      <c r="BC1074" s="866"/>
      <c r="BD1074" s="866"/>
      <c r="BE1074" s="866"/>
    </row>
    <row r="1075" spans="1:57" ht="14.25" hidden="1" customHeight="1" outlineLevel="1">
      <c r="A1075" s="868" t="s">
        <v>2399</v>
      </c>
      <c r="B1075" s="490"/>
      <c r="C1075" s="869"/>
      <c r="G1075" s="695"/>
      <c r="H1075" s="695"/>
      <c r="I1075" s="695"/>
      <c r="J1075" s="695"/>
      <c r="K1075" s="695"/>
      <c r="L1075" s="695"/>
      <c r="M1075" s="695"/>
      <c r="N1075" s="695"/>
      <c r="O1075" s="695"/>
      <c r="P1075" s="695"/>
      <c r="Q1075" s="695"/>
      <c r="R1075" s="695"/>
      <c r="S1075" s="695"/>
      <c r="T1075" s="695"/>
      <c r="U1075" s="695"/>
      <c r="V1075" s="695"/>
      <c r="W1075" s="695"/>
      <c r="X1075" s="695"/>
      <c r="Y1075" s="614"/>
      <c r="Z1075" s="614"/>
      <c r="AA1075" s="613"/>
      <c r="AB1075" s="614"/>
      <c r="AC1075" s="614"/>
      <c r="AD1075" s="614"/>
      <c r="AE1075" s="614"/>
      <c r="AF1075" s="492"/>
      <c r="AG1075" s="492"/>
      <c r="AH1075" s="492"/>
      <c r="AI1075" s="492"/>
      <c r="AJ1075" s="492"/>
      <c r="AK1075" s="492"/>
      <c r="AL1075" s="492"/>
      <c r="AM1075" s="492"/>
      <c r="AN1075" s="492"/>
      <c r="AO1075" s="480"/>
      <c r="AP1075" s="480"/>
      <c r="AQ1075" s="867"/>
      <c r="AR1075" s="866"/>
      <c r="AS1075" s="866"/>
      <c r="AT1075" s="866"/>
      <c r="AU1075" s="866"/>
      <c r="AV1075" s="866"/>
      <c r="AW1075" s="866"/>
      <c r="AX1075" s="866"/>
      <c r="AY1075" s="866"/>
      <c r="AZ1075" s="866"/>
      <c r="BA1075" s="866"/>
      <c r="BB1075" s="866"/>
      <c r="BC1075" s="866"/>
      <c r="BD1075" s="866"/>
      <c r="BE1075" s="866"/>
    </row>
    <row r="1076" spans="1:57" ht="14.25" hidden="1" customHeight="1" outlineLevel="1">
      <c r="A1076" s="513" t="s">
        <v>2400</v>
      </c>
      <c r="B1076" s="490"/>
      <c r="C1076" s="869"/>
      <c r="G1076" s="695"/>
      <c r="H1076" s="695"/>
      <c r="I1076" s="695"/>
      <c r="J1076" s="695"/>
      <c r="K1076" s="695"/>
      <c r="L1076" s="695"/>
      <c r="M1076" s="695"/>
      <c r="N1076" s="695"/>
      <c r="O1076" s="695"/>
      <c r="P1076" s="695"/>
      <c r="Q1076" s="695"/>
      <c r="R1076" s="695"/>
      <c r="S1076" s="695"/>
      <c r="T1076" s="695"/>
      <c r="U1076" s="695"/>
      <c r="V1076" s="695"/>
      <c r="W1076" s="695"/>
      <c r="X1076" s="695"/>
      <c r="Y1076" s="614"/>
      <c r="Z1076" s="614"/>
      <c r="AA1076" s="613"/>
      <c r="AB1076" s="614"/>
      <c r="AC1076" s="614"/>
      <c r="AD1076" s="614"/>
      <c r="AE1076" s="614"/>
      <c r="AF1076" s="492"/>
      <c r="AG1076" s="492"/>
      <c r="AH1076" s="492"/>
      <c r="AI1076" s="492"/>
      <c r="AJ1076" s="492"/>
      <c r="AK1076" s="492"/>
      <c r="AL1076" s="492"/>
      <c r="AM1076" s="492"/>
      <c r="AN1076" s="492"/>
      <c r="AO1076" s="480"/>
      <c r="AP1076" s="480"/>
      <c r="AQ1076" s="867"/>
      <c r="AR1076" s="866"/>
      <c r="AS1076" s="866"/>
      <c r="AT1076" s="866"/>
      <c r="AU1076" s="866"/>
      <c r="AV1076" s="866"/>
      <c r="AW1076" s="866"/>
      <c r="AX1076" s="866"/>
      <c r="AY1076" s="866"/>
      <c r="AZ1076" s="866"/>
      <c r="BA1076" s="866"/>
      <c r="BB1076" s="866"/>
      <c r="BC1076" s="866"/>
      <c r="BD1076" s="866"/>
      <c r="BE1076" s="866"/>
    </row>
    <row r="1077" spans="1:57" ht="14.25" hidden="1" customHeight="1" outlineLevel="1">
      <c r="A1077" s="870" t="s">
        <v>2401</v>
      </c>
      <c r="B1077" s="490"/>
      <c r="C1077" s="492"/>
      <c r="G1077" s="695"/>
      <c r="H1077" s="695"/>
      <c r="I1077" s="695"/>
      <c r="J1077" s="695"/>
      <c r="K1077" s="695"/>
      <c r="L1077" s="695"/>
      <c r="M1077" s="695"/>
      <c r="N1077" s="695"/>
      <c r="O1077" s="695"/>
      <c r="P1077" s="695"/>
      <c r="Q1077" s="695"/>
      <c r="R1077" s="695"/>
      <c r="S1077" s="695"/>
      <c r="T1077" s="695"/>
      <c r="U1077" s="695"/>
      <c r="V1077" s="695"/>
      <c r="W1077" s="695"/>
      <c r="X1077" s="695"/>
      <c r="Y1077" s="614"/>
      <c r="Z1077" s="614"/>
      <c r="AA1077" s="613"/>
      <c r="AB1077" s="614"/>
      <c r="AC1077" s="614"/>
      <c r="AD1077" s="614"/>
      <c r="AE1077" s="614"/>
      <c r="AF1077" s="492"/>
      <c r="AG1077" s="492"/>
      <c r="AH1077" s="492"/>
      <c r="AI1077" s="492"/>
      <c r="AJ1077" s="492"/>
      <c r="AK1077" s="492"/>
      <c r="AL1077" s="492"/>
      <c r="AM1077" s="492"/>
      <c r="AN1077" s="492"/>
      <c r="AO1077" s="480"/>
      <c r="AP1077" s="480"/>
      <c r="AQ1077" s="867"/>
      <c r="AR1077" s="866"/>
      <c r="AS1077" s="866"/>
      <c r="AT1077" s="866"/>
      <c r="AU1077" s="866"/>
      <c r="AV1077" s="866"/>
      <c r="AW1077" s="866"/>
      <c r="AX1077" s="866"/>
      <c r="AY1077" s="866"/>
      <c r="AZ1077" s="866"/>
      <c r="BA1077" s="866"/>
      <c r="BB1077" s="866"/>
      <c r="BC1077" s="866"/>
      <c r="BD1077" s="866"/>
      <c r="BE1077" s="866"/>
    </row>
    <row r="1078" spans="1:57" ht="14.25" hidden="1" customHeight="1" outlineLevel="1">
      <c r="A1078" s="513" t="s">
        <v>2402</v>
      </c>
      <c r="B1078" s="490"/>
      <c r="C1078" s="492"/>
      <c r="G1078" s="695"/>
      <c r="H1078" s="695"/>
      <c r="I1078" s="695"/>
      <c r="J1078" s="695"/>
      <c r="K1078" s="695"/>
      <c r="L1078" s="695"/>
      <c r="M1078" s="695"/>
      <c r="N1078" s="695"/>
      <c r="O1078" s="695"/>
      <c r="P1078" s="695"/>
      <c r="Q1078" s="695"/>
      <c r="R1078" s="695"/>
      <c r="S1078" s="695"/>
      <c r="T1078" s="695"/>
      <c r="U1078" s="695"/>
      <c r="V1078" s="695"/>
      <c r="W1078" s="695"/>
      <c r="X1078" s="695"/>
      <c r="Y1078" s="614"/>
      <c r="Z1078" s="614"/>
      <c r="AA1078" s="613"/>
      <c r="AB1078" s="614"/>
      <c r="AC1078" s="614"/>
      <c r="AD1078" s="614"/>
      <c r="AE1078" s="614"/>
      <c r="AF1078" s="492"/>
      <c r="AG1078" s="492"/>
      <c r="AH1078" s="492"/>
      <c r="AI1078" s="492"/>
      <c r="AJ1078" s="492"/>
      <c r="AK1078" s="492"/>
      <c r="AL1078" s="492"/>
      <c r="AM1078" s="492"/>
      <c r="AN1078" s="492"/>
      <c r="AO1078" s="480"/>
      <c r="AP1078" s="480"/>
      <c r="AQ1078" s="867"/>
      <c r="AR1078" s="866"/>
      <c r="AS1078" s="866"/>
      <c r="AT1078" s="866"/>
      <c r="AU1078" s="866"/>
      <c r="AV1078" s="866"/>
      <c r="AW1078" s="866"/>
      <c r="AX1078" s="866"/>
      <c r="AY1078" s="866"/>
      <c r="AZ1078" s="866"/>
      <c r="BA1078" s="866"/>
      <c r="BB1078" s="866"/>
      <c r="BC1078" s="866"/>
      <c r="BD1078" s="866"/>
      <c r="BE1078" s="866"/>
    </row>
    <row r="1079" spans="1:57" ht="14.25" hidden="1" customHeight="1" outlineLevel="1">
      <c r="A1079" s="871" t="s">
        <v>43</v>
      </c>
      <c r="B1079" s="490"/>
      <c r="C1079" s="492"/>
      <c r="G1079" s="695"/>
      <c r="H1079" s="695"/>
      <c r="I1079" s="695"/>
      <c r="J1079" s="695"/>
      <c r="K1079" s="695"/>
      <c r="L1079" s="695"/>
      <c r="M1079" s="695"/>
      <c r="N1079" s="695"/>
      <c r="O1079" s="695"/>
      <c r="P1079" s="695"/>
      <c r="Q1079" s="695"/>
      <c r="R1079" s="695"/>
      <c r="S1079" s="695"/>
      <c r="T1079" s="695"/>
      <c r="U1079" s="695"/>
      <c r="V1079" s="695"/>
      <c r="W1079" s="695"/>
      <c r="X1079" s="695"/>
      <c r="Y1079" s="614"/>
      <c r="Z1079" s="614"/>
      <c r="AA1079" s="613"/>
      <c r="AB1079" s="614"/>
      <c r="AC1079" s="614"/>
      <c r="AD1079" s="614"/>
      <c r="AE1079" s="614"/>
      <c r="AF1079" s="492"/>
      <c r="AG1079" s="492"/>
      <c r="AH1079" s="492"/>
      <c r="AI1079" s="492"/>
      <c r="AJ1079" s="492"/>
      <c r="AK1079" s="492"/>
      <c r="AL1079" s="492"/>
      <c r="AM1079" s="492"/>
      <c r="AN1079" s="492"/>
      <c r="AO1079" s="480"/>
      <c r="AP1079" s="480"/>
      <c r="AQ1079" s="867"/>
      <c r="AR1079" s="866"/>
      <c r="AS1079" s="866"/>
      <c r="AT1079" s="866"/>
      <c r="AU1079" s="866"/>
      <c r="AV1079" s="866"/>
      <c r="AW1079" s="866"/>
      <c r="AX1079" s="866"/>
      <c r="AY1079" s="866"/>
      <c r="AZ1079" s="866"/>
      <c r="BA1079" s="866"/>
      <c r="BB1079" s="866"/>
      <c r="BC1079" s="866"/>
      <c r="BD1079" s="866"/>
      <c r="BE1079" s="866"/>
    </row>
    <row r="1080" spans="1:57" ht="14.25" hidden="1" customHeight="1" outlineLevel="1">
      <c r="A1080" s="513"/>
      <c r="B1080" s="490"/>
      <c r="C1080" s="492"/>
      <c r="G1080" s="695"/>
      <c r="H1080" s="695"/>
      <c r="I1080" s="695"/>
      <c r="J1080" s="695"/>
      <c r="K1080" s="695"/>
      <c r="L1080" s="695"/>
      <c r="M1080" s="695"/>
      <c r="N1080" s="695"/>
      <c r="O1080" s="695"/>
      <c r="P1080" s="695"/>
      <c r="Q1080" s="695"/>
      <c r="R1080" s="695"/>
      <c r="S1080" s="695"/>
      <c r="T1080" s="695"/>
      <c r="U1080" s="695"/>
      <c r="V1080" s="695"/>
      <c r="W1080" s="695"/>
      <c r="X1080" s="695"/>
      <c r="Y1080" s="614"/>
      <c r="Z1080" s="614"/>
      <c r="AA1080" s="613"/>
      <c r="AB1080" s="614"/>
      <c r="AC1080" s="614"/>
      <c r="AD1080" s="614"/>
      <c r="AE1080" s="614"/>
      <c r="AF1080" s="492"/>
      <c r="AG1080" s="492"/>
      <c r="AH1080" s="492"/>
      <c r="AI1080" s="492"/>
      <c r="AJ1080" s="492"/>
      <c r="AK1080" s="492"/>
      <c r="AL1080" s="492"/>
      <c r="AM1080" s="492"/>
      <c r="AN1080" s="492"/>
      <c r="AO1080" s="480"/>
      <c r="AP1080" s="480"/>
      <c r="AQ1080" s="867"/>
      <c r="AR1080" s="866"/>
      <c r="AS1080" s="866"/>
      <c r="AT1080" s="866"/>
      <c r="AU1080" s="866"/>
      <c r="AV1080" s="866"/>
      <c r="AW1080" s="866"/>
      <c r="AX1080" s="866"/>
      <c r="AY1080" s="866"/>
      <c r="AZ1080" s="866"/>
      <c r="BA1080" s="866"/>
      <c r="BB1080" s="866"/>
      <c r="BC1080" s="866"/>
      <c r="BD1080" s="866"/>
      <c r="BE1080" s="866"/>
    </row>
    <row r="1081" spans="1:57" ht="14.25" hidden="1" customHeight="1" outlineLevel="1">
      <c r="A1081" s="366" t="s">
        <v>2403</v>
      </c>
      <c r="B1081" s="490"/>
      <c r="C1081" s="492"/>
      <c r="G1081" s="695"/>
      <c r="H1081" s="695"/>
      <c r="I1081" s="695"/>
      <c r="J1081" s="695"/>
      <c r="K1081" s="695"/>
      <c r="L1081" s="695"/>
      <c r="M1081" s="695"/>
      <c r="N1081" s="695"/>
      <c r="O1081" s="695"/>
      <c r="P1081" s="695"/>
      <c r="Q1081" s="695"/>
      <c r="R1081" s="695"/>
      <c r="S1081" s="695"/>
      <c r="T1081" s="695"/>
      <c r="U1081" s="695"/>
      <c r="V1081" s="695"/>
      <c r="W1081" s="695"/>
      <c r="X1081" s="695"/>
      <c r="Y1081" s="614"/>
      <c r="Z1081" s="614"/>
      <c r="AA1081" s="613"/>
      <c r="AB1081" s="614"/>
      <c r="AC1081" s="614"/>
      <c r="AD1081" s="614"/>
      <c r="AE1081" s="614"/>
      <c r="AF1081" s="492"/>
      <c r="AG1081" s="492"/>
      <c r="AH1081" s="492"/>
      <c r="AI1081" s="492"/>
      <c r="AJ1081" s="492"/>
      <c r="AK1081" s="492"/>
      <c r="AL1081" s="492"/>
      <c r="AM1081" s="492"/>
      <c r="AN1081" s="492"/>
      <c r="AO1081" s="480"/>
      <c r="AP1081" s="480"/>
      <c r="AQ1081" s="867"/>
      <c r="AR1081" s="866"/>
      <c r="AS1081" s="866"/>
      <c r="AT1081" s="866"/>
      <c r="AU1081" s="866"/>
      <c r="AV1081" s="866"/>
      <c r="AW1081" s="866"/>
      <c r="AX1081" s="866"/>
      <c r="AY1081" s="866"/>
      <c r="AZ1081" s="866"/>
      <c r="BA1081" s="866"/>
      <c r="BB1081" s="866"/>
      <c r="BC1081" s="866"/>
      <c r="BD1081" s="866"/>
      <c r="BE1081" s="866"/>
    </row>
    <row r="1082" spans="1:57" ht="14.25" hidden="1" customHeight="1" outlineLevel="1">
      <c r="A1082" s="870" t="s">
        <v>2404</v>
      </c>
      <c r="B1082" s="490"/>
      <c r="C1082" s="492"/>
      <c r="G1082" s="695"/>
      <c r="H1082" s="695"/>
      <c r="I1082" s="695"/>
      <c r="J1082" s="695"/>
      <c r="K1082" s="695"/>
      <c r="L1082" s="695"/>
      <c r="M1082" s="695"/>
      <c r="N1082" s="695"/>
      <c r="O1082" s="695"/>
      <c r="P1082" s="695"/>
      <c r="Q1082" s="695"/>
      <c r="R1082" s="695"/>
      <c r="S1082" s="695"/>
      <c r="T1082" s="695"/>
      <c r="U1082" s="695"/>
      <c r="V1082" s="695"/>
      <c r="W1082" s="695"/>
      <c r="X1082" s="695"/>
      <c r="Y1082" s="614"/>
      <c r="Z1082" s="614"/>
      <c r="AA1082" s="613"/>
      <c r="AB1082" s="614"/>
      <c r="AC1082" s="614"/>
      <c r="AD1082" s="614"/>
      <c r="AE1082" s="614"/>
      <c r="AF1082" s="492"/>
      <c r="AG1082" s="492"/>
      <c r="AH1082" s="492"/>
      <c r="AI1082" s="492"/>
      <c r="AJ1082" s="492"/>
      <c r="AK1082" s="492"/>
      <c r="AL1082" s="492"/>
      <c r="AM1082" s="492"/>
      <c r="AN1082" s="492"/>
      <c r="AO1082" s="480"/>
      <c r="AP1082" s="480"/>
      <c r="AQ1082" s="867"/>
      <c r="AR1082" s="866"/>
      <c r="AS1082" s="866"/>
      <c r="AT1082" s="866"/>
      <c r="AU1082" s="866"/>
      <c r="AV1082" s="866"/>
      <c r="AW1082" s="866"/>
      <c r="AX1082" s="866"/>
      <c r="AY1082" s="866"/>
      <c r="AZ1082" s="866"/>
      <c r="BA1082" s="866"/>
      <c r="BB1082" s="866"/>
      <c r="BC1082" s="866"/>
      <c r="BD1082" s="866"/>
      <c r="BE1082" s="866"/>
    </row>
    <row r="1083" spans="1:57" ht="14.25" hidden="1" customHeight="1" outlineLevel="1">
      <c r="A1083" s="513" t="s">
        <v>2405</v>
      </c>
      <c r="B1083" s="490"/>
      <c r="C1083" s="492"/>
      <c r="G1083" s="695"/>
      <c r="H1083" s="695"/>
      <c r="I1083" s="695"/>
      <c r="J1083" s="695"/>
      <c r="K1083" s="695"/>
      <c r="L1083" s="695"/>
      <c r="M1083" s="695"/>
      <c r="N1083" s="695"/>
      <c r="O1083" s="695"/>
      <c r="P1083" s="695"/>
      <c r="Q1083" s="695"/>
      <c r="R1083" s="695"/>
      <c r="S1083" s="695"/>
      <c r="T1083" s="695"/>
      <c r="U1083" s="695"/>
      <c r="V1083" s="695"/>
      <c r="W1083" s="695"/>
      <c r="X1083" s="695"/>
      <c r="Y1083" s="614"/>
      <c r="Z1083" s="614"/>
      <c r="AA1083" s="613"/>
      <c r="AB1083" s="614"/>
      <c r="AC1083" s="614"/>
      <c r="AD1083" s="614"/>
      <c r="AE1083" s="614"/>
      <c r="AF1083" s="492"/>
      <c r="AG1083" s="492"/>
      <c r="AH1083" s="492"/>
      <c r="AI1083" s="492"/>
      <c r="AJ1083" s="492"/>
      <c r="AK1083" s="492"/>
      <c r="AL1083" s="492"/>
      <c r="AM1083" s="492"/>
      <c r="AN1083" s="492"/>
      <c r="AO1083" s="480"/>
      <c r="AP1083" s="480"/>
      <c r="AQ1083" s="867"/>
      <c r="AR1083" s="866"/>
      <c r="AS1083" s="866"/>
      <c r="AT1083" s="866"/>
      <c r="AU1083" s="866"/>
      <c r="AV1083" s="866"/>
      <c r="AW1083" s="866"/>
      <c r="AX1083" s="866"/>
      <c r="AY1083" s="866"/>
      <c r="AZ1083" s="866"/>
      <c r="BA1083" s="866"/>
      <c r="BB1083" s="866"/>
      <c r="BC1083" s="866"/>
      <c r="BD1083" s="866"/>
      <c r="BE1083" s="866"/>
    </row>
    <row r="1084" spans="1:57" ht="14.25" hidden="1" customHeight="1" outlineLevel="1">
      <c r="A1084" s="870" t="s">
        <v>2404</v>
      </c>
      <c r="B1084" s="490"/>
      <c r="C1084" s="492"/>
      <c r="G1084" s="695"/>
      <c r="H1084" s="695"/>
      <c r="I1084" s="695"/>
      <c r="J1084" s="695"/>
      <c r="K1084" s="695"/>
      <c r="L1084" s="695"/>
      <c r="M1084" s="695"/>
      <c r="N1084" s="695"/>
      <c r="O1084" s="695"/>
      <c r="P1084" s="695"/>
      <c r="Q1084" s="695"/>
      <c r="R1084" s="695"/>
      <c r="S1084" s="695"/>
      <c r="T1084" s="695"/>
      <c r="U1084" s="695"/>
      <c r="V1084" s="695"/>
      <c r="W1084" s="695"/>
      <c r="X1084" s="695"/>
      <c r="Y1084" s="614"/>
      <c r="Z1084" s="614"/>
      <c r="AA1084" s="613"/>
      <c r="AB1084" s="614"/>
      <c r="AC1084" s="614"/>
      <c r="AD1084" s="614"/>
      <c r="AE1084" s="614"/>
      <c r="AF1084" s="492"/>
      <c r="AG1084" s="492"/>
      <c r="AH1084" s="492"/>
      <c r="AI1084" s="492"/>
      <c r="AJ1084" s="492"/>
      <c r="AK1084" s="492"/>
      <c r="AL1084" s="492"/>
      <c r="AM1084" s="492"/>
      <c r="AN1084" s="492"/>
      <c r="AO1084" s="480"/>
      <c r="AP1084" s="480"/>
      <c r="AQ1084" s="867"/>
      <c r="AR1084" s="866"/>
      <c r="AS1084" s="866"/>
      <c r="AT1084" s="866"/>
      <c r="AU1084" s="866"/>
      <c r="AV1084" s="866"/>
      <c r="AW1084" s="866"/>
      <c r="AX1084" s="866"/>
      <c r="AY1084" s="866"/>
      <c r="AZ1084" s="866"/>
      <c r="BA1084" s="866"/>
      <c r="BB1084" s="866"/>
      <c r="BC1084" s="866"/>
      <c r="BD1084" s="866"/>
      <c r="BE1084" s="866"/>
    </row>
    <row r="1085" spans="1:57" ht="14.25" hidden="1" customHeight="1" outlineLevel="1">
      <c r="A1085" s="513" t="s">
        <v>2406</v>
      </c>
      <c r="B1085" s="490"/>
      <c r="C1085" s="492"/>
      <c r="G1085" s="695"/>
      <c r="H1085" s="695"/>
      <c r="I1085" s="695"/>
      <c r="J1085" s="695"/>
      <c r="K1085" s="695"/>
      <c r="L1085" s="695"/>
      <c r="M1085" s="695"/>
      <c r="N1085" s="695"/>
      <c r="O1085" s="695"/>
      <c r="P1085" s="695"/>
      <c r="Q1085" s="695"/>
      <c r="R1085" s="695"/>
      <c r="S1085" s="695"/>
      <c r="T1085" s="695"/>
      <c r="U1085" s="695"/>
      <c r="V1085" s="695"/>
      <c r="W1085" s="695"/>
      <c r="X1085" s="695"/>
      <c r="Y1085" s="614"/>
      <c r="Z1085" s="614"/>
      <c r="AA1085" s="613"/>
      <c r="AB1085" s="614"/>
      <c r="AC1085" s="614"/>
      <c r="AD1085" s="614"/>
      <c r="AE1085" s="614"/>
      <c r="AF1085" s="492"/>
      <c r="AG1085" s="492"/>
      <c r="AH1085" s="492"/>
      <c r="AI1085" s="492"/>
      <c r="AJ1085" s="492"/>
      <c r="AK1085" s="492"/>
      <c r="AL1085" s="492"/>
      <c r="AM1085" s="492"/>
      <c r="AN1085" s="492"/>
      <c r="AO1085" s="480"/>
      <c r="AP1085" s="480"/>
      <c r="AQ1085" s="867"/>
      <c r="AR1085" s="866"/>
      <c r="AS1085" s="866"/>
      <c r="AT1085" s="866"/>
      <c r="AU1085" s="866"/>
      <c r="AV1085" s="866"/>
      <c r="AW1085" s="866"/>
      <c r="AX1085" s="866"/>
      <c r="AY1085" s="866"/>
      <c r="AZ1085" s="866"/>
      <c r="BA1085" s="866"/>
      <c r="BB1085" s="866"/>
      <c r="BC1085" s="866"/>
      <c r="BD1085" s="866"/>
      <c r="BE1085" s="866"/>
    </row>
    <row r="1086" spans="1:57" ht="14.25" hidden="1" customHeight="1" outlineLevel="1">
      <c r="A1086" s="871" t="s">
        <v>2407</v>
      </c>
      <c r="B1086" s="490"/>
      <c r="C1086" s="492"/>
      <c r="G1086" s="695"/>
      <c r="H1086" s="695"/>
      <c r="I1086" s="695"/>
      <c r="J1086" s="695"/>
      <c r="K1086" s="695"/>
      <c r="L1086" s="695"/>
      <c r="M1086" s="695"/>
      <c r="N1086" s="695"/>
      <c r="O1086" s="695"/>
      <c r="P1086" s="695"/>
      <c r="Q1086" s="695"/>
      <c r="R1086" s="695"/>
      <c r="S1086" s="695"/>
      <c r="T1086" s="695"/>
      <c r="U1086" s="695"/>
      <c r="V1086" s="695"/>
      <c r="W1086" s="695"/>
      <c r="X1086" s="695"/>
      <c r="Y1086" s="614"/>
      <c r="Z1086" s="614"/>
      <c r="AA1086" s="613"/>
      <c r="AB1086" s="614"/>
      <c r="AC1086" s="614"/>
      <c r="AD1086" s="614"/>
      <c r="AE1086" s="614"/>
      <c r="AF1086" s="492"/>
      <c r="AG1086" s="492"/>
      <c r="AH1086" s="492"/>
      <c r="AI1086" s="492"/>
      <c r="AJ1086" s="492"/>
      <c r="AK1086" s="492"/>
      <c r="AL1086" s="492"/>
      <c r="AM1086" s="492"/>
      <c r="AN1086" s="492"/>
      <c r="AO1086" s="480"/>
      <c r="AP1086" s="480"/>
      <c r="AQ1086" s="867"/>
      <c r="AR1086" s="866"/>
      <c r="AS1086" s="866"/>
      <c r="AT1086" s="866"/>
      <c r="AU1086" s="866"/>
      <c r="AV1086" s="866"/>
      <c r="AW1086" s="866"/>
      <c r="AX1086" s="866"/>
      <c r="AY1086" s="866"/>
      <c r="AZ1086" s="866"/>
      <c r="BA1086" s="866"/>
      <c r="BB1086" s="866"/>
      <c r="BC1086" s="866"/>
      <c r="BD1086" s="866"/>
      <c r="BE1086" s="866"/>
    </row>
    <row r="1087" spans="1:57" ht="14.25" hidden="1" customHeight="1" outlineLevel="1">
      <c r="A1087" s="872"/>
      <c r="B1087" s="490"/>
      <c r="C1087" s="492"/>
      <c r="G1087" s="695"/>
      <c r="H1087" s="695"/>
      <c r="I1087" s="695"/>
      <c r="J1087" s="695"/>
      <c r="K1087" s="695"/>
      <c r="L1087" s="695"/>
      <c r="M1087" s="695"/>
      <c r="N1087" s="695"/>
      <c r="O1087" s="695"/>
      <c r="P1087" s="695"/>
      <c r="Q1087" s="695"/>
      <c r="R1087" s="695"/>
      <c r="S1087" s="695"/>
      <c r="T1087" s="695"/>
      <c r="U1087" s="695"/>
      <c r="V1087" s="695"/>
      <c r="W1087" s="695"/>
      <c r="X1087" s="695"/>
      <c r="Y1087" s="614"/>
      <c r="Z1087" s="614"/>
      <c r="AA1087" s="613"/>
      <c r="AB1087" s="614"/>
      <c r="AC1087" s="614"/>
      <c r="AD1087" s="614"/>
      <c r="AE1087" s="614"/>
      <c r="AF1087" s="492"/>
      <c r="AG1087" s="492"/>
      <c r="AH1087" s="492"/>
      <c r="AI1087" s="492"/>
      <c r="AJ1087" s="492"/>
      <c r="AK1087" s="492"/>
      <c r="AL1087" s="492"/>
      <c r="AM1087" s="492"/>
      <c r="AN1087" s="492"/>
      <c r="AO1087" s="480"/>
      <c r="AP1087" s="480"/>
      <c r="AQ1087" s="867"/>
      <c r="AR1087" s="866"/>
      <c r="AS1087" s="866"/>
      <c r="AT1087" s="866"/>
      <c r="AU1087" s="866"/>
      <c r="AV1087" s="866"/>
      <c r="AW1087" s="866"/>
      <c r="AX1087" s="866"/>
      <c r="AY1087" s="866"/>
      <c r="AZ1087" s="866"/>
      <c r="BA1087" s="866"/>
      <c r="BB1087" s="866"/>
      <c r="BC1087" s="866"/>
      <c r="BD1087" s="866"/>
      <c r="BE1087" s="866"/>
    </row>
    <row r="1088" spans="1:57" ht="14.25" hidden="1" customHeight="1" outlineLevel="1">
      <c r="A1088" s="513" t="s">
        <v>2408</v>
      </c>
      <c r="B1088" s="3080" t="s">
        <v>2409</v>
      </c>
      <c r="C1088" s="3080"/>
      <c r="G1088" s="695"/>
      <c r="H1088" s="695"/>
      <c r="I1088" s="695"/>
      <c r="J1088" s="695"/>
      <c r="K1088" s="695"/>
      <c r="L1088" s="695"/>
      <c r="M1088" s="695"/>
      <c r="N1088" s="695"/>
      <c r="O1088" s="695"/>
      <c r="P1088" s="695"/>
      <c r="Q1088" s="695"/>
      <c r="R1088" s="695"/>
      <c r="S1088" s="695"/>
      <c r="T1088" s="695"/>
      <c r="U1088" s="695"/>
      <c r="V1088" s="695"/>
      <c r="W1088" s="695"/>
      <c r="X1088" s="695"/>
      <c r="Y1088" s="614"/>
      <c r="Z1088" s="614"/>
      <c r="AA1088" s="613"/>
      <c r="AB1088" s="614"/>
      <c r="AC1088" s="614"/>
      <c r="AD1088" s="614"/>
      <c r="AE1088" s="614"/>
      <c r="AF1088" s="492"/>
      <c r="AG1088" s="492"/>
      <c r="AH1088" s="492"/>
      <c r="AI1088" s="492"/>
      <c r="AJ1088" s="492"/>
      <c r="AK1088" s="492"/>
      <c r="AL1088" s="492"/>
      <c r="AM1088" s="492"/>
      <c r="AN1088" s="492"/>
      <c r="AO1088" s="480"/>
      <c r="AP1088" s="480"/>
      <c r="AQ1088" s="867"/>
      <c r="AR1088" s="866"/>
      <c r="AS1088" s="866"/>
      <c r="AT1088" s="866"/>
      <c r="AU1088" s="866"/>
      <c r="AV1088" s="866"/>
      <c r="AW1088" s="866"/>
      <c r="AX1088" s="866"/>
      <c r="AY1088" s="866"/>
      <c r="AZ1088" s="866"/>
      <c r="BA1088" s="866"/>
      <c r="BB1088" s="866"/>
      <c r="BC1088" s="866"/>
      <c r="BD1088" s="866"/>
      <c r="BE1088" s="866"/>
    </row>
    <row r="1089" spans="1:57" ht="14.25" hidden="1" customHeight="1" outlineLevel="1">
      <c r="A1089" s="873" t="s">
        <v>963</v>
      </c>
      <c r="B1089" s="261" t="s">
        <v>156</v>
      </c>
      <c r="C1089" s="263">
        <v>0.4</v>
      </c>
      <c r="G1089" s="695"/>
      <c r="H1089" s="695"/>
      <c r="I1089" s="695"/>
      <c r="J1089" s="695"/>
      <c r="K1089" s="695"/>
      <c r="L1089" s="695"/>
      <c r="M1089" s="695"/>
      <c r="N1089" s="695"/>
      <c r="O1089" s="695"/>
      <c r="P1089" s="695"/>
      <c r="Q1089" s="695"/>
      <c r="R1089" s="695"/>
      <c r="S1089" s="695"/>
      <c r="T1089" s="695"/>
      <c r="U1089" s="695"/>
      <c r="V1089" s="695"/>
      <c r="W1089" s="695"/>
      <c r="X1089" s="695"/>
      <c r="Y1089" s="614"/>
      <c r="Z1089" s="614"/>
      <c r="AA1089" s="613"/>
      <c r="AB1089" s="614"/>
      <c r="AC1089" s="614"/>
      <c r="AD1089" s="614"/>
      <c r="AE1089" s="614"/>
      <c r="AF1089" s="492"/>
      <c r="AG1089" s="492"/>
      <c r="AH1089" s="492"/>
      <c r="AI1089" s="492"/>
      <c r="AJ1089" s="492"/>
      <c r="AK1089" s="492"/>
      <c r="AL1089" s="492"/>
      <c r="AM1089" s="492"/>
      <c r="AN1089" s="492"/>
      <c r="AO1089" s="480"/>
      <c r="AP1089" s="480"/>
      <c r="AQ1089" s="867"/>
      <c r="AR1089" s="866"/>
      <c r="AS1089" s="866"/>
      <c r="AT1089" s="866"/>
      <c r="AU1089" s="866"/>
      <c r="AV1089" s="866"/>
      <c r="AW1089" s="866"/>
      <c r="AX1089" s="866"/>
      <c r="AY1089" s="866"/>
      <c r="AZ1089" s="866"/>
      <c r="BA1089" s="866"/>
      <c r="BB1089" s="866"/>
      <c r="BC1089" s="866"/>
      <c r="BD1089" s="866"/>
      <c r="BE1089" s="866"/>
    </row>
    <row r="1090" spans="1:57" ht="14.25" hidden="1" customHeight="1" outlineLevel="1">
      <c r="A1090" s="513" t="s">
        <v>2410</v>
      </c>
      <c r="B1090" s="490"/>
      <c r="C1090" s="492"/>
      <c r="G1090" s="695"/>
      <c r="H1090" s="695"/>
      <c r="I1090" s="695"/>
      <c r="J1090" s="695"/>
      <c r="K1090" s="695"/>
      <c r="L1090" s="695"/>
      <c r="M1090" s="695"/>
      <c r="N1090" s="695"/>
      <c r="O1090" s="695"/>
      <c r="P1090" s="695"/>
      <c r="Q1090" s="695"/>
      <c r="R1090" s="695"/>
      <c r="S1090" s="695"/>
      <c r="T1090" s="695"/>
      <c r="U1090" s="695"/>
      <c r="V1090" s="695"/>
      <c r="W1090" s="695"/>
      <c r="X1090" s="695"/>
      <c r="Y1090" s="614"/>
      <c r="Z1090" s="614"/>
      <c r="AA1090" s="613"/>
      <c r="AB1090" s="614"/>
      <c r="AC1090" s="614"/>
      <c r="AD1090" s="614"/>
      <c r="AE1090" s="614"/>
      <c r="AF1090" s="492"/>
      <c r="AG1090" s="492"/>
      <c r="AH1090" s="492"/>
      <c r="AI1090" s="492"/>
      <c r="AJ1090" s="492"/>
      <c r="AK1090" s="492"/>
      <c r="AL1090" s="492"/>
      <c r="AM1090" s="492"/>
      <c r="AN1090" s="492"/>
      <c r="AO1090" s="480"/>
      <c r="AP1090" s="480"/>
      <c r="AQ1090" s="867"/>
      <c r="AR1090" s="866"/>
      <c r="AS1090" s="866"/>
      <c r="AT1090" s="866"/>
      <c r="AU1090" s="866"/>
      <c r="AV1090" s="866"/>
      <c r="AW1090" s="866"/>
      <c r="AX1090" s="866"/>
      <c r="AY1090" s="866"/>
      <c r="AZ1090" s="866"/>
      <c r="BA1090" s="866"/>
      <c r="BB1090" s="866"/>
      <c r="BC1090" s="866"/>
      <c r="BD1090" s="866"/>
      <c r="BE1090" s="866"/>
    </row>
    <row r="1091" spans="1:57" ht="14.25" hidden="1" customHeight="1" outlineLevel="1">
      <c r="A1091" s="873" t="s">
        <v>963</v>
      </c>
      <c r="B1091" s="261" t="s">
        <v>156</v>
      </c>
      <c r="C1091" s="263">
        <v>0.3</v>
      </c>
      <c r="G1091" s="695"/>
      <c r="H1091" s="695"/>
      <c r="I1091" s="695"/>
      <c r="J1091" s="695"/>
      <c r="K1091" s="695"/>
      <c r="L1091" s="695"/>
      <c r="M1091" s="695"/>
      <c r="N1091" s="695"/>
      <c r="O1091" s="695"/>
      <c r="P1091" s="695"/>
      <c r="Q1091" s="695"/>
      <c r="R1091" s="695"/>
      <c r="S1091" s="695"/>
      <c r="T1091" s="695"/>
      <c r="U1091" s="695"/>
      <c r="V1091" s="695"/>
      <c r="W1091" s="695"/>
      <c r="X1091" s="695"/>
      <c r="Y1091" s="614"/>
      <c r="Z1091" s="614"/>
      <c r="AA1091" s="613"/>
      <c r="AB1091" s="614"/>
      <c r="AC1091" s="614"/>
      <c r="AD1091" s="614"/>
      <c r="AE1091" s="614"/>
      <c r="AF1091" s="492"/>
      <c r="AG1091" s="492"/>
      <c r="AH1091" s="492"/>
      <c r="AI1091" s="492"/>
      <c r="AJ1091" s="492"/>
      <c r="AK1091" s="492"/>
      <c r="AL1091" s="492"/>
      <c r="AM1091" s="492"/>
      <c r="AN1091" s="492"/>
      <c r="AO1091" s="480"/>
      <c r="AP1091" s="480"/>
      <c r="AQ1091" s="867"/>
      <c r="AR1091" s="866"/>
      <c r="AS1091" s="866"/>
      <c r="AT1091" s="866"/>
      <c r="AU1091" s="866"/>
      <c r="AV1091" s="866"/>
      <c r="AW1091" s="866"/>
      <c r="AX1091" s="866"/>
      <c r="AY1091" s="866"/>
      <c r="AZ1091" s="866"/>
      <c r="BA1091" s="866"/>
      <c r="BB1091" s="866"/>
      <c r="BC1091" s="866"/>
      <c r="BD1091" s="866"/>
      <c r="BE1091" s="866"/>
    </row>
    <row r="1092" spans="1:57" ht="14.25" hidden="1" customHeight="1" outlineLevel="1">
      <c r="A1092" s="513" t="s">
        <v>2411</v>
      </c>
      <c r="B1092" s="490"/>
      <c r="C1092" s="492"/>
      <c r="G1092" s="695"/>
      <c r="H1092" s="695"/>
      <c r="I1092" s="695"/>
      <c r="J1092" s="695"/>
      <c r="K1092" s="695"/>
      <c r="L1092" s="695"/>
      <c r="M1092" s="695"/>
      <c r="N1092" s="695"/>
      <c r="O1092" s="695"/>
      <c r="P1092" s="695"/>
      <c r="Q1092" s="695"/>
      <c r="R1092" s="695"/>
      <c r="S1092" s="695"/>
      <c r="T1092" s="695"/>
      <c r="U1092" s="695"/>
      <c r="V1092" s="695"/>
      <c r="W1092" s="695"/>
      <c r="X1092" s="695"/>
      <c r="Y1092" s="614"/>
      <c r="Z1092" s="614"/>
      <c r="AA1092" s="613"/>
      <c r="AB1092" s="614"/>
      <c r="AC1092" s="614"/>
      <c r="AD1092" s="614"/>
      <c r="AE1092" s="614"/>
      <c r="AF1092" s="492"/>
      <c r="AG1092" s="492"/>
      <c r="AH1092" s="492"/>
      <c r="AI1092" s="492"/>
      <c r="AJ1092" s="492"/>
      <c r="AK1092" s="492"/>
      <c r="AL1092" s="492"/>
      <c r="AM1092" s="492"/>
      <c r="AN1092" s="492"/>
      <c r="AO1092" s="480"/>
      <c r="AP1092" s="480"/>
      <c r="AQ1092" s="867"/>
      <c r="AR1092" s="866"/>
      <c r="AS1092" s="866"/>
      <c r="AT1092" s="866"/>
      <c r="AU1092" s="866"/>
      <c r="AV1092" s="866"/>
      <c r="AW1092" s="866"/>
      <c r="AX1092" s="866"/>
      <c r="AY1092" s="866"/>
      <c r="AZ1092" s="866"/>
      <c r="BA1092" s="866"/>
      <c r="BB1092" s="866"/>
      <c r="BC1092" s="866"/>
      <c r="BD1092" s="866"/>
      <c r="BE1092" s="866"/>
    </row>
    <row r="1093" spans="1:57" ht="14.25" hidden="1" customHeight="1" outlineLevel="1">
      <c r="A1093" s="873" t="s">
        <v>963</v>
      </c>
      <c r="B1093" s="261" t="s">
        <v>156</v>
      </c>
      <c r="C1093" s="263">
        <v>0.2</v>
      </c>
      <c r="G1093" s="695"/>
      <c r="H1093" s="695"/>
      <c r="I1093" s="695"/>
      <c r="J1093" s="695"/>
      <c r="K1093" s="695"/>
      <c r="L1093" s="695"/>
      <c r="M1093" s="695"/>
      <c r="N1093" s="695"/>
      <c r="O1093" s="695"/>
      <c r="P1093" s="695"/>
      <c r="Q1093" s="695"/>
      <c r="R1093" s="695"/>
      <c r="S1093" s="695"/>
      <c r="T1093" s="695"/>
      <c r="U1093" s="695"/>
      <c r="V1093" s="695"/>
      <c r="W1093" s="695"/>
      <c r="X1093" s="695"/>
      <c r="Y1093" s="614"/>
      <c r="Z1093" s="614"/>
      <c r="AA1093" s="613"/>
      <c r="AB1093" s="614"/>
      <c r="AC1093" s="614"/>
      <c r="AD1093" s="614"/>
      <c r="AE1093" s="614"/>
      <c r="AF1093" s="492"/>
      <c r="AG1093" s="492"/>
      <c r="AH1093" s="492"/>
      <c r="AI1093" s="492"/>
      <c r="AJ1093" s="492"/>
      <c r="AK1093" s="492"/>
      <c r="AL1093" s="492"/>
      <c r="AM1093" s="492"/>
      <c r="AN1093" s="492"/>
      <c r="AO1093" s="480"/>
      <c r="AP1093" s="480"/>
      <c r="AQ1093" s="867"/>
      <c r="AR1093" s="866"/>
      <c r="AS1093" s="866"/>
      <c r="AT1093" s="866"/>
      <c r="AU1093" s="866"/>
      <c r="AV1093" s="866"/>
      <c r="AW1093" s="866"/>
      <c r="AX1093" s="866"/>
      <c r="AY1093" s="866"/>
      <c r="AZ1093" s="866"/>
      <c r="BA1093" s="866"/>
      <c r="BB1093" s="866"/>
      <c r="BC1093" s="866"/>
      <c r="BD1093" s="866"/>
      <c r="BE1093" s="866"/>
    </row>
    <row r="1094" spans="1:57" ht="14.25" hidden="1" customHeight="1" outlineLevel="1">
      <c r="A1094" s="872"/>
      <c r="B1094" s="490"/>
      <c r="C1094" s="492"/>
      <c r="G1094" s="695"/>
      <c r="H1094" s="695"/>
      <c r="I1094" s="695"/>
      <c r="J1094" s="695"/>
      <c r="K1094" s="695"/>
      <c r="L1094" s="695"/>
      <c r="M1094" s="695"/>
      <c r="N1094" s="695"/>
      <c r="O1094" s="695"/>
      <c r="P1094" s="695"/>
      <c r="Q1094" s="695"/>
      <c r="R1094" s="695"/>
      <c r="S1094" s="695"/>
      <c r="T1094" s="695"/>
      <c r="U1094" s="695"/>
      <c r="V1094" s="695"/>
      <c r="W1094" s="695"/>
      <c r="X1094" s="695"/>
      <c r="Y1094" s="614"/>
      <c r="Z1094" s="614"/>
      <c r="AA1094" s="613"/>
      <c r="AB1094" s="614"/>
      <c r="AC1094" s="614"/>
      <c r="AD1094" s="614"/>
      <c r="AE1094" s="614"/>
      <c r="AF1094" s="492"/>
      <c r="AG1094" s="492"/>
      <c r="AH1094" s="492"/>
      <c r="AI1094" s="492"/>
      <c r="AJ1094" s="492"/>
      <c r="AK1094" s="492"/>
      <c r="AL1094" s="492"/>
      <c r="AM1094" s="492"/>
      <c r="AN1094" s="492"/>
      <c r="AO1094" s="480"/>
      <c r="AP1094" s="480"/>
      <c r="AQ1094" s="867"/>
      <c r="AR1094" s="866"/>
      <c r="AS1094" s="866"/>
      <c r="AT1094" s="866"/>
      <c r="AU1094" s="866"/>
      <c r="AV1094" s="866"/>
      <c r="AW1094" s="866"/>
      <c r="AX1094" s="866"/>
      <c r="AY1094" s="866"/>
      <c r="AZ1094" s="866"/>
      <c r="BA1094" s="866"/>
      <c r="BB1094" s="866"/>
      <c r="BC1094" s="866"/>
      <c r="BD1094" s="866"/>
      <c r="BE1094" s="866"/>
    </row>
    <row r="1095" spans="1:57" ht="14.25" hidden="1" customHeight="1" outlineLevel="1">
      <c r="A1095" s="513" t="s">
        <v>2412</v>
      </c>
      <c r="B1095" s="490"/>
      <c r="C1095" s="534"/>
      <c r="G1095" s="695"/>
      <c r="H1095" s="695"/>
      <c r="I1095" s="695"/>
      <c r="J1095" s="695"/>
      <c r="K1095" s="695"/>
      <c r="L1095" s="695"/>
      <c r="M1095" s="695"/>
      <c r="N1095" s="695"/>
      <c r="O1095" s="695"/>
      <c r="P1095" s="695"/>
      <c r="Q1095" s="695"/>
      <c r="R1095" s="695"/>
      <c r="S1095" s="695"/>
      <c r="T1095" s="695"/>
      <c r="U1095" s="695"/>
      <c r="V1095" s="695"/>
      <c r="W1095" s="695"/>
      <c r="X1095" s="695"/>
      <c r="Y1095" s="614"/>
      <c r="Z1095" s="614"/>
      <c r="AA1095" s="613"/>
      <c r="AB1095" s="614"/>
      <c r="AC1095" s="614"/>
      <c r="AD1095" s="614"/>
      <c r="AE1095" s="614"/>
      <c r="AF1095" s="492"/>
      <c r="AG1095" s="492"/>
      <c r="AH1095" s="492"/>
      <c r="AI1095" s="492"/>
      <c r="AJ1095" s="492"/>
      <c r="AK1095" s="492"/>
      <c r="AL1095" s="492"/>
      <c r="AM1095" s="492"/>
      <c r="AN1095" s="492"/>
      <c r="AO1095" s="480"/>
      <c r="AP1095" s="480"/>
      <c r="AQ1095" s="867"/>
      <c r="AR1095" s="866"/>
      <c r="AS1095" s="866"/>
      <c r="AT1095" s="866"/>
      <c r="AU1095" s="866"/>
      <c r="AV1095" s="866"/>
      <c r="AW1095" s="866"/>
      <c r="AX1095" s="866"/>
      <c r="AY1095" s="866"/>
      <c r="AZ1095" s="866"/>
      <c r="BA1095" s="866"/>
      <c r="BB1095" s="866"/>
      <c r="BC1095" s="866"/>
      <c r="BD1095" s="866"/>
      <c r="BE1095" s="866"/>
    </row>
    <row r="1096" spans="1:57" ht="14.25" hidden="1" customHeight="1" outlineLevel="1">
      <c r="A1096" s="874" t="s">
        <v>125</v>
      </c>
      <c r="B1096" s="490"/>
      <c r="C1096" s="534"/>
      <c r="G1096" s="695"/>
      <c r="H1096" s="695"/>
      <c r="I1096" s="695"/>
      <c r="J1096" s="695"/>
      <c r="K1096" s="695"/>
      <c r="L1096" s="695"/>
      <c r="M1096" s="695"/>
      <c r="N1096" s="695"/>
      <c r="O1096" s="695"/>
      <c r="P1096" s="695"/>
      <c r="Q1096" s="695"/>
      <c r="R1096" s="695"/>
      <c r="S1096" s="695"/>
      <c r="T1096" s="695"/>
      <c r="U1096" s="695"/>
      <c r="V1096" s="695"/>
      <c r="W1096" s="695"/>
      <c r="X1096" s="695"/>
      <c r="Y1096" s="614"/>
      <c r="Z1096" s="614"/>
      <c r="AA1096" s="613"/>
      <c r="AB1096" s="614"/>
      <c r="AC1096" s="614"/>
      <c r="AD1096" s="614"/>
      <c r="AE1096" s="614"/>
      <c r="AF1096" s="492"/>
      <c r="AG1096" s="492"/>
      <c r="AH1096" s="492"/>
      <c r="AI1096" s="492"/>
      <c r="AJ1096" s="492"/>
      <c r="AK1096" s="492"/>
      <c r="AL1096" s="492"/>
      <c r="AM1096" s="492"/>
      <c r="AN1096" s="492"/>
      <c r="AO1096" s="480"/>
      <c r="AP1096" s="480"/>
      <c r="AQ1096" s="867"/>
      <c r="AR1096" s="866"/>
      <c r="AS1096" s="866"/>
      <c r="AT1096" s="866"/>
      <c r="AU1096" s="866"/>
      <c r="AV1096" s="866"/>
      <c r="AW1096" s="866"/>
      <c r="AX1096" s="866"/>
      <c r="AY1096" s="866"/>
      <c r="AZ1096" s="866"/>
      <c r="BA1096" s="866"/>
      <c r="BB1096" s="866"/>
      <c r="BC1096" s="866"/>
      <c r="BD1096" s="866"/>
      <c r="BE1096" s="866"/>
    </row>
    <row r="1097" spans="1:57" ht="14.25" hidden="1" customHeight="1" outlineLevel="1">
      <c r="A1097" s="513" t="s">
        <v>2413</v>
      </c>
      <c r="B1097" s="490"/>
      <c r="C1097" s="534"/>
      <c r="G1097" s="695"/>
      <c r="H1097" s="695"/>
      <c r="I1097" s="695"/>
      <c r="J1097" s="695"/>
      <c r="K1097" s="695"/>
      <c r="L1097" s="695"/>
      <c r="M1097" s="695"/>
      <c r="N1097" s="695"/>
      <c r="O1097" s="695"/>
      <c r="P1097" s="695"/>
      <c r="Q1097" s="695"/>
      <c r="R1097" s="695"/>
      <c r="S1097" s="695"/>
      <c r="T1097" s="695"/>
      <c r="U1097" s="695"/>
      <c r="V1097" s="695"/>
      <c r="W1097" s="695"/>
      <c r="X1097" s="695"/>
      <c r="Y1097" s="614"/>
      <c r="Z1097" s="614"/>
      <c r="AA1097" s="613"/>
      <c r="AB1097" s="614"/>
      <c r="AC1097" s="614"/>
      <c r="AD1097" s="614"/>
      <c r="AE1097" s="614"/>
      <c r="AF1097" s="492"/>
      <c r="AG1097" s="492"/>
      <c r="AH1097" s="492"/>
      <c r="AI1097" s="492"/>
      <c r="AJ1097" s="492"/>
      <c r="AK1097" s="492"/>
      <c r="AL1097" s="492"/>
      <c r="AM1097" s="492"/>
      <c r="AN1097" s="492"/>
      <c r="AO1097" s="480"/>
      <c r="AP1097" s="480"/>
      <c r="AQ1097" s="867"/>
      <c r="AR1097" s="866"/>
      <c r="AS1097" s="866"/>
      <c r="AT1097" s="866"/>
      <c r="AU1097" s="866"/>
      <c r="AV1097" s="866"/>
      <c r="AW1097" s="866"/>
      <c r="AX1097" s="866"/>
      <c r="AY1097" s="866"/>
      <c r="AZ1097" s="866"/>
      <c r="BA1097" s="866"/>
      <c r="BB1097" s="866"/>
      <c r="BC1097" s="866"/>
      <c r="BD1097" s="866"/>
      <c r="BE1097" s="866"/>
    </row>
    <row r="1098" spans="1:57" ht="14.25" hidden="1" customHeight="1" outlineLevel="1">
      <c r="A1098" s="874" t="s">
        <v>2414</v>
      </c>
      <c r="B1098" s="490"/>
      <c r="C1098" s="534"/>
      <c r="G1098" s="695"/>
      <c r="H1098" s="695"/>
      <c r="I1098" s="695"/>
      <c r="J1098" s="695"/>
      <c r="K1098" s="695"/>
      <c r="L1098" s="695"/>
      <c r="M1098" s="695"/>
      <c r="N1098" s="695"/>
      <c r="O1098" s="695"/>
      <c r="P1098" s="695"/>
      <c r="Q1098" s="695"/>
      <c r="R1098" s="695"/>
      <c r="S1098" s="695"/>
      <c r="T1098" s="695"/>
      <c r="U1098" s="695"/>
      <c r="V1098" s="695"/>
      <c r="W1098" s="695"/>
      <c r="X1098" s="695"/>
      <c r="Y1098" s="614"/>
      <c r="Z1098" s="614"/>
      <c r="AA1098" s="613"/>
      <c r="AB1098" s="614"/>
      <c r="AC1098" s="614"/>
      <c r="AD1098" s="614"/>
      <c r="AE1098" s="614"/>
      <c r="AF1098" s="492"/>
      <c r="AG1098" s="492"/>
      <c r="AH1098" s="492"/>
      <c r="AI1098" s="492"/>
      <c r="AJ1098" s="492"/>
      <c r="AK1098" s="492"/>
      <c r="AL1098" s="492"/>
      <c r="AM1098" s="492"/>
      <c r="AN1098" s="492"/>
      <c r="AO1098" s="480"/>
      <c r="AP1098" s="480"/>
      <c r="AQ1098" s="867"/>
      <c r="AR1098" s="866"/>
      <c r="AS1098" s="866"/>
      <c r="AT1098" s="866"/>
      <c r="AU1098" s="866"/>
      <c r="AV1098" s="866"/>
      <c r="AW1098" s="866"/>
      <c r="AX1098" s="866"/>
      <c r="AY1098" s="866"/>
      <c r="AZ1098" s="866"/>
      <c r="BA1098" s="866"/>
      <c r="BB1098" s="866"/>
      <c r="BC1098" s="866"/>
      <c r="BD1098" s="866"/>
      <c r="BE1098" s="866"/>
    </row>
    <row r="1099" spans="1:57" ht="14.25" hidden="1" customHeight="1" outlineLevel="1">
      <c r="A1099" s="513" t="s">
        <v>2415</v>
      </c>
      <c r="B1099" s="490"/>
      <c r="C1099" s="534"/>
      <c r="G1099" s="695"/>
      <c r="H1099" s="695"/>
      <c r="I1099" s="695"/>
      <c r="J1099" s="695"/>
      <c r="K1099" s="695"/>
      <c r="L1099" s="695"/>
      <c r="M1099" s="695"/>
      <c r="N1099" s="695"/>
      <c r="O1099" s="695"/>
      <c r="P1099" s="695"/>
      <c r="Q1099" s="695"/>
      <c r="R1099" s="695"/>
      <c r="S1099" s="695"/>
      <c r="T1099" s="695"/>
      <c r="U1099" s="695"/>
      <c r="V1099" s="695"/>
      <c r="W1099" s="695"/>
      <c r="X1099" s="695"/>
      <c r="Y1099" s="614"/>
      <c r="Z1099" s="614"/>
      <c r="AA1099" s="613"/>
      <c r="AB1099" s="614"/>
      <c r="AC1099" s="614"/>
      <c r="AD1099" s="614"/>
      <c r="AE1099" s="614"/>
      <c r="AF1099" s="492"/>
      <c r="AG1099" s="492"/>
      <c r="AH1099" s="492"/>
      <c r="AI1099" s="492"/>
      <c r="AJ1099" s="492"/>
      <c r="AK1099" s="492"/>
      <c r="AL1099" s="492"/>
      <c r="AM1099" s="492"/>
      <c r="AN1099" s="492"/>
      <c r="AO1099" s="480"/>
      <c r="AP1099" s="480"/>
      <c r="AQ1099" s="867"/>
      <c r="AR1099" s="866"/>
      <c r="AS1099" s="866"/>
      <c r="AT1099" s="866"/>
      <c r="AU1099" s="866"/>
      <c r="AV1099" s="866"/>
      <c r="AW1099" s="866"/>
      <c r="AX1099" s="866"/>
      <c r="AY1099" s="866"/>
      <c r="AZ1099" s="866"/>
      <c r="BA1099" s="866"/>
      <c r="BB1099" s="866"/>
      <c r="BC1099" s="866"/>
      <c r="BD1099" s="866"/>
      <c r="BE1099" s="866"/>
    </row>
    <row r="1100" spans="1:57" ht="14.25" hidden="1" customHeight="1" outlineLevel="1">
      <c r="A1100" s="874" t="s">
        <v>2414</v>
      </c>
      <c r="B1100" s="490"/>
      <c r="C1100" s="534"/>
      <c r="G1100" s="695"/>
      <c r="H1100" s="695"/>
      <c r="I1100" s="695"/>
      <c r="J1100" s="695"/>
      <c r="K1100" s="695"/>
      <c r="L1100" s="695"/>
      <c r="M1100" s="695"/>
      <c r="N1100" s="695"/>
      <c r="O1100" s="695"/>
      <c r="P1100" s="695"/>
      <c r="Q1100" s="695"/>
      <c r="R1100" s="695"/>
      <c r="S1100" s="695"/>
      <c r="T1100" s="695"/>
      <c r="U1100" s="695"/>
      <c r="V1100" s="695"/>
      <c r="W1100" s="695"/>
      <c r="X1100" s="695"/>
      <c r="Y1100" s="614"/>
      <c r="Z1100" s="614"/>
      <c r="AA1100" s="613"/>
      <c r="AB1100" s="614"/>
      <c r="AC1100" s="614"/>
      <c r="AD1100" s="614"/>
      <c r="AE1100" s="614"/>
      <c r="AF1100" s="492"/>
      <c r="AG1100" s="492"/>
      <c r="AH1100" s="492"/>
      <c r="AI1100" s="492"/>
      <c r="AJ1100" s="492"/>
      <c r="AK1100" s="492"/>
      <c r="AL1100" s="492"/>
      <c r="AM1100" s="492"/>
      <c r="AN1100" s="492"/>
      <c r="AO1100" s="480"/>
      <c r="AP1100" s="480"/>
      <c r="AQ1100" s="867"/>
      <c r="AR1100" s="866"/>
      <c r="AS1100" s="866"/>
      <c r="AT1100" s="866"/>
      <c r="AU1100" s="866"/>
      <c r="AV1100" s="866"/>
      <c r="AW1100" s="866"/>
      <c r="AX1100" s="866"/>
      <c r="AY1100" s="866"/>
      <c r="AZ1100" s="866"/>
      <c r="BA1100" s="866"/>
      <c r="BB1100" s="866"/>
      <c r="BC1100" s="866"/>
      <c r="BD1100" s="866"/>
      <c r="BE1100" s="866"/>
    </row>
    <row r="1101" spans="1:57" ht="14.25" hidden="1" customHeight="1" outlineLevel="1">
      <c r="A1101" s="513" t="s">
        <v>1498</v>
      </c>
      <c r="B1101" s="490"/>
      <c r="C1101" s="534"/>
      <c r="G1101" s="695"/>
      <c r="H1101" s="695"/>
      <c r="I1101" s="695"/>
      <c r="J1101" s="695"/>
      <c r="K1101" s="695"/>
      <c r="L1101" s="695"/>
      <c r="M1101" s="695"/>
      <c r="N1101" s="695"/>
      <c r="O1101" s="695"/>
      <c r="P1101" s="695"/>
      <c r="Q1101" s="695"/>
      <c r="R1101" s="695"/>
      <c r="S1101" s="695"/>
      <c r="T1101" s="695"/>
      <c r="U1101" s="695"/>
      <c r="V1101" s="695"/>
      <c r="W1101" s="695"/>
      <c r="X1101" s="695"/>
      <c r="Y1101" s="614"/>
      <c r="Z1101" s="614"/>
      <c r="AA1101" s="613"/>
      <c r="AB1101" s="614"/>
      <c r="AC1101" s="614"/>
      <c r="AD1101" s="614"/>
      <c r="AE1101" s="614"/>
      <c r="AF1101" s="492"/>
      <c r="AG1101" s="492"/>
      <c r="AH1101" s="492"/>
      <c r="AI1101" s="492"/>
      <c r="AJ1101" s="492"/>
      <c r="AK1101" s="492"/>
      <c r="AL1101" s="492"/>
      <c r="AM1101" s="492"/>
      <c r="AN1101" s="492"/>
      <c r="AO1101" s="480"/>
      <c r="AP1101" s="480"/>
      <c r="AQ1101" s="867"/>
      <c r="AR1101" s="866"/>
      <c r="AS1101" s="866"/>
      <c r="AT1101" s="866"/>
      <c r="AU1101" s="866"/>
      <c r="AV1101" s="866"/>
      <c r="AW1101" s="866"/>
      <c r="AX1101" s="866"/>
      <c r="AY1101" s="866"/>
      <c r="AZ1101" s="866"/>
      <c r="BA1101" s="866"/>
      <c r="BB1101" s="866"/>
      <c r="BC1101" s="866"/>
      <c r="BD1101" s="866"/>
      <c r="BE1101" s="866"/>
    </row>
    <row r="1102" spans="1:57" ht="14.25" hidden="1" customHeight="1" outlineLevel="1">
      <c r="A1102" s="874" t="s">
        <v>2416</v>
      </c>
      <c r="B1102" s="490"/>
      <c r="C1102" s="534"/>
      <c r="G1102" s="695"/>
      <c r="H1102" s="695"/>
      <c r="I1102" s="695"/>
      <c r="J1102" s="695"/>
      <c r="K1102" s="695"/>
      <c r="L1102" s="695"/>
      <c r="M1102" s="695"/>
      <c r="N1102" s="695"/>
      <c r="O1102" s="695"/>
      <c r="P1102" s="695"/>
      <c r="Q1102" s="695"/>
      <c r="R1102" s="695"/>
      <c r="S1102" s="695"/>
      <c r="T1102" s="695"/>
      <c r="U1102" s="695"/>
      <c r="V1102" s="695"/>
      <c r="W1102" s="695"/>
      <c r="X1102" s="695"/>
      <c r="Y1102" s="614"/>
      <c r="Z1102" s="614"/>
      <c r="AA1102" s="613"/>
      <c r="AB1102" s="614"/>
      <c r="AC1102" s="614"/>
      <c r="AD1102" s="614"/>
      <c r="AE1102" s="614"/>
      <c r="AF1102" s="492"/>
      <c r="AG1102" s="492"/>
      <c r="AH1102" s="492"/>
      <c r="AI1102" s="492"/>
      <c r="AJ1102" s="492"/>
      <c r="AK1102" s="492"/>
      <c r="AL1102" s="492"/>
      <c r="AM1102" s="492"/>
      <c r="AN1102" s="492"/>
      <c r="AO1102" s="480"/>
      <c r="AP1102" s="480"/>
      <c r="AQ1102" s="867"/>
      <c r="AR1102" s="866"/>
      <c r="AS1102" s="866"/>
      <c r="AT1102" s="866"/>
      <c r="AU1102" s="866"/>
      <c r="AV1102" s="866"/>
      <c r="AW1102" s="866"/>
      <c r="AX1102" s="866"/>
      <c r="AY1102" s="866"/>
      <c r="AZ1102" s="866"/>
      <c r="BA1102" s="866"/>
      <c r="BB1102" s="866"/>
      <c r="BC1102" s="866"/>
      <c r="BD1102" s="866"/>
      <c r="BE1102" s="866"/>
    </row>
    <row r="1103" spans="1:57" ht="14.25" hidden="1" customHeight="1" outlineLevel="1">
      <c r="A1103" s="513" t="s">
        <v>2417</v>
      </c>
      <c r="B1103" s="490"/>
      <c r="C1103" s="534"/>
      <c r="G1103" s="695"/>
      <c r="H1103" s="695"/>
      <c r="I1103" s="695"/>
      <c r="J1103" s="695"/>
      <c r="K1103" s="695"/>
      <c r="L1103" s="695"/>
      <c r="M1103" s="695"/>
      <c r="N1103" s="695"/>
      <c r="O1103" s="695"/>
      <c r="P1103" s="695"/>
      <c r="Q1103" s="695"/>
      <c r="R1103" s="695"/>
      <c r="S1103" s="695"/>
      <c r="T1103" s="695"/>
      <c r="U1103" s="695"/>
      <c r="V1103" s="695"/>
      <c r="W1103" s="695"/>
      <c r="X1103" s="695"/>
      <c r="Y1103" s="614"/>
      <c r="Z1103" s="614"/>
      <c r="AA1103" s="613"/>
      <c r="AB1103" s="614"/>
      <c r="AC1103" s="614"/>
      <c r="AD1103" s="614"/>
      <c r="AE1103" s="614"/>
      <c r="AF1103" s="492"/>
      <c r="AG1103" s="492"/>
      <c r="AH1103" s="492"/>
      <c r="AI1103" s="492"/>
      <c r="AJ1103" s="492"/>
      <c r="AK1103" s="492"/>
      <c r="AL1103" s="492"/>
      <c r="AM1103" s="492"/>
      <c r="AN1103" s="492"/>
      <c r="AO1103" s="480"/>
      <c r="AP1103" s="480"/>
      <c r="AQ1103" s="867"/>
      <c r="AR1103" s="866"/>
      <c r="AS1103" s="866"/>
      <c r="AT1103" s="866"/>
      <c r="AU1103" s="866"/>
      <c r="AV1103" s="866"/>
      <c r="AW1103" s="866"/>
      <c r="AX1103" s="866"/>
      <c r="AY1103" s="866"/>
      <c r="AZ1103" s="866"/>
      <c r="BA1103" s="866"/>
      <c r="BB1103" s="866"/>
      <c r="BC1103" s="866"/>
      <c r="BD1103" s="866"/>
      <c r="BE1103" s="866"/>
    </row>
    <row r="1104" spans="1:57" ht="14.25" hidden="1" customHeight="1" outlineLevel="1">
      <c r="A1104" s="874" t="s">
        <v>2418</v>
      </c>
      <c r="B1104" s="490"/>
      <c r="C1104" s="534"/>
      <c r="G1104" s="695"/>
      <c r="H1104" s="695"/>
      <c r="I1104" s="695"/>
      <c r="J1104" s="695"/>
      <c r="K1104" s="695"/>
      <c r="L1104" s="695"/>
      <c r="M1104" s="695"/>
      <c r="N1104" s="695"/>
      <c r="O1104" s="695"/>
      <c r="P1104" s="695"/>
      <c r="Q1104" s="695"/>
      <c r="R1104" s="695"/>
      <c r="S1104" s="695"/>
      <c r="T1104" s="695"/>
      <c r="U1104" s="695"/>
      <c r="V1104" s="695"/>
      <c r="W1104" s="695"/>
      <c r="X1104" s="695"/>
      <c r="Y1104" s="614"/>
      <c r="Z1104" s="614"/>
      <c r="AA1104" s="613"/>
      <c r="AB1104" s="614"/>
      <c r="AC1104" s="614"/>
      <c r="AD1104" s="614"/>
      <c r="AE1104" s="614"/>
      <c r="AF1104" s="492"/>
      <c r="AG1104" s="492"/>
      <c r="AH1104" s="492"/>
      <c r="AI1104" s="492"/>
      <c r="AJ1104" s="492"/>
      <c r="AK1104" s="492"/>
      <c r="AL1104" s="492"/>
      <c r="AM1104" s="492"/>
      <c r="AN1104" s="492"/>
      <c r="AO1104" s="480"/>
      <c r="AP1104" s="480"/>
      <c r="AQ1104" s="867"/>
      <c r="AR1104" s="866"/>
      <c r="AS1104" s="866"/>
      <c r="AT1104" s="866"/>
      <c r="AU1104" s="866"/>
      <c r="AV1104" s="866"/>
      <c r="AW1104" s="866"/>
      <c r="AX1104" s="866"/>
      <c r="AY1104" s="866"/>
      <c r="AZ1104" s="866"/>
      <c r="BA1104" s="866"/>
      <c r="BB1104" s="866"/>
      <c r="BC1104" s="866"/>
      <c r="BD1104" s="866"/>
      <c r="BE1104" s="866"/>
    </row>
    <row r="1105" spans="1:58" ht="14.25" hidden="1" customHeight="1" outlineLevel="1">
      <c r="A1105" s="492" t="s">
        <v>2234</v>
      </c>
      <c r="B1105" s="490"/>
      <c r="C1105" s="534"/>
      <c r="G1105" s="695"/>
      <c r="H1105" s="695"/>
      <c r="I1105" s="695"/>
      <c r="J1105" s="695"/>
      <c r="K1105" s="695"/>
      <c r="L1105" s="695"/>
      <c r="M1105" s="695"/>
      <c r="N1105" s="695"/>
      <c r="O1105" s="695"/>
      <c r="P1105" s="695"/>
      <c r="Q1105" s="695"/>
      <c r="R1105" s="695"/>
      <c r="S1105" s="695"/>
      <c r="T1105" s="695"/>
      <c r="U1105" s="695"/>
      <c r="V1105" s="695"/>
      <c r="W1105" s="695"/>
      <c r="X1105" s="695"/>
      <c r="Y1105" s="614"/>
      <c r="Z1105" s="614"/>
      <c r="AA1105" s="613"/>
      <c r="AB1105" s="614"/>
      <c r="AC1105" s="614"/>
      <c r="AD1105" s="614"/>
      <c r="AE1105" s="614"/>
      <c r="AF1105" s="492"/>
      <c r="AG1105" s="492"/>
      <c r="AH1105" s="492"/>
      <c r="AI1105" s="492"/>
      <c r="AJ1105" s="492"/>
      <c r="AK1105" s="492"/>
      <c r="AL1105" s="492"/>
      <c r="AM1105" s="492"/>
      <c r="AN1105" s="492"/>
      <c r="AO1105" s="480"/>
      <c r="AP1105" s="480"/>
      <c r="AQ1105" s="867"/>
      <c r="AR1105" s="866"/>
      <c r="AS1105" s="866"/>
      <c r="AT1105" s="866"/>
      <c r="AU1105" s="866"/>
      <c r="AV1105" s="866"/>
      <c r="AW1105" s="866"/>
      <c r="AX1105" s="866"/>
      <c r="AY1105" s="866"/>
      <c r="AZ1105" s="866"/>
      <c r="BA1105" s="866"/>
      <c r="BB1105" s="866"/>
      <c r="BC1105" s="866"/>
      <c r="BD1105" s="866"/>
      <c r="BE1105" s="866"/>
    </row>
    <row r="1106" spans="1:58" ht="14.25" hidden="1" customHeight="1" outlineLevel="1">
      <c r="A1106" s="875" t="s">
        <v>294</v>
      </c>
      <c r="B1106" s="490"/>
      <c r="C1106" s="492"/>
      <c r="G1106" s="695"/>
      <c r="H1106" s="695"/>
      <c r="I1106" s="695"/>
      <c r="J1106" s="695"/>
      <c r="K1106" s="695"/>
      <c r="L1106" s="695"/>
      <c r="M1106" s="695"/>
      <c r="N1106" s="695"/>
      <c r="O1106" s="695"/>
      <c r="P1106" s="695"/>
      <c r="Q1106" s="695"/>
      <c r="R1106" s="695"/>
      <c r="S1106" s="695"/>
      <c r="T1106" s="695"/>
      <c r="U1106" s="695"/>
      <c r="V1106" s="695"/>
      <c r="W1106" s="695"/>
      <c r="X1106" s="695"/>
      <c r="Y1106" s="614"/>
      <c r="Z1106" s="614"/>
      <c r="AA1106" s="613"/>
      <c r="AB1106" s="614"/>
      <c r="AC1106" s="614"/>
      <c r="AD1106" s="614"/>
      <c r="AE1106" s="614"/>
      <c r="AF1106" s="492"/>
      <c r="AG1106" s="492"/>
      <c r="AH1106" s="492"/>
      <c r="AI1106" s="492"/>
      <c r="AJ1106" s="492"/>
      <c r="AK1106" s="492"/>
      <c r="AL1106" s="492"/>
      <c r="AM1106" s="492"/>
      <c r="AN1106" s="492"/>
      <c r="AO1106" s="480"/>
      <c r="AP1106" s="480"/>
      <c r="AQ1106" s="867"/>
      <c r="AR1106" s="866"/>
      <c r="AS1106" s="866"/>
      <c r="AT1106" s="866"/>
      <c r="AU1106" s="866"/>
      <c r="AV1106" s="866"/>
      <c r="AW1106" s="866"/>
      <c r="AX1106" s="866"/>
      <c r="AY1106" s="866"/>
      <c r="AZ1106" s="866"/>
      <c r="BA1106" s="866"/>
      <c r="BB1106" s="866"/>
      <c r="BC1106" s="866"/>
      <c r="BD1106" s="866"/>
      <c r="BE1106" s="866"/>
    </row>
    <row r="1107" spans="1:58" s="364" customFormat="1" ht="14.25" hidden="1" customHeight="1" outlineLevel="1">
      <c r="A1107" s="480" t="s">
        <v>2419</v>
      </c>
      <c r="B1107" s="490"/>
      <c r="C1107" s="492"/>
      <c r="G1107" s="695"/>
      <c r="H1107" s="695"/>
      <c r="I1107" s="695"/>
      <c r="J1107" s="695"/>
      <c r="K1107" s="695"/>
      <c r="L1107" s="695"/>
      <c r="M1107" s="695"/>
      <c r="N1107" s="695"/>
      <c r="O1107" s="695"/>
      <c r="P1107" s="695"/>
      <c r="Q1107" s="695"/>
      <c r="R1107" s="695"/>
      <c r="S1107" s="695"/>
      <c r="T1107" s="695"/>
      <c r="U1107" s="695"/>
      <c r="V1107" s="695"/>
      <c r="W1107" s="695"/>
      <c r="X1107" s="695"/>
      <c r="Y1107" s="614"/>
      <c r="Z1107" s="614"/>
      <c r="AA1107" s="613"/>
      <c r="AB1107" s="614"/>
      <c r="AC1107" s="614"/>
      <c r="AD1107" s="614"/>
      <c r="AE1107" s="614"/>
      <c r="AF1107" s="492"/>
      <c r="AG1107" s="492"/>
      <c r="AH1107" s="492"/>
      <c r="AI1107" s="492"/>
      <c r="AJ1107" s="492"/>
      <c r="AK1107" s="492"/>
      <c r="AL1107" s="492"/>
      <c r="AM1107" s="492"/>
      <c r="AN1107" s="492"/>
      <c r="AO1107" s="480"/>
      <c r="AP1107" s="480"/>
      <c r="AQ1107" s="867"/>
      <c r="AR1107" s="867"/>
      <c r="AS1107" s="867"/>
      <c r="AT1107" s="867"/>
      <c r="AU1107" s="867"/>
      <c r="AV1107" s="867"/>
      <c r="AW1107" s="867"/>
      <c r="AX1107" s="867"/>
      <c r="AY1107" s="867"/>
      <c r="AZ1107" s="867"/>
      <c r="BA1107" s="867"/>
      <c r="BB1107" s="867"/>
      <c r="BC1107" s="867"/>
      <c r="BD1107" s="867"/>
      <c r="BE1107" s="867"/>
      <c r="BF1107" s="368"/>
    </row>
    <row r="1108" spans="1:58" ht="14.25" hidden="1" customHeight="1" outlineLevel="1">
      <c r="A1108" s="876" t="s">
        <v>753</v>
      </c>
      <c r="B1108" s="490"/>
      <c r="C1108" s="534"/>
      <c r="G1108" s="695"/>
      <c r="H1108" s="695"/>
      <c r="I1108" s="695"/>
      <c r="J1108" s="695"/>
      <c r="K1108" s="695"/>
      <c r="L1108" s="695"/>
      <c r="M1108" s="695"/>
      <c r="N1108" s="695"/>
      <c r="O1108" s="695"/>
      <c r="P1108" s="695"/>
      <c r="Q1108" s="695"/>
      <c r="R1108" s="695"/>
      <c r="S1108" s="695"/>
      <c r="T1108" s="695"/>
      <c r="U1108" s="695"/>
      <c r="V1108" s="695"/>
      <c r="W1108" s="695"/>
      <c r="X1108" s="695"/>
      <c r="Y1108" s="614"/>
      <c r="Z1108" s="614"/>
      <c r="AA1108" s="613"/>
      <c r="AB1108" s="614"/>
      <c r="AC1108" s="614"/>
      <c r="AD1108" s="614"/>
      <c r="AE1108" s="614"/>
      <c r="AF1108" s="492"/>
      <c r="AG1108" s="492"/>
      <c r="AH1108" s="492"/>
      <c r="AI1108" s="492"/>
      <c r="AJ1108" s="492"/>
      <c r="AK1108" s="492"/>
      <c r="AL1108" s="492"/>
      <c r="AM1108" s="492"/>
      <c r="AN1108" s="492"/>
      <c r="AO1108" s="480"/>
      <c r="AP1108" s="480"/>
      <c r="AQ1108" s="867"/>
      <c r="AR1108" s="866"/>
      <c r="AS1108" s="866"/>
      <c r="AT1108" s="866"/>
      <c r="AU1108" s="866"/>
      <c r="AV1108" s="866"/>
      <c r="AW1108" s="866"/>
      <c r="AX1108" s="866"/>
      <c r="AY1108" s="866"/>
      <c r="AZ1108" s="866"/>
      <c r="BA1108" s="866"/>
      <c r="BB1108" s="866"/>
      <c r="BC1108" s="866"/>
      <c r="BD1108" s="866"/>
      <c r="BE1108" s="866"/>
    </row>
    <row r="1109" spans="1:58" ht="14.25" hidden="1" customHeight="1" outlineLevel="1">
      <c r="A1109" s="331" t="s">
        <v>151</v>
      </c>
      <c r="G1109" s="695"/>
      <c r="H1109" s="695"/>
      <c r="I1109" s="695"/>
      <c r="J1109" s="695"/>
      <c r="K1109" s="695"/>
      <c r="L1109" s="695"/>
      <c r="M1109" s="695"/>
      <c r="N1109" s="695"/>
      <c r="O1109" s="695"/>
      <c r="P1109" s="695"/>
      <c r="Q1109" s="695"/>
      <c r="R1109" s="695"/>
      <c r="S1109" s="695"/>
      <c r="T1109" s="695"/>
      <c r="U1109" s="695"/>
      <c r="V1109" s="695"/>
      <c r="W1109" s="695"/>
      <c r="X1109" s="695"/>
      <c r="Y1109" s="614"/>
      <c r="Z1109" s="614"/>
      <c r="AA1109" s="613"/>
      <c r="AB1109" s="614"/>
      <c r="AC1109" s="614"/>
      <c r="AD1109" s="614"/>
      <c r="AE1109" s="614"/>
      <c r="AF1109" s="492"/>
      <c r="AG1109" s="492"/>
      <c r="AH1109" s="492"/>
      <c r="AI1109" s="492"/>
      <c r="AJ1109" s="492"/>
      <c r="AK1109" s="492"/>
      <c r="AL1109" s="492"/>
      <c r="AM1109" s="492"/>
      <c r="AN1109" s="492"/>
      <c r="AO1109" s="480"/>
      <c r="AP1109" s="480"/>
      <c r="AQ1109" s="867"/>
      <c r="AR1109" s="866"/>
      <c r="AS1109" s="866"/>
      <c r="AT1109" s="866"/>
      <c r="AU1109" s="866"/>
      <c r="AV1109" s="866"/>
      <c r="AW1109" s="866"/>
      <c r="AX1109" s="866"/>
      <c r="AY1109" s="866"/>
      <c r="AZ1109" s="866"/>
      <c r="BA1109" s="866"/>
      <c r="BB1109" s="866"/>
      <c r="BC1109" s="866"/>
      <c r="BD1109" s="866"/>
      <c r="BE1109" s="866"/>
    </row>
    <row r="1110" spans="1:58" ht="14.25" hidden="1" customHeight="1" outlineLevel="1">
      <c r="A1110" s="414" t="s">
        <v>152</v>
      </c>
      <c r="B1110" s="877" t="s">
        <v>154</v>
      </c>
      <c r="C1110" s="263">
        <v>0</v>
      </c>
      <c r="H1110" s="695"/>
      <c r="I1110" s="695"/>
      <c r="J1110" s="695"/>
      <c r="K1110" s="695"/>
      <c r="L1110" s="695"/>
      <c r="M1110" s="695"/>
      <c r="N1110" s="695"/>
      <c r="O1110" s="695"/>
      <c r="P1110" s="695"/>
      <c r="Q1110" s="695"/>
      <c r="R1110" s="695"/>
      <c r="S1110" s="695"/>
      <c r="T1110" s="695"/>
      <c r="U1110" s="695"/>
      <c r="V1110" s="695"/>
      <c r="W1110" s="695"/>
      <c r="X1110" s="695"/>
      <c r="Y1110" s="614"/>
      <c r="Z1110" s="614"/>
      <c r="AA1110" s="613"/>
      <c r="AB1110" s="614"/>
      <c r="AC1110" s="614"/>
      <c r="AD1110" s="614"/>
      <c r="AE1110" s="614"/>
      <c r="AF1110" s="492"/>
      <c r="AG1110" s="492"/>
      <c r="AH1110" s="492"/>
      <c r="AI1110" s="492"/>
      <c r="AJ1110" s="492"/>
      <c r="AK1110" s="492"/>
      <c r="AL1110" s="492"/>
      <c r="AM1110" s="492"/>
      <c r="AN1110" s="492"/>
      <c r="AO1110" s="480"/>
      <c r="AP1110" s="480"/>
      <c r="AQ1110" s="867"/>
      <c r="AR1110" s="866"/>
      <c r="AS1110" s="866"/>
      <c r="AT1110" s="866"/>
      <c r="AU1110" s="866"/>
      <c r="AV1110" s="866"/>
      <c r="AW1110" s="866"/>
      <c r="AX1110" s="866"/>
      <c r="AY1110" s="866"/>
      <c r="AZ1110" s="866"/>
      <c r="BA1110" s="866"/>
      <c r="BB1110" s="866"/>
      <c r="BC1110" s="866"/>
      <c r="BD1110" s="866"/>
      <c r="BE1110" s="866"/>
    </row>
    <row r="1111" spans="1:58" ht="14.25" hidden="1" customHeight="1" outlineLevel="1">
      <c r="A1111" s="412" t="s">
        <v>152</v>
      </c>
      <c r="B1111" s="877" t="s">
        <v>154</v>
      </c>
      <c r="C1111" s="611">
        <v>0</v>
      </c>
      <c r="D1111" s="695"/>
      <c r="H1111" s="695"/>
      <c r="I1111" s="695"/>
      <c r="J1111" s="695"/>
      <c r="K1111" s="695"/>
      <c r="L1111" s="695"/>
      <c r="M1111" s="695"/>
      <c r="N1111" s="695"/>
      <c r="O1111" s="695"/>
      <c r="P1111" s="695"/>
      <c r="Q1111" s="695"/>
      <c r="R1111" s="695"/>
      <c r="S1111" s="695"/>
      <c r="T1111" s="695"/>
      <c r="U1111" s="695"/>
      <c r="V1111" s="695"/>
      <c r="W1111" s="695"/>
      <c r="X1111" s="695"/>
      <c r="Y1111" s="614"/>
      <c r="Z1111" s="614"/>
      <c r="AA1111" s="613"/>
      <c r="AB1111" s="614"/>
      <c r="AC1111" s="614"/>
      <c r="AD1111" s="614"/>
      <c r="AE1111" s="614"/>
      <c r="AF1111" s="492"/>
      <c r="AG1111" s="492"/>
      <c r="AH1111" s="492"/>
      <c r="AI1111" s="492"/>
      <c r="AJ1111" s="492"/>
      <c r="AK1111" s="492"/>
      <c r="AL1111" s="492"/>
      <c r="AM1111" s="492"/>
      <c r="AN1111" s="492"/>
      <c r="AO1111" s="480"/>
      <c r="AP1111" s="480"/>
      <c r="AQ1111" s="867"/>
      <c r="AR1111" s="866"/>
      <c r="AS1111" s="866"/>
      <c r="AT1111" s="866"/>
      <c r="AU1111" s="866"/>
      <c r="AV1111" s="866"/>
      <c r="AW1111" s="866"/>
      <c r="AX1111" s="866"/>
      <c r="AY1111" s="866"/>
      <c r="AZ1111" s="866"/>
      <c r="BA1111" s="866"/>
      <c r="BB1111" s="866"/>
      <c r="BC1111" s="866"/>
      <c r="BD1111" s="866"/>
      <c r="BE1111" s="866"/>
    </row>
    <row r="1112" spans="1:58" ht="14.25" hidden="1" customHeight="1" outlineLevel="1">
      <c r="A1112" s="414" t="s">
        <v>152</v>
      </c>
      <c r="B1112" s="415" t="s">
        <v>159</v>
      </c>
      <c r="C1112" s="263">
        <v>0</v>
      </c>
      <c r="D1112" s="695"/>
      <c r="H1112" s="695"/>
      <c r="I1112" s="695"/>
      <c r="J1112" s="695"/>
      <c r="K1112" s="695"/>
      <c r="L1112" s="695"/>
      <c r="M1112" s="695"/>
      <c r="N1112" s="695"/>
      <c r="O1112" s="695"/>
      <c r="P1112" s="695"/>
      <c r="Q1112" s="695"/>
      <c r="R1112" s="695"/>
      <c r="S1112" s="695"/>
      <c r="T1112" s="695"/>
      <c r="U1112" s="695"/>
      <c r="V1112" s="695"/>
      <c r="W1112" s="695"/>
      <c r="X1112" s="695"/>
      <c r="Y1112" s="614"/>
      <c r="Z1112" s="614"/>
      <c r="AA1112" s="613"/>
      <c r="AB1112" s="614"/>
      <c r="AC1112" s="614"/>
      <c r="AD1112" s="614"/>
      <c r="AE1112" s="614"/>
      <c r="AF1112" s="492"/>
      <c r="AG1112" s="492"/>
      <c r="AH1112" s="492"/>
      <c r="AI1112" s="492"/>
      <c r="AJ1112" s="492"/>
      <c r="AK1112" s="492"/>
      <c r="AL1112" s="492"/>
      <c r="AM1112" s="492"/>
      <c r="AN1112" s="492"/>
      <c r="AO1112" s="480"/>
      <c r="AP1112" s="480"/>
      <c r="AQ1112" s="867"/>
      <c r="AR1112" s="866"/>
      <c r="AS1112" s="866"/>
      <c r="AT1112" s="866"/>
      <c r="AU1112" s="866"/>
      <c r="AV1112" s="866"/>
      <c r="AW1112" s="866"/>
      <c r="AX1112" s="866"/>
      <c r="AY1112" s="866"/>
      <c r="AZ1112" s="866"/>
      <c r="BA1112" s="866"/>
      <c r="BB1112" s="866"/>
      <c r="BC1112" s="866"/>
      <c r="BD1112" s="866"/>
      <c r="BE1112" s="866"/>
    </row>
    <row r="1113" spans="1:58" ht="14.25" hidden="1" customHeight="1" outlineLevel="1">
      <c r="C1113" s="370"/>
      <c r="D1113" s="492"/>
      <c r="E1113" s="364"/>
      <c r="F1113" s="364"/>
      <c r="G1113" s="364"/>
      <c r="H1113" s="878"/>
      <c r="I1113" s="879"/>
      <c r="J1113" s="480"/>
      <c r="K1113" s="480"/>
      <c r="L1113" s="492"/>
      <c r="M1113" s="492"/>
      <c r="N1113" s="492"/>
      <c r="O1113" s="819"/>
      <c r="P1113" s="819"/>
      <c r="Q1113" s="819"/>
      <c r="R1113" s="819"/>
      <c r="S1113" s="819"/>
      <c r="T1113" s="819"/>
      <c r="U1113" s="819"/>
      <c r="V1113" s="819"/>
      <c r="W1113" s="819"/>
      <c r="X1113" s="819"/>
      <c r="Y1113" s="819"/>
      <c r="Z1113" s="819"/>
      <c r="AA1113" s="819"/>
      <c r="AB1113" s="819"/>
      <c r="AC1113" s="819"/>
      <c r="AD1113" s="819"/>
      <c r="AE1113" s="819"/>
      <c r="AF1113" s="819"/>
      <c r="AG1113" s="819"/>
      <c r="AH1113" s="819"/>
      <c r="AI1113" s="819"/>
      <c r="AJ1113" s="819"/>
      <c r="AK1113" s="819"/>
      <c r="AL1113" s="819"/>
      <c r="AM1113" s="819"/>
      <c r="AN1113" s="819"/>
      <c r="AO1113" s="880"/>
      <c r="AP1113" s="880"/>
      <c r="AQ1113" s="866"/>
      <c r="AR1113" s="866"/>
      <c r="AS1113" s="866"/>
      <c r="AT1113" s="866"/>
      <c r="AU1113" s="866"/>
      <c r="AV1113" s="866"/>
      <c r="AW1113" s="866"/>
      <c r="AX1113" s="866"/>
      <c r="AY1113" s="866"/>
      <c r="AZ1113" s="866"/>
      <c r="BA1113" s="866"/>
      <c r="BB1113" s="866"/>
      <c r="BC1113" s="866"/>
      <c r="BD1113" s="866"/>
      <c r="BE1113" s="866"/>
    </row>
    <row r="1114" spans="1:58" ht="14.25" hidden="1" customHeight="1" outlineLevel="1">
      <c r="A1114" s="263" t="s">
        <v>2420</v>
      </c>
      <c r="B1114" s="415" t="s">
        <v>1796</v>
      </c>
      <c r="C1114" s="501">
        <v>15000</v>
      </c>
      <c r="D1114" s="492"/>
      <c r="E1114" s="364"/>
      <c r="F1114" s="364"/>
      <c r="G1114" s="364"/>
      <c r="H1114" s="878"/>
      <c r="I1114" s="879"/>
      <c r="J1114" s="480"/>
      <c r="K1114" s="480"/>
      <c r="L1114" s="492"/>
      <c r="M1114" s="492"/>
      <c r="N1114" s="492"/>
      <c r="O1114" s="819"/>
      <c r="P1114" s="819"/>
      <c r="Q1114" s="819"/>
      <c r="R1114" s="819"/>
      <c r="S1114" s="819"/>
      <c r="T1114" s="819"/>
      <c r="U1114" s="819"/>
      <c r="V1114" s="819"/>
      <c r="W1114" s="819"/>
      <c r="X1114" s="819"/>
      <c r="Y1114" s="819"/>
      <c r="Z1114" s="819"/>
      <c r="AA1114" s="819"/>
      <c r="AB1114" s="819"/>
      <c r="AC1114" s="819"/>
      <c r="AD1114" s="819"/>
      <c r="AE1114" s="819"/>
      <c r="AF1114" s="819"/>
      <c r="AG1114" s="819"/>
      <c r="AH1114" s="819"/>
      <c r="AI1114" s="819"/>
      <c r="AJ1114" s="819"/>
      <c r="AK1114" s="819"/>
      <c r="AL1114" s="819"/>
      <c r="AM1114" s="819"/>
      <c r="AN1114" s="819"/>
      <c r="AO1114" s="880"/>
      <c r="AP1114" s="880"/>
      <c r="AQ1114" s="866"/>
      <c r="AR1114" s="866"/>
      <c r="AS1114" s="866"/>
      <c r="AT1114" s="866"/>
      <c r="AU1114" s="866"/>
      <c r="AV1114" s="866"/>
      <c r="AW1114" s="866"/>
      <c r="AX1114" s="866"/>
      <c r="AY1114" s="866"/>
      <c r="AZ1114" s="866"/>
      <c r="BA1114" s="866"/>
      <c r="BB1114" s="866"/>
      <c r="BC1114" s="866"/>
      <c r="BD1114" s="866"/>
      <c r="BE1114" s="866"/>
    </row>
    <row r="1115" spans="1:58" ht="14.25" hidden="1" customHeight="1" outlineLevel="1">
      <c r="D1115" s="492"/>
      <c r="E1115" s="364"/>
      <c r="F1115" s="364"/>
      <c r="G1115" s="364"/>
      <c r="H1115" s="878"/>
      <c r="I1115" s="879"/>
      <c r="J1115" s="480"/>
      <c r="K1115" s="480"/>
      <c r="L1115" s="492"/>
      <c r="M1115" s="492"/>
      <c r="N1115" s="492"/>
      <c r="O1115" s="819"/>
      <c r="P1115" s="819"/>
      <c r="Q1115" s="819"/>
      <c r="R1115" s="819"/>
      <c r="S1115" s="819"/>
      <c r="T1115" s="819"/>
      <c r="U1115" s="819"/>
      <c r="V1115" s="819"/>
      <c r="W1115" s="819"/>
      <c r="X1115" s="819"/>
      <c r="Y1115" s="819"/>
      <c r="Z1115" s="819"/>
      <c r="AA1115" s="819"/>
      <c r="AB1115" s="819"/>
      <c r="AC1115" s="819"/>
      <c r="AD1115" s="819"/>
      <c r="AE1115" s="819"/>
      <c r="AF1115" s="819"/>
      <c r="AG1115" s="819"/>
      <c r="AH1115" s="819"/>
      <c r="AI1115" s="819"/>
      <c r="AJ1115" s="819"/>
      <c r="AK1115" s="819"/>
      <c r="AL1115" s="819"/>
      <c r="AM1115" s="819"/>
      <c r="AN1115" s="819"/>
      <c r="AO1115" s="880"/>
      <c r="AP1115" s="880"/>
      <c r="AQ1115" s="866"/>
      <c r="AR1115" s="866"/>
      <c r="AS1115" s="866"/>
      <c r="AT1115" s="866"/>
      <c r="AU1115" s="866"/>
      <c r="AV1115" s="866"/>
      <c r="AW1115" s="866"/>
      <c r="AX1115" s="866"/>
      <c r="AY1115" s="866"/>
      <c r="AZ1115" s="866"/>
      <c r="BA1115" s="866"/>
      <c r="BB1115" s="866"/>
      <c r="BC1115" s="866"/>
      <c r="BD1115" s="866"/>
      <c r="BE1115" s="866"/>
    </row>
    <row r="1116" spans="1:58" ht="14.25" hidden="1" customHeight="1" outlineLevel="1">
      <c r="A1116" s="380" t="s">
        <v>2359</v>
      </c>
      <c r="B1116" s="413" t="s">
        <v>208</v>
      </c>
      <c r="C1116" s="653" t="s">
        <v>1798</v>
      </c>
      <c r="D1116" s="492"/>
      <c r="E1116" s="364"/>
      <c r="F1116" s="364"/>
      <c r="G1116" s="364"/>
      <c r="H1116" s="878"/>
      <c r="I1116" s="879"/>
      <c r="J1116" s="480"/>
      <c r="K1116" s="480"/>
      <c r="L1116" s="492"/>
      <c r="M1116" s="492"/>
      <c r="N1116" s="492"/>
      <c r="O1116" s="819"/>
      <c r="P1116" s="819"/>
      <c r="Q1116" s="819"/>
      <c r="R1116" s="819"/>
      <c r="S1116" s="819"/>
      <c r="T1116" s="819"/>
      <c r="U1116" s="819"/>
      <c r="V1116" s="819"/>
      <c r="W1116" s="819"/>
      <c r="X1116" s="819"/>
      <c r="Y1116" s="819"/>
      <c r="Z1116" s="819"/>
      <c r="AA1116" s="819"/>
      <c r="AB1116" s="819"/>
      <c r="AC1116" s="819"/>
      <c r="AD1116" s="819"/>
      <c r="AE1116" s="819"/>
      <c r="AF1116" s="819"/>
      <c r="AG1116" s="819"/>
      <c r="AH1116" s="819"/>
      <c r="AI1116" s="819"/>
      <c r="AJ1116" s="819"/>
      <c r="AK1116" s="819"/>
      <c r="AL1116" s="819"/>
      <c r="AM1116" s="819"/>
      <c r="AN1116" s="819"/>
      <c r="AO1116" s="880"/>
      <c r="AP1116" s="880"/>
      <c r="AQ1116" s="866"/>
      <c r="AR1116" s="866"/>
      <c r="AS1116" s="866"/>
      <c r="AT1116" s="866"/>
      <c r="AU1116" s="866"/>
      <c r="AV1116" s="866"/>
      <c r="AW1116" s="866"/>
      <c r="AX1116" s="866"/>
      <c r="AY1116" s="866"/>
      <c r="AZ1116" s="866"/>
      <c r="BA1116" s="866"/>
      <c r="BB1116" s="866"/>
      <c r="BC1116" s="866"/>
      <c r="BD1116" s="866"/>
      <c r="BE1116" s="866"/>
    </row>
    <row r="1117" spans="1:58" ht="14.25" hidden="1" customHeight="1" outlineLevel="1">
      <c r="A1117" s="488" t="s">
        <v>2360</v>
      </c>
      <c r="B1117" s="413" t="s">
        <v>1793</v>
      </c>
      <c r="C1117" s="380">
        <v>3</v>
      </c>
      <c r="D1117" s="492"/>
      <c r="E1117" s="364"/>
      <c r="F1117" s="364"/>
      <c r="G1117" s="364"/>
      <c r="H1117" s="878"/>
      <c r="I1117" s="879"/>
      <c r="J1117" s="480"/>
      <c r="K1117" s="480"/>
      <c r="L1117" s="492"/>
      <c r="M1117" s="492"/>
      <c r="N1117" s="492"/>
      <c r="O1117" s="819"/>
      <c r="P1117" s="819"/>
      <c r="Q1117" s="819"/>
      <c r="R1117" s="819"/>
      <c r="S1117" s="819"/>
      <c r="T1117" s="819"/>
      <c r="U1117" s="819"/>
      <c r="V1117" s="819"/>
      <c r="W1117" s="819"/>
      <c r="X1117" s="819"/>
      <c r="Y1117" s="819"/>
      <c r="Z1117" s="819"/>
      <c r="AA1117" s="819"/>
      <c r="AB1117" s="819"/>
      <c r="AC1117" s="819"/>
      <c r="AD1117" s="819"/>
      <c r="AE1117" s="819"/>
      <c r="AF1117" s="819"/>
      <c r="AG1117" s="819"/>
      <c r="AH1117" s="819"/>
      <c r="AI1117" s="819"/>
      <c r="AJ1117" s="819"/>
      <c r="AK1117" s="819"/>
      <c r="AL1117" s="819"/>
      <c r="AM1117" s="819"/>
      <c r="AN1117" s="819"/>
      <c r="AO1117" s="880"/>
      <c r="AP1117" s="880"/>
      <c r="AQ1117" s="866"/>
      <c r="AR1117" s="866"/>
      <c r="AS1117" s="866"/>
      <c r="AT1117" s="866"/>
      <c r="AU1117" s="866"/>
      <c r="AV1117" s="866"/>
      <c r="AW1117" s="866"/>
      <c r="AX1117" s="866"/>
      <c r="AY1117" s="866"/>
      <c r="AZ1117" s="866"/>
      <c r="BA1117" s="866"/>
      <c r="BB1117" s="866"/>
      <c r="BC1117" s="866"/>
      <c r="BD1117" s="866"/>
      <c r="BE1117" s="866"/>
    </row>
    <row r="1118" spans="1:58" ht="14.25" hidden="1" customHeight="1" outlineLevel="1">
      <c r="A1118" s="380" t="s">
        <v>2361</v>
      </c>
      <c r="B1118" s="438" t="s">
        <v>1793</v>
      </c>
      <c r="C1118" s="488">
        <v>12</v>
      </c>
      <c r="D1118" s="492"/>
      <c r="E1118" s="364"/>
      <c r="F1118" s="364"/>
      <c r="G1118" s="364"/>
      <c r="H1118" s="878"/>
      <c r="I1118" s="879"/>
      <c r="J1118" s="480"/>
      <c r="K1118" s="480"/>
      <c r="L1118" s="492"/>
      <c r="M1118" s="492"/>
      <c r="N1118" s="492"/>
      <c r="O1118" s="819"/>
      <c r="P1118" s="819"/>
      <c r="Q1118" s="819"/>
      <c r="R1118" s="819"/>
      <c r="S1118" s="819"/>
      <c r="T1118" s="819"/>
      <c r="U1118" s="819"/>
      <c r="V1118" s="819"/>
      <c r="W1118" s="819"/>
      <c r="X1118" s="819"/>
      <c r="Y1118" s="819"/>
      <c r="Z1118" s="819"/>
      <c r="AA1118" s="819"/>
      <c r="AB1118" s="819"/>
      <c r="AC1118" s="819"/>
      <c r="AD1118" s="819"/>
      <c r="AE1118" s="819"/>
      <c r="AF1118" s="819"/>
      <c r="AG1118" s="819"/>
      <c r="AH1118" s="819"/>
      <c r="AI1118" s="819"/>
      <c r="AJ1118" s="819"/>
      <c r="AK1118" s="819"/>
      <c r="AL1118" s="819"/>
      <c r="AM1118" s="819"/>
      <c r="AN1118" s="819"/>
      <c r="AO1118" s="880"/>
      <c r="AP1118" s="880"/>
      <c r="AQ1118" s="866"/>
      <c r="AR1118" s="866"/>
      <c r="AS1118" s="866"/>
      <c r="AT1118" s="866"/>
      <c r="AU1118" s="866"/>
      <c r="AV1118" s="866"/>
      <c r="AW1118" s="866"/>
      <c r="AX1118" s="866"/>
      <c r="AY1118" s="866"/>
      <c r="AZ1118" s="866"/>
      <c r="BA1118" s="866"/>
      <c r="BB1118" s="866"/>
      <c r="BC1118" s="866"/>
      <c r="BD1118" s="866"/>
      <c r="BE1118" s="866"/>
    </row>
    <row r="1119" spans="1:58" ht="14.25" hidden="1" customHeight="1" outlineLevel="1">
      <c r="A1119" s="380" t="s">
        <v>2362</v>
      </c>
      <c r="B1119" s="413" t="s">
        <v>1796</v>
      </c>
      <c r="C1119" s="380">
        <v>800</v>
      </c>
      <c r="D1119" s="492"/>
      <c r="E1119" s="364"/>
      <c r="F1119" s="364"/>
      <c r="G1119" s="364"/>
      <c r="H1119" s="878"/>
      <c r="I1119" s="879"/>
      <c r="J1119" s="480"/>
      <c r="K1119" s="480"/>
      <c r="L1119" s="492"/>
      <c r="M1119" s="492"/>
      <c r="N1119" s="492"/>
      <c r="O1119" s="819"/>
      <c r="P1119" s="819"/>
      <c r="Q1119" s="819"/>
      <c r="R1119" s="819"/>
      <c r="S1119" s="819"/>
      <c r="T1119" s="819"/>
      <c r="U1119" s="819"/>
      <c r="V1119" s="819"/>
      <c r="W1119" s="819"/>
      <c r="X1119" s="819"/>
      <c r="Y1119" s="819"/>
      <c r="Z1119" s="819"/>
      <c r="AA1119" s="819"/>
      <c r="AB1119" s="819"/>
      <c r="AC1119" s="819"/>
      <c r="AD1119" s="819"/>
      <c r="AE1119" s="819"/>
      <c r="AF1119" s="819"/>
      <c r="AG1119" s="819"/>
      <c r="AH1119" s="819"/>
      <c r="AI1119" s="819"/>
      <c r="AJ1119" s="819"/>
      <c r="AK1119" s="819"/>
      <c r="AL1119" s="819"/>
      <c r="AM1119" s="819"/>
      <c r="AN1119" s="819"/>
      <c r="AO1119" s="880"/>
      <c r="AP1119" s="880"/>
      <c r="AQ1119" s="866"/>
      <c r="AR1119" s="866"/>
      <c r="AS1119" s="866"/>
      <c r="AT1119" s="866"/>
      <c r="AU1119" s="866"/>
      <c r="AV1119" s="866"/>
      <c r="AW1119" s="866"/>
      <c r="AX1119" s="866"/>
      <c r="AY1119" s="866"/>
      <c r="AZ1119" s="866"/>
      <c r="BA1119" s="866"/>
      <c r="BB1119" s="866"/>
      <c r="BC1119" s="866"/>
      <c r="BD1119" s="866"/>
      <c r="BE1119" s="866"/>
    </row>
    <row r="1120" spans="1:58" ht="14.25" hidden="1" customHeight="1" outlineLevel="1">
      <c r="D1120" s="492"/>
      <c r="E1120" s="364"/>
      <c r="F1120" s="364"/>
      <c r="G1120" s="364"/>
      <c r="H1120" s="878"/>
      <c r="I1120" s="879"/>
      <c r="J1120" s="480"/>
      <c r="K1120" s="480"/>
      <c r="L1120" s="492"/>
      <c r="M1120" s="492"/>
      <c r="N1120" s="492"/>
      <c r="O1120" s="819"/>
      <c r="P1120" s="819"/>
      <c r="Q1120" s="819"/>
      <c r="R1120" s="819"/>
      <c r="S1120" s="819"/>
      <c r="T1120" s="819"/>
      <c r="U1120" s="819"/>
      <c r="V1120" s="819"/>
      <c r="W1120" s="819"/>
      <c r="X1120" s="819"/>
      <c r="Y1120" s="819"/>
      <c r="Z1120" s="819"/>
      <c r="AA1120" s="819"/>
      <c r="AB1120" s="819"/>
      <c r="AC1120" s="819"/>
      <c r="AD1120" s="819"/>
      <c r="AE1120" s="819"/>
      <c r="AF1120" s="819"/>
      <c r="AG1120" s="819"/>
      <c r="AH1120" s="819"/>
      <c r="AI1120" s="819"/>
      <c r="AJ1120" s="819"/>
      <c r="AK1120" s="819"/>
      <c r="AL1120" s="819"/>
      <c r="AM1120" s="819"/>
      <c r="AN1120" s="819"/>
      <c r="AO1120" s="880"/>
      <c r="AP1120" s="880"/>
      <c r="AQ1120" s="866"/>
      <c r="AR1120" s="866"/>
      <c r="AS1120" s="866"/>
      <c r="AT1120" s="866"/>
      <c r="AU1120" s="866"/>
      <c r="AV1120" s="866"/>
      <c r="AW1120" s="866"/>
      <c r="AX1120" s="866"/>
      <c r="AY1120" s="866"/>
      <c r="AZ1120" s="866"/>
      <c r="BA1120" s="866"/>
      <c r="BB1120" s="866"/>
      <c r="BC1120" s="866"/>
      <c r="BD1120" s="866"/>
      <c r="BE1120" s="866"/>
    </row>
    <row r="1121" spans="1:57" ht="14.25" customHeight="1" collapsed="1">
      <c r="A1121" s="3126" t="s">
        <v>2421</v>
      </c>
      <c r="B1121" s="3126"/>
      <c r="C1121" s="3126"/>
      <c r="D1121" s="3126"/>
      <c r="E1121" s="3126"/>
      <c r="F1121" s="3126"/>
      <c r="G1121" s="3126"/>
      <c r="H1121" s="646"/>
      <c r="I1121" s="646"/>
      <c r="J1121" s="646"/>
      <c r="K1121" s="646"/>
      <c r="L1121" s="646"/>
      <c r="M1121" s="616"/>
      <c r="N1121" s="616"/>
      <c r="O1121" s="616"/>
      <c r="P1121" s="617"/>
      <c r="Q1121" s="366"/>
      <c r="R1121" s="617"/>
      <c r="S1121" s="617"/>
      <c r="T1121" s="617"/>
      <c r="U1121" s="617"/>
      <c r="V1121" s="617"/>
      <c r="W1121" s="617"/>
      <c r="X1121" s="617"/>
      <c r="Y1121" s="617"/>
      <c r="Z1121" s="617"/>
      <c r="AA1121" s="617"/>
      <c r="AB1121" s="617"/>
      <c r="AC1121" s="617"/>
      <c r="AD1121" s="617"/>
      <c r="AE1121" s="617"/>
      <c r="AF1121" s="617"/>
      <c r="AG1121" s="617"/>
      <c r="AH1121" s="617"/>
      <c r="AI1121" s="617"/>
      <c r="AJ1121" s="617"/>
      <c r="AK1121" s="617"/>
      <c r="AL1121" s="617"/>
      <c r="AM1121" s="617"/>
      <c r="AN1121" s="617"/>
      <c r="AO1121" s="680"/>
      <c r="AP1121" s="680"/>
      <c r="AQ1121" s="803"/>
      <c r="AR1121" s="803"/>
      <c r="AS1121" s="803"/>
      <c r="AT1121" s="803"/>
      <c r="AU1121" s="803"/>
      <c r="AV1121" s="543">
        <f>M1121</f>
        <v>0</v>
      </c>
      <c r="AW1121" s="803"/>
      <c r="AX1121" s="803"/>
      <c r="AY1121" s="803"/>
      <c r="AZ1121" s="803"/>
      <c r="BA1121" s="803"/>
      <c r="BB1121" s="803"/>
      <c r="BC1121" s="803"/>
      <c r="BD1121" s="803"/>
      <c r="BE1121" s="803"/>
    </row>
    <row r="1122" spans="1:57" ht="14.25" customHeight="1">
      <c r="A1122" s="684"/>
      <c r="B1122" s="490"/>
      <c r="C1122" s="492"/>
      <c r="D1122" s="881"/>
      <c r="E1122" s="881"/>
      <c r="F1122" s="881"/>
      <c r="G1122" s="881"/>
      <c r="H1122" s="492"/>
      <c r="I1122" s="492"/>
      <c r="J1122" s="492"/>
      <c r="K1122" s="492"/>
      <c r="L1122" s="492"/>
      <c r="M1122" s="492"/>
      <c r="N1122" s="492"/>
      <c r="O1122" s="617"/>
      <c r="P1122" s="617"/>
      <c r="Q1122" s="617"/>
      <c r="R1122" s="617"/>
      <c r="S1122" s="617"/>
      <c r="T1122" s="617"/>
      <c r="U1122" s="617"/>
      <c r="V1122" s="617"/>
      <c r="W1122" s="617"/>
      <c r="X1122" s="617"/>
      <c r="Y1122" s="617"/>
      <c r="Z1122" s="617"/>
      <c r="AA1122" s="617"/>
      <c r="AB1122" s="617"/>
      <c r="AC1122" s="617"/>
      <c r="AD1122" s="617"/>
      <c r="AE1122" s="617"/>
      <c r="AF1122" s="617"/>
      <c r="AG1122" s="617"/>
      <c r="AH1122" s="617"/>
      <c r="AI1122" s="617"/>
      <c r="AJ1122" s="617"/>
      <c r="AK1122" s="617"/>
      <c r="AL1122" s="617"/>
      <c r="AM1122" s="617"/>
      <c r="AN1122" s="617"/>
      <c r="AO1122" s="680"/>
      <c r="AP1122" s="680"/>
      <c r="AQ1122" s="803"/>
      <c r="AR1122" s="803"/>
      <c r="AS1122" s="803"/>
      <c r="AT1122" s="803"/>
      <c r="AU1122" s="803"/>
      <c r="AV1122" s="803"/>
      <c r="AW1122" s="803"/>
      <c r="AX1122" s="803"/>
      <c r="AY1122" s="803"/>
      <c r="AZ1122" s="803"/>
      <c r="BA1122" s="803"/>
      <c r="BB1122" s="803"/>
      <c r="BC1122" s="803"/>
      <c r="BD1122" s="803"/>
      <c r="BE1122" s="803"/>
    </row>
    <row r="1123" spans="1:57" ht="14.25" customHeight="1" outlineLevel="1">
      <c r="A1123" s="3132" t="s">
        <v>2422</v>
      </c>
      <c r="B1123" s="3132"/>
      <c r="C1123" s="3132"/>
      <c r="D1123" s="3132"/>
      <c r="E1123" s="3132"/>
      <c r="F1123" s="3132"/>
      <c r="G1123" s="3132"/>
      <c r="H1123" s="337"/>
      <c r="I1123" s="337"/>
      <c r="J1123" s="337"/>
      <c r="K1123" s="337"/>
      <c r="L1123" s="337"/>
      <c r="M1123" s="337"/>
      <c r="N1123" s="337"/>
      <c r="O1123" s="337"/>
      <c r="P1123" s="337"/>
      <c r="Q1123" s="337"/>
      <c r="R1123" s="337"/>
      <c r="S1123" s="337"/>
      <c r="T1123" s="337"/>
      <c r="U1123" s="337"/>
      <c r="V1123" s="337"/>
      <c r="W1123" s="337"/>
      <c r="X1123" s="337"/>
      <c r="Y1123" s="337"/>
      <c r="Z1123" s="337"/>
      <c r="AA1123" s="337"/>
      <c r="AB1123" s="337"/>
      <c r="AC1123" s="337"/>
      <c r="AD1123" s="337"/>
      <c r="AE1123" s="337"/>
      <c r="AF1123" s="337"/>
      <c r="AG1123" s="337"/>
      <c r="AH1123" s="337"/>
      <c r="AI1123" s="337"/>
      <c r="AJ1123" s="859"/>
      <c r="AK1123" s="859"/>
      <c r="AL1123" s="859"/>
      <c r="AM1123" s="859"/>
      <c r="AN1123" s="859"/>
      <c r="AO1123" s="863"/>
      <c r="AP1123" s="863"/>
      <c r="AQ1123" s="864"/>
      <c r="AR1123" s="864"/>
      <c r="AS1123" s="864"/>
      <c r="AT1123" s="864"/>
      <c r="AU1123" s="864"/>
      <c r="AV1123" s="864"/>
      <c r="AW1123" s="864"/>
      <c r="AX1123" s="864"/>
      <c r="AY1123" s="864"/>
      <c r="AZ1123" s="864"/>
      <c r="BA1123" s="864"/>
      <c r="BB1123" s="864"/>
      <c r="BC1123" s="864"/>
      <c r="BD1123" s="864"/>
      <c r="BE1123" s="864"/>
    </row>
    <row r="1124" spans="1:57" ht="14.25" customHeight="1" outlineLevel="1">
      <c r="A1124" s="3132"/>
      <c r="B1124" s="3132"/>
      <c r="C1124" s="3132"/>
      <c r="D1124" s="3132"/>
      <c r="E1124" s="3132"/>
      <c r="F1124" s="3132"/>
      <c r="G1124" s="3132"/>
      <c r="H1124" s="337"/>
      <c r="I1124" s="337"/>
      <c r="J1124" s="337"/>
      <c r="K1124" s="337"/>
      <c r="L1124" s="337"/>
      <c r="M1124" s="337"/>
      <c r="N1124" s="337"/>
      <c r="O1124" s="337"/>
      <c r="P1124" s="337"/>
      <c r="Q1124" s="337"/>
      <c r="R1124" s="337"/>
      <c r="S1124" s="337"/>
      <c r="T1124" s="337"/>
      <c r="U1124" s="337"/>
      <c r="V1124" s="337"/>
      <c r="W1124" s="337"/>
      <c r="X1124" s="337"/>
      <c r="Y1124" s="337"/>
      <c r="Z1124" s="337"/>
      <c r="AA1124" s="337"/>
      <c r="AB1124" s="337"/>
      <c r="AC1124" s="337"/>
      <c r="AD1124" s="337"/>
      <c r="AE1124" s="337"/>
      <c r="AF1124" s="337"/>
      <c r="AG1124" s="337"/>
      <c r="AH1124" s="337"/>
      <c r="AI1124" s="337"/>
      <c r="AJ1124" s="859"/>
      <c r="AK1124" s="859"/>
      <c r="AL1124" s="859"/>
      <c r="AM1124" s="859"/>
      <c r="AN1124" s="859"/>
      <c r="AO1124" s="863"/>
      <c r="AP1124" s="863"/>
      <c r="AQ1124" s="864"/>
      <c r="AR1124" s="864"/>
      <c r="AS1124" s="864"/>
      <c r="AT1124" s="864"/>
      <c r="AU1124" s="864"/>
      <c r="AV1124" s="864"/>
      <c r="AW1124" s="864"/>
      <c r="AX1124" s="864"/>
      <c r="AY1124" s="864"/>
      <c r="AZ1124" s="864"/>
      <c r="BA1124" s="864"/>
      <c r="BB1124" s="864"/>
      <c r="BC1124" s="864"/>
      <c r="BD1124" s="864"/>
      <c r="BE1124" s="864"/>
    </row>
    <row r="1125" spans="1:57" ht="14.25" customHeight="1" outlineLevel="1">
      <c r="G1125" s="695"/>
      <c r="H1125" s="695"/>
      <c r="I1125" s="695"/>
      <c r="J1125" s="695"/>
      <c r="K1125" s="695"/>
      <c r="L1125" s="695"/>
      <c r="M1125" s="695"/>
      <c r="N1125" s="695"/>
      <c r="O1125" s="695"/>
      <c r="P1125" s="695"/>
      <c r="Q1125" s="695"/>
      <c r="R1125" s="695"/>
      <c r="S1125" s="695"/>
      <c r="T1125" s="695"/>
      <c r="U1125" s="695"/>
      <c r="V1125" s="695"/>
      <c r="W1125" s="695"/>
      <c r="X1125" s="695"/>
      <c r="Y1125" s="695"/>
      <c r="Z1125" s="695"/>
      <c r="AA1125" s="695"/>
      <c r="AB1125" s="695"/>
      <c r="AC1125" s="695"/>
      <c r="AD1125" s="695"/>
      <c r="AE1125" s="695"/>
      <c r="AF1125" s="617"/>
      <c r="AG1125" s="617"/>
      <c r="AH1125" s="617"/>
      <c r="AI1125" s="803"/>
      <c r="AJ1125" s="808"/>
      <c r="AK1125" s="808"/>
      <c r="AL1125" s="808"/>
      <c r="AM1125" s="808"/>
      <c r="AN1125" s="808"/>
      <c r="AO1125" s="809"/>
      <c r="AP1125" s="809"/>
      <c r="AQ1125" s="810"/>
      <c r="AR1125" s="810"/>
      <c r="AS1125" s="810"/>
      <c r="AT1125" s="810"/>
      <c r="AU1125" s="810"/>
      <c r="AV1125" s="810"/>
      <c r="AW1125" s="810"/>
      <c r="AX1125" s="810"/>
      <c r="AY1125" s="810"/>
      <c r="AZ1125" s="810"/>
      <c r="BA1125" s="810"/>
      <c r="BB1125" s="810"/>
      <c r="BC1125" s="810"/>
      <c r="BD1125" s="810"/>
      <c r="BE1125" s="810"/>
    </row>
    <row r="1126" spans="1:57" ht="14.25" customHeight="1" outlineLevel="1">
      <c r="A1126" s="3094" t="s">
        <v>2423</v>
      </c>
      <c r="B1126" s="3094"/>
      <c r="C1126" s="3094"/>
      <c r="D1126" s="3094"/>
      <c r="E1126" s="3094"/>
      <c r="F1126" s="412" t="s">
        <v>1798</v>
      </c>
      <c r="G1126" s="695"/>
      <c r="H1126" s="695"/>
      <c r="I1126" s="695"/>
      <c r="J1126" s="695"/>
      <c r="K1126" s="695"/>
      <c r="L1126" s="695"/>
      <c r="M1126" s="695"/>
      <c r="N1126" s="695"/>
      <c r="O1126" s="695"/>
      <c r="P1126" s="695"/>
      <c r="Q1126" s="695"/>
      <c r="R1126" s="695"/>
      <c r="S1126" s="695"/>
      <c r="T1126" s="695"/>
      <c r="U1126" s="695"/>
      <c r="V1126" s="695"/>
      <c r="W1126" s="695"/>
      <c r="X1126" s="695"/>
      <c r="Y1126" s="695"/>
      <c r="Z1126" s="695"/>
      <c r="AA1126" s="695"/>
      <c r="AB1126" s="695"/>
      <c r="AC1126" s="695"/>
      <c r="AD1126" s="695"/>
      <c r="AE1126" s="695"/>
      <c r="AF1126" s="617"/>
      <c r="AG1126" s="617"/>
      <c r="AH1126" s="617"/>
      <c r="AI1126" s="617"/>
      <c r="AJ1126" s="808"/>
      <c r="AK1126" s="808"/>
      <c r="AL1126" s="808"/>
      <c r="AM1126" s="808"/>
      <c r="AN1126" s="808"/>
      <c r="AO1126" s="809"/>
      <c r="AP1126" s="809"/>
      <c r="AQ1126" s="810"/>
      <c r="AR1126" s="810"/>
      <c r="AS1126" s="810"/>
      <c r="AT1126" s="810"/>
      <c r="AU1126" s="810"/>
      <c r="AV1126" s="810"/>
      <c r="AW1126" s="810"/>
      <c r="AX1126" s="810"/>
      <c r="AY1126" s="810"/>
      <c r="AZ1126" s="810"/>
      <c r="BA1126" s="810"/>
      <c r="BB1126" s="810"/>
      <c r="BC1126" s="810"/>
      <c r="BD1126" s="810"/>
      <c r="BE1126" s="810"/>
    </row>
    <row r="1127" spans="1:57" ht="14.25" customHeight="1" outlineLevel="1">
      <c r="B1127" s="614"/>
      <c r="C1127" s="695"/>
      <c r="D1127" s="695"/>
      <c r="E1127" s="695"/>
      <c r="F1127" s="695"/>
      <c r="G1127" s="695"/>
      <c r="H1127" s="695"/>
      <c r="I1127" s="695"/>
      <c r="J1127" s="695"/>
      <c r="K1127" s="695"/>
      <c r="L1127" s="695"/>
      <c r="M1127" s="695"/>
      <c r="N1127" s="695"/>
      <c r="O1127" s="695"/>
      <c r="P1127" s="695"/>
      <c r="Q1127" s="695"/>
      <c r="R1127" s="695"/>
      <c r="S1127" s="695"/>
      <c r="T1127" s="695"/>
      <c r="U1127" s="695"/>
      <c r="V1127" s="695"/>
      <c r="W1127" s="695"/>
      <c r="X1127" s="695"/>
      <c r="Y1127" s="614"/>
      <c r="Z1127" s="614"/>
      <c r="AA1127" s="614"/>
      <c r="AB1127" s="613"/>
      <c r="AC1127" s="614"/>
      <c r="AD1127" s="614"/>
      <c r="AE1127" s="614"/>
      <c r="AF1127" s="617"/>
      <c r="AG1127" s="617"/>
      <c r="AH1127" s="617"/>
      <c r="AI1127" s="617"/>
      <c r="AJ1127" s="808"/>
      <c r="AK1127" s="808"/>
      <c r="AL1127" s="808"/>
      <c r="AM1127" s="808"/>
      <c r="AN1127" s="808"/>
      <c r="AO1127" s="809"/>
      <c r="AP1127" s="809"/>
      <c r="AQ1127" s="810"/>
      <c r="AR1127" s="810"/>
      <c r="AS1127" s="810"/>
      <c r="AT1127" s="810"/>
      <c r="AU1127" s="810"/>
      <c r="AV1127" s="810"/>
      <c r="AW1127" s="810"/>
      <c r="AX1127" s="810"/>
      <c r="AY1127" s="810"/>
      <c r="AZ1127" s="810"/>
      <c r="BA1127" s="810"/>
      <c r="BB1127" s="810"/>
      <c r="BC1127" s="810"/>
      <c r="BD1127" s="810"/>
      <c r="BE1127" s="810"/>
    </row>
    <row r="1128" spans="1:57" ht="14.25" customHeight="1" outlineLevel="1">
      <c r="A1128" s="380" t="s">
        <v>2130</v>
      </c>
      <c r="B1128" s="476">
        <v>10</v>
      </c>
      <c r="C1128" s="476" t="s">
        <v>799</v>
      </c>
      <c r="E1128" s="695"/>
      <c r="F1128" s="695"/>
      <c r="G1128" s="695"/>
      <c r="H1128" s="695"/>
      <c r="I1128" s="695"/>
      <c r="J1128" s="695"/>
      <c r="K1128" s="695"/>
      <c r="L1128" s="695"/>
      <c r="M1128" s="695"/>
      <c r="N1128" s="695"/>
      <c r="O1128" s="695"/>
      <c r="P1128" s="695"/>
      <c r="Q1128" s="695"/>
      <c r="R1128" s="695"/>
      <c r="S1128" s="695"/>
      <c r="T1128" s="695"/>
      <c r="U1128" s="695"/>
      <c r="V1128" s="695"/>
      <c r="W1128" s="695"/>
      <c r="X1128" s="695"/>
      <c r="Y1128" s="614"/>
      <c r="Z1128" s="614"/>
      <c r="AA1128" s="614"/>
      <c r="AB1128" s="613"/>
      <c r="AC1128" s="614"/>
      <c r="AD1128" s="614"/>
      <c r="AE1128" s="614"/>
      <c r="AF1128" s="617"/>
      <c r="AG1128" s="617"/>
      <c r="AH1128" s="617"/>
      <c r="AI1128" s="617"/>
      <c r="AJ1128" s="808"/>
      <c r="AK1128" s="808"/>
      <c r="AL1128" s="808"/>
      <c r="AM1128" s="808"/>
      <c r="AN1128" s="808"/>
      <c r="AO1128" s="809"/>
      <c r="AP1128" s="809"/>
      <c r="AQ1128" s="810"/>
      <c r="AR1128" s="810"/>
      <c r="AS1128" s="810"/>
      <c r="AT1128" s="810"/>
      <c r="AU1128" s="810"/>
      <c r="AV1128" s="810"/>
      <c r="AW1128" s="810"/>
      <c r="AX1128" s="810"/>
      <c r="AY1128" s="810"/>
      <c r="AZ1128" s="810"/>
      <c r="BA1128" s="810"/>
      <c r="BB1128" s="810"/>
      <c r="BC1128" s="810"/>
      <c r="BD1128" s="810"/>
      <c r="BE1128" s="810"/>
    </row>
    <row r="1129" spans="1:57" ht="14.25" customHeight="1" outlineLevel="1">
      <c r="A1129" s="380" t="s">
        <v>2424</v>
      </c>
      <c r="B1129" s="476">
        <v>2000</v>
      </c>
      <c r="C1129" s="476" t="s">
        <v>2425</v>
      </c>
      <c r="E1129" s="695"/>
      <c r="F1129" s="695"/>
      <c r="G1129" s="695"/>
      <c r="H1129" s="695"/>
      <c r="I1129" s="695"/>
      <c r="J1129" s="695"/>
      <c r="K1129" s="695"/>
      <c r="L1129" s="695"/>
      <c r="M1129" s="695"/>
      <c r="N1129" s="695"/>
      <c r="O1129" s="695"/>
      <c r="P1129" s="695"/>
      <c r="Q1129" s="695"/>
      <c r="R1129" s="695"/>
      <c r="S1129" s="695"/>
      <c r="T1129" s="695"/>
      <c r="U1129" s="695"/>
      <c r="V1129" s="695"/>
      <c r="W1129" s="695"/>
      <c r="X1129" s="695"/>
      <c r="Y1129" s="614"/>
      <c r="Z1129" s="614"/>
      <c r="AA1129" s="614"/>
      <c r="AB1129" s="613"/>
      <c r="AC1129" s="614"/>
      <c r="AD1129" s="614"/>
      <c r="AE1129" s="614"/>
      <c r="AF1129" s="617"/>
      <c r="AG1129" s="617"/>
      <c r="AH1129" s="617"/>
      <c r="AI1129" s="617"/>
      <c r="AJ1129" s="808"/>
      <c r="AK1129" s="808"/>
      <c r="AL1129" s="808"/>
      <c r="AM1129" s="808"/>
      <c r="AN1129" s="808"/>
      <c r="AO1129" s="809"/>
      <c r="AP1129" s="809"/>
      <c r="AQ1129" s="810"/>
      <c r="AR1129" s="810"/>
      <c r="AS1129" s="810"/>
      <c r="AT1129" s="810"/>
      <c r="AU1129" s="810"/>
      <c r="AV1129" s="810"/>
      <c r="AW1129" s="810"/>
      <c r="AX1129" s="810"/>
      <c r="AY1129" s="810"/>
      <c r="AZ1129" s="810"/>
      <c r="BA1129" s="810"/>
      <c r="BB1129" s="810"/>
      <c r="BC1129" s="810"/>
      <c r="BD1129" s="810"/>
      <c r="BE1129" s="810"/>
    </row>
    <row r="1130" spans="1:57" ht="14.25" customHeight="1" outlineLevel="1">
      <c r="A1130" s="380" t="s">
        <v>2426</v>
      </c>
      <c r="B1130" s="476">
        <v>3000</v>
      </c>
      <c r="C1130" s="476" t="s">
        <v>2425</v>
      </c>
      <c r="E1130" s="695"/>
      <c r="F1130" s="695"/>
      <c r="G1130" s="695"/>
      <c r="H1130" s="695"/>
      <c r="I1130" s="695"/>
      <c r="J1130" s="695"/>
      <c r="K1130" s="695"/>
      <c r="L1130" s="695"/>
      <c r="M1130" s="695"/>
      <c r="N1130" s="695"/>
      <c r="O1130" s="695"/>
      <c r="P1130" s="695"/>
      <c r="Q1130" s="695"/>
      <c r="R1130" s="695"/>
      <c r="S1130" s="695"/>
      <c r="T1130" s="695"/>
      <c r="U1130" s="695"/>
      <c r="V1130" s="695"/>
      <c r="W1130" s="695"/>
      <c r="X1130" s="695"/>
      <c r="Y1130" s="614"/>
      <c r="Z1130" s="614"/>
      <c r="AA1130" s="614"/>
      <c r="AB1130" s="613"/>
      <c r="AC1130" s="614"/>
      <c r="AD1130" s="614"/>
      <c r="AE1130" s="614"/>
      <c r="AF1130" s="617"/>
      <c r="AG1130" s="617"/>
      <c r="AH1130" s="617"/>
      <c r="AI1130" s="617"/>
      <c r="AJ1130" s="808"/>
      <c r="AK1130" s="808"/>
      <c r="AL1130" s="808"/>
      <c r="AM1130" s="808"/>
      <c r="AN1130" s="808"/>
      <c r="AO1130" s="809"/>
      <c r="AP1130" s="809"/>
      <c r="AQ1130" s="810"/>
      <c r="AR1130" s="810"/>
      <c r="AS1130" s="810"/>
      <c r="AT1130" s="810"/>
      <c r="AU1130" s="810"/>
      <c r="AV1130" s="810"/>
      <c r="AW1130" s="810"/>
      <c r="AX1130" s="810"/>
      <c r="AY1130" s="810"/>
      <c r="AZ1130" s="810"/>
      <c r="BA1130" s="810"/>
      <c r="BB1130" s="810"/>
      <c r="BC1130" s="810"/>
      <c r="BD1130" s="810"/>
      <c r="BE1130" s="810"/>
    </row>
    <row r="1131" spans="1:57" ht="14.25" customHeight="1" outlineLevel="1">
      <c r="A1131" s="380" t="s">
        <v>2427</v>
      </c>
      <c r="B1131" s="476">
        <v>800</v>
      </c>
      <c r="C1131" s="476" t="s">
        <v>2425</v>
      </c>
      <c r="E1131" s="695"/>
      <c r="F1131" s="695"/>
      <c r="G1131" s="695"/>
      <c r="H1131" s="695"/>
      <c r="I1131" s="695"/>
      <c r="J1131" s="695"/>
      <c r="K1131" s="695"/>
      <c r="L1131" s="695"/>
      <c r="M1131" s="695"/>
      <c r="N1131" s="695"/>
      <c r="O1131" s="695"/>
      <c r="P1131" s="695"/>
      <c r="Q1131" s="695"/>
      <c r="R1131" s="695"/>
      <c r="S1131" s="695"/>
      <c r="T1131" s="695"/>
      <c r="U1131" s="695"/>
      <c r="V1131" s="695"/>
      <c r="W1131" s="695"/>
      <c r="X1131" s="695"/>
      <c r="Y1131" s="614"/>
      <c r="Z1131" s="614"/>
      <c r="AA1131" s="614"/>
      <c r="AB1131" s="613"/>
      <c r="AC1131" s="614"/>
      <c r="AD1131" s="614"/>
      <c r="AE1131" s="614"/>
      <c r="AF1131" s="617"/>
      <c r="AG1131" s="617"/>
      <c r="AH1131" s="617"/>
      <c r="AI1131" s="617"/>
      <c r="AJ1131" s="808"/>
      <c r="AK1131" s="808"/>
      <c r="AL1131" s="808"/>
      <c r="AM1131" s="808"/>
      <c r="AN1131" s="808"/>
      <c r="AO1131" s="809"/>
      <c r="AP1131" s="809"/>
      <c r="AQ1131" s="810"/>
      <c r="AR1131" s="810"/>
      <c r="AS1131" s="810"/>
      <c r="AT1131" s="810"/>
      <c r="AU1131" s="810"/>
      <c r="AV1131" s="810"/>
      <c r="AW1131" s="810"/>
      <c r="AX1131" s="810"/>
      <c r="AY1131" s="810"/>
      <c r="AZ1131" s="810"/>
      <c r="BA1131" s="810"/>
      <c r="BB1131" s="810"/>
      <c r="BC1131" s="810"/>
      <c r="BD1131" s="810"/>
      <c r="BE1131" s="810"/>
    </row>
    <row r="1132" spans="1:57" ht="14.25" customHeight="1" outlineLevel="1">
      <c r="A1132" s="380" t="s">
        <v>2428</v>
      </c>
      <c r="B1132" s="476">
        <v>500</v>
      </c>
      <c r="C1132" s="476" t="s">
        <v>2425</v>
      </c>
      <c r="E1132" s="695"/>
      <c r="F1132" s="695"/>
      <c r="G1132" s="695"/>
      <c r="H1132" s="695"/>
      <c r="I1132" s="695"/>
      <c r="J1132" s="695"/>
      <c r="K1132" s="695"/>
      <c r="L1132" s="695"/>
      <c r="M1132" s="695"/>
      <c r="N1132" s="695"/>
      <c r="O1132" s="695"/>
      <c r="P1132" s="695"/>
      <c r="Q1132" s="695"/>
      <c r="R1132" s="695"/>
      <c r="S1132" s="695"/>
      <c r="T1132" s="695"/>
      <c r="U1132" s="695"/>
      <c r="V1132" s="695"/>
      <c r="W1132" s="695"/>
      <c r="X1132" s="695"/>
      <c r="Y1132" s="614"/>
      <c r="Z1132" s="614"/>
      <c r="AA1132" s="614"/>
      <c r="AB1132" s="613"/>
      <c r="AC1132" s="614"/>
      <c r="AD1132" s="614"/>
      <c r="AE1132" s="614"/>
      <c r="AF1132" s="617"/>
      <c r="AG1132" s="617"/>
      <c r="AH1132" s="617"/>
      <c r="AI1132" s="617"/>
      <c r="AJ1132" s="808"/>
      <c r="AK1132" s="808"/>
      <c r="AL1132" s="808"/>
      <c r="AM1132" s="808"/>
      <c r="AN1132" s="808"/>
      <c r="AO1132" s="809"/>
      <c r="AP1132" s="809"/>
      <c r="AQ1132" s="810"/>
      <c r="AR1132" s="810"/>
      <c r="AS1132" s="810"/>
      <c r="AT1132" s="810"/>
      <c r="AU1132" s="810"/>
      <c r="AV1132" s="810"/>
      <c r="AW1132" s="810"/>
      <c r="AX1132" s="810"/>
      <c r="AY1132" s="810"/>
      <c r="AZ1132" s="810"/>
      <c r="BA1132" s="810"/>
      <c r="BB1132" s="810"/>
      <c r="BC1132" s="810"/>
      <c r="BD1132" s="810"/>
      <c r="BE1132" s="810"/>
    </row>
    <row r="1133" spans="1:57" ht="14.25" customHeight="1" outlineLevel="1">
      <c r="A1133" s="380" t="s">
        <v>2429</v>
      </c>
      <c r="B1133" s="882">
        <v>100</v>
      </c>
      <c r="C1133" s="882" t="s">
        <v>2425</v>
      </c>
      <c r="D1133" s="695"/>
      <c r="E1133" s="695"/>
      <c r="F1133" s="695"/>
      <c r="G1133" s="695"/>
      <c r="H1133" s="695"/>
      <c r="I1133" s="695"/>
      <c r="J1133" s="695"/>
      <c r="K1133" s="695"/>
      <c r="L1133" s="695"/>
      <c r="M1133" s="695"/>
      <c r="N1133" s="695"/>
      <c r="O1133" s="695"/>
      <c r="P1133" s="695"/>
      <c r="Q1133" s="695"/>
      <c r="R1133" s="695"/>
      <c r="S1133" s="695"/>
      <c r="T1133" s="695"/>
      <c r="U1133" s="695"/>
      <c r="V1133" s="695"/>
      <c r="W1133" s="695"/>
      <c r="X1133" s="695"/>
      <c r="Y1133" s="614"/>
      <c r="Z1133" s="614"/>
      <c r="AA1133" s="614"/>
      <c r="AB1133" s="613"/>
      <c r="AC1133" s="614"/>
      <c r="AD1133" s="614"/>
      <c r="AE1133" s="614"/>
      <c r="AF1133" s="617"/>
      <c r="AG1133" s="617"/>
      <c r="AH1133" s="617"/>
      <c r="AI1133" s="617"/>
      <c r="AJ1133" s="808"/>
      <c r="AK1133" s="808"/>
      <c r="AL1133" s="808"/>
      <c r="AM1133" s="808"/>
      <c r="AN1133" s="808"/>
      <c r="AO1133" s="809"/>
      <c r="AP1133" s="809"/>
      <c r="AQ1133" s="810"/>
      <c r="AR1133" s="810"/>
      <c r="AS1133" s="810"/>
      <c r="AT1133" s="810"/>
      <c r="AU1133" s="810"/>
      <c r="AV1133" s="810"/>
      <c r="AW1133" s="810"/>
      <c r="AX1133" s="810"/>
      <c r="AY1133" s="810"/>
      <c r="AZ1133" s="810"/>
      <c r="BA1133" s="810"/>
      <c r="BB1133" s="810"/>
      <c r="BC1133" s="810"/>
      <c r="BD1133" s="810"/>
      <c r="BE1133" s="810"/>
    </row>
    <row r="1134" spans="1:57" ht="14.25" customHeight="1" outlineLevel="1">
      <c r="A1134" s="380" t="s">
        <v>2430</v>
      </c>
      <c r="B1134" s="476">
        <v>50</v>
      </c>
      <c r="C1134" s="476" t="s">
        <v>2425</v>
      </c>
      <c r="D1134" s="695"/>
      <c r="E1134" s="695"/>
      <c r="F1134" s="695"/>
      <c r="G1134" s="695"/>
      <c r="H1134" s="695"/>
      <c r="I1134" s="695"/>
      <c r="J1134" s="695"/>
      <c r="K1134" s="695"/>
      <c r="L1134" s="695"/>
      <c r="M1134" s="695"/>
      <c r="N1134" s="695"/>
      <c r="O1134" s="695"/>
      <c r="P1134" s="695"/>
      <c r="Q1134" s="695"/>
      <c r="R1134" s="695"/>
      <c r="S1134" s="695"/>
      <c r="T1134" s="695"/>
      <c r="U1134" s="695"/>
      <c r="V1134" s="695"/>
      <c r="W1134" s="695"/>
      <c r="X1134" s="695"/>
      <c r="Y1134" s="614"/>
      <c r="Z1134" s="614"/>
      <c r="AA1134" s="614"/>
      <c r="AB1134" s="614"/>
      <c r="AC1134" s="614"/>
      <c r="AD1134" s="614"/>
      <c r="AE1134" s="614"/>
      <c r="AF1134" s="617"/>
      <c r="AG1134" s="617"/>
      <c r="AH1134" s="617"/>
      <c r="AI1134" s="617"/>
      <c r="AJ1134" s="808"/>
      <c r="AK1134" s="808"/>
      <c r="AL1134" s="808"/>
      <c r="AM1134" s="808"/>
      <c r="AN1134" s="808"/>
      <c r="AO1134" s="809"/>
      <c r="AP1134" s="809"/>
      <c r="AQ1134" s="810"/>
      <c r="AR1134" s="810"/>
      <c r="AS1134" s="810"/>
      <c r="AT1134" s="810"/>
      <c r="AU1134" s="810"/>
      <c r="AV1134" s="810"/>
      <c r="AW1134" s="810"/>
      <c r="AX1134" s="810"/>
      <c r="AY1134" s="810"/>
      <c r="AZ1134" s="810"/>
      <c r="BA1134" s="810"/>
      <c r="BB1134" s="810"/>
      <c r="BC1134" s="810"/>
      <c r="BD1134" s="810"/>
      <c r="BE1134" s="810"/>
    </row>
    <row r="1135" spans="1:57" ht="14.25" customHeight="1" outlineLevel="1">
      <c r="A1135" s="487" t="s">
        <v>2431</v>
      </c>
      <c r="B1135" s="476">
        <v>2000</v>
      </c>
      <c r="C1135" s="476" t="s">
        <v>2432</v>
      </c>
      <c r="D1135" s="617"/>
      <c r="H1135" s="617"/>
      <c r="I1135" s="617"/>
      <c r="J1135" s="617"/>
      <c r="K1135" s="883"/>
      <c r="L1135" s="617"/>
      <c r="M1135" s="617"/>
      <c r="N1135" s="617"/>
      <c r="O1135" s="617"/>
      <c r="P1135" s="617"/>
      <c r="Q1135" s="617"/>
      <c r="R1135" s="617"/>
      <c r="S1135" s="617"/>
      <c r="T1135" s="617"/>
      <c r="U1135" s="617"/>
      <c r="V1135" s="617"/>
      <c r="W1135" s="617"/>
      <c r="X1135" s="617"/>
      <c r="Y1135" s="617"/>
      <c r="Z1135" s="617"/>
      <c r="AA1135" s="617"/>
      <c r="AB1135" s="617"/>
      <c r="AC1135" s="617"/>
      <c r="AD1135" s="617"/>
      <c r="AE1135" s="859"/>
      <c r="AF1135" s="859"/>
      <c r="AG1135" s="859"/>
      <c r="AH1135" s="859"/>
      <c r="AI1135" s="859"/>
      <c r="AJ1135" s="859"/>
      <c r="AK1135" s="859"/>
      <c r="AL1135" s="859"/>
      <c r="AM1135" s="859"/>
      <c r="AN1135" s="859"/>
      <c r="AO1135" s="863"/>
      <c r="AP1135" s="863"/>
      <c r="AQ1135" s="864"/>
      <c r="AR1135" s="864"/>
      <c r="AS1135" s="864"/>
      <c r="AT1135" s="864"/>
      <c r="AU1135" s="864"/>
      <c r="AV1135" s="864"/>
      <c r="AW1135" s="864"/>
      <c r="AX1135" s="864"/>
      <c r="AY1135" s="864"/>
      <c r="AZ1135" s="864"/>
      <c r="BA1135" s="864"/>
      <c r="BB1135" s="864"/>
      <c r="BC1135" s="864"/>
      <c r="BD1135" s="864"/>
      <c r="BE1135" s="864"/>
    </row>
    <row r="1136" spans="1:57" ht="14.25" customHeight="1" outlineLevel="1">
      <c r="A1136" s="380" t="s">
        <v>2433</v>
      </c>
      <c r="B1136" s="476">
        <v>10</v>
      </c>
      <c r="C1136" s="476" t="s">
        <v>799</v>
      </c>
      <c r="D1136" s="617"/>
      <c r="H1136" s="617"/>
      <c r="I1136" s="617"/>
      <c r="J1136" s="617"/>
      <c r="K1136" s="883"/>
      <c r="L1136" s="617"/>
      <c r="M1136" s="617"/>
      <c r="N1136" s="617"/>
      <c r="O1136" s="617"/>
      <c r="P1136" s="617"/>
      <c r="Q1136" s="617"/>
      <c r="R1136" s="617"/>
      <c r="S1136" s="617"/>
      <c r="T1136" s="617"/>
      <c r="U1136" s="617"/>
      <c r="V1136" s="617"/>
      <c r="W1136" s="617"/>
      <c r="X1136" s="617"/>
      <c r="Y1136" s="617"/>
      <c r="Z1136" s="617"/>
      <c r="AA1136" s="617"/>
      <c r="AB1136" s="617"/>
      <c r="AC1136" s="617"/>
      <c r="AD1136" s="617"/>
      <c r="AE1136" s="859"/>
      <c r="AF1136" s="859"/>
      <c r="AG1136" s="859"/>
      <c r="AH1136" s="859"/>
      <c r="AI1136" s="859"/>
      <c r="AJ1136" s="859"/>
      <c r="AK1136" s="859"/>
      <c r="AL1136" s="859"/>
      <c r="AM1136" s="859"/>
      <c r="AN1136" s="859"/>
      <c r="AO1136" s="863"/>
      <c r="AP1136" s="863"/>
      <c r="AQ1136" s="864"/>
      <c r="AR1136" s="864"/>
      <c r="AS1136" s="864"/>
      <c r="AT1136" s="864"/>
      <c r="AU1136" s="864"/>
      <c r="AV1136" s="864"/>
      <c r="AW1136" s="864"/>
      <c r="AX1136" s="864"/>
      <c r="AY1136" s="864"/>
      <c r="AZ1136" s="864"/>
      <c r="BA1136" s="864"/>
      <c r="BB1136" s="864"/>
      <c r="BC1136" s="864"/>
      <c r="BD1136" s="864"/>
      <c r="BE1136" s="864"/>
    </row>
    <row r="1137" spans="1:58" ht="14.25" customHeight="1" outlineLevel="1">
      <c r="A1137" s="884" t="s">
        <v>176</v>
      </c>
      <c r="D1137" s="617"/>
      <c r="H1137" s="617"/>
      <c r="I1137" s="617"/>
      <c r="J1137" s="617"/>
      <c r="K1137" s="617"/>
      <c r="L1137" s="617"/>
      <c r="M1137" s="617"/>
      <c r="N1137" s="617"/>
      <c r="O1137" s="617"/>
      <c r="P1137" s="617"/>
      <c r="Q1137" s="617"/>
      <c r="R1137" s="617"/>
      <c r="S1137" s="617"/>
      <c r="T1137" s="617"/>
      <c r="U1137" s="617"/>
      <c r="V1137" s="617"/>
      <c r="W1137" s="617"/>
      <c r="X1137" s="617"/>
      <c r="Y1137" s="617"/>
      <c r="Z1137" s="617"/>
      <c r="AA1137" s="617"/>
      <c r="AB1137" s="617"/>
      <c r="AC1137" s="617"/>
      <c r="AD1137" s="617"/>
      <c r="AE1137" s="859"/>
      <c r="AF1137" s="859"/>
      <c r="AG1137" s="859"/>
      <c r="AH1137" s="859"/>
      <c r="AI1137" s="859"/>
      <c r="AJ1137" s="859"/>
      <c r="AK1137" s="859"/>
      <c r="AL1137" s="859"/>
      <c r="AM1137" s="859"/>
      <c r="AN1137" s="859"/>
      <c r="AO1137" s="863"/>
      <c r="AP1137" s="863"/>
      <c r="AQ1137" s="864"/>
      <c r="AR1137" s="864"/>
      <c r="AS1137" s="864"/>
      <c r="AT1137" s="864"/>
      <c r="AU1137" s="864"/>
      <c r="AV1137" s="864"/>
      <c r="AW1137" s="864"/>
      <c r="AX1137" s="864"/>
      <c r="AY1137" s="864"/>
      <c r="AZ1137" s="864"/>
      <c r="BA1137" s="864"/>
      <c r="BB1137" s="864"/>
      <c r="BC1137" s="864"/>
      <c r="BD1137" s="864"/>
      <c r="BE1137" s="864"/>
    </row>
    <row r="1138" spans="1:58" ht="14.25" customHeight="1" outlineLevel="1">
      <c r="A1138" s="380" t="s">
        <v>2434</v>
      </c>
      <c r="B1138" s="476">
        <v>3</v>
      </c>
      <c r="C1138" s="476" t="s">
        <v>799</v>
      </c>
      <c r="D1138" s="617"/>
      <c r="H1138" s="617"/>
      <c r="I1138" s="617"/>
      <c r="J1138" s="617"/>
      <c r="K1138" s="617"/>
      <c r="L1138" s="617"/>
      <c r="M1138" s="617"/>
      <c r="N1138" s="617"/>
      <c r="O1138" s="617"/>
      <c r="P1138" s="617"/>
      <c r="Q1138" s="617"/>
      <c r="R1138" s="617"/>
      <c r="S1138" s="617"/>
      <c r="T1138" s="617"/>
      <c r="U1138" s="617"/>
      <c r="V1138" s="617"/>
      <c r="W1138" s="617"/>
      <c r="X1138" s="617"/>
      <c r="Y1138" s="617"/>
      <c r="Z1138" s="617"/>
      <c r="AA1138" s="617"/>
      <c r="AB1138" s="617"/>
      <c r="AC1138" s="617"/>
      <c r="AD1138" s="617"/>
      <c r="AE1138" s="859"/>
      <c r="AF1138" s="859"/>
      <c r="AG1138" s="859"/>
      <c r="AH1138" s="859"/>
      <c r="AI1138" s="859"/>
      <c r="AJ1138" s="859"/>
      <c r="AK1138" s="859"/>
      <c r="AL1138" s="859"/>
      <c r="AM1138" s="859"/>
      <c r="AN1138" s="859"/>
      <c r="AO1138" s="863"/>
      <c r="AP1138" s="863"/>
      <c r="AQ1138" s="864"/>
      <c r="AR1138" s="864"/>
      <c r="AS1138" s="864"/>
      <c r="AT1138" s="864"/>
      <c r="AU1138" s="864"/>
      <c r="AV1138" s="864"/>
      <c r="AW1138" s="864"/>
      <c r="AX1138" s="864"/>
      <c r="AY1138" s="864"/>
      <c r="AZ1138" s="864"/>
      <c r="BA1138" s="864"/>
      <c r="BB1138" s="864"/>
      <c r="BC1138" s="864"/>
      <c r="BD1138" s="864"/>
      <c r="BE1138" s="864"/>
    </row>
    <row r="1139" spans="1:58" ht="14.25" customHeight="1" outlineLevel="1">
      <c r="A1139" s="412" t="s">
        <v>979</v>
      </c>
      <c r="D1139" s="617"/>
      <c r="H1139" s="617"/>
      <c r="I1139" s="617"/>
      <c r="J1139" s="617"/>
      <c r="K1139" s="617"/>
      <c r="L1139" s="617"/>
      <c r="M1139" s="617"/>
      <c r="N1139" s="617"/>
      <c r="O1139" s="617"/>
      <c r="P1139" s="617"/>
      <c r="Q1139" s="617"/>
      <c r="R1139" s="617"/>
      <c r="S1139" s="617"/>
      <c r="T1139" s="617"/>
      <c r="U1139" s="617"/>
      <c r="V1139" s="617"/>
      <c r="W1139" s="617"/>
      <c r="X1139" s="617"/>
      <c r="Y1139" s="617"/>
      <c r="Z1139" s="617"/>
      <c r="AA1139" s="617"/>
      <c r="AB1139" s="617"/>
      <c r="AC1139" s="617"/>
      <c r="AD1139" s="617"/>
      <c r="AE1139" s="859"/>
      <c r="AF1139" s="859"/>
      <c r="AG1139" s="859"/>
      <c r="AH1139" s="859"/>
      <c r="AI1139" s="859"/>
      <c r="AJ1139" s="859"/>
      <c r="AK1139" s="859"/>
      <c r="AL1139" s="859"/>
      <c r="AM1139" s="859"/>
      <c r="AN1139" s="859"/>
      <c r="AO1139" s="863"/>
      <c r="AP1139" s="863"/>
      <c r="AQ1139" s="864"/>
      <c r="AR1139" s="864"/>
      <c r="AS1139" s="864"/>
      <c r="AT1139" s="864"/>
      <c r="AU1139" s="864"/>
      <c r="AV1139" s="864"/>
      <c r="AW1139" s="864"/>
      <c r="AX1139" s="864"/>
      <c r="AY1139" s="864"/>
      <c r="AZ1139" s="864"/>
      <c r="BA1139" s="864"/>
      <c r="BB1139" s="864"/>
      <c r="BC1139" s="864"/>
      <c r="BD1139" s="864"/>
      <c r="BE1139" s="864"/>
    </row>
    <row r="1140" spans="1:58" ht="14.25" customHeight="1" outlineLevel="1">
      <c r="A1140" s="412" t="s">
        <v>202</v>
      </c>
      <c r="D1140" s="617"/>
      <c r="H1140" s="617"/>
      <c r="I1140" s="617"/>
      <c r="J1140" s="617"/>
      <c r="K1140" s="617"/>
      <c r="L1140" s="617"/>
      <c r="M1140" s="617"/>
      <c r="N1140" s="617"/>
      <c r="O1140" s="617"/>
      <c r="P1140" s="617"/>
      <c r="Q1140" s="617"/>
      <c r="R1140" s="617"/>
      <c r="S1140" s="617"/>
      <c r="T1140" s="617"/>
      <c r="U1140" s="617"/>
      <c r="V1140" s="617"/>
      <c r="W1140" s="617"/>
      <c r="X1140" s="617"/>
      <c r="Y1140" s="617"/>
      <c r="Z1140" s="617"/>
      <c r="AA1140" s="617"/>
      <c r="AB1140" s="617"/>
      <c r="AC1140" s="617"/>
      <c r="AD1140" s="617"/>
      <c r="AE1140" s="859"/>
      <c r="AF1140" s="859"/>
      <c r="AG1140" s="859"/>
      <c r="AH1140" s="859"/>
      <c r="AI1140" s="859"/>
      <c r="AJ1140" s="859"/>
      <c r="AK1140" s="859"/>
      <c r="AL1140" s="859"/>
      <c r="AM1140" s="859"/>
      <c r="AN1140" s="859"/>
      <c r="AO1140" s="863"/>
      <c r="AP1140" s="863"/>
      <c r="AQ1140" s="864"/>
      <c r="AR1140" s="864"/>
      <c r="AS1140" s="864"/>
      <c r="AT1140" s="864"/>
      <c r="AU1140" s="864"/>
      <c r="AV1140" s="864"/>
      <c r="AW1140" s="864"/>
      <c r="AX1140" s="864"/>
      <c r="AY1140" s="864"/>
      <c r="AZ1140" s="864"/>
      <c r="BA1140" s="864"/>
      <c r="BB1140" s="864"/>
      <c r="BC1140" s="864"/>
      <c r="BD1140" s="864"/>
      <c r="BE1140" s="864"/>
    </row>
    <row r="1141" spans="1:58" ht="14.25" customHeight="1" outlineLevel="1">
      <c r="A1141" s="412" t="s">
        <v>834</v>
      </c>
      <c r="D1141" s="617"/>
      <c r="H1141" s="617"/>
      <c r="I1141" s="617"/>
      <c r="J1141" s="617"/>
      <c r="K1141" s="617"/>
      <c r="L1141" s="617"/>
      <c r="M1141" s="617"/>
      <c r="N1141" s="617"/>
      <c r="O1141" s="617"/>
      <c r="P1141" s="617"/>
      <c r="Q1141" s="617"/>
      <c r="R1141" s="617"/>
      <c r="S1141" s="617"/>
      <c r="T1141" s="617"/>
      <c r="U1141" s="617"/>
      <c r="V1141" s="617"/>
      <c r="W1141" s="617"/>
      <c r="X1141" s="617"/>
      <c r="Y1141" s="617"/>
      <c r="Z1141" s="617"/>
      <c r="AA1141" s="617"/>
      <c r="AB1141" s="617"/>
      <c r="AC1141" s="617"/>
      <c r="AD1141" s="617"/>
      <c r="AE1141" s="859"/>
      <c r="AF1141" s="859"/>
      <c r="AG1141" s="859"/>
      <c r="AH1141" s="859"/>
      <c r="AI1141" s="859"/>
      <c r="AJ1141" s="859"/>
      <c r="AK1141" s="859"/>
      <c r="AL1141" s="859"/>
      <c r="AM1141" s="859"/>
      <c r="AN1141" s="859"/>
      <c r="AO1141" s="863"/>
      <c r="AP1141" s="863"/>
      <c r="AQ1141" s="864"/>
      <c r="AR1141" s="864"/>
      <c r="AS1141" s="864"/>
      <c r="AT1141" s="864"/>
      <c r="AU1141" s="864"/>
      <c r="AV1141" s="864"/>
      <c r="AW1141" s="864"/>
      <c r="AX1141" s="864"/>
      <c r="AY1141" s="864"/>
      <c r="AZ1141" s="864"/>
      <c r="BA1141" s="864"/>
      <c r="BB1141" s="864"/>
      <c r="BC1141" s="864"/>
      <c r="BD1141" s="864"/>
      <c r="BE1141" s="864"/>
    </row>
    <row r="1142" spans="1:58" ht="14.25" customHeight="1" outlineLevel="1">
      <c r="A1142" s="412" t="s">
        <v>152</v>
      </c>
      <c r="B1142" s="413" t="s">
        <v>154</v>
      </c>
      <c r="C1142" s="380">
        <v>0</v>
      </c>
      <c r="D1142" s="617"/>
      <c r="H1142" s="617"/>
      <c r="I1142" s="617"/>
      <c r="J1142" s="617"/>
      <c r="K1142" s="617"/>
      <c r="L1142" s="617"/>
      <c r="M1142" s="617"/>
      <c r="N1142" s="617"/>
      <c r="O1142" s="617"/>
      <c r="P1142" s="617"/>
      <c r="Q1142" s="617"/>
      <c r="R1142" s="617"/>
      <c r="S1142" s="617"/>
      <c r="T1142" s="617"/>
      <c r="U1142" s="617"/>
      <c r="V1142" s="617"/>
      <c r="W1142" s="617"/>
      <c r="X1142" s="617"/>
      <c r="Y1142" s="617"/>
      <c r="Z1142" s="617"/>
      <c r="AA1142" s="617"/>
      <c r="AB1142" s="617"/>
      <c r="AC1142" s="617"/>
      <c r="AD1142" s="617"/>
      <c r="AE1142" s="859"/>
      <c r="AF1142" s="859"/>
      <c r="AG1142" s="859"/>
      <c r="AH1142" s="859"/>
      <c r="AI1142" s="859"/>
      <c r="AJ1142" s="859"/>
      <c r="AK1142" s="859"/>
      <c r="AL1142" s="859"/>
      <c r="AM1142" s="859"/>
      <c r="AN1142" s="859"/>
      <c r="AO1142" s="863"/>
      <c r="AP1142" s="863"/>
      <c r="AQ1142" s="864"/>
      <c r="AR1142" s="864"/>
      <c r="AS1142" s="864"/>
      <c r="AT1142" s="864"/>
      <c r="AU1142" s="864"/>
      <c r="AV1142" s="864"/>
      <c r="AW1142" s="864"/>
      <c r="AX1142" s="864"/>
      <c r="AY1142" s="864"/>
      <c r="AZ1142" s="864"/>
      <c r="BA1142" s="864"/>
      <c r="BB1142" s="864"/>
      <c r="BC1142" s="864"/>
      <c r="BD1142" s="864"/>
      <c r="BE1142" s="864"/>
    </row>
    <row r="1143" spans="1:58" ht="14.25" customHeight="1" outlineLevel="1">
      <c r="A1143" s="412" t="s">
        <v>158</v>
      </c>
      <c r="B1143" s="413" t="s">
        <v>799</v>
      </c>
      <c r="C1143" s="380">
        <v>3</v>
      </c>
      <c r="D1143" s="617"/>
      <c r="H1143" s="617"/>
      <c r="I1143" s="617"/>
      <c r="J1143" s="617"/>
      <c r="K1143" s="617"/>
      <c r="L1143" s="617"/>
      <c r="M1143" s="617"/>
      <c r="N1143" s="617"/>
      <c r="O1143" s="617"/>
      <c r="P1143" s="617"/>
      <c r="Q1143" s="617"/>
      <c r="R1143" s="617"/>
      <c r="S1143" s="617"/>
      <c r="T1143" s="617"/>
      <c r="U1143" s="617"/>
      <c r="V1143" s="617"/>
      <c r="W1143" s="617"/>
      <c r="X1143" s="617"/>
      <c r="Y1143" s="617"/>
      <c r="Z1143" s="617"/>
      <c r="AA1143" s="617"/>
      <c r="AB1143" s="617"/>
      <c r="AC1143" s="617"/>
      <c r="AD1143" s="617"/>
      <c r="AE1143" s="859"/>
      <c r="AF1143" s="859"/>
      <c r="AG1143" s="859"/>
      <c r="AH1143" s="859"/>
      <c r="AI1143" s="859"/>
      <c r="AJ1143" s="859"/>
      <c r="AK1143" s="859"/>
      <c r="AL1143" s="859"/>
      <c r="AM1143" s="859"/>
      <c r="AN1143" s="859"/>
      <c r="AO1143" s="863"/>
      <c r="AP1143" s="863"/>
      <c r="AQ1143" s="864"/>
      <c r="AR1143" s="864"/>
      <c r="AS1143" s="864"/>
      <c r="AT1143" s="864"/>
      <c r="AU1143" s="864"/>
      <c r="AV1143" s="864"/>
      <c r="AW1143" s="864"/>
      <c r="AX1143" s="864"/>
      <c r="AY1143" s="864"/>
      <c r="AZ1143" s="864"/>
      <c r="BA1143" s="864"/>
      <c r="BB1143" s="864"/>
      <c r="BC1143" s="864"/>
      <c r="BD1143" s="864"/>
      <c r="BE1143" s="864"/>
    </row>
    <row r="1144" spans="1:58" ht="14.25" customHeight="1" outlineLevel="1">
      <c r="D1144" s="617"/>
      <c r="H1144" s="617"/>
      <c r="I1144" s="847"/>
      <c r="J1144" s="847"/>
      <c r="K1144" s="847"/>
      <c r="L1144" s="847"/>
      <c r="M1144" s="847"/>
      <c r="N1144" s="847"/>
      <c r="O1144" s="847"/>
      <c r="P1144" s="847"/>
      <c r="Q1144" s="617"/>
      <c r="R1144" s="617"/>
      <c r="S1144" s="617"/>
      <c r="T1144" s="617"/>
      <c r="U1144" s="617"/>
      <c r="V1144" s="617"/>
      <c r="W1144" s="617"/>
      <c r="X1144" s="617"/>
      <c r="Y1144" s="617"/>
      <c r="Z1144" s="617"/>
      <c r="AA1144" s="617"/>
      <c r="AB1144" s="617"/>
      <c r="AC1144" s="617"/>
      <c r="AD1144" s="617"/>
      <c r="AE1144" s="859"/>
      <c r="AF1144" s="859"/>
      <c r="AG1144" s="859"/>
      <c r="AH1144" s="859"/>
      <c r="AI1144" s="859"/>
      <c r="AJ1144" s="859"/>
      <c r="AK1144" s="859"/>
      <c r="AL1144" s="859"/>
      <c r="AM1144" s="859"/>
      <c r="AN1144" s="859"/>
      <c r="AO1144" s="863"/>
      <c r="AP1144" s="863"/>
      <c r="AQ1144" s="864"/>
      <c r="AR1144" s="864"/>
      <c r="AS1144" s="864"/>
      <c r="AT1144" s="864"/>
      <c r="AU1144" s="864"/>
      <c r="AV1144" s="864"/>
      <c r="AW1144" s="864"/>
      <c r="AX1144" s="864"/>
      <c r="AY1144" s="864"/>
      <c r="AZ1144" s="864"/>
      <c r="BA1144" s="864"/>
      <c r="BB1144" s="864"/>
      <c r="BC1144" s="864"/>
      <c r="BD1144" s="864"/>
      <c r="BE1144" s="864"/>
    </row>
    <row r="1145" spans="1:58" ht="14.25" customHeight="1" outlineLevel="1">
      <c r="H1145" s="617"/>
      <c r="I1145" s="847"/>
      <c r="J1145" s="847"/>
      <c r="K1145" s="847"/>
      <c r="L1145" s="847"/>
      <c r="M1145" s="847"/>
      <c r="N1145" s="847"/>
      <c r="O1145" s="847"/>
      <c r="P1145" s="847"/>
      <c r="Q1145" s="617"/>
      <c r="R1145" s="617"/>
      <c r="S1145" s="617"/>
      <c r="T1145" s="617"/>
      <c r="U1145" s="617"/>
      <c r="V1145" s="617"/>
      <c r="W1145" s="617"/>
      <c r="X1145" s="617"/>
      <c r="Y1145" s="617"/>
      <c r="Z1145" s="617"/>
      <c r="AA1145" s="617"/>
      <c r="AB1145" s="617"/>
      <c r="AC1145" s="617"/>
      <c r="AD1145" s="617"/>
      <c r="AE1145" s="859"/>
      <c r="AF1145" s="859"/>
      <c r="AG1145" s="859"/>
      <c r="AH1145" s="859"/>
      <c r="AI1145" s="859"/>
      <c r="AJ1145" s="859"/>
      <c r="AK1145" s="859"/>
      <c r="AL1145" s="859"/>
      <c r="AM1145" s="859"/>
      <c r="AN1145" s="859"/>
      <c r="AO1145" s="863"/>
      <c r="AP1145" s="863"/>
      <c r="AQ1145" s="864"/>
      <c r="AR1145" s="864"/>
      <c r="AS1145" s="864"/>
      <c r="AT1145" s="864"/>
      <c r="AU1145" s="864"/>
      <c r="AV1145" s="864"/>
      <c r="AW1145" s="864"/>
      <c r="AX1145" s="864"/>
      <c r="AY1145" s="864"/>
      <c r="AZ1145" s="864"/>
      <c r="BA1145" s="864"/>
      <c r="BB1145" s="864"/>
      <c r="BC1145" s="864"/>
      <c r="BD1145" s="864"/>
      <c r="BE1145" s="864"/>
    </row>
    <row r="1146" spans="1:58" ht="14.25" customHeight="1" outlineLevel="1">
      <c r="A1146" s="3094" t="s">
        <v>2435</v>
      </c>
      <c r="B1146" s="3094"/>
      <c r="C1146" s="3094"/>
      <c r="D1146" s="3094"/>
      <c r="E1146" s="3094"/>
      <c r="F1146" s="493" t="s">
        <v>1798</v>
      </c>
      <c r="H1146" s="617"/>
      <c r="I1146" s="847"/>
      <c r="J1146" s="847"/>
      <c r="K1146" s="847"/>
      <c r="L1146" s="847"/>
      <c r="M1146" s="847"/>
      <c r="N1146" s="847"/>
      <c r="O1146" s="847"/>
      <c r="P1146" s="847"/>
      <c r="Q1146" s="617"/>
      <c r="R1146" s="617"/>
      <c r="S1146" s="617"/>
      <c r="T1146" s="617"/>
      <c r="U1146" s="617"/>
      <c r="V1146" s="617"/>
      <c r="W1146" s="617"/>
      <c r="X1146" s="617"/>
      <c r="Y1146" s="617"/>
      <c r="Z1146" s="617"/>
      <c r="AA1146" s="617"/>
      <c r="AB1146" s="617"/>
      <c r="AC1146" s="617"/>
      <c r="AD1146" s="617"/>
      <c r="AE1146" s="859"/>
      <c r="AF1146" s="859"/>
      <c r="AG1146" s="859"/>
      <c r="AH1146" s="859"/>
      <c r="AI1146" s="859"/>
      <c r="AJ1146" s="859"/>
      <c r="AK1146" s="859"/>
      <c r="AL1146" s="859"/>
      <c r="AM1146" s="859"/>
      <c r="AN1146" s="859"/>
      <c r="AO1146" s="863"/>
      <c r="AP1146" s="863"/>
      <c r="AQ1146" s="864"/>
      <c r="AR1146" s="864"/>
      <c r="AS1146" s="864"/>
      <c r="AT1146" s="864"/>
      <c r="AU1146" s="864"/>
      <c r="AV1146" s="864"/>
      <c r="AW1146" s="864"/>
      <c r="AX1146" s="864"/>
      <c r="AY1146" s="864"/>
      <c r="AZ1146" s="864"/>
      <c r="BA1146" s="864"/>
      <c r="BB1146" s="864"/>
      <c r="BC1146" s="864"/>
      <c r="BD1146" s="864"/>
      <c r="BE1146" s="864"/>
    </row>
    <row r="1147" spans="1:58" ht="14.25" customHeight="1" outlineLevel="1">
      <c r="A1147" s="412" t="s">
        <v>84</v>
      </c>
      <c r="B1147" s="476">
        <v>1</v>
      </c>
      <c r="C1147" s="885" t="s">
        <v>2436</v>
      </c>
      <c r="D1147" s="539"/>
      <c r="H1147" s="617"/>
      <c r="I1147" s="847"/>
      <c r="J1147" s="847"/>
      <c r="K1147" s="847"/>
      <c r="L1147" s="847"/>
      <c r="M1147" s="847"/>
      <c r="N1147" s="847"/>
      <c r="O1147" s="847"/>
      <c r="P1147" s="847"/>
      <c r="Q1147" s="617"/>
      <c r="R1147" s="617"/>
      <c r="S1147" s="617"/>
      <c r="T1147" s="617"/>
      <c r="U1147" s="617"/>
      <c r="V1147" s="617"/>
      <c r="W1147" s="617"/>
      <c r="X1147" s="617"/>
      <c r="Y1147" s="617"/>
      <c r="Z1147" s="617"/>
      <c r="AA1147" s="617"/>
      <c r="AB1147" s="617"/>
      <c r="AC1147" s="617"/>
      <c r="AD1147" s="617"/>
      <c r="AE1147" s="859"/>
      <c r="AF1147" s="859"/>
      <c r="AG1147" s="859"/>
      <c r="AH1147" s="859"/>
      <c r="AI1147" s="859"/>
      <c r="AJ1147" s="859"/>
      <c r="AK1147" s="859"/>
      <c r="AL1147" s="859"/>
      <c r="AM1147" s="859"/>
      <c r="AN1147" s="859"/>
      <c r="AO1147" s="863"/>
      <c r="AP1147" s="863"/>
      <c r="AQ1147" s="864"/>
      <c r="AR1147" s="864"/>
      <c r="AS1147" s="864"/>
      <c r="AT1147" s="864"/>
      <c r="AU1147" s="864"/>
      <c r="AV1147" s="864"/>
      <c r="AW1147" s="864"/>
      <c r="AX1147" s="864"/>
      <c r="AY1147" s="864"/>
      <c r="AZ1147" s="864"/>
      <c r="BA1147" s="864"/>
      <c r="BB1147" s="864"/>
      <c r="BC1147" s="864"/>
      <c r="BD1147" s="864"/>
      <c r="BE1147" s="864"/>
    </row>
    <row r="1148" spans="1:58" ht="14.25" customHeight="1" outlineLevel="1">
      <c r="A1148" s="493" t="s">
        <v>82</v>
      </c>
      <c r="B1148" s="476">
        <v>2</v>
      </c>
      <c r="C1148" s="3043" t="s">
        <v>2437</v>
      </c>
      <c r="D1148" s="3043"/>
      <c r="H1148" s="617"/>
      <c r="I1148" s="847"/>
      <c r="J1148" s="847"/>
      <c r="K1148" s="847"/>
      <c r="L1148" s="847"/>
      <c r="M1148" s="847"/>
      <c r="N1148" s="847"/>
      <c r="O1148" s="847"/>
      <c r="P1148" s="847"/>
      <c r="Q1148" s="617"/>
      <c r="R1148" s="617"/>
      <c r="S1148" s="617"/>
      <c r="T1148" s="617"/>
      <c r="U1148" s="617"/>
      <c r="V1148" s="617"/>
      <c r="W1148" s="617"/>
      <c r="X1148" s="617"/>
      <c r="Y1148" s="617"/>
      <c r="Z1148" s="617"/>
      <c r="AA1148" s="617"/>
      <c r="AB1148" s="617"/>
      <c r="AC1148" s="617"/>
      <c r="AD1148" s="617"/>
      <c r="AE1148" s="859"/>
      <c r="AF1148" s="859"/>
      <c r="AG1148" s="859"/>
      <c r="AH1148" s="859"/>
      <c r="AI1148" s="859"/>
      <c r="AJ1148" s="859"/>
      <c r="AK1148" s="859"/>
      <c r="AL1148" s="859"/>
      <c r="AM1148" s="859"/>
      <c r="AN1148" s="859"/>
      <c r="AO1148" s="863"/>
      <c r="AP1148" s="863"/>
      <c r="AQ1148" s="864"/>
      <c r="AR1148" s="864"/>
      <c r="AS1148" s="864"/>
      <c r="AT1148" s="864"/>
      <c r="AU1148" s="864"/>
      <c r="AV1148" s="864"/>
      <c r="AW1148" s="864"/>
      <c r="AX1148" s="864"/>
      <c r="AY1148" s="864"/>
      <c r="AZ1148" s="864"/>
      <c r="BA1148" s="864"/>
      <c r="BB1148" s="864"/>
      <c r="BC1148" s="864"/>
      <c r="BD1148" s="864"/>
      <c r="BE1148" s="864"/>
    </row>
    <row r="1149" spans="1:58" s="370" customFormat="1" ht="14.25" customHeight="1" outlineLevel="1">
      <c r="A1149" s="487" t="s">
        <v>2431</v>
      </c>
      <c r="B1149" s="886" t="s">
        <v>2432</v>
      </c>
      <c r="C1149" s="887">
        <v>2000</v>
      </c>
      <c r="D1149" s="617"/>
      <c r="E1149" s="364"/>
      <c r="H1149" s="617"/>
      <c r="I1149" s="847"/>
      <c r="J1149" s="847"/>
      <c r="K1149" s="847"/>
      <c r="L1149" s="847"/>
      <c r="M1149" s="847"/>
      <c r="N1149" s="847"/>
      <c r="O1149" s="847"/>
      <c r="P1149" s="847"/>
      <c r="Q1149" s="617"/>
      <c r="R1149" s="617"/>
      <c r="S1149" s="617"/>
      <c r="T1149" s="617"/>
      <c r="U1149" s="617"/>
      <c r="V1149" s="617"/>
      <c r="W1149" s="617"/>
      <c r="X1149" s="617"/>
      <c r="Y1149" s="617"/>
      <c r="Z1149" s="617"/>
      <c r="AA1149" s="617"/>
      <c r="AB1149" s="617"/>
      <c r="AC1149" s="617"/>
      <c r="AD1149" s="617"/>
      <c r="AE1149" s="808"/>
      <c r="AF1149" s="808"/>
      <c r="AG1149" s="808"/>
      <c r="AH1149" s="808"/>
      <c r="AI1149" s="808"/>
      <c r="AJ1149" s="808"/>
      <c r="AK1149" s="808"/>
      <c r="AL1149" s="808"/>
      <c r="AM1149" s="808"/>
      <c r="AN1149" s="808"/>
      <c r="AO1149" s="809"/>
      <c r="AP1149" s="809"/>
      <c r="AQ1149" s="810"/>
      <c r="AR1149" s="810"/>
      <c r="AS1149" s="810"/>
      <c r="AT1149" s="810"/>
      <c r="AU1149" s="810"/>
      <c r="AV1149" s="810"/>
      <c r="AW1149" s="810"/>
      <c r="AX1149" s="810"/>
      <c r="AY1149" s="810"/>
      <c r="AZ1149" s="810"/>
      <c r="BA1149" s="810"/>
      <c r="BB1149" s="810"/>
      <c r="BC1149" s="810"/>
      <c r="BD1149" s="810"/>
      <c r="BE1149" s="810"/>
      <c r="BF1149" s="428"/>
    </row>
    <row r="1150" spans="1:58" ht="14.25" customHeight="1" outlineLevel="1">
      <c r="A1150" s="414" t="s">
        <v>152</v>
      </c>
      <c r="B1150" s="415" t="s">
        <v>154</v>
      </c>
      <c r="C1150" s="262">
        <v>0</v>
      </c>
      <c r="D1150" s="364"/>
      <c r="E1150" s="364"/>
      <c r="H1150" s="646"/>
      <c r="I1150" s="646"/>
      <c r="J1150" s="646"/>
      <c r="K1150" s="646"/>
      <c r="L1150" s="646"/>
      <c r="M1150" s="616"/>
      <c r="N1150" s="616"/>
      <c r="O1150" s="616"/>
      <c r="P1150" s="617"/>
      <c r="Q1150" s="366"/>
      <c r="R1150" s="617"/>
      <c r="S1150" s="617"/>
      <c r="T1150" s="617"/>
      <c r="U1150" s="617"/>
      <c r="V1150" s="617"/>
      <c r="W1150" s="617"/>
      <c r="X1150" s="617"/>
      <c r="Y1150" s="617"/>
      <c r="Z1150" s="617"/>
      <c r="AA1150" s="617"/>
      <c r="AB1150" s="617"/>
      <c r="AC1150" s="617"/>
      <c r="AD1150" s="617"/>
      <c r="AE1150" s="859"/>
      <c r="AF1150" s="859"/>
      <c r="AG1150" s="859"/>
      <c r="AH1150" s="859"/>
      <c r="AI1150" s="859"/>
      <c r="AJ1150" s="859"/>
      <c r="AK1150" s="859"/>
      <c r="AL1150" s="859"/>
      <c r="AM1150" s="859"/>
      <c r="AN1150" s="859"/>
      <c r="AO1150" s="863"/>
      <c r="AP1150" s="863"/>
      <c r="AQ1150" s="864"/>
      <c r="AR1150" s="864"/>
      <c r="AS1150" s="864"/>
      <c r="AT1150" s="864"/>
      <c r="AU1150" s="864"/>
      <c r="AV1150" s="543">
        <f>M1150</f>
        <v>0</v>
      </c>
      <c r="AW1150" s="864"/>
      <c r="AX1150" s="864"/>
      <c r="AY1150" s="864"/>
      <c r="AZ1150" s="864"/>
      <c r="BA1150" s="864"/>
      <c r="BB1150" s="864"/>
      <c r="BC1150" s="864"/>
      <c r="BD1150" s="864"/>
      <c r="BE1150" s="864"/>
    </row>
    <row r="1151" spans="1:58" ht="14.25" customHeight="1" outlineLevel="1">
      <c r="A1151" s="536" t="s">
        <v>152</v>
      </c>
      <c r="B1151" s="413" t="s">
        <v>799</v>
      </c>
      <c r="C1151" s="388">
        <v>3</v>
      </c>
      <c r="D1151" s="859"/>
      <c r="E1151" s="859"/>
      <c r="F1151" s="859"/>
      <c r="G1151" s="859"/>
      <c r="H1151" s="862"/>
      <c r="I1151" s="859"/>
      <c r="J1151" s="859"/>
      <c r="K1151" s="859"/>
      <c r="L1151" s="859"/>
      <c r="M1151" s="859"/>
      <c r="N1151" s="859"/>
      <c r="O1151" s="859"/>
      <c r="P1151" s="859"/>
      <c r="Q1151" s="859"/>
      <c r="R1151" s="859"/>
      <c r="S1151" s="859"/>
      <c r="T1151" s="859"/>
      <c r="U1151" s="859"/>
      <c r="V1151" s="859"/>
      <c r="W1151" s="859"/>
      <c r="X1151" s="859"/>
      <c r="Y1151" s="859"/>
      <c r="Z1151" s="859"/>
      <c r="AA1151" s="859"/>
      <c r="AB1151" s="859"/>
      <c r="AC1151" s="859"/>
      <c r="AD1151" s="859"/>
      <c r="AE1151" s="859"/>
      <c r="AF1151" s="859"/>
      <c r="AG1151" s="859"/>
      <c r="AH1151" s="859"/>
      <c r="AI1151" s="859"/>
      <c r="AJ1151" s="859"/>
      <c r="AK1151" s="859"/>
      <c r="AL1151" s="859"/>
      <c r="AM1151" s="859"/>
      <c r="AN1151" s="859"/>
      <c r="AO1151" s="863"/>
      <c r="AP1151" s="863"/>
      <c r="AQ1151" s="864"/>
      <c r="AR1151" s="864"/>
      <c r="AS1151" s="864"/>
      <c r="AT1151" s="864"/>
      <c r="AU1151" s="864"/>
      <c r="AV1151" s="864"/>
      <c r="AW1151" s="864"/>
      <c r="AX1151" s="864"/>
      <c r="AY1151" s="864"/>
      <c r="AZ1151" s="864"/>
      <c r="BA1151" s="864"/>
      <c r="BB1151" s="864"/>
      <c r="BC1151" s="864"/>
      <c r="BD1151" s="864"/>
      <c r="BE1151" s="864"/>
    </row>
    <row r="1152" spans="1:58" ht="14.25" customHeight="1" outlineLevel="1">
      <c r="A1152" s="412" t="s">
        <v>1651</v>
      </c>
      <c r="B1152" s="413" t="s">
        <v>799</v>
      </c>
      <c r="C1152" s="380">
        <v>1</v>
      </c>
      <c r="H1152" s="813"/>
      <c r="I1152" s="813"/>
      <c r="J1152" s="813"/>
      <c r="K1152" s="813"/>
      <c r="L1152" s="813"/>
      <c r="M1152" s="813"/>
      <c r="N1152" s="813"/>
      <c r="O1152" s="813"/>
      <c r="P1152" s="813"/>
      <c r="Q1152" s="813"/>
      <c r="R1152" s="813"/>
      <c r="S1152" s="813"/>
      <c r="T1152" s="813"/>
      <c r="U1152" s="813"/>
      <c r="V1152" s="813"/>
      <c r="W1152" s="813"/>
      <c r="X1152" s="813"/>
      <c r="Y1152" s="813"/>
      <c r="Z1152" s="813"/>
      <c r="AA1152" s="813"/>
      <c r="AB1152" s="813"/>
      <c r="AC1152" s="813"/>
      <c r="AD1152" s="813"/>
      <c r="AE1152" s="813"/>
      <c r="AF1152" s="813"/>
      <c r="AG1152" s="813"/>
      <c r="AH1152" s="813"/>
      <c r="AI1152" s="813"/>
      <c r="AJ1152" s="859"/>
      <c r="AK1152" s="859"/>
      <c r="AL1152" s="859"/>
      <c r="AM1152" s="859"/>
      <c r="AN1152" s="859"/>
      <c r="AO1152" s="863"/>
      <c r="AP1152" s="863"/>
      <c r="AQ1152" s="864"/>
      <c r="AR1152" s="864"/>
      <c r="AS1152" s="864"/>
      <c r="AT1152" s="864"/>
      <c r="AU1152" s="864"/>
      <c r="AV1152" s="864"/>
      <c r="AW1152" s="864"/>
      <c r="AX1152" s="864"/>
      <c r="AY1152" s="864"/>
      <c r="AZ1152" s="864"/>
      <c r="BA1152" s="864"/>
      <c r="BB1152" s="864"/>
      <c r="BC1152" s="864"/>
      <c r="BD1152" s="864"/>
      <c r="BE1152" s="864"/>
    </row>
    <row r="1153" spans="1:58" ht="14.25" customHeight="1" outlineLevel="1">
      <c r="H1153" s="813"/>
      <c r="I1153" s="813"/>
      <c r="J1153" s="813"/>
      <c r="K1153" s="813"/>
      <c r="L1153" s="813"/>
      <c r="M1153" s="813"/>
      <c r="N1153" s="813"/>
      <c r="O1153" s="813"/>
      <c r="P1153" s="813"/>
      <c r="Q1153" s="813"/>
      <c r="R1153" s="813"/>
      <c r="S1153" s="813"/>
      <c r="T1153" s="813"/>
      <c r="U1153" s="813"/>
      <c r="V1153" s="813"/>
      <c r="W1153" s="813"/>
      <c r="X1153" s="813"/>
      <c r="Y1153" s="813"/>
      <c r="Z1153" s="813"/>
      <c r="AA1153" s="813"/>
      <c r="AB1153" s="813"/>
      <c r="AC1153" s="813"/>
      <c r="AD1153" s="813"/>
      <c r="AE1153" s="813"/>
      <c r="AF1153" s="813"/>
      <c r="AG1153" s="813"/>
      <c r="AH1153" s="813"/>
      <c r="AI1153" s="813"/>
      <c r="AJ1153" s="859"/>
      <c r="AK1153" s="859"/>
      <c r="AL1153" s="859"/>
      <c r="AM1153" s="859"/>
      <c r="AN1153" s="859"/>
      <c r="AO1153" s="863"/>
      <c r="AP1153" s="863"/>
      <c r="AQ1153" s="864"/>
      <c r="AR1153" s="864"/>
      <c r="AS1153" s="864"/>
      <c r="AT1153" s="864"/>
      <c r="AU1153" s="864"/>
      <c r="AV1153" s="864"/>
      <c r="AW1153" s="864"/>
      <c r="AX1153" s="864"/>
      <c r="AY1153" s="864"/>
      <c r="AZ1153" s="864"/>
      <c r="BA1153" s="864"/>
      <c r="BB1153" s="864"/>
      <c r="BC1153" s="864"/>
      <c r="BD1153" s="864"/>
      <c r="BE1153" s="864"/>
    </row>
    <row r="1154" spans="1:58" s="362" customFormat="1" ht="14.25" customHeight="1" outlineLevel="1">
      <c r="A1154" s="3133" t="s">
        <v>2438</v>
      </c>
      <c r="B1154" s="3133"/>
      <c r="C1154" s="3133"/>
      <c r="D1154" s="3133"/>
      <c r="E1154" s="3133"/>
      <c r="F1154" s="653" t="s">
        <v>1798</v>
      </c>
      <c r="G1154" s="888"/>
      <c r="H1154" s="813"/>
      <c r="I1154" s="813"/>
      <c r="J1154" s="813"/>
      <c r="K1154" s="813"/>
      <c r="L1154" s="813"/>
      <c r="M1154" s="813"/>
      <c r="N1154" s="813"/>
      <c r="O1154" s="813"/>
      <c r="P1154" s="813"/>
      <c r="Q1154" s="813"/>
      <c r="R1154" s="813"/>
      <c r="S1154" s="813"/>
      <c r="T1154" s="813"/>
      <c r="U1154" s="813"/>
      <c r="V1154" s="813"/>
      <c r="W1154" s="813"/>
      <c r="X1154" s="813"/>
      <c r="Y1154" s="813"/>
      <c r="Z1154" s="813"/>
      <c r="AA1154" s="813"/>
      <c r="AB1154" s="813"/>
      <c r="AC1154" s="813"/>
      <c r="AD1154" s="813"/>
      <c r="AE1154" s="813"/>
      <c r="AF1154" s="813"/>
      <c r="AG1154" s="813"/>
      <c r="AH1154" s="813"/>
      <c r="AI1154" s="813"/>
      <c r="AJ1154" s="349"/>
      <c r="AK1154" s="349"/>
      <c r="AL1154" s="349"/>
      <c r="AM1154" s="349"/>
      <c r="AN1154" s="349"/>
      <c r="AO1154" s="889"/>
      <c r="AP1154" s="889"/>
      <c r="AQ1154" s="890"/>
      <c r="AR1154" s="890"/>
      <c r="AS1154" s="890"/>
      <c r="AT1154" s="890"/>
      <c r="AU1154" s="890"/>
      <c r="AV1154" s="890"/>
      <c r="AW1154" s="890"/>
      <c r="AX1154" s="890"/>
      <c r="AY1154" s="890"/>
      <c r="AZ1154" s="890"/>
      <c r="BA1154" s="890"/>
      <c r="BB1154" s="890"/>
      <c r="BC1154" s="890"/>
      <c r="BD1154" s="890"/>
      <c r="BE1154" s="890"/>
      <c r="BF1154" s="891"/>
    </row>
    <row r="1155" spans="1:58" s="362" customFormat="1" ht="14.25" customHeight="1" outlineLevel="1">
      <c r="A1155" s="525" t="s">
        <v>1236</v>
      </c>
      <c r="B1155" s="438" t="s">
        <v>120</v>
      </c>
      <c r="C1155" s="525" t="s">
        <v>1753</v>
      </c>
      <c r="E1155" s="888"/>
      <c r="F1155" s="888"/>
      <c r="G1155" s="888"/>
      <c r="H1155" s="813"/>
      <c r="I1155" s="813"/>
      <c r="J1155" s="813"/>
      <c r="K1155" s="813"/>
      <c r="L1155" s="813"/>
      <c r="M1155" s="813"/>
      <c r="N1155" s="813"/>
      <c r="O1155" s="813"/>
      <c r="P1155" s="813"/>
      <c r="Q1155" s="813"/>
      <c r="R1155" s="813"/>
      <c r="S1155" s="813"/>
      <c r="T1155" s="813"/>
      <c r="U1155" s="813"/>
      <c r="V1155" s="813"/>
      <c r="W1155" s="813"/>
      <c r="X1155" s="813"/>
      <c r="Y1155" s="813"/>
      <c r="Z1155" s="813"/>
      <c r="AA1155" s="813"/>
      <c r="AB1155" s="813"/>
      <c r="AC1155" s="813"/>
      <c r="AD1155" s="813"/>
      <c r="AE1155" s="813"/>
      <c r="AF1155" s="813"/>
      <c r="AG1155" s="813"/>
      <c r="AH1155" s="813"/>
      <c r="AI1155" s="813"/>
      <c r="AJ1155" s="349"/>
      <c r="AK1155" s="349"/>
      <c r="AL1155" s="349"/>
      <c r="AM1155" s="349"/>
      <c r="AN1155" s="349"/>
      <c r="AO1155" s="889"/>
      <c r="AP1155" s="889"/>
      <c r="AQ1155" s="890"/>
      <c r="AR1155" s="890"/>
      <c r="AS1155" s="890"/>
      <c r="AT1155" s="890"/>
      <c r="AU1155" s="890"/>
      <c r="AV1155" s="890"/>
      <c r="AW1155" s="890"/>
      <c r="AX1155" s="890"/>
      <c r="AY1155" s="890"/>
      <c r="AZ1155" s="890"/>
      <c r="BA1155" s="890"/>
      <c r="BB1155" s="890"/>
      <c r="BC1155" s="890"/>
      <c r="BD1155" s="890"/>
      <c r="BE1155" s="890"/>
      <c r="BF1155" s="891"/>
    </row>
    <row r="1156" spans="1:58" ht="14.25" customHeight="1" outlineLevel="1">
      <c r="A1156" s="263" t="s">
        <v>2439</v>
      </c>
      <c r="B1156" s="415" t="s">
        <v>159</v>
      </c>
      <c r="C1156" s="262">
        <v>18</v>
      </c>
      <c r="D1156" s="492"/>
      <c r="H1156" s="684"/>
      <c r="I1156" s="684"/>
      <c r="J1156" s="684"/>
      <c r="K1156" s="684"/>
      <c r="L1156" s="684"/>
      <c r="M1156" s="684"/>
      <c r="N1156" s="684"/>
      <c r="O1156" s="684"/>
      <c r="P1156" s="617"/>
      <c r="Q1156" s="617"/>
      <c r="R1156" s="617"/>
      <c r="S1156" s="617"/>
      <c r="T1156" s="617"/>
      <c r="U1156" s="617"/>
      <c r="V1156" s="617"/>
      <c r="W1156" s="617"/>
      <c r="X1156" s="617"/>
      <c r="Y1156" s="617"/>
      <c r="Z1156" s="617"/>
      <c r="AA1156" s="617"/>
      <c r="AB1156" s="617"/>
      <c r="AC1156" s="617"/>
      <c r="AD1156" s="617"/>
      <c r="AE1156" s="617"/>
      <c r="AF1156" s="617"/>
      <c r="AG1156" s="617"/>
      <c r="AH1156" s="617"/>
      <c r="AI1156" s="617"/>
      <c r="AJ1156" s="859"/>
      <c r="AK1156" s="859"/>
      <c r="AL1156" s="859"/>
      <c r="AM1156" s="859"/>
      <c r="AN1156" s="859"/>
      <c r="AO1156" s="863"/>
      <c r="AP1156" s="863"/>
      <c r="AQ1156" s="864"/>
      <c r="AR1156" s="864"/>
      <c r="AS1156" s="864"/>
      <c r="AT1156" s="864"/>
      <c r="AU1156" s="864"/>
      <c r="AV1156" s="864"/>
      <c r="AW1156" s="864"/>
      <c r="AX1156" s="864"/>
      <c r="AY1156" s="864"/>
      <c r="AZ1156" s="864"/>
      <c r="BA1156" s="864"/>
      <c r="BB1156" s="864"/>
      <c r="BC1156" s="864"/>
      <c r="BD1156" s="864"/>
      <c r="BE1156" s="864"/>
    </row>
    <row r="1157" spans="1:58" s="370" customFormat="1" ht="14.25" customHeight="1" outlineLevel="1">
      <c r="A1157" s="617" t="s">
        <v>151</v>
      </c>
      <c r="B1157" s="442"/>
      <c r="C1157" s="617"/>
      <c r="D1157" s="492"/>
      <c r="H1157" s="684"/>
      <c r="I1157" s="684"/>
      <c r="J1157" s="684"/>
      <c r="K1157" s="684"/>
      <c r="L1157" s="684"/>
      <c r="M1157" s="684"/>
      <c r="N1157" s="684"/>
      <c r="O1157" s="684"/>
      <c r="P1157" s="617"/>
      <c r="Q1157" s="617"/>
      <c r="R1157" s="617"/>
      <c r="S1157" s="617"/>
      <c r="T1157" s="617"/>
      <c r="U1157" s="617"/>
      <c r="V1157" s="617"/>
      <c r="W1157" s="617"/>
      <c r="X1157" s="617"/>
      <c r="Y1157" s="617"/>
      <c r="Z1157" s="617"/>
      <c r="AA1157" s="617"/>
      <c r="AB1157" s="617"/>
      <c r="AC1157" s="617"/>
      <c r="AD1157" s="617"/>
      <c r="AE1157" s="617"/>
      <c r="AF1157" s="617"/>
      <c r="AG1157" s="617"/>
      <c r="AH1157" s="617"/>
      <c r="AI1157" s="617"/>
      <c r="AJ1157" s="808"/>
      <c r="AK1157" s="808"/>
      <c r="AL1157" s="808"/>
      <c r="AM1157" s="808"/>
      <c r="AN1157" s="808"/>
      <c r="AO1157" s="809"/>
      <c r="AP1157" s="809"/>
      <c r="AQ1157" s="810"/>
      <c r="AR1157" s="810"/>
      <c r="AS1157" s="810"/>
      <c r="AT1157" s="810"/>
      <c r="AU1157" s="810"/>
      <c r="AV1157" s="810"/>
      <c r="AW1157" s="810"/>
      <c r="AX1157" s="810"/>
      <c r="AY1157" s="810"/>
      <c r="AZ1157" s="810"/>
      <c r="BA1157" s="810"/>
      <c r="BB1157" s="810"/>
      <c r="BC1157" s="810"/>
      <c r="BD1157" s="810"/>
      <c r="BE1157" s="810"/>
      <c r="BF1157" s="428"/>
    </row>
    <row r="1158" spans="1:58" s="370" customFormat="1" ht="14.25" customHeight="1" outlineLevel="1">
      <c r="A1158" s="412" t="s">
        <v>152</v>
      </c>
      <c r="B1158" s="877" t="s">
        <v>154</v>
      </c>
      <c r="C1158" s="611">
        <v>0</v>
      </c>
      <c r="D1158" s="492"/>
      <c r="H1158" s="684"/>
      <c r="I1158" s="684"/>
      <c r="J1158" s="684"/>
      <c r="K1158" s="684"/>
      <c r="L1158" s="684"/>
      <c r="M1158" s="684"/>
      <c r="N1158" s="684"/>
      <c r="O1158" s="684"/>
      <c r="P1158" s="617"/>
      <c r="Q1158" s="617"/>
      <c r="R1158" s="617"/>
      <c r="S1158" s="617"/>
      <c r="T1158" s="617"/>
      <c r="U1158" s="617"/>
      <c r="V1158" s="617"/>
      <c r="W1158" s="617"/>
      <c r="X1158" s="617"/>
      <c r="Y1158" s="617"/>
      <c r="Z1158" s="617"/>
      <c r="AA1158" s="617"/>
      <c r="AB1158" s="617"/>
      <c r="AC1158" s="617"/>
      <c r="AD1158" s="617"/>
      <c r="AE1158" s="617"/>
      <c r="AF1158" s="617"/>
      <c r="AG1158" s="617"/>
      <c r="AH1158" s="617"/>
      <c r="AI1158" s="617"/>
      <c r="AJ1158" s="808"/>
      <c r="AK1158" s="808"/>
      <c r="AL1158" s="808"/>
      <c r="AM1158" s="808"/>
      <c r="AN1158" s="808"/>
      <c r="AO1158" s="809"/>
      <c r="AP1158" s="809"/>
      <c r="AQ1158" s="810"/>
      <c r="AR1158" s="810"/>
      <c r="AS1158" s="810"/>
      <c r="AT1158" s="810"/>
      <c r="AU1158" s="810"/>
      <c r="AV1158" s="810"/>
      <c r="AW1158" s="810"/>
      <c r="AX1158" s="810"/>
      <c r="AY1158" s="810"/>
      <c r="AZ1158" s="810"/>
      <c r="BA1158" s="810"/>
      <c r="BB1158" s="810"/>
      <c r="BC1158" s="810"/>
      <c r="BD1158" s="810"/>
      <c r="BE1158" s="810"/>
      <c r="BF1158" s="428"/>
    </row>
    <row r="1159" spans="1:58" s="370" customFormat="1" ht="14.25" customHeight="1" outlineLevel="1">
      <c r="A1159" s="414" t="s">
        <v>152</v>
      </c>
      <c r="B1159" s="415" t="s">
        <v>159</v>
      </c>
      <c r="C1159" s="263">
        <v>3</v>
      </c>
      <c r="D1159" s="492"/>
      <c r="H1159" s="684"/>
      <c r="I1159" s="684"/>
      <c r="J1159" s="684"/>
      <c r="K1159" s="684"/>
      <c r="L1159" s="684"/>
      <c r="M1159" s="684"/>
      <c r="N1159" s="684"/>
      <c r="O1159" s="684"/>
      <c r="P1159" s="617"/>
      <c r="Q1159" s="617"/>
      <c r="R1159" s="617"/>
      <c r="S1159" s="617"/>
      <c r="T1159" s="617"/>
      <c r="U1159" s="617"/>
      <c r="V1159" s="617"/>
      <c r="W1159" s="617"/>
      <c r="X1159" s="617"/>
      <c r="Y1159" s="617"/>
      <c r="Z1159" s="617"/>
      <c r="AA1159" s="617"/>
      <c r="AB1159" s="617"/>
      <c r="AC1159" s="617"/>
      <c r="AD1159" s="617"/>
      <c r="AE1159" s="617"/>
      <c r="AF1159" s="617"/>
      <c r="AG1159" s="617"/>
      <c r="AH1159" s="617"/>
      <c r="AI1159" s="617"/>
      <c r="AJ1159" s="808"/>
      <c r="AK1159" s="808"/>
      <c r="AL1159" s="808"/>
      <c r="AM1159" s="808"/>
      <c r="AN1159" s="808"/>
      <c r="AO1159" s="809"/>
      <c r="AP1159" s="809"/>
      <c r="AQ1159" s="810"/>
      <c r="AR1159" s="810"/>
      <c r="AS1159" s="810"/>
      <c r="AT1159" s="810"/>
      <c r="AU1159" s="810"/>
      <c r="AV1159" s="810"/>
      <c r="AW1159" s="810"/>
      <c r="AX1159" s="810"/>
      <c r="AY1159" s="810"/>
      <c r="AZ1159" s="810"/>
      <c r="BA1159" s="810"/>
      <c r="BB1159" s="810"/>
      <c r="BC1159" s="810"/>
      <c r="BD1159" s="810"/>
      <c r="BE1159" s="810"/>
      <c r="BF1159" s="428"/>
    </row>
    <row r="1160" spans="1:58" s="370" customFormat="1" ht="14.25" customHeight="1" outlineLevel="1">
      <c r="A1160" s="331"/>
      <c r="B1160" s="332"/>
      <c r="D1160" s="492"/>
      <c r="H1160" s="684"/>
      <c r="I1160" s="684"/>
      <c r="J1160" s="684"/>
      <c r="K1160" s="684"/>
      <c r="L1160" s="684"/>
      <c r="M1160" s="684"/>
      <c r="N1160" s="684"/>
      <c r="O1160" s="684"/>
      <c r="P1160" s="617"/>
      <c r="Q1160" s="617"/>
      <c r="R1160" s="617"/>
      <c r="S1160" s="617"/>
      <c r="T1160" s="617"/>
      <c r="U1160" s="617"/>
      <c r="V1160" s="617"/>
      <c r="W1160" s="617"/>
      <c r="X1160" s="617"/>
      <c r="Y1160" s="617"/>
      <c r="Z1160" s="617"/>
      <c r="AA1160" s="617"/>
      <c r="AB1160" s="617"/>
      <c r="AC1160" s="617"/>
      <c r="AD1160" s="617"/>
      <c r="AE1160" s="617"/>
      <c r="AF1160" s="617"/>
      <c r="AG1160" s="617"/>
      <c r="AH1160" s="617"/>
      <c r="AI1160" s="617"/>
      <c r="AJ1160" s="808"/>
      <c r="AK1160" s="808"/>
      <c r="AL1160" s="808"/>
      <c r="AM1160" s="808"/>
      <c r="AN1160" s="808"/>
      <c r="AO1160" s="809"/>
      <c r="AP1160" s="809"/>
      <c r="AQ1160" s="810"/>
      <c r="AR1160" s="810"/>
      <c r="AS1160" s="810"/>
      <c r="AT1160" s="810"/>
      <c r="AU1160" s="810"/>
      <c r="AV1160" s="810"/>
      <c r="AW1160" s="810"/>
      <c r="AX1160" s="810"/>
      <c r="AY1160" s="810"/>
      <c r="AZ1160" s="810"/>
      <c r="BA1160" s="810"/>
      <c r="BB1160" s="810"/>
      <c r="BC1160" s="810"/>
      <c r="BD1160" s="810"/>
      <c r="BE1160" s="810"/>
      <c r="BF1160" s="428"/>
    </row>
    <row r="1161" spans="1:58" s="370" customFormat="1" ht="13.5" customHeight="1" outlineLevel="1">
      <c r="A1161" s="263" t="s">
        <v>2440</v>
      </c>
      <c r="B1161" s="415" t="s">
        <v>1796</v>
      </c>
      <c r="C1161" s="501">
        <v>5000</v>
      </c>
      <c r="D1161" s="492"/>
      <c r="H1161" s="684"/>
      <c r="I1161" s="684"/>
      <c r="J1161" s="684"/>
      <c r="K1161" s="684"/>
      <c r="L1161" s="684"/>
      <c r="M1161" s="684"/>
      <c r="N1161" s="684"/>
      <c r="O1161" s="684"/>
      <c r="P1161" s="617"/>
      <c r="Q1161" s="617"/>
      <c r="R1161" s="617"/>
      <c r="S1161" s="617"/>
      <c r="T1161" s="617"/>
      <c r="U1161" s="617"/>
      <c r="V1161" s="617"/>
      <c r="W1161" s="617"/>
      <c r="X1161" s="617"/>
      <c r="Y1161" s="617"/>
      <c r="Z1161" s="617"/>
      <c r="AA1161" s="617"/>
      <c r="AB1161" s="617"/>
      <c r="AC1161" s="617"/>
      <c r="AD1161" s="617"/>
      <c r="AE1161" s="617"/>
      <c r="AF1161" s="617"/>
      <c r="AG1161" s="617"/>
      <c r="AH1161" s="617"/>
      <c r="AI1161" s="617"/>
      <c r="AJ1161" s="808"/>
      <c r="AK1161" s="808"/>
      <c r="AL1161" s="808"/>
      <c r="AM1161" s="808"/>
      <c r="AN1161" s="808"/>
      <c r="AO1161" s="809"/>
      <c r="AP1161" s="809"/>
      <c r="AQ1161" s="810"/>
      <c r="AR1161" s="810"/>
      <c r="AS1161" s="810"/>
      <c r="AT1161" s="810"/>
      <c r="AU1161" s="810"/>
      <c r="AV1161" s="810"/>
      <c r="AW1161" s="810"/>
      <c r="AX1161" s="810"/>
      <c r="AY1161" s="810"/>
      <c r="AZ1161" s="810"/>
      <c r="BA1161" s="810"/>
      <c r="BB1161" s="810"/>
      <c r="BC1161" s="810"/>
      <c r="BD1161" s="810"/>
      <c r="BE1161" s="810"/>
      <c r="BF1161" s="428"/>
    </row>
    <row r="1162" spans="1:58" ht="13.5" customHeight="1" outlineLevel="1">
      <c r="A1162" s="492"/>
      <c r="B1162" s="490"/>
      <c r="C1162" s="684"/>
      <c r="D1162" s="492"/>
      <c r="H1162" s="847"/>
      <c r="I1162" s="847"/>
      <c r="J1162" s="847"/>
      <c r="K1162" s="847"/>
      <c r="L1162" s="847"/>
      <c r="M1162" s="847"/>
      <c r="N1162" s="847"/>
      <c r="O1162" s="847"/>
      <c r="P1162" s="617"/>
      <c r="Q1162" s="617"/>
      <c r="R1162" s="617"/>
      <c r="S1162" s="617"/>
      <c r="T1162" s="617"/>
      <c r="U1162" s="617"/>
      <c r="V1162" s="617"/>
      <c r="W1162" s="617"/>
      <c r="X1162" s="617"/>
      <c r="Y1162" s="617"/>
      <c r="Z1162" s="617"/>
      <c r="AA1162" s="617"/>
      <c r="AB1162" s="617"/>
      <c r="AC1162" s="617"/>
      <c r="AD1162" s="617"/>
      <c r="AE1162" s="617"/>
      <c r="AF1162" s="617"/>
      <c r="AG1162" s="617"/>
      <c r="AH1162" s="617"/>
      <c r="AI1162" s="617"/>
      <c r="AJ1162" s="859"/>
      <c r="AK1162" s="859"/>
      <c r="AL1162" s="859"/>
      <c r="AM1162" s="859"/>
      <c r="AN1162" s="859"/>
      <c r="AO1162" s="863"/>
      <c r="AP1162" s="863"/>
      <c r="AQ1162" s="864"/>
      <c r="AR1162" s="864"/>
      <c r="AS1162" s="864"/>
      <c r="AT1162" s="864"/>
      <c r="AU1162" s="864"/>
      <c r="AV1162" s="864"/>
      <c r="AW1162" s="864"/>
      <c r="AX1162" s="864"/>
      <c r="AY1162" s="864"/>
      <c r="AZ1162" s="864"/>
      <c r="BA1162" s="864"/>
      <c r="BB1162" s="864"/>
      <c r="BC1162" s="864"/>
      <c r="BD1162" s="864"/>
      <c r="BE1162" s="864"/>
    </row>
    <row r="1163" spans="1:58" ht="14.25" customHeight="1">
      <c r="A1163" s="3134" t="s">
        <v>2441</v>
      </c>
      <c r="B1163" s="3134"/>
      <c r="C1163" s="3134"/>
      <c r="D1163" s="3134"/>
      <c r="E1163" s="3134"/>
      <c r="H1163" s="646"/>
      <c r="I1163" s="646"/>
      <c r="J1163" s="646"/>
      <c r="K1163" s="646"/>
      <c r="L1163" s="646"/>
      <c r="M1163" s="616"/>
      <c r="N1163" s="616"/>
      <c r="O1163" s="616"/>
      <c r="P1163" s="617"/>
      <c r="Q1163" s="366"/>
      <c r="R1163" s="617"/>
      <c r="S1163" s="617"/>
      <c r="T1163" s="617"/>
      <c r="U1163" s="617"/>
      <c r="V1163" s="617"/>
      <c r="W1163" s="617"/>
      <c r="X1163" s="617"/>
      <c r="Y1163" s="617"/>
      <c r="Z1163" s="617"/>
      <c r="AA1163" s="617"/>
      <c r="AB1163" s="617"/>
      <c r="AC1163" s="617"/>
      <c r="AD1163" s="617"/>
      <c r="AE1163" s="617"/>
      <c r="AF1163" s="617"/>
      <c r="AG1163" s="617"/>
      <c r="AH1163" s="617"/>
      <c r="AI1163" s="617"/>
      <c r="AJ1163" s="859"/>
      <c r="AK1163" s="859"/>
      <c r="AL1163" s="859"/>
      <c r="AM1163" s="859"/>
      <c r="AN1163" s="859"/>
      <c r="AO1163" s="863"/>
      <c r="AP1163" s="863"/>
      <c r="AQ1163" s="864"/>
      <c r="AR1163" s="864"/>
      <c r="AS1163" s="864"/>
      <c r="AT1163" s="864"/>
      <c r="AU1163" s="864"/>
      <c r="AV1163" s="543">
        <f>M1163</f>
        <v>0</v>
      </c>
      <c r="AW1163" s="864"/>
      <c r="AX1163" s="864"/>
      <c r="AY1163" s="864"/>
      <c r="AZ1163" s="864"/>
      <c r="BA1163" s="864"/>
      <c r="BB1163" s="864"/>
      <c r="BC1163" s="864"/>
      <c r="BD1163" s="864"/>
      <c r="BE1163" s="864"/>
    </row>
    <row r="1164" spans="1:58" ht="14.25" customHeight="1">
      <c r="A1164" s="859"/>
      <c r="B1164" s="860"/>
      <c r="C1164" s="859"/>
      <c r="D1164" s="859"/>
      <c r="E1164" s="859"/>
      <c r="F1164" s="859"/>
      <c r="G1164" s="861"/>
      <c r="H1164" s="862"/>
      <c r="I1164" s="859"/>
      <c r="J1164" s="859"/>
      <c r="K1164" s="859"/>
      <c r="L1164" s="859"/>
      <c r="M1164" s="859"/>
      <c r="N1164" s="859"/>
      <c r="O1164" s="859"/>
      <c r="P1164" s="859"/>
      <c r="Q1164" s="859"/>
      <c r="R1164" s="859"/>
      <c r="S1164" s="859"/>
      <c r="T1164" s="859"/>
      <c r="U1164" s="859"/>
      <c r="V1164" s="859"/>
      <c r="W1164" s="859"/>
      <c r="X1164" s="859"/>
      <c r="Y1164" s="859"/>
      <c r="Z1164" s="859"/>
      <c r="AA1164" s="859"/>
      <c r="AB1164" s="349"/>
      <c r="AC1164" s="859"/>
      <c r="AD1164" s="859"/>
      <c r="AE1164" s="859"/>
      <c r="AF1164" s="859"/>
      <c r="AG1164" s="859"/>
      <c r="AH1164" s="859"/>
      <c r="AI1164" s="859"/>
      <c r="AJ1164" s="859"/>
      <c r="AK1164" s="859"/>
      <c r="AL1164" s="859"/>
      <c r="AM1164" s="859"/>
      <c r="AN1164" s="859"/>
      <c r="AO1164" s="863"/>
      <c r="AP1164" s="863"/>
      <c r="AQ1164" s="864"/>
      <c r="AR1164" s="864"/>
      <c r="AS1164" s="864"/>
      <c r="AT1164" s="864"/>
      <c r="AU1164" s="864"/>
      <c r="AV1164" s="864"/>
      <c r="AW1164" s="864"/>
      <c r="AX1164" s="864"/>
      <c r="AY1164" s="864"/>
      <c r="AZ1164" s="864"/>
      <c r="BA1164" s="864"/>
      <c r="BB1164" s="864"/>
      <c r="BC1164" s="864"/>
      <c r="BD1164" s="864"/>
      <c r="BE1164" s="864"/>
    </row>
    <row r="1165" spans="1:58" ht="14.25" hidden="1" customHeight="1" outlineLevel="1">
      <c r="A1165" s="3135" t="s">
        <v>1247</v>
      </c>
      <c r="B1165" s="3135"/>
      <c r="C1165" s="3135"/>
      <c r="D1165" s="3135"/>
      <c r="E1165" s="3135"/>
      <c r="F1165" s="3135"/>
      <c r="G1165" s="3135"/>
      <c r="H1165" s="665"/>
      <c r="I1165" s="665"/>
      <c r="J1165" s="665"/>
      <c r="K1165" s="665"/>
      <c r="L1165" s="665"/>
      <c r="M1165" s="665"/>
      <c r="N1165" s="665"/>
      <c r="O1165" s="665"/>
      <c r="P1165" s="665"/>
      <c r="Q1165" s="665"/>
      <c r="R1165" s="665"/>
      <c r="S1165" s="665"/>
      <c r="T1165" s="665"/>
      <c r="U1165" s="665"/>
      <c r="V1165" s="665"/>
      <c r="W1165" s="665"/>
      <c r="X1165" s="665"/>
      <c r="Y1165" s="665"/>
      <c r="Z1165" s="665"/>
      <c r="AA1165" s="665"/>
      <c r="AB1165" s="665"/>
      <c r="AC1165" s="665"/>
      <c r="AD1165" s="665"/>
      <c r="AE1165" s="665"/>
      <c r="AF1165" s="665"/>
      <c r="AG1165" s="665"/>
      <c r="AH1165" s="665"/>
      <c r="AI1165" s="665"/>
      <c r="AJ1165" s="859"/>
      <c r="AK1165" s="859"/>
      <c r="AL1165" s="859"/>
      <c r="AM1165" s="859"/>
      <c r="AN1165" s="859"/>
      <c r="AO1165" s="863"/>
      <c r="AP1165" s="863"/>
      <c r="AQ1165" s="864"/>
      <c r="AR1165" s="864"/>
      <c r="AS1165" s="864"/>
      <c r="AT1165" s="864"/>
      <c r="AU1165" s="864"/>
      <c r="AV1165" s="864"/>
      <c r="AW1165" s="864"/>
      <c r="AX1165" s="864"/>
      <c r="AY1165" s="864"/>
      <c r="AZ1165" s="864"/>
      <c r="BA1165" s="864"/>
      <c r="BB1165" s="864"/>
      <c r="BC1165" s="864"/>
      <c r="BD1165" s="864"/>
      <c r="BE1165" s="864"/>
    </row>
    <row r="1166" spans="1:58" ht="14.25" hidden="1" customHeight="1" outlineLevel="1">
      <c r="A1166" s="3135"/>
      <c r="B1166" s="3135"/>
      <c r="C1166" s="3135"/>
      <c r="D1166" s="3135"/>
      <c r="E1166" s="3135"/>
      <c r="F1166" s="3135"/>
      <c r="G1166" s="3135"/>
      <c r="H1166" s="665"/>
      <c r="I1166" s="665"/>
      <c r="J1166" s="665"/>
      <c r="K1166" s="665"/>
      <c r="L1166" s="665"/>
      <c r="M1166" s="665"/>
      <c r="N1166" s="665"/>
      <c r="O1166" s="665"/>
      <c r="P1166" s="665"/>
      <c r="Q1166" s="665"/>
      <c r="R1166" s="665"/>
      <c r="S1166" s="665"/>
      <c r="T1166" s="665"/>
      <c r="U1166" s="665"/>
      <c r="V1166" s="665"/>
      <c r="W1166" s="665"/>
      <c r="X1166" s="665"/>
      <c r="Y1166" s="665"/>
      <c r="Z1166" s="665"/>
      <c r="AA1166" s="665"/>
      <c r="AB1166" s="665"/>
      <c r="AC1166" s="665"/>
      <c r="AD1166" s="665"/>
      <c r="AE1166" s="665"/>
      <c r="AF1166" s="665"/>
      <c r="AG1166" s="665"/>
      <c r="AH1166" s="665"/>
      <c r="AI1166" s="665"/>
      <c r="AJ1166" s="859"/>
      <c r="AK1166" s="859"/>
      <c r="AL1166" s="859"/>
      <c r="AM1166" s="859"/>
      <c r="AN1166" s="859"/>
      <c r="AO1166" s="863"/>
      <c r="AP1166" s="863"/>
      <c r="AQ1166" s="864"/>
      <c r="AR1166" s="864"/>
      <c r="AS1166" s="864"/>
      <c r="AT1166" s="864"/>
      <c r="AU1166" s="864"/>
      <c r="AV1166" s="864"/>
      <c r="AW1166" s="864"/>
      <c r="AX1166" s="864"/>
      <c r="AY1166" s="864"/>
      <c r="AZ1166" s="864"/>
      <c r="BA1166" s="864"/>
      <c r="BB1166" s="864"/>
      <c r="BC1166" s="864"/>
      <c r="BD1166" s="864"/>
      <c r="BE1166" s="864"/>
    </row>
    <row r="1167" spans="1:58" ht="14.25" hidden="1" customHeight="1" outlineLevel="1">
      <c r="A1167" s="430" t="s">
        <v>1806</v>
      </c>
      <c r="B1167" s="431"/>
      <c r="C1167" s="432"/>
      <c r="D1167" s="611">
        <v>1</v>
      </c>
      <c r="G1167" s="695"/>
      <c r="H1167" s="695"/>
      <c r="I1167" s="695"/>
      <c r="J1167" s="695"/>
      <c r="K1167" s="695"/>
      <c r="L1167" s="695"/>
      <c r="M1167" s="695"/>
      <c r="N1167" s="695"/>
      <c r="O1167" s="695"/>
      <c r="P1167" s="695"/>
      <c r="Q1167" s="695"/>
      <c r="R1167" s="695"/>
      <c r="S1167" s="695"/>
      <c r="T1167" s="695"/>
      <c r="U1167" s="695"/>
      <c r="V1167" s="695"/>
      <c r="W1167" s="695"/>
      <c r="X1167" s="695"/>
      <c r="Y1167" s="695"/>
      <c r="Z1167" s="695"/>
      <c r="AA1167" s="695"/>
      <c r="AB1167" s="695"/>
      <c r="AC1167" s="695"/>
      <c r="AD1167" s="695"/>
      <c r="AE1167" s="695"/>
      <c r="AF1167" s="617"/>
      <c r="AG1167" s="617"/>
      <c r="AH1167" s="617"/>
      <c r="AI1167" s="803"/>
      <c r="AJ1167" s="808"/>
      <c r="AK1167" s="808"/>
      <c r="AL1167" s="808"/>
      <c r="AM1167" s="808"/>
      <c r="AN1167" s="808"/>
      <c r="AO1167" s="809"/>
      <c r="AP1167" s="809"/>
      <c r="AQ1167" s="810"/>
      <c r="AR1167" s="810"/>
      <c r="AS1167" s="810"/>
      <c r="AT1167" s="810"/>
      <c r="AU1167" s="810"/>
      <c r="AV1167" s="810"/>
      <c r="AW1167" s="810"/>
      <c r="AX1167" s="810"/>
      <c r="AY1167" s="810"/>
      <c r="AZ1167" s="810"/>
      <c r="BA1167" s="810"/>
      <c r="BB1167" s="810"/>
      <c r="BC1167" s="810"/>
      <c r="BD1167" s="810"/>
      <c r="BE1167" s="810"/>
    </row>
    <row r="1168" spans="1:58" ht="14.25" hidden="1" customHeight="1" outlineLevel="1">
      <c r="A1168" s="430" t="s">
        <v>1808</v>
      </c>
      <c r="B1168" s="431"/>
      <c r="C1168" s="432"/>
      <c r="D1168" s="611">
        <v>1</v>
      </c>
      <c r="G1168" s="695"/>
      <c r="H1168" s="695"/>
      <c r="I1168" s="695"/>
      <c r="J1168" s="695"/>
      <c r="K1168" s="695"/>
      <c r="L1168" s="695"/>
      <c r="M1168" s="695"/>
      <c r="N1168" s="695"/>
      <c r="O1168" s="695"/>
      <c r="P1168" s="695"/>
      <c r="Q1168" s="695"/>
      <c r="R1168" s="695"/>
      <c r="S1168" s="695"/>
      <c r="T1168" s="695"/>
      <c r="U1168" s="695"/>
      <c r="V1168" s="695"/>
      <c r="W1168" s="695"/>
      <c r="X1168" s="695"/>
      <c r="Y1168" s="695"/>
      <c r="Z1168" s="695"/>
      <c r="AA1168" s="695"/>
      <c r="AB1168" s="695"/>
      <c r="AC1168" s="695"/>
      <c r="AD1168" s="695"/>
      <c r="AE1168" s="695"/>
      <c r="AF1168" s="617"/>
      <c r="AG1168" s="617"/>
      <c r="AH1168" s="617"/>
      <c r="AI1168" s="617"/>
      <c r="AJ1168" s="808"/>
      <c r="AK1168" s="808"/>
      <c r="AL1168" s="808"/>
      <c r="AM1168" s="808"/>
      <c r="AN1168" s="808"/>
      <c r="AO1168" s="809"/>
      <c r="AP1168" s="809"/>
      <c r="AQ1168" s="810"/>
      <c r="AR1168" s="810"/>
      <c r="AS1168" s="810"/>
      <c r="AT1168" s="810"/>
      <c r="AU1168" s="810"/>
      <c r="AV1168" s="810"/>
      <c r="AW1168" s="810"/>
      <c r="AX1168" s="810"/>
      <c r="AY1168" s="810"/>
      <c r="AZ1168" s="810"/>
      <c r="BA1168" s="810"/>
      <c r="BB1168" s="810"/>
      <c r="BC1168" s="810"/>
      <c r="BD1168" s="810"/>
      <c r="BE1168" s="810"/>
    </row>
    <row r="1169" spans="1:58" ht="14.25" hidden="1" customHeight="1" outlineLevel="1">
      <c r="B1169" s="614"/>
      <c r="C1169" s="695"/>
      <c r="D1169" s="695"/>
      <c r="E1169" s="695"/>
      <c r="F1169" s="695"/>
      <c r="G1169" s="695"/>
      <c r="H1169" s="695"/>
      <c r="I1169" s="695"/>
      <c r="J1169" s="695"/>
      <c r="K1169" s="695"/>
      <c r="L1169" s="695"/>
      <c r="M1169" s="695"/>
      <c r="N1169" s="695"/>
      <c r="O1169" s="695"/>
      <c r="P1169" s="695"/>
      <c r="Q1169" s="695"/>
      <c r="R1169" s="695"/>
      <c r="S1169" s="695"/>
      <c r="T1169" s="695"/>
      <c r="U1169" s="695"/>
      <c r="V1169" s="695"/>
      <c r="W1169" s="695"/>
      <c r="X1169" s="695"/>
      <c r="Y1169" s="614"/>
      <c r="Z1169" s="614"/>
      <c r="AA1169" s="614"/>
      <c r="AB1169" s="613"/>
      <c r="AC1169" s="614"/>
      <c r="AD1169" s="614"/>
      <c r="AE1169" s="614"/>
      <c r="AF1169" s="617"/>
      <c r="AG1169" s="617"/>
      <c r="AH1169" s="617"/>
      <c r="AI1169" s="617"/>
      <c r="AJ1169" s="808"/>
      <c r="AK1169" s="808"/>
      <c r="AL1169" s="808"/>
      <c r="AM1169" s="808"/>
      <c r="AN1169" s="808"/>
      <c r="AO1169" s="809"/>
      <c r="AP1169" s="809"/>
      <c r="AQ1169" s="810"/>
      <c r="AR1169" s="810"/>
      <c r="AS1169" s="810"/>
      <c r="AT1169" s="810"/>
      <c r="AU1169" s="810"/>
      <c r="AV1169" s="810"/>
      <c r="AW1169" s="810"/>
      <c r="AX1169" s="810"/>
      <c r="AY1169" s="810"/>
      <c r="AZ1169" s="810"/>
      <c r="BA1169" s="810"/>
      <c r="BB1169" s="810"/>
      <c r="BC1169" s="810"/>
      <c r="BD1169" s="810"/>
      <c r="BE1169" s="810"/>
    </row>
    <row r="1170" spans="1:58" ht="14.25" hidden="1" customHeight="1" outlineLevel="1">
      <c r="A1170" s="617" t="s">
        <v>2442</v>
      </c>
      <c r="B1170" s="381"/>
      <c r="C1170" s="366"/>
      <c r="D1170" s="695"/>
      <c r="E1170" s="695"/>
      <c r="F1170" s="695"/>
      <c r="G1170" s="695"/>
      <c r="H1170" s="695"/>
      <c r="I1170" s="695"/>
      <c r="J1170" s="695"/>
      <c r="K1170" s="695"/>
      <c r="L1170" s="695"/>
      <c r="M1170" s="695"/>
      <c r="N1170" s="695"/>
      <c r="O1170" s="695"/>
      <c r="P1170" s="695"/>
      <c r="Q1170" s="695"/>
      <c r="R1170" s="695"/>
      <c r="S1170" s="695"/>
      <c r="T1170" s="695"/>
      <c r="U1170" s="695"/>
      <c r="V1170" s="695"/>
      <c r="W1170" s="695"/>
      <c r="X1170" s="695"/>
      <c r="Y1170" s="614"/>
      <c r="Z1170" s="614"/>
      <c r="AA1170" s="614"/>
      <c r="AB1170" s="614"/>
      <c r="AC1170" s="614"/>
      <c r="AD1170" s="614"/>
      <c r="AE1170" s="614"/>
      <c r="AF1170" s="617"/>
      <c r="AG1170" s="617"/>
      <c r="AH1170" s="617"/>
      <c r="AI1170" s="617"/>
      <c r="AJ1170" s="808"/>
      <c r="AK1170" s="808"/>
      <c r="AL1170" s="808"/>
      <c r="AM1170" s="808"/>
      <c r="AN1170" s="808"/>
      <c r="AO1170" s="809"/>
      <c r="AP1170" s="809"/>
      <c r="AQ1170" s="810"/>
      <c r="AR1170" s="810"/>
      <c r="AS1170" s="810"/>
      <c r="AT1170" s="810"/>
      <c r="AU1170" s="810"/>
      <c r="AV1170" s="810"/>
      <c r="AW1170" s="810"/>
      <c r="AX1170" s="810"/>
      <c r="AY1170" s="810"/>
      <c r="AZ1170" s="810"/>
      <c r="BA1170" s="810"/>
      <c r="BB1170" s="810"/>
      <c r="BC1170" s="810"/>
      <c r="BD1170" s="810"/>
      <c r="BE1170" s="810"/>
    </row>
    <row r="1171" spans="1:58" ht="14.25" hidden="1" customHeight="1" outlineLevel="1">
      <c r="A1171" s="631" t="s">
        <v>2443</v>
      </c>
      <c r="B1171" s="442"/>
      <c r="C1171" s="617"/>
      <c r="D1171" s="617"/>
      <c r="G1171" s="442"/>
      <c r="H1171" s="442"/>
      <c r="I1171" s="355"/>
      <c r="J1171" s="355"/>
      <c r="K1171" s="355"/>
      <c r="L1171" s="355"/>
      <c r="M1171" s="460"/>
      <c r="N1171" s="460"/>
      <c r="O1171" s="617"/>
      <c r="P1171" s="859"/>
      <c r="Q1171" s="859"/>
      <c r="R1171" s="859"/>
      <c r="S1171" s="859"/>
      <c r="T1171" s="859"/>
      <c r="U1171" s="859"/>
      <c r="V1171" s="859"/>
      <c r="W1171" s="859"/>
      <c r="X1171" s="859"/>
      <c r="Y1171" s="859"/>
      <c r="Z1171" s="859"/>
      <c r="AA1171" s="859"/>
      <c r="AB1171" s="859"/>
      <c r="AC1171" s="859"/>
      <c r="AD1171" s="859"/>
      <c r="AE1171" s="859"/>
      <c r="AF1171" s="859"/>
      <c r="AG1171" s="859"/>
      <c r="AH1171" s="859"/>
      <c r="AI1171" s="859"/>
      <c r="AJ1171" s="859"/>
      <c r="AK1171" s="859"/>
      <c r="AL1171" s="859"/>
      <c r="AM1171" s="859"/>
      <c r="AN1171" s="859"/>
      <c r="AO1171" s="863"/>
      <c r="AP1171" s="863"/>
      <c r="AQ1171" s="864"/>
      <c r="AR1171" s="864"/>
      <c r="AS1171" s="864"/>
      <c r="AT1171" s="864"/>
      <c r="AU1171" s="864"/>
      <c r="AV1171" s="864"/>
      <c r="AW1171" s="864"/>
      <c r="AX1171" s="864"/>
      <c r="AY1171" s="864"/>
      <c r="AZ1171" s="864"/>
      <c r="BA1171" s="864"/>
      <c r="BB1171" s="864"/>
      <c r="BC1171" s="864"/>
      <c r="BD1171" s="864"/>
      <c r="BE1171" s="864"/>
    </row>
    <row r="1172" spans="1:58" s="370" customFormat="1" ht="14.25" hidden="1" customHeight="1" outlineLevel="1">
      <c r="A1172" s="892" t="s">
        <v>2444</v>
      </c>
      <c r="B1172" s="660"/>
      <c r="C1172" s="660"/>
      <c r="D1172" s="617"/>
      <c r="G1172" s="442"/>
      <c r="H1172" s="442"/>
      <c r="I1172" s="355"/>
      <c r="J1172" s="355"/>
      <c r="K1172" s="355"/>
      <c r="L1172" s="355"/>
      <c r="M1172" s="460"/>
      <c r="N1172" s="460"/>
      <c r="O1172" s="617"/>
      <c r="P1172" s="808"/>
      <c r="Q1172" s="808"/>
      <c r="R1172" s="808"/>
      <c r="S1172" s="808"/>
      <c r="T1172" s="808"/>
      <c r="U1172" s="808"/>
      <c r="V1172" s="808"/>
      <c r="W1172" s="808"/>
      <c r="X1172" s="808"/>
      <c r="Y1172" s="808"/>
      <c r="Z1172" s="808"/>
      <c r="AA1172" s="808"/>
      <c r="AB1172" s="808"/>
      <c r="AC1172" s="808"/>
      <c r="AD1172" s="808"/>
      <c r="AE1172" s="808"/>
      <c r="AF1172" s="808"/>
      <c r="AG1172" s="808"/>
      <c r="AH1172" s="808"/>
      <c r="AI1172" s="808"/>
      <c r="AJ1172" s="808"/>
      <c r="AK1172" s="808"/>
      <c r="AL1172" s="808"/>
      <c r="AM1172" s="808"/>
      <c r="AN1172" s="808"/>
      <c r="AO1172" s="809"/>
      <c r="AP1172" s="809"/>
      <c r="AQ1172" s="810"/>
      <c r="AR1172" s="810"/>
      <c r="AS1172" s="810"/>
      <c r="AT1172" s="810"/>
      <c r="AU1172" s="810"/>
      <c r="AV1172" s="810"/>
      <c r="AW1172" s="810"/>
      <c r="AX1172" s="810"/>
      <c r="AY1172" s="810"/>
      <c r="AZ1172" s="810"/>
      <c r="BA1172" s="810"/>
      <c r="BB1172" s="810"/>
      <c r="BC1172" s="810"/>
      <c r="BD1172" s="810"/>
      <c r="BE1172" s="810"/>
      <c r="BF1172" s="428"/>
    </row>
    <row r="1173" spans="1:58" s="370" customFormat="1" ht="14.25" hidden="1" customHeight="1" outlineLevel="1">
      <c r="A1173" s="893" t="s">
        <v>924</v>
      </c>
      <c r="B1173" s="660"/>
      <c r="C1173" s="660"/>
      <c r="D1173" s="617"/>
      <c r="G1173" s="442"/>
      <c r="H1173" s="442"/>
      <c r="I1173" s="355"/>
      <c r="J1173" s="355"/>
      <c r="K1173" s="355"/>
      <c r="L1173" s="355"/>
      <c r="M1173" s="460"/>
      <c r="N1173" s="460"/>
      <c r="O1173" s="617"/>
      <c r="P1173" s="808"/>
      <c r="Q1173" s="808"/>
      <c r="R1173" s="808"/>
      <c r="S1173" s="808"/>
      <c r="T1173" s="808"/>
      <c r="U1173" s="808"/>
      <c r="V1173" s="808"/>
      <c r="W1173" s="808"/>
      <c r="X1173" s="808"/>
      <c r="Y1173" s="808"/>
      <c r="Z1173" s="808"/>
      <c r="AA1173" s="808"/>
      <c r="AB1173" s="808"/>
      <c r="AC1173" s="808"/>
      <c r="AD1173" s="808"/>
      <c r="AE1173" s="808"/>
      <c r="AF1173" s="808"/>
      <c r="AG1173" s="808"/>
      <c r="AH1173" s="808"/>
      <c r="AI1173" s="808"/>
      <c r="AJ1173" s="808"/>
      <c r="AK1173" s="808"/>
      <c r="AL1173" s="808"/>
      <c r="AM1173" s="808"/>
      <c r="AN1173" s="808"/>
      <c r="AO1173" s="809"/>
      <c r="AP1173" s="809"/>
      <c r="AQ1173" s="810"/>
      <c r="AR1173" s="810"/>
      <c r="AS1173" s="810"/>
      <c r="AT1173" s="810"/>
      <c r="AU1173" s="810"/>
      <c r="AV1173" s="810"/>
      <c r="AW1173" s="810"/>
      <c r="AX1173" s="810"/>
      <c r="AY1173" s="810"/>
      <c r="AZ1173" s="810"/>
      <c r="BA1173" s="810"/>
      <c r="BB1173" s="810"/>
      <c r="BC1173" s="810"/>
      <c r="BD1173" s="810"/>
      <c r="BE1173" s="810"/>
      <c r="BF1173" s="428"/>
    </row>
    <row r="1174" spans="1:58" s="370" customFormat="1" ht="14.25" hidden="1" customHeight="1" outlineLevel="1">
      <c r="A1174" s="3136" t="s">
        <v>2445</v>
      </c>
      <c r="B1174" s="3136"/>
      <c r="C1174" s="3136"/>
      <c r="D1174" s="378">
        <v>3.2</v>
      </c>
      <c r="G1174" s="442"/>
      <c r="H1174" s="442"/>
      <c r="I1174" s="355"/>
      <c r="J1174" s="355"/>
      <c r="K1174" s="355"/>
      <c r="L1174" s="355"/>
      <c r="M1174" s="460"/>
      <c r="N1174" s="460"/>
      <c r="O1174" s="617"/>
      <c r="P1174" s="808"/>
      <c r="Q1174" s="808"/>
      <c r="R1174" s="808"/>
      <c r="S1174" s="808"/>
      <c r="T1174" s="808"/>
      <c r="U1174" s="808"/>
      <c r="V1174" s="808"/>
      <c r="W1174" s="808"/>
      <c r="X1174" s="808"/>
      <c r="Y1174" s="808"/>
      <c r="Z1174" s="808"/>
      <c r="AA1174" s="808"/>
      <c r="AB1174" s="808"/>
      <c r="AC1174" s="808"/>
      <c r="AD1174" s="808"/>
      <c r="AE1174" s="808"/>
      <c r="AF1174" s="808"/>
      <c r="AG1174" s="808"/>
      <c r="AH1174" s="808"/>
      <c r="AI1174" s="808"/>
      <c r="AJ1174" s="808"/>
      <c r="AK1174" s="808"/>
      <c r="AL1174" s="808"/>
      <c r="AM1174" s="808"/>
      <c r="AN1174" s="808"/>
      <c r="AO1174" s="809"/>
      <c r="AP1174" s="809"/>
      <c r="AQ1174" s="810"/>
      <c r="AR1174" s="810"/>
      <c r="AS1174" s="810"/>
      <c r="AT1174" s="810"/>
      <c r="AU1174" s="810"/>
      <c r="AV1174" s="810"/>
      <c r="AW1174" s="810"/>
      <c r="AX1174" s="810"/>
      <c r="AY1174" s="810"/>
      <c r="AZ1174" s="810"/>
      <c r="BA1174" s="810"/>
      <c r="BB1174" s="810"/>
      <c r="BC1174" s="810"/>
      <c r="BD1174" s="810"/>
      <c r="BE1174" s="810"/>
      <c r="BF1174" s="428"/>
    </row>
    <row r="1175" spans="1:58" s="370" customFormat="1" ht="14.25" hidden="1" customHeight="1" outlineLevel="1">
      <c r="A1175" s="492" t="s">
        <v>2234</v>
      </c>
      <c r="B1175" s="442"/>
      <c r="C1175" s="617"/>
      <c r="D1175" s="617"/>
      <c r="G1175" s="442"/>
      <c r="H1175" s="442"/>
      <c r="I1175" s="355"/>
      <c r="J1175" s="355"/>
      <c r="K1175" s="355"/>
      <c r="L1175" s="355"/>
      <c r="M1175" s="460"/>
      <c r="N1175" s="460"/>
      <c r="O1175" s="617"/>
      <c r="P1175" s="808"/>
      <c r="Q1175" s="808"/>
      <c r="R1175" s="808"/>
      <c r="S1175" s="808"/>
      <c r="T1175" s="808"/>
      <c r="U1175" s="808"/>
      <c r="V1175" s="808"/>
      <c r="W1175" s="808"/>
      <c r="X1175" s="808"/>
      <c r="Y1175" s="808"/>
      <c r="Z1175" s="808"/>
      <c r="AA1175" s="808"/>
      <c r="AB1175" s="808"/>
      <c r="AC1175" s="808"/>
      <c r="AD1175" s="808"/>
      <c r="AE1175" s="808"/>
      <c r="AF1175" s="808"/>
      <c r="AG1175" s="808"/>
      <c r="AH1175" s="808"/>
      <c r="AI1175" s="808"/>
      <c r="AJ1175" s="808"/>
      <c r="AK1175" s="808"/>
      <c r="AL1175" s="808"/>
      <c r="AM1175" s="808"/>
      <c r="AN1175" s="808"/>
      <c r="AO1175" s="809"/>
      <c r="AP1175" s="809"/>
      <c r="AQ1175" s="810"/>
      <c r="AR1175" s="810"/>
      <c r="AS1175" s="810"/>
      <c r="AT1175" s="810"/>
      <c r="AU1175" s="810"/>
      <c r="AV1175" s="810"/>
      <c r="AW1175" s="810"/>
      <c r="AX1175" s="810"/>
      <c r="AY1175" s="810"/>
      <c r="AZ1175" s="810"/>
      <c r="BA1175" s="810"/>
      <c r="BB1175" s="810"/>
      <c r="BC1175" s="810"/>
      <c r="BD1175" s="810"/>
      <c r="BE1175" s="810"/>
      <c r="BF1175" s="428"/>
    </row>
    <row r="1176" spans="1:58" s="370" customFormat="1" ht="14.25" hidden="1" customHeight="1" outlineLevel="1">
      <c r="A1176" s="875" t="s">
        <v>706</v>
      </c>
      <c r="B1176" s="442"/>
      <c r="C1176" s="617"/>
      <c r="D1176" s="617"/>
      <c r="G1176" s="442"/>
      <c r="H1176" s="442"/>
      <c r="I1176" s="355"/>
      <c r="J1176" s="355"/>
      <c r="K1176" s="355"/>
      <c r="L1176" s="355"/>
      <c r="M1176" s="460"/>
      <c r="N1176" s="460"/>
      <c r="O1176" s="617"/>
      <c r="P1176" s="808"/>
      <c r="Q1176" s="808"/>
      <c r="R1176" s="808"/>
      <c r="S1176" s="808"/>
      <c r="T1176" s="808"/>
      <c r="U1176" s="808"/>
      <c r="V1176" s="808"/>
      <c r="W1176" s="808"/>
      <c r="X1176" s="808"/>
      <c r="Y1176" s="808"/>
      <c r="Z1176" s="808"/>
      <c r="AA1176" s="808"/>
      <c r="AB1176" s="808"/>
      <c r="AC1176" s="808"/>
      <c r="AD1176" s="808"/>
      <c r="AE1176" s="808"/>
      <c r="AF1176" s="808"/>
      <c r="AG1176" s="808"/>
      <c r="AH1176" s="808"/>
      <c r="AI1176" s="808"/>
      <c r="AJ1176" s="808"/>
      <c r="AK1176" s="808"/>
      <c r="AL1176" s="808"/>
      <c r="AM1176" s="808"/>
      <c r="AN1176" s="808"/>
      <c r="AO1176" s="809"/>
      <c r="AP1176" s="809"/>
      <c r="AQ1176" s="810"/>
      <c r="AR1176" s="810"/>
      <c r="AS1176" s="810"/>
      <c r="AT1176" s="810"/>
      <c r="AU1176" s="810"/>
      <c r="AV1176" s="810"/>
      <c r="AW1176" s="810"/>
      <c r="AX1176" s="810"/>
      <c r="AY1176" s="810"/>
      <c r="AZ1176" s="810"/>
      <c r="BA1176" s="810"/>
      <c r="BB1176" s="810"/>
      <c r="BC1176" s="810"/>
      <c r="BD1176" s="810"/>
      <c r="BE1176" s="810"/>
      <c r="BF1176" s="428"/>
    </row>
    <row r="1177" spans="1:58" s="364" customFormat="1" ht="14.25" hidden="1" customHeight="1" outlineLevel="1">
      <c r="A1177" s="617" t="s">
        <v>2446</v>
      </c>
      <c r="B1177" s="442"/>
      <c r="C1177" s="617"/>
      <c r="D1177" s="617"/>
      <c r="G1177" s="442"/>
      <c r="H1177" s="442"/>
      <c r="I1177" s="355"/>
      <c r="J1177" s="355"/>
      <c r="K1177" s="355"/>
      <c r="L1177" s="355"/>
      <c r="M1177" s="460"/>
      <c r="N1177" s="460"/>
      <c r="O1177" s="617"/>
      <c r="P1177" s="617"/>
      <c r="Q1177" s="617"/>
      <c r="R1177" s="617"/>
      <c r="S1177" s="617"/>
      <c r="T1177" s="617"/>
      <c r="U1177" s="617"/>
      <c r="V1177" s="617"/>
      <c r="W1177" s="617"/>
      <c r="X1177" s="617"/>
      <c r="Y1177" s="617"/>
      <c r="Z1177" s="617"/>
      <c r="AA1177" s="617"/>
      <c r="AB1177" s="617"/>
      <c r="AC1177" s="617"/>
      <c r="AD1177" s="617"/>
      <c r="AE1177" s="617"/>
      <c r="AF1177" s="617"/>
      <c r="AG1177" s="617"/>
      <c r="AH1177" s="617"/>
      <c r="AI1177" s="617"/>
      <c r="AJ1177" s="617"/>
      <c r="AK1177" s="617"/>
      <c r="AL1177" s="617"/>
      <c r="AM1177" s="617"/>
      <c r="AN1177" s="617"/>
      <c r="AO1177" s="680"/>
      <c r="AP1177" s="680"/>
      <c r="AQ1177" s="803"/>
      <c r="AR1177" s="803"/>
      <c r="AS1177" s="803"/>
      <c r="AT1177" s="803"/>
      <c r="AU1177" s="803"/>
      <c r="AV1177" s="803"/>
      <c r="AW1177" s="803"/>
      <c r="AX1177" s="803"/>
      <c r="AY1177" s="803"/>
      <c r="AZ1177" s="803"/>
      <c r="BA1177" s="803"/>
      <c r="BB1177" s="803"/>
      <c r="BC1177" s="803"/>
      <c r="BD1177" s="803"/>
      <c r="BE1177" s="803"/>
      <c r="BF1177" s="368"/>
    </row>
    <row r="1178" spans="1:58" ht="14.25" hidden="1" customHeight="1" outlineLevel="1">
      <c r="A1178" s="536" t="s">
        <v>1333</v>
      </c>
      <c r="B1178" s="442"/>
      <c r="C1178" s="617"/>
      <c r="D1178" s="617"/>
      <c r="G1178" s="883"/>
      <c r="H1178" s="617"/>
      <c r="I1178" s="482"/>
      <c r="J1178" s="482"/>
      <c r="K1178" s="482"/>
      <c r="L1178" s="482"/>
      <c r="M1178" s="482"/>
      <c r="N1178" s="482"/>
      <c r="O1178" s="482"/>
      <c r="P1178" s="482"/>
      <c r="Q1178" s="859"/>
      <c r="R1178" s="859"/>
      <c r="S1178" s="859"/>
      <c r="T1178" s="859"/>
      <c r="U1178" s="859"/>
      <c r="V1178" s="859"/>
      <c r="W1178" s="859"/>
      <c r="X1178" s="859"/>
      <c r="Y1178" s="859"/>
      <c r="Z1178" s="859"/>
      <c r="AA1178" s="859"/>
      <c r="AB1178" s="859"/>
      <c r="AC1178" s="859"/>
      <c r="AD1178" s="859"/>
      <c r="AE1178" s="859"/>
      <c r="AF1178" s="859"/>
      <c r="AG1178" s="859"/>
      <c r="AH1178" s="859"/>
      <c r="AI1178" s="859"/>
      <c r="AJ1178" s="859"/>
      <c r="AK1178" s="859"/>
      <c r="AL1178" s="859"/>
      <c r="AM1178" s="859"/>
      <c r="AN1178" s="859"/>
      <c r="AO1178" s="863"/>
      <c r="AP1178" s="863"/>
      <c r="AQ1178" s="864"/>
      <c r="AR1178" s="864"/>
      <c r="AS1178" s="864"/>
      <c r="AT1178" s="864"/>
      <c r="AU1178" s="864"/>
      <c r="AV1178" s="864"/>
      <c r="AW1178" s="864"/>
      <c r="AX1178" s="864"/>
      <c r="AY1178" s="864"/>
      <c r="AZ1178" s="864"/>
      <c r="BA1178" s="864"/>
      <c r="BB1178" s="864"/>
      <c r="BC1178" s="864"/>
      <c r="BD1178" s="864"/>
      <c r="BE1178" s="864"/>
    </row>
    <row r="1179" spans="1:58" ht="14.25" hidden="1" customHeight="1" outlineLevel="1">
      <c r="A1179" s="436" t="s">
        <v>2447</v>
      </c>
      <c r="B1179" s="442"/>
      <c r="C1179" s="801"/>
      <c r="D1179" s="617"/>
      <c r="G1179" s="883"/>
      <c r="H1179" s="617"/>
      <c r="I1179" s="482"/>
      <c r="J1179" s="482"/>
      <c r="K1179" s="482"/>
      <c r="L1179" s="482"/>
      <c r="M1179" s="482"/>
      <c r="N1179" s="482"/>
      <c r="O1179" s="482"/>
      <c r="P1179" s="482"/>
      <c r="Q1179" s="859"/>
      <c r="R1179" s="859"/>
      <c r="S1179" s="859"/>
      <c r="T1179" s="859"/>
      <c r="U1179" s="859"/>
      <c r="V1179" s="859"/>
      <c r="W1179" s="859"/>
      <c r="X1179" s="859"/>
      <c r="Y1179" s="859"/>
      <c r="Z1179" s="859"/>
      <c r="AA1179" s="859"/>
      <c r="AB1179" s="859"/>
      <c r="AC1179" s="859"/>
      <c r="AD1179" s="859"/>
      <c r="AE1179" s="859"/>
      <c r="AF1179" s="859"/>
      <c r="AG1179" s="859"/>
      <c r="AH1179" s="859"/>
      <c r="AI1179" s="859"/>
      <c r="AJ1179" s="859"/>
      <c r="AK1179" s="859"/>
      <c r="AL1179" s="859"/>
      <c r="AM1179" s="859"/>
      <c r="AN1179" s="859"/>
      <c r="AO1179" s="863"/>
      <c r="AP1179" s="863"/>
      <c r="AQ1179" s="864"/>
      <c r="AR1179" s="864"/>
      <c r="AS1179" s="864"/>
      <c r="AT1179" s="864"/>
      <c r="AU1179" s="864"/>
      <c r="AV1179" s="864"/>
      <c r="AW1179" s="864"/>
      <c r="AX1179" s="864"/>
      <c r="AY1179" s="864"/>
      <c r="AZ1179" s="864"/>
      <c r="BA1179" s="864"/>
      <c r="BB1179" s="864"/>
      <c r="BC1179" s="864"/>
      <c r="BD1179" s="864"/>
      <c r="BE1179" s="864"/>
    </row>
    <row r="1180" spans="1:58" ht="14.25" hidden="1" customHeight="1" outlineLevel="1">
      <c r="A1180" s="630" t="s">
        <v>1343</v>
      </c>
      <c r="B1180" s="442"/>
      <c r="C1180" s="801"/>
      <c r="D1180" s="617"/>
      <c r="G1180" s="883"/>
      <c r="H1180" s="617"/>
      <c r="I1180" s="482"/>
      <c r="J1180" s="482"/>
      <c r="K1180" s="482"/>
      <c r="L1180" s="482"/>
      <c r="M1180" s="482"/>
      <c r="N1180" s="482"/>
      <c r="O1180" s="482"/>
      <c r="P1180" s="482"/>
      <c r="Q1180" s="859"/>
      <c r="R1180" s="859"/>
      <c r="S1180" s="859"/>
      <c r="T1180" s="859"/>
      <c r="U1180" s="859"/>
      <c r="V1180" s="859"/>
      <c r="W1180" s="859"/>
      <c r="X1180" s="859"/>
      <c r="Y1180" s="859"/>
      <c r="Z1180" s="859"/>
      <c r="AA1180" s="859"/>
      <c r="AB1180" s="859"/>
      <c r="AC1180" s="859"/>
      <c r="AD1180" s="859"/>
      <c r="AE1180" s="859"/>
      <c r="AF1180" s="859"/>
      <c r="AG1180" s="859"/>
      <c r="AH1180" s="859"/>
      <c r="AI1180" s="859"/>
      <c r="AJ1180" s="859"/>
      <c r="AK1180" s="859"/>
      <c r="AL1180" s="859"/>
      <c r="AM1180" s="859"/>
      <c r="AN1180" s="859"/>
      <c r="AO1180" s="863"/>
      <c r="AP1180" s="863"/>
      <c r="AQ1180" s="864"/>
      <c r="AR1180" s="864"/>
      <c r="AS1180" s="864"/>
      <c r="AT1180" s="864"/>
      <c r="AU1180" s="864"/>
      <c r="AV1180" s="864"/>
      <c r="AW1180" s="864"/>
      <c r="AX1180" s="864"/>
      <c r="AY1180" s="864"/>
      <c r="AZ1180" s="864"/>
      <c r="BA1180" s="864"/>
      <c r="BB1180" s="864"/>
      <c r="BC1180" s="864"/>
      <c r="BD1180" s="864"/>
      <c r="BE1180" s="864"/>
    </row>
    <row r="1181" spans="1:58" s="364" customFormat="1" ht="14.25" hidden="1" customHeight="1" outlineLevel="1">
      <c r="A1181" s="617" t="s">
        <v>2448</v>
      </c>
      <c r="B1181" s="442"/>
      <c r="C1181" s="617"/>
      <c r="D1181" s="617"/>
      <c r="G1181" s="883"/>
      <c r="H1181" s="617"/>
      <c r="I1181" s="482"/>
      <c r="J1181" s="482"/>
      <c r="K1181" s="482"/>
      <c r="L1181" s="482"/>
      <c r="M1181" s="482"/>
      <c r="N1181" s="482"/>
      <c r="O1181" s="482"/>
      <c r="P1181" s="482"/>
      <c r="Q1181" s="617"/>
      <c r="R1181" s="617"/>
      <c r="S1181" s="617"/>
      <c r="T1181" s="617"/>
      <c r="U1181" s="617"/>
      <c r="V1181" s="617"/>
      <c r="W1181" s="617"/>
      <c r="X1181" s="617"/>
      <c r="Y1181" s="617"/>
      <c r="Z1181" s="617"/>
      <c r="AA1181" s="617"/>
      <c r="AB1181" s="617"/>
      <c r="AC1181" s="617"/>
      <c r="AD1181" s="617"/>
      <c r="AE1181" s="617"/>
      <c r="AF1181" s="617"/>
      <c r="AG1181" s="617"/>
      <c r="AH1181" s="617"/>
      <c r="AI1181" s="617"/>
      <c r="AJ1181" s="617"/>
      <c r="AK1181" s="617"/>
      <c r="AL1181" s="617"/>
      <c r="AM1181" s="617"/>
      <c r="AN1181" s="617"/>
      <c r="AO1181" s="680"/>
      <c r="AP1181" s="680"/>
      <c r="AQ1181" s="803"/>
      <c r="AR1181" s="803"/>
      <c r="AS1181" s="803"/>
      <c r="AT1181" s="803"/>
      <c r="AU1181" s="803"/>
      <c r="AV1181" s="803"/>
      <c r="AW1181" s="803"/>
      <c r="AX1181" s="803"/>
      <c r="AY1181" s="803"/>
      <c r="AZ1181" s="803"/>
      <c r="BA1181" s="803"/>
      <c r="BB1181" s="803"/>
      <c r="BC1181" s="803"/>
      <c r="BD1181" s="803"/>
      <c r="BE1181" s="803"/>
      <c r="BF1181" s="368"/>
    </row>
    <row r="1182" spans="1:58" ht="14.25" hidden="1" customHeight="1" outlineLevel="1">
      <c r="A1182" s="536" t="s">
        <v>2449</v>
      </c>
      <c r="B1182" s="374" t="s">
        <v>156</v>
      </c>
      <c r="C1182" s="894">
        <v>0.2</v>
      </c>
      <c r="D1182" s="617"/>
      <c r="G1182" s="883"/>
      <c r="H1182" s="617"/>
      <c r="I1182" s="482"/>
      <c r="J1182" s="482"/>
      <c r="K1182" s="482"/>
      <c r="L1182" s="482"/>
      <c r="M1182" s="482"/>
      <c r="N1182" s="482"/>
      <c r="O1182" s="482"/>
      <c r="P1182" s="482"/>
      <c r="Q1182" s="859"/>
      <c r="R1182" s="859"/>
      <c r="S1182" s="859"/>
      <c r="T1182" s="859"/>
      <c r="U1182" s="859"/>
      <c r="V1182" s="859"/>
      <c r="W1182" s="859"/>
      <c r="X1182" s="859"/>
      <c r="Y1182" s="859"/>
      <c r="Z1182" s="859"/>
      <c r="AA1182" s="859"/>
      <c r="AB1182" s="859"/>
      <c r="AC1182" s="859"/>
      <c r="AD1182" s="859"/>
      <c r="AE1182" s="859"/>
      <c r="AF1182" s="859"/>
      <c r="AG1182" s="859"/>
      <c r="AH1182" s="859"/>
      <c r="AI1182" s="859"/>
      <c r="AJ1182" s="859"/>
      <c r="AK1182" s="859"/>
      <c r="AL1182" s="859"/>
      <c r="AM1182" s="859"/>
      <c r="AN1182" s="859"/>
      <c r="AO1182" s="863"/>
      <c r="AP1182" s="863"/>
      <c r="AQ1182" s="864"/>
      <c r="AR1182" s="864"/>
      <c r="AS1182" s="864"/>
      <c r="AT1182" s="864"/>
      <c r="AU1182" s="864"/>
      <c r="AV1182" s="864"/>
      <c r="AW1182" s="864"/>
      <c r="AX1182" s="864"/>
      <c r="AY1182" s="864"/>
      <c r="AZ1182" s="864"/>
      <c r="BA1182" s="864"/>
      <c r="BB1182" s="864"/>
      <c r="BC1182" s="864"/>
      <c r="BD1182" s="864"/>
      <c r="BE1182" s="864"/>
    </row>
    <row r="1183" spans="1:58" ht="14.25" hidden="1" customHeight="1" outlineLevel="1">
      <c r="A1183" s="617" t="s">
        <v>2450</v>
      </c>
      <c r="B1183" s="442"/>
      <c r="C1183" s="801"/>
      <c r="D1183" s="617"/>
      <c r="G1183" s="883"/>
      <c r="H1183" s="617"/>
      <c r="I1183" s="482"/>
      <c r="J1183" s="482"/>
      <c r="K1183" s="482"/>
      <c r="L1183" s="482"/>
      <c r="M1183" s="482"/>
      <c r="N1183" s="482"/>
      <c r="O1183" s="482"/>
      <c r="P1183" s="482"/>
      <c r="Q1183" s="859"/>
      <c r="R1183" s="859"/>
      <c r="S1183" s="859"/>
      <c r="T1183" s="859"/>
      <c r="U1183" s="859"/>
      <c r="V1183" s="859"/>
      <c r="W1183" s="859"/>
      <c r="X1183" s="859"/>
      <c r="Y1183" s="859"/>
      <c r="Z1183" s="859"/>
      <c r="AA1183" s="859"/>
      <c r="AB1183" s="859"/>
      <c r="AC1183" s="859"/>
      <c r="AD1183" s="859"/>
      <c r="AE1183" s="859"/>
      <c r="AF1183" s="859"/>
      <c r="AG1183" s="859"/>
      <c r="AH1183" s="859"/>
      <c r="AI1183" s="859"/>
      <c r="AJ1183" s="859"/>
      <c r="AK1183" s="859"/>
      <c r="AL1183" s="859"/>
      <c r="AM1183" s="859"/>
      <c r="AN1183" s="859"/>
      <c r="AO1183" s="863"/>
      <c r="AP1183" s="863"/>
      <c r="AQ1183" s="864"/>
      <c r="AR1183" s="864"/>
      <c r="AS1183" s="864"/>
      <c r="AT1183" s="864"/>
      <c r="AU1183" s="864"/>
      <c r="AV1183" s="864"/>
      <c r="AW1183" s="864"/>
      <c r="AX1183" s="864"/>
      <c r="AY1183" s="864"/>
      <c r="AZ1183" s="864"/>
      <c r="BA1183" s="864"/>
      <c r="BB1183" s="864"/>
      <c r="BC1183" s="864"/>
      <c r="BD1183" s="864"/>
      <c r="BE1183" s="864"/>
    </row>
    <row r="1184" spans="1:58" ht="14.25" hidden="1" customHeight="1" outlineLevel="1">
      <c r="A1184" s="536" t="s">
        <v>1355</v>
      </c>
      <c r="B1184" s="442"/>
      <c r="C1184" s="801"/>
      <c r="D1184" s="617"/>
      <c r="G1184" s="883"/>
      <c r="H1184" s="617"/>
      <c r="I1184" s="482"/>
      <c r="J1184" s="482"/>
      <c r="K1184" s="482"/>
      <c r="L1184" s="482"/>
      <c r="M1184" s="482"/>
      <c r="N1184" s="482"/>
      <c r="O1184" s="482"/>
      <c r="P1184" s="482"/>
      <c r="Q1184" s="859"/>
      <c r="R1184" s="859"/>
      <c r="S1184" s="859"/>
      <c r="T1184" s="859"/>
      <c r="U1184" s="859"/>
      <c r="V1184" s="859"/>
      <c r="W1184" s="859"/>
      <c r="X1184" s="859"/>
      <c r="Y1184" s="859"/>
      <c r="Z1184" s="859"/>
      <c r="AA1184" s="859"/>
      <c r="AB1184" s="859"/>
      <c r="AC1184" s="859"/>
      <c r="AD1184" s="859"/>
      <c r="AE1184" s="859"/>
      <c r="AF1184" s="859"/>
      <c r="AG1184" s="859"/>
      <c r="AH1184" s="859"/>
      <c r="AI1184" s="859"/>
      <c r="AJ1184" s="859"/>
      <c r="AK1184" s="859"/>
      <c r="AL1184" s="859"/>
      <c r="AM1184" s="859"/>
      <c r="AN1184" s="859"/>
      <c r="AO1184" s="863"/>
      <c r="AP1184" s="863"/>
      <c r="AQ1184" s="864"/>
      <c r="AR1184" s="864"/>
      <c r="AS1184" s="864"/>
      <c r="AT1184" s="864"/>
      <c r="AU1184" s="864"/>
      <c r="AV1184" s="864"/>
      <c r="AW1184" s="864"/>
      <c r="AX1184" s="864"/>
      <c r="AY1184" s="864"/>
      <c r="AZ1184" s="864"/>
      <c r="BA1184" s="864"/>
      <c r="BB1184" s="864"/>
      <c r="BC1184" s="864"/>
      <c r="BD1184" s="864"/>
      <c r="BE1184" s="864"/>
    </row>
    <row r="1185" spans="1:58" s="364" customFormat="1" ht="14.25" hidden="1" customHeight="1" outlineLevel="1">
      <c r="A1185" s="617" t="s">
        <v>2451</v>
      </c>
      <c r="B1185" s="442"/>
      <c r="C1185" s="801"/>
      <c r="D1185" s="617"/>
      <c r="G1185" s="883"/>
      <c r="H1185" s="617"/>
      <c r="I1185" s="482"/>
      <c r="J1185" s="482"/>
      <c r="K1185" s="482"/>
      <c r="L1185" s="482"/>
      <c r="M1185" s="482"/>
      <c r="N1185" s="482"/>
      <c r="O1185" s="482"/>
      <c r="P1185" s="482"/>
      <c r="Q1185" s="617"/>
      <c r="R1185" s="617"/>
      <c r="S1185" s="617"/>
      <c r="T1185" s="617"/>
      <c r="U1185" s="617"/>
      <c r="V1185" s="617"/>
      <c r="W1185" s="617"/>
      <c r="X1185" s="617"/>
      <c r="Y1185" s="617"/>
      <c r="Z1185" s="617"/>
      <c r="AA1185" s="617"/>
      <c r="AB1185" s="617"/>
      <c r="AC1185" s="617"/>
      <c r="AD1185" s="617"/>
      <c r="AE1185" s="617"/>
      <c r="AF1185" s="617"/>
      <c r="AG1185" s="617"/>
      <c r="AH1185" s="617"/>
      <c r="AI1185" s="617"/>
      <c r="AJ1185" s="617"/>
      <c r="AK1185" s="617"/>
      <c r="AL1185" s="617"/>
      <c r="AM1185" s="617"/>
      <c r="AN1185" s="617"/>
      <c r="AO1185" s="680"/>
      <c r="AP1185" s="680"/>
      <c r="AQ1185" s="803"/>
      <c r="AR1185" s="803"/>
      <c r="AS1185" s="803"/>
      <c r="AT1185" s="803"/>
      <c r="AU1185" s="803"/>
      <c r="AV1185" s="803"/>
      <c r="AW1185" s="803"/>
      <c r="AX1185" s="803"/>
      <c r="AY1185" s="803"/>
      <c r="AZ1185" s="803"/>
      <c r="BA1185" s="803"/>
      <c r="BB1185" s="803"/>
      <c r="BC1185" s="803"/>
      <c r="BD1185" s="803"/>
      <c r="BE1185" s="803"/>
      <c r="BF1185" s="368"/>
    </row>
    <row r="1186" spans="1:58" s="364" customFormat="1" ht="14.25" hidden="1" customHeight="1" outlineLevel="1">
      <c r="A1186" s="536" t="s">
        <v>1361</v>
      </c>
      <c r="B1186" s="374" t="s">
        <v>2452</v>
      </c>
      <c r="C1186" s="894">
        <v>1</v>
      </c>
      <c r="D1186" s="617"/>
      <c r="G1186" s="883"/>
      <c r="H1186" s="617"/>
      <c r="I1186" s="482"/>
      <c r="J1186" s="482"/>
      <c r="K1186" s="482"/>
      <c r="L1186" s="482"/>
      <c r="M1186" s="482"/>
      <c r="N1186" s="482"/>
      <c r="O1186" s="482"/>
      <c r="P1186" s="482"/>
      <c r="Q1186" s="617"/>
      <c r="R1186" s="617"/>
      <c r="S1186" s="617"/>
      <c r="T1186" s="617"/>
      <c r="U1186" s="617"/>
      <c r="V1186" s="617"/>
      <c r="W1186" s="617"/>
      <c r="X1186" s="617"/>
      <c r="Y1186" s="617"/>
      <c r="Z1186" s="617"/>
      <c r="AA1186" s="617"/>
      <c r="AB1186" s="617"/>
      <c r="AC1186" s="617"/>
      <c r="AD1186" s="617"/>
      <c r="AE1186" s="617"/>
      <c r="AF1186" s="617"/>
      <c r="AG1186" s="617"/>
      <c r="AH1186" s="617"/>
      <c r="AI1186" s="617"/>
      <c r="AJ1186" s="617"/>
      <c r="AK1186" s="617"/>
      <c r="AL1186" s="617"/>
      <c r="AM1186" s="617"/>
      <c r="AN1186" s="617"/>
      <c r="AO1186" s="680"/>
      <c r="AP1186" s="680"/>
      <c r="AQ1186" s="803"/>
      <c r="AR1186" s="803"/>
      <c r="AS1186" s="803"/>
      <c r="AT1186" s="803"/>
      <c r="AU1186" s="803"/>
      <c r="AV1186" s="803"/>
      <c r="AW1186" s="803"/>
      <c r="AX1186" s="803"/>
      <c r="AY1186" s="803"/>
      <c r="AZ1186" s="803"/>
      <c r="BA1186" s="803"/>
      <c r="BB1186" s="803"/>
      <c r="BC1186" s="803"/>
      <c r="BD1186" s="803"/>
      <c r="BE1186" s="803"/>
      <c r="BF1186" s="368"/>
    </row>
    <row r="1187" spans="1:58" ht="14.25" hidden="1" customHeight="1" outlineLevel="1">
      <c r="A1187" s="687" t="s">
        <v>2453</v>
      </c>
      <c r="B1187" s="800"/>
      <c r="D1187" s="617"/>
      <c r="G1187" s="883"/>
      <c r="H1187" s="617"/>
      <c r="I1187" s="482"/>
      <c r="J1187" s="482"/>
      <c r="K1187" s="482"/>
      <c r="L1187" s="482"/>
      <c r="M1187" s="482"/>
      <c r="N1187" s="482"/>
      <c r="O1187" s="482"/>
      <c r="P1187" s="482"/>
      <c r="Q1187" s="859"/>
      <c r="R1187" s="859"/>
      <c r="S1187" s="859"/>
      <c r="T1187" s="859"/>
      <c r="U1187" s="859"/>
      <c r="V1187" s="859"/>
      <c r="W1187" s="859"/>
      <c r="X1187" s="859"/>
      <c r="Y1187" s="859"/>
      <c r="Z1187" s="859"/>
      <c r="AA1187" s="859"/>
      <c r="AB1187" s="859"/>
      <c r="AC1187" s="859"/>
      <c r="AD1187" s="859"/>
      <c r="AE1187" s="859"/>
      <c r="AF1187" s="859"/>
      <c r="AG1187" s="859"/>
      <c r="AH1187" s="859"/>
      <c r="AI1187" s="859"/>
      <c r="AJ1187" s="859"/>
      <c r="AK1187" s="859"/>
      <c r="AL1187" s="859"/>
      <c r="AM1187" s="859"/>
      <c r="AN1187" s="859"/>
      <c r="AO1187" s="863"/>
      <c r="AP1187" s="863"/>
      <c r="AQ1187" s="864"/>
      <c r="AR1187" s="864"/>
      <c r="AS1187" s="864"/>
      <c r="AT1187" s="864"/>
      <c r="AU1187" s="864"/>
      <c r="AV1187" s="864"/>
      <c r="AW1187" s="864"/>
      <c r="AX1187" s="864"/>
      <c r="AY1187" s="864"/>
      <c r="AZ1187" s="864"/>
      <c r="BA1187" s="864"/>
      <c r="BB1187" s="864"/>
      <c r="BC1187" s="864"/>
      <c r="BD1187" s="864"/>
      <c r="BE1187" s="864"/>
    </row>
    <row r="1188" spans="1:58" ht="14.25" hidden="1" customHeight="1" outlineLevel="1">
      <c r="A1188" s="536" t="s">
        <v>1364</v>
      </c>
      <c r="B1188" s="374" t="s">
        <v>2452</v>
      </c>
      <c r="C1188" s="894">
        <v>3</v>
      </c>
      <c r="D1188" s="617"/>
      <c r="G1188" s="883"/>
      <c r="H1188" s="617"/>
      <c r="I1188" s="482"/>
      <c r="J1188" s="482"/>
      <c r="K1188" s="482"/>
      <c r="L1188" s="482"/>
      <c r="M1188" s="482"/>
      <c r="N1188" s="482"/>
      <c r="O1188" s="482"/>
      <c r="P1188" s="482"/>
      <c r="Q1188" s="859"/>
      <c r="R1188" s="859"/>
      <c r="S1188" s="859"/>
      <c r="T1188" s="859"/>
      <c r="U1188" s="859"/>
      <c r="V1188" s="859"/>
      <c r="W1188" s="859"/>
      <c r="X1188" s="859"/>
      <c r="Y1188" s="859"/>
      <c r="Z1188" s="859"/>
      <c r="AA1188" s="859"/>
      <c r="AB1188" s="859"/>
      <c r="AC1188" s="859"/>
      <c r="AD1188" s="859"/>
      <c r="AE1188" s="859"/>
      <c r="AF1188" s="859"/>
      <c r="AG1188" s="859"/>
      <c r="AH1188" s="859"/>
      <c r="AI1188" s="859"/>
      <c r="AJ1188" s="859"/>
      <c r="AK1188" s="859"/>
      <c r="AL1188" s="859"/>
      <c r="AM1188" s="859"/>
      <c r="AN1188" s="859"/>
      <c r="AO1188" s="863"/>
      <c r="AP1188" s="863"/>
      <c r="AQ1188" s="864"/>
      <c r="AR1188" s="864"/>
      <c r="AS1188" s="864"/>
      <c r="AT1188" s="864"/>
      <c r="AU1188" s="864"/>
      <c r="AV1188" s="864"/>
      <c r="AW1188" s="864"/>
      <c r="AX1188" s="864"/>
      <c r="AY1188" s="864"/>
      <c r="AZ1188" s="864"/>
      <c r="BA1188" s="864"/>
      <c r="BB1188" s="864"/>
      <c r="BC1188" s="864"/>
      <c r="BD1188" s="864"/>
      <c r="BE1188" s="864"/>
    </row>
    <row r="1189" spans="1:58" ht="14.25" hidden="1" customHeight="1" outlineLevel="1">
      <c r="A1189" s="436" t="s">
        <v>2454</v>
      </c>
      <c r="B1189" s="442"/>
      <c r="C1189" s="801"/>
      <c r="D1189" s="617"/>
      <c r="G1189" s="883"/>
      <c r="H1189" s="617"/>
      <c r="I1189" s="482"/>
      <c r="J1189" s="482"/>
      <c r="K1189" s="482"/>
      <c r="L1189" s="482"/>
      <c r="M1189" s="482"/>
      <c r="N1189" s="482"/>
      <c r="O1189" s="482"/>
      <c r="P1189" s="482"/>
      <c r="Q1189" s="859"/>
      <c r="R1189" s="859"/>
      <c r="S1189" s="859"/>
      <c r="T1189" s="859"/>
      <c r="U1189" s="859"/>
      <c r="V1189" s="859"/>
      <c r="W1189" s="859"/>
      <c r="X1189" s="859"/>
      <c r="Y1189" s="859"/>
      <c r="Z1189" s="859"/>
      <c r="AA1189" s="859"/>
      <c r="AB1189" s="859"/>
      <c r="AC1189" s="859"/>
      <c r="AD1189" s="859"/>
      <c r="AE1189" s="859"/>
      <c r="AF1189" s="859"/>
      <c r="AG1189" s="859"/>
      <c r="AH1189" s="859"/>
      <c r="AI1189" s="859"/>
      <c r="AJ1189" s="859"/>
      <c r="AK1189" s="859"/>
      <c r="AL1189" s="859"/>
      <c r="AM1189" s="859"/>
      <c r="AN1189" s="859"/>
      <c r="AO1189" s="863"/>
      <c r="AP1189" s="863"/>
      <c r="AQ1189" s="864"/>
      <c r="AR1189" s="864"/>
      <c r="AS1189" s="864"/>
      <c r="AT1189" s="864"/>
      <c r="AU1189" s="864"/>
      <c r="AV1189" s="864"/>
      <c r="AW1189" s="864"/>
      <c r="AX1189" s="864"/>
      <c r="AY1189" s="864"/>
      <c r="AZ1189" s="864"/>
      <c r="BA1189" s="864"/>
      <c r="BB1189" s="864"/>
      <c r="BC1189" s="864"/>
      <c r="BD1189" s="864"/>
      <c r="BE1189" s="864"/>
    </row>
    <row r="1190" spans="1:58" ht="14.25" hidden="1" customHeight="1" outlineLevel="1">
      <c r="A1190" s="536" t="s">
        <v>1392</v>
      </c>
      <c r="B1190" s="374" t="s">
        <v>2452</v>
      </c>
      <c r="C1190" s="894">
        <v>3</v>
      </c>
      <c r="D1190" s="617"/>
      <c r="G1190" s="883"/>
      <c r="H1190" s="617"/>
      <c r="I1190" s="482"/>
      <c r="J1190" s="482"/>
      <c r="K1190" s="482"/>
      <c r="L1190" s="482"/>
      <c r="M1190" s="482"/>
      <c r="N1190" s="482"/>
      <c r="O1190" s="482"/>
      <c r="P1190" s="482"/>
      <c r="Q1190" s="859"/>
      <c r="R1190" s="859"/>
      <c r="S1190" s="859"/>
      <c r="T1190" s="859"/>
      <c r="U1190" s="859"/>
      <c r="V1190" s="859"/>
      <c r="W1190" s="859"/>
      <c r="X1190" s="859"/>
      <c r="Y1190" s="859"/>
      <c r="Z1190" s="859"/>
      <c r="AA1190" s="859"/>
      <c r="AB1190" s="859"/>
      <c r="AC1190" s="859"/>
      <c r="AD1190" s="859"/>
      <c r="AE1190" s="859"/>
      <c r="AF1190" s="859"/>
      <c r="AG1190" s="859"/>
      <c r="AH1190" s="859"/>
      <c r="AI1190" s="859"/>
      <c r="AJ1190" s="859"/>
      <c r="AK1190" s="859"/>
      <c r="AL1190" s="859"/>
      <c r="AM1190" s="859"/>
      <c r="AN1190" s="859"/>
      <c r="AO1190" s="863"/>
      <c r="AP1190" s="863"/>
      <c r="AQ1190" s="864"/>
      <c r="AR1190" s="864"/>
      <c r="AS1190" s="864"/>
      <c r="AT1190" s="864"/>
      <c r="AU1190" s="864"/>
      <c r="AV1190" s="864"/>
      <c r="AW1190" s="864"/>
      <c r="AX1190" s="864"/>
      <c r="AY1190" s="864"/>
      <c r="AZ1190" s="864"/>
      <c r="BA1190" s="864"/>
      <c r="BB1190" s="864"/>
      <c r="BC1190" s="864"/>
      <c r="BD1190" s="864"/>
      <c r="BE1190" s="864"/>
    </row>
    <row r="1191" spans="1:58" ht="14.25" hidden="1" customHeight="1" outlineLevel="1">
      <c r="A1191" s="378" t="s">
        <v>2455</v>
      </c>
      <c r="B1191" s="374" t="s">
        <v>133</v>
      </c>
      <c r="C1191" s="653" t="s">
        <v>1821</v>
      </c>
      <c r="D1191" s="617"/>
      <c r="G1191" s="883"/>
      <c r="H1191" s="617"/>
      <c r="I1191" s="482"/>
      <c r="J1191" s="482"/>
      <c r="K1191" s="482"/>
      <c r="L1191" s="482"/>
      <c r="M1191" s="482"/>
      <c r="N1191" s="482"/>
      <c r="O1191" s="482"/>
      <c r="P1191" s="482"/>
      <c r="Q1191" s="859"/>
      <c r="R1191" s="859"/>
      <c r="S1191" s="859"/>
      <c r="T1191" s="859"/>
      <c r="U1191" s="859"/>
      <c r="V1191" s="859"/>
      <c r="W1191" s="859"/>
      <c r="X1191" s="859"/>
      <c r="Y1191" s="859"/>
      <c r="Z1191" s="859"/>
      <c r="AA1191" s="859"/>
      <c r="AB1191" s="859"/>
      <c r="AC1191" s="859"/>
      <c r="AD1191" s="859"/>
      <c r="AE1191" s="859"/>
      <c r="AF1191" s="859"/>
      <c r="AG1191" s="859"/>
      <c r="AH1191" s="859"/>
      <c r="AI1191" s="859"/>
      <c r="AJ1191" s="859"/>
      <c r="AK1191" s="859"/>
      <c r="AL1191" s="859"/>
      <c r="AM1191" s="859"/>
      <c r="AN1191" s="859"/>
      <c r="AO1191" s="863"/>
      <c r="AP1191" s="863"/>
      <c r="AQ1191" s="864"/>
      <c r="AR1191" s="864"/>
      <c r="AS1191" s="864"/>
      <c r="AT1191" s="864"/>
      <c r="AU1191" s="864"/>
      <c r="AV1191" s="864"/>
      <c r="AW1191" s="864"/>
      <c r="AX1191" s="864"/>
      <c r="AY1191" s="864"/>
      <c r="AZ1191" s="864"/>
      <c r="BA1191" s="864"/>
      <c r="BB1191" s="864"/>
      <c r="BC1191" s="864"/>
      <c r="BD1191" s="864"/>
      <c r="BE1191" s="864"/>
    </row>
    <row r="1192" spans="1:58" s="364" customFormat="1" ht="14.25" hidden="1" customHeight="1" outlineLevel="1">
      <c r="A1192" s="617"/>
      <c r="B1192" s="442"/>
      <c r="C1192" s="686"/>
      <c r="D1192" s="617"/>
      <c r="G1192" s="883"/>
      <c r="H1192" s="617"/>
      <c r="I1192" s="482"/>
      <c r="J1192" s="482"/>
      <c r="K1192" s="482"/>
      <c r="L1192" s="482"/>
      <c r="M1192" s="482"/>
      <c r="N1192" s="482"/>
      <c r="O1192" s="482"/>
      <c r="P1192" s="482"/>
      <c r="Q1192" s="617"/>
      <c r="R1192" s="617"/>
      <c r="S1192" s="617"/>
      <c r="T1192" s="617"/>
      <c r="U1192" s="617"/>
      <c r="V1192" s="617"/>
      <c r="W1192" s="617"/>
      <c r="X1192" s="617"/>
      <c r="Y1192" s="617"/>
      <c r="Z1192" s="617"/>
      <c r="AA1192" s="617"/>
      <c r="AB1192" s="617"/>
      <c r="AC1192" s="617"/>
      <c r="AD1192" s="617"/>
      <c r="AE1192" s="617"/>
      <c r="AF1192" s="617"/>
      <c r="AG1192" s="617"/>
      <c r="AH1192" s="617"/>
      <c r="AI1192" s="617"/>
      <c r="AJ1192" s="617"/>
      <c r="AK1192" s="617"/>
      <c r="AL1192" s="617"/>
      <c r="AM1192" s="617"/>
      <c r="AN1192" s="617"/>
      <c r="AO1192" s="680"/>
      <c r="AP1192" s="680"/>
      <c r="AQ1192" s="803"/>
      <c r="AR1192" s="803"/>
      <c r="AS1192" s="803"/>
      <c r="AT1192" s="803"/>
      <c r="AU1192" s="803"/>
      <c r="AV1192" s="803"/>
      <c r="AW1192" s="803"/>
      <c r="AX1192" s="803"/>
      <c r="AY1192" s="803"/>
      <c r="AZ1192" s="803"/>
      <c r="BA1192" s="803"/>
      <c r="BB1192" s="803"/>
      <c r="BC1192" s="803"/>
      <c r="BD1192" s="803"/>
      <c r="BE1192" s="803"/>
      <c r="BF1192" s="368"/>
    </row>
    <row r="1193" spans="1:58" ht="14.25" hidden="1" customHeight="1" outlineLevel="1">
      <c r="A1193" s="643" t="s">
        <v>2456</v>
      </c>
      <c r="B1193" s="374" t="s">
        <v>133</v>
      </c>
      <c r="C1193" s="653" t="s">
        <v>1821</v>
      </c>
      <c r="D1193" s="617"/>
      <c r="G1193" s="883"/>
      <c r="H1193" s="617"/>
      <c r="I1193" s="460"/>
      <c r="J1193" s="460"/>
      <c r="K1193" s="460"/>
      <c r="L1193" s="460"/>
      <c r="M1193" s="460"/>
      <c r="N1193" s="460"/>
      <c r="O1193" s="617"/>
      <c r="P1193" s="859"/>
      <c r="Q1193" s="859"/>
      <c r="R1193" s="859"/>
      <c r="S1193" s="859"/>
      <c r="T1193" s="859"/>
      <c r="U1193" s="859"/>
      <c r="V1193" s="859"/>
      <c r="W1193" s="859"/>
      <c r="X1193" s="859"/>
      <c r="Y1193" s="859"/>
      <c r="Z1193" s="859"/>
      <c r="AA1193" s="859"/>
      <c r="AB1193" s="859"/>
      <c r="AC1193" s="859"/>
      <c r="AD1193" s="859"/>
      <c r="AE1193" s="859"/>
      <c r="AF1193" s="859"/>
      <c r="AG1193" s="859"/>
      <c r="AH1193" s="859"/>
      <c r="AI1193" s="859"/>
      <c r="AJ1193" s="859"/>
      <c r="AK1193" s="859"/>
      <c r="AL1193" s="859"/>
      <c r="AM1193" s="859"/>
      <c r="AN1193" s="859"/>
      <c r="AO1193" s="863"/>
      <c r="AP1193" s="863"/>
      <c r="AQ1193" s="864"/>
      <c r="AR1193" s="864"/>
      <c r="AS1193" s="864"/>
      <c r="AT1193" s="864"/>
      <c r="AU1193" s="864"/>
      <c r="AV1193" s="864"/>
      <c r="AW1193" s="864"/>
      <c r="AX1193" s="864"/>
      <c r="AY1193" s="864"/>
      <c r="AZ1193" s="864"/>
      <c r="BA1193" s="864"/>
      <c r="BB1193" s="864"/>
      <c r="BC1193" s="864"/>
      <c r="BD1193" s="864"/>
      <c r="BE1193" s="864"/>
    </row>
    <row r="1194" spans="1:58" s="364" customFormat="1" ht="14.25" hidden="1" customHeight="1" outlineLevel="1">
      <c r="A1194" s="617" t="s">
        <v>2457</v>
      </c>
      <c r="B1194" s="442"/>
      <c r="C1194" s="801"/>
      <c r="D1194" s="617"/>
      <c r="G1194" s="883"/>
      <c r="H1194" s="617"/>
      <c r="I1194" s="460"/>
      <c r="J1194" s="460"/>
      <c r="K1194" s="460"/>
      <c r="L1194" s="460"/>
      <c r="M1194" s="460"/>
      <c r="N1194" s="460"/>
      <c r="O1194" s="617"/>
      <c r="P1194" s="617"/>
      <c r="Q1194" s="617"/>
      <c r="R1194" s="617"/>
      <c r="S1194" s="617"/>
      <c r="T1194" s="617"/>
      <c r="U1194" s="617"/>
      <c r="V1194" s="617"/>
      <c r="W1194" s="617"/>
      <c r="X1194" s="617"/>
      <c r="Y1194" s="617"/>
      <c r="Z1194" s="617"/>
      <c r="AA1194" s="617"/>
      <c r="AB1194" s="617"/>
      <c r="AC1194" s="617"/>
      <c r="AD1194" s="617"/>
      <c r="AE1194" s="617"/>
      <c r="AF1194" s="617"/>
      <c r="AG1194" s="617"/>
      <c r="AH1194" s="617"/>
      <c r="AI1194" s="617"/>
      <c r="AJ1194" s="617"/>
      <c r="AK1194" s="617"/>
      <c r="AL1194" s="617"/>
      <c r="AM1194" s="617"/>
      <c r="AN1194" s="617"/>
      <c r="AO1194" s="680"/>
      <c r="AP1194" s="680"/>
      <c r="AQ1194" s="803"/>
      <c r="AR1194" s="803"/>
      <c r="AS1194" s="803"/>
      <c r="AT1194" s="803"/>
      <c r="AU1194" s="803"/>
      <c r="AV1194" s="803"/>
      <c r="AW1194" s="803"/>
      <c r="AX1194" s="803"/>
      <c r="AY1194" s="803"/>
      <c r="AZ1194" s="803"/>
      <c r="BA1194" s="803"/>
      <c r="BB1194" s="803"/>
      <c r="BC1194" s="803"/>
      <c r="BD1194" s="803"/>
      <c r="BE1194" s="803"/>
      <c r="BF1194" s="368"/>
    </row>
    <row r="1195" spans="1:58" ht="14.25" hidden="1" customHeight="1" outlineLevel="1">
      <c r="A1195" s="632" t="s">
        <v>1261</v>
      </c>
      <c r="B1195" s="442"/>
      <c r="C1195" s="801"/>
      <c r="D1195" s="617"/>
      <c r="G1195" s="883"/>
      <c r="H1195" s="617"/>
      <c r="I1195" s="460"/>
      <c r="J1195" s="460"/>
      <c r="K1195" s="460"/>
      <c r="L1195" s="460"/>
      <c r="M1195" s="460"/>
      <c r="N1195" s="460"/>
      <c r="O1195" s="617"/>
      <c r="P1195" s="859"/>
      <c r="Q1195" s="859"/>
      <c r="R1195" s="859"/>
      <c r="S1195" s="859"/>
      <c r="T1195" s="859"/>
      <c r="U1195" s="859"/>
      <c r="V1195" s="859"/>
      <c r="W1195" s="859"/>
      <c r="X1195" s="859"/>
      <c r="Y1195" s="859"/>
      <c r="Z1195" s="859"/>
      <c r="AA1195" s="859"/>
      <c r="AB1195" s="859"/>
      <c r="AC1195" s="859"/>
      <c r="AD1195" s="859"/>
      <c r="AE1195" s="859"/>
      <c r="AF1195" s="859"/>
      <c r="AG1195" s="859"/>
      <c r="AH1195" s="859"/>
      <c r="AI1195" s="859"/>
      <c r="AJ1195" s="859"/>
      <c r="AK1195" s="859"/>
      <c r="AL1195" s="859"/>
      <c r="AM1195" s="859"/>
      <c r="AN1195" s="859"/>
      <c r="AO1195" s="863"/>
      <c r="AP1195" s="863"/>
      <c r="AQ1195" s="864"/>
      <c r="AR1195" s="864"/>
      <c r="AS1195" s="864"/>
      <c r="AT1195" s="864"/>
      <c r="AU1195" s="864"/>
      <c r="AV1195" s="864"/>
      <c r="AW1195" s="864"/>
      <c r="AX1195" s="864"/>
      <c r="AY1195" s="864"/>
      <c r="AZ1195" s="864"/>
      <c r="BA1195" s="864"/>
      <c r="BB1195" s="864"/>
      <c r="BC1195" s="864"/>
      <c r="BD1195" s="864"/>
      <c r="BE1195" s="864"/>
    </row>
    <row r="1196" spans="1:58" s="364" customFormat="1" ht="14.25" hidden="1" customHeight="1" outlineLevel="1">
      <c r="A1196" s="617" t="s">
        <v>2458</v>
      </c>
      <c r="B1196" s="442"/>
      <c r="C1196" s="801"/>
      <c r="D1196" s="617"/>
      <c r="G1196" s="883"/>
      <c r="H1196" s="617"/>
      <c r="I1196" s="460"/>
      <c r="J1196" s="460"/>
      <c r="K1196" s="460"/>
      <c r="L1196" s="460"/>
      <c r="M1196" s="460"/>
      <c r="N1196" s="460"/>
      <c r="O1196" s="617"/>
      <c r="P1196" s="617"/>
      <c r="Q1196" s="617"/>
      <c r="R1196" s="617"/>
      <c r="S1196" s="617"/>
      <c r="T1196" s="617"/>
      <c r="U1196" s="617"/>
      <c r="V1196" s="617"/>
      <c r="W1196" s="617"/>
      <c r="X1196" s="617"/>
      <c r="Y1196" s="617"/>
      <c r="Z1196" s="617"/>
      <c r="AA1196" s="617"/>
      <c r="AB1196" s="617"/>
      <c r="AC1196" s="617"/>
      <c r="AD1196" s="617"/>
      <c r="AE1196" s="617"/>
      <c r="AF1196" s="617"/>
      <c r="AG1196" s="617"/>
      <c r="AH1196" s="617"/>
      <c r="AI1196" s="617"/>
      <c r="AJ1196" s="617"/>
      <c r="AK1196" s="617"/>
      <c r="AL1196" s="617"/>
      <c r="AM1196" s="617"/>
      <c r="AN1196" s="617"/>
      <c r="AO1196" s="680"/>
      <c r="AP1196" s="680"/>
      <c r="AQ1196" s="803"/>
      <c r="AR1196" s="803"/>
      <c r="AS1196" s="803"/>
      <c r="AT1196" s="803"/>
      <c r="AU1196" s="803"/>
      <c r="AV1196" s="803"/>
      <c r="AW1196" s="803"/>
      <c r="AX1196" s="803"/>
      <c r="AY1196" s="803"/>
      <c r="AZ1196" s="803"/>
      <c r="BA1196" s="803"/>
      <c r="BB1196" s="803"/>
      <c r="BC1196" s="803"/>
      <c r="BD1196" s="803"/>
      <c r="BE1196" s="803"/>
      <c r="BF1196" s="368"/>
    </row>
    <row r="1197" spans="1:58" ht="14.25" hidden="1" customHeight="1" outlineLevel="1">
      <c r="A1197" s="536" t="s">
        <v>493</v>
      </c>
      <c r="B1197" s="442"/>
      <c r="C1197" s="801"/>
      <c r="D1197" s="617"/>
      <c r="G1197" s="883"/>
      <c r="H1197" s="617"/>
      <c r="I1197" s="460"/>
      <c r="J1197" s="460"/>
      <c r="K1197" s="460"/>
      <c r="L1197" s="460"/>
      <c r="M1197" s="460"/>
      <c r="N1197" s="460"/>
      <c r="O1197" s="617"/>
      <c r="P1197" s="859"/>
      <c r="Q1197" s="859"/>
      <c r="R1197" s="859"/>
      <c r="S1197" s="859"/>
      <c r="T1197" s="859"/>
      <c r="U1197" s="859"/>
      <c r="V1197" s="859"/>
      <c r="W1197" s="859"/>
      <c r="X1197" s="859"/>
      <c r="Y1197" s="859"/>
      <c r="Z1197" s="859"/>
      <c r="AA1197" s="859"/>
      <c r="AB1197" s="859"/>
      <c r="AC1197" s="859"/>
      <c r="AD1197" s="859"/>
      <c r="AE1197" s="859"/>
      <c r="AF1197" s="859"/>
      <c r="AG1197" s="859"/>
      <c r="AH1197" s="859"/>
      <c r="AI1197" s="859"/>
      <c r="AJ1197" s="859"/>
      <c r="AK1197" s="859"/>
      <c r="AL1197" s="859"/>
      <c r="AM1197" s="859"/>
      <c r="AN1197" s="859"/>
      <c r="AO1197" s="863"/>
      <c r="AP1197" s="863"/>
      <c r="AQ1197" s="864"/>
      <c r="AR1197" s="864"/>
      <c r="AS1197" s="864"/>
      <c r="AT1197" s="864"/>
      <c r="AU1197" s="864"/>
      <c r="AV1197" s="864"/>
      <c r="AW1197" s="864"/>
      <c r="AX1197" s="864"/>
      <c r="AY1197" s="864"/>
      <c r="AZ1197" s="864"/>
      <c r="BA1197" s="864"/>
      <c r="BB1197" s="864"/>
      <c r="BC1197" s="864"/>
      <c r="BD1197" s="864"/>
      <c r="BE1197" s="864"/>
    </row>
    <row r="1198" spans="1:58" ht="14.25" hidden="1" customHeight="1" outlineLevel="1">
      <c r="A1198" s="436" t="s">
        <v>2447</v>
      </c>
      <c r="B1198" s="442"/>
      <c r="C1198" s="686"/>
      <c r="D1198" s="617"/>
      <c r="G1198" s="883"/>
      <c r="H1198" s="617"/>
      <c r="I1198" s="460"/>
      <c r="J1198" s="460"/>
      <c r="K1198" s="460"/>
      <c r="L1198" s="460"/>
      <c r="M1198" s="460"/>
      <c r="N1198" s="460"/>
      <c r="O1198" s="617"/>
      <c r="P1198" s="859"/>
      <c r="Q1198" s="859"/>
      <c r="R1198" s="859"/>
      <c r="S1198" s="859"/>
      <c r="T1198" s="859"/>
      <c r="U1198" s="859"/>
      <c r="V1198" s="859"/>
      <c r="W1198" s="859"/>
      <c r="X1198" s="859"/>
      <c r="Y1198" s="859"/>
      <c r="Z1198" s="859"/>
      <c r="AA1198" s="859"/>
      <c r="AB1198" s="859"/>
      <c r="AC1198" s="859"/>
      <c r="AD1198" s="859"/>
      <c r="AE1198" s="859"/>
      <c r="AF1198" s="859"/>
      <c r="AG1198" s="859"/>
      <c r="AH1198" s="859"/>
      <c r="AI1198" s="859"/>
      <c r="AJ1198" s="859"/>
      <c r="AK1198" s="859"/>
      <c r="AL1198" s="859"/>
      <c r="AM1198" s="859"/>
      <c r="AN1198" s="859"/>
      <c r="AO1198" s="863"/>
      <c r="AP1198" s="863"/>
      <c r="AQ1198" s="864"/>
      <c r="AR1198" s="864"/>
      <c r="AS1198" s="864"/>
      <c r="AT1198" s="864"/>
      <c r="AU1198" s="864"/>
      <c r="AV1198" s="864"/>
      <c r="AW1198" s="864"/>
      <c r="AX1198" s="864"/>
      <c r="AY1198" s="864"/>
      <c r="AZ1198" s="864"/>
      <c r="BA1198" s="864"/>
      <c r="BB1198" s="864"/>
      <c r="BC1198" s="864"/>
      <c r="BD1198" s="864"/>
      <c r="BE1198" s="864"/>
    </row>
    <row r="1199" spans="1:58" ht="14.25" hidden="1" customHeight="1" outlineLevel="1">
      <c r="A1199" s="630" t="s">
        <v>1345</v>
      </c>
      <c r="B1199" s="442"/>
      <c r="C1199" s="686"/>
      <c r="D1199" s="617"/>
      <c r="G1199" s="883"/>
      <c r="H1199" s="617"/>
      <c r="I1199" s="460"/>
      <c r="J1199" s="460"/>
      <c r="K1199" s="460"/>
      <c r="L1199" s="460"/>
      <c r="M1199" s="460"/>
      <c r="N1199" s="460"/>
      <c r="O1199" s="617"/>
      <c r="P1199" s="859"/>
      <c r="Q1199" s="859"/>
      <c r="R1199" s="859"/>
      <c r="S1199" s="859"/>
      <c r="T1199" s="859"/>
      <c r="U1199" s="859"/>
      <c r="V1199" s="859"/>
      <c r="W1199" s="859"/>
      <c r="X1199" s="859"/>
      <c r="Y1199" s="859"/>
      <c r="Z1199" s="859"/>
      <c r="AA1199" s="859"/>
      <c r="AB1199" s="859"/>
      <c r="AC1199" s="859"/>
      <c r="AD1199" s="859"/>
      <c r="AE1199" s="859"/>
      <c r="AF1199" s="859"/>
      <c r="AG1199" s="859"/>
      <c r="AH1199" s="859"/>
      <c r="AI1199" s="859"/>
      <c r="AJ1199" s="859"/>
      <c r="AK1199" s="859"/>
      <c r="AL1199" s="859"/>
      <c r="AM1199" s="859"/>
      <c r="AN1199" s="859"/>
      <c r="AO1199" s="863"/>
      <c r="AP1199" s="863"/>
      <c r="AQ1199" s="864"/>
      <c r="AR1199" s="864"/>
      <c r="AS1199" s="864"/>
      <c r="AT1199" s="864"/>
      <c r="AU1199" s="864"/>
      <c r="AV1199" s="864"/>
      <c r="AW1199" s="864"/>
      <c r="AX1199" s="864"/>
      <c r="AY1199" s="864"/>
      <c r="AZ1199" s="864"/>
      <c r="BA1199" s="864"/>
      <c r="BB1199" s="864"/>
      <c r="BC1199" s="864"/>
      <c r="BD1199" s="864"/>
      <c r="BE1199" s="864"/>
    </row>
    <row r="1200" spans="1:58" s="370" customFormat="1" ht="14.25" hidden="1" customHeight="1" outlineLevel="1">
      <c r="A1200" s="617" t="s">
        <v>2450</v>
      </c>
      <c r="B1200" s="442"/>
      <c r="C1200" s="686"/>
      <c r="D1200" s="617"/>
      <c r="G1200" s="883"/>
      <c r="H1200" s="617"/>
      <c r="I1200" s="460"/>
      <c r="J1200" s="460"/>
      <c r="K1200" s="460"/>
      <c r="L1200" s="460"/>
      <c r="M1200" s="460"/>
      <c r="N1200" s="460"/>
      <c r="O1200" s="617"/>
      <c r="P1200" s="808"/>
      <c r="Q1200" s="808"/>
      <c r="R1200" s="808"/>
      <c r="S1200" s="808"/>
      <c r="T1200" s="808"/>
      <c r="U1200" s="808"/>
      <c r="V1200" s="808"/>
      <c r="W1200" s="808"/>
      <c r="X1200" s="808"/>
      <c r="Y1200" s="808"/>
      <c r="Z1200" s="808"/>
      <c r="AA1200" s="808"/>
      <c r="AB1200" s="808"/>
      <c r="AC1200" s="808"/>
      <c r="AD1200" s="808"/>
      <c r="AE1200" s="808"/>
      <c r="AF1200" s="808"/>
      <c r="AG1200" s="808"/>
      <c r="AH1200" s="808"/>
      <c r="AI1200" s="808"/>
      <c r="AJ1200" s="808"/>
      <c r="AK1200" s="808"/>
      <c r="AL1200" s="808"/>
      <c r="AM1200" s="808"/>
      <c r="AN1200" s="808"/>
      <c r="AO1200" s="809"/>
      <c r="AP1200" s="809"/>
      <c r="AQ1200" s="810"/>
      <c r="AR1200" s="810"/>
      <c r="AS1200" s="810"/>
      <c r="AT1200" s="810"/>
      <c r="AU1200" s="810"/>
      <c r="AV1200" s="810"/>
      <c r="AW1200" s="810"/>
      <c r="AX1200" s="810"/>
      <c r="AY1200" s="810"/>
      <c r="AZ1200" s="810"/>
      <c r="BA1200" s="810"/>
      <c r="BB1200" s="810"/>
      <c r="BC1200" s="810"/>
      <c r="BD1200" s="810"/>
      <c r="BE1200" s="810"/>
      <c r="BF1200" s="428"/>
    </row>
    <row r="1201" spans="1:58" s="370" customFormat="1" ht="14.25" hidden="1" customHeight="1" outlineLevel="1">
      <c r="A1201" s="536" t="s">
        <v>1355</v>
      </c>
      <c r="B1201" s="442"/>
      <c r="C1201" s="686"/>
      <c r="D1201" s="617"/>
      <c r="G1201" s="883"/>
      <c r="H1201" s="617"/>
      <c r="I1201" s="460"/>
      <c r="J1201" s="460"/>
      <c r="K1201" s="460"/>
      <c r="L1201" s="460"/>
      <c r="M1201" s="460"/>
      <c r="N1201" s="460"/>
      <c r="O1201" s="617"/>
      <c r="P1201" s="808"/>
      <c r="Q1201" s="808"/>
      <c r="R1201" s="808"/>
      <c r="S1201" s="808"/>
      <c r="T1201" s="808"/>
      <c r="U1201" s="808"/>
      <c r="V1201" s="808"/>
      <c r="W1201" s="808"/>
      <c r="X1201" s="808"/>
      <c r="Y1201" s="808"/>
      <c r="Z1201" s="808"/>
      <c r="AA1201" s="808"/>
      <c r="AB1201" s="808"/>
      <c r="AC1201" s="808"/>
      <c r="AD1201" s="808"/>
      <c r="AE1201" s="808"/>
      <c r="AF1201" s="808"/>
      <c r="AG1201" s="808"/>
      <c r="AH1201" s="808"/>
      <c r="AI1201" s="808"/>
      <c r="AJ1201" s="808"/>
      <c r="AK1201" s="808"/>
      <c r="AL1201" s="808"/>
      <c r="AM1201" s="808"/>
      <c r="AN1201" s="808"/>
      <c r="AO1201" s="809"/>
      <c r="AP1201" s="809"/>
      <c r="AQ1201" s="810"/>
      <c r="AR1201" s="810"/>
      <c r="AS1201" s="810"/>
      <c r="AT1201" s="810"/>
      <c r="AU1201" s="810"/>
      <c r="AV1201" s="810"/>
      <c r="AW1201" s="810"/>
      <c r="AX1201" s="810"/>
      <c r="AY1201" s="810"/>
      <c r="AZ1201" s="810"/>
      <c r="BA1201" s="810"/>
      <c r="BB1201" s="810"/>
      <c r="BC1201" s="810"/>
      <c r="BD1201" s="810"/>
      <c r="BE1201" s="810"/>
      <c r="BF1201" s="428"/>
    </row>
    <row r="1202" spans="1:58" ht="14.25" hidden="1" customHeight="1" outlineLevel="1">
      <c r="A1202" s="378" t="s">
        <v>2459</v>
      </c>
      <c r="B1202" s="374" t="s">
        <v>156</v>
      </c>
      <c r="C1202" s="894">
        <v>0.4</v>
      </c>
      <c r="D1202" s="617"/>
      <c r="G1202" s="883"/>
      <c r="H1202" s="617"/>
      <c r="I1202" s="460"/>
      <c r="J1202" s="460"/>
      <c r="K1202" s="460"/>
      <c r="L1202" s="460"/>
      <c r="M1202" s="460"/>
      <c r="N1202" s="460"/>
      <c r="O1202" s="617"/>
      <c r="P1202" s="859"/>
      <c r="Q1202" s="859"/>
      <c r="R1202" s="859"/>
      <c r="S1202" s="859"/>
      <c r="T1202" s="859"/>
      <c r="U1202" s="859"/>
      <c r="V1202" s="859"/>
      <c r="W1202" s="859"/>
      <c r="X1202" s="859"/>
      <c r="Y1202" s="859"/>
      <c r="Z1202" s="859"/>
      <c r="AA1202" s="859"/>
      <c r="AB1202" s="859"/>
      <c r="AC1202" s="859"/>
      <c r="AD1202" s="859"/>
      <c r="AE1202" s="859"/>
      <c r="AF1202" s="859"/>
      <c r="AG1202" s="859"/>
      <c r="AH1202" s="859"/>
      <c r="AI1202" s="859"/>
      <c r="AJ1202" s="859"/>
      <c r="AK1202" s="859"/>
      <c r="AL1202" s="859"/>
      <c r="AM1202" s="859"/>
      <c r="AN1202" s="859"/>
      <c r="AO1202" s="863"/>
      <c r="AP1202" s="863"/>
      <c r="AQ1202" s="864"/>
      <c r="AR1202" s="864"/>
      <c r="AS1202" s="864"/>
      <c r="AT1202" s="864"/>
      <c r="AU1202" s="864"/>
      <c r="AV1202" s="864"/>
      <c r="AW1202" s="864"/>
      <c r="AX1202" s="864"/>
      <c r="AY1202" s="864"/>
      <c r="AZ1202" s="864"/>
      <c r="BA1202" s="864"/>
      <c r="BB1202" s="864"/>
      <c r="BC1202" s="864"/>
      <c r="BD1202" s="864"/>
      <c r="BE1202" s="864"/>
    </row>
    <row r="1203" spans="1:58" ht="14.25" hidden="1" customHeight="1" outlineLevel="1">
      <c r="A1203" s="378" t="s">
        <v>1260</v>
      </c>
      <c r="B1203" s="374" t="s">
        <v>156</v>
      </c>
      <c r="C1203" s="653" t="s">
        <v>1821</v>
      </c>
      <c r="D1203" s="617"/>
      <c r="G1203" s="883"/>
      <c r="H1203" s="617"/>
      <c r="I1203" s="460"/>
      <c r="J1203" s="460"/>
      <c r="K1203" s="460"/>
      <c r="L1203" s="460"/>
      <c r="M1203" s="460"/>
      <c r="N1203" s="460"/>
      <c r="O1203" s="617"/>
      <c r="P1203" s="859"/>
      <c r="Q1203" s="859"/>
      <c r="R1203" s="859"/>
      <c r="S1203" s="859"/>
      <c r="T1203" s="859"/>
      <c r="U1203" s="859"/>
      <c r="V1203" s="859"/>
      <c r="W1203" s="859"/>
      <c r="X1203" s="859"/>
      <c r="Y1203" s="859"/>
      <c r="Z1203" s="859"/>
      <c r="AA1203" s="859"/>
      <c r="AB1203" s="859"/>
      <c r="AC1203" s="859"/>
      <c r="AD1203" s="859"/>
      <c r="AE1203" s="859"/>
      <c r="AF1203" s="859"/>
      <c r="AG1203" s="859"/>
      <c r="AH1203" s="859"/>
      <c r="AI1203" s="859"/>
      <c r="AJ1203" s="859"/>
      <c r="AK1203" s="859"/>
      <c r="AL1203" s="859"/>
      <c r="AM1203" s="859"/>
      <c r="AN1203" s="859"/>
      <c r="AO1203" s="863"/>
      <c r="AP1203" s="863"/>
      <c r="AQ1203" s="864"/>
      <c r="AR1203" s="864"/>
      <c r="AS1203" s="864"/>
      <c r="AT1203" s="864"/>
      <c r="AU1203" s="864"/>
      <c r="AV1203" s="864"/>
      <c r="AW1203" s="864"/>
      <c r="AX1203" s="864"/>
      <c r="AY1203" s="864"/>
      <c r="AZ1203" s="864"/>
      <c r="BA1203" s="864"/>
      <c r="BB1203" s="864"/>
      <c r="BC1203" s="864"/>
      <c r="BD1203" s="864"/>
      <c r="BE1203" s="864"/>
    </row>
    <row r="1204" spans="1:58" ht="14.25" hidden="1" customHeight="1" outlineLevel="1">
      <c r="B1204" s="373"/>
      <c r="C1204" s="368"/>
      <c r="D1204" s="617"/>
      <c r="G1204" s="883"/>
      <c r="H1204" s="617"/>
      <c r="I1204" s="482"/>
      <c r="J1204" s="482"/>
      <c r="K1204" s="482"/>
      <c r="L1204" s="482"/>
      <c r="M1204" s="482"/>
      <c r="N1204" s="482"/>
      <c r="O1204" s="482"/>
      <c r="P1204" s="482"/>
      <c r="Q1204" s="859"/>
      <c r="R1204" s="859"/>
      <c r="S1204" s="859"/>
      <c r="T1204" s="859"/>
      <c r="U1204" s="859"/>
      <c r="V1204" s="859"/>
      <c r="W1204" s="859"/>
      <c r="X1204" s="859"/>
      <c r="Y1204" s="859"/>
      <c r="Z1204" s="859"/>
      <c r="AA1204" s="859"/>
      <c r="AB1204" s="859"/>
      <c r="AC1204" s="859"/>
      <c r="AD1204" s="859"/>
      <c r="AE1204" s="859"/>
      <c r="AF1204" s="859"/>
      <c r="AG1204" s="859"/>
      <c r="AH1204" s="859"/>
      <c r="AI1204" s="859"/>
      <c r="AJ1204" s="859"/>
      <c r="AK1204" s="859"/>
      <c r="AL1204" s="859"/>
      <c r="AM1204" s="859"/>
      <c r="AN1204" s="859"/>
      <c r="AO1204" s="863"/>
      <c r="AP1204" s="863"/>
      <c r="AQ1204" s="864"/>
      <c r="AR1204" s="864"/>
      <c r="AS1204" s="864"/>
      <c r="AT1204" s="864"/>
      <c r="AU1204" s="864"/>
      <c r="AV1204" s="864"/>
      <c r="AW1204" s="864"/>
      <c r="AX1204" s="864"/>
      <c r="AY1204" s="864"/>
      <c r="AZ1204" s="864"/>
      <c r="BA1204" s="864"/>
      <c r="BB1204" s="864"/>
      <c r="BC1204" s="864"/>
      <c r="BD1204" s="864"/>
      <c r="BE1204" s="864"/>
    </row>
    <row r="1205" spans="1:58" ht="14.25" hidden="1" customHeight="1" outlineLevel="1">
      <c r="A1205" s="643" t="s">
        <v>2460</v>
      </c>
      <c r="B1205" s="374" t="s">
        <v>133</v>
      </c>
      <c r="C1205" s="653" t="s">
        <v>1821</v>
      </c>
      <c r="D1205" s="617"/>
      <c r="G1205" s="883"/>
      <c r="H1205" s="617"/>
      <c r="I1205" s="482"/>
      <c r="J1205" s="460"/>
      <c r="K1205" s="460"/>
      <c r="L1205" s="460"/>
      <c r="M1205" s="460"/>
      <c r="N1205" s="460"/>
      <c r="O1205" s="617"/>
      <c r="P1205" s="859"/>
      <c r="Q1205" s="859"/>
      <c r="R1205" s="859"/>
      <c r="S1205" s="859"/>
      <c r="T1205" s="859"/>
      <c r="U1205" s="859"/>
      <c r="V1205" s="859"/>
      <c r="W1205" s="859"/>
      <c r="X1205" s="859"/>
      <c r="Y1205" s="859"/>
      <c r="Z1205" s="859"/>
      <c r="AA1205" s="859"/>
      <c r="AB1205" s="859"/>
      <c r="AC1205" s="859"/>
      <c r="AD1205" s="859"/>
      <c r="AE1205" s="859"/>
      <c r="AF1205" s="859"/>
      <c r="AG1205" s="859"/>
      <c r="AH1205" s="859"/>
      <c r="AI1205" s="859"/>
      <c r="AJ1205" s="859"/>
      <c r="AK1205" s="859"/>
      <c r="AL1205" s="859"/>
      <c r="AM1205" s="859"/>
      <c r="AN1205" s="859"/>
      <c r="AO1205" s="863"/>
      <c r="AP1205" s="863"/>
      <c r="AQ1205" s="864"/>
      <c r="AR1205" s="864"/>
      <c r="AS1205" s="864"/>
      <c r="AT1205" s="864"/>
      <c r="AU1205" s="864"/>
      <c r="AV1205" s="864"/>
      <c r="AW1205" s="864"/>
      <c r="AX1205" s="864"/>
      <c r="AY1205" s="864"/>
      <c r="AZ1205" s="864"/>
      <c r="BA1205" s="864"/>
      <c r="BB1205" s="864"/>
      <c r="BC1205" s="864"/>
      <c r="BD1205" s="864"/>
      <c r="BE1205" s="864"/>
    </row>
    <row r="1206" spans="1:58" s="364" customFormat="1" ht="14.25" hidden="1" customHeight="1" outlineLevel="1">
      <c r="A1206" s="617" t="s">
        <v>2461</v>
      </c>
      <c r="B1206" s="442"/>
      <c r="C1206" s="686"/>
      <c r="D1206" s="617"/>
      <c r="G1206" s="883"/>
      <c r="H1206" s="617"/>
      <c r="I1206" s="482"/>
      <c r="J1206" s="460"/>
      <c r="K1206" s="460"/>
      <c r="L1206" s="460"/>
      <c r="M1206" s="460"/>
      <c r="N1206" s="460"/>
      <c r="O1206" s="617"/>
      <c r="P1206" s="617"/>
      <c r="Q1206" s="617"/>
      <c r="R1206" s="617"/>
      <c r="S1206" s="617"/>
      <c r="T1206" s="617"/>
      <c r="U1206" s="617"/>
      <c r="V1206" s="617"/>
      <c r="W1206" s="617"/>
      <c r="X1206" s="617"/>
      <c r="Y1206" s="617"/>
      <c r="Z1206" s="617"/>
      <c r="AA1206" s="617"/>
      <c r="AB1206" s="617"/>
      <c r="AC1206" s="617"/>
      <c r="AD1206" s="617"/>
      <c r="AE1206" s="617"/>
      <c r="AF1206" s="617"/>
      <c r="AG1206" s="617"/>
      <c r="AH1206" s="617"/>
      <c r="AI1206" s="617"/>
      <c r="AJ1206" s="617"/>
      <c r="AK1206" s="617"/>
      <c r="AL1206" s="617"/>
      <c r="AM1206" s="617"/>
      <c r="AN1206" s="617"/>
      <c r="AO1206" s="680"/>
      <c r="AP1206" s="680"/>
      <c r="AQ1206" s="803"/>
      <c r="AR1206" s="803"/>
      <c r="AS1206" s="803"/>
      <c r="AT1206" s="803"/>
      <c r="AU1206" s="803"/>
      <c r="AV1206" s="803"/>
      <c r="AW1206" s="803"/>
      <c r="AX1206" s="803"/>
      <c r="AY1206" s="803"/>
      <c r="AZ1206" s="803"/>
      <c r="BA1206" s="803"/>
      <c r="BB1206" s="803"/>
      <c r="BC1206" s="803"/>
      <c r="BD1206" s="803"/>
      <c r="BE1206" s="803"/>
      <c r="BF1206" s="368"/>
    </row>
    <row r="1207" spans="1:58" ht="14.25" hidden="1" customHeight="1" outlineLevel="1">
      <c r="A1207" s="632" t="s">
        <v>2462</v>
      </c>
      <c r="B1207" s="442"/>
      <c r="C1207" s="801"/>
      <c r="D1207" s="617"/>
      <c r="G1207" s="883"/>
      <c r="H1207" s="617"/>
      <c r="I1207" s="482"/>
      <c r="J1207" s="460"/>
      <c r="K1207" s="460"/>
      <c r="L1207" s="460"/>
      <c r="M1207" s="460"/>
      <c r="N1207" s="460"/>
      <c r="O1207" s="617"/>
      <c r="P1207" s="859"/>
      <c r="Q1207" s="859"/>
      <c r="R1207" s="859"/>
      <c r="S1207" s="859"/>
      <c r="T1207" s="859"/>
      <c r="U1207" s="859"/>
      <c r="V1207" s="859"/>
      <c r="W1207" s="859"/>
      <c r="X1207" s="859"/>
      <c r="Y1207" s="859"/>
      <c r="Z1207" s="859"/>
      <c r="AA1207" s="859"/>
      <c r="AB1207" s="859"/>
      <c r="AC1207" s="859"/>
      <c r="AD1207" s="859"/>
      <c r="AE1207" s="859"/>
      <c r="AF1207" s="859"/>
      <c r="AG1207" s="859"/>
      <c r="AH1207" s="859"/>
      <c r="AI1207" s="859"/>
      <c r="AJ1207" s="859"/>
      <c r="AK1207" s="859"/>
      <c r="AL1207" s="859"/>
      <c r="AM1207" s="859"/>
      <c r="AN1207" s="859"/>
      <c r="AO1207" s="863"/>
      <c r="AP1207" s="863"/>
      <c r="AQ1207" s="864"/>
      <c r="AR1207" s="864"/>
      <c r="AS1207" s="864"/>
      <c r="AT1207" s="864"/>
      <c r="AU1207" s="864"/>
      <c r="AV1207" s="864"/>
      <c r="AW1207" s="864"/>
      <c r="AX1207" s="864"/>
      <c r="AY1207" s="864"/>
      <c r="AZ1207" s="864"/>
      <c r="BA1207" s="864"/>
      <c r="BB1207" s="864"/>
      <c r="BC1207" s="864"/>
      <c r="BD1207" s="864"/>
      <c r="BE1207" s="864"/>
    </row>
    <row r="1208" spans="1:58" ht="14.25" hidden="1" customHeight="1" outlineLevel="1">
      <c r="A1208" s="331" t="s">
        <v>2463</v>
      </c>
      <c r="B1208" s="442"/>
      <c r="C1208" s="801"/>
      <c r="D1208" s="617"/>
      <c r="G1208" s="883"/>
      <c r="H1208" s="617"/>
      <c r="I1208" s="482"/>
      <c r="J1208" s="460"/>
      <c r="K1208" s="460"/>
      <c r="L1208" s="460"/>
      <c r="M1208" s="460"/>
      <c r="N1208" s="460"/>
      <c r="O1208" s="617"/>
      <c r="P1208" s="859"/>
      <c r="Q1208" s="859"/>
      <c r="R1208" s="859"/>
      <c r="S1208" s="859"/>
      <c r="T1208" s="859"/>
      <c r="U1208" s="859"/>
      <c r="V1208" s="859"/>
      <c r="W1208" s="859"/>
      <c r="X1208" s="859"/>
      <c r="Y1208" s="859"/>
      <c r="Z1208" s="859"/>
      <c r="AA1208" s="859"/>
      <c r="AB1208" s="859"/>
      <c r="AC1208" s="859"/>
      <c r="AD1208" s="859"/>
      <c r="AE1208" s="859"/>
      <c r="AF1208" s="859"/>
      <c r="AG1208" s="859"/>
      <c r="AH1208" s="859"/>
      <c r="AI1208" s="859"/>
      <c r="AJ1208" s="859"/>
      <c r="AK1208" s="859"/>
      <c r="AL1208" s="859"/>
      <c r="AM1208" s="859"/>
      <c r="AN1208" s="859"/>
      <c r="AO1208" s="863"/>
      <c r="AP1208" s="863"/>
      <c r="AQ1208" s="864"/>
      <c r="AR1208" s="864"/>
      <c r="AS1208" s="864"/>
      <c r="AT1208" s="864"/>
      <c r="AU1208" s="864"/>
      <c r="AV1208" s="864"/>
      <c r="AW1208" s="864"/>
      <c r="AX1208" s="864"/>
      <c r="AY1208" s="864"/>
      <c r="AZ1208" s="864"/>
      <c r="BA1208" s="864"/>
      <c r="BB1208" s="864"/>
      <c r="BC1208" s="864"/>
      <c r="BD1208" s="864"/>
      <c r="BE1208" s="864"/>
    </row>
    <row r="1209" spans="1:58" ht="14.25" hidden="1" customHeight="1" outlineLevel="1">
      <c r="A1209" s="491" t="s">
        <v>277</v>
      </c>
      <c r="B1209" s="442"/>
      <c r="C1209" s="801"/>
      <c r="D1209" s="617"/>
      <c r="G1209" s="883"/>
      <c r="H1209" s="617"/>
      <c r="I1209" s="482"/>
      <c r="J1209" s="460"/>
      <c r="K1209" s="460"/>
      <c r="L1209" s="460"/>
      <c r="M1209" s="460"/>
      <c r="N1209" s="460"/>
      <c r="O1209" s="617"/>
      <c r="P1209" s="859"/>
      <c r="Q1209" s="859"/>
      <c r="R1209" s="859"/>
      <c r="S1209" s="859"/>
      <c r="T1209" s="859"/>
      <c r="U1209" s="859"/>
      <c r="V1209" s="859"/>
      <c r="W1209" s="859"/>
      <c r="X1209" s="859"/>
      <c r="Y1209" s="859"/>
      <c r="Z1209" s="859"/>
      <c r="AA1209" s="859"/>
      <c r="AB1209" s="859"/>
      <c r="AC1209" s="859"/>
      <c r="AD1209" s="859"/>
      <c r="AE1209" s="859"/>
      <c r="AF1209" s="859"/>
      <c r="AG1209" s="859"/>
      <c r="AH1209" s="859"/>
      <c r="AI1209" s="859"/>
      <c r="AJ1209" s="859"/>
      <c r="AK1209" s="859"/>
      <c r="AL1209" s="859"/>
      <c r="AM1209" s="859"/>
      <c r="AN1209" s="859"/>
      <c r="AO1209" s="863"/>
      <c r="AP1209" s="863"/>
      <c r="AQ1209" s="864"/>
      <c r="AR1209" s="864"/>
      <c r="AS1209" s="864"/>
      <c r="AT1209" s="864"/>
      <c r="AU1209" s="864"/>
      <c r="AV1209" s="864"/>
      <c r="AW1209" s="864"/>
      <c r="AX1209" s="864"/>
      <c r="AY1209" s="864"/>
      <c r="AZ1209" s="864"/>
      <c r="BA1209" s="864"/>
      <c r="BB1209" s="864"/>
      <c r="BC1209" s="864"/>
      <c r="BD1209" s="864"/>
      <c r="BE1209" s="864"/>
    </row>
    <row r="1210" spans="1:58" ht="14.25" hidden="1" customHeight="1" outlineLevel="1">
      <c r="A1210" s="492" t="s">
        <v>151</v>
      </c>
      <c r="B1210" s="490"/>
      <c r="C1210" s="686"/>
      <c r="D1210" s="617"/>
      <c r="G1210" s="617"/>
      <c r="H1210" s="617"/>
      <c r="I1210" s="460"/>
      <c r="J1210" s="460"/>
      <c r="K1210" s="460"/>
      <c r="L1210" s="460"/>
      <c r="M1210" s="460"/>
      <c r="N1210" s="460"/>
      <c r="O1210" s="617"/>
      <c r="P1210" s="859"/>
      <c r="Q1210" s="859"/>
      <c r="R1210" s="859"/>
      <c r="S1210" s="859"/>
      <c r="T1210" s="859"/>
      <c r="U1210" s="859"/>
      <c r="V1210" s="859"/>
      <c r="W1210" s="859"/>
      <c r="X1210" s="859"/>
      <c r="Y1210" s="859"/>
      <c r="Z1210" s="859"/>
      <c r="AA1210" s="859"/>
      <c r="AB1210" s="859"/>
      <c r="AC1210" s="859"/>
      <c r="AD1210" s="859"/>
      <c r="AE1210" s="859"/>
      <c r="AF1210" s="859"/>
      <c r="AG1210" s="859"/>
      <c r="AH1210" s="859"/>
      <c r="AI1210" s="859"/>
      <c r="AJ1210" s="859"/>
      <c r="AK1210" s="859"/>
      <c r="AL1210" s="859"/>
      <c r="AM1210" s="859"/>
      <c r="AN1210" s="859"/>
      <c r="AO1210" s="863"/>
      <c r="AP1210" s="863"/>
      <c r="AQ1210" s="864"/>
      <c r="AR1210" s="864"/>
      <c r="AS1210" s="864"/>
      <c r="AT1210" s="864"/>
      <c r="AU1210" s="864"/>
      <c r="AV1210" s="864"/>
      <c r="AW1210" s="864"/>
      <c r="AX1210" s="864"/>
      <c r="AY1210" s="864"/>
      <c r="AZ1210" s="864"/>
      <c r="BA1210" s="864"/>
      <c r="BB1210" s="864"/>
      <c r="BC1210" s="864"/>
      <c r="BD1210" s="864"/>
      <c r="BE1210" s="864"/>
    </row>
    <row r="1211" spans="1:58" ht="14.25" hidden="1" customHeight="1" outlineLevel="1">
      <c r="A1211" s="412" t="s">
        <v>152</v>
      </c>
      <c r="B1211" s="877" t="s">
        <v>154</v>
      </c>
      <c r="C1211" s="611">
        <v>0</v>
      </c>
      <c r="D1211" s="617"/>
      <c r="G1211" s="883"/>
      <c r="H1211" s="617"/>
      <c r="I1211" s="460"/>
      <c r="J1211" s="460"/>
      <c r="K1211" s="460"/>
      <c r="L1211" s="460"/>
      <c r="M1211" s="460"/>
      <c r="N1211" s="460"/>
      <c r="O1211" s="617"/>
      <c r="P1211" s="859"/>
      <c r="Q1211" s="859"/>
      <c r="R1211" s="859"/>
      <c r="S1211" s="859"/>
      <c r="T1211" s="859"/>
      <c r="U1211" s="859"/>
      <c r="V1211" s="859"/>
      <c r="W1211" s="859"/>
      <c r="X1211" s="859"/>
      <c r="Y1211" s="859"/>
      <c r="Z1211" s="859"/>
      <c r="AA1211" s="859"/>
      <c r="AB1211" s="859"/>
      <c r="AC1211" s="859"/>
      <c r="AD1211" s="859"/>
      <c r="AE1211" s="859"/>
      <c r="AF1211" s="859"/>
      <c r="AG1211" s="859"/>
      <c r="AH1211" s="859"/>
      <c r="AI1211" s="859"/>
      <c r="AJ1211" s="859"/>
      <c r="AK1211" s="859"/>
      <c r="AL1211" s="859"/>
      <c r="AM1211" s="859"/>
      <c r="AN1211" s="859"/>
      <c r="AO1211" s="863"/>
      <c r="AP1211" s="863"/>
      <c r="AQ1211" s="864"/>
      <c r="AR1211" s="864"/>
      <c r="AS1211" s="864"/>
      <c r="AT1211" s="864"/>
      <c r="AU1211" s="864"/>
      <c r="AV1211" s="864"/>
      <c r="AW1211" s="864"/>
      <c r="AX1211" s="864"/>
      <c r="AY1211" s="864"/>
      <c r="AZ1211" s="864"/>
      <c r="BA1211" s="864"/>
      <c r="BB1211" s="864"/>
      <c r="BC1211" s="864"/>
      <c r="BD1211" s="864"/>
      <c r="BE1211" s="864"/>
    </row>
    <row r="1212" spans="1:58" ht="14.25" hidden="1" customHeight="1" outlineLevel="1">
      <c r="A1212" s="414" t="s">
        <v>152</v>
      </c>
      <c r="B1212" s="415" t="s">
        <v>159</v>
      </c>
      <c r="C1212" s="263">
        <v>0</v>
      </c>
      <c r="D1212" s="617"/>
      <c r="G1212" s="883"/>
      <c r="H1212" s="617"/>
      <c r="I1212" s="460"/>
      <c r="J1212" s="460"/>
      <c r="K1212" s="460"/>
      <c r="L1212" s="460"/>
      <c r="M1212" s="460"/>
      <c r="N1212" s="460"/>
      <c r="O1212" s="617"/>
      <c r="P1212" s="859"/>
      <c r="Q1212" s="859"/>
      <c r="R1212" s="859"/>
      <c r="S1212" s="859"/>
      <c r="T1212" s="859"/>
      <c r="U1212" s="859"/>
      <c r="V1212" s="859"/>
      <c r="W1212" s="859"/>
      <c r="X1212" s="859"/>
      <c r="Y1212" s="859"/>
      <c r="Z1212" s="859"/>
      <c r="AA1212" s="859"/>
      <c r="AB1212" s="859"/>
      <c r="AC1212" s="859"/>
      <c r="AD1212" s="859"/>
      <c r="AE1212" s="859"/>
      <c r="AF1212" s="859"/>
      <c r="AG1212" s="859"/>
      <c r="AH1212" s="859"/>
      <c r="AI1212" s="859"/>
      <c r="AJ1212" s="859"/>
      <c r="AK1212" s="859"/>
      <c r="AL1212" s="859"/>
      <c r="AM1212" s="859"/>
      <c r="AN1212" s="859"/>
      <c r="AO1212" s="863"/>
      <c r="AP1212" s="863"/>
      <c r="AQ1212" s="864"/>
      <c r="AR1212" s="864"/>
      <c r="AS1212" s="864"/>
      <c r="AT1212" s="864"/>
      <c r="AU1212" s="864"/>
      <c r="AV1212" s="864"/>
      <c r="AW1212" s="864"/>
      <c r="AX1212" s="864"/>
      <c r="AY1212" s="864"/>
      <c r="AZ1212" s="864"/>
      <c r="BA1212" s="864"/>
      <c r="BB1212" s="864"/>
      <c r="BC1212" s="864"/>
      <c r="BD1212" s="864"/>
      <c r="BE1212" s="864"/>
    </row>
    <row r="1213" spans="1:58" ht="14.25" hidden="1" customHeight="1" outlineLevel="1">
      <c r="C1213" s="370"/>
      <c r="D1213" s="492"/>
      <c r="G1213" s="617"/>
      <c r="H1213" s="616"/>
      <c r="I1213" s="616"/>
      <c r="J1213" s="616"/>
      <c r="K1213" s="616"/>
      <c r="L1213" s="616"/>
      <c r="M1213" s="616"/>
      <c r="N1213" s="616"/>
      <c r="O1213" s="616"/>
      <c r="P1213" s="617"/>
      <c r="Q1213" s="617"/>
      <c r="R1213" s="859"/>
      <c r="S1213" s="859"/>
      <c r="T1213" s="859"/>
      <c r="U1213" s="859"/>
      <c r="V1213" s="859"/>
      <c r="W1213" s="859"/>
      <c r="X1213" s="859"/>
      <c r="Y1213" s="859"/>
      <c r="Z1213" s="859"/>
      <c r="AA1213" s="859"/>
      <c r="AB1213" s="859"/>
      <c r="AC1213" s="859"/>
      <c r="AD1213" s="859"/>
      <c r="AE1213" s="859"/>
      <c r="AF1213" s="859"/>
      <c r="AG1213" s="859"/>
      <c r="AH1213" s="859"/>
      <c r="AI1213" s="859"/>
      <c r="AJ1213" s="859"/>
      <c r="AK1213" s="859"/>
      <c r="AL1213" s="859"/>
      <c r="AM1213" s="859"/>
      <c r="AN1213" s="859"/>
      <c r="AO1213" s="863"/>
      <c r="AP1213" s="863"/>
      <c r="AQ1213" s="864"/>
      <c r="AR1213" s="864"/>
      <c r="AS1213" s="864"/>
      <c r="AT1213" s="864"/>
      <c r="AU1213" s="864"/>
      <c r="AV1213" s="864"/>
      <c r="AW1213" s="864"/>
      <c r="AX1213" s="864"/>
      <c r="AY1213" s="864"/>
      <c r="AZ1213" s="864"/>
      <c r="BA1213" s="864"/>
      <c r="BB1213" s="864"/>
      <c r="BC1213" s="864"/>
      <c r="BD1213" s="864"/>
      <c r="BE1213" s="864"/>
    </row>
    <row r="1214" spans="1:58" ht="14.25" hidden="1" customHeight="1" outlineLevel="1">
      <c r="A1214" s="263" t="s">
        <v>2464</v>
      </c>
      <c r="B1214" s="415" t="s">
        <v>1796</v>
      </c>
      <c r="C1214" s="501">
        <v>3000</v>
      </c>
      <c r="D1214" s="492"/>
      <c r="G1214" s="617"/>
      <c r="H1214" s="616"/>
      <c r="I1214" s="616"/>
      <c r="J1214" s="616"/>
      <c r="K1214" s="616"/>
      <c r="L1214" s="616"/>
      <c r="M1214" s="616"/>
      <c r="N1214" s="616"/>
      <c r="O1214" s="616"/>
      <c r="P1214" s="617"/>
      <c r="Q1214" s="617"/>
      <c r="R1214" s="859"/>
      <c r="S1214" s="859"/>
      <c r="T1214" s="859"/>
      <c r="U1214" s="859"/>
      <c r="V1214" s="859"/>
      <c r="W1214" s="859"/>
      <c r="X1214" s="859"/>
      <c r="Y1214" s="859"/>
      <c r="Z1214" s="859"/>
      <c r="AA1214" s="859"/>
      <c r="AB1214" s="859"/>
      <c r="AC1214" s="859"/>
      <c r="AD1214" s="859"/>
      <c r="AE1214" s="859"/>
      <c r="AF1214" s="859"/>
      <c r="AG1214" s="859"/>
      <c r="AH1214" s="859"/>
      <c r="AI1214" s="859"/>
      <c r="AJ1214" s="859"/>
      <c r="AK1214" s="859"/>
      <c r="AL1214" s="859"/>
      <c r="AM1214" s="859"/>
      <c r="AN1214" s="859"/>
      <c r="AO1214" s="863"/>
      <c r="AP1214" s="863"/>
      <c r="AQ1214" s="864"/>
      <c r="AR1214" s="864"/>
      <c r="AS1214" s="864"/>
      <c r="AT1214" s="864"/>
      <c r="AU1214" s="864"/>
      <c r="AV1214" s="864"/>
      <c r="AW1214" s="864"/>
      <c r="AX1214" s="864"/>
      <c r="AY1214" s="864"/>
      <c r="AZ1214" s="864"/>
      <c r="BA1214" s="864"/>
      <c r="BB1214" s="864"/>
      <c r="BC1214" s="864"/>
      <c r="BD1214" s="864"/>
      <c r="BE1214" s="864"/>
    </row>
    <row r="1215" spans="1:58" ht="14.25" hidden="1" customHeight="1" outlineLevel="1">
      <c r="C1215" s="492"/>
      <c r="D1215" s="492"/>
      <c r="G1215" s="617"/>
      <c r="H1215" s="616"/>
      <c r="I1215" s="616"/>
      <c r="J1215" s="616"/>
      <c r="K1215" s="616"/>
      <c r="L1215" s="616"/>
      <c r="M1215" s="616"/>
      <c r="N1215" s="616"/>
      <c r="O1215" s="616"/>
      <c r="P1215" s="617"/>
      <c r="Q1215" s="617"/>
      <c r="R1215" s="859"/>
      <c r="S1215" s="859"/>
      <c r="T1215" s="859"/>
      <c r="U1215" s="859"/>
      <c r="V1215" s="859"/>
      <c r="W1215" s="859"/>
      <c r="X1215" s="859"/>
      <c r="Y1215" s="859"/>
      <c r="Z1215" s="859"/>
      <c r="AA1215" s="859"/>
      <c r="AB1215" s="859"/>
      <c r="AC1215" s="859"/>
      <c r="AD1215" s="859"/>
      <c r="AE1215" s="859"/>
      <c r="AF1215" s="859"/>
      <c r="AG1215" s="859"/>
      <c r="AH1215" s="859"/>
      <c r="AI1215" s="859"/>
      <c r="AJ1215" s="859"/>
      <c r="AK1215" s="859"/>
      <c r="AL1215" s="859"/>
      <c r="AM1215" s="859"/>
      <c r="AN1215" s="859"/>
      <c r="AO1215" s="863"/>
      <c r="AP1215" s="863"/>
      <c r="AQ1215" s="864"/>
      <c r="AR1215" s="864"/>
      <c r="AS1215" s="864"/>
      <c r="AT1215" s="864"/>
      <c r="AU1215" s="864"/>
      <c r="AV1215" s="864"/>
      <c r="AW1215" s="864"/>
      <c r="AX1215" s="864"/>
      <c r="AY1215" s="864"/>
      <c r="AZ1215" s="864"/>
      <c r="BA1215" s="864"/>
      <c r="BB1215" s="864"/>
      <c r="BC1215" s="864"/>
      <c r="BD1215" s="864"/>
      <c r="BE1215" s="864"/>
    </row>
    <row r="1216" spans="1:58" ht="14.25" customHeight="1" collapsed="1">
      <c r="A1216" s="3134" t="s">
        <v>2465</v>
      </c>
      <c r="B1216" s="3134"/>
      <c r="C1216" s="3134"/>
      <c r="D1216" s="3134"/>
      <c r="E1216" s="3134"/>
      <c r="F1216" s="653" t="s">
        <v>1798</v>
      </c>
      <c r="H1216" s="646"/>
      <c r="I1216" s="646"/>
      <c r="J1216" s="646"/>
      <c r="K1216" s="646"/>
      <c r="L1216" s="646"/>
      <c r="M1216" s="616"/>
      <c r="N1216" s="616"/>
      <c r="O1216" s="616"/>
      <c r="P1216" s="859"/>
      <c r="Q1216" s="452"/>
      <c r="R1216" s="859"/>
      <c r="S1216" s="859"/>
      <c r="T1216" s="859"/>
      <c r="U1216" s="859"/>
      <c r="V1216" s="859"/>
      <c r="W1216" s="859"/>
      <c r="X1216" s="859"/>
      <c r="Y1216" s="859"/>
      <c r="Z1216" s="859"/>
      <c r="AA1216" s="859"/>
      <c r="AB1216" s="859"/>
      <c r="AC1216" s="859"/>
      <c r="AD1216" s="859"/>
      <c r="AE1216" s="859"/>
      <c r="AF1216" s="859"/>
      <c r="AG1216" s="859"/>
      <c r="AH1216" s="859"/>
      <c r="AI1216" s="859"/>
      <c r="AJ1216" s="859"/>
      <c r="AK1216" s="859"/>
      <c r="AL1216" s="859"/>
      <c r="AM1216" s="859"/>
      <c r="AN1216" s="859"/>
      <c r="AO1216" s="863"/>
      <c r="AP1216" s="863"/>
      <c r="AQ1216" s="864"/>
      <c r="AR1216" s="864"/>
      <c r="AS1216" s="864"/>
      <c r="AT1216" s="864"/>
      <c r="AU1216" s="864"/>
      <c r="AV1216" s="543">
        <f>M1216</f>
        <v>0</v>
      </c>
      <c r="AW1216" s="864"/>
      <c r="AX1216" s="864"/>
      <c r="AY1216" s="864"/>
      <c r="AZ1216" s="864"/>
      <c r="BA1216" s="864"/>
      <c r="BB1216" s="864"/>
      <c r="BC1216" s="864"/>
      <c r="BD1216" s="864"/>
      <c r="BE1216" s="864"/>
    </row>
    <row r="1217" spans="1:57" ht="14.25" customHeight="1">
      <c r="A1217" s="859"/>
      <c r="B1217" s="860"/>
      <c r="C1217" s="859"/>
      <c r="D1217" s="859"/>
      <c r="E1217" s="859"/>
      <c r="F1217" s="859"/>
      <c r="G1217" s="859"/>
      <c r="H1217" s="862"/>
      <c r="I1217" s="859"/>
      <c r="J1217" s="859"/>
      <c r="K1217" s="859"/>
      <c r="L1217" s="859"/>
      <c r="M1217" s="859"/>
      <c r="N1217" s="859"/>
      <c r="O1217" s="859"/>
      <c r="P1217" s="859"/>
      <c r="Q1217" s="859"/>
      <c r="R1217" s="859"/>
      <c r="S1217" s="859"/>
      <c r="T1217" s="859"/>
      <c r="U1217" s="859"/>
      <c r="V1217" s="859"/>
      <c r="W1217" s="859"/>
      <c r="X1217" s="859"/>
      <c r="Y1217" s="859"/>
      <c r="Z1217" s="859"/>
      <c r="AA1217" s="859"/>
      <c r="AB1217" s="859"/>
      <c r="AC1217" s="859"/>
      <c r="AD1217" s="859"/>
      <c r="AE1217" s="859"/>
      <c r="AF1217" s="859"/>
      <c r="AG1217" s="859"/>
      <c r="AH1217" s="859"/>
      <c r="AI1217" s="859"/>
      <c r="AJ1217" s="859"/>
      <c r="AK1217" s="859"/>
      <c r="AL1217" s="859"/>
      <c r="AM1217" s="859"/>
      <c r="AN1217" s="859"/>
      <c r="AO1217" s="863"/>
      <c r="AP1217" s="863"/>
      <c r="AQ1217" s="864"/>
      <c r="AR1217" s="864"/>
      <c r="AS1217" s="864"/>
      <c r="AT1217" s="864"/>
      <c r="AU1217" s="864"/>
      <c r="AV1217" s="864"/>
      <c r="AW1217" s="864"/>
      <c r="AX1217" s="864"/>
      <c r="AY1217" s="864"/>
      <c r="AZ1217" s="864"/>
      <c r="BA1217" s="864"/>
      <c r="BB1217" s="864"/>
      <c r="BC1217" s="864"/>
      <c r="BD1217" s="864"/>
      <c r="BE1217" s="864"/>
    </row>
    <row r="1218" spans="1:57" ht="14.25" hidden="1" customHeight="1" outlineLevel="1">
      <c r="A1218" s="3132" t="s">
        <v>2466</v>
      </c>
      <c r="B1218" s="3132"/>
      <c r="C1218" s="3132"/>
      <c r="D1218" s="3132"/>
      <c r="E1218" s="3132"/>
      <c r="F1218" s="3132"/>
      <c r="G1218" s="3132"/>
      <c r="H1218" s="813"/>
      <c r="I1218" s="813"/>
      <c r="J1218" s="813"/>
      <c r="K1218" s="813"/>
      <c r="L1218" s="813"/>
      <c r="M1218" s="813"/>
      <c r="N1218" s="813"/>
      <c r="O1218" s="813"/>
      <c r="P1218" s="813"/>
      <c r="Q1218" s="813"/>
      <c r="R1218" s="813"/>
      <c r="S1218" s="813"/>
      <c r="T1218" s="813"/>
      <c r="U1218" s="813"/>
      <c r="V1218" s="813"/>
      <c r="W1218" s="813"/>
      <c r="X1218" s="813"/>
      <c r="Y1218" s="813"/>
      <c r="Z1218" s="813"/>
      <c r="AA1218" s="813"/>
      <c r="AB1218" s="813"/>
      <c r="AC1218" s="813"/>
      <c r="AD1218" s="813"/>
      <c r="AE1218" s="813"/>
      <c r="AF1218" s="813"/>
      <c r="AG1218" s="813"/>
      <c r="AH1218" s="813"/>
      <c r="AI1218" s="813"/>
      <c r="AJ1218" s="859"/>
      <c r="AK1218" s="859"/>
      <c r="AL1218" s="859"/>
      <c r="AM1218" s="859"/>
      <c r="AN1218" s="859"/>
      <c r="AO1218" s="863"/>
      <c r="AP1218" s="863"/>
      <c r="AQ1218" s="864"/>
      <c r="AR1218" s="864"/>
      <c r="AS1218" s="864"/>
      <c r="AT1218" s="864"/>
      <c r="AU1218" s="864"/>
      <c r="AV1218" s="864"/>
      <c r="AW1218" s="864"/>
      <c r="AX1218" s="864"/>
      <c r="AY1218" s="864"/>
      <c r="AZ1218" s="864"/>
      <c r="BA1218" s="864"/>
      <c r="BB1218" s="864"/>
      <c r="BC1218" s="864"/>
      <c r="BD1218" s="864"/>
      <c r="BE1218" s="864"/>
    </row>
    <row r="1219" spans="1:57" ht="14.25" hidden="1" customHeight="1" outlineLevel="1">
      <c r="A1219" s="3132"/>
      <c r="B1219" s="3132"/>
      <c r="C1219" s="3132"/>
      <c r="D1219" s="3132"/>
      <c r="E1219" s="3132"/>
      <c r="F1219" s="3132"/>
      <c r="G1219" s="3132"/>
      <c r="H1219" s="813"/>
      <c r="I1219" s="813"/>
      <c r="J1219" s="813"/>
      <c r="K1219" s="813"/>
      <c r="L1219" s="813"/>
      <c r="M1219" s="813"/>
      <c r="N1219" s="813"/>
      <c r="O1219" s="813"/>
      <c r="P1219" s="813"/>
      <c r="Q1219" s="813"/>
      <c r="R1219" s="813"/>
      <c r="S1219" s="813"/>
      <c r="T1219" s="813"/>
      <c r="U1219" s="813"/>
      <c r="V1219" s="813"/>
      <c r="W1219" s="813"/>
      <c r="X1219" s="813"/>
      <c r="Y1219" s="813"/>
      <c r="Z1219" s="813"/>
      <c r="AA1219" s="813"/>
      <c r="AB1219" s="813"/>
      <c r="AC1219" s="813"/>
      <c r="AD1219" s="813"/>
      <c r="AE1219" s="813"/>
      <c r="AF1219" s="813"/>
      <c r="AG1219" s="813"/>
      <c r="AH1219" s="813"/>
      <c r="AI1219" s="813"/>
      <c r="AJ1219" s="859"/>
      <c r="AK1219" s="859"/>
      <c r="AL1219" s="859"/>
      <c r="AM1219" s="859"/>
      <c r="AN1219" s="859"/>
      <c r="AO1219" s="863"/>
      <c r="AP1219" s="863"/>
      <c r="AQ1219" s="864"/>
      <c r="AR1219" s="864"/>
      <c r="AS1219" s="864"/>
      <c r="AT1219" s="864"/>
      <c r="AU1219" s="864"/>
      <c r="AV1219" s="864"/>
      <c r="AW1219" s="864"/>
      <c r="AX1219" s="864"/>
      <c r="AY1219" s="864"/>
      <c r="AZ1219" s="864"/>
      <c r="BA1219" s="864"/>
      <c r="BB1219" s="864"/>
      <c r="BC1219" s="864"/>
      <c r="BD1219" s="864"/>
      <c r="BE1219" s="864"/>
    </row>
    <row r="1220" spans="1:57" ht="14.25" hidden="1" customHeight="1" outlineLevel="1">
      <c r="A1220" s="430" t="s">
        <v>1806</v>
      </c>
      <c r="B1220" s="431"/>
      <c r="C1220" s="432"/>
      <c r="D1220" s="611">
        <v>1</v>
      </c>
      <c r="G1220" s="695"/>
      <c r="H1220" s="695"/>
      <c r="I1220" s="695"/>
      <c r="J1220" s="695"/>
      <c r="K1220" s="695"/>
      <c r="L1220" s="695"/>
      <c r="M1220" s="695"/>
      <c r="N1220" s="695"/>
      <c r="O1220" s="695"/>
      <c r="P1220" s="695"/>
      <c r="Q1220" s="695"/>
      <c r="R1220" s="695"/>
      <c r="S1220" s="695"/>
      <c r="T1220" s="695"/>
      <c r="U1220" s="695"/>
      <c r="V1220" s="695"/>
      <c r="W1220" s="695"/>
      <c r="X1220" s="695"/>
      <c r="Y1220" s="695"/>
      <c r="Z1220" s="695"/>
      <c r="AA1220" s="695"/>
      <c r="AB1220" s="695"/>
      <c r="AC1220" s="695"/>
      <c r="AD1220" s="695"/>
      <c r="AE1220" s="695"/>
      <c r="AF1220" s="617"/>
      <c r="AG1220" s="617"/>
      <c r="AH1220" s="617"/>
      <c r="AI1220" s="803"/>
      <c r="AJ1220" s="808"/>
      <c r="AK1220" s="808"/>
      <c r="AL1220" s="808"/>
      <c r="AM1220" s="808"/>
      <c r="AN1220" s="808"/>
      <c r="AO1220" s="809"/>
      <c r="AP1220" s="809"/>
      <c r="AQ1220" s="810"/>
      <c r="AR1220" s="810"/>
      <c r="AS1220" s="810"/>
      <c r="AT1220" s="810"/>
      <c r="AU1220" s="810"/>
      <c r="AV1220" s="810"/>
      <c r="AW1220" s="810"/>
      <c r="AX1220" s="810"/>
      <c r="AY1220" s="810"/>
      <c r="AZ1220" s="810"/>
      <c r="BA1220" s="810"/>
      <c r="BB1220" s="810"/>
      <c r="BC1220" s="810"/>
      <c r="BD1220" s="810"/>
      <c r="BE1220" s="810"/>
    </row>
    <row r="1221" spans="1:57" ht="14.25" hidden="1" customHeight="1" outlineLevel="1">
      <c r="A1221" s="430" t="s">
        <v>1808</v>
      </c>
      <c r="B1221" s="431"/>
      <c r="C1221" s="432"/>
      <c r="D1221" s="611">
        <v>1</v>
      </c>
      <c r="G1221" s="695"/>
      <c r="H1221" s="695"/>
      <c r="I1221" s="695"/>
      <c r="J1221" s="695"/>
      <c r="K1221" s="695"/>
      <c r="L1221" s="695"/>
      <c r="M1221" s="695"/>
      <c r="N1221" s="695"/>
      <c r="O1221" s="695"/>
      <c r="P1221" s="695"/>
      <c r="Q1221" s="695"/>
      <c r="R1221" s="695"/>
      <c r="S1221" s="695"/>
      <c r="T1221" s="695"/>
      <c r="U1221" s="695"/>
      <c r="V1221" s="695"/>
      <c r="W1221" s="695"/>
      <c r="X1221" s="695"/>
      <c r="Y1221" s="695"/>
      <c r="Z1221" s="695"/>
      <c r="AA1221" s="695"/>
      <c r="AB1221" s="695"/>
      <c r="AC1221" s="695"/>
      <c r="AD1221" s="695"/>
      <c r="AE1221" s="695"/>
      <c r="AF1221" s="617"/>
      <c r="AG1221" s="617"/>
      <c r="AH1221" s="617"/>
      <c r="AI1221" s="617"/>
      <c r="AJ1221" s="808"/>
      <c r="AK1221" s="808"/>
      <c r="AL1221" s="808"/>
      <c r="AM1221" s="808"/>
      <c r="AN1221" s="808"/>
      <c r="AO1221" s="809"/>
      <c r="AP1221" s="809"/>
      <c r="AQ1221" s="810"/>
      <c r="AR1221" s="810"/>
      <c r="AS1221" s="810"/>
      <c r="AT1221" s="810"/>
      <c r="AU1221" s="810"/>
      <c r="AV1221" s="810"/>
      <c r="AW1221" s="810"/>
      <c r="AX1221" s="810"/>
      <c r="AY1221" s="810"/>
      <c r="AZ1221" s="810"/>
      <c r="BA1221" s="810"/>
      <c r="BB1221" s="810"/>
      <c r="BC1221" s="810"/>
      <c r="BD1221" s="810"/>
      <c r="BE1221" s="810"/>
    </row>
    <row r="1222" spans="1:57" ht="14.25" hidden="1" customHeight="1" outlineLevel="1">
      <c r="B1222" s="614"/>
      <c r="C1222" s="695"/>
      <c r="D1222" s="695"/>
      <c r="E1222" s="695"/>
      <c r="F1222" s="695"/>
      <c r="G1222" s="695"/>
      <c r="H1222" s="695"/>
      <c r="I1222" s="695"/>
      <c r="J1222" s="695"/>
      <c r="K1222" s="695"/>
      <c r="L1222" s="695"/>
      <c r="M1222" s="695"/>
      <c r="N1222" s="695"/>
      <c r="O1222" s="695"/>
      <c r="P1222" s="695"/>
      <c r="Q1222" s="695"/>
      <c r="R1222" s="695"/>
      <c r="S1222" s="695"/>
      <c r="T1222" s="695"/>
      <c r="U1222" s="695"/>
      <c r="V1222" s="695"/>
      <c r="W1222" s="695"/>
      <c r="X1222" s="695"/>
      <c r="Y1222" s="614"/>
      <c r="Z1222" s="614"/>
      <c r="AA1222" s="613"/>
      <c r="AB1222" s="614"/>
      <c r="AC1222" s="614"/>
      <c r="AD1222" s="614"/>
      <c r="AE1222" s="614"/>
      <c r="AF1222" s="617"/>
      <c r="AG1222" s="617"/>
      <c r="AH1222" s="617"/>
      <c r="AI1222" s="617"/>
      <c r="AJ1222" s="808"/>
      <c r="AK1222" s="808"/>
      <c r="AL1222" s="808"/>
      <c r="AM1222" s="808"/>
      <c r="AN1222" s="808"/>
      <c r="AO1222" s="809"/>
      <c r="AP1222" s="809"/>
      <c r="AQ1222" s="810"/>
      <c r="AR1222" s="810"/>
      <c r="AS1222" s="810"/>
      <c r="AT1222" s="810"/>
      <c r="AU1222" s="810"/>
      <c r="AV1222" s="810"/>
      <c r="AW1222" s="810"/>
      <c r="AX1222" s="810"/>
      <c r="AY1222" s="810"/>
      <c r="AZ1222" s="810"/>
      <c r="BA1222" s="810"/>
      <c r="BB1222" s="810"/>
      <c r="BC1222" s="810"/>
      <c r="BD1222" s="810"/>
      <c r="BE1222" s="810"/>
    </row>
    <row r="1223" spans="1:57" ht="14.25" hidden="1" customHeight="1" outlineLevel="1">
      <c r="A1223" s="643" t="s">
        <v>2467</v>
      </c>
      <c r="B1223" s="438" t="s">
        <v>120</v>
      </c>
      <c r="C1223" s="525" t="s">
        <v>1753</v>
      </c>
      <c r="D1223" s="695"/>
      <c r="E1223" s="695"/>
      <c r="F1223" s="695"/>
      <c r="G1223" s="695"/>
      <c r="H1223" s="695"/>
      <c r="I1223" s="695"/>
      <c r="J1223" s="695"/>
      <c r="K1223" s="695"/>
      <c r="L1223" s="695"/>
      <c r="M1223" s="695"/>
      <c r="N1223" s="695"/>
      <c r="O1223" s="695"/>
      <c r="P1223" s="695"/>
      <c r="Q1223" s="695"/>
      <c r="R1223" s="695"/>
      <c r="S1223" s="695"/>
      <c r="T1223" s="695"/>
      <c r="U1223" s="695"/>
      <c r="V1223" s="695"/>
      <c r="W1223" s="695"/>
      <c r="X1223" s="695"/>
      <c r="Y1223" s="614"/>
      <c r="Z1223" s="614"/>
      <c r="AA1223" s="614"/>
      <c r="AB1223" s="614"/>
      <c r="AC1223" s="614"/>
      <c r="AD1223" s="614"/>
      <c r="AE1223" s="614"/>
      <c r="AF1223" s="617"/>
      <c r="AG1223" s="617"/>
      <c r="AH1223" s="617"/>
      <c r="AI1223" s="617"/>
      <c r="AJ1223" s="808"/>
      <c r="AK1223" s="808"/>
      <c r="AL1223" s="808"/>
      <c r="AM1223" s="808"/>
      <c r="AN1223" s="808"/>
      <c r="AO1223" s="809"/>
      <c r="AP1223" s="809"/>
      <c r="AQ1223" s="810"/>
      <c r="AR1223" s="810"/>
      <c r="AS1223" s="810"/>
      <c r="AT1223" s="810"/>
      <c r="AU1223" s="810"/>
      <c r="AV1223" s="810"/>
      <c r="AW1223" s="810"/>
      <c r="AX1223" s="810"/>
      <c r="AY1223" s="810"/>
      <c r="AZ1223" s="810"/>
      <c r="BA1223" s="810"/>
      <c r="BB1223" s="810"/>
      <c r="BC1223" s="810"/>
      <c r="BD1223" s="810"/>
      <c r="BE1223" s="810"/>
    </row>
    <row r="1224" spans="1:57" ht="14.25" hidden="1" customHeight="1" outlineLevel="1">
      <c r="A1224" s="895" t="s">
        <v>1552</v>
      </c>
      <c r="B1224" s="895" t="s">
        <v>2164</v>
      </c>
      <c r="C1224" s="896" t="s">
        <v>1798</v>
      </c>
      <c r="D1224" s="504"/>
      <c r="H1224" s="878"/>
      <c r="I1224" s="490"/>
      <c r="J1224" s="490"/>
      <c r="K1224" s="897"/>
      <c r="L1224" s="888"/>
      <c r="M1224" s="888"/>
      <c r="N1224" s="888"/>
      <c r="O1224" s="888"/>
      <c r="P1224" s="617"/>
      <c r="Q1224" s="617"/>
      <c r="R1224" s="859"/>
      <c r="S1224" s="859"/>
      <c r="T1224" s="859"/>
      <c r="U1224" s="859"/>
      <c r="V1224" s="859"/>
      <c r="W1224" s="859"/>
      <c r="X1224" s="859"/>
      <c r="Y1224" s="859"/>
      <c r="Z1224" s="859"/>
      <c r="AA1224" s="859"/>
      <c r="AB1224" s="859"/>
      <c r="AC1224" s="859"/>
      <c r="AD1224" s="859"/>
      <c r="AE1224" s="859"/>
      <c r="AF1224" s="859"/>
      <c r="AG1224" s="859"/>
      <c r="AH1224" s="859"/>
      <c r="AI1224" s="859"/>
      <c r="AJ1224" s="859"/>
      <c r="AK1224" s="859"/>
      <c r="AL1224" s="859"/>
      <c r="AM1224" s="859"/>
      <c r="AN1224" s="859"/>
      <c r="AO1224" s="863"/>
      <c r="AP1224" s="863"/>
      <c r="AQ1224" s="864"/>
      <c r="AR1224" s="864"/>
      <c r="AS1224" s="864"/>
      <c r="AT1224" s="864"/>
      <c r="AU1224" s="864"/>
      <c r="AV1224" s="864"/>
      <c r="AW1224" s="864"/>
      <c r="AX1224" s="864"/>
      <c r="AY1224" s="864"/>
      <c r="AZ1224" s="864"/>
      <c r="BA1224" s="864"/>
      <c r="BB1224" s="864"/>
      <c r="BC1224" s="864"/>
      <c r="BD1224" s="864"/>
      <c r="BE1224" s="864"/>
    </row>
    <row r="1225" spans="1:57" ht="14.25" hidden="1" customHeight="1" outlineLevel="1">
      <c r="A1225" s="898" t="s">
        <v>2468</v>
      </c>
      <c r="B1225" s="895" t="s">
        <v>2164</v>
      </c>
      <c r="C1225" s="644" t="s">
        <v>1798</v>
      </c>
      <c r="D1225" s="504"/>
      <c r="H1225" s="878"/>
      <c r="I1225" s="492"/>
      <c r="J1225" s="492"/>
      <c r="K1225" s="492"/>
      <c r="L1225" s="492"/>
      <c r="M1225" s="492"/>
      <c r="N1225" s="492"/>
      <c r="O1225" s="492"/>
      <c r="P1225" s="492"/>
      <c r="Q1225" s="617"/>
      <c r="R1225" s="859"/>
      <c r="S1225" s="859"/>
      <c r="T1225" s="859"/>
      <c r="U1225" s="859"/>
      <c r="V1225" s="859"/>
      <c r="W1225" s="859"/>
      <c r="X1225" s="859"/>
      <c r="Y1225" s="859"/>
      <c r="Z1225" s="859"/>
      <c r="AA1225" s="859"/>
      <c r="AB1225" s="859"/>
      <c r="AC1225" s="859"/>
      <c r="AD1225" s="859"/>
      <c r="AE1225" s="859"/>
      <c r="AF1225" s="859"/>
      <c r="AG1225" s="859"/>
      <c r="AH1225" s="859"/>
      <c r="AI1225" s="859"/>
      <c r="AJ1225" s="859"/>
      <c r="AK1225" s="859"/>
      <c r="AL1225" s="859"/>
      <c r="AM1225" s="859"/>
      <c r="AN1225" s="859"/>
      <c r="AO1225" s="863"/>
      <c r="AP1225" s="863"/>
      <c r="AQ1225" s="864"/>
      <c r="AR1225" s="864"/>
      <c r="AS1225" s="864"/>
      <c r="AT1225" s="864"/>
      <c r="AU1225" s="864"/>
      <c r="AV1225" s="864"/>
      <c r="AW1225" s="864"/>
      <c r="AX1225" s="864"/>
      <c r="AY1225" s="864"/>
      <c r="AZ1225" s="864"/>
      <c r="BA1225" s="864"/>
      <c r="BB1225" s="864"/>
      <c r="BC1225" s="864"/>
      <c r="BD1225" s="864"/>
      <c r="BE1225" s="864"/>
    </row>
    <row r="1226" spans="1:57" ht="14.25" hidden="1" customHeight="1" outlineLevel="1">
      <c r="A1226" s="899" t="s">
        <v>2469</v>
      </c>
      <c r="B1226" s="895" t="s">
        <v>2164</v>
      </c>
      <c r="C1226" s="900"/>
      <c r="D1226" s="504"/>
      <c r="H1226" s="878"/>
      <c r="I1226" s="492"/>
      <c r="J1226" s="492"/>
      <c r="K1226" s="492"/>
      <c r="L1226" s="492"/>
      <c r="M1226" s="492"/>
      <c r="N1226" s="492"/>
      <c r="O1226" s="492"/>
      <c r="P1226" s="492"/>
      <c r="Q1226" s="617"/>
      <c r="R1226" s="859"/>
      <c r="S1226" s="859"/>
      <c r="T1226" s="859"/>
      <c r="U1226" s="859"/>
      <c r="V1226" s="859"/>
      <c r="W1226" s="859"/>
      <c r="X1226" s="859"/>
      <c r="Y1226" s="859"/>
      <c r="Z1226" s="859"/>
      <c r="AA1226" s="859"/>
      <c r="AB1226" s="859"/>
      <c r="AC1226" s="859"/>
      <c r="AD1226" s="859"/>
      <c r="AE1226" s="859"/>
      <c r="AF1226" s="859"/>
      <c r="AG1226" s="859"/>
      <c r="AH1226" s="859"/>
      <c r="AI1226" s="859"/>
      <c r="AJ1226" s="859"/>
      <c r="AK1226" s="859"/>
      <c r="AL1226" s="859"/>
      <c r="AM1226" s="859"/>
      <c r="AN1226" s="859"/>
      <c r="AO1226" s="863"/>
      <c r="AP1226" s="863"/>
      <c r="AQ1226" s="864"/>
      <c r="AR1226" s="864"/>
      <c r="AS1226" s="864"/>
      <c r="AT1226" s="864"/>
      <c r="AU1226" s="864"/>
      <c r="AV1226" s="864"/>
      <c r="AW1226" s="864"/>
      <c r="AX1226" s="864"/>
      <c r="AY1226" s="864"/>
      <c r="AZ1226" s="864"/>
      <c r="BA1226" s="864"/>
      <c r="BB1226" s="864"/>
      <c r="BC1226" s="864"/>
      <c r="BD1226" s="864"/>
      <c r="BE1226" s="864"/>
    </row>
    <row r="1227" spans="1:57" ht="14.25" hidden="1" customHeight="1" outlineLevel="1">
      <c r="A1227" s="898" t="s">
        <v>2470</v>
      </c>
      <c r="B1227" s="895" t="s">
        <v>2164</v>
      </c>
      <c r="C1227" s="644" t="s">
        <v>1798</v>
      </c>
      <c r="D1227" s="504"/>
      <c r="H1227" s="878"/>
      <c r="I1227" s="492"/>
      <c r="J1227" s="492"/>
      <c r="K1227" s="492"/>
      <c r="L1227" s="492"/>
      <c r="M1227" s="492"/>
      <c r="N1227" s="492"/>
      <c r="O1227" s="492"/>
      <c r="P1227" s="492"/>
      <c r="Q1227" s="617"/>
      <c r="R1227" s="859"/>
      <c r="S1227" s="859"/>
      <c r="T1227" s="859"/>
      <c r="U1227" s="859"/>
      <c r="V1227" s="859"/>
      <c r="W1227" s="859"/>
      <c r="X1227" s="859"/>
      <c r="Y1227" s="859"/>
      <c r="Z1227" s="859"/>
      <c r="AA1227" s="859"/>
      <c r="AB1227" s="859"/>
      <c r="AC1227" s="859"/>
      <c r="AD1227" s="859"/>
      <c r="AE1227" s="859"/>
      <c r="AF1227" s="859"/>
      <c r="AG1227" s="859"/>
      <c r="AH1227" s="859"/>
      <c r="AI1227" s="859"/>
      <c r="AJ1227" s="859"/>
      <c r="AK1227" s="859"/>
      <c r="AL1227" s="859"/>
      <c r="AM1227" s="859"/>
      <c r="AN1227" s="859"/>
      <c r="AO1227" s="863"/>
      <c r="AP1227" s="863"/>
      <c r="AQ1227" s="864"/>
      <c r="AR1227" s="864"/>
      <c r="AS1227" s="864"/>
      <c r="AT1227" s="864"/>
      <c r="AU1227" s="864"/>
      <c r="AV1227" s="864"/>
      <c r="AW1227" s="864"/>
      <c r="AX1227" s="864"/>
      <c r="AY1227" s="864"/>
      <c r="AZ1227" s="864"/>
      <c r="BA1227" s="864"/>
      <c r="BB1227" s="864"/>
      <c r="BC1227" s="864"/>
      <c r="BD1227" s="864"/>
      <c r="BE1227" s="864"/>
    </row>
    <row r="1228" spans="1:57" ht="14.25" hidden="1" customHeight="1" outlineLevel="1">
      <c r="A1228" s="898" t="s">
        <v>1278</v>
      </c>
      <c r="B1228" s="895" t="s">
        <v>2164</v>
      </c>
      <c r="C1228" s="644" t="s">
        <v>1798</v>
      </c>
      <c r="D1228" s="504"/>
      <c r="H1228" s="878"/>
      <c r="I1228" s="492"/>
      <c r="J1228" s="492"/>
      <c r="K1228" s="492"/>
      <c r="L1228" s="492"/>
      <c r="M1228" s="492"/>
      <c r="N1228" s="492"/>
      <c r="O1228" s="492"/>
      <c r="P1228" s="492"/>
      <c r="Q1228" s="617"/>
      <c r="R1228" s="859"/>
      <c r="S1228" s="859"/>
      <c r="T1228" s="859"/>
      <c r="U1228" s="859"/>
      <c r="V1228" s="859"/>
      <c r="W1228" s="859"/>
      <c r="X1228" s="859"/>
      <c r="Y1228" s="859"/>
      <c r="Z1228" s="859"/>
      <c r="AA1228" s="859"/>
      <c r="AB1228" s="859"/>
      <c r="AC1228" s="859"/>
      <c r="AD1228" s="859"/>
      <c r="AE1228" s="859"/>
      <c r="AF1228" s="859"/>
      <c r="AG1228" s="859"/>
      <c r="AH1228" s="859"/>
      <c r="AI1228" s="859"/>
      <c r="AJ1228" s="859"/>
      <c r="AK1228" s="859"/>
      <c r="AL1228" s="859"/>
      <c r="AM1228" s="859"/>
      <c r="AN1228" s="859"/>
      <c r="AO1228" s="863"/>
      <c r="AP1228" s="863"/>
      <c r="AQ1228" s="864"/>
      <c r="AR1228" s="864"/>
      <c r="AS1228" s="864"/>
      <c r="AT1228" s="864"/>
      <c r="AU1228" s="864"/>
      <c r="AV1228" s="864"/>
      <c r="AW1228" s="864"/>
      <c r="AX1228" s="864"/>
      <c r="AY1228" s="864"/>
      <c r="AZ1228" s="864"/>
      <c r="BA1228" s="864"/>
      <c r="BB1228" s="864"/>
      <c r="BC1228" s="864"/>
      <c r="BD1228" s="864"/>
      <c r="BE1228" s="864"/>
    </row>
    <row r="1229" spans="1:57" ht="14.25" hidden="1" customHeight="1" outlineLevel="1">
      <c r="A1229" s="898" t="s">
        <v>2471</v>
      </c>
      <c r="B1229" s="895" t="s">
        <v>2164</v>
      </c>
      <c r="C1229" s="644" t="s">
        <v>1798</v>
      </c>
      <c r="D1229" s="504"/>
      <c r="H1229" s="878"/>
      <c r="I1229" s="492"/>
      <c r="J1229" s="492"/>
      <c r="K1229" s="492"/>
      <c r="L1229" s="492"/>
      <c r="M1229" s="492"/>
      <c r="N1229" s="492"/>
      <c r="O1229" s="492"/>
      <c r="P1229" s="492"/>
      <c r="Q1229" s="617"/>
      <c r="R1229" s="859"/>
      <c r="S1229" s="859"/>
      <c r="T1229" s="859"/>
      <c r="U1229" s="859"/>
      <c r="V1229" s="859"/>
      <c r="W1229" s="859"/>
      <c r="X1229" s="859"/>
      <c r="Y1229" s="859"/>
      <c r="Z1229" s="859"/>
      <c r="AA1229" s="859"/>
      <c r="AB1229" s="859"/>
      <c r="AC1229" s="859"/>
      <c r="AD1229" s="859"/>
      <c r="AE1229" s="859"/>
      <c r="AF1229" s="859"/>
      <c r="AG1229" s="859"/>
      <c r="AH1229" s="859"/>
      <c r="AI1229" s="859"/>
      <c r="AJ1229" s="859"/>
      <c r="AK1229" s="859"/>
      <c r="AL1229" s="859"/>
      <c r="AM1229" s="859"/>
      <c r="AN1229" s="859"/>
      <c r="AO1229" s="863"/>
      <c r="AP1229" s="863"/>
      <c r="AQ1229" s="864"/>
      <c r="AR1229" s="864"/>
      <c r="AS1229" s="864"/>
      <c r="AT1229" s="864"/>
      <c r="AU1229" s="864"/>
      <c r="AV1229" s="864"/>
      <c r="AW1229" s="864"/>
      <c r="AX1229" s="864"/>
      <c r="AY1229" s="864"/>
      <c r="AZ1229" s="864"/>
      <c r="BA1229" s="864"/>
      <c r="BB1229" s="864"/>
      <c r="BC1229" s="864"/>
      <c r="BD1229" s="864"/>
      <c r="BE1229" s="864"/>
    </row>
    <row r="1230" spans="1:57" ht="14.25" hidden="1" customHeight="1" outlineLevel="1">
      <c r="A1230" s="899" t="s">
        <v>2472</v>
      </c>
      <c r="B1230" s="895" t="s">
        <v>2164</v>
      </c>
      <c r="C1230" s="900"/>
      <c r="D1230" s="504"/>
      <c r="H1230" s="878"/>
      <c r="I1230" s="492"/>
      <c r="J1230" s="492"/>
      <c r="K1230" s="492"/>
      <c r="L1230" s="492"/>
      <c r="M1230" s="492"/>
      <c r="N1230" s="492"/>
      <c r="O1230" s="492"/>
      <c r="P1230" s="492"/>
      <c r="Q1230" s="617"/>
      <c r="R1230" s="859"/>
      <c r="S1230" s="859"/>
      <c r="T1230" s="859"/>
      <c r="U1230" s="859"/>
      <c r="V1230" s="859"/>
      <c r="W1230" s="859"/>
      <c r="X1230" s="859"/>
      <c r="Y1230" s="859"/>
      <c r="Z1230" s="859"/>
      <c r="AA1230" s="859"/>
      <c r="AB1230" s="859"/>
      <c r="AC1230" s="859"/>
      <c r="AD1230" s="859"/>
      <c r="AE1230" s="859"/>
      <c r="AF1230" s="859"/>
      <c r="AG1230" s="859"/>
      <c r="AH1230" s="859"/>
      <c r="AI1230" s="859"/>
      <c r="AJ1230" s="859"/>
      <c r="AK1230" s="859"/>
      <c r="AL1230" s="859"/>
      <c r="AM1230" s="859"/>
      <c r="AN1230" s="859"/>
      <c r="AO1230" s="863"/>
      <c r="AP1230" s="863"/>
      <c r="AQ1230" s="864"/>
      <c r="AR1230" s="864"/>
      <c r="AS1230" s="864"/>
      <c r="AT1230" s="864"/>
      <c r="AU1230" s="864"/>
      <c r="AV1230" s="864"/>
      <c r="AW1230" s="864"/>
      <c r="AX1230" s="864"/>
      <c r="AY1230" s="864"/>
      <c r="AZ1230" s="864"/>
      <c r="BA1230" s="864"/>
      <c r="BB1230" s="864"/>
      <c r="BC1230" s="864"/>
      <c r="BD1230" s="864"/>
      <c r="BE1230" s="864"/>
    </row>
    <row r="1231" spans="1:57" ht="14.25" hidden="1" customHeight="1" outlineLevel="1">
      <c r="A1231" s="895" t="s">
        <v>1582</v>
      </c>
      <c r="B1231" s="895" t="s">
        <v>2164</v>
      </c>
      <c r="C1231" s="896" t="s">
        <v>1798</v>
      </c>
      <c r="D1231" s="504"/>
      <c r="H1231" s="504"/>
      <c r="I1231" s="490"/>
      <c r="J1231" s="490"/>
      <c r="K1231" s="897"/>
      <c r="L1231" s="888"/>
      <c r="M1231" s="888"/>
      <c r="N1231" s="888"/>
      <c r="O1231" s="888"/>
      <c r="P1231" s="617"/>
      <c r="Q1231" s="617"/>
      <c r="R1231" s="859"/>
      <c r="S1231" s="859"/>
      <c r="T1231" s="859"/>
      <c r="U1231" s="859"/>
      <c r="V1231" s="859"/>
      <c r="W1231" s="859"/>
      <c r="X1231" s="859"/>
      <c r="Y1231" s="859"/>
      <c r="Z1231" s="859"/>
      <c r="AA1231" s="859"/>
      <c r="AB1231" s="859"/>
      <c r="AC1231" s="859"/>
      <c r="AD1231" s="859"/>
      <c r="AE1231" s="859"/>
      <c r="AF1231" s="859"/>
      <c r="AG1231" s="859"/>
      <c r="AH1231" s="859"/>
      <c r="AI1231" s="859"/>
      <c r="AJ1231" s="859"/>
      <c r="AK1231" s="859"/>
      <c r="AL1231" s="859"/>
      <c r="AM1231" s="859"/>
      <c r="AN1231" s="859"/>
      <c r="AO1231" s="863"/>
      <c r="AP1231" s="863"/>
      <c r="AQ1231" s="864"/>
      <c r="AR1231" s="864"/>
      <c r="AS1231" s="864"/>
      <c r="AT1231" s="864"/>
      <c r="AU1231" s="864"/>
      <c r="AV1231" s="864"/>
      <c r="AW1231" s="864"/>
      <c r="AX1231" s="864"/>
      <c r="AY1231" s="864"/>
      <c r="AZ1231" s="864"/>
      <c r="BA1231" s="864"/>
      <c r="BB1231" s="864"/>
      <c r="BC1231" s="864"/>
      <c r="BD1231" s="864"/>
      <c r="BE1231" s="864"/>
    </row>
    <row r="1232" spans="1:57" ht="14.25" hidden="1" customHeight="1" outlineLevel="1">
      <c r="A1232" s="898" t="s">
        <v>2473</v>
      </c>
      <c r="B1232" s="895" t="s">
        <v>2164</v>
      </c>
      <c r="C1232" s="644" t="s">
        <v>1798</v>
      </c>
      <c r="D1232" s="504"/>
      <c r="H1232" s="878"/>
      <c r="I1232" s="492"/>
      <c r="J1232" s="492"/>
      <c r="K1232" s="492"/>
      <c r="L1232" s="492"/>
      <c r="M1232" s="492"/>
      <c r="N1232" s="492"/>
      <c r="O1232" s="492"/>
      <c r="P1232" s="492"/>
      <c r="Q1232" s="617"/>
      <c r="R1232" s="859"/>
      <c r="S1232" s="859"/>
      <c r="T1232" s="859"/>
      <c r="U1232" s="859"/>
      <c r="V1232" s="859"/>
      <c r="W1232" s="859"/>
      <c r="X1232" s="859"/>
      <c r="Y1232" s="859"/>
      <c r="Z1232" s="859"/>
      <c r="AA1232" s="859"/>
      <c r="AB1232" s="859"/>
      <c r="AC1232" s="859"/>
      <c r="AD1232" s="859"/>
      <c r="AE1232" s="859"/>
      <c r="AF1232" s="859"/>
      <c r="AG1232" s="859"/>
      <c r="AH1232" s="859"/>
      <c r="AI1232" s="859"/>
      <c r="AJ1232" s="859"/>
      <c r="AK1232" s="859"/>
      <c r="AL1232" s="859"/>
      <c r="AM1232" s="859"/>
      <c r="AN1232" s="859"/>
      <c r="AO1232" s="863"/>
      <c r="AP1232" s="863"/>
      <c r="AQ1232" s="864"/>
      <c r="AR1232" s="864"/>
      <c r="AS1232" s="864"/>
      <c r="AT1232" s="864"/>
      <c r="AU1232" s="864"/>
      <c r="AV1232" s="864"/>
      <c r="AW1232" s="864"/>
      <c r="AX1232" s="864"/>
      <c r="AY1232" s="864"/>
      <c r="AZ1232" s="864"/>
      <c r="BA1232" s="864"/>
      <c r="BB1232" s="864"/>
      <c r="BC1232" s="864"/>
      <c r="BD1232" s="864"/>
      <c r="BE1232" s="864"/>
    </row>
    <row r="1233" spans="1:57" ht="14.25" hidden="1" customHeight="1" outlineLevel="1">
      <c r="A1233" s="899" t="s">
        <v>2469</v>
      </c>
      <c r="B1233" s="901" t="s">
        <v>2164</v>
      </c>
      <c r="C1233" s="900"/>
      <c r="D1233" s="504"/>
      <c r="H1233" s="878"/>
      <c r="I1233" s="492"/>
      <c r="J1233" s="492"/>
      <c r="K1233" s="492"/>
      <c r="L1233" s="492"/>
      <c r="M1233" s="492"/>
      <c r="N1233" s="492"/>
      <c r="O1233" s="492"/>
      <c r="P1233" s="492"/>
      <c r="Q1233" s="617"/>
      <c r="R1233" s="859"/>
      <c r="S1233" s="859"/>
      <c r="T1233" s="859"/>
      <c r="U1233" s="859"/>
      <c r="V1233" s="859"/>
      <c r="W1233" s="859"/>
      <c r="X1233" s="859"/>
      <c r="Y1233" s="859"/>
      <c r="Z1233" s="859"/>
      <c r="AA1233" s="859"/>
      <c r="AB1233" s="859"/>
      <c r="AC1233" s="859"/>
      <c r="AD1233" s="859"/>
      <c r="AE1233" s="859"/>
      <c r="AF1233" s="859"/>
      <c r="AG1233" s="859"/>
      <c r="AH1233" s="859"/>
      <c r="AI1233" s="859"/>
      <c r="AJ1233" s="859"/>
      <c r="AK1233" s="859"/>
      <c r="AL1233" s="859"/>
      <c r="AM1233" s="859"/>
      <c r="AN1233" s="859"/>
      <c r="AO1233" s="863"/>
      <c r="AP1233" s="863"/>
      <c r="AQ1233" s="864"/>
      <c r="AR1233" s="864"/>
      <c r="AS1233" s="864"/>
      <c r="AT1233" s="864"/>
      <c r="AU1233" s="864"/>
      <c r="AV1233" s="864"/>
      <c r="AW1233" s="864"/>
      <c r="AX1233" s="864"/>
      <c r="AY1233" s="864"/>
      <c r="AZ1233" s="864"/>
      <c r="BA1233" s="864"/>
      <c r="BB1233" s="864"/>
      <c r="BC1233" s="864"/>
      <c r="BD1233" s="864"/>
      <c r="BE1233" s="864"/>
    </row>
    <row r="1234" spans="1:57" ht="14.25" hidden="1" customHeight="1" outlineLevel="1">
      <c r="A1234" s="898" t="s">
        <v>2470</v>
      </c>
      <c r="B1234" s="895" t="s">
        <v>2164</v>
      </c>
      <c r="C1234" s="644" t="s">
        <v>1798</v>
      </c>
      <c r="D1234" s="504"/>
      <c r="H1234" s="878"/>
      <c r="I1234" s="492"/>
      <c r="J1234" s="492"/>
      <c r="K1234" s="492"/>
      <c r="L1234" s="492"/>
      <c r="M1234" s="492"/>
      <c r="N1234" s="492"/>
      <c r="O1234" s="492"/>
      <c r="P1234" s="492"/>
      <c r="Q1234" s="617"/>
      <c r="R1234" s="859"/>
      <c r="S1234" s="859"/>
      <c r="T1234" s="859"/>
      <c r="U1234" s="859"/>
      <c r="V1234" s="859"/>
      <c r="W1234" s="859"/>
      <c r="X1234" s="859"/>
      <c r="Y1234" s="859"/>
      <c r="Z1234" s="859"/>
      <c r="AA1234" s="859"/>
      <c r="AB1234" s="859"/>
      <c r="AC1234" s="859"/>
      <c r="AD1234" s="859"/>
      <c r="AE1234" s="859"/>
      <c r="AF1234" s="859"/>
      <c r="AG1234" s="859"/>
      <c r="AH1234" s="859"/>
      <c r="AI1234" s="859"/>
      <c r="AJ1234" s="859"/>
      <c r="AK1234" s="859"/>
      <c r="AL1234" s="859"/>
      <c r="AM1234" s="859"/>
      <c r="AN1234" s="859"/>
      <c r="AO1234" s="863"/>
      <c r="AP1234" s="863"/>
      <c r="AQ1234" s="864"/>
      <c r="AR1234" s="864"/>
      <c r="AS1234" s="864"/>
      <c r="AT1234" s="864"/>
      <c r="AU1234" s="864"/>
      <c r="AV1234" s="864"/>
      <c r="AW1234" s="864"/>
      <c r="AX1234" s="864"/>
      <c r="AY1234" s="864"/>
      <c r="AZ1234" s="864"/>
      <c r="BA1234" s="864"/>
      <c r="BB1234" s="864"/>
      <c r="BC1234" s="864"/>
      <c r="BD1234" s="864"/>
      <c r="BE1234" s="864"/>
    </row>
    <row r="1235" spans="1:57" ht="14.25" hidden="1" customHeight="1" outlineLevel="1">
      <c r="A1235" s="898" t="s">
        <v>2471</v>
      </c>
      <c r="B1235" s="895" t="s">
        <v>2164</v>
      </c>
      <c r="C1235" s="644" t="s">
        <v>1798</v>
      </c>
      <c r="D1235" s="504"/>
      <c r="H1235" s="878"/>
      <c r="I1235" s="492"/>
      <c r="J1235" s="492"/>
      <c r="K1235" s="492"/>
      <c r="L1235" s="492"/>
      <c r="M1235" s="492"/>
      <c r="N1235" s="492"/>
      <c r="O1235" s="492"/>
      <c r="P1235" s="492"/>
      <c r="Q1235" s="617"/>
      <c r="R1235" s="859"/>
      <c r="S1235" s="859"/>
      <c r="T1235" s="859"/>
      <c r="U1235" s="859"/>
      <c r="V1235" s="859"/>
      <c r="W1235" s="859"/>
      <c r="X1235" s="859"/>
      <c r="Y1235" s="859"/>
      <c r="Z1235" s="859"/>
      <c r="AA1235" s="859"/>
      <c r="AB1235" s="859"/>
      <c r="AC1235" s="859"/>
      <c r="AD1235" s="859"/>
      <c r="AE1235" s="859"/>
      <c r="AF1235" s="859"/>
      <c r="AG1235" s="859"/>
      <c r="AH1235" s="859"/>
      <c r="AI1235" s="859"/>
      <c r="AJ1235" s="859"/>
      <c r="AK1235" s="859"/>
      <c r="AL1235" s="859"/>
      <c r="AM1235" s="859"/>
      <c r="AN1235" s="859"/>
      <c r="AO1235" s="863"/>
      <c r="AP1235" s="863"/>
      <c r="AQ1235" s="864"/>
      <c r="AR1235" s="864"/>
      <c r="AS1235" s="864"/>
      <c r="AT1235" s="864"/>
      <c r="AU1235" s="864"/>
      <c r="AV1235" s="864"/>
      <c r="AW1235" s="864"/>
      <c r="AX1235" s="864"/>
      <c r="AY1235" s="864"/>
      <c r="AZ1235" s="864"/>
      <c r="BA1235" s="864"/>
      <c r="BB1235" s="864"/>
      <c r="BC1235" s="864"/>
      <c r="BD1235" s="864"/>
      <c r="BE1235" s="864"/>
    </row>
    <row r="1236" spans="1:57" ht="14.25" hidden="1" customHeight="1" outlineLevel="1">
      <c r="A1236" s="898" t="s">
        <v>2474</v>
      </c>
      <c r="B1236" s="895" t="s">
        <v>2164</v>
      </c>
      <c r="C1236" s="644" t="s">
        <v>1798</v>
      </c>
      <c r="D1236" s="504"/>
      <c r="H1236" s="878"/>
      <c r="I1236" s="492"/>
      <c r="J1236" s="492"/>
      <c r="K1236" s="492"/>
      <c r="L1236" s="492"/>
      <c r="M1236" s="492"/>
      <c r="N1236" s="492"/>
      <c r="O1236" s="492"/>
      <c r="P1236" s="492"/>
      <c r="Q1236" s="617"/>
      <c r="R1236" s="859"/>
      <c r="S1236" s="859"/>
      <c r="T1236" s="859"/>
      <c r="U1236" s="859"/>
      <c r="V1236" s="859"/>
      <c r="W1236" s="859"/>
      <c r="X1236" s="859"/>
      <c r="Y1236" s="859"/>
      <c r="Z1236" s="859"/>
      <c r="AA1236" s="859"/>
      <c r="AB1236" s="859"/>
      <c r="AC1236" s="859"/>
      <c r="AD1236" s="859"/>
      <c r="AE1236" s="859"/>
      <c r="AF1236" s="859"/>
      <c r="AG1236" s="859"/>
      <c r="AH1236" s="859"/>
      <c r="AI1236" s="859"/>
      <c r="AJ1236" s="859"/>
      <c r="AK1236" s="859"/>
      <c r="AL1236" s="859"/>
      <c r="AM1236" s="859"/>
      <c r="AN1236" s="859"/>
      <c r="AO1236" s="863"/>
      <c r="AP1236" s="863"/>
      <c r="AQ1236" s="864"/>
      <c r="AR1236" s="864"/>
      <c r="AS1236" s="864"/>
      <c r="AT1236" s="864"/>
      <c r="AU1236" s="864"/>
      <c r="AV1236" s="864"/>
      <c r="AW1236" s="864"/>
      <c r="AX1236" s="864"/>
      <c r="AY1236" s="864"/>
      <c r="AZ1236" s="864"/>
      <c r="BA1236" s="864"/>
      <c r="BB1236" s="864"/>
      <c r="BC1236" s="864"/>
      <c r="BD1236" s="864"/>
      <c r="BE1236" s="864"/>
    </row>
    <row r="1237" spans="1:57" ht="14.25" hidden="1" customHeight="1" outlineLevel="1">
      <c r="A1237" s="899" t="s">
        <v>1282</v>
      </c>
      <c r="B1237" s="895" t="s">
        <v>2164</v>
      </c>
      <c r="C1237" s="900"/>
      <c r="D1237" s="504"/>
      <c r="H1237" s="878"/>
      <c r="I1237" s="492"/>
      <c r="J1237" s="492"/>
      <c r="K1237" s="492"/>
      <c r="L1237" s="492"/>
      <c r="M1237" s="492"/>
      <c r="N1237" s="492"/>
      <c r="O1237" s="492"/>
      <c r="P1237" s="492"/>
      <c r="Q1237" s="617"/>
      <c r="R1237" s="859"/>
      <c r="S1237" s="859"/>
      <c r="T1237" s="859"/>
      <c r="U1237" s="859"/>
      <c r="V1237" s="859"/>
      <c r="W1237" s="859"/>
      <c r="X1237" s="859"/>
      <c r="Y1237" s="859"/>
      <c r="Z1237" s="859"/>
      <c r="AA1237" s="859"/>
      <c r="AB1237" s="859"/>
      <c r="AC1237" s="859"/>
      <c r="AD1237" s="859"/>
      <c r="AE1237" s="859"/>
      <c r="AF1237" s="859"/>
      <c r="AG1237" s="859"/>
      <c r="AH1237" s="859"/>
      <c r="AI1237" s="859"/>
      <c r="AJ1237" s="859"/>
      <c r="AK1237" s="859"/>
      <c r="AL1237" s="859"/>
      <c r="AM1237" s="859"/>
      <c r="AN1237" s="859"/>
      <c r="AO1237" s="863"/>
      <c r="AP1237" s="863"/>
      <c r="AQ1237" s="864"/>
      <c r="AR1237" s="864"/>
      <c r="AS1237" s="864"/>
      <c r="AT1237" s="864"/>
      <c r="AU1237" s="864"/>
      <c r="AV1237" s="864"/>
      <c r="AW1237" s="864"/>
      <c r="AX1237" s="864"/>
      <c r="AY1237" s="864"/>
      <c r="AZ1237" s="864"/>
      <c r="BA1237" s="864"/>
      <c r="BB1237" s="864"/>
      <c r="BC1237" s="864"/>
      <c r="BD1237" s="864"/>
      <c r="BE1237" s="864"/>
    </row>
    <row r="1238" spans="1:57" ht="14.25" hidden="1" customHeight="1" outlineLevel="1">
      <c r="A1238" s="895" t="s">
        <v>1590</v>
      </c>
      <c r="B1238" s="895" t="s">
        <v>2164</v>
      </c>
      <c r="C1238" s="896" t="s">
        <v>1821</v>
      </c>
      <c r="D1238" s="504"/>
      <c r="H1238" s="504"/>
      <c r="I1238" s="490"/>
      <c r="J1238" s="490"/>
      <c r="K1238" s="897"/>
      <c r="L1238" s="888"/>
      <c r="M1238" s="888"/>
      <c r="N1238" s="888"/>
      <c r="O1238" s="888"/>
      <c r="P1238" s="617"/>
      <c r="Q1238" s="617"/>
      <c r="R1238" s="859"/>
      <c r="S1238" s="859"/>
      <c r="T1238" s="859"/>
      <c r="U1238" s="859"/>
      <c r="V1238" s="859"/>
      <c r="W1238" s="859"/>
      <c r="X1238" s="859"/>
      <c r="Y1238" s="859"/>
      <c r="Z1238" s="859"/>
      <c r="AA1238" s="859"/>
      <c r="AB1238" s="859"/>
      <c r="AC1238" s="859"/>
      <c r="AD1238" s="859"/>
      <c r="AE1238" s="859"/>
      <c r="AF1238" s="859"/>
      <c r="AG1238" s="859"/>
      <c r="AH1238" s="859"/>
      <c r="AI1238" s="859"/>
      <c r="AJ1238" s="859"/>
      <c r="AK1238" s="859"/>
      <c r="AL1238" s="859"/>
      <c r="AM1238" s="859"/>
      <c r="AN1238" s="859"/>
      <c r="AO1238" s="863"/>
      <c r="AP1238" s="863"/>
      <c r="AQ1238" s="864"/>
      <c r="AR1238" s="864"/>
      <c r="AS1238" s="864"/>
      <c r="AT1238" s="864"/>
      <c r="AU1238" s="864"/>
      <c r="AV1238" s="864"/>
      <c r="AW1238" s="864"/>
      <c r="AX1238" s="864"/>
      <c r="AY1238" s="864"/>
      <c r="AZ1238" s="864"/>
      <c r="BA1238" s="864"/>
      <c r="BB1238" s="864"/>
      <c r="BC1238" s="864"/>
      <c r="BD1238" s="864"/>
      <c r="BE1238" s="864"/>
    </row>
    <row r="1239" spans="1:57" ht="14.25" hidden="1" customHeight="1" outlineLevel="1">
      <c r="A1239" s="899" t="s">
        <v>2475</v>
      </c>
      <c r="B1239" s="895" t="s">
        <v>2164</v>
      </c>
      <c r="C1239" s="900"/>
      <c r="D1239" s="504"/>
      <c r="H1239" s="878"/>
      <c r="I1239" s="492"/>
      <c r="J1239" s="492"/>
      <c r="K1239" s="492"/>
      <c r="L1239" s="492"/>
      <c r="M1239" s="492"/>
      <c r="N1239" s="492"/>
      <c r="O1239" s="492"/>
      <c r="P1239" s="492"/>
      <c r="Q1239" s="617"/>
      <c r="R1239" s="859"/>
      <c r="S1239" s="859"/>
      <c r="T1239" s="859"/>
      <c r="U1239" s="859"/>
      <c r="V1239" s="859"/>
      <c r="W1239" s="859"/>
      <c r="X1239" s="859"/>
      <c r="Y1239" s="859"/>
      <c r="Z1239" s="859"/>
      <c r="AA1239" s="859"/>
      <c r="AB1239" s="859"/>
      <c r="AC1239" s="859"/>
      <c r="AD1239" s="859"/>
      <c r="AE1239" s="859"/>
      <c r="AF1239" s="859"/>
      <c r="AG1239" s="859"/>
      <c r="AH1239" s="859"/>
      <c r="AI1239" s="859"/>
      <c r="AJ1239" s="859"/>
      <c r="AK1239" s="859"/>
      <c r="AL1239" s="859"/>
      <c r="AM1239" s="859"/>
      <c r="AN1239" s="859"/>
      <c r="AO1239" s="863"/>
      <c r="AP1239" s="863"/>
      <c r="AQ1239" s="864"/>
      <c r="AR1239" s="864"/>
      <c r="AS1239" s="864"/>
      <c r="AT1239" s="864"/>
      <c r="AU1239" s="864"/>
      <c r="AV1239" s="864"/>
      <c r="AW1239" s="864"/>
      <c r="AX1239" s="864"/>
      <c r="AY1239" s="864"/>
      <c r="AZ1239" s="864"/>
      <c r="BA1239" s="864"/>
      <c r="BB1239" s="864"/>
      <c r="BC1239" s="864"/>
      <c r="BD1239" s="864"/>
      <c r="BE1239" s="864"/>
    </row>
    <row r="1240" spans="1:57" ht="14.25" hidden="1" customHeight="1" outlineLevel="1">
      <c r="A1240" s="898" t="s">
        <v>2476</v>
      </c>
      <c r="B1240" s="895" t="s">
        <v>133</v>
      </c>
      <c r="C1240" s="806">
        <v>0</v>
      </c>
      <c r="D1240" s="504"/>
      <c r="H1240" s="878"/>
      <c r="I1240" s="492"/>
      <c r="J1240" s="492"/>
      <c r="K1240" s="492"/>
      <c r="L1240" s="492"/>
      <c r="M1240" s="492"/>
      <c r="N1240" s="492"/>
      <c r="O1240" s="492"/>
      <c r="P1240" s="492"/>
      <c r="Q1240" s="617"/>
      <c r="R1240" s="859"/>
      <c r="S1240" s="859"/>
      <c r="T1240" s="859"/>
      <c r="U1240" s="859"/>
      <c r="V1240" s="859"/>
      <c r="W1240" s="859"/>
      <c r="X1240" s="859"/>
      <c r="Y1240" s="859"/>
      <c r="Z1240" s="859"/>
      <c r="AA1240" s="859"/>
      <c r="AB1240" s="859"/>
      <c r="AC1240" s="859"/>
      <c r="AD1240" s="859"/>
      <c r="AE1240" s="859"/>
      <c r="AF1240" s="859"/>
      <c r="AG1240" s="859"/>
      <c r="AH1240" s="859"/>
      <c r="AI1240" s="859"/>
      <c r="AJ1240" s="859"/>
      <c r="AK1240" s="859"/>
      <c r="AL1240" s="859"/>
      <c r="AM1240" s="859"/>
      <c r="AN1240" s="859"/>
      <c r="AO1240" s="863"/>
      <c r="AP1240" s="863"/>
      <c r="AQ1240" s="864"/>
      <c r="AR1240" s="864"/>
      <c r="AS1240" s="864"/>
      <c r="AT1240" s="864"/>
      <c r="AU1240" s="864"/>
      <c r="AV1240" s="864"/>
      <c r="AW1240" s="864"/>
      <c r="AX1240" s="864"/>
      <c r="AY1240" s="864"/>
      <c r="AZ1240" s="864"/>
      <c r="BA1240" s="864"/>
      <c r="BB1240" s="864"/>
      <c r="BC1240" s="864"/>
      <c r="BD1240" s="864"/>
      <c r="BE1240" s="864"/>
    </row>
    <row r="1241" spans="1:57" ht="14.25" hidden="1" customHeight="1" outlineLevel="1">
      <c r="A1241" s="898" t="s">
        <v>2477</v>
      </c>
      <c r="B1241" s="895" t="s">
        <v>2164</v>
      </c>
      <c r="C1241" s="644" t="s">
        <v>1798</v>
      </c>
      <c r="D1241" s="504"/>
      <c r="H1241" s="878"/>
      <c r="I1241" s="492"/>
      <c r="J1241" s="492"/>
      <c r="K1241" s="492"/>
      <c r="L1241" s="492"/>
      <c r="M1241" s="492"/>
      <c r="N1241" s="492"/>
      <c r="O1241" s="492"/>
      <c r="P1241" s="492"/>
      <c r="Q1241" s="617"/>
      <c r="R1241" s="859"/>
      <c r="S1241" s="859"/>
      <c r="T1241" s="859"/>
      <c r="U1241" s="859"/>
      <c r="V1241" s="859"/>
      <c r="W1241" s="859"/>
      <c r="X1241" s="859"/>
      <c r="Y1241" s="859"/>
      <c r="Z1241" s="859"/>
      <c r="AA1241" s="859"/>
      <c r="AB1241" s="859"/>
      <c r="AC1241" s="859"/>
      <c r="AD1241" s="859"/>
      <c r="AE1241" s="859"/>
      <c r="AF1241" s="859"/>
      <c r="AG1241" s="859"/>
      <c r="AH1241" s="859"/>
      <c r="AI1241" s="859"/>
      <c r="AJ1241" s="859"/>
      <c r="AK1241" s="859"/>
      <c r="AL1241" s="859"/>
      <c r="AM1241" s="859"/>
      <c r="AN1241" s="859"/>
      <c r="AO1241" s="863"/>
      <c r="AP1241" s="863"/>
      <c r="AQ1241" s="864"/>
      <c r="AR1241" s="864"/>
      <c r="AS1241" s="864"/>
      <c r="AT1241" s="864"/>
      <c r="AU1241" s="864"/>
      <c r="AV1241" s="864"/>
      <c r="AW1241" s="864"/>
      <c r="AX1241" s="864"/>
      <c r="AY1241" s="864"/>
      <c r="AZ1241" s="864"/>
      <c r="BA1241" s="864"/>
      <c r="BB1241" s="864"/>
      <c r="BC1241" s="864"/>
      <c r="BD1241" s="864"/>
      <c r="BE1241" s="864"/>
    </row>
    <row r="1242" spans="1:57" ht="14.25" hidden="1" customHeight="1" outlineLevel="1">
      <c r="A1242" s="895" t="s">
        <v>1305</v>
      </c>
      <c r="B1242" s="895" t="s">
        <v>2164</v>
      </c>
      <c r="C1242" s="896" t="s">
        <v>1798</v>
      </c>
      <c r="D1242" s="504"/>
      <c r="H1242" s="504"/>
      <c r="I1242" s="490"/>
      <c r="J1242" s="490"/>
      <c r="K1242" s="897"/>
      <c r="L1242" s="888"/>
      <c r="M1242" s="888"/>
      <c r="N1242" s="888"/>
      <c r="O1242" s="888"/>
      <c r="P1242" s="617"/>
      <c r="Q1242" s="617"/>
      <c r="R1242" s="859"/>
      <c r="S1242" s="859"/>
      <c r="T1242" s="859"/>
      <c r="U1242" s="859"/>
      <c r="V1242" s="859"/>
      <c r="W1242" s="859"/>
      <c r="X1242" s="859"/>
      <c r="Y1242" s="859"/>
      <c r="Z1242" s="859"/>
      <c r="AA1242" s="859"/>
      <c r="AB1242" s="859"/>
      <c r="AC1242" s="859"/>
      <c r="AD1242" s="859"/>
      <c r="AE1242" s="859"/>
      <c r="AF1242" s="859"/>
      <c r="AG1242" s="859"/>
      <c r="AH1242" s="859"/>
      <c r="AI1242" s="859"/>
      <c r="AJ1242" s="859"/>
      <c r="AK1242" s="859"/>
      <c r="AL1242" s="859"/>
      <c r="AM1242" s="859"/>
      <c r="AN1242" s="859"/>
      <c r="AO1242" s="863"/>
      <c r="AP1242" s="863"/>
      <c r="AQ1242" s="864"/>
      <c r="AR1242" s="864"/>
      <c r="AS1242" s="864"/>
      <c r="AT1242" s="864"/>
      <c r="AU1242" s="864"/>
      <c r="AV1242" s="864"/>
      <c r="AW1242" s="864"/>
      <c r="AX1242" s="864"/>
      <c r="AY1242" s="864"/>
      <c r="AZ1242" s="864"/>
      <c r="BA1242" s="864"/>
      <c r="BB1242" s="864"/>
      <c r="BC1242" s="864"/>
      <c r="BD1242" s="864"/>
      <c r="BE1242" s="864"/>
    </row>
    <row r="1243" spans="1:57" ht="14.25" hidden="1" customHeight="1" outlineLevel="1">
      <c r="A1243" s="898" t="s">
        <v>2478</v>
      </c>
      <c r="B1243" s="895" t="s">
        <v>133</v>
      </c>
      <c r="C1243" s="806">
        <v>6</v>
      </c>
      <c r="D1243" s="504"/>
      <c r="H1243" s="504"/>
      <c r="I1243" s="492"/>
      <c r="J1243" s="492"/>
      <c r="K1243" s="492"/>
      <c r="L1243" s="492"/>
      <c r="M1243" s="492"/>
      <c r="N1243" s="888"/>
      <c r="O1243" s="888"/>
      <c r="P1243" s="617"/>
      <c r="Q1243" s="617"/>
      <c r="R1243" s="859"/>
      <c r="S1243" s="859"/>
      <c r="T1243" s="859"/>
      <c r="U1243" s="859"/>
      <c r="V1243" s="859"/>
      <c r="W1243" s="859"/>
      <c r="X1243" s="859"/>
      <c r="Y1243" s="859"/>
      <c r="Z1243" s="859"/>
      <c r="AA1243" s="859"/>
      <c r="AB1243" s="859"/>
      <c r="AC1243" s="859"/>
      <c r="AD1243" s="859"/>
      <c r="AE1243" s="859"/>
      <c r="AF1243" s="859"/>
      <c r="AG1243" s="859"/>
      <c r="AH1243" s="859"/>
      <c r="AI1243" s="859"/>
      <c r="AJ1243" s="859"/>
      <c r="AK1243" s="859"/>
      <c r="AL1243" s="859"/>
      <c r="AM1243" s="859"/>
      <c r="AN1243" s="859"/>
      <c r="AO1243" s="863"/>
      <c r="AP1243" s="863"/>
      <c r="AQ1243" s="864"/>
      <c r="AR1243" s="864"/>
      <c r="AS1243" s="864"/>
      <c r="AT1243" s="864"/>
      <c r="AU1243" s="864"/>
      <c r="AV1243" s="864"/>
      <c r="AW1243" s="864"/>
      <c r="AX1243" s="864"/>
      <c r="AY1243" s="864"/>
      <c r="AZ1243" s="864"/>
      <c r="BA1243" s="864"/>
      <c r="BB1243" s="864"/>
      <c r="BC1243" s="864"/>
      <c r="BD1243" s="864"/>
      <c r="BE1243" s="864"/>
    </row>
    <row r="1244" spans="1:57" ht="14.25" hidden="1" customHeight="1" outlineLevel="1">
      <c r="A1244" s="898" t="s">
        <v>2479</v>
      </c>
      <c r="B1244" s="895" t="s">
        <v>133</v>
      </c>
      <c r="C1244" s="806">
        <v>6</v>
      </c>
      <c r="D1244" s="504"/>
      <c r="H1244" s="504"/>
      <c r="I1244" s="492"/>
      <c r="J1244" s="492"/>
      <c r="K1244" s="492"/>
      <c r="L1244" s="492"/>
      <c r="M1244" s="492"/>
      <c r="N1244" s="888"/>
      <c r="O1244" s="888"/>
      <c r="P1244" s="617"/>
      <c r="Q1244" s="617"/>
      <c r="R1244" s="859"/>
      <c r="S1244" s="859"/>
      <c r="T1244" s="859"/>
      <c r="U1244" s="859"/>
      <c r="V1244" s="859"/>
      <c r="W1244" s="859"/>
      <c r="X1244" s="859"/>
      <c r="Y1244" s="859"/>
      <c r="Z1244" s="859"/>
      <c r="AA1244" s="859"/>
      <c r="AB1244" s="859"/>
      <c r="AC1244" s="859"/>
      <c r="AD1244" s="859"/>
      <c r="AE1244" s="859"/>
      <c r="AF1244" s="859"/>
      <c r="AG1244" s="859"/>
      <c r="AH1244" s="859"/>
      <c r="AI1244" s="859"/>
      <c r="AJ1244" s="859"/>
      <c r="AK1244" s="859"/>
      <c r="AL1244" s="859"/>
      <c r="AM1244" s="859"/>
      <c r="AN1244" s="859"/>
      <c r="AO1244" s="863"/>
      <c r="AP1244" s="863"/>
      <c r="AQ1244" s="864"/>
      <c r="AR1244" s="864"/>
      <c r="AS1244" s="864"/>
      <c r="AT1244" s="864"/>
      <c r="AU1244" s="864"/>
      <c r="AV1244" s="864"/>
      <c r="AW1244" s="864"/>
      <c r="AX1244" s="864"/>
      <c r="AY1244" s="864"/>
      <c r="AZ1244" s="864"/>
      <c r="BA1244" s="864"/>
      <c r="BB1244" s="864"/>
      <c r="BC1244" s="864"/>
      <c r="BD1244" s="864"/>
      <c r="BE1244" s="864"/>
    </row>
    <row r="1245" spans="1:57" ht="14.25" hidden="1" customHeight="1" outlineLevel="1">
      <c r="A1245" s="898" t="s">
        <v>2480</v>
      </c>
      <c r="B1245" s="895" t="s">
        <v>133</v>
      </c>
      <c r="C1245" s="806">
        <v>6</v>
      </c>
      <c r="D1245" s="504"/>
      <c r="H1245" s="504"/>
      <c r="I1245" s="492"/>
      <c r="J1245" s="492"/>
      <c r="K1245" s="492"/>
      <c r="L1245" s="492"/>
      <c r="M1245" s="492"/>
      <c r="N1245" s="888"/>
      <c r="O1245" s="888"/>
      <c r="P1245" s="617"/>
      <c r="Q1245" s="617"/>
      <c r="R1245" s="859"/>
      <c r="S1245" s="859"/>
      <c r="T1245" s="859"/>
      <c r="U1245" s="859"/>
      <c r="V1245" s="859"/>
      <c r="W1245" s="859"/>
      <c r="X1245" s="859"/>
      <c r="Y1245" s="859"/>
      <c r="Z1245" s="859"/>
      <c r="AA1245" s="859"/>
      <c r="AB1245" s="859"/>
      <c r="AC1245" s="859"/>
      <c r="AD1245" s="859"/>
      <c r="AE1245" s="859"/>
      <c r="AF1245" s="859"/>
      <c r="AG1245" s="859"/>
      <c r="AH1245" s="859"/>
      <c r="AI1245" s="859"/>
      <c r="AJ1245" s="859"/>
      <c r="AK1245" s="859"/>
      <c r="AL1245" s="859"/>
      <c r="AM1245" s="859"/>
      <c r="AN1245" s="859"/>
      <c r="AO1245" s="863"/>
      <c r="AP1245" s="863"/>
      <c r="AQ1245" s="864"/>
      <c r="AR1245" s="864"/>
      <c r="AS1245" s="864"/>
      <c r="AT1245" s="864"/>
      <c r="AU1245" s="864"/>
      <c r="AV1245" s="864"/>
      <c r="AW1245" s="864"/>
      <c r="AX1245" s="864"/>
      <c r="AY1245" s="864"/>
      <c r="AZ1245" s="864"/>
      <c r="BA1245" s="864"/>
      <c r="BB1245" s="864"/>
      <c r="BC1245" s="864"/>
      <c r="BD1245" s="864"/>
      <c r="BE1245" s="864"/>
    </row>
    <row r="1246" spans="1:57" ht="14.25" hidden="1" customHeight="1" outlineLevel="1">
      <c r="A1246" s="898" t="s">
        <v>2481</v>
      </c>
      <c r="B1246" s="895" t="s">
        <v>2164</v>
      </c>
      <c r="C1246" s="900"/>
      <c r="D1246" s="504"/>
      <c r="H1246" s="878"/>
      <c r="I1246" s="492"/>
      <c r="J1246" s="492"/>
      <c r="K1246" s="492"/>
      <c r="L1246" s="492"/>
      <c r="M1246" s="492"/>
      <c r="N1246" s="492"/>
      <c r="O1246" s="492"/>
      <c r="P1246" s="492"/>
      <c r="Q1246" s="617"/>
      <c r="R1246" s="859"/>
      <c r="S1246" s="859"/>
      <c r="T1246" s="859"/>
      <c r="U1246" s="859"/>
      <c r="V1246" s="859"/>
      <c r="W1246" s="859"/>
      <c r="X1246" s="859"/>
      <c r="Y1246" s="859"/>
      <c r="Z1246" s="859"/>
      <c r="AA1246" s="859"/>
      <c r="AB1246" s="859"/>
      <c r="AC1246" s="859"/>
      <c r="AD1246" s="859"/>
      <c r="AE1246" s="859"/>
      <c r="AF1246" s="859"/>
      <c r="AG1246" s="859"/>
      <c r="AH1246" s="859"/>
      <c r="AI1246" s="859"/>
      <c r="AJ1246" s="859"/>
      <c r="AK1246" s="859"/>
      <c r="AL1246" s="859"/>
      <c r="AM1246" s="859"/>
      <c r="AN1246" s="859"/>
      <c r="AO1246" s="863"/>
      <c r="AP1246" s="863"/>
      <c r="AQ1246" s="864"/>
      <c r="AR1246" s="864"/>
      <c r="AS1246" s="864"/>
      <c r="AT1246" s="864"/>
      <c r="AU1246" s="864"/>
      <c r="AV1246" s="864"/>
      <c r="AW1246" s="864"/>
      <c r="AX1246" s="864"/>
      <c r="AY1246" s="864"/>
      <c r="AZ1246" s="864"/>
      <c r="BA1246" s="864"/>
      <c r="BB1246" s="864"/>
      <c r="BC1246" s="864"/>
      <c r="BD1246" s="864"/>
      <c r="BE1246" s="864"/>
    </row>
    <row r="1247" spans="1:57" ht="14.25" hidden="1" customHeight="1" outlineLevel="1">
      <c r="A1247" s="898" t="s">
        <v>2482</v>
      </c>
      <c r="B1247" s="895" t="s">
        <v>2164</v>
      </c>
      <c r="C1247" s="900"/>
      <c r="D1247" s="504"/>
      <c r="H1247" s="878"/>
      <c r="I1247" s="492"/>
      <c r="J1247" s="492"/>
      <c r="K1247" s="492"/>
      <c r="L1247" s="492"/>
      <c r="M1247" s="492"/>
      <c r="N1247" s="492"/>
      <c r="O1247" s="492"/>
      <c r="P1247" s="492"/>
      <c r="Q1247" s="617"/>
      <c r="R1247" s="859"/>
      <c r="S1247" s="859"/>
      <c r="T1247" s="859"/>
      <c r="U1247" s="859"/>
      <c r="V1247" s="859"/>
      <c r="W1247" s="859"/>
      <c r="X1247" s="859"/>
      <c r="Y1247" s="859"/>
      <c r="Z1247" s="859"/>
      <c r="AA1247" s="859"/>
      <c r="AB1247" s="859"/>
      <c r="AC1247" s="859"/>
      <c r="AD1247" s="859"/>
      <c r="AE1247" s="859"/>
      <c r="AF1247" s="859"/>
      <c r="AG1247" s="859"/>
      <c r="AH1247" s="859"/>
      <c r="AI1247" s="859"/>
      <c r="AJ1247" s="859"/>
      <c r="AK1247" s="859"/>
      <c r="AL1247" s="859"/>
      <c r="AM1247" s="859"/>
      <c r="AN1247" s="859"/>
      <c r="AO1247" s="863"/>
      <c r="AP1247" s="863"/>
      <c r="AQ1247" s="864"/>
      <c r="AR1247" s="864"/>
      <c r="AS1247" s="864"/>
      <c r="AT1247" s="864"/>
      <c r="AU1247" s="864"/>
      <c r="AV1247" s="864"/>
      <c r="AW1247" s="864"/>
      <c r="AX1247" s="864"/>
      <c r="AY1247" s="864"/>
      <c r="AZ1247" s="864"/>
      <c r="BA1247" s="864"/>
      <c r="BB1247" s="864"/>
      <c r="BC1247" s="864"/>
      <c r="BD1247" s="864"/>
      <c r="BE1247" s="864"/>
    </row>
    <row r="1248" spans="1:57" ht="14.25" hidden="1" customHeight="1" outlineLevel="1">
      <c r="A1248" s="898" t="s">
        <v>2483</v>
      </c>
      <c r="B1248" s="895" t="s">
        <v>2164</v>
      </c>
      <c r="C1248" s="900"/>
      <c r="D1248" s="504"/>
      <c r="H1248" s="878"/>
      <c r="I1248" s="492"/>
      <c r="J1248" s="492"/>
      <c r="K1248" s="492"/>
      <c r="L1248" s="492"/>
      <c r="M1248" s="492"/>
      <c r="N1248" s="492"/>
      <c r="O1248" s="492"/>
      <c r="P1248" s="492"/>
      <c r="Q1248" s="617"/>
      <c r="R1248" s="859"/>
      <c r="S1248" s="859"/>
      <c r="T1248" s="859"/>
      <c r="U1248" s="859"/>
      <c r="V1248" s="859"/>
      <c r="W1248" s="859"/>
      <c r="X1248" s="859"/>
      <c r="Y1248" s="859"/>
      <c r="Z1248" s="859"/>
      <c r="AA1248" s="859"/>
      <c r="AB1248" s="859"/>
      <c r="AC1248" s="859"/>
      <c r="AD1248" s="859"/>
      <c r="AE1248" s="859"/>
      <c r="AF1248" s="859"/>
      <c r="AG1248" s="859"/>
      <c r="AH1248" s="859"/>
      <c r="AI1248" s="859"/>
      <c r="AJ1248" s="859"/>
      <c r="AK1248" s="859"/>
      <c r="AL1248" s="859"/>
      <c r="AM1248" s="859"/>
      <c r="AN1248" s="859"/>
      <c r="AO1248" s="863"/>
      <c r="AP1248" s="863"/>
      <c r="AQ1248" s="864"/>
      <c r="AR1248" s="864"/>
      <c r="AS1248" s="864"/>
      <c r="AT1248" s="864"/>
      <c r="AU1248" s="864"/>
      <c r="AV1248" s="864"/>
      <c r="AW1248" s="864"/>
      <c r="AX1248" s="864"/>
      <c r="AY1248" s="864"/>
      <c r="AZ1248" s="864"/>
      <c r="BA1248" s="864"/>
      <c r="BB1248" s="864"/>
      <c r="BC1248" s="864"/>
      <c r="BD1248" s="864"/>
      <c r="BE1248" s="864"/>
    </row>
    <row r="1249" spans="1:58" ht="14.25" hidden="1" customHeight="1" outlineLevel="1">
      <c r="A1249" s="895" t="s">
        <v>2484</v>
      </c>
      <c r="B1249" s="895" t="s">
        <v>2164</v>
      </c>
      <c r="C1249" s="644" t="s">
        <v>1798</v>
      </c>
      <c r="D1249" s="504"/>
      <c r="H1249" s="878"/>
      <c r="I1249" s="492"/>
      <c r="J1249" s="492"/>
      <c r="K1249" s="492"/>
      <c r="L1249" s="492"/>
      <c r="M1249" s="492"/>
      <c r="N1249" s="492"/>
      <c r="O1249" s="492"/>
      <c r="P1249" s="492"/>
      <c r="Q1249" s="617"/>
      <c r="R1249" s="859"/>
      <c r="S1249" s="859"/>
      <c r="T1249" s="859"/>
      <c r="U1249" s="859"/>
      <c r="V1249" s="859"/>
      <c r="W1249" s="859"/>
      <c r="X1249" s="859"/>
      <c r="Y1249" s="859"/>
      <c r="Z1249" s="859"/>
      <c r="AA1249" s="859"/>
      <c r="AB1249" s="859"/>
      <c r="AC1249" s="859"/>
      <c r="AD1249" s="859"/>
      <c r="AE1249" s="859"/>
      <c r="AF1249" s="859"/>
      <c r="AG1249" s="859"/>
      <c r="AH1249" s="859"/>
      <c r="AI1249" s="859"/>
      <c r="AJ1249" s="859"/>
      <c r="AK1249" s="859"/>
      <c r="AL1249" s="859"/>
      <c r="AM1249" s="859"/>
      <c r="AN1249" s="859"/>
      <c r="AO1249" s="863"/>
      <c r="AP1249" s="863"/>
      <c r="AQ1249" s="864"/>
      <c r="AR1249" s="864"/>
      <c r="AS1249" s="864"/>
      <c r="AT1249" s="864"/>
      <c r="AU1249" s="864"/>
      <c r="AV1249" s="864"/>
      <c r="AW1249" s="864"/>
      <c r="AX1249" s="864"/>
      <c r="AY1249" s="864"/>
      <c r="AZ1249" s="864"/>
      <c r="BA1249" s="864"/>
      <c r="BB1249" s="864"/>
      <c r="BC1249" s="864"/>
      <c r="BD1249" s="864"/>
      <c r="BE1249" s="864"/>
    </row>
    <row r="1250" spans="1:58" s="370" customFormat="1" ht="14.25" hidden="1" customHeight="1" outlineLevel="1">
      <c r="A1250" s="902" t="s">
        <v>2211</v>
      </c>
      <c r="B1250" s="895" t="s">
        <v>2164</v>
      </c>
      <c r="C1250" s="644" t="s">
        <v>1821</v>
      </c>
      <c r="D1250" s="504"/>
      <c r="H1250" s="878"/>
      <c r="I1250" s="492"/>
      <c r="J1250" s="492"/>
      <c r="K1250" s="492"/>
      <c r="L1250" s="492"/>
      <c r="M1250" s="492"/>
      <c r="N1250" s="492"/>
      <c r="O1250" s="492"/>
      <c r="P1250" s="492"/>
      <c r="Q1250" s="617"/>
      <c r="R1250" s="808"/>
      <c r="S1250" s="808"/>
      <c r="T1250" s="808"/>
      <c r="U1250" s="808"/>
      <c r="V1250" s="808"/>
      <c r="W1250" s="808"/>
      <c r="X1250" s="808"/>
      <c r="Y1250" s="808"/>
      <c r="Z1250" s="808"/>
      <c r="AA1250" s="808"/>
      <c r="AB1250" s="808"/>
      <c r="AC1250" s="808"/>
      <c r="AD1250" s="808"/>
      <c r="AE1250" s="808"/>
      <c r="AF1250" s="808"/>
      <c r="AG1250" s="808"/>
      <c r="AH1250" s="808"/>
      <c r="AI1250" s="808"/>
      <c r="AJ1250" s="808"/>
      <c r="AK1250" s="808"/>
      <c r="AL1250" s="808"/>
      <c r="AM1250" s="808"/>
      <c r="AN1250" s="808"/>
      <c r="AO1250" s="809"/>
      <c r="AP1250" s="809"/>
      <c r="AQ1250" s="810"/>
      <c r="AR1250" s="810"/>
      <c r="AS1250" s="810"/>
      <c r="AT1250" s="810"/>
      <c r="AU1250" s="810"/>
      <c r="AV1250" s="810"/>
      <c r="AW1250" s="810"/>
      <c r="AX1250" s="810"/>
      <c r="AY1250" s="810"/>
      <c r="AZ1250" s="810"/>
      <c r="BA1250" s="810"/>
      <c r="BB1250" s="810"/>
      <c r="BC1250" s="810"/>
      <c r="BD1250" s="810"/>
      <c r="BE1250" s="810"/>
      <c r="BF1250" s="428"/>
    </row>
    <row r="1251" spans="1:58" ht="14.25" hidden="1" customHeight="1" outlineLevel="1">
      <c r="A1251" s="898" t="s">
        <v>2485</v>
      </c>
      <c r="B1251" s="895" t="s">
        <v>2164</v>
      </c>
      <c r="C1251" s="644" t="s">
        <v>1821</v>
      </c>
      <c r="D1251" s="504"/>
      <c r="H1251" s="878"/>
      <c r="I1251" s="492"/>
      <c r="J1251" s="492"/>
      <c r="K1251" s="492"/>
      <c r="L1251" s="492"/>
      <c r="M1251" s="492"/>
      <c r="N1251" s="492"/>
      <c r="O1251" s="492"/>
      <c r="P1251" s="492"/>
      <c r="Q1251" s="617"/>
      <c r="R1251" s="859"/>
      <c r="S1251" s="859"/>
      <c r="T1251" s="859"/>
      <c r="U1251" s="859"/>
      <c r="V1251" s="859"/>
      <c r="W1251" s="859"/>
      <c r="X1251" s="859"/>
      <c r="Y1251" s="859"/>
      <c r="Z1251" s="859"/>
      <c r="AA1251" s="859"/>
      <c r="AB1251" s="859"/>
      <c r="AC1251" s="859"/>
      <c r="AD1251" s="859"/>
      <c r="AE1251" s="859"/>
      <c r="AF1251" s="859"/>
      <c r="AG1251" s="859"/>
      <c r="AH1251" s="859"/>
      <c r="AI1251" s="859"/>
      <c r="AJ1251" s="859"/>
      <c r="AK1251" s="859"/>
      <c r="AL1251" s="859"/>
      <c r="AM1251" s="859"/>
      <c r="AN1251" s="859"/>
      <c r="AO1251" s="863"/>
      <c r="AP1251" s="863"/>
      <c r="AQ1251" s="864"/>
      <c r="AR1251" s="864"/>
      <c r="AS1251" s="864"/>
      <c r="AT1251" s="864"/>
      <c r="AU1251" s="864"/>
      <c r="AV1251" s="864"/>
      <c r="AW1251" s="864"/>
      <c r="AX1251" s="864"/>
      <c r="AY1251" s="864"/>
      <c r="AZ1251" s="864"/>
      <c r="BA1251" s="864"/>
      <c r="BB1251" s="864"/>
      <c r="BC1251" s="864"/>
      <c r="BD1251" s="864"/>
      <c r="BE1251" s="864"/>
    </row>
    <row r="1252" spans="1:58" ht="14.25" hidden="1" customHeight="1" outlineLevel="1">
      <c r="A1252" s="898" t="s">
        <v>2486</v>
      </c>
      <c r="B1252" s="895" t="s">
        <v>2164</v>
      </c>
      <c r="C1252" s="644" t="s">
        <v>1821</v>
      </c>
      <c r="D1252" s="504"/>
      <c r="H1252" s="878"/>
      <c r="I1252" s="492"/>
      <c r="J1252" s="492"/>
      <c r="K1252" s="492"/>
      <c r="L1252" s="492"/>
      <c r="M1252" s="492"/>
      <c r="N1252" s="492"/>
      <c r="O1252" s="492"/>
      <c r="P1252" s="492"/>
      <c r="Q1252" s="617"/>
      <c r="R1252" s="859"/>
      <c r="S1252" s="859"/>
      <c r="T1252" s="859"/>
      <c r="U1252" s="859"/>
      <c r="V1252" s="859"/>
      <c r="W1252" s="859"/>
      <c r="X1252" s="859"/>
      <c r="Y1252" s="859"/>
      <c r="Z1252" s="859"/>
      <c r="AA1252" s="859"/>
      <c r="AB1252" s="859"/>
      <c r="AC1252" s="859"/>
      <c r="AD1252" s="859"/>
      <c r="AE1252" s="859"/>
      <c r="AF1252" s="859"/>
      <c r="AG1252" s="859"/>
      <c r="AH1252" s="859"/>
      <c r="AI1252" s="859"/>
      <c r="AJ1252" s="859"/>
      <c r="AK1252" s="859"/>
      <c r="AL1252" s="859"/>
      <c r="AM1252" s="859"/>
      <c r="AN1252" s="859"/>
      <c r="AO1252" s="863"/>
      <c r="AP1252" s="863"/>
      <c r="AQ1252" s="864"/>
      <c r="AR1252" s="864"/>
      <c r="AS1252" s="864"/>
      <c r="AT1252" s="864"/>
      <c r="AU1252" s="864"/>
      <c r="AV1252" s="864"/>
      <c r="AW1252" s="864"/>
      <c r="AX1252" s="864"/>
      <c r="AY1252" s="864"/>
      <c r="AZ1252" s="864"/>
      <c r="BA1252" s="864"/>
      <c r="BB1252" s="864"/>
      <c r="BC1252" s="864"/>
      <c r="BD1252" s="864"/>
      <c r="BE1252" s="864"/>
    </row>
    <row r="1253" spans="1:58" ht="14.25" hidden="1" customHeight="1" outlineLevel="1">
      <c r="A1253" s="898" t="s">
        <v>2487</v>
      </c>
      <c r="B1253" s="895" t="s">
        <v>2164</v>
      </c>
      <c r="C1253" s="644" t="s">
        <v>1821</v>
      </c>
      <c r="D1253" s="504"/>
      <c r="H1253" s="878"/>
      <c r="I1253" s="492"/>
      <c r="J1253" s="492"/>
      <c r="K1253" s="492"/>
      <c r="L1253" s="492"/>
      <c r="M1253" s="492"/>
      <c r="N1253" s="492"/>
      <c r="O1253" s="492"/>
      <c r="P1253" s="492"/>
      <c r="Q1253" s="617"/>
      <c r="R1253" s="859"/>
      <c r="S1253" s="859"/>
      <c r="T1253" s="859"/>
      <c r="U1253" s="859"/>
      <c r="V1253" s="859"/>
      <c r="W1253" s="859"/>
      <c r="X1253" s="859"/>
      <c r="Y1253" s="859"/>
      <c r="Z1253" s="859"/>
      <c r="AA1253" s="859"/>
      <c r="AB1253" s="859"/>
      <c r="AC1253" s="859"/>
      <c r="AD1253" s="859"/>
      <c r="AE1253" s="859"/>
      <c r="AF1253" s="859"/>
      <c r="AG1253" s="859"/>
      <c r="AH1253" s="859"/>
      <c r="AI1253" s="859"/>
      <c r="AJ1253" s="859"/>
      <c r="AK1253" s="859"/>
      <c r="AL1253" s="859"/>
      <c r="AM1253" s="859"/>
      <c r="AN1253" s="859"/>
      <c r="AO1253" s="863"/>
      <c r="AP1253" s="863"/>
      <c r="AQ1253" s="864"/>
      <c r="AR1253" s="864"/>
      <c r="AS1253" s="864"/>
      <c r="AT1253" s="864"/>
      <c r="AU1253" s="864"/>
      <c r="AV1253" s="864"/>
      <c r="AW1253" s="864"/>
      <c r="AX1253" s="864"/>
      <c r="AY1253" s="864"/>
      <c r="AZ1253" s="864"/>
      <c r="BA1253" s="864"/>
      <c r="BB1253" s="864"/>
      <c r="BC1253" s="864"/>
      <c r="BD1253" s="864"/>
      <c r="BE1253" s="864"/>
    </row>
    <row r="1254" spans="1:58" ht="14.25" hidden="1" customHeight="1" outlineLevel="1">
      <c r="A1254" s="898" t="s">
        <v>2488</v>
      </c>
      <c r="B1254" s="895" t="s">
        <v>2164</v>
      </c>
      <c r="C1254" s="644" t="s">
        <v>1821</v>
      </c>
      <c r="D1254" s="504"/>
      <c r="H1254" s="878"/>
      <c r="I1254" s="492"/>
      <c r="J1254" s="492"/>
      <c r="K1254" s="492"/>
      <c r="L1254" s="492"/>
      <c r="M1254" s="492"/>
      <c r="N1254" s="492"/>
      <c r="O1254" s="492"/>
      <c r="P1254" s="492"/>
      <c r="Q1254" s="617"/>
      <c r="R1254" s="859"/>
      <c r="S1254" s="859"/>
      <c r="T1254" s="859"/>
      <c r="U1254" s="859"/>
      <c r="V1254" s="859"/>
      <c r="W1254" s="859"/>
      <c r="X1254" s="859"/>
      <c r="Y1254" s="859"/>
      <c r="Z1254" s="859"/>
      <c r="AA1254" s="859"/>
      <c r="AB1254" s="859"/>
      <c r="AC1254" s="859"/>
      <c r="AD1254" s="859"/>
      <c r="AE1254" s="859"/>
      <c r="AF1254" s="859"/>
      <c r="AG1254" s="859"/>
      <c r="AH1254" s="859"/>
      <c r="AI1254" s="859"/>
      <c r="AJ1254" s="859"/>
      <c r="AK1254" s="859"/>
      <c r="AL1254" s="859"/>
      <c r="AM1254" s="859"/>
      <c r="AN1254" s="859"/>
      <c r="AO1254" s="863"/>
      <c r="AP1254" s="863"/>
      <c r="AQ1254" s="864"/>
      <c r="AR1254" s="864"/>
      <c r="AS1254" s="864"/>
      <c r="AT1254" s="864"/>
      <c r="AU1254" s="864"/>
      <c r="AV1254" s="864"/>
      <c r="AW1254" s="864"/>
      <c r="AX1254" s="864"/>
      <c r="AY1254" s="864"/>
      <c r="AZ1254" s="864"/>
      <c r="BA1254" s="864"/>
      <c r="BB1254" s="864"/>
      <c r="BC1254" s="864"/>
      <c r="BD1254" s="864"/>
      <c r="BE1254" s="864"/>
    </row>
    <row r="1255" spans="1:58" s="370" customFormat="1" ht="14.25" hidden="1" customHeight="1" outlineLevel="1">
      <c r="A1255" s="504"/>
      <c r="B1255" s="878"/>
      <c r="C1255" s="900"/>
      <c r="D1255" s="504"/>
      <c r="H1255" s="616"/>
      <c r="I1255" s="616"/>
      <c r="J1255" s="616"/>
      <c r="K1255" s="616"/>
      <c r="L1255" s="616"/>
      <c r="M1255" s="616"/>
      <c r="N1255" s="616"/>
      <c r="O1255" s="616"/>
      <c r="P1255" s="617"/>
      <c r="Q1255" s="617"/>
      <c r="R1255" s="808"/>
      <c r="S1255" s="808"/>
      <c r="T1255" s="808"/>
      <c r="U1255" s="808"/>
      <c r="V1255" s="808"/>
      <c r="W1255" s="808"/>
      <c r="X1255" s="808"/>
      <c r="Y1255" s="808"/>
      <c r="Z1255" s="808"/>
      <c r="AA1255" s="808"/>
      <c r="AB1255" s="808"/>
      <c r="AC1255" s="808"/>
      <c r="AD1255" s="808"/>
      <c r="AE1255" s="808"/>
      <c r="AF1255" s="808"/>
      <c r="AG1255" s="808"/>
      <c r="AH1255" s="808"/>
      <c r="AI1255" s="808"/>
      <c r="AJ1255" s="808"/>
      <c r="AK1255" s="808"/>
      <c r="AL1255" s="808"/>
      <c r="AM1255" s="808"/>
      <c r="AN1255" s="808"/>
      <c r="AO1255" s="809"/>
      <c r="AP1255" s="809"/>
      <c r="AQ1255" s="810"/>
      <c r="AR1255" s="810"/>
      <c r="AS1255" s="810"/>
      <c r="AT1255" s="810"/>
      <c r="AU1255" s="810"/>
      <c r="AV1255" s="810"/>
      <c r="AW1255" s="810"/>
      <c r="AX1255" s="810"/>
      <c r="AY1255" s="810"/>
      <c r="AZ1255" s="810"/>
      <c r="BA1255" s="810"/>
      <c r="BB1255" s="810"/>
      <c r="BC1255" s="810"/>
      <c r="BD1255" s="810"/>
      <c r="BE1255" s="810"/>
      <c r="BF1255" s="428"/>
    </row>
    <row r="1256" spans="1:58" s="370" customFormat="1" ht="14.25" hidden="1" customHeight="1" outlineLevel="1">
      <c r="A1256" s="492" t="s">
        <v>151</v>
      </c>
      <c r="B1256" s="490"/>
      <c r="C1256" s="686"/>
      <c r="D1256" s="504"/>
      <c r="H1256" s="616"/>
      <c r="I1256" s="616"/>
      <c r="J1256" s="616"/>
      <c r="K1256" s="616"/>
      <c r="L1256" s="616"/>
      <c r="M1256" s="616"/>
      <c r="N1256" s="616"/>
      <c r="O1256" s="616"/>
      <c r="P1256" s="617"/>
      <c r="Q1256" s="617"/>
      <c r="R1256" s="808"/>
      <c r="S1256" s="808"/>
      <c r="T1256" s="808"/>
      <c r="U1256" s="808"/>
      <c r="V1256" s="808"/>
      <c r="W1256" s="808"/>
      <c r="X1256" s="808"/>
      <c r="Y1256" s="808"/>
      <c r="Z1256" s="808"/>
      <c r="AA1256" s="808"/>
      <c r="AB1256" s="808"/>
      <c r="AC1256" s="808"/>
      <c r="AD1256" s="808"/>
      <c r="AE1256" s="808"/>
      <c r="AF1256" s="808"/>
      <c r="AG1256" s="808"/>
      <c r="AH1256" s="808"/>
      <c r="AI1256" s="808"/>
      <c r="AJ1256" s="808"/>
      <c r="AK1256" s="808"/>
      <c r="AL1256" s="808"/>
      <c r="AM1256" s="808"/>
      <c r="AN1256" s="808"/>
      <c r="AO1256" s="809"/>
      <c r="AP1256" s="809"/>
      <c r="AQ1256" s="810"/>
      <c r="AR1256" s="810"/>
      <c r="AS1256" s="810"/>
      <c r="AT1256" s="810"/>
      <c r="AU1256" s="810"/>
      <c r="AV1256" s="810"/>
      <c r="AW1256" s="810"/>
      <c r="AX1256" s="810"/>
      <c r="AY1256" s="810"/>
      <c r="AZ1256" s="810"/>
      <c r="BA1256" s="810"/>
      <c r="BB1256" s="810"/>
      <c r="BC1256" s="810"/>
      <c r="BD1256" s="810"/>
      <c r="BE1256" s="810"/>
      <c r="BF1256" s="428"/>
    </row>
    <row r="1257" spans="1:58" s="370" customFormat="1" ht="14.25" hidden="1" customHeight="1" outlineLevel="1">
      <c r="A1257" s="412" t="s">
        <v>152</v>
      </c>
      <c r="B1257" s="877" t="s">
        <v>154</v>
      </c>
      <c r="C1257" s="611">
        <v>0</v>
      </c>
      <c r="D1257" s="504"/>
      <c r="H1257" s="616"/>
      <c r="I1257" s="616"/>
      <c r="J1257" s="616"/>
      <c r="K1257" s="616"/>
      <c r="L1257" s="616"/>
      <c r="M1257" s="616"/>
      <c r="N1257" s="616"/>
      <c r="O1257" s="616"/>
      <c r="P1257" s="617"/>
      <c r="Q1257" s="617"/>
      <c r="R1257" s="808"/>
      <c r="S1257" s="808"/>
      <c r="T1257" s="808"/>
      <c r="U1257" s="808"/>
      <c r="V1257" s="808"/>
      <c r="W1257" s="808"/>
      <c r="X1257" s="808"/>
      <c r="Y1257" s="808"/>
      <c r="Z1257" s="808"/>
      <c r="AA1257" s="808"/>
      <c r="AB1257" s="808"/>
      <c r="AC1257" s="808"/>
      <c r="AD1257" s="808"/>
      <c r="AE1257" s="808"/>
      <c r="AF1257" s="808"/>
      <c r="AG1257" s="808"/>
      <c r="AH1257" s="808"/>
      <c r="AI1257" s="808"/>
      <c r="AJ1257" s="808"/>
      <c r="AK1257" s="808"/>
      <c r="AL1257" s="808"/>
      <c r="AM1257" s="808"/>
      <c r="AN1257" s="808"/>
      <c r="AO1257" s="809"/>
      <c r="AP1257" s="809"/>
      <c r="AQ1257" s="810"/>
      <c r="AR1257" s="810"/>
      <c r="AS1257" s="810"/>
      <c r="AT1257" s="810"/>
      <c r="AU1257" s="810"/>
      <c r="AV1257" s="810"/>
      <c r="AW1257" s="810"/>
      <c r="AX1257" s="810"/>
      <c r="AY1257" s="810"/>
      <c r="AZ1257" s="810"/>
      <c r="BA1257" s="810"/>
      <c r="BB1257" s="810"/>
      <c r="BC1257" s="810"/>
      <c r="BD1257" s="810"/>
      <c r="BE1257" s="810"/>
      <c r="BF1257" s="428"/>
    </row>
    <row r="1258" spans="1:58" s="370" customFormat="1" ht="14.25" hidden="1" customHeight="1" outlineLevel="1">
      <c r="A1258" s="414" t="s">
        <v>152</v>
      </c>
      <c r="B1258" s="415" t="s">
        <v>159</v>
      </c>
      <c r="C1258" s="263">
        <v>0</v>
      </c>
      <c r="D1258" s="504"/>
      <c r="H1258" s="616"/>
      <c r="I1258" s="616"/>
      <c r="J1258" s="616"/>
      <c r="K1258" s="616"/>
      <c r="L1258" s="616"/>
      <c r="M1258" s="616"/>
      <c r="N1258" s="616"/>
      <c r="O1258" s="616"/>
      <c r="P1258" s="617"/>
      <c r="Q1258" s="617"/>
      <c r="R1258" s="808"/>
      <c r="S1258" s="808"/>
      <c r="T1258" s="808"/>
      <c r="U1258" s="808"/>
      <c r="V1258" s="808"/>
      <c r="W1258" s="808"/>
      <c r="X1258" s="808"/>
      <c r="Y1258" s="808"/>
      <c r="Z1258" s="808"/>
      <c r="AA1258" s="808"/>
      <c r="AB1258" s="808"/>
      <c r="AC1258" s="808"/>
      <c r="AD1258" s="808"/>
      <c r="AE1258" s="808"/>
      <c r="AF1258" s="808"/>
      <c r="AG1258" s="808"/>
      <c r="AH1258" s="808"/>
      <c r="AI1258" s="808"/>
      <c r="AJ1258" s="808"/>
      <c r="AK1258" s="808"/>
      <c r="AL1258" s="808"/>
      <c r="AM1258" s="808"/>
      <c r="AN1258" s="808"/>
      <c r="AO1258" s="809"/>
      <c r="AP1258" s="809"/>
      <c r="AQ1258" s="810"/>
      <c r="AR1258" s="810"/>
      <c r="AS1258" s="810"/>
      <c r="AT1258" s="810"/>
      <c r="AU1258" s="810"/>
      <c r="AV1258" s="810"/>
      <c r="AW1258" s="810"/>
      <c r="AX1258" s="810"/>
      <c r="AY1258" s="810"/>
      <c r="AZ1258" s="810"/>
      <c r="BA1258" s="810"/>
      <c r="BB1258" s="810"/>
      <c r="BC1258" s="810"/>
      <c r="BD1258" s="810"/>
      <c r="BE1258" s="810"/>
      <c r="BF1258" s="428"/>
    </row>
    <row r="1259" spans="1:58" s="370" customFormat="1" ht="14.25" hidden="1" customHeight="1" outlineLevel="1">
      <c r="A1259" s="331"/>
      <c r="B1259" s="332"/>
      <c r="D1259" s="504"/>
      <c r="H1259" s="616"/>
      <c r="I1259" s="616"/>
      <c r="J1259" s="616"/>
      <c r="K1259" s="616"/>
      <c r="L1259" s="616"/>
      <c r="M1259" s="616"/>
      <c r="N1259" s="616"/>
      <c r="O1259" s="616"/>
      <c r="P1259" s="617"/>
      <c r="Q1259" s="617"/>
      <c r="R1259" s="808"/>
      <c r="S1259" s="808"/>
      <c r="T1259" s="808"/>
      <c r="U1259" s="808"/>
      <c r="V1259" s="808"/>
      <c r="W1259" s="808"/>
      <c r="X1259" s="808"/>
      <c r="Y1259" s="808"/>
      <c r="Z1259" s="808"/>
      <c r="AA1259" s="808"/>
      <c r="AB1259" s="808"/>
      <c r="AC1259" s="808"/>
      <c r="AD1259" s="808"/>
      <c r="AE1259" s="808"/>
      <c r="AF1259" s="808"/>
      <c r="AG1259" s="808"/>
      <c r="AH1259" s="808"/>
      <c r="AI1259" s="808"/>
      <c r="AJ1259" s="808"/>
      <c r="AK1259" s="808"/>
      <c r="AL1259" s="808"/>
      <c r="AM1259" s="808"/>
      <c r="AN1259" s="808"/>
      <c r="AO1259" s="809"/>
      <c r="AP1259" s="809"/>
      <c r="AQ1259" s="810"/>
      <c r="AR1259" s="810"/>
      <c r="AS1259" s="810"/>
      <c r="AT1259" s="810"/>
      <c r="AU1259" s="810"/>
      <c r="AV1259" s="810"/>
      <c r="AW1259" s="810"/>
      <c r="AX1259" s="810"/>
      <c r="AY1259" s="810"/>
      <c r="AZ1259" s="810"/>
      <c r="BA1259" s="810"/>
      <c r="BB1259" s="810"/>
      <c r="BC1259" s="810"/>
      <c r="BD1259" s="810"/>
      <c r="BE1259" s="810"/>
      <c r="BF1259" s="428"/>
    </row>
    <row r="1260" spans="1:58" s="370" customFormat="1" ht="14.25" hidden="1" customHeight="1" outlineLevel="1">
      <c r="A1260" s="263" t="s">
        <v>2489</v>
      </c>
      <c r="B1260" s="415" t="s">
        <v>1796</v>
      </c>
      <c r="C1260" s="501">
        <v>5000</v>
      </c>
      <c r="D1260" s="504"/>
      <c r="H1260" s="616"/>
      <c r="I1260" s="616"/>
      <c r="J1260" s="616"/>
      <c r="K1260" s="616"/>
      <c r="L1260" s="616"/>
      <c r="M1260" s="616"/>
      <c r="N1260" s="616"/>
      <c r="O1260" s="616"/>
      <c r="P1260" s="617"/>
      <c r="Q1260" s="617"/>
      <c r="R1260" s="808"/>
      <c r="S1260" s="808"/>
      <c r="T1260" s="808"/>
      <c r="U1260" s="808"/>
      <c r="V1260" s="808"/>
      <c r="W1260" s="808"/>
      <c r="X1260" s="808"/>
      <c r="Y1260" s="808"/>
      <c r="Z1260" s="808"/>
      <c r="AA1260" s="808"/>
      <c r="AB1260" s="808"/>
      <c r="AC1260" s="808"/>
      <c r="AD1260" s="808"/>
      <c r="AE1260" s="808"/>
      <c r="AF1260" s="808"/>
      <c r="AG1260" s="808"/>
      <c r="AH1260" s="808"/>
      <c r="AI1260" s="808"/>
      <c r="AJ1260" s="808"/>
      <c r="AK1260" s="808"/>
      <c r="AL1260" s="808"/>
      <c r="AM1260" s="808"/>
      <c r="AN1260" s="808"/>
      <c r="AO1260" s="809"/>
      <c r="AP1260" s="809"/>
      <c r="AQ1260" s="810"/>
      <c r="AR1260" s="810"/>
      <c r="AS1260" s="810"/>
      <c r="AT1260" s="810"/>
      <c r="AU1260" s="810"/>
      <c r="AV1260" s="810"/>
      <c r="AW1260" s="810"/>
      <c r="AX1260" s="810"/>
      <c r="AY1260" s="810"/>
      <c r="AZ1260" s="810"/>
      <c r="BA1260" s="810"/>
      <c r="BB1260" s="810"/>
      <c r="BC1260" s="810"/>
      <c r="BD1260" s="810"/>
      <c r="BE1260" s="810"/>
      <c r="BF1260" s="428"/>
    </row>
    <row r="1261" spans="1:58" ht="14.25" hidden="1" customHeight="1" outlineLevel="1">
      <c r="A1261" s="504"/>
      <c r="B1261" s="878"/>
      <c r="C1261" s="616"/>
      <c r="D1261" s="504"/>
      <c r="H1261" s="616"/>
      <c r="I1261" s="616"/>
      <c r="J1261" s="616"/>
      <c r="K1261" s="616"/>
      <c r="L1261" s="616"/>
      <c r="M1261" s="616"/>
      <c r="N1261" s="616"/>
      <c r="O1261" s="616"/>
      <c r="P1261" s="617"/>
      <c r="Q1261" s="617"/>
      <c r="R1261" s="859"/>
      <c r="S1261" s="859"/>
      <c r="T1261" s="859"/>
      <c r="U1261" s="859"/>
      <c r="V1261" s="859"/>
      <c r="W1261" s="859"/>
      <c r="X1261" s="859"/>
      <c r="Y1261" s="859"/>
      <c r="Z1261" s="859"/>
      <c r="AA1261" s="859"/>
      <c r="AB1261" s="859"/>
      <c r="AC1261" s="859"/>
      <c r="AD1261" s="859"/>
      <c r="AE1261" s="859"/>
      <c r="AF1261" s="859"/>
      <c r="AG1261" s="859"/>
      <c r="AH1261" s="859"/>
      <c r="AI1261" s="859"/>
      <c r="AJ1261" s="859"/>
      <c r="AK1261" s="859"/>
      <c r="AL1261" s="859"/>
      <c r="AM1261" s="859"/>
      <c r="AN1261" s="859"/>
      <c r="AO1261" s="863"/>
      <c r="AP1261" s="863"/>
      <c r="AQ1261" s="864"/>
      <c r="AR1261" s="864"/>
      <c r="AS1261" s="864"/>
      <c r="AT1261" s="864"/>
      <c r="AU1261" s="864"/>
      <c r="AV1261" s="864"/>
      <c r="AW1261" s="864"/>
      <c r="AX1261" s="864"/>
      <c r="AY1261" s="864"/>
      <c r="AZ1261" s="864"/>
      <c r="BA1261" s="864"/>
      <c r="BB1261" s="864"/>
      <c r="BC1261" s="864"/>
      <c r="BD1261" s="864"/>
      <c r="BE1261" s="864"/>
    </row>
    <row r="1262" spans="1:58" ht="14.25" customHeight="1" collapsed="1">
      <c r="A1262" s="3134" t="s">
        <v>2490</v>
      </c>
      <c r="B1262" s="3134"/>
      <c r="C1262" s="3134"/>
      <c r="D1262" s="3134"/>
      <c r="E1262" s="3134"/>
      <c r="F1262" s="653" t="s">
        <v>1798</v>
      </c>
      <c r="H1262" s="646"/>
      <c r="I1262" s="646"/>
      <c r="J1262" s="646"/>
      <c r="K1262" s="646"/>
      <c r="L1262" s="646"/>
      <c r="M1262" s="616"/>
      <c r="N1262" s="616"/>
      <c r="O1262" s="616"/>
      <c r="P1262" s="617"/>
      <c r="Q1262" s="366"/>
      <c r="R1262" s="617"/>
      <c r="S1262" s="859"/>
      <c r="T1262" s="617"/>
      <c r="U1262" s="617"/>
      <c r="V1262" s="859"/>
      <c r="W1262" s="859"/>
      <c r="X1262" s="859"/>
      <c r="Y1262" s="859"/>
      <c r="Z1262" s="859"/>
      <c r="AA1262" s="859"/>
      <c r="AB1262" s="859"/>
      <c r="AC1262" s="859"/>
      <c r="AD1262" s="859"/>
      <c r="AE1262" s="859"/>
      <c r="AF1262" s="859"/>
      <c r="AG1262" s="859"/>
      <c r="AH1262" s="859"/>
      <c r="AI1262" s="859"/>
      <c r="AJ1262" s="859"/>
      <c r="AK1262" s="859"/>
      <c r="AL1262" s="859"/>
      <c r="AM1262" s="859"/>
      <c r="AN1262" s="859"/>
      <c r="AO1262" s="863"/>
      <c r="AP1262" s="863"/>
      <c r="AQ1262" s="864"/>
      <c r="AR1262" s="864"/>
      <c r="AS1262" s="864"/>
      <c r="AT1262" s="864"/>
      <c r="AU1262" s="864"/>
      <c r="AV1262" s="543">
        <f>M1262</f>
        <v>0</v>
      </c>
      <c r="AW1262" s="864"/>
      <c r="AX1262" s="864"/>
      <c r="AY1262" s="864"/>
      <c r="AZ1262" s="864"/>
      <c r="BA1262" s="864"/>
      <c r="BB1262" s="864"/>
      <c r="BC1262" s="864"/>
      <c r="BD1262" s="864"/>
      <c r="BE1262" s="864"/>
    </row>
    <row r="1263" spans="1:58" ht="14.25" customHeight="1">
      <c r="A1263" s="903"/>
      <c r="B1263" s="903"/>
      <c r="C1263" s="903"/>
      <c r="D1263" s="903"/>
      <c r="E1263" s="903"/>
      <c r="F1263" s="903"/>
      <c r="G1263" s="903"/>
      <c r="H1263" s="808"/>
      <c r="I1263" s="808"/>
      <c r="J1263" s="808"/>
      <c r="K1263" s="808"/>
      <c r="L1263" s="808"/>
      <c r="M1263" s="808"/>
      <c r="N1263" s="808"/>
      <c r="O1263" s="808"/>
      <c r="P1263" s="808"/>
      <c r="Q1263" s="808"/>
      <c r="R1263" s="808"/>
      <c r="S1263" s="808"/>
      <c r="T1263" s="808"/>
      <c r="U1263" s="808"/>
      <c r="V1263" s="808"/>
      <c r="W1263" s="808"/>
      <c r="X1263" s="808"/>
      <c r="Y1263" s="808"/>
      <c r="Z1263" s="808"/>
      <c r="AA1263" s="808"/>
      <c r="AB1263" s="808"/>
      <c r="AC1263" s="808"/>
      <c r="AD1263" s="808"/>
      <c r="AE1263" s="808"/>
      <c r="AF1263" s="808"/>
      <c r="AG1263" s="808"/>
      <c r="AH1263" s="808"/>
      <c r="AI1263" s="808"/>
      <c r="AJ1263" s="808"/>
      <c r="AK1263" s="808"/>
      <c r="AL1263" s="808"/>
      <c r="AM1263" s="808"/>
      <c r="AN1263" s="808"/>
      <c r="AO1263" s="809"/>
      <c r="AP1263" s="809"/>
      <c r="AQ1263" s="810"/>
      <c r="AR1263" s="810"/>
      <c r="AS1263" s="810"/>
      <c r="AT1263" s="810"/>
      <c r="AU1263" s="810"/>
      <c r="AV1263" s="810"/>
      <c r="AW1263" s="810"/>
      <c r="AX1263" s="810"/>
      <c r="AY1263" s="810"/>
      <c r="AZ1263" s="810"/>
      <c r="BA1263" s="810"/>
      <c r="BB1263" s="810"/>
      <c r="BC1263" s="810"/>
      <c r="BD1263" s="810"/>
      <c r="BE1263" s="810"/>
    </row>
    <row r="1264" spans="1:58" ht="14.25" hidden="1" customHeight="1" outlineLevel="1">
      <c r="A1264" s="3137" t="s">
        <v>1112</v>
      </c>
      <c r="B1264" s="3137"/>
      <c r="C1264" s="3137"/>
      <c r="D1264" s="3137"/>
      <c r="E1264" s="3137"/>
      <c r="F1264" s="3137"/>
      <c r="G1264" s="3137"/>
      <c r="H1264" s="813"/>
      <c r="I1264" s="813"/>
      <c r="J1264" s="813"/>
      <c r="K1264" s="813"/>
      <c r="L1264" s="813"/>
      <c r="M1264" s="813"/>
      <c r="N1264" s="813"/>
      <c r="O1264" s="813"/>
      <c r="P1264" s="813"/>
      <c r="Q1264" s="813"/>
      <c r="R1264" s="813"/>
      <c r="S1264" s="813"/>
      <c r="T1264" s="813"/>
      <c r="U1264" s="813"/>
      <c r="V1264" s="813"/>
      <c r="W1264" s="813"/>
      <c r="X1264" s="813"/>
      <c r="Y1264" s="813"/>
      <c r="Z1264" s="813"/>
      <c r="AA1264" s="813"/>
      <c r="AB1264" s="813"/>
      <c r="AC1264" s="813"/>
      <c r="AD1264" s="813"/>
      <c r="AE1264" s="813"/>
      <c r="AF1264" s="813"/>
      <c r="AG1264" s="813"/>
      <c r="AH1264" s="813"/>
      <c r="AI1264" s="813"/>
      <c r="AJ1264" s="617"/>
      <c r="AK1264" s="617"/>
      <c r="AL1264" s="617"/>
      <c r="AM1264" s="617"/>
      <c r="AN1264" s="859"/>
      <c r="AO1264" s="863"/>
      <c r="AP1264" s="863"/>
      <c r="AQ1264" s="864"/>
      <c r="AR1264" s="864"/>
      <c r="AS1264" s="864"/>
      <c r="AT1264" s="864"/>
      <c r="AU1264" s="864"/>
      <c r="AV1264" s="864"/>
      <c r="AW1264" s="864"/>
      <c r="AX1264" s="864"/>
      <c r="AY1264" s="864"/>
      <c r="AZ1264" s="864"/>
      <c r="BA1264" s="864"/>
      <c r="BB1264" s="864"/>
      <c r="BC1264" s="864"/>
      <c r="BD1264" s="864"/>
      <c r="BE1264" s="864"/>
    </row>
    <row r="1265" spans="1:58" ht="14.25" hidden="1" customHeight="1" outlineLevel="1">
      <c r="A1265" s="3137"/>
      <c r="B1265" s="3137"/>
      <c r="C1265" s="3137"/>
      <c r="D1265" s="3137"/>
      <c r="E1265" s="3137"/>
      <c r="F1265" s="3137"/>
      <c r="G1265" s="3137"/>
      <c r="H1265" s="813"/>
      <c r="I1265" s="813"/>
      <c r="J1265" s="813"/>
      <c r="K1265" s="813"/>
      <c r="L1265" s="813"/>
      <c r="M1265" s="813"/>
      <c r="N1265" s="813"/>
      <c r="O1265" s="813"/>
      <c r="P1265" s="813"/>
      <c r="Q1265" s="813"/>
      <c r="R1265" s="813"/>
      <c r="S1265" s="813"/>
      <c r="T1265" s="813"/>
      <c r="U1265" s="813"/>
      <c r="V1265" s="813"/>
      <c r="W1265" s="813"/>
      <c r="X1265" s="813"/>
      <c r="Y1265" s="813"/>
      <c r="Z1265" s="813"/>
      <c r="AA1265" s="813"/>
      <c r="AB1265" s="813"/>
      <c r="AC1265" s="813"/>
      <c r="AD1265" s="813"/>
      <c r="AE1265" s="813"/>
      <c r="AF1265" s="813"/>
      <c r="AG1265" s="813"/>
      <c r="AH1265" s="813"/>
      <c r="AI1265" s="813"/>
      <c r="AJ1265" s="617"/>
      <c r="AK1265" s="617"/>
      <c r="AL1265" s="617"/>
      <c r="AM1265" s="617"/>
      <c r="AN1265" s="859"/>
      <c r="AO1265" s="863"/>
      <c r="AP1265" s="863"/>
      <c r="AQ1265" s="864"/>
      <c r="AR1265" s="864"/>
      <c r="AS1265" s="864"/>
      <c r="AT1265" s="864"/>
      <c r="AU1265" s="864"/>
      <c r="AV1265" s="864"/>
      <c r="AW1265" s="864"/>
      <c r="AX1265" s="864"/>
      <c r="AY1265" s="864"/>
      <c r="AZ1265" s="864"/>
      <c r="BA1265" s="864"/>
      <c r="BB1265" s="864"/>
      <c r="BC1265" s="864"/>
      <c r="BD1265" s="864"/>
      <c r="BE1265" s="864"/>
    </row>
    <row r="1266" spans="1:58" ht="14.25" hidden="1" customHeight="1" outlineLevel="1">
      <c r="A1266" s="430" t="s">
        <v>1806</v>
      </c>
      <c r="B1266" s="431"/>
      <c r="C1266" s="432"/>
      <c r="D1266" s="611">
        <v>1</v>
      </c>
      <c r="G1266" s="695"/>
      <c r="H1266" s="695"/>
      <c r="I1266" s="695"/>
      <c r="J1266" s="695"/>
      <c r="K1266" s="695"/>
      <c r="L1266" s="695"/>
      <c r="M1266" s="695"/>
      <c r="N1266" s="695"/>
      <c r="O1266" s="695"/>
      <c r="P1266" s="695"/>
      <c r="Q1266" s="695"/>
      <c r="R1266" s="695"/>
      <c r="S1266" s="695"/>
      <c r="T1266" s="695"/>
      <c r="U1266" s="695"/>
      <c r="V1266" s="695"/>
      <c r="W1266" s="695"/>
      <c r="X1266" s="695"/>
      <c r="Y1266" s="695"/>
      <c r="Z1266" s="695"/>
      <c r="AA1266" s="695"/>
      <c r="AB1266" s="695"/>
      <c r="AC1266" s="695"/>
      <c r="AD1266" s="695"/>
      <c r="AE1266" s="695"/>
      <c r="AF1266" s="617"/>
      <c r="AG1266" s="617"/>
      <c r="AH1266" s="617"/>
      <c r="AI1266" s="803"/>
      <c r="AJ1266" s="617"/>
      <c r="AK1266" s="617"/>
      <c r="AL1266" s="617"/>
      <c r="AM1266" s="617"/>
      <c r="AN1266" s="808"/>
      <c r="AO1266" s="809"/>
      <c r="AP1266" s="809"/>
      <c r="AQ1266" s="810"/>
      <c r="AR1266" s="810"/>
      <c r="AS1266" s="810"/>
      <c r="AT1266" s="810"/>
      <c r="AU1266" s="810"/>
      <c r="AV1266" s="810"/>
      <c r="AW1266" s="810"/>
      <c r="AX1266" s="810"/>
      <c r="AY1266" s="810"/>
      <c r="AZ1266" s="810"/>
      <c r="BA1266" s="810"/>
      <c r="BB1266" s="810"/>
      <c r="BC1266" s="810"/>
      <c r="BD1266" s="810"/>
      <c r="BE1266" s="810"/>
    </row>
    <row r="1267" spans="1:58" ht="14.25" hidden="1" customHeight="1" outlineLevel="1">
      <c r="A1267" s="430" t="s">
        <v>1808</v>
      </c>
      <c r="B1267" s="431"/>
      <c r="C1267" s="432"/>
      <c r="D1267" s="611">
        <v>1</v>
      </c>
      <c r="G1267" s="695"/>
      <c r="H1267" s="695"/>
      <c r="I1267" s="695"/>
      <c r="J1267" s="695"/>
      <c r="K1267" s="695"/>
      <c r="L1267" s="695"/>
      <c r="M1267" s="695"/>
      <c r="N1267" s="695"/>
      <c r="O1267" s="695"/>
      <c r="P1267" s="695"/>
      <c r="Q1267" s="695"/>
      <c r="R1267" s="695"/>
      <c r="S1267" s="695"/>
      <c r="T1267" s="695"/>
      <c r="U1267" s="695"/>
      <c r="V1267" s="695"/>
      <c r="W1267" s="695"/>
      <c r="X1267" s="695"/>
      <c r="Y1267" s="695"/>
      <c r="Z1267" s="695"/>
      <c r="AA1267" s="695"/>
      <c r="AB1267" s="695"/>
      <c r="AC1267" s="695"/>
      <c r="AD1267" s="695"/>
      <c r="AE1267" s="695"/>
      <c r="AF1267" s="617"/>
      <c r="AG1267" s="617"/>
      <c r="AH1267" s="617"/>
      <c r="AI1267" s="617"/>
      <c r="AJ1267" s="617"/>
      <c r="AK1267" s="617"/>
      <c r="AL1267" s="617"/>
      <c r="AM1267" s="617"/>
      <c r="AN1267" s="808"/>
      <c r="AO1267" s="809"/>
      <c r="AP1267" s="809"/>
      <c r="AQ1267" s="810"/>
      <c r="AR1267" s="810"/>
      <c r="AS1267" s="810"/>
      <c r="AT1267" s="810"/>
      <c r="AU1267" s="810"/>
      <c r="AV1267" s="810"/>
      <c r="AW1267" s="810"/>
      <c r="AX1267" s="810"/>
      <c r="AY1267" s="810"/>
      <c r="AZ1267" s="810"/>
      <c r="BA1267" s="810"/>
      <c r="BB1267" s="810"/>
      <c r="BC1267" s="810"/>
      <c r="BD1267" s="810"/>
      <c r="BE1267" s="810"/>
    </row>
    <row r="1268" spans="1:58" ht="14.25" hidden="1" customHeight="1" outlineLevel="1">
      <c r="B1268" s="614"/>
      <c r="C1268" s="695"/>
      <c r="D1268" s="695"/>
      <c r="E1268" s="240"/>
      <c r="F1268" s="240"/>
      <c r="G1268" s="695"/>
      <c r="H1268" s="695"/>
      <c r="I1268" s="695"/>
      <c r="J1268" s="695"/>
      <c r="K1268" s="695"/>
      <c r="L1268" s="695"/>
      <c r="M1268" s="695"/>
      <c r="N1268" s="695"/>
      <c r="O1268" s="695"/>
      <c r="P1268" s="695"/>
      <c r="Q1268" s="695"/>
      <c r="R1268" s="695"/>
      <c r="S1268" s="695"/>
      <c r="T1268" s="695"/>
      <c r="U1268" s="695"/>
      <c r="V1268" s="695"/>
      <c r="W1268" s="695"/>
      <c r="X1268" s="695"/>
      <c r="Y1268" s="614"/>
      <c r="Z1268" s="614"/>
      <c r="AA1268" s="613"/>
      <c r="AB1268" s="614"/>
      <c r="AC1268" s="614"/>
      <c r="AD1268" s="614"/>
      <c r="AE1268" s="614"/>
      <c r="AF1268" s="617"/>
      <c r="AG1268" s="617"/>
      <c r="AH1268" s="617"/>
      <c r="AI1268" s="617"/>
      <c r="AJ1268" s="617"/>
      <c r="AK1268" s="617"/>
      <c r="AL1268" s="617"/>
      <c r="AM1268" s="617"/>
      <c r="AN1268" s="808"/>
      <c r="AO1268" s="809"/>
      <c r="AP1268" s="809"/>
      <c r="AQ1268" s="810"/>
      <c r="AR1268" s="810"/>
      <c r="AS1268" s="810"/>
      <c r="AT1268" s="810"/>
      <c r="AU1268" s="810"/>
      <c r="AV1268" s="810"/>
      <c r="AW1268" s="810"/>
      <c r="AX1268" s="810"/>
      <c r="AY1268" s="810"/>
      <c r="AZ1268" s="810"/>
      <c r="BA1268" s="810"/>
      <c r="BB1268" s="810"/>
      <c r="BC1268" s="810"/>
      <c r="BD1268" s="810"/>
      <c r="BE1268" s="810"/>
    </row>
    <row r="1269" spans="1:58" ht="14.25" hidden="1" customHeight="1" outlineLevel="1">
      <c r="A1269" s="331" t="s">
        <v>2491</v>
      </c>
      <c r="B1269" s="614"/>
      <c r="C1269" s="695"/>
      <c r="D1269" s="695"/>
      <c r="E1269" s="240"/>
      <c r="F1269" s="240"/>
      <c r="G1269" s="695"/>
      <c r="H1269" s="695"/>
      <c r="I1269" s="695"/>
      <c r="J1269" s="695"/>
      <c r="K1269" s="695"/>
      <c r="L1269" s="695"/>
      <c r="M1269" s="695"/>
      <c r="N1269" s="695"/>
      <c r="O1269" s="695"/>
      <c r="P1269" s="695"/>
      <c r="Q1269" s="695"/>
      <c r="R1269" s="695"/>
      <c r="S1269" s="695"/>
      <c r="T1269" s="695"/>
      <c r="U1269" s="695"/>
      <c r="V1269" s="695"/>
      <c r="W1269" s="695"/>
      <c r="X1269" s="695"/>
      <c r="Y1269" s="614"/>
      <c r="Z1269" s="614"/>
      <c r="AA1269" s="613"/>
      <c r="AB1269" s="614"/>
      <c r="AC1269" s="614"/>
      <c r="AD1269" s="614"/>
      <c r="AE1269" s="614"/>
      <c r="AF1269" s="617"/>
      <c r="AG1269" s="617"/>
      <c r="AH1269" s="617"/>
      <c r="AI1269" s="617"/>
      <c r="AJ1269" s="617"/>
      <c r="AK1269" s="617"/>
      <c r="AL1269" s="617"/>
      <c r="AM1269" s="617"/>
      <c r="AN1269" s="808"/>
      <c r="AO1269" s="809"/>
      <c r="AP1269" s="809"/>
      <c r="AQ1269" s="810"/>
      <c r="AR1269" s="810"/>
      <c r="AS1269" s="810"/>
      <c r="AT1269" s="810"/>
      <c r="AU1269" s="810"/>
      <c r="AV1269" s="810"/>
      <c r="AW1269" s="810"/>
      <c r="AX1269" s="810"/>
      <c r="AY1269" s="810"/>
      <c r="AZ1269" s="810"/>
      <c r="BA1269" s="810"/>
      <c r="BB1269" s="810"/>
      <c r="BC1269" s="810"/>
      <c r="BD1269" s="810"/>
      <c r="BE1269" s="810"/>
    </row>
    <row r="1270" spans="1:58" ht="14.25" hidden="1" customHeight="1" outlineLevel="1">
      <c r="A1270" s="493" t="s">
        <v>2492</v>
      </c>
      <c r="B1270" s="614"/>
      <c r="C1270" s="695"/>
      <c r="D1270" s="695"/>
      <c r="E1270" s="240"/>
      <c r="F1270" s="240"/>
      <c r="G1270" s="695"/>
      <c r="H1270" s="695"/>
      <c r="I1270" s="695"/>
      <c r="J1270" s="695"/>
      <c r="K1270" s="695"/>
      <c r="L1270" s="695"/>
      <c r="M1270" s="695"/>
      <c r="N1270" s="695"/>
      <c r="O1270" s="695"/>
      <c r="P1270" s="695"/>
      <c r="Q1270" s="695"/>
      <c r="R1270" s="695"/>
      <c r="S1270" s="695"/>
      <c r="T1270" s="695"/>
      <c r="U1270" s="695"/>
      <c r="V1270" s="695"/>
      <c r="W1270" s="695"/>
      <c r="X1270" s="695"/>
      <c r="Y1270" s="614"/>
      <c r="Z1270" s="614"/>
      <c r="AA1270" s="613"/>
      <c r="AB1270" s="614"/>
      <c r="AC1270" s="614"/>
      <c r="AD1270" s="614"/>
      <c r="AE1270" s="614"/>
      <c r="AF1270" s="617"/>
      <c r="AG1270" s="617"/>
      <c r="AH1270" s="617"/>
      <c r="AI1270" s="617"/>
      <c r="AJ1270" s="617"/>
      <c r="AK1270" s="617"/>
      <c r="AL1270" s="617"/>
      <c r="AM1270" s="617"/>
      <c r="AN1270" s="808"/>
      <c r="AO1270" s="809"/>
      <c r="AP1270" s="809"/>
      <c r="AQ1270" s="810"/>
      <c r="AR1270" s="810"/>
      <c r="AS1270" s="810"/>
      <c r="AT1270" s="810"/>
      <c r="AU1270" s="810"/>
      <c r="AV1270" s="810"/>
      <c r="AW1270" s="810"/>
      <c r="AX1270" s="810"/>
      <c r="AY1270" s="810"/>
      <c r="AZ1270" s="810"/>
      <c r="BA1270" s="810"/>
      <c r="BB1270" s="810"/>
      <c r="BC1270" s="810"/>
      <c r="BD1270" s="810"/>
      <c r="BE1270" s="810"/>
    </row>
    <row r="1271" spans="1:58" s="370" customFormat="1" ht="14.25" hidden="1" customHeight="1" outlineLevel="1">
      <c r="A1271" s="591" t="s">
        <v>2493</v>
      </c>
      <c r="B1271" s="614"/>
      <c r="C1271" s="695"/>
      <c r="D1271" s="695"/>
      <c r="E1271" s="240"/>
      <c r="F1271" s="240"/>
      <c r="G1271" s="695"/>
      <c r="H1271" s="695"/>
      <c r="I1271" s="695"/>
      <c r="J1271" s="695"/>
      <c r="K1271" s="695"/>
      <c r="L1271" s="695"/>
      <c r="M1271" s="695"/>
      <c r="N1271" s="695"/>
      <c r="O1271" s="695"/>
      <c r="P1271" s="695"/>
      <c r="Q1271" s="695"/>
      <c r="R1271" s="695"/>
      <c r="S1271" s="695"/>
      <c r="T1271" s="695"/>
      <c r="U1271" s="695"/>
      <c r="V1271" s="695"/>
      <c r="W1271" s="695"/>
      <c r="X1271" s="695"/>
      <c r="Y1271" s="614"/>
      <c r="Z1271" s="614"/>
      <c r="AA1271" s="613"/>
      <c r="AB1271" s="614"/>
      <c r="AC1271" s="614"/>
      <c r="AD1271" s="614"/>
      <c r="AE1271" s="614"/>
      <c r="AF1271" s="617"/>
      <c r="AG1271" s="617"/>
      <c r="AH1271" s="617"/>
      <c r="AI1271" s="617"/>
      <c r="AJ1271" s="617"/>
      <c r="AK1271" s="617"/>
      <c r="AL1271" s="617"/>
      <c r="AM1271" s="617"/>
      <c r="AN1271" s="808"/>
      <c r="AO1271" s="809"/>
      <c r="AP1271" s="809"/>
      <c r="AQ1271" s="810"/>
      <c r="AR1271" s="810"/>
      <c r="AS1271" s="810"/>
      <c r="AT1271" s="810"/>
      <c r="AU1271" s="810"/>
      <c r="AV1271" s="810"/>
      <c r="AW1271" s="810"/>
      <c r="AX1271" s="810"/>
      <c r="AY1271" s="810"/>
      <c r="AZ1271" s="810"/>
      <c r="BA1271" s="810"/>
      <c r="BB1271" s="810"/>
      <c r="BC1271" s="810"/>
      <c r="BD1271" s="810"/>
      <c r="BE1271" s="810"/>
      <c r="BF1271" s="428"/>
    </row>
    <row r="1272" spans="1:58" s="370" customFormat="1" ht="14.25" hidden="1" customHeight="1" outlineLevel="1">
      <c r="A1272" s="493" t="s">
        <v>1117</v>
      </c>
      <c r="B1272" s="614"/>
      <c r="C1272" s="695"/>
      <c r="D1272" s="695"/>
      <c r="E1272" s="240"/>
      <c r="F1272" s="240"/>
      <c r="G1272" s="695"/>
      <c r="H1272" s="695"/>
      <c r="I1272" s="695"/>
      <c r="J1272" s="695"/>
      <c r="K1272" s="695"/>
      <c r="L1272" s="695"/>
      <c r="M1272" s="695"/>
      <c r="N1272" s="695"/>
      <c r="O1272" s="695"/>
      <c r="P1272" s="695"/>
      <c r="Q1272" s="695"/>
      <c r="R1272" s="695"/>
      <c r="S1272" s="695"/>
      <c r="T1272" s="695"/>
      <c r="U1272" s="695"/>
      <c r="V1272" s="695"/>
      <c r="W1272" s="695"/>
      <c r="X1272" s="695"/>
      <c r="Y1272" s="614"/>
      <c r="Z1272" s="614"/>
      <c r="AA1272" s="613"/>
      <c r="AB1272" s="614"/>
      <c r="AC1272" s="614"/>
      <c r="AD1272" s="614"/>
      <c r="AE1272" s="614"/>
      <c r="AF1272" s="617"/>
      <c r="AG1272" s="617"/>
      <c r="AH1272" s="617"/>
      <c r="AI1272" s="617"/>
      <c r="AJ1272" s="617"/>
      <c r="AK1272" s="617"/>
      <c r="AL1272" s="617"/>
      <c r="AM1272" s="617"/>
      <c r="AN1272" s="808"/>
      <c r="AO1272" s="809"/>
      <c r="AP1272" s="809"/>
      <c r="AQ1272" s="810"/>
      <c r="AR1272" s="810"/>
      <c r="AS1272" s="810"/>
      <c r="AT1272" s="810"/>
      <c r="AU1272" s="810"/>
      <c r="AV1272" s="810"/>
      <c r="AW1272" s="810"/>
      <c r="AX1272" s="810"/>
      <c r="AY1272" s="810"/>
      <c r="AZ1272" s="810"/>
      <c r="BA1272" s="810"/>
      <c r="BB1272" s="810"/>
      <c r="BC1272" s="810"/>
      <c r="BD1272" s="810"/>
      <c r="BE1272" s="810"/>
      <c r="BF1272" s="428"/>
    </row>
    <row r="1273" spans="1:58" s="370" customFormat="1" ht="14.25" hidden="1" customHeight="1" outlineLevel="1">
      <c r="A1273" s="591" t="s">
        <v>2494</v>
      </c>
      <c r="B1273" s="614"/>
      <c r="C1273" s="695"/>
      <c r="D1273" s="695"/>
      <c r="E1273" s="240"/>
      <c r="F1273" s="240"/>
      <c r="G1273" s="695"/>
      <c r="H1273" s="695"/>
      <c r="I1273" s="695"/>
      <c r="J1273" s="695"/>
      <c r="K1273" s="695"/>
      <c r="L1273" s="695"/>
      <c r="M1273" s="695"/>
      <c r="N1273" s="695"/>
      <c r="O1273" s="695"/>
      <c r="P1273" s="695"/>
      <c r="Q1273" s="695"/>
      <c r="R1273" s="695"/>
      <c r="S1273" s="695"/>
      <c r="T1273" s="695"/>
      <c r="U1273" s="695"/>
      <c r="V1273" s="695"/>
      <c r="W1273" s="695"/>
      <c r="X1273" s="695"/>
      <c r="Y1273" s="614"/>
      <c r="Z1273" s="614"/>
      <c r="AA1273" s="613"/>
      <c r="AB1273" s="614"/>
      <c r="AC1273" s="614"/>
      <c r="AD1273" s="614"/>
      <c r="AE1273" s="614"/>
      <c r="AF1273" s="617"/>
      <c r="AG1273" s="617"/>
      <c r="AH1273" s="617"/>
      <c r="AI1273" s="617"/>
      <c r="AJ1273" s="617"/>
      <c r="AK1273" s="617"/>
      <c r="AL1273" s="617"/>
      <c r="AM1273" s="617"/>
      <c r="AN1273" s="808"/>
      <c r="AO1273" s="809"/>
      <c r="AP1273" s="809"/>
      <c r="AQ1273" s="810"/>
      <c r="AR1273" s="810"/>
      <c r="AS1273" s="810"/>
      <c r="AT1273" s="810"/>
      <c r="AU1273" s="810"/>
      <c r="AV1273" s="810"/>
      <c r="AW1273" s="810"/>
      <c r="AX1273" s="810"/>
      <c r="AY1273" s="810"/>
      <c r="AZ1273" s="810"/>
      <c r="BA1273" s="810"/>
      <c r="BB1273" s="810"/>
      <c r="BC1273" s="810"/>
      <c r="BD1273" s="810"/>
      <c r="BE1273" s="810"/>
      <c r="BF1273" s="428"/>
    </row>
    <row r="1274" spans="1:58" s="370" customFormat="1" ht="14.25" hidden="1" customHeight="1" outlineLevel="1">
      <c r="A1274" s="493" t="s">
        <v>1121</v>
      </c>
      <c r="B1274" s="614"/>
      <c r="C1274" s="695"/>
      <c r="D1274" s="695"/>
      <c r="E1274" s="240"/>
      <c r="F1274" s="240"/>
      <c r="G1274" s="695"/>
      <c r="H1274" s="695"/>
      <c r="I1274" s="695"/>
      <c r="J1274" s="695"/>
      <c r="K1274" s="695"/>
      <c r="L1274" s="695"/>
      <c r="M1274" s="695"/>
      <c r="N1274" s="695"/>
      <c r="O1274" s="695"/>
      <c r="P1274" s="695"/>
      <c r="Q1274" s="695"/>
      <c r="R1274" s="695"/>
      <c r="S1274" s="695"/>
      <c r="T1274" s="695"/>
      <c r="U1274" s="695"/>
      <c r="V1274" s="695"/>
      <c r="W1274" s="695"/>
      <c r="X1274" s="695"/>
      <c r="Y1274" s="614"/>
      <c r="Z1274" s="614"/>
      <c r="AA1274" s="613"/>
      <c r="AB1274" s="614"/>
      <c r="AC1274" s="614"/>
      <c r="AD1274" s="614"/>
      <c r="AE1274" s="614"/>
      <c r="AF1274" s="617"/>
      <c r="AG1274" s="617"/>
      <c r="AH1274" s="617"/>
      <c r="AI1274" s="617"/>
      <c r="AJ1274" s="617"/>
      <c r="AK1274" s="617"/>
      <c r="AL1274" s="617"/>
      <c r="AM1274" s="617"/>
      <c r="AN1274" s="808"/>
      <c r="AO1274" s="809"/>
      <c r="AP1274" s="809"/>
      <c r="AQ1274" s="810"/>
      <c r="AR1274" s="810"/>
      <c r="AS1274" s="810"/>
      <c r="AT1274" s="810"/>
      <c r="AU1274" s="810"/>
      <c r="AV1274" s="810"/>
      <c r="AW1274" s="810"/>
      <c r="AX1274" s="810"/>
      <c r="AY1274" s="810"/>
      <c r="AZ1274" s="810"/>
      <c r="BA1274" s="810"/>
      <c r="BB1274" s="810"/>
      <c r="BC1274" s="810"/>
      <c r="BD1274" s="810"/>
      <c r="BE1274" s="810"/>
      <c r="BF1274" s="428"/>
    </row>
    <row r="1275" spans="1:58" s="370" customFormat="1" ht="14.25" hidden="1" customHeight="1" outlineLevel="1">
      <c r="A1275" s="591" t="s">
        <v>2495</v>
      </c>
      <c r="B1275" s="614"/>
      <c r="C1275" s="695"/>
      <c r="D1275" s="695"/>
      <c r="E1275" s="240"/>
      <c r="F1275" s="240"/>
      <c r="G1275" s="695"/>
      <c r="H1275" s="695"/>
      <c r="I1275" s="695"/>
      <c r="J1275" s="695"/>
      <c r="K1275" s="695"/>
      <c r="L1275" s="695"/>
      <c r="M1275" s="695"/>
      <c r="N1275" s="695"/>
      <c r="O1275" s="695"/>
      <c r="P1275" s="695"/>
      <c r="Q1275" s="695"/>
      <c r="R1275" s="695"/>
      <c r="S1275" s="695"/>
      <c r="T1275" s="695"/>
      <c r="U1275" s="695"/>
      <c r="V1275" s="695"/>
      <c r="W1275" s="695"/>
      <c r="X1275" s="695"/>
      <c r="Y1275" s="614"/>
      <c r="Z1275" s="614"/>
      <c r="AA1275" s="613"/>
      <c r="AB1275" s="614"/>
      <c r="AC1275" s="614"/>
      <c r="AD1275" s="614"/>
      <c r="AE1275" s="614"/>
      <c r="AF1275" s="617"/>
      <c r="AG1275" s="617"/>
      <c r="AH1275" s="617"/>
      <c r="AI1275" s="617"/>
      <c r="AJ1275" s="617"/>
      <c r="AK1275" s="617"/>
      <c r="AL1275" s="617"/>
      <c r="AM1275" s="617"/>
      <c r="AN1275" s="808"/>
      <c r="AO1275" s="809"/>
      <c r="AP1275" s="809"/>
      <c r="AQ1275" s="810"/>
      <c r="AR1275" s="810"/>
      <c r="AS1275" s="810"/>
      <c r="AT1275" s="810"/>
      <c r="AU1275" s="810"/>
      <c r="AV1275" s="810"/>
      <c r="AW1275" s="810"/>
      <c r="AX1275" s="810"/>
      <c r="AY1275" s="810"/>
      <c r="AZ1275" s="810"/>
      <c r="BA1275" s="810"/>
      <c r="BB1275" s="810"/>
      <c r="BC1275" s="810"/>
      <c r="BD1275" s="810"/>
      <c r="BE1275" s="810"/>
      <c r="BF1275" s="428"/>
    </row>
    <row r="1276" spans="1:58" s="370" customFormat="1" ht="14.25" hidden="1" customHeight="1" outlineLevel="1">
      <c r="A1276" s="493" t="s">
        <v>1116</v>
      </c>
      <c r="B1276" s="614"/>
      <c r="C1276" s="695"/>
      <c r="D1276" s="695"/>
      <c r="E1276" s="240"/>
      <c r="F1276" s="240"/>
      <c r="G1276" s="695"/>
      <c r="H1276" s="695"/>
      <c r="I1276" s="695"/>
      <c r="J1276" s="695"/>
      <c r="K1276" s="695"/>
      <c r="L1276" s="695"/>
      <c r="M1276" s="695"/>
      <c r="N1276" s="695"/>
      <c r="O1276" s="695"/>
      <c r="P1276" s="695"/>
      <c r="Q1276" s="695"/>
      <c r="R1276" s="695"/>
      <c r="S1276" s="695"/>
      <c r="T1276" s="695"/>
      <c r="U1276" s="695"/>
      <c r="V1276" s="695"/>
      <c r="W1276" s="695"/>
      <c r="X1276" s="695"/>
      <c r="Y1276" s="614"/>
      <c r="Z1276" s="614"/>
      <c r="AA1276" s="613"/>
      <c r="AB1276" s="614"/>
      <c r="AC1276" s="614"/>
      <c r="AD1276" s="614"/>
      <c r="AE1276" s="614"/>
      <c r="AF1276" s="617"/>
      <c r="AG1276" s="617"/>
      <c r="AH1276" s="617"/>
      <c r="AI1276" s="617"/>
      <c r="AJ1276" s="617"/>
      <c r="AK1276" s="617"/>
      <c r="AL1276" s="617"/>
      <c r="AM1276" s="617"/>
      <c r="AN1276" s="808"/>
      <c r="AO1276" s="809"/>
      <c r="AP1276" s="809"/>
      <c r="AQ1276" s="810"/>
      <c r="AR1276" s="810"/>
      <c r="AS1276" s="810"/>
      <c r="AT1276" s="810"/>
      <c r="AU1276" s="810"/>
      <c r="AV1276" s="810"/>
      <c r="AW1276" s="810"/>
      <c r="AX1276" s="810"/>
      <c r="AY1276" s="810"/>
      <c r="AZ1276" s="810"/>
      <c r="BA1276" s="810"/>
      <c r="BB1276" s="810"/>
      <c r="BC1276" s="810"/>
      <c r="BD1276" s="810"/>
      <c r="BE1276" s="810"/>
      <c r="BF1276" s="428"/>
    </row>
    <row r="1277" spans="1:58" s="370" customFormat="1" ht="14.25" hidden="1" customHeight="1" outlineLevel="1">
      <c r="A1277" s="591" t="s">
        <v>2496</v>
      </c>
      <c r="B1277" s="614"/>
      <c r="C1277" s="695"/>
      <c r="D1277" s="695"/>
      <c r="E1277" s="240"/>
      <c r="F1277" s="240"/>
      <c r="G1277" s="695"/>
      <c r="H1277" s="695"/>
      <c r="I1277" s="695"/>
      <c r="J1277" s="695"/>
      <c r="K1277" s="695"/>
      <c r="L1277" s="695"/>
      <c r="M1277" s="695"/>
      <c r="N1277" s="695"/>
      <c r="O1277" s="695"/>
      <c r="P1277" s="695"/>
      <c r="Q1277" s="695"/>
      <c r="R1277" s="695"/>
      <c r="S1277" s="695"/>
      <c r="T1277" s="695"/>
      <c r="U1277" s="695"/>
      <c r="V1277" s="695"/>
      <c r="W1277" s="695"/>
      <c r="X1277" s="695"/>
      <c r="Y1277" s="614"/>
      <c r="Z1277" s="614"/>
      <c r="AA1277" s="613"/>
      <c r="AB1277" s="614"/>
      <c r="AC1277" s="614"/>
      <c r="AD1277" s="614"/>
      <c r="AE1277" s="614"/>
      <c r="AF1277" s="617"/>
      <c r="AG1277" s="617"/>
      <c r="AH1277" s="617"/>
      <c r="AI1277" s="617"/>
      <c r="AJ1277" s="617"/>
      <c r="AK1277" s="617"/>
      <c r="AL1277" s="617"/>
      <c r="AM1277" s="617"/>
      <c r="AN1277" s="808"/>
      <c r="AO1277" s="809"/>
      <c r="AP1277" s="809"/>
      <c r="AQ1277" s="810"/>
      <c r="AR1277" s="810"/>
      <c r="AS1277" s="810"/>
      <c r="AT1277" s="810"/>
      <c r="AU1277" s="810"/>
      <c r="AV1277" s="810"/>
      <c r="AW1277" s="810"/>
      <c r="AX1277" s="810"/>
      <c r="AY1277" s="810"/>
      <c r="AZ1277" s="810"/>
      <c r="BA1277" s="810"/>
      <c r="BB1277" s="810"/>
      <c r="BC1277" s="810"/>
      <c r="BD1277" s="810"/>
      <c r="BE1277" s="810"/>
      <c r="BF1277" s="428"/>
    </row>
    <row r="1278" spans="1:58" s="370" customFormat="1" ht="14.25" hidden="1" customHeight="1" outlineLevel="1">
      <c r="A1278" s="493" t="s">
        <v>1122</v>
      </c>
      <c r="B1278" s="614"/>
      <c r="C1278" s="695"/>
      <c r="D1278" s="695"/>
      <c r="E1278" s="240"/>
      <c r="F1278" s="240"/>
      <c r="G1278" s="695"/>
      <c r="H1278" s="695"/>
      <c r="I1278" s="695"/>
      <c r="J1278" s="695"/>
      <c r="K1278" s="695"/>
      <c r="L1278" s="695"/>
      <c r="M1278" s="695"/>
      <c r="N1278" s="695"/>
      <c r="O1278" s="695"/>
      <c r="P1278" s="695"/>
      <c r="Q1278" s="695"/>
      <c r="R1278" s="695"/>
      <c r="S1278" s="695"/>
      <c r="T1278" s="695"/>
      <c r="U1278" s="695"/>
      <c r="V1278" s="695"/>
      <c r="W1278" s="695"/>
      <c r="X1278" s="695"/>
      <c r="Y1278" s="614"/>
      <c r="Z1278" s="614"/>
      <c r="AA1278" s="613"/>
      <c r="AB1278" s="614"/>
      <c r="AC1278" s="614"/>
      <c r="AD1278" s="614"/>
      <c r="AE1278" s="614"/>
      <c r="AF1278" s="617"/>
      <c r="AG1278" s="617"/>
      <c r="AH1278" s="617"/>
      <c r="AI1278" s="617"/>
      <c r="AJ1278" s="617"/>
      <c r="AK1278" s="617"/>
      <c r="AL1278" s="617"/>
      <c r="AM1278" s="617"/>
      <c r="AN1278" s="808"/>
      <c r="AO1278" s="809"/>
      <c r="AP1278" s="809"/>
      <c r="AQ1278" s="810"/>
      <c r="AR1278" s="810"/>
      <c r="AS1278" s="810"/>
      <c r="AT1278" s="810"/>
      <c r="AU1278" s="810"/>
      <c r="AV1278" s="810"/>
      <c r="AW1278" s="810"/>
      <c r="AX1278" s="810"/>
      <c r="AY1278" s="810"/>
      <c r="AZ1278" s="810"/>
      <c r="BA1278" s="810"/>
      <c r="BB1278" s="810"/>
      <c r="BC1278" s="810"/>
      <c r="BD1278" s="810"/>
      <c r="BE1278" s="810"/>
      <c r="BF1278" s="428"/>
    </row>
    <row r="1279" spans="1:58" s="370" customFormat="1" ht="14.25" hidden="1" customHeight="1" outlineLevel="1">
      <c r="A1279" s="591" t="s">
        <v>2497</v>
      </c>
      <c r="B1279" s="614"/>
      <c r="C1279" s="695"/>
      <c r="D1279" s="695"/>
      <c r="E1279" s="240"/>
      <c r="F1279" s="240"/>
      <c r="G1279" s="695"/>
      <c r="H1279" s="695"/>
      <c r="I1279" s="695"/>
      <c r="J1279" s="695"/>
      <c r="K1279" s="695"/>
      <c r="L1279" s="695"/>
      <c r="M1279" s="695"/>
      <c r="N1279" s="695"/>
      <c r="O1279" s="695"/>
      <c r="P1279" s="695"/>
      <c r="Q1279" s="695"/>
      <c r="R1279" s="695"/>
      <c r="S1279" s="695"/>
      <c r="T1279" s="695"/>
      <c r="U1279" s="695"/>
      <c r="V1279" s="695"/>
      <c r="W1279" s="695"/>
      <c r="X1279" s="695"/>
      <c r="Y1279" s="614"/>
      <c r="Z1279" s="614"/>
      <c r="AA1279" s="613"/>
      <c r="AB1279" s="614"/>
      <c r="AC1279" s="614"/>
      <c r="AD1279" s="614"/>
      <c r="AE1279" s="614"/>
      <c r="AF1279" s="617"/>
      <c r="AG1279" s="617"/>
      <c r="AH1279" s="617"/>
      <c r="AI1279" s="617"/>
      <c r="AJ1279" s="617"/>
      <c r="AK1279" s="617"/>
      <c r="AL1279" s="617"/>
      <c r="AM1279" s="617"/>
      <c r="AN1279" s="808"/>
      <c r="AO1279" s="809"/>
      <c r="AP1279" s="809"/>
      <c r="AQ1279" s="810"/>
      <c r="AR1279" s="810"/>
      <c r="AS1279" s="810"/>
      <c r="AT1279" s="810"/>
      <c r="AU1279" s="810"/>
      <c r="AV1279" s="810"/>
      <c r="AW1279" s="810"/>
      <c r="AX1279" s="810"/>
      <c r="AY1279" s="810"/>
      <c r="AZ1279" s="810"/>
      <c r="BA1279" s="810"/>
      <c r="BB1279" s="810"/>
      <c r="BC1279" s="810"/>
      <c r="BD1279" s="810"/>
      <c r="BE1279" s="810"/>
      <c r="BF1279" s="428"/>
    </row>
    <row r="1280" spans="1:58" s="370" customFormat="1" ht="14.25" hidden="1" customHeight="1" outlineLevel="1">
      <c r="A1280" s="493" t="s">
        <v>1118</v>
      </c>
      <c r="B1280" s="614"/>
      <c r="C1280" s="695"/>
      <c r="D1280" s="695"/>
      <c r="E1280" s="240"/>
      <c r="F1280" s="240"/>
      <c r="G1280" s="695"/>
      <c r="H1280" s="695"/>
      <c r="I1280" s="695"/>
      <c r="J1280" s="695"/>
      <c r="K1280" s="695"/>
      <c r="L1280" s="695"/>
      <c r="M1280" s="695"/>
      <c r="N1280" s="695"/>
      <c r="O1280" s="695"/>
      <c r="P1280" s="695"/>
      <c r="Q1280" s="695"/>
      <c r="R1280" s="695"/>
      <c r="S1280" s="695"/>
      <c r="T1280" s="695"/>
      <c r="U1280" s="695"/>
      <c r="V1280" s="695"/>
      <c r="W1280" s="695"/>
      <c r="X1280" s="695"/>
      <c r="Y1280" s="614"/>
      <c r="Z1280" s="614"/>
      <c r="AA1280" s="613"/>
      <c r="AB1280" s="614"/>
      <c r="AC1280" s="614"/>
      <c r="AD1280" s="614"/>
      <c r="AE1280" s="614"/>
      <c r="AF1280" s="617"/>
      <c r="AG1280" s="617"/>
      <c r="AH1280" s="617"/>
      <c r="AI1280" s="617"/>
      <c r="AJ1280" s="617"/>
      <c r="AK1280" s="617"/>
      <c r="AL1280" s="617"/>
      <c r="AM1280" s="617"/>
      <c r="AN1280" s="808"/>
      <c r="AO1280" s="809"/>
      <c r="AP1280" s="809"/>
      <c r="AQ1280" s="810"/>
      <c r="AR1280" s="810"/>
      <c r="AS1280" s="810"/>
      <c r="AT1280" s="810"/>
      <c r="AU1280" s="810"/>
      <c r="AV1280" s="810"/>
      <c r="AW1280" s="810"/>
      <c r="AX1280" s="810"/>
      <c r="AY1280" s="810"/>
      <c r="AZ1280" s="810"/>
      <c r="BA1280" s="810"/>
      <c r="BB1280" s="810"/>
      <c r="BC1280" s="810"/>
      <c r="BD1280" s="810"/>
      <c r="BE1280" s="810"/>
      <c r="BF1280" s="428"/>
    </row>
    <row r="1281" spans="1:58" s="370" customFormat="1" ht="14.25" hidden="1" customHeight="1" outlineLevel="1">
      <c r="A1281" s="591" t="s">
        <v>2498</v>
      </c>
      <c r="B1281" s="614"/>
      <c r="C1281" s="695"/>
      <c r="D1281" s="695"/>
      <c r="E1281" s="240"/>
      <c r="F1281" s="240"/>
      <c r="G1281" s="695"/>
      <c r="H1281" s="695"/>
      <c r="I1281" s="695"/>
      <c r="J1281" s="695"/>
      <c r="K1281" s="695"/>
      <c r="L1281" s="695"/>
      <c r="M1281" s="695"/>
      <c r="N1281" s="695"/>
      <c r="O1281" s="695"/>
      <c r="P1281" s="695"/>
      <c r="Q1281" s="695"/>
      <c r="R1281" s="695"/>
      <c r="S1281" s="695"/>
      <c r="T1281" s="695"/>
      <c r="U1281" s="695"/>
      <c r="V1281" s="695"/>
      <c r="W1281" s="695"/>
      <c r="X1281" s="695"/>
      <c r="Y1281" s="614"/>
      <c r="Z1281" s="614"/>
      <c r="AA1281" s="613"/>
      <c r="AB1281" s="614"/>
      <c r="AC1281" s="614"/>
      <c r="AD1281" s="614"/>
      <c r="AE1281" s="614"/>
      <c r="AF1281" s="617"/>
      <c r="AG1281" s="617"/>
      <c r="AH1281" s="617"/>
      <c r="AI1281" s="617"/>
      <c r="AJ1281" s="617"/>
      <c r="AK1281" s="617"/>
      <c r="AL1281" s="617"/>
      <c r="AM1281" s="617"/>
      <c r="AN1281" s="808"/>
      <c r="AO1281" s="809"/>
      <c r="AP1281" s="809"/>
      <c r="AQ1281" s="810"/>
      <c r="AR1281" s="810"/>
      <c r="AS1281" s="810"/>
      <c r="AT1281" s="810"/>
      <c r="AU1281" s="810"/>
      <c r="AV1281" s="810"/>
      <c r="AW1281" s="810"/>
      <c r="AX1281" s="810"/>
      <c r="AY1281" s="810"/>
      <c r="AZ1281" s="810"/>
      <c r="BA1281" s="810"/>
      <c r="BB1281" s="810"/>
      <c r="BC1281" s="810"/>
      <c r="BD1281" s="810"/>
      <c r="BE1281" s="810"/>
      <c r="BF1281" s="428"/>
    </row>
    <row r="1282" spans="1:58" s="370" customFormat="1" ht="14.25" hidden="1" customHeight="1" outlineLevel="1">
      <c r="A1282" s="493" t="s">
        <v>1123</v>
      </c>
      <c r="B1282" s="614"/>
      <c r="C1282" s="695"/>
      <c r="D1282" s="695"/>
      <c r="E1282" s="240"/>
      <c r="F1282" s="240"/>
      <c r="G1282" s="695"/>
      <c r="H1282" s="695"/>
      <c r="I1282" s="695"/>
      <c r="J1282" s="695"/>
      <c r="K1282" s="695"/>
      <c r="L1282" s="695"/>
      <c r="M1282" s="695"/>
      <c r="N1282" s="695"/>
      <c r="O1282" s="695"/>
      <c r="P1282" s="695"/>
      <c r="Q1282" s="695"/>
      <c r="R1282" s="695"/>
      <c r="S1282" s="695"/>
      <c r="T1282" s="695"/>
      <c r="U1282" s="695"/>
      <c r="V1282" s="695"/>
      <c r="W1282" s="695"/>
      <c r="X1282" s="695"/>
      <c r="Y1282" s="614"/>
      <c r="Z1282" s="614"/>
      <c r="AA1282" s="613"/>
      <c r="AB1282" s="614"/>
      <c r="AC1282" s="614"/>
      <c r="AD1282" s="614"/>
      <c r="AE1282" s="614"/>
      <c r="AF1282" s="617"/>
      <c r="AG1282" s="617"/>
      <c r="AH1282" s="617"/>
      <c r="AI1282" s="617"/>
      <c r="AJ1282" s="617"/>
      <c r="AK1282" s="617"/>
      <c r="AL1282" s="617"/>
      <c r="AM1282" s="617"/>
      <c r="AN1282" s="808"/>
      <c r="AO1282" s="809"/>
      <c r="AP1282" s="809"/>
      <c r="AQ1282" s="810"/>
      <c r="AR1282" s="810"/>
      <c r="AS1282" s="810"/>
      <c r="AT1282" s="810"/>
      <c r="AU1282" s="810"/>
      <c r="AV1282" s="810"/>
      <c r="AW1282" s="810"/>
      <c r="AX1282" s="810"/>
      <c r="AY1282" s="810"/>
      <c r="AZ1282" s="810"/>
      <c r="BA1282" s="810"/>
      <c r="BB1282" s="810"/>
      <c r="BC1282" s="810"/>
      <c r="BD1282" s="810"/>
      <c r="BE1282" s="810"/>
      <c r="BF1282" s="428"/>
    </row>
    <row r="1283" spans="1:58" ht="14.25" hidden="1" customHeight="1" outlineLevel="1">
      <c r="A1283" s="378" t="s">
        <v>2499</v>
      </c>
      <c r="B1283" s="415" t="s">
        <v>1802</v>
      </c>
      <c r="C1283" s="378">
        <v>1</v>
      </c>
      <c r="D1283" s="695"/>
      <c r="E1283" s="695"/>
      <c r="F1283" s="695"/>
      <c r="G1283" s="695"/>
      <c r="H1283" s="695"/>
      <c r="I1283" s="695"/>
      <c r="J1283" s="695"/>
      <c r="K1283" s="695"/>
      <c r="L1283" s="695"/>
      <c r="M1283" s="695"/>
      <c r="N1283" s="695"/>
      <c r="O1283" s="695"/>
      <c r="P1283" s="695"/>
      <c r="Q1283" s="695"/>
      <c r="R1283" s="695"/>
      <c r="S1283" s="695"/>
      <c r="T1283" s="695"/>
      <c r="U1283" s="695"/>
      <c r="V1283" s="695"/>
      <c r="W1283" s="695"/>
      <c r="X1283" s="695"/>
      <c r="Y1283" s="614"/>
      <c r="Z1283" s="614"/>
      <c r="AA1283" s="614"/>
      <c r="AB1283" s="614"/>
      <c r="AC1283" s="614"/>
      <c r="AD1283" s="614"/>
      <c r="AE1283" s="614"/>
      <c r="AF1283" s="617"/>
      <c r="AG1283" s="617"/>
      <c r="AH1283" s="617"/>
      <c r="AI1283" s="617"/>
      <c r="AJ1283" s="617"/>
      <c r="AK1283" s="617"/>
      <c r="AL1283" s="617"/>
      <c r="AM1283" s="617"/>
      <c r="AN1283" s="808"/>
      <c r="AO1283" s="809"/>
      <c r="AP1283" s="809"/>
      <c r="AQ1283" s="810"/>
      <c r="AR1283" s="810"/>
      <c r="AS1283" s="810"/>
      <c r="AT1283" s="810"/>
      <c r="AU1283" s="810"/>
      <c r="AV1283" s="810"/>
      <c r="AW1283" s="810"/>
      <c r="AX1283" s="810"/>
      <c r="AY1283" s="810"/>
      <c r="AZ1283" s="810"/>
      <c r="BA1283" s="810"/>
      <c r="BB1283" s="810"/>
      <c r="BC1283" s="810"/>
      <c r="BD1283" s="810"/>
      <c r="BE1283" s="810"/>
    </row>
    <row r="1284" spans="1:58" s="364" customFormat="1" ht="14.25" hidden="1" customHeight="1" outlineLevel="1">
      <c r="A1284" s="617" t="s">
        <v>2500</v>
      </c>
      <c r="B1284" s="490"/>
      <c r="C1284" s="617"/>
      <c r="D1284" s="695"/>
      <c r="E1284" s="695"/>
      <c r="F1284" s="695"/>
      <c r="G1284" s="695"/>
      <c r="H1284" s="695"/>
      <c r="I1284" s="695"/>
      <c r="J1284" s="695"/>
      <c r="K1284" s="695"/>
      <c r="L1284" s="695"/>
      <c r="M1284" s="695"/>
      <c r="N1284" s="695"/>
      <c r="O1284" s="695"/>
      <c r="P1284" s="695"/>
      <c r="Q1284" s="695"/>
      <c r="R1284" s="695"/>
      <c r="S1284" s="695"/>
      <c r="T1284" s="695"/>
      <c r="U1284" s="695"/>
      <c r="V1284" s="695"/>
      <c r="W1284" s="695"/>
      <c r="X1284" s="695"/>
      <c r="Y1284" s="614"/>
      <c r="Z1284" s="614"/>
      <c r="AA1284" s="614"/>
      <c r="AB1284" s="614"/>
      <c r="AC1284" s="614"/>
      <c r="AD1284" s="614"/>
      <c r="AE1284" s="614"/>
      <c r="AF1284" s="617"/>
      <c r="AG1284" s="617"/>
      <c r="AH1284" s="617"/>
      <c r="AI1284" s="617"/>
      <c r="AJ1284" s="617"/>
      <c r="AK1284" s="617"/>
      <c r="AL1284" s="617"/>
      <c r="AM1284" s="617"/>
      <c r="AN1284" s="617"/>
      <c r="AO1284" s="680"/>
      <c r="AP1284" s="680"/>
      <c r="AQ1284" s="803"/>
      <c r="AR1284" s="803"/>
      <c r="AS1284" s="803"/>
      <c r="AT1284" s="803"/>
      <c r="AU1284" s="803"/>
      <c r="AV1284" s="803"/>
      <c r="AW1284" s="803"/>
      <c r="AX1284" s="803"/>
      <c r="AY1284" s="803"/>
      <c r="AZ1284" s="803"/>
      <c r="BA1284" s="803"/>
      <c r="BB1284" s="803"/>
      <c r="BC1284" s="803"/>
      <c r="BD1284" s="803"/>
      <c r="BE1284" s="803"/>
      <c r="BF1284" s="368"/>
    </row>
    <row r="1285" spans="1:58" ht="14.25" hidden="1" customHeight="1" outlineLevel="1">
      <c r="A1285" s="536" t="s">
        <v>1152</v>
      </c>
      <c r="B1285" s="415" t="s">
        <v>1802</v>
      </c>
      <c r="C1285" s="378">
        <v>20</v>
      </c>
      <c r="D1285" s="617"/>
      <c r="E1285" s="617"/>
      <c r="F1285" s="617"/>
      <c r="G1285" s="617"/>
      <c r="H1285" s="364"/>
      <c r="I1285" s="617"/>
      <c r="J1285" s="617"/>
      <c r="K1285" s="617"/>
      <c r="L1285" s="617"/>
      <c r="M1285" s="617"/>
      <c r="N1285" s="617"/>
      <c r="O1285" s="617"/>
      <c r="P1285" s="617"/>
      <c r="Q1285" s="617"/>
      <c r="R1285" s="617"/>
      <c r="S1285" s="617"/>
      <c r="T1285" s="617"/>
      <c r="U1285" s="617"/>
      <c r="V1285" s="617"/>
      <c r="W1285" s="617"/>
      <c r="X1285" s="617"/>
      <c r="Y1285" s="617"/>
      <c r="Z1285" s="617"/>
      <c r="AA1285" s="617"/>
      <c r="AB1285" s="617"/>
      <c r="AC1285" s="617"/>
      <c r="AD1285" s="617"/>
      <c r="AE1285" s="617"/>
      <c r="AF1285" s="617"/>
      <c r="AG1285" s="617"/>
      <c r="AH1285" s="617"/>
      <c r="AI1285" s="617"/>
      <c r="AJ1285" s="617"/>
      <c r="AK1285" s="617"/>
      <c r="AL1285" s="617"/>
      <c r="AM1285" s="617"/>
      <c r="AN1285" s="859"/>
      <c r="AO1285" s="863"/>
      <c r="AP1285" s="863"/>
      <c r="AQ1285" s="864"/>
      <c r="AR1285" s="864"/>
      <c r="AS1285" s="864"/>
      <c r="AT1285" s="864"/>
      <c r="AU1285" s="864"/>
      <c r="AV1285" s="864"/>
      <c r="AW1285" s="864"/>
      <c r="AX1285" s="864"/>
      <c r="AY1285" s="864"/>
      <c r="AZ1285" s="864"/>
      <c r="BA1285" s="864"/>
      <c r="BB1285" s="864"/>
      <c r="BC1285" s="864"/>
      <c r="BD1285" s="864"/>
      <c r="BE1285" s="864"/>
    </row>
    <row r="1286" spans="1:58" s="364" customFormat="1" ht="14.25" hidden="1" customHeight="1" outlineLevel="1">
      <c r="A1286" s="617" t="s">
        <v>2501</v>
      </c>
      <c r="B1286" s="490"/>
      <c r="C1286" s="617"/>
      <c r="D1286" s="617"/>
      <c r="E1286" s="617"/>
      <c r="F1286" s="617"/>
      <c r="G1286" s="617"/>
      <c r="I1286" s="617"/>
      <c r="J1286" s="617"/>
      <c r="K1286" s="617"/>
      <c r="L1286" s="617"/>
      <c r="M1286" s="617"/>
      <c r="N1286" s="617"/>
      <c r="O1286" s="617"/>
      <c r="P1286" s="617"/>
      <c r="Q1286" s="617"/>
      <c r="R1286" s="617"/>
      <c r="S1286" s="617"/>
      <c r="T1286" s="617"/>
      <c r="U1286" s="617"/>
      <c r="V1286" s="617"/>
      <c r="W1286" s="617"/>
      <c r="X1286" s="617"/>
      <c r="Y1286" s="617"/>
      <c r="Z1286" s="617"/>
      <c r="AA1286" s="617"/>
      <c r="AB1286" s="617"/>
      <c r="AC1286" s="617"/>
      <c r="AD1286" s="617"/>
      <c r="AE1286" s="617"/>
      <c r="AF1286" s="617"/>
      <c r="AG1286" s="617"/>
      <c r="AH1286" s="617"/>
      <c r="AI1286" s="617"/>
      <c r="AJ1286" s="617"/>
      <c r="AK1286" s="617"/>
      <c r="AL1286" s="617"/>
      <c r="AM1286" s="617"/>
      <c r="AN1286" s="617"/>
      <c r="AO1286" s="680"/>
      <c r="AP1286" s="680"/>
      <c r="AQ1286" s="803"/>
      <c r="AR1286" s="803"/>
      <c r="AS1286" s="803"/>
      <c r="AT1286" s="803"/>
      <c r="AU1286" s="803"/>
      <c r="AV1286" s="803"/>
      <c r="AW1286" s="803"/>
      <c r="AX1286" s="803"/>
      <c r="AY1286" s="803"/>
      <c r="AZ1286" s="803"/>
      <c r="BA1286" s="803"/>
      <c r="BB1286" s="803"/>
      <c r="BC1286" s="803"/>
      <c r="BD1286" s="803"/>
      <c r="BE1286" s="803"/>
      <c r="BF1286" s="368"/>
    </row>
    <row r="1287" spans="1:58" ht="14.25" hidden="1" customHeight="1" outlineLevel="1">
      <c r="A1287" s="536" t="s">
        <v>1158</v>
      </c>
      <c r="B1287" s="415" t="s">
        <v>1802</v>
      </c>
      <c r="C1287" s="378">
        <v>40</v>
      </c>
      <c r="D1287" s="617"/>
      <c r="E1287" s="617"/>
      <c r="F1287" s="617"/>
      <c r="G1287" s="617"/>
      <c r="H1287" s="364"/>
      <c r="I1287" s="617"/>
      <c r="J1287" s="617"/>
      <c r="K1287" s="617"/>
      <c r="L1287" s="617"/>
      <c r="M1287" s="617"/>
      <c r="N1287" s="617"/>
      <c r="O1287" s="617"/>
      <c r="P1287" s="617"/>
      <c r="Q1287" s="617"/>
      <c r="R1287" s="617"/>
      <c r="S1287" s="617"/>
      <c r="T1287" s="617"/>
      <c r="U1287" s="617"/>
      <c r="V1287" s="617"/>
      <c r="W1287" s="617"/>
      <c r="X1287" s="617"/>
      <c r="Y1287" s="617"/>
      <c r="Z1287" s="617"/>
      <c r="AA1287" s="617"/>
      <c r="AB1287" s="617"/>
      <c r="AC1287" s="617"/>
      <c r="AD1287" s="617"/>
      <c r="AE1287" s="617"/>
      <c r="AF1287" s="617"/>
      <c r="AG1287" s="617"/>
      <c r="AH1287" s="617"/>
      <c r="AI1287" s="617"/>
      <c r="AJ1287" s="617"/>
      <c r="AK1287" s="617"/>
      <c r="AL1287" s="617"/>
      <c r="AM1287" s="617"/>
      <c r="AN1287" s="859"/>
      <c r="AO1287" s="863"/>
      <c r="AP1287" s="863"/>
      <c r="AQ1287" s="864"/>
      <c r="AR1287" s="864"/>
      <c r="AS1287" s="864"/>
      <c r="AT1287" s="864"/>
      <c r="AU1287" s="864"/>
      <c r="AV1287" s="864"/>
      <c r="AW1287" s="864"/>
      <c r="AX1287" s="864"/>
      <c r="AY1287" s="864"/>
      <c r="AZ1287" s="864"/>
      <c r="BA1287" s="864"/>
      <c r="BB1287" s="864"/>
      <c r="BC1287" s="864"/>
      <c r="BD1287" s="864"/>
      <c r="BE1287" s="864"/>
    </row>
    <row r="1288" spans="1:58" s="364" customFormat="1" ht="14.25" hidden="1" customHeight="1" outlineLevel="1">
      <c r="A1288" s="617"/>
      <c r="B1288" s="490"/>
      <c r="C1288" s="617"/>
      <c r="D1288" s="617"/>
      <c r="E1288" s="617"/>
      <c r="F1288" s="617"/>
      <c r="G1288" s="617"/>
      <c r="I1288" s="617"/>
      <c r="J1288" s="617"/>
      <c r="K1288" s="617"/>
      <c r="L1288" s="617"/>
      <c r="M1288" s="617"/>
      <c r="N1288" s="617"/>
      <c r="O1288" s="617"/>
      <c r="P1288" s="617"/>
      <c r="Q1288" s="617"/>
      <c r="R1288" s="617"/>
      <c r="S1288" s="617"/>
      <c r="T1288" s="617"/>
      <c r="U1288" s="617"/>
      <c r="V1288" s="617"/>
      <c r="W1288" s="617"/>
      <c r="X1288" s="617"/>
      <c r="Y1288" s="617"/>
      <c r="Z1288" s="617"/>
      <c r="AA1288" s="617"/>
      <c r="AB1288" s="617"/>
      <c r="AC1288" s="617"/>
      <c r="AD1288" s="617"/>
      <c r="AE1288" s="617"/>
      <c r="AF1288" s="617"/>
      <c r="AG1288" s="617"/>
      <c r="AH1288" s="617"/>
      <c r="AI1288" s="617"/>
      <c r="AJ1288" s="617"/>
      <c r="AK1288" s="617"/>
      <c r="AL1288" s="617"/>
      <c r="AM1288" s="617"/>
      <c r="AN1288" s="617"/>
      <c r="AO1288" s="680"/>
      <c r="AP1288" s="680"/>
      <c r="AQ1288" s="803"/>
      <c r="AR1288" s="803"/>
      <c r="AS1288" s="803"/>
      <c r="AT1288" s="803"/>
      <c r="AU1288" s="803"/>
      <c r="AV1288" s="803"/>
      <c r="AW1288" s="803"/>
      <c r="AX1288" s="803"/>
      <c r="AY1288" s="803"/>
      <c r="AZ1288" s="803"/>
      <c r="BA1288" s="803"/>
      <c r="BB1288" s="803"/>
      <c r="BC1288" s="803"/>
      <c r="BD1288" s="803"/>
      <c r="BE1288" s="803"/>
      <c r="BF1288" s="368"/>
    </row>
    <row r="1289" spans="1:58" ht="14.25" hidden="1" customHeight="1" outlineLevel="1">
      <c r="A1289" s="331" t="s">
        <v>151</v>
      </c>
      <c r="D1289" s="617"/>
      <c r="E1289" s="617"/>
      <c r="F1289" s="617"/>
      <c r="G1289" s="617"/>
      <c r="H1289" s="364"/>
      <c r="I1289" s="847"/>
      <c r="J1289" s="847"/>
      <c r="K1289" s="847"/>
      <c r="L1289" s="847"/>
      <c r="M1289" s="847"/>
      <c r="N1289" s="847"/>
      <c r="O1289" s="847"/>
      <c r="P1289" s="847"/>
      <c r="Q1289" s="847"/>
      <c r="R1289" s="847"/>
      <c r="S1289" s="617"/>
      <c r="T1289" s="617"/>
      <c r="U1289" s="617"/>
      <c r="V1289" s="617"/>
      <c r="W1289" s="617"/>
      <c r="X1289" s="617"/>
      <c r="Y1289" s="617"/>
      <c r="Z1289" s="617"/>
      <c r="AA1289" s="617"/>
      <c r="AB1289" s="617"/>
      <c r="AC1289" s="617"/>
      <c r="AD1289" s="617"/>
      <c r="AE1289" s="617"/>
      <c r="AF1289" s="617"/>
      <c r="AG1289" s="617"/>
      <c r="AH1289" s="617"/>
      <c r="AI1289" s="617"/>
      <c r="AJ1289" s="617"/>
      <c r="AK1289" s="617"/>
      <c r="AL1289" s="617"/>
      <c r="AM1289" s="617"/>
      <c r="AN1289" s="859"/>
      <c r="AO1289" s="863"/>
      <c r="AP1289" s="863"/>
      <c r="AQ1289" s="864"/>
      <c r="AR1289" s="864"/>
      <c r="AS1289" s="864"/>
      <c r="AT1289" s="864"/>
      <c r="AU1289" s="864"/>
      <c r="AV1289" s="864"/>
      <c r="AW1289" s="864"/>
      <c r="AX1289" s="864"/>
      <c r="AY1289" s="864"/>
      <c r="AZ1289" s="864"/>
      <c r="BA1289" s="864"/>
      <c r="BB1289" s="864"/>
      <c r="BC1289" s="864"/>
      <c r="BD1289" s="864"/>
      <c r="BE1289" s="864"/>
    </row>
    <row r="1290" spans="1:58" ht="14.25" hidden="1" customHeight="1" outlineLevel="1">
      <c r="A1290" s="414" t="s">
        <v>152</v>
      </c>
      <c r="B1290" s="877" t="s">
        <v>154</v>
      </c>
      <c r="C1290" s="263">
        <v>4</v>
      </c>
      <c r="D1290" s="617"/>
      <c r="E1290" s="617"/>
      <c r="F1290" s="617"/>
      <c r="G1290" s="617"/>
      <c r="H1290" s="364"/>
      <c r="I1290" s="847"/>
      <c r="J1290" s="847"/>
      <c r="K1290" s="847"/>
      <c r="L1290" s="847"/>
      <c r="M1290" s="847"/>
      <c r="N1290" s="847"/>
      <c r="O1290" s="847"/>
      <c r="P1290" s="847"/>
      <c r="Q1290" s="617"/>
      <c r="R1290" s="617"/>
      <c r="S1290" s="617"/>
      <c r="T1290" s="617"/>
      <c r="U1290" s="617"/>
      <c r="V1290" s="617"/>
      <c r="W1290" s="617"/>
      <c r="X1290" s="617"/>
      <c r="Y1290" s="617"/>
      <c r="Z1290" s="617"/>
      <c r="AA1290" s="617"/>
      <c r="AB1290" s="617"/>
      <c r="AC1290" s="617"/>
      <c r="AD1290" s="617"/>
      <c r="AE1290" s="617"/>
      <c r="AF1290" s="617"/>
      <c r="AG1290" s="617"/>
      <c r="AH1290" s="617"/>
      <c r="AI1290" s="617"/>
      <c r="AJ1290" s="617"/>
      <c r="AK1290" s="617"/>
      <c r="AL1290" s="617"/>
      <c r="AM1290" s="617"/>
      <c r="AN1290" s="859"/>
      <c r="AO1290" s="863"/>
      <c r="AP1290" s="863"/>
      <c r="AQ1290" s="864"/>
      <c r="AR1290" s="864"/>
      <c r="AS1290" s="864"/>
      <c r="AT1290" s="864"/>
      <c r="AU1290" s="864"/>
      <c r="AV1290" s="864"/>
      <c r="AW1290" s="864"/>
      <c r="AX1290" s="864"/>
      <c r="AY1290" s="864"/>
      <c r="AZ1290" s="864"/>
      <c r="BA1290" s="864"/>
      <c r="BB1290" s="864"/>
      <c r="BC1290" s="864"/>
      <c r="BD1290" s="864"/>
      <c r="BE1290" s="864"/>
    </row>
    <row r="1291" spans="1:58" s="370" customFormat="1" ht="14.25" hidden="1" customHeight="1" outlineLevel="1">
      <c r="A1291" s="412" t="s">
        <v>152</v>
      </c>
      <c r="B1291" s="877" t="s">
        <v>154</v>
      </c>
      <c r="C1291" s="611">
        <v>0</v>
      </c>
      <c r="D1291" s="617"/>
      <c r="E1291" s="617"/>
      <c r="F1291" s="617"/>
      <c r="G1291" s="617"/>
      <c r="H1291" s="364"/>
      <c r="I1291" s="847"/>
      <c r="J1291" s="847"/>
      <c r="K1291" s="847"/>
      <c r="L1291" s="847"/>
      <c r="M1291" s="847"/>
      <c r="N1291" s="847"/>
      <c r="O1291" s="847"/>
      <c r="P1291" s="847"/>
      <c r="Q1291" s="617"/>
      <c r="R1291" s="617"/>
      <c r="S1291" s="617"/>
      <c r="T1291" s="617"/>
      <c r="U1291" s="617"/>
      <c r="V1291" s="617"/>
      <c r="W1291" s="617"/>
      <c r="X1291" s="617"/>
      <c r="Y1291" s="617"/>
      <c r="Z1291" s="617"/>
      <c r="AA1291" s="617"/>
      <c r="AB1291" s="617"/>
      <c r="AC1291" s="617"/>
      <c r="AD1291" s="617"/>
      <c r="AE1291" s="617"/>
      <c r="AF1291" s="617"/>
      <c r="AG1291" s="617"/>
      <c r="AH1291" s="617"/>
      <c r="AI1291" s="617"/>
      <c r="AJ1291" s="617"/>
      <c r="AK1291" s="617"/>
      <c r="AL1291" s="617"/>
      <c r="AM1291" s="617"/>
      <c r="AN1291" s="808"/>
      <c r="AO1291" s="809"/>
      <c r="AP1291" s="809"/>
      <c r="AQ1291" s="810"/>
      <c r="AR1291" s="810"/>
      <c r="AS1291" s="810"/>
      <c r="AT1291" s="810"/>
      <c r="AU1291" s="810"/>
      <c r="AV1291" s="810"/>
      <c r="AW1291" s="810"/>
      <c r="AX1291" s="810"/>
      <c r="AY1291" s="810"/>
      <c r="AZ1291" s="810"/>
      <c r="BA1291" s="810"/>
      <c r="BB1291" s="810"/>
      <c r="BC1291" s="810"/>
      <c r="BD1291" s="810"/>
      <c r="BE1291" s="810"/>
      <c r="BF1291" s="428"/>
    </row>
    <row r="1292" spans="1:58" s="370" customFormat="1" ht="14.25" hidden="1" customHeight="1" outlineLevel="1">
      <c r="A1292" s="497" t="s">
        <v>2502</v>
      </c>
      <c r="B1292" s="496" t="s">
        <v>1796</v>
      </c>
      <c r="C1292" s="904">
        <v>5000</v>
      </c>
      <c r="D1292" s="617"/>
      <c r="E1292" s="617"/>
      <c r="F1292" s="617"/>
      <c r="G1292" s="617"/>
      <c r="H1292" s="364"/>
      <c r="I1292" s="847"/>
      <c r="J1292" s="847"/>
      <c r="K1292" s="847"/>
      <c r="L1292" s="847"/>
      <c r="M1292" s="847"/>
      <c r="N1292" s="847"/>
      <c r="O1292" s="847"/>
      <c r="P1292" s="847"/>
      <c r="Q1292" s="617"/>
      <c r="R1292" s="617"/>
      <c r="S1292" s="617"/>
      <c r="T1292" s="617"/>
      <c r="U1292" s="617"/>
      <c r="V1292" s="617"/>
      <c r="W1292" s="617"/>
      <c r="X1292" s="617"/>
      <c r="Y1292" s="617"/>
      <c r="Z1292" s="617"/>
      <c r="AA1292" s="617"/>
      <c r="AB1292" s="617"/>
      <c r="AC1292" s="617"/>
      <c r="AD1292" s="617"/>
      <c r="AE1292" s="617"/>
      <c r="AF1292" s="617"/>
      <c r="AG1292" s="617"/>
      <c r="AH1292" s="617"/>
      <c r="AI1292" s="617"/>
      <c r="AJ1292" s="617"/>
      <c r="AK1292" s="617"/>
      <c r="AL1292" s="617"/>
      <c r="AM1292" s="617"/>
      <c r="AN1292" s="808"/>
      <c r="AO1292" s="809"/>
      <c r="AP1292" s="809"/>
      <c r="AQ1292" s="810"/>
      <c r="AR1292" s="810"/>
      <c r="AS1292" s="810"/>
      <c r="AT1292" s="810"/>
      <c r="AU1292" s="810"/>
      <c r="AV1292" s="810"/>
      <c r="AW1292" s="810"/>
      <c r="AX1292" s="810"/>
      <c r="AY1292" s="810"/>
      <c r="AZ1292" s="810"/>
      <c r="BA1292" s="810"/>
      <c r="BB1292" s="810"/>
      <c r="BC1292" s="810"/>
      <c r="BD1292" s="810"/>
      <c r="BE1292" s="810"/>
      <c r="BF1292" s="428"/>
    </row>
    <row r="1293" spans="1:58" s="364" customFormat="1" ht="14.25" hidden="1" customHeight="1" outlineLevel="1">
      <c r="A1293" s="617"/>
      <c r="B1293" s="442"/>
      <c r="C1293" s="617"/>
      <c r="D1293" s="617"/>
      <c r="E1293" s="617"/>
      <c r="F1293" s="617"/>
      <c r="G1293" s="617"/>
      <c r="I1293" s="847"/>
      <c r="J1293" s="847"/>
      <c r="K1293" s="847"/>
      <c r="L1293" s="847"/>
      <c r="M1293" s="847"/>
      <c r="N1293" s="847"/>
      <c r="O1293" s="847"/>
      <c r="P1293" s="847"/>
      <c r="Q1293" s="617"/>
      <c r="R1293" s="617"/>
      <c r="S1293" s="617"/>
      <c r="T1293" s="617"/>
      <c r="U1293" s="617"/>
      <c r="V1293" s="617"/>
      <c r="W1293" s="617"/>
      <c r="X1293" s="617"/>
      <c r="Y1293" s="617"/>
      <c r="Z1293" s="617"/>
      <c r="AA1293" s="617"/>
      <c r="AB1293" s="617"/>
      <c r="AC1293" s="617"/>
      <c r="AD1293" s="617"/>
      <c r="AE1293" s="617"/>
      <c r="AF1293" s="617"/>
      <c r="AG1293" s="617"/>
      <c r="AH1293" s="617"/>
      <c r="AI1293" s="617"/>
      <c r="AJ1293" s="617"/>
      <c r="AK1293" s="617"/>
      <c r="AL1293" s="617"/>
      <c r="AM1293" s="617"/>
      <c r="AN1293" s="617"/>
      <c r="AO1293" s="680"/>
      <c r="AP1293" s="680"/>
      <c r="AQ1293" s="803"/>
      <c r="AR1293" s="803"/>
      <c r="AS1293" s="803"/>
      <c r="AT1293" s="803"/>
      <c r="AU1293" s="803"/>
      <c r="AV1293" s="803"/>
      <c r="AW1293" s="803"/>
      <c r="AX1293" s="803"/>
      <c r="AY1293" s="803"/>
      <c r="AZ1293" s="803"/>
      <c r="BA1293" s="803"/>
      <c r="BB1293" s="803"/>
      <c r="BC1293" s="803"/>
      <c r="BD1293" s="803"/>
      <c r="BE1293" s="803"/>
      <c r="BF1293" s="368"/>
    </row>
    <row r="1294" spans="1:58" ht="14.25" customHeight="1" collapsed="1">
      <c r="A1294" s="3138" t="s">
        <v>2503</v>
      </c>
      <c r="B1294" s="3138"/>
      <c r="C1294" s="3138"/>
      <c r="D1294" s="3138"/>
      <c r="E1294" s="3138"/>
      <c r="F1294" s="653" t="s">
        <v>1798</v>
      </c>
      <c r="H1294" s="646"/>
      <c r="I1294" s="646"/>
      <c r="J1294" s="646"/>
      <c r="K1294" s="646"/>
      <c r="L1294" s="646"/>
      <c r="M1294" s="616"/>
      <c r="N1294" s="616"/>
      <c r="O1294" s="616"/>
      <c r="P1294" s="617"/>
      <c r="Q1294" s="366"/>
      <c r="R1294" s="617"/>
      <c r="S1294" s="617"/>
      <c r="T1294" s="617"/>
      <c r="U1294" s="617"/>
      <c r="V1294" s="617"/>
      <c r="W1294" s="617"/>
      <c r="X1294" s="617"/>
      <c r="Y1294" s="617"/>
      <c r="Z1294" s="617"/>
      <c r="AA1294" s="617"/>
      <c r="AB1294" s="617"/>
      <c r="AC1294" s="617"/>
      <c r="AD1294" s="617"/>
      <c r="AE1294" s="617"/>
      <c r="AF1294" s="617"/>
      <c r="AG1294" s="617"/>
      <c r="AH1294" s="617"/>
      <c r="AI1294" s="617"/>
      <c r="AJ1294" s="617"/>
      <c r="AK1294" s="617"/>
      <c r="AL1294" s="617"/>
      <c r="AM1294" s="617"/>
      <c r="AN1294" s="859"/>
      <c r="AO1294" s="863"/>
      <c r="AP1294" s="863"/>
      <c r="AQ1294" s="864"/>
      <c r="AR1294" s="864"/>
      <c r="AS1294" s="864"/>
      <c r="AT1294" s="864"/>
      <c r="AU1294" s="864"/>
      <c r="AV1294" s="543">
        <f>M1294</f>
        <v>0</v>
      </c>
      <c r="AW1294" s="864"/>
      <c r="AX1294" s="864"/>
      <c r="AY1294" s="864"/>
      <c r="AZ1294" s="864"/>
      <c r="BA1294" s="864"/>
      <c r="BB1294" s="864"/>
      <c r="BC1294" s="864"/>
      <c r="BD1294" s="864"/>
      <c r="BE1294" s="864"/>
    </row>
    <row r="1295" spans="1:58" ht="14.25" customHeight="1">
      <c r="A1295" s="492"/>
      <c r="B1295" s="490"/>
      <c r="C1295" s="492"/>
      <c r="D1295" s="492"/>
      <c r="E1295" s="492"/>
      <c r="F1295" s="492"/>
      <c r="G1295" s="492"/>
      <c r="H1295" s="492"/>
      <c r="I1295" s="492"/>
      <c r="J1295" s="492"/>
      <c r="K1295" s="492"/>
      <c r="L1295" s="492"/>
      <c r="M1295" s="617"/>
      <c r="N1295" s="617"/>
      <c r="O1295" s="617"/>
      <c r="P1295" s="617"/>
      <c r="Q1295" s="617"/>
      <c r="R1295" s="617"/>
      <c r="S1295" s="617"/>
      <c r="T1295" s="617"/>
      <c r="U1295" s="617"/>
      <c r="V1295" s="617"/>
      <c r="W1295" s="617"/>
      <c r="X1295" s="617"/>
      <c r="Y1295" s="617"/>
      <c r="Z1295" s="617"/>
      <c r="AA1295" s="617"/>
      <c r="AB1295" s="617"/>
      <c r="AC1295" s="617"/>
      <c r="AD1295" s="617"/>
      <c r="AE1295" s="617"/>
      <c r="AF1295" s="617"/>
      <c r="AG1295" s="617"/>
      <c r="AH1295" s="617"/>
      <c r="AI1295" s="617"/>
      <c r="AJ1295" s="617"/>
      <c r="AK1295" s="617"/>
      <c r="AL1295" s="617"/>
      <c r="AM1295" s="617"/>
      <c r="AN1295" s="859"/>
      <c r="AO1295" s="863"/>
      <c r="AP1295" s="863"/>
      <c r="AQ1295" s="864"/>
      <c r="AR1295" s="864"/>
      <c r="AS1295" s="864"/>
      <c r="AT1295" s="864"/>
      <c r="AU1295" s="864"/>
      <c r="AV1295" s="864"/>
      <c r="AW1295" s="864"/>
      <c r="AX1295" s="864"/>
      <c r="AY1295" s="864"/>
      <c r="AZ1295" s="864"/>
      <c r="BA1295" s="864"/>
      <c r="BB1295" s="864"/>
      <c r="BC1295" s="864"/>
      <c r="BD1295" s="864"/>
      <c r="BE1295" s="864"/>
    </row>
    <row r="1296" spans="1:58" ht="14.25" hidden="1" customHeight="1" outlineLevel="1">
      <c r="A1296" s="3137" t="s">
        <v>2504</v>
      </c>
      <c r="B1296" s="3137"/>
      <c r="C1296" s="3137"/>
      <c r="D1296" s="3137"/>
      <c r="E1296" s="3137"/>
      <c r="F1296" s="3137"/>
      <c r="G1296" s="3137"/>
      <c r="H1296" s="813"/>
      <c r="I1296" s="813"/>
      <c r="J1296" s="813"/>
      <c r="K1296" s="813"/>
      <c r="L1296" s="813"/>
      <c r="M1296" s="813"/>
      <c r="N1296" s="813"/>
      <c r="O1296" s="813"/>
      <c r="P1296" s="813"/>
      <c r="Q1296" s="813"/>
      <c r="R1296" s="813"/>
      <c r="S1296" s="813"/>
      <c r="T1296" s="813"/>
      <c r="U1296" s="813"/>
      <c r="V1296" s="813"/>
      <c r="W1296" s="813"/>
      <c r="X1296" s="813"/>
      <c r="Y1296" s="813"/>
      <c r="Z1296" s="813"/>
      <c r="AA1296" s="813"/>
      <c r="AB1296" s="813"/>
      <c r="AC1296" s="813"/>
      <c r="AD1296" s="813"/>
      <c r="AE1296" s="813"/>
      <c r="AF1296" s="813"/>
      <c r="AG1296" s="813"/>
      <c r="AH1296" s="813"/>
      <c r="AI1296" s="813"/>
      <c r="AJ1296" s="617"/>
      <c r="AK1296" s="617"/>
      <c r="AL1296" s="617"/>
      <c r="AM1296" s="617"/>
      <c r="AN1296" s="859"/>
      <c r="AO1296" s="863"/>
      <c r="AP1296" s="863"/>
      <c r="AQ1296" s="864"/>
      <c r="AR1296" s="864"/>
      <c r="AS1296" s="864"/>
      <c r="AT1296" s="864"/>
      <c r="AU1296" s="864"/>
      <c r="AV1296" s="864"/>
      <c r="AW1296" s="864"/>
      <c r="AX1296" s="864"/>
      <c r="AY1296" s="864"/>
      <c r="AZ1296" s="864"/>
      <c r="BA1296" s="864"/>
      <c r="BB1296" s="864"/>
      <c r="BC1296" s="864"/>
      <c r="BD1296" s="864"/>
      <c r="BE1296" s="864"/>
    </row>
    <row r="1297" spans="1:57" ht="14.25" hidden="1" customHeight="1" outlineLevel="1">
      <c r="A1297" s="3137"/>
      <c r="B1297" s="3137"/>
      <c r="C1297" s="3137"/>
      <c r="D1297" s="3137"/>
      <c r="E1297" s="3137"/>
      <c r="F1297" s="3137"/>
      <c r="G1297" s="3137"/>
      <c r="H1297" s="813"/>
      <c r="I1297" s="813"/>
      <c r="J1297" s="813"/>
      <c r="K1297" s="813"/>
      <c r="L1297" s="813"/>
      <c r="M1297" s="813"/>
      <c r="N1297" s="813"/>
      <c r="O1297" s="813"/>
      <c r="P1297" s="813"/>
      <c r="Q1297" s="813"/>
      <c r="R1297" s="813"/>
      <c r="S1297" s="813"/>
      <c r="T1297" s="813"/>
      <c r="U1297" s="813"/>
      <c r="V1297" s="813"/>
      <c r="W1297" s="813"/>
      <c r="X1297" s="813"/>
      <c r="Y1297" s="813"/>
      <c r="Z1297" s="813"/>
      <c r="AA1297" s="813"/>
      <c r="AB1297" s="813"/>
      <c r="AC1297" s="813"/>
      <c r="AD1297" s="813"/>
      <c r="AE1297" s="813"/>
      <c r="AF1297" s="813"/>
      <c r="AG1297" s="813"/>
      <c r="AH1297" s="813"/>
      <c r="AI1297" s="813"/>
      <c r="AJ1297" s="617"/>
      <c r="AK1297" s="617"/>
      <c r="AL1297" s="617"/>
      <c r="AM1297" s="617"/>
      <c r="AN1297" s="859"/>
      <c r="AO1297" s="863"/>
      <c r="AP1297" s="863"/>
      <c r="AQ1297" s="864"/>
      <c r="AR1297" s="864"/>
      <c r="AS1297" s="864"/>
      <c r="AT1297" s="864"/>
      <c r="AU1297" s="864"/>
      <c r="AV1297" s="864"/>
      <c r="AW1297" s="864"/>
      <c r="AX1297" s="864"/>
      <c r="AY1297" s="864"/>
      <c r="AZ1297" s="864"/>
      <c r="BA1297" s="864"/>
      <c r="BB1297" s="864"/>
      <c r="BC1297" s="864"/>
      <c r="BD1297" s="864"/>
      <c r="BE1297" s="864"/>
    </row>
    <row r="1298" spans="1:57" ht="14.25" hidden="1" customHeight="1" outlineLevel="1">
      <c r="A1298" s="430" t="s">
        <v>1806</v>
      </c>
      <c r="B1298" s="431"/>
      <c r="C1298" s="432"/>
      <c r="D1298" s="611">
        <v>1</v>
      </c>
      <c r="G1298" s="695"/>
      <c r="H1298" s="695"/>
      <c r="I1298" s="695"/>
      <c r="J1298" s="695"/>
      <c r="K1298" s="695"/>
      <c r="L1298" s="695"/>
      <c r="M1298" s="695"/>
      <c r="N1298" s="695"/>
      <c r="O1298" s="695"/>
      <c r="P1298" s="695"/>
      <c r="Q1298" s="695"/>
      <c r="R1298" s="695"/>
      <c r="S1298" s="695"/>
      <c r="T1298" s="695"/>
      <c r="U1298" s="695"/>
      <c r="V1298" s="695"/>
      <c r="W1298" s="695"/>
      <c r="X1298" s="695"/>
      <c r="Y1298" s="695"/>
      <c r="Z1298" s="695"/>
      <c r="AA1298" s="695"/>
      <c r="AB1298" s="695"/>
      <c r="AC1298" s="695"/>
      <c r="AD1298" s="695"/>
      <c r="AE1298" s="695"/>
      <c r="AF1298" s="617"/>
      <c r="AG1298" s="617"/>
      <c r="AH1298" s="617"/>
      <c r="AI1298" s="803"/>
      <c r="AJ1298" s="617"/>
      <c r="AK1298" s="617"/>
      <c r="AL1298" s="617"/>
      <c r="AM1298" s="617"/>
      <c r="AN1298" s="808"/>
      <c r="AO1298" s="809"/>
      <c r="AP1298" s="809"/>
      <c r="AQ1298" s="810"/>
      <c r="AR1298" s="810"/>
      <c r="AS1298" s="810"/>
      <c r="AT1298" s="810"/>
      <c r="AU1298" s="810"/>
      <c r="AV1298" s="810"/>
      <c r="AW1298" s="810"/>
      <c r="AX1298" s="810"/>
      <c r="AY1298" s="810"/>
      <c r="AZ1298" s="810"/>
      <c r="BA1298" s="810"/>
      <c r="BB1298" s="810"/>
      <c r="BC1298" s="810"/>
      <c r="BD1298" s="810"/>
      <c r="BE1298" s="810"/>
    </row>
    <row r="1299" spans="1:57" ht="14.25" hidden="1" customHeight="1" outlineLevel="1">
      <c r="A1299" s="430" t="s">
        <v>1808</v>
      </c>
      <c r="B1299" s="431"/>
      <c r="C1299" s="432"/>
      <c r="D1299" s="611">
        <v>1</v>
      </c>
      <c r="G1299" s="695"/>
      <c r="H1299" s="695"/>
      <c r="I1299" s="695"/>
      <c r="J1299" s="695"/>
      <c r="K1299" s="695"/>
      <c r="L1299" s="695"/>
      <c r="M1299" s="695"/>
      <c r="N1299" s="695"/>
      <c r="O1299" s="695"/>
      <c r="P1299" s="695"/>
      <c r="Q1299" s="695"/>
      <c r="R1299" s="695"/>
      <c r="S1299" s="695"/>
      <c r="T1299" s="695"/>
      <c r="U1299" s="695"/>
      <c r="V1299" s="695"/>
      <c r="W1299" s="695"/>
      <c r="X1299" s="695"/>
      <c r="Y1299" s="695"/>
      <c r="Z1299" s="695"/>
      <c r="AA1299" s="695"/>
      <c r="AB1299" s="695"/>
      <c r="AC1299" s="695"/>
      <c r="AD1299" s="695"/>
      <c r="AE1299" s="695"/>
      <c r="AF1299" s="617"/>
      <c r="AG1299" s="617"/>
      <c r="AH1299" s="617"/>
      <c r="AI1299" s="617"/>
      <c r="AJ1299" s="617"/>
      <c r="AK1299" s="617"/>
      <c r="AL1299" s="617"/>
      <c r="AM1299" s="617"/>
      <c r="AN1299" s="808"/>
      <c r="AO1299" s="809"/>
      <c r="AP1299" s="809"/>
      <c r="AQ1299" s="810"/>
      <c r="AR1299" s="810"/>
      <c r="AS1299" s="810"/>
      <c r="AT1299" s="810"/>
      <c r="AU1299" s="810"/>
      <c r="AV1299" s="810"/>
      <c r="AW1299" s="810"/>
      <c r="AX1299" s="810"/>
      <c r="AY1299" s="810"/>
      <c r="AZ1299" s="810"/>
      <c r="BA1299" s="810"/>
      <c r="BB1299" s="810"/>
      <c r="BC1299" s="810"/>
      <c r="BD1299" s="810"/>
      <c r="BE1299" s="810"/>
    </row>
    <row r="1300" spans="1:57" ht="14.25" hidden="1" customHeight="1" outlineLevel="1">
      <c r="B1300" s="614"/>
      <c r="C1300" s="695"/>
      <c r="D1300" s="695"/>
      <c r="E1300" s="695"/>
      <c r="F1300" s="695"/>
      <c r="G1300" s="695"/>
      <c r="H1300" s="695"/>
      <c r="I1300" s="695"/>
      <c r="J1300" s="695"/>
      <c r="K1300" s="695"/>
      <c r="L1300" s="695"/>
      <c r="M1300" s="695"/>
      <c r="N1300" s="695"/>
      <c r="O1300" s="695"/>
      <c r="P1300" s="695"/>
      <c r="Q1300" s="695"/>
      <c r="R1300" s="695"/>
      <c r="S1300" s="695"/>
      <c r="T1300" s="695"/>
      <c r="U1300" s="695"/>
      <c r="V1300" s="695"/>
      <c r="W1300" s="695"/>
      <c r="X1300" s="695"/>
      <c r="Y1300" s="614"/>
      <c r="Z1300" s="614"/>
      <c r="AA1300" s="613"/>
      <c r="AB1300" s="614"/>
      <c r="AC1300" s="614"/>
      <c r="AD1300" s="614"/>
      <c r="AE1300" s="614"/>
      <c r="AF1300" s="617"/>
      <c r="AG1300" s="617"/>
      <c r="AH1300" s="617"/>
      <c r="AI1300" s="617"/>
      <c r="AJ1300" s="617"/>
      <c r="AK1300" s="617"/>
      <c r="AL1300" s="617"/>
      <c r="AM1300" s="617"/>
      <c r="AN1300" s="808"/>
      <c r="AO1300" s="809"/>
      <c r="AP1300" s="809"/>
      <c r="AQ1300" s="810"/>
      <c r="AR1300" s="810"/>
      <c r="AS1300" s="810"/>
      <c r="AT1300" s="810"/>
      <c r="AU1300" s="810"/>
      <c r="AV1300" s="810"/>
      <c r="AW1300" s="810"/>
      <c r="AX1300" s="810"/>
      <c r="AY1300" s="810"/>
      <c r="AZ1300" s="810"/>
      <c r="BA1300" s="810"/>
      <c r="BB1300" s="810"/>
      <c r="BC1300" s="810"/>
      <c r="BD1300" s="810"/>
      <c r="BE1300" s="810"/>
    </row>
    <row r="1301" spans="1:57" ht="14.25" hidden="1" customHeight="1" outlineLevel="1">
      <c r="A1301" s="331" t="s">
        <v>2505</v>
      </c>
      <c r="D1301" s="695"/>
      <c r="E1301" s="695"/>
      <c r="F1301" s="695"/>
      <c r="G1301" s="695"/>
      <c r="H1301" s="695"/>
      <c r="I1301" s="695"/>
      <c r="J1301" s="695"/>
      <c r="K1301" s="695"/>
      <c r="L1301" s="695"/>
      <c r="M1301" s="695"/>
      <c r="N1301" s="695"/>
      <c r="O1301" s="695"/>
      <c r="P1301" s="695"/>
      <c r="Q1301" s="695"/>
      <c r="R1301" s="695"/>
      <c r="S1301" s="695"/>
      <c r="T1301" s="695"/>
      <c r="U1301" s="695"/>
      <c r="V1301" s="695"/>
      <c r="W1301" s="695"/>
      <c r="X1301" s="695"/>
      <c r="Y1301" s="614"/>
      <c r="Z1301" s="614"/>
      <c r="AA1301" s="614"/>
      <c r="AB1301" s="614"/>
      <c r="AC1301" s="614"/>
      <c r="AD1301" s="614"/>
      <c r="AE1301" s="614"/>
      <c r="AF1301" s="617"/>
      <c r="AG1301" s="617"/>
      <c r="AH1301" s="617"/>
      <c r="AI1301" s="617"/>
      <c r="AJ1301" s="617"/>
      <c r="AK1301" s="617"/>
      <c r="AL1301" s="617"/>
      <c r="AM1301" s="617"/>
      <c r="AN1301" s="808"/>
      <c r="AO1301" s="809"/>
      <c r="AP1301" s="809"/>
      <c r="AQ1301" s="810"/>
      <c r="AR1301" s="810"/>
      <c r="AS1301" s="810"/>
      <c r="AT1301" s="810"/>
      <c r="AU1301" s="810"/>
      <c r="AV1301" s="810"/>
      <c r="AW1301" s="810"/>
      <c r="AX1301" s="810"/>
      <c r="AY1301" s="810"/>
      <c r="AZ1301" s="810"/>
      <c r="BA1301" s="810"/>
      <c r="BB1301" s="810"/>
      <c r="BC1301" s="810"/>
      <c r="BD1301" s="810"/>
      <c r="BE1301" s="810"/>
    </row>
    <row r="1302" spans="1:57" ht="14.25" hidden="1" customHeight="1" outlineLevel="1">
      <c r="A1302" s="875" t="s">
        <v>2506</v>
      </c>
      <c r="B1302" s="490"/>
      <c r="C1302" s="492"/>
      <c r="D1302" s="492"/>
      <c r="E1302" s="492"/>
      <c r="F1302" s="492"/>
      <c r="G1302" s="492"/>
      <c r="H1302" s="534"/>
      <c r="I1302" s="492"/>
      <c r="J1302" s="492"/>
      <c r="K1302" s="492"/>
      <c r="L1302" s="492"/>
      <c r="M1302" s="492"/>
      <c r="N1302" s="492"/>
      <c r="O1302" s="490"/>
      <c r="P1302" s="490"/>
      <c r="Q1302" s="490"/>
      <c r="R1302" s="617"/>
      <c r="S1302" s="617"/>
      <c r="T1302" s="617"/>
      <c r="U1302" s="617"/>
      <c r="V1302" s="617"/>
      <c r="W1302" s="617"/>
      <c r="X1302" s="617"/>
      <c r="Y1302" s="617"/>
      <c r="Z1302" s="617"/>
      <c r="AA1302" s="617"/>
      <c r="AB1302" s="617"/>
      <c r="AC1302" s="617"/>
      <c r="AD1302" s="617"/>
      <c r="AE1302" s="617"/>
      <c r="AF1302" s="617"/>
      <c r="AG1302" s="617"/>
      <c r="AH1302" s="617"/>
      <c r="AI1302" s="617"/>
      <c r="AJ1302" s="617"/>
      <c r="AK1302" s="617"/>
      <c r="AL1302" s="617"/>
      <c r="AM1302" s="617"/>
      <c r="AN1302" s="859"/>
      <c r="AO1302" s="863"/>
      <c r="AP1302" s="863"/>
      <c r="AQ1302" s="864"/>
      <c r="AR1302" s="864"/>
      <c r="AS1302" s="864"/>
      <c r="AT1302" s="864"/>
      <c r="AU1302" s="864"/>
      <c r="AV1302" s="864"/>
      <c r="AW1302" s="864"/>
      <c r="AX1302" s="864"/>
      <c r="AY1302" s="864"/>
      <c r="AZ1302" s="864"/>
      <c r="BA1302" s="864"/>
      <c r="BB1302" s="864"/>
      <c r="BC1302" s="864"/>
      <c r="BD1302" s="864"/>
      <c r="BE1302" s="864"/>
    </row>
    <row r="1303" spans="1:57" ht="14.25" hidden="1" customHeight="1" outlineLevel="1">
      <c r="A1303" s="380" t="s">
        <v>2507</v>
      </c>
      <c r="B1303" s="476" t="s">
        <v>159</v>
      </c>
      <c r="C1303" s="380">
        <v>5</v>
      </c>
      <c r="D1303" s="492"/>
      <c r="E1303" s="492"/>
      <c r="F1303" s="492"/>
      <c r="G1303" s="492"/>
      <c r="H1303" s="534"/>
      <c r="I1303" s="492"/>
      <c r="J1303" s="492"/>
      <c r="K1303" s="492"/>
      <c r="L1303" s="492"/>
      <c r="M1303" s="492"/>
      <c r="N1303" s="492"/>
      <c r="O1303" s="490"/>
      <c r="P1303" s="490"/>
      <c r="Q1303" s="490"/>
      <c r="R1303" s="617"/>
      <c r="S1303" s="617"/>
      <c r="T1303" s="617"/>
      <c r="U1303" s="617"/>
      <c r="V1303" s="617"/>
      <c r="W1303" s="617"/>
      <c r="X1303" s="617"/>
      <c r="Y1303" s="617"/>
      <c r="Z1303" s="617"/>
      <c r="AA1303" s="617"/>
      <c r="AB1303" s="617"/>
      <c r="AC1303" s="617"/>
      <c r="AD1303" s="617"/>
      <c r="AE1303" s="617"/>
      <c r="AF1303" s="617"/>
      <c r="AG1303" s="617"/>
      <c r="AH1303" s="617"/>
      <c r="AI1303" s="617"/>
      <c r="AJ1303" s="617"/>
      <c r="AK1303" s="617"/>
      <c r="AL1303" s="617"/>
      <c r="AM1303" s="617"/>
      <c r="AN1303" s="859"/>
      <c r="AO1303" s="863"/>
      <c r="AP1303" s="863"/>
      <c r="AQ1303" s="864"/>
      <c r="AR1303" s="864"/>
      <c r="AS1303" s="864"/>
      <c r="AT1303" s="864"/>
      <c r="AU1303" s="864"/>
      <c r="AV1303" s="864"/>
      <c r="AW1303" s="864"/>
      <c r="AX1303" s="864"/>
      <c r="AY1303" s="864"/>
      <c r="AZ1303" s="864"/>
      <c r="BA1303" s="864"/>
      <c r="BB1303" s="864"/>
      <c r="BC1303" s="864"/>
      <c r="BD1303" s="864"/>
      <c r="BE1303" s="864"/>
    </row>
    <row r="1304" spans="1:57" ht="14.25" hidden="1" customHeight="1" outlineLevel="1">
      <c r="D1304" s="492"/>
      <c r="E1304" s="492"/>
      <c r="F1304" s="492"/>
      <c r="G1304" s="492"/>
      <c r="H1304" s="534"/>
      <c r="I1304" s="492"/>
      <c r="J1304" s="492"/>
      <c r="K1304" s="492"/>
      <c r="L1304" s="492"/>
      <c r="M1304" s="492"/>
      <c r="N1304" s="492"/>
      <c r="O1304" s="490"/>
      <c r="P1304" s="490"/>
      <c r="Q1304" s="490"/>
      <c r="R1304" s="617"/>
      <c r="S1304" s="617"/>
      <c r="T1304" s="617"/>
      <c r="U1304" s="617"/>
      <c r="V1304" s="617"/>
      <c r="W1304" s="617"/>
      <c r="X1304" s="617"/>
      <c r="Y1304" s="617"/>
      <c r="Z1304" s="617"/>
      <c r="AA1304" s="617"/>
      <c r="AB1304" s="617"/>
      <c r="AC1304" s="617"/>
      <c r="AD1304" s="617"/>
      <c r="AE1304" s="617"/>
      <c r="AF1304" s="617"/>
      <c r="AG1304" s="617"/>
      <c r="AH1304" s="617"/>
      <c r="AI1304" s="617"/>
      <c r="AJ1304" s="617"/>
      <c r="AK1304" s="617"/>
      <c r="AL1304" s="617"/>
      <c r="AM1304" s="617"/>
      <c r="AN1304" s="859"/>
      <c r="AO1304" s="863"/>
      <c r="AP1304" s="863"/>
      <c r="AQ1304" s="864"/>
      <c r="AR1304" s="864"/>
      <c r="AS1304" s="864"/>
      <c r="AT1304" s="864"/>
      <c r="AU1304" s="864"/>
      <c r="AV1304" s="864"/>
      <c r="AW1304" s="864"/>
      <c r="AX1304" s="864"/>
      <c r="AY1304" s="864"/>
      <c r="AZ1304" s="864"/>
      <c r="BA1304" s="864"/>
      <c r="BB1304" s="864"/>
      <c r="BC1304" s="864"/>
      <c r="BD1304" s="864"/>
      <c r="BE1304" s="864"/>
    </row>
    <row r="1305" spans="1:57" ht="14.25" hidden="1" customHeight="1" outlineLevel="1">
      <c r="A1305" s="331" t="s">
        <v>151</v>
      </c>
      <c r="D1305" s="492"/>
      <c r="E1305" s="492"/>
      <c r="F1305" s="492"/>
      <c r="G1305" s="492"/>
      <c r="H1305" s="534"/>
      <c r="I1305" s="492"/>
      <c r="J1305" s="492"/>
      <c r="K1305" s="492"/>
      <c r="L1305" s="492"/>
      <c r="M1305" s="492"/>
      <c r="N1305" s="492"/>
      <c r="O1305" s="490"/>
      <c r="P1305" s="490"/>
      <c r="Q1305" s="490"/>
      <c r="R1305" s="617"/>
      <c r="S1305" s="617"/>
      <c r="T1305" s="617"/>
      <c r="U1305" s="617"/>
      <c r="V1305" s="617"/>
      <c r="W1305" s="617"/>
      <c r="X1305" s="617"/>
      <c r="Y1305" s="617"/>
      <c r="Z1305" s="617"/>
      <c r="AA1305" s="617"/>
      <c r="AB1305" s="617"/>
      <c r="AC1305" s="617"/>
      <c r="AD1305" s="617"/>
      <c r="AE1305" s="617"/>
      <c r="AF1305" s="617"/>
      <c r="AG1305" s="617"/>
      <c r="AH1305" s="617"/>
      <c r="AI1305" s="617"/>
      <c r="AJ1305" s="617"/>
      <c r="AK1305" s="617"/>
      <c r="AL1305" s="617"/>
      <c r="AM1305" s="617"/>
      <c r="AN1305" s="859"/>
      <c r="AO1305" s="863"/>
      <c r="AP1305" s="863"/>
      <c r="AQ1305" s="864"/>
      <c r="AR1305" s="864"/>
      <c r="AS1305" s="864"/>
      <c r="AT1305" s="864"/>
      <c r="AU1305" s="864"/>
      <c r="AV1305" s="864"/>
      <c r="AW1305" s="864"/>
      <c r="AX1305" s="864"/>
      <c r="AY1305" s="864"/>
      <c r="AZ1305" s="864"/>
      <c r="BA1305" s="864"/>
      <c r="BB1305" s="864"/>
      <c r="BC1305" s="864"/>
      <c r="BD1305" s="864"/>
      <c r="BE1305" s="864"/>
    </row>
    <row r="1306" spans="1:57" ht="14.25" hidden="1" customHeight="1" outlineLevel="1">
      <c r="A1306" s="414" t="s">
        <v>152</v>
      </c>
      <c r="B1306" s="877" t="s">
        <v>154</v>
      </c>
      <c r="C1306" s="263">
        <v>0</v>
      </c>
      <c r="D1306" s="492"/>
      <c r="E1306" s="492"/>
      <c r="F1306" s="492"/>
      <c r="G1306" s="492"/>
      <c r="H1306" s="534"/>
      <c r="I1306" s="492"/>
      <c r="J1306" s="492"/>
      <c r="K1306" s="492"/>
      <c r="L1306" s="492"/>
      <c r="M1306" s="492"/>
      <c r="N1306" s="492"/>
      <c r="O1306" s="490"/>
      <c r="P1306" s="490"/>
      <c r="Q1306" s="490"/>
      <c r="R1306" s="617"/>
      <c r="S1306" s="617"/>
      <c r="T1306" s="617"/>
      <c r="U1306" s="617"/>
      <c r="V1306" s="617"/>
      <c r="W1306" s="617"/>
      <c r="X1306" s="617"/>
      <c r="Y1306" s="617"/>
      <c r="Z1306" s="617"/>
      <c r="AA1306" s="617"/>
      <c r="AB1306" s="617"/>
      <c r="AC1306" s="617"/>
      <c r="AD1306" s="617"/>
      <c r="AE1306" s="617"/>
      <c r="AF1306" s="617"/>
      <c r="AG1306" s="617"/>
      <c r="AH1306" s="617"/>
      <c r="AI1306" s="617"/>
      <c r="AJ1306" s="617"/>
      <c r="AK1306" s="617"/>
      <c r="AL1306" s="617"/>
      <c r="AM1306" s="617"/>
      <c r="AN1306" s="859"/>
      <c r="AO1306" s="863"/>
      <c r="AP1306" s="863"/>
      <c r="AQ1306" s="864"/>
      <c r="AR1306" s="864"/>
      <c r="AS1306" s="864"/>
      <c r="AT1306" s="864"/>
      <c r="AU1306" s="864"/>
      <c r="AV1306" s="864"/>
      <c r="AW1306" s="864"/>
      <c r="AX1306" s="864"/>
      <c r="AY1306" s="864"/>
      <c r="AZ1306" s="864"/>
      <c r="BA1306" s="864"/>
      <c r="BB1306" s="864"/>
      <c r="BC1306" s="864"/>
      <c r="BD1306" s="864"/>
      <c r="BE1306" s="864"/>
    </row>
    <row r="1307" spans="1:57" ht="14.25" hidden="1" customHeight="1" outlineLevel="1">
      <c r="A1307" s="412" t="s">
        <v>152</v>
      </c>
      <c r="B1307" s="877" t="s">
        <v>154</v>
      </c>
      <c r="C1307" s="611">
        <v>0</v>
      </c>
      <c r="D1307" s="492"/>
      <c r="E1307" s="492"/>
      <c r="F1307" s="492"/>
      <c r="G1307" s="492"/>
      <c r="H1307" s="534"/>
      <c r="I1307" s="492"/>
      <c r="J1307" s="492"/>
      <c r="K1307" s="492"/>
      <c r="L1307" s="492"/>
      <c r="M1307" s="492"/>
      <c r="N1307" s="492"/>
      <c r="O1307" s="492"/>
      <c r="P1307" s="492"/>
      <c r="Q1307" s="492"/>
      <c r="R1307" s="617"/>
      <c r="S1307" s="617"/>
      <c r="T1307" s="617"/>
      <c r="U1307" s="617"/>
      <c r="V1307" s="617"/>
      <c r="W1307" s="617"/>
      <c r="X1307" s="617"/>
      <c r="Y1307" s="617"/>
      <c r="Z1307" s="617"/>
      <c r="AA1307" s="617"/>
      <c r="AB1307" s="617"/>
      <c r="AC1307" s="617"/>
      <c r="AD1307" s="617"/>
      <c r="AE1307" s="617"/>
      <c r="AF1307" s="617"/>
      <c r="AG1307" s="617"/>
      <c r="AH1307" s="617"/>
      <c r="AI1307" s="617"/>
      <c r="AJ1307" s="617"/>
      <c r="AK1307" s="617"/>
      <c r="AL1307" s="617"/>
      <c r="AM1307" s="617"/>
      <c r="AN1307" s="859"/>
      <c r="AO1307" s="863"/>
      <c r="AP1307" s="863"/>
      <c r="AQ1307" s="864"/>
      <c r="AR1307" s="864"/>
      <c r="AS1307" s="864"/>
      <c r="AT1307" s="864"/>
      <c r="AU1307" s="864"/>
      <c r="AV1307" s="864"/>
      <c r="AW1307" s="864"/>
      <c r="AX1307" s="864"/>
      <c r="AY1307" s="864"/>
      <c r="AZ1307" s="864"/>
      <c r="BA1307" s="864"/>
      <c r="BB1307" s="864"/>
      <c r="BC1307" s="864"/>
      <c r="BD1307" s="864"/>
      <c r="BE1307" s="864"/>
    </row>
    <row r="1308" spans="1:57" ht="14.25" hidden="1" customHeight="1" outlineLevel="1">
      <c r="A1308" s="497" t="s">
        <v>2508</v>
      </c>
      <c r="B1308" s="496" t="s">
        <v>1796</v>
      </c>
      <c r="C1308" s="904">
        <v>5000</v>
      </c>
      <c r="D1308" s="492"/>
      <c r="E1308" s="492"/>
      <c r="F1308" s="492"/>
      <c r="G1308" s="492"/>
      <c r="H1308" s="534"/>
      <c r="I1308" s="847"/>
      <c r="J1308" s="847"/>
      <c r="K1308" s="847"/>
      <c r="L1308" s="847"/>
      <c r="M1308" s="847"/>
      <c r="N1308" s="847"/>
      <c r="O1308" s="847"/>
      <c r="P1308" s="847"/>
      <c r="Q1308" s="847"/>
      <c r="R1308" s="847"/>
      <c r="S1308" s="617"/>
      <c r="T1308" s="617"/>
      <c r="U1308" s="617"/>
      <c r="V1308" s="617"/>
      <c r="W1308" s="617"/>
      <c r="X1308" s="617"/>
      <c r="Y1308" s="617"/>
      <c r="Z1308" s="617"/>
      <c r="AA1308" s="617"/>
      <c r="AB1308" s="617"/>
      <c r="AC1308" s="617"/>
      <c r="AD1308" s="617"/>
      <c r="AE1308" s="617"/>
      <c r="AF1308" s="617"/>
      <c r="AG1308" s="617"/>
      <c r="AH1308" s="617"/>
      <c r="AI1308" s="617"/>
      <c r="AJ1308" s="617"/>
      <c r="AK1308" s="617"/>
      <c r="AL1308" s="617"/>
      <c r="AM1308" s="617"/>
      <c r="AN1308" s="859"/>
      <c r="AO1308" s="863"/>
      <c r="AP1308" s="863"/>
      <c r="AQ1308" s="864"/>
      <c r="AR1308" s="864"/>
      <c r="AS1308" s="864"/>
      <c r="AT1308" s="864"/>
      <c r="AU1308" s="864"/>
      <c r="AV1308" s="864"/>
      <c r="AW1308" s="864"/>
      <c r="AX1308" s="864"/>
      <c r="AY1308" s="864"/>
      <c r="AZ1308" s="864"/>
      <c r="BA1308" s="864"/>
      <c r="BB1308" s="864"/>
      <c r="BC1308" s="864"/>
      <c r="BD1308" s="864"/>
      <c r="BE1308" s="864"/>
    </row>
    <row r="1309" spans="1:57" ht="14.25" hidden="1" customHeight="1" outlineLevel="1">
      <c r="A1309" s="492"/>
      <c r="B1309" s="490"/>
      <c r="C1309" s="492"/>
      <c r="D1309" s="492"/>
      <c r="E1309" s="492"/>
      <c r="F1309" s="492"/>
      <c r="G1309" s="492"/>
      <c r="H1309" s="534"/>
      <c r="I1309" s="847"/>
      <c r="J1309" s="847"/>
      <c r="K1309" s="847"/>
      <c r="L1309" s="847"/>
      <c r="M1309" s="847"/>
      <c r="N1309" s="847"/>
      <c r="O1309" s="847"/>
      <c r="P1309" s="847"/>
      <c r="Q1309" s="617"/>
      <c r="R1309" s="617"/>
      <c r="S1309" s="617"/>
      <c r="T1309" s="617"/>
      <c r="U1309" s="617"/>
      <c r="V1309" s="617"/>
      <c r="W1309" s="617"/>
      <c r="X1309" s="617"/>
      <c r="Y1309" s="617"/>
      <c r="Z1309" s="617"/>
      <c r="AA1309" s="617"/>
      <c r="AB1309" s="617"/>
      <c r="AC1309" s="617"/>
      <c r="AD1309" s="617"/>
      <c r="AE1309" s="617"/>
      <c r="AF1309" s="617"/>
      <c r="AG1309" s="617"/>
      <c r="AH1309" s="617"/>
      <c r="AI1309" s="617"/>
      <c r="AJ1309" s="617"/>
      <c r="AK1309" s="617"/>
      <c r="AL1309" s="617"/>
      <c r="AM1309" s="617"/>
      <c r="AN1309" s="859"/>
      <c r="AO1309" s="863"/>
      <c r="AP1309" s="863"/>
      <c r="AQ1309" s="864"/>
      <c r="AR1309" s="864"/>
      <c r="AS1309" s="864"/>
      <c r="AT1309" s="864"/>
      <c r="AU1309" s="864"/>
      <c r="AV1309" s="864"/>
      <c r="AW1309" s="864"/>
      <c r="AX1309" s="864"/>
      <c r="AY1309" s="864"/>
      <c r="AZ1309" s="864"/>
      <c r="BA1309" s="864"/>
      <c r="BB1309" s="864"/>
      <c r="BC1309" s="864"/>
      <c r="BD1309" s="864"/>
      <c r="BE1309" s="864"/>
    </row>
    <row r="1310" spans="1:57" ht="14.25" customHeight="1" collapsed="1">
      <c r="A1310" s="3138" t="s">
        <v>2509</v>
      </c>
      <c r="B1310" s="3138"/>
      <c r="C1310" s="3138"/>
      <c r="D1310" s="3138"/>
      <c r="E1310" s="3138"/>
      <c r="F1310" s="653" t="s">
        <v>1798</v>
      </c>
      <c r="H1310" s="646"/>
      <c r="I1310" s="646"/>
      <c r="J1310" s="646"/>
      <c r="K1310" s="646"/>
      <c r="L1310" s="646"/>
      <c r="M1310" s="616"/>
      <c r="N1310" s="616"/>
      <c r="O1310" s="616"/>
      <c r="P1310" s="617"/>
      <c r="Q1310" s="366"/>
      <c r="R1310" s="617"/>
      <c r="S1310" s="617"/>
      <c r="T1310" s="617"/>
      <c r="U1310" s="617"/>
      <c r="V1310" s="617"/>
      <c r="W1310" s="617"/>
      <c r="X1310" s="617"/>
      <c r="Y1310" s="617"/>
      <c r="Z1310" s="617"/>
      <c r="AA1310" s="617"/>
      <c r="AB1310" s="617"/>
      <c r="AC1310" s="617"/>
      <c r="AD1310" s="617"/>
      <c r="AE1310" s="617"/>
      <c r="AF1310" s="617"/>
      <c r="AG1310" s="617"/>
      <c r="AH1310" s="617"/>
      <c r="AI1310" s="617"/>
      <c r="AJ1310" s="617"/>
      <c r="AK1310" s="617"/>
      <c r="AL1310" s="617"/>
      <c r="AM1310" s="617"/>
      <c r="AN1310" s="859"/>
      <c r="AO1310" s="863"/>
      <c r="AP1310" s="863"/>
      <c r="AQ1310" s="864"/>
      <c r="AR1310" s="864"/>
      <c r="AS1310" s="864"/>
      <c r="AT1310" s="864"/>
      <c r="AU1310" s="864"/>
      <c r="AV1310" s="543">
        <f>M1310</f>
        <v>0</v>
      </c>
      <c r="AW1310" s="864"/>
      <c r="AX1310" s="864"/>
      <c r="AY1310" s="864"/>
      <c r="AZ1310" s="864"/>
      <c r="BA1310" s="864"/>
      <c r="BB1310" s="864"/>
      <c r="BC1310" s="864"/>
      <c r="BD1310" s="864"/>
      <c r="BE1310" s="864"/>
    </row>
    <row r="1311" spans="1:57" ht="14.25" customHeight="1">
      <c r="A1311" s="492"/>
      <c r="B1311" s="490"/>
      <c r="C1311" s="492"/>
      <c r="D1311" s="492"/>
      <c r="E1311" s="492"/>
      <c r="F1311" s="492"/>
      <c r="G1311" s="492"/>
      <c r="H1311" s="492"/>
      <c r="I1311" s="492"/>
      <c r="J1311" s="492"/>
      <c r="K1311" s="492"/>
      <c r="L1311" s="492"/>
      <c r="M1311" s="617"/>
      <c r="N1311" s="617"/>
      <c r="O1311" s="617"/>
      <c r="P1311" s="617"/>
      <c r="Q1311" s="617"/>
      <c r="R1311" s="617"/>
      <c r="S1311" s="617"/>
      <c r="T1311" s="617"/>
      <c r="U1311" s="617"/>
      <c r="V1311" s="617"/>
      <c r="W1311" s="617"/>
      <c r="X1311" s="617"/>
      <c r="Y1311" s="617"/>
      <c r="Z1311" s="617"/>
      <c r="AA1311" s="617"/>
      <c r="AB1311" s="617"/>
      <c r="AC1311" s="617"/>
      <c r="AD1311" s="617"/>
      <c r="AE1311" s="617"/>
      <c r="AF1311" s="617"/>
      <c r="AG1311" s="617"/>
      <c r="AH1311" s="617"/>
      <c r="AI1311" s="617"/>
      <c r="AJ1311" s="617"/>
      <c r="AK1311" s="617"/>
      <c r="AL1311" s="617"/>
      <c r="AM1311" s="617"/>
      <c r="AN1311" s="859"/>
      <c r="AO1311" s="863"/>
      <c r="AP1311" s="863"/>
      <c r="AQ1311" s="864"/>
      <c r="AR1311" s="864"/>
      <c r="AS1311" s="864"/>
      <c r="AT1311" s="864"/>
      <c r="AU1311" s="864"/>
      <c r="AV1311" s="864"/>
      <c r="AW1311" s="864"/>
      <c r="AX1311" s="864"/>
      <c r="AY1311" s="864"/>
      <c r="AZ1311" s="864"/>
      <c r="BA1311" s="864"/>
      <c r="BB1311" s="864"/>
      <c r="BC1311" s="864"/>
      <c r="BD1311" s="864"/>
      <c r="BE1311" s="864"/>
    </row>
    <row r="1312" spans="1:57" ht="14.25" hidden="1" customHeight="1" outlineLevel="1">
      <c r="A1312" s="3137" t="s">
        <v>1171</v>
      </c>
      <c r="B1312" s="3137"/>
      <c r="C1312" s="3137"/>
      <c r="D1312" s="3137"/>
      <c r="E1312" s="3137"/>
      <c r="F1312" s="3137"/>
      <c r="G1312" s="3137"/>
      <c r="H1312" s="813"/>
      <c r="I1312" s="813"/>
      <c r="J1312" s="813"/>
      <c r="K1312" s="813"/>
      <c r="L1312" s="813"/>
      <c r="M1312" s="813"/>
      <c r="N1312" s="813"/>
      <c r="O1312" s="813"/>
      <c r="P1312" s="813"/>
      <c r="Q1312" s="813"/>
      <c r="R1312" s="813"/>
      <c r="S1312" s="813"/>
      <c r="T1312" s="813"/>
      <c r="U1312" s="813"/>
      <c r="V1312" s="813"/>
      <c r="W1312" s="813"/>
      <c r="X1312" s="813"/>
      <c r="Y1312" s="813"/>
      <c r="Z1312" s="813"/>
      <c r="AA1312" s="813"/>
      <c r="AB1312" s="813"/>
      <c r="AC1312" s="813"/>
      <c r="AD1312" s="813"/>
      <c r="AE1312" s="813"/>
      <c r="AF1312" s="813"/>
      <c r="AG1312" s="813"/>
      <c r="AH1312" s="813"/>
      <c r="AI1312" s="813"/>
      <c r="AJ1312" s="617"/>
      <c r="AK1312" s="617"/>
      <c r="AL1312" s="617"/>
      <c r="AM1312" s="617"/>
      <c r="AN1312" s="859"/>
      <c r="AO1312" s="863"/>
      <c r="AP1312" s="863"/>
      <c r="AQ1312" s="864"/>
      <c r="AR1312" s="864"/>
      <c r="AS1312" s="864"/>
      <c r="AT1312" s="864"/>
      <c r="AU1312" s="864"/>
      <c r="AV1312" s="864"/>
      <c r="AW1312" s="864"/>
      <c r="AX1312" s="864"/>
      <c r="AY1312" s="864"/>
      <c r="AZ1312" s="864"/>
      <c r="BA1312" s="864"/>
      <c r="BB1312" s="864"/>
      <c r="BC1312" s="864"/>
      <c r="BD1312" s="864"/>
      <c r="BE1312" s="864"/>
    </row>
    <row r="1313" spans="1:57" ht="14.25" hidden="1" customHeight="1" outlineLevel="1">
      <c r="A1313" s="3137"/>
      <c r="B1313" s="3137"/>
      <c r="C1313" s="3137"/>
      <c r="D1313" s="3137"/>
      <c r="E1313" s="3137"/>
      <c r="F1313" s="3137"/>
      <c r="G1313" s="3137"/>
      <c r="H1313" s="813"/>
      <c r="I1313" s="813"/>
      <c r="J1313" s="813"/>
      <c r="K1313" s="813"/>
      <c r="L1313" s="813"/>
      <c r="M1313" s="813"/>
      <c r="N1313" s="813"/>
      <c r="O1313" s="813"/>
      <c r="P1313" s="813"/>
      <c r="Q1313" s="813"/>
      <c r="R1313" s="813"/>
      <c r="S1313" s="813"/>
      <c r="T1313" s="813"/>
      <c r="U1313" s="813"/>
      <c r="V1313" s="813"/>
      <c r="W1313" s="813"/>
      <c r="X1313" s="813"/>
      <c r="Y1313" s="813"/>
      <c r="Z1313" s="813"/>
      <c r="AA1313" s="813"/>
      <c r="AB1313" s="813"/>
      <c r="AC1313" s="813"/>
      <c r="AD1313" s="813"/>
      <c r="AE1313" s="813"/>
      <c r="AF1313" s="813"/>
      <c r="AG1313" s="813"/>
      <c r="AH1313" s="813"/>
      <c r="AI1313" s="813"/>
      <c r="AJ1313" s="617"/>
      <c r="AK1313" s="617"/>
      <c r="AL1313" s="617"/>
      <c r="AM1313" s="617"/>
      <c r="AN1313" s="859"/>
      <c r="AO1313" s="863"/>
      <c r="AP1313" s="863"/>
      <c r="AQ1313" s="864"/>
      <c r="AR1313" s="864"/>
      <c r="AS1313" s="864"/>
      <c r="AT1313" s="864"/>
      <c r="AU1313" s="864"/>
      <c r="AV1313" s="864"/>
      <c r="AW1313" s="864"/>
      <c r="AX1313" s="864"/>
      <c r="AY1313" s="864"/>
      <c r="AZ1313" s="864"/>
      <c r="BA1313" s="864"/>
      <c r="BB1313" s="864"/>
      <c r="BC1313" s="864"/>
      <c r="BD1313" s="864"/>
      <c r="BE1313" s="864"/>
    </row>
    <row r="1314" spans="1:57" ht="14.25" hidden="1" customHeight="1" outlineLevel="1">
      <c r="A1314" s="888"/>
      <c r="B1314" s="888"/>
      <c r="C1314" s="888"/>
      <c r="D1314" s="888"/>
      <c r="E1314" s="888"/>
      <c r="F1314" s="888"/>
      <c r="G1314" s="888"/>
      <c r="H1314" s="813"/>
      <c r="I1314" s="813"/>
      <c r="J1314" s="813"/>
      <c r="K1314" s="813"/>
      <c r="L1314" s="813"/>
      <c r="M1314" s="813"/>
      <c r="N1314" s="813"/>
      <c r="O1314" s="813"/>
      <c r="P1314" s="813"/>
      <c r="Q1314" s="813"/>
      <c r="R1314" s="813"/>
      <c r="S1314" s="813"/>
      <c r="T1314" s="813"/>
      <c r="U1314" s="813"/>
      <c r="V1314" s="813"/>
      <c r="W1314" s="813"/>
      <c r="X1314" s="813"/>
      <c r="Y1314" s="813"/>
      <c r="Z1314" s="813"/>
      <c r="AA1314" s="813"/>
      <c r="AB1314" s="813"/>
      <c r="AC1314" s="813"/>
      <c r="AD1314" s="813"/>
      <c r="AE1314" s="813"/>
      <c r="AF1314" s="813"/>
      <c r="AG1314" s="813"/>
      <c r="AH1314" s="813"/>
      <c r="AI1314" s="813"/>
      <c r="AJ1314" s="617"/>
      <c r="AK1314" s="617"/>
      <c r="AL1314" s="617"/>
      <c r="AM1314" s="617"/>
      <c r="AN1314" s="859"/>
      <c r="AO1314" s="863"/>
      <c r="AP1314" s="863"/>
      <c r="AQ1314" s="864"/>
      <c r="AR1314" s="864"/>
      <c r="AS1314" s="864"/>
      <c r="AT1314" s="864"/>
      <c r="AU1314" s="864"/>
      <c r="AV1314" s="864"/>
      <c r="AW1314" s="864"/>
      <c r="AX1314" s="864"/>
      <c r="AY1314" s="864"/>
      <c r="AZ1314" s="864"/>
      <c r="BA1314" s="864"/>
      <c r="BB1314" s="864"/>
      <c r="BC1314" s="864"/>
      <c r="BD1314" s="864"/>
      <c r="BE1314" s="864"/>
    </row>
    <row r="1315" spans="1:57" ht="14.25" hidden="1" customHeight="1" outlineLevel="1">
      <c r="A1315" s="525" t="s">
        <v>1236</v>
      </c>
      <c r="B1315" s="438" t="s">
        <v>120</v>
      </c>
      <c r="C1315" s="525" t="s">
        <v>1753</v>
      </c>
      <c r="D1315" s="888"/>
      <c r="E1315" s="888"/>
      <c r="F1315" s="888"/>
      <c r="G1315" s="888"/>
      <c r="H1315" s="813"/>
      <c r="I1315" s="813"/>
      <c r="J1315" s="813"/>
      <c r="K1315" s="813"/>
      <c r="L1315" s="813"/>
      <c r="M1315" s="813"/>
      <c r="N1315" s="813"/>
      <c r="O1315" s="813"/>
      <c r="P1315" s="813"/>
      <c r="Q1315" s="813"/>
      <c r="R1315" s="813"/>
      <c r="S1315" s="813"/>
      <c r="T1315" s="813"/>
      <c r="U1315" s="813"/>
      <c r="V1315" s="813"/>
      <c r="W1315" s="813"/>
      <c r="X1315" s="813"/>
      <c r="Y1315" s="813"/>
      <c r="Z1315" s="813"/>
      <c r="AA1315" s="813"/>
      <c r="AB1315" s="813"/>
      <c r="AC1315" s="813"/>
      <c r="AD1315" s="813"/>
      <c r="AE1315" s="813"/>
      <c r="AF1315" s="813"/>
      <c r="AG1315" s="813"/>
      <c r="AH1315" s="813"/>
      <c r="AI1315" s="813"/>
      <c r="AJ1315" s="617"/>
      <c r="AK1315" s="617"/>
      <c r="AL1315" s="617"/>
      <c r="AM1315" s="617"/>
      <c r="AN1315" s="859"/>
      <c r="AO1315" s="863"/>
      <c r="AP1315" s="863"/>
      <c r="AQ1315" s="864"/>
      <c r="AR1315" s="864"/>
      <c r="AS1315" s="864"/>
      <c r="AT1315" s="864"/>
      <c r="AU1315" s="864"/>
      <c r="AV1315" s="864"/>
      <c r="AW1315" s="864"/>
      <c r="AX1315" s="864"/>
      <c r="AY1315" s="864"/>
      <c r="AZ1315" s="864"/>
      <c r="BA1315" s="864"/>
      <c r="BB1315" s="864"/>
      <c r="BC1315" s="864"/>
      <c r="BD1315" s="864"/>
      <c r="BE1315" s="864"/>
    </row>
    <row r="1316" spans="1:57" ht="14.25" hidden="1" customHeight="1" outlineLevel="1">
      <c r="A1316" s="263" t="s">
        <v>1172</v>
      </c>
      <c r="B1316" s="415" t="s">
        <v>154</v>
      </c>
      <c r="C1316" s="262">
        <v>5</v>
      </c>
      <c r="D1316" s="492"/>
      <c r="E1316" s="492"/>
      <c r="F1316" s="492"/>
      <c r="H1316" s="492"/>
      <c r="I1316" s="905"/>
      <c r="J1316" s="492"/>
      <c r="K1316" s="492"/>
      <c r="L1316" s="492"/>
      <c r="M1316" s="492"/>
      <c r="N1316" s="492"/>
      <c r="O1316" s="492"/>
      <c r="P1316" s="492"/>
      <c r="Q1316" s="617"/>
      <c r="R1316" s="617"/>
      <c r="S1316" s="617"/>
      <c r="T1316" s="617"/>
      <c r="U1316" s="617"/>
      <c r="V1316" s="617"/>
      <c r="W1316" s="617"/>
      <c r="X1316" s="617"/>
      <c r="Y1316" s="617"/>
      <c r="Z1316" s="617"/>
      <c r="AA1316" s="617"/>
      <c r="AB1316" s="617"/>
      <c r="AC1316" s="617"/>
      <c r="AD1316" s="617"/>
      <c r="AE1316" s="617"/>
      <c r="AF1316" s="617"/>
      <c r="AG1316" s="617"/>
      <c r="AH1316" s="617"/>
      <c r="AI1316" s="617"/>
      <c r="AJ1316" s="617"/>
      <c r="AK1316" s="617"/>
      <c r="AL1316" s="617"/>
      <c r="AM1316" s="617"/>
      <c r="AN1316" s="859"/>
      <c r="AO1316" s="863"/>
      <c r="AP1316" s="863"/>
      <c r="AQ1316" s="864"/>
      <c r="AR1316" s="864"/>
      <c r="AS1316" s="864"/>
      <c r="AT1316" s="864"/>
      <c r="AU1316" s="864"/>
      <c r="AV1316" s="864"/>
      <c r="AW1316" s="864"/>
      <c r="AX1316" s="864"/>
      <c r="AY1316" s="864"/>
      <c r="AZ1316" s="864"/>
      <c r="BA1316" s="864"/>
      <c r="BB1316" s="864"/>
      <c r="BC1316" s="864"/>
      <c r="BD1316" s="864"/>
      <c r="BE1316" s="864"/>
    </row>
    <row r="1317" spans="1:57" ht="14.25" hidden="1" customHeight="1" outlineLevel="1">
      <c r="A1317" s="263" t="s">
        <v>2510</v>
      </c>
      <c r="B1317" s="415" t="s">
        <v>159</v>
      </c>
      <c r="C1317" s="906" t="s">
        <v>1821</v>
      </c>
      <c r="D1317" s="492"/>
      <c r="E1317" s="492"/>
      <c r="F1317" s="492"/>
      <c r="H1317" s="492"/>
      <c r="I1317" s="492"/>
      <c r="J1317" s="492"/>
      <c r="K1317" s="492"/>
      <c r="L1317" s="492"/>
      <c r="M1317" s="492"/>
      <c r="N1317" s="492"/>
      <c r="O1317" s="492"/>
      <c r="P1317" s="492"/>
      <c r="Q1317" s="617"/>
      <c r="R1317" s="617"/>
      <c r="S1317" s="617"/>
      <c r="T1317" s="617"/>
      <c r="U1317" s="617"/>
      <c r="V1317" s="617"/>
      <c r="W1317" s="617"/>
      <c r="X1317" s="617"/>
      <c r="Y1317" s="617"/>
      <c r="Z1317" s="617"/>
      <c r="AA1317" s="617"/>
      <c r="AB1317" s="617"/>
      <c r="AC1317" s="617"/>
      <c r="AD1317" s="617"/>
      <c r="AE1317" s="617"/>
      <c r="AF1317" s="617"/>
      <c r="AG1317" s="617"/>
      <c r="AH1317" s="617"/>
      <c r="AI1317" s="617"/>
      <c r="AJ1317" s="617"/>
      <c r="AK1317" s="617"/>
      <c r="AL1317" s="617"/>
      <c r="AM1317" s="617"/>
      <c r="AN1317" s="859"/>
      <c r="AO1317" s="863"/>
      <c r="AP1317" s="863"/>
      <c r="AQ1317" s="864"/>
      <c r="AR1317" s="864"/>
      <c r="AS1317" s="864"/>
      <c r="AT1317" s="864"/>
      <c r="AU1317" s="864"/>
      <c r="AV1317" s="864"/>
      <c r="AW1317" s="864"/>
      <c r="AX1317" s="864"/>
      <c r="AY1317" s="864"/>
      <c r="AZ1317" s="864"/>
      <c r="BA1317" s="864"/>
      <c r="BB1317" s="864"/>
      <c r="BC1317" s="864"/>
      <c r="BD1317" s="864"/>
      <c r="BE1317" s="864"/>
    </row>
    <row r="1318" spans="1:57" ht="14.25" hidden="1" customHeight="1" outlineLevel="1">
      <c r="A1318" s="263" t="s">
        <v>2511</v>
      </c>
      <c r="B1318" s="415" t="s">
        <v>159</v>
      </c>
      <c r="C1318" s="906" t="s">
        <v>1821</v>
      </c>
      <c r="D1318" s="492"/>
      <c r="E1318" s="492"/>
      <c r="F1318" s="492"/>
      <c r="H1318" s="492"/>
      <c r="I1318" s="492"/>
      <c r="J1318" s="492"/>
      <c r="K1318" s="492"/>
      <c r="L1318" s="492"/>
      <c r="M1318" s="492"/>
      <c r="N1318" s="492"/>
      <c r="O1318" s="492"/>
      <c r="P1318" s="492"/>
      <c r="Q1318" s="617"/>
      <c r="R1318" s="617"/>
      <c r="S1318" s="617"/>
      <c r="T1318" s="617"/>
      <c r="U1318" s="617"/>
      <c r="V1318" s="617"/>
      <c r="W1318" s="617"/>
      <c r="X1318" s="617"/>
      <c r="Y1318" s="617"/>
      <c r="Z1318" s="617"/>
      <c r="AA1318" s="617"/>
      <c r="AB1318" s="617"/>
      <c r="AC1318" s="617"/>
      <c r="AD1318" s="617"/>
      <c r="AE1318" s="617"/>
      <c r="AF1318" s="617"/>
      <c r="AG1318" s="617"/>
      <c r="AH1318" s="617"/>
      <c r="AI1318" s="617"/>
      <c r="AJ1318" s="617"/>
      <c r="AK1318" s="617"/>
      <c r="AL1318" s="617"/>
      <c r="AM1318" s="617"/>
      <c r="AN1318" s="859"/>
      <c r="AO1318" s="863"/>
      <c r="AP1318" s="863"/>
      <c r="AQ1318" s="864"/>
      <c r="AR1318" s="864"/>
      <c r="AS1318" s="864"/>
      <c r="AT1318" s="864"/>
      <c r="AU1318" s="864"/>
      <c r="AV1318" s="864"/>
      <c r="AW1318" s="864"/>
      <c r="AX1318" s="864"/>
      <c r="AY1318" s="864"/>
      <c r="AZ1318" s="864"/>
      <c r="BA1318" s="864"/>
      <c r="BB1318" s="864"/>
      <c r="BC1318" s="864"/>
      <c r="BD1318" s="864"/>
      <c r="BE1318" s="864"/>
    </row>
    <row r="1319" spans="1:57" ht="14.25" hidden="1" customHeight="1" outlineLevel="1">
      <c r="A1319" s="263" t="s">
        <v>2512</v>
      </c>
      <c r="B1319" s="415" t="s">
        <v>156</v>
      </c>
      <c r="C1319" s="262">
        <v>60</v>
      </c>
      <c r="D1319" s="492"/>
      <c r="E1319" s="492"/>
      <c r="F1319" s="492"/>
      <c r="H1319" s="492"/>
      <c r="I1319" s="492"/>
      <c r="J1319" s="492"/>
      <c r="K1319" s="492"/>
      <c r="L1319" s="492"/>
      <c r="M1319" s="492"/>
      <c r="N1319" s="492"/>
      <c r="O1319" s="492"/>
      <c r="P1319" s="492"/>
      <c r="Q1319" s="617"/>
      <c r="R1319" s="617"/>
      <c r="S1319" s="617"/>
      <c r="T1319" s="617"/>
      <c r="U1319" s="617"/>
      <c r="V1319" s="617"/>
      <c r="W1319" s="617"/>
      <c r="X1319" s="617"/>
      <c r="Y1319" s="617"/>
      <c r="Z1319" s="617"/>
      <c r="AA1319" s="617"/>
      <c r="AB1319" s="617"/>
      <c r="AC1319" s="617"/>
      <c r="AD1319" s="617"/>
      <c r="AE1319" s="617"/>
      <c r="AF1319" s="617"/>
      <c r="AG1319" s="617"/>
      <c r="AH1319" s="617"/>
      <c r="AI1319" s="617"/>
      <c r="AJ1319" s="617"/>
      <c r="AK1319" s="617"/>
      <c r="AL1319" s="617"/>
      <c r="AM1319" s="617"/>
      <c r="AN1319" s="859"/>
      <c r="AO1319" s="863"/>
      <c r="AP1319" s="863"/>
      <c r="AQ1319" s="864"/>
      <c r="AR1319" s="864"/>
      <c r="AS1319" s="864"/>
      <c r="AT1319" s="864"/>
      <c r="AU1319" s="864"/>
      <c r="AV1319" s="864"/>
      <c r="AW1319" s="864"/>
      <c r="AX1319" s="864"/>
      <c r="AY1319" s="864"/>
      <c r="AZ1319" s="864"/>
      <c r="BA1319" s="864"/>
      <c r="BB1319" s="864"/>
      <c r="BC1319" s="864"/>
      <c r="BD1319" s="864"/>
      <c r="BE1319" s="864"/>
    </row>
    <row r="1320" spans="1:57" ht="14.25" hidden="1" customHeight="1" outlineLevel="1">
      <c r="A1320" s="331" t="s">
        <v>151</v>
      </c>
      <c r="D1320" s="492"/>
      <c r="E1320" s="492"/>
      <c r="F1320" s="492"/>
      <c r="H1320" s="492"/>
      <c r="I1320" s="616"/>
      <c r="J1320" s="616"/>
      <c r="K1320" s="616"/>
      <c r="L1320" s="616"/>
      <c r="M1320" s="616"/>
      <c r="N1320" s="616"/>
      <c r="O1320" s="616"/>
      <c r="P1320" s="616"/>
      <c r="Q1320" s="616"/>
      <c r="R1320" s="616"/>
      <c r="S1320" s="617"/>
      <c r="T1320" s="617"/>
      <c r="U1320" s="617"/>
      <c r="V1320" s="617"/>
      <c r="W1320" s="617"/>
      <c r="X1320" s="617"/>
      <c r="Y1320" s="617"/>
      <c r="Z1320" s="617"/>
      <c r="AA1320" s="617"/>
      <c r="AB1320" s="617"/>
      <c r="AC1320" s="617"/>
      <c r="AD1320" s="617"/>
      <c r="AE1320" s="617"/>
      <c r="AF1320" s="617"/>
      <c r="AG1320" s="617"/>
      <c r="AH1320" s="617"/>
      <c r="AI1320" s="617"/>
      <c r="AJ1320" s="617"/>
      <c r="AK1320" s="617"/>
      <c r="AL1320" s="617"/>
      <c r="AM1320" s="617"/>
      <c r="AN1320" s="859"/>
      <c r="AO1320" s="863"/>
      <c r="AP1320" s="863"/>
      <c r="AQ1320" s="864"/>
      <c r="AR1320" s="864"/>
      <c r="AS1320" s="864"/>
      <c r="AT1320" s="864"/>
      <c r="AU1320" s="864"/>
      <c r="AV1320" s="864"/>
      <c r="AW1320" s="864"/>
      <c r="AX1320" s="864"/>
      <c r="AY1320" s="864"/>
      <c r="AZ1320" s="864"/>
      <c r="BA1320" s="864"/>
      <c r="BB1320" s="864"/>
      <c r="BC1320" s="864"/>
      <c r="BD1320" s="864"/>
      <c r="BE1320" s="864"/>
    </row>
    <row r="1321" spans="1:57" ht="14.25" hidden="1" customHeight="1" outlineLevel="1">
      <c r="A1321" s="414" t="s">
        <v>152</v>
      </c>
      <c r="B1321" s="877" t="s">
        <v>154</v>
      </c>
      <c r="C1321" s="263">
        <v>4</v>
      </c>
      <c r="D1321" s="492"/>
      <c r="E1321" s="492"/>
      <c r="F1321" s="492"/>
      <c r="H1321" s="492"/>
      <c r="I1321" s="616"/>
      <c r="J1321" s="616"/>
      <c r="K1321" s="616"/>
      <c r="L1321" s="616"/>
      <c r="M1321" s="616"/>
      <c r="N1321" s="616"/>
      <c r="O1321" s="616"/>
      <c r="P1321" s="616"/>
      <c r="Q1321" s="616"/>
      <c r="R1321" s="616"/>
      <c r="S1321" s="617"/>
      <c r="T1321" s="617"/>
      <c r="U1321" s="617"/>
      <c r="V1321" s="617"/>
      <c r="W1321" s="617"/>
      <c r="X1321" s="617"/>
      <c r="Y1321" s="617"/>
      <c r="Z1321" s="617"/>
      <c r="AA1321" s="617"/>
      <c r="AB1321" s="617"/>
      <c r="AC1321" s="617"/>
      <c r="AD1321" s="617"/>
      <c r="AE1321" s="617"/>
      <c r="AF1321" s="617"/>
      <c r="AG1321" s="617"/>
      <c r="AH1321" s="617"/>
      <c r="AI1321" s="617"/>
      <c r="AJ1321" s="617"/>
      <c r="AK1321" s="617"/>
      <c r="AL1321" s="617"/>
      <c r="AM1321" s="617"/>
      <c r="AN1321" s="859"/>
      <c r="AO1321" s="863"/>
      <c r="AP1321" s="863"/>
      <c r="AQ1321" s="864"/>
      <c r="AR1321" s="864"/>
      <c r="AS1321" s="864"/>
      <c r="AT1321" s="864"/>
      <c r="AU1321" s="864"/>
      <c r="AV1321" s="864"/>
      <c r="AW1321" s="864"/>
      <c r="AX1321" s="864"/>
      <c r="AY1321" s="864"/>
      <c r="AZ1321" s="864"/>
      <c r="BA1321" s="864"/>
      <c r="BB1321" s="864"/>
      <c r="BC1321" s="864"/>
      <c r="BD1321" s="864"/>
      <c r="BE1321" s="864"/>
    </row>
    <row r="1322" spans="1:57" ht="14.25" hidden="1" customHeight="1" outlineLevel="1">
      <c r="A1322" s="412" t="s">
        <v>152</v>
      </c>
      <c r="B1322" s="877" t="s">
        <v>154</v>
      </c>
      <c r="C1322" s="611">
        <v>0</v>
      </c>
      <c r="D1322" s="492"/>
      <c r="E1322" s="492"/>
      <c r="F1322" s="492"/>
      <c r="H1322" s="492"/>
      <c r="I1322" s="616"/>
      <c r="J1322" s="616"/>
      <c r="K1322" s="616"/>
      <c r="L1322" s="616"/>
      <c r="M1322" s="616"/>
      <c r="N1322" s="616"/>
      <c r="O1322" s="616"/>
      <c r="P1322" s="616"/>
      <c r="Q1322" s="616"/>
      <c r="R1322" s="616"/>
      <c r="S1322" s="617"/>
      <c r="T1322" s="617"/>
      <c r="U1322" s="617"/>
      <c r="V1322" s="617"/>
      <c r="W1322" s="617"/>
      <c r="X1322" s="617"/>
      <c r="Y1322" s="617"/>
      <c r="Z1322" s="617"/>
      <c r="AA1322" s="617"/>
      <c r="AB1322" s="617"/>
      <c r="AC1322" s="617"/>
      <c r="AD1322" s="617"/>
      <c r="AE1322" s="617"/>
      <c r="AF1322" s="617"/>
      <c r="AG1322" s="617"/>
      <c r="AH1322" s="617"/>
      <c r="AI1322" s="617"/>
      <c r="AJ1322" s="617"/>
      <c r="AK1322" s="617"/>
      <c r="AL1322" s="617"/>
      <c r="AM1322" s="617"/>
      <c r="AN1322" s="859"/>
      <c r="AO1322" s="863"/>
      <c r="AP1322" s="863"/>
      <c r="AQ1322" s="864"/>
      <c r="AR1322" s="864"/>
      <c r="AS1322" s="864"/>
      <c r="AT1322" s="864"/>
      <c r="AU1322" s="864"/>
      <c r="AV1322" s="864"/>
      <c r="AW1322" s="864"/>
      <c r="AX1322" s="864"/>
      <c r="AY1322" s="864"/>
      <c r="AZ1322" s="864"/>
      <c r="BA1322" s="864"/>
      <c r="BB1322" s="864"/>
      <c r="BC1322" s="864"/>
      <c r="BD1322" s="864"/>
      <c r="BE1322" s="864"/>
    </row>
    <row r="1323" spans="1:57" ht="14.25" hidden="1" customHeight="1" outlineLevel="1">
      <c r="A1323" s="497" t="s">
        <v>2513</v>
      </c>
      <c r="B1323" s="496" t="s">
        <v>1796</v>
      </c>
      <c r="C1323" s="904">
        <v>5000</v>
      </c>
      <c r="D1323" s="492"/>
      <c r="E1323" s="492"/>
      <c r="F1323" s="492"/>
      <c r="H1323" s="492"/>
      <c r="I1323" s="616"/>
      <c r="J1323" s="616"/>
      <c r="K1323" s="616"/>
      <c r="L1323" s="616"/>
      <c r="M1323" s="616"/>
      <c r="N1323" s="616"/>
      <c r="O1323" s="616"/>
      <c r="P1323" s="616"/>
      <c r="Q1323" s="617"/>
      <c r="R1323" s="617"/>
      <c r="S1323" s="617"/>
      <c r="T1323" s="617"/>
      <c r="U1323" s="617"/>
      <c r="V1323" s="617"/>
      <c r="W1323" s="617"/>
      <c r="X1323" s="617"/>
      <c r="Y1323" s="617"/>
      <c r="Z1323" s="617"/>
      <c r="AA1323" s="617"/>
      <c r="AB1323" s="617"/>
      <c r="AC1323" s="617"/>
      <c r="AD1323" s="617"/>
      <c r="AE1323" s="617"/>
      <c r="AF1323" s="617"/>
      <c r="AG1323" s="617"/>
      <c r="AH1323" s="617"/>
      <c r="AI1323" s="617"/>
      <c r="AJ1323" s="617"/>
      <c r="AK1323" s="617"/>
      <c r="AL1323" s="617"/>
      <c r="AM1323" s="617"/>
      <c r="AN1323" s="859"/>
      <c r="AO1323" s="863"/>
      <c r="AP1323" s="863"/>
      <c r="AQ1323" s="864"/>
      <c r="AR1323" s="864"/>
      <c r="AS1323" s="864"/>
      <c r="AT1323" s="864"/>
      <c r="AU1323" s="864"/>
      <c r="AV1323" s="864"/>
      <c r="AW1323" s="864"/>
      <c r="AX1323" s="864"/>
      <c r="AY1323" s="864"/>
      <c r="AZ1323" s="864"/>
      <c r="BA1323" s="864"/>
      <c r="BB1323" s="864"/>
      <c r="BC1323" s="864"/>
      <c r="BD1323" s="864"/>
      <c r="BE1323" s="864"/>
    </row>
    <row r="1324" spans="1:57" ht="14.25" hidden="1" customHeight="1" outlineLevel="1">
      <c r="A1324" s="492"/>
      <c r="B1324" s="490"/>
      <c r="C1324" s="492"/>
      <c r="D1324" s="492"/>
      <c r="E1324" s="492"/>
      <c r="F1324" s="492"/>
      <c r="H1324" s="492"/>
      <c r="I1324" s="616"/>
      <c r="J1324" s="616"/>
      <c r="K1324" s="616"/>
      <c r="L1324" s="616"/>
      <c r="M1324" s="616"/>
      <c r="N1324" s="616"/>
      <c r="O1324" s="616"/>
      <c r="P1324" s="616"/>
      <c r="Q1324" s="617"/>
      <c r="R1324" s="617"/>
      <c r="S1324" s="617"/>
      <c r="T1324" s="617"/>
      <c r="U1324" s="617"/>
      <c r="V1324" s="617"/>
      <c r="W1324" s="617"/>
      <c r="X1324" s="617"/>
      <c r="Y1324" s="617"/>
      <c r="Z1324" s="617"/>
      <c r="AA1324" s="617"/>
      <c r="AB1324" s="617"/>
      <c r="AC1324" s="617"/>
      <c r="AD1324" s="617"/>
      <c r="AE1324" s="617"/>
      <c r="AF1324" s="617"/>
      <c r="AG1324" s="617"/>
      <c r="AH1324" s="617"/>
      <c r="AI1324" s="617"/>
      <c r="AJ1324" s="617"/>
      <c r="AK1324" s="617"/>
      <c r="AL1324" s="617"/>
      <c r="AM1324" s="617"/>
      <c r="AN1324" s="859"/>
      <c r="AO1324" s="863"/>
      <c r="AP1324" s="863"/>
      <c r="AQ1324" s="864"/>
      <c r="AR1324" s="864"/>
      <c r="AS1324" s="864"/>
      <c r="AT1324" s="864"/>
      <c r="AU1324" s="864"/>
      <c r="AV1324" s="864"/>
      <c r="AW1324" s="864"/>
      <c r="AX1324" s="864"/>
      <c r="AY1324" s="864"/>
      <c r="AZ1324" s="864"/>
      <c r="BA1324" s="864"/>
      <c r="BB1324" s="864"/>
      <c r="BC1324" s="864"/>
      <c r="BD1324" s="864"/>
      <c r="BE1324" s="864"/>
    </row>
    <row r="1325" spans="1:57" ht="14.25" customHeight="1" collapsed="1">
      <c r="A1325" s="3138" t="s">
        <v>2514</v>
      </c>
      <c r="B1325" s="3138"/>
      <c r="C1325" s="3138"/>
      <c r="D1325" s="3138"/>
      <c r="E1325" s="3138"/>
      <c r="F1325" s="653" t="s">
        <v>1798</v>
      </c>
      <c r="H1325" s="646"/>
      <c r="I1325" s="646"/>
      <c r="J1325" s="646"/>
      <c r="K1325" s="646"/>
      <c r="L1325" s="646"/>
      <c r="M1325" s="616"/>
      <c r="N1325" s="616"/>
      <c r="O1325" s="616"/>
      <c r="P1325" s="617"/>
      <c r="Q1325" s="366"/>
      <c r="R1325" s="617"/>
      <c r="S1325" s="617"/>
      <c r="T1325" s="617"/>
      <c r="U1325" s="617"/>
      <c r="V1325" s="617"/>
      <c r="W1325" s="617"/>
      <c r="X1325" s="617"/>
      <c r="Y1325" s="617"/>
      <c r="Z1325" s="617"/>
      <c r="AA1325" s="617"/>
      <c r="AB1325" s="617"/>
      <c r="AC1325" s="617"/>
      <c r="AD1325" s="617"/>
      <c r="AE1325" s="617"/>
      <c r="AF1325" s="617"/>
      <c r="AG1325" s="617"/>
      <c r="AH1325" s="617"/>
      <c r="AI1325" s="617"/>
      <c r="AJ1325" s="617"/>
      <c r="AK1325" s="617"/>
      <c r="AL1325" s="617"/>
      <c r="AM1325" s="617"/>
      <c r="AN1325" s="859"/>
      <c r="AO1325" s="863"/>
      <c r="AP1325" s="863"/>
      <c r="AQ1325" s="864"/>
      <c r="AR1325" s="864"/>
      <c r="AS1325" s="864"/>
      <c r="AT1325" s="864"/>
      <c r="AU1325" s="864"/>
      <c r="AV1325" s="543">
        <f>M1325</f>
        <v>0</v>
      </c>
      <c r="AW1325" s="864"/>
      <c r="AX1325" s="864"/>
      <c r="AY1325" s="864"/>
      <c r="AZ1325" s="864"/>
      <c r="BA1325" s="864"/>
      <c r="BB1325" s="864"/>
      <c r="BC1325" s="864"/>
      <c r="BD1325" s="864"/>
      <c r="BE1325" s="864"/>
    </row>
    <row r="1326" spans="1:57" ht="14.25" customHeight="1">
      <c r="A1326" s="492"/>
      <c r="B1326" s="490"/>
      <c r="C1326" s="492"/>
      <c r="D1326" s="492"/>
      <c r="E1326" s="492"/>
      <c r="F1326" s="492"/>
      <c r="G1326" s="492"/>
      <c r="H1326" s="492"/>
      <c r="I1326" s="492"/>
      <c r="J1326" s="492"/>
      <c r="K1326" s="492"/>
      <c r="L1326" s="492"/>
      <c r="M1326" s="616"/>
      <c r="N1326" s="616"/>
      <c r="O1326" s="616"/>
      <c r="P1326" s="617"/>
      <c r="Q1326" s="617"/>
      <c r="R1326" s="617"/>
      <c r="S1326" s="617"/>
      <c r="T1326" s="617"/>
      <c r="U1326" s="617"/>
      <c r="V1326" s="617"/>
      <c r="W1326" s="617"/>
      <c r="X1326" s="617"/>
      <c r="Y1326" s="617"/>
      <c r="Z1326" s="617"/>
      <c r="AA1326" s="617"/>
      <c r="AB1326" s="617"/>
      <c r="AC1326" s="617"/>
      <c r="AD1326" s="617"/>
      <c r="AE1326" s="617"/>
      <c r="AF1326" s="617"/>
      <c r="AG1326" s="617"/>
      <c r="AH1326" s="617"/>
      <c r="AI1326" s="617"/>
      <c r="AJ1326" s="617"/>
      <c r="AK1326" s="617"/>
      <c r="AL1326" s="617"/>
      <c r="AM1326" s="617"/>
      <c r="AN1326" s="859"/>
      <c r="AO1326" s="863"/>
      <c r="AP1326" s="863"/>
      <c r="AQ1326" s="864"/>
      <c r="AR1326" s="864"/>
      <c r="AS1326" s="864"/>
      <c r="AT1326" s="864"/>
      <c r="AU1326" s="864"/>
      <c r="AV1326" s="864"/>
      <c r="AW1326" s="864"/>
      <c r="AX1326" s="864"/>
      <c r="AY1326" s="864"/>
      <c r="AZ1326" s="864"/>
      <c r="BA1326" s="864"/>
      <c r="BB1326" s="864"/>
      <c r="BC1326" s="864"/>
      <c r="BD1326" s="864"/>
      <c r="BE1326" s="864"/>
    </row>
    <row r="1327" spans="1:57" ht="14.25" hidden="1" customHeight="1" outlineLevel="1">
      <c r="A1327" s="3137" t="s">
        <v>1092</v>
      </c>
      <c r="B1327" s="3137"/>
      <c r="C1327" s="3137"/>
      <c r="D1327" s="3137"/>
      <c r="E1327" s="3137"/>
      <c r="F1327" s="3137"/>
      <c r="G1327" s="3137"/>
      <c r="H1327" s="813"/>
      <c r="I1327" s="813"/>
      <c r="J1327" s="813"/>
      <c r="K1327" s="813"/>
      <c r="L1327" s="813"/>
      <c r="M1327" s="813"/>
      <c r="N1327" s="813"/>
      <c r="O1327" s="813"/>
      <c r="P1327" s="813"/>
      <c r="Q1327" s="813"/>
      <c r="R1327" s="813"/>
      <c r="S1327" s="813"/>
      <c r="T1327" s="813"/>
      <c r="U1327" s="813"/>
      <c r="V1327" s="813"/>
      <c r="W1327" s="813"/>
      <c r="X1327" s="813"/>
      <c r="Y1327" s="813"/>
      <c r="Z1327" s="813"/>
      <c r="AA1327" s="813"/>
      <c r="AB1327" s="813"/>
      <c r="AC1327" s="813"/>
      <c r="AD1327" s="813"/>
      <c r="AE1327" s="813"/>
      <c r="AF1327" s="813"/>
      <c r="AG1327" s="813"/>
      <c r="AH1327" s="813"/>
      <c r="AI1327" s="813"/>
      <c r="AJ1327" s="617"/>
      <c r="AK1327" s="617"/>
      <c r="AL1327" s="617"/>
      <c r="AM1327" s="617"/>
      <c r="AN1327" s="859"/>
      <c r="AO1327" s="863"/>
      <c r="AP1327" s="863"/>
      <c r="AQ1327" s="864"/>
      <c r="AR1327" s="864"/>
      <c r="AS1327" s="864"/>
      <c r="AT1327" s="864"/>
      <c r="AU1327" s="864"/>
      <c r="AV1327" s="864"/>
      <c r="AW1327" s="864"/>
      <c r="AX1327" s="864"/>
      <c r="AY1327" s="864"/>
      <c r="AZ1327" s="864"/>
      <c r="BA1327" s="864"/>
      <c r="BB1327" s="864"/>
      <c r="BC1327" s="864"/>
      <c r="BD1327" s="864"/>
      <c r="BE1327" s="864"/>
    </row>
    <row r="1328" spans="1:57" ht="14.25" hidden="1" customHeight="1" outlineLevel="1">
      <c r="A1328" s="3137"/>
      <c r="B1328" s="3137"/>
      <c r="C1328" s="3137"/>
      <c r="D1328" s="3137"/>
      <c r="E1328" s="3137"/>
      <c r="F1328" s="3137"/>
      <c r="G1328" s="3137"/>
      <c r="H1328" s="813"/>
      <c r="I1328" s="813"/>
      <c r="J1328" s="813"/>
      <c r="K1328" s="813"/>
      <c r="L1328" s="813"/>
      <c r="M1328" s="813"/>
      <c r="N1328" s="813"/>
      <c r="O1328" s="813"/>
      <c r="P1328" s="813"/>
      <c r="Q1328" s="813"/>
      <c r="R1328" s="813"/>
      <c r="S1328" s="813"/>
      <c r="T1328" s="813"/>
      <c r="U1328" s="813"/>
      <c r="V1328" s="813"/>
      <c r="W1328" s="813"/>
      <c r="X1328" s="813"/>
      <c r="Y1328" s="813"/>
      <c r="Z1328" s="813"/>
      <c r="AA1328" s="813"/>
      <c r="AB1328" s="813"/>
      <c r="AC1328" s="813"/>
      <c r="AD1328" s="813"/>
      <c r="AE1328" s="813"/>
      <c r="AF1328" s="813"/>
      <c r="AG1328" s="813"/>
      <c r="AH1328" s="813"/>
      <c r="AI1328" s="813"/>
      <c r="AJ1328" s="617"/>
      <c r="AK1328" s="617"/>
      <c r="AL1328" s="617"/>
      <c r="AM1328" s="617"/>
      <c r="AN1328" s="859"/>
      <c r="AO1328" s="863"/>
      <c r="AP1328" s="863"/>
      <c r="AQ1328" s="864"/>
      <c r="AR1328" s="864"/>
      <c r="AS1328" s="864"/>
      <c r="AT1328" s="864"/>
      <c r="AU1328" s="864"/>
      <c r="AV1328" s="864"/>
      <c r="AW1328" s="864"/>
      <c r="AX1328" s="864"/>
      <c r="AY1328" s="864"/>
      <c r="AZ1328" s="864"/>
      <c r="BA1328" s="864"/>
      <c r="BB1328" s="864"/>
      <c r="BC1328" s="864"/>
      <c r="BD1328" s="864"/>
      <c r="BE1328" s="864"/>
    </row>
    <row r="1329" spans="1:58" ht="14.25" hidden="1" customHeight="1" outlineLevel="1">
      <c r="A1329" s="813"/>
      <c r="B1329" s="888"/>
      <c r="C1329" s="813"/>
      <c r="D1329" s="813"/>
      <c r="E1329" s="813"/>
      <c r="F1329" s="813"/>
      <c r="G1329" s="813"/>
      <c r="H1329" s="813"/>
      <c r="I1329" s="813"/>
      <c r="J1329" s="813"/>
      <c r="K1329" s="813"/>
      <c r="L1329" s="813"/>
      <c r="M1329" s="813"/>
      <c r="N1329" s="813"/>
      <c r="O1329" s="813"/>
      <c r="P1329" s="813"/>
      <c r="Q1329" s="813"/>
      <c r="R1329" s="813"/>
      <c r="S1329" s="813"/>
      <c r="T1329" s="813"/>
      <c r="U1329" s="813"/>
      <c r="V1329" s="813"/>
      <c r="W1329" s="813"/>
      <c r="X1329" s="813"/>
      <c r="Y1329" s="813"/>
      <c r="Z1329" s="813"/>
      <c r="AA1329" s="813"/>
      <c r="AB1329" s="813"/>
      <c r="AC1329" s="813"/>
      <c r="AD1329" s="813"/>
      <c r="AE1329" s="813"/>
      <c r="AF1329" s="813"/>
      <c r="AG1329" s="813"/>
      <c r="AH1329" s="813"/>
      <c r="AI1329" s="813"/>
      <c r="AJ1329" s="617"/>
      <c r="AK1329" s="617"/>
      <c r="AL1329" s="617"/>
      <c r="AM1329" s="617"/>
      <c r="AN1329" s="859"/>
      <c r="AO1329" s="863"/>
      <c r="AP1329" s="863"/>
      <c r="AQ1329" s="864"/>
      <c r="AR1329" s="864"/>
      <c r="AS1329" s="864"/>
      <c r="AT1329" s="864"/>
      <c r="AU1329" s="864"/>
      <c r="AV1329" s="864"/>
      <c r="AW1329" s="864"/>
      <c r="AX1329" s="864"/>
      <c r="AY1329" s="864"/>
      <c r="AZ1329" s="864"/>
      <c r="BA1329" s="864"/>
      <c r="BB1329" s="864"/>
      <c r="BC1329" s="864"/>
      <c r="BD1329" s="864"/>
      <c r="BE1329" s="864"/>
    </row>
    <row r="1330" spans="1:58" ht="14.25" hidden="1" customHeight="1" outlineLevel="1">
      <c r="A1330" s="525" t="s">
        <v>2515</v>
      </c>
      <c r="B1330" s="438" t="s">
        <v>120</v>
      </c>
      <c r="C1330" s="525" t="s">
        <v>1753</v>
      </c>
      <c r="D1330" s="813"/>
      <c r="E1330" s="813"/>
      <c r="F1330" s="813"/>
      <c r="G1330" s="813"/>
      <c r="H1330" s="813"/>
      <c r="I1330" s="813"/>
      <c r="J1330" s="813"/>
      <c r="K1330" s="813"/>
      <c r="L1330" s="813"/>
      <c r="M1330" s="813"/>
      <c r="N1330" s="813"/>
      <c r="O1330" s="813"/>
      <c r="P1330" s="813"/>
      <c r="Q1330" s="813"/>
      <c r="R1330" s="813"/>
      <c r="S1330" s="813"/>
      <c r="T1330" s="813"/>
      <c r="U1330" s="813"/>
      <c r="V1330" s="813"/>
      <c r="W1330" s="813"/>
      <c r="X1330" s="813"/>
      <c r="Y1330" s="813"/>
      <c r="Z1330" s="813"/>
      <c r="AA1330" s="813"/>
      <c r="AB1330" s="813"/>
      <c r="AC1330" s="813"/>
      <c r="AD1330" s="813"/>
      <c r="AE1330" s="813"/>
      <c r="AF1330" s="813"/>
      <c r="AG1330" s="813"/>
      <c r="AH1330" s="813"/>
      <c r="AI1330" s="813"/>
      <c r="AJ1330" s="617"/>
      <c r="AK1330" s="617"/>
      <c r="AL1330" s="617"/>
      <c r="AM1330" s="617"/>
      <c r="AN1330" s="859"/>
      <c r="AO1330" s="863"/>
      <c r="AP1330" s="863"/>
      <c r="AQ1330" s="864"/>
      <c r="AR1330" s="864"/>
      <c r="AS1330" s="864"/>
      <c r="AT1330" s="864"/>
      <c r="AU1330" s="864"/>
      <c r="AV1330" s="864"/>
      <c r="AW1330" s="864"/>
      <c r="AX1330" s="864"/>
      <c r="AY1330" s="864"/>
      <c r="AZ1330" s="864"/>
      <c r="BA1330" s="864"/>
      <c r="BB1330" s="864"/>
      <c r="BC1330" s="864"/>
      <c r="BD1330" s="864"/>
      <c r="BE1330" s="864"/>
    </row>
    <row r="1331" spans="1:58" ht="14.25" hidden="1" customHeight="1" outlineLevel="1">
      <c r="A1331" s="414" t="s">
        <v>1096</v>
      </c>
      <c r="B1331" s="374" t="s">
        <v>159</v>
      </c>
      <c r="C1331" s="262">
        <v>1</v>
      </c>
      <c r="D1331" s="492"/>
      <c r="H1331" s="492"/>
      <c r="I1331" s="492"/>
      <c r="J1331" s="492"/>
      <c r="K1331" s="617"/>
      <c r="L1331" s="492"/>
      <c r="M1331" s="492"/>
      <c r="N1331" s="492"/>
      <c r="O1331" s="492"/>
      <c r="P1331" s="492"/>
      <c r="Q1331" s="617"/>
      <c r="R1331" s="617"/>
      <c r="S1331" s="617"/>
      <c r="T1331" s="617"/>
      <c r="U1331" s="617"/>
      <c r="V1331" s="617"/>
      <c r="W1331" s="617"/>
      <c r="X1331" s="617"/>
      <c r="Y1331" s="617"/>
      <c r="Z1331" s="617"/>
      <c r="AA1331" s="617"/>
      <c r="AB1331" s="617"/>
      <c r="AC1331" s="617"/>
      <c r="AD1331" s="617"/>
      <c r="AE1331" s="617"/>
      <c r="AF1331" s="617"/>
      <c r="AG1331" s="617"/>
      <c r="AH1331" s="617"/>
      <c r="AI1331" s="617"/>
      <c r="AJ1331" s="617"/>
      <c r="AK1331" s="617"/>
      <c r="AL1331" s="617"/>
      <c r="AM1331" s="617"/>
      <c r="AN1331" s="859"/>
      <c r="AO1331" s="863"/>
      <c r="AP1331" s="863"/>
      <c r="AQ1331" s="864"/>
      <c r="AR1331" s="864"/>
      <c r="AS1331" s="864"/>
      <c r="AT1331" s="864"/>
      <c r="AU1331" s="864"/>
      <c r="AV1331" s="864"/>
      <c r="AW1331" s="864"/>
      <c r="AX1331" s="864"/>
      <c r="AY1331" s="864"/>
      <c r="AZ1331" s="864"/>
      <c r="BA1331" s="864"/>
      <c r="BB1331" s="864"/>
      <c r="BC1331" s="864"/>
      <c r="BD1331" s="864"/>
      <c r="BE1331" s="864"/>
    </row>
    <row r="1332" spans="1:58" ht="14.25" hidden="1" customHeight="1" outlineLevel="1">
      <c r="A1332" s="414" t="s">
        <v>1100</v>
      </c>
      <c r="B1332" s="374" t="s">
        <v>159</v>
      </c>
      <c r="C1332" s="262">
        <v>3</v>
      </c>
      <c r="D1332" s="492"/>
      <c r="H1332" s="492"/>
      <c r="I1332" s="492"/>
      <c r="J1332" s="492"/>
      <c r="K1332" s="617"/>
      <c r="L1332" s="492"/>
      <c r="M1332" s="492"/>
      <c r="N1332" s="492"/>
      <c r="O1332" s="492"/>
      <c r="P1332" s="492"/>
      <c r="Q1332" s="617"/>
      <c r="R1332" s="617"/>
      <c r="S1332" s="617"/>
      <c r="T1332" s="617"/>
      <c r="U1332" s="617"/>
      <c r="V1332" s="617"/>
      <c r="W1332" s="617"/>
      <c r="X1332" s="617"/>
      <c r="Y1332" s="617"/>
      <c r="Z1332" s="617"/>
      <c r="AA1332" s="617"/>
      <c r="AB1332" s="617"/>
      <c r="AC1332" s="617"/>
      <c r="AD1332" s="617"/>
      <c r="AE1332" s="617"/>
      <c r="AF1332" s="617"/>
      <c r="AG1332" s="617"/>
      <c r="AH1332" s="617"/>
      <c r="AI1332" s="617"/>
      <c r="AJ1332" s="617"/>
      <c r="AK1332" s="617"/>
      <c r="AL1332" s="617"/>
      <c r="AM1332" s="617"/>
      <c r="AN1332" s="859"/>
      <c r="AO1332" s="863"/>
      <c r="AP1332" s="863"/>
      <c r="AQ1332" s="864"/>
      <c r="AR1332" s="864"/>
      <c r="AS1332" s="864"/>
      <c r="AT1332" s="864"/>
      <c r="AU1332" s="864"/>
      <c r="AV1332" s="864"/>
      <c r="AW1332" s="864"/>
      <c r="AX1332" s="864"/>
      <c r="AY1332" s="864"/>
      <c r="AZ1332" s="864"/>
      <c r="BA1332" s="864"/>
      <c r="BB1332" s="864"/>
      <c r="BC1332" s="864"/>
      <c r="BD1332" s="864"/>
      <c r="BE1332" s="864"/>
    </row>
    <row r="1333" spans="1:58" ht="14.25" hidden="1" customHeight="1" outlineLevel="1">
      <c r="A1333" s="414" t="s">
        <v>1104</v>
      </c>
      <c r="B1333" s="374" t="s">
        <v>159</v>
      </c>
      <c r="C1333" s="262">
        <v>1</v>
      </c>
      <c r="D1333" s="492"/>
      <c r="H1333" s="492"/>
      <c r="I1333" s="492"/>
      <c r="J1333" s="492"/>
      <c r="K1333" s="617"/>
      <c r="L1333" s="492"/>
      <c r="M1333" s="492"/>
      <c r="N1333" s="492"/>
      <c r="O1333" s="492"/>
      <c r="P1333" s="492"/>
      <c r="Q1333" s="617"/>
      <c r="R1333" s="617"/>
      <c r="S1333" s="617"/>
      <c r="T1333" s="617"/>
      <c r="U1333" s="617"/>
      <c r="V1333" s="617"/>
      <c r="W1333" s="617"/>
      <c r="X1333" s="617"/>
      <c r="Y1333" s="617"/>
      <c r="Z1333" s="617"/>
      <c r="AA1333" s="617"/>
      <c r="AB1333" s="617"/>
      <c r="AC1333" s="617"/>
      <c r="AD1333" s="617"/>
      <c r="AE1333" s="617"/>
      <c r="AF1333" s="617"/>
      <c r="AG1333" s="617"/>
      <c r="AH1333" s="617"/>
      <c r="AI1333" s="617"/>
      <c r="AJ1333" s="617"/>
      <c r="AK1333" s="617"/>
      <c r="AL1333" s="617"/>
      <c r="AM1333" s="617"/>
      <c r="AN1333" s="859"/>
      <c r="AO1333" s="863"/>
      <c r="AP1333" s="863"/>
      <c r="AQ1333" s="864"/>
      <c r="AR1333" s="864"/>
      <c r="AS1333" s="864"/>
      <c r="AT1333" s="864"/>
      <c r="AU1333" s="864"/>
      <c r="AV1333" s="864"/>
      <c r="AW1333" s="864"/>
      <c r="AX1333" s="864"/>
      <c r="AY1333" s="864"/>
      <c r="AZ1333" s="864"/>
      <c r="BA1333" s="864"/>
      <c r="BB1333" s="864"/>
      <c r="BC1333" s="864"/>
      <c r="BD1333" s="864"/>
      <c r="BE1333" s="864"/>
    </row>
    <row r="1334" spans="1:58" ht="14.25" hidden="1" customHeight="1" outlineLevel="1">
      <c r="A1334" s="414" t="s">
        <v>2516</v>
      </c>
      <c r="B1334" s="374" t="s">
        <v>159</v>
      </c>
      <c r="C1334" s="262">
        <v>0</v>
      </c>
      <c r="D1334" s="492"/>
      <c r="H1334" s="492"/>
      <c r="I1334" s="492"/>
      <c r="J1334" s="492"/>
      <c r="K1334" s="617"/>
      <c r="L1334" s="492"/>
      <c r="M1334" s="492"/>
      <c r="N1334" s="492"/>
      <c r="O1334" s="492"/>
      <c r="P1334" s="492"/>
      <c r="Q1334" s="617"/>
      <c r="R1334" s="617"/>
      <c r="S1334" s="617"/>
      <c r="T1334" s="617"/>
      <c r="U1334" s="617"/>
      <c r="V1334" s="617"/>
      <c r="W1334" s="617"/>
      <c r="X1334" s="617"/>
      <c r="Y1334" s="617"/>
      <c r="Z1334" s="617"/>
      <c r="AA1334" s="617"/>
      <c r="AB1334" s="617"/>
      <c r="AC1334" s="617"/>
      <c r="AD1334" s="617"/>
      <c r="AE1334" s="617"/>
      <c r="AF1334" s="617"/>
      <c r="AG1334" s="617"/>
      <c r="AH1334" s="617"/>
      <c r="AI1334" s="617"/>
      <c r="AJ1334" s="617"/>
      <c r="AK1334" s="617"/>
      <c r="AL1334" s="617"/>
      <c r="AM1334" s="617"/>
      <c r="AN1334" s="859"/>
      <c r="AO1334" s="863"/>
      <c r="AP1334" s="863"/>
      <c r="AQ1334" s="864"/>
      <c r="AR1334" s="864"/>
      <c r="AS1334" s="864"/>
      <c r="AT1334" s="864"/>
      <c r="AU1334" s="864"/>
      <c r="AV1334" s="864"/>
      <c r="AW1334" s="864"/>
      <c r="AX1334" s="864"/>
      <c r="AY1334" s="864"/>
      <c r="AZ1334" s="864"/>
      <c r="BA1334" s="864"/>
      <c r="BB1334" s="864"/>
      <c r="BC1334" s="864"/>
      <c r="BD1334" s="864"/>
      <c r="BE1334" s="864"/>
    </row>
    <row r="1335" spans="1:58" s="364" customFormat="1" ht="14.25" hidden="1" customHeight="1" outlineLevel="1">
      <c r="A1335" s="263" t="s">
        <v>2517</v>
      </c>
      <c r="B1335" s="374" t="s">
        <v>159</v>
      </c>
      <c r="C1335" s="262">
        <v>1</v>
      </c>
      <c r="D1335" s="492"/>
      <c r="H1335" s="492"/>
      <c r="I1335" s="492"/>
      <c r="J1335" s="492"/>
      <c r="K1335" s="617"/>
      <c r="L1335" s="492"/>
      <c r="M1335" s="492"/>
      <c r="N1335" s="492"/>
      <c r="O1335" s="492"/>
      <c r="P1335" s="492"/>
      <c r="Q1335" s="617"/>
      <c r="R1335" s="617"/>
      <c r="S1335" s="617"/>
      <c r="T1335" s="617"/>
      <c r="U1335" s="617"/>
      <c r="V1335" s="617"/>
      <c r="W1335" s="617"/>
      <c r="X1335" s="617"/>
      <c r="Y1335" s="617"/>
      <c r="Z1335" s="617"/>
      <c r="AA1335" s="617"/>
      <c r="AB1335" s="617"/>
      <c r="AC1335" s="617"/>
      <c r="AD1335" s="617"/>
      <c r="AE1335" s="617"/>
      <c r="AF1335" s="617"/>
      <c r="AG1335" s="617"/>
      <c r="AH1335" s="617"/>
      <c r="AI1335" s="617"/>
      <c r="AJ1335" s="617"/>
      <c r="AK1335" s="617"/>
      <c r="AL1335" s="617"/>
      <c r="AM1335" s="617"/>
      <c r="AN1335" s="617"/>
      <c r="AO1335" s="680"/>
      <c r="AP1335" s="680"/>
      <c r="AQ1335" s="803"/>
      <c r="AR1335" s="803"/>
      <c r="AS1335" s="803"/>
      <c r="AT1335" s="803"/>
      <c r="AU1335" s="803"/>
      <c r="AV1335" s="803"/>
      <c r="AW1335" s="803"/>
      <c r="AX1335" s="803"/>
      <c r="AY1335" s="803"/>
      <c r="AZ1335" s="803"/>
      <c r="BA1335" s="803"/>
      <c r="BB1335" s="803"/>
      <c r="BC1335" s="803"/>
      <c r="BD1335" s="803"/>
      <c r="BE1335" s="803"/>
      <c r="BF1335" s="368"/>
    </row>
    <row r="1336" spans="1:58" s="364" customFormat="1" ht="14.25" hidden="1" customHeight="1" outlineLevel="1">
      <c r="A1336" s="492"/>
      <c r="B1336" s="442"/>
      <c r="C1336" s="534"/>
      <c r="D1336" s="492"/>
      <c r="H1336" s="492"/>
      <c r="I1336" s="492"/>
      <c r="J1336" s="492"/>
      <c r="K1336" s="617"/>
      <c r="L1336" s="492"/>
      <c r="M1336" s="492"/>
      <c r="N1336" s="492"/>
      <c r="O1336" s="492"/>
      <c r="P1336" s="492"/>
      <c r="Q1336" s="617"/>
      <c r="R1336" s="617"/>
      <c r="S1336" s="617"/>
      <c r="T1336" s="617"/>
      <c r="U1336" s="617"/>
      <c r="V1336" s="617"/>
      <c r="W1336" s="617"/>
      <c r="X1336" s="617"/>
      <c r="Y1336" s="617"/>
      <c r="Z1336" s="617"/>
      <c r="AA1336" s="617"/>
      <c r="AB1336" s="617"/>
      <c r="AC1336" s="617"/>
      <c r="AD1336" s="617"/>
      <c r="AE1336" s="617"/>
      <c r="AF1336" s="617"/>
      <c r="AG1336" s="617"/>
      <c r="AH1336" s="617"/>
      <c r="AI1336" s="617"/>
      <c r="AJ1336" s="617"/>
      <c r="AK1336" s="617"/>
      <c r="AL1336" s="617"/>
      <c r="AM1336" s="617"/>
      <c r="AN1336" s="617"/>
      <c r="AO1336" s="680"/>
      <c r="AP1336" s="680"/>
      <c r="AQ1336" s="803"/>
      <c r="AR1336" s="803"/>
      <c r="AS1336" s="803"/>
      <c r="AT1336" s="803"/>
      <c r="AU1336" s="803"/>
      <c r="AV1336" s="803"/>
      <c r="AW1336" s="803"/>
      <c r="AX1336" s="803"/>
      <c r="AY1336" s="803"/>
      <c r="AZ1336" s="803"/>
      <c r="BA1336" s="803"/>
      <c r="BB1336" s="803"/>
      <c r="BC1336" s="803"/>
      <c r="BD1336" s="803"/>
      <c r="BE1336" s="803"/>
      <c r="BF1336" s="368"/>
    </row>
    <row r="1337" spans="1:58" s="364" customFormat="1" ht="14.25" hidden="1" customHeight="1" outlineLevel="1">
      <c r="A1337" s="525" t="s">
        <v>2518</v>
      </c>
      <c r="B1337" s="438" t="s">
        <v>120</v>
      </c>
      <c r="C1337" s="906" t="s">
        <v>1821</v>
      </c>
      <c r="D1337" s="492"/>
      <c r="H1337" s="492"/>
      <c r="I1337" s="492"/>
      <c r="J1337" s="492"/>
      <c r="K1337" s="617"/>
      <c r="L1337" s="492"/>
      <c r="M1337" s="492"/>
      <c r="N1337" s="492"/>
      <c r="O1337" s="492"/>
      <c r="P1337" s="492"/>
      <c r="Q1337" s="617"/>
      <c r="R1337" s="617"/>
      <c r="S1337" s="617"/>
      <c r="T1337" s="617"/>
      <c r="U1337" s="617"/>
      <c r="V1337" s="617"/>
      <c r="W1337" s="617"/>
      <c r="X1337" s="617"/>
      <c r="Y1337" s="617"/>
      <c r="Z1337" s="617"/>
      <c r="AA1337" s="617"/>
      <c r="AB1337" s="617"/>
      <c r="AC1337" s="617"/>
      <c r="AD1337" s="617"/>
      <c r="AE1337" s="617"/>
      <c r="AF1337" s="617"/>
      <c r="AG1337" s="617"/>
      <c r="AH1337" s="617"/>
      <c r="AI1337" s="617"/>
      <c r="AJ1337" s="617"/>
      <c r="AK1337" s="617"/>
      <c r="AL1337" s="617"/>
      <c r="AM1337" s="617"/>
      <c r="AN1337" s="617"/>
      <c r="AO1337" s="680"/>
      <c r="AP1337" s="680"/>
      <c r="AQ1337" s="803"/>
      <c r="AR1337" s="803"/>
      <c r="AS1337" s="803"/>
      <c r="AT1337" s="803"/>
      <c r="AU1337" s="803"/>
      <c r="AV1337" s="803"/>
      <c r="AW1337" s="803"/>
      <c r="AX1337" s="803"/>
      <c r="AY1337" s="803"/>
      <c r="AZ1337" s="803"/>
      <c r="BA1337" s="803"/>
      <c r="BB1337" s="803"/>
      <c r="BC1337" s="803"/>
      <c r="BD1337" s="803"/>
      <c r="BE1337" s="803"/>
      <c r="BF1337" s="368"/>
    </row>
    <row r="1338" spans="1:58" s="364" customFormat="1" ht="14.25" hidden="1" customHeight="1" outlineLevel="1">
      <c r="A1338" s="414" t="s">
        <v>1097</v>
      </c>
      <c r="B1338" s="374" t="s">
        <v>159</v>
      </c>
      <c r="C1338" s="262">
        <v>1</v>
      </c>
      <c r="D1338" s="492"/>
      <c r="H1338" s="492"/>
      <c r="I1338" s="492"/>
      <c r="J1338" s="492"/>
      <c r="K1338" s="617"/>
      <c r="L1338" s="492"/>
      <c r="M1338" s="492"/>
      <c r="N1338" s="492"/>
      <c r="O1338" s="492"/>
      <c r="P1338" s="492"/>
      <c r="Q1338" s="617"/>
      <c r="R1338" s="617"/>
      <c r="S1338" s="617"/>
      <c r="T1338" s="617"/>
      <c r="U1338" s="617"/>
      <c r="V1338" s="617"/>
      <c r="W1338" s="617"/>
      <c r="X1338" s="617"/>
      <c r="Y1338" s="617"/>
      <c r="Z1338" s="617"/>
      <c r="AA1338" s="617"/>
      <c r="AB1338" s="617"/>
      <c r="AC1338" s="617"/>
      <c r="AD1338" s="617"/>
      <c r="AE1338" s="617"/>
      <c r="AF1338" s="617"/>
      <c r="AG1338" s="617"/>
      <c r="AH1338" s="617"/>
      <c r="AI1338" s="617"/>
      <c r="AJ1338" s="617"/>
      <c r="AK1338" s="617"/>
      <c r="AL1338" s="617"/>
      <c r="AM1338" s="617"/>
      <c r="AN1338" s="617"/>
      <c r="AO1338" s="680"/>
      <c r="AP1338" s="680"/>
      <c r="AQ1338" s="803"/>
      <c r="AR1338" s="803"/>
      <c r="AS1338" s="803"/>
      <c r="AT1338" s="803"/>
      <c r="AU1338" s="803"/>
      <c r="AV1338" s="803"/>
      <c r="AW1338" s="803"/>
      <c r="AX1338" s="803"/>
      <c r="AY1338" s="803"/>
      <c r="AZ1338" s="803"/>
      <c r="BA1338" s="803"/>
      <c r="BB1338" s="803"/>
      <c r="BC1338" s="803"/>
      <c r="BD1338" s="803"/>
      <c r="BE1338" s="803"/>
      <c r="BF1338" s="368"/>
    </row>
    <row r="1339" spans="1:58" s="364" customFormat="1" ht="14.25" hidden="1" customHeight="1" outlineLevel="1">
      <c r="A1339" s="414" t="s">
        <v>1101</v>
      </c>
      <c r="B1339" s="374" t="s">
        <v>159</v>
      </c>
      <c r="C1339" s="262">
        <v>3</v>
      </c>
      <c r="D1339" s="492"/>
      <c r="H1339" s="492"/>
      <c r="I1339" s="492"/>
      <c r="J1339" s="492"/>
      <c r="K1339" s="617"/>
      <c r="L1339" s="492"/>
      <c r="M1339" s="492"/>
      <c r="N1339" s="492"/>
      <c r="O1339" s="492"/>
      <c r="P1339" s="492"/>
      <c r="Q1339" s="617"/>
      <c r="R1339" s="617"/>
      <c r="S1339" s="617"/>
      <c r="T1339" s="617"/>
      <c r="U1339" s="617"/>
      <c r="V1339" s="617"/>
      <c r="W1339" s="617"/>
      <c r="X1339" s="617"/>
      <c r="Y1339" s="617"/>
      <c r="Z1339" s="617"/>
      <c r="AA1339" s="617"/>
      <c r="AB1339" s="617"/>
      <c r="AC1339" s="617"/>
      <c r="AD1339" s="617"/>
      <c r="AE1339" s="617"/>
      <c r="AF1339" s="617"/>
      <c r="AG1339" s="617"/>
      <c r="AH1339" s="617"/>
      <c r="AI1339" s="617"/>
      <c r="AJ1339" s="617"/>
      <c r="AK1339" s="617"/>
      <c r="AL1339" s="617"/>
      <c r="AM1339" s="617"/>
      <c r="AN1339" s="617"/>
      <c r="AO1339" s="680"/>
      <c r="AP1339" s="680"/>
      <c r="AQ1339" s="803"/>
      <c r="AR1339" s="803"/>
      <c r="AS1339" s="803"/>
      <c r="AT1339" s="803"/>
      <c r="AU1339" s="803"/>
      <c r="AV1339" s="803"/>
      <c r="AW1339" s="803"/>
      <c r="AX1339" s="803"/>
      <c r="AY1339" s="803"/>
      <c r="AZ1339" s="803"/>
      <c r="BA1339" s="803"/>
      <c r="BB1339" s="803"/>
      <c r="BC1339" s="803"/>
      <c r="BD1339" s="803"/>
      <c r="BE1339" s="803"/>
      <c r="BF1339" s="368"/>
    </row>
    <row r="1340" spans="1:58" s="364" customFormat="1" ht="14.25" hidden="1" customHeight="1" outlineLevel="1">
      <c r="A1340" s="414" t="s">
        <v>1105</v>
      </c>
      <c r="B1340" s="374" t="s">
        <v>159</v>
      </c>
      <c r="C1340" s="262">
        <v>1</v>
      </c>
      <c r="D1340" s="492"/>
      <c r="H1340" s="492"/>
      <c r="I1340" s="492"/>
      <c r="J1340" s="492"/>
      <c r="K1340" s="617"/>
      <c r="L1340" s="492"/>
      <c r="M1340" s="492"/>
      <c r="N1340" s="492"/>
      <c r="O1340" s="492"/>
      <c r="P1340" s="492"/>
      <c r="Q1340" s="617"/>
      <c r="R1340" s="617"/>
      <c r="S1340" s="617"/>
      <c r="T1340" s="617"/>
      <c r="U1340" s="617"/>
      <c r="V1340" s="617"/>
      <c r="W1340" s="617"/>
      <c r="X1340" s="617"/>
      <c r="Y1340" s="617"/>
      <c r="Z1340" s="617"/>
      <c r="AA1340" s="617"/>
      <c r="AB1340" s="617"/>
      <c r="AC1340" s="617"/>
      <c r="AD1340" s="617"/>
      <c r="AE1340" s="617"/>
      <c r="AF1340" s="617"/>
      <c r="AG1340" s="617"/>
      <c r="AH1340" s="617"/>
      <c r="AI1340" s="617"/>
      <c r="AJ1340" s="617"/>
      <c r="AK1340" s="617"/>
      <c r="AL1340" s="617"/>
      <c r="AM1340" s="617"/>
      <c r="AN1340" s="617"/>
      <c r="AO1340" s="680"/>
      <c r="AP1340" s="680"/>
      <c r="AQ1340" s="803"/>
      <c r="AR1340" s="803"/>
      <c r="AS1340" s="803"/>
      <c r="AT1340" s="803"/>
      <c r="AU1340" s="803"/>
      <c r="AV1340" s="803"/>
      <c r="AW1340" s="803"/>
      <c r="AX1340" s="803"/>
      <c r="AY1340" s="803"/>
      <c r="AZ1340" s="803"/>
      <c r="BA1340" s="803"/>
      <c r="BB1340" s="803"/>
      <c r="BC1340" s="803"/>
      <c r="BD1340" s="803"/>
      <c r="BE1340" s="803"/>
      <c r="BF1340" s="368"/>
    </row>
    <row r="1341" spans="1:58" s="364" customFormat="1" ht="14.25" hidden="1" customHeight="1" outlineLevel="1">
      <c r="A1341" s="414" t="s">
        <v>2516</v>
      </c>
      <c r="B1341" s="374" t="s">
        <v>159</v>
      </c>
      <c r="C1341" s="262">
        <v>0</v>
      </c>
      <c r="D1341" s="492"/>
      <c r="H1341" s="492"/>
      <c r="I1341" s="492"/>
      <c r="J1341" s="492"/>
      <c r="K1341" s="617"/>
      <c r="L1341" s="492"/>
      <c r="M1341" s="492"/>
      <c r="N1341" s="492"/>
      <c r="O1341" s="492"/>
      <c r="P1341" s="492"/>
      <c r="Q1341" s="617"/>
      <c r="R1341" s="617"/>
      <c r="S1341" s="617"/>
      <c r="T1341" s="617"/>
      <c r="U1341" s="617"/>
      <c r="V1341" s="617"/>
      <c r="W1341" s="617"/>
      <c r="X1341" s="617"/>
      <c r="Y1341" s="617"/>
      <c r="Z1341" s="617"/>
      <c r="AA1341" s="617"/>
      <c r="AB1341" s="617"/>
      <c r="AC1341" s="617"/>
      <c r="AD1341" s="617"/>
      <c r="AE1341" s="617"/>
      <c r="AF1341" s="617"/>
      <c r="AG1341" s="617"/>
      <c r="AH1341" s="617"/>
      <c r="AI1341" s="617"/>
      <c r="AJ1341" s="617"/>
      <c r="AK1341" s="617"/>
      <c r="AL1341" s="617"/>
      <c r="AM1341" s="617"/>
      <c r="AN1341" s="617"/>
      <c r="AO1341" s="680"/>
      <c r="AP1341" s="680"/>
      <c r="AQ1341" s="803"/>
      <c r="AR1341" s="803"/>
      <c r="AS1341" s="803"/>
      <c r="AT1341" s="803"/>
      <c r="AU1341" s="803"/>
      <c r="AV1341" s="803"/>
      <c r="AW1341" s="803"/>
      <c r="AX1341" s="803"/>
      <c r="AY1341" s="803"/>
      <c r="AZ1341" s="803"/>
      <c r="BA1341" s="803"/>
      <c r="BB1341" s="803"/>
      <c r="BC1341" s="803"/>
      <c r="BD1341" s="803"/>
      <c r="BE1341" s="803"/>
      <c r="BF1341" s="368"/>
    </row>
    <row r="1342" spans="1:58" s="364" customFormat="1" ht="14.25" hidden="1" customHeight="1" outlineLevel="1">
      <c r="A1342" s="492"/>
      <c r="B1342" s="442"/>
      <c r="C1342" s="534"/>
      <c r="D1342" s="492"/>
      <c r="H1342" s="492"/>
      <c r="I1342" s="492"/>
      <c r="J1342" s="492"/>
      <c r="K1342" s="617"/>
      <c r="L1342" s="492"/>
      <c r="M1342" s="492"/>
      <c r="N1342" s="492"/>
      <c r="O1342" s="492"/>
      <c r="P1342" s="492"/>
      <c r="Q1342" s="617"/>
      <c r="R1342" s="617"/>
      <c r="S1342" s="617"/>
      <c r="T1342" s="617"/>
      <c r="U1342" s="617"/>
      <c r="V1342" s="617"/>
      <c r="W1342" s="617"/>
      <c r="X1342" s="617"/>
      <c r="Y1342" s="617"/>
      <c r="Z1342" s="617"/>
      <c r="AA1342" s="617"/>
      <c r="AB1342" s="617"/>
      <c r="AC1342" s="617"/>
      <c r="AD1342" s="617"/>
      <c r="AE1342" s="617"/>
      <c r="AF1342" s="617"/>
      <c r="AG1342" s="617"/>
      <c r="AH1342" s="617"/>
      <c r="AI1342" s="617"/>
      <c r="AJ1342" s="617"/>
      <c r="AK1342" s="617"/>
      <c r="AL1342" s="617"/>
      <c r="AM1342" s="617"/>
      <c r="AN1342" s="617"/>
      <c r="AO1342" s="680"/>
      <c r="AP1342" s="680"/>
      <c r="AQ1342" s="803"/>
      <c r="AR1342" s="803"/>
      <c r="AS1342" s="803"/>
      <c r="AT1342" s="803"/>
      <c r="AU1342" s="803"/>
      <c r="AV1342" s="803"/>
      <c r="AW1342" s="803"/>
      <c r="AX1342" s="803"/>
      <c r="AY1342" s="803"/>
      <c r="AZ1342" s="803"/>
      <c r="BA1342" s="803"/>
      <c r="BB1342" s="803"/>
      <c r="BC1342" s="803"/>
      <c r="BD1342" s="803"/>
      <c r="BE1342" s="803"/>
      <c r="BF1342" s="368"/>
    </row>
    <row r="1343" spans="1:58" ht="14.25" hidden="1" customHeight="1" outlineLevel="1">
      <c r="A1343" s="263" t="s">
        <v>2519</v>
      </c>
      <c r="B1343" s="415" t="s">
        <v>159</v>
      </c>
      <c r="C1343" s="906" t="s">
        <v>1821</v>
      </c>
      <c r="D1343" s="492"/>
      <c r="H1343" s="492"/>
      <c r="I1343" s="492"/>
      <c r="J1343" s="492"/>
      <c r="K1343" s="617"/>
      <c r="L1343" s="492"/>
      <c r="M1343" s="492"/>
      <c r="N1343" s="492"/>
      <c r="O1343" s="492"/>
      <c r="P1343" s="492"/>
      <c r="Q1343" s="617"/>
      <c r="R1343" s="617"/>
      <c r="S1343" s="617"/>
      <c r="T1343" s="617"/>
      <c r="U1343" s="617"/>
      <c r="V1343" s="617"/>
      <c r="W1343" s="617"/>
      <c r="X1343" s="617"/>
      <c r="Y1343" s="617"/>
      <c r="Z1343" s="617"/>
      <c r="AA1343" s="617"/>
      <c r="AB1343" s="617"/>
      <c r="AC1343" s="617"/>
      <c r="AD1343" s="617"/>
      <c r="AE1343" s="617"/>
      <c r="AF1343" s="617"/>
      <c r="AG1343" s="617"/>
      <c r="AH1343" s="617"/>
      <c r="AI1343" s="617"/>
      <c r="AJ1343" s="617"/>
      <c r="AK1343" s="617"/>
      <c r="AL1343" s="617"/>
      <c r="AM1343" s="617"/>
      <c r="AN1343" s="859"/>
      <c r="AO1343" s="863"/>
      <c r="AP1343" s="863"/>
      <c r="AQ1343" s="864"/>
      <c r="AR1343" s="864"/>
      <c r="AS1343" s="864"/>
      <c r="AT1343" s="864"/>
      <c r="AU1343" s="864"/>
      <c r="AV1343" s="864"/>
      <c r="AW1343" s="864"/>
      <c r="AX1343" s="864"/>
      <c r="AY1343" s="864"/>
      <c r="AZ1343" s="864"/>
      <c r="BA1343" s="864"/>
      <c r="BB1343" s="864"/>
      <c r="BC1343" s="864"/>
      <c r="BD1343" s="864"/>
      <c r="BE1343" s="864"/>
    </row>
    <row r="1344" spans="1:58" ht="14.25" hidden="1" customHeight="1" outlineLevel="1">
      <c r="A1344" s="263" t="s">
        <v>2520</v>
      </c>
      <c r="B1344" s="415" t="s">
        <v>156</v>
      </c>
      <c r="C1344" s="262">
        <v>10</v>
      </c>
      <c r="D1344" s="492"/>
      <c r="H1344" s="492"/>
      <c r="I1344" s="492"/>
      <c r="J1344" s="492"/>
      <c r="K1344" s="617"/>
      <c r="L1344" s="492"/>
      <c r="M1344" s="492"/>
      <c r="N1344" s="492"/>
      <c r="O1344" s="492"/>
      <c r="P1344" s="492"/>
      <c r="Q1344" s="617"/>
      <c r="R1344" s="617"/>
      <c r="S1344" s="617"/>
      <c r="T1344" s="617"/>
      <c r="U1344" s="617"/>
      <c r="V1344" s="617"/>
      <c r="W1344" s="617"/>
      <c r="X1344" s="617"/>
      <c r="Y1344" s="617"/>
      <c r="Z1344" s="617"/>
      <c r="AA1344" s="617"/>
      <c r="AB1344" s="617"/>
      <c r="AC1344" s="617"/>
      <c r="AD1344" s="617"/>
      <c r="AE1344" s="617"/>
      <c r="AF1344" s="617"/>
      <c r="AG1344" s="617"/>
      <c r="AH1344" s="617"/>
      <c r="AI1344" s="617"/>
      <c r="AJ1344" s="617"/>
      <c r="AK1344" s="617"/>
      <c r="AL1344" s="617"/>
      <c r="AM1344" s="617"/>
      <c r="AN1344" s="859"/>
      <c r="AO1344" s="863"/>
      <c r="AP1344" s="863"/>
      <c r="AQ1344" s="864"/>
      <c r="AR1344" s="864"/>
      <c r="AS1344" s="864"/>
      <c r="AT1344" s="864"/>
      <c r="AU1344" s="864"/>
      <c r="AV1344" s="864"/>
      <c r="AW1344" s="864"/>
      <c r="AX1344" s="864"/>
      <c r="AY1344" s="864"/>
      <c r="AZ1344" s="864"/>
      <c r="BA1344" s="864"/>
      <c r="BB1344" s="864"/>
      <c r="BC1344" s="864"/>
      <c r="BD1344" s="864"/>
      <c r="BE1344" s="864"/>
    </row>
    <row r="1345" spans="1:58" ht="14.25" hidden="1" customHeight="1" outlineLevel="1">
      <c r="A1345" s="378" t="s">
        <v>2521</v>
      </c>
      <c r="B1345" s="415" t="s">
        <v>156</v>
      </c>
      <c r="C1345" s="262">
        <v>8</v>
      </c>
      <c r="D1345" s="617"/>
      <c r="H1345" s="492"/>
      <c r="I1345" s="492"/>
      <c r="J1345" s="492"/>
      <c r="K1345" s="617"/>
      <c r="L1345" s="492"/>
      <c r="M1345" s="492"/>
      <c r="N1345" s="492"/>
      <c r="O1345" s="492"/>
      <c r="P1345" s="492"/>
      <c r="Q1345" s="617"/>
      <c r="R1345" s="617"/>
      <c r="S1345" s="617"/>
      <c r="T1345" s="617"/>
      <c r="U1345" s="617"/>
      <c r="V1345" s="617"/>
      <c r="W1345" s="617"/>
      <c r="X1345" s="617"/>
      <c r="Y1345" s="617"/>
      <c r="Z1345" s="617"/>
      <c r="AA1345" s="617"/>
      <c r="AB1345" s="617"/>
      <c r="AC1345" s="617"/>
      <c r="AD1345" s="617"/>
      <c r="AE1345" s="617"/>
      <c r="AF1345" s="617"/>
      <c r="AG1345" s="617"/>
      <c r="AH1345" s="617"/>
      <c r="AI1345" s="617"/>
      <c r="AJ1345" s="617"/>
      <c r="AK1345" s="617"/>
      <c r="AL1345" s="617"/>
      <c r="AM1345" s="617"/>
      <c r="AN1345" s="859"/>
      <c r="AO1345" s="863"/>
      <c r="AP1345" s="863"/>
      <c r="AQ1345" s="864"/>
      <c r="AR1345" s="864"/>
      <c r="AS1345" s="864"/>
      <c r="AT1345" s="864"/>
      <c r="AU1345" s="864"/>
      <c r="AV1345" s="864"/>
      <c r="AW1345" s="864"/>
      <c r="AX1345" s="864"/>
      <c r="AY1345" s="864"/>
      <c r="AZ1345" s="864"/>
      <c r="BA1345" s="864"/>
      <c r="BB1345" s="864"/>
      <c r="BC1345" s="864"/>
      <c r="BD1345" s="864"/>
      <c r="BE1345" s="864"/>
    </row>
    <row r="1346" spans="1:58" ht="14.25" hidden="1" customHeight="1" outlineLevel="1">
      <c r="A1346" s="331" t="s">
        <v>151</v>
      </c>
      <c r="D1346" s="492"/>
      <c r="H1346" s="616"/>
      <c r="I1346" s="616"/>
      <c r="J1346" s="616"/>
      <c r="K1346" s="617"/>
      <c r="L1346" s="616"/>
      <c r="M1346" s="616"/>
      <c r="N1346" s="616"/>
      <c r="O1346" s="616"/>
      <c r="P1346" s="616"/>
      <c r="Q1346" s="617"/>
      <c r="R1346" s="617"/>
      <c r="S1346" s="617"/>
      <c r="T1346" s="617"/>
      <c r="U1346" s="617"/>
      <c r="V1346" s="617"/>
      <c r="W1346" s="617"/>
      <c r="X1346" s="617"/>
      <c r="Y1346" s="617"/>
      <c r="Z1346" s="617"/>
      <c r="AA1346" s="617"/>
      <c r="AB1346" s="617"/>
      <c r="AC1346" s="617"/>
      <c r="AD1346" s="617"/>
      <c r="AE1346" s="617"/>
      <c r="AF1346" s="617"/>
      <c r="AG1346" s="617"/>
      <c r="AH1346" s="617"/>
      <c r="AI1346" s="617"/>
      <c r="AJ1346" s="617"/>
      <c r="AK1346" s="617"/>
      <c r="AL1346" s="617"/>
      <c r="AM1346" s="617"/>
      <c r="AN1346" s="859"/>
      <c r="AO1346" s="863"/>
      <c r="AP1346" s="863"/>
      <c r="AQ1346" s="864"/>
      <c r="AR1346" s="864"/>
      <c r="AS1346" s="864"/>
      <c r="AT1346" s="864"/>
      <c r="AU1346" s="864"/>
      <c r="AV1346" s="864"/>
      <c r="AW1346" s="864"/>
      <c r="AX1346" s="864"/>
      <c r="AY1346" s="864"/>
      <c r="AZ1346" s="864"/>
      <c r="BA1346" s="864"/>
      <c r="BB1346" s="864"/>
      <c r="BC1346" s="864"/>
      <c r="BD1346" s="864"/>
      <c r="BE1346" s="864"/>
    </row>
    <row r="1347" spans="1:58" s="370" customFormat="1" ht="14.25" hidden="1" customHeight="1" outlineLevel="1">
      <c r="A1347" s="414" t="s">
        <v>153</v>
      </c>
      <c r="B1347" s="877" t="s">
        <v>154</v>
      </c>
      <c r="C1347" s="263">
        <v>5</v>
      </c>
      <c r="D1347" s="492"/>
      <c r="H1347" s="616"/>
      <c r="I1347" s="616"/>
      <c r="J1347" s="616"/>
      <c r="K1347" s="617"/>
      <c r="L1347" s="616"/>
      <c r="M1347" s="616"/>
      <c r="N1347" s="616"/>
      <c r="O1347" s="616"/>
      <c r="P1347" s="616"/>
      <c r="Q1347" s="617"/>
      <c r="R1347" s="617"/>
      <c r="S1347" s="617"/>
      <c r="T1347" s="617"/>
      <c r="U1347" s="617"/>
      <c r="V1347" s="617"/>
      <c r="W1347" s="617"/>
      <c r="X1347" s="617"/>
      <c r="Y1347" s="617"/>
      <c r="Z1347" s="617"/>
      <c r="AA1347" s="617"/>
      <c r="AB1347" s="617"/>
      <c r="AC1347" s="617"/>
      <c r="AD1347" s="617"/>
      <c r="AE1347" s="617"/>
      <c r="AF1347" s="617"/>
      <c r="AG1347" s="617"/>
      <c r="AH1347" s="617"/>
      <c r="AI1347" s="617"/>
      <c r="AJ1347" s="617"/>
      <c r="AK1347" s="617"/>
      <c r="AL1347" s="617"/>
      <c r="AM1347" s="617"/>
      <c r="AN1347" s="808"/>
      <c r="AO1347" s="809"/>
      <c r="AP1347" s="809"/>
      <c r="AQ1347" s="810"/>
      <c r="AR1347" s="810"/>
      <c r="AS1347" s="810"/>
      <c r="AT1347" s="810"/>
      <c r="AU1347" s="810"/>
      <c r="AV1347" s="810"/>
      <c r="AW1347" s="810"/>
      <c r="AX1347" s="810"/>
      <c r="AY1347" s="810"/>
      <c r="AZ1347" s="810"/>
      <c r="BA1347" s="810"/>
      <c r="BB1347" s="810"/>
      <c r="BC1347" s="810"/>
      <c r="BD1347" s="810"/>
      <c r="BE1347" s="810"/>
      <c r="BF1347" s="428"/>
    </row>
    <row r="1348" spans="1:58" s="370" customFormat="1" ht="14.25" hidden="1" customHeight="1" outlineLevel="1">
      <c r="A1348" s="412" t="s">
        <v>158</v>
      </c>
      <c r="B1348" s="877" t="s">
        <v>154</v>
      </c>
      <c r="C1348" s="611">
        <v>3</v>
      </c>
      <c r="D1348" s="492"/>
      <c r="H1348" s="616"/>
      <c r="I1348" s="616"/>
      <c r="J1348" s="616"/>
      <c r="K1348" s="617"/>
      <c r="L1348" s="616"/>
      <c r="M1348" s="616"/>
      <c r="N1348" s="616"/>
      <c r="O1348" s="616"/>
      <c r="P1348" s="616"/>
      <c r="Q1348" s="617"/>
      <c r="R1348" s="617"/>
      <c r="S1348" s="617"/>
      <c r="T1348" s="617"/>
      <c r="U1348" s="617"/>
      <c r="V1348" s="617"/>
      <c r="W1348" s="617"/>
      <c r="X1348" s="617"/>
      <c r="Y1348" s="617"/>
      <c r="Z1348" s="617"/>
      <c r="AA1348" s="617"/>
      <c r="AB1348" s="617"/>
      <c r="AC1348" s="617"/>
      <c r="AD1348" s="617"/>
      <c r="AE1348" s="617"/>
      <c r="AF1348" s="617"/>
      <c r="AG1348" s="617"/>
      <c r="AH1348" s="617"/>
      <c r="AI1348" s="617"/>
      <c r="AJ1348" s="617"/>
      <c r="AK1348" s="617"/>
      <c r="AL1348" s="617"/>
      <c r="AM1348" s="617"/>
      <c r="AN1348" s="808"/>
      <c r="AO1348" s="809"/>
      <c r="AP1348" s="809"/>
      <c r="AQ1348" s="810"/>
      <c r="AR1348" s="810"/>
      <c r="AS1348" s="810"/>
      <c r="AT1348" s="810"/>
      <c r="AU1348" s="810"/>
      <c r="AV1348" s="810"/>
      <c r="AW1348" s="810"/>
      <c r="AX1348" s="810"/>
      <c r="AY1348" s="810"/>
      <c r="AZ1348" s="810"/>
      <c r="BA1348" s="810"/>
      <c r="BB1348" s="810"/>
      <c r="BC1348" s="810"/>
      <c r="BD1348" s="810"/>
      <c r="BE1348" s="810"/>
      <c r="BF1348" s="428"/>
    </row>
    <row r="1349" spans="1:58" ht="14.25" hidden="1" customHeight="1" outlineLevel="1">
      <c r="A1349" s="492"/>
      <c r="B1349" s="490"/>
      <c r="C1349" s="534"/>
      <c r="D1349" s="492"/>
      <c r="H1349" s="616"/>
      <c r="I1349" s="616"/>
      <c r="J1349" s="616"/>
      <c r="K1349" s="617"/>
      <c r="L1349" s="616"/>
      <c r="M1349" s="616"/>
      <c r="N1349" s="616"/>
      <c r="O1349" s="616"/>
      <c r="P1349" s="616"/>
      <c r="Q1349" s="617"/>
      <c r="R1349" s="617"/>
      <c r="S1349" s="617"/>
      <c r="T1349" s="617"/>
      <c r="U1349" s="617"/>
      <c r="V1349" s="617"/>
      <c r="W1349" s="617"/>
      <c r="X1349" s="617"/>
      <c r="Y1349" s="617"/>
      <c r="Z1349" s="617"/>
      <c r="AA1349" s="617"/>
      <c r="AB1349" s="617"/>
      <c r="AC1349" s="617"/>
      <c r="AD1349" s="617"/>
      <c r="AE1349" s="617"/>
      <c r="AF1349" s="617"/>
      <c r="AG1349" s="617"/>
      <c r="AH1349" s="617"/>
      <c r="AI1349" s="617"/>
      <c r="AJ1349" s="617"/>
      <c r="AK1349" s="617"/>
      <c r="AL1349" s="617"/>
      <c r="AM1349" s="617"/>
      <c r="AN1349" s="859"/>
      <c r="AO1349" s="863"/>
      <c r="AP1349" s="863"/>
      <c r="AQ1349" s="864"/>
      <c r="AR1349" s="864"/>
      <c r="AS1349" s="864"/>
      <c r="AT1349" s="864"/>
      <c r="AU1349" s="864"/>
      <c r="AV1349" s="864"/>
      <c r="AW1349" s="864"/>
      <c r="AX1349" s="864"/>
      <c r="AY1349" s="864"/>
      <c r="AZ1349" s="864"/>
      <c r="BA1349" s="864"/>
      <c r="BB1349" s="864"/>
      <c r="BC1349" s="864"/>
      <c r="BD1349" s="864"/>
      <c r="BE1349" s="864"/>
    </row>
    <row r="1350" spans="1:58" ht="14.25" hidden="1" customHeight="1" outlineLevel="1">
      <c r="A1350" s="263" t="s">
        <v>2522</v>
      </c>
      <c r="B1350" s="415" t="s">
        <v>1796</v>
      </c>
      <c r="C1350" s="663">
        <v>5000</v>
      </c>
      <c r="D1350" s="492"/>
      <c r="H1350" s="616"/>
      <c r="I1350" s="616"/>
      <c r="J1350" s="616"/>
      <c r="K1350" s="617"/>
      <c r="L1350" s="616"/>
      <c r="M1350" s="616"/>
      <c r="N1350" s="616"/>
      <c r="O1350" s="616"/>
      <c r="P1350" s="616"/>
      <c r="Q1350" s="617"/>
      <c r="R1350" s="617"/>
      <c r="S1350" s="617"/>
      <c r="T1350" s="617"/>
      <c r="U1350" s="617"/>
      <c r="V1350" s="617"/>
      <c r="W1350" s="617"/>
      <c r="X1350" s="617"/>
      <c r="Y1350" s="617"/>
      <c r="Z1350" s="617"/>
      <c r="AA1350" s="617"/>
      <c r="AB1350" s="617"/>
      <c r="AC1350" s="617"/>
      <c r="AD1350" s="617"/>
      <c r="AE1350" s="617"/>
      <c r="AF1350" s="617"/>
      <c r="AG1350" s="617"/>
      <c r="AH1350" s="617"/>
      <c r="AI1350" s="617"/>
      <c r="AJ1350" s="617"/>
      <c r="AK1350" s="617"/>
      <c r="AL1350" s="617"/>
      <c r="AM1350" s="617"/>
      <c r="AN1350" s="859"/>
      <c r="AO1350" s="863"/>
      <c r="AP1350" s="863"/>
      <c r="AQ1350" s="864"/>
      <c r="AR1350" s="864"/>
      <c r="AS1350" s="864"/>
      <c r="AT1350" s="864"/>
      <c r="AU1350" s="864"/>
      <c r="AV1350" s="864"/>
      <c r="AW1350" s="864"/>
      <c r="AX1350" s="864"/>
      <c r="AY1350" s="864"/>
      <c r="AZ1350" s="864"/>
      <c r="BA1350" s="864"/>
      <c r="BB1350" s="864"/>
      <c r="BC1350" s="864"/>
      <c r="BD1350" s="864"/>
      <c r="BE1350" s="864"/>
    </row>
    <row r="1351" spans="1:58" ht="14.25" hidden="1" customHeight="1" outlineLevel="1">
      <c r="A1351" s="492"/>
      <c r="B1351" s="490"/>
      <c r="C1351" s="492"/>
      <c r="D1351" s="492"/>
      <c r="E1351" s="492"/>
      <c r="F1351" s="492"/>
      <c r="G1351" s="492"/>
      <c r="H1351" s="616"/>
      <c r="I1351" s="616"/>
      <c r="J1351" s="616"/>
      <c r="K1351" s="617"/>
      <c r="L1351" s="616"/>
      <c r="M1351" s="616"/>
      <c r="N1351" s="616"/>
      <c r="O1351" s="616"/>
      <c r="P1351" s="616"/>
      <c r="Q1351" s="617"/>
      <c r="R1351" s="617"/>
      <c r="S1351" s="617"/>
      <c r="T1351" s="617"/>
      <c r="U1351" s="617"/>
      <c r="V1351" s="617"/>
      <c r="W1351" s="617"/>
      <c r="X1351" s="617"/>
      <c r="Y1351" s="617"/>
      <c r="Z1351" s="617"/>
      <c r="AA1351" s="617"/>
      <c r="AB1351" s="617"/>
      <c r="AC1351" s="617"/>
      <c r="AD1351" s="617"/>
      <c r="AE1351" s="617"/>
      <c r="AF1351" s="617"/>
      <c r="AG1351" s="617"/>
      <c r="AH1351" s="617"/>
      <c r="AI1351" s="617"/>
      <c r="AJ1351" s="617"/>
      <c r="AK1351" s="617"/>
      <c r="AL1351" s="617"/>
      <c r="AM1351" s="617"/>
      <c r="AN1351" s="859"/>
      <c r="AO1351" s="863"/>
      <c r="AP1351" s="863"/>
      <c r="AQ1351" s="864"/>
      <c r="AR1351" s="864"/>
      <c r="AS1351" s="864"/>
      <c r="AT1351" s="864"/>
      <c r="AU1351" s="864"/>
      <c r="AV1351" s="864"/>
      <c r="AW1351" s="864"/>
      <c r="AX1351" s="864"/>
      <c r="AY1351" s="864"/>
      <c r="AZ1351" s="864"/>
      <c r="BA1351" s="864"/>
      <c r="BB1351" s="864"/>
      <c r="BC1351" s="864"/>
      <c r="BD1351" s="864"/>
      <c r="BE1351" s="864"/>
    </row>
    <row r="1352" spans="1:58" ht="14.25" customHeight="1" collapsed="1">
      <c r="A1352" s="3138" t="s">
        <v>2523</v>
      </c>
      <c r="B1352" s="3138"/>
      <c r="C1352" s="3138"/>
      <c r="D1352" s="3138"/>
      <c r="E1352" s="3138"/>
      <c r="F1352" s="653" t="s">
        <v>1798</v>
      </c>
      <c r="H1352" s="646"/>
      <c r="I1352" s="646"/>
      <c r="J1352" s="646"/>
      <c r="K1352" s="646"/>
      <c r="L1352" s="646"/>
      <c r="M1352" s="616"/>
      <c r="N1352" s="616"/>
      <c r="O1352" s="616"/>
      <c r="P1352" s="617"/>
      <c r="Q1352" s="366"/>
      <c r="R1352" s="617"/>
      <c r="S1352" s="617"/>
      <c r="T1352" s="617"/>
      <c r="U1352" s="617"/>
      <c r="V1352" s="617"/>
      <c r="W1352" s="617"/>
      <c r="X1352" s="617"/>
      <c r="Y1352" s="617"/>
      <c r="Z1352" s="617"/>
      <c r="AA1352" s="617"/>
      <c r="AB1352" s="617"/>
      <c r="AC1352" s="617"/>
      <c r="AD1352" s="617"/>
      <c r="AE1352" s="617"/>
      <c r="AF1352" s="617"/>
      <c r="AG1352" s="617"/>
      <c r="AH1352" s="617"/>
      <c r="AI1352" s="617"/>
      <c r="AJ1352" s="617"/>
      <c r="AK1352" s="617"/>
      <c r="AL1352" s="617"/>
      <c r="AM1352" s="617"/>
      <c r="AN1352" s="859"/>
      <c r="AO1352" s="863"/>
      <c r="AP1352" s="863"/>
      <c r="AQ1352" s="864"/>
      <c r="AR1352" s="864"/>
      <c r="AS1352" s="864"/>
      <c r="AT1352" s="864"/>
      <c r="AU1352" s="864"/>
      <c r="AV1352" s="543">
        <f>M1352</f>
        <v>0</v>
      </c>
      <c r="AW1352" s="864"/>
      <c r="AX1352" s="864"/>
      <c r="AY1352" s="864"/>
      <c r="AZ1352" s="864"/>
      <c r="BA1352" s="864"/>
      <c r="BB1352" s="864"/>
      <c r="BC1352" s="864"/>
      <c r="BD1352" s="864"/>
      <c r="BE1352" s="864"/>
    </row>
    <row r="1353" spans="1:58" ht="14.25" customHeight="1">
      <c r="A1353" s="492"/>
      <c r="B1353" s="490"/>
      <c r="C1353" s="492"/>
      <c r="D1353" s="492"/>
      <c r="E1353" s="492"/>
      <c r="F1353" s="492"/>
      <c r="G1353" s="492"/>
      <c r="H1353" s="492"/>
      <c r="I1353" s="492"/>
      <c r="J1353" s="492"/>
      <c r="K1353" s="492"/>
      <c r="L1353" s="492"/>
      <c r="M1353" s="617"/>
      <c r="N1353" s="617"/>
      <c r="O1353" s="617"/>
      <c r="P1353" s="617"/>
      <c r="Q1353" s="617"/>
      <c r="R1353" s="617"/>
      <c r="S1353" s="617"/>
      <c r="T1353" s="617"/>
      <c r="U1353" s="617"/>
      <c r="V1353" s="617"/>
      <c r="W1353" s="617"/>
      <c r="X1353" s="617"/>
      <c r="Y1353" s="617"/>
      <c r="Z1353" s="617"/>
      <c r="AA1353" s="617"/>
      <c r="AB1353" s="617"/>
      <c r="AC1353" s="617"/>
      <c r="AD1353" s="617"/>
      <c r="AE1353" s="617"/>
      <c r="AF1353" s="617"/>
      <c r="AG1353" s="617"/>
      <c r="AH1353" s="617"/>
      <c r="AI1353" s="617"/>
      <c r="AJ1353" s="617"/>
      <c r="AK1353" s="617"/>
      <c r="AL1353" s="617"/>
      <c r="AM1353" s="617"/>
      <c r="AN1353" s="859"/>
      <c r="AO1353" s="863"/>
      <c r="AP1353" s="863"/>
      <c r="AQ1353" s="864"/>
      <c r="AR1353" s="864"/>
      <c r="AS1353" s="864"/>
      <c r="AT1353" s="864"/>
      <c r="AU1353" s="864"/>
      <c r="AV1353" s="864"/>
      <c r="AW1353" s="864"/>
      <c r="AX1353" s="864"/>
      <c r="AY1353" s="864"/>
      <c r="AZ1353" s="864"/>
      <c r="BA1353" s="864"/>
      <c r="BB1353" s="864"/>
      <c r="BC1353" s="864"/>
      <c r="BD1353" s="864"/>
      <c r="BE1353" s="864"/>
    </row>
    <row r="1354" spans="1:58" ht="14.25" hidden="1" customHeight="1" outlineLevel="1">
      <c r="A1354" s="3137" t="s">
        <v>1184</v>
      </c>
      <c r="B1354" s="3137"/>
      <c r="C1354" s="3137"/>
      <c r="D1354" s="3137"/>
      <c r="E1354" s="3137"/>
      <c r="F1354" s="3137"/>
      <c r="G1354" s="3137"/>
      <c r="H1354" s="813"/>
      <c r="I1354" s="813"/>
      <c r="J1354" s="813"/>
      <c r="K1354" s="813"/>
      <c r="L1354" s="813"/>
      <c r="M1354" s="813"/>
      <c r="N1354" s="813"/>
      <c r="O1354" s="813"/>
      <c r="P1354" s="813"/>
      <c r="Q1354" s="813"/>
      <c r="R1354" s="813"/>
      <c r="S1354" s="813"/>
      <c r="T1354" s="813"/>
      <c r="U1354" s="813"/>
      <c r="V1354" s="813"/>
      <c r="W1354" s="813"/>
      <c r="X1354" s="813"/>
      <c r="Y1354" s="813"/>
      <c r="Z1354" s="813"/>
      <c r="AA1354" s="813"/>
      <c r="AB1354" s="813"/>
      <c r="AC1354" s="813"/>
      <c r="AD1354" s="813"/>
      <c r="AE1354" s="813"/>
      <c r="AF1354" s="813"/>
      <c r="AG1354" s="813"/>
      <c r="AH1354" s="813"/>
      <c r="AI1354" s="813"/>
      <c r="AJ1354" s="617"/>
      <c r="AK1354" s="617"/>
      <c r="AL1354" s="617"/>
      <c r="AM1354" s="617"/>
      <c r="AN1354" s="859"/>
      <c r="AO1354" s="863"/>
      <c r="AP1354" s="863"/>
      <c r="AQ1354" s="864"/>
      <c r="AR1354" s="864"/>
      <c r="AS1354" s="864"/>
      <c r="AT1354" s="864"/>
      <c r="AU1354" s="864"/>
      <c r="AV1354" s="864"/>
      <c r="AW1354" s="864"/>
      <c r="AX1354" s="864"/>
      <c r="AY1354" s="864"/>
      <c r="AZ1354" s="864"/>
      <c r="BA1354" s="864"/>
      <c r="BB1354" s="864"/>
      <c r="BC1354" s="864"/>
      <c r="BD1354" s="864"/>
      <c r="BE1354" s="864"/>
    </row>
    <row r="1355" spans="1:58" ht="14.25" hidden="1" customHeight="1" outlineLevel="1">
      <c r="A1355" s="3137"/>
      <c r="B1355" s="3137"/>
      <c r="C1355" s="3137"/>
      <c r="D1355" s="3137"/>
      <c r="E1355" s="3137"/>
      <c r="F1355" s="3137"/>
      <c r="G1355" s="3137"/>
      <c r="H1355" s="813"/>
      <c r="I1355" s="813"/>
      <c r="J1355" s="813"/>
      <c r="K1355" s="813"/>
      <c r="L1355" s="813"/>
      <c r="M1355" s="813"/>
      <c r="N1355" s="813"/>
      <c r="O1355" s="813"/>
      <c r="P1355" s="813"/>
      <c r="Q1355" s="813"/>
      <c r="R1355" s="813"/>
      <c r="S1355" s="813"/>
      <c r="T1355" s="813"/>
      <c r="U1355" s="813"/>
      <c r="V1355" s="813"/>
      <c r="W1355" s="813"/>
      <c r="X1355" s="813"/>
      <c r="Y1355" s="813"/>
      <c r="Z1355" s="813"/>
      <c r="AA1355" s="813"/>
      <c r="AB1355" s="813"/>
      <c r="AC1355" s="813"/>
      <c r="AD1355" s="813"/>
      <c r="AE1355" s="813"/>
      <c r="AF1355" s="813"/>
      <c r="AG1355" s="813"/>
      <c r="AH1355" s="813"/>
      <c r="AI1355" s="813"/>
      <c r="AJ1355" s="617"/>
      <c r="AK1355" s="617"/>
      <c r="AL1355" s="617"/>
      <c r="AM1355" s="617"/>
      <c r="AN1355" s="859"/>
      <c r="AO1355" s="863"/>
      <c r="AP1355" s="863"/>
      <c r="AQ1355" s="864"/>
      <c r="AR1355" s="864"/>
      <c r="AS1355" s="864"/>
      <c r="AT1355" s="864"/>
      <c r="AU1355" s="864"/>
      <c r="AV1355" s="864"/>
      <c r="AW1355" s="864"/>
      <c r="AX1355" s="864"/>
      <c r="AY1355" s="864"/>
      <c r="AZ1355" s="864"/>
      <c r="BA1355" s="864"/>
      <c r="BB1355" s="864"/>
      <c r="BC1355" s="864"/>
      <c r="BD1355" s="864"/>
      <c r="BE1355" s="864"/>
    </row>
    <row r="1356" spans="1:58" ht="14.25" hidden="1" customHeight="1" outlineLevel="1">
      <c r="A1356" s="430" t="s">
        <v>1806</v>
      </c>
      <c r="B1356" s="431"/>
      <c r="C1356" s="432"/>
      <c r="D1356" s="611">
        <v>1</v>
      </c>
      <c r="G1356" s="695"/>
      <c r="H1356" s="695"/>
      <c r="I1356" s="695"/>
      <c r="J1356" s="695"/>
      <c r="K1356" s="695"/>
      <c r="L1356" s="695"/>
      <c r="M1356" s="695"/>
      <c r="N1356" s="695"/>
      <c r="O1356" s="695"/>
      <c r="P1356" s="695"/>
      <c r="Q1356" s="695"/>
      <c r="R1356" s="695"/>
      <c r="S1356" s="695"/>
      <c r="T1356" s="695"/>
      <c r="U1356" s="695"/>
      <c r="V1356" s="695"/>
      <c r="W1356" s="695"/>
      <c r="X1356" s="695"/>
      <c r="Y1356" s="695"/>
      <c r="Z1356" s="695"/>
      <c r="AA1356" s="695"/>
      <c r="AB1356" s="695"/>
      <c r="AC1356" s="695"/>
      <c r="AD1356" s="695"/>
      <c r="AE1356" s="695"/>
      <c r="AF1356" s="617"/>
      <c r="AG1356" s="617"/>
      <c r="AH1356" s="617"/>
      <c r="AI1356" s="803"/>
      <c r="AJ1356" s="617"/>
      <c r="AK1356" s="617"/>
      <c r="AL1356" s="617"/>
      <c r="AM1356" s="617"/>
      <c r="AN1356" s="808"/>
      <c r="AO1356" s="809"/>
      <c r="AP1356" s="809"/>
      <c r="AQ1356" s="810"/>
      <c r="AR1356" s="810"/>
      <c r="AS1356" s="810"/>
      <c r="AT1356" s="810"/>
      <c r="AU1356" s="810"/>
      <c r="AV1356" s="810"/>
      <c r="AW1356" s="810"/>
      <c r="AX1356" s="810"/>
      <c r="AY1356" s="810"/>
      <c r="AZ1356" s="810"/>
      <c r="BA1356" s="810"/>
      <c r="BB1356" s="810"/>
      <c r="BC1356" s="810"/>
      <c r="BD1356" s="810"/>
      <c r="BE1356" s="810"/>
    </row>
    <row r="1357" spans="1:58" ht="14.25" hidden="1" customHeight="1" outlineLevel="1">
      <c r="A1357" s="430" t="s">
        <v>1808</v>
      </c>
      <c r="B1357" s="431"/>
      <c r="C1357" s="432"/>
      <c r="D1357" s="611">
        <v>1</v>
      </c>
      <c r="G1357" s="695"/>
      <c r="H1357" s="695"/>
      <c r="I1357" s="695"/>
      <c r="J1357" s="695"/>
      <c r="K1357" s="695"/>
      <c r="L1357" s="695"/>
      <c r="M1357" s="695"/>
      <c r="N1357" s="695"/>
      <c r="O1357" s="695"/>
      <c r="P1357" s="695"/>
      <c r="Q1357" s="695"/>
      <c r="R1357" s="695"/>
      <c r="S1357" s="695"/>
      <c r="T1357" s="695"/>
      <c r="U1357" s="695"/>
      <c r="V1357" s="695"/>
      <c r="W1357" s="695"/>
      <c r="X1357" s="695"/>
      <c r="Y1357" s="695"/>
      <c r="Z1357" s="695"/>
      <c r="AA1357" s="695"/>
      <c r="AB1357" s="695"/>
      <c r="AC1357" s="695"/>
      <c r="AD1357" s="695"/>
      <c r="AE1357" s="695"/>
      <c r="AF1357" s="617"/>
      <c r="AG1357" s="617"/>
      <c r="AH1357" s="617"/>
      <c r="AI1357" s="617"/>
      <c r="AJ1357" s="617"/>
      <c r="AK1357" s="617"/>
      <c r="AL1357" s="617"/>
      <c r="AM1357" s="617"/>
      <c r="AN1357" s="808"/>
      <c r="AO1357" s="809"/>
      <c r="AP1357" s="809"/>
      <c r="AQ1357" s="810"/>
      <c r="AR1357" s="810"/>
      <c r="AS1357" s="810"/>
      <c r="AT1357" s="810"/>
      <c r="AU1357" s="810"/>
      <c r="AV1357" s="810"/>
      <c r="AW1357" s="810"/>
      <c r="AX1357" s="810"/>
      <c r="AY1357" s="810"/>
      <c r="AZ1357" s="810"/>
      <c r="BA1357" s="810"/>
      <c r="BB1357" s="810"/>
      <c r="BC1357" s="810"/>
      <c r="BD1357" s="810"/>
      <c r="BE1357" s="810"/>
    </row>
    <row r="1358" spans="1:58" ht="14.25" hidden="1" customHeight="1" outlineLevel="1">
      <c r="B1358" s="614"/>
      <c r="C1358" s="695"/>
      <c r="D1358" s="695"/>
      <c r="E1358" s="695"/>
      <c r="F1358" s="695"/>
      <c r="G1358" s="695"/>
      <c r="H1358" s="695"/>
      <c r="I1358" s="695"/>
      <c r="J1358" s="695"/>
      <c r="K1358" s="695"/>
      <c r="L1358" s="695"/>
      <c r="M1358" s="695"/>
      <c r="N1358" s="695"/>
      <c r="O1358" s="695"/>
      <c r="P1358" s="695"/>
      <c r="Q1358" s="695"/>
      <c r="R1358" s="695"/>
      <c r="S1358" s="695"/>
      <c r="T1358" s="695"/>
      <c r="U1358" s="695"/>
      <c r="V1358" s="695"/>
      <c r="W1358" s="695"/>
      <c r="X1358" s="695"/>
      <c r="Y1358" s="614"/>
      <c r="Z1358" s="614"/>
      <c r="AA1358" s="613"/>
      <c r="AB1358" s="614"/>
      <c r="AC1358" s="614"/>
      <c r="AD1358" s="614"/>
      <c r="AE1358" s="614"/>
      <c r="AF1358" s="617"/>
      <c r="AG1358" s="617"/>
      <c r="AH1358" s="617"/>
      <c r="AI1358" s="617"/>
      <c r="AJ1358" s="617"/>
      <c r="AK1358" s="617"/>
      <c r="AL1358" s="617"/>
      <c r="AM1358" s="617"/>
      <c r="AN1358" s="808"/>
      <c r="AO1358" s="809"/>
      <c r="AP1358" s="809"/>
      <c r="AQ1358" s="810"/>
      <c r="AR1358" s="810"/>
      <c r="AS1358" s="810"/>
      <c r="AT1358" s="810"/>
      <c r="AU1358" s="810"/>
      <c r="AV1358" s="810"/>
      <c r="AW1358" s="810"/>
      <c r="AX1358" s="810"/>
      <c r="AY1358" s="810"/>
      <c r="AZ1358" s="810"/>
      <c r="BA1358" s="810"/>
      <c r="BB1358" s="810"/>
      <c r="BC1358" s="810"/>
      <c r="BD1358" s="810"/>
      <c r="BE1358" s="810"/>
    </row>
    <row r="1359" spans="1:58" ht="14.25" hidden="1" customHeight="1" outlineLevel="1">
      <c r="A1359" s="525" t="s">
        <v>1236</v>
      </c>
      <c r="B1359" s="438" t="s">
        <v>120</v>
      </c>
      <c r="C1359" s="525" t="s">
        <v>1753</v>
      </c>
      <c r="D1359" s="695"/>
      <c r="E1359" s="695"/>
      <c r="F1359" s="695"/>
      <c r="G1359" s="695"/>
      <c r="H1359" s="695"/>
      <c r="I1359" s="695"/>
      <c r="J1359" s="695"/>
      <c r="K1359" s="695"/>
      <c r="L1359" s="695"/>
      <c r="M1359" s="695"/>
      <c r="N1359" s="695"/>
      <c r="O1359" s="695"/>
      <c r="P1359" s="695"/>
      <c r="Q1359" s="695"/>
      <c r="R1359" s="695"/>
      <c r="S1359" s="695"/>
      <c r="T1359" s="695"/>
      <c r="U1359" s="695"/>
      <c r="V1359" s="695"/>
      <c r="W1359" s="695"/>
      <c r="X1359" s="695"/>
      <c r="Y1359" s="614"/>
      <c r="Z1359" s="614"/>
      <c r="AA1359" s="614"/>
      <c r="AB1359" s="614"/>
      <c r="AC1359" s="614"/>
      <c r="AD1359" s="614"/>
      <c r="AE1359" s="614"/>
      <c r="AF1359" s="617"/>
      <c r="AG1359" s="617"/>
      <c r="AH1359" s="617"/>
      <c r="AI1359" s="617"/>
      <c r="AJ1359" s="617"/>
      <c r="AK1359" s="617"/>
      <c r="AL1359" s="617"/>
      <c r="AM1359" s="617"/>
      <c r="AN1359" s="808"/>
      <c r="AO1359" s="809"/>
      <c r="AP1359" s="809"/>
      <c r="AQ1359" s="810"/>
      <c r="AR1359" s="810"/>
      <c r="AS1359" s="810"/>
      <c r="AT1359" s="810"/>
      <c r="AU1359" s="810"/>
      <c r="AV1359" s="810"/>
      <c r="AW1359" s="810"/>
      <c r="AX1359" s="810"/>
      <c r="AY1359" s="810"/>
      <c r="AZ1359" s="810"/>
      <c r="BA1359" s="810"/>
      <c r="BB1359" s="810"/>
      <c r="BC1359" s="810"/>
      <c r="BD1359" s="810"/>
      <c r="BE1359" s="810"/>
    </row>
    <row r="1360" spans="1:58" ht="14.25" hidden="1" customHeight="1" outlineLevel="1">
      <c r="A1360" s="263" t="s">
        <v>1188</v>
      </c>
      <c r="B1360" s="415" t="s">
        <v>159</v>
      </c>
      <c r="C1360" s="906" t="s">
        <v>1821</v>
      </c>
      <c r="D1360" s="492"/>
      <c r="G1360" s="684"/>
      <c r="H1360" s="492"/>
      <c r="I1360" s="888"/>
      <c r="J1360" s="888"/>
      <c r="K1360" s="888"/>
      <c r="L1360" s="888"/>
      <c r="M1360" s="888"/>
      <c r="N1360" s="888"/>
      <c r="O1360" s="888"/>
      <c r="P1360" s="617"/>
      <c r="Q1360" s="617"/>
      <c r="R1360" s="617"/>
      <c r="S1360" s="617"/>
      <c r="T1360" s="617"/>
      <c r="U1360" s="617"/>
      <c r="V1360" s="617"/>
      <c r="W1360" s="617"/>
      <c r="X1360" s="617"/>
      <c r="Y1360" s="617"/>
      <c r="Z1360" s="617"/>
      <c r="AA1360" s="617"/>
      <c r="AB1360" s="617"/>
      <c r="AC1360" s="617"/>
      <c r="AD1360" s="617"/>
      <c r="AE1360" s="617"/>
      <c r="AF1360" s="617"/>
      <c r="AG1360" s="617"/>
      <c r="AH1360" s="617"/>
      <c r="AI1360" s="617"/>
      <c r="AJ1360" s="617"/>
      <c r="AK1360" s="617"/>
      <c r="AL1360" s="617"/>
      <c r="AM1360" s="617"/>
      <c r="AN1360" s="859"/>
      <c r="AO1360" s="863"/>
      <c r="AP1360" s="863"/>
      <c r="AQ1360" s="864"/>
      <c r="AR1360" s="864"/>
      <c r="AS1360" s="864"/>
      <c r="AT1360" s="864"/>
      <c r="AU1360" s="864"/>
      <c r="AV1360" s="864"/>
      <c r="AW1360" s="864"/>
      <c r="AX1360" s="864"/>
      <c r="AY1360" s="864"/>
      <c r="AZ1360" s="864"/>
      <c r="BA1360" s="864"/>
      <c r="BB1360" s="864"/>
      <c r="BC1360" s="864"/>
      <c r="BD1360" s="864"/>
      <c r="BE1360" s="864"/>
    </row>
    <row r="1361" spans="1:58" ht="14.25" hidden="1" customHeight="1" outlineLevel="1">
      <c r="A1361" s="263" t="s">
        <v>1189</v>
      </c>
      <c r="B1361" s="415" t="s">
        <v>159</v>
      </c>
      <c r="C1361" s="906" t="s">
        <v>1821</v>
      </c>
      <c r="D1361" s="492"/>
      <c r="G1361" s="684"/>
      <c r="H1361" s="492"/>
      <c r="I1361" s="888"/>
      <c r="J1361" s="888"/>
      <c r="K1361" s="888"/>
      <c r="L1361" s="888"/>
      <c r="M1361" s="888"/>
      <c r="N1361" s="888"/>
      <c r="O1361" s="888"/>
      <c r="P1361" s="617"/>
      <c r="Q1361" s="617"/>
      <c r="R1361" s="617"/>
      <c r="S1361" s="617"/>
      <c r="T1361" s="617"/>
      <c r="U1361" s="617"/>
      <c r="V1361" s="617"/>
      <c r="W1361" s="617"/>
      <c r="X1361" s="617"/>
      <c r="Y1361" s="617"/>
      <c r="Z1361" s="617"/>
      <c r="AA1361" s="617"/>
      <c r="AB1361" s="617"/>
      <c r="AC1361" s="617"/>
      <c r="AD1361" s="617"/>
      <c r="AE1361" s="617"/>
      <c r="AF1361" s="617"/>
      <c r="AG1361" s="617"/>
      <c r="AH1361" s="617"/>
      <c r="AI1361" s="617"/>
      <c r="AJ1361" s="617"/>
      <c r="AK1361" s="617"/>
      <c r="AL1361" s="617"/>
      <c r="AM1361" s="617"/>
      <c r="AN1361" s="859"/>
      <c r="AO1361" s="863"/>
      <c r="AP1361" s="863"/>
      <c r="AQ1361" s="864"/>
      <c r="AR1361" s="864"/>
      <c r="AS1361" s="864"/>
      <c r="AT1361" s="864"/>
      <c r="AU1361" s="864"/>
      <c r="AV1361" s="864"/>
      <c r="AW1361" s="864"/>
      <c r="AX1361" s="864"/>
      <c r="AY1361" s="864"/>
      <c r="AZ1361" s="864"/>
      <c r="BA1361" s="864"/>
      <c r="BB1361" s="864"/>
      <c r="BC1361" s="864"/>
      <c r="BD1361" s="864"/>
      <c r="BE1361" s="864"/>
    </row>
    <row r="1362" spans="1:58" ht="14.25" hidden="1" customHeight="1" outlineLevel="1">
      <c r="A1362" s="263" t="s">
        <v>2524</v>
      </c>
      <c r="B1362" s="415" t="s">
        <v>159</v>
      </c>
      <c r="C1362" s="906" t="s">
        <v>1821</v>
      </c>
      <c r="D1362" s="492"/>
      <c r="G1362" s="684"/>
      <c r="H1362" s="492"/>
      <c r="I1362" s="888"/>
      <c r="J1362" s="888"/>
      <c r="K1362" s="888"/>
      <c r="L1362" s="888"/>
      <c r="M1362" s="888"/>
      <c r="N1362" s="888"/>
      <c r="O1362" s="888"/>
      <c r="P1362" s="617"/>
      <c r="Q1362" s="617"/>
      <c r="R1362" s="617"/>
      <c r="S1362" s="617"/>
      <c r="T1362" s="617"/>
      <c r="U1362" s="617"/>
      <c r="V1362" s="617"/>
      <c r="W1362" s="617"/>
      <c r="X1362" s="617"/>
      <c r="Y1362" s="617"/>
      <c r="Z1362" s="617"/>
      <c r="AA1362" s="617"/>
      <c r="AB1362" s="617"/>
      <c r="AC1362" s="617"/>
      <c r="AD1362" s="617"/>
      <c r="AE1362" s="617"/>
      <c r="AF1362" s="617"/>
      <c r="AG1362" s="617"/>
      <c r="AH1362" s="617"/>
      <c r="AI1362" s="617"/>
      <c r="AJ1362" s="617"/>
      <c r="AK1362" s="617"/>
      <c r="AL1362" s="617"/>
      <c r="AM1362" s="617"/>
      <c r="AN1362" s="859"/>
      <c r="AO1362" s="863"/>
      <c r="AP1362" s="863"/>
      <c r="AQ1362" s="864"/>
      <c r="AR1362" s="864"/>
      <c r="AS1362" s="864"/>
      <c r="AT1362" s="864"/>
      <c r="AU1362" s="864"/>
      <c r="AV1362" s="864"/>
      <c r="AW1362" s="864"/>
      <c r="AX1362" s="864"/>
      <c r="AY1362" s="864"/>
      <c r="AZ1362" s="864"/>
      <c r="BA1362" s="864"/>
      <c r="BB1362" s="864"/>
      <c r="BC1362" s="864"/>
      <c r="BD1362" s="864"/>
      <c r="BE1362" s="864"/>
    </row>
    <row r="1363" spans="1:58" ht="14.25" hidden="1" customHeight="1" outlineLevel="1">
      <c r="A1363" s="263" t="s">
        <v>1186</v>
      </c>
      <c r="B1363" s="415" t="s">
        <v>159</v>
      </c>
      <c r="C1363" s="906" t="s">
        <v>1821</v>
      </c>
      <c r="D1363" s="492"/>
      <c r="G1363" s="684"/>
      <c r="H1363" s="492"/>
      <c r="I1363" s="888"/>
      <c r="J1363" s="888"/>
      <c r="K1363" s="888"/>
      <c r="L1363" s="888"/>
      <c r="M1363" s="888"/>
      <c r="N1363" s="888"/>
      <c r="O1363" s="888"/>
      <c r="P1363" s="617"/>
      <c r="Q1363" s="617"/>
      <c r="R1363" s="617"/>
      <c r="S1363" s="617"/>
      <c r="T1363" s="617"/>
      <c r="U1363" s="617"/>
      <c r="V1363" s="617"/>
      <c r="W1363" s="617"/>
      <c r="X1363" s="617"/>
      <c r="Y1363" s="617"/>
      <c r="Z1363" s="617"/>
      <c r="AA1363" s="617"/>
      <c r="AB1363" s="617"/>
      <c r="AC1363" s="617"/>
      <c r="AD1363" s="617"/>
      <c r="AE1363" s="617"/>
      <c r="AF1363" s="617"/>
      <c r="AG1363" s="617"/>
      <c r="AH1363" s="617"/>
      <c r="AI1363" s="617"/>
      <c r="AJ1363" s="617"/>
      <c r="AK1363" s="617"/>
      <c r="AL1363" s="617"/>
      <c r="AM1363" s="617"/>
      <c r="AN1363" s="859"/>
      <c r="AO1363" s="863"/>
      <c r="AP1363" s="863"/>
      <c r="AQ1363" s="864"/>
      <c r="AR1363" s="864"/>
      <c r="AS1363" s="864"/>
      <c r="AT1363" s="864"/>
      <c r="AU1363" s="864"/>
      <c r="AV1363" s="864"/>
      <c r="AW1363" s="864"/>
      <c r="AX1363" s="864"/>
      <c r="AY1363" s="864"/>
      <c r="AZ1363" s="864"/>
      <c r="BA1363" s="864"/>
      <c r="BB1363" s="864"/>
      <c r="BC1363" s="864"/>
      <c r="BD1363" s="864"/>
      <c r="BE1363" s="864"/>
    </row>
    <row r="1364" spans="1:58" ht="14.25" hidden="1" customHeight="1" outlineLevel="1">
      <c r="A1364" s="263" t="s">
        <v>1187</v>
      </c>
      <c r="B1364" s="415" t="s">
        <v>159</v>
      </c>
      <c r="C1364" s="906" t="s">
        <v>1821</v>
      </c>
      <c r="D1364" s="492"/>
      <c r="G1364" s="684"/>
      <c r="H1364" s="492"/>
      <c r="I1364" s="888"/>
      <c r="J1364" s="888"/>
      <c r="K1364" s="888"/>
      <c r="L1364" s="888"/>
      <c r="M1364" s="888"/>
      <c r="N1364" s="888"/>
      <c r="O1364" s="888"/>
      <c r="P1364" s="617"/>
      <c r="Q1364" s="617"/>
      <c r="R1364" s="617"/>
      <c r="S1364" s="617"/>
      <c r="T1364" s="617"/>
      <c r="U1364" s="617"/>
      <c r="V1364" s="617"/>
      <c r="W1364" s="617"/>
      <c r="X1364" s="617"/>
      <c r="Y1364" s="617"/>
      <c r="Z1364" s="617"/>
      <c r="AA1364" s="617"/>
      <c r="AB1364" s="617"/>
      <c r="AC1364" s="617"/>
      <c r="AD1364" s="617"/>
      <c r="AE1364" s="617"/>
      <c r="AF1364" s="617"/>
      <c r="AG1364" s="617"/>
      <c r="AH1364" s="617"/>
      <c r="AI1364" s="617"/>
      <c r="AJ1364" s="617"/>
      <c r="AK1364" s="617"/>
      <c r="AL1364" s="617"/>
      <c r="AM1364" s="617"/>
      <c r="AN1364" s="859"/>
      <c r="AO1364" s="863"/>
      <c r="AP1364" s="863"/>
      <c r="AQ1364" s="864"/>
      <c r="AR1364" s="864"/>
      <c r="AS1364" s="864"/>
      <c r="AT1364" s="864"/>
      <c r="AU1364" s="864"/>
      <c r="AV1364" s="864"/>
      <c r="AW1364" s="864"/>
      <c r="AX1364" s="864"/>
      <c r="AY1364" s="864"/>
      <c r="AZ1364" s="864"/>
      <c r="BA1364" s="864"/>
      <c r="BB1364" s="864"/>
      <c r="BC1364" s="864"/>
      <c r="BD1364" s="864"/>
      <c r="BE1364" s="864"/>
    </row>
    <row r="1365" spans="1:58" s="364" customFormat="1" ht="14.25" hidden="1" customHeight="1" outlineLevel="1">
      <c r="A1365" s="492"/>
      <c r="B1365" s="490"/>
      <c r="C1365" s="534"/>
      <c r="D1365" s="492"/>
      <c r="G1365" s="684"/>
      <c r="H1365" s="492"/>
      <c r="I1365" s="888"/>
      <c r="J1365" s="888"/>
      <c r="K1365" s="888"/>
      <c r="L1365" s="888"/>
      <c r="M1365" s="888"/>
      <c r="N1365" s="888"/>
      <c r="O1365" s="888"/>
      <c r="P1365" s="617"/>
      <c r="Q1365" s="617"/>
      <c r="R1365" s="617"/>
      <c r="S1365" s="617"/>
      <c r="T1365" s="617"/>
      <c r="U1365" s="617"/>
      <c r="V1365" s="617"/>
      <c r="W1365" s="617"/>
      <c r="X1365" s="617"/>
      <c r="Y1365" s="617"/>
      <c r="Z1365" s="617"/>
      <c r="AA1365" s="617"/>
      <c r="AB1365" s="617"/>
      <c r="AC1365" s="617"/>
      <c r="AD1365" s="617"/>
      <c r="AE1365" s="617"/>
      <c r="AF1365" s="617"/>
      <c r="AG1365" s="617"/>
      <c r="AH1365" s="617"/>
      <c r="AI1365" s="617"/>
      <c r="AJ1365" s="617"/>
      <c r="AK1365" s="617"/>
      <c r="AL1365" s="617"/>
      <c r="AM1365" s="617"/>
      <c r="AN1365" s="617"/>
      <c r="AO1365" s="680"/>
      <c r="AP1365" s="680"/>
      <c r="AQ1365" s="803"/>
      <c r="AR1365" s="803"/>
      <c r="AS1365" s="803"/>
      <c r="AT1365" s="803"/>
      <c r="AU1365" s="803"/>
      <c r="AV1365" s="803"/>
      <c r="AW1365" s="803"/>
      <c r="AX1365" s="803"/>
      <c r="AY1365" s="803"/>
      <c r="AZ1365" s="803"/>
      <c r="BA1365" s="803"/>
      <c r="BB1365" s="803"/>
      <c r="BC1365" s="803"/>
      <c r="BD1365" s="803"/>
      <c r="BE1365" s="803"/>
      <c r="BF1365" s="368"/>
    </row>
    <row r="1366" spans="1:58" s="364" customFormat="1" ht="14.25" hidden="1" customHeight="1" outlineLevel="1">
      <c r="A1366" s="331" t="s">
        <v>151</v>
      </c>
      <c r="B1366" s="332"/>
      <c r="C1366" s="331"/>
      <c r="D1366" s="492"/>
      <c r="G1366" s="684"/>
      <c r="H1366" s="492"/>
      <c r="I1366" s="888"/>
      <c r="J1366" s="888"/>
      <c r="K1366" s="888"/>
      <c r="L1366" s="888"/>
      <c r="M1366" s="888"/>
      <c r="N1366" s="888"/>
      <c r="O1366" s="888"/>
      <c r="P1366" s="617"/>
      <c r="Q1366" s="617"/>
      <c r="R1366" s="617"/>
      <c r="S1366" s="617"/>
      <c r="T1366" s="617"/>
      <c r="U1366" s="617"/>
      <c r="V1366" s="617"/>
      <c r="W1366" s="617"/>
      <c r="X1366" s="617"/>
      <c r="Y1366" s="617"/>
      <c r="Z1366" s="617"/>
      <c r="AA1366" s="617"/>
      <c r="AB1366" s="617"/>
      <c r="AC1366" s="617"/>
      <c r="AD1366" s="617"/>
      <c r="AE1366" s="617"/>
      <c r="AF1366" s="617"/>
      <c r="AG1366" s="617"/>
      <c r="AH1366" s="617"/>
      <c r="AI1366" s="617"/>
      <c r="AJ1366" s="617"/>
      <c r="AK1366" s="617"/>
      <c r="AL1366" s="617"/>
      <c r="AM1366" s="617"/>
      <c r="AN1366" s="617"/>
      <c r="AO1366" s="680"/>
      <c r="AP1366" s="680"/>
      <c r="AQ1366" s="803"/>
      <c r="AR1366" s="803"/>
      <c r="AS1366" s="803"/>
      <c r="AT1366" s="803"/>
      <c r="AU1366" s="803"/>
      <c r="AV1366" s="803"/>
      <c r="AW1366" s="803"/>
      <c r="AX1366" s="803"/>
      <c r="AY1366" s="803"/>
      <c r="AZ1366" s="803"/>
      <c r="BA1366" s="803"/>
      <c r="BB1366" s="803"/>
      <c r="BC1366" s="803"/>
      <c r="BD1366" s="803"/>
      <c r="BE1366" s="803"/>
      <c r="BF1366" s="368"/>
    </row>
    <row r="1367" spans="1:58" s="364" customFormat="1" ht="14.25" hidden="1" customHeight="1" outlineLevel="1">
      <c r="A1367" s="414" t="s">
        <v>160</v>
      </c>
      <c r="B1367" s="877" t="s">
        <v>154</v>
      </c>
      <c r="C1367" s="263">
        <v>4</v>
      </c>
      <c r="D1367" s="492"/>
      <c r="G1367" s="684"/>
      <c r="H1367" s="492"/>
      <c r="I1367" s="888"/>
      <c r="J1367" s="888"/>
      <c r="K1367" s="888"/>
      <c r="L1367" s="888"/>
      <c r="M1367" s="888"/>
      <c r="N1367" s="888"/>
      <c r="O1367" s="888"/>
      <c r="P1367" s="617"/>
      <c r="Q1367" s="617"/>
      <c r="R1367" s="617"/>
      <c r="S1367" s="617"/>
      <c r="T1367" s="617"/>
      <c r="U1367" s="617"/>
      <c r="V1367" s="617"/>
      <c r="W1367" s="617"/>
      <c r="X1367" s="617"/>
      <c r="Y1367" s="617"/>
      <c r="Z1367" s="617"/>
      <c r="AA1367" s="617"/>
      <c r="AB1367" s="617"/>
      <c r="AC1367" s="617"/>
      <c r="AD1367" s="617"/>
      <c r="AE1367" s="617"/>
      <c r="AF1367" s="617"/>
      <c r="AG1367" s="617"/>
      <c r="AH1367" s="617"/>
      <c r="AI1367" s="617"/>
      <c r="AJ1367" s="617"/>
      <c r="AK1367" s="617"/>
      <c r="AL1367" s="617"/>
      <c r="AM1367" s="617"/>
      <c r="AN1367" s="617"/>
      <c r="AO1367" s="680"/>
      <c r="AP1367" s="680"/>
      <c r="AQ1367" s="803"/>
      <c r="AR1367" s="803"/>
      <c r="AS1367" s="803"/>
      <c r="AT1367" s="803"/>
      <c r="AU1367" s="803"/>
      <c r="AV1367" s="803"/>
      <c r="AW1367" s="803"/>
      <c r="AX1367" s="803"/>
      <c r="AY1367" s="803"/>
      <c r="AZ1367" s="803"/>
      <c r="BA1367" s="803"/>
      <c r="BB1367" s="803"/>
      <c r="BC1367" s="803"/>
      <c r="BD1367" s="803"/>
      <c r="BE1367" s="803"/>
      <c r="BF1367" s="368"/>
    </row>
    <row r="1368" spans="1:58" s="364" customFormat="1" ht="14.25" hidden="1" customHeight="1" outlineLevel="1">
      <c r="A1368" s="412" t="s">
        <v>155</v>
      </c>
      <c r="B1368" s="877" t="s">
        <v>154</v>
      </c>
      <c r="C1368" s="611">
        <v>4</v>
      </c>
      <c r="D1368" s="492"/>
      <c r="G1368" s="684"/>
      <c r="H1368" s="492"/>
      <c r="I1368" s="888"/>
      <c r="J1368" s="888"/>
      <c r="K1368" s="888"/>
      <c r="L1368" s="888"/>
      <c r="M1368" s="888"/>
      <c r="N1368" s="888"/>
      <c r="O1368" s="888"/>
      <c r="P1368" s="617"/>
      <c r="Q1368" s="617"/>
      <c r="R1368" s="617"/>
      <c r="S1368" s="617"/>
      <c r="T1368" s="617"/>
      <c r="U1368" s="617"/>
      <c r="V1368" s="617"/>
      <c r="W1368" s="617"/>
      <c r="X1368" s="617"/>
      <c r="Y1368" s="617"/>
      <c r="Z1368" s="617"/>
      <c r="AA1368" s="617"/>
      <c r="AB1368" s="617"/>
      <c r="AC1368" s="617"/>
      <c r="AD1368" s="617"/>
      <c r="AE1368" s="617"/>
      <c r="AF1368" s="617"/>
      <c r="AG1368" s="617"/>
      <c r="AH1368" s="617"/>
      <c r="AI1368" s="617"/>
      <c r="AJ1368" s="617"/>
      <c r="AK1368" s="617"/>
      <c r="AL1368" s="617"/>
      <c r="AM1368" s="617"/>
      <c r="AN1368" s="617"/>
      <c r="AO1368" s="680"/>
      <c r="AP1368" s="680"/>
      <c r="AQ1368" s="803"/>
      <c r="AR1368" s="803"/>
      <c r="AS1368" s="803"/>
      <c r="AT1368" s="803"/>
      <c r="AU1368" s="803"/>
      <c r="AV1368" s="803"/>
      <c r="AW1368" s="803"/>
      <c r="AX1368" s="803"/>
      <c r="AY1368" s="803"/>
      <c r="AZ1368" s="803"/>
      <c r="BA1368" s="803"/>
      <c r="BB1368" s="803"/>
      <c r="BC1368" s="803"/>
      <c r="BD1368" s="803"/>
      <c r="BE1368" s="803"/>
      <c r="BF1368" s="368"/>
    </row>
    <row r="1369" spans="1:58" ht="14.25" hidden="1" customHeight="1" outlineLevel="1">
      <c r="A1369" s="492"/>
      <c r="B1369" s="490"/>
      <c r="C1369" s="534"/>
      <c r="D1369" s="492"/>
      <c r="G1369" s="684"/>
      <c r="H1369" s="616"/>
      <c r="I1369" s="616"/>
      <c r="J1369" s="616"/>
      <c r="K1369" s="616"/>
      <c r="L1369" s="616"/>
      <c r="M1369" s="616"/>
      <c r="N1369" s="616"/>
      <c r="O1369" s="616"/>
      <c r="P1369" s="616"/>
      <c r="Q1369" s="616"/>
      <c r="R1369" s="617"/>
      <c r="S1369" s="617"/>
      <c r="T1369" s="617"/>
      <c r="U1369" s="617"/>
      <c r="V1369" s="617"/>
      <c r="W1369" s="617"/>
      <c r="X1369" s="617"/>
      <c r="Y1369" s="617"/>
      <c r="Z1369" s="617"/>
      <c r="AA1369" s="617"/>
      <c r="AB1369" s="617"/>
      <c r="AC1369" s="617"/>
      <c r="AD1369" s="617"/>
      <c r="AE1369" s="617"/>
      <c r="AF1369" s="617"/>
      <c r="AG1369" s="617"/>
      <c r="AH1369" s="617"/>
      <c r="AI1369" s="617"/>
      <c r="AJ1369" s="617"/>
      <c r="AK1369" s="617"/>
      <c r="AL1369" s="617"/>
      <c r="AM1369" s="617"/>
      <c r="AN1369" s="859"/>
      <c r="AO1369" s="863"/>
      <c r="AP1369" s="863"/>
      <c r="AQ1369" s="864"/>
      <c r="AR1369" s="864"/>
      <c r="AS1369" s="864"/>
      <c r="AT1369" s="864"/>
      <c r="AU1369" s="864"/>
      <c r="AV1369" s="864"/>
      <c r="AW1369" s="864"/>
      <c r="AX1369" s="864"/>
      <c r="AY1369" s="864"/>
      <c r="AZ1369" s="864"/>
      <c r="BA1369" s="864"/>
      <c r="BB1369" s="864"/>
      <c r="BC1369" s="864"/>
      <c r="BD1369" s="864"/>
      <c r="BE1369" s="864"/>
    </row>
    <row r="1370" spans="1:58" ht="15.75" hidden="1" customHeight="1" outlineLevel="1">
      <c r="A1370" s="263" t="s">
        <v>2525</v>
      </c>
      <c r="B1370" s="415" t="s">
        <v>1796</v>
      </c>
      <c r="C1370" s="663">
        <v>5000</v>
      </c>
      <c r="D1370" s="492"/>
      <c r="G1370" s="684"/>
      <c r="H1370" s="616"/>
      <c r="I1370" s="616"/>
      <c r="J1370" s="616"/>
      <c r="K1370" s="616"/>
      <c r="L1370" s="616"/>
      <c r="M1370" s="616"/>
      <c r="N1370" s="616"/>
      <c r="O1370" s="616"/>
      <c r="P1370" s="617"/>
      <c r="Q1370" s="617"/>
      <c r="R1370" s="617"/>
      <c r="S1370" s="617"/>
      <c r="T1370" s="617"/>
      <c r="U1370" s="617"/>
      <c r="V1370" s="617"/>
      <c r="W1370" s="617"/>
      <c r="X1370" s="617"/>
      <c r="Y1370" s="617"/>
      <c r="Z1370" s="617"/>
      <c r="AA1370" s="617"/>
      <c r="AB1370" s="617"/>
      <c r="AC1370" s="617"/>
      <c r="AD1370" s="617"/>
      <c r="AE1370" s="617"/>
      <c r="AF1370" s="617"/>
      <c r="AG1370" s="617"/>
      <c r="AH1370" s="617"/>
      <c r="AI1370" s="617"/>
      <c r="AJ1370" s="617"/>
      <c r="AK1370" s="617"/>
      <c r="AL1370" s="617"/>
      <c r="AM1370" s="617"/>
      <c r="AN1370" s="859"/>
      <c r="AO1370" s="863"/>
      <c r="AP1370" s="863"/>
      <c r="AQ1370" s="864"/>
      <c r="AR1370" s="864"/>
      <c r="AS1370" s="864"/>
      <c r="AT1370" s="864"/>
      <c r="AU1370" s="864"/>
      <c r="AV1370" s="864"/>
      <c r="AW1370" s="864"/>
      <c r="AX1370" s="864"/>
      <c r="AY1370" s="864"/>
      <c r="AZ1370" s="864"/>
      <c r="BA1370" s="864"/>
      <c r="BB1370" s="864"/>
      <c r="BC1370" s="864"/>
      <c r="BD1370" s="864"/>
      <c r="BE1370" s="864"/>
    </row>
    <row r="1371" spans="1:58" ht="14.25" hidden="1" customHeight="1" outlineLevel="1">
      <c r="A1371" s="492"/>
      <c r="B1371" s="490"/>
      <c r="C1371" s="492"/>
      <c r="D1371" s="492"/>
      <c r="G1371" s="684"/>
      <c r="H1371" s="616"/>
      <c r="I1371" s="616"/>
      <c r="J1371" s="616"/>
      <c r="K1371" s="616"/>
      <c r="L1371" s="616"/>
      <c r="M1371" s="616"/>
      <c r="N1371" s="616"/>
      <c r="O1371" s="616"/>
      <c r="P1371" s="617"/>
      <c r="Q1371" s="617"/>
      <c r="R1371" s="617"/>
      <c r="S1371" s="617"/>
      <c r="T1371" s="617"/>
      <c r="U1371" s="617"/>
      <c r="V1371" s="617"/>
      <c r="W1371" s="617"/>
      <c r="X1371" s="617"/>
      <c r="Y1371" s="617"/>
      <c r="Z1371" s="617"/>
      <c r="AA1371" s="617"/>
      <c r="AB1371" s="617"/>
      <c r="AC1371" s="617"/>
      <c r="AD1371" s="617"/>
      <c r="AE1371" s="617"/>
      <c r="AF1371" s="617"/>
      <c r="AG1371" s="617"/>
      <c r="AH1371" s="617"/>
      <c r="AI1371" s="617"/>
      <c r="AJ1371" s="617"/>
      <c r="AK1371" s="617"/>
      <c r="AL1371" s="617"/>
      <c r="AM1371" s="617"/>
      <c r="AN1371" s="859"/>
      <c r="AO1371" s="863"/>
      <c r="AP1371" s="863"/>
      <c r="AQ1371" s="864"/>
      <c r="AR1371" s="864"/>
      <c r="AS1371" s="864"/>
      <c r="AT1371" s="864"/>
      <c r="AU1371" s="864"/>
      <c r="AV1371" s="864"/>
      <c r="AW1371" s="864"/>
      <c r="AX1371" s="864"/>
      <c r="AY1371" s="864"/>
      <c r="AZ1371" s="864"/>
      <c r="BA1371" s="864"/>
      <c r="BB1371" s="864"/>
      <c r="BC1371" s="864"/>
      <c r="BD1371" s="864"/>
      <c r="BE1371" s="864"/>
    </row>
    <row r="1372" spans="1:58" ht="14.25" customHeight="1" collapsed="1">
      <c r="A1372" s="3138" t="s">
        <v>2526</v>
      </c>
      <c r="B1372" s="3138"/>
      <c r="C1372" s="3138"/>
      <c r="D1372" s="3138"/>
      <c r="E1372" s="3138"/>
      <c r="F1372" s="653" t="s">
        <v>1798</v>
      </c>
      <c r="H1372" s="646"/>
      <c r="I1372" s="646"/>
      <c r="J1372" s="646"/>
      <c r="K1372" s="646"/>
      <c r="L1372" s="646"/>
      <c r="M1372" s="616"/>
      <c r="N1372" s="616"/>
      <c r="O1372" s="616"/>
      <c r="P1372" s="617"/>
      <c r="Q1372" s="366"/>
      <c r="R1372" s="617"/>
      <c r="S1372" s="617"/>
      <c r="T1372" s="617"/>
      <c r="U1372" s="617"/>
      <c r="V1372" s="617"/>
      <c r="W1372" s="617"/>
      <c r="X1372" s="617"/>
      <c r="Y1372" s="617"/>
      <c r="Z1372" s="617"/>
      <c r="AA1372" s="617"/>
      <c r="AB1372" s="617"/>
      <c r="AC1372" s="617"/>
      <c r="AD1372" s="617"/>
      <c r="AE1372" s="617"/>
      <c r="AF1372" s="617"/>
      <c r="AG1372" s="617"/>
      <c r="AH1372" s="617"/>
      <c r="AI1372" s="617"/>
      <c r="AJ1372" s="617"/>
      <c r="AK1372" s="617"/>
      <c r="AL1372" s="617"/>
      <c r="AM1372" s="617"/>
      <c r="AN1372" s="859"/>
      <c r="AO1372" s="863"/>
      <c r="AP1372" s="863"/>
      <c r="AQ1372" s="864"/>
      <c r="AR1372" s="864"/>
      <c r="AS1372" s="864"/>
      <c r="AT1372" s="864"/>
      <c r="AU1372" s="864"/>
      <c r="AV1372" s="543">
        <f>M1372</f>
        <v>0</v>
      </c>
      <c r="AW1372" s="864"/>
      <c r="AX1372" s="864"/>
      <c r="AY1372" s="864"/>
      <c r="AZ1372" s="864"/>
      <c r="BA1372" s="864"/>
      <c r="BB1372" s="864"/>
      <c r="BC1372" s="864"/>
      <c r="BD1372" s="864"/>
      <c r="BE1372" s="864"/>
    </row>
    <row r="1373" spans="1:58" ht="14.25" customHeight="1">
      <c r="A1373" s="366"/>
      <c r="B1373" s="381"/>
      <c r="C1373" s="366"/>
      <c r="D1373" s="366"/>
      <c r="E1373" s="366"/>
      <c r="F1373" s="366"/>
      <c r="G1373" s="366"/>
      <c r="H1373" s="366"/>
      <c r="I1373" s="366"/>
      <c r="J1373" s="366"/>
      <c r="K1373" s="366"/>
      <c r="L1373" s="366"/>
      <c r="M1373" s="366"/>
      <c r="N1373" s="366"/>
      <c r="O1373" s="366"/>
      <c r="P1373" s="366"/>
      <c r="Q1373" s="366"/>
      <c r="R1373" s="366"/>
      <c r="S1373" s="366"/>
      <c r="T1373" s="366"/>
      <c r="U1373" s="366"/>
      <c r="V1373" s="366"/>
      <c r="W1373" s="366"/>
      <c r="X1373" s="366"/>
      <c r="Y1373" s="366"/>
      <c r="Z1373" s="366"/>
      <c r="AA1373" s="366"/>
      <c r="AB1373" s="366"/>
      <c r="AC1373" s="366"/>
      <c r="AD1373" s="366"/>
      <c r="AE1373" s="366"/>
      <c r="AF1373" s="366"/>
      <c r="AG1373" s="366"/>
      <c r="AH1373" s="366"/>
      <c r="AI1373" s="366"/>
      <c r="AJ1373" s="366"/>
      <c r="AK1373" s="366"/>
      <c r="AL1373" s="366"/>
      <c r="AM1373" s="366"/>
      <c r="AN1373" s="354"/>
      <c r="AO1373" s="358"/>
      <c r="AP1373" s="358"/>
      <c r="AQ1373" s="342"/>
      <c r="AR1373" s="342"/>
      <c r="AS1373" s="342"/>
      <c r="AT1373" s="342"/>
      <c r="AU1373" s="342"/>
      <c r="AV1373" s="342"/>
      <c r="AW1373" s="342"/>
      <c r="AX1373" s="342"/>
      <c r="AY1373" s="342"/>
      <c r="AZ1373" s="342"/>
      <c r="BA1373" s="342"/>
      <c r="BB1373" s="342"/>
      <c r="BC1373" s="342"/>
      <c r="BD1373" s="342"/>
      <c r="BE1373" s="342"/>
    </row>
    <row r="1500" spans="1:3" ht="14.25" customHeight="1">
      <c r="A1500" s="907" t="s">
        <v>1659</v>
      </c>
    </row>
    <row r="1501" spans="1:3" ht="14.25" customHeight="1">
      <c r="A1501" s="158" t="s">
        <v>2527</v>
      </c>
      <c r="B1501" s="799">
        <v>100</v>
      </c>
      <c r="C1501" s="362"/>
    </row>
    <row r="1502" spans="1:3" ht="14.25" customHeight="1">
      <c r="A1502" s="319" t="s">
        <v>1660</v>
      </c>
      <c r="B1502" s="799"/>
      <c r="C1502" s="362"/>
    </row>
    <row r="1503" spans="1:3" ht="14.25" customHeight="1">
      <c r="A1503" s="908" t="s">
        <v>1666</v>
      </c>
      <c r="B1503" s="799">
        <v>1100</v>
      </c>
      <c r="C1503" s="362" t="s">
        <v>2425</v>
      </c>
    </row>
    <row r="1504" spans="1:3" ht="14.25" customHeight="1">
      <c r="A1504" s="380" t="s">
        <v>2528</v>
      </c>
      <c r="B1504" s="799"/>
      <c r="C1504" s="362"/>
    </row>
    <row r="1505" spans="1:3" ht="14.25" customHeight="1">
      <c r="A1505" s="909" t="s">
        <v>1699</v>
      </c>
      <c r="B1505" s="799"/>
      <c r="C1505" s="362"/>
    </row>
    <row r="1506" spans="1:3" ht="14.25" customHeight="1">
      <c r="A1506" s="319" t="s">
        <v>2529</v>
      </c>
      <c r="B1506" s="799"/>
      <c r="C1506" s="362"/>
    </row>
    <row r="1507" spans="1:3" ht="14.25" customHeight="1">
      <c r="A1507" s="909" t="s">
        <v>2530</v>
      </c>
      <c r="B1507" s="799"/>
      <c r="C1507" s="362"/>
    </row>
    <row r="1508" spans="1:3" ht="14.25" customHeight="1">
      <c r="A1508" s="910" t="s">
        <v>1707</v>
      </c>
      <c r="B1508" s="799"/>
      <c r="C1508" s="362"/>
    </row>
    <row r="1509" spans="1:3" ht="14.25" customHeight="1">
      <c r="A1509" s="909" t="s">
        <v>2531</v>
      </c>
      <c r="B1509" s="799"/>
      <c r="C1509" s="362"/>
    </row>
    <row r="1510" spans="1:3" ht="14.25" customHeight="1">
      <c r="A1510" s="158" t="s">
        <v>2532</v>
      </c>
      <c r="B1510" s="911">
        <v>2.5</v>
      </c>
      <c r="C1510" s="362"/>
    </row>
    <row r="1511" spans="1:3" ht="14.25" customHeight="1">
      <c r="A1511" s="158" t="s">
        <v>1744</v>
      </c>
      <c r="B1511" s="912" t="s">
        <v>493</v>
      </c>
    </row>
    <row r="1512" spans="1:3" ht="14.25" customHeight="1">
      <c r="A1512" s="158" t="s">
        <v>2533</v>
      </c>
      <c r="B1512" s="912" t="s">
        <v>2534</v>
      </c>
    </row>
    <row r="1513" spans="1:3" ht="14.25" customHeight="1">
      <c r="A1513" s="319" t="s">
        <v>1720</v>
      </c>
      <c r="B1513" s="912" t="s">
        <v>2535</v>
      </c>
    </row>
    <row r="1514" spans="1:3" ht="14.25" customHeight="1">
      <c r="A1514" s="319" t="s">
        <v>1721</v>
      </c>
      <c r="B1514" s="912" t="s">
        <v>493</v>
      </c>
    </row>
    <row r="1515" spans="1:3" ht="14.25" customHeight="1">
      <c r="A1515" s="158" t="s">
        <v>1722</v>
      </c>
      <c r="B1515" s="913" t="s">
        <v>1724</v>
      </c>
    </row>
    <row r="1516" spans="1:3" ht="14.25" customHeight="1">
      <c r="A1516" s="914" t="s">
        <v>1726</v>
      </c>
      <c r="B1516" s="799"/>
    </row>
    <row r="1517" spans="1:3" ht="14.25" customHeight="1">
      <c r="A1517" s="909" t="s">
        <v>1727</v>
      </c>
      <c r="B1517" s="799"/>
    </row>
    <row r="1518" spans="1:3" ht="14.25" customHeight="1">
      <c r="A1518" s="319" t="s">
        <v>2536</v>
      </c>
      <c r="B1518" s="915">
        <v>1</v>
      </c>
    </row>
    <row r="1519" spans="1:3" ht="14.25" customHeight="1">
      <c r="A1519" s="158" t="s">
        <v>2537</v>
      </c>
      <c r="B1519" s="911">
        <v>3.5</v>
      </c>
    </row>
    <row r="1520" spans="1:3" ht="14.25" customHeight="1">
      <c r="A1520" s="158" t="s">
        <v>2538</v>
      </c>
      <c r="B1520" s="912" t="s">
        <v>493</v>
      </c>
    </row>
    <row r="1521" spans="1:2" ht="14.25" customHeight="1">
      <c r="A1521" s="158" t="s">
        <v>1732</v>
      </c>
      <c r="B1521" s="913" t="s">
        <v>1734</v>
      </c>
    </row>
    <row r="1522" spans="1:2" ht="14.25" customHeight="1">
      <c r="A1522" s="158" t="s">
        <v>2539</v>
      </c>
      <c r="B1522" s="911">
        <v>1</v>
      </c>
    </row>
    <row r="1523" spans="1:2" ht="14.25" customHeight="1">
      <c r="A1523" s="158" t="s">
        <v>1736</v>
      </c>
      <c r="B1523" s="913" t="s">
        <v>1735</v>
      </c>
    </row>
    <row r="1524" spans="1:2" ht="14.25" customHeight="1">
      <c r="A1524" s="317" t="s">
        <v>2540</v>
      </c>
      <c r="B1524" s="799"/>
    </row>
    <row r="1525" spans="1:2" ht="14.25" customHeight="1">
      <c r="A1525" s="317" t="s">
        <v>2541</v>
      </c>
      <c r="B1525" s="799"/>
    </row>
    <row r="1528" spans="1:2" ht="14.25" customHeight="1">
      <c r="A1528" s="320" t="s">
        <v>1737</v>
      </c>
      <c r="B1528" s="830" t="s">
        <v>2542</v>
      </c>
    </row>
    <row r="1529" spans="1:2" ht="14.25" customHeight="1">
      <c r="A1529" s="158" t="s">
        <v>1738</v>
      </c>
      <c r="B1529" s="830"/>
    </row>
    <row r="1530" spans="1:2" ht="14.25" customHeight="1">
      <c r="A1530" s="158" t="s">
        <v>1739</v>
      </c>
      <c r="B1530" s="830"/>
    </row>
    <row r="1531" spans="1:2" ht="14.25" customHeight="1">
      <c r="A1531" s="158" t="s">
        <v>1740</v>
      </c>
      <c r="B1531" s="830"/>
    </row>
    <row r="1532" spans="1:2" ht="14.25" customHeight="1">
      <c r="A1532" s="158" t="s">
        <v>1741</v>
      </c>
      <c r="B1532" s="830"/>
    </row>
    <row r="1533" spans="1:2" ht="14.25" customHeight="1">
      <c r="A1533" s="158" t="s">
        <v>1742</v>
      </c>
      <c r="B1533" s="830"/>
    </row>
    <row r="1534" spans="1:2" ht="14.25" customHeight="1">
      <c r="A1534" s="158" t="s">
        <v>1743</v>
      </c>
      <c r="B1534" s="830"/>
    </row>
    <row r="1535" spans="1:2" ht="14.25" customHeight="1">
      <c r="A1535" s="158" t="s">
        <v>1744</v>
      </c>
      <c r="B1535" s="830"/>
    </row>
  </sheetData>
  <mergeCells count="255">
    <mergeCell ref="A1296:G1297"/>
    <mergeCell ref="A1310:E1310"/>
    <mergeCell ref="A1312:G1313"/>
    <mergeCell ref="A1325:E1325"/>
    <mergeCell ref="A1327:G1328"/>
    <mergeCell ref="A1352:E1352"/>
    <mergeCell ref="A1354:G1355"/>
    <mergeCell ref="A1372:E1372"/>
    <mergeCell ref="A1154:E1154"/>
    <mergeCell ref="A1163:E1163"/>
    <mergeCell ref="A1165:G1166"/>
    <mergeCell ref="A1174:C1174"/>
    <mergeCell ref="A1216:E1216"/>
    <mergeCell ref="A1218:G1219"/>
    <mergeCell ref="A1262:E1262"/>
    <mergeCell ref="A1264:G1265"/>
    <mergeCell ref="A1294:E1294"/>
    <mergeCell ref="E1062:J1062"/>
    <mergeCell ref="A1067:G1067"/>
    <mergeCell ref="A1069:G1070"/>
    <mergeCell ref="B1088:C1088"/>
    <mergeCell ref="A1121:G1121"/>
    <mergeCell ref="A1123:G1124"/>
    <mergeCell ref="A1126:E1126"/>
    <mergeCell ref="A1146:E1146"/>
    <mergeCell ref="C1148:D1148"/>
    <mergeCell ref="D1052:I1052"/>
    <mergeCell ref="D1053:I1053"/>
    <mergeCell ref="D1054:I1054"/>
    <mergeCell ref="D1055:I1055"/>
    <mergeCell ref="E1057:J1057"/>
    <mergeCell ref="E1058:J1058"/>
    <mergeCell ref="E1059:J1059"/>
    <mergeCell ref="E1060:J1060"/>
    <mergeCell ref="E1061:J1061"/>
    <mergeCell ref="D1034:I1034"/>
    <mergeCell ref="D1035:I1035"/>
    <mergeCell ref="D1036:I1036"/>
    <mergeCell ref="D1037:I1037"/>
    <mergeCell ref="D1038:I1038"/>
    <mergeCell ref="D1039:I1039"/>
    <mergeCell ref="D1040:I1040"/>
    <mergeCell ref="D1050:I1050"/>
    <mergeCell ref="D1051:I1051"/>
    <mergeCell ref="J897:P897"/>
    <mergeCell ref="H898:R898"/>
    <mergeCell ref="A991:G991"/>
    <mergeCell ref="A993:G994"/>
    <mergeCell ref="A1018:G1018"/>
    <mergeCell ref="A1020:G1021"/>
    <mergeCell ref="D1031:I1031"/>
    <mergeCell ref="D1032:I1032"/>
    <mergeCell ref="D1033:I1033"/>
    <mergeCell ref="A827:D827"/>
    <mergeCell ref="A836:A837"/>
    <mergeCell ref="A838:A839"/>
    <mergeCell ref="A841:A843"/>
    <mergeCell ref="A844:A845"/>
    <mergeCell ref="A890:E890"/>
    <mergeCell ref="A892:G893"/>
    <mergeCell ref="W895:AF895"/>
    <mergeCell ref="K896:O896"/>
    <mergeCell ref="C751:E751"/>
    <mergeCell ref="C752:E752"/>
    <mergeCell ref="C753:E753"/>
    <mergeCell ref="A764:E764"/>
    <mergeCell ref="A766:G767"/>
    <mergeCell ref="A813:C813"/>
    <mergeCell ref="A822:E822"/>
    <mergeCell ref="A824:G825"/>
    <mergeCell ref="A826:D826"/>
    <mergeCell ref="A678:C678"/>
    <mergeCell ref="A693:E693"/>
    <mergeCell ref="A695:G696"/>
    <mergeCell ref="A697:D697"/>
    <mergeCell ref="A698:D698"/>
    <mergeCell ref="A714:E714"/>
    <mergeCell ref="M714:O714"/>
    <mergeCell ref="A716:G717"/>
    <mergeCell ref="C750:G750"/>
    <mergeCell ref="A600:C600"/>
    <mergeCell ref="A617:E617"/>
    <mergeCell ref="A619:E619"/>
    <mergeCell ref="J619:AE620"/>
    <mergeCell ref="A621:D621"/>
    <mergeCell ref="A622:D622"/>
    <mergeCell ref="F631:G635"/>
    <mergeCell ref="F648:G652"/>
    <mergeCell ref="F666:G670"/>
    <mergeCell ref="A517:D517"/>
    <mergeCell ref="A519:C519"/>
    <mergeCell ref="E527:F531"/>
    <mergeCell ref="Z540:AA540"/>
    <mergeCell ref="U544:V545"/>
    <mergeCell ref="E557:F561"/>
    <mergeCell ref="A578:C578"/>
    <mergeCell ref="F583:F585"/>
    <mergeCell ref="H590:K592"/>
    <mergeCell ref="F591:G591"/>
    <mergeCell ref="A481:C481"/>
    <mergeCell ref="F488:F490"/>
    <mergeCell ref="A489:B490"/>
    <mergeCell ref="H495:K497"/>
    <mergeCell ref="F496:G496"/>
    <mergeCell ref="A512:E512"/>
    <mergeCell ref="A514:E514"/>
    <mergeCell ref="J514:AE515"/>
    <mergeCell ref="A516:D516"/>
    <mergeCell ref="AQ424:AR424"/>
    <mergeCell ref="AQ431:AR431"/>
    <mergeCell ref="A458:E458"/>
    <mergeCell ref="A460:E460"/>
    <mergeCell ref="I460:AE461"/>
    <mergeCell ref="A462:C462"/>
    <mergeCell ref="F467:F469"/>
    <mergeCell ref="K477:O479"/>
    <mergeCell ref="G478:H478"/>
    <mergeCell ref="B368:B370"/>
    <mergeCell ref="B372:B374"/>
    <mergeCell ref="C376:F376"/>
    <mergeCell ref="A386:F386"/>
    <mergeCell ref="A416:E416"/>
    <mergeCell ref="A418:E418"/>
    <mergeCell ref="K418:AG419"/>
    <mergeCell ref="A420:D420"/>
    <mergeCell ref="A421:D421"/>
    <mergeCell ref="W334:X334"/>
    <mergeCell ref="W335:X335"/>
    <mergeCell ref="A353:E353"/>
    <mergeCell ref="A355:E355"/>
    <mergeCell ref="I355:AG356"/>
    <mergeCell ref="A357:D357"/>
    <mergeCell ref="A358:D358"/>
    <mergeCell ref="B360:B362"/>
    <mergeCell ref="B364:B366"/>
    <mergeCell ref="A277:D277"/>
    <mergeCell ref="A278:D278"/>
    <mergeCell ref="A312:E312"/>
    <mergeCell ref="A314:E314"/>
    <mergeCell ref="I314:AC315"/>
    <mergeCell ref="A316:D316"/>
    <mergeCell ref="A317:D317"/>
    <mergeCell ref="K318:N321"/>
    <mergeCell ref="AA325:AD328"/>
    <mergeCell ref="A211:A212"/>
    <mergeCell ref="A237:E237"/>
    <mergeCell ref="A239:E239"/>
    <mergeCell ref="J239:AC240"/>
    <mergeCell ref="A240:D240"/>
    <mergeCell ref="A241:D241"/>
    <mergeCell ref="A273:E273"/>
    <mergeCell ref="A275:E275"/>
    <mergeCell ref="J275:AC276"/>
    <mergeCell ref="F161:F164"/>
    <mergeCell ref="A165:A166"/>
    <mergeCell ref="A167:A168"/>
    <mergeCell ref="F177:F180"/>
    <mergeCell ref="A194:E194"/>
    <mergeCell ref="A196:E196"/>
    <mergeCell ref="M196:AF197"/>
    <mergeCell ref="A198:D198"/>
    <mergeCell ref="A199:D199"/>
    <mergeCell ref="Z139:AG142"/>
    <mergeCell ref="A140:A143"/>
    <mergeCell ref="H144:AG145"/>
    <mergeCell ref="A146:E146"/>
    <mergeCell ref="A148:E148"/>
    <mergeCell ref="M148:AF149"/>
    <mergeCell ref="A150:D150"/>
    <mergeCell ref="A151:D151"/>
    <mergeCell ref="A154:A155"/>
    <mergeCell ref="A112:A115"/>
    <mergeCell ref="A116:A119"/>
    <mergeCell ref="A120:A123"/>
    <mergeCell ref="A124:A127"/>
    <mergeCell ref="A128:A131"/>
    <mergeCell ref="A132:A135"/>
    <mergeCell ref="A136:A139"/>
    <mergeCell ref="H139:O142"/>
    <mergeCell ref="R139:X142"/>
    <mergeCell ref="A90:E90"/>
    <mergeCell ref="H90:V90"/>
    <mergeCell ref="W90:Y90"/>
    <mergeCell ref="Z90:AB90"/>
    <mergeCell ref="A94:E94"/>
    <mergeCell ref="A98:E98"/>
    <mergeCell ref="A102:E102"/>
    <mergeCell ref="A106:E106"/>
    <mergeCell ref="E108:F110"/>
    <mergeCell ref="H108:AG110"/>
    <mergeCell ref="H85:V85"/>
    <mergeCell ref="W85:Y85"/>
    <mergeCell ref="Z85:AB85"/>
    <mergeCell ref="H86:AB86"/>
    <mergeCell ref="H87:V87"/>
    <mergeCell ref="W87:Y87"/>
    <mergeCell ref="Z87:AB87"/>
    <mergeCell ref="H88:V88"/>
    <mergeCell ref="W88:Y88"/>
    <mergeCell ref="Z88:AB88"/>
    <mergeCell ref="H82:V82"/>
    <mergeCell ref="W82:Y82"/>
    <mergeCell ref="Z82:AB82"/>
    <mergeCell ref="H83:V83"/>
    <mergeCell ref="W83:Y83"/>
    <mergeCell ref="Z83:AB83"/>
    <mergeCell ref="H84:V84"/>
    <mergeCell ref="W84:Y84"/>
    <mergeCell ref="Z84:AB84"/>
    <mergeCell ref="H79:V79"/>
    <mergeCell ref="W79:Y79"/>
    <mergeCell ref="Z79:AB79"/>
    <mergeCell ref="H80:V80"/>
    <mergeCell ref="W80:Y80"/>
    <mergeCell ref="Z80:AB80"/>
    <mergeCell ref="H81:V81"/>
    <mergeCell ref="W81:Y81"/>
    <mergeCell ref="Z81:AB81"/>
    <mergeCell ref="A76:E76"/>
    <mergeCell ref="H76:V76"/>
    <mergeCell ref="W76:Y76"/>
    <mergeCell ref="Z76:AB76"/>
    <mergeCell ref="H77:V77"/>
    <mergeCell ref="W77:Y77"/>
    <mergeCell ref="Z77:AB77"/>
    <mergeCell ref="H78:V78"/>
    <mergeCell ref="W78:Y78"/>
    <mergeCell ref="Z78:AB78"/>
    <mergeCell ref="H72:V72"/>
    <mergeCell ref="W72:Y72"/>
    <mergeCell ref="Z72:AB72"/>
    <mergeCell ref="H73:V73"/>
    <mergeCell ref="W73:Y73"/>
    <mergeCell ref="Z73:AB73"/>
    <mergeCell ref="H74:V74"/>
    <mergeCell ref="W74:Y74"/>
    <mergeCell ref="Z74:AB74"/>
    <mergeCell ref="H69:Y69"/>
    <mergeCell ref="Z69:AB69"/>
    <mergeCell ref="H70:V70"/>
    <mergeCell ref="W70:Y70"/>
    <mergeCell ref="Z70:AB70"/>
    <mergeCell ref="AC70:AE70"/>
    <mergeCell ref="H71:V71"/>
    <mergeCell ref="W71:Y71"/>
    <mergeCell ref="Z71:AB71"/>
    <mergeCell ref="D1:AA2"/>
    <mergeCell ref="AB1:AK2"/>
    <mergeCell ref="A20:C20"/>
    <mergeCell ref="A28:C28"/>
    <mergeCell ref="A64:E64"/>
    <mergeCell ref="H66:AB67"/>
    <mergeCell ref="A67:E67"/>
    <mergeCell ref="AC67:AE67"/>
    <mergeCell ref="Z68:AB68"/>
  </mergeCells>
  <dataValidations count="4">
    <dataValidation type="list" allowBlank="1" showInputMessage="1" showErrorMessage="1" sqref="A1173" xr:uid="{00000000-0002-0000-0200-000000000000}">
      <formula1>INDIRECT($A$1171)</formula1>
      <formula2>0</formula2>
    </dataValidation>
    <dataValidation type="list" allowBlank="1" showInputMessage="1" showErrorMessage="1" sqref="A531" xr:uid="{00000000-0002-0000-0200-000001000000}">
      <formula1>INDIRECT($A$529)</formula1>
      <formula2>0</formula2>
    </dataValidation>
    <dataValidation type="list" allowBlank="1" showInputMessage="1" showErrorMessage="1" sqref="A473" xr:uid="{00000000-0002-0000-0200-000002000000}">
      <formula1>INDIRECT($A$471)</formula1>
      <formula2>0</formula2>
    </dataValidation>
    <dataValidation type="list" allowBlank="1" showInputMessage="1" showErrorMessage="1" sqref="A663" xr:uid="{00000000-0002-0000-0200-000003000000}">
      <formula1>INDIRECT($A$661)</formula1>
      <formula2>0</formula2>
    </dataValidation>
  </dataValidations>
  <pageMargins left="0.7" right="0.7" top="0.75" bottom="0.75" header="0.51180555555555496" footer="0.51180555555555496"/>
  <pageSetup paperSize="9" orientation="portrait" horizontalDpi="300" verticalDpi="300"/>
  <drawing r:id="rId1"/>
  <extLst>
    <ext xmlns:x14="http://schemas.microsoft.com/office/spreadsheetml/2009/9/main" uri="{CCE6A557-97BC-4b89-ADB6-D9C93CAAB3DF}">
      <x14:dataValidations xmlns:xm="http://schemas.microsoft.com/office/excel/2006/main" count="123">
        <x14:dataValidation type="list" allowBlank="1" showInputMessage="1" showErrorMessage="1" xr:uid="{00000000-0002-0000-0200-000004000000}">
          <x14:formula1>
            <xm:f>связи1!$A$2:$A$3</xm:f>
          </x14:formula1>
          <x14:formula2>
            <xm:f>0</xm:f>
          </x14:formula2>
          <xm:sqref>F64 AC67 AC70 Z77:Z85 B155:C155 F194 F237 F273 F312 C325:D325 F353 F416 F458 H461:H462 D462 D481 C488 B491:B492 F512 G517 D519 B534:B536 D578 F617 B666:B668 F693 B704:B706 B708 F714 C739 C745 G751 G753 F764 C795 C797 C804 F822 C850 C859 C868 C878:C879 C882 F890 C985 C1013 C1062 C1116 F1126 F1146 F1154 C1185 C1191 C1193:C1194 C1203 C1205:C1206 F1216 C1224:C1225 C1227:C1229 C1231:C1232 C1234:C1236 C1238 C1241:C1242 C1249:C1254 F1262 F1294 F1310 C1317:C1318 F1325 C1337 C1343 F1352 C1360:C1365 F1372</xm:sqref>
        </x14:dataValidation>
        <x14:dataValidation type="list" allowBlank="1" showInputMessage="1" showErrorMessage="1" xr:uid="{00000000-0002-0000-0200-000005000000}">
          <x14:formula1>
            <xm:f>'Прайс лист'!$B$180:$B$194</xm:f>
          </x14:formula1>
          <x14:formula2>
            <xm:f>0</xm:f>
          </x14:formula2>
          <xm:sqref>A60:A62 H87:H88 A190:A191 A233:A234 A269:A270 A308:A309 A349:A350 A412:A413 A454:A455 A508:A509 A613:A614 A690:A691 A709:A711 A756:A760 A814:A818 A883:A886 A981:A982 A1009 A1057:A1058 A1110:A1112 A1142:A1143 A1150:A1151 A1158:A1159 A1211:A1212 A1257:A1258 A1290:A1291 A1306:A1307 A1321:A1322 A1347:A1348 A1367:A1368</xm:sqref>
        </x14:dataValidation>
        <x14:dataValidation type="list" allowBlank="1" showInputMessage="1" showErrorMessage="1" xr:uid="{00000000-0002-0000-0200-000006000000}">
          <x14:formula1>
            <xm:f>'Прайс лист'!$B$1337:$B$1348</xm:f>
          </x14:formula1>
          <x14:formula2>
            <xm:f>0</xm:f>
          </x14:formula2>
          <xm:sqref>H71:H74</xm:sqref>
        </x14:dataValidation>
        <x14:dataValidation type="list" allowBlank="1" showInputMessage="1" showErrorMessage="1" xr:uid="{00000000-0002-0000-0200-000007000000}">
          <x14:formula1>
            <xm:f>связи1!$A$418:$A$421</xm:f>
          </x14:formula1>
          <x14:formula2>
            <xm:f>0</xm:f>
          </x14:formula2>
          <xm:sqref>A568 A654 A937 A1049 A1051 A1209</xm:sqref>
        </x14:dataValidation>
        <x14:dataValidation type="list" allowBlank="1" showInputMessage="1" showErrorMessage="1" xr:uid="{00000000-0002-0000-0200-000008000000}">
          <x14:formula1>
            <xm:f>'Прайс лист'!$B$744:$B$782</xm:f>
          </x14:formula1>
          <x14:formula2>
            <xm:f>0</xm:f>
          </x14:formula2>
          <xm:sqref>A39 A44 A55 A180 A224 A260 A299 A343 A406 A448 A572 A737 A751 A872 A877 A1037 A1039 A1106 A1176</xm:sqref>
        </x14:dataValidation>
        <x14:dataValidation type="list" allowBlank="1" showInputMessage="1" showErrorMessage="1" xr:uid="{00000000-0002-0000-0200-000009000000}">
          <x14:formula1>
            <xm:f>'Прайс лист'!$B$793:$B$819</xm:f>
          </x14:formula1>
          <x14:formula2>
            <xm:f>0</xm:f>
          </x14:formula2>
          <xm:sqref>A40 A48 A56 A185 A229 A265 A304 A345 A408 A450 A574 A658 A1053 A1108</xm:sqref>
        </x14:dataValidation>
        <x14:dataValidation type="list" allowBlank="1" showInputMessage="1" showErrorMessage="1" xr:uid="{00000000-0002-0000-0200-00000A000000}">
          <x14:formula1>
            <xm:f>связи1!$F$29:$F$46</xm:f>
          </x14:formula1>
          <x14:formula2>
            <xm:f>0</xm:f>
          </x14:formula2>
          <xm:sqref>C1009 C1059 C1255 C1349 C1369</xm:sqref>
        </x14:dataValidation>
        <x14:dataValidation type="list" allowBlank="1" showInputMessage="1" showErrorMessage="1" xr:uid="{00000000-0002-0000-0200-00000B000000}">
          <x14:formula1>
            <xm:f>связи1!$A$74:$A$78</xm:f>
          </x14:formula1>
          <x14:formula2>
            <xm:f>0</xm:f>
          </x14:formula2>
          <xm:sqref>A1331 A1338</xm:sqref>
        </x14:dataValidation>
        <x14:dataValidation type="list" allowBlank="1" showInputMessage="1" showErrorMessage="1" xr:uid="{00000000-0002-0000-0200-00000C000000}">
          <x14:formula1>
            <xm:f>связи1!$A$79:$A$83</xm:f>
          </x14:formula1>
          <x14:formula2>
            <xm:f>0</xm:f>
          </x14:formula2>
          <xm:sqref>A1332 A1339</xm:sqref>
        </x14:dataValidation>
        <x14:dataValidation type="list" allowBlank="1" showInputMessage="1" showErrorMessage="1" xr:uid="{00000000-0002-0000-0200-00000D000000}">
          <x14:formula1>
            <xm:f>связи1!$A$84:$A$88</xm:f>
          </x14:formula1>
          <x14:formula2>
            <xm:f>0</xm:f>
          </x14:formula2>
          <xm:sqref>A1333 A1340</xm:sqref>
        </x14:dataValidation>
        <x14:dataValidation type="list" allowBlank="1" showInputMessage="1" showErrorMessage="1" xr:uid="{00000000-0002-0000-0200-00000E000000}">
          <x14:formula1>
            <xm:f>связи1!$A$89:$A$91</xm:f>
          </x14:formula1>
          <x14:formula2>
            <xm:f>0</xm:f>
          </x14:formula2>
          <xm:sqref>A1334 A1341</xm:sqref>
        </x14:dataValidation>
        <x14:dataValidation type="list" allowBlank="1" showInputMessage="1" showErrorMessage="1" xr:uid="{00000000-0002-0000-0200-00000F000000}">
          <x14:formula1>
            <xm:f>связи1!$A$69:$A$70</xm:f>
          </x14:formula1>
          <x14:formula2>
            <xm:f>0</xm:f>
          </x14:formula2>
          <xm:sqref>A1302</xm:sqref>
        </x14:dataValidation>
        <x14:dataValidation type="list" allowBlank="1" showInputMessage="1" showErrorMessage="1" xr:uid="{00000000-0002-0000-0200-000010000000}">
          <x14:formula1>
            <xm:f>'Прайс лист'!$B$1207:$B$1212</xm:f>
          </x14:formula1>
          <x14:formula2>
            <xm:f>0</xm:f>
          </x14:formula2>
          <xm:sqref>A1272 A1276 A1280</xm:sqref>
        </x14:dataValidation>
        <x14:dataValidation type="list" allowBlank="1" showInputMessage="1" showErrorMessage="1" xr:uid="{00000000-0002-0000-0200-000011000000}">
          <x14:formula1>
            <xm:f>'Прайс лист'!$B$1534:$B$1561</xm:f>
          </x14:formula1>
          <x14:formula2>
            <xm:f>0</xm:f>
          </x14:formula2>
          <xm:sqref>A955 A960 A1188</xm:sqref>
        </x14:dataValidation>
        <x14:dataValidation type="list" allowBlank="1" showInputMessage="1" showErrorMessage="1" xr:uid="{00000000-0002-0000-0200-000012000000}">
          <x14:formula1>
            <xm:f>связи1!$H$13:$H$15</xm:f>
          </x14:formula1>
          <x14:formula2>
            <xm:f>0</xm:f>
          </x14:formula2>
          <xm:sqref>A1239</xm:sqref>
        </x14:dataValidation>
        <x14:dataValidation type="list" allowBlank="1" showInputMessage="1" showErrorMessage="1" xr:uid="{00000000-0002-0000-0200-000013000000}">
          <x14:formula1>
            <xm:f>связи1!$H$8:$H$10</xm:f>
          </x14:formula1>
          <x14:formula2>
            <xm:f>0</xm:f>
          </x14:formula2>
          <xm:sqref>A1226 A1233</xm:sqref>
        </x14:dataValidation>
        <x14:dataValidation type="list" allowBlank="1" showInputMessage="1" showErrorMessage="1" xr:uid="{00000000-0002-0000-0200-000014000000}">
          <x14:formula1>
            <xm:f>связи1!$H$18:$H$23</xm:f>
          </x14:formula1>
          <x14:formula2>
            <xm:f>0</xm:f>
          </x14:formula2>
          <xm:sqref>A1237</xm:sqref>
        </x14:dataValidation>
        <x14:dataValidation type="list" allowBlank="1" showInputMessage="1" showErrorMessage="1" xr:uid="{00000000-0002-0000-0200-000015000000}">
          <x14:formula1>
            <xm:f>связи1!$A$28:$A$31</xm:f>
          </x14:formula1>
          <x14:formula2>
            <xm:f>0</xm:f>
          </x14:formula2>
          <xm:sqref>A1195</xm:sqref>
        </x14:dataValidation>
        <x14:dataValidation type="list" allowBlank="1" showInputMessage="1" showErrorMessage="1" xr:uid="{00000000-0002-0000-0200-000016000000}">
          <x14:formula1>
            <xm:f>связи1!$H$3:$H$5</xm:f>
          </x14:formula1>
          <x14:formula2>
            <xm:f>0</xm:f>
          </x14:formula2>
          <xm:sqref>A1207</xm:sqref>
        </x14:dataValidation>
        <x14:dataValidation type="list" allowBlank="1" showInputMessage="1" showErrorMessage="1" xr:uid="{00000000-0002-0000-0200-000017000000}">
          <x14:formula1>
            <xm:f>связи1!$H$26:$H$31</xm:f>
          </x14:formula1>
          <x14:formula2>
            <xm:f>0</xm:f>
          </x14:formula2>
          <xm:sqref>A1230</xm:sqref>
        </x14:dataValidation>
        <x14:dataValidation type="list" allowBlank="1" showInputMessage="1" showErrorMessage="1" xr:uid="{00000000-0002-0000-0200-000018000000}">
          <x14:formula1>
            <xm:f>связи1!$H$34:$H$36</xm:f>
          </x14:formula1>
          <x14:formula2>
            <xm:f>0</xm:f>
          </x14:formula2>
          <xm:sqref>A1246</xm:sqref>
        </x14:dataValidation>
        <x14:dataValidation type="list" allowBlank="1" showInputMessage="1" showErrorMessage="1" xr:uid="{00000000-0002-0000-0200-000019000000}">
          <x14:formula1>
            <xm:f>связи1!$H$40:$H$43</xm:f>
          </x14:formula1>
          <x14:formula2>
            <xm:f>0</xm:f>
          </x14:formula2>
          <xm:sqref>A1247</xm:sqref>
        </x14:dataValidation>
        <x14:dataValidation type="list" allowBlank="1" showInputMessage="1" showErrorMessage="1" xr:uid="{00000000-0002-0000-0200-00001A000000}">
          <x14:formula1>
            <xm:f>связи1!$H$46:$H$48</xm:f>
          </x14:formula1>
          <x14:formula2>
            <xm:f>0</xm:f>
          </x14:formula2>
          <xm:sqref>A1248</xm:sqref>
        </x14:dataValidation>
        <x14:dataValidation type="list" allowBlank="1" showInputMessage="1" showErrorMessage="1" xr:uid="{00000000-0002-0000-0200-00001B000000}">
          <x14:formula1>
            <xm:f>связи1!$A$443:$A$454</xm:f>
          </x14:formula1>
          <x14:formula2>
            <xm:f>0</xm:f>
          </x14:formula2>
          <xm:sqref>A1178 A1197</xm:sqref>
        </x14:dataValidation>
        <x14:dataValidation type="list" allowBlank="1" showInputMessage="1" showErrorMessage="1" xr:uid="{00000000-0002-0000-0200-00001C000000}">
          <x14:formula1>
            <xm:f>'Прайс лист'!$B$1505:$B$1516</xm:f>
          </x14:formula1>
          <x14:formula2>
            <xm:f>0</xm:f>
          </x14:formula2>
          <xm:sqref>A1180 A1199</xm:sqref>
        </x14:dataValidation>
        <x14:dataValidation type="list" allowBlank="1" showInputMessage="1" showErrorMessage="1" xr:uid="{00000000-0002-0000-0200-00001D000000}">
          <x14:formula1>
            <xm:f>'Прайс лист'!$B$1521:$B$1526</xm:f>
          </x14:formula1>
          <x14:formula2>
            <xm:f>0</xm:f>
          </x14:formula2>
          <xm:sqref>A1184 A1201</xm:sqref>
        </x14:dataValidation>
        <x14:dataValidation type="list" allowBlank="1" showInputMessage="1" showErrorMessage="1" xr:uid="{00000000-0002-0000-0200-00001E000000}">
          <x14:formula1>
            <xm:f>'Прайс лист'!$B$1531:$B$1533</xm:f>
          </x14:formula1>
          <x14:formula2>
            <xm:f>0</xm:f>
          </x14:formula2>
          <xm:sqref>A1186</xm:sqref>
        </x14:dataValidation>
        <x14:dataValidation type="list" allowBlank="1" showInputMessage="1" showErrorMessage="1" xr:uid="{00000000-0002-0000-0200-00001F000000}">
          <x14:formula1>
            <xm:f>'Прайс лист'!$B$1562:$B$1564</xm:f>
          </x14:formula1>
          <x14:formula2>
            <xm:f>0</xm:f>
          </x14:formula2>
          <xm:sqref>A1190</xm:sqref>
        </x14:dataValidation>
        <x14:dataValidation type="list" allowBlank="1" showInputMessage="1" showErrorMessage="1" xr:uid="{00000000-0002-0000-0200-000020000000}">
          <x14:formula1>
            <xm:f>связи1!$A$18:$A$25</xm:f>
          </x14:formula1>
          <x14:formula2>
            <xm:f>0</xm:f>
          </x14:formula2>
          <xm:sqref>A1171</xm:sqref>
        </x14:dataValidation>
        <x14:dataValidation type="list" allowBlank="1" showInputMessage="1" showErrorMessage="1" xr:uid="{00000000-0002-0000-0200-000021000000}">
          <x14:formula1>
            <xm:f>связи1!$A$315:$A$321</xm:f>
          </x14:formula1>
          <x14:formula2>
            <xm:f>0</xm:f>
          </x14:formula2>
          <xm:sqref>A1096</xm:sqref>
        </x14:dataValidation>
        <x14:dataValidation type="list" allowBlank="1" showInputMessage="1" showErrorMessage="1" xr:uid="{00000000-0002-0000-0200-000022000000}">
          <x14:formula1>
            <xm:f>связи1!$A$356:$A$363</xm:f>
          </x14:formula1>
          <x14:formula2>
            <xm:f>0</xm:f>
          </x14:formula2>
          <xm:sqref>A1098 A1100</xm:sqref>
        </x14:dataValidation>
        <x14:dataValidation type="list" allowBlank="1" showInputMessage="1" showErrorMessage="1" xr:uid="{00000000-0002-0000-0200-000023000000}">
          <x14:formula1>
            <xm:f>связи1!$A$365:$A$372</xm:f>
          </x14:formula1>
          <x14:formula2>
            <xm:f>0</xm:f>
          </x14:formula2>
          <xm:sqref>A1102</xm:sqref>
        </x14:dataValidation>
        <x14:dataValidation type="list" allowBlank="1" showInputMessage="1" showErrorMessage="1" xr:uid="{00000000-0002-0000-0200-000024000000}">
          <x14:formula1>
            <xm:f>связи1!$A$374:$A$379</xm:f>
          </x14:formula1>
          <x14:formula2>
            <xm:f>0</xm:f>
          </x14:formula2>
          <xm:sqref>A1104</xm:sqref>
        </x14:dataValidation>
        <x14:dataValidation type="list" allowBlank="1" showInputMessage="1" showErrorMessage="1" xr:uid="{00000000-0002-0000-0200-000025000000}">
          <x14:formula1>
            <xm:f>связи1!$A$255:$A$296</xm:f>
          </x14:formula1>
          <x14:formula2>
            <xm:f>0</xm:f>
          </x14:formula2>
          <xm:sqref>A1075 A1077 A1079</xm:sqref>
        </x14:dataValidation>
        <x14:dataValidation type="list" allowBlank="1" showInputMessage="1" showErrorMessage="1" xr:uid="{00000000-0002-0000-0200-000026000000}">
          <x14:formula1>
            <xm:f>'Прайс лист'!$B$236:$B$253</xm:f>
          </x14:formula1>
          <x14:formula2>
            <xm:f>0</xm:f>
          </x14:formula2>
          <xm:sqref>A1082 A1084 A1086</xm:sqref>
        </x14:dataValidation>
        <x14:dataValidation type="list" allowBlank="1" showInputMessage="1" showErrorMessage="1" xr:uid="{00000000-0002-0000-0200-000027000000}">
          <x14:formula1>
            <xm:f>'Прайс лист'!$B$978:$B$1025</xm:f>
          </x14:formula1>
          <x14:formula2>
            <xm:f>0</xm:f>
          </x14:formula2>
          <xm:sqref>A1089 A1091 A1093</xm:sqref>
        </x14:dataValidation>
        <x14:dataValidation type="list" allowBlank="1" showInputMessage="1" showErrorMessage="1" xr:uid="{00000000-0002-0000-0200-000028000000}">
          <x14:formula1>
            <xm:f>связи1!$A$536:$A$537</xm:f>
          </x14:formula1>
          <x14:formula2>
            <xm:f>0</xm:f>
          </x14:formula2>
          <xm:sqref>A1270</xm:sqref>
        </x14:dataValidation>
        <x14:dataValidation type="list" allowBlank="1" showInputMessage="1" showErrorMessage="1" xr:uid="{00000000-0002-0000-0200-000029000000}">
          <x14:formula1>
            <xm:f>'Прайс лист'!$B$1213:$B$1235</xm:f>
          </x14:formula1>
          <x14:formula2>
            <xm:f>0</xm:f>
          </x14:formula2>
          <xm:sqref>A1274 A1278 A1282</xm:sqref>
        </x14:dataValidation>
        <x14:dataValidation type="list" allowBlank="1" showInputMessage="1" showErrorMessage="1" xr:uid="{00000000-0002-0000-0200-00002A000000}">
          <x14:formula1>
            <xm:f>'Прайс лист'!$B$1245:$B$1249</xm:f>
          </x14:formula1>
          <x14:formula2>
            <xm:f>0</xm:f>
          </x14:formula2>
          <xm:sqref>A1285</xm:sqref>
        </x14:dataValidation>
        <x14:dataValidation type="list" allowBlank="1" showInputMessage="1" showErrorMessage="1" xr:uid="{00000000-0002-0000-0200-00002B000000}">
          <x14:formula1>
            <xm:f>'Прайс лист'!$B$1250:$B$1254</xm:f>
          </x14:formula1>
          <x14:formula2>
            <xm:f>0</xm:f>
          </x14:formula2>
          <xm:sqref>A1287</xm:sqref>
        </x14:dataValidation>
        <x14:dataValidation type="list" allowBlank="1" showInputMessage="1" showErrorMessage="1" xr:uid="{00000000-0002-0000-0200-00002C000000}">
          <x14:formula1>
            <xm:f>'Прайс лист'!$B$820:$B$831</xm:f>
          </x14:formula1>
          <x14:formula2>
            <xm:f>0</xm:f>
          </x14:formula2>
          <xm:sqref>A41 A49 A57 A187 A231 A267 A306 A347 A410 A452 A576 A1055</xm:sqref>
        </x14:dataValidation>
        <x14:dataValidation type="list" allowBlank="1" showInputMessage="1" showErrorMessage="1" xr:uid="{00000000-0002-0000-0200-00002D000000}">
          <x14:formula1>
            <xm:f>'Прайс лист'!$B$1027:$B$1078</xm:f>
          </x14:formula1>
          <x14:formula2>
            <xm:f>0</xm:f>
          </x14:formula2>
          <xm:sqref>A178 A222 A258 A297 A341 A404 A446 A497 A570 A590 A656 D1036:I1036 D1040:I1040 A1041 A1043 A1045 A1047 D1055:I1055 E1062:J1062</xm:sqref>
        </x14:dataValidation>
        <x14:dataValidation type="list" allowBlank="1" showInputMessage="1" showErrorMessage="1" xr:uid="{00000000-0002-0000-0200-00002E000000}">
          <x14:formula1>
            <xm:f>связи1!$A$407:$A$416</xm:f>
          </x14:formula1>
          <x14:formula2>
            <xm:f>0</xm:f>
          </x14:formula2>
          <xm:sqref>A564 A650 A931 A933 A935</xm:sqref>
        </x14:dataValidation>
        <x14:dataValidation type="list" allowBlank="1" showInputMessage="1" showErrorMessage="1" xr:uid="{00000000-0002-0000-0200-00002F000000}">
          <x14:formula1>
            <xm:f>связи1!$A$432:$A$440</xm:f>
          </x14:formula1>
          <x14:formula2>
            <xm:f>0</xm:f>
          </x14:formula2>
          <xm:sqref>A566 A652</xm:sqref>
        </x14:dataValidation>
        <x14:dataValidation type="list" allowBlank="1" showInputMessage="1" showErrorMessage="1" xr:uid="{00000000-0002-0000-0200-000030000000}">
          <x14:formula1>
            <xm:f>связи1!$A$6:$A$9</xm:f>
          </x14:formula1>
          <x14:formula2>
            <xm:f>0</xm:f>
          </x14:formula2>
          <xm:sqref>A157 A203 A245 A282 A320 A394 A436 A562 A648</xm:sqref>
        </x14:dataValidation>
        <x14:dataValidation type="list" allowBlank="1" showInputMessage="1" showErrorMessage="1" xr:uid="{00000000-0002-0000-0200-000031000000}">
          <x14:formula1>
            <xm:f>связи1!$F$203:$F$213</xm:f>
          </x14:formula1>
          <x14:formula2>
            <xm:f>0</xm:f>
          </x14:formula2>
          <xm:sqref>A475</xm:sqref>
        </x14:dataValidation>
        <x14:dataValidation type="list" allowBlank="1" showInputMessage="1" showErrorMessage="1" xr:uid="{00000000-0002-0000-0200-000032000000}">
          <x14:formula1>
            <xm:f>'Прайс лист'!$B$333:$B$419</xm:f>
          </x14:formula1>
          <x14:formula2>
            <xm:f>0</xm:f>
          </x14:formula2>
          <xm:sqref>A499 A501 A503 A540 A542 A544 A546 A548 A550 A554 A592 A594 A596 A635 A637 A639 A643 A672 A674 A676 A899 A901 A903 A905</xm:sqref>
        </x14:dataValidation>
        <x14:dataValidation type="list" allowBlank="1" showInputMessage="1" showErrorMessage="1" xr:uid="{00000000-0002-0000-0200-000033000000}">
          <x14:formula1>
            <xm:f>'Прайс лист'!$B$1083:$B$1091</xm:f>
          </x14:formula1>
          <x14:formula2>
            <xm:f>0</xm:f>
          </x14:formula2>
          <xm:sqref>C751:E751 A795 A878</xm:sqref>
        </x14:dataValidation>
        <x14:dataValidation type="list" allowBlank="1" showInputMessage="1" showErrorMessage="1" xr:uid="{00000000-0002-0000-0200-000034000000}">
          <x14:formula1>
            <xm:f>'Прайс лист'!$B$1092:$B$1099</xm:f>
          </x14:formula1>
          <x14:formula2>
            <xm:f>0</xm:f>
          </x14:formula2>
          <xm:sqref>C753 A797 A879</xm:sqref>
        </x14:dataValidation>
        <x14:dataValidation type="list" allowBlank="1" showInputMessage="1" showErrorMessage="1" xr:uid="{00000000-0002-0000-0200-000035000000}">
          <x14:formula1>
            <xm:f>'Прайс лист'!$B$1103:$B$1118</xm:f>
          </x14:formula1>
          <x14:formula2>
            <xm:f>0</xm:f>
          </x14:formula2>
          <xm:sqref>A799 A880</xm:sqref>
        </x14:dataValidation>
        <x14:dataValidation type="list" allowBlank="1" showInputMessage="1" showErrorMessage="1" xr:uid="{00000000-0002-0000-0200-000036000000}">
          <x14:formula1>
            <xm:f>'Прайс лист'!$B$1124:$B$1127</xm:f>
          </x14:formula1>
          <x14:formula2>
            <xm:f>0</xm:f>
          </x14:formula2>
          <xm:sqref>A801 A881</xm:sqref>
        </x14:dataValidation>
        <x14:dataValidation type="list" allowBlank="1" showInputMessage="1" showErrorMessage="1" xr:uid="{00000000-0002-0000-0200-000037000000}">
          <x14:formula1>
            <xm:f>связи1!$F$22:$F$23</xm:f>
          </x14:formula1>
          <x14:formula2>
            <xm:f>0</xm:f>
          </x14:formula2>
          <xm:sqref>A830</xm:sqref>
        </x14:dataValidation>
        <x14:dataValidation type="list" allowBlank="1" showInputMessage="1" showErrorMessage="1" xr:uid="{00000000-0002-0000-0200-000038000000}">
          <x14:formula1>
            <xm:f>'Прайс лист'!$B$969:$B$972</xm:f>
          </x14:formula1>
          <x14:formula2>
            <xm:f>0</xm:f>
          </x14:formula2>
          <xm:sqref>A537 A669 A707</xm:sqref>
        </x14:dataValidation>
        <x14:dataValidation type="list" allowBlank="1" showInputMessage="1" showErrorMessage="1" xr:uid="{00000000-0002-0000-0200-000039000000}">
          <x14:formula1>
            <xm:f>связи1!$F$25:$F$26</xm:f>
          </x14:formula1>
          <x14:formula2>
            <xm:f>0</xm:f>
          </x14:formula2>
          <xm:sqref>A703</xm:sqref>
        </x14:dataValidation>
        <x14:dataValidation type="list" allowBlank="1" showInputMessage="1" showErrorMessage="1" xr:uid="{00000000-0002-0000-0200-00003A000000}">
          <x14:formula1>
            <xm:f>'Прайс лист'!$B$908:$B$968</xm:f>
          </x14:formula1>
          <x14:formula2>
            <xm:f>0</xm:f>
          </x14:formula2>
          <xm:sqref>A701</xm:sqref>
        </x14:dataValidation>
        <x14:dataValidation type="list" allowBlank="1" showInputMessage="1" showErrorMessage="1" xr:uid="{00000000-0002-0000-0200-00003B000000}">
          <x14:formula1>
            <xm:f>'Прайс лист'!$B$199:$B$210</xm:f>
          </x14:formula1>
          <x14:formula2>
            <xm:f>0</xm:f>
          </x14:formula2>
          <xm:sqref>A732 A734 A788 A790 A792 A1137</xm:sqref>
        </x14:dataValidation>
        <x14:dataValidation type="list" allowBlank="1" showInputMessage="1" showErrorMessage="1" xr:uid="{00000000-0002-0000-0200-00003C000000}">
          <x14:formula1>
            <xm:f>'Прайс лист'!$B$291:$B$303</xm:f>
          </x14:formula1>
          <x14:formula2>
            <xm:f>0</xm:f>
          </x14:formula2>
          <xm:sqref>A730 A781</xm:sqref>
        </x14:dataValidation>
        <x14:dataValidation type="list" allowBlank="1" showInputMessage="1" showErrorMessage="1" xr:uid="{00000000-0002-0000-0200-00003D000000}">
          <x14:formula1>
            <xm:f>'Прайс лист'!$B$225:$B$232</xm:f>
          </x14:formula1>
          <x14:formula2>
            <xm:f>0</xm:f>
          </x14:formula2>
          <xm:sqref>A728 A743 A753 A783 A806 A1140</xm:sqref>
        </x14:dataValidation>
        <x14:dataValidation type="list" allowBlank="1" showInputMessage="1" showErrorMessage="1" xr:uid="{00000000-0002-0000-0200-00003E000000}">
          <x14:formula1>
            <xm:f>связи1!$A$423:$A$430</xm:f>
          </x14:formula1>
          <x14:formula2>
            <xm:f>0</xm:f>
          </x14:formula2>
          <xm:sqref>A776</xm:sqref>
        </x14:dataValidation>
        <x14:dataValidation type="list" allowBlank="1" showInputMessage="1" showErrorMessage="1" xr:uid="{00000000-0002-0000-0200-00003F000000}">
          <x14:formula1>
            <xm:f>'Прайс лист'!$B$837:$B$840</xm:f>
          </x14:formula1>
          <x14:formula2>
            <xm:f>0</xm:f>
          </x14:formula2>
          <xm:sqref>A601:A602 A679:A680</xm:sqref>
        </x14:dataValidation>
        <x14:dataValidation type="list" allowBlank="1" showInputMessage="1" showErrorMessage="1" xr:uid="{00000000-0002-0000-0200-000040000000}">
          <x14:formula1>
            <xm:f>'Прайс лист'!$B$845:$B$848</xm:f>
          </x14:formula1>
          <x14:formula2>
            <xm:f>0</xm:f>
          </x14:formula2>
          <xm:sqref>A603:A604 A681:A682</xm:sqref>
        </x14:dataValidation>
        <x14:dataValidation type="list" allowBlank="1" showInputMessage="1" showErrorMessage="1" xr:uid="{00000000-0002-0000-0200-000041000000}">
          <x14:formula1>
            <xm:f>'Прайс лист'!$B$858:$B$870</xm:f>
          </x14:formula1>
          <x14:formula2>
            <xm:f>0</xm:f>
          </x14:formula2>
          <xm:sqref>A605:A606 A683:A684</xm:sqref>
        </x14:dataValidation>
        <x14:dataValidation type="list" allowBlank="1" showInputMessage="1" showErrorMessage="1" xr:uid="{00000000-0002-0000-0200-000042000000}">
          <x14:formula1>
            <xm:f>'Прайс лист'!$B$875:$B$881</xm:f>
          </x14:formula1>
          <x14:formula2>
            <xm:f>0</xm:f>
          </x14:formula2>
          <xm:sqref>A607:A608 A685:A686</xm:sqref>
        </x14:dataValidation>
        <x14:dataValidation type="list" allowBlank="1" showInputMessage="1" showErrorMessage="1" xr:uid="{00000000-0002-0000-0200-000043000000}">
          <x14:formula1>
            <xm:f>'Прайс лист'!$B$888:$B$891</xm:f>
          </x14:formula1>
          <x14:formula2>
            <xm:f>0</xm:f>
          </x14:formula2>
          <xm:sqref>A609 A687</xm:sqref>
        </x14:dataValidation>
        <x14:dataValidation type="list" allowBlank="1" showInputMessage="1" showErrorMessage="1" xr:uid="{00000000-0002-0000-0200-000044000000}">
          <x14:formula1>
            <xm:f>'Прайс лист'!$B$896:$B$898</xm:f>
          </x14:formula1>
          <x14:formula2>
            <xm:f>0</xm:f>
          </x14:formula2>
          <xm:sqref>A610 A688</xm:sqref>
        </x14:dataValidation>
        <x14:dataValidation type="list" allowBlank="1" showInputMessage="1" showErrorMessage="1" xr:uid="{00000000-0002-0000-0200-000045000000}">
          <x14:formula1>
            <xm:f>'Прайс лист'!$B$420:$B$424</xm:f>
          </x14:formula1>
          <x14:formula2>
            <xm:f>0</xm:f>
          </x14:formula2>
          <xm:sqref>A505 A552 A598 A641</xm:sqref>
        </x14:dataValidation>
        <x14:dataValidation type="list" allowBlank="1" showInputMessage="1" showErrorMessage="1" xr:uid="{00000000-0002-0000-0200-000046000000}">
          <x14:formula1>
            <xm:f>связи1!$A$479:$A$481</xm:f>
          </x14:formula1>
          <x14:formula2>
            <xm:f>0</xm:f>
          </x14:formula2>
          <xm:sqref>A529 A661</xm:sqref>
        </x14:dataValidation>
        <x14:dataValidation type="list" allowBlank="1" showInputMessage="1" showErrorMessage="1" xr:uid="{00000000-0002-0000-0200-000047000000}">
          <x14:formula1>
            <xm:f>связи1!$A$483:$A$484</xm:f>
          </x14:formula1>
          <x14:formula2>
            <xm:f>0</xm:f>
          </x14:formula2>
          <xm:sqref>A533 A665</xm:sqref>
        </x14:dataValidation>
        <x14:dataValidation type="list" allowBlank="1" showInputMessage="1" showErrorMessage="1" xr:uid="{00000000-0002-0000-0200-000048000000}">
          <x14:formula1>
            <xm:f>связи1!$A$105:$A$107</xm:f>
          </x14:formula1>
          <x14:formula2>
            <xm:f>0</xm:f>
          </x14:formula2>
          <xm:sqref>A560 A646</xm:sqref>
        </x14:dataValidation>
        <x14:dataValidation type="list" allowBlank="1" showInputMessage="1" showErrorMessage="1" xr:uid="{00000000-0002-0000-0200-000049000000}">
          <x14:formula1>
            <xm:f>'Прайс лист'!$B$1389:$B$1392</xm:f>
          </x14:formula1>
          <x14:formula2>
            <xm:f>0</xm:f>
          </x14:formula2>
          <xm:sqref>A495 A588</xm:sqref>
        </x14:dataValidation>
        <x14:dataValidation type="list" allowBlank="1" showInputMessage="1" showErrorMessage="1" xr:uid="{00000000-0002-0000-0200-00004A000000}">
          <x14:formula1>
            <xm:f>связи1!$A$456:$A$457</xm:f>
          </x14:formula1>
          <x14:formula2>
            <xm:f>0</xm:f>
          </x14:formula2>
          <xm:sqref>A471</xm:sqref>
        </x14:dataValidation>
        <x14:dataValidation type="list" allowBlank="1" showInputMessage="1" showErrorMessage="1" xr:uid="{00000000-0002-0000-0200-00004B000000}">
          <x14:formula1>
            <xm:f>связи1!$A$105:$A$111</xm:f>
          </x14:formula1>
          <x14:formula2>
            <xm:f>0</xm:f>
          </x14:formula2>
          <xm:sqref>A360 A364 A368 A372</xm:sqref>
        </x14:dataValidation>
        <x14:dataValidation type="list" allowBlank="1" showInputMessage="1" showErrorMessage="1" xr:uid="{00000000-0002-0000-0200-00004C000000}">
          <x14:formula1>
            <xm:f>связи1!$A$120:$A$125</xm:f>
          </x14:formula1>
          <x14:formula2>
            <xm:f>0</xm:f>
          </x14:formula2>
          <xm:sqref>A362 A366 A370 A374</xm:sqref>
        </x14:dataValidation>
        <x14:dataValidation type="list" allowBlank="1" showInputMessage="1" showErrorMessage="1" xr:uid="{00000000-0002-0000-0200-00004D000000}">
          <x14:formula1>
            <xm:f>связи1!$A$94:$A$98</xm:f>
          </x14:formula1>
          <x14:formula2>
            <xm:f>0</xm:f>
          </x14:formula2>
          <xm:sqref>A6 A361 A365 A369 A373</xm:sqref>
        </x14:dataValidation>
        <x14:dataValidation type="list" allowBlank="1" showInputMessage="1" showErrorMessage="1" xr:uid="{00000000-0002-0000-0200-00004E000000}">
          <x14:formula1>
            <xm:f>связи1!$A$200:$A$253</xm:f>
          </x14:formula1>
          <x14:formula2>
            <xm:f>0</xm:f>
          </x14:formula2>
          <xm:sqref>A33 A43 A51</xm:sqref>
        </x14:dataValidation>
        <x14:dataValidation type="list" allowBlank="1" showInputMessage="1" showErrorMessage="1" xr:uid="{00000000-0002-0000-0200-00004F000000}">
          <x14:formula1>
            <xm:f>связи1!$A$399:$A$405</xm:f>
          </x14:formula1>
          <x14:formula2>
            <xm:f>0</xm:f>
          </x14:formula2>
          <xm:sqref>D33 D43 D51:D54</xm:sqref>
        </x14:dataValidation>
        <x14:dataValidation type="list" allowBlank="1" showInputMessage="1" showErrorMessage="1" xr:uid="{00000000-0002-0000-0200-000050000000}">
          <x14:formula1>
            <xm:f>связи1!$J$237:$J$252</xm:f>
          </x14:formula1>
          <x14:formula2>
            <xm:f>0</xm:f>
          </x14:formula2>
          <xm:sqref>A35</xm:sqref>
        </x14:dataValidation>
        <x14:dataValidation type="list" allowBlank="1" showInputMessage="1" showErrorMessage="1" xr:uid="{00000000-0002-0000-0200-000051000000}">
          <x14:formula1>
            <xm:f>связи1!$A$132:$A$133</xm:f>
          </x14:formula1>
          <x14:formula2>
            <xm:f>0</xm:f>
          </x14:formula2>
          <xm:sqref>A27</xm:sqref>
        </x14:dataValidation>
        <x14:dataValidation type="list" allowBlank="1" showInputMessage="1" showErrorMessage="1" xr:uid="{00000000-0002-0000-0200-000052000000}">
          <x14:formula1>
            <xm:f>связи1!$A$128:$A$129</xm:f>
          </x14:formula1>
          <x14:formula2>
            <xm:f>0</xm:f>
          </x14:formula2>
          <xm:sqref>A19</xm:sqref>
        </x14:dataValidation>
        <x14:dataValidation type="list" allowBlank="1" showInputMessage="1" showErrorMessage="1" xr:uid="{00000000-0002-0000-0200-000053000000}">
          <x14:formula1>
            <xm:f>связи1!$A$149:$A$185</xm:f>
          </x14:formula1>
          <x14:formula2>
            <xm:f>0</xm:f>
          </x14:formula2>
          <xm:sqref>A8</xm:sqref>
        </x14:dataValidation>
        <x14:dataValidation type="list" allowBlank="1" showInputMessage="1" showErrorMessage="1" xr:uid="{00000000-0002-0000-0200-000054000000}">
          <x14:formula1>
            <xm:f>связи1!$F$2:$F$3</xm:f>
          </x14:formula1>
          <x14:formula2>
            <xm:f>0</xm:f>
          </x14:formula2>
          <xm:sqref>A3</xm:sqref>
        </x14:dataValidation>
        <x14:dataValidation type="list" allowBlank="1" showInputMessage="1" showErrorMessage="1" xr:uid="{00000000-0002-0000-0200-000055000000}">
          <x14:formula1>
            <xm:f>'Прайс лист'!$B$717:$B$723</xm:f>
          </x14:formula1>
          <x14:formula2>
            <xm:f>0</xm:f>
          </x14:formula2>
          <xm:sqref>A968 A970</xm:sqref>
        </x14:dataValidation>
        <x14:dataValidation type="list" allowBlank="1" showInputMessage="1" showErrorMessage="1" xr:uid="{00000000-0002-0000-0200-000056000000}">
          <x14:formula1>
            <xm:f>связи1!$I$458:$I$488</xm:f>
          </x14:formula1>
          <x14:formula2>
            <xm:f>0</xm:f>
          </x14:formula2>
          <xm:sqref>A172 A216 A252 A291 A335 A398 A440 A1031 A1033 A1035</xm:sqref>
        </x14:dataValidation>
        <x14:dataValidation type="list" allowBlank="1" showInputMessage="1" showErrorMessage="1" xr:uid="{00000000-0002-0000-0200-000057000000}">
          <x14:formula1>
            <xm:f>связи1!$E$12:$E$23</xm:f>
          </x14:formula1>
          <x14:formula2>
            <xm:f>0</xm:f>
          </x14:formula2>
          <xm:sqref>C1050:C1052</xm:sqref>
        </x14:dataValidation>
        <x14:dataValidation type="list" allowBlank="1" showInputMessage="1" showErrorMessage="1" xr:uid="{00000000-0002-0000-0200-000058000000}">
          <x14:formula1>
            <xm:f>связи1!$E$2:$E$9</xm:f>
          </x14:formula1>
          <x14:formula2>
            <xm:f>0</xm:f>
          </x14:formula2>
          <xm:sqref>C1031:C1039</xm:sqref>
        </x14:dataValidation>
        <x14:dataValidation type="list" allowBlank="1" showInputMessage="1" showErrorMessage="1" xr:uid="{00000000-0002-0000-0200-000059000000}">
          <x14:formula1>
            <xm:f>связи1!$A$204:$A$213</xm:f>
          </x14:formula1>
          <x14:formula2>
            <xm:f>0</xm:f>
          </x14:formula2>
          <xm:sqref>A999 A1026</xm:sqref>
        </x14:dataValidation>
        <x14:dataValidation type="list" allowBlank="1" showInputMessage="1" showErrorMessage="1" xr:uid="{00000000-0002-0000-0200-00005A000000}">
          <x14:formula1>
            <xm:f>'Прайс лист'!$B$258:$B$270</xm:f>
          </x14:formula1>
          <x14:formula2>
            <xm:f>0</xm:f>
          </x14:formula2>
          <xm:sqref>A1001 A1003 A1005 A1007</xm:sqref>
        </x14:dataValidation>
        <x14:dataValidation type="list" allowBlank="1" showInputMessage="1" showErrorMessage="1" xr:uid="{00000000-0002-0000-0200-00005B000000}">
          <x14:formula1>
            <xm:f>связи1!$A$539:$A$540</xm:f>
          </x14:formula1>
          <x14:formula2>
            <xm:f>0</xm:f>
          </x14:formula2>
          <xm:sqref>A965</xm:sqref>
        </x14:dataValidation>
        <x14:dataValidation type="list" allowBlank="1" showInputMessage="1" showErrorMessage="1" xr:uid="{00000000-0002-0000-0200-00005C000000}">
          <x14:formula1>
            <xm:f>связи1!$A$542:$A$543</xm:f>
          </x14:formula1>
          <x14:formula2>
            <xm:f>0</xm:f>
          </x14:formula2>
          <xm:sqref>A973</xm:sqref>
        </x14:dataValidation>
        <x14:dataValidation type="list" allowBlank="1" showInputMessage="1" showErrorMessage="1" xr:uid="{00000000-0002-0000-0200-00005D000000}">
          <x14:formula1>
            <xm:f>связи1!$A$545:$A$546</xm:f>
          </x14:formula1>
          <x14:formula2>
            <xm:f>0</xm:f>
          </x14:formula2>
          <xm:sqref>A976</xm:sqref>
        </x14:dataValidation>
        <x14:dataValidation type="list" allowBlank="1" showInputMessage="1" showErrorMessage="1" xr:uid="{00000000-0002-0000-0200-00005E000000}">
          <x14:formula1>
            <xm:f>'Прайс лист'!$B$1478:$B$1486</xm:f>
          </x14:formula1>
          <x14:formula2>
            <xm:f>0</xm:f>
          </x14:formula2>
          <xm:sqref>A974:A975 A977:A978</xm:sqref>
        </x14:dataValidation>
        <x14:dataValidation type="list" allowBlank="1" showInputMessage="1" showErrorMessage="1" xr:uid="{00000000-0002-0000-0200-00005F000000}">
          <x14:formula1>
            <xm:f>связи1!$A$488:$A$493</xm:f>
          </x14:formula1>
          <x14:formula2>
            <xm:f>0</xm:f>
          </x14:formula2>
          <xm:sqref>A940 A947</xm:sqref>
        </x14:dataValidation>
        <x14:dataValidation type="list" allowBlank="1" showInputMessage="1" showErrorMessage="1" xr:uid="{00000000-0002-0000-0200-000060000000}">
          <x14:formula1>
            <xm:f>связи1!$A$459:$A$461</xm:f>
          </x14:formula1>
          <x14:formula2>
            <xm:f>0</xm:f>
          </x14:formula2>
          <xm:sqref>A943</xm:sqref>
        </x14:dataValidation>
        <x14:dataValidation type="list" allowBlank="1" showInputMessage="1" showErrorMessage="1" xr:uid="{00000000-0002-0000-0200-000061000000}">
          <x14:formula1>
            <xm:f>связи1!$A$475:$A$476</xm:f>
          </x14:formula1>
          <x14:formula2>
            <xm:f>0</xm:f>
          </x14:formula2>
          <xm:sqref>A945</xm:sqref>
        </x14:dataValidation>
        <x14:dataValidation type="list" allowBlank="1" showInputMessage="1" showErrorMessage="1" xr:uid="{00000000-0002-0000-0200-000062000000}">
          <x14:formula1>
            <xm:f>'Прайс лист'!$B$728:$B$737</xm:f>
          </x14:formula1>
          <x14:formula2>
            <xm:f>0</xm:f>
          </x14:formula2>
          <xm:sqref>A950</xm:sqref>
        </x14:dataValidation>
        <x14:dataValidation type="list" allowBlank="1" showInputMessage="1" showErrorMessage="1" xr:uid="{00000000-0002-0000-0200-000063000000}">
          <x14:formula1>
            <xm:f>связи1!$A$99:$A$102</xm:f>
          </x14:formula1>
          <x14:formula2>
            <xm:f>0</xm:f>
          </x14:formula2>
          <xm:sqref>A920</xm:sqref>
        </x14:dataValidation>
        <x14:dataValidation type="list" allowBlank="1" showInputMessage="1" showErrorMessage="1" xr:uid="{00000000-0002-0000-0200-000064000000}">
          <x14:formula1>
            <xm:f>'Прайс лист'!$B$441:$B$528</xm:f>
          </x14:formula1>
          <x14:formula2>
            <xm:f>0</xm:f>
          </x14:formula2>
          <xm:sqref>A909 A911 A913 A915</xm:sqref>
        </x14:dataValidation>
        <x14:dataValidation type="list" allowBlank="1" showInputMessage="1" showErrorMessage="1" xr:uid="{00000000-0002-0000-0200-000065000000}">
          <x14:formula1>
            <xm:f>связи1!$I$432:$I$452</xm:f>
          </x14:formula1>
          <x14:formula2>
            <xm:f>0</xm:f>
          </x14:formula2>
          <xm:sqref>A37 A46 A53 A174 A218 A254 A293 A337 A400 A442</xm:sqref>
        </x14:dataValidation>
        <x14:dataValidation type="list" allowBlank="1" showInputMessage="1" showErrorMessage="1" xr:uid="{00000000-0002-0000-0200-000066000000}">
          <x14:formula1>
            <xm:f>связи1!$I$389:$I$413</xm:f>
          </x14:formula1>
          <x14:formula2>
            <xm:f>0</xm:f>
          </x14:formula2>
          <xm:sqref>A38 A47 A54 A176 A220 A256 A295 A339 A402 A444 D1032:I1032 D1034:I1034 D1038:I1038 D1051:I1051 E1058:J1058</xm:sqref>
        </x14:dataValidation>
        <x14:dataValidation type="list" allowBlank="1" showInputMessage="1" showErrorMessage="1" xr:uid="{00000000-0002-0000-0200-000067000000}">
          <x14:formula1>
            <xm:f>связи1!$F$203:$F$234</xm:f>
          </x14:formula1>
          <x14:formula2>
            <xm:f>0</xm:f>
          </x14:formula2>
          <xm:sqref>A159 A205 A247 A284 A322 A396 A438</xm:sqref>
        </x14:dataValidation>
        <x14:dataValidation type="list" allowBlank="1" showInputMessage="1" showErrorMessage="1" xr:uid="{00000000-0002-0000-0200-000068000000}">
          <x14:formula1>
            <xm:f>связи1!$A$571:$A$679</xm:f>
          </x14:formula1>
          <x14:formula2>
            <xm:f>0</xm:f>
          </x14:formula2>
          <xm:sqref>A170 A214</xm:sqref>
        </x14:dataValidation>
        <x14:dataValidation type="list" allowBlank="1" showInputMessage="1" showErrorMessage="1" xr:uid="{00000000-0002-0000-0200-000069000000}">
          <x14:formula1>
            <xm:f>'Прайс лист'!$B$536:$B$552</xm:f>
          </x14:formula1>
          <x14:formula2>
            <xm:f>0</xm:f>
          </x14:formula2>
          <xm:sqref>D1053:I1053 E1060:J1060</xm:sqref>
        </x14:dataValidation>
        <x14:dataValidation type="list" allowBlank="1" showInputMessage="1" showErrorMessage="1" xr:uid="{00000000-0002-0000-0200-00006A000000}">
          <x14:formula1>
            <xm:f>связи1!$A$752:$A$787</xm:f>
          </x14:formula1>
          <x14:formula2>
            <xm:f>0</xm:f>
          </x14:formula2>
          <xm:sqref>A1503</xm:sqref>
        </x14:dataValidation>
        <x14:dataValidation type="list" allowBlank="1" showInputMessage="1" showErrorMessage="1" xr:uid="{00000000-0002-0000-0200-00006B000000}">
          <x14:formula1>
            <xm:f>связи1!$A$790:$A$796</xm:f>
          </x14:formula1>
          <x14:formula2>
            <xm:f>0</xm:f>
          </x14:formula2>
          <xm:sqref>A1505</xm:sqref>
        </x14:dataValidation>
        <x14:dataValidation type="list" allowBlank="1" showInputMessage="1" showErrorMessage="1" xr:uid="{00000000-0002-0000-0200-00006C000000}">
          <x14:formula1>
            <xm:f>связи1!$A$800:$A$803</xm:f>
          </x14:formula1>
          <x14:formula2>
            <xm:f>0</xm:f>
          </x14:formula2>
          <xm:sqref>A1507</xm:sqref>
        </x14:dataValidation>
        <x14:dataValidation type="list" allowBlank="1" showInputMessage="1" showErrorMessage="1" xr:uid="{00000000-0002-0000-0200-00006D000000}">
          <x14:formula1>
            <xm:f>связи1!$A$807:$A$816</xm:f>
          </x14:formula1>
          <x14:formula2>
            <xm:f>0</xm:f>
          </x14:formula2>
          <xm:sqref>A1509</xm:sqref>
        </x14:dataValidation>
        <x14:dataValidation type="list" allowBlank="1" showInputMessage="1" showErrorMessage="1" xr:uid="{00000000-0002-0000-0200-00006E000000}">
          <x14:formula1>
            <xm:f>связи1!$A$820:$A$822</xm:f>
          </x14:formula1>
          <x14:formula2>
            <xm:f>0</xm:f>
          </x14:formula2>
          <xm:sqref>B1510</xm:sqref>
        </x14:dataValidation>
        <x14:dataValidation type="list" allowBlank="1" showInputMessage="1" showErrorMessage="1" xr:uid="{00000000-0002-0000-0200-00006F000000}">
          <x14:formula1>
            <xm:f>связи1!$A$825:$A$826</xm:f>
          </x14:formula1>
          <x14:formula2>
            <xm:f>0</xm:f>
          </x14:formula2>
          <xm:sqref>B1511</xm:sqref>
        </x14:dataValidation>
        <x14:dataValidation type="list" allowBlank="1" showInputMessage="1" showErrorMessage="1" xr:uid="{00000000-0002-0000-0200-000070000000}">
          <x14:formula1>
            <xm:f>связи1!$A$830:$A$831</xm:f>
          </x14:formula1>
          <x14:formula2>
            <xm:f>0</xm:f>
          </x14:formula2>
          <xm:sqref>B1512</xm:sqref>
        </x14:dataValidation>
        <x14:dataValidation type="list" allowBlank="1" showInputMessage="1" showErrorMessage="1" xr:uid="{00000000-0002-0000-0200-000071000000}">
          <x14:formula1>
            <xm:f>связи1!$A$834:$A$835</xm:f>
          </x14:formula1>
          <x14:formula2>
            <xm:f>0</xm:f>
          </x14:formula2>
          <xm:sqref>B1513</xm:sqref>
        </x14:dataValidation>
        <x14:dataValidation type="list" allowBlank="1" showInputMessage="1" showErrorMessage="1" xr:uid="{00000000-0002-0000-0200-000072000000}">
          <x14:formula1>
            <xm:f>связи1!$A$842:$A$844</xm:f>
          </x14:formula1>
          <x14:formula2>
            <xm:f>0</xm:f>
          </x14:formula2>
          <xm:sqref>B1515</xm:sqref>
        </x14:dataValidation>
        <x14:dataValidation type="list" allowBlank="1" showInputMessage="1" showErrorMessage="1" xr:uid="{00000000-0002-0000-0200-000073000000}">
          <x14:formula1>
            <xm:f>связи1!$A$848:$A$849</xm:f>
          </x14:formula1>
          <x14:formula2>
            <xm:f>0</xm:f>
          </x14:formula2>
          <xm:sqref>A1517</xm:sqref>
        </x14:dataValidation>
        <x14:dataValidation type="list" allowBlank="1" showInputMessage="1" showErrorMessage="1" xr:uid="{00000000-0002-0000-0200-000074000000}">
          <x14:formula1>
            <xm:f>связи1!$A$852:$A$855</xm:f>
          </x14:formula1>
          <x14:formula2>
            <xm:f>0</xm:f>
          </x14:formula2>
          <xm:sqref>B1518</xm:sqref>
        </x14:dataValidation>
        <x14:dataValidation type="list" allowBlank="1" showInputMessage="1" showErrorMessage="1" xr:uid="{00000000-0002-0000-0200-000075000000}">
          <x14:formula1>
            <xm:f>связи1!$A$858:$A$861</xm:f>
          </x14:formula1>
          <x14:formula2>
            <xm:f>0</xm:f>
          </x14:formula2>
          <xm:sqref>B1519</xm:sqref>
        </x14:dataValidation>
        <x14:dataValidation type="list" allowBlank="1" showInputMessage="1" showErrorMessage="1" xr:uid="{00000000-0002-0000-0200-000076000000}">
          <x14:formula1>
            <xm:f>связи1!$A$865:$A$868</xm:f>
          </x14:formula1>
          <x14:formula2>
            <xm:f>0</xm:f>
          </x14:formula2>
          <xm:sqref>B1520</xm:sqref>
        </x14:dataValidation>
        <x14:dataValidation type="list" allowBlank="1" showInputMessage="1" showErrorMessage="1" xr:uid="{00000000-0002-0000-0200-000077000000}">
          <x14:formula1>
            <xm:f>связи1!$A$871:$A$873</xm:f>
          </x14:formula1>
          <x14:formula2>
            <xm:f>0</xm:f>
          </x14:formula2>
          <xm:sqref>B1521</xm:sqref>
        </x14:dataValidation>
        <x14:dataValidation type="list" allowBlank="1" showInputMessage="1" showErrorMessage="1" xr:uid="{00000000-0002-0000-0200-000078000000}">
          <x14:formula1>
            <xm:f>связи1!$A$876:$A$879</xm:f>
          </x14:formula1>
          <x14:formula2>
            <xm:f>0</xm:f>
          </x14:formula2>
          <xm:sqref>B1522</xm:sqref>
        </x14:dataValidation>
        <x14:dataValidation type="list" allowBlank="1" showInputMessage="1" showErrorMessage="1" xr:uid="{00000000-0002-0000-0200-000079000000}">
          <x14:formula1>
            <xm:f>связи1!$A$882:$A$884</xm:f>
          </x14:formula1>
          <x14:formula2>
            <xm:f>0</xm:f>
          </x14:formula2>
          <xm:sqref>B1523</xm:sqref>
        </x14:dataValidation>
        <x14:dataValidation type="list" allowBlank="1" showInputMessage="1" showErrorMessage="1" xr:uid="{00000000-0002-0000-0200-00007A000000}">
          <x14:formula1>
            <xm:f>связи1!$A$838:$A$839</xm:f>
          </x14:formula1>
          <x14:formula2>
            <xm:f>0</xm:f>
          </x14:formula2>
          <xm:sqref>B1514</xm:sqref>
        </x14:dataValidation>
        <x14:dataValidation type="list" allowBlank="1" showInputMessage="1" showErrorMessage="1" xr:uid="{00000000-0002-0000-0200-00007B000000}">
          <x14:formula1>
            <xm:f>'Прайс лист'!$B$1027:$B$1081</xm:f>
          </x14:formula1>
          <x14:formula2>
            <xm:f>0</xm:f>
          </x14:formula2>
          <xm:sqref>A1139</xm:sqref>
        </x14:dataValidation>
        <x14:dataValidation type="list" allowBlank="1" showInputMessage="1" showErrorMessage="1" xr:uid="{00000000-0002-0000-0200-00007C000000}">
          <x14:formula1>
            <xm:f>'Прайс лист'!$B$875:$B$883</xm:f>
          </x14:formula1>
          <x14:formula2>
            <xm:f>0</xm:f>
          </x14:formula2>
          <xm:sqref>A1141</xm:sqref>
        </x14:dataValidation>
        <x14:dataValidation type="list" allowBlank="1" showInputMessage="1" showErrorMessage="1" xr:uid="{00000000-0002-0000-0200-00007D000000}">
          <x14:formula1>
            <xm:f>'Прайс лист'!$B$115:$B$124</xm:f>
          </x14:formula1>
          <x14:formula2>
            <xm:f>0</xm:f>
          </x14:formula2>
          <xm:sqref>A1147:A1148</xm:sqref>
        </x14:dataValidation>
        <x14:dataValidation type="list" allowBlank="1" showInputMessage="1" showErrorMessage="1" xr:uid="{00000000-0002-0000-0200-00007E000000}">
          <x14:formula1>
            <xm:f>'Прайс лист'!$B$1891:$B$1899</xm:f>
          </x14:formula1>
          <x14:formula2>
            <xm:f>0</xm:f>
          </x14:formula2>
          <xm:sqref>A1152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276"/>
  <sheetViews>
    <sheetView topLeftCell="A238" zoomScale="60" zoomScaleNormal="60" workbookViewId="0">
      <selection activeCell="I92" sqref="I92"/>
    </sheetView>
  </sheetViews>
  <sheetFormatPr baseColWidth="10" defaultColWidth="8.5" defaultRowHeight="15"/>
  <cols>
    <col min="1" max="1" width="34.33203125" customWidth="1"/>
    <col min="2" max="2" width="6.1640625" style="916" customWidth="1"/>
    <col min="3" max="3" width="8.83203125" customWidth="1"/>
    <col min="4" max="4" width="9.33203125" customWidth="1"/>
    <col min="5" max="5" width="9" customWidth="1"/>
    <col min="6" max="6" width="8" customWidth="1"/>
    <col min="7" max="7" width="7.83203125" style="917" customWidth="1"/>
    <col min="8" max="8" width="9" customWidth="1"/>
    <col min="9" max="9" width="7.5" customWidth="1"/>
    <col min="10" max="10" width="7.1640625" customWidth="1"/>
    <col min="11" max="11" width="7.5" customWidth="1"/>
    <col min="12" max="12" width="9.1640625" style="917" customWidth="1"/>
    <col min="13" max="13" width="9.33203125" customWidth="1"/>
    <col min="14" max="14" width="9.1640625" customWidth="1"/>
    <col min="15" max="15" width="9" customWidth="1"/>
    <col min="16" max="16" width="8.83203125" customWidth="1"/>
    <col min="17" max="17" width="9.1640625" style="917" customWidth="1"/>
  </cols>
  <sheetData>
    <row r="1" spans="1:43" ht="14.25" customHeight="1">
      <c r="H1" s="918">
        <f>дома!Q1112</f>
        <v>0</v>
      </c>
      <c r="I1" s="919">
        <f>H1</f>
        <v>0</v>
      </c>
      <c r="J1" s="920" t="s">
        <v>2543</v>
      </c>
      <c r="K1" s="921"/>
    </row>
    <row r="2" spans="1:43" ht="14.25" customHeight="1">
      <c r="A2" s="922" t="s">
        <v>2544</v>
      </c>
      <c r="B2" s="923" t="s">
        <v>120</v>
      </c>
      <c r="C2" s="924" t="s">
        <v>1753</v>
      </c>
      <c r="D2" s="925">
        <f>VLOOKUP('Ввод данных'!F416,связи1!A2:B3,2,0)</f>
        <v>0</v>
      </c>
      <c r="E2" s="926" t="s">
        <v>2545</v>
      </c>
      <c r="F2" s="927"/>
      <c r="G2" s="928"/>
      <c r="H2" s="918">
        <f>дома!Q1113</f>
        <v>1</v>
      </c>
      <c r="I2" s="919">
        <f>H2</f>
        <v>1</v>
      </c>
      <c r="J2" s="920" t="s">
        <v>2546</v>
      </c>
      <c r="K2" s="921"/>
      <c r="L2" s="929"/>
    </row>
    <row r="3" spans="1:43" ht="14.25" customHeight="1">
      <c r="A3" s="548" t="s">
        <v>2547</v>
      </c>
      <c r="B3" s="725" t="s">
        <v>159</v>
      </c>
      <c r="C3" s="930">
        <f>IF('Ввод данных'!A361=связи1!A94,1,0)+IF('Ввод данных'!A361=связи1!A95,1,0)+IF('Ввод данных'!A361=связи1!A96,1,0)+IF('Ввод данных'!A361=связи1!A97,1,0)+IF('Ввод данных'!A361=связи1!A98,1,0)</f>
        <v>1</v>
      </c>
      <c r="D3" s="931">
        <f>IF('Ввод данных'!A33=связи1!A200,0,1)</f>
        <v>0</v>
      </c>
      <c r="E3" s="931">
        <f>IF('Ввод данных'!A33=связи1!A200,0,1)</f>
        <v>0</v>
      </c>
      <c r="F3" s="931">
        <f>IF('Ввод данных'!A33=связи1!A200,0,1)</f>
        <v>0</v>
      </c>
      <c r="G3" s="928"/>
      <c r="H3" s="930">
        <f>IF('Ввод данных'!A33=связи1!A200,0,1)</f>
        <v>0</v>
      </c>
      <c r="I3" s="931">
        <f>IF('Ввод данных'!A33=связи1!A200,0,1)</f>
        <v>0</v>
      </c>
      <c r="J3" s="931">
        <f>IF('Ввод данных'!A33=связи1!A200,0,1)</f>
        <v>0</v>
      </c>
      <c r="K3" s="931">
        <f>IF('Ввод данных'!A33=связи1!A200,0,1)</f>
        <v>0</v>
      </c>
      <c r="L3" s="928"/>
      <c r="M3" s="930">
        <f>IF('Ввод данных'!A33=связи1!A200,0,1)</f>
        <v>0</v>
      </c>
      <c r="N3" s="931">
        <f>IF('Ввод данных'!A33=связи1!A200,0,1)</f>
        <v>0</v>
      </c>
      <c r="O3" s="931">
        <f>IF('Ввод данных'!A33=связи1!A200,0,1)</f>
        <v>0</v>
      </c>
      <c r="P3" s="931">
        <f>IF('Ввод данных'!A33=связи1!A200,0,1)</f>
        <v>0</v>
      </c>
      <c r="Q3" s="928"/>
      <c r="AD3" s="932">
        <f>'Ввод данных'!BD365</f>
        <v>0</v>
      </c>
      <c r="AE3" s="933" t="s">
        <v>1999</v>
      </c>
      <c r="AF3" s="934">
        <v>8</v>
      </c>
      <c r="AH3" s="3139" t="s">
        <v>1093</v>
      </c>
      <c r="AI3" s="3139"/>
      <c r="AJ3" s="936" t="s">
        <v>120</v>
      </c>
      <c r="AK3" s="937" t="s">
        <v>853</v>
      </c>
      <c r="AL3" s="938" t="s">
        <v>1802</v>
      </c>
      <c r="AM3" s="939" t="s">
        <v>853</v>
      </c>
      <c r="AN3" s="939" t="s">
        <v>2548</v>
      </c>
      <c r="AO3" s="939" t="s">
        <v>2549</v>
      </c>
      <c r="AP3" s="940" t="s">
        <v>2550</v>
      </c>
      <c r="AQ3" s="941"/>
    </row>
    <row r="4" spans="1:43" ht="14.25" customHeight="1">
      <c r="A4" s="548" t="s">
        <v>2551</v>
      </c>
      <c r="B4" s="725"/>
      <c r="C4" s="930">
        <f>IF('Ввод данных'!A361=связи1!A94,1,0)+IF('Ввод данных'!A361=связи1!A95,0,0)+IF('Ввод данных'!A361=связи1!A96,0,0)+IF('Ввод данных'!A361=связи1!A97,1,0)+IF('Ввод данных'!A361=связи1!A98,0,0)</f>
        <v>1</v>
      </c>
      <c r="D4" s="931">
        <f>IF('Ввод данных'!A365=связи1!A94,1,0)+IF('Ввод данных'!A365=связи1!A95,0,0)+IF('Ввод данных'!A365=связи1!A96,0,0)+IF('Ввод данных'!A365=связи1!A97,1,0)+IF('Ввод данных'!A365=связи1!A98,0,0)</f>
        <v>0</v>
      </c>
      <c r="E4" s="931">
        <f>IF('Ввод данных'!A369=связи1!A94,1,0)+IF('Ввод данных'!A369=связи1!A95,0,0)+IF('Ввод данных'!A369=связи1!A96,0,0)+IF('Ввод данных'!A369=связи1!A97,1,0)+IF('Ввод данных'!A369=связи1!A98,0,0)</f>
        <v>0</v>
      </c>
      <c r="F4" s="931">
        <f>IF('Ввод данных'!A373=связи1!A94,1,0)+IF('Ввод данных'!A373=связи1!A95,0,0)+IF('Ввод данных'!A373=связи1!A96,0,0)+IF('Ввод данных'!A373=связи1!A97,1,0)+IF('Ввод данных'!A373=связи1!A98,0,0)</f>
        <v>1</v>
      </c>
      <c r="G4" s="928"/>
      <c r="H4" s="930">
        <f t="shared" ref="H4:K5" si="0">C4</f>
        <v>1</v>
      </c>
      <c r="I4" s="931">
        <f t="shared" si="0"/>
        <v>0</v>
      </c>
      <c r="J4" s="931">
        <f t="shared" si="0"/>
        <v>0</v>
      </c>
      <c r="K4" s="931">
        <f t="shared" si="0"/>
        <v>1</v>
      </c>
      <c r="L4" s="928"/>
      <c r="M4" s="930">
        <f>C4</f>
        <v>1</v>
      </c>
      <c r="N4" s="931">
        <f>D4</f>
        <v>0</v>
      </c>
      <c r="O4" s="931">
        <f>E4</f>
        <v>0</v>
      </c>
      <c r="P4" s="931">
        <f>F4</f>
        <v>1</v>
      </c>
      <c r="Q4" s="928"/>
      <c r="AD4" s="932"/>
      <c r="AE4" s="933"/>
      <c r="AF4" s="934"/>
      <c r="AH4" s="942"/>
      <c r="AI4" s="943"/>
      <c r="AJ4" s="936"/>
      <c r="AK4" s="944"/>
      <c r="AL4" s="938"/>
      <c r="AM4" s="939"/>
      <c r="AN4" s="939"/>
      <c r="AO4" s="939"/>
      <c r="AP4" s="940"/>
      <c r="AQ4" s="941"/>
    </row>
    <row r="5" spans="1:43" ht="14.25" customHeight="1">
      <c r="A5" s="548" t="s">
        <v>2552</v>
      </c>
      <c r="B5" s="725" t="s">
        <v>159</v>
      </c>
      <c r="C5" s="930">
        <f>IF('Ввод данных'!A361=связи1!A94,0,0)+IF('Ввод данных'!A361=связи1!A95,1,0)+IF('Ввод данных'!A361=связи1!A96,1,0)+IF('Ввод данных'!A361=связи1!A97,0,0)+IF('Ввод данных'!A361=связи1!A98,1,0)</f>
        <v>0</v>
      </c>
      <c r="D5" s="931">
        <f>IF('Ввод данных'!A365=связи1!A94,0,0)+IF('Ввод данных'!A365=связи1!A95,1,0)+IF('Ввод данных'!A365=связи1!A96,1,0)+IF('Ввод данных'!A365=связи1!A97,0,0)+IF('Ввод данных'!A365=связи1!A98,1,0)</f>
        <v>1</v>
      </c>
      <c r="E5" s="931">
        <f>IF('Ввод данных'!A369=связи1!A94,0,0)+IF('Ввод данных'!A369=связи1!A95,1,0)+IF('Ввод данных'!A369=связи1!A96,1,0)+IF('Ввод данных'!A369=связи1!A97,0,0)+IF('Ввод данных'!A369=связи1!A98,1,0)</f>
        <v>1</v>
      </c>
      <c r="F5" s="931">
        <f>IF('Ввод данных'!A373=связи1!A94,0,0)+IF('Ввод данных'!A373=связи1!A95,1,0)+IF('Ввод данных'!A373=связи1!A96,1,0)+IF('Ввод данных'!A373=связи1!A97,0,0)+IF('Ввод данных'!A373=связи1!A98,1,0)</f>
        <v>0</v>
      </c>
      <c r="G5" s="928"/>
      <c r="H5" s="930">
        <f t="shared" si="0"/>
        <v>0</v>
      </c>
      <c r="I5" s="930">
        <f t="shared" si="0"/>
        <v>1</v>
      </c>
      <c r="J5" s="930">
        <f t="shared" si="0"/>
        <v>1</v>
      </c>
      <c r="K5" s="930">
        <f t="shared" si="0"/>
        <v>0</v>
      </c>
      <c r="L5" s="928"/>
      <c r="M5" s="930">
        <f>H5</f>
        <v>0</v>
      </c>
      <c r="N5" s="930">
        <f>I5</f>
        <v>1</v>
      </c>
      <c r="O5" s="930">
        <f>J5</f>
        <v>1</v>
      </c>
      <c r="P5" s="930">
        <f>K5</f>
        <v>0</v>
      </c>
      <c r="Q5" s="928"/>
      <c r="AD5" s="932">
        <f>'Ввод данных'!BD366</f>
        <v>0.2</v>
      </c>
      <c r="AE5" s="933" t="s">
        <v>2001</v>
      </c>
      <c r="AF5" s="933"/>
      <c r="AH5" s="3124" t="s">
        <v>2553</v>
      </c>
      <c r="AI5" s="3124"/>
      <c r="AJ5" s="938" t="s">
        <v>156</v>
      </c>
      <c r="AK5" s="945">
        <v>0</v>
      </c>
      <c r="AL5" s="946">
        <v>0</v>
      </c>
      <c r="AM5" s="939">
        <f>AK5*AL5</f>
        <v>0</v>
      </c>
      <c r="AN5" s="939"/>
      <c r="AO5" s="939">
        <v>0</v>
      </c>
      <c r="AP5" s="940">
        <v>0</v>
      </c>
      <c r="AQ5" s="941">
        <f>AO5+AP5+0.3</f>
        <v>0.3</v>
      </c>
    </row>
    <row r="6" spans="1:43" ht="14.25" customHeight="1">
      <c r="A6" s="947" t="s">
        <v>2554</v>
      </c>
      <c r="B6" s="948"/>
      <c r="C6" s="949">
        <f>IF('Ввод данных'!A360=связи1!A106,1,0)*D2</f>
        <v>0</v>
      </c>
      <c r="D6" s="950">
        <f>IF('Ввод данных'!A364=связи1!A106,1,0)*D2</f>
        <v>0</v>
      </c>
      <c r="E6" s="950">
        <f>IF('Ввод данных'!A368=связи1!A106,1,0)*D2</f>
        <v>0</v>
      </c>
      <c r="F6" s="950">
        <f>IF('Ввод данных'!A372=связи1!A106,1,0)*D2</f>
        <v>0</v>
      </c>
      <c r="G6" s="928"/>
      <c r="H6" s="949">
        <f>IF('Ввод данных'!A360=связи1!A107,1,0)*D2</f>
        <v>0</v>
      </c>
      <c r="I6" s="949">
        <f>IF('Ввод данных'!A364=связи1!A107,1,0)*D2</f>
        <v>0</v>
      </c>
      <c r="J6" s="949">
        <f>IF('Ввод данных'!A368=связи1!A107,1,0)*D2</f>
        <v>0</v>
      </c>
      <c r="K6" s="949">
        <f>IF('Ввод данных'!A372=связи1!A107,1,0)*D2</f>
        <v>0</v>
      </c>
      <c r="L6" s="928"/>
      <c r="M6" s="949">
        <f>IF('Ввод данных'!A360=связи1!A108,1,0)*D2</f>
        <v>0</v>
      </c>
      <c r="N6" s="949">
        <f>IF('Ввод данных'!A364=связи1!A108,1,0)*D2</f>
        <v>0</v>
      </c>
      <c r="O6" s="949">
        <f>IF('Ввод данных'!A368=связи1!A108,1,0)*D2</f>
        <v>0</v>
      </c>
      <c r="P6" s="949">
        <f>IF('Ввод данных'!A372=связи1!A108,1,0)*D2</f>
        <v>0</v>
      </c>
      <c r="Q6" s="928"/>
      <c r="AD6" s="932"/>
      <c r="AE6" s="933"/>
      <c r="AF6" s="933"/>
      <c r="AH6" s="3124"/>
      <c r="AI6" s="3124"/>
      <c r="AJ6" s="938"/>
      <c r="AK6" s="945"/>
      <c r="AL6" s="946"/>
      <c r="AM6" s="939"/>
      <c r="AN6" s="939"/>
      <c r="AO6" s="939"/>
      <c r="AP6" s="940"/>
      <c r="AQ6" s="941"/>
    </row>
    <row r="7" spans="1:43" ht="14.25" customHeight="1">
      <c r="A7" s="548"/>
      <c r="B7" s="725"/>
      <c r="C7" s="951">
        <f>D2</f>
        <v>0</v>
      </c>
      <c r="D7" s="952">
        <f>D2</f>
        <v>0</v>
      </c>
      <c r="E7" s="952">
        <f>D2</f>
        <v>0</v>
      </c>
      <c r="F7" s="952">
        <f>D2</f>
        <v>0</v>
      </c>
      <c r="G7" s="928"/>
      <c r="H7" s="951">
        <f>D2</f>
        <v>0</v>
      </c>
      <c r="I7" s="951">
        <f>D2</f>
        <v>0</v>
      </c>
      <c r="J7" s="951">
        <f>D2</f>
        <v>0</v>
      </c>
      <c r="K7" s="951">
        <f>D2</f>
        <v>0</v>
      </c>
      <c r="L7" s="928"/>
      <c r="M7" s="951">
        <f>D2</f>
        <v>0</v>
      </c>
      <c r="N7" s="951">
        <f>D2</f>
        <v>0</v>
      </c>
      <c r="O7" s="951">
        <f>D2</f>
        <v>0</v>
      </c>
      <c r="P7" s="951">
        <f>D2</f>
        <v>0</v>
      </c>
      <c r="Q7" s="928"/>
      <c r="AD7" s="932"/>
      <c r="AE7" s="933"/>
      <c r="AF7" s="933"/>
      <c r="AH7" s="3124"/>
      <c r="AI7" s="3124"/>
      <c r="AJ7" s="938"/>
      <c r="AK7" s="945"/>
      <c r="AL7" s="946"/>
      <c r="AM7" s="939"/>
      <c r="AN7" s="939"/>
      <c r="AO7" s="939"/>
      <c r="AP7" s="940"/>
      <c r="AQ7" s="941"/>
    </row>
    <row r="8" spans="1:43" ht="14.25" customHeight="1">
      <c r="A8" s="953" t="s">
        <v>1236</v>
      </c>
      <c r="B8" s="771" t="s">
        <v>120</v>
      </c>
      <c r="C8" s="3140" t="s">
        <v>1753</v>
      </c>
      <c r="D8" s="3140"/>
      <c r="E8" s="3140"/>
      <c r="F8" s="3140"/>
      <c r="G8" s="928"/>
      <c r="H8" s="3140" t="s">
        <v>1753</v>
      </c>
      <c r="I8" s="3140"/>
      <c r="J8" s="3140"/>
      <c r="K8" s="3140"/>
      <c r="L8" s="928"/>
      <c r="M8" s="3140" t="s">
        <v>1753</v>
      </c>
      <c r="N8" s="3140"/>
      <c r="O8" s="3140"/>
      <c r="P8" s="3140"/>
      <c r="Q8" s="928"/>
      <c r="AD8" s="932">
        <f>'Ввод данных'!BD367</f>
        <v>3.2</v>
      </c>
      <c r="AE8" s="933" t="s">
        <v>2002</v>
      </c>
      <c r="AF8" s="933"/>
      <c r="AH8" s="3124"/>
      <c r="AI8" s="3124"/>
      <c r="AJ8" s="938" t="s">
        <v>1322</v>
      </c>
      <c r="AK8" s="945">
        <v>0</v>
      </c>
      <c r="AL8" s="946">
        <v>0</v>
      </c>
      <c r="AM8" s="939">
        <f>AK8*AL8</f>
        <v>0</v>
      </c>
      <c r="AN8" s="939">
        <f>AM8*C35</f>
        <v>0</v>
      </c>
      <c r="AO8" s="939">
        <v>0</v>
      </c>
      <c r="AP8" s="940">
        <v>0</v>
      </c>
      <c r="AQ8" s="941">
        <f>AO8+AP8+0.3</f>
        <v>0.3</v>
      </c>
    </row>
    <row r="9" spans="1:43" ht="14.25" customHeight="1">
      <c r="A9" s="548" t="s">
        <v>2001</v>
      </c>
      <c r="B9" s="725" t="s">
        <v>156</v>
      </c>
      <c r="C9" s="954">
        <f>C34*C33*C25*C6*C32</f>
        <v>0</v>
      </c>
      <c r="D9" s="954">
        <f>D34*D33*D25*D6*D32</f>
        <v>0</v>
      </c>
      <c r="E9" s="954">
        <f>E34*E33*E25*E6*E32</f>
        <v>0</v>
      </c>
      <c r="F9" s="954">
        <f>F34*F33*F25*F6*F32</f>
        <v>0</v>
      </c>
      <c r="G9" s="955">
        <f t="shared" ref="G9:G15" si="1">C9+D9+E9+F9</f>
        <v>0</v>
      </c>
      <c r="H9" s="954">
        <f>H34*H33*H25*H6*H32</f>
        <v>0</v>
      </c>
      <c r="I9" s="954">
        <f>I34*I33*I25*I6*I32</f>
        <v>0</v>
      </c>
      <c r="J9" s="954">
        <f>J34*J33*J25*J6*J32</f>
        <v>0</v>
      </c>
      <c r="K9" s="954">
        <f>K34*K33*K25*K6*K32</f>
        <v>0</v>
      </c>
      <c r="L9" s="955">
        <f t="shared" ref="L9:L15" si="2">H9+I9+J9+K9</f>
        <v>0</v>
      </c>
      <c r="M9" s="954">
        <f>M34*M33*M25*M6</f>
        <v>0</v>
      </c>
      <c r="N9" s="954">
        <f>N34*N33*N25*N6</f>
        <v>0</v>
      </c>
      <c r="O9" s="954">
        <f>O34*O33*O25*O6</f>
        <v>0</v>
      </c>
      <c r="P9" s="954">
        <f>P34*P33*P25*P6</f>
        <v>0</v>
      </c>
      <c r="Q9" s="955">
        <f t="shared" ref="Q9:Q15" si="3">M9+N9+O9+P9</f>
        <v>0</v>
      </c>
      <c r="R9" s="956">
        <f t="shared" ref="R9:R15" si="4">G9+L9+Q9</f>
        <v>0</v>
      </c>
      <c r="AD9" s="957">
        <f>AD8-AD5</f>
        <v>3</v>
      </c>
      <c r="AE9" s="958" t="s">
        <v>2555</v>
      </c>
      <c r="AF9" s="959"/>
      <c r="AH9" s="3124" t="s">
        <v>2556</v>
      </c>
      <c r="AI9" s="3124"/>
      <c r="AJ9" s="938" t="s">
        <v>156</v>
      </c>
      <c r="AK9" s="945">
        <v>0</v>
      </c>
      <c r="AL9" s="946">
        <v>0</v>
      </c>
      <c r="AM9" s="939">
        <f>AK9*AL9</f>
        <v>0</v>
      </c>
      <c r="AN9" s="939">
        <f>AM9*C35</f>
        <v>0</v>
      </c>
      <c r="AO9" s="939">
        <v>0</v>
      </c>
      <c r="AP9" s="940">
        <v>0</v>
      </c>
      <c r="AQ9" s="941">
        <f>AO9+AP9+0.3</f>
        <v>0.3</v>
      </c>
    </row>
    <row r="10" spans="1:43" ht="14.25" customHeight="1">
      <c r="A10" s="548" t="s">
        <v>2557</v>
      </c>
      <c r="B10" s="725" t="s">
        <v>156</v>
      </c>
      <c r="C10" s="954">
        <f>C34*C33*C26*C6*C32</f>
        <v>0</v>
      </c>
      <c r="D10" s="954">
        <f>D34*D33*D26*D6*D32</f>
        <v>0</v>
      </c>
      <c r="E10" s="954">
        <f>E34*E33*E26*E6*E32</f>
        <v>0</v>
      </c>
      <c r="F10" s="954">
        <f>F34*F33*F26*F6*F32</f>
        <v>0</v>
      </c>
      <c r="G10" s="955">
        <f t="shared" si="1"/>
        <v>0</v>
      </c>
      <c r="H10" s="954">
        <f>H34*H33*H26*H6*H32</f>
        <v>0</v>
      </c>
      <c r="I10" s="954">
        <f>I34*I33*I26*I6*I32</f>
        <v>0</v>
      </c>
      <c r="J10" s="954">
        <f>J34*J33*J26*J6*J32</f>
        <v>0</v>
      </c>
      <c r="K10" s="954">
        <f>K34*K33*K26*K6*K32</f>
        <v>0</v>
      </c>
      <c r="L10" s="955">
        <f t="shared" si="2"/>
        <v>0</v>
      </c>
      <c r="M10" s="954">
        <f>M34*M33*M26*M6</f>
        <v>0</v>
      </c>
      <c r="N10" s="954">
        <f>N34*N33*N26*N6</f>
        <v>0</v>
      </c>
      <c r="O10" s="954">
        <f>O34*O33*O26*O6</f>
        <v>0</v>
      </c>
      <c r="P10" s="954">
        <f>P34*P33*P26*P6</f>
        <v>0</v>
      </c>
      <c r="Q10" s="955">
        <f t="shared" si="3"/>
        <v>0</v>
      </c>
      <c r="R10" s="956">
        <f t="shared" si="4"/>
        <v>0</v>
      </c>
      <c r="AD10" s="932">
        <f>'Ввод данных'!BD368</f>
        <v>3.4</v>
      </c>
      <c r="AE10" s="933" t="s">
        <v>2004</v>
      </c>
      <c r="AF10" s="933"/>
      <c r="AH10" s="3124"/>
      <c r="AI10" s="3124"/>
      <c r="AJ10" s="938" t="s">
        <v>156</v>
      </c>
      <c r="AK10" s="945">
        <v>0</v>
      </c>
      <c r="AL10" s="946">
        <v>0</v>
      </c>
      <c r="AM10" s="939">
        <f>AK10*AL10</f>
        <v>0</v>
      </c>
      <c r="AN10" s="939">
        <f>AM10*C35</f>
        <v>0</v>
      </c>
      <c r="AO10" s="939">
        <v>0</v>
      </c>
      <c r="AP10" s="940">
        <v>0</v>
      </c>
      <c r="AQ10" s="941">
        <f>AO10+AP10+0.3</f>
        <v>0.3</v>
      </c>
    </row>
    <row r="11" spans="1:43" ht="14.25" customHeight="1">
      <c r="A11" s="960" t="s">
        <v>2558</v>
      </c>
      <c r="B11" s="961" t="s">
        <v>156</v>
      </c>
      <c r="C11" s="962">
        <f>(IF('Ввод данных'!A361=связи1!A94,0,0)+IF('Ввод данных'!A361=связи1!A95,пристройка!C10,0)+IF('Ввод данных'!A361=связи1!A96,0,0)+IF('Ввод данных'!A361=связи1!A98,пристройка!C116,0)+IF('Ввод данных'!A361=связи1!A97,0,0))*C6*C32</f>
        <v>0</v>
      </c>
      <c r="D11" s="962">
        <f>(IF('Ввод данных'!A365=связи1!A94,0,0)+IF('Ввод данных'!A365=связи1!A95,пристройка!D10,0)+IF('Ввод данных'!A365=связи1!A96,0,0)+IF('Ввод данных'!A365=связи1!A98,пристройка!D116,0)+IF('Ввод данных'!A365=связи1!A97,0,0))*D6*D32</f>
        <v>0</v>
      </c>
      <c r="E11" s="962">
        <f>(IF('Ввод данных'!A369=связи1!A94,0,0)+IF('Ввод данных'!A369=связи1!A95,пристройка!E10,0)+IF('Ввод данных'!A369=связи1!A96,0,0)+IF('Ввод данных'!A369=связи1!A98,пристройка!E116,0)+IF('Ввод данных'!A369=связи1!A97,0,0))*E6*E32</f>
        <v>0</v>
      </c>
      <c r="F11" s="962">
        <f>(IF('Ввод данных'!A373=связи1!A94,0,0)+IF('Ввод данных'!A373=связи1!A95,пристройка!F10,0)+IF('Ввод данных'!A373=связи1!A96,0,0)+IF('Ввод данных'!A373=связи1!A98,пристройка!F116,0)+IF('Ввод данных'!A373=связи1!A97,0,0))*F6*F32</f>
        <v>0</v>
      </c>
      <c r="G11" s="955">
        <f t="shared" si="1"/>
        <v>0</v>
      </c>
      <c r="H11" s="962">
        <f>(IF('Ввод данных'!A361=связи1!A94,0,0)+IF('Ввод данных'!A361=связи1!A95,пристройка!H10,0)+IF('Ввод данных'!A361=связи1!A96,0,0)+IF('Ввод данных'!A361=связи1!A98,пристройка!H116,0)+IF('Ввод данных'!A361=связи1!A97,0,0))*H6</f>
        <v>0</v>
      </c>
      <c r="I11" s="962">
        <f>(IF('Ввод данных'!A365=связи1!A94,0,0)+IF('Ввод данных'!A365=связи1!A95,пристройка!I10,0)+IF('Ввод данных'!A365=связи1!A96,0,0)+IF('Ввод данных'!A365=связи1!A98,пристройка!I116,0)+IF('Ввод данных'!A365=связи1!A97,0,0))*I6</f>
        <v>0</v>
      </c>
      <c r="J11" s="962">
        <f>(IF('Ввод данных'!A369=связи1!A94,0,0)+IF('Ввод данных'!A369=связи1!A95,пристройка!J10,0)+IF('Ввод данных'!A369=связи1!A96,0,0)+IF('Ввод данных'!A369=связи1!A98,пристройка!J116,0)+IF('Ввод данных'!A369=связи1!A97,0,0))*J6</f>
        <v>0</v>
      </c>
      <c r="K11" s="962">
        <f>(IF('Ввод данных'!A373=связи1!A94,0,0)+IF('Ввод данных'!A373=связи1!A95,пристройка!K10,0)+IF('Ввод данных'!A373=связи1!A96,0,0)+IF('Ввод данных'!A373=связи1!A98,пристройка!K116,0)+IF('Ввод данных'!A373=связи1!A97,0,0))*K6</f>
        <v>0</v>
      </c>
      <c r="L11" s="955">
        <f t="shared" si="2"/>
        <v>0</v>
      </c>
      <c r="M11" s="962">
        <f>(IF('Ввод данных'!A361=связи1!A94,0,0)+IF('Ввод данных'!A361=связи1!A95,пристройка!M10,0)+IF('Ввод данных'!A361=связи1!A96,0,0)+IF('Ввод данных'!A361=связи1!A98,пристройка!M116,0)+IF('Ввод данных'!A361=связи1!A97,0,0))*M6</f>
        <v>0</v>
      </c>
      <c r="N11" s="962">
        <f>(IF('Ввод данных'!A365=связи1!A94,0,0)+IF('Ввод данных'!A365=связи1!A95,пристройка!N10,0)+IF('Ввод данных'!A365=связи1!A96,0,0)+IF('Ввод данных'!A365=связи1!A98,пристройка!N116,0)+IF('Ввод данных'!A365=связи1!A97,0,0))*N6</f>
        <v>0</v>
      </c>
      <c r="O11" s="962">
        <f>(IF('Ввод данных'!A369=связи1!A94,0,0)+IF('Ввод данных'!A369=связи1!A95,пристройка!O10,0)+IF('Ввод данных'!A369=связи1!A96,0,0)+IF('Ввод данных'!A369=связи1!A98,пристройка!O116,0)+IF('Ввод данных'!A369=связи1!A97,0,0))*O6</f>
        <v>0</v>
      </c>
      <c r="P11" s="962">
        <f>(IF('Ввод данных'!A373=связи1!A94,0,0)+IF('Ввод данных'!A373=связи1!A95,пристройка!P10,0)+IF('Ввод данных'!A373=связи1!A96,0,0)+IF('Ввод данных'!A373=связи1!A98,пристройка!P116,0)+IF('Ввод данных'!A373=связи1!A97,0,0))*P6</f>
        <v>0</v>
      </c>
      <c r="Q11" s="955">
        <f t="shared" si="3"/>
        <v>0</v>
      </c>
      <c r="R11" s="956">
        <f t="shared" si="4"/>
        <v>0</v>
      </c>
      <c r="AD11" s="932">
        <f>AD39-AD10</f>
        <v>2.6999999999999997</v>
      </c>
      <c r="AE11" s="933" t="s">
        <v>1994</v>
      </c>
      <c r="AF11" s="963"/>
      <c r="AH11" s="3124" t="s">
        <v>2559</v>
      </c>
      <c r="AI11" s="3124"/>
      <c r="AJ11" s="938" t="s">
        <v>1322</v>
      </c>
      <c r="AK11" s="945">
        <v>0</v>
      </c>
      <c r="AL11" s="946">
        <v>0</v>
      </c>
      <c r="AM11" s="939">
        <f>AK11*AL11</f>
        <v>0</v>
      </c>
      <c r="AN11" s="939">
        <f>AM11*C38*C5</f>
        <v>0</v>
      </c>
      <c r="AO11" s="939">
        <v>0</v>
      </c>
      <c r="AP11" s="940">
        <v>0</v>
      </c>
      <c r="AQ11" s="941">
        <f>AO11+AP11+0.3</f>
        <v>0.3</v>
      </c>
    </row>
    <row r="12" spans="1:43" s="917" customFormat="1" ht="14.25" customHeight="1">
      <c r="A12" s="964" t="s">
        <v>2560</v>
      </c>
      <c r="B12" s="965"/>
      <c r="C12" s="966">
        <f>C3*C9*C32*C6</f>
        <v>0</v>
      </c>
      <c r="D12" s="966">
        <f>D3*D9*D32*D6</f>
        <v>0</v>
      </c>
      <c r="E12" s="966">
        <f>E3*E9*E32*E6</f>
        <v>0</v>
      </c>
      <c r="F12" s="967">
        <f>F3*F9*F32*F6</f>
        <v>0</v>
      </c>
      <c r="G12" s="955">
        <f t="shared" si="1"/>
        <v>0</v>
      </c>
      <c r="H12" s="966">
        <f>H3*H9*H32*H6</f>
        <v>0</v>
      </c>
      <c r="I12" s="966">
        <f>I3*I9*I32*I6</f>
        <v>0</v>
      </c>
      <c r="J12" s="966">
        <f>J3*J9*J32*J6</f>
        <v>0</v>
      </c>
      <c r="K12" s="967">
        <f>K3*K9*K32*K6</f>
        <v>0</v>
      </c>
      <c r="L12" s="955">
        <f t="shared" si="2"/>
        <v>0</v>
      </c>
      <c r="M12" s="966">
        <f>M3*M9*M32*M6</f>
        <v>0</v>
      </c>
      <c r="N12" s="966">
        <f>N3*N9*N32*N6</f>
        <v>0</v>
      </c>
      <c r="O12" s="966">
        <f>O3*O9*O32*O6</f>
        <v>0</v>
      </c>
      <c r="P12" s="967">
        <f>P3*P9*P32*P6</f>
        <v>0</v>
      </c>
      <c r="Q12" s="955">
        <f t="shared" si="3"/>
        <v>0</v>
      </c>
      <c r="R12" s="956">
        <f t="shared" si="4"/>
        <v>0</v>
      </c>
      <c r="AD12" s="968"/>
      <c r="AE12" s="939"/>
      <c r="AF12" s="969"/>
      <c r="AH12" s="3124"/>
      <c r="AI12" s="3124"/>
      <c r="AJ12" s="939"/>
      <c r="AK12" s="970"/>
      <c r="AL12" s="971"/>
      <c r="AM12" s="939"/>
      <c r="AN12" s="939"/>
      <c r="AO12" s="939"/>
      <c r="AP12" s="940"/>
      <c r="AQ12" s="941"/>
    </row>
    <row r="13" spans="1:43" s="917" customFormat="1" ht="14.25" customHeight="1">
      <c r="A13" s="964" t="s">
        <v>2561</v>
      </c>
      <c r="B13" s="965"/>
      <c r="C13" s="966">
        <f>C10*C5*C32*C6</f>
        <v>0</v>
      </c>
      <c r="D13" s="966">
        <f>D10*D5*D32*D6</f>
        <v>0</v>
      </c>
      <c r="E13" s="966">
        <f>E10*E5*E32*E6</f>
        <v>0</v>
      </c>
      <c r="F13" s="967">
        <f>F10*F5*F32*F6</f>
        <v>0</v>
      </c>
      <c r="G13" s="955">
        <f t="shared" si="1"/>
        <v>0</v>
      </c>
      <c r="H13" s="966">
        <f>H10*H5*H32*H6</f>
        <v>0</v>
      </c>
      <c r="I13" s="966">
        <f>I10*I5*I32*I6</f>
        <v>0</v>
      </c>
      <c r="J13" s="966">
        <f>J10*J5*J32*J6</f>
        <v>0</v>
      </c>
      <c r="K13" s="967">
        <f>K10*K5*K32*K6</f>
        <v>0</v>
      </c>
      <c r="L13" s="955">
        <f t="shared" si="2"/>
        <v>0</v>
      </c>
      <c r="M13" s="966">
        <f>M10*M5*M32*M6</f>
        <v>0</v>
      </c>
      <c r="N13" s="966">
        <f>N10*N5*N32*N6</f>
        <v>0</v>
      </c>
      <c r="O13" s="966">
        <f>O10*O5*O32*O6</f>
        <v>0</v>
      </c>
      <c r="P13" s="967">
        <f>P10*P5*P32*P6</f>
        <v>0</v>
      </c>
      <c r="Q13" s="955">
        <f t="shared" si="3"/>
        <v>0</v>
      </c>
      <c r="R13" s="956">
        <f t="shared" si="4"/>
        <v>0</v>
      </c>
      <c r="AD13" s="968"/>
      <c r="AE13" s="939"/>
      <c r="AF13" s="969"/>
      <c r="AH13" s="3124"/>
      <c r="AI13" s="3124"/>
      <c r="AJ13" s="939"/>
      <c r="AK13" s="970"/>
      <c r="AL13" s="971"/>
      <c r="AM13" s="939"/>
      <c r="AN13" s="939"/>
      <c r="AO13" s="939"/>
      <c r="AP13" s="940"/>
      <c r="AQ13" s="941"/>
    </row>
    <row r="14" spans="1:43" s="917" customFormat="1" ht="14.25" customHeight="1">
      <c r="A14" s="964" t="s">
        <v>2562</v>
      </c>
      <c r="B14" s="965"/>
      <c r="C14" s="966">
        <f>(IF('Ввод данных'!A361=связи1!A94,пристройка!C10,0)+IF('Ввод данных'!A361=связи1!A95,пристройка!C10,0)+IF('Ввод данных'!A361=связи1!A96,пристройка!C10,0)+IF('Ввод данных'!A361=связи1!A97,пристройка!C114,0)+IF('Ввод данных'!A361=связи1!A98,пристройка!C10,0))*C6*C32</f>
        <v>0</v>
      </c>
      <c r="D14" s="966">
        <f>(IF('Ввод данных'!A365=связи1!A94,пристройка!D10,0)+IF('Ввод данных'!A365=связи1!A95,пристройка!D10,0)+IF('Ввод данных'!A365=связи1!A96,пристройка!D10,0)+IF('Ввод данных'!A365=связи1!A97,пристройка!D114,0)+IF('Ввод данных'!A365=связи1!A98,пристройка!D10,0))*D6*D32</f>
        <v>0</v>
      </c>
      <c r="E14" s="966">
        <f>(IF('Ввод данных'!A369=связи1!A94,пристройка!E10,0)+IF('Ввод данных'!A369=связи1!A95,пристройка!E10,0)+IF('Ввод данных'!A369=связи1!A96,пристройка!E10,0)+IF('Ввод данных'!A369=связи1!A97,пристройка!E114,0)+IF('Ввод данных'!A369=связи1!A98,пристройка!E10,0))*E32*E6</f>
        <v>0</v>
      </c>
      <c r="F14" s="967">
        <f>(IF('Ввод данных'!A373=связи1!A94,пристройка!F10,0)+IF('Ввод данных'!A373=связи1!A95,пристройка!F10,0)+IF('Ввод данных'!A373=связи1!A96,пристройка!F10,0)+IF('Ввод данных'!A373=связи1!A97,пристройка!F114,0)+IF('Ввод данных'!A373=связи1!A98,пристройка!F10,0))*F6*F32</f>
        <v>0</v>
      </c>
      <c r="G14" s="955">
        <f t="shared" si="1"/>
        <v>0</v>
      </c>
      <c r="H14" s="966">
        <f>(IF('Ввод данных'!A361=связи1!A94,пристройка!H10,0)+IF('Ввод данных'!A361=связи1!A95,пристройка!H10,0)+IF('Ввод данных'!A361=связи1!A96,пристройка!H10,0)+IF('Ввод данных'!A361=связи1!A97,пристройка!H114,0)+IF('Ввод данных'!A361=связи1!A98,пристройка!H10,0))*H6*H32</f>
        <v>0</v>
      </c>
      <c r="I14" s="966">
        <f>(IF('Ввод данных'!A365=связи1!A94,пристройка!I10,0)+IF('Ввод данных'!A365=связи1!A95,пристройка!I10,0)+IF('Ввод данных'!A365=связи1!A96,пристройка!I10,0)+IF('Ввод данных'!A365=связи1!A97,пристройка!I114,0)+IF('Ввод данных'!A365=связи1!A98,пристройка!I10,0))*I6*I32</f>
        <v>0</v>
      </c>
      <c r="J14" s="966">
        <f>(IF('Ввод данных'!A369=связи1!A94,пристройка!J10,0)+IF('Ввод данных'!A369=связи1!A95,пристройка!J10,0)+IF('Ввод данных'!A369=связи1!A96,пристройка!J10,0)+IF('Ввод данных'!A369=связи1!A97,пристройка!J114,0)+IF('Ввод данных'!A369=связи1!A98,пристройка!J10,0))*J6*J32</f>
        <v>0</v>
      </c>
      <c r="K14" s="967">
        <f>(IF('Ввод данных'!A373=связи1!A94,пристройка!K10,0)+IF('Ввод данных'!A373=связи1!A95,пристройка!K10,0)+IF('Ввод данных'!A373=связи1!A96,пристройка!K10,0)+IF('Ввод данных'!A373=связи1!A97,пристройка!K114,0)+IF('Ввод данных'!A373=связи1!A98,пристройка!K10,0))*K6*K32</f>
        <v>0</v>
      </c>
      <c r="L14" s="955">
        <f t="shared" si="2"/>
        <v>0</v>
      </c>
      <c r="M14" s="966">
        <f>IF('Ввод данных'!A361=связи1!A94,пристройка!M10,0)+IF('Ввод данных'!A361=связи1!A95,пристройка!M10,0)+IF('Ввод данных'!A361=связи1!A96,пристройка!M10,0)+IF('Ввод данных'!A361=связи1!A97,пристройка!M114,0)+IF('Ввод данных'!A361=связи1!A98,пристройка!M10,0)</f>
        <v>0</v>
      </c>
      <c r="N14" s="966">
        <f>IF('Ввод данных'!A365=связи1!A94,пристройка!N10,0)+IF('Ввод данных'!A365=связи1!A95,пристройка!N10,0)+IF('Ввод данных'!A365=связи1!A96,пристройка!N10,0)+IF('Ввод данных'!A365=связи1!A97,пристройка!N114,0)+IF('Ввод данных'!A365=связи1!A98,пристройка!N10,0)</f>
        <v>0</v>
      </c>
      <c r="O14" s="966">
        <f>IF('Ввод данных'!A369=связи1!A94,пристройка!O10,0)+IF('Ввод данных'!A369=связи1!A95,пристройка!O10,0)+IF('Ввод данных'!A369=связи1!A96,пристройка!O10,0)+IF('Ввод данных'!A369=связи1!A97,пристройка!O114,0)+IF('Ввод данных'!A369=связи1!A98,пристройка!O10,0)</f>
        <v>0</v>
      </c>
      <c r="P14" s="967">
        <f>IF('Ввод данных'!A373=связи1!A94,пристройка!P10,0)+IF('Ввод данных'!A373=связи1!A95,пристройка!P10,0)+IF('Ввод данных'!A373=связи1!A96,пристройка!P10,0)+IF('Ввод данных'!A373=связи1!A97,пристройка!P114,0)+IF('Ввод данных'!A373=связи1!A98,пристройка!P10,0)</f>
        <v>0</v>
      </c>
      <c r="Q14" s="955">
        <f t="shared" si="3"/>
        <v>0</v>
      </c>
      <c r="R14" s="956">
        <f t="shared" si="4"/>
        <v>0</v>
      </c>
      <c r="AD14" s="968"/>
      <c r="AE14" s="939"/>
      <c r="AF14" s="969"/>
      <c r="AH14" s="3124"/>
      <c r="AI14" s="3124"/>
      <c r="AJ14" s="939"/>
      <c r="AK14" s="970"/>
      <c r="AL14" s="971"/>
      <c r="AM14" s="939"/>
      <c r="AN14" s="939"/>
      <c r="AO14" s="939"/>
      <c r="AP14" s="940"/>
      <c r="AQ14" s="941"/>
    </row>
    <row r="15" spans="1:43" s="917" customFormat="1" ht="14.25" customHeight="1">
      <c r="A15" s="964" t="s">
        <v>2563</v>
      </c>
      <c r="B15" s="965"/>
      <c r="C15" s="966">
        <f>(IF('Ввод данных'!A361=связи1!A94,0,0)+IF('Ввод данных'!A361=связи1!A95,пристройка!C11,0)+IF('Ввод данных'!A361=связи1!A96,пристройка!C65,0)+IF('Ввод данных'!A361=связи1!A97,0,0)+IF('Ввод данных'!A361=связи1!A98,пристройка!C114+пристройка!C115+пристройка!C116,0))*C32*C6</f>
        <v>0</v>
      </c>
      <c r="D15" s="966">
        <f>(IF('Ввод данных'!A365=связи1!A94,0,0)+IF('Ввод данных'!A365=связи1!A95,пристройка!D11,0)+IF('Ввод данных'!A365=связи1!A96,пристройка!D65,0)+IF('Ввод данных'!A365=связи1!A97,0,0)+IF('Ввод данных'!A365=связи1!A98,пристройка!D114+пристройка!D115+пристройка!D116,0))*D6*D32</f>
        <v>0</v>
      </c>
      <c r="E15" s="966">
        <f>(IF('Ввод данных'!A369=связи1!A94,0,0)+IF('Ввод данных'!A369=связи1!A95,пристройка!E11,0)+IF('Ввод данных'!A369=связи1!A96,пристройка!E65,0)+IF('Ввод данных'!A369=связи1!A97,0,0)+IF('Ввод данных'!A369=связи1!A98,пристройка!E114+пристройка!E115+пристройка!E116,0))*E32*E6</f>
        <v>0</v>
      </c>
      <c r="F15" s="967">
        <f>(IF('Ввод данных'!A373=связи1!A94,0,0)+IF('Ввод данных'!A373=связи1!A95,пристройка!F11,0)+IF('Ввод данных'!A373=связи1!A96,пристройка!F65,0)+IF('Ввод данных'!A373=связи1!A97,0,0)+IF('Ввод данных'!A373=связи1!A98,пристройка!F114+пристройка!F115+пристройка!F116,0))*F6*F32</f>
        <v>0</v>
      </c>
      <c r="G15" s="955">
        <f t="shared" si="1"/>
        <v>0</v>
      </c>
      <c r="H15" s="966">
        <f>(IF('Ввод данных'!A361=связи1!A94,0,0)+IF('Ввод данных'!A361=связи1!A95,пристройка!H11,0)+IF('Ввод данных'!A361=связи1!A96,пристройка!H65,0)+IF('Ввод данных'!A361=связи1!A97,0,0)+IF('Ввод данных'!A361=связи1!A98,пристройка!H114+пристройка!H115+пристройка!H116,0))*H6*H32</f>
        <v>0</v>
      </c>
      <c r="I15" s="966">
        <f>(IF('Ввод данных'!A365=связи1!A94,0,0)+IF('Ввод данных'!A365=связи1!A95,пристройка!I11,0)+IF('Ввод данных'!A365=связи1!A96,пристройка!I65,0)+IF('Ввод данных'!A365=связи1!A97,0,0)+IF('Ввод данных'!A365=связи1!A98,пристройка!I114+пристройка!I115+пристройка!I116,0))*I6*I32</f>
        <v>0</v>
      </c>
      <c r="J15" s="966">
        <f>(IF('Ввод данных'!A369=связи1!A94,0,0)+IF('Ввод данных'!A369=связи1!A95,пристройка!J11,0)+IF('Ввод данных'!A369=связи1!A96,пристройка!J65,0)+IF('Ввод данных'!A369=связи1!A97,0,0)+IF('Ввод данных'!A369=связи1!A98,пристройка!J114+пристройка!J115+пристройка!J116,0))*J6*J32</f>
        <v>0</v>
      </c>
      <c r="K15" s="967">
        <f>(IF('Ввод данных'!A373=связи1!A94,0,0)+IF('Ввод данных'!A373=связи1!A95,пристройка!K11,0)+IF('Ввод данных'!A373=связи1!A96,пристройка!K65,0)+IF('Ввод данных'!A373=связи1!A97,0,0)+IF('Ввод данных'!A373=связи1!A98,пристройка!K114+пристройка!K115+пристройка!K116,0))*K6*K32</f>
        <v>0</v>
      </c>
      <c r="L15" s="955">
        <f t="shared" si="2"/>
        <v>0</v>
      </c>
      <c r="M15" s="966">
        <f>IF('Ввод данных'!A361=связи1!A94,0,0)+IF('Ввод данных'!A361=связи1!A95,пристройка!M11,0)+IF('Ввод данных'!A361=связи1!A96,пристройка!M65,0)+IF('Ввод данных'!A361=связи1!A97,0,0)+IF('Ввод данных'!A361=связи1!A98,пристройка!M114+пристройка!M115+пристройка!M116,0)</f>
        <v>0</v>
      </c>
      <c r="N15" s="966">
        <f>IF('Ввод данных'!A365=связи1!A94,0,0)+IF('Ввод данных'!A365=связи1!A95,пристройка!N11,0)+IF('Ввод данных'!A365=связи1!A96,пристройка!N65,0)+IF('Ввод данных'!A365=связи1!A97,0,0)+IF('Ввод данных'!A365=связи1!A98,пристройка!N114+пристройка!N115+пристройка!N116,0)</f>
        <v>0</v>
      </c>
      <c r="O15" s="966">
        <f>IF('Ввод данных'!A369=связи1!A94,0,0)+IF('Ввод данных'!A369=связи1!A95,пристройка!O11,0)+IF('Ввод данных'!A369=связи1!A96,пристройка!O65,0)+IF('Ввод данных'!A369=связи1!A97,0,0)+IF('Ввод данных'!A369=связи1!A98,пристройка!O114+пристройка!O115+пристройка!O116,0)</f>
        <v>0</v>
      </c>
      <c r="P15" s="967">
        <f>IF('Ввод данных'!A373=связи1!A94,0,0)+IF('Ввод данных'!A373=связи1!A95,пристройка!P11,0)+IF('Ввод данных'!A373=связи1!A96,пристройка!P65,0)+IF('Ввод данных'!A373=связи1!A97,0,0)+IF('Ввод данных'!A373=связи1!A98,пристройка!P114+пристройка!P115+пристройка!P116,0)</f>
        <v>0</v>
      </c>
      <c r="Q15" s="955">
        <f t="shared" si="3"/>
        <v>0</v>
      </c>
      <c r="R15" s="956">
        <f t="shared" si="4"/>
        <v>0</v>
      </c>
      <c r="AD15" s="968"/>
      <c r="AE15" s="939"/>
      <c r="AF15" s="969"/>
      <c r="AH15" s="3124"/>
      <c r="AI15" s="3124"/>
      <c r="AJ15" s="939"/>
      <c r="AK15" s="970"/>
      <c r="AL15" s="971"/>
      <c r="AM15" s="939"/>
      <c r="AN15" s="939"/>
      <c r="AO15" s="939"/>
      <c r="AP15" s="940"/>
      <c r="AQ15" s="941"/>
    </row>
    <row r="16" spans="1:43" s="917" customFormat="1" ht="14.25" customHeight="1">
      <c r="A16" s="964" t="s">
        <v>2560</v>
      </c>
      <c r="B16" s="965"/>
      <c r="C16" s="966">
        <f>пристройка!D2*пристройка!C25*пристройка!C32</f>
        <v>0</v>
      </c>
      <c r="D16" s="966">
        <f>D2*пристройка!D25*пристройка!D32</f>
        <v>0</v>
      </c>
      <c r="E16" s="966">
        <f>пристройка!D2*пристройка!E25*пристройка!E32</f>
        <v>0</v>
      </c>
      <c r="F16" s="967">
        <f>пристройка!D2*пристройка!F25*пристройка!F32</f>
        <v>0</v>
      </c>
      <c r="G16" s="955"/>
      <c r="H16" s="966">
        <f>пристройка!D2*пристройка!H25*пристройка!H32</f>
        <v>0</v>
      </c>
      <c r="I16" s="966">
        <f>пристройка!D2*пристройка!I25*пристройка!I32</f>
        <v>0</v>
      </c>
      <c r="J16" s="966">
        <f>пристройка!D2*пристройка!J25*пристройка!J32</f>
        <v>0</v>
      </c>
      <c r="K16" s="967">
        <f>пристройка!D2*пристройка!K25*пристройка!K32</f>
        <v>0</v>
      </c>
      <c r="L16" s="955"/>
      <c r="M16" s="966">
        <f>пристройка!D2*пристройка!M25*пристройка!M32</f>
        <v>0</v>
      </c>
      <c r="N16" s="966">
        <f>пристройка!D2*пристройка!N25*пристройка!N32</f>
        <v>0</v>
      </c>
      <c r="O16" s="966">
        <f>пристройка!D2*пристройка!O25*пристройка!O32</f>
        <v>0</v>
      </c>
      <c r="P16" s="967">
        <f>пристройка!D2*пристройка!P25*пристройка!P32</f>
        <v>0</v>
      </c>
      <c r="Q16" s="955"/>
      <c r="R16" s="972"/>
      <c r="AD16" s="968"/>
      <c r="AE16" s="939"/>
      <c r="AF16" s="969"/>
      <c r="AH16" s="3124"/>
      <c r="AI16" s="3124"/>
      <c r="AJ16" s="939"/>
      <c r="AK16" s="970"/>
      <c r="AL16" s="971"/>
      <c r="AM16" s="939"/>
      <c r="AN16" s="939"/>
      <c r="AO16" s="939"/>
      <c r="AP16" s="940"/>
      <c r="AQ16" s="941"/>
    </row>
    <row r="17" spans="1:43" s="917" customFormat="1" ht="14.25" customHeight="1">
      <c r="A17" s="964" t="s">
        <v>2562</v>
      </c>
      <c r="B17" s="965"/>
      <c r="C17" s="966">
        <f>C25*C32*D2</f>
        <v>0</v>
      </c>
      <c r="D17" s="966">
        <f>D25*D32*D2</f>
        <v>0</v>
      </c>
      <c r="E17" s="966">
        <f>E25*E32*D2</f>
        <v>0</v>
      </c>
      <c r="F17" s="967">
        <f>F25*F32*D2</f>
        <v>0</v>
      </c>
      <c r="G17" s="955"/>
      <c r="H17" s="966">
        <f>H25*H32*D2</f>
        <v>0</v>
      </c>
      <c r="I17" s="966">
        <f>I25*I32*D2</f>
        <v>0</v>
      </c>
      <c r="J17" s="966">
        <f>J25*J32*D2</f>
        <v>0</v>
      </c>
      <c r="K17" s="967">
        <f>K25*K32*D2</f>
        <v>0</v>
      </c>
      <c r="L17" s="955"/>
      <c r="M17" s="966">
        <f>M25*M32*D2</f>
        <v>0</v>
      </c>
      <c r="N17" s="966">
        <f>N25*N32*D2</f>
        <v>0</v>
      </c>
      <c r="O17" s="966">
        <f>O25*O32*D2</f>
        <v>0</v>
      </c>
      <c r="P17" s="967">
        <f>P25*P32*D2</f>
        <v>0</v>
      </c>
      <c r="Q17" s="955"/>
      <c r="R17" s="972"/>
      <c r="AD17" s="968"/>
      <c r="AE17" s="939"/>
      <c r="AF17" s="969"/>
      <c r="AH17" s="3124"/>
      <c r="AI17" s="3124"/>
      <c r="AJ17" s="939"/>
      <c r="AK17" s="970"/>
      <c r="AL17" s="971"/>
      <c r="AM17" s="939"/>
      <c r="AN17" s="939"/>
      <c r="AO17" s="939"/>
      <c r="AP17" s="940"/>
      <c r="AQ17" s="941"/>
    </row>
    <row r="18" spans="1:43" s="917" customFormat="1" ht="14.25" customHeight="1">
      <c r="A18" s="964" t="s">
        <v>2561</v>
      </c>
      <c r="B18" s="965"/>
      <c r="C18" s="966">
        <f>C5*C32*D2</f>
        <v>0</v>
      </c>
      <c r="D18" s="966">
        <f>D5*D32*D2</f>
        <v>0</v>
      </c>
      <c r="E18" s="966">
        <f>E5*E32*D2</f>
        <v>0</v>
      </c>
      <c r="F18" s="967">
        <f>F5*F32*D2</f>
        <v>0</v>
      </c>
      <c r="G18" s="955"/>
      <c r="H18" s="966">
        <f>H5*H32*D2</f>
        <v>0</v>
      </c>
      <c r="I18" s="966">
        <f>I5*I32*D2</f>
        <v>0</v>
      </c>
      <c r="J18" s="966">
        <f>J5*J32*D2</f>
        <v>0</v>
      </c>
      <c r="K18" s="967">
        <f>K5*K32*D2</f>
        <v>0</v>
      </c>
      <c r="L18" s="955"/>
      <c r="M18" s="966">
        <f>M5*M32*D2</f>
        <v>0</v>
      </c>
      <c r="N18" s="966">
        <f>N5*N32*D2</f>
        <v>0</v>
      </c>
      <c r="O18" s="966">
        <f>O5*O32*D2</f>
        <v>0</v>
      </c>
      <c r="P18" s="967">
        <f>P5*P32*D2</f>
        <v>0</v>
      </c>
      <c r="Q18" s="955"/>
      <c r="R18" s="972"/>
      <c r="AD18" s="968"/>
      <c r="AE18" s="939"/>
      <c r="AF18" s="969"/>
      <c r="AH18" s="3124"/>
      <c r="AI18" s="3124"/>
      <c r="AJ18" s="939"/>
      <c r="AK18" s="970"/>
      <c r="AL18" s="971"/>
      <c r="AM18" s="939"/>
      <c r="AN18" s="939"/>
      <c r="AO18" s="939"/>
      <c r="AP18" s="940"/>
      <c r="AQ18" s="941"/>
    </row>
    <row r="19" spans="1:43" s="917" customFormat="1" ht="14.25" customHeight="1">
      <c r="A19" s="964" t="s">
        <v>2563</v>
      </c>
      <c r="B19" s="965"/>
      <c r="C19" s="966">
        <f>C5*D2*C32</f>
        <v>0</v>
      </c>
      <c r="D19" s="966">
        <f>D5*D2*D32</f>
        <v>0</v>
      </c>
      <c r="E19" s="966">
        <f>E5*D2*E32</f>
        <v>0</v>
      </c>
      <c r="F19" s="967">
        <f>F5*D2*F32</f>
        <v>0</v>
      </c>
      <c r="G19" s="955"/>
      <c r="H19" s="966">
        <f>H5*D2*H32</f>
        <v>0</v>
      </c>
      <c r="I19" s="966">
        <f>I5*D2*I32</f>
        <v>0</v>
      </c>
      <c r="J19" s="966">
        <f>J5*D2*J32</f>
        <v>0</v>
      </c>
      <c r="K19" s="967">
        <f>K5*D2*K32</f>
        <v>0</v>
      </c>
      <c r="L19" s="955"/>
      <c r="M19" s="966">
        <f>M5*D2*M32</f>
        <v>0</v>
      </c>
      <c r="N19" s="966">
        <f>N5*D2*N32</f>
        <v>0</v>
      </c>
      <c r="O19" s="966">
        <f>O5*D2*O32</f>
        <v>0</v>
      </c>
      <c r="P19" s="967">
        <f>P5*D2*P32</f>
        <v>0</v>
      </c>
      <c r="Q19" s="955"/>
      <c r="R19" s="972"/>
      <c r="AD19" s="968"/>
      <c r="AE19" s="939"/>
      <c r="AF19" s="969"/>
      <c r="AH19" s="3124"/>
      <c r="AI19" s="3124"/>
      <c r="AJ19" s="939"/>
      <c r="AK19" s="970"/>
      <c r="AL19" s="971"/>
      <c r="AM19" s="939"/>
      <c r="AN19" s="939"/>
      <c r="AO19" s="939"/>
      <c r="AP19" s="940"/>
      <c r="AQ19" s="941"/>
    </row>
    <row r="20" spans="1:43" ht="14.25" customHeight="1">
      <c r="A20" s="973"/>
      <c r="B20" s="974"/>
      <c r="C20" s="3140" t="s">
        <v>293</v>
      </c>
      <c r="D20" s="3140"/>
      <c r="E20" s="3140"/>
      <c r="F20" s="3140"/>
      <c r="G20" s="366"/>
      <c r="H20" s="3140" t="s">
        <v>293</v>
      </c>
      <c r="I20" s="3140"/>
      <c r="J20" s="3140"/>
      <c r="K20" s="3140"/>
      <c r="L20" s="366"/>
      <c r="M20" s="3140" t="s">
        <v>293</v>
      </c>
      <c r="N20" s="3140"/>
      <c r="O20" s="3140"/>
      <c r="P20" s="3140"/>
      <c r="Q20" s="366"/>
      <c r="AD20" s="932"/>
      <c r="AE20" s="933"/>
      <c r="AF20" s="963"/>
      <c r="AH20" s="3124"/>
      <c r="AI20" s="3124"/>
      <c r="AJ20" s="938"/>
      <c r="AK20" s="945"/>
      <c r="AL20" s="946"/>
      <c r="AM20" s="939"/>
      <c r="AN20" s="939"/>
      <c r="AO20" s="939"/>
      <c r="AP20" s="940"/>
      <c r="AQ20" s="941"/>
    </row>
    <row r="21" spans="1:43" ht="14.25" customHeight="1">
      <c r="A21" s="548" t="s">
        <v>2001</v>
      </c>
      <c r="B21" s="961"/>
      <c r="C21" s="946">
        <v>0.2</v>
      </c>
      <c r="D21" s="975">
        <v>0.2</v>
      </c>
      <c r="E21" s="976">
        <v>0.2</v>
      </c>
      <c r="F21" s="976">
        <v>0.2</v>
      </c>
      <c r="G21" s="366"/>
      <c r="H21" s="946">
        <f t="shared" ref="H21:I23" si="5">C21</f>
        <v>0.2</v>
      </c>
      <c r="I21" s="977">
        <f t="shared" si="5"/>
        <v>0.2</v>
      </c>
      <c r="J21" s="977">
        <v>0.2</v>
      </c>
      <c r="K21" s="977">
        <v>0.2</v>
      </c>
      <c r="L21" s="366"/>
      <c r="M21" s="946">
        <f t="shared" ref="M21:N23" si="6">H21</f>
        <v>0.2</v>
      </c>
      <c r="N21" s="977">
        <f t="shared" si="6"/>
        <v>0.2</v>
      </c>
      <c r="O21" s="977">
        <v>0.2</v>
      </c>
      <c r="P21" s="977">
        <v>0.2</v>
      </c>
      <c r="Q21" s="366"/>
      <c r="AD21" s="932"/>
      <c r="AE21" s="933"/>
      <c r="AF21" s="963"/>
      <c r="AH21" s="3124"/>
      <c r="AI21" s="3124"/>
      <c r="AJ21" s="938"/>
      <c r="AK21" s="945"/>
      <c r="AL21" s="946"/>
      <c r="AM21" s="939"/>
      <c r="AN21" s="939"/>
      <c r="AO21" s="939"/>
      <c r="AP21" s="940"/>
      <c r="AQ21" s="941"/>
    </row>
    <row r="22" spans="1:43" ht="14.25" customHeight="1">
      <c r="A22" s="548" t="s">
        <v>2557</v>
      </c>
      <c r="B22" s="961"/>
      <c r="C22" s="946">
        <v>0.2</v>
      </c>
      <c r="D22" s="975">
        <v>0.2</v>
      </c>
      <c r="E22" s="976">
        <v>0.2</v>
      </c>
      <c r="F22" s="976">
        <v>0.2</v>
      </c>
      <c r="G22" s="366"/>
      <c r="H22" s="946">
        <f t="shared" si="5"/>
        <v>0.2</v>
      </c>
      <c r="I22" s="977">
        <f t="shared" si="5"/>
        <v>0.2</v>
      </c>
      <c r="J22" s="977">
        <v>0.2</v>
      </c>
      <c r="K22" s="977">
        <v>0.2</v>
      </c>
      <c r="L22" s="366"/>
      <c r="M22" s="946">
        <f t="shared" si="6"/>
        <v>0.2</v>
      </c>
      <c r="N22" s="977">
        <f t="shared" si="6"/>
        <v>0.2</v>
      </c>
      <c r="O22" s="977">
        <v>0.2</v>
      </c>
      <c r="P22" s="977">
        <v>0.2</v>
      </c>
      <c r="Q22" s="366"/>
      <c r="AD22" s="932"/>
      <c r="AE22" s="933"/>
      <c r="AF22" s="963"/>
      <c r="AH22" s="3124"/>
      <c r="AI22" s="3124"/>
      <c r="AJ22" s="938"/>
      <c r="AK22" s="945"/>
      <c r="AL22" s="946"/>
      <c r="AM22" s="939"/>
      <c r="AN22" s="939"/>
      <c r="AO22" s="939"/>
      <c r="AP22" s="940"/>
      <c r="AQ22" s="941"/>
    </row>
    <row r="23" spans="1:43" ht="14.25" customHeight="1">
      <c r="A23" s="960" t="s">
        <v>2558</v>
      </c>
      <c r="B23" s="961"/>
      <c r="C23" s="946">
        <v>0.2</v>
      </c>
      <c r="D23" s="975">
        <v>0.2</v>
      </c>
      <c r="E23" s="976">
        <v>0.2</v>
      </c>
      <c r="F23" s="976">
        <v>0.2</v>
      </c>
      <c r="G23" s="366"/>
      <c r="H23" s="946">
        <f t="shared" si="5"/>
        <v>0.2</v>
      </c>
      <c r="I23" s="977">
        <f t="shared" si="5"/>
        <v>0.2</v>
      </c>
      <c r="J23" s="977">
        <v>0.2</v>
      </c>
      <c r="K23" s="977">
        <v>0.2</v>
      </c>
      <c r="L23" s="366"/>
      <c r="M23" s="946">
        <f t="shared" si="6"/>
        <v>0.2</v>
      </c>
      <c r="N23" s="977">
        <f t="shared" si="6"/>
        <v>0.2</v>
      </c>
      <c r="O23" s="977">
        <v>0.2</v>
      </c>
      <c r="P23" s="977">
        <v>0.2</v>
      </c>
      <c r="Q23" s="366"/>
      <c r="AD23" s="932"/>
      <c r="AE23" s="933"/>
      <c r="AF23" s="963"/>
      <c r="AH23" s="3124"/>
      <c r="AI23" s="3124"/>
      <c r="AJ23" s="938"/>
      <c r="AK23" s="945"/>
      <c r="AL23" s="946"/>
      <c r="AM23" s="939"/>
      <c r="AN23" s="939"/>
      <c r="AO23" s="939"/>
      <c r="AP23" s="940"/>
      <c r="AQ23" s="941"/>
    </row>
    <row r="24" spans="1:43" ht="14.25" customHeight="1">
      <c r="A24" s="973"/>
      <c r="B24" s="974"/>
      <c r="C24" s="3140" t="s">
        <v>1820</v>
      </c>
      <c r="D24" s="3140"/>
      <c r="E24" s="3140"/>
      <c r="F24" s="3140"/>
      <c r="G24" s="366"/>
      <c r="H24" s="3140" t="s">
        <v>1820</v>
      </c>
      <c r="I24" s="3140"/>
      <c r="J24" s="3140"/>
      <c r="K24" s="3140"/>
      <c r="L24" s="366"/>
      <c r="M24" s="3140" t="s">
        <v>1820</v>
      </c>
      <c r="N24" s="3140"/>
      <c r="O24" s="3140"/>
      <c r="P24" s="3140"/>
      <c r="Q24" s="366"/>
      <c r="AD24" s="932"/>
      <c r="AE24" s="933"/>
      <c r="AF24" s="963"/>
      <c r="AH24" s="3124"/>
      <c r="AI24" s="3124"/>
      <c r="AJ24" s="938"/>
      <c r="AK24" s="945"/>
      <c r="AL24" s="946"/>
      <c r="AM24" s="939"/>
      <c r="AN24" s="939"/>
      <c r="AO24" s="939"/>
      <c r="AP24" s="940"/>
      <c r="AQ24" s="941"/>
    </row>
    <row r="25" spans="1:43" ht="14.25" customHeight="1">
      <c r="A25" s="548" t="s">
        <v>2001</v>
      </c>
      <c r="B25" s="961"/>
      <c r="C25" s="931">
        <f>IF('Ввод данных'!A361=связи1!A94,1,0)+IF('Ввод данных'!A361=связи1!A95,1,0)+IF('Ввод данных'!A361=связи1!A96,1,0)+IF('Ввод данных'!A361=связи1!A97,1,0)+IF('Ввод данных'!A361=связи1!A98,1,0)</f>
        <v>1</v>
      </c>
      <c r="D25" s="930">
        <f>IF('Ввод данных'!A365=связи1!A94,1,0)+IF('Ввод данных'!A365=связи1!A95,1,0)+IF('Ввод данных'!A365=связи1!A96,1,0)+IF('Ввод данных'!A365=связи1!A97,1,0)+IF('Ввод данных'!A365=связи1!A98,1,0)</f>
        <v>1</v>
      </c>
      <c r="E25" s="931">
        <f>IF('Ввод данных'!A369=связи1!A94,1,0)+IF('Ввод данных'!A369=связи1!A95,1,0)+IF('Ввод данных'!A369=связи1!A96,1,0)+IF('Ввод данных'!A369=связи1!A97,1,0)+IF('Ввод данных'!A369=связи1!A98,1,0)</f>
        <v>1</v>
      </c>
      <c r="F25" s="931">
        <f>IF('Ввод данных'!A373=связи1!A94,1,0)+IF('Ввод данных'!A373=связи1!A95,1,0)+IF('Ввод данных'!A373=связи1!A96,1,0)+IF('Ввод данных'!A373=связи1!A97,1,0)+IF('Ввод данных'!A373=связи1!A98,1,0)</f>
        <v>1</v>
      </c>
      <c r="G25" s="366">
        <f>пристройка!D2*пристройка!C25*пристройка!C32</f>
        <v>0</v>
      </c>
      <c r="H25" s="930">
        <f t="shared" ref="H25:K27" si="7">C25</f>
        <v>1</v>
      </c>
      <c r="I25" s="930">
        <f t="shared" si="7"/>
        <v>1</v>
      </c>
      <c r="J25" s="930">
        <f t="shared" si="7"/>
        <v>1</v>
      </c>
      <c r="K25" s="930">
        <f t="shared" si="7"/>
        <v>1</v>
      </c>
      <c r="L25" s="366"/>
      <c r="M25" s="930">
        <f t="shared" ref="M25:P27" si="8">H25</f>
        <v>1</v>
      </c>
      <c r="N25" s="930">
        <f t="shared" si="8"/>
        <v>1</v>
      </c>
      <c r="O25" s="930">
        <f t="shared" si="8"/>
        <v>1</v>
      </c>
      <c r="P25" s="930">
        <f t="shared" si="8"/>
        <v>1</v>
      </c>
      <c r="Q25" s="366"/>
      <c r="AD25" s="932"/>
      <c r="AE25" s="933"/>
      <c r="AF25" s="963"/>
      <c r="AH25" s="3124"/>
      <c r="AI25" s="3124"/>
      <c r="AJ25" s="938"/>
      <c r="AK25" s="945"/>
      <c r="AL25" s="946"/>
      <c r="AM25" s="939"/>
      <c r="AN25" s="939"/>
      <c r="AO25" s="939"/>
      <c r="AP25" s="940"/>
      <c r="AQ25" s="941"/>
    </row>
    <row r="26" spans="1:43" ht="14.25" customHeight="1">
      <c r="A26" s="548" t="s">
        <v>2557</v>
      </c>
      <c r="B26" s="961"/>
      <c r="C26" s="931">
        <f>IF('Ввод данных'!A361=связи1!A94,1,0)+IF('Ввод данных'!A361=связи1!A95,1,0)+IF('Ввод данных'!A361=связи1!A96,1,0)+IF('Ввод данных'!A361=связи1!A97,0,0)+IF('Ввод данных'!A361=связи1!A98,1,0)</f>
        <v>0</v>
      </c>
      <c r="D26" s="930">
        <f>IF('Ввод данных'!A365=связи1!A94,1,0)+IF('Ввод данных'!A365=связи1!A95,1,0)+IF('Ввод данных'!A365=связи1!A96,1,0)+IF('Ввод данных'!A365=связи1!A97,0,0)+IF('Ввод данных'!A365=связи1!A98,1,0)</f>
        <v>1</v>
      </c>
      <c r="E26" s="931">
        <f>IF('Ввод данных'!A369=связи1!A94,1,0)+IF('Ввод данных'!A369=связи1!A95,1,0)+IF('Ввод данных'!A369=связи1!A96,1,0)+IF('Ввод данных'!A369=связи1!A97,0,0)+IF('Ввод данных'!A369=связи1!A98,1,0)</f>
        <v>1</v>
      </c>
      <c r="F26" s="931">
        <f>IF('Ввод данных'!A373=связи1!A94,1,0)+IF('Ввод данных'!A373=связи1!A95,1,0)+IF('Ввод данных'!A373=связи1!A96,1,0)+IF('Ввод данных'!A373=связи1!A97,0,0)+IF('Ввод данных'!A373=связи1!A98,1,0)</f>
        <v>1</v>
      </c>
      <c r="G26" s="366"/>
      <c r="H26" s="930">
        <f t="shared" si="7"/>
        <v>0</v>
      </c>
      <c r="I26" s="930">
        <f t="shared" si="7"/>
        <v>1</v>
      </c>
      <c r="J26" s="930">
        <f t="shared" si="7"/>
        <v>1</v>
      </c>
      <c r="K26" s="930">
        <f t="shared" si="7"/>
        <v>1</v>
      </c>
      <c r="L26" s="366"/>
      <c r="M26" s="930">
        <f t="shared" si="8"/>
        <v>0</v>
      </c>
      <c r="N26" s="930">
        <f t="shared" si="8"/>
        <v>1</v>
      </c>
      <c r="O26" s="930">
        <f t="shared" si="8"/>
        <v>1</v>
      </c>
      <c r="P26" s="930">
        <f t="shared" si="8"/>
        <v>1</v>
      </c>
      <c r="Q26" s="366"/>
      <c r="AD26" s="932"/>
      <c r="AE26" s="933"/>
      <c r="AF26" s="963"/>
      <c r="AH26" s="3124"/>
      <c r="AI26" s="3124"/>
      <c r="AJ26" s="938"/>
      <c r="AK26" s="945"/>
      <c r="AL26" s="946"/>
      <c r="AM26" s="939"/>
      <c r="AN26" s="939"/>
      <c r="AO26" s="939"/>
      <c r="AP26" s="940"/>
      <c r="AQ26" s="941"/>
    </row>
    <row r="27" spans="1:43" ht="14.25" customHeight="1">
      <c r="A27" s="960" t="s">
        <v>2558</v>
      </c>
      <c r="B27" s="961"/>
      <c r="C27" s="931">
        <f>IF('Ввод данных'!A361=связи1!A94,0,0)+IF('Ввод данных'!A361=связи1!A95,1,0)+IF('Ввод данных'!A361=связи1!A96,0,0)+IF('Ввод данных'!A361=связи1!A97,0,0)+IF('Ввод данных'!A361=связи1!A98,1,0)</f>
        <v>0</v>
      </c>
      <c r="D27" s="930">
        <f>IF('Ввод данных'!A365=связи1!A94,0,0)+IF('Ввод данных'!A365=связи1!A95,1,0)+IF('Ввод данных'!A365=связи1!A96,0,0)+IF('Ввод данных'!A365=связи1!A97,0,0)+IF('Ввод данных'!A365=связи1!A98,1,0)</f>
        <v>1</v>
      </c>
      <c r="E27" s="931">
        <f>IF('Ввод данных'!A369=связи1!A94,0,0)+IF('Ввод данных'!A369=связи1!A95,1,0)+IF('Ввод данных'!A369=связи1!A96,0,0)+IF('Ввод данных'!A369=связи1!A97,0,0)+IF('Ввод данных'!A369=связи1!A98,1,0)</f>
        <v>0</v>
      </c>
      <c r="F27" s="931">
        <f>IF('Ввод данных'!A373=связи1!A94,0,0)+IF('Ввод данных'!A373=связи1!A95,1,0)+IF('Ввод данных'!A373=связи1!A96,0,0)+IF('Ввод данных'!A373=связи1!A97,0,0)+IF('Ввод данных'!A373=связи1!A98,1,0)</f>
        <v>0</v>
      </c>
      <c r="G27" s="366"/>
      <c r="H27" s="930">
        <f t="shared" si="7"/>
        <v>0</v>
      </c>
      <c r="I27" s="930">
        <f t="shared" si="7"/>
        <v>1</v>
      </c>
      <c r="J27" s="930">
        <f t="shared" si="7"/>
        <v>0</v>
      </c>
      <c r="K27" s="930">
        <f t="shared" si="7"/>
        <v>0</v>
      </c>
      <c r="L27" s="366"/>
      <c r="M27" s="930">
        <f t="shared" si="8"/>
        <v>0</v>
      </c>
      <c r="N27" s="930">
        <f t="shared" si="8"/>
        <v>1</v>
      </c>
      <c r="O27" s="930">
        <f t="shared" si="8"/>
        <v>0</v>
      </c>
      <c r="P27" s="930">
        <f t="shared" si="8"/>
        <v>0</v>
      </c>
      <c r="Q27" s="366"/>
      <c r="AD27" s="932"/>
      <c r="AE27" s="933"/>
      <c r="AF27" s="963"/>
      <c r="AH27" s="3124"/>
      <c r="AI27" s="3124"/>
      <c r="AJ27" s="938"/>
      <c r="AK27" s="945"/>
      <c r="AL27" s="946"/>
      <c r="AM27" s="939"/>
      <c r="AN27" s="939"/>
      <c r="AO27" s="939"/>
      <c r="AP27" s="940"/>
      <c r="AQ27" s="941"/>
    </row>
    <row r="28" spans="1:43" ht="14.25" customHeight="1">
      <c r="A28" s="960" t="s">
        <v>2564</v>
      </c>
      <c r="B28" s="961"/>
      <c r="C28" s="978">
        <f>(C34+C33+C33)*C32*C25</f>
        <v>0</v>
      </c>
      <c r="D28" s="978">
        <f>(D34+D33+D33)*D32*D25</f>
        <v>0</v>
      </c>
      <c r="E28" s="978">
        <f>(E34+E33+E33)*E32*E25</f>
        <v>0</v>
      </c>
      <c r="F28" s="931">
        <f>(F34+F33+F33)*F32*F25</f>
        <v>0</v>
      </c>
      <c r="G28" s="389">
        <f>C28+D28+E28+F28</f>
        <v>0</v>
      </c>
      <c r="H28" s="978">
        <f>(H34+H33+H33)*H32*H25</f>
        <v>0</v>
      </c>
      <c r="I28" s="978">
        <f>(I34+I33+I33)*I32*I25</f>
        <v>0</v>
      </c>
      <c r="J28" s="978">
        <f>(J34+J33+J33)*J32*J25</f>
        <v>0</v>
      </c>
      <c r="K28" s="931">
        <f>(K34+K33+K33)*K32*K25</f>
        <v>0</v>
      </c>
      <c r="L28" s="389">
        <f>H28+I28+J28+K28</f>
        <v>0</v>
      </c>
      <c r="M28" s="978">
        <f>(M34+M33+M33)*M32*M25</f>
        <v>0</v>
      </c>
      <c r="N28" s="978">
        <f>(N34+N33+N33)*N32*N25</f>
        <v>0</v>
      </c>
      <c r="O28" s="978">
        <f>(O34+O33+O33)*O32*O25</f>
        <v>0</v>
      </c>
      <c r="P28" s="931">
        <f>(P34+P33+P33)*P32*P25</f>
        <v>0</v>
      </c>
      <c r="Q28" s="389">
        <f>M28+N28+O28+P28</f>
        <v>0</v>
      </c>
      <c r="R28" s="979">
        <f>G28+L28+Q28</f>
        <v>0</v>
      </c>
      <c r="AD28" s="932"/>
      <c r="AE28" s="933"/>
      <c r="AF28" s="963"/>
      <c r="AH28" s="3124"/>
      <c r="AI28" s="3124"/>
      <c r="AJ28" s="938"/>
      <c r="AK28" s="945"/>
      <c r="AL28" s="946"/>
      <c r="AM28" s="939"/>
      <c r="AN28" s="939"/>
      <c r="AO28" s="939"/>
      <c r="AP28" s="940"/>
      <c r="AQ28" s="941"/>
    </row>
    <row r="29" spans="1:43" ht="14.25" customHeight="1">
      <c r="A29" s="960" t="s">
        <v>2565</v>
      </c>
      <c r="B29" s="961"/>
      <c r="C29" s="978">
        <f>(C34+C33+C33)*C32*C26</f>
        <v>0</v>
      </c>
      <c r="D29" s="978">
        <f>(D34+D33+D33)*D32*D26</f>
        <v>0</v>
      </c>
      <c r="E29" s="978">
        <f>(E34+E33+E33)*E32*E26</f>
        <v>0</v>
      </c>
      <c r="F29" s="931">
        <f>(F34+F33+F33)*F32*F26</f>
        <v>0</v>
      </c>
      <c r="G29" s="389">
        <f>C29+D29+E29+F29</f>
        <v>0</v>
      </c>
      <c r="H29" s="978">
        <f>(H34+H33+H33)*H32*H26</f>
        <v>0</v>
      </c>
      <c r="I29" s="978">
        <f>(I34+I33+I33)*I32*I26</f>
        <v>0</v>
      </c>
      <c r="J29" s="978">
        <f>(J34+J33+J33)*J32*J26</f>
        <v>0</v>
      </c>
      <c r="K29" s="931">
        <f>(K34+K33+K33)*K32*K26</f>
        <v>0</v>
      </c>
      <c r="L29" s="389">
        <f>H29+I29+J29+K29</f>
        <v>0</v>
      </c>
      <c r="M29" s="978">
        <f>(M34+M33+M33)*M32*M26</f>
        <v>0</v>
      </c>
      <c r="N29" s="978">
        <f>(N34+N33+N33)*N32*N26</f>
        <v>0</v>
      </c>
      <c r="O29" s="978">
        <f>(O34+O33+O33)*O32*O26</f>
        <v>0</v>
      </c>
      <c r="P29" s="931">
        <f>(P34+P33+P33)*P32*P26</f>
        <v>0</v>
      </c>
      <c r="Q29" s="389">
        <f>M29+N29+O29+P29</f>
        <v>0</v>
      </c>
      <c r="R29" s="979">
        <f>G29+L29+Q29</f>
        <v>0</v>
      </c>
      <c r="AD29" s="932"/>
      <c r="AE29" s="933"/>
      <c r="AF29" s="963"/>
      <c r="AH29" s="3124"/>
      <c r="AI29" s="3124"/>
      <c r="AJ29" s="938"/>
      <c r="AK29" s="945"/>
      <c r="AL29" s="946"/>
      <c r="AM29" s="939"/>
      <c r="AN29" s="939"/>
      <c r="AO29" s="939"/>
      <c r="AP29" s="940"/>
      <c r="AQ29" s="941"/>
    </row>
    <row r="30" spans="1:43" ht="14.25" customHeight="1">
      <c r="A30" s="960" t="s">
        <v>2566</v>
      </c>
      <c r="B30" s="961"/>
      <c r="C30" s="978">
        <f>(C34+C33+C33)*C32*C27</f>
        <v>0</v>
      </c>
      <c r="D30" s="978">
        <f>(D34+D33+D33)*D32*D27</f>
        <v>0</v>
      </c>
      <c r="E30" s="978">
        <f>(E34+E33+E33)*E32*E27</f>
        <v>0</v>
      </c>
      <c r="F30" s="931">
        <f>(F34+F33+F33)*F32*F27</f>
        <v>0</v>
      </c>
      <c r="G30" s="389">
        <f>C30+D30+E30+F30</f>
        <v>0</v>
      </c>
      <c r="H30" s="978">
        <f>(H34+H33+H33)*H32*H27</f>
        <v>0</v>
      </c>
      <c r="I30" s="978">
        <f>(I34+I33+I33)*I32*I27</f>
        <v>0</v>
      </c>
      <c r="J30" s="978">
        <f>(J34+J33+J33)*J32*J27</f>
        <v>0</v>
      </c>
      <c r="K30" s="931">
        <f>(K34+K33+K33)*K32*K27</f>
        <v>0</v>
      </c>
      <c r="L30" s="389">
        <f>H30+I30+J30+K30</f>
        <v>0</v>
      </c>
      <c r="M30" s="978">
        <f>(M34+M33+M33)*M32*M27</f>
        <v>0</v>
      </c>
      <c r="N30" s="978">
        <f>(N34+N33+N33)*N32*N27</f>
        <v>0</v>
      </c>
      <c r="O30" s="978">
        <f>(O34+O33+O33)*O32*O27</f>
        <v>0</v>
      </c>
      <c r="P30" s="931">
        <f>(P34+P33+P33)*P32*P27</f>
        <v>0</v>
      </c>
      <c r="Q30" s="389">
        <f>M30+N30+O30+P30</f>
        <v>0</v>
      </c>
      <c r="R30" s="979">
        <f>G30+L30+Q30</f>
        <v>0</v>
      </c>
      <c r="AD30" s="932"/>
      <c r="AE30" s="933"/>
      <c r="AF30" s="963"/>
      <c r="AH30" s="3124"/>
      <c r="AI30" s="3124"/>
      <c r="AJ30" s="938"/>
      <c r="AK30" s="945"/>
      <c r="AL30" s="946"/>
      <c r="AM30" s="939"/>
      <c r="AN30" s="939"/>
      <c r="AO30" s="939"/>
      <c r="AP30" s="940"/>
      <c r="AQ30" s="941"/>
    </row>
    <row r="31" spans="1:43" ht="14.25" customHeight="1">
      <c r="A31" s="980"/>
      <c r="B31" s="974"/>
      <c r="C31" s="981" t="s">
        <v>2567</v>
      </c>
      <c r="D31" s="982" t="s">
        <v>2568</v>
      </c>
      <c r="E31" s="959" t="s">
        <v>2569</v>
      </c>
      <c r="F31" s="959" t="s">
        <v>2570</v>
      </c>
      <c r="H31" s="981" t="s">
        <v>2567</v>
      </c>
      <c r="I31" s="982" t="s">
        <v>2568</v>
      </c>
      <c r="J31" s="959" t="s">
        <v>2569</v>
      </c>
      <c r="K31" s="959" t="s">
        <v>2570</v>
      </c>
      <c r="M31" s="981" t="s">
        <v>2567</v>
      </c>
      <c r="N31" s="982" t="s">
        <v>2568</v>
      </c>
      <c r="O31" s="959" t="s">
        <v>2569</v>
      </c>
      <c r="P31" s="959" t="s">
        <v>2570</v>
      </c>
      <c r="AD31" s="932">
        <f>'Ввод данных'!BD370</f>
        <v>5.8</v>
      </c>
      <c r="AE31" s="933" t="s">
        <v>2571</v>
      </c>
      <c r="AF31" s="923"/>
      <c r="AH31" s="3124"/>
      <c r="AI31" s="3124"/>
      <c r="AJ31" s="938" t="s">
        <v>156</v>
      </c>
      <c r="AK31" s="945">
        <v>0</v>
      </c>
      <c r="AL31" s="946">
        <v>0</v>
      </c>
      <c r="AM31" s="939">
        <f>AK31*AL31</f>
        <v>0</v>
      </c>
      <c r="AN31" s="939">
        <f>AM31*C38*C5</f>
        <v>0</v>
      </c>
      <c r="AO31" s="939">
        <v>0</v>
      </c>
      <c r="AP31" s="940">
        <v>0</v>
      </c>
      <c r="AQ31" s="941">
        <f>AO31+AP31+0.3</f>
        <v>0.3</v>
      </c>
    </row>
    <row r="32" spans="1:43" ht="14.25" customHeight="1">
      <c r="A32" s="980"/>
      <c r="B32" s="974"/>
      <c r="C32" s="981">
        <f>связи1!C550*C7*C6</f>
        <v>0</v>
      </c>
      <c r="D32" s="982">
        <f>связи1!D550*D7*D6</f>
        <v>0</v>
      </c>
      <c r="E32" s="959">
        <f>связи1!E550*E7*E6</f>
        <v>0</v>
      </c>
      <c r="F32" s="959">
        <f>связи1!F550*F7*F6</f>
        <v>0</v>
      </c>
      <c r="G32" s="917" t="s">
        <v>2572</v>
      </c>
      <c r="H32" s="983">
        <f>связи1!C550*H7*H6</f>
        <v>0</v>
      </c>
      <c r="I32" s="983">
        <f>связи1!D550*I7*I6</f>
        <v>0</v>
      </c>
      <c r="J32" s="983">
        <f>связи1!E550*J7*J6</f>
        <v>0</v>
      </c>
      <c r="K32" s="983">
        <f>связи1!F550*K7*K6</f>
        <v>0</v>
      </c>
      <c r="L32" s="917" t="s">
        <v>2572</v>
      </c>
      <c r="M32" s="983">
        <f>связи1!C550*пристройка!M6</f>
        <v>0</v>
      </c>
      <c r="N32" s="983">
        <f>связи1!D550*пристройка!N6</f>
        <v>0</v>
      </c>
      <c r="O32" s="983">
        <f>связи1!E550*пристройка!O6</f>
        <v>0</v>
      </c>
      <c r="P32" s="983">
        <f>связи1!F550*пристройка!P6</f>
        <v>0</v>
      </c>
      <c r="AD32" s="932"/>
      <c r="AE32" s="933"/>
      <c r="AF32" s="923"/>
      <c r="AH32" s="725"/>
      <c r="AI32" s="725"/>
      <c r="AJ32" s="938"/>
      <c r="AK32" s="945"/>
      <c r="AL32" s="946"/>
      <c r="AM32" s="939"/>
      <c r="AN32" s="939"/>
      <c r="AO32" s="939"/>
      <c r="AP32" s="940"/>
      <c r="AQ32" s="941"/>
    </row>
    <row r="33" spans="1:43" ht="14.25" customHeight="1">
      <c r="A33" s="960" t="s">
        <v>2573</v>
      </c>
      <c r="B33" s="961" t="s">
        <v>156</v>
      </c>
      <c r="C33" s="945">
        <f>пристройка!AF42</f>
        <v>3</v>
      </c>
      <c r="D33" s="977">
        <f>связи1!D551</f>
        <v>3</v>
      </c>
      <c r="E33" s="984">
        <f>связи1!E551</f>
        <v>3</v>
      </c>
      <c r="F33" s="984">
        <f>связи1!F551</f>
        <v>3</v>
      </c>
      <c r="G33" s="955">
        <f>(C34+C33+C33)*C32*C3+(D34+D33+D33)*D32*D3+E32*(E34+E33+E33)*E3+F32*(F34+F33+F33)*F3</f>
        <v>0</v>
      </c>
      <c r="H33" s="946">
        <f t="shared" ref="H33:H41" si="9">C33</f>
        <v>3</v>
      </c>
      <c r="I33" s="946">
        <f t="shared" ref="I33:I41" si="10">D33</f>
        <v>3</v>
      </c>
      <c r="J33" s="946">
        <f t="shared" ref="J33:J41" si="11">E33</f>
        <v>3</v>
      </c>
      <c r="K33" s="946">
        <f>связи1!F551</f>
        <v>3</v>
      </c>
      <c r="L33" s="955">
        <f>H32*(H34+H33+H33)*H3+I32*(I34+I33+I33)*I3+J32*(J34+J33+J33)*J3+K32*(K34+K33+K33)</f>
        <v>0</v>
      </c>
      <c r="M33" s="946">
        <f t="shared" ref="M33:M41" si="12">H33</f>
        <v>3</v>
      </c>
      <c r="N33" s="946">
        <f t="shared" ref="N33:N41" si="13">I33</f>
        <v>3</v>
      </c>
      <c r="O33" s="946">
        <f t="shared" ref="O33:O41" si="14">J33</f>
        <v>3</v>
      </c>
      <c r="P33" s="946">
        <f>F33</f>
        <v>3</v>
      </c>
      <c r="Q33" s="955">
        <f>M32*(M34+M33+M33)*M3+N32*(N34+N33+N33)*N3+O32*(O34+O33+O33)*O3+P32*(P34+P33+P33)</f>
        <v>0</v>
      </c>
      <c r="R33" s="956">
        <f>G33+L33+Q33</f>
        <v>0</v>
      </c>
      <c r="AD33" s="932"/>
      <c r="AE33" s="933"/>
      <c r="AF33" s="923"/>
      <c r="AH33" s="725"/>
      <c r="AI33" s="725"/>
      <c r="AJ33" s="938"/>
      <c r="AK33" s="945"/>
      <c r="AL33" s="946"/>
      <c r="AM33" s="939"/>
      <c r="AN33" s="939"/>
      <c r="AO33" s="939"/>
      <c r="AP33" s="940"/>
      <c r="AQ33" s="941"/>
    </row>
    <row r="34" spans="1:43" ht="14.25" customHeight="1">
      <c r="A34" s="960" t="s">
        <v>2071</v>
      </c>
      <c r="B34" s="961" t="s">
        <v>156</v>
      </c>
      <c r="C34" s="945">
        <f>пристройка!AF50</f>
        <v>6</v>
      </c>
      <c r="D34" s="977">
        <f>связи1!D552</f>
        <v>3</v>
      </c>
      <c r="E34" s="984">
        <f>связи1!E552</f>
        <v>3</v>
      </c>
      <c r="F34" s="984">
        <f>связи1!F552</f>
        <v>5</v>
      </c>
      <c r="G34" s="955" t="s">
        <v>2574</v>
      </c>
      <c r="H34" s="946">
        <f t="shared" si="9"/>
        <v>6</v>
      </c>
      <c r="I34" s="946">
        <f t="shared" si="10"/>
        <v>3</v>
      </c>
      <c r="J34" s="946">
        <f t="shared" si="11"/>
        <v>3</v>
      </c>
      <c r="K34" s="946">
        <f>связи1!F552</f>
        <v>5</v>
      </c>
      <c r="L34" s="955"/>
      <c r="M34" s="946">
        <f t="shared" si="12"/>
        <v>6</v>
      </c>
      <c r="N34" s="946">
        <f t="shared" si="13"/>
        <v>3</v>
      </c>
      <c r="O34" s="946">
        <f t="shared" si="14"/>
        <v>3</v>
      </c>
      <c r="P34" s="946">
        <f>F34</f>
        <v>5</v>
      </c>
      <c r="AD34" s="932">
        <f>'Ввод данных'!BD371</f>
        <v>6</v>
      </c>
      <c r="AE34" s="933" t="s">
        <v>2008</v>
      </c>
      <c r="AF34" s="933"/>
      <c r="AH34" s="3124" t="s">
        <v>2559</v>
      </c>
      <c r="AI34" s="3124"/>
      <c r="AJ34" s="938" t="s">
        <v>156</v>
      </c>
      <c r="AK34" s="945">
        <v>0</v>
      </c>
      <c r="AL34" s="946">
        <v>0</v>
      </c>
      <c r="AM34" s="939">
        <f>AK34*AL34</f>
        <v>0</v>
      </c>
      <c r="AN34" s="938">
        <f>AM34*C38*C5</f>
        <v>0</v>
      </c>
      <c r="AO34" s="939">
        <v>0</v>
      </c>
      <c r="AP34" s="940">
        <v>0</v>
      </c>
      <c r="AQ34" s="941">
        <f>AO34+AP34+0.3</f>
        <v>0.3</v>
      </c>
    </row>
    <row r="35" spans="1:43" ht="14.25" customHeight="1">
      <c r="A35" s="960" t="s">
        <v>2575</v>
      </c>
      <c r="B35" s="961" t="s">
        <v>156</v>
      </c>
      <c r="C35" s="945">
        <f>(IF('Ввод данных'!A361=связи1!A94,связи1!C553,0)+IF('Ввод данных'!A361=связи1!A95,связи1!C553,0)+IF('Ввод данных'!A361=связи1!A96,связи1!C553,0)+IF('Ввод данных'!A361=связи1!A97,связи1!C553,0)+IF('Ввод данных'!A361=связи1!A98,связи1!C553,0))</f>
        <v>2.9</v>
      </c>
      <c r="D35" s="945">
        <f>IF('Ввод данных'!A365=связи1!A94,связи1!D553,0)+IF('Ввод данных'!A365=связи1!A95,связи1!D553,0)+IF('Ввод данных'!A365=связи1!A96,связи1!D553,0)+IF('Ввод данных'!A365=связи1!A97,связи1!D553,0)+IF('Ввод данных'!A365=связи1!A98,связи1!D553,0)</f>
        <v>2.9</v>
      </c>
      <c r="E35" s="946">
        <f>IF('Ввод данных'!A369=связи1!A94,связи1!E553,0)+IF('Ввод данных'!A369=связи1!A95,связи1!E553,0)+IF('Ввод данных'!A369=связи1!A96,связи1!E553,0)+IF('Ввод данных'!A369=связи1!A97,связи1!E553,0)+IF('Ввод данных'!A369=связи1!A98,связи1!E553,0)</f>
        <v>2.9</v>
      </c>
      <c r="F35" s="984">
        <f>IF('Ввод данных'!A373=связи1!A94,связи1!F553,0)+IF('Ввод данных'!A373=связи1!A95,связи1!F553,0)+IF('Ввод данных'!A373=связи1!A96,связи1!F553,0)+IF('Ввод данных'!A373=связи1!A97,связи1!F553,0)+IF('Ввод данных'!A373=связи1!A98,связи1!F553,0)</f>
        <v>3</v>
      </c>
      <c r="G35" s="955">
        <f>(C34+C33+C33)*C32*C5+(D34+D33+D33)*D32*D5+E32*(E34+E33+E33)*E5+F32*(F34+F33+F33)*F5</f>
        <v>0</v>
      </c>
      <c r="H35" s="946">
        <f t="shared" si="9"/>
        <v>2.9</v>
      </c>
      <c r="I35" s="946">
        <f t="shared" si="10"/>
        <v>2.9</v>
      </c>
      <c r="J35" s="946">
        <f t="shared" si="11"/>
        <v>2.9</v>
      </c>
      <c r="K35" s="946">
        <f t="shared" ref="K35:K41" si="15">F35</f>
        <v>3</v>
      </c>
      <c r="L35" s="955">
        <f>H32*(H34+H33+H33)*H5+I32*(I34+I33+I33)*I5+J32*(J34+J33+J33)*J5+K32*(K34+K33+K33)*K5</f>
        <v>0</v>
      </c>
      <c r="M35" s="946">
        <f t="shared" si="12"/>
        <v>2.9</v>
      </c>
      <c r="N35" s="946">
        <f t="shared" si="13"/>
        <v>2.9</v>
      </c>
      <c r="O35" s="946">
        <f t="shared" si="14"/>
        <v>2.9</v>
      </c>
      <c r="P35" s="946">
        <f t="shared" ref="P35:P41" si="16">K35</f>
        <v>3</v>
      </c>
      <c r="Q35" s="955">
        <f>M32*(M34+M33+M33)*M5+N32*(N34+N33+N33)*N5+O32*(O34+O33+O33)*O5+P32*(P34+P33+P33)*P5</f>
        <v>0</v>
      </c>
      <c r="R35" s="956">
        <f>G35+L35+Q35</f>
        <v>0</v>
      </c>
      <c r="AD35" s="932"/>
      <c r="AE35" s="933"/>
      <c r="AF35" s="933"/>
    </row>
    <row r="36" spans="1:43" ht="14.25" customHeight="1">
      <c r="A36" s="985" t="s">
        <v>1757</v>
      </c>
      <c r="B36" s="961" t="s">
        <v>156</v>
      </c>
      <c r="C36" s="945">
        <f>(IF('Ввод данных'!A361=связи1!A94,связи1!C554,0)+IF('Ввод данных'!A361=связи1!A95,связи1!C553,0)+IF('Ввод данных'!A361=связи1!A96,связи1!C553,0)+IF('Ввод данных'!A361=связи1!A97,связи1!C554,0)+IF('Ввод данных'!A361=связи1!A98,связи1!C553,0))</f>
        <v>5</v>
      </c>
      <c r="D36" s="977">
        <f>IF('Ввод данных'!A365=связи1!A94,связи1!D554,0)+IF('Ввод данных'!A365=связи1!A95,связи1!D553,0)+IF('Ввод данных'!A365=связи1!A96,связи1!D553,0)+IF('Ввод данных'!A365=связи1!A97,связи1!D554,0)+IF('Ввод данных'!A365=связи1!A98,связи1!D553,0)</f>
        <v>2.9</v>
      </c>
      <c r="E36" s="984">
        <f>IF('Ввод данных'!A369=связи1!A94,связи1!E554,0)+IF('Ввод данных'!A369=связи1!A95,связи1!E553,0)+IF('Ввод данных'!A369=связи1!A96,связи1!E553,0)+IF('Ввод данных'!A369=связи1!A97,связи1!E554,0)+IF('Ввод данных'!A369=связи1!A98,связи1!E553,0)</f>
        <v>2.9</v>
      </c>
      <c r="F36" s="984">
        <f>IF('Ввод данных'!A373=связи1!A94,связи1!F554,0)+IF('Ввод данных'!A373=связи1!A95,связи1!F553,0)+IF('Ввод данных'!A373=связи1!A96,связи1!F553,0)+IF('Ввод данных'!A373=связи1!A97,связи1!F554,0)+IF('Ввод данных'!A373=связи1!A98,связи1!F553,0)</f>
        <v>4</v>
      </c>
      <c r="G36" s="955"/>
      <c r="H36" s="946">
        <f t="shared" si="9"/>
        <v>5</v>
      </c>
      <c r="I36" s="946">
        <f t="shared" si="10"/>
        <v>2.9</v>
      </c>
      <c r="J36" s="946">
        <f t="shared" si="11"/>
        <v>2.9</v>
      </c>
      <c r="K36" s="946">
        <f t="shared" si="15"/>
        <v>4</v>
      </c>
      <c r="L36" s="955"/>
      <c r="M36" s="946">
        <f t="shared" si="12"/>
        <v>5</v>
      </c>
      <c r="N36" s="946">
        <f t="shared" si="13"/>
        <v>2.9</v>
      </c>
      <c r="O36" s="946">
        <f t="shared" si="14"/>
        <v>2.9</v>
      </c>
      <c r="P36" s="946">
        <f t="shared" si="16"/>
        <v>4</v>
      </c>
      <c r="AD36" s="932"/>
      <c r="AE36" s="933"/>
      <c r="AF36" s="933"/>
    </row>
    <row r="37" spans="1:43" ht="14.25" customHeight="1">
      <c r="A37" s="985" t="s">
        <v>2576</v>
      </c>
      <c r="B37" s="961" t="s">
        <v>156</v>
      </c>
      <c r="C37" s="945">
        <f>(IF('Ввод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данных'!A361=связи1!A98,связи1!C553,0))</f>
        <v>1.2</v>
      </c>
      <c r="D37" s="977">
        <f>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</f>
        <v>2.9</v>
      </c>
      <c r="E37" s="984">
        <f>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</f>
        <v>2.9</v>
      </c>
      <c r="F37" s="984">
        <f>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</f>
        <v>3</v>
      </c>
      <c r="G37" s="955"/>
      <c r="H37" s="946">
        <f t="shared" si="9"/>
        <v>1.2</v>
      </c>
      <c r="I37" s="946">
        <f t="shared" si="10"/>
        <v>2.9</v>
      </c>
      <c r="J37" s="946">
        <f t="shared" si="11"/>
        <v>2.9</v>
      </c>
      <c r="K37" s="946">
        <f t="shared" si="15"/>
        <v>3</v>
      </c>
      <c r="L37" s="955"/>
      <c r="M37" s="946">
        <f t="shared" si="12"/>
        <v>1.2</v>
      </c>
      <c r="N37" s="946">
        <f t="shared" si="13"/>
        <v>2.9</v>
      </c>
      <c r="O37" s="946">
        <f t="shared" si="14"/>
        <v>2.9</v>
      </c>
      <c r="P37" s="946">
        <f t="shared" si="16"/>
        <v>3</v>
      </c>
      <c r="AD37" s="932"/>
      <c r="AE37" s="933"/>
      <c r="AF37" s="933"/>
    </row>
    <row r="38" spans="1:43" ht="14.25" customHeight="1">
      <c r="A38" s="960" t="s">
        <v>2577</v>
      </c>
      <c r="B38" s="961" t="s">
        <v>156</v>
      </c>
      <c r="C38" s="945">
        <f>(IF('Ввод данных'!A361=связи1!A94,0,0)+IF('Ввод данных'!A361=связи1!A95,связи1!C556,0)+IF('Ввод данных'!A361=связи1!A96,0,0)+IF('Ввод данных'!A361=связи1!A97,0,0)+IF('Ввод данных'!A361=связи1!A98,связи1!C556,0))</f>
        <v>0</v>
      </c>
      <c r="D38" s="977">
        <f>IF('Ввод данных'!A365=связи1!A94,0,0)+IF('Ввод данных'!A365=связи1!A95,связи1!D556,0)+IF('Ввод данных'!A365=связи1!A96,0,0)+IF('Ввод данных'!A365=связи1!A97,0,0)+IF('Ввод данных'!A365=связи1!A98,связи1!D556,0)</f>
        <v>2.2000000000000002</v>
      </c>
      <c r="E38" s="984">
        <f>IF('Ввод данных'!A369=связи1!A94,0,0)+IF('Ввод данных'!A369=связи1!A95,связи1!E556,0)+IF('Ввод данных'!A369=связи1!A96,0,0)+IF('Ввод данных'!A369=связи1!A97,0,0)+IF('Ввод данных'!A369=связи1!A98,связи1!E556,0)</f>
        <v>0</v>
      </c>
      <c r="F38" s="984">
        <f>IF('Ввод данных'!A373=связи1!A94,0,0)+IF('Ввод данных'!A373=связи1!A95,связи1!F556,0)+IF('Ввод данных'!A373=связи1!A96,0,0)+IF('Ввод данных'!A373=связи1!A97,0,0)+IF('Ввод данных'!A373=связи1!A98,связи1!F556,0)</f>
        <v>0</v>
      </c>
      <c r="G38" s="955"/>
      <c r="H38" s="946">
        <f t="shared" si="9"/>
        <v>0</v>
      </c>
      <c r="I38" s="946">
        <f t="shared" si="10"/>
        <v>2.2000000000000002</v>
      </c>
      <c r="J38" s="946">
        <f t="shared" si="11"/>
        <v>0</v>
      </c>
      <c r="K38" s="946">
        <f t="shared" si="15"/>
        <v>0</v>
      </c>
      <c r="L38" s="955"/>
      <c r="M38" s="946">
        <f t="shared" si="12"/>
        <v>0</v>
      </c>
      <c r="N38" s="946">
        <f t="shared" si="13"/>
        <v>2.2000000000000002</v>
      </c>
      <c r="O38" s="946">
        <f t="shared" si="14"/>
        <v>0</v>
      </c>
      <c r="P38" s="946">
        <f t="shared" si="16"/>
        <v>0</v>
      </c>
      <c r="AD38" s="932">
        <f>'Ввод данных'!BD373</f>
        <v>7.3</v>
      </c>
      <c r="AE38" s="933" t="s">
        <v>2011</v>
      </c>
      <c r="AF38" s="933"/>
      <c r="AH38" s="3141" t="s">
        <v>2578</v>
      </c>
      <c r="AI38" s="3141"/>
      <c r="AJ38" s="3141"/>
      <c r="AK38" s="3141"/>
      <c r="AL38" s="3141"/>
      <c r="AM38" s="939">
        <f>SUM(AM5:AM34)</f>
        <v>0</v>
      </c>
      <c r="AN38" s="939">
        <f>SUM(AN5:AN34)</f>
        <v>0</v>
      </c>
      <c r="AO38" s="472"/>
    </row>
    <row r="39" spans="1:43" ht="14.25" customHeight="1">
      <c r="A39" s="986" t="s">
        <v>2579</v>
      </c>
      <c r="B39" s="961" t="s">
        <v>156</v>
      </c>
      <c r="C39" s="987">
        <f>(IF('Ввод данных'!A361=связи1!A94,0,0)+IF('Ввод данных'!A361=связи1!A95,связи1!C557,0)+IF('Ввод данных'!A361=связи1!A96,связи1!C557,0)+IF('Ввод данных'!A361=связи1!A97,0,0)+IF('Ввод данных'!A361=связи1!A98,связи1!C557,0))</f>
        <v>0</v>
      </c>
      <c r="D39" s="977">
        <f>IF('Ввод данных'!A365=связи1!A94,0,0)+IF('Ввод данных'!A365=связи1!A95,связи1!D557,0)+IF('Ввод данных'!A365=связи1!A96,связи1!D557,0)+IF('Ввод данных'!A365=связи1!A97,0,0)+IF('Ввод данных'!A365=связи1!A98,связи1!D557,0)</f>
        <v>0.99999999999999978</v>
      </c>
      <c r="E39" s="984">
        <f>IF('Ввод данных'!A369=связи1!A94,0,0)+IF('Ввод данных'!A369=связи1!A95,связи1!E557,0)+IF('Ввод данных'!A369=связи1!A96,связи1!E557,0)+IF('Ввод данных'!A369=связи1!A97,0,0)+IF('Ввод данных'!A369=связи1!A98,связи1!E557,0)</f>
        <v>2.9</v>
      </c>
      <c r="F39" s="984">
        <f>IF('Ввод данных'!A373=связи1!A94,0,0)+IF('Ввод данных'!A373=связи1!A95,связи1!F557,0)+IF('Ввод данных'!A373=связи1!A96,связи1!F557,0)+IF('Ввод данных'!A373=связи1!A97,0,0)+IF('Ввод данных'!A373=связи1!A98,связи1!F557,0)</f>
        <v>0</v>
      </c>
      <c r="G39" s="955"/>
      <c r="H39" s="946">
        <f t="shared" si="9"/>
        <v>0</v>
      </c>
      <c r="I39" s="946">
        <f t="shared" si="10"/>
        <v>0.99999999999999978</v>
      </c>
      <c r="J39" s="946">
        <f t="shared" si="11"/>
        <v>2.9</v>
      </c>
      <c r="K39" s="946">
        <f t="shared" si="15"/>
        <v>0</v>
      </c>
      <c r="L39" s="955"/>
      <c r="M39" s="946">
        <f t="shared" si="12"/>
        <v>0</v>
      </c>
      <c r="N39" s="946">
        <f t="shared" si="13"/>
        <v>0.99999999999999978</v>
      </c>
      <c r="O39" s="946">
        <f t="shared" si="14"/>
        <v>2.9</v>
      </c>
      <c r="P39" s="946">
        <f t="shared" si="16"/>
        <v>0</v>
      </c>
      <c r="AD39" s="932">
        <f>'Ввод данных'!BD374</f>
        <v>6.1</v>
      </c>
      <c r="AE39" s="933" t="s">
        <v>2013</v>
      </c>
      <c r="AF39" s="933"/>
      <c r="AH39" s="988" t="s">
        <v>2208</v>
      </c>
      <c r="AI39" s="989"/>
      <c r="AJ39" s="788" t="s">
        <v>120</v>
      </c>
      <c r="AK39" s="788" t="s">
        <v>2580</v>
      </c>
      <c r="AL39" s="788" t="s">
        <v>2581</v>
      </c>
      <c r="AM39" s="788" t="s">
        <v>1802</v>
      </c>
      <c r="AN39" s="933" t="s">
        <v>2548</v>
      </c>
    </row>
    <row r="40" spans="1:43" ht="14.25" customHeight="1">
      <c r="A40" s="942" t="s">
        <v>2582</v>
      </c>
      <c r="B40" s="961" t="s">
        <v>156</v>
      </c>
      <c r="C40" s="977">
        <f>(IF('Ввод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данных'!A361=связи1!A98,связи1!C558,0))</f>
        <v>0</v>
      </c>
      <c r="D40" s="977">
        <f>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</f>
        <v>2.2000000000000002</v>
      </c>
      <c r="E40" s="984">
        <f>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</f>
        <v>1.5</v>
      </c>
      <c r="F40" s="984">
        <f>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</f>
        <v>0</v>
      </c>
      <c r="G40" s="990"/>
      <c r="H40" s="946">
        <f t="shared" si="9"/>
        <v>0</v>
      </c>
      <c r="I40" s="946">
        <f t="shared" si="10"/>
        <v>2.2000000000000002</v>
      </c>
      <c r="J40" s="946">
        <f t="shared" si="11"/>
        <v>1.5</v>
      </c>
      <c r="K40" s="946">
        <f t="shared" si="15"/>
        <v>0</v>
      </c>
      <c r="L40" s="990"/>
      <c r="M40" s="946">
        <f t="shared" si="12"/>
        <v>0</v>
      </c>
      <c r="N40" s="946">
        <f t="shared" si="13"/>
        <v>2.2000000000000002</v>
      </c>
      <c r="O40" s="946">
        <f t="shared" si="14"/>
        <v>1.5</v>
      </c>
      <c r="P40" s="946">
        <f t="shared" si="16"/>
        <v>0</v>
      </c>
      <c r="Q40" s="991"/>
      <c r="AD40" s="932">
        <f>'Ввод данных'!BD375</f>
        <v>6.3</v>
      </c>
      <c r="AE40" s="933" t="s">
        <v>2014</v>
      </c>
      <c r="AF40" s="933"/>
      <c r="AH40" s="3124" t="s">
        <v>2210</v>
      </c>
      <c r="AI40" s="3124"/>
      <c r="AJ40" s="725" t="s">
        <v>156</v>
      </c>
      <c r="AK40" s="945">
        <v>0</v>
      </c>
      <c r="AL40" s="946">
        <v>0</v>
      </c>
      <c r="AM40" s="931">
        <v>0</v>
      </c>
      <c r="AN40" s="507">
        <f>AK40*AL40*AM40</f>
        <v>0</v>
      </c>
    </row>
    <row r="41" spans="1:43" ht="14.25" customHeight="1">
      <c r="A41" s="992" t="s">
        <v>2583</v>
      </c>
      <c r="B41" s="993" t="s">
        <v>156</v>
      </c>
      <c r="C41" s="994">
        <f>(C39-C40+C36-C35)</f>
        <v>2.1</v>
      </c>
      <c r="D41" s="994">
        <f>D39-D40+D36-D35</f>
        <v>-1.2000000000000004</v>
      </c>
      <c r="E41" s="994">
        <f>E39-E40+E36-E35</f>
        <v>1.4</v>
      </c>
      <c r="F41" s="994">
        <f>F39-F40+F36-F35</f>
        <v>1</v>
      </c>
      <c r="G41" s="990"/>
      <c r="H41" s="995">
        <f t="shared" si="9"/>
        <v>2.1</v>
      </c>
      <c r="I41" s="995">
        <f t="shared" si="10"/>
        <v>-1.2000000000000004</v>
      </c>
      <c r="J41" s="995">
        <f t="shared" si="11"/>
        <v>1.4</v>
      </c>
      <c r="K41" s="995">
        <f t="shared" si="15"/>
        <v>1</v>
      </c>
      <c r="L41" s="990"/>
      <c r="M41" s="995">
        <f t="shared" si="12"/>
        <v>2.1</v>
      </c>
      <c r="N41" s="995">
        <f t="shared" si="13"/>
        <v>-1.2000000000000004</v>
      </c>
      <c r="O41" s="995">
        <f t="shared" si="14"/>
        <v>1.4</v>
      </c>
      <c r="P41" s="995">
        <f t="shared" si="16"/>
        <v>1</v>
      </c>
      <c r="Q41" s="991"/>
      <c r="AD41" s="941">
        <f>'Ввод данных'!BD376</f>
        <v>6.1</v>
      </c>
      <c r="AE41" s="941" t="s">
        <v>1931</v>
      </c>
      <c r="AF41" s="941"/>
      <c r="AH41" s="3124"/>
      <c r="AI41" s="3124"/>
      <c r="AJ41" s="725" t="s">
        <v>156</v>
      </c>
      <c r="AK41" s="945">
        <v>0</v>
      </c>
      <c r="AL41" s="946">
        <v>0</v>
      </c>
      <c r="AM41" s="931">
        <v>0</v>
      </c>
      <c r="AN41" s="507">
        <f>AK41*AL41*AM41</f>
        <v>0</v>
      </c>
      <c r="AO41" s="472"/>
    </row>
    <row r="42" spans="1:43" ht="14.25" customHeight="1">
      <c r="A42" s="992" t="s">
        <v>2584</v>
      </c>
      <c r="B42" s="996"/>
      <c r="C42" s="997"/>
      <c r="D42" s="997"/>
      <c r="E42" s="997"/>
      <c r="F42" s="997"/>
      <c r="G42" s="928"/>
      <c r="H42" s="998">
        <f>H34/2</f>
        <v>3</v>
      </c>
      <c r="I42" s="998">
        <f>I34/2</f>
        <v>1.5</v>
      </c>
      <c r="J42" s="998">
        <f>J34/2</f>
        <v>1.5</v>
      </c>
      <c r="K42" s="998">
        <f>K34/2</f>
        <v>2.5</v>
      </c>
      <c r="L42" s="928"/>
      <c r="M42" s="998">
        <f>M34/2</f>
        <v>3</v>
      </c>
      <c r="N42" s="998">
        <f>N34/2</f>
        <v>1.5</v>
      </c>
      <c r="O42" s="998">
        <f>O34/2</f>
        <v>1.5</v>
      </c>
      <c r="P42" s="998">
        <f>P34/2</f>
        <v>2.5</v>
      </c>
      <c r="Q42" s="928"/>
      <c r="AD42" s="999" t="s">
        <v>1903</v>
      </c>
      <c r="AE42" s="1000" t="s">
        <v>2572</v>
      </c>
      <c r="AF42" s="1001">
        <f>'Ввод данных'!BD359</f>
        <v>3</v>
      </c>
      <c r="AH42" s="3124"/>
      <c r="AI42" s="3124"/>
      <c r="AJ42" s="725" t="s">
        <v>156</v>
      </c>
      <c r="AK42" s="945">
        <v>0</v>
      </c>
      <c r="AL42" s="946">
        <v>0</v>
      </c>
      <c r="AM42" s="931">
        <v>0</v>
      </c>
      <c r="AN42" s="507">
        <f>AK42*AL42*AM42</f>
        <v>0</v>
      </c>
      <c r="AO42" s="1002">
        <f>AN40+AN41+AN42+AN52+AN54</f>
        <v>0</v>
      </c>
    </row>
    <row r="43" spans="1:43" ht="14.25" customHeight="1">
      <c r="A43" s="1003" t="s">
        <v>2585</v>
      </c>
      <c r="B43" s="1004"/>
      <c r="C43" s="1005">
        <f>C37*C32</f>
        <v>0</v>
      </c>
      <c r="D43" s="1005">
        <f>D37*D32</f>
        <v>0</v>
      </c>
      <c r="E43" s="1005">
        <f>E37*E32</f>
        <v>0</v>
      </c>
      <c r="F43" s="1005">
        <f>F37*F32</f>
        <v>0</v>
      </c>
      <c r="G43" s="991">
        <f>C43+D43+E43+F43</f>
        <v>0</v>
      </c>
      <c r="H43" s="1005">
        <f>H37*H32</f>
        <v>0</v>
      </c>
      <c r="I43" s="1005">
        <f>I37*I32</f>
        <v>0</v>
      </c>
      <c r="J43" s="1005">
        <f>J37*J32</f>
        <v>0</v>
      </c>
      <c r="K43" s="1005">
        <f>K37*K32</f>
        <v>0</v>
      </c>
      <c r="L43" s="991">
        <f>H43+I43+J43+K43</f>
        <v>0</v>
      </c>
      <c r="M43" s="1005">
        <f>M37*M32</f>
        <v>0</v>
      </c>
      <c r="N43" s="1005">
        <f>N37*N32</f>
        <v>0</v>
      </c>
      <c r="O43" s="1005">
        <f>O37*O32</f>
        <v>0</v>
      </c>
      <c r="P43" s="1005">
        <f>P37*P32</f>
        <v>0</v>
      </c>
      <c r="Q43" s="991">
        <f>M43+N43+O43+P43</f>
        <v>0</v>
      </c>
      <c r="R43" s="1006">
        <f>G43+L43+Q43</f>
        <v>0</v>
      </c>
      <c r="AD43" s="999"/>
      <c r="AE43" s="1000"/>
      <c r="AF43" s="1001"/>
      <c r="AH43" s="453"/>
      <c r="AI43" s="1007"/>
      <c r="AJ43" s="725"/>
      <c r="AK43" s="945"/>
      <c r="AL43" s="946"/>
      <c r="AM43" s="931"/>
      <c r="AN43" s="507"/>
      <c r="AO43" s="1002"/>
    </row>
    <row r="44" spans="1:43" ht="14.25" customHeight="1">
      <c r="A44" s="1003" t="s">
        <v>2586</v>
      </c>
      <c r="B44" s="1004"/>
      <c r="C44" s="1005">
        <f>C40*C32</f>
        <v>0</v>
      </c>
      <c r="D44" s="1005">
        <f>D40*D32</f>
        <v>0</v>
      </c>
      <c r="E44" s="1005">
        <f>E40*E32</f>
        <v>0</v>
      </c>
      <c r="F44" s="1005">
        <f>F40*F32</f>
        <v>0</v>
      </c>
      <c r="G44" s="991">
        <f>C44+D44+E44+F44</f>
        <v>0</v>
      </c>
      <c r="H44" s="1005">
        <f>H40*H32</f>
        <v>0</v>
      </c>
      <c r="I44" s="1005">
        <f>I40*I32</f>
        <v>0</v>
      </c>
      <c r="J44" s="1005">
        <f>J40*J32</f>
        <v>0</v>
      </c>
      <c r="K44" s="1005">
        <f>K40*K32</f>
        <v>0</v>
      </c>
      <c r="L44" s="991">
        <f>H44+I44+J44+K44</f>
        <v>0</v>
      </c>
      <c r="M44" s="1005">
        <f>M40*M32</f>
        <v>0</v>
      </c>
      <c r="N44" s="1005">
        <f>N40*N32</f>
        <v>0</v>
      </c>
      <c r="O44" s="1005">
        <f>O40*O32</f>
        <v>0</v>
      </c>
      <c r="P44" s="1005">
        <f>P40*P32</f>
        <v>0</v>
      </c>
      <c r="Q44" s="991">
        <f>M44+N44+O44+P44</f>
        <v>0</v>
      </c>
      <c r="R44" s="1006">
        <f>G44+L44+Q44</f>
        <v>0</v>
      </c>
      <c r="AD44" s="999"/>
      <c r="AE44" s="1000"/>
      <c r="AF44" s="1001"/>
      <c r="AH44" s="453"/>
      <c r="AI44" s="1007"/>
      <c r="AJ44" s="725"/>
      <c r="AK44" s="945"/>
      <c r="AL44" s="946"/>
      <c r="AM44" s="931"/>
      <c r="AN44" s="507"/>
      <c r="AO44" s="1002"/>
    </row>
    <row r="45" spans="1:43" ht="14.25" customHeight="1">
      <c r="A45" s="1008" t="s">
        <v>2587</v>
      </c>
      <c r="B45" s="1009"/>
      <c r="C45" s="1010">
        <f>C36*C32</f>
        <v>0</v>
      </c>
      <c r="D45" s="1010">
        <f>D36*D32</f>
        <v>0</v>
      </c>
      <c r="E45" s="1010">
        <f>E36*E32</f>
        <v>0</v>
      </c>
      <c r="F45" s="1010">
        <f>F36*F32</f>
        <v>0</v>
      </c>
      <c r="G45" s="991">
        <f>C45+D45+E45+F45</f>
        <v>0</v>
      </c>
      <c r="H45" s="1010">
        <f>H36*H32</f>
        <v>0</v>
      </c>
      <c r="I45" s="1010">
        <f>I36*I32</f>
        <v>0</v>
      </c>
      <c r="J45" s="1010">
        <f>J36*J32</f>
        <v>0</v>
      </c>
      <c r="K45" s="1010">
        <f>K36*K32</f>
        <v>0</v>
      </c>
      <c r="L45" s="991">
        <f>H45+I45+J45+K45</f>
        <v>0</v>
      </c>
      <c r="M45" s="1010">
        <f>M36*M32</f>
        <v>0</v>
      </c>
      <c r="N45" s="1010">
        <f>N36*N32</f>
        <v>0</v>
      </c>
      <c r="O45" s="1010">
        <f>O36*O32</f>
        <v>0</v>
      </c>
      <c r="P45" s="1010">
        <f>P36*P32</f>
        <v>0</v>
      </c>
      <c r="Q45" s="991">
        <f>M45+N45+O45+P45</f>
        <v>0</v>
      </c>
      <c r="R45" s="1006">
        <f>G45+L45+Q45</f>
        <v>0</v>
      </c>
      <c r="AD45" s="999"/>
      <c r="AE45" s="1000"/>
      <c r="AF45" s="1001"/>
      <c r="AH45" s="453"/>
      <c r="AI45" s="1007"/>
      <c r="AJ45" s="725"/>
      <c r="AK45" s="945"/>
      <c r="AL45" s="946"/>
      <c r="AM45" s="931"/>
      <c r="AN45" s="507"/>
      <c r="AO45" s="1002"/>
    </row>
    <row r="46" spans="1:43" ht="14.25" customHeight="1">
      <c r="A46" s="1008" t="s">
        <v>2588</v>
      </c>
      <c r="B46" s="1009"/>
      <c r="C46" s="1010">
        <f>C39*C32</f>
        <v>0</v>
      </c>
      <c r="D46" s="1010">
        <f>D39*D32</f>
        <v>0</v>
      </c>
      <c r="E46" s="1010">
        <f>E39*E32</f>
        <v>0</v>
      </c>
      <c r="F46" s="1010">
        <f>F39*F32</f>
        <v>0</v>
      </c>
      <c r="G46" s="991">
        <f>C46+D46+E46+F46</f>
        <v>0</v>
      </c>
      <c r="H46" s="1010">
        <f>H39*H32</f>
        <v>0</v>
      </c>
      <c r="I46" s="1010">
        <f>I39*I32</f>
        <v>0</v>
      </c>
      <c r="J46" s="1010">
        <f>J39*J32</f>
        <v>0</v>
      </c>
      <c r="K46" s="1010">
        <f>K39*K32</f>
        <v>0</v>
      </c>
      <c r="L46" s="991">
        <f>H46+I46+J46+K46</f>
        <v>0</v>
      </c>
      <c r="M46" s="1010">
        <f>M39*M32</f>
        <v>0</v>
      </c>
      <c r="N46" s="1010">
        <f>N39*N32</f>
        <v>0</v>
      </c>
      <c r="O46" s="1010">
        <f>O39*O32</f>
        <v>0</v>
      </c>
      <c r="P46" s="1010">
        <f>P39*P32</f>
        <v>0</v>
      </c>
      <c r="Q46" s="991">
        <f>M46+N46+O46+P46</f>
        <v>0</v>
      </c>
      <c r="R46" s="1006">
        <f>G46+L46+Q46</f>
        <v>0</v>
      </c>
      <c r="AD46" s="999"/>
      <c r="AE46" s="1000"/>
      <c r="AF46" s="1001"/>
      <c r="AH46" s="453"/>
      <c r="AI46" s="1007"/>
      <c r="AJ46" s="725"/>
      <c r="AK46" s="945"/>
      <c r="AL46" s="946"/>
      <c r="AM46" s="931"/>
      <c r="AN46" s="507"/>
      <c r="AO46" s="1002"/>
    </row>
    <row r="47" spans="1:43" ht="14.25" customHeight="1">
      <c r="A47" s="1011" t="s">
        <v>2589</v>
      </c>
      <c r="B47" s="1012"/>
      <c r="C47" s="1013">
        <f>CEILING(IF(C34&lt;=2,2,IF(C34&gt;2,C34/2+1,0))*C32,1)</f>
        <v>0</v>
      </c>
      <c r="D47" s="1013">
        <f>CEILING(IF(D34&lt;=2,2,IF(D34&gt;2,D34/2+1,0))*D32,1)</f>
        <v>0</v>
      </c>
      <c r="E47" s="1013">
        <f>CEILING(IF(E34&lt;=2,2,IF(E34&gt;2,E34/2+1,0))*E32,1)</f>
        <v>0</v>
      </c>
      <c r="F47" s="1013">
        <f>CEILING(IF(F34&lt;=2,2,IF(F34&gt;2,F34/2+1,0))*F32,1)</f>
        <v>0</v>
      </c>
      <c r="G47" s="1014"/>
      <c r="H47" s="1013">
        <f>CEILING(IF(H34&lt;=2,2,IF(H34&gt;2,H34/2+1,0))*H32,1)</f>
        <v>0</v>
      </c>
      <c r="I47" s="1013">
        <f>CEILING(IF(I34&lt;=2,2,IF(I34&gt;2,I34/2+1,0))*I32,1)</f>
        <v>0</v>
      </c>
      <c r="J47" s="1013">
        <f>CEILING(IF(J34&lt;=2,2,IF(J34&gt;2,J34/2+1,0))*J32,1)</f>
        <v>0</v>
      </c>
      <c r="K47" s="1013">
        <f>CEILING(IF(K34&lt;=2,2,IF(K34&gt;2,K34/2+1,0))*K32,1)</f>
        <v>0</v>
      </c>
      <c r="L47" s="1014"/>
      <c r="M47" s="1013">
        <f>CEILING(IF(M34&lt;=2,2,IF(M34&gt;2,M34/2+1,0))*M32,1)</f>
        <v>0</v>
      </c>
      <c r="N47" s="1013">
        <f>CEILING(IF(N34&lt;=2,2,IF(N34&gt;2,N34/2+1,0))*N32,1)</f>
        <v>0</v>
      </c>
      <c r="O47" s="1013">
        <f>CEILING(IF(O34&lt;=2,2,IF(O34&gt;2,O34/2+1,0))*O32,1)</f>
        <v>0</v>
      </c>
      <c r="P47" s="1013">
        <f>CEILING(IF(P34&lt;=2,2,IF(P34&gt;2,P34/2+1,0))*P32,1)</f>
        <v>0</v>
      </c>
      <c r="Q47" s="991"/>
      <c r="R47" s="1006">
        <f>C47+D47+E47+F47+H47+I47+J47+K47+M47+N47+O47+P47</f>
        <v>0</v>
      </c>
      <c r="AD47" s="999"/>
      <c r="AE47" s="1000"/>
      <c r="AF47" s="1001"/>
      <c r="AH47" s="453"/>
      <c r="AI47" s="1007"/>
      <c r="AJ47" s="725"/>
      <c r="AK47" s="945"/>
      <c r="AL47" s="946"/>
      <c r="AM47" s="931"/>
      <c r="AN47" s="507"/>
      <c r="AO47" s="1002"/>
    </row>
    <row r="48" spans="1:43" ht="14.25" customHeight="1">
      <c r="A48" s="1011" t="s">
        <v>2590</v>
      </c>
      <c r="B48" s="1012"/>
      <c r="C48" s="1013">
        <f>CEILING(IF(C33&lt;=2,2,IF(C33&gt;2,C33/2+1,0))*C32,1)*2</f>
        <v>0</v>
      </c>
      <c r="D48" s="1013">
        <f>CEILING(IF(D33&lt;=2,2,IF(D33&gt;2,D33/2+1,0))*D32,1)*2</f>
        <v>0</v>
      </c>
      <c r="E48" s="1013">
        <f>CEILING(IF(E33&lt;=2,2,IF(E33&gt;2,E33/2+1,0))*E32,1)*2</f>
        <v>0</v>
      </c>
      <c r="F48" s="1013">
        <f>CEILING(IF(F33&lt;=2,2,IF(F33&gt;2,F33/2+1,0))*F32,1)*2</f>
        <v>0</v>
      </c>
      <c r="G48" s="1014"/>
      <c r="H48" s="1013">
        <f>CEILING(IF(H33&lt;=2,2,IF(H33&gt;2,H33/2+1,0))*H32,1)*2</f>
        <v>0</v>
      </c>
      <c r="I48" s="1013">
        <f>CEILING(IF(I33&lt;=2,2,IF(I33&gt;2,I33/2+1,0))*I32,1)*2</f>
        <v>0</v>
      </c>
      <c r="J48" s="1013">
        <f>CEILING(IF(J33&lt;=2,2,IF(J33&gt;2,J33/2+1,0))*J32,1)*2</f>
        <v>0</v>
      </c>
      <c r="K48" s="1013">
        <f>CEILING(IF(K33&lt;=2,2,IF(K33&gt;2,K33/2+1,0))*K32,1)*2</f>
        <v>0</v>
      </c>
      <c r="L48" s="1014"/>
      <c r="M48" s="1013">
        <f>CEILING(IF(M33&lt;=2,2,IF(M33&gt;2,M33/2+1,0))*M32,1)*2</f>
        <v>0</v>
      </c>
      <c r="N48" s="1013">
        <f>CEILING(IF(N33&lt;=2,2,IF(N33&gt;2,N33/2+1,0))*N32,1)*2</f>
        <v>0</v>
      </c>
      <c r="O48" s="1013">
        <f>CEILING(IF(O33&lt;=2,2,IF(O33&gt;2,O33/2+1,0))*O32,1)*2</f>
        <v>0</v>
      </c>
      <c r="P48" s="1013">
        <f>CEILING(IF(P33&lt;=2,2,IF(P33&gt;2,P33/2+1,0))*P32,1)*2</f>
        <v>0</v>
      </c>
      <c r="Q48" s="991"/>
      <c r="R48" s="1006">
        <f>C48+D48+E48+F48+H48+I48+J48+K48+M48+N48+O48+P48</f>
        <v>0</v>
      </c>
      <c r="AD48" s="999"/>
      <c r="AE48" s="1000"/>
      <c r="AF48" s="1001"/>
      <c r="AH48" s="453"/>
      <c r="AI48" s="1007"/>
      <c r="AJ48" s="725"/>
      <c r="AK48" s="945"/>
      <c r="AL48" s="946"/>
      <c r="AM48" s="931"/>
      <c r="AN48" s="507"/>
      <c r="AO48" s="1002"/>
    </row>
    <row r="49" spans="1:41" ht="14.25" customHeight="1">
      <c r="A49" s="1011"/>
      <c r="B49" s="1012"/>
      <c r="C49" s="1013"/>
      <c r="D49" s="1013"/>
      <c r="E49" s="1013"/>
      <c r="F49" s="1013"/>
      <c r="G49" s="1014"/>
      <c r="H49" s="1013"/>
      <c r="I49" s="1013"/>
      <c r="J49" s="1013"/>
      <c r="K49" s="1013"/>
      <c r="L49" s="1014"/>
      <c r="M49" s="1013"/>
      <c r="N49" s="1013"/>
      <c r="O49" s="1013"/>
      <c r="P49" s="1013"/>
      <c r="Q49" s="1015" t="s">
        <v>2591</v>
      </c>
      <c r="R49" s="1016">
        <f>R48+R47</f>
        <v>0</v>
      </c>
      <c r="AD49" s="999"/>
      <c r="AE49" s="1000"/>
      <c r="AF49" s="1001"/>
      <c r="AH49" s="453"/>
      <c r="AI49" s="1007"/>
      <c r="AJ49" s="725"/>
      <c r="AK49" s="945"/>
      <c r="AL49" s="946"/>
      <c r="AM49" s="931"/>
      <c r="AN49" s="507"/>
      <c r="AO49" s="1002"/>
    </row>
    <row r="50" spans="1:41" ht="14.25" customHeight="1">
      <c r="A50" s="1017" t="s">
        <v>2592</v>
      </c>
      <c r="B50" s="1018" t="s">
        <v>120</v>
      </c>
      <c r="C50" s="1019" t="s">
        <v>853</v>
      </c>
      <c r="D50" s="982">
        <v>1</v>
      </c>
      <c r="E50" s="1020"/>
      <c r="F50" s="1020"/>
      <c r="G50" s="1021"/>
      <c r="H50" s="1019" t="s">
        <v>853</v>
      </c>
      <c r="I50" s="982">
        <v>1</v>
      </c>
      <c r="J50" s="1020"/>
      <c r="K50" s="1020"/>
      <c r="L50" s="921"/>
      <c r="M50" s="1019" t="s">
        <v>853</v>
      </c>
      <c r="N50" s="982">
        <v>1</v>
      </c>
      <c r="O50" s="1020"/>
      <c r="P50" s="1020"/>
      <c r="Q50" s="921"/>
      <c r="AD50" s="999" t="s">
        <v>1906</v>
      </c>
      <c r="AE50" s="1022">
        <f>AF42+AF42+AF50</f>
        <v>12</v>
      </c>
      <c r="AF50" s="1001">
        <f>'Ввод данных'!BD360</f>
        <v>6</v>
      </c>
      <c r="AH50" s="3142" t="s">
        <v>2593</v>
      </c>
      <c r="AI50" s="3142"/>
      <c r="AJ50" s="725" t="s">
        <v>156</v>
      </c>
      <c r="AK50" s="945">
        <v>0</v>
      </c>
      <c r="AL50" s="946">
        <v>0</v>
      </c>
      <c r="AM50" s="931">
        <v>0</v>
      </c>
      <c r="AN50" s="507">
        <f>AK50*AL50*AM50</f>
        <v>0</v>
      </c>
      <c r="AO50" s="936"/>
    </row>
    <row r="51" spans="1:41" ht="14.25" customHeight="1">
      <c r="A51" s="1023" t="s">
        <v>2594</v>
      </c>
      <c r="B51" s="1024" t="s">
        <v>156</v>
      </c>
      <c r="C51" s="558">
        <f>SQRT(C33*C33+(C39-C40+C36-C37)*(C39-C40+C36-C37))</f>
        <v>4.8414873747640819</v>
      </c>
      <c r="D51" s="558">
        <f>SQRT(D33*D33+(D39-D40+D36-D37)*(D39-D40+D36-D37))</f>
        <v>3.2310988842807027</v>
      </c>
      <c r="E51" s="558">
        <f>SQRT(E33*E33+(E39-E40+E36-E37)*(E39-E40+E36-E37))</f>
        <v>3.3105890714493698</v>
      </c>
      <c r="F51" s="558">
        <f>SQRT(F33*F33+(F39-F40+F36-F37)*(F39-F40+F36-F37))</f>
        <v>3.1622776601683795</v>
      </c>
      <c r="H51" s="558">
        <f>SQRT((H34/2)*(H34/2)+(H39-H40+H36-H35)*(H39-H40+H36-H35))</f>
        <v>3.6619666847201109</v>
      </c>
      <c r="I51" s="558">
        <f>SQRT((I34/2)*(I34/2)+(I39-I40+I36-I35)*(I39-I40+I36-I35))</f>
        <v>1.9209372712298549</v>
      </c>
      <c r="J51" s="558">
        <f>SQRT((J34/2)*(J34/2)+(J39-J40+J36-J35)*(J39-J40+J36-J35))</f>
        <v>2.0518284528683193</v>
      </c>
      <c r="K51" s="558">
        <f>SQRT((K34/2)*(K34/2)+(K39-K40+K36-K35)*(K39-K40+K36-K35))</f>
        <v>2.6925824035672519</v>
      </c>
      <c r="M51" s="558"/>
      <c r="N51" s="558"/>
      <c r="O51" s="558"/>
      <c r="P51" s="558"/>
      <c r="AD51" s="999" t="s">
        <v>1992</v>
      </c>
      <c r="AE51" s="1000">
        <v>3</v>
      </c>
      <c r="AF51" s="1001">
        <f>'Ввод данных'!BD361</f>
        <v>2.9</v>
      </c>
      <c r="AH51" s="3142"/>
      <c r="AI51" s="3142"/>
      <c r="AJ51" s="725" t="s">
        <v>156</v>
      </c>
      <c r="AK51" s="945">
        <v>0</v>
      </c>
      <c r="AL51" s="946">
        <v>0</v>
      </c>
      <c r="AM51" s="931">
        <v>0</v>
      </c>
      <c r="AN51" s="507">
        <f>AK51*AL51*AM51</f>
        <v>0</v>
      </c>
      <c r="AO51" s="1002">
        <f>AN50+AN51</f>
        <v>0</v>
      </c>
    </row>
    <row r="52" spans="1:41" ht="14.25" customHeight="1">
      <c r="A52" s="1025" t="s">
        <v>2595</v>
      </c>
      <c r="B52" s="1026" t="s">
        <v>156</v>
      </c>
      <c r="C52" s="1027">
        <f>связи1!C559</f>
        <v>0.5</v>
      </c>
      <c r="D52" s="1028">
        <f>связи1!D559</f>
        <v>0.6</v>
      </c>
      <c r="E52" s="1028">
        <f>связи1!E559</f>
        <v>0.6</v>
      </c>
      <c r="F52" s="1028">
        <f>связи1!F559</f>
        <v>0.6</v>
      </c>
      <c r="H52" s="1027">
        <f t="shared" ref="H52:K55" si="17">C52</f>
        <v>0.5</v>
      </c>
      <c r="I52" s="1027">
        <f t="shared" si="17"/>
        <v>0.6</v>
      </c>
      <c r="J52" s="1027">
        <f t="shared" si="17"/>
        <v>0.6</v>
      </c>
      <c r="K52" s="1027">
        <f t="shared" si="17"/>
        <v>0.6</v>
      </c>
      <c r="M52" s="1027">
        <f t="shared" ref="M52:P55" si="18">H52</f>
        <v>0.5</v>
      </c>
      <c r="N52" s="1027">
        <f t="shared" si="18"/>
        <v>0.6</v>
      </c>
      <c r="O52" s="1027">
        <f t="shared" si="18"/>
        <v>0.6</v>
      </c>
      <c r="P52" s="1027">
        <f t="shared" si="18"/>
        <v>0.6</v>
      </c>
      <c r="AD52" s="999" t="s">
        <v>1994</v>
      </c>
      <c r="AE52" s="1000">
        <v>4</v>
      </c>
      <c r="AF52" s="1001">
        <f>'Ввод данных'!BD362</f>
        <v>2.5</v>
      </c>
      <c r="AH52" s="3139" t="s">
        <v>1217</v>
      </c>
      <c r="AI52" s="3139"/>
      <c r="AJ52" s="961" t="s">
        <v>156</v>
      </c>
      <c r="AK52" s="945">
        <v>0</v>
      </c>
      <c r="AL52" s="946">
        <v>0</v>
      </c>
      <c r="AM52" s="931">
        <v>0</v>
      </c>
      <c r="AN52" s="938">
        <f>AK52*AL52*AM52</f>
        <v>0</v>
      </c>
      <c r="AO52" s="936"/>
    </row>
    <row r="53" spans="1:41" ht="14.25" customHeight="1">
      <c r="A53" s="1025" t="s">
        <v>2596</v>
      </c>
      <c r="B53" s="1026" t="s">
        <v>156</v>
      </c>
      <c r="C53" s="1027">
        <f>связи1!C560</f>
        <v>0.7</v>
      </c>
      <c r="D53" s="1027">
        <f>связи1!D560</f>
        <v>0.6</v>
      </c>
      <c r="E53" s="1027">
        <f>связи1!E560</f>
        <v>0.6</v>
      </c>
      <c r="F53" s="1028">
        <f>связи1!F560</f>
        <v>0.6</v>
      </c>
      <c r="H53" s="1027">
        <f t="shared" si="17"/>
        <v>0.7</v>
      </c>
      <c r="I53" s="1027">
        <f t="shared" si="17"/>
        <v>0.6</v>
      </c>
      <c r="J53" s="1027">
        <f t="shared" si="17"/>
        <v>0.6</v>
      </c>
      <c r="K53" s="1027">
        <f t="shared" si="17"/>
        <v>0.6</v>
      </c>
      <c r="M53" s="1027">
        <f t="shared" si="18"/>
        <v>0.7</v>
      </c>
      <c r="N53" s="1027">
        <f t="shared" si="18"/>
        <v>0.6</v>
      </c>
      <c r="O53" s="1027">
        <f t="shared" si="18"/>
        <v>0.6</v>
      </c>
      <c r="P53" s="1027">
        <f t="shared" si="18"/>
        <v>0.6</v>
      </c>
      <c r="AD53" s="999"/>
      <c r="AE53" s="1000"/>
      <c r="AF53" s="1001"/>
      <c r="AH53" s="942"/>
      <c r="AI53" s="943"/>
      <c r="AJ53" s="961"/>
      <c r="AK53" s="945"/>
      <c r="AL53" s="946"/>
      <c r="AM53" s="931"/>
      <c r="AN53" s="938"/>
      <c r="AO53" s="936"/>
    </row>
    <row r="54" spans="1:41" ht="14.25" customHeight="1">
      <c r="A54" s="1029" t="s">
        <v>2597</v>
      </c>
      <c r="B54" s="1030" t="s">
        <v>156</v>
      </c>
      <c r="C54" s="946">
        <f>связи1!C561</f>
        <v>0.5</v>
      </c>
      <c r="D54" s="1031">
        <f>связи1!D561</f>
        <v>0.5</v>
      </c>
      <c r="E54" s="1031">
        <f>связи1!E561</f>
        <v>0.8</v>
      </c>
      <c r="F54" s="1031">
        <f>связи1!F561</f>
        <v>0.8</v>
      </c>
      <c r="H54" s="946">
        <f t="shared" si="17"/>
        <v>0.5</v>
      </c>
      <c r="I54" s="946">
        <f t="shared" si="17"/>
        <v>0.5</v>
      </c>
      <c r="J54" s="946">
        <f t="shared" si="17"/>
        <v>0.8</v>
      </c>
      <c r="K54" s="946">
        <f t="shared" si="17"/>
        <v>0.8</v>
      </c>
      <c r="M54" s="1032">
        <f t="shared" si="18"/>
        <v>0.5</v>
      </c>
      <c r="N54" s="1032">
        <f t="shared" si="18"/>
        <v>0.5</v>
      </c>
      <c r="O54" s="1032">
        <f t="shared" si="18"/>
        <v>0.8</v>
      </c>
      <c r="P54" s="1032">
        <f t="shared" si="18"/>
        <v>0.8</v>
      </c>
      <c r="AD54" s="999" t="s">
        <v>1995</v>
      </c>
      <c r="AE54" s="1000">
        <v>5</v>
      </c>
      <c r="AF54" s="1001">
        <f>'Ввод данных'!BD363</f>
        <v>1.2</v>
      </c>
      <c r="AH54" s="3119" t="s">
        <v>2213</v>
      </c>
      <c r="AI54" s="3119"/>
      <c r="AJ54" s="961" t="s">
        <v>156</v>
      </c>
      <c r="AK54" s="945">
        <v>0</v>
      </c>
      <c r="AL54" s="946">
        <v>0</v>
      </c>
      <c r="AM54" s="931">
        <v>0</v>
      </c>
      <c r="AN54" s="938">
        <f>AK54*AL54*AM54</f>
        <v>0</v>
      </c>
      <c r="AO54" s="1033"/>
    </row>
    <row r="55" spans="1:41" ht="14.25" customHeight="1">
      <c r="A55" s="1023" t="s">
        <v>2598</v>
      </c>
      <c r="B55" s="745" t="s">
        <v>156</v>
      </c>
      <c r="C55" s="946">
        <f>связи1!C562</f>
        <v>0.7</v>
      </c>
      <c r="D55" s="984">
        <f>связи1!D562</f>
        <v>0.4</v>
      </c>
      <c r="E55" s="984">
        <f>связи1!E562</f>
        <v>0.9</v>
      </c>
      <c r="F55" s="984">
        <f>связи1!F562</f>
        <v>0.9</v>
      </c>
      <c r="H55" s="946">
        <f t="shared" si="17"/>
        <v>0.7</v>
      </c>
      <c r="I55" s="946">
        <f t="shared" si="17"/>
        <v>0.4</v>
      </c>
      <c r="J55" s="946">
        <f t="shared" si="17"/>
        <v>0.9</v>
      </c>
      <c r="K55" s="946">
        <f t="shared" si="17"/>
        <v>0.9</v>
      </c>
      <c r="M55" s="946">
        <f t="shared" si="18"/>
        <v>0.7</v>
      </c>
      <c r="N55" s="946">
        <f t="shared" si="18"/>
        <v>0.4</v>
      </c>
      <c r="O55" s="946">
        <f t="shared" si="18"/>
        <v>0.9</v>
      </c>
      <c r="P55" s="946">
        <f t="shared" si="18"/>
        <v>0.9</v>
      </c>
      <c r="AD55" s="999" t="s">
        <v>1997</v>
      </c>
      <c r="AE55" s="1000">
        <v>6</v>
      </c>
      <c r="AF55" s="1001">
        <f>'Ввод данных'!BD364</f>
        <v>1.9000000000000001</v>
      </c>
      <c r="AH55" s="970" t="s">
        <v>2599</v>
      </c>
      <c r="AI55" s="1034"/>
      <c r="AJ55" s="1034"/>
      <c r="AK55" s="1034"/>
      <c r="AL55" s="1034"/>
      <c r="AM55" s="1035"/>
      <c r="AN55" s="920">
        <f>SUM(AN40:AN54)</f>
        <v>0</v>
      </c>
      <c r="AO55" s="1002"/>
    </row>
    <row r="56" spans="1:41" ht="14.25" customHeight="1">
      <c r="A56" s="1023" t="s">
        <v>2600</v>
      </c>
      <c r="B56" s="745" t="s">
        <v>156</v>
      </c>
      <c r="C56" s="946">
        <f>C51</f>
        <v>4.8414873747640819</v>
      </c>
      <c r="D56" s="946">
        <f>D51</f>
        <v>3.2310988842807027</v>
      </c>
      <c r="E56" s="946">
        <f>E51</f>
        <v>3.3105890714493698</v>
      </c>
      <c r="F56" s="946">
        <f>F51</f>
        <v>3.1622776601683795</v>
      </c>
      <c r="H56" s="946">
        <f>H51</f>
        <v>3.6619666847201109</v>
      </c>
      <c r="I56" s="946">
        <f>I51</f>
        <v>1.9209372712298549</v>
      </c>
      <c r="J56" s="946">
        <f>J51</f>
        <v>2.0518284528683193</v>
      </c>
      <c r="K56" s="946">
        <f>K51</f>
        <v>2.6925824035672519</v>
      </c>
      <c r="M56" s="946"/>
      <c r="N56" s="946"/>
      <c r="O56" s="946"/>
      <c r="P56" s="946"/>
      <c r="AD56" s="999"/>
      <c r="AE56" s="1000"/>
      <c r="AF56" s="1001"/>
      <c r="AH56" s="1036"/>
      <c r="AI56" s="1036"/>
      <c r="AJ56" s="1036"/>
      <c r="AK56" s="1036"/>
      <c r="AL56" s="1036"/>
      <c r="AM56" s="1036"/>
      <c r="AN56" s="921"/>
      <c r="AO56" s="1002"/>
    </row>
    <row r="57" spans="1:41" ht="14.25" customHeight="1">
      <c r="A57" s="1023" t="s">
        <v>2601</v>
      </c>
      <c r="B57" s="745" t="s">
        <v>156</v>
      </c>
      <c r="C57" s="946"/>
      <c r="D57" s="946"/>
      <c r="E57" s="946"/>
      <c r="F57" s="946"/>
      <c r="H57" s="946"/>
      <c r="I57" s="946"/>
      <c r="J57" s="946"/>
      <c r="K57" s="946"/>
      <c r="M57" s="946">
        <f>связи1!C563</f>
        <v>2</v>
      </c>
      <c r="N57" s="946">
        <f>связи1!D563</f>
        <v>1</v>
      </c>
      <c r="O57" s="946">
        <f>связи1!E563</f>
        <v>2</v>
      </c>
      <c r="P57" s="946">
        <f>связи1!F563</f>
        <v>3</v>
      </c>
      <c r="AD57" s="999"/>
      <c r="AE57" s="1000"/>
      <c r="AF57" s="1001"/>
      <c r="AH57" s="1036"/>
      <c r="AI57" s="1036"/>
      <c r="AJ57" s="1036"/>
      <c r="AK57" s="1036"/>
      <c r="AL57" s="1036"/>
      <c r="AM57" s="1036"/>
      <c r="AN57" s="921"/>
      <c r="AO57" s="1002"/>
    </row>
    <row r="58" spans="1:41" ht="14.25" customHeight="1">
      <c r="A58" s="1037" t="s">
        <v>2602</v>
      </c>
      <c r="B58" s="745" t="s">
        <v>156</v>
      </c>
      <c r="C58" s="946"/>
      <c r="D58" s="946"/>
      <c r="E58" s="946"/>
      <c r="F58" s="946"/>
      <c r="H58" s="946"/>
      <c r="I58" s="946"/>
      <c r="J58" s="946"/>
      <c r="K58" s="946"/>
      <c r="M58" s="946">
        <f>SQRT((M33+M54-M57)*(M33+M54-M57)+M41*M41)</f>
        <v>2.5806975801127883</v>
      </c>
      <c r="N58" s="946">
        <f>SQRT((N33+N54-N57)*(N33+N54-N57)+N41*N41)</f>
        <v>2.7730849247724096</v>
      </c>
      <c r="O58" s="946">
        <f>SQRT((O33+O54-O57)*(O33+O54-O57)+O41*O41)</f>
        <v>2.2803508501982757</v>
      </c>
      <c r="P58" s="946">
        <f>SQRT((P33+P54-P57)*(P33+P54-P57)+P41*P41)</f>
        <v>1.2806248474865696</v>
      </c>
      <c r="AD58" s="999"/>
      <c r="AE58" s="1000"/>
      <c r="AF58" s="1001"/>
      <c r="AH58" s="1036"/>
      <c r="AI58" s="1036"/>
      <c r="AJ58" s="1036"/>
      <c r="AK58" s="1036"/>
      <c r="AL58" s="1036"/>
      <c r="AM58" s="1036"/>
      <c r="AN58" s="921"/>
      <c r="AO58" s="1002"/>
    </row>
    <row r="59" spans="1:41" ht="14.25" customHeight="1">
      <c r="A59" s="1023" t="s">
        <v>2603</v>
      </c>
      <c r="B59" s="745" t="s">
        <v>156</v>
      </c>
      <c r="C59" s="946"/>
      <c r="D59" s="946"/>
      <c r="E59" s="946"/>
      <c r="F59" s="946"/>
      <c r="H59" s="946"/>
      <c r="I59" s="946"/>
      <c r="J59" s="946"/>
      <c r="K59" s="946"/>
      <c r="M59" s="946">
        <f>SQRT((M34/2+M52)*(M34/2+M52)+M58*M58)</f>
        <v>4.3485629810317796</v>
      </c>
      <c r="N59" s="946">
        <f>SQRT((N34/2+N52)*(N34/2+N52)+N58*N58)</f>
        <v>3.4785054261852175</v>
      </c>
      <c r="O59" s="946">
        <f>SQRT((O34/2+O52)*(O34/2+O52)+O58*O58)</f>
        <v>3.1</v>
      </c>
      <c r="P59" s="946">
        <f>SQRT((P34/2+P52)*(P34/2+P52)+P58*P58)</f>
        <v>3.3541019662496847</v>
      </c>
      <c r="AD59" s="999"/>
      <c r="AE59" s="1000"/>
      <c r="AF59" s="1001"/>
      <c r="AH59" s="1036"/>
      <c r="AI59" s="1036"/>
      <c r="AJ59" s="1036"/>
      <c r="AK59" s="1036"/>
      <c r="AL59" s="1036"/>
      <c r="AM59" s="1036"/>
      <c r="AN59" s="921"/>
      <c r="AO59" s="1002"/>
    </row>
    <row r="60" spans="1:41" ht="14.25" customHeight="1">
      <c r="A60" s="1023" t="s">
        <v>2604</v>
      </c>
      <c r="B60" s="745" t="s">
        <v>156</v>
      </c>
      <c r="C60" s="946"/>
      <c r="D60" s="946"/>
      <c r="E60" s="946"/>
      <c r="F60" s="946"/>
      <c r="H60" s="946"/>
      <c r="I60" s="946"/>
      <c r="J60" s="946"/>
      <c r="K60" s="946"/>
      <c r="M60" s="946">
        <f>SQRT((M34/2+M53)*(M34/2+M53)+M58*M58)</f>
        <v>4.5110974274559847</v>
      </c>
      <c r="N60" s="946">
        <f>SQRT((N34/2+N53)*(N34/2+N53)+N58*N58)</f>
        <v>3.4785054261852175</v>
      </c>
      <c r="O60" s="946">
        <f>SQRT((O34/2+O53)*(O34/2+O53)+O58*O58)</f>
        <v>3.1</v>
      </c>
      <c r="P60" s="946">
        <f>SQRT((P34/2+P53)*(P34/2+P53)+P58*P58)</f>
        <v>3.3541019662496847</v>
      </c>
      <c r="AD60" s="999"/>
      <c r="AE60" s="1000"/>
      <c r="AF60" s="1001"/>
      <c r="AH60" s="1036"/>
      <c r="AI60" s="1036"/>
      <c r="AJ60" s="1036"/>
      <c r="AK60" s="1036"/>
      <c r="AL60" s="1036"/>
      <c r="AM60" s="1036"/>
      <c r="AN60" s="921"/>
      <c r="AO60" s="1002"/>
    </row>
    <row r="61" spans="1:41" ht="14.25" customHeight="1">
      <c r="A61" s="1023" t="s">
        <v>2605</v>
      </c>
      <c r="B61" s="745" t="s">
        <v>156</v>
      </c>
      <c r="C61" s="946"/>
      <c r="D61" s="946"/>
      <c r="E61" s="946"/>
      <c r="F61" s="946"/>
      <c r="H61" s="946"/>
      <c r="I61" s="946"/>
      <c r="J61" s="946"/>
      <c r="K61" s="946"/>
      <c r="M61" s="946">
        <f>SQRT(M58*M58-M41*M41)</f>
        <v>1.5000000000000002</v>
      </c>
      <c r="N61" s="946">
        <f>SQRT(N58*N58-N41*N41)</f>
        <v>2.5</v>
      </c>
      <c r="O61" s="946">
        <f>SQRT(O58*O58-O41*O41)</f>
        <v>1.7999999999999996</v>
      </c>
      <c r="P61" s="946">
        <f>SQRT(P58*P58-P41*P41)</f>
        <v>0.79999999999999982</v>
      </c>
      <c r="AD61" s="999"/>
      <c r="AE61" s="1000"/>
      <c r="AF61" s="1001"/>
      <c r="AH61" s="1036"/>
      <c r="AI61" s="1036"/>
      <c r="AJ61" s="1036"/>
      <c r="AK61" s="1036"/>
      <c r="AL61" s="1036"/>
      <c r="AM61" s="1036"/>
      <c r="AN61" s="921"/>
      <c r="AO61" s="1002"/>
    </row>
    <row r="62" spans="1:41" ht="14.25" customHeight="1">
      <c r="A62" s="1023" t="s">
        <v>2606</v>
      </c>
      <c r="B62" s="745" t="s">
        <v>156</v>
      </c>
      <c r="C62" s="946"/>
      <c r="D62" s="946"/>
      <c r="E62" s="946"/>
      <c r="F62" s="946"/>
      <c r="H62" s="946"/>
      <c r="I62" s="946"/>
      <c r="J62" s="946"/>
      <c r="K62" s="946"/>
      <c r="M62" s="946">
        <f>(M33+M54)*M59-M59*M61/2</f>
        <v>11.958548197837393</v>
      </c>
      <c r="N62" s="946">
        <f>(N33+N54)*N59-N59*N61/2</f>
        <v>7.8266372089167389</v>
      </c>
      <c r="O62" s="946">
        <f>(O33+O54)*O59-O59*O61/2</f>
        <v>8.99</v>
      </c>
      <c r="P62" s="946">
        <f>(P33+P54)*P59-P59*P61/2</f>
        <v>11.403946685248927</v>
      </c>
      <c r="AD62" s="999"/>
      <c r="AE62" s="1000"/>
      <c r="AF62" s="1001"/>
      <c r="AH62" s="1036"/>
      <c r="AI62" s="1036"/>
      <c r="AJ62" s="1036"/>
      <c r="AK62" s="1036"/>
      <c r="AL62" s="1036"/>
      <c r="AM62" s="1036"/>
      <c r="AN62" s="921"/>
      <c r="AO62" s="1002"/>
    </row>
    <row r="63" spans="1:41" ht="14.25" customHeight="1">
      <c r="A63" s="1023" t="s">
        <v>2607</v>
      </c>
      <c r="B63" s="745" t="s">
        <v>156</v>
      </c>
      <c r="C63" s="946"/>
      <c r="D63" s="946"/>
      <c r="E63" s="946"/>
      <c r="F63" s="946"/>
      <c r="H63" s="946"/>
      <c r="I63" s="946"/>
      <c r="J63" s="946"/>
      <c r="K63" s="946"/>
      <c r="M63" s="946">
        <f>(M33+M55)*M59-M59*M61/2</f>
        <v>12.82826079404375</v>
      </c>
      <c r="N63" s="946">
        <f>(N33+N55)*N59-N59*N61/2</f>
        <v>7.478786666298217</v>
      </c>
      <c r="O63" s="946">
        <f>(O33+O55)*O59-O59*O61/2</f>
        <v>9.3000000000000007</v>
      </c>
      <c r="P63" s="946">
        <f>(P33+P55)*P59-P59*P61/2</f>
        <v>11.739356881873897</v>
      </c>
      <c r="AD63" s="999"/>
      <c r="AE63" s="1000"/>
      <c r="AF63" s="1001"/>
      <c r="AH63" s="1036"/>
      <c r="AI63" s="1036"/>
      <c r="AJ63" s="1036"/>
      <c r="AK63" s="1036"/>
      <c r="AL63" s="1036"/>
      <c r="AM63" s="1036"/>
      <c r="AN63" s="921"/>
      <c r="AO63" s="1002"/>
    </row>
    <row r="64" spans="1:41" ht="14.25" customHeight="1">
      <c r="A64" s="1023" t="s">
        <v>2608</v>
      </c>
      <c r="B64" s="745" t="s">
        <v>156</v>
      </c>
      <c r="C64" s="946"/>
      <c r="D64" s="946"/>
      <c r="E64" s="946"/>
      <c r="F64" s="946"/>
      <c r="H64" s="946"/>
      <c r="I64" s="946"/>
      <c r="J64" s="946"/>
      <c r="K64" s="946"/>
      <c r="M64" s="946">
        <f>M58*(M34/2+M52)/2+M58*(M34/2+M53)/2</f>
        <v>9.2905112884060372</v>
      </c>
      <c r="N64" s="946">
        <f>N58*(N34/2+N52)/2+N58*(N34/2+N53)/2</f>
        <v>5.8234783420220602</v>
      </c>
      <c r="O64" s="946">
        <f>O58*(O34/2+O52)/2+O58*(O34/2+O53)/2</f>
        <v>4.7887367854163791</v>
      </c>
      <c r="P64" s="946">
        <f>P58*(P34/2+P52)/2+P58*(P34/2+P53)/2</f>
        <v>3.9699370272083656</v>
      </c>
      <c r="AD64" s="999"/>
      <c r="AE64" s="1000"/>
      <c r="AF64" s="1001"/>
      <c r="AH64" s="1036"/>
      <c r="AI64" s="1036"/>
      <c r="AJ64" s="1036"/>
      <c r="AK64" s="1036"/>
      <c r="AL64" s="1036"/>
      <c r="AM64" s="1036"/>
      <c r="AN64" s="921"/>
      <c r="AO64" s="1002"/>
    </row>
    <row r="65" spans="1:33" ht="14.25" customHeight="1">
      <c r="A65" s="1023" t="s">
        <v>2609</v>
      </c>
      <c r="B65" s="745" t="s">
        <v>133</v>
      </c>
      <c r="C65" s="558">
        <f>C51*C34</f>
        <v>29.048924248584491</v>
      </c>
      <c r="D65" s="558">
        <f>D51*D34</f>
        <v>9.6932966528421076</v>
      </c>
      <c r="E65" s="558">
        <f>E51*E34</f>
        <v>9.9317672143481097</v>
      </c>
      <c r="F65" s="558">
        <f>F51*F34</f>
        <v>15.811388300841898</v>
      </c>
      <c r="G65" s="1038">
        <f>(C65*C32+D65*D32+E65*E32+F65*F32)</f>
        <v>0</v>
      </c>
      <c r="H65" s="558">
        <f>H51*H33*2</f>
        <v>21.971800108320664</v>
      </c>
      <c r="I65" s="558">
        <f>I51*I34</f>
        <v>5.7628118136895647</v>
      </c>
      <c r="J65" s="558">
        <f>J51*J34</f>
        <v>6.1554853586049578</v>
      </c>
      <c r="K65" s="558">
        <f>K51*K33*2</f>
        <v>16.15549442140351</v>
      </c>
      <c r="L65" s="1038">
        <f>(H65*H32+I65*I32+J65*J32+K65*K32)</f>
        <v>0</v>
      </c>
      <c r="M65" s="558"/>
      <c r="N65" s="558"/>
      <c r="O65" s="558"/>
      <c r="P65" s="558"/>
      <c r="Q65" s="1038">
        <f>(M65*M32+N65*N32+O65*O32+P65*P32)</f>
        <v>0</v>
      </c>
      <c r="AD65" s="999" t="s">
        <v>2039</v>
      </c>
      <c r="AE65" s="1000">
        <v>7</v>
      </c>
      <c r="AF65" s="1001">
        <f>'Ввод данных'!BD365</f>
        <v>0</v>
      </c>
    </row>
    <row r="66" spans="1:33" ht="14.25" customHeight="1">
      <c r="A66" s="1039" t="s">
        <v>2610</v>
      </c>
      <c r="B66" s="745" t="s">
        <v>133</v>
      </c>
      <c r="C66" s="558">
        <f>(C51+C52)*(C34+C54+C55)</f>
        <v>38.458709098301391</v>
      </c>
      <c r="D66" s="558">
        <f>(D51+D52)*(D34+D54+D55)</f>
        <v>14.941285648694741</v>
      </c>
      <c r="E66" s="558">
        <f>(E51+E52)*(E34+E54+E55)</f>
        <v>18.379768635812038</v>
      </c>
      <c r="F66" s="558">
        <f>(F51+F52)*(F34+F54+F55)</f>
        <v>25.207260323128143</v>
      </c>
      <c r="G66" s="1021"/>
      <c r="H66" s="558">
        <f>(H51+H52+H51+H53)*(H33+H54)*1.02</f>
        <v>30.430442128901593</v>
      </c>
      <c r="I66" s="558">
        <f>(I51+I52+I51+I53)*(I33+I54)*1.02</f>
        <v>17.999492116581163</v>
      </c>
      <c r="J66" s="558">
        <f>(J51+J52+J51+J53)*(J33+J54)*1.02</f>
        <v>20.556974166635207</v>
      </c>
      <c r="K66" s="558">
        <f>(K51+K52+K51+K53)*(K33+K54)*1.02</f>
        <v>25.524098792453334</v>
      </c>
      <c r="L66" s="1021"/>
      <c r="M66" s="558">
        <f>M62+M63+M64</f>
        <v>34.077320280287182</v>
      </c>
      <c r="N66" s="558">
        <f>N62+N63+N64</f>
        <v>21.128902217237016</v>
      </c>
      <c r="O66" s="558">
        <f>O62+O63+O64</f>
        <v>23.078736785416378</v>
      </c>
      <c r="P66" s="558">
        <f>P62+P63+P64</f>
        <v>27.113240594331192</v>
      </c>
      <c r="Q66" s="1021"/>
    </row>
    <row r="67" spans="1:33" ht="14.25" customHeight="1">
      <c r="A67" s="1039" t="s">
        <v>2611</v>
      </c>
      <c r="B67" s="745"/>
      <c r="C67" s="558"/>
      <c r="D67" s="558"/>
      <c r="E67" s="558"/>
      <c r="F67" s="558"/>
      <c r="G67" s="1021"/>
      <c r="H67" s="558"/>
      <c r="I67" s="558"/>
      <c r="J67" s="558"/>
      <c r="K67" s="558"/>
      <c r="L67" s="1021"/>
      <c r="M67" s="502"/>
      <c r="N67" s="502"/>
      <c r="O67" s="502"/>
      <c r="P67" s="502"/>
      <c r="Q67" s="921"/>
    </row>
    <row r="68" spans="1:33" ht="14.25" customHeight="1">
      <c r="A68" s="555" t="s">
        <v>2612</v>
      </c>
      <c r="B68" s="1040"/>
      <c r="C68" s="1041">
        <f>(C51+C52)*C6</f>
        <v>0</v>
      </c>
      <c r="D68" s="1041">
        <f>(D51+D52)*D6</f>
        <v>0</v>
      </c>
      <c r="E68" s="1041">
        <f>(E51+E52)*E6</f>
        <v>0</v>
      </c>
      <c r="F68" s="1041">
        <f>(F51+F52)*F6</f>
        <v>0</v>
      </c>
      <c r="G68" s="1038">
        <f>(C68*C32+D68*D32+E68*E32+F68*F32)</f>
        <v>0</v>
      </c>
      <c r="H68" s="1042"/>
      <c r="I68" s="1042"/>
      <c r="J68" s="1042"/>
      <c r="K68" s="1042"/>
      <c r="L68" s="1043"/>
      <c r="AD68" s="472" t="s">
        <v>2613</v>
      </c>
      <c r="AF68" s="927"/>
      <c r="AG68" s="927"/>
    </row>
    <row r="69" spans="1:33" ht="14.25" customHeight="1">
      <c r="A69" s="555" t="s">
        <v>2614</v>
      </c>
      <c r="B69" s="1040"/>
      <c r="C69" s="558"/>
      <c r="D69" s="558"/>
      <c r="E69" s="558"/>
      <c r="F69" s="558"/>
      <c r="G69" s="1038"/>
      <c r="H69" s="1042"/>
      <c r="I69" s="1042"/>
      <c r="J69" s="1042"/>
      <c r="K69" s="1042"/>
      <c r="L69" s="1044"/>
      <c r="AD69" s="472"/>
      <c r="AF69" s="927"/>
      <c r="AG69" s="927"/>
    </row>
    <row r="70" spans="1:33" ht="14.25" customHeight="1">
      <c r="A70" s="555" t="s">
        <v>2615</v>
      </c>
      <c r="B70" s="1040"/>
      <c r="C70" s="558"/>
      <c r="D70" s="558"/>
      <c r="E70" s="558"/>
      <c r="F70" s="558"/>
      <c r="G70" s="1038"/>
      <c r="H70" s="1042"/>
      <c r="I70" s="1042"/>
      <c r="J70" s="1042"/>
      <c r="K70" s="1042"/>
      <c r="L70" s="1044"/>
      <c r="AD70" s="472"/>
      <c r="AF70" s="927"/>
      <c r="AG70" s="927"/>
    </row>
    <row r="71" spans="1:33" ht="14.25" customHeight="1">
      <c r="A71" s="555" t="s">
        <v>2616</v>
      </c>
      <c r="B71" s="1040"/>
      <c r="C71" s="558"/>
      <c r="D71" s="558"/>
      <c r="E71" s="558"/>
      <c r="F71" s="558"/>
      <c r="G71" s="1038"/>
      <c r="H71" s="1041">
        <f>(H51+H52)*1.05*H6</f>
        <v>0</v>
      </c>
      <c r="I71" s="1041">
        <f>(I51+I52)*1.05*I6</f>
        <v>0</v>
      </c>
      <c r="J71" s="1041">
        <f>(J51+J52)*1.05*J6</f>
        <v>0</v>
      </c>
      <c r="K71" s="1041">
        <f>(K51+K52)*1.05*K6</f>
        <v>0</v>
      </c>
      <c r="L71" s="1038">
        <f>(H71*H32+I71*I32+J71*J32+K32*K71)</f>
        <v>0</v>
      </c>
      <c r="AD71" s="472"/>
      <c r="AF71" s="927"/>
      <c r="AG71" s="927"/>
    </row>
    <row r="72" spans="1:33" ht="14.25" customHeight="1">
      <c r="A72" s="555" t="s">
        <v>2617</v>
      </c>
      <c r="B72" s="1040"/>
      <c r="C72" s="558"/>
      <c r="D72" s="558"/>
      <c r="E72" s="558"/>
      <c r="F72" s="558"/>
      <c r="G72" s="1038"/>
      <c r="H72" s="1041">
        <f>(H51+H53)*1.05*H6</f>
        <v>0</v>
      </c>
      <c r="I72" s="1041">
        <f>(I51+I53)*1.05*I6</f>
        <v>0</v>
      </c>
      <c r="J72" s="1041">
        <f>(J51+J53)*1.05*J6</f>
        <v>0</v>
      </c>
      <c r="K72" s="1041">
        <f>(K51+K53)*1.05*K6</f>
        <v>0</v>
      </c>
      <c r="L72" s="1038">
        <f>(H72*H32+I72*I32+J72*J32+K32*K72)</f>
        <v>0</v>
      </c>
      <c r="AD72" s="472"/>
      <c r="AF72" s="927"/>
      <c r="AG72" s="927"/>
    </row>
    <row r="73" spans="1:33" ht="14.25" customHeight="1">
      <c r="A73" s="555" t="s">
        <v>2618</v>
      </c>
      <c r="B73" s="1040"/>
      <c r="C73" s="558"/>
      <c r="D73" s="558"/>
      <c r="E73" s="558"/>
      <c r="F73" s="558"/>
      <c r="G73" s="1038"/>
      <c r="H73" s="558"/>
      <c r="I73" s="558"/>
      <c r="J73" s="558"/>
      <c r="K73" s="558"/>
      <c r="L73" s="1038"/>
      <c r="M73" s="1041">
        <f t="shared" ref="M73:P74" si="19">M59</f>
        <v>4.3485629810317796</v>
      </c>
      <c r="N73" s="1041">
        <f t="shared" si="19"/>
        <v>3.4785054261852175</v>
      </c>
      <c r="O73" s="1041">
        <f t="shared" si="19"/>
        <v>3.1</v>
      </c>
      <c r="P73" s="1041">
        <f t="shared" si="19"/>
        <v>3.3541019662496847</v>
      </c>
      <c r="Q73" s="558"/>
      <c r="AD73" s="472"/>
      <c r="AF73" s="927"/>
      <c r="AG73" s="927"/>
    </row>
    <row r="74" spans="1:33" ht="14.25" customHeight="1">
      <c r="A74" s="555" t="s">
        <v>2619</v>
      </c>
      <c r="B74" s="1040"/>
      <c r="C74" s="558"/>
      <c r="D74" s="558"/>
      <c r="E74" s="558"/>
      <c r="F74" s="558"/>
      <c r="G74" s="1038"/>
      <c r="H74" s="558"/>
      <c r="I74" s="558"/>
      <c r="J74" s="558"/>
      <c r="K74" s="558"/>
      <c r="L74" s="1038"/>
      <c r="M74" s="1041">
        <f t="shared" si="19"/>
        <v>4.5110974274559847</v>
      </c>
      <c r="N74" s="1041">
        <f t="shared" si="19"/>
        <v>3.4785054261852175</v>
      </c>
      <c r="O74" s="1041">
        <f t="shared" si="19"/>
        <v>3.1</v>
      </c>
      <c r="P74" s="1041">
        <f t="shared" si="19"/>
        <v>3.3541019662496847</v>
      </c>
      <c r="Q74" s="558"/>
      <c r="AD74" s="472"/>
      <c r="AF74" s="927"/>
      <c r="AG74" s="927"/>
    </row>
    <row r="75" spans="1:33" ht="14.25" customHeight="1">
      <c r="A75" s="555" t="s">
        <v>2620</v>
      </c>
      <c r="B75" s="1040"/>
      <c r="C75" s="558"/>
      <c r="D75" s="558"/>
      <c r="E75" s="558"/>
      <c r="F75" s="558"/>
      <c r="G75" s="1038"/>
      <c r="H75" s="558"/>
      <c r="I75" s="558"/>
      <c r="J75" s="558"/>
      <c r="K75" s="558"/>
      <c r="L75" s="1038"/>
      <c r="M75" s="1041">
        <f>M58</f>
        <v>2.5806975801127883</v>
      </c>
      <c r="N75" s="1041">
        <f>N58</f>
        <v>2.7730849247724096</v>
      </c>
      <c r="O75" s="1041">
        <f>O58</f>
        <v>2.2803508501982757</v>
      </c>
      <c r="P75" s="1041">
        <f>P58</f>
        <v>1.2806248474865696</v>
      </c>
      <c r="Q75" s="558"/>
      <c r="AD75" s="472"/>
      <c r="AF75" s="927"/>
      <c r="AG75" s="927"/>
    </row>
    <row r="76" spans="1:33" ht="14.25" customHeight="1">
      <c r="A76" s="555" t="s">
        <v>2621</v>
      </c>
      <c r="B76" s="1040"/>
      <c r="C76" s="1045">
        <f>(C34+C54+C55)*C32</f>
        <v>0</v>
      </c>
      <c r="D76" s="1045">
        <f>(D34+D54+D55)*D32</f>
        <v>0</v>
      </c>
      <c r="E76" s="1045">
        <f>(E34+E54+E55)*E32</f>
        <v>0</v>
      </c>
      <c r="F76" s="1045">
        <f>(F34+F54+F55)*F32</f>
        <v>0</v>
      </c>
      <c r="G76" s="1038">
        <f>C76+D76+E76+F76</f>
        <v>0</v>
      </c>
      <c r="H76" s="1045">
        <f>(H33+H54)*H32</f>
        <v>0</v>
      </c>
      <c r="I76" s="1045">
        <f>(I33+I54)*I32</f>
        <v>0</v>
      </c>
      <c r="J76" s="1045">
        <f>(J33+J54)*J32</f>
        <v>0</v>
      </c>
      <c r="K76" s="1045">
        <f>(K33+K54)*K32</f>
        <v>0</v>
      </c>
      <c r="L76" s="1038">
        <f>H76+I76+J76+K76</f>
        <v>0</v>
      </c>
      <c r="M76" s="1045">
        <f>(M33+M54)*M32</f>
        <v>0</v>
      </c>
      <c r="N76" s="1045">
        <f>(N33+N54)*N32</f>
        <v>0</v>
      </c>
      <c r="O76" s="1045">
        <f>(O33+O54)*O32</f>
        <v>0</v>
      </c>
      <c r="P76" s="1045">
        <f>(P33+P54)*P32</f>
        <v>0</v>
      </c>
      <c r="Q76" s="1038">
        <f>M76+N76+O76+P76</f>
        <v>0</v>
      </c>
      <c r="R76" s="1046">
        <f>G76+L76+Q76</f>
        <v>0</v>
      </c>
      <c r="AD76" s="472" t="s">
        <v>2622</v>
      </c>
      <c r="AE76" s="936"/>
      <c r="AF76" s="927"/>
      <c r="AG76" s="927"/>
    </row>
    <row r="77" spans="1:33" ht="14.25" customHeight="1">
      <c r="A77" s="555" t="s">
        <v>2623</v>
      </c>
      <c r="B77" s="1040"/>
      <c r="C77" s="1045">
        <f>C68*(C54+C55+C34)*C32</f>
        <v>0</v>
      </c>
      <c r="D77" s="1045">
        <f>D68*(D54+D55+D34)*D32</f>
        <v>0</v>
      </c>
      <c r="E77" s="1045">
        <f>E68*(E54+E55+E34)*E32</f>
        <v>0</v>
      </c>
      <c r="F77" s="1045">
        <f>F68*(F54+F55+F34)*F32</f>
        <v>0</v>
      </c>
      <c r="G77" s="1038">
        <f>C77+D77+E77+F77</f>
        <v>0</v>
      </c>
      <c r="H77" s="1047">
        <f>(H76*(H71+H72))*H32</f>
        <v>0</v>
      </c>
      <c r="I77" s="1047">
        <f>(I76*(I71+I72))*I32</f>
        <v>0</v>
      </c>
      <c r="J77" s="1047">
        <f>(J76*(J71+J72))*J32</f>
        <v>0</v>
      </c>
      <c r="K77" s="1047">
        <f>(K76*(K71+K72))*K32</f>
        <v>0</v>
      </c>
      <c r="L77" s="1038">
        <f>H77+I77+J77+K77</f>
        <v>0</v>
      </c>
      <c r="M77" s="1047">
        <f>M66*M32</f>
        <v>0</v>
      </c>
      <c r="N77" s="1047">
        <f>N66*N32</f>
        <v>0</v>
      </c>
      <c r="O77" s="1047">
        <f>O66*O32</f>
        <v>0</v>
      </c>
      <c r="P77" s="1047">
        <f>P66*P32</f>
        <v>0</v>
      </c>
      <c r="Q77" s="1038">
        <f>M77+N77+O77+P77</f>
        <v>0</v>
      </c>
      <c r="R77" s="1046">
        <f>G77+L77+Q77</f>
        <v>0</v>
      </c>
      <c r="AD77" s="1048" t="s">
        <v>2624</v>
      </c>
      <c r="AE77" s="1049">
        <f>(((AQ5+AQ8+AQ9+AQ10)*(C21+C35+C22))*I2+I1*((AQ5+AQ8+AQ9+AQ10)*(AD10-AD3)))</f>
        <v>3.96</v>
      </c>
      <c r="AF77" s="927"/>
      <c r="AG77" s="927"/>
    </row>
    <row r="78" spans="1:33" ht="14.25" customHeight="1">
      <c r="A78" s="555" t="s">
        <v>2625</v>
      </c>
      <c r="B78" s="1040"/>
      <c r="C78" s="1045">
        <f>(C68*C54+C68*C55+C34*C52)*C32</f>
        <v>0</v>
      </c>
      <c r="D78" s="1045">
        <f>(D68*D54+D68*D55+D34*D52)*D32</f>
        <v>0</v>
      </c>
      <c r="E78" s="1045">
        <f>(E68*E54+E68*E55+E34*E52)*E32</f>
        <v>0</v>
      </c>
      <c r="F78" s="1045">
        <f>(F68*F54+F68*F55+F34*F52)*F32</f>
        <v>0</v>
      </c>
      <c r="G78" s="1038">
        <f>C78+D78+E78+F78</f>
        <v>0</v>
      </c>
      <c r="H78" s="1047">
        <f>(H71*H54+H72*H54+H33*H52+H33*H53)*H32</f>
        <v>0</v>
      </c>
      <c r="I78" s="1047">
        <f>(I71*I54+I72*I54+I33*I52+I33*I53)*I32</f>
        <v>0</v>
      </c>
      <c r="J78" s="1047">
        <f>(J71*J54+J72*J54+J33*J52+J33*J53)*J32</f>
        <v>0</v>
      </c>
      <c r="K78" s="1047">
        <f>(K71*K54+K72*K54+K33*K52+K33*K53)*K32</f>
        <v>0</v>
      </c>
      <c r="L78" s="1038">
        <f>H78+I78+J78+K78</f>
        <v>0</v>
      </c>
      <c r="M78" s="1047">
        <f>(M34*M54+(M33+M54)*M52+(M33+M54)*M53)*M32</f>
        <v>0</v>
      </c>
      <c r="N78" s="1047">
        <f>(N34*N54+(N33+N54)*N52+(N33+N54)*N53)*N32</f>
        <v>0</v>
      </c>
      <c r="O78" s="1047">
        <f>(O34*O54+(O33+O54)*O52+(O33+O54)*O53)*O32</f>
        <v>0</v>
      </c>
      <c r="P78" s="1047">
        <f>(P34*P54+(P33+P54)*P52+(P33+P54)*P53)*P32</f>
        <v>0</v>
      </c>
      <c r="Q78" s="1038">
        <f>M78+N78+O78+P78</f>
        <v>0</v>
      </c>
      <c r="R78" s="1046">
        <f>G78+L78+Q78</f>
        <v>0</v>
      </c>
      <c r="AD78" s="1048" t="s">
        <v>2624</v>
      </c>
      <c r="AE78" s="1049" t="e">
        <f>((AQ11+AQ31+AQ34+#REF!)*C5*(C23+C38))*I2+((AQ11+AQ31+AQ34+#REF!)*C5*(AD39-AD10))*I1</f>
        <v>#REF!</v>
      </c>
      <c r="AF78" s="927"/>
      <c r="AG78" s="927"/>
    </row>
    <row r="79" spans="1:33" ht="14.25" customHeight="1">
      <c r="A79" s="555" t="s">
        <v>2626</v>
      </c>
      <c r="B79" s="1040"/>
      <c r="C79" s="1045">
        <f>C77*1.2*C32</f>
        <v>0</v>
      </c>
      <c r="D79" s="1045">
        <f>D77*1.2*D32</f>
        <v>0</v>
      </c>
      <c r="E79" s="1045">
        <f>E77*1.2*E32</f>
        <v>0</v>
      </c>
      <c r="F79" s="1045">
        <f>F77*1.2*F32</f>
        <v>0</v>
      </c>
      <c r="G79" s="1038">
        <f>C79+D79+E79+F79</f>
        <v>0</v>
      </c>
      <c r="H79" s="1045">
        <f>H77*1.2*H32</f>
        <v>0</v>
      </c>
      <c r="I79" s="1045">
        <f>I77*1.2*I32</f>
        <v>0</v>
      </c>
      <c r="J79" s="1045">
        <f>J77*1.2*J32</f>
        <v>0</v>
      </c>
      <c r="K79" s="1045">
        <f>K77*1.2*K32</f>
        <v>0</v>
      </c>
      <c r="L79" s="1038">
        <f>H79+I79+J79+K79</f>
        <v>0</v>
      </c>
      <c r="M79" s="1045">
        <f>M77*1.5*M32</f>
        <v>0</v>
      </c>
      <c r="N79" s="1045">
        <f>N77*1.5*N32</f>
        <v>0</v>
      </c>
      <c r="O79" s="1045">
        <f>O77*1.5*O32</f>
        <v>0</v>
      </c>
      <c r="P79" s="1045">
        <f>P77*1.5*P32</f>
        <v>0</v>
      </c>
      <c r="Q79" s="1038">
        <f>M79+N79+O79+P79</f>
        <v>0</v>
      </c>
      <c r="R79" s="1046">
        <f>G79+L79+Q79</f>
        <v>0</v>
      </c>
      <c r="AD79" s="1048" t="s">
        <v>2627</v>
      </c>
      <c r="AE79" s="1050" t="e">
        <f>AE77+AE78</f>
        <v>#REF!</v>
      </c>
      <c r="AF79" s="927"/>
      <c r="AG79" s="927"/>
    </row>
    <row r="80" spans="1:33" ht="14.25" customHeight="1">
      <c r="A80" s="1051" t="s">
        <v>2628</v>
      </c>
      <c r="B80" s="771" t="s">
        <v>1820</v>
      </c>
      <c r="C80" s="1052" t="s">
        <v>293</v>
      </c>
      <c r="D80" s="1052" t="s">
        <v>293</v>
      </c>
      <c r="E80" s="1052" t="s">
        <v>293</v>
      </c>
      <c r="F80" s="1052" t="s">
        <v>293</v>
      </c>
      <c r="G80" s="1053"/>
      <c r="H80" s="1052" t="s">
        <v>293</v>
      </c>
      <c r="I80" s="1052" t="s">
        <v>293</v>
      </c>
      <c r="J80" s="1052" t="s">
        <v>293</v>
      </c>
      <c r="K80" s="1052" t="s">
        <v>293</v>
      </c>
      <c r="L80" s="1053"/>
      <c r="M80" s="1052" t="s">
        <v>293</v>
      </c>
      <c r="N80" s="1052" t="s">
        <v>293</v>
      </c>
      <c r="O80" s="1052" t="s">
        <v>293</v>
      </c>
      <c r="P80" s="1052" t="s">
        <v>293</v>
      </c>
      <c r="Q80" s="1053"/>
      <c r="AD80" s="1054" t="s">
        <v>2629</v>
      </c>
      <c r="AE80" s="1055"/>
      <c r="AF80" s="939">
        <f>((AD8-AD5)*C3+(AD39-AD10)*C5)*пристройка!AE50+(C21*C25+C22*C26+C23*C27)*пристройка!AE50+(AD38-AD40)*C33</f>
        <v>41.4</v>
      </c>
      <c r="AG80" s="927" t="s">
        <v>2630</v>
      </c>
    </row>
    <row r="81" spans="1:33" ht="14.25" customHeight="1">
      <c r="A81" s="1056"/>
      <c r="B81" s="261" t="s">
        <v>156</v>
      </c>
      <c r="C81" s="1057">
        <v>0.6</v>
      </c>
      <c r="D81" s="1058">
        <f>C81</f>
        <v>0.6</v>
      </c>
      <c r="E81" s="1058">
        <f>C81</f>
        <v>0.6</v>
      </c>
      <c r="F81" s="1058">
        <f>C81</f>
        <v>0.6</v>
      </c>
      <c r="G81" s="1053">
        <v>1</v>
      </c>
      <c r="H81" s="946">
        <f t="shared" ref="H81:Q82" si="20">C81</f>
        <v>0.6</v>
      </c>
      <c r="I81" s="946">
        <f t="shared" si="20"/>
        <v>0.6</v>
      </c>
      <c r="J81" s="946">
        <f t="shared" si="20"/>
        <v>0.6</v>
      </c>
      <c r="K81" s="946">
        <f t="shared" si="20"/>
        <v>0.6</v>
      </c>
      <c r="L81" s="1035">
        <f t="shared" si="20"/>
        <v>1</v>
      </c>
      <c r="M81" s="946">
        <f t="shared" si="20"/>
        <v>0.6</v>
      </c>
      <c r="N81" s="946">
        <f t="shared" si="20"/>
        <v>0.6</v>
      </c>
      <c r="O81" s="946">
        <f t="shared" si="20"/>
        <v>0.6</v>
      </c>
      <c r="P81" s="946">
        <f t="shared" si="20"/>
        <v>0.6</v>
      </c>
      <c r="Q81" s="1035">
        <f t="shared" si="20"/>
        <v>1</v>
      </c>
      <c r="R81" s="1059">
        <f>E37*(E33+E33+E34)*E32+E40*(E33+E33+E34)*E32</f>
        <v>0</v>
      </c>
      <c r="AD81" s="1054" t="s">
        <v>2631</v>
      </c>
      <c r="AE81" s="1060" t="e">
        <f>C94*I2+AF81*I1</f>
        <v>#REF!</v>
      </c>
      <c r="AF81" s="1055" t="e">
        <f>#REF!-AN40-AN41-AN42-AN52-AN54</f>
        <v>#REF!</v>
      </c>
      <c r="AG81" s="927"/>
    </row>
    <row r="82" spans="1:33" ht="14.25" customHeight="1">
      <c r="A82" s="1061" t="s">
        <v>2632</v>
      </c>
      <c r="B82" s="261" t="s">
        <v>156</v>
      </c>
      <c r="C82" s="1057">
        <f>VLOOKUP(A218,'Прайс лист'!B744:G782,3,0)</f>
        <v>0.2</v>
      </c>
      <c r="D82" s="1042">
        <f>VLOOKUP(A218,'Прайс лист'!B744:G782,3,0)</f>
        <v>0.2</v>
      </c>
      <c r="E82" s="1042">
        <f>VLOOKUP(A218,'Прайс лист'!B744:G782,3,0)</f>
        <v>0.2</v>
      </c>
      <c r="F82" s="1042">
        <f>VLOOKUP(A218,'Прайс лист'!B744:G782,3,0)</f>
        <v>0.2</v>
      </c>
      <c r="G82" s="1053">
        <v>1</v>
      </c>
      <c r="H82" s="946">
        <f t="shared" si="20"/>
        <v>0.2</v>
      </c>
      <c r="I82" s="946">
        <f t="shared" si="20"/>
        <v>0.2</v>
      </c>
      <c r="J82" s="946">
        <f t="shared" si="20"/>
        <v>0.2</v>
      </c>
      <c r="K82" s="946">
        <f t="shared" si="20"/>
        <v>0.2</v>
      </c>
      <c r="L82" s="1035">
        <f t="shared" si="20"/>
        <v>1</v>
      </c>
      <c r="M82" s="946">
        <f t="shared" si="20"/>
        <v>0.2</v>
      </c>
      <c r="N82" s="946">
        <f t="shared" si="20"/>
        <v>0.2</v>
      </c>
      <c r="O82" s="946">
        <f t="shared" si="20"/>
        <v>0.2</v>
      </c>
      <c r="P82" s="946">
        <f t="shared" si="20"/>
        <v>0.2</v>
      </c>
      <c r="Q82" s="1035">
        <f t="shared" si="20"/>
        <v>1</v>
      </c>
      <c r="AD82" s="938" t="s">
        <v>2633</v>
      </c>
      <c r="AE82" s="1060">
        <v>0</v>
      </c>
      <c r="AF82" s="1055">
        <v>0</v>
      </c>
      <c r="AG82" s="927"/>
    </row>
    <row r="83" spans="1:33" ht="14.25" customHeight="1">
      <c r="A83" s="1056"/>
      <c r="B83" s="261" t="s">
        <v>156</v>
      </c>
      <c r="C83" s="1057"/>
      <c r="D83" s="1042"/>
      <c r="E83" s="1042"/>
      <c r="F83" s="1042"/>
      <c r="G83" s="1053">
        <v>1</v>
      </c>
      <c r="H83" s="1057"/>
      <c r="I83" s="1042"/>
      <c r="J83" s="1042"/>
      <c r="K83" s="1042"/>
      <c r="L83" s="1035">
        <f>G83</f>
        <v>1</v>
      </c>
      <c r="M83" s="1057"/>
      <c r="N83" s="1042"/>
      <c r="O83" s="1042"/>
      <c r="P83" s="1042"/>
      <c r="Q83" s="1035">
        <f>L83</f>
        <v>1</v>
      </c>
      <c r="AD83" s="1055" t="s">
        <v>2634</v>
      </c>
      <c r="AE83" s="1062">
        <v>0</v>
      </c>
      <c r="AF83" s="1063">
        <v>0</v>
      </c>
      <c r="AG83" s="927"/>
    </row>
    <row r="84" spans="1:33" ht="14.25" customHeight="1">
      <c r="A84" s="1064" t="s">
        <v>2635</v>
      </c>
      <c r="B84" s="1065"/>
      <c r="C84" s="1064"/>
      <c r="D84" s="982">
        <f>1</f>
        <v>1</v>
      </c>
      <c r="E84" s="770"/>
      <c r="F84" s="770"/>
      <c r="G84" s="1066"/>
      <c r="H84" s="1064"/>
      <c r="I84" s="982">
        <f>1</f>
        <v>1</v>
      </c>
      <c r="J84" s="770"/>
      <c r="K84" s="770"/>
      <c r="L84" s="1066"/>
      <c r="M84" s="1064"/>
      <c r="N84" s="982">
        <f>1</f>
        <v>1</v>
      </c>
      <c r="O84" s="770"/>
      <c r="P84" s="770"/>
      <c r="Q84" s="1066"/>
      <c r="AD84" s="1054" t="s">
        <v>2636</v>
      </c>
      <c r="AE84" s="1062" t="e">
        <f>AF84*I1+C95*I2</f>
        <v>#REF!</v>
      </c>
      <c r="AF84" s="939" t="e">
        <f>AF83*2+AF81</f>
        <v>#REF!</v>
      </c>
      <c r="AG84" s="366"/>
    </row>
    <row r="85" spans="1:33" ht="14.25" customHeight="1">
      <c r="A85" s="703" t="s">
        <v>2572</v>
      </c>
      <c r="C85" s="703">
        <f>(C34+C33*2)*C32</f>
        <v>0</v>
      </c>
      <c r="D85" s="703">
        <f>(D34+D33*2)*D32</f>
        <v>0</v>
      </c>
      <c r="E85" s="703">
        <f>(E34+E33*2)*E32</f>
        <v>0</v>
      </c>
      <c r="F85" s="703">
        <f>(F34+F33*2)*F32</f>
        <v>0</v>
      </c>
      <c r="G85" s="928">
        <f t="shared" ref="G85:G98" si="21">C85+D85+E85+F85</f>
        <v>0</v>
      </c>
      <c r="H85" s="703">
        <f>(H34+H33*2)*H32</f>
        <v>0</v>
      </c>
      <c r="I85" s="703">
        <f>(I34+I33*2)*I32</f>
        <v>0</v>
      </c>
      <c r="J85" s="703">
        <f>(J34+J33*2)*J32</f>
        <v>0</v>
      </c>
      <c r="K85" s="703">
        <f>(K34+K33*2)*K32</f>
        <v>0</v>
      </c>
      <c r="L85" s="928">
        <f t="shared" ref="L85:L98" si="22">H85+I85+J85+K85</f>
        <v>0</v>
      </c>
      <c r="M85" s="703">
        <f>(M34+M33*2)*M32</f>
        <v>0</v>
      </c>
      <c r="N85" s="703">
        <f>(N34+N33*2)*N32</f>
        <v>0</v>
      </c>
      <c r="O85" s="703">
        <f>(O34+O33*2)*O32</f>
        <v>0</v>
      </c>
      <c r="P85" s="703">
        <f>(P34+P33*2)*P32</f>
        <v>0</v>
      </c>
      <c r="Q85" s="928">
        <f t="shared" ref="Q85:Q98" si="23">M85+N85+O85+P85</f>
        <v>0</v>
      </c>
      <c r="R85" s="1067">
        <f t="shared" ref="R85:R98" si="24">G85+L85+Q85</f>
        <v>0</v>
      </c>
      <c r="AD85" s="1068" t="s">
        <v>2637</v>
      </c>
      <c r="AE85" s="1069">
        <f>(C34*C35+C34*C5*C38+(C21+C22)*C34*C3+C23*C5)*D2</f>
        <v>0</v>
      </c>
    </row>
    <row r="86" spans="1:33" ht="14.25" customHeight="1">
      <c r="A86" s="488" t="s">
        <v>2638</v>
      </c>
      <c r="B86" s="961" t="s">
        <v>133</v>
      </c>
      <c r="C86" s="488">
        <f>(C34*C33*C3+C34*C33*C5)*C32</f>
        <v>0</v>
      </c>
      <c r="D86" s="488">
        <f>(D34*D33*D3+D34*D33*D5)*D32</f>
        <v>0</v>
      </c>
      <c r="E86" s="488">
        <f>(E34*E33*E3+E34*E33*E5)*E32</f>
        <v>0</v>
      </c>
      <c r="F86" s="488">
        <f>(F34*F33*F3+F34*F33*F5)*F32</f>
        <v>0</v>
      </c>
      <c r="G86" s="928">
        <f t="shared" si="21"/>
        <v>0</v>
      </c>
      <c r="H86" s="488">
        <f>(H34*H33*H3+H34*H33*H5)*H32</f>
        <v>0</v>
      </c>
      <c r="I86" s="488">
        <f>(I34*I33*I3+I34*I33*I5)*I32</f>
        <v>0</v>
      </c>
      <c r="J86" s="488">
        <f>(J34*J33*J3+J34*J33*J5)*J32</f>
        <v>0</v>
      </c>
      <c r="K86" s="488">
        <f>(K34*K33*K3+K34*K33*K5)*K32</f>
        <v>0</v>
      </c>
      <c r="L86" s="928">
        <f t="shared" si="22"/>
        <v>0</v>
      </c>
      <c r="M86" s="488">
        <f>(M34*M33*M3+M34*M33*M5)*M32</f>
        <v>0</v>
      </c>
      <c r="N86" s="488">
        <f>(N34*N33*N3+N34*N33*N5)*N32</f>
        <v>0</v>
      </c>
      <c r="O86" s="488">
        <f>(O34*O33*O3+O34*O33*O5)*O32</f>
        <v>0</v>
      </c>
      <c r="P86" s="488">
        <f>(P34*P33*P3+P34*P33*P5)*P32</f>
        <v>0</v>
      </c>
      <c r="Q86" s="928">
        <f t="shared" si="23"/>
        <v>0</v>
      </c>
      <c r="R86" s="1067">
        <f t="shared" si="24"/>
        <v>0</v>
      </c>
    </row>
    <row r="87" spans="1:33" ht="14.25" customHeight="1">
      <c r="A87" s="1069" t="s">
        <v>2639</v>
      </c>
      <c r="B87" s="961" t="s">
        <v>133</v>
      </c>
      <c r="C87" s="1069">
        <f>(C41*C33)*C32*C4</f>
        <v>0</v>
      </c>
      <c r="D87" s="1069">
        <f>(D41*D33)*D32*D4</f>
        <v>0</v>
      </c>
      <c r="E87" s="1069">
        <f>(E41*E33)*E32*E4</f>
        <v>0</v>
      </c>
      <c r="F87" s="1069">
        <f>(F41*F33)*F32*F4</f>
        <v>0</v>
      </c>
      <c r="G87" s="928">
        <f t="shared" si="21"/>
        <v>0</v>
      </c>
      <c r="H87" s="1069">
        <f>(H41*H33)*H32*H4</f>
        <v>0</v>
      </c>
      <c r="I87" s="1069">
        <f>(I41*I33)*I32*I4</f>
        <v>0</v>
      </c>
      <c r="J87" s="1069">
        <f>(J41*J33)*J32*J4</f>
        <v>0</v>
      </c>
      <c r="K87" s="1069">
        <f>(K41*K33)*K32*K4</f>
        <v>0</v>
      </c>
      <c r="L87" s="928">
        <f t="shared" si="22"/>
        <v>0</v>
      </c>
      <c r="M87" s="1069"/>
      <c r="N87" s="1069"/>
      <c r="O87" s="1069"/>
      <c r="P87" s="1069"/>
      <c r="Q87" s="928">
        <f t="shared" si="23"/>
        <v>0</v>
      </c>
      <c r="R87" s="1067">
        <f t="shared" si="24"/>
        <v>0</v>
      </c>
      <c r="AE87" s="1070" t="s">
        <v>2640</v>
      </c>
      <c r="AF87" s="770" t="s">
        <v>2641</v>
      </c>
    </row>
    <row r="88" spans="1:33" ht="14.25" customHeight="1">
      <c r="A88" s="1069" t="s">
        <v>2642</v>
      </c>
      <c r="B88" s="961"/>
      <c r="C88" s="1069">
        <f>(C41*C33)*C32*C5</f>
        <v>0</v>
      </c>
      <c r="D88" s="1069">
        <f>(D41*D33)*D32*D5</f>
        <v>0</v>
      </c>
      <c r="E88" s="1069">
        <f>(E41*E33)*E32*E5</f>
        <v>0</v>
      </c>
      <c r="F88" s="1069">
        <f>(F41*F33)*F32*F5</f>
        <v>0</v>
      </c>
      <c r="G88" s="928">
        <f t="shared" si="21"/>
        <v>0</v>
      </c>
      <c r="H88" s="1069">
        <f>(H41*H33)*H32*H5</f>
        <v>0</v>
      </c>
      <c r="I88" s="1069">
        <f>(I41*I33)*I32*I5</f>
        <v>0</v>
      </c>
      <c r="J88" s="1069">
        <f>(J41*J33)*J32*J5</f>
        <v>0</v>
      </c>
      <c r="K88" s="1069">
        <f>(K41*K33)*K32*K5</f>
        <v>0</v>
      </c>
      <c r="L88" s="928">
        <f t="shared" si="22"/>
        <v>0</v>
      </c>
      <c r="M88" s="1069"/>
      <c r="N88" s="1069"/>
      <c r="O88" s="1069"/>
      <c r="P88" s="1069"/>
      <c r="Q88" s="928">
        <f t="shared" si="23"/>
        <v>0</v>
      </c>
      <c r="R88" s="1067">
        <f t="shared" si="24"/>
        <v>0</v>
      </c>
      <c r="AE88" s="1070"/>
      <c r="AF88" s="770"/>
    </row>
    <row r="89" spans="1:33" s="1074" customFormat="1" ht="14.25" customHeight="1">
      <c r="A89" s="1071" t="s">
        <v>2643</v>
      </c>
      <c r="B89" s="1072" t="s">
        <v>133</v>
      </c>
      <c r="C89" s="1071">
        <f>C37*(C33+C33+C34)*C32</f>
        <v>0</v>
      </c>
      <c r="D89" s="1071">
        <f>D37*(D33+D33+D34)*D32</f>
        <v>0</v>
      </c>
      <c r="E89" s="1071">
        <f>E37*(E33+E33+E34)*E32</f>
        <v>0</v>
      </c>
      <c r="F89" s="1071">
        <f>F37*(F33+F33+F34)*F32</f>
        <v>0</v>
      </c>
      <c r="G89" s="928">
        <f t="shared" si="21"/>
        <v>0</v>
      </c>
      <c r="H89" s="1071">
        <f>H37*(H33+H33+H34)*H32</f>
        <v>0</v>
      </c>
      <c r="I89" s="1071">
        <f>I37*(I33+I33+I34)*I32</f>
        <v>0</v>
      </c>
      <c r="J89" s="1071">
        <f>J37*(J33+J33+J34)*J32</f>
        <v>0</v>
      </c>
      <c r="K89" s="1071">
        <f>K37*(K33+K33+K34)*K32</f>
        <v>0</v>
      </c>
      <c r="L89" s="928">
        <f t="shared" si="22"/>
        <v>0</v>
      </c>
      <c r="M89" s="1071">
        <f>M37*(M33+M33+M34)*M32</f>
        <v>0</v>
      </c>
      <c r="N89" s="1071">
        <f>N37*(N33+N33+N34)*N32</f>
        <v>0</v>
      </c>
      <c r="O89" s="1071">
        <f>O37*(O33+O33+O34)*O32</f>
        <v>0</v>
      </c>
      <c r="P89" s="1071">
        <f>P37*(P33+P33+P34)*P32</f>
        <v>0</v>
      </c>
      <c r="Q89" s="928">
        <f t="shared" si="23"/>
        <v>0</v>
      </c>
      <c r="R89" s="1073">
        <f t="shared" si="24"/>
        <v>0</v>
      </c>
      <c r="AE89" s="1075"/>
      <c r="AF89" s="1073"/>
    </row>
    <row r="90" spans="1:33" ht="14.25" customHeight="1">
      <c r="A90" s="1069" t="s">
        <v>2644</v>
      </c>
      <c r="B90" s="961" t="s">
        <v>133</v>
      </c>
      <c r="C90" s="1069">
        <f>C40*(C33+C33+C34)*C32</f>
        <v>0</v>
      </c>
      <c r="D90" s="1069">
        <f>D40*(D33+D33+D34)*D32</f>
        <v>0</v>
      </c>
      <c r="E90" s="1069">
        <f>E40*(E33+E33+E34)*E32</f>
        <v>0</v>
      </c>
      <c r="F90" s="1069">
        <f>F40*(F33+F33+F34)*F32</f>
        <v>0</v>
      </c>
      <c r="G90" s="928">
        <f t="shared" si="21"/>
        <v>0</v>
      </c>
      <c r="H90" s="1069">
        <f>H40*(H33+H33+H34)*H32</f>
        <v>0</v>
      </c>
      <c r="I90" s="1069">
        <f>I40*(I33+I33+I34)*I32</f>
        <v>0</v>
      </c>
      <c r="J90" s="1069">
        <f>J40*(J33+J33+J34)*J32</f>
        <v>0</v>
      </c>
      <c r="K90" s="1069">
        <f>K40*(K33+K33+K34)*K32</f>
        <v>0</v>
      </c>
      <c r="L90" s="928">
        <f t="shared" si="22"/>
        <v>0</v>
      </c>
      <c r="M90" s="1069">
        <f>M40*(M33+M33+M34)*M32</f>
        <v>0</v>
      </c>
      <c r="N90" s="1069">
        <f>N40*(N33+N33+N34)*N32</f>
        <v>0</v>
      </c>
      <c r="O90" s="1069">
        <f>O40*(O33+O33+O34)*O32</f>
        <v>0</v>
      </c>
      <c r="P90" s="1069">
        <f>P40*(P33+P33+P34)*P32</f>
        <v>0</v>
      </c>
      <c r="Q90" s="928">
        <f t="shared" si="23"/>
        <v>0</v>
      </c>
      <c r="R90" s="1067">
        <f t="shared" si="24"/>
        <v>0</v>
      </c>
      <c r="AE90" s="1070"/>
      <c r="AF90" s="770"/>
    </row>
    <row r="91" spans="1:33" s="1074" customFormat="1" ht="14.25" customHeight="1">
      <c r="A91" s="1071" t="s">
        <v>2645</v>
      </c>
      <c r="B91" s="1072" t="s">
        <v>133</v>
      </c>
      <c r="C91" s="1071">
        <f>(C21*C25)*(C33+C33+C34)*C32</f>
        <v>0</v>
      </c>
      <c r="D91" s="1071">
        <f>(D21*D25)*(D33+D33+D34)*D32</f>
        <v>0</v>
      </c>
      <c r="E91" s="1071">
        <f>(E21*E25)*(E33+E33+E34)*E32</f>
        <v>0</v>
      </c>
      <c r="F91" s="1071">
        <f>(F21*F25)*(F33+F33+F34)*F32</f>
        <v>0</v>
      </c>
      <c r="G91" s="928">
        <f t="shared" si="21"/>
        <v>0</v>
      </c>
      <c r="H91" s="1071">
        <f>(H21*H25)*(H33+H33+H34)*H32</f>
        <v>0</v>
      </c>
      <c r="I91" s="1071">
        <f>(I21*I25)*(I33+I33+I34)*I32</f>
        <v>0</v>
      </c>
      <c r="J91" s="1071">
        <f>(J21*J25)*(J33+J33+J34)*J32</f>
        <v>0</v>
      </c>
      <c r="K91" s="1071">
        <f>(K21*K25)*(K33+K33+K34)*K32</f>
        <v>0</v>
      </c>
      <c r="L91" s="928">
        <f t="shared" si="22"/>
        <v>0</v>
      </c>
      <c r="M91" s="1071">
        <f>(M21*M25)*(M33+M33+M34)*M32</f>
        <v>0</v>
      </c>
      <c r="N91" s="1071">
        <f>(N21*N25)*(N33+N33+N34)*N32</f>
        <v>0</v>
      </c>
      <c r="O91" s="1071">
        <f>(O21*O25)*(O33+O33+O34)*O32</f>
        <v>0</v>
      </c>
      <c r="P91" s="1071">
        <f>(P21*P25)*(P33+P33+P34)*P32</f>
        <v>0</v>
      </c>
      <c r="Q91" s="928">
        <f t="shared" si="23"/>
        <v>0</v>
      </c>
      <c r="R91" s="1073">
        <f t="shared" si="24"/>
        <v>0</v>
      </c>
      <c r="AE91" s="1075"/>
      <c r="AF91" s="1073"/>
    </row>
    <row r="92" spans="1:33" s="1074" customFormat="1" ht="14.25" customHeight="1">
      <c r="A92" s="1071" t="s">
        <v>2646</v>
      </c>
      <c r="B92" s="1072"/>
      <c r="C92" s="1071">
        <f>(C22*C26)*(C33+C33+C34)*C32</f>
        <v>0</v>
      </c>
      <c r="D92" s="1071">
        <f>(D22*D26)*(D33+D33+D34)*D32</f>
        <v>0</v>
      </c>
      <c r="E92" s="1071">
        <f>(E22*E26)*(E33+E33+E34)*E32</f>
        <v>0</v>
      </c>
      <c r="F92" s="1071">
        <f>(F22*F26)*(F33+F33+F34)*F32</f>
        <v>0</v>
      </c>
      <c r="G92" s="928">
        <f t="shared" si="21"/>
        <v>0</v>
      </c>
      <c r="H92" s="1071">
        <f>(H22*H26)*(H33+H33+H34)*H32</f>
        <v>0</v>
      </c>
      <c r="I92" s="1071">
        <f>(I22*I26)*(I33+I33+I34)*I32</f>
        <v>0</v>
      </c>
      <c r="J92" s="1071">
        <f>(J22*J26)*(J33+J33+J34)*J32</f>
        <v>0</v>
      </c>
      <c r="K92" s="1071">
        <f>(K22*K26)*(K33+K33+K34)*K32</f>
        <v>0</v>
      </c>
      <c r="L92" s="928">
        <f t="shared" si="22"/>
        <v>0</v>
      </c>
      <c r="M92" s="1071">
        <f>(M22*M26)*(M33+M33+M34)*M32</f>
        <v>0</v>
      </c>
      <c r="N92" s="1071">
        <f>(N22*N26)*(N33+N33+N34)*N32</f>
        <v>0</v>
      </c>
      <c r="O92" s="1071">
        <f>(O22*O26)*(O33+O33+O34)*O32</f>
        <v>0</v>
      </c>
      <c r="P92" s="1071">
        <f>(P22*P26)*(P33+P33+P34)*P32</f>
        <v>0</v>
      </c>
      <c r="Q92" s="928">
        <f t="shared" si="23"/>
        <v>0</v>
      </c>
      <c r="R92" s="1073">
        <f t="shared" si="24"/>
        <v>0</v>
      </c>
      <c r="AE92" s="1075"/>
      <c r="AF92" s="1073"/>
    </row>
    <row r="93" spans="1:33" s="1074" customFormat="1" ht="14.25" customHeight="1">
      <c r="A93" s="1071" t="s">
        <v>2647</v>
      </c>
      <c r="B93" s="1072"/>
      <c r="C93" s="1071">
        <f>(C23*C27)*(C33+C33+C34)*C32</f>
        <v>0</v>
      </c>
      <c r="D93" s="1071">
        <f>(D23*D27)*(D33+D33+D34)*D32</f>
        <v>0</v>
      </c>
      <c r="E93" s="1071">
        <f>(E23*E27)*(E33+E33+E34)*E32</f>
        <v>0</v>
      </c>
      <c r="F93" s="1071">
        <f>(F23*F27)*(F33+F33+F34)*F32</f>
        <v>0</v>
      </c>
      <c r="G93" s="928">
        <f t="shared" si="21"/>
        <v>0</v>
      </c>
      <c r="H93" s="1071">
        <f>(H23*H27)*(H33+H33+H34)*H32</f>
        <v>0</v>
      </c>
      <c r="I93" s="1071">
        <f>(I23*I27)*(I33+I33+I34)*I32</f>
        <v>0</v>
      </c>
      <c r="J93" s="1071">
        <f>(J23*J27)*(J33+J33+J34)*J32</f>
        <v>0</v>
      </c>
      <c r="K93" s="1071">
        <f>(K23*K27)*(K33+K33+K34)*K32</f>
        <v>0</v>
      </c>
      <c r="L93" s="928">
        <f t="shared" si="22"/>
        <v>0</v>
      </c>
      <c r="M93" s="1071">
        <f>(M23*M27)*(M33+M33+M34)*M32</f>
        <v>0</v>
      </c>
      <c r="N93" s="1071">
        <f>(N23*N27)*(N33+N33+N34)*N32</f>
        <v>0</v>
      </c>
      <c r="O93" s="1071">
        <f>(O23*O27)*(O33+O33+O34)*O32</f>
        <v>0</v>
      </c>
      <c r="P93" s="1071">
        <f>(P23*P27)*(P33+P33+P34)*P32</f>
        <v>0</v>
      </c>
      <c r="Q93" s="928">
        <f t="shared" si="23"/>
        <v>0</v>
      </c>
      <c r="R93" s="1073">
        <f t="shared" si="24"/>
        <v>0</v>
      </c>
      <c r="AE93" s="1075"/>
      <c r="AF93" s="1073"/>
    </row>
    <row r="94" spans="1:33" ht="14.25" customHeight="1">
      <c r="A94" s="1069" t="s">
        <v>2648</v>
      </c>
      <c r="B94" s="961" t="s">
        <v>133</v>
      </c>
      <c r="C94" s="1069">
        <f>(C87+C89+C90)*C32</f>
        <v>0</v>
      </c>
      <c r="D94" s="1069">
        <f>(D87+D89+D90+D91)*D32</f>
        <v>0</v>
      </c>
      <c r="E94" s="1069">
        <f>(E87+E89+E90+E91)*E32</f>
        <v>0</v>
      </c>
      <c r="F94" s="1069">
        <f>(F87+F89+F90+F91)*F32</f>
        <v>0</v>
      </c>
      <c r="G94" s="928">
        <f t="shared" si="21"/>
        <v>0</v>
      </c>
      <c r="H94" s="1069">
        <f>(H87+H89+H90+H91)*H32</f>
        <v>0</v>
      </c>
      <c r="I94" s="1069">
        <f>(I87+I89+I90+I91)*I32</f>
        <v>0</v>
      </c>
      <c r="J94" s="1069">
        <f>(J87+J89+J90+J91)*J32</f>
        <v>0</v>
      </c>
      <c r="K94" s="1069">
        <f>(K87+K89+K90+K91)*K32</f>
        <v>0</v>
      </c>
      <c r="L94" s="928">
        <f t="shared" si="22"/>
        <v>0</v>
      </c>
      <c r="M94" s="1069">
        <f>(M87+M89+M90+M91)*M32</f>
        <v>0</v>
      </c>
      <c r="N94" s="1069">
        <f>(N87+N89+N90+N91)*N32</f>
        <v>0</v>
      </c>
      <c r="O94" s="1069">
        <f>(O87+O89+O90+O91)*O32</f>
        <v>0</v>
      </c>
      <c r="P94" s="1069">
        <f>(P87+P89+P90+P91)*P32</f>
        <v>0</v>
      </c>
      <c r="Q94" s="928">
        <f t="shared" si="23"/>
        <v>0</v>
      </c>
      <c r="R94" s="1067">
        <f t="shared" si="24"/>
        <v>0</v>
      </c>
      <c r="AE94" s="1070"/>
      <c r="AF94" s="770"/>
    </row>
    <row r="95" spans="1:33" s="1074" customFormat="1" ht="14.25" customHeight="1">
      <c r="A95" s="1071" t="s">
        <v>2649</v>
      </c>
      <c r="B95" s="1072" t="s">
        <v>133</v>
      </c>
      <c r="C95" s="1071">
        <f t="shared" ref="C95:F96" si="25">C89</f>
        <v>0</v>
      </c>
      <c r="D95" s="1071">
        <f t="shared" si="25"/>
        <v>0</v>
      </c>
      <c r="E95" s="1071">
        <f t="shared" si="25"/>
        <v>0</v>
      </c>
      <c r="F95" s="1071">
        <f t="shared" si="25"/>
        <v>0</v>
      </c>
      <c r="G95" s="928">
        <f t="shared" si="21"/>
        <v>0</v>
      </c>
      <c r="H95" s="1071">
        <f t="shared" ref="H95:K96" si="26">H89</f>
        <v>0</v>
      </c>
      <c r="I95" s="1071">
        <f t="shared" si="26"/>
        <v>0</v>
      </c>
      <c r="J95" s="1071">
        <f t="shared" si="26"/>
        <v>0</v>
      </c>
      <c r="K95" s="1071">
        <f t="shared" si="26"/>
        <v>0</v>
      </c>
      <c r="L95" s="928">
        <f t="shared" si="22"/>
        <v>0</v>
      </c>
      <c r="M95" s="1071">
        <f t="shared" ref="M95:P96" si="27">M89</f>
        <v>0</v>
      </c>
      <c r="N95" s="1071">
        <f t="shared" si="27"/>
        <v>0</v>
      </c>
      <c r="O95" s="1071">
        <f t="shared" si="27"/>
        <v>0</v>
      </c>
      <c r="P95" s="1071">
        <f t="shared" si="27"/>
        <v>0</v>
      </c>
      <c r="Q95" s="928">
        <f t="shared" si="23"/>
        <v>0</v>
      </c>
      <c r="R95" s="1073">
        <f t="shared" si="24"/>
        <v>0</v>
      </c>
      <c r="AE95" s="1076">
        <f>C34</f>
        <v>6</v>
      </c>
      <c r="AF95" s="1076"/>
    </row>
    <row r="96" spans="1:33" ht="14.25" customHeight="1">
      <c r="A96" s="1069" t="s">
        <v>2650</v>
      </c>
      <c r="B96" s="961" t="s">
        <v>133</v>
      </c>
      <c r="C96" s="1069">
        <f t="shared" si="25"/>
        <v>0</v>
      </c>
      <c r="D96" s="1069">
        <f t="shared" si="25"/>
        <v>0</v>
      </c>
      <c r="E96" s="1069">
        <f t="shared" si="25"/>
        <v>0</v>
      </c>
      <c r="F96" s="1069">
        <f t="shared" si="25"/>
        <v>0</v>
      </c>
      <c r="G96" s="928">
        <f t="shared" si="21"/>
        <v>0</v>
      </c>
      <c r="H96" s="1069">
        <f t="shared" si="26"/>
        <v>0</v>
      </c>
      <c r="I96" s="1069">
        <f t="shared" si="26"/>
        <v>0</v>
      </c>
      <c r="J96" s="1069">
        <f t="shared" si="26"/>
        <v>0</v>
      </c>
      <c r="K96" s="1069">
        <f t="shared" si="26"/>
        <v>0</v>
      </c>
      <c r="L96" s="928">
        <f t="shared" si="22"/>
        <v>0</v>
      </c>
      <c r="M96" s="1069">
        <f t="shared" si="27"/>
        <v>0</v>
      </c>
      <c r="N96" s="1069">
        <f t="shared" si="27"/>
        <v>0</v>
      </c>
      <c r="O96" s="1069">
        <f t="shared" si="27"/>
        <v>0</v>
      </c>
      <c r="P96" s="1069">
        <f t="shared" si="27"/>
        <v>0</v>
      </c>
      <c r="Q96" s="928">
        <f t="shared" si="23"/>
        <v>0</v>
      </c>
      <c r="R96" s="1067">
        <f t="shared" si="24"/>
        <v>0</v>
      </c>
      <c r="AE96" s="1077"/>
      <c r="AF96" s="1077"/>
    </row>
    <row r="97" spans="1:32" s="1074" customFormat="1" ht="14.25" customHeight="1">
      <c r="A97" s="1071" t="s">
        <v>2651</v>
      </c>
      <c r="B97" s="1072" t="s">
        <v>133</v>
      </c>
      <c r="C97" s="1078">
        <f>C37*(C34)*C32</f>
        <v>0</v>
      </c>
      <c r="D97" s="1078">
        <f>D37*(D34)*D32</f>
        <v>0</v>
      </c>
      <c r="E97" s="1078">
        <f>E37*(E34)*E32</f>
        <v>0</v>
      </c>
      <c r="F97" s="1078">
        <f>F37*(F34)*F32</f>
        <v>0</v>
      </c>
      <c r="G97" s="928">
        <f t="shared" si="21"/>
        <v>0</v>
      </c>
      <c r="H97" s="1078">
        <f>H37*(H34)*H32</f>
        <v>0</v>
      </c>
      <c r="I97" s="1078">
        <f>I37*(I34)*I32</f>
        <v>0</v>
      </c>
      <c r="J97" s="1078">
        <f>J37*(J34)*J32</f>
        <v>0</v>
      </c>
      <c r="K97" s="1078">
        <f>K37*(K34)*K32</f>
        <v>0</v>
      </c>
      <c r="L97" s="928">
        <f t="shared" si="22"/>
        <v>0</v>
      </c>
      <c r="M97" s="1078">
        <f>M37*(M34)*M32</f>
        <v>0</v>
      </c>
      <c r="N97" s="1078">
        <f>N37*(N34)*N32</f>
        <v>0</v>
      </c>
      <c r="O97" s="1078">
        <f>O37*(O34)*O32</f>
        <v>0</v>
      </c>
      <c r="P97" s="1078">
        <f>P37*(P34)*P32</f>
        <v>0</v>
      </c>
      <c r="Q97" s="928">
        <f t="shared" si="23"/>
        <v>0</v>
      </c>
      <c r="R97" s="1073">
        <f t="shared" si="24"/>
        <v>0</v>
      </c>
      <c r="AE97" s="1076">
        <f>C33</f>
        <v>3</v>
      </c>
      <c r="AF97" s="1076"/>
    </row>
    <row r="98" spans="1:32" s="1074" customFormat="1" ht="14.25" customHeight="1">
      <c r="A98" s="1071" t="s">
        <v>2652</v>
      </c>
      <c r="B98" s="1072"/>
      <c r="C98" s="1079">
        <f>C40*(C34)*C32</f>
        <v>0</v>
      </c>
      <c r="D98" s="1079">
        <f>D40*(D34)*D32</f>
        <v>0</v>
      </c>
      <c r="E98" s="1079">
        <f>E40*(E34)*E32</f>
        <v>0</v>
      </c>
      <c r="F98" s="1079">
        <f>F40*(F34)*F32</f>
        <v>0</v>
      </c>
      <c r="G98" s="928">
        <f t="shared" si="21"/>
        <v>0</v>
      </c>
      <c r="H98" s="1079">
        <f>H40*(H34)*H32</f>
        <v>0</v>
      </c>
      <c r="I98" s="1079">
        <f>I40*(I34)*I32</f>
        <v>0</v>
      </c>
      <c r="J98" s="1079">
        <f>J40*(J34)*J32</f>
        <v>0</v>
      </c>
      <c r="K98" s="1079">
        <f>K40*(K34)*K32</f>
        <v>0</v>
      </c>
      <c r="L98" s="928">
        <f t="shared" si="22"/>
        <v>0</v>
      </c>
      <c r="M98" s="1079">
        <f>M40*(M34)*M32</f>
        <v>0</v>
      </c>
      <c r="N98" s="1079">
        <f>N40*(N34)*N32</f>
        <v>0</v>
      </c>
      <c r="O98" s="1079">
        <f>O40*(O34)*O32</f>
        <v>0</v>
      </c>
      <c r="P98" s="1079">
        <f>P40*(P34)*P32</f>
        <v>0</v>
      </c>
      <c r="Q98" s="928">
        <f t="shared" si="23"/>
        <v>0</v>
      </c>
      <c r="R98" s="1073">
        <f t="shared" si="24"/>
        <v>0</v>
      </c>
      <c r="AE98" s="1076"/>
      <c r="AF98" s="1076"/>
    </row>
    <row r="99" spans="1:32" ht="14.25" customHeight="1">
      <c r="A99" s="939" t="s">
        <v>2653</v>
      </c>
      <c r="B99" s="965"/>
      <c r="C99" s="1080">
        <f>(SQRT(C33*C33+(C39-C40+C36-C37)*(C39-C40+C36-C37)))</f>
        <v>4.8414873747640819</v>
      </c>
      <c r="D99" s="1080">
        <f>SQRT(D33*D33+(D39-D40+D36-D35)*(D39-D40+D36-D35))</f>
        <v>3.2310988842807027</v>
      </c>
      <c r="E99" s="1080">
        <f>SQRT(E33*E33+(E39-E40+E36-E35)*(E39-E40+E36-E35))</f>
        <v>3.3105890714493698</v>
      </c>
      <c r="F99" s="1080">
        <f>SQRT(F33*F33+(F39-F40+F36-F35)*(F39-F40+F36-F35))</f>
        <v>3.1622776601683795</v>
      </c>
      <c r="G99" s="990"/>
      <c r="H99" s="1080">
        <f>(H51+H52)*1.05</f>
        <v>4.370065018956117</v>
      </c>
      <c r="I99" s="1080">
        <f>(I51+I52)*1.05</f>
        <v>2.6469841347913481</v>
      </c>
      <c r="J99" s="1080">
        <f>(J51+J52)*1.05</f>
        <v>2.7844198755117353</v>
      </c>
      <c r="K99" s="1080">
        <f>(K51+K52)*1.05</f>
        <v>3.4572115237456149</v>
      </c>
      <c r="L99" s="928"/>
      <c r="M99" s="1080">
        <f>M73</f>
        <v>4.3485629810317796</v>
      </c>
      <c r="N99" s="1080">
        <f>N73</f>
        <v>3.4785054261852175</v>
      </c>
      <c r="O99" s="1080">
        <f>O73</f>
        <v>3.1</v>
      </c>
      <c r="P99" s="1080">
        <f>P73</f>
        <v>3.3541019662496847</v>
      </c>
      <c r="Q99" s="928"/>
      <c r="AE99" s="1077"/>
      <c r="AF99" s="1077"/>
    </row>
    <row r="100" spans="1:32" s="1074" customFormat="1" ht="14.25" customHeight="1">
      <c r="A100" s="1071"/>
      <c r="B100" s="1072"/>
      <c r="C100" s="1081">
        <f>C99*C32</f>
        <v>0</v>
      </c>
      <c r="D100" s="1081">
        <f>D99*D32</f>
        <v>0</v>
      </c>
      <c r="E100" s="1081">
        <f>E99*E32</f>
        <v>0</v>
      </c>
      <c r="F100" s="1081">
        <f>F99*F32</f>
        <v>0</v>
      </c>
      <c r="G100" s="990">
        <f>(C100+D100+E100+F100)</f>
        <v>0</v>
      </c>
      <c r="H100" s="1081">
        <f>H99*H32</f>
        <v>0</v>
      </c>
      <c r="I100" s="1081">
        <f>I99*I32</f>
        <v>0</v>
      </c>
      <c r="J100" s="1081">
        <f>J99*J32</f>
        <v>0</v>
      </c>
      <c r="K100" s="1081">
        <f>K99*K32</f>
        <v>0</v>
      </c>
      <c r="L100" s="928">
        <f>H100+I100+J100+K100</f>
        <v>0</v>
      </c>
      <c r="M100" s="1081">
        <f>M99*M32</f>
        <v>0</v>
      </c>
      <c r="N100" s="1081">
        <f>N99*N32</f>
        <v>0</v>
      </c>
      <c r="O100" s="1081">
        <f>O99*O32</f>
        <v>0</v>
      </c>
      <c r="P100" s="1081">
        <f>P99*P32</f>
        <v>0</v>
      </c>
      <c r="Q100" s="928">
        <f>M100+N100+O100+P100</f>
        <v>0</v>
      </c>
      <c r="R100" s="1082">
        <f>G100+L100+Q100</f>
        <v>0</v>
      </c>
      <c r="AE100" s="1076"/>
      <c r="AF100" s="1076"/>
    </row>
    <row r="101" spans="1:32" s="917" customFormat="1" ht="14.25" customHeight="1">
      <c r="A101" s="939" t="s">
        <v>2654</v>
      </c>
      <c r="B101" s="965"/>
      <c r="C101" s="1080"/>
      <c r="D101" s="1080"/>
      <c r="E101" s="1080"/>
      <c r="F101" s="1080"/>
      <c r="G101" s="990"/>
      <c r="H101" s="1080">
        <f>(H51+H53)*1.05</f>
        <v>4.5800650189561161</v>
      </c>
      <c r="I101" s="1080">
        <f>(I51+I53)*1.05</f>
        <v>2.6469841347913481</v>
      </c>
      <c r="J101" s="1080">
        <f>(J51+J53)*1.05</f>
        <v>2.7844198755117353</v>
      </c>
      <c r="K101" s="1080">
        <f>(K51+K53)*1.05</f>
        <v>3.4572115237456149</v>
      </c>
      <c r="L101" s="928"/>
      <c r="M101" s="1080">
        <f>M74</f>
        <v>4.5110974274559847</v>
      </c>
      <c r="N101" s="1080">
        <f>N74</f>
        <v>3.4785054261852175</v>
      </c>
      <c r="O101" s="1080">
        <f>O74</f>
        <v>3.1</v>
      </c>
      <c r="P101" s="1080">
        <f>P74</f>
        <v>3.3541019662496847</v>
      </c>
      <c r="Q101" s="928"/>
      <c r="R101" s="1083"/>
      <c r="AE101" s="1084"/>
      <c r="AF101" s="1084"/>
    </row>
    <row r="102" spans="1:32" s="1074" customFormat="1" ht="14.25" customHeight="1">
      <c r="A102" s="1071"/>
      <c r="B102" s="1072"/>
      <c r="C102" s="1081"/>
      <c r="D102" s="1081"/>
      <c r="E102" s="1081"/>
      <c r="F102" s="1081"/>
      <c r="G102" s="990"/>
      <c r="H102" s="1081">
        <f>H101*H32</f>
        <v>0</v>
      </c>
      <c r="I102" s="1081">
        <f>I101*I32</f>
        <v>0</v>
      </c>
      <c r="J102" s="1081">
        <f>J101*J32</f>
        <v>0</v>
      </c>
      <c r="K102" s="1081">
        <f>K101*K32</f>
        <v>0</v>
      </c>
      <c r="L102" s="928"/>
      <c r="M102" s="1081">
        <f>M101*M32</f>
        <v>0</v>
      </c>
      <c r="N102" s="1081">
        <f>N101*N32</f>
        <v>0</v>
      </c>
      <c r="O102" s="1081">
        <f>O101*O32</f>
        <v>0</v>
      </c>
      <c r="P102" s="1081">
        <f>P101*P32</f>
        <v>0</v>
      </c>
      <c r="Q102" s="928"/>
      <c r="R102" s="1085"/>
      <c r="AE102" s="1076"/>
      <c r="AF102" s="1076"/>
    </row>
    <row r="103" spans="1:32" s="917" customFormat="1" ht="14.25" customHeight="1">
      <c r="A103" s="939" t="s">
        <v>2655</v>
      </c>
      <c r="B103" s="965"/>
      <c r="C103" s="1086">
        <f>(C36-C37+C39-C40)/C99</f>
        <v>0.78488276553342617</v>
      </c>
      <c r="D103" s="1086">
        <f>(D36-D37+D39-D40)/D99</f>
        <v>-0.37139067635410383</v>
      </c>
      <c r="E103" s="1086">
        <f>(E36-E37+E39-E40)/E99</f>
        <v>0.42288546533112381</v>
      </c>
      <c r="F103" s="1086">
        <f>(F36-F37+F39-F40)/F99</f>
        <v>0.31622776601683794</v>
      </c>
      <c r="G103" s="955"/>
      <c r="H103" s="1086">
        <f>(H36-H37+H39-H40)/H99</f>
        <v>0.86955227977539584</v>
      </c>
      <c r="I103" s="1086">
        <f>(I36-I37+I39-I40)/I99</f>
        <v>-0.45334612483221093</v>
      </c>
      <c r="J103" s="1086">
        <f>(J36-J37+J39-J40)/J99</f>
        <v>0.50279773259508875</v>
      </c>
      <c r="K103" s="1086">
        <f>(K36-K37+K39-K40)/K99</f>
        <v>0.28925045318505105</v>
      </c>
      <c r="M103" s="1086">
        <f>(M36-M37+M39-M40)/M99</f>
        <v>0.87385189465472046</v>
      </c>
      <c r="N103" s="1086">
        <f>(N36-N37+N39-N40)/N99</f>
        <v>-0.34497574474564147</v>
      </c>
      <c r="O103" s="1086">
        <f>(O36-O37+O39-O40)/O99</f>
        <v>0.45161290322580638</v>
      </c>
      <c r="P103" s="1086">
        <f>(P36-P37+P39-P40)/P99</f>
        <v>0.29814239699997197</v>
      </c>
      <c r="AE103" s="1084"/>
      <c r="AF103" s="1084"/>
    </row>
    <row r="104" spans="1:32" ht="14.25" customHeight="1">
      <c r="A104" s="1087" t="s">
        <v>2656</v>
      </c>
      <c r="B104" s="1088"/>
      <c r="C104" s="1089">
        <f>DEGREES(C103)</f>
        <v>44.970469877621476</v>
      </c>
      <c r="D104" s="1089">
        <f>DEGREES(D103)</f>
        <v>-21.279118305599251</v>
      </c>
      <c r="E104" s="1089">
        <f>DEGREES(E103)</f>
        <v>24.229552380899289</v>
      </c>
      <c r="F104" s="1089">
        <f>DEGREES(F103)</f>
        <v>18.118516357615334</v>
      </c>
      <c r="G104" s="955">
        <f>RADIANS(C104)</f>
        <v>0.78488276553342617</v>
      </c>
      <c r="H104" s="1090">
        <f>DEGREES(H103)</f>
        <v>49.82167569710915</v>
      </c>
      <c r="I104" s="1090">
        <f>DEGREES(I103)</f>
        <v>-25.974819611496653</v>
      </c>
      <c r="J104" s="1090">
        <f>DEGREES(J103)</f>
        <v>28.808188026445929</v>
      </c>
      <c r="K104" s="1090">
        <f>DEGREES(K103)</f>
        <v>16.572830189749826</v>
      </c>
      <c r="M104" s="1090">
        <f>DEGREES(M103)</f>
        <v>50.068025483226101</v>
      </c>
      <c r="N104" s="1090">
        <f>DEGREES(N103)</f>
        <v>-19.765654208307641</v>
      </c>
      <c r="O104" s="1090">
        <f>DEGREES(O103)</f>
        <v>25.875513328488786</v>
      </c>
      <c r="P104" s="1090">
        <f>DEGREES(P103)</f>
        <v>17.082301042012251</v>
      </c>
      <c r="AE104" s="1077"/>
      <c r="AF104" s="1077"/>
    </row>
    <row r="105" spans="1:32" ht="14.25" customHeight="1">
      <c r="A105" s="1087"/>
      <c r="B105" s="1088"/>
      <c r="C105" s="1089"/>
      <c r="D105" s="1089"/>
      <c r="E105" s="1089"/>
      <c r="F105" s="1089">
        <v>81</v>
      </c>
      <c r="G105" s="955"/>
      <c r="H105" s="1090"/>
      <c r="I105" s="1090"/>
      <c r="J105" s="1090"/>
      <c r="K105" s="1090"/>
      <c r="M105" s="1090"/>
      <c r="N105" s="1090"/>
      <c r="O105" s="1090"/>
      <c r="P105" s="1090"/>
      <c r="AE105" s="1077"/>
      <c r="AF105" s="1077"/>
    </row>
    <row r="106" spans="1:32" ht="14.25" customHeight="1">
      <c r="A106" s="1087"/>
      <c r="B106" s="1088"/>
      <c r="C106" s="1089"/>
      <c r="D106" s="1089"/>
      <c r="E106" s="1089"/>
      <c r="F106" s="1089">
        <f>RADIANS(F105)</f>
        <v>1.4137166941154069</v>
      </c>
      <c r="G106" s="955"/>
      <c r="H106" s="1090"/>
      <c r="I106" s="1090"/>
      <c r="J106" s="1090"/>
      <c r="K106" s="1090"/>
      <c r="M106" s="1090"/>
      <c r="N106" s="1090"/>
      <c r="O106" s="1090"/>
      <c r="P106" s="1090"/>
      <c r="AE106" s="1077"/>
      <c r="AF106" s="1077"/>
    </row>
    <row r="107" spans="1:32" ht="14.25" customHeight="1">
      <c r="A107" s="939" t="s">
        <v>2657</v>
      </c>
      <c r="B107" s="965"/>
      <c r="C107" s="1058">
        <f>C36-C37+C39-C38</f>
        <v>3.8</v>
      </c>
      <c r="D107" s="1058">
        <f>D36-D37+D39-D38</f>
        <v>-1.2000000000000004</v>
      </c>
      <c r="E107" s="1058">
        <f>E36-E37+E39-E38</f>
        <v>2.9</v>
      </c>
      <c r="F107" s="1058">
        <f>F36-F37+F39-F38</f>
        <v>1</v>
      </c>
      <c r="G107" s="955"/>
      <c r="H107" s="1058">
        <f>H36-H37+H39-H38</f>
        <v>3.8</v>
      </c>
      <c r="I107" s="1058">
        <f>I36-I37+I39-I38</f>
        <v>-1.2000000000000004</v>
      </c>
      <c r="J107" s="1058">
        <f>J36-J37+J39-J38</f>
        <v>2.9</v>
      </c>
      <c r="K107" s="1058">
        <f>K36-K37+K39-K38</f>
        <v>1</v>
      </c>
      <c r="M107" s="1058">
        <f>M36-M37+M39-M38</f>
        <v>3.8</v>
      </c>
      <c r="N107" s="1058">
        <f>N36-N37+N39-N38</f>
        <v>-1.2000000000000004</v>
      </c>
      <c r="O107" s="1058">
        <f>O36-O37+O39-O38</f>
        <v>2.9</v>
      </c>
      <c r="P107" s="1058">
        <f>P36-P37+P39-P38</f>
        <v>1</v>
      </c>
      <c r="Q107" s="917">
        <v>3</v>
      </c>
      <c r="R107" s="1091">
        <f>SQRT(Q107*Q107+Q108*Q108)</f>
        <v>4.2426406871192848</v>
      </c>
      <c r="AE107" s="1077"/>
      <c r="AF107" s="1077"/>
    </row>
    <row r="108" spans="1:32" ht="14.25" customHeight="1">
      <c r="A108" s="939" t="s">
        <v>2658</v>
      </c>
      <c r="B108" s="965"/>
      <c r="C108" s="1058">
        <f>C107/SIN(C103)*C6</f>
        <v>0</v>
      </c>
      <c r="D108" s="1058">
        <f>D107/SIN(D103)*D6</f>
        <v>0</v>
      </c>
      <c r="E108" s="1058">
        <f>E107/SIN(E103)*E6</f>
        <v>0</v>
      </c>
      <c r="F108" s="1058">
        <f>(F107/SIN(F103))*F6</f>
        <v>0</v>
      </c>
      <c r="G108" s="955">
        <f>RADIANS(C108)</f>
        <v>0</v>
      </c>
      <c r="H108" s="1058">
        <f>H107/SIN(H103)</f>
        <v>4.9735605615931808</v>
      </c>
      <c r="I108" s="1058">
        <f>I107/SIN(I103)</f>
        <v>2.7398755204900951</v>
      </c>
      <c r="J108" s="1058">
        <f>J107/SIN(J103)</f>
        <v>6.0181095237442008</v>
      </c>
      <c r="K108" s="1058">
        <f>K107/SIN(K103)</f>
        <v>3.5058946826486759</v>
      </c>
      <c r="M108" s="1058">
        <f>M107/SIN(M103)</f>
        <v>4.9556142286267875</v>
      </c>
      <c r="N108" s="1058">
        <f>N107/SIN(N103)</f>
        <v>3.5484706934380044</v>
      </c>
      <c r="O108" s="1058">
        <f>O107/SIN(O103)</f>
        <v>6.6450161082063381</v>
      </c>
      <c r="P108" s="1058">
        <f>P107/SIN(P103)</f>
        <v>3.4043125477611262</v>
      </c>
      <c r="Q108" s="917">
        <v>3</v>
      </c>
      <c r="AE108" s="1077"/>
      <c r="AF108" s="1077"/>
    </row>
    <row r="109" spans="1:32" ht="14.25" customHeight="1">
      <c r="A109" s="939"/>
      <c r="B109" s="965"/>
      <c r="C109" s="1058"/>
      <c r="D109" s="1058"/>
      <c r="E109" s="1058"/>
      <c r="F109" s="1058">
        <f>1.3*TAN(F106)</f>
        <v>8.207876969077553</v>
      </c>
      <c r="G109" s="955"/>
      <c r="H109" s="1058"/>
      <c r="I109" s="1058"/>
      <c r="J109" s="1058"/>
      <c r="K109" s="1058"/>
      <c r="M109" s="1058"/>
      <c r="N109" s="1058"/>
      <c r="O109" s="1058"/>
      <c r="P109" s="1058"/>
      <c r="AE109" s="1077"/>
      <c r="AF109" s="1077"/>
    </row>
    <row r="110" spans="1:32" ht="14.25" customHeight="1">
      <c r="A110" s="939"/>
      <c r="B110" s="965"/>
      <c r="C110" s="1058">
        <f>C108+C111</f>
        <v>0</v>
      </c>
      <c r="D110" s="1058">
        <f>D108+D111</f>
        <v>0</v>
      </c>
      <c r="E110" s="1058">
        <f>E108+E111</f>
        <v>0</v>
      </c>
      <c r="F110" s="1058">
        <f>F108+F111</f>
        <v>0</v>
      </c>
      <c r="G110" s="955"/>
      <c r="H110" s="1058">
        <f>H108+H111</f>
        <v>3.6619666847201109</v>
      </c>
      <c r="I110" s="1058">
        <f>I108+I111</f>
        <v>1.9209372712298549</v>
      </c>
      <c r="J110" s="1058">
        <f>J108+J111</f>
        <v>2.0518284528683193</v>
      </c>
      <c r="K110" s="1058">
        <f>K108+K111</f>
        <v>2.6925824035672519</v>
      </c>
      <c r="M110" s="1058">
        <f>M108+M111</f>
        <v>0</v>
      </c>
      <c r="N110" s="1058">
        <f>N108+N111</f>
        <v>0</v>
      </c>
      <c r="O110" s="1058">
        <f>O108+O111</f>
        <v>0</v>
      </c>
      <c r="P110" s="1058">
        <f>P108+P111</f>
        <v>0</v>
      </c>
      <c r="Q110" s="917">
        <v>1.2</v>
      </c>
      <c r="R110">
        <f>Q110/SIN(Q111)</f>
        <v>1.8471856013903631</v>
      </c>
      <c r="AE110" s="1077"/>
      <c r="AF110" s="1077"/>
    </row>
    <row r="111" spans="1:32" ht="14.25" customHeight="1">
      <c r="A111" s="939" t="s">
        <v>2659</v>
      </c>
      <c r="B111" s="965"/>
      <c r="C111" s="1058">
        <f>C56*C6-C108*C6</f>
        <v>0</v>
      </c>
      <c r="D111" s="1058">
        <f>D56*D6-D108*D6</f>
        <v>0</v>
      </c>
      <c r="E111" s="1058">
        <f>E56*E6-E108*E6</f>
        <v>0</v>
      </c>
      <c r="F111" s="1058">
        <f>F56*F6-F108*F6</f>
        <v>0</v>
      </c>
      <c r="G111" s="955">
        <f>C110</f>
        <v>0</v>
      </c>
      <c r="H111" s="1058">
        <f>H56-H108</f>
        <v>-1.3115938768730699</v>
      </c>
      <c r="I111" s="1058">
        <f>I56-I108</f>
        <v>-0.81893824926024017</v>
      </c>
      <c r="J111" s="1058">
        <f>J56-J108</f>
        <v>-3.9662810708758816</v>
      </c>
      <c r="K111" s="1058">
        <f>K56-K108</f>
        <v>-0.81331227908142401</v>
      </c>
      <c r="M111" s="1058">
        <f>M56-M108</f>
        <v>-4.9556142286267875</v>
      </c>
      <c r="N111" s="1058">
        <f>N56-N108</f>
        <v>-3.5484706934380044</v>
      </c>
      <c r="O111" s="1058">
        <f>O56-O108</f>
        <v>-6.6450161082063381</v>
      </c>
      <c r="P111" s="1058">
        <f>P56-P108</f>
        <v>-3.4043125477611262</v>
      </c>
      <c r="Q111" s="1092">
        <f>Q108/R107</f>
        <v>0.70710678118654757</v>
      </c>
      <c r="AE111" s="1077"/>
      <c r="AF111" s="1077"/>
    </row>
    <row r="112" spans="1:32" ht="14.25" customHeight="1">
      <c r="A112" s="939" t="s">
        <v>2660</v>
      </c>
      <c r="B112" s="965"/>
      <c r="C112" s="1058">
        <f>C111*C34*C6</f>
        <v>0</v>
      </c>
      <c r="D112" s="1058">
        <f>D111*D34*D6</f>
        <v>0</v>
      </c>
      <c r="E112" s="1058">
        <f>E111*E34*E6</f>
        <v>0</v>
      </c>
      <c r="F112" s="1058">
        <f>F111*F34*F6</f>
        <v>0</v>
      </c>
      <c r="G112" s="1093">
        <f>C112+D112+E112+F112</f>
        <v>0</v>
      </c>
      <c r="H112" s="1094">
        <f>H111*H33*2</f>
        <v>-7.8695632612384196</v>
      </c>
      <c r="I112" s="1094">
        <f>I111*I33*2</f>
        <v>-4.913629495561441</v>
      </c>
      <c r="J112" s="1094">
        <f>J111*J33*2</f>
        <v>-23.797686425255289</v>
      </c>
      <c r="K112" s="1094">
        <f>K111*K33*2</f>
        <v>-4.879873674488544</v>
      </c>
      <c r="L112" s="955">
        <f>H112+I112+J112+K112</f>
        <v>-41.460752856543692</v>
      </c>
      <c r="M112" s="1094">
        <f>M111*M33*2</f>
        <v>-29.733685371760725</v>
      </c>
      <c r="N112" s="1094">
        <f>N111*N33*2</f>
        <v>-21.290824160628027</v>
      </c>
      <c r="O112" s="1094">
        <f>O111*O33*2</f>
        <v>-39.870096649238029</v>
      </c>
      <c r="P112" s="1094">
        <f>P111*P33*2</f>
        <v>-20.425875286566757</v>
      </c>
      <c r="Q112" s="955">
        <f>M112+N112+O112+P112</f>
        <v>-111.32048146819355</v>
      </c>
      <c r="R112" s="1095">
        <f>G112+L112</f>
        <v>-41.460752856543692</v>
      </c>
      <c r="AE112" s="1077"/>
      <c r="AF112" s="1077"/>
    </row>
    <row r="113" spans="1:32" ht="14.25" customHeight="1">
      <c r="A113" s="939" t="s">
        <v>2661</v>
      </c>
      <c r="B113" s="965"/>
      <c r="C113" s="1058">
        <f>C111*COS(C103)*C34*C6</f>
        <v>0</v>
      </c>
      <c r="D113" s="1058">
        <f>D111*COS(D103)*D34*D6</f>
        <v>0</v>
      </c>
      <c r="E113" s="1058">
        <f>E111*COS(E103)*E34*E6</f>
        <v>0</v>
      </c>
      <c r="F113" s="1058">
        <f>F111*COS(F103)*F34*F6</f>
        <v>0</v>
      </c>
      <c r="G113" s="955">
        <f>C113+D113+E113+F113</f>
        <v>0</v>
      </c>
      <c r="H113" s="1094">
        <f>H111*COS(H103)*H33*2</f>
        <v>-5.0771958053548518</v>
      </c>
      <c r="I113" s="1094">
        <f>I111*COS(I103)*I33*2</f>
        <v>-4.4172871483032354</v>
      </c>
      <c r="J113" s="1094">
        <f>J111*COS(J103)*J33*2</f>
        <v>-20.852432984534968</v>
      </c>
      <c r="K113" s="1094">
        <f>K111*COS(K103)*K33*2</f>
        <v>-4.6771536738619179</v>
      </c>
      <c r="L113" s="955">
        <f>H113+I113+J113+K113</f>
        <v>-35.024069612054973</v>
      </c>
      <c r="M113" s="1094">
        <f>M111*COS(M103)*M33*2</f>
        <v>-19.08538827969863</v>
      </c>
      <c r="N113" s="1094">
        <f>N111*COS(N103)*N33*2</f>
        <v>-20.036446627053959</v>
      </c>
      <c r="O113" s="1094">
        <f>O111*COS(O103)*O33*2</f>
        <v>-35.872895155250319</v>
      </c>
      <c r="P113" s="1094">
        <f>P111*COS(P103)*P33*2</f>
        <v>-19.524763282108662</v>
      </c>
      <c r="Q113" s="955">
        <f>M113+N113+O113+P113</f>
        <v>-94.519493344111567</v>
      </c>
      <c r="R113" s="1095">
        <f>G113+L113</f>
        <v>-35.024069612054973</v>
      </c>
      <c r="AE113" s="1077"/>
      <c r="AF113" s="1077"/>
    </row>
    <row r="114" spans="1:32" ht="14.25" customHeight="1">
      <c r="A114" s="1096" t="s">
        <v>2662</v>
      </c>
      <c r="B114" s="1097"/>
      <c r="C114" s="1098">
        <f>(IF('Ввод данных'!A361=связи1!A94,0,0)+IF('Ввод данных'!A361=связи1!A95,0,0)+IF('Ввод данных'!A361=связи1!A96,пристройка!C65,0)+IF('Ввод данных'!A361=связи1!A98,0,0)+IF('Ввод данных'!A361=связи1!A97,C65,0))*C32</f>
        <v>0</v>
      </c>
      <c r="D114" s="1098">
        <f>(IF('Ввод данных'!A365=связи1!A96,пристройка!D65,0)+IF('Ввод данных'!A361=связи1!A94,0,0)+IF('Ввод данных'!A361=связи1!A95,0,0)+IF('Ввод данных'!A361=связи1!A98,0,0)+IF('Ввод данных'!A361=связи1!A97,D65,0))*D32</f>
        <v>0</v>
      </c>
      <c r="E114" s="1098">
        <f>(IF('Ввод данных'!A369=связи1!A96,пристройка!E65,0)+IF('Ввод данных'!A361=связи1!A94,0,0)+IF('Ввод данных'!A361=связи1!A95,0,0)+IF('Ввод данных'!A361=связи1!A98,0,0)+IF('Ввод данных'!A361=связи1!A97,E65,0))*E32</f>
        <v>0</v>
      </c>
      <c r="F114" s="1098">
        <f>IF('Ввод данных'!A373=связи1!A96,пристройка!F65,0)*F32</f>
        <v>0</v>
      </c>
      <c r="G114" s="955">
        <f>C114+D114+E114+F114</f>
        <v>0</v>
      </c>
      <c r="H114" s="1099">
        <f>(IF('Ввод данных'!A361=связи1!A96,пристройка!H65,0)+IF('Ввод данных'!A361=связи1!A97,H65,0))*H32</f>
        <v>0</v>
      </c>
      <c r="I114" s="1099">
        <f>(IF('Ввод данных'!A365=связи1!A96,пристройка!I65,0)+IF('Ввод данных'!A361=связи1!A97,I65,0))*I32</f>
        <v>0</v>
      </c>
      <c r="J114" s="1099">
        <f>(IF('Ввод данных'!A369=связи1!A96,пристройка!J65,0)+IF('Ввод данных'!A361=связи1!A97,J65,0))*J32</f>
        <v>0</v>
      </c>
      <c r="K114" s="1099">
        <f>(IF('Ввод данных'!A373=связи1!A96,пристройка!K65,0)+IF('Ввод данных'!A361=связи1!A97,K65,0))*K32</f>
        <v>0</v>
      </c>
      <c r="L114" s="955">
        <f>H114+I114+J114+K114</f>
        <v>0</v>
      </c>
      <c r="M114" s="1099"/>
      <c r="N114" s="1099"/>
      <c r="O114" s="1099"/>
      <c r="P114" s="1099"/>
      <c r="Q114" s="955">
        <f>M114+N114+O114+P114</f>
        <v>0</v>
      </c>
      <c r="R114" s="1095">
        <f>G114+L114</f>
        <v>0</v>
      </c>
      <c r="AE114" s="1077"/>
      <c r="AF114" s="1077"/>
    </row>
    <row r="115" spans="1:32" ht="14.25" customHeight="1">
      <c r="A115" s="1096" t="s">
        <v>2663</v>
      </c>
      <c r="B115" s="1097"/>
      <c r="C115" s="1098">
        <f>IF('Ввод данных'!A361=связи1!A98,пристройка!C112,0)*C6</f>
        <v>0</v>
      </c>
      <c r="D115" s="1098">
        <f>IF('Ввод данных'!A365=связи1!A98,пристройка!D112,0)*D32</f>
        <v>0</v>
      </c>
      <c r="E115" s="1098">
        <f>IF('Ввод данных'!A369=связи1!A98,пристройка!E112,0)*E32</f>
        <v>0</v>
      </c>
      <c r="F115" s="1098">
        <f>(IF('Ввод данных'!D362=связи1!D95,0,0)+IF('Ввод данных'!D362=связи1!D96,0,0)+IF('Ввод данных'!D362=связи1!D97,пристройка!F66,0)+IF('Ввод данных'!D362=связи1!D99,0,0))*F32</f>
        <v>0</v>
      </c>
      <c r="G115" s="955">
        <f>C115+D115+E115+F115</f>
        <v>0</v>
      </c>
      <c r="H115" s="1099">
        <f>IF('Ввод данных'!A361=связи1!A98,пристройка!H112,0)*H32</f>
        <v>0</v>
      </c>
      <c r="I115" s="1099">
        <f>IF('Ввод данных'!A365=связи1!A98,пристройка!I112,0)*I32</f>
        <v>0</v>
      </c>
      <c r="J115" s="1099">
        <f>IF('Ввод данных'!A369=связи1!A98,пристройка!J112,0)*J32</f>
        <v>0</v>
      </c>
      <c r="K115" s="1099">
        <f>IF('Ввод данных'!A373=связи1!A98,пристройка!K112,0)*K32</f>
        <v>0</v>
      </c>
      <c r="L115" s="955">
        <f>H115+I115+J115+K115</f>
        <v>0</v>
      </c>
      <c r="M115" s="1099"/>
      <c r="N115" s="1099"/>
      <c r="O115" s="1099"/>
      <c r="P115" s="1099"/>
      <c r="Q115" s="955">
        <f>M115+N115+O115+P115</f>
        <v>0</v>
      </c>
      <c r="R115" s="1095">
        <f>G115+L115</f>
        <v>0</v>
      </c>
      <c r="AE115" s="1077"/>
      <c r="AF115" s="1077"/>
    </row>
    <row r="116" spans="1:32" ht="14.25" customHeight="1">
      <c r="A116" s="1096" t="s">
        <v>2661</v>
      </c>
      <c r="B116" s="1097"/>
      <c r="C116" s="1098">
        <f>(IF('Ввод данных'!A361=связи1!A94,0,0)+IF('Ввод данных'!A361=связи1!A95,пристройка!C11,0)+IF('Ввод данных'!A361=связи1!A96,0,0)+IF('Ввод данных'!A361=связи1!A97,0,0)+IF('Ввод данных'!A361=связи1!A98,C111*COS(C103)*C34,0))*C32</f>
        <v>0</v>
      </c>
      <c r="D116" s="1098">
        <f>(IF('Ввод данных'!A365=связи1!A94,0,0)+IF('Ввод данных'!A365=связи1!A95,пристройка!D11,0)+IF('Ввод данных'!A365=связи1!A96,0,0)+IF('Ввод данных'!A365=связи1!A97,0,0)+IF('Ввод данных'!A365=связи1!A98,D111*COS(D103)*D34,0))*D32</f>
        <v>0</v>
      </c>
      <c r="E116" s="1098">
        <f>(IF('Ввод данных'!A369=связи1!A94,0,0)+IF('Ввод данных'!A369=связи1!A95,пристройка!E11,0)+IF('Ввод данных'!A369=связи1!A96,0,0)+IF('Ввод данных'!A369=связи1!A97,0,0)+IF('Ввод данных'!A369=связи1!A98,E111*COS(E103)*E34,0))*E32</f>
        <v>0</v>
      </c>
      <c r="F116" s="1098">
        <f>(IF('Ввод данных'!A373=связи1!A94,0,0)+IF('Ввод данных'!A373=связи1!A95,пристройка!F11,0)+IF('Ввод данных'!A373=связи1!A96,0,0)+IF('Ввод данных'!A373=связи1!A97,0,0)+IF('Ввод данных'!A373=связи1!A98,F111*COS(F103)*F34,0))*F32</f>
        <v>0</v>
      </c>
      <c r="G116" s="955">
        <f>C116+D116+E116+F116</f>
        <v>0</v>
      </c>
      <c r="H116" s="1099">
        <f>(IF('Ввод данных'!A361=связи1!A94,0,0)+IF('Ввод данных'!A361=связи1!A95,пристройка!H11,0)+IF('Ввод данных'!A361=связи1!A96,0,0)+IF('Ввод данных'!A361=связи1!A97,0,0)+IF('Ввод данных'!A361=связи1!A98,H111*COS(H103)*H33,0))*H32</f>
        <v>0</v>
      </c>
      <c r="I116" s="1099">
        <f>(IF('Ввод данных'!A365=связи1!A94,0,0)+IF('Ввод данных'!A365=связи1!A95,пристройка!I11,0)+IF('Ввод данных'!A365=связи1!A96,0,0)+IF('Ввод данных'!A365=связи1!A97,0,0)+IF('Ввод данных'!A365=связи1!A98,I111*COS(I103)*I33,0))*I32</f>
        <v>0</v>
      </c>
      <c r="J116" s="1099">
        <f>(IF('Ввод данных'!A369=связи1!A94,0,0)+IF('Ввод данных'!A369=связи1!A95,пристройка!J11,0)+IF('Ввод данных'!A369=связи1!A96,0,0)+IF('Ввод данных'!A369=связи1!A97,0,0)+IF('Ввод данных'!A369=связи1!A98,J111*COS(J103)*J33,0))*J32</f>
        <v>0</v>
      </c>
      <c r="K116" s="1099">
        <f>(IF('Ввод данных'!A373=связи1!A94,0,0)+IF('Ввод данных'!A373=связи1!A95,пристройка!J11,0)+IF('Ввод данных'!A373=связи1!A96,0,0)+IF('Ввод данных'!A373=связи1!A97,0,0)+IF('Ввод данных'!A373=связи1!A98,K111*COS(K103)*K33,0))*K32</f>
        <v>0</v>
      </c>
      <c r="L116" s="955">
        <f>H116+I116+J116+K116</f>
        <v>0</v>
      </c>
      <c r="M116" s="1099">
        <f>M11</f>
        <v>0</v>
      </c>
      <c r="N116" s="1099">
        <f>N11</f>
        <v>0</v>
      </c>
      <c r="O116" s="1099">
        <f>O11</f>
        <v>0</v>
      </c>
      <c r="P116" s="1099">
        <f>P11</f>
        <v>0</v>
      </c>
      <c r="Q116" s="955">
        <f>M116+N116+O116+P116</f>
        <v>0</v>
      </c>
      <c r="R116" s="1095">
        <f>G116+L116+Q116</f>
        <v>0</v>
      </c>
      <c r="AE116" s="1077"/>
      <c r="AF116" s="1077"/>
    </row>
    <row r="117" spans="1:32" s="917" customFormat="1" ht="14.25" customHeight="1">
      <c r="A117" s="939"/>
      <c r="B117" s="965"/>
      <c r="C117" s="1086"/>
      <c r="D117" s="1086"/>
      <c r="E117" s="1086"/>
      <c r="F117" s="1086"/>
      <c r="G117" s="955"/>
      <c r="H117" s="1080"/>
      <c r="I117" s="1080"/>
      <c r="J117" s="1080"/>
      <c r="K117" s="1080"/>
      <c r="M117" s="1080"/>
      <c r="N117" s="1080"/>
      <c r="O117" s="1080"/>
      <c r="P117" s="1080"/>
      <c r="AE117" s="1084"/>
      <c r="AF117" s="1084"/>
    </row>
    <row r="118" spans="1:32" s="917" customFormat="1" ht="14.25" customHeight="1">
      <c r="A118" s="939" t="s">
        <v>2664</v>
      </c>
      <c r="B118" s="965"/>
      <c r="C118" s="1086">
        <f>дома!B1115*дома!C1152+дома!I1115*дома!F1152+дома!L1115*дома!J1138</f>
        <v>0</v>
      </c>
      <c r="D118" s="1086">
        <f t="shared" ref="D118:D132" si="28">C118</f>
        <v>0</v>
      </c>
      <c r="E118" s="1086">
        <f t="shared" ref="E118:E132" si="29">C118</f>
        <v>0</v>
      </c>
      <c r="F118" s="1086">
        <f t="shared" ref="F118:F132" si="30">C118</f>
        <v>0</v>
      </c>
      <c r="G118" s="955"/>
      <c r="H118" s="1080">
        <f t="shared" ref="H118:H139" si="31">C118</f>
        <v>0</v>
      </c>
      <c r="I118" s="1080">
        <f t="shared" ref="I118:I139" si="32">H118</f>
        <v>0</v>
      </c>
      <c r="J118" s="1080">
        <f t="shared" ref="J118:J139" si="33">H118</f>
        <v>0</v>
      </c>
      <c r="K118" s="1080">
        <f t="shared" ref="K118:K139" si="34">H118</f>
        <v>0</v>
      </c>
      <c r="M118" s="1080">
        <f t="shared" ref="M118:M139" si="35">C118</f>
        <v>0</v>
      </c>
      <c r="N118" s="1080">
        <f t="shared" ref="N118:N139" si="36">M118</f>
        <v>0</v>
      </c>
      <c r="O118" s="1080">
        <f t="shared" ref="O118:O139" si="37">M118</f>
        <v>0</v>
      </c>
      <c r="P118" s="1080">
        <f t="shared" ref="P118:P139" si="38">M118</f>
        <v>0</v>
      </c>
      <c r="AE118" s="1084"/>
      <c r="AF118" s="1084"/>
    </row>
    <row r="119" spans="1:32" s="917" customFormat="1" ht="14.25" customHeight="1">
      <c r="A119" s="939" t="s">
        <v>2665</v>
      </c>
      <c r="B119" s="965"/>
      <c r="C119" s="1086">
        <f>дома!B1115*дома!C1155+дома!I1115*дома!F1152+дома!L1115*дома!J1152</f>
        <v>0</v>
      </c>
      <c r="D119" s="1086">
        <f t="shared" si="28"/>
        <v>0</v>
      </c>
      <c r="E119" s="1086">
        <f t="shared" si="29"/>
        <v>0</v>
      </c>
      <c r="F119" s="1086">
        <f t="shared" si="30"/>
        <v>0</v>
      </c>
      <c r="G119" s="955"/>
      <c r="H119" s="1080">
        <f t="shared" si="31"/>
        <v>0</v>
      </c>
      <c r="I119" s="1080">
        <f t="shared" si="32"/>
        <v>0</v>
      </c>
      <c r="J119" s="1080">
        <f t="shared" si="33"/>
        <v>0</v>
      </c>
      <c r="K119" s="1080">
        <f t="shared" si="34"/>
        <v>0</v>
      </c>
      <c r="M119" s="1080">
        <f t="shared" si="35"/>
        <v>0</v>
      </c>
      <c r="N119" s="1080">
        <f t="shared" si="36"/>
        <v>0</v>
      </c>
      <c r="O119" s="1080">
        <f t="shared" si="37"/>
        <v>0</v>
      </c>
      <c r="P119" s="1080">
        <f t="shared" si="38"/>
        <v>0</v>
      </c>
      <c r="AE119" s="1084"/>
      <c r="AF119" s="1084"/>
    </row>
    <row r="120" spans="1:32" s="917" customFormat="1" ht="14.25" customHeight="1">
      <c r="A120" s="939" t="s">
        <v>2666</v>
      </c>
      <c r="B120" s="965"/>
      <c r="C120" s="1086">
        <f>дома!B1115*дома!C1148+дома!I1115*дома!F1148+дома!L1115*дома!J1138</f>
        <v>0</v>
      </c>
      <c r="D120" s="1086">
        <f t="shared" si="28"/>
        <v>0</v>
      </c>
      <c r="E120" s="1086">
        <f t="shared" si="29"/>
        <v>0</v>
      </c>
      <c r="F120" s="1086">
        <f t="shared" si="30"/>
        <v>0</v>
      </c>
      <c r="G120" s="955"/>
      <c r="H120" s="1080">
        <f t="shared" si="31"/>
        <v>0</v>
      </c>
      <c r="I120" s="1080">
        <f t="shared" si="32"/>
        <v>0</v>
      </c>
      <c r="J120" s="1080">
        <f t="shared" si="33"/>
        <v>0</v>
      </c>
      <c r="K120" s="1080">
        <f t="shared" si="34"/>
        <v>0</v>
      </c>
      <c r="M120" s="1080">
        <f t="shared" si="35"/>
        <v>0</v>
      </c>
      <c r="N120" s="1080">
        <f t="shared" si="36"/>
        <v>0</v>
      </c>
      <c r="O120" s="1080">
        <f t="shared" si="37"/>
        <v>0</v>
      </c>
      <c r="P120" s="1080">
        <f t="shared" si="38"/>
        <v>0</v>
      </c>
      <c r="AE120" s="1084"/>
      <c r="AF120" s="1084"/>
    </row>
    <row r="121" spans="1:32" s="917" customFormat="1" ht="14.25" customHeight="1">
      <c r="A121" s="939" t="s">
        <v>2667</v>
      </c>
      <c r="B121" s="965"/>
      <c r="C121" s="1086">
        <f>дома!B1115*дома!C1150+дома!I1115*дома!F1148+дома!L1115*дома!J1138</f>
        <v>0</v>
      </c>
      <c r="D121" s="1086">
        <f t="shared" si="28"/>
        <v>0</v>
      </c>
      <c r="E121" s="1086">
        <f t="shared" si="29"/>
        <v>0</v>
      </c>
      <c r="F121" s="1086">
        <f t="shared" si="30"/>
        <v>0</v>
      </c>
      <c r="G121" s="955"/>
      <c r="H121" s="1080">
        <f t="shared" si="31"/>
        <v>0</v>
      </c>
      <c r="I121" s="1080">
        <f t="shared" si="32"/>
        <v>0</v>
      </c>
      <c r="J121" s="1080">
        <f t="shared" si="33"/>
        <v>0</v>
      </c>
      <c r="K121" s="1080">
        <f t="shared" si="34"/>
        <v>0</v>
      </c>
      <c r="M121" s="1080">
        <f t="shared" si="35"/>
        <v>0</v>
      </c>
      <c r="N121" s="1080">
        <f t="shared" si="36"/>
        <v>0</v>
      </c>
      <c r="O121" s="1080">
        <f t="shared" si="37"/>
        <v>0</v>
      </c>
      <c r="P121" s="1080">
        <f t="shared" si="38"/>
        <v>0</v>
      </c>
      <c r="AE121" s="1084"/>
      <c r="AF121" s="1084"/>
    </row>
    <row r="122" spans="1:32" s="917" customFormat="1" ht="14.25" customHeight="1">
      <c r="A122" s="939" t="s">
        <v>2657</v>
      </c>
      <c r="B122" s="965"/>
      <c r="C122" s="1086">
        <f>дома!B1115*дома!C1135+дома!I1115*дома!F1135+дома!L1115*дома!J1135</f>
        <v>0</v>
      </c>
      <c r="D122" s="1086">
        <f t="shared" si="28"/>
        <v>0</v>
      </c>
      <c r="E122" s="1086">
        <f t="shared" si="29"/>
        <v>0</v>
      </c>
      <c r="F122" s="1086">
        <f t="shared" si="30"/>
        <v>0</v>
      </c>
      <c r="G122" s="955"/>
      <c r="H122" s="1080">
        <f t="shared" si="31"/>
        <v>0</v>
      </c>
      <c r="I122" s="1080">
        <f t="shared" si="32"/>
        <v>0</v>
      </c>
      <c r="J122" s="1080">
        <f t="shared" si="33"/>
        <v>0</v>
      </c>
      <c r="K122" s="1080">
        <f t="shared" si="34"/>
        <v>0</v>
      </c>
      <c r="M122" s="1080">
        <f t="shared" si="35"/>
        <v>0</v>
      </c>
      <c r="N122" s="1080">
        <f t="shared" si="36"/>
        <v>0</v>
      </c>
      <c r="O122" s="1080">
        <f t="shared" si="37"/>
        <v>0</v>
      </c>
      <c r="P122" s="1080">
        <f t="shared" si="38"/>
        <v>0</v>
      </c>
      <c r="AE122" s="1084"/>
      <c r="AF122" s="1084"/>
    </row>
    <row r="123" spans="1:32" s="917" customFormat="1" ht="14.25" customHeight="1">
      <c r="A123" s="939" t="s">
        <v>2668</v>
      </c>
      <c r="B123" s="965"/>
      <c r="C123" s="1086">
        <f>дома!B1115*дома!C1140+дома!I1115*дома!F1167+дома!L1115*дома!J1167</f>
        <v>0</v>
      </c>
      <c r="D123" s="1086">
        <f t="shared" si="28"/>
        <v>0</v>
      </c>
      <c r="E123" s="1086">
        <f t="shared" si="29"/>
        <v>0</v>
      </c>
      <c r="F123" s="1086">
        <f t="shared" si="30"/>
        <v>0</v>
      </c>
      <c r="G123" s="955"/>
      <c r="H123" s="1080">
        <f t="shared" si="31"/>
        <v>0</v>
      </c>
      <c r="I123" s="1080">
        <f t="shared" si="32"/>
        <v>0</v>
      </c>
      <c r="J123" s="1080">
        <f t="shared" si="33"/>
        <v>0</v>
      </c>
      <c r="K123" s="1080">
        <f t="shared" si="34"/>
        <v>0</v>
      </c>
      <c r="M123" s="1080">
        <f t="shared" si="35"/>
        <v>0</v>
      </c>
      <c r="N123" s="1080">
        <f t="shared" si="36"/>
        <v>0</v>
      </c>
      <c r="O123" s="1080">
        <f t="shared" si="37"/>
        <v>0</v>
      </c>
      <c r="P123" s="1080">
        <f t="shared" si="38"/>
        <v>0</v>
      </c>
      <c r="AE123" s="1084"/>
      <c r="AF123" s="1084"/>
    </row>
    <row r="124" spans="1:32" s="917" customFormat="1" ht="14.25" customHeight="1">
      <c r="A124" s="939" t="s">
        <v>2669</v>
      </c>
      <c r="B124" s="965"/>
      <c r="C124" s="1086">
        <f>дома!L1115*дома!L1167</f>
        <v>0</v>
      </c>
      <c r="D124" s="1086">
        <f t="shared" si="28"/>
        <v>0</v>
      </c>
      <c r="E124" s="1086">
        <f t="shared" si="29"/>
        <v>0</v>
      </c>
      <c r="F124" s="1086">
        <f t="shared" si="30"/>
        <v>0</v>
      </c>
      <c r="G124" s="955"/>
      <c r="H124" s="1080">
        <f t="shared" si="31"/>
        <v>0</v>
      </c>
      <c r="I124" s="1080">
        <f t="shared" si="32"/>
        <v>0</v>
      </c>
      <c r="J124" s="1080">
        <f t="shared" si="33"/>
        <v>0</v>
      </c>
      <c r="K124" s="1080">
        <f t="shared" si="34"/>
        <v>0</v>
      </c>
      <c r="M124" s="1080">
        <f t="shared" si="35"/>
        <v>0</v>
      </c>
      <c r="N124" s="1080">
        <f t="shared" si="36"/>
        <v>0</v>
      </c>
      <c r="O124" s="1080">
        <f t="shared" si="37"/>
        <v>0</v>
      </c>
      <c r="P124" s="1080">
        <f t="shared" si="38"/>
        <v>0</v>
      </c>
      <c r="AE124" s="1084"/>
      <c r="AF124" s="1084"/>
    </row>
    <row r="125" spans="1:32" s="917" customFormat="1" ht="14.25" customHeight="1">
      <c r="A125" s="939" t="s">
        <v>1903</v>
      </c>
      <c r="B125" s="965"/>
      <c r="C125" s="1086">
        <f>'Ввод данных'!C11</f>
        <v>10</v>
      </c>
      <c r="D125" s="1086">
        <f t="shared" si="28"/>
        <v>10</v>
      </c>
      <c r="E125" s="1086">
        <f t="shared" si="29"/>
        <v>10</v>
      </c>
      <c r="F125" s="1086">
        <f t="shared" si="30"/>
        <v>10</v>
      </c>
      <c r="G125" s="955"/>
      <c r="H125" s="1080">
        <f t="shared" si="31"/>
        <v>10</v>
      </c>
      <c r="I125" s="1080">
        <f t="shared" si="32"/>
        <v>10</v>
      </c>
      <c r="J125" s="1080">
        <f t="shared" si="33"/>
        <v>10</v>
      </c>
      <c r="K125" s="1080">
        <f t="shared" si="34"/>
        <v>10</v>
      </c>
      <c r="M125" s="1080">
        <f t="shared" si="35"/>
        <v>10</v>
      </c>
      <c r="N125" s="1080">
        <f t="shared" si="36"/>
        <v>10</v>
      </c>
      <c r="O125" s="1080">
        <f t="shared" si="37"/>
        <v>10</v>
      </c>
      <c r="P125" s="1080">
        <f t="shared" si="38"/>
        <v>10</v>
      </c>
      <c r="AE125" s="1084"/>
      <c r="AF125" s="1084"/>
    </row>
    <row r="126" spans="1:32" s="917" customFormat="1" ht="14.25" customHeight="1">
      <c r="A126" s="939" t="s">
        <v>1906</v>
      </c>
      <c r="B126" s="965"/>
      <c r="C126" s="1086">
        <f>'Ввод данных'!C12</f>
        <v>10</v>
      </c>
      <c r="D126" s="1086">
        <f t="shared" si="28"/>
        <v>10</v>
      </c>
      <c r="E126" s="1086">
        <f t="shared" si="29"/>
        <v>10</v>
      </c>
      <c r="F126" s="1086">
        <f t="shared" si="30"/>
        <v>10</v>
      </c>
      <c r="G126" s="955"/>
      <c r="H126" s="1080">
        <f t="shared" si="31"/>
        <v>10</v>
      </c>
      <c r="I126" s="1080">
        <f t="shared" si="32"/>
        <v>10</v>
      </c>
      <c r="J126" s="1080">
        <f t="shared" si="33"/>
        <v>10</v>
      </c>
      <c r="K126" s="1080">
        <f t="shared" si="34"/>
        <v>10</v>
      </c>
      <c r="M126" s="1080">
        <f t="shared" si="35"/>
        <v>10</v>
      </c>
      <c r="N126" s="1080">
        <f t="shared" si="36"/>
        <v>10</v>
      </c>
      <c r="O126" s="1080">
        <f t="shared" si="37"/>
        <v>10</v>
      </c>
      <c r="P126" s="1080">
        <f t="shared" si="38"/>
        <v>10</v>
      </c>
      <c r="AE126" s="1084"/>
      <c r="AF126" s="1084"/>
    </row>
    <row r="127" spans="1:32" s="917" customFormat="1" ht="14.25" customHeight="1">
      <c r="A127" s="939" t="str">
        <f>'Ввод данных'!A13</f>
        <v>Высота 1-го этажа, С</v>
      </c>
      <c r="B127" s="965"/>
      <c r="C127" s="1086">
        <f>'Ввод данных'!C13</f>
        <v>3</v>
      </c>
      <c r="D127" s="1086">
        <f t="shared" si="28"/>
        <v>3</v>
      </c>
      <c r="E127" s="1086">
        <f t="shared" si="29"/>
        <v>3</v>
      </c>
      <c r="F127" s="1086">
        <f t="shared" si="30"/>
        <v>3</v>
      </c>
      <c r="G127" s="955"/>
      <c r="H127" s="1080">
        <f t="shared" si="31"/>
        <v>3</v>
      </c>
      <c r="I127" s="1080">
        <f t="shared" si="32"/>
        <v>3</v>
      </c>
      <c r="J127" s="1080">
        <f t="shared" si="33"/>
        <v>3</v>
      </c>
      <c r="K127" s="1080">
        <f t="shared" si="34"/>
        <v>3</v>
      </c>
      <c r="M127" s="1080">
        <f t="shared" si="35"/>
        <v>3</v>
      </c>
      <c r="N127" s="1080">
        <f t="shared" si="36"/>
        <v>3</v>
      </c>
      <c r="O127" s="1080">
        <f t="shared" si="37"/>
        <v>3</v>
      </c>
      <c r="P127" s="1080">
        <f t="shared" si="38"/>
        <v>3</v>
      </c>
      <c r="AE127" s="1084"/>
      <c r="AF127" s="1084"/>
    </row>
    <row r="128" spans="1:32" s="917" customFormat="1" ht="14.25" customHeight="1">
      <c r="A128" s="1100" t="s">
        <v>1757</v>
      </c>
      <c r="B128" s="965"/>
      <c r="C128" s="1086">
        <f>дома!C19</f>
        <v>8</v>
      </c>
      <c r="D128" s="1086">
        <f t="shared" si="28"/>
        <v>8</v>
      </c>
      <c r="E128" s="1086">
        <f t="shared" si="29"/>
        <v>8</v>
      </c>
      <c r="F128" s="1086">
        <f t="shared" si="30"/>
        <v>8</v>
      </c>
      <c r="G128" s="955"/>
      <c r="H128" s="1080">
        <f t="shared" si="31"/>
        <v>8</v>
      </c>
      <c r="I128" s="1080">
        <f t="shared" si="32"/>
        <v>8</v>
      </c>
      <c r="J128" s="1080">
        <f t="shared" si="33"/>
        <v>8</v>
      </c>
      <c r="K128" s="1080">
        <f t="shared" si="34"/>
        <v>8</v>
      </c>
      <c r="M128" s="1080">
        <f t="shared" si="35"/>
        <v>8</v>
      </c>
      <c r="N128" s="1080">
        <f t="shared" si="36"/>
        <v>8</v>
      </c>
      <c r="O128" s="1080">
        <f t="shared" si="37"/>
        <v>8</v>
      </c>
      <c r="P128" s="1080">
        <f t="shared" si="38"/>
        <v>8</v>
      </c>
      <c r="AE128" s="1084"/>
      <c r="AF128" s="1084"/>
    </row>
    <row r="129" spans="1:32" s="917" customFormat="1" ht="14.25" customHeight="1">
      <c r="A129" s="1101" t="s">
        <v>2670</v>
      </c>
      <c r="B129" s="965"/>
      <c r="C129" s="1086">
        <f>дома!C20</f>
        <v>3</v>
      </c>
      <c r="D129" s="1086">
        <f t="shared" si="28"/>
        <v>3</v>
      </c>
      <c r="E129" s="1086">
        <f t="shared" si="29"/>
        <v>3</v>
      </c>
      <c r="F129" s="1086">
        <f t="shared" si="30"/>
        <v>3</v>
      </c>
      <c r="G129" s="955"/>
      <c r="H129" s="1080">
        <f t="shared" si="31"/>
        <v>3</v>
      </c>
      <c r="I129" s="1080">
        <f t="shared" si="32"/>
        <v>3</v>
      </c>
      <c r="J129" s="1080">
        <f t="shared" si="33"/>
        <v>3</v>
      </c>
      <c r="K129" s="1080">
        <f t="shared" si="34"/>
        <v>3</v>
      </c>
      <c r="M129" s="1080">
        <f t="shared" si="35"/>
        <v>3</v>
      </c>
      <c r="N129" s="1080">
        <f t="shared" si="36"/>
        <v>3</v>
      </c>
      <c r="O129" s="1080">
        <f t="shared" si="37"/>
        <v>3</v>
      </c>
      <c r="P129" s="1080">
        <f t="shared" si="38"/>
        <v>3</v>
      </c>
      <c r="AE129" s="1084"/>
      <c r="AF129" s="1084"/>
    </row>
    <row r="130" spans="1:32" s="917" customFormat="1" ht="14.25" customHeight="1">
      <c r="A130" s="939" t="str">
        <f>'Ввод данных'!A16</f>
        <v>Высота 2-го этажа, D</v>
      </c>
      <c r="B130" s="965"/>
      <c r="C130" s="1086">
        <f>дома!C21</f>
        <v>0</v>
      </c>
      <c r="D130" s="1086">
        <f t="shared" si="28"/>
        <v>0</v>
      </c>
      <c r="E130" s="1086">
        <f t="shared" si="29"/>
        <v>0</v>
      </c>
      <c r="F130" s="1086">
        <f t="shared" si="30"/>
        <v>0</v>
      </c>
      <c r="G130" s="955"/>
      <c r="H130" s="1080">
        <f t="shared" si="31"/>
        <v>0</v>
      </c>
      <c r="I130" s="1080">
        <f t="shared" si="32"/>
        <v>0</v>
      </c>
      <c r="J130" s="1080">
        <f t="shared" si="33"/>
        <v>0</v>
      </c>
      <c r="K130" s="1080">
        <f t="shared" si="34"/>
        <v>0</v>
      </c>
      <c r="M130" s="1080">
        <f t="shared" si="35"/>
        <v>0</v>
      </c>
      <c r="N130" s="1080">
        <f t="shared" si="36"/>
        <v>0</v>
      </c>
      <c r="O130" s="1080">
        <f t="shared" si="37"/>
        <v>0</v>
      </c>
      <c r="P130" s="1080">
        <f t="shared" si="38"/>
        <v>0</v>
      </c>
      <c r="AE130" s="1084"/>
      <c r="AF130" s="1084"/>
    </row>
    <row r="131" spans="1:32" s="917" customFormat="1" ht="14.25" customHeight="1">
      <c r="A131" s="939" t="str">
        <f>связи1!I206</f>
        <v>Высота от перекрытя 1-го эт. до конька</v>
      </c>
      <c r="B131" s="965"/>
      <c r="C131" s="1086">
        <f>дома!C22</f>
        <v>0</v>
      </c>
      <c r="D131" s="1086">
        <f t="shared" si="28"/>
        <v>0</v>
      </c>
      <c r="E131" s="1086">
        <f t="shared" si="29"/>
        <v>0</v>
      </c>
      <c r="F131" s="1086">
        <f t="shared" si="30"/>
        <v>0</v>
      </c>
      <c r="G131" s="955"/>
      <c r="H131" s="1080">
        <f t="shared" si="31"/>
        <v>0</v>
      </c>
      <c r="I131" s="1080">
        <f t="shared" si="32"/>
        <v>0</v>
      </c>
      <c r="J131" s="1080">
        <f t="shared" si="33"/>
        <v>0</v>
      </c>
      <c r="K131" s="1080">
        <f t="shared" si="34"/>
        <v>0</v>
      </c>
      <c r="M131" s="1080">
        <f t="shared" si="35"/>
        <v>0</v>
      </c>
      <c r="N131" s="1080">
        <f t="shared" si="36"/>
        <v>0</v>
      </c>
      <c r="O131" s="1080">
        <f t="shared" si="37"/>
        <v>0</v>
      </c>
      <c r="P131" s="1080">
        <f t="shared" si="38"/>
        <v>0</v>
      </c>
      <c r="AE131" s="1084"/>
      <c r="AF131" s="1084"/>
    </row>
    <row r="132" spans="1:32" s="917" customFormat="1" ht="14.25" customHeight="1">
      <c r="A132" s="939" t="str">
        <f>связи1!I207</f>
        <v>Аттиковая стена, мансардный 2 этаж</v>
      </c>
      <c r="B132" s="965"/>
      <c r="C132" s="1086">
        <f>дома!C23</f>
        <v>0</v>
      </c>
      <c r="D132" s="1086">
        <f t="shared" si="28"/>
        <v>0</v>
      </c>
      <c r="E132" s="1086">
        <f t="shared" si="29"/>
        <v>0</v>
      </c>
      <c r="F132" s="1086">
        <f t="shared" si="30"/>
        <v>0</v>
      </c>
      <c r="G132" s="955"/>
      <c r="H132" s="1080">
        <f t="shared" si="31"/>
        <v>0</v>
      </c>
      <c r="I132" s="1080">
        <f t="shared" si="32"/>
        <v>0</v>
      </c>
      <c r="J132" s="1080">
        <f t="shared" si="33"/>
        <v>0</v>
      </c>
      <c r="K132" s="1080">
        <f t="shared" si="34"/>
        <v>0</v>
      </c>
      <c r="M132" s="1080">
        <f t="shared" si="35"/>
        <v>0</v>
      </c>
      <c r="N132" s="1080">
        <f t="shared" si="36"/>
        <v>0</v>
      </c>
      <c r="O132" s="1080">
        <f t="shared" si="37"/>
        <v>0</v>
      </c>
      <c r="P132" s="1080">
        <f t="shared" si="38"/>
        <v>0</v>
      </c>
      <c r="AE132" s="1084"/>
      <c r="AF132" s="1084"/>
    </row>
    <row r="133" spans="1:32" s="917" customFormat="1" ht="14.25" customHeight="1">
      <c r="A133" s="1102" t="s">
        <v>2671</v>
      </c>
      <c r="B133" s="993"/>
      <c r="C133" s="994">
        <f>дома!C1124</f>
        <v>0.70710678118654746</v>
      </c>
      <c r="D133" s="994">
        <f>дома!C1124</f>
        <v>0.70710678118654746</v>
      </c>
      <c r="E133" s="994">
        <f>дома!C1124</f>
        <v>0.70710678118654746</v>
      </c>
      <c r="F133" s="994">
        <f>дома!C1124</f>
        <v>0.70710678118654746</v>
      </c>
      <c r="G133" s="955"/>
      <c r="H133" s="1103">
        <f t="shared" si="31"/>
        <v>0.70710678118654746</v>
      </c>
      <c r="I133" s="1103">
        <f t="shared" si="32"/>
        <v>0.70710678118654746</v>
      </c>
      <c r="J133" s="1103">
        <f t="shared" si="33"/>
        <v>0.70710678118654746</v>
      </c>
      <c r="K133" s="1103">
        <f t="shared" si="34"/>
        <v>0.70710678118654746</v>
      </c>
      <c r="M133" s="1103">
        <f t="shared" si="35"/>
        <v>0.70710678118654746</v>
      </c>
      <c r="N133" s="1103">
        <f t="shared" si="36"/>
        <v>0.70710678118654746</v>
      </c>
      <c r="O133" s="1103">
        <f t="shared" si="37"/>
        <v>0.70710678118654746</v>
      </c>
      <c r="P133" s="1103">
        <f t="shared" si="38"/>
        <v>0.70710678118654746</v>
      </c>
      <c r="AE133" s="1084"/>
      <c r="AF133" s="1084"/>
    </row>
    <row r="134" spans="1:32" s="917" customFormat="1" ht="14.25" customHeight="1">
      <c r="A134" s="939" t="s">
        <v>2672</v>
      </c>
      <c r="B134" s="965"/>
      <c r="C134" s="1086">
        <f>дома!B1115*дома!C1124</f>
        <v>0</v>
      </c>
      <c r="D134" s="1086">
        <f t="shared" ref="D134:D139" si="39">C134</f>
        <v>0</v>
      </c>
      <c r="E134" s="1086">
        <f t="shared" ref="E134:E139" si="40">C134</f>
        <v>0</v>
      </c>
      <c r="F134" s="1086">
        <f t="shared" ref="F134:F139" si="41">C134</f>
        <v>0</v>
      </c>
      <c r="G134" s="955"/>
      <c r="H134" s="1080">
        <f t="shared" si="31"/>
        <v>0</v>
      </c>
      <c r="I134" s="1080">
        <f t="shared" si="32"/>
        <v>0</v>
      </c>
      <c r="J134" s="1080">
        <f t="shared" si="33"/>
        <v>0</v>
      </c>
      <c r="K134" s="1080">
        <f t="shared" si="34"/>
        <v>0</v>
      </c>
      <c r="M134" s="1080">
        <f t="shared" si="35"/>
        <v>0</v>
      </c>
      <c r="N134" s="1080">
        <f t="shared" si="36"/>
        <v>0</v>
      </c>
      <c r="O134" s="1080">
        <f t="shared" si="37"/>
        <v>0</v>
      </c>
      <c r="P134" s="1080">
        <f t="shared" si="38"/>
        <v>0</v>
      </c>
      <c r="AE134" s="1084"/>
      <c r="AF134" s="1084"/>
    </row>
    <row r="135" spans="1:32" s="917" customFormat="1" ht="14.25" customHeight="1">
      <c r="A135" s="939" t="s">
        <v>2673</v>
      </c>
      <c r="B135" s="965"/>
      <c r="C135" s="1086">
        <f>дома!I1115*дома!F1124*дома!F1124</f>
        <v>0</v>
      </c>
      <c r="D135" s="1086">
        <f t="shared" si="39"/>
        <v>0</v>
      </c>
      <c r="E135" s="1086">
        <f t="shared" si="40"/>
        <v>0</v>
      </c>
      <c r="F135" s="1086">
        <f t="shared" si="41"/>
        <v>0</v>
      </c>
      <c r="G135" s="955"/>
      <c r="H135" s="1080">
        <f t="shared" si="31"/>
        <v>0</v>
      </c>
      <c r="I135" s="1080">
        <f t="shared" si="32"/>
        <v>0</v>
      </c>
      <c r="J135" s="1080">
        <f t="shared" si="33"/>
        <v>0</v>
      </c>
      <c r="K135" s="1080">
        <f t="shared" si="34"/>
        <v>0</v>
      </c>
      <c r="M135" s="1080">
        <f t="shared" si="35"/>
        <v>0</v>
      </c>
      <c r="N135" s="1080">
        <f t="shared" si="36"/>
        <v>0</v>
      </c>
      <c r="O135" s="1080">
        <f t="shared" si="37"/>
        <v>0</v>
      </c>
      <c r="P135" s="1080">
        <f t="shared" si="38"/>
        <v>0</v>
      </c>
      <c r="AE135" s="1084"/>
      <c r="AF135" s="1084"/>
    </row>
    <row r="136" spans="1:32" s="917" customFormat="1" ht="14.25" customHeight="1">
      <c r="A136" s="939" t="s">
        <v>2674</v>
      </c>
      <c r="B136" s="965"/>
      <c r="C136" s="1086">
        <f>дома!I1115*дома!F1126*дома!F1126</f>
        <v>0</v>
      </c>
      <c r="D136" s="1086">
        <f t="shared" si="39"/>
        <v>0</v>
      </c>
      <c r="E136" s="1086">
        <f t="shared" si="40"/>
        <v>0</v>
      </c>
      <c r="F136" s="1086">
        <f t="shared" si="41"/>
        <v>0</v>
      </c>
      <c r="G136" s="955"/>
      <c r="H136" s="1080">
        <f t="shared" si="31"/>
        <v>0</v>
      </c>
      <c r="I136" s="1080">
        <f t="shared" si="32"/>
        <v>0</v>
      </c>
      <c r="J136" s="1080">
        <f t="shared" si="33"/>
        <v>0</v>
      </c>
      <c r="K136" s="1080">
        <f t="shared" si="34"/>
        <v>0</v>
      </c>
      <c r="M136" s="1080">
        <f t="shared" si="35"/>
        <v>0</v>
      </c>
      <c r="N136" s="1080">
        <f t="shared" si="36"/>
        <v>0</v>
      </c>
      <c r="O136" s="1080">
        <f t="shared" si="37"/>
        <v>0</v>
      </c>
      <c r="P136" s="1080">
        <f t="shared" si="38"/>
        <v>0</v>
      </c>
      <c r="AE136" s="1084"/>
      <c r="AF136" s="1084"/>
    </row>
    <row r="137" spans="1:32" s="917" customFormat="1" ht="14.25" customHeight="1">
      <c r="A137" s="939" t="s">
        <v>2675</v>
      </c>
      <c r="B137" s="965"/>
      <c r="C137" s="1086">
        <f>дома!L1115*дома!J1124</f>
        <v>0</v>
      </c>
      <c r="D137" s="1086">
        <f t="shared" si="39"/>
        <v>0</v>
      </c>
      <c r="E137" s="1086">
        <f t="shared" si="40"/>
        <v>0</v>
      </c>
      <c r="F137" s="1086">
        <f t="shared" si="41"/>
        <v>0</v>
      </c>
      <c r="G137" s="955"/>
      <c r="H137" s="1080">
        <f t="shared" si="31"/>
        <v>0</v>
      </c>
      <c r="I137" s="1080">
        <f t="shared" si="32"/>
        <v>0</v>
      </c>
      <c r="J137" s="1080">
        <f t="shared" si="33"/>
        <v>0</v>
      </c>
      <c r="K137" s="1080">
        <f t="shared" si="34"/>
        <v>0</v>
      </c>
      <c r="M137" s="1080">
        <f t="shared" si="35"/>
        <v>0</v>
      </c>
      <c r="N137" s="1080">
        <f t="shared" si="36"/>
        <v>0</v>
      </c>
      <c r="O137" s="1080">
        <f t="shared" si="37"/>
        <v>0</v>
      </c>
      <c r="P137" s="1080">
        <f t="shared" si="38"/>
        <v>0</v>
      </c>
      <c r="AE137" s="1084"/>
      <c r="AF137" s="1084"/>
    </row>
    <row r="138" spans="1:32" s="917" customFormat="1" ht="14.25" customHeight="1">
      <c r="A138" s="939" t="s">
        <v>2676</v>
      </c>
      <c r="B138" s="965"/>
      <c r="C138" s="1086">
        <f>дома!L1115*дома!J1126</f>
        <v>0</v>
      </c>
      <c r="D138" s="1086">
        <f t="shared" si="39"/>
        <v>0</v>
      </c>
      <c r="E138" s="1086">
        <f t="shared" si="40"/>
        <v>0</v>
      </c>
      <c r="F138" s="1086">
        <f t="shared" si="41"/>
        <v>0</v>
      </c>
      <c r="G138" s="955"/>
      <c r="H138" s="1080">
        <f t="shared" si="31"/>
        <v>0</v>
      </c>
      <c r="I138" s="1080">
        <f t="shared" si="32"/>
        <v>0</v>
      </c>
      <c r="J138" s="1080">
        <f t="shared" si="33"/>
        <v>0</v>
      </c>
      <c r="K138" s="1080">
        <f t="shared" si="34"/>
        <v>0</v>
      </c>
      <c r="M138" s="1080">
        <f t="shared" si="35"/>
        <v>0</v>
      </c>
      <c r="N138" s="1080">
        <f t="shared" si="36"/>
        <v>0</v>
      </c>
      <c r="O138" s="1080">
        <f t="shared" si="37"/>
        <v>0</v>
      </c>
      <c r="P138" s="1080">
        <f t="shared" si="38"/>
        <v>0</v>
      </c>
      <c r="AE138" s="1084"/>
      <c r="AF138" s="1084"/>
    </row>
    <row r="139" spans="1:32" s="917" customFormat="1" ht="14.25" customHeight="1">
      <c r="A139" s="939" t="s">
        <v>2677</v>
      </c>
      <c r="B139" s="965"/>
      <c r="C139" s="1086">
        <f>дома!L1115*дома!J1128</f>
        <v>0</v>
      </c>
      <c r="D139" s="1086">
        <f t="shared" si="39"/>
        <v>0</v>
      </c>
      <c r="E139" s="1086">
        <f t="shared" si="40"/>
        <v>0</v>
      </c>
      <c r="F139" s="1086">
        <f t="shared" si="41"/>
        <v>0</v>
      </c>
      <c r="G139" s="955"/>
      <c r="H139" s="1080">
        <f t="shared" si="31"/>
        <v>0</v>
      </c>
      <c r="I139" s="1080">
        <f t="shared" si="32"/>
        <v>0</v>
      </c>
      <c r="J139" s="1080">
        <f t="shared" si="33"/>
        <v>0</v>
      </c>
      <c r="K139" s="1080">
        <f t="shared" si="34"/>
        <v>0</v>
      </c>
      <c r="M139" s="1080">
        <f t="shared" si="35"/>
        <v>0</v>
      </c>
      <c r="N139" s="1080">
        <f t="shared" si="36"/>
        <v>0</v>
      </c>
      <c r="O139" s="1080">
        <f t="shared" si="37"/>
        <v>0</v>
      </c>
      <c r="P139" s="1080">
        <f t="shared" si="38"/>
        <v>0</v>
      </c>
      <c r="AE139" s="1084"/>
      <c r="AF139" s="1084"/>
    </row>
    <row r="140" spans="1:32" s="917" customFormat="1" ht="14.25" customHeight="1">
      <c r="A140" s="1069" t="s">
        <v>2678</v>
      </c>
      <c r="B140" s="1104"/>
      <c r="C140" s="1105">
        <f>IF((C39-C132)&lt;=0,C36-C129,(C39-C132))</f>
        <v>2</v>
      </c>
      <c r="D140" s="1105">
        <f>IF((D39-D132)&lt;=0,D36-D129,(D39-D132))</f>
        <v>0.99999999999999978</v>
      </c>
      <c r="E140" s="1105">
        <f>IF((E39-E132)&lt;=0,E36-E129,(E39-E132))</f>
        <v>2.9</v>
      </c>
      <c r="F140" s="1105">
        <f>IF((F39-F132)&lt;=0,F36-F129,(F39-F132))</f>
        <v>1</v>
      </c>
      <c r="G140" s="955"/>
      <c r="H140" s="1105">
        <f>IF((H39-H132)&lt;=0,H36-H129,(H39-H132))</f>
        <v>2</v>
      </c>
      <c r="I140" s="1105">
        <f>IF((I39-I132)&lt;=0,I36-I129,(I39-I132))</f>
        <v>0.99999999999999978</v>
      </c>
      <c r="J140" s="1105">
        <f>IF((J39-J132)&lt;=0,J36-J129,(J39-J132))</f>
        <v>2.9</v>
      </c>
      <c r="K140" s="1105">
        <f>IF((K39-K132)&lt;=0,K36-K129,(K39-K132))</f>
        <v>1</v>
      </c>
      <c r="M140" s="1105">
        <f>IF((M39-M132)&lt;=0,M36-M129,(M39-M132))</f>
        <v>2</v>
      </c>
      <c r="N140" s="1105">
        <f>IF((N39-N132)&lt;=0,N36-N129,(N39-N132))</f>
        <v>0.99999999999999978</v>
      </c>
      <c r="O140" s="1105">
        <f>IF((O39-O132)&lt;=0,O36-O129,(O39-O132))</f>
        <v>2.9</v>
      </c>
      <c r="P140" s="1105">
        <f>IF((P39-P132)&lt;=0,P36-P129,(P39-P132))</f>
        <v>1</v>
      </c>
      <c r="AE140" s="1084"/>
      <c r="AF140" s="1084"/>
    </row>
    <row r="141" spans="1:32" s="917" customFormat="1" ht="14.25" customHeight="1">
      <c r="A141" s="1106" t="s">
        <v>2679</v>
      </c>
      <c r="B141" s="1107"/>
      <c r="C141" s="1108">
        <f>'Ввод данных'!D362*C6</f>
        <v>0</v>
      </c>
      <c r="D141" s="1108">
        <f>'Ввод данных'!D366*D6</f>
        <v>0</v>
      </c>
      <c r="E141" s="1108">
        <f>'Ввод данных'!D370*E6</f>
        <v>0</v>
      </c>
      <c r="F141" s="1108">
        <f>'Ввод данных'!D374*F6</f>
        <v>0</v>
      </c>
      <c r="G141" s="1086">
        <f t="shared" ref="G141:G147" si="42">C141+D141+E141+F141</f>
        <v>0</v>
      </c>
      <c r="H141" s="1108">
        <f>'Ввод данных'!D362*H6</f>
        <v>0</v>
      </c>
      <c r="I141" s="1108">
        <f>'Ввод данных'!D366*I6</f>
        <v>0</v>
      </c>
      <c r="J141" s="1108">
        <f>'Ввод данных'!D370*J6</f>
        <v>0</v>
      </c>
      <c r="K141" s="1108">
        <f>'Ввод данных'!D374*K6</f>
        <v>0</v>
      </c>
      <c r="M141" s="1108">
        <f>'Ввод данных'!D362*M6</f>
        <v>0</v>
      </c>
      <c r="N141" s="1108">
        <f>'Ввод данных'!D366*N6</f>
        <v>0</v>
      </c>
      <c r="O141" s="1108">
        <f>'Ввод данных'!D370*O6</f>
        <v>0</v>
      </c>
      <c r="P141" s="1108">
        <f>'Ввод данных'!D374*P6</f>
        <v>0</v>
      </c>
      <c r="AE141" s="1084"/>
      <c r="AF141" s="1084"/>
    </row>
    <row r="142" spans="1:32" s="917" customFormat="1" ht="14.25" customHeight="1">
      <c r="A142" s="1109" t="s">
        <v>2000</v>
      </c>
      <c r="B142" s="1110"/>
      <c r="C142" s="1111">
        <f>IF('Ввод данных'!A362=связи1!A120,пристройка!C66,0)*C6</f>
        <v>0</v>
      </c>
      <c r="D142" s="1111">
        <f>IF('Ввод данных'!A366=связи1!A120,пристройка!D66,0)*D6</f>
        <v>0</v>
      </c>
      <c r="E142" s="1111">
        <f>IF('Ввод данных'!A370=связи1!A120,пристройка!E66,0)*E6</f>
        <v>0</v>
      </c>
      <c r="F142" s="1111">
        <f>IF('Ввод данных'!A374=связи1!A120,пристройка!F66,0)*F6</f>
        <v>0</v>
      </c>
      <c r="G142" s="1086">
        <f t="shared" si="42"/>
        <v>0</v>
      </c>
      <c r="H142" s="1111"/>
      <c r="I142" s="1111"/>
      <c r="J142" s="1111"/>
      <c r="K142" s="1111"/>
      <c r="M142" s="1111"/>
      <c r="N142" s="1111"/>
      <c r="O142" s="1111"/>
      <c r="P142" s="1111"/>
      <c r="AE142" s="1084"/>
      <c r="AF142" s="1084"/>
    </row>
    <row r="143" spans="1:32" s="917" customFormat="1" ht="14.25" customHeight="1">
      <c r="A143" s="1109" t="s">
        <v>2012</v>
      </c>
      <c r="B143" s="1110"/>
      <c r="C143" s="1111">
        <f>IF('Ввод данных'!A362=связи1!A121,пристройка!C66,0)*C6</f>
        <v>0</v>
      </c>
      <c r="D143" s="1111">
        <f>IF('Ввод данных'!A366=связи1!A121,пристройка!D66,0)*D6</f>
        <v>0</v>
      </c>
      <c r="E143" s="1111">
        <f>IF('Ввод данных'!A370=связи1!A121,пристройка!E66,0)*E6</f>
        <v>0</v>
      </c>
      <c r="F143" s="1111">
        <f>IF('Ввод данных'!A374=связи1!A121,пристройка!F66,0)*F6</f>
        <v>0</v>
      </c>
      <c r="G143" s="1086">
        <f t="shared" si="42"/>
        <v>0</v>
      </c>
      <c r="H143" s="1111"/>
      <c r="I143" s="1111"/>
      <c r="J143" s="1111"/>
      <c r="K143" s="1111"/>
      <c r="M143" s="1111"/>
      <c r="N143" s="1111"/>
      <c r="O143" s="1111"/>
      <c r="P143" s="1111"/>
      <c r="AE143" s="1084"/>
      <c r="AF143" s="1084"/>
    </row>
    <row r="144" spans="1:32" s="917" customFormat="1" ht="14.25" customHeight="1">
      <c r="A144" s="1112" t="s">
        <v>2680</v>
      </c>
      <c r="B144" s="1110"/>
      <c r="C144" s="1111">
        <f>IF('Ввод данных'!A362=связи1!A123,пристройка!C66,0)*C6</f>
        <v>0</v>
      </c>
      <c r="D144" s="1111">
        <f>IF('Ввод данных'!A366=связи1!A123,пристройка!D66,0)*D6</f>
        <v>0</v>
      </c>
      <c r="E144" s="1111">
        <f>IF('Ввод данных'!A370=связи1!A123,пристройка!E66,0)*E6</f>
        <v>0</v>
      </c>
      <c r="F144" s="1111">
        <f>IF('Ввод данных'!A374=связи1!A123,пристройка!F66,0)*F6</f>
        <v>0</v>
      </c>
      <c r="G144" s="1086">
        <f t="shared" si="42"/>
        <v>0</v>
      </c>
      <c r="H144" s="1111"/>
      <c r="I144" s="1111"/>
      <c r="J144" s="1111"/>
      <c r="K144" s="1111"/>
      <c r="M144" s="1111"/>
      <c r="N144" s="1111"/>
      <c r="O144" s="1111"/>
      <c r="P144" s="1111"/>
      <c r="AE144" s="1084"/>
      <c r="AF144" s="1084"/>
    </row>
    <row r="145" spans="1:32" s="917" customFormat="1" ht="14.25" customHeight="1">
      <c r="A145" s="1112" t="s">
        <v>2681</v>
      </c>
      <c r="B145" s="1110"/>
      <c r="C145" s="1111">
        <f>IF('Ввод данных'!A362=связи1!A122,пристройка!C66,0)*C6</f>
        <v>0</v>
      </c>
      <c r="D145" s="1111">
        <f>IF('Ввод данных'!A366=связи1!A122,пристройка!D66,0)*D6</f>
        <v>0</v>
      </c>
      <c r="E145" s="1111">
        <f>IF('Ввод данных'!A370=связи1!A122,пристройка!E66,0)*E6</f>
        <v>0</v>
      </c>
      <c r="F145" s="1111">
        <f>IF('Ввод данных'!A374=связи1!A122,пристройка!F66,0)*F6</f>
        <v>0</v>
      </c>
      <c r="G145" s="1086">
        <f t="shared" si="42"/>
        <v>0</v>
      </c>
      <c r="H145" s="1111"/>
      <c r="I145" s="1111"/>
      <c r="J145" s="1111"/>
      <c r="K145" s="1111"/>
      <c r="M145" s="1113"/>
      <c r="N145" s="1113"/>
      <c r="O145" s="1113"/>
      <c r="P145" s="1113"/>
      <c r="AE145" s="1084"/>
      <c r="AF145" s="1084"/>
    </row>
    <row r="146" spans="1:32" s="917" customFormat="1" ht="14.25" customHeight="1">
      <c r="A146" s="1112" t="s">
        <v>2682</v>
      </c>
      <c r="B146" s="1110"/>
      <c r="C146" s="1111">
        <f>IF('Ввод данных'!A362=связи1!A124,пристройка!C66,0)*C6</f>
        <v>0</v>
      </c>
      <c r="D146" s="1111">
        <f>IF('Ввод данных'!A366=связи1!A124,пристройка!D66,0)*D6</f>
        <v>0</v>
      </c>
      <c r="E146" s="1111">
        <f>IF('Ввод данных'!A370=связи1!A124,пристройка!E66,0)*E6</f>
        <v>0</v>
      </c>
      <c r="F146" s="1111">
        <f>IF('Ввод данных'!A374=связи1!A124,пристройка!F66,0)*F6</f>
        <v>0</v>
      </c>
      <c r="G146" s="1086">
        <f t="shared" si="42"/>
        <v>0</v>
      </c>
      <c r="H146" s="1111"/>
      <c r="I146" s="1111"/>
      <c r="J146" s="1111"/>
      <c r="K146" s="1111"/>
      <c r="M146" s="1113"/>
      <c r="N146" s="1113"/>
      <c r="O146" s="1113"/>
      <c r="P146" s="1113"/>
      <c r="AE146" s="1084"/>
      <c r="AF146" s="1084"/>
    </row>
    <row r="147" spans="1:32" s="917" customFormat="1" ht="14.25" customHeight="1">
      <c r="A147" s="1114" t="s">
        <v>1993</v>
      </c>
      <c r="B147" s="1107"/>
      <c r="C147" s="1108">
        <f>IF('Ввод данных'!A362=связи1!A125,пристройка!C66,0)*C6</f>
        <v>0</v>
      </c>
      <c r="D147" s="1108">
        <f>IF('Ввод данных'!A366=связи1!A125,пристройка!D66,0)*D6</f>
        <v>0</v>
      </c>
      <c r="E147" s="1108">
        <f>IF('Ввод данных'!A370=связи1!A125,пристройка!E66,0)*E6</f>
        <v>0</v>
      </c>
      <c r="F147" s="1108">
        <f>IF('Ввод данных'!B374=связи1!B125,пристройка!F66,0)*F6</f>
        <v>0</v>
      </c>
      <c r="G147" s="1086">
        <f t="shared" si="42"/>
        <v>0</v>
      </c>
      <c r="H147" s="1108"/>
      <c r="I147" s="1108"/>
      <c r="J147" s="1108"/>
      <c r="K147" s="1108"/>
      <c r="M147" s="1115"/>
      <c r="N147" s="1115"/>
      <c r="O147" s="1115"/>
      <c r="P147" s="1115"/>
      <c r="AE147" s="1084"/>
      <c r="AF147" s="1084"/>
    </row>
    <row r="148" spans="1:32" s="1119" customFormat="1" ht="14.25" customHeight="1">
      <c r="A148" s="1116" t="s">
        <v>2683</v>
      </c>
      <c r="B148" s="1117"/>
      <c r="C148" s="1118"/>
      <c r="D148" s="1118"/>
      <c r="E148" s="1118"/>
      <c r="F148" s="1118"/>
      <c r="G148" s="1118">
        <f>SUM(G142:G147)</f>
        <v>0</v>
      </c>
      <c r="H148" s="1118"/>
      <c r="I148" s="1118"/>
      <c r="J148" s="1118"/>
      <c r="K148" s="1118"/>
      <c r="M148" s="1120"/>
      <c r="N148" s="1120"/>
      <c r="O148" s="1120"/>
      <c r="P148" s="1120"/>
      <c r="AE148" s="1121"/>
      <c r="AF148" s="1121"/>
    </row>
    <row r="149" spans="1:32" s="917" customFormat="1" ht="14.25" customHeight="1">
      <c r="A149" s="1122" t="s">
        <v>2684</v>
      </c>
      <c r="B149" s="1104"/>
      <c r="C149" s="1105">
        <f>IF('Ввод данных'!A362=связи1!A125,IF(C39=0,пристройка!C141*пристройка!C36,пристройка!C141*пристройка!C39),0)*C6+IF('Ввод данных'!A362=связи1!A121,IF(C39=0,пристройка!C141*пристройка!C36,пристройка!C141*пристройка!C39),0)*C6</f>
        <v>0</v>
      </c>
      <c r="D149" s="1105">
        <f>IF('Ввод данных'!A366=связи1!A125,IF(D39=0,пристройка!D141*пристройка!D36,пристройка!D141*пристройка!D39),0)*D6+IF('Ввод данных'!A366=связи1!A121,IF(D39=0,пристройка!D141*пристройка!D36,пристройка!D141*пристройка!D39),0)*D6</f>
        <v>0</v>
      </c>
      <c r="E149" s="1105">
        <f>IF('Ввод данных'!A370=связи1!A125,IF(E39=0,пристройка!E141*пристройка!E36,пристройка!E141*пристройка!E39),0)*E6+IF('Ввод данных'!A370=связи1!A121,IF(E39=0,пристройка!E141*пристройка!E36,пристройка!E141*пристройка!E39),0)*E6</f>
        <v>0</v>
      </c>
      <c r="F149" s="1105">
        <f>IF('Ввод данных'!A374=связи1!A125,IF(F39=0,пристройка!F141*пристройка!F36,пристройка!F141*пристройка!F39),0)*F6+IF('Ввод данных'!A374=связи1!A121,IF(F39=0,пристройка!F141*пристройка!F36,пристройка!F141*пристройка!F39),0)*F6</f>
        <v>0</v>
      </c>
      <c r="G149" s="1086">
        <f>C149+D149+E149+F149</f>
        <v>0</v>
      </c>
      <c r="H149" s="1105">
        <f>IF('Ввод данных'!A362=связи1!A125,IF(H39=0,пристройка!H141*пристройка!H37,пристройка!H141*(пристройка!H37+пристройка!H40)),0)*H6+IF('Ввод данных'!A362=связи1!A121,IF(H39=0,пристройка!H141*пристройка!H37,пристройка!H141*(пристройка!H37+пристройка!H40)),0)*H6</f>
        <v>0</v>
      </c>
      <c r="I149" s="1105">
        <f>IF('Ввод данных'!A366=связи1!A125,IF(I39=0,пристройка!I141*пристройка!I37,пристройка!I141*(пристройка!I37+пристройка!I40)),0)*I6+IF('Ввод данных'!A366=связи1!A121,IF(I39=0,пристройка!I141*пристройка!I37,пристройка!I141*(пристройка!I37+пристройка!I40)),0)*I6</f>
        <v>0</v>
      </c>
      <c r="J149" s="1105">
        <f>IF('Ввод данных'!A370=связи1!A125,IF(J39=0,пристройка!J141*пристройка!J37,пристройка!J141*(пристройка!J37+пристройка!J40)),0)*J6+IF('Ввод данных'!A370=связи1!A121,IF(J39=0,пристройка!J141*пристройка!J37,пристройка!J141*(пристройка!J37+пристройка!J40)),0)*J6</f>
        <v>0</v>
      </c>
      <c r="K149" s="1105">
        <f>IF('Ввод данных'!A374=связи1!A125,IF(K39=0,пристройка!K141*пристройка!K37,пристройка!K141*(пристройка!K37+пристройка!K40)),0)*K6+IF('Ввод данных'!A374=связи1!A121,IF(K39=0,пристройка!K141*пристройка!K37,пристройка!K141*(пристройка!K37+пристройка!K40)),0)*K6</f>
        <v>0</v>
      </c>
      <c r="L149" s="1086">
        <f>H149+I149+J149+K149</f>
        <v>0</v>
      </c>
      <c r="M149" s="1105">
        <f>IF('Ввод данных'!A362=связи1!A125,IF(M39=0,пристройка!M141*пристройка!M36,пристройка!M141*пристройка!M39),0)*M6+IF('Ввод данных'!A362=связи1!A121,IF(M39=0,пристройка!M141*пристройка!M36,пристройка!M141*пристройка!M39),0)*M6</f>
        <v>0</v>
      </c>
      <c r="N149" s="1105">
        <f>IF('Ввод данных'!A366=связи1!A125,IF(N39=0,пристройка!N141*пристройка!N36,пристройка!N141*пристройка!N39),0)*N6+IF('Ввод данных'!A366=связи1!A121,IF(N39=0,пристройка!N141*пристройка!N36,пристройка!N141*пристройка!N39),0)*N6</f>
        <v>0</v>
      </c>
      <c r="O149" s="1105">
        <f>IF('Ввод данных'!A370=связи1!A125,IF(O39=0,пристройка!O141*пристройка!O36,пристройка!O141*пристройка!O39),0)*O6+IF('Ввод данных'!A370=связи1!A121,IF(O39=0,пристройка!O141*пристройка!O36,пристройка!O141*пристройка!O39),0)*O6</f>
        <v>0</v>
      </c>
      <c r="P149" s="1105">
        <f>IF('Ввод данных'!A374=связи1!A125,IF(P39=0,пристройка!P141*пристройка!P36,пристройка!P141*пристройка!P39),0)*P6+IF('Ввод данных'!A374=связи1!A121,IF(P39=0,пристройка!P141*пристройка!P36,пристройка!P141*пристройка!P39),0)*P6</f>
        <v>0</v>
      </c>
      <c r="Q149" s="955">
        <f>M149+N149+O149+P149</f>
        <v>0</v>
      </c>
      <c r="R149" s="955">
        <f>G149+L149+Q149</f>
        <v>0</v>
      </c>
      <c r="AE149" s="1084"/>
      <c r="AF149" s="1084"/>
    </row>
    <row r="150" spans="1:32" s="917" customFormat="1" ht="14.25" customHeight="1">
      <c r="A150" s="1114" t="s">
        <v>2685</v>
      </c>
      <c r="B150" s="1107"/>
      <c r="C150" s="1108">
        <f t="shared" ref="C150:F151" si="43">H150</f>
        <v>1</v>
      </c>
      <c r="D150" s="1108">
        <f t="shared" si="43"/>
        <v>1</v>
      </c>
      <c r="E150" s="1108">
        <f t="shared" si="43"/>
        <v>1</v>
      </c>
      <c r="F150" s="1108">
        <f t="shared" si="43"/>
        <v>1</v>
      </c>
      <c r="G150" s="1083"/>
      <c r="H150" s="1108">
        <f>VLOOKUP('Ввод данных'!A6,связи1!A94:B98,2,0)</f>
        <v>1</v>
      </c>
      <c r="I150" s="1108">
        <f>VLOOKUP('Ввод данных'!A6,связи1!A94:B98,2,0)</f>
        <v>1</v>
      </c>
      <c r="J150" s="1108">
        <f>VLOOKUP('Ввод данных'!A6,связи1!A94:B98,2,0)</f>
        <v>1</v>
      </c>
      <c r="K150" s="1108">
        <f>VLOOKUP('Ввод данных'!A6,связи1!A94:B98,2,0)</f>
        <v>1</v>
      </c>
      <c r="L150" s="1086"/>
      <c r="M150" s="1115">
        <f t="shared" ref="M150:P151" si="44">H150</f>
        <v>1</v>
      </c>
      <c r="N150" s="1115">
        <f t="shared" si="44"/>
        <v>1</v>
      </c>
      <c r="O150" s="1115">
        <f t="shared" si="44"/>
        <v>1</v>
      </c>
      <c r="P150" s="1115">
        <f t="shared" si="44"/>
        <v>1</v>
      </c>
      <c r="AE150" s="1084"/>
      <c r="AF150" s="1084"/>
    </row>
    <row r="151" spans="1:32" s="917" customFormat="1" ht="14.25" customHeight="1">
      <c r="A151" s="1114" t="s">
        <v>2686</v>
      </c>
      <c r="B151" s="1107"/>
      <c r="C151" s="1108">
        <f t="shared" si="43"/>
        <v>1</v>
      </c>
      <c r="D151" s="1108">
        <f t="shared" si="43"/>
        <v>2</v>
      </c>
      <c r="E151" s="1108">
        <f t="shared" si="43"/>
        <v>2</v>
      </c>
      <c r="F151" s="1108">
        <f t="shared" si="43"/>
        <v>1</v>
      </c>
      <c r="G151" s="1083"/>
      <c r="H151" s="1108">
        <f>VLOOKUP('Ввод данных'!A361,связи1!A94:B98,2,0)</f>
        <v>1</v>
      </c>
      <c r="I151" s="1108">
        <f>VLOOKUP('Ввод данных'!A365,связи1!A94:B98,2,0)</f>
        <v>2</v>
      </c>
      <c r="J151" s="1108">
        <f>VLOOKUP('Ввод данных'!A369,связи1!A94:B98,2,0)</f>
        <v>2</v>
      </c>
      <c r="K151" s="1108">
        <f>VLOOKUP('Ввод данных'!A373,связи1!A94:B98,2,0)</f>
        <v>1</v>
      </c>
      <c r="L151" s="1086"/>
      <c r="M151" s="1115">
        <f t="shared" si="44"/>
        <v>1</v>
      </c>
      <c r="N151" s="1115">
        <f t="shared" si="44"/>
        <v>2</v>
      </c>
      <c r="O151" s="1115">
        <f t="shared" si="44"/>
        <v>2</v>
      </c>
      <c r="P151" s="1115">
        <f t="shared" si="44"/>
        <v>1</v>
      </c>
      <c r="AE151" s="1084"/>
      <c r="AF151" s="1084"/>
    </row>
    <row r="152" spans="1:32" s="917" customFormat="1" ht="14.25" customHeight="1">
      <c r="A152" s="1114" t="s">
        <v>2687</v>
      </c>
      <c r="B152" s="1107"/>
      <c r="C152" s="1108">
        <f>C32</f>
        <v>0</v>
      </c>
      <c r="D152" s="1108">
        <f>D32</f>
        <v>0</v>
      </c>
      <c r="E152" s="1108">
        <f>E32</f>
        <v>0</v>
      </c>
      <c r="F152" s="1108">
        <f>F32</f>
        <v>0</v>
      </c>
      <c r="G152" s="1083"/>
      <c r="H152" s="1108">
        <f>H32</f>
        <v>0</v>
      </c>
      <c r="I152" s="1108">
        <f>I32</f>
        <v>0</v>
      </c>
      <c r="J152" s="1108">
        <f>J32</f>
        <v>0</v>
      </c>
      <c r="K152" s="1108">
        <f>K32</f>
        <v>0</v>
      </c>
      <c r="L152" s="1086"/>
      <c r="M152" s="1108">
        <f>M32</f>
        <v>0</v>
      </c>
      <c r="N152" s="1108">
        <f>N32</f>
        <v>0</v>
      </c>
      <c r="O152" s="1108">
        <f>O32</f>
        <v>0</v>
      </c>
      <c r="P152" s="1108">
        <f>P32</f>
        <v>0</v>
      </c>
      <c r="AE152" s="1084"/>
      <c r="AF152" s="1084"/>
    </row>
    <row r="153" spans="1:32" s="917" customFormat="1" ht="14.25" customHeight="1">
      <c r="A153" s="1122" t="s">
        <v>2688</v>
      </c>
      <c r="B153" s="1104"/>
      <c r="C153" s="1105">
        <f>IF(C152=0,0,0)+IF(C152&gt;0,1,0)</f>
        <v>0</v>
      </c>
      <c r="D153" s="1105">
        <f>IF(D152=0,0,0)+IF(D152&gt;0,1,0)</f>
        <v>0</v>
      </c>
      <c r="E153" s="1105">
        <f>IF(E152=0,0,0)+IF(E152&gt;0,1,0)</f>
        <v>0</v>
      </c>
      <c r="F153" s="1105">
        <f>IF(F152=0,0,0)+IF(F152&gt;0,1,0)</f>
        <v>0</v>
      </c>
      <c r="G153" s="1083"/>
      <c r="H153" s="1105">
        <f>IF(H152=0,0,0)+IF(H152&gt;0,1,0)</f>
        <v>0</v>
      </c>
      <c r="I153" s="1105">
        <f>IF(I152=0,0,0)+IF(I152&gt;0,1,0)</f>
        <v>0</v>
      </c>
      <c r="J153" s="1105">
        <f>IF(J152=0,0,0)+IF(J152&gt;0,1,0)</f>
        <v>0</v>
      </c>
      <c r="K153" s="1105">
        <f>IF(K152=0,0,0)+IF(K152&gt;0,1,0)</f>
        <v>0</v>
      </c>
      <c r="L153" s="1086"/>
      <c r="M153" s="1105">
        <f>IF(M152=0,0,0)+IF(M152&gt;0,1,0)</f>
        <v>0</v>
      </c>
      <c r="N153" s="1105">
        <f>IF(N152=0,0,0)+IF(N152&gt;0,1,0)</f>
        <v>0</v>
      </c>
      <c r="O153" s="1105">
        <f>IF(O152=0,0,0)+IF(O152&gt;0,1,0)</f>
        <v>0</v>
      </c>
      <c r="P153" s="1105">
        <f>IF(P152=0,0,0)+IF(P152&gt;0,1,0)</f>
        <v>0</v>
      </c>
      <c r="AE153" s="1084"/>
      <c r="AF153" s="1084"/>
    </row>
    <row r="154" spans="1:32" s="917" customFormat="1" ht="14.25" customHeight="1">
      <c r="A154" s="1122" t="s">
        <v>2689</v>
      </c>
      <c r="B154" s="1104"/>
      <c r="C154" s="1105">
        <f>(IF(C150-C151&lt;0,0,0)+IF(C150-C151=1,0,0)+IF(C150-C151=2,0,0)+IF(C150-C151=0,1,0))*C153</f>
        <v>0</v>
      </c>
      <c r="D154" s="1105">
        <f>(IF(D150-D151&lt;0,0,0)+IF(D150-D151=1,0,0)+IF(D150-D151=2,0,0)+IF(D150-D151=0,1,0))*D153</f>
        <v>0</v>
      </c>
      <c r="E154" s="1105">
        <f>(IF(E150-E151&lt;0,0,0)+IF(E150-E151=1,0,0)+IF(E150-E151=2,0,0)+IF(E150-E151=0,1,0))*E153</f>
        <v>0</v>
      </c>
      <c r="F154" s="1105">
        <f>(IF(F150-F151&lt;0,0,0)+IF(F150-F151=1,0,0)+IF(F150-F151=2,0,0)+IF(F150-F151=0,1,0))*F153</f>
        <v>0</v>
      </c>
      <c r="G154" s="1083"/>
      <c r="H154" s="1105">
        <f>(IF(H150-H151&lt;0,0,0)+IF(H150-H151=1,0,0)+IF(H150-H151=2,0,0)+IF(H150-H151=0,1,0))*H153</f>
        <v>0</v>
      </c>
      <c r="I154" s="1105">
        <f>(IF(I150-I151&lt;0,0,0)+IF(I150-I151=1,0,0)+IF(I150-I151=2,0,0)+IF(I150-I151=0,1,0))*I153</f>
        <v>0</v>
      </c>
      <c r="J154" s="1105">
        <f>(IF(J150-J151&lt;0,0,0)+IF(J150-J151=1,0,0)+IF(J150-J151=2,0,0)+IF(J150-J151=0,1,0))*J153</f>
        <v>0</v>
      </c>
      <c r="K154" s="1105">
        <f>(IF(K150-K151&lt;0,0,0)+IF(K150-K151=1,0,0)+IF(K150-K151=2,0,0)+IF(K150-K151=0,1,0))*K153</f>
        <v>0</v>
      </c>
      <c r="L154" s="1086"/>
      <c r="M154" s="1105">
        <f>(IF(M150-M151&lt;0,0,0)+IF(M150-M151=1,0,0)+IF(M150-M151=2,0,0)+IF(M150-M151=0,1,0))*M153</f>
        <v>0</v>
      </c>
      <c r="N154" s="1105">
        <f>(IF(N150-N151&lt;0,0,0)+IF(N150-N151=1,0,0)+IF(N150-N151=2,0,0)+IF(N150-N151=0,1,0))*N153</f>
        <v>0</v>
      </c>
      <c r="O154" s="1105">
        <f>(IF(O150-O151&lt;0,0,0)+IF(O150-O151=1,0,0)+IF(O150-O151=2,0,0)+IF(O150-O151=0,1,0))*O153</f>
        <v>0</v>
      </c>
      <c r="P154" s="1105">
        <f>(IF(P150-P151&lt;0,0,0)+IF(P150-P151=1,0,0)+IF(P150-P151=2,0,0)+IF(P150-P151=0,1,0))*P153</f>
        <v>0</v>
      </c>
      <c r="AE154" s="1084"/>
      <c r="AF154" s="1084"/>
    </row>
    <row r="155" spans="1:32" s="917" customFormat="1" ht="14.25" customHeight="1">
      <c r="A155" s="1114" t="s">
        <v>2690</v>
      </c>
      <c r="B155" s="1107"/>
      <c r="C155" s="1108">
        <f>(IF(C151=1,C36,0)+IF(C151=2,C35+C39,0))*C154*C153</f>
        <v>0</v>
      </c>
      <c r="D155" s="1108">
        <f>(IF(D151=1,D36,0)+IF(D151=2,D35+D39,0))*D154*D153</f>
        <v>0</v>
      </c>
      <c r="E155" s="1108">
        <f>(IF(E151=1,E36,0)+IF(E151=2,E35+E39,0))*E154*E153</f>
        <v>0</v>
      </c>
      <c r="F155" s="1108">
        <f>(IF(F151=1,F36,0)+IF(F151=2,F35+F39,0))*F154*F153</f>
        <v>0</v>
      </c>
      <c r="G155" s="1083"/>
      <c r="H155" s="1108">
        <f>(IF(H151=1,H36,0)+IF(H151=2,H35+H39,0))*H154*H153</f>
        <v>0</v>
      </c>
      <c r="I155" s="1108">
        <f>(IF(I151=1,I36,0)+IF(I151=2,I35+I39,0))*I154*I153</f>
        <v>0</v>
      </c>
      <c r="J155" s="1108">
        <f>(IF(J151=1,J36,0)+IF(J151=2,J35+J39,0))*J154*J153</f>
        <v>0</v>
      </c>
      <c r="K155" s="1108">
        <f>(IF(K151=1,K36,0)+IF(K151=2,K35+K39,0))*K154*K153</f>
        <v>0</v>
      </c>
      <c r="L155" s="1086"/>
      <c r="M155" s="1108">
        <f>(IF(M151=1,M36,0)+IF(M151=2,M35+M39,0))*M154*M153</f>
        <v>0</v>
      </c>
      <c r="N155" s="1108">
        <f>(IF(N151=1,N36,0)+IF(N151=2,N35+N39,0))*N154*N153</f>
        <v>0</v>
      </c>
      <c r="O155" s="1108">
        <f>(IF(O151=1,O36,0)+IF(O151=2,O35+O39,0))*O154*O153</f>
        <v>0</v>
      </c>
      <c r="P155" s="1108">
        <f>(IF(P151=1,P36,0)+IF(P151=2,P35+P39,0))*P154*P153</f>
        <v>0</v>
      </c>
      <c r="AE155" s="1084"/>
      <c r="AF155" s="1084"/>
    </row>
    <row r="156" spans="1:32" s="917" customFormat="1" ht="14.25" customHeight="1">
      <c r="A156" s="1114" t="s">
        <v>2691</v>
      </c>
      <c r="B156" s="1107"/>
      <c r="C156" s="1108">
        <f>IF(C150=2,C127+C132,0)+IF(C150=1,C129,0)</f>
        <v>3</v>
      </c>
      <c r="D156" s="1108">
        <f>IF(D150=2,D127+D132,0)+IF(D150=1,D129,0)</f>
        <v>3</v>
      </c>
      <c r="E156" s="1108">
        <f>IF(E150=2,E127+E132,0)+IF(E150=1,E129,0)</f>
        <v>3</v>
      </c>
      <c r="F156" s="1108">
        <f>IF(F150=2,F127+F132,0)+IF(F150=1,F129,0)</f>
        <v>3</v>
      </c>
      <c r="G156" s="1083"/>
      <c r="H156" s="1108">
        <f>IF(H150=2,H127+H132,0)+IF(H150=1,H129,0)</f>
        <v>3</v>
      </c>
      <c r="I156" s="1108">
        <f>IF(I150=2,I127+I132,0)+IF(I150=1,I129,0)</f>
        <v>3</v>
      </c>
      <c r="J156" s="1108">
        <f>IF(J150=2,J127+J132,0)+IF(J150=1,J129,0)</f>
        <v>3</v>
      </c>
      <c r="K156" s="1108">
        <f>IF(K150=2,K127+K132,0)+IF(K150=1,K129,0)</f>
        <v>3</v>
      </c>
      <c r="L156" s="1086"/>
      <c r="M156" s="1108">
        <f>IF(M150=2,M127+M132,0)+IF(M150=1,M129,0)</f>
        <v>3</v>
      </c>
      <c r="N156" s="1108">
        <f>IF(N150=2,N127+N132,0)+IF(N150=1,N129,0)</f>
        <v>3</v>
      </c>
      <c r="O156" s="1108">
        <f>IF(O150=2,O127+O132,0)+IF(O150=1,O129,0)</f>
        <v>3</v>
      </c>
      <c r="P156" s="1108">
        <f>IF(P150=2,P127+P132,0)+IF(P150=1,P129,0)</f>
        <v>3</v>
      </c>
      <c r="AE156" s="1084"/>
      <c r="AF156" s="1084"/>
    </row>
    <row r="157" spans="1:32" s="917" customFormat="1" ht="14.25" customHeight="1">
      <c r="A157" s="1122" t="s">
        <v>2692</v>
      </c>
      <c r="B157" s="1104"/>
      <c r="C157" s="1123">
        <f>IF(C155-C156&lt;0,0,0)+IF(C155-C156&gt;0,C155-C156,0)</f>
        <v>0</v>
      </c>
      <c r="D157" s="1123">
        <f>IF(D155-D156&lt;0,0,0)+IF(D155-D156&gt;0,D155-D156,0)</f>
        <v>0</v>
      </c>
      <c r="E157" s="1123">
        <f>IF(E155-E156&lt;0,0,0)+IF(E155-E156&gt;0,E155-E156,0)</f>
        <v>0</v>
      </c>
      <c r="F157" s="1123">
        <f>IF(F155-F156&lt;0,0,0)+IF(F155-F156&gt;0,F155-F156,0)</f>
        <v>0</v>
      </c>
      <c r="G157" s="1083"/>
      <c r="H157" s="1123">
        <f>IF(H155-H156&lt;0,0,0)+IF(H155-H156&gt;0,H155-H156,0)</f>
        <v>0</v>
      </c>
      <c r="I157" s="1123">
        <f>IF(I155-I156&lt;0,0,0)+IF(I155-I156&gt;0,I155-I156,0)</f>
        <v>0</v>
      </c>
      <c r="J157" s="1123">
        <f>IF(J155-J156&lt;0,0,0)+IF(J155-J156&gt;0,J155-J156,0)</f>
        <v>0</v>
      </c>
      <c r="K157" s="1123">
        <f>IF(K155-K156&lt;0,0,0)+IF(K155-K156&gt;0,K155-K156,0)</f>
        <v>0</v>
      </c>
      <c r="L157" s="1086"/>
      <c r="M157" s="1123">
        <f>IF(M155-M156&lt;0,0,0)+IF(M155-M156&gt;0,M155-M156,0)</f>
        <v>0</v>
      </c>
      <c r="N157" s="1123">
        <f>IF(N155-N156&lt;0,0,0)+IF(N155-N156&gt;0,N155-N156,0)</f>
        <v>0</v>
      </c>
      <c r="O157" s="1123">
        <f>IF(O155-O156&lt;0,0,0)+IF(O155-O156&gt;0,O155-O156,0)</f>
        <v>0</v>
      </c>
      <c r="P157" s="1123">
        <f>IF(P155-P156&lt;0,0,0)+IF(P155-P156&gt;0,P155-P156,0)</f>
        <v>0</v>
      </c>
      <c r="AE157" s="1084"/>
      <c r="AF157" s="1084"/>
    </row>
    <row r="158" spans="1:32" s="917" customFormat="1" ht="14.25" customHeight="1">
      <c r="A158" s="1031" t="s">
        <v>2693</v>
      </c>
      <c r="B158" s="1124"/>
      <c r="C158" s="984"/>
      <c r="D158" s="984"/>
      <c r="E158" s="984"/>
      <c r="F158" s="984"/>
      <c r="G158" s="955"/>
      <c r="H158" s="1123">
        <f>IF('Ввод данных'!A362=связи1!A120,1,0)</f>
        <v>0</v>
      </c>
      <c r="I158" s="1123">
        <f>IF('Ввод данных'!A366=связи1!A120,1,0)</f>
        <v>1</v>
      </c>
      <c r="J158" s="1123">
        <f>IF('Ввод данных'!A370=связи1!A120,1,0)</f>
        <v>0</v>
      </c>
      <c r="K158" s="1123">
        <f>IF('Ввод данных'!A374=связи1!A120,1,0)</f>
        <v>0</v>
      </c>
      <c r="L158" s="1086">
        <f>H158+I158+J158+K158</f>
        <v>1</v>
      </c>
      <c r="M158" s="1125">
        <f>H158</f>
        <v>0</v>
      </c>
      <c r="N158" s="1125">
        <f>I158</f>
        <v>1</v>
      </c>
      <c r="O158" s="1125">
        <f>J158</f>
        <v>0</v>
      </c>
      <c r="P158" s="1125">
        <f>K158</f>
        <v>0</v>
      </c>
      <c r="AE158" s="1084"/>
      <c r="AF158" s="1084"/>
    </row>
    <row r="159" spans="1:32" s="917" customFormat="1" ht="14.25" customHeight="1">
      <c r="A159" s="1126" t="s">
        <v>2694</v>
      </c>
      <c r="B159" s="1124"/>
      <c r="C159" s="1031"/>
      <c r="D159" s="984"/>
      <c r="E159" s="984"/>
      <c r="F159" s="984"/>
      <c r="G159" s="955"/>
      <c r="H159" s="1123">
        <f>H157/SIN(H103)</f>
        <v>0</v>
      </c>
      <c r="I159" s="1123">
        <f>I157/SIN(I103)</f>
        <v>0</v>
      </c>
      <c r="J159" s="1123">
        <f>J157/SIN(J103)</f>
        <v>0</v>
      </c>
      <c r="K159" s="1123">
        <f>K157/SIN(K103)</f>
        <v>0</v>
      </c>
      <c r="L159" s="1086">
        <f>H159+I159+J159+K159</f>
        <v>0</v>
      </c>
      <c r="M159" s="1123">
        <f>M157/SIN(M103)</f>
        <v>0</v>
      </c>
      <c r="N159" s="1123">
        <f>N157/SIN(N103)</f>
        <v>0</v>
      </c>
      <c r="O159" s="1123">
        <f>O157/SIN(O103)</f>
        <v>0</v>
      </c>
      <c r="P159" s="1123">
        <f>P157/SIN(P103)</f>
        <v>0</v>
      </c>
      <c r="AE159" s="1084"/>
      <c r="AF159" s="1084"/>
    </row>
    <row r="160" spans="1:32" s="917" customFormat="1" ht="14.25" customHeight="1">
      <c r="A160" s="1126" t="s">
        <v>2695</v>
      </c>
      <c r="B160" s="1124"/>
      <c r="C160" s="984"/>
      <c r="D160" s="984"/>
      <c r="E160" s="984"/>
      <c r="F160" s="984"/>
      <c r="G160" s="955"/>
      <c r="H160" s="1127">
        <f>IF(H71&gt;=H159,H159,H71)</f>
        <v>0</v>
      </c>
      <c r="I160" s="1127">
        <f>IF(I71&gt;=I159,I159,I71)</f>
        <v>0</v>
      </c>
      <c r="J160" s="1127">
        <f>IF(J71&gt;=J159,J159,J71)</f>
        <v>0</v>
      </c>
      <c r="K160" s="1127">
        <f>IF(K71&gt;=K159,K159,K71)</f>
        <v>0</v>
      </c>
      <c r="L160" s="1086">
        <f>H160+I160+J160+K160</f>
        <v>0</v>
      </c>
      <c r="M160" s="1127">
        <f>IF(M73&gt;=M159,M159,M73)</f>
        <v>0</v>
      </c>
      <c r="N160" s="1127">
        <f>IF(N73&gt;=N159,N159,N73)</f>
        <v>0</v>
      </c>
      <c r="O160" s="1127">
        <f>IF(O73&gt;=O159,O159,O73)</f>
        <v>0</v>
      </c>
      <c r="P160" s="1127">
        <f>IF(P73&gt;=P159,P159,P73)</f>
        <v>0</v>
      </c>
      <c r="AE160" s="1084"/>
      <c r="AF160" s="1084"/>
    </row>
    <row r="161" spans="1:32" s="917" customFormat="1" ht="14.25" customHeight="1">
      <c r="A161" s="1126" t="s">
        <v>2696</v>
      </c>
      <c r="B161" s="1124"/>
      <c r="C161" s="984"/>
      <c r="D161" s="984"/>
      <c r="E161" s="984"/>
      <c r="F161" s="984"/>
      <c r="G161" s="955"/>
      <c r="H161" s="1127">
        <f>IF(H72&gt;=H159,H159,H72)</f>
        <v>0</v>
      </c>
      <c r="I161" s="1127">
        <f>IF(I72&gt;=I159,I159,I72)</f>
        <v>0</v>
      </c>
      <c r="J161" s="1127">
        <f>IF(J72&gt;=J159,J159,J72)</f>
        <v>0</v>
      </c>
      <c r="K161" s="1127">
        <f>IF(K72&gt;=K159,K159,K72)</f>
        <v>0</v>
      </c>
      <c r="L161" s="1086"/>
      <c r="M161" s="1127">
        <f>IF(M74&gt;=M159,M159,M74)</f>
        <v>0</v>
      </c>
      <c r="N161" s="1127">
        <f>IF(N74&gt;=N159,N159,N74)</f>
        <v>0</v>
      </c>
      <c r="O161" s="1127">
        <f>IF(O74&gt;=O159,O159,O74)</f>
        <v>0</v>
      </c>
      <c r="P161" s="1127">
        <f>IF(P74&gt;=P159,P159,P74)</f>
        <v>0</v>
      </c>
      <c r="AE161" s="1084"/>
      <c r="AF161" s="1084"/>
    </row>
    <row r="162" spans="1:32" s="917" customFormat="1" ht="14.25" customHeight="1">
      <c r="A162" s="1126" t="s">
        <v>2697</v>
      </c>
      <c r="B162" s="1124"/>
      <c r="C162" s="984"/>
      <c r="D162" s="984"/>
      <c r="E162" s="984"/>
      <c r="F162" s="984"/>
      <c r="G162" s="955"/>
      <c r="H162" s="1127">
        <f>(H160)*COS(H103)</f>
        <v>0</v>
      </c>
      <c r="I162" s="1127">
        <f>(I160)*COS(I103)</f>
        <v>0</v>
      </c>
      <c r="J162" s="1127">
        <f>(J160)*COS(J103)</f>
        <v>0</v>
      </c>
      <c r="K162" s="1127">
        <f>(K160)*COS(K103)</f>
        <v>0</v>
      </c>
      <c r="L162" s="1086">
        <f t="shared" ref="L162:L167" si="45">H162+I162+J162+K162</f>
        <v>0</v>
      </c>
      <c r="M162" s="1127">
        <f>(M160)*COS(M103)</f>
        <v>0</v>
      </c>
      <c r="N162" s="1127">
        <f>(N160)*COS(N103)</f>
        <v>0</v>
      </c>
      <c r="O162" s="1127">
        <f>(O160)*COS(O103)</f>
        <v>0</v>
      </c>
      <c r="P162" s="1127">
        <f>(P160)*COS(P103)</f>
        <v>0</v>
      </c>
      <c r="AE162" s="1084"/>
      <c r="AF162" s="1084"/>
    </row>
    <row r="163" spans="1:32" s="917" customFormat="1" ht="14.25" customHeight="1">
      <c r="A163" s="1126" t="s">
        <v>2698</v>
      </c>
      <c r="B163" s="1124"/>
      <c r="C163" s="984"/>
      <c r="D163" s="984"/>
      <c r="E163" s="984"/>
      <c r="F163" s="984"/>
      <c r="G163" s="955"/>
      <c r="H163" s="1127">
        <f>H157/SIN(H133+H135)</f>
        <v>0</v>
      </c>
      <c r="I163" s="1127">
        <f>I157/SIN(I133+I135)</f>
        <v>0</v>
      </c>
      <c r="J163" s="1127">
        <f>J157/SIN(J133+J135)</f>
        <v>0</v>
      </c>
      <c r="K163" s="1127">
        <f>K157/SIN(K133+K135)</f>
        <v>0</v>
      </c>
      <c r="L163" s="1086">
        <f t="shared" si="45"/>
        <v>0</v>
      </c>
      <c r="M163" s="1127">
        <f>M157/SIN(M133+M135)</f>
        <v>0</v>
      </c>
      <c r="N163" s="1127">
        <f>N157/SIN(N133+N135)</f>
        <v>0</v>
      </c>
      <c r="O163" s="1127">
        <f>O157/SIN(O133+O135)</f>
        <v>0</v>
      </c>
      <c r="P163" s="1127">
        <f>P157/SIN(P133+P135)</f>
        <v>0</v>
      </c>
      <c r="AE163" s="1084"/>
      <c r="AF163" s="1084"/>
    </row>
    <row r="164" spans="1:32" s="917" customFormat="1" ht="14.25" customHeight="1">
      <c r="A164" s="1126" t="s">
        <v>2699</v>
      </c>
      <c r="B164" s="1124"/>
      <c r="C164" s="984"/>
      <c r="D164" s="984"/>
      <c r="E164" s="984"/>
      <c r="F164" s="984"/>
      <c r="G164" s="955"/>
      <c r="H164" s="1127">
        <f>SQRT(H163*H163+H162*H162)</f>
        <v>0</v>
      </c>
      <c r="I164" s="1127">
        <f>SQRT(I163*I163+I162*I162)</f>
        <v>0</v>
      </c>
      <c r="J164" s="1127">
        <f>SQRT(J163*J163+J162*J162)</f>
        <v>0</v>
      </c>
      <c r="K164" s="1127">
        <f>SQRT(K163*K163+K162*K162)</f>
        <v>0</v>
      </c>
      <c r="L164" s="1086">
        <f t="shared" si="45"/>
        <v>0</v>
      </c>
      <c r="M164" s="1127">
        <f>SQRT(M163*M163+M162*M162)</f>
        <v>0</v>
      </c>
      <c r="N164" s="1127">
        <f>SQRT(N163*N163+N162*N162)</f>
        <v>0</v>
      </c>
      <c r="O164" s="1127">
        <f>SQRT(O163*O163+O162*O162)</f>
        <v>0</v>
      </c>
      <c r="P164" s="1127">
        <f>SQRT(P163*P163+P162*P162)</f>
        <v>0</v>
      </c>
      <c r="AE164" s="1084"/>
      <c r="AF164" s="1084"/>
    </row>
    <row r="165" spans="1:32" s="1130" customFormat="1" ht="14.25" customHeight="1">
      <c r="A165" s="1069" t="s">
        <v>2700</v>
      </c>
      <c r="B165" s="1104"/>
      <c r="C165" s="1105"/>
      <c r="D165" s="1105"/>
      <c r="E165" s="1105"/>
      <c r="F165" s="1105"/>
      <c r="G165" s="1128"/>
      <c r="H165" s="1129">
        <f>H162*H163</f>
        <v>0</v>
      </c>
      <c r="I165" s="1129">
        <f>I162*I163</f>
        <v>0</v>
      </c>
      <c r="J165" s="1129">
        <f>J162*J163</f>
        <v>0</v>
      </c>
      <c r="K165" s="1129">
        <f>K162*K163</f>
        <v>0</v>
      </c>
      <c r="L165" s="1105">
        <f t="shared" si="45"/>
        <v>0</v>
      </c>
      <c r="M165" s="1129">
        <f>M162*M163</f>
        <v>0</v>
      </c>
      <c r="N165" s="1129">
        <f>N162*N163</f>
        <v>0</v>
      </c>
      <c r="O165" s="1129">
        <f>O162*O163</f>
        <v>0</v>
      </c>
      <c r="P165" s="1129">
        <f>P162*P163</f>
        <v>0</v>
      </c>
      <c r="AE165" s="1131"/>
      <c r="AF165" s="1131"/>
    </row>
    <row r="166" spans="1:32" s="917" customFormat="1" ht="14.25" customHeight="1">
      <c r="A166" s="1126" t="s">
        <v>2701</v>
      </c>
      <c r="B166" s="1124"/>
      <c r="C166" s="984"/>
      <c r="D166" s="984"/>
      <c r="E166" s="984"/>
      <c r="F166" s="984"/>
      <c r="G166" s="955"/>
      <c r="H166" s="1127">
        <f>SQRT(H163*H163-H157*H157)</f>
        <v>0</v>
      </c>
      <c r="I166" s="1127">
        <f>SQRT(I163*I163-I157*I157)</f>
        <v>0</v>
      </c>
      <c r="J166" s="1127">
        <f>SQRT(J163*J163-J157*J157)</f>
        <v>0</v>
      </c>
      <c r="K166" s="1127">
        <f>SQRT(K163*K163-K157*K157)</f>
        <v>0</v>
      </c>
      <c r="L166" s="1086">
        <f t="shared" si="45"/>
        <v>0</v>
      </c>
      <c r="M166" s="1127">
        <f>SQRT(M163*M163-M157*M157)</f>
        <v>0</v>
      </c>
      <c r="N166" s="1127">
        <f>SQRT(N163*N163-N157*N157)</f>
        <v>0</v>
      </c>
      <c r="O166" s="1127">
        <f>SQRT(O163*O163-O157*O157)</f>
        <v>0</v>
      </c>
      <c r="P166" s="1127">
        <f>SQRT(P163*P163-P157*P157)</f>
        <v>0</v>
      </c>
      <c r="AE166" s="1084"/>
      <c r="AF166" s="1084"/>
    </row>
    <row r="167" spans="1:32" s="917" customFormat="1" ht="14.25" customHeight="1">
      <c r="A167" s="1126" t="s">
        <v>2702</v>
      </c>
      <c r="B167" s="1124"/>
      <c r="C167" s="984"/>
      <c r="D167" s="984"/>
      <c r="E167" s="984"/>
      <c r="F167" s="984"/>
      <c r="G167" s="955"/>
      <c r="H167" s="1127">
        <f>H160*H166</f>
        <v>0</v>
      </c>
      <c r="I167" s="1127">
        <f>I160*I166</f>
        <v>0</v>
      </c>
      <c r="J167" s="1127">
        <f>J160*J166</f>
        <v>0</v>
      </c>
      <c r="K167" s="1127">
        <f>K160*K166</f>
        <v>0</v>
      </c>
      <c r="L167" s="1086">
        <f t="shared" si="45"/>
        <v>0</v>
      </c>
      <c r="M167" s="1127">
        <f>M160*M166</f>
        <v>0</v>
      </c>
      <c r="N167" s="1127">
        <f>N160*N166</f>
        <v>0</v>
      </c>
      <c r="O167" s="1127">
        <f>O160*O166</f>
        <v>0</v>
      </c>
      <c r="P167" s="1127">
        <f>P160*P166</f>
        <v>0</v>
      </c>
      <c r="AE167" s="1084"/>
      <c r="AF167" s="1084"/>
    </row>
    <row r="168" spans="1:32" s="917" customFormat="1" ht="14.25" customHeight="1">
      <c r="A168" s="1132" t="s">
        <v>2012</v>
      </c>
      <c r="B168" s="993"/>
      <c r="C168" s="994"/>
      <c r="D168" s="994"/>
      <c r="E168" s="994"/>
      <c r="F168" s="994"/>
      <c r="G168" s="955"/>
      <c r="H168" s="1103"/>
      <c r="I168" s="1103"/>
      <c r="J168" s="1103"/>
      <c r="K168" s="1103"/>
      <c r="L168" s="1086"/>
      <c r="M168" s="1133"/>
      <c r="N168" s="1133"/>
      <c r="O168" s="1133"/>
      <c r="P168" s="1133"/>
      <c r="AE168" s="1084"/>
      <c r="AF168" s="1084"/>
    </row>
    <row r="169" spans="1:32" s="917" customFormat="1" ht="14.25" customHeight="1">
      <c r="A169" s="1102"/>
      <c r="B169" s="993"/>
      <c r="C169" s="994"/>
      <c r="D169" s="994"/>
      <c r="E169" s="994"/>
      <c r="F169" s="994"/>
      <c r="G169" s="955"/>
      <c r="H169" s="1103"/>
      <c r="I169" s="1103"/>
      <c r="J169" s="1103"/>
      <c r="K169" s="1103"/>
      <c r="L169" s="1086"/>
      <c r="M169" s="1133"/>
      <c r="N169" s="1133"/>
      <c r="O169" s="1133"/>
      <c r="P169" s="1133"/>
      <c r="AE169" s="1084"/>
      <c r="AF169" s="1084"/>
    </row>
    <row r="170" spans="1:32" s="917" customFormat="1" ht="14.25" customHeight="1">
      <c r="A170" s="1102"/>
      <c r="B170" s="993"/>
      <c r="C170" s="994"/>
      <c r="D170" s="994"/>
      <c r="E170" s="994"/>
      <c r="F170" s="994"/>
      <c r="G170" s="955"/>
      <c r="H170" s="1103"/>
      <c r="I170" s="1103"/>
      <c r="J170" s="1103"/>
      <c r="K170" s="1103"/>
      <c r="L170" s="1086"/>
      <c r="M170" s="1133"/>
      <c r="N170" s="1133"/>
      <c r="O170" s="1133"/>
      <c r="P170" s="1133"/>
      <c r="AE170" s="1084"/>
      <c r="AF170" s="1084"/>
    </row>
    <row r="171" spans="1:32" s="917" customFormat="1" ht="14.25" customHeight="1">
      <c r="A171" s="1102"/>
      <c r="B171" s="993"/>
      <c r="C171" s="994"/>
      <c r="D171" s="994"/>
      <c r="E171" s="994"/>
      <c r="F171" s="994"/>
      <c r="G171" s="955"/>
      <c r="H171" s="1103"/>
      <c r="I171" s="1103"/>
      <c r="J171" s="1103"/>
      <c r="K171" s="1103"/>
      <c r="L171" s="1086"/>
      <c r="M171" s="1133"/>
      <c r="N171" s="1133"/>
      <c r="O171" s="1133"/>
      <c r="P171" s="1133"/>
      <c r="AE171" s="1084"/>
      <c r="AF171" s="1084"/>
    </row>
    <row r="172" spans="1:32" s="917" customFormat="1" ht="14.25" customHeight="1">
      <c r="A172" s="1102"/>
      <c r="B172" s="993"/>
      <c r="C172" s="994"/>
      <c r="D172" s="994"/>
      <c r="E172" s="994"/>
      <c r="F172" s="994"/>
      <c r="G172" s="955"/>
      <c r="H172" s="1103"/>
      <c r="I172" s="1103"/>
      <c r="J172" s="1103"/>
      <c r="K172" s="1103"/>
      <c r="L172" s="1086"/>
      <c r="M172" s="1133"/>
      <c r="N172" s="1133"/>
      <c r="O172" s="1133"/>
      <c r="P172" s="1133"/>
      <c r="AE172" s="1084"/>
      <c r="AF172" s="1084"/>
    </row>
    <row r="173" spans="1:32" s="917" customFormat="1" ht="14.25" customHeight="1">
      <c r="A173" s="1134"/>
      <c r="B173" s="1135"/>
      <c r="C173" s="1136"/>
      <c r="D173" s="1136"/>
      <c r="E173" s="1136"/>
      <c r="F173" s="1136"/>
      <c r="G173" s="955"/>
      <c r="H173" s="1133"/>
      <c r="I173" s="1133"/>
      <c r="J173" s="1133"/>
      <c r="K173" s="1133"/>
      <c r="L173" s="1086"/>
      <c r="M173" s="1133"/>
      <c r="N173" s="1133"/>
      <c r="O173" s="1133"/>
      <c r="P173" s="1133"/>
      <c r="AE173" s="1084"/>
      <c r="AF173" s="1084"/>
    </row>
    <row r="174" spans="1:32" s="917" customFormat="1" ht="14.25" customHeight="1">
      <c r="A174" s="1134"/>
      <c r="B174" s="1135"/>
      <c r="C174" s="1136"/>
      <c r="D174" s="1136"/>
      <c r="E174" s="1136"/>
      <c r="F174" s="1136"/>
      <c r="G174" s="955"/>
      <c r="H174" s="1133"/>
      <c r="I174" s="1133"/>
      <c r="J174" s="1133"/>
      <c r="K174" s="1133"/>
      <c r="L174" s="1086"/>
      <c r="M174" s="1133"/>
      <c r="N174" s="1133"/>
      <c r="O174" s="1133"/>
      <c r="P174" s="1133"/>
      <c r="AE174" s="1084"/>
      <c r="AF174" s="1084"/>
    </row>
    <row r="175" spans="1:32" s="917" customFormat="1" ht="14.25" customHeight="1">
      <c r="A175" s="1134"/>
      <c r="B175" s="1135"/>
      <c r="C175" s="1136"/>
      <c r="D175" s="1136"/>
      <c r="E175" s="1136"/>
      <c r="F175" s="1136"/>
      <c r="G175" s="955"/>
      <c r="H175" s="1133"/>
      <c r="I175" s="1133"/>
      <c r="J175" s="1133"/>
      <c r="K175" s="1133"/>
      <c r="L175" s="1086"/>
      <c r="M175" s="1133"/>
      <c r="N175" s="1133"/>
      <c r="O175" s="1133"/>
      <c r="P175" s="1133"/>
      <c r="AE175" s="1084"/>
      <c r="AF175" s="1084"/>
    </row>
    <row r="176" spans="1:32" s="917" customFormat="1" ht="14.25" customHeight="1">
      <c r="A176" s="1134"/>
      <c r="B176" s="1135"/>
      <c r="C176" s="1136"/>
      <c r="D176" s="1136"/>
      <c r="E176" s="1136"/>
      <c r="F176" s="1136"/>
      <c r="G176" s="955"/>
      <c r="H176" s="1133"/>
      <c r="I176" s="1133"/>
      <c r="J176" s="1133"/>
      <c r="K176" s="1133"/>
      <c r="L176" s="1086"/>
      <c r="M176" s="1133"/>
      <c r="N176" s="1133"/>
      <c r="O176" s="1133"/>
      <c r="P176" s="1133"/>
      <c r="AE176" s="1084"/>
      <c r="AF176" s="1084"/>
    </row>
    <row r="177" spans="1:32" s="917" customFormat="1" ht="14.25" customHeight="1">
      <c r="A177" s="1134"/>
      <c r="B177" s="1135"/>
      <c r="C177" s="1136"/>
      <c r="D177" s="1136"/>
      <c r="E177" s="1136"/>
      <c r="F177" s="1136"/>
      <c r="G177" s="955"/>
      <c r="H177" s="1133"/>
      <c r="I177" s="1133"/>
      <c r="J177" s="1133"/>
      <c r="K177" s="1133"/>
      <c r="L177" s="1086"/>
      <c r="M177" s="1133"/>
      <c r="N177" s="1133"/>
      <c r="O177" s="1133"/>
      <c r="P177" s="1133"/>
      <c r="AE177" s="1084"/>
      <c r="AF177" s="1084"/>
    </row>
    <row r="178" spans="1:32" s="917" customFormat="1" ht="14.25" customHeight="1">
      <c r="A178" s="1134"/>
      <c r="B178" s="1135"/>
      <c r="C178" s="1136"/>
      <c r="D178" s="1136"/>
      <c r="E178" s="1136"/>
      <c r="F178" s="1136"/>
      <c r="G178" s="955"/>
      <c r="H178" s="1133"/>
      <c r="I178" s="1133"/>
      <c r="J178" s="1133"/>
      <c r="K178" s="1133"/>
      <c r="L178" s="1086"/>
      <c r="M178" s="1133"/>
      <c r="N178" s="1133"/>
      <c r="O178" s="1133"/>
      <c r="P178" s="1133"/>
      <c r="AE178" s="1084"/>
      <c r="AF178" s="1084"/>
    </row>
    <row r="179" spans="1:32" s="917" customFormat="1" ht="14.25" customHeight="1">
      <c r="A179" s="1112" t="s">
        <v>2681</v>
      </c>
      <c r="B179" s="1110"/>
      <c r="C179" s="1111"/>
      <c r="D179" s="1111"/>
      <c r="E179" s="1111"/>
      <c r="F179" s="1111"/>
      <c r="G179" s="955"/>
      <c r="H179" s="1113">
        <f>IF('Ввод данных'!A362=связи1!A122,пристройка!H66-пристройка!H51*пристройка!H118,0)</f>
        <v>0</v>
      </c>
      <c r="I179" s="1113">
        <f>IF('Ввод данных'!A366=связи1!A122,пристройка!I66-пристройка!I51*пристройка!I118,0)</f>
        <v>0</v>
      </c>
      <c r="J179" s="1113">
        <f>IF('Ввод данных'!A370=связи1!A122,пристройка!J66-пристройка!J51*пристройка!J118,0)</f>
        <v>0</v>
      </c>
      <c r="K179" s="1113">
        <f>IF('Ввод данных'!A374=связи1!A122,пристройка!K66-пристройка!K51*пристройка!K118,0)</f>
        <v>0</v>
      </c>
      <c r="L179" s="1086">
        <f>H179+I179+J179+K179</f>
        <v>0</v>
      </c>
      <c r="M179" s="1113">
        <f>IF('Ввод данных'!A362=связи1!A122,пристройка!M66-пристройка!M51*пристройка!M118,0)</f>
        <v>0</v>
      </c>
      <c r="N179" s="1113">
        <f>IF('Ввод данных'!A366=связи1!A122,пристройка!N66-пристройка!N51*пристройка!N118,0)</f>
        <v>0</v>
      </c>
      <c r="O179" s="1113">
        <f>IF('Ввод данных'!A370=связи1!A122,пристройка!O66-пристройка!O51*пристройка!O118,0)</f>
        <v>0</v>
      </c>
      <c r="P179" s="1113">
        <f>IF('Ввод данных'!A374=связи1!A122,пристройка!P66-пристройка!P51*пристройка!P118,0)</f>
        <v>0</v>
      </c>
      <c r="AE179" s="1084"/>
      <c r="AF179" s="1084"/>
    </row>
    <row r="180" spans="1:32" s="917" customFormat="1" ht="14.25" customHeight="1">
      <c r="A180" s="1112" t="s">
        <v>2680</v>
      </c>
      <c r="B180" s="1110"/>
      <c r="C180" s="1111"/>
      <c r="D180" s="1111"/>
      <c r="E180" s="1111"/>
      <c r="F180" s="1111"/>
      <c r="G180" s="955"/>
      <c r="H180" s="1113">
        <f>IF('Ввод данных'!A362=связи1!A123,пристройка!H66,0)</f>
        <v>0</v>
      </c>
      <c r="I180" s="1113">
        <f>IF('Ввод данных'!A366=связи1!A123,пристройка!I66,0)</f>
        <v>0</v>
      </c>
      <c r="J180" s="1113">
        <f>IF('Ввод данных'!A370=связи1!A123,пристройка!J66,0)</f>
        <v>20.556974166635207</v>
      </c>
      <c r="K180" s="1113">
        <f>IF('Ввод данных'!A374=связи1!A123,пристройка!K66,0)</f>
        <v>0</v>
      </c>
      <c r="L180" s="1086">
        <f>H180+I180+J180+K180</f>
        <v>20.556974166635207</v>
      </c>
      <c r="M180" s="1113">
        <f>IF('Ввод данных'!A362=связи1!A123,пристройка!M66,0)</f>
        <v>0</v>
      </c>
      <c r="N180" s="1113">
        <f>IF('Ввод данных'!A366=связи1!A123,пристройка!N66,0)</f>
        <v>0</v>
      </c>
      <c r="O180" s="1113">
        <f>IF('Ввод данных'!A370=связи1!A123,пристройка!O66,0)</f>
        <v>23.078736785416378</v>
      </c>
      <c r="P180" s="1113">
        <f>IF('Ввод данных'!A374=связи1!A123,пристройка!P66,0)</f>
        <v>0</v>
      </c>
      <c r="AE180" s="1084"/>
      <c r="AF180" s="1084"/>
    </row>
    <row r="181" spans="1:32" ht="12.75" customHeight="1">
      <c r="A181" s="3143"/>
      <c r="B181" s="3144" t="s">
        <v>2703</v>
      </c>
      <c r="C181" s="3144"/>
      <c r="D181" s="3144"/>
      <c r="E181" s="3144"/>
      <c r="F181" s="3144"/>
      <c r="G181" s="3144"/>
      <c r="H181" s="3145" t="s">
        <v>2704</v>
      </c>
      <c r="I181" s="3145"/>
      <c r="J181" s="3145"/>
      <c r="K181" s="3145"/>
      <c r="L181" s="3145"/>
      <c r="M181" s="3145" t="s">
        <v>2704</v>
      </c>
      <c r="N181" s="3145"/>
      <c r="O181" s="3145"/>
      <c r="P181" s="3145"/>
      <c r="Q181" s="3145"/>
      <c r="AE181" s="1077">
        <f>C35</f>
        <v>2.9</v>
      </c>
      <c r="AF181" s="1077"/>
    </row>
    <row r="182" spans="1:32" ht="14.25" customHeight="1">
      <c r="A182" s="3143"/>
      <c r="B182" s="3144"/>
      <c r="C182" s="3144"/>
      <c r="D182" s="3144"/>
      <c r="E182" s="3144"/>
      <c r="F182" s="3144"/>
      <c r="G182" s="3144"/>
      <c r="H182" s="3145"/>
      <c r="I182" s="3145"/>
      <c r="J182" s="3145"/>
      <c r="K182" s="3145"/>
      <c r="L182" s="3145"/>
      <c r="M182" s="3145"/>
      <c r="N182" s="3145"/>
      <c r="O182" s="3145"/>
      <c r="P182" s="3145"/>
      <c r="Q182" s="3145"/>
      <c r="AE182" s="1077"/>
      <c r="AF182" s="1077"/>
    </row>
    <row r="183" spans="1:32" ht="14.25" customHeight="1">
      <c r="A183" s="3146" t="s">
        <v>1806</v>
      </c>
      <c r="B183" s="3146"/>
      <c r="C183" s="3146"/>
      <c r="D183" s="3146"/>
      <c r="E183" s="3146"/>
      <c r="F183" s="1137"/>
      <c r="G183" s="233">
        <f>'Ввод данных'!E357</f>
        <v>1</v>
      </c>
      <c r="H183" s="1138"/>
      <c r="I183" s="1138"/>
      <c r="J183" s="1138"/>
      <c r="K183" s="1138"/>
      <c r="L183" s="1139"/>
      <c r="M183" s="1138"/>
      <c r="N183" s="1138"/>
      <c r="O183" s="1138"/>
      <c r="P183" s="1138"/>
      <c r="Q183" s="1139"/>
      <c r="AE183" s="1077"/>
      <c r="AF183" s="1077"/>
    </row>
    <row r="184" spans="1:32" ht="14.25" customHeight="1">
      <c r="A184" s="3146"/>
      <c r="B184" s="3146"/>
      <c r="C184" s="3146"/>
      <c r="D184" s="3146"/>
      <c r="E184" s="3146"/>
      <c r="F184" s="433"/>
      <c r="G184" s="1139">
        <f>'Ввод данных'!E358</f>
        <v>1</v>
      </c>
      <c r="I184" s="1138"/>
      <c r="J184" s="1138"/>
      <c r="K184" s="1138"/>
      <c r="L184" s="1139"/>
      <c r="N184" s="1138"/>
      <c r="O184" s="1138"/>
      <c r="P184" s="1138"/>
      <c r="Q184" s="1139"/>
      <c r="AE184" s="1077">
        <f>C38</f>
        <v>0</v>
      </c>
      <c r="AF184" s="1077"/>
    </row>
    <row r="185" spans="1:32" ht="14.25" customHeight="1">
      <c r="A185" s="1140"/>
      <c r="B185" s="1141"/>
      <c r="C185" s="1142" t="s">
        <v>2640</v>
      </c>
      <c r="D185" s="1142" t="s">
        <v>2641</v>
      </c>
      <c r="E185" s="1143" t="s">
        <v>2569</v>
      </c>
      <c r="F185" s="1143" t="s">
        <v>2570</v>
      </c>
      <c r="G185" s="433"/>
      <c r="H185" s="946" t="str">
        <f>C185</f>
        <v>вар1</v>
      </c>
      <c r="I185" s="946" t="str">
        <f>D185</f>
        <v>вар2</v>
      </c>
      <c r="J185" s="946" t="str">
        <f>E185</f>
        <v>вар3</v>
      </c>
      <c r="K185" s="946" t="s">
        <v>2570</v>
      </c>
      <c r="L185" s="971">
        <f>G185</f>
        <v>0</v>
      </c>
      <c r="M185" s="946" t="str">
        <f>H185</f>
        <v>вар1</v>
      </c>
      <c r="N185" s="946" t="str">
        <f>I185</f>
        <v>вар2</v>
      </c>
      <c r="O185" s="946" t="str">
        <f>J185</f>
        <v>вар3</v>
      </c>
      <c r="P185" s="946" t="s">
        <v>2570</v>
      </c>
      <c r="Q185" s="971">
        <f>L185</f>
        <v>0</v>
      </c>
      <c r="AE185" s="1144">
        <f>C23+пристройка!AF52+пристройка!AF55</f>
        <v>4.6000000000000005</v>
      </c>
      <c r="AF185" s="1077"/>
    </row>
    <row r="186" spans="1:32" s="1150" customFormat="1" ht="14.25" customHeight="1">
      <c r="A186" s="1145" t="s">
        <v>2705</v>
      </c>
      <c r="B186" s="1146" t="s">
        <v>156</v>
      </c>
      <c r="C186" s="1147">
        <f>пристройка!C85*C32</f>
        <v>0</v>
      </c>
      <c r="D186" s="1148">
        <f>D85*D32</f>
        <v>0</v>
      </c>
      <c r="E186" s="1148">
        <f>E85*E32</f>
        <v>0</v>
      </c>
      <c r="F186" s="1147">
        <f>пристройка!F85*F32</f>
        <v>0</v>
      </c>
      <c r="G186" s="1149">
        <f>E186+D186+C186+F186</f>
        <v>0</v>
      </c>
      <c r="H186" s="1147">
        <f>пристройка!H85*H32</f>
        <v>0</v>
      </c>
      <c r="I186" s="1147">
        <f>пристройка!I85*I32</f>
        <v>0</v>
      </c>
      <c r="J186" s="1147">
        <f>пристройка!J85*J32</f>
        <v>0</v>
      </c>
      <c r="K186" s="1147">
        <f>пристройка!K85*K32</f>
        <v>0</v>
      </c>
      <c r="L186" s="270">
        <f>H186+I186+J186+K186</f>
        <v>0</v>
      </c>
      <c r="M186" s="1147">
        <f>пристройка!M85*M32</f>
        <v>0</v>
      </c>
      <c r="N186" s="1147">
        <f>пристройка!N85*N32</f>
        <v>0</v>
      </c>
      <c r="O186" s="1147">
        <f>пристройка!O85*O32</f>
        <v>0</v>
      </c>
      <c r="P186" s="1147">
        <f>пристройка!P85*P32</f>
        <v>0</v>
      </c>
      <c r="Q186" s="270">
        <f>M186+N186+O186+P186</f>
        <v>0</v>
      </c>
    </row>
    <row r="187" spans="1:32" s="1150" customFormat="1" ht="14.25" customHeight="1">
      <c r="A187" s="1145"/>
      <c r="B187" s="1146" t="s">
        <v>135</v>
      </c>
      <c r="C187" s="1147">
        <f>C186*VLOOKUP(A210,связи1!F203:H213,3,0)*C32</f>
        <v>0</v>
      </c>
      <c r="D187" s="1147">
        <f>D186*VLOOKUP(A210,связи1!F203:H213,3,0)*D32</f>
        <v>0</v>
      </c>
      <c r="E187" s="1147">
        <f>E186*VLOOKUP(A210,связи1!F203:H213,3,0)*E32</f>
        <v>0</v>
      </c>
      <c r="F187" s="1147">
        <f>F186*VLOOKUP(A210,связи1!F203:H213,3,0)*F32</f>
        <v>0</v>
      </c>
      <c r="G187" s="1149">
        <f>C187+E187+D187+F187</f>
        <v>0</v>
      </c>
      <c r="H187" s="1151">
        <f>VLOOKUP(A210,связи1!F203:H213,3,0)*H186*H32</f>
        <v>0</v>
      </c>
      <c r="I187" s="1151">
        <f>VLOOKUP(A210,связи1!F203:H213,3,0)*I186*I32</f>
        <v>0</v>
      </c>
      <c r="J187" s="1151">
        <f>VLOOKUP(A210,связи1!F203:H213,3,0)*J186*J32</f>
        <v>0</v>
      </c>
      <c r="K187" s="1151">
        <f>VLOOKUP(A210,связи1!F203:H213,3,0)*K186*K32</f>
        <v>0</v>
      </c>
      <c r="L187" s="270">
        <f>H187+I187+J187+K187</f>
        <v>0</v>
      </c>
      <c r="M187" s="1151">
        <f>VLOOKUP(A210,связи1!F203:H213,3,0)*M186*M32</f>
        <v>0</v>
      </c>
      <c r="N187" s="1151">
        <f>VLOOKUP(A210,связи1!F203:H213,3,0)*N186*N32</f>
        <v>0</v>
      </c>
      <c r="O187" s="1151">
        <f>VLOOKUP(A210,связи1!F203:H213,3,0)*O186*O32</f>
        <v>0</v>
      </c>
      <c r="P187" s="1151">
        <f>VLOOKUP(A210,связи1!F203:H213,3,0)*P186*P32</f>
        <v>0</v>
      </c>
      <c r="Q187" s="270">
        <f>M187+N187+O187+P187</f>
        <v>0</v>
      </c>
      <c r="AE187" s="1152" t="e">
        <f>#REF!*#REF!</f>
        <v>#REF!</v>
      </c>
      <c r="AF187" s="1153" t="e">
        <f>C77*I2+AE187*I1</f>
        <v>#REF!</v>
      </c>
    </row>
    <row r="188" spans="1:32" ht="14.25" customHeight="1">
      <c r="A188" s="1154" t="s">
        <v>2706</v>
      </c>
      <c r="B188" s="1155" t="s">
        <v>159</v>
      </c>
      <c r="C188" s="1156"/>
      <c r="D188" s="1156"/>
      <c r="E188" s="1156"/>
      <c r="F188" s="1156"/>
      <c r="G188" s="1157"/>
      <c r="H188" s="1158"/>
      <c r="I188" s="1158"/>
      <c r="J188" s="1158"/>
      <c r="K188" s="1158"/>
      <c r="L188" s="1036"/>
      <c r="M188" s="1158"/>
      <c r="N188" s="1158"/>
      <c r="O188" s="1158"/>
      <c r="P188" s="1158"/>
      <c r="Q188" s="1036"/>
      <c r="AE188" s="920" t="e">
        <f>#REF!*C55+#REF!*C54+C52*C34</f>
        <v>#REF!</v>
      </c>
      <c r="AF188" s="1159" t="e">
        <f>C78*I2+AE188*I1</f>
        <v>#REF!</v>
      </c>
    </row>
    <row r="189" spans="1:32" ht="14.25" customHeight="1">
      <c r="A189" s="1154" t="s">
        <v>2133</v>
      </c>
      <c r="B189" s="1160" t="s">
        <v>159</v>
      </c>
      <c r="C189" s="1156">
        <f>IF('Ввод данных'!A360=связи1!A106,1,0)</f>
        <v>0</v>
      </c>
      <c r="D189" s="1156">
        <f>IF('Ввод данных'!A364=связи1!A106,1,0)</f>
        <v>0</v>
      </c>
      <c r="E189" s="1156">
        <f>IF('Ввод данных'!A368=связи1!A106,1,0)</f>
        <v>0</v>
      </c>
      <c r="F189" s="1156">
        <f>IF('Ввод данных'!A372=связи1!A106,1,0)</f>
        <v>0</v>
      </c>
      <c r="G189" s="1157"/>
      <c r="H189" s="1158"/>
      <c r="I189" s="1158"/>
      <c r="J189" s="1158"/>
      <c r="K189" s="1158"/>
      <c r="L189" s="1036"/>
      <c r="M189" s="1158"/>
      <c r="N189" s="1158"/>
      <c r="O189" s="1158"/>
      <c r="P189" s="1158"/>
      <c r="Q189" s="1036"/>
      <c r="AE189" s="920" t="e">
        <f>AE187*1.2</f>
        <v>#REF!</v>
      </c>
      <c r="AF189" s="1159" t="e">
        <f>C79*I2+AE189*I1</f>
        <v>#REF!</v>
      </c>
    </row>
    <row r="190" spans="1:32" ht="14.25" customHeight="1">
      <c r="A190" s="1154" t="s">
        <v>1988</v>
      </c>
      <c r="B190" s="1160" t="s">
        <v>159</v>
      </c>
      <c r="C190" s="1156"/>
      <c r="D190" s="1156"/>
      <c r="E190" s="1156"/>
      <c r="F190" s="1156"/>
      <c r="G190" s="1157"/>
      <c r="H190" s="1158">
        <f>IF('Ввод данных'!A360=связи1!A107,1,0)</f>
        <v>1</v>
      </c>
      <c r="I190" s="1158">
        <f>IF('Ввод данных'!A364=связи1!A107,1,0)</f>
        <v>1</v>
      </c>
      <c r="J190" s="1158">
        <f>IF('Ввод данных'!A368=связи1!A107,1,0)</f>
        <v>1</v>
      </c>
      <c r="K190" s="1158">
        <f>IF('Ввод данных'!A372=связи1!A107,1,0)</f>
        <v>1</v>
      </c>
      <c r="L190" s="1036"/>
      <c r="M190" s="1158"/>
      <c r="N190" s="1158"/>
      <c r="O190" s="1158"/>
      <c r="P190" s="1158"/>
      <c r="Q190" s="1036"/>
      <c r="AF190" s="1161">
        <f>пристройка!I1</f>
        <v>0</v>
      </c>
    </row>
    <row r="191" spans="1:32" ht="14.25" customHeight="1">
      <c r="A191" s="1154" t="s">
        <v>2707</v>
      </c>
      <c r="B191" s="1160" t="s">
        <v>159</v>
      </c>
      <c r="C191" s="1156"/>
      <c r="D191" s="1156"/>
      <c r="E191" s="1156"/>
      <c r="F191" s="1156"/>
      <c r="G191" s="1157"/>
      <c r="H191" s="1158"/>
      <c r="I191" s="1158"/>
      <c r="J191" s="1158"/>
      <c r="K191" s="1158"/>
      <c r="L191" s="1036"/>
      <c r="M191" s="1158">
        <f>IF('Ввод данных'!A360=связи1!A108,1,0)</f>
        <v>0</v>
      </c>
      <c r="N191" s="1158">
        <f>IF('Ввод данных'!A364=связи1!A108,1,0)</f>
        <v>0</v>
      </c>
      <c r="O191" s="1158">
        <f>IF('Ввод данных'!A368=связи1!A108,1,0)</f>
        <v>0</v>
      </c>
      <c r="P191" s="1158">
        <f>IF('Ввод данных'!A372=связи1!A108,1,0)</f>
        <v>0</v>
      </c>
      <c r="Q191" s="1036"/>
      <c r="AF191" s="1161">
        <f>пристройка!I2</f>
        <v>1</v>
      </c>
    </row>
    <row r="192" spans="1:32" ht="14.25" customHeight="1">
      <c r="A192" s="998" t="s">
        <v>2708</v>
      </c>
      <c r="B192" s="1162" t="s">
        <v>1820</v>
      </c>
      <c r="C192" s="1163">
        <f>IF('Ввод данных'!A362=связи1!A120,1,0)</f>
        <v>0</v>
      </c>
      <c r="D192" s="1163">
        <f>IF('Ввод данных'!A366=связи1!A120,1,0)</f>
        <v>1</v>
      </c>
      <c r="E192" s="1163">
        <f>IF('Ввод данных'!A370=связи1!A120,1,0)</f>
        <v>0</v>
      </c>
      <c r="F192" s="1163">
        <f>IF('Ввод данных'!A374=связи1!A120,1,0)</f>
        <v>0</v>
      </c>
      <c r="G192" s="1157"/>
      <c r="H192" s="1164">
        <f t="shared" ref="H192:K195" si="46">C192</f>
        <v>0</v>
      </c>
      <c r="I192" s="1164">
        <f t="shared" si="46"/>
        <v>1</v>
      </c>
      <c r="J192" s="1164">
        <f t="shared" si="46"/>
        <v>0</v>
      </c>
      <c r="K192" s="1164">
        <f t="shared" si="46"/>
        <v>0</v>
      </c>
      <c r="L192" s="1036"/>
      <c r="M192" s="1164">
        <f t="shared" ref="M192:P195" si="47">H192</f>
        <v>0</v>
      </c>
      <c r="N192" s="1164">
        <f t="shared" si="47"/>
        <v>1</v>
      </c>
      <c r="O192" s="1164">
        <f t="shared" si="47"/>
        <v>0</v>
      </c>
      <c r="P192" s="1164">
        <f t="shared" si="47"/>
        <v>0</v>
      </c>
      <c r="Q192" s="1036"/>
    </row>
    <row r="193" spans="1:18" ht="14.25" customHeight="1">
      <c r="A193" s="998" t="s">
        <v>2709</v>
      </c>
      <c r="B193" s="1162" t="s">
        <v>156</v>
      </c>
      <c r="C193" s="1163">
        <f>IF('Ввод данных'!A362=связи1!A121,1,0)</f>
        <v>0</v>
      </c>
      <c r="D193" s="1163">
        <f>IF('Ввод данных'!A366=связи1!A121,1,0)</f>
        <v>0</v>
      </c>
      <c r="E193" s="1163">
        <f>IF('Ввод данных'!A370=связи1!A121,1,0)</f>
        <v>0</v>
      </c>
      <c r="F193" s="1163">
        <f>IF('Ввод данных'!A374=связи1!A121,1,0)</f>
        <v>1</v>
      </c>
      <c r="G193" s="1157"/>
      <c r="H193" s="1164">
        <f t="shared" si="46"/>
        <v>0</v>
      </c>
      <c r="I193" s="1164">
        <f t="shared" si="46"/>
        <v>0</v>
      </c>
      <c r="J193" s="1164">
        <f t="shared" si="46"/>
        <v>0</v>
      </c>
      <c r="K193" s="1164">
        <f t="shared" si="46"/>
        <v>1</v>
      </c>
      <c r="L193" s="1036"/>
      <c r="M193" s="1164">
        <f t="shared" si="47"/>
        <v>0</v>
      </c>
      <c r="N193" s="1164">
        <f t="shared" si="47"/>
        <v>0</v>
      </c>
      <c r="O193" s="1164">
        <f t="shared" si="47"/>
        <v>0</v>
      </c>
      <c r="P193" s="1164">
        <f t="shared" si="47"/>
        <v>1</v>
      </c>
      <c r="Q193" s="1036"/>
    </row>
    <row r="194" spans="1:18" ht="14.25" customHeight="1">
      <c r="A194" s="998" t="s">
        <v>2710</v>
      </c>
      <c r="B194" s="1162" t="s">
        <v>1820</v>
      </c>
      <c r="C194" s="1163">
        <f>IF('Ввод данных'!A362=связи1!A122,1,0)</f>
        <v>0</v>
      </c>
      <c r="D194" s="1163">
        <f>IF('Ввод данных'!A366=связи1!A122,1,0)</f>
        <v>0</v>
      </c>
      <c r="E194" s="1163">
        <f>IF('Ввод данных'!A370=связи1!A122,1,0)</f>
        <v>0</v>
      </c>
      <c r="F194" s="1163">
        <f>IF('Ввод данных'!A374=связи1!A122,1,0)</f>
        <v>0</v>
      </c>
      <c r="G194" s="1157"/>
      <c r="H194" s="1164">
        <f t="shared" si="46"/>
        <v>0</v>
      </c>
      <c r="I194" s="1164">
        <f t="shared" si="46"/>
        <v>0</v>
      </c>
      <c r="J194" s="1164">
        <f t="shared" si="46"/>
        <v>0</v>
      </c>
      <c r="K194" s="1164">
        <f t="shared" si="46"/>
        <v>0</v>
      </c>
      <c r="L194" s="1036"/>
      <c r="M194" s="1164">
        <f t="shared" si="47"/>
        <v>0</v>
      </c>
      <c r="N194" s="1164">
        <f t="shared" si="47"/>
        <v>0</v>
      </c>
      <c r="O194" s="1164">
        <f t="shared" si="47"/>
        <v>0</v>
      </c>
      <c r="P194" s="1164">
        <f t="shared" si="47"/>
        <v>0</v>
      </c>
      <c r="Q194" s="1036"/>
    </row>
    <row r="195" spans="1:18" ht="14.25" customHeight="1">
      <c r="A195" s="998" t="s">
        <v>2711</v>
      </c>
      <c r="B195" s="1162"/>
      <c r="C195" s="1163">
        <f>IF('Ввод данных'!A362=связи1!A123,1,0)</f>
        <v>0</v>
      </c>
      <c r="D195" s="1163">
        <f>IF('Ввод данных'!A366=связи1!A123,1,0)</f>
        <v>0</v>
      </c>
      <c r="E195" s="1163">
        <f>IF('Ввод данных'!A370=связи1!A123,1,0)</f>
        <v>1</v>
      </c>
      <c r="F195" s="1163">
        <f>IF('Ввод данных'!A374=связи1!A123,1,0)</f>
        <v>0</v>
      </c>
      <c r="G195" s="1157"/>
      <c r="H195" s="1164">
        <f t="shared" si="46"/>
        <v>0</v>
      </c>
      <c r="I195" s="1164">
        <f t="shared" si="46"/>
        <v>0</v>
      </c>
      <c r="J195" s="1164">
        <f t="shared" si="46"/>
        <v>1</v>
      </c>
      <c r="K195" s="1164">
        <f t="shared" si="46"/>
        <v>0</v>
      </c>
      <c r="L195" s="1036"/>
      <c r="M195" s="1164">
        <f t="shared" si="47"/>
        <v>0</v>
      </c>
      <c r="N195" s="1164">
        <f t="shared" si="47"/>
        <v>0</v>
      </c>
      <c r="O195" s="1164">
        <f t="shared" si="47"/>
        <v>1</v>
      </c>
      <c r="P195" s="1164">
        <f t="shared" si="47"/>
        <v>0</v>
      </c>
      <c r="Q195" s="1036"/>
    </row>
    <row r="196" spans="1:18" ht="14.25" customHeight="1">
      <c r="A196" s="229" t="s">
        <v>2623</v>
      </c>
      <c r="B196" s="99" t="s">
        <v>133</v>
      </c>
      <c r="C196" s="1165">
        <f>(C142+C143+C144+C145+C146+C147)*C32</f>
        <v>0</v>
      </c>
      <c r="D196" s="1165">
        <f>(D142+D143+D144+D145+D146+D147)*D32</f>
        <v>0</v>
      </c>
      <c r="E196" s="1165">
        <f>(E142+E143+E144+E145+E146+E147)*E32</f>
        <v>0</v>
      </c>
      <c r="F196" s="1165">
        <f>(F142+F143+F144+F145+F146+F147)*F32</f>
        <v>0</v>
      </c>
      <c r="G196" s="99">
        <f>C196+D196+E196+F196</f>
        <v>0</v>
      </c>
      <c r="H196" s="1165">
        <f>H77*H32</f>
        <v>0</v>
      </c>
      <c r="I196" s="1165">
        <f>I77*I32</f>
        <v>0</v>
      </c>
      <c r="J196" s="1165">
        <f>J77*J32</f>
        <v>0</v>
      </c>
      <c r="K196" s="1165">
        <f>K77*K32</f>
        <v>0</v>
      </c>
      <c r="L196" s="1166">
        <f>H196+I196+J196+K196</f>
        <v>0</v>
      </c>
      <c r="M196" s="1165">
        <f>M77*M32</f>
        <v>0</v>
      </c>
      <c r="N196" s="1165">
        <f>N77*N32</f>
        <v>0</v>
      </c>
      <c r="O196" s="1165">
        <f>O77*O32</f>
        <v>0</v>
      </c>
      <c r="P196" s="1165">
        <f>P77*P32</f>
        <v>0</v>
      </c>
      <c r="Q196" s="1166">
        <f>M196+N196+O196+P196</f>
        <v>0</v>
      </c>
      <c r="R196" s="1167">
        <f t="shared" ref="R196:R208" si="48">G196+L196+Q196</f>
        <v>0</v>
      </c>
    </row>
    <row r="197" spans="1:18" ht="14.25" customHeight="1">
      <c r="A197" s="229" t="s">
        <v>2712</v>
      </c>
      <c r="B197" s="99"/>
      <c r="C197" s="1165"/>
      <c r="D197" s="1165"/>
      <c r="E197" s="1165"/>
      <c r="F197" s="1165"/>
      <c r="G197" s="99"/>
      <c r="H197" s="1165">
        <f t="shared" ref="H197:Q197" si="49">H167</f>
        <v>0</v>
      </c>
      <c r="I197" s="1165">
        <f t="shared" si="49"/>
        <v>0</v>
      </c>
      <c r="J197" s="1165">
        <f t="shared" si="49"/>
        <v>0</v>
      </c>
      <c r="K197" s="1165">
        <f t="shared" si="49"/>
        <v>0</v>
      </c>
      <c r="L197" s="1165">
        <f t="shared" si="49"/>
        <v>0</v>
      </c>
      <c r="M197" s="1165">
        <f t="shared" si="49"/>
        <v>0</v>
      </c>
      <c r="N197" s="1165">
        <f t="shared" si="49"/>
        <v>0</v>
      </c>
      <c r="O197" s="1165">
        <f t="shared" si="49"/>
        <v>0</v>
      </c>
      <c r="P197" s="1165">
        <f t="shared" si="49"/>
        <v>0</v>
      </c>
      <c r="Q197" s="1165">
        <f t="shared" si="49"/>
        <v>0</v>
      </c>
      <c r="R197" s="1167">
        <f t="shared" si="48"/>
        <v>0</v>
      </c>
    </row>
    <row r="198" spans="1:18" ht="14.25" customHeight="1">
      <c r="A198" s="1168" t="s">
        <v>2713</v>
      </c>
      <c r="B198" s="1169"/>
      <c r="C198" s="1170"/>
      <c r="D198" s="1170"/>
      <c r="E198" s="1170"/>
      <c r="F198" s="1170"/>
      <c r="G198" s="1169"/>
      <c r="H198" s="1170">
        <f t="shared" ref="H198:Q198" si="50">H165</f>
        <v>0</v>
      </c>
      <c r="I198" s="1170">
        <f t="shared" si="50"/>
        <v>0</v>
      </c>
      <c r="J198" s="1170">
        <f t="shared" si="50"/>
        <v>0</v>
      </c>
      <c r="K198" s="1170">
        <f t="shared" si="50"/>
        <v>0</v>
      </c>
      <c r="L198" s="1170">
        <f t="shared" si="50"/>
        <v>0</v>
      </c>
      <c r="M198" s="1170">
        <f t="shared" si="50"/>
        <v>0</v>
      </c>
      <c r="N198" s="1170">
        <f t="shared" si="50"/>
        <v>0</v>
      </c>
      <c r="O198" s="1170">
        <f t="shared" si="50"/>
        <v>0</v>
      </c>
      <c r="P198" s="1170">
        <f t="shared" si="50"/>
        <v>0</v>
      </c>
      <c r="Q198" s="1170">
        <f t="shared" si="50"/>
        <v>0</v>
      </c>
      <c r="R198" s="1167">
        <f t="shared" si="48"/>
        <v>0</v>
      </c>
    </row>
    <row r="199" spans="1:18" ht="14.25" customHeight="1">
      <c r="A199" s="229" t="s">
        <v>2714</v>
      </c>
      <c r="B199" s="99" t="s">
        <v>135</v>
      </c>
      <c r="C199" s="229">
        <f>((C76/C81+1)*C68+C68)*VLOOKUP(A212,связи1!A407:E416,5,0)*C32</f>
        <v>0</v>
      </c>
      <c r="D199" s="229">
        <f>((D76/D81+1)*D68+D68)*VLOOKUP(A212,связи1!A407:E416,5,0)*D32</f>
        <v>0</v>
      </c>
      <c r="E199" s="229">
        <f>((E76/E81+1)*E68+E68)*VLOOKUP(A212,связи1!A407:E416,5,0)*E32</f>
        <v>0</v>
      </c>
      <c r="F199" s="229">
        <f>((F76/F81+1)*F68+F68)*VLOOKUP(A212,связи1!A407:E416,5,0)*F32</f>
        <v>0</v>
      </c>
      <c r="G199" s="99">
        <f>C199+D199+E199+F199</f>
        <v>0</v>
      </c>
      <c r="H199" s="229">
        <f>((H76/H81+1)*H71+(H76/H81+1)*H72)*VLOOKUP(A212,связи1!A407:E416,5,0)*H32</f>
        <v>0</v>
      </c>
      <c r="I199" s="229">
        <f>((I76/I81+1)*I71+(I76/I81+1)*I72)*VLOOKUP(A212,связи1!A407:E416,5,0)*I32</f>
        <v>0</v>
      </c>
      <c r="J199" s="229">
        <f>((J76/J81+1)*J71+(J76/J81+1)*J72)*VLOOKUP(A212,связи1!A407:E416,5,0)*J32</f>
        <v>0</v>
      </c>
      <c r="K199" s="229">
        <f>((K76/K81+1)*K71+(K76/K81+1)*K72)*VLOOKUP(A212,связи1!A407:E416,5,0)*K32</f>
        <v>0</v>
      </c>
      <c r="L199" s="1166">
        <f t="shared" ref="L199:L208" si="51">H199+I199+J199+K199</f>
        <v>0</v>
      </c>
      <c r="M199" s="229">
        <f>((M76/M81+1)*M73+(M76/M81+1)*M75+M59+M60+M76*3+M34+M52+M53+(M76/1.5*M41))*VLOOKUP(A212,связи1!A407:E416,5,0)*M32</f>
        <v>0</v>
      </c>
      <c r="N199" s="229">
        <f>((N76/N81+1)*N73+(N76/N81+1)*N75+N59+N60+N76*3+N34+N52+N53+(N76/1.5*N41))*VLOOKUP(A212,связи1!A407:E416,5,0)*N32</f>
        <v>0</v>
      </c>
      <c r="O199" s="229">
        <f>((O76/O81+1)*O73+(O76/O81+1)*O75+O59+O60+O76*3+O34+O52+O53+(O76/1.5*O41))*VLOOKUP(A212,связи1!A407:E416,5,0)*O32</f>
        <v>0</v>
      </c>
      <c r="P199" s="229">
        <f>((P76/P81+1)*P73+(P76/P81+1)*P75+P59+P60+P76*3+P34+P52+P53+(P76/1.5*P41))*VLOOKUP(A212,связи1!A407:E416,5,0)*P32</f>
        <v>0</v>
      </c>
      <c r="Q199" s="1166">
        <f t="shared" ref="Q199:Q208" si="52">M199+N199+O199+P199</f>
        <v>0</v>
      </c>
      <c r="R199" s="1167">
        <f t="shared" si="48"/>
        <v>0</v>
      </c>
    </row>
    <row r="200" spans="1:18" ht="14.25" customHeight="1">
      <c r="A200" s="229" t="s">
        <v>2715</v>
      </c>
      <c r="B200" s="99" t="s">
        <v>156</v>
      </c>
      <c r="C200" s="229">
        <f>C76*VLOOKUP(A212,связи1!A407:E416,5,0)*C32</f>
        <v>0</v>
      </c>
      <c r="D200" s="229">
        <f>D76*VLOOKUP(A212,связи1!A407:E416,5,0)*D32</f>
        <v>0</v>
      </c>
      <c r="E200" s="229">
        <f>E76*VLOOKUP(A212,связи1!A407:E416,5,0)*E32</f>
        <v>0</v>
      </c>
      <c r="F200" s="229">
        <f>F76*VLOOKUP(A212,связи1!A407:E416,5,0)*F32</f>
        <v>0</v>
      </c>
      <c r="G200" s="99">
        <f>C200+D200+E200+F200</f>
        <v>0</v>
      </c>
      <c r="H200" s="229">
        <f>((H76/H81+1)*H56+(H72-H53)*(H76/H81))*VLOOKUP(A212,связи1!A407:E416,5,0)*H32</f>
        <v>0</v>
      </c>
      <c r="I200" s="229">
        <f>((I76/I81+1)*I56+(I72-I53)*(I76/I81))*VLOOKUP(A212,связи1!A407:E416,5,0)*I32</f>
        <v>0</v>
      </c>
      <c r="J200" s="229">
        <f>((J76/J81+1)*J56+(J72-J53)*(J76/J81))*VLOOKUP(A212,связи1!A407:E416,5,0)*J32</f>
        <v>0</v>
      </c>
      <c r="K200" s="229">
        <f>((K76/K81+1)*K56+(K72-K53)*(K76/K81))*VLOOKUP(A212,связи1!A407:E416,5,0)*K32</f>
        <v>0</v>
      </c>
      <c r="L200" s="1166">
        <f t="shared" si="51"/>
        <v>0</v>
      </c>
      <c r="M200" s="229">
        <f>((M76/M81+1)*M56+(M75-M53)*(M76/M81))*VLOOKUP(A212,связи1!A407:E416,5,0)*M32</f>
        <v>0</v>
      </c>
      <c r="N200" s="229">
        <f>((N76/N81+1)*N56+(N75-N53)*(N76/N81))*VLOOKUP(A212,связи1!A407:E416,5,0)*N32</f>
        <v>0</v>
      </c>
      <c r="O200" s="229">
        <f>((O76/O81+1)*O56+(O75-O53)*(O76/O81))*VLOOKUP(A212,связи1!A407:E416,5,0)*O32</f>
        <v>0</v>
      </c>
      <c r="P200" s="229">
        <f>((P76/P81+1)*P56+(P75-P53)*(P76/P81))*VLOOKUP(A212,связи1!A407:E416,5,0)*P32</f>
        <v>0</v>
      </c>
      <c r="Q200" s="1166">
        <f t="shared" si="52"/>
        <v>0</v>
      </c>
      <c r="R200" s="1167">
        <f t="shared" si="48"/>
        <v>0</v>
      </c>
    </row>
    <row r="201" spans="1:18" ht="14.25" customHeight="1">
      <c r="A201" s="229" t="s">
        <v>1546</v>
      </c>
      <c r="B201" s="99"/>
      <c r="C201" s="229"/>
      <c r="D201" s="229"/>
      <c r="E201" s="229"/>
      <c r="F201" s="229"/>
      <c r="G201" s="99">
        <v>0</v>
      </c>
      <c r="H201" s="229">
        <f>H76</f>
        <v>0</v>
      </c>
      <c r="I201" s="229">
        <f>I76</f>
        <v>0</v>
      </c>
      <c r="J201" s="229">
        <f>J76</f>
        <v>0</v>
      </c>
      <c r="K201" s="229">
        <f>K76</f>
        <v>0</v>
      </c>
      <c r="L201" s="1166">
        <f t="shared" si="51"/>
        <v>0</v>
      </c>
      <c r="M201" s="229">
        <f>(M76+M166+M59+M60)*M32</f>
        <v>0</v>
      </c>
      <c r="N201" s="229">
        <f>(N76+N166+N59+N60)*N32</f>
        <v>0</v>
      </c>
      <c r="O201" s="229">
        <f>(O76+O166+O59+O60)*O32</f>
        <v>0</v>
      </c>
      <c r="P201" s="229">
        <f>(P76+P166+P59+P60)*P32</f>
        <v>0</v>
      </c>
      <c r="Q201" s="1166">
        <f t="shared" si="52"/>
        <v>0</v>
      </c>
      <c r="R201" s="1167">
        <f t="shared" si="48"/>
        <v>0</v>
      </c>
    </row>
    <row r="202" spans="1:18" ht="14.25" customHeight="1">
      <c r="A202" s="229" t="s">
        <v>2716</v>
      </c>
      <c r="B202" s="99" t="s">
        <v>156</v>
      </c>
      <c r="C202" s="229">
        <f>C76*1.1*2*C32</f>
        <v>0</v>
      </c>
      <c r="D202" s="229">
        <f>D76*1.1*2*D32</f>
        <v>0</v>
      </c>
      <c r="E202" s="229">
        <f>E76*1.1*2*E32</f>
        <v>0</v>
      </c>
      <c r="F202" s="229">
        <f>F76*1.1*2*F32</f>
        <v>0</v>
      </c>
      <c r="G202" s="99">
        <f>C202+D202+E202+F202</f>
        <v>0</v>
      </c>
      <c r="H202" s="229">
        <f>H76*1.1*4*H32</f>
        <v>0</v>
      </c>
      <c r="I202" s="229">
        <f>I76*1.1*4*I32</f>
        <v>0</v>
      </c>
      <c r="J202" s="229">
        <f>J76*1.1*4*J32</f>
        <v>0</v>
      </c>
      <c r="K202" s="229">
        <f>K76*1.1*4*K32</f>
        <v>0</v>
      </c>
      <c r="L202" s="1166">
        <f t="shared" si="51"/>
        <v>0</v>
      </c>
      <c r="M202" s="229">
        <f>M76*1.1*4*M32</f>
        <v>0</v>
      </c>
      <c r="N202" s="229">
        <f>N76*1.1*4*N32</f>
        <v>0</v>
      </c>
      <c r="O202" s="229">
        <f>O76*1.1*4*O32</f>
        <v>0</v>
      </c>
      <c r="P202" s="229">
        <f>P76*1.1*4*P32</f>
        <v>0</v>
      </c>
      <c r="Q202" s="1166">
        <f t="shared" si="52"/>
        <v>0</v>
      </c>
      <c r="R202" s="1167">
        <f t="shared" si="48"/>
        <v>0</v>
      </c>
    </row>
    <row r="203" spans="1:18" ht="14.25" customHeight="1">
      <c r="A203" s="259" t="s">
        <v>1082</v>
      </c>
      <c r="B203" s="1171" t="s">
        <v>156</v>
      </c>
      <c r="C203" s="229">
        <f>(C35+C40)*C32</f>
        <v>0</v>
      </c>
      <c r="D203" s="229">
        <f>(D35+D40)*D32</f>
        <v>0</v>
      </c>
      <c r="E203" s="229">
        <f>(E35+E40)*E32</f>
        <v>0</v>
      </c>
      <c r="F203" s="229">
        <f>(F35+F40)*F32</f>
        <v>0</v>
      </c>
      <c r="G203" s="99">
        <f>C203+D203+E203+F203</f>
        <v>0</v>
      </c>
      <c r="H203" s="229">
        <f>(H35+H40)*H32</f>
        <v>0</v>
      </c>
      <c r="I203" s="229">
        <f>(I35+I40)*I32</f>
        <v>0</v>
      </c>
      <c r="J203" s="229">
        <f>(J35+J40)*J32</f>
        <v>0</v>
      </c>
      <c r="K203" s="229">
        <f>(K35+K40)*K32</f>
        <v>0</v>
      </c>
      <c r="L203" s="1166">
        <f t="shared" si="51"/>
        <v>0</v>
      </c>
      <c r="M203" s="229">
        <f>(M35+M40)*M32*1.1</f>
        <v>0</v>
      </c>
      <c r="N203" s="229">
        <f>(N35+N40)*N32*1.1</f>
        <v>0</v>
      </c>
      <c r="O203" s="229">
        <f>(O35+O40)*O32*1.1</f>
        <v>0</v>
      </c>
      <c r="P203" s="229">
        <f>(P35+P40)*P32*1.1</f>
        <v>0</v>
      </c>
      <c r="Q203" s="1166">
        <f t="shared" si="52"/>
        <v>0</v>
      </c>
      <c r="R203" s="1167">
        <f t="shared" si="48"/>
        <v>0</v>
      </c>
    </row>
    <row r="204" spans="1:18" ht="14.25" customHeight="1">
      <c r="A204" s="259" t="s">
        <v>1544</v>
      </c>
      <c r="B204" s="1171" t="s">
        <v>156</v>
      </c>
      <c r="C204" s="229">
        <f>C32*(C34)</f>
        <v>0</v>
      </c>
      <c r="D204" s="229">
        <f>D32*(D34)</f>
        <v>0</v>
      </c>
      <c r="E204" s="229">
        <f>E32*(E34)</f>
        <v>0</v>
      </c>
      <c r="F204" s="229">
        <f>F32*(F34)</f>
        <v>0</v>
      </c>
      <c r="G204" s="99">
        <f>C204+D204+E204+F204</f>
        <v>0</v>
      </c>
      <c r="H204" s="229">
        <f>H32*(H33*2)</f>
        <v>0</v>
      </c>
      <c r="I204" s="229">
        <f>I32*(I33*2)</f>
        <v>0</v>
      </c>
      <c r="J204" s="229">
        <f>J32*(J33*2)</f>
        <v>0</v>
      </c>
      <c r="K204" s="229">
        <f>K32*(K33*2)</f>
        <v>0</v>
      </c>
      <c r="L204" s="1166">
        <f t="shared" si="51"/>
        <v>0</v>
      </c>
      <c r="M204" s="229">
        <f>M32*(M33+M33+M34)</f>
        <v>0</v>
      </c>
      <c r="N204" s="229">
        <f>N32*(N33+N33+N34)</f>
        <v>0</v>
      </c>
      <c r="O204" s="229">
        <f>O32*(O33+O33+O34)</f>
        <v>0</v>
      </c>
      <c r="P204" s="229">
        <f>P32*(P33+P33+P34)</f>
        <v>0</v>
      </c>
      <c r="Q204" s="1166">
        <f t="shared" si="52"/>
        <v>0</v>
      </c>
      <c r="R204" s="1167">
        <f t="shared" si="48"/>
        <v>0</v>
      </c>
    </row>
    <row r="205" spans="1:18" ht="14.25" customHeight="1">
      <c r="A205" s="259" t="s">
        <v>2717</v>
      </c>
      <c r="B205" s="1171" t="s">
        <v>156</v>
      </c>
      <c r="C205" s="1172">
        <f>C76*1.1*C32</f>
        <v>0</v>
      </c>
      <c r="D205" s="1172">
        <f>D76*1.1*D32</f>
        <v>0</v>
      </c>
      <c r="E205" s="1172">
        <f>E76*1.1*E32</f>
        <v>0</v>
      </c>
      <c r="F205" s="1172">
        <f>F76*1.1*F32</f>
        <v>0</v>
      </c>
      <c r="G205" s="99">
        <f>C205+D205+E205+F205</f>
        <v>0</v>
      </c>
      <c r="H205" s="1172">
        <f>IF(H164&gt;0,H164*2,(H71+H72)*1.1*H32)</f>
        <v>0</v>
      </c>
      <c r="I205" s="1172">
        <f>IF(I164&gt;0,I164*2,(I71+I72)*1.1*I32)</f>
        <v>0</v>
      </c>
      <c r="J205" s="1172">
        <f>IF(J164&gt;0,J164*2,(J71+J72)*1.1*J32)</f>
        <v>0</v>
      </c>
      <c r="K205" s="1172">
        <f>IF(K164&gt;0,K164*2,(K71+K72)*1.1*K32)</f>
        <v>0</v>
      </c>
      <c r="L205" s="1166">
        <f t="shared" si="51"/>
        <v>0</v>
      </c>
      <c r="M205" s="1172">
        <f>IF(M164&gt;0,M164*2,(M71+M72)*1.1*M32)</f>
        <v>0</v>
      </c>
      <c r="N205" s="1172">
        <f>IF(N164&gt;0,N164*2,(N71+N72)*1.1*N32)</f>
        <v>0</v>
      </c>
      <c r="O205" s="1172">
        <f>IF(O164&gt;0,O164*2,(O71+O72)*1.1*O32)</f>
        <v>0</v>
      </c>
      <c r="P205" s="1172">
        <f>IF(P164&gt;0,P164*2,(P71+P72)*1.1*P32)</f>
        <v>0</v>
      </c>
      <c r="Q205" s="1166">
        <f t="shared" si="52"/>
        <v>0</v>
      </c>
      <c r="R205" s="1167">
        <f t="shared" si="48"/>
        <v>0</v>
      </c>
    </row>
    <row r="206" spans="1:18" ht="14.25" customHeight="1">
      <c r="A206" s="259" t="s">
        <v>2718</v>
      </c>
      <c r="B206" s="1171"/>
      <c r="C206" s="1172"/>
      <c r="D206" s="1172"/>
      <c r="E206" s="1172"/>
      <c r="F206" s="1172"/>
      <c r="G206" s="99"/>
      <c r="H206" s="1172">
        <f>H205</f>
        <v>0</v>
      </c>
      <c r="I206" s="1172">
        <f>I205</f>
        <v>0</v>
      </c>
      <c r="J206" s="1172">
        <f>J205</f>
        <v>0</v>
      </c>
      <c r="K206" s="1172">
        <f>K205</f>
        <v>0</v>
      </c>
      <c r="L206" s="1166">
        <f t="shared" si="51"/>
        <v>0</v>
      </c>
      <c r="M206" s="1172">
        <f>M205</f>
        <v>0</v>
      </c>
      <c r="N206" s="1172">
        <f>N205</f>
        <v>0</v>
      </c>
      <c r="O206" s="1172">
        <f>O205</f>
        <v>0</v>
      </c>
      <c r="P206" s="1172">
        <f>P205</f>
        <v>0</v>
      </c>
      <c r="Q206" s="1166">
        <f t="shared" si="52"/>
        <v>0</v>
      </c>
      <c r="R206" s="1167">
        <f t="shared" si="48"/>
        <v>0</v>
      </c>
    </row>
    <row r="207" spans="1:18" ht="14.25" customHeight="1">
      <c r="A207" s="259" t="s">
        <v>2719</v>
      </c>
      <c r="B207" s="1171" t="s">
        <v>156</v>
      </c>
      <c r="C207" s="1172">
        <f>C76*1.1*C32+C68*2*1.1*C32</f>
        <v>0</v>
      </c>
      <c r="D207" s="1172">
        <f>D76*1.1*D32+D68*2*1.1*D32</f>
        <v>0</v>
      </c>
      <c r="E207" s="1172">
        <f>E76*1.1*E32+E68*2*1.1*E32</f>
        <v>0</v>
      </c>
      <c r="F207" s="1172">
        <f>F76*1.1*F32+F68*2*1.1*F32</f>
        <v>0</v>
      </c>
      <c r="G207" s="99">
        <f>C207+D207+E207+F207</f>
        <v>0</v>
      </c>
      <c r="H207" s="1172">
        <f>(H71+H72)*1.1*H32</f>
        <v>0</v>
      </c>
      <c r="I207" s="1172">
        <f>(I71+I72)*1.1*I32</f>
        <v>0</v>
      </c>
      <c r="J207" s="1172">
        <f>(J71+J72)*1.1*J32</f>
        <v>0</v>
      </c>
      <c r="K207" s="1172">
        <f>(K71+K72)*1.1*K32</f>
        <v>0</v>
      </c>
      <c r="L207" s="1166">
        <f t="shared" si="51"/>
        <v>0</v>
      </c>
      <c r="M207" s="1172"/>
      <c r="N207" s="1172"/>
      <c r="O207" s="1172"/>
      <c r="P207" s="1172"/>
      <c r="Q207" s="1166">
        <f t="shared" si="52"/>
        <v>0</v>
      </c>
      <c r="R207" s="1167">
        <f t="shared" si="48"/>
        <v>0</v>
      </c>
    </row>
    <row r="208" spans="1:18" ht="14.25" customHeight="1">
      <c r="A208" s="1173" t="s">
        <v>2632</v>
      </c>
      <c r="B208" s="1171" t="s">
        <v>156</v>
      </c>
      <c r="C208" s="229">
        <f>C65*C82*C32</f>
        <v>0</v>
      </c>
      <c r="D208" s="229">
        <f>D65*D82*D32</f>
        <v>0</v>
      </c>
      <c r="E208" s="229">
        <f>E65*E82*E32</f>
        <v>0</v>
      </c>
      <c r="F208" s="229">
        <f>F65*F82*F32</f>
        <v>0</v>
      </c>
      <c r="G208" s="99">
        <f>C208+D208+E208+F208</f>
        <v>0</v>
      </c>
      <c r="H208" s="229">
        <f>H65*H82*H32</f>
        <v>0</v>
      </c>
      <c r="I208" s="229">
        <f>I65*I82*I32</f>
        <v>0</v>
      </c>
      <c r="J208" s="229">
        <f>J65*J82*J32</f>
        <v>0</v>
      </c>
      <c r="K208" s="229">
        <f>K65*K82*K32</f>
        <v>0</v>
      </c>
      <c r="L208" s="1166">
        <f t="shared" si="51"/>
        <v>0</v>
      </c>
      <c r="M208" s="229">
        <f>M65*M82*M32</f>
        <v>0</v>
      </c>
      <c r="N208" s="229">
        <f>N65*N82*N32</f>
        <v>0</v>
      </c>
      <c r="O208" s="229">
        <f>O65*O82*O32</f>
        <v>0</v>
      </c>
      <c r="P208" s="229">
        <f>P65*P82*P32</f>
        <v>0</v>
      </c>
      <c r="Q208" s="1166">
        <f t="shared" si="52"/>
        <v>0</v>
      </c>
      <c r="R208" s="1167">
        <f t="shared" si="48"/>
        <v>0</v>
      </c>
    </row>
    <row r="209" spans="1:12" ht="14.25" customHeight="1">
      <c r="A209" s="1174" t="s">
        <v>2720</v>
      </c>
      <c r="B209" s="1175" t="s">
        <v>1094</v>
      </c>
      <c r="C209" s="1174" t="s">
        <v>1802</v>
      </c>
      <c r="D209" s="1174" t="s">
        <v>2721</v>
      </c>
      <c r="E209" s="1174" t="s">
        <v>2722</v>
      </c>
      <c r="F209" s="1174"/>
      <c r="G209" s="1176"/>
      <c r="H209" s="1177" t="s">
        <v>1409</v>
      </c>
      <c r="I209" s="1174" t="s">
        <v>1094</v>
      </c>
      <c r="J209" s="1174" t="s">
        <v>1802</v>
      </c>
      <c r="K209" s="1174" t="s">
        <v>1601</v>
      </c>
      <c r="L209" s="1178" t="s">
        <v>2722</v>
      </c>
    </row>
    <row r="210" spans="1:12" ht="14.25" customHeight="1">
      <c r="A210" s="1178" t="str">
        <f>'Ввод данных'!A396</f>
        <v>Доска сухая калиброванная, 190*45мм</v>
      </c>
      <c r="B210" s="1179" t="s">
        <v>135</v>
      </c>
      <c r="C210" s="1180">
        <f>(G187+L187+Q187)*G183</f>
        <v>0</v>
      </c>
      <c r="D210" s="1178">
        <f>VLOOKUP(A210,связи1!F203:H213,2,0)</f>
        <v>12500</v>
      </c>
      <c r="E210" s="1181">
        <f t="shared" ref="E210:E241" si="53">C210*D210</f>
        <v>0</v>
      </c>
      <c r="F210" s="1182"/>
      <c r="G210" s="1183"/>
      <c r="H210" s="1184" t="str">
        <f>'Прайс лист'!B1735</f>
        <v>монтаж мауэрлат</v>
      </c>
      <c r="I210" s="1178" t="s">
        <v>156</v>
      </c>
      <c r="J210" s="1178">
        <f>(G186+L186+Q186)*G184</f>
        <v>0</v>
      </c>
      <c r="K210" s="1178">
        <f>'Прайс лист'!G1735</f>
        <v>250</v>
      </c>
      <c r="L210" s="1178">
        <f t="shared" ref="L210:L223" si="54">J210*K210</f>
        <v>0</v>
      </c>
    </row>
    <row r="211" spans="1:12" ht="14.25" customHeight="1">
      <c r="A211" s="1178" t="str">
        <f>'Прайс лист'!B864</f>
        <v xml:space="preserve">Болты анкерные с гайкой 12,0 х 280          </v>
      </c>
      <c r="B211" s="1179" t="s">
        <v>159</v>
      </c>
      <c r="C211" s="1180">
        <f>(G186+L186+Q186)*G183*2</f>
        <v>0</v>
      </c>
      <c r="D211" s="1178">
        <f>'Прайс лист'!G864</f>
        <v>27.1</v>
      </c>
      <c r="E211" s="1178">
        <f t="shared" si="53"/>
        <v>0</v>
      </c>
      <c r="F211" s="1182"/>
      <c r="G211" s="1185"/>
      <c r="H211" s="1184" t="str">
        <f>'Прайс лист'!B1736</f>
        <v>монтаж стропил</v>
      </c>
      <c r="I211" s="1178" t="s">
        <v>133</v>
      </c>
      <c r="J211" s="1178">
        <f>(G196+L196+Q196)*G184*IF(A212=связи1!A407,0,1)</f>
        <v>0</v>
      </c>
      <c r="K211" s="1178">
        <f>'Прайс лист'!G1736</f>
        <v>450</v>
      </c>
      <c r="L211" s="1178">
        <f t="shared" si="54"/>
        <v>0</v>
      </c>
    </row>
    <row r="212" spans="1:12" ht="14.25" customHeight="1">
      <c r="A212" s="1178" t="str">
        <f>'Ввод данных'!A398</f>
        <v>Доска сухая, 200*50мм</v>
      </c>
      <c r="B212" s="1179" t="s">
        <v>135</v>
      </c>
      <c r="C212" s="1180">
        <f>(G199+L199+Q199)*G183</f>
        <v>0</v>
      </c>
      <c r="D212" s="1178">
        <f>VLOOKUP(A212,связи1!A407:E416,2,0)</f>
        <v>9000</v>
      </c>
      <c r="E212" s="1178">
        <f t="shared" si="53"/>
        <v>0</v>
      </c>
      <c r="F212" s="1182"/>
      <c r="G212" s="1185"/>
      <c r="H212" s="1184" t="str">
        <f>'Прайс лист'!B1737</f>
        <v>обрешетка</v>
      </c>
      <c r="I212" s="1178" t="s">
        <v>133</v>
      </c>
      <c r="J212" s="1178">
        <f>(G196+L196+Q196)*G184*IF(A214=связи1!A432,0,1)</f>
        <v>0</v>
      </c>
      <c r="K212" s="1178">
        <f>'Прайс лист'!G1737</f>
        <v>100</v>
      </c>
      <c r="L212" s="1178">
        <f t="shared" si="54"/>
        <v>0</v>
      </c>
    </row>
    <row r="213" spans="1:12" ht="14.25" customHeight="1">
      <c r="A213" s="1178" t="s">
        <v>2723</v>
      </c>
      <c r="B213" s="1179" t="s">
        <v>135</v>
      </c>
      <c r="C213" s="1180">
        <f>(G200+L200+Q200)*G183</f>
        <v>0</v>
      </c>
      <c r="D213" s="1178">
        <f>VLOOKUP(A212,связи1!A407:E416,2,0)</f>
        <v>9000</v>
      </c>
      <c r="E213" s="1178">
        <f t="shared" si="53"/>
        <v>0</v>
      </c>
      <c r="F213" s="1182">
        <f>IF('Ввод данных'!A394=связи1!A6,1,0)</f>
        <v>1</v>
      </c>
      <c r="G213" s="1185"/>
      <c r="H213" s="1184" t="str">
        <f>'Прайс лист'!B1738</f>
        <v>контробеш</v>
      </c>
      <c r="I213" s="1178" t="s">
        <v>133</v>
      </c>
      <c r="J213" s="1178">
        <f>(G196+L196+Q196)*G184*IF(A215=связи1!A418,0,1)</f>
        <v>0</v>
      </c>
      <c r="K213" s="1178">
        <f>'Прайс лист'!G1738</f>
        <v>100</v>
      </c>
      <c r="L213" s="1178">
        <f t="shared" si="54"/>
        <v>0</v>
      </c>
    </row>
    <row r="214" spans="1:12" ht="14.25" customHeight="1">
      <c r="A214" s="1178" t="str">
        <f>'Ввод данных'!A400</f>
        <v>Сосна влаж,100*25мм</v>
      </c>
      <c r="B214" s="1179" t="s">
        <v>135</v>
      </c>
      <c r="C214" s="1180">
        <f>(G196+L196+Q196)*4*VLOOKUP(A214,связи1!A432:F440,5,0)*G183</f>
        <v>0</v>
      </c>
      <c r="D214" s="1178">
        <f>VLOOKUP(A214,связи1!A432:F440,6,0)</f>
        <v>6500</v>
      </c>
      <c r="E214" s="1178">
        <f t="shared" si="53"/>
        <v>0</v>
      </c>
      <c r="F214" s="1182">
        <f>IF('Ввод данных'!A394=связи1!A7,1,0)</f>
        <v>0</v>
      </c>
      <c r="G214" s="1185"/>
      <c r="H214" s="1184" t="str">
        <f>'Прайс лист'!B1739</f>
        <v>мембрана</v>
      </c>
      <c r="I214" s="1178" t="s">
        <v>133</v>
      </c>
      <c r="J214" s="1178">
        <f>(G196+L196+Q196)*G184*IF(A216='Прайс лист'!B793,0,1)</f>
        <v>0</v>
      </c>
      <c r="K214" s="1178">
        <f>'Прайс лист'!G1739</f>
        <v>100</v>
      </c>
      <c r="L214" s="1178">
        <f t="shared" si="54"/>
        <v>0</v>
      </c>
    </row>
    <row r="215" spans="1:12" ht="14.25" customHeight="1">
      <c r="A215" s="1178" t="str">
        <f>'Ввод данных'!A402</f>
        <v>Доска сухая, калибр., 35*45мм</v>
      </c>
      <c r="B215" s="1179" t="s">
        <v>159</v>
      </c>
      <c r="C215" s="1180">
        <f>(G196+L196+Q196)*1.7*VLOOKUP(A215,связи1!A418:E421,5,0)*G183</f>
        <v>0</v>
      </c>
      <c r="D215" s="1178">
        <f>VLOOKUP(A215,связи1!A418:D421,2,0)</f>
        <v>12500</v>
      </c>
      <c r="E215" s="1178">
        <f t="shared" si="53"/>
        <v>0</v>
      </c>
      <c r="F215" s="1182">
        <f>IF('Ввод данных'!A394=связи1!A8,1,0)</f>
        <v>0</v>
      </c>
      <c r="G215" s="1185"/>
      <c r="H215" s="1184" t="str">
        <f>'Прайс лист'!B1740</f>
        <v>пароизоляц</v>
      </c>
      <c r="I215" s="1178" t="s">
        <v>133</v>
      </c>
      <c r="J215" s="1178">
        <f>J211*G184*IF(A217='Прайс лист'!B820,0,1)</f>
        <v>0</v>
      </c>
      <c r="K215" s="1178">
        <f>'Прайс лист'!G1740</f>
        <v>100</v>
      </c>
      <c r="L215" s="1178">
        <f t="shared" si="54"/>
        <v>0</v>
      </c>
    </row>
    <row r="216" spans="1:12" ht="14.25" customHeight="1">
      <c r="A216" s="1178" t="str">
        <f>'Ввод данных'!A408</f>
        <v>Мембраны Tyvek Soft</v>
      </c>
      <c r="B216" s="1179" t="s">
        <v>133</v>
      </c>
      <c r="C216" s="1180">
        <f>(G196+L196+Q196)*1.3*G183</f>
        <v>0</v>
      </c>
      <c r="D216" s="1178">
        <f>VLOOKUP(A216,'Прайс лист'!B793:G819,6,0)</f>
        <v>86</v>
      </c>
      <c r="E216" s="1178">
        <f t="shared" si="53"/>
        <v>0</v>
      </c>
      <c r="F216" s="1182"/>
      <c r="G216" s="1185"/>
      <c r="H216" s="1184" t="str">
        <f>'Прайс лист'!B1741</f>
        <v>утеплитель</v>
      </c>
      <c r="I216" s="1178" t="s">
        <v>133</v>
      </c>
      <c r="J216" s="1178">
        <f>J211*G184*IF(A218='Прайс лист'!B744,0,1)</f>
        <v>0</v>
      </c>
      <c r="K216" s="1178">
        <f>'Прайс лист'!G1741</f>
        <v>200</v>
      </c>
      <c r="L216" s="1178">
        <f t="shared" si="54"/>
        <v>0</v>
      </c>
    </row>
    <row r="217" spans="1:12" ht="14.25" customHeight="1">
      <c r="A217" s="1178" t="str">
        <f>'Ввод данных'!A410</f>
        <v>Пленка Delta-Reflex</v>
      </c>
      <c r="B217" s="1179" t="s">
        <v>133</v>
      </c>
      <c r="C217" s="1180">
        <f>(G65+L65+Q65)*1.3*G183</f>
        <v>0</v>
      </c>
      <c r="D217" s="1178">
        <f>VLOOKUP(A217,'Прайс лист'!B820:G831,6,0)</f>
        <v>156</v>
      </c>
      <c r="E217" s="1178">
        <f t="shared" si="53"/>
        <v>0</v>
      </c>
      <c r="F217" s="1182"/>
      <c r="G217" s="1185"/>
      <c r="H217" s="1184" t="str">
        <f>'Прайс лист'!B1742</f>
        <v>Монтаж металлочерепицы</v>
      </c>
      <c r="I217" s="1178" t="s">
        <v>133</v>
      </c>
      <c r="J217" s="1178">
        <f>(G196+L196+Q196)*G184*F213</f>
        <v>0</v>
      </c>
      <c r="K217" s="1178">
        <f>'Прайс лист'!G1742</f>
        <v>300</v>
      </c>
      <c r="L217" s="1178">
        <f t="shared" si="54"/>
        <v>0</v>
      </c>
    </row>
    <row r="218" spans="1:12" ht="14.25" customHeight="1">
      <c r="A218" s="1178" t="str">
        <f>'Ввод данных'!A406</f>
        <v>Плитный,28кг/м3, технониколь, 200мм</v>
      </c>
      <c r="B218" s="1179" t="s">
        <v>135</v>
      </c>
      <c r="C218" s="1180">
        <f>(G208+L208+Q208)*G183</f>
        <v>0</v>
      </c>
      <c r="D218" s="1178">
        <f>VLOOKUP(A218,'Прайс лист'!B744:G782,6,0)</f>
        <v>1700</v>
      </c>
      <c r="E218" s="1178">
        <f t="shared" si="53"/>
        <v>0</v>
      </c>
      <c r="F218" s="1182"/>
      <c r="G218" s="1185"/>
      <c r="H218" s="1184" t="str">
        <f>'Прайс лист'!B1744</f>
        <v>карнизная планка</v>
      </c>
      <c r="I218" s="1178" t="s">
        <v>133</v>
      </c>
      <c r="J218" s="1186">
        <f>(G202+L202+Q202)*G184*(F213+F215)</f>
        <v>0</v>
      </c>
      <c r="K218" s="1178">
        <f>'Прайс лист'!G1744</f>
        <v>100</v>
      </c>
      <c r="L218" s="1178">
        <f t="shared" si="54"/>
        <v>0</v>
      </c>
    </row>
    <row r="219" spans="1:12" ht="14.25" customHeight="1">
      <c r="A219" s="1178" t="s">
        <v>2724</v>
      </c>
      <c r="B219" s="1179" t="s">
        <v>133</v>
      </c>
      <c r="C219" s="1180">
        <f>(G196*1.2+L196*1.2+Q196*1.5)*G183*F213</f>
        <v>0</v>
      </c>
      <c r="D219" s="1178">
        <f>'Прайс лист'!G1131</f>
        <v>250</v>
      </c>
      <c r="E219" s="1178">
        <f t="shared" si="53"/>
        <v>0</v>
      </c>
      <c r="F219" s="1182"/>
      <c r="G219" s="1185"/>
      <c r="H219" s="1184" t="str">
        <f>'Прайс лист'!B1745</f>
        <v>торцевая планка</v>
      </c>
      <c r="I219" s="1178" t="s">
        <v>133</v>
      </c>
      <c r="J219" s="1186">
        <f>(G207+L207+Q207)*G184*(F213+F215)</f>
        <v>0</v>
      </c>
      <c r="K219" s="1178">
        <f>'Прайс лист'!G1745</f>
        <v>100</v>
      </c>
      <c r="L219" s="1178">
        <f t="shared" si="54"/>
        <v>0</v>
      </c>
    </row>
    <row r="220" spans="1:12" ht="14.25" customHeight="1">
      <c r="A220" s="1178" t="str">
        <f>'Прайс лист'!B1132</f>
        <v>Карнизная планка</v>
      </c>
      <c r="B220" s="1179" t="s">
        <v>156</v>
      </c>
      <c r="C220" s="1180">
        <f>(G202+L202+Q202)*G183*(F213+F215)</f>
        <v>0</v>
      </c>
      <c r="D220" s="1178">
        <f>'Прайс лист'!G1132</f>
        <v>200</v>
      </c>
      <c r="E220" s="1178">
        <f t="shared" si="53"/>
        <v>0</v>
      </c>
      <c r="F220" s="1182"/>
      <c r="G220" s="1185"/>
      <c r="H220" s="1184" t="str">
        <f>'Прайс лист'!B1747</f>
        <v>желоб водосточный</v>
      </c>
      <c r="I220" s="1178" t="s">
        <v>156</v>
      </c>
      <c r="J220" s="1186">
        <f>C245*G184</f>
        <v>0</v>
      </c>
      <c r="K220" s="1178">
        <f>'Прайс лист'!G1747</f>
        <v>300</v>
      </c>
      <c r="L220" s="1178">
        <f t="shared" si="54"/>
        <v>0</v>
      </c>
    </row>
    <row r="221" spans="1:12" ht="14.25" customHeight="1">
      <c r="A221" s="1178" t="str">
        <f>'Прайс лист'!B1133</f>
        <v>Торцевая планка</v>
      </c>
      <c r="B221" s="1179" t="s">
        <v>156</v>
      </c>
      <c r="C221" s="1180">
        <f>(G207+L207+Q207)*G183*(F213+F215)</f>
        <v>0</v>
      </c>
      <c r="D221" s="1178">
        <f>'Прайс лист'!G1133</f>
        <v>200</v>
      </c>
      <c r="E221" s="1178">
        <f t="shared" si="53"/>
        <v>0</v>
      </c>
      <c r="F221" s="1182"/>
      <c r="G221" s="1185"/>
      <c r="H221" s="1184" t="str">
        <f>'Прайс лист'!B1748</f>
        <v>труба водосточная</v>
      </c>
      <c r="I221" s="1178" t="s">
        <v>156</v>
      </c>
      <c r="J221" s="1186">
        <f>C247*G184</f>
        <v>0</v>
      </c>
      <c r="K221" s="1178">
        <f>'Прайс лист'!G1748</f>
        <v>300</v>
      </c>
      <c r="L221" s="1178">
        <f t="shared" si="54"/>
        <v>0</v>
      </c>
    </row>
    <row r="222" spans="1:12" ht="14.25" customHeight="1">
      <c r="A222" s="1178" t="str">
        <f>'Прайс лист'!B1134</f>
        <v>Конек</v>
      </c>
      <c r="B222" s="1179" t="s">
        <v>156</v>
      </c>
      <c r="C222" s="1180">
        <f>R201*F213*1.1</f>
        <v>0</v>
      </c>
      <c r="D222" s="1178">
        <f>'Прайс лист'!G1134</f>
        <v>230</v>
      </c>
      <c r="E222" s="1178">
        <f t="shared" si="53"/>
        <v>0</v>
      </c>
      <c r="F222" s="1182"/>
      <c r="G222" s="1185"/>
      <c r="H222" s="1184" t="str">
        <f>'Прайс лист'!B1749</f>
        <v>ендова внутр/наружн</v>
      </c>
      <c r="I222" s="1187" t="s">
        <v>156</v>
      </c>
      <c r="J222" s="1186">
        <f>(G205+L205+Q205)*G184</f>
        <v>0</v>
      </c>
      <c r="K222" s="1178">
        <f>'Прайс лист'!G1749</f>
        <v>300</v>
      </c>
      <c r="L222" s="1178">
        <f t="shared" si="54"/>
        <v>0</v>
      </c>
    </row>
    <row r="223" spans="1:12" ht="14.25" customHeight="1">
      <c r="A223" s="1178" t="str">
        <f>'Прайс лист'!B1135</f>
        <v>Ендова нижняя</v>
      </c>
      <c r="B223" s="1179" t="s">
        <v>1415</v>
      </c>
      <c r="C223" s="1180">
        <f>(G205+L205+Q205)*G183*F213</f>
        <v>0</v>
      </c>
      <c r="D223" s="1178">
        <f>'Прайс лист'!G1135</f>
        <v>160</v>
      </c>
      <c r="E223" s="1178">
        <f t="shared" si="53"/>
        <v>0</v>
      </c>
      <c r="F223" s="1182"/>
      <c r="G223" s="1185"/>
      <c r="H223" s="1184" t="str">
        <f>'Прайс лист'!B1743</f>
        <v>Монтаж ондулина</v>
      </c>
      <c r="I223" s="1178" t="s">
        <v>133</v>
      </c>
      <c r="J223" s="1186">
        <f>(G196+L196+Q196)*G184*F214</f>
        <v>0</v>
      </c>
      <c r="K223" s="1178">
        <f>'Прайс лист'!G1743</f>
        <v>300</v>
      </c>
      <c r="L223" s="1178">
        <f t="shared" si="54"/>
        <v>0</v>
      </c>
    </row>
    <row r="224" spans="1:12" ht="14.25" customHeight="1">
      <c r="A224" s="1178" t="s">
        <v>1063</v>
      </c>
      <c r="B224" s="1179" t="s">
        <v>156</v>
      </c>
      <c r="C224" s="1180">
        <f>C223</f>
        <v>0</v>
      </c>
      <c r="D224" s="1178">
        <f>D223</f>
        <v>160</v>
      </c>
      <c r="E224" s="1178">
        <f t="shared" si="53"/>
        <v>0</v>
      </c>
      <c r="F224" s="1182"/>
      <c r="G224" s="1185"/>
      <c r="H224" s="1184"/>
      <c r="I224" s="1178"/>
      <c r="J224" s="1186"/>
      <c r="K224" s="1178"/>
      <c r="L224" s="1178"/>
    </row>
    <row r="225" spans="1:12" ht="14.25" customHeight="1">
      <c r="A225" s="1178" t="str">
        <f>'Прайс лист'!B1137</f>
        <v>Планка примыкания</v>
      </c>
      <c r="B225" s="1179" t="s">
        <v>156</v>
      </c>
      <c r="C225" s="1180">
        <f>C223*F213</f>
        <v>0</v>
      </c>
      <c r="D225" s="1178">
        <f>'Прайс лист'!G1137</f>
        <v>190</v>
      </c>
      <c r="E225" s="1178">
        <f t="shared" si="53"/>
        <v>0</v>
      </c>
      <c r="F225" s="1182"/>
      <c r="G225" s="1185"/>
      <c r="H225" s="1184" t="str">
        <f>'Прайс лист'!B1751</f>
        <v>Монтаж фанеры/osb</v>
      </c>
      <c r="I225" s="1178" t="s">
        <v>133</v>
      </c>
      <c r="J225" s="1186">
        <f>(G196+L196+Q196)*G184*IF(A234='Прайс лист'!B1027,0,1)</f>
        <v>0</v>
      </c>
      <c r="K225" s="1178">
        <f>'Прайс лист'!G1751</f>
        <v>200</v>
      </c>
      <c r="L225" s="1178">
        <f>J225*K225</f>
        <v>0</v>
      </c>
    </row>
    <row r="226" spans="1:12" ht="14.25" customHeight="1">
      <c r="A226" s="1178" t="s">
        <v>2725</v>
      </c>
      <c r="B226" s="1179" t="s">
        <v>133</v>
      </c>
      <c r="C226" s="1180">
        <f>(G196+L196+Q196)*1.2*G183*F214</f>
        <v>0</v>
      </c>
      <c r="D226" s="1178">
        <f>'Прайс лист'!G1143</f>
        <v>180</v>
      </c>
      <c r="E226" s="1178">
        <f t="shared" si="53"/>
        <v>0</v>
      </c>
      <c r="F226" s="1182"/>
      <c r="G226" s="1185"/>
      <c r="H226" s="1184" t="str">
        <f>'Прайс лист'!B1752</f>
        <v>монтаж подкладочного ковра</v>
      </c>
      <c r="I226" s="1178" t="s">
        <v>133</v>
      </c>
      <c r="J226" s="1186">
        <f>(G196+L196+Q196)*G184*F215</f>
        <v>0</v>
      </c>
      <c r="K226" s="1178">
        <f>'Прайс лист'!G1752</f>
        <v>150</v>
      </c>
      <c r="L226" s="1178">
        <f>J226*K226</f>
        <v>0</v>
      </c>
    </row>
    <row r="227" spans="1:12" ht="14.25" customHeight="1">
      <c r="A227" s="1178" t="str">
        <f>'Прайс лист'!B1144</f>
        <v>Карнизная планка</v>
      </c>
      <c r="B227" s="1179" t="str">
        <f>'Прайс лист'!C1144</f>
        <v>м.п.</v>
      </c>
      <c r="C227" s="1180">
        <f>(G202+L202+Q202)*G183*F214</f>
        <v>0</v>
      </c>
      <c r="D227" s="1178">
        <f>'Прайс лист'!G1144</f>
        <v>190</v>
      </c>
      <c r="E227" s="1178">
        <f t="shared" si="53"/>
        <v>0</v>
      </c>
      <c r="F227" s="1182"/>
      <c r="G227" s="1185"/>
      <c r="H227" s="1184" t="str">
        <f>'Прайс лист'!B1753</f>
        <v>Монтаж мягкой кровли</v>
      </c>
      <c r="I227" s="1178" t="s">
        <v>133</v>
      </c>
      <c r="J227" s="1186">
        <f>(G196+L196+Q196)*G184*F215</f>
        <v>0</v>
      </c>
      <c r="K227" s="1178">
        <f>'Прайс лист'!G1753</f>
        <v>350</v>
      </c>
      <c r="L227" s="1178">
        <f>J227*K227</f>
        <v>0</v>
      </c>
    </row>
    <row r="228" spans="1:12" ht="14.25" customHeight="1">
      <c r="A228" s="1178" t="str">
        <f>'Прайс лист'!B1145</f>
        <v>Торцевая планка</v>
      </c>
      <c r="B228" s="1179" t="str">
        <f>'Прайс лист'!C1145</f>
        <v>м.п.</v>
      </c>
      <c r="C228" s="1180">
        <f>(G207+L207+Q207)*G183*F214</f>
        <v>0</v>
      </c>
      <c r="D228" s="1178">
        <f>'Прайс лист'!G1145</f>
        <v>190</v>
      </c>
      <c r="E228" s="1178">
        <f t="shared" si="53"/>
        <v>0</v>
      </c>
      <c r="F228" s="1182"/>
      <c r="G228" s="1185"/>
      <c r="H228" s="1184"/>
      <c r="I228" s="1178"/>
      <c r="J228" s="1186"/>
      <c r="K228" s="1178"/>
      <c r="L228" s="1178">
        <f>J228*K228</f>
        <v>0</v>
      </c>
    </row>
    <row r="229" spans="1:12" ht="14.25" customHeight="1">
      <c r="A229" s="1178" t="str">
        <f>'Прайс лист'!B1146</f>
        <v>Конек</v>
      </c>
      <c r="B229" s="1179" t="str">
        <f>'Прайс лист'!C1146</f>
        <v>м.п.</v>
      </c>
      <c r="C229" s="1042">
        <f>R201*F214*1.1</f>
        <v>0</v>
      </c>
      <c r="D229" s="1178">
        <f>'Прайс лист'!G1146</f>
        <v>200</v>
      </c>
      <c r="E229" s="1178">
        <f t="shared" si="53"/>
        <v>0</v>
      </c>
      <c r="F229" s="1182"/>
      <c r="G229" s="1185"/>
      <c r="H229" s="1184"/>
      <c r="I229" s="1178"/>
      <c r="J229" s="1186"/>
      <c r="K229" s="1178"/>
      <c r="L229" s="1178"/>
    </row>
    <row r="230" spans="1:12" ht="14.25" customHeight="1">
      <c r="A230" s="1178" t="str">
        <f>'Прайс лист'!B1147</f>
        <v>Ендова нижняя</v>
      </c>
      <c r="B230" s="1179" t="str">
        <f>'Прайс лист'!C1147</f>
        <v>м.п.</v>
      </c>
      <c r="C230" s="1042">
        <f>(G205+L205+Q205)*G183*F214*1.1</f>
        <v>0</v>
      </c>
      <c r="D230" s="1178">
        <f>'Прайс лист'!G1147</f>
        <v>160</v>
      </c>
      <c r="E230" s="1178">
        <f t="shared" si="53"/>
        <v>0</v>
      </c>
      <c r="F230" s="1182"/>
      <c r="G230" s="1185"/>
      <c r="H230" s="1042"/>
      <c r="I230" s="1042"/>
      <c r="J230" s="1042"/>
      <c r="K230" s="1042"/>
      <c r="L230" s="1178"/>
    </row>
    <row r="231" spans="1:12" ht="14.25" customHeight="1">
      <c r="A231" s="1178" t="str">
        <f>'Прайс лист'!B1148</f>
        <v>Ендова верхняя</v>
      </c>
      <c r="B231" s="1179" t="str">
        <f>'Прайс лист'!C1148</f>
        <v>м.п.</v>
      </c>
      <c r="C231" s="1042">
        <f>C230</f>
        <v>0</v>
      </c>
      <c r="D231" s="1178">
        <f>'Прайс лист'!G1148</f>
        <v>190</v>
      </c>
      <c r="E231" s="1178">
        <f t="shared" si="53"/>
        <v>0</v>
      </c>
      <c r="F231" s="1182"/>
      <c r="G231" s="1185"/>
      <c r="H231" s="1042"/>
      <c r="I231" s="1042"/>
      <c r="J231" s="1042"/>
      <c r="K231" s="1042"/>
      <c r="L231" s="1178"/>
    </row>
    <row r="232" spans="1:12" ht="14.25" customHeight="1">
      <c r="A232" s="1178" t="str">
        <f>'Прайс лист'!B1149</f>
        <v>Планка примыкания</v>
      </c>
      <c r="B232" s="1179" t="str">
        <f>'Прайс лист'!C1149</f>
        <v>м.п.</v>
      </c>
      <c r="C232" s="1180">
        <f>C230</f>
        <v>0</v>
      </c>
      <c r="D232" s="1178">
        <f>'Прайс лист'!G1149</f>
        <v>190</v>
      </c>
      <c r="E232" s="1178">
        <f t="shared" si="53"/>
        <v>0</v>
      </c>
      <c r="F232" s="1182"/>
      <c r="G232" s="1185"/>
      <c r="H232" s="1042"/>
      <c r="I232" s="1042"/>
      <c r="J232" s="1042"/>
      <c r="K232" s="1042"/>
      <c r="L232" s="1178"/>
    </row>
    <row r="233" spans="1:12" ht="14.25" customHeight="1">
      <c r="A233" s="1178" t="str">
        <f>'Прайс лист'!B1150</f>
        <v>Крепеж для ондулина</v>
      </c>
      <c r="B233" s="1179" t="str">
        <f>'Прайс лист'!C1150</f>
        <v>шт</v>
      </c>
      <c r="C233" s="1042">
        <f>(G196+L196+Q196)*15*G183*F214</f>
        <v>0</v>
      </c>
      <c r="D233" s="1178">
        <f>'Прайс лист'!G1150</f>
        <v>4.5</v>
      </c>
      <c r="E233" s="1178">
        <f t="shared" si="53"/>
        <v>0</v>
      </c>
      <c r="F233" s="1182"/>
      <c r="G233" s="1185"/>
      <c r="H233" s="1188"/>
      <c r="I233" s="1187"/>
      <c r="J233" s="1186"/>
      <c r="K233" s="1178"/>
      <c r="L233" s="1178"/>
    </row>
    <row r="234" spans="1:12" ht="14.25" customHeight="1">
      <c r="A234" s="1178" t="str">
        <f>'Ввод данных'!A404</f>
        <v>нет</v>
      </c>
      <c r="B234" s="1179" t="s">
        <v>133</v>
      </c>
      <c r="C234" s="1058">
        <f>(G196+L196+Q196)*1.1</f>
        <v>0</v>
      </c>
      <c r="D234" s="1178">
        <f>VLOOKUP(A234,'Прайс лист'!B1027:G1078,6,0)</f>
        <v>0</v>
      </c>
      <c r="E234" s="1178">
        <f t="shared" si="53"/>
        <v>0</v>
      </c>
      <c r="F234" s="1182"/>
      <c r="G234" s="1185"/>
      <c r="H234" s="1188"/>
      <c r="I234" s="1187"/>
      <c r="J234" s="1186"/>
      <c r="K234" s="1178"/>
      <c r="L234" s="1178"/>
    </row>
    <row r="235" spans="1:12" ht="14.25" customHeight="1">
      <c r="A235" s="1178" t="str">
        <f>'Прайс лист'!B1155</f>
        <v>Рядовая черепица</v>
      </c>
      <c r="B235" s="1179" t="str">
        <f>'Прайс лист'!C1155</f>
        <v>м2</v>
      </c>
      <c r="C235" s="1042">
        <f>(G196+L196+Q196)*1.2*G183*F215-(G202+L202+Q202)*G183*F215*0.2</f>
        <v>0</v>
      </c>
      <c r="D235" s="1178">
        <f>'Прайс лист'!G1155</f>
        <v>360</v>
      </c>
      <c r="E235" s="1178">
        <f t="shared" si="53"/>
        <v>0</v>
      </c>
      <c r="F235" s="1182"/>
      <c r="G235" s="1185"/>
      <c r="H235" s="1188"/>
      <c r="I235" s="1187"/>
      <c r="J235" s="1186"/>
      <c r="K235" s="1178"/>
      <c r="L235" s="1178"/>
    </row>
    <row r="236" spans="1:12" ht="14.25" customHeight="1">
      <c r="A236" s="1178" t="str">
        <f>'Прайс лист'!B1156</f>
        <v>Металл оцинк защита (карниз)</v>
      </c>
      <c r="B236" s="1179" t="str">
        <f>'Прайс лист'!C1156</f>
        <v>м.п.</v>
      </c>
      <c r="C236" s="1042">
        <f>(G202+L202+Q202)*G183*F215</f>
        <v>0</v>
      </c>
      <c r="D236" s="1178">
        <f>'Прайс лист'!G1156</f>
        <v>200</v>
      </c>
      <c r="E236" s="1178">
        <f t="shared" si="53"/>
        <v>0</v>
      </c>
      <c r="F236" s="1182"/>
      <c r="G236" s="1185"/>
      <c r="H236" s="1188"/>
      <c r="I236" s="1187"/>
      <c r="J236" s="1186"/>
      <c r="K236" s="1178"/>
      <c r="L236" s="1178"/>
    </row>
    <row r="237" spans="1:12" ht="14.25" customHeight="1">
      <c r="A237" s="1178" t="str">
        <f>'Прайс лист'!B1157</f>
        <v>Подкладочный ковер</v>
      </c>
      <c r="B237" s="1179" t="str">
        <f>'Прайс лист'!C1157</f>
        <v>м.п.</v>
      </c>
      <c r="C237" s="1042">
        <f>(G196+L196+Q196)*1.2*G183*F215</f>
        <v>0</v>
      </c>
      <c r="D237" s="1178">
        <f>'Прайс лист'!G1157</f>
        <v>220</v>
      </c>
      <c r="E237" s="1178">
        <f t="shared" si="53"/>
        <v>0</v>
      </c>
      <c r="F237" s="1182"/>
      <c r="G237" s="1185"/>
      <c r="H237" s="1188"/>
      <c r="I237" s="1187"/>
      <c r="J237" s="1186"/>
      <c r="K237" s="1178"/>
      <c r="L237" s="1178"/>
    </row>
    <row r="238" spans="1:12" ht="14.25" customHeight="1">
      <c r="A238" s="1178" t="str">
        <f>'Прайс лист'!B1158</f>
        <v>Карнизная самоклеющаяся черепица</v>
      </c>
      <c r="B238" s="1179" t="str">
        <f>'Прайс лист'!C1158</f>
        <v>м.п.</v>
      </c>
      <c r="C238" s="1042">
        <f>(G202+L202+Q202)*G183*F215*0.2</f>
        <v>0</v>
      </c>
      <c r="D238" s="1178">
        <f>'Прайс лист'!G1158</f>
        <v>220</v>
      </c>
      <c r="E238" s="1178">
        <f t="shared" si="53"/>
        <v>0</v>
      </c>
      <c r="F238" s="1182"/>
      <c r="G238" s="1185"/>
      <c r="H238" s="1188"/>
      <c r="I238" s="1187"/>
      <c r="J238" s="1186"/>
      <c r="K238" s="1178"/>
      <c r="L238" s="1178"/>
    </row>
    <row r="239" spans="1:12" ht="14.25" customHeight="1">
      <c r="A239" s="1178" t="str">
        <f>'Прайс лист'!B1159</f>
        <v>Спец ковер ендова нижняя</v>
      </c>
      <c r="B239" s="1179" t="str">
        <f>'Прайс лист'!C1159</f>
        <v>м.п.</v>
      </c>
      <c r="C239" s="1042">
        <f>(G205+L205+Q205)*G183*F215*1.1</f>
        <v>0</v>
      </c>
      <c r="D239" s="1178">
        <f>'Прайс лист'!G1159</f>
        <v>200</v>
      </c>
      <c r="E239" s="1178">
        <f t="shared" si="53"/>
        <v>0</v>
      </c>
      <c r="F239" s="1182"/>
      <c r="G239" s="1185"/>
      <c r="H239" s="1188"/>
      <c r="I239" s="1187"/>
      <c r="J239" s="1186"/>
      <c r="K239" s="1178"/>
      <c r="L239" s="1178"/>
    </row>
    <row r="240" spans="1:12" ht="14.25" customHeight="1">
      <c r="A240" s="1178" t="str">
        <f>'Прайс лист'!B1160</f>
        <v>Коньковой элемент</v>
      </c>
      <c r="B240" s="1179" t="str">
        <f>'Прайс лист'!C1160</f>
        <v>м.п.</v>
      </c>
      <c r="C240" s="1042">
        <f>R201*F215*1.1</f>
        <v>0</v>
      </c>
      <c r="D240" s="1178">
        <f>'Прайс лист'!G1160</f>
        <v>250</v>
      </c>
      <c r="E240" s="1178">
        <f t="shared" si="53"/>
        <v>0</v>
      </c>
      <c r="F240" s="1182"/>
      <c r="G240" s="1185"/>
      <c r="H240" s="1188"/>
      <c r="I240" s="1187"/>
      <c r="J240" s="1186"/>
      <c r="K240" s="1178"/>
      <c r="L240" s="1178"/>
    </row>
    <row r="241" spans="1:12" ht="14.25" customHeight="1">
      <c r="A241" s="1178" t="str">
        <f>'Прайс лист'!B1161</f>
        <v>Планка премыкания</v>
      </c>
      <c r="B241" s="1179" t="str">
        <f>'Прайс лист'!C1161</f>
        <v>м.п.</v>
      </c>
      <c r="C241" s="1042">
        <f>(G205+L205+Q205)*G183*F215*1.1</f>
        <v>0</v>
      </c>
      <c r="D241" s="1178">
        <f>'Прайс лист'!G1161</f>
        <v>200</v>
      </c>
      <c r="E241" s="1178">
        <f t="shared" si="53"/>
        <v>0</v>
      </c>
      <c r="F241" s="1182"/>
      <c r="G241" s="1185"/>
      <c r="H241" s="1188"/>
      <c r="I241" s="1187"/>
      <c r="J241" s="1186"/>
      <c r="K241" s="1178"/>
      <c r="L241" s="1178"/>
    </row>
    <row r="242" spans="1:12" ht="14.25" customHeight="1">
      <c r="A242" s="1178" t="str">
        <f>'Прайс лист'!B1162</f>
        <v>Гвозди для крепления подкладочного ковра</v>
      </c>
      <c r="B242" s="1179" t="str">
        <f>'Прайс лист'!C1162</f>
        <v>шт</v>
      </c>
      <c r="C242" s="1042">
        <f>C237*12</f>
        <v>0</v>
      </c>
      <c r="D242" s="1178">
        <f>'Прайс лист'!G1162</f>
        <v>1.2E-2</v>
      </c>
      <c r="E242" s="1178">
        <f t="shared" ref="E242:E273" si="55">C242*D242</f>
        <v>0</v>
      </c>
      <c r="F242" s="1182"/>
      <c r="G242" s="1185"/>
      <c r="H242" s="1188"/>
      <c r="I242" s="1187"/>
      <c r="J242" s="1186"/>
      <c r="K242" s="1178"/>
      <c r="L242" s="1178"/>
    </row>
    <row r="243" spans="1:12" ht="14.25" customHeight="1">
      <c r="A243" s="1178" t="str">
        <f>'Прайс лист'!B1163</f>
        <v>Гвозди для крепления черепицы</v>
      </c>
      <c r="B243" s="1179" t="str">
        <f>'Прайс лист'!C1163</f>
        <v>шт</v>
      </c>
      <c r="C243" s="1042">
        <f>(G196+L196+Q196)*22*G183*F215</f>
        <v>0</v>
      </c>
      <c r="D243" s="1178">
        <f>'Прайс лист'!G1163</f>
        <v>0.25</v>
      </c>
      <c r="E243" s="1178">
        <f t="shared" si="55"/>
        <v>0</v>
      </c>
      <c r="F243" s="1182"/>
      <c r="G243" s="1185"/>
      <c r="H243" s="1188"/>
      <c r="I243" s="1187"/>
      <c r="J243" s="1186"/>
      <c r="K243" s="1178"/>
      <c r="L243" s="1178"/>
    </row>
    <row r="244" spans="1:12" ht="14.25" customHeight="1">
      <c r="A244" s="1178" t="str">
        <f>'Прайс лист'!B1164</f>
        <v>Клей для монтажа черепицы</v>
      </c>
      <c r="B244" s="1179" t="str">
        <f>'Прайс лист'!C1164</f>
        <v>кг</v>
      </c>
      <c r="C244" s="1042">
        <f>(G196+L196+Q196)*1.2*G183*F215</f>
        <v>0</v>
      </c>
      <c r="D244" s="1178">
        <f>'Прайс лист'!G1164</f>
        <v>250</v>
      </c>
      <c r="E244" s="1178">
        <f t="shared" si="55"/>
        <v>0</v>
      </c>
      <c r="F244" s="1182"/>
      <c r="G244" s="1185"/>
      <c r="H244" s="1188"/>
      <c r="I244" s="1187"/>
      <c r="J244" s="1186"/>
      <c r="K244" s="1178"/>
      <c r="L244" s="1178"/>
    </row>
    <row r="245" spans="1:12" ht="14.25" customHeight="1">
      <c r="A245" s="1178" t="str">
        <f>'Прайс лист'!B1169</f>
        <v>желоб</v>
      </c>
      <c r="B245" s="1179" t="s">
        <v>1415</v>
      </c>
      <c r="C245" s="1180">
        <f>(G76+L76)*G183</f>
        <v>0</v>
      </c>
      <c r="D245" s="1178">
        <f>'Прайс лист'!G1169</f>
        <v>300</v>
      </c>
      <c r="E245" s="1178">
        <f t="shared" si="55"/>
        <v>0</v>
      </c>
      <c r="F245" s="1182"/>
      <c r="G245" s="1185"/>
      <c r="H245" s="1189"/>
      <c r="I245" s="1178"/>
      <c r="J245" s="1186"/>
      <c r="K245" s="1178"/>
      <c r="L245" s="1178"/>
    </row>
    <row r="246" spans="1:12" ht="14.25" customHeight="1">
      <c r="A246" s="1178" t="str">
        <f>'Прайс лист'!B1170</f>
        <v>отвод</v>
      </c>
      <c r="B246" s="1179" t="s">
        <v>159</v>
      </c>
      <c r="C246" s="1180">
        <f>(2*C32+2*D32+2*E32+2*F32+2*H32+2*I32+2*J32+2*K32)*D2</f>
        <v>0</v>
      </c>
      <c r="D246" s="1178">
        <f>'Прайс лист'!G1170</f>
        <v>250</v>
      </c>
      <c r="E246" s="1178">
        <f t="shared" si="55"/>
        <v>0</v>
      </c>
      <c r="F246" s="1182"/>
      <c r="G246" s="1185"/>
      <c r="H246" s="1189"/>
      <c r="I246" s="1178"/>
      <c r="J246" s="1186"/>
      <c r="K246" s="1178"/>
      <c r="L246" s="1178"/>
    </row>
    <row r="247" spans="1:12" ht="14.25" customHeight="1">
      <c r="A247" s="1178" t="str">
        <f>'Прайс лист'!B1171</f>
        <v>труба водосточная</v>
      </c>
      <c r="B247" s="1179" t="s">
        <v>156</v>
      </c>
      <c r="C247" s="1180">
        <f>(G203+L203)*G183</f>
        <v>0</v>
      </c>
      <c r="D247" s="1178">
        <f>'Прайс лист'!G1171</f>
        <v>300</v>
      </c>
      <c r="E247" s="1178">
        <f t="shared" si="55"/>
        <v>0</v>
      </c>
      <c r="F247" s="1182"/>
      <c r="G247" s="1185"/>
      <c r="H247" s="1189"/>
      <c r="I247" s="1178"/>
      <c r="J247" s="1186"/>
      <c r="K247" s="1178"/>
      <c r="L247" s="1178"/>
    </row>
    <row r="248" spans="1:12" ht="14.25" customHeight="1">
      <c r="A248" s="1178" t="str">
        <f>'Прайс лист'!B1172</f>
        <v>заглушка для желоба</v>
      </c>
      <c r="B248" s="1179" t="s">
        <v>159</v>
      </c>
      <c r="C248" s="1180">
        <f>C246</f>
        <v>0</v>
      </c>
      <c r="D248" s="1178">
        <f>'Прайс лист'!G1172</f>
        <v>190</v>
      </c>
      <c r="E248" s="1178">
        <f t="shared" si="55"/>
        <v>0</v>
      </c>
      <c r="F248" s="1182"/>
      <c r="G248" s="1185"/>
      <c r="H248" s="1189"/>
      <c r="I248" s="1186"/>
      <c r="J248" s="1186"/>
      <c r="K248" s="1178"/>
      <c r="L248" s="1178"/>
    </row>
    <row r="249" spans="1:12" ht="14.25" customHeight="1">
      <c r="A249" s="1178" t="str">
        <f>'Прайс лист'!B1173</f>
        <v>соеденитель для желоба</v>
      </c>
      <c r="B249" s="1179" t="s">
        <v>159</v>
      </c>
      <c r="C249" s="1180">
        <f>(G76/3+1+L76/3+1)*G183</f>
        <v>2</v>
      </c>
      <c r="D249" s="1178">
        <f>'Прайс лист'!G1173</f>
        <v>180</v>
      </c>
      <c r="E249" s="1178">
        <f t="shared" si="55"/>
        <v>360</v>
      </c>
      <c r="F249" s="1182"/>
      <c r="G249" s="1185"/>
      <c r="H249" s="1189"/>
      <c r="I249" s="1187"/>
      <c r="J249" s="1187"/>
      <c r="K249" s="1178"/>
      <c r="L249" s="1178"/>
    </row>
    <row r="250" spans="1:12" ht="14.25" customHeight="1">
      <c r="A250" s="1178" t="str">
        <f>'Прайс лист'!B1174</f>
        <v>кронштейн для желоба</v>
      </c>
      <c r="B250" s="1179" t="s">
        <v>159</v>
      </c>
      <c r="C250" s="1180">
        <f>(G76+L76)/0.3*G183</f>
        <v>0</v>
      </c>
      <c r="D250" s="1178">
        <f>'Прайс лист'!G1174</f>
        <v>130</v>
      </c>
      <c r="E250" s="1178">
        <f t="shared" si="55"/>
        <v>0</v>
      </c>
      <c r="F250" s="1182"/>
      <c r="G250" s="1185"/>
      <c r="H250" s="1189"/>
      <c r="I250" s="1187"/>
      <c r="J250" s="1187"/>
      <c r="K250" s="1178"/>
      <c r="L250" s="1178"/>
    </row>
    <row r="251" spans="1:12" ht="14.25" customHeight="1">
      <c r="A251" s="1178" t="str">
        <f>'Прайс лист'!B1175</f>
        <v>переход из желоба в трубу</v>
      </c>
      <c r="B251" s="1179" t="s">
        <v>159</v>
      </c>
      <c r="C251" s="1180">
        <f>C246</f>
        <v>0</v>
      </c>
      <c r="D251" s="1178">
        <f>'Прайс лист'!G1175</f>
        <v>350</v>
      </c>
      <c r="E251" s="1178">
        <f t="shared" si="55"/>
        <v>0</v>
      </c>
      <c r="F251" s="1182"/>
      <c r="G251" s="1185"/>
      <c r="H251" s="1189"/>
      <c r="I251" s="1187"/>
      <c r="J251" s="1187"/>
      <c r="K251" s="1178"/>
      <c r="L251" s="1178"/>
    </row>
    <row r="252" spans="1:12" ht="14.25" customHeight="1">
      <c r="A252" s="1178" t="str">
        <f>'Прайс лист'!B1176</f>
        <v>лента дельта мульти бэнд</v>
      </c>
      <c r="B252" s="1179" t="s">
        <v>159</v>
      </c>
      <c r="C252" s="1180">
        <f>(G196+L196)/17*G183</f>
        <v>0</v>
      </c>
      <c r="D252" s="1178">
        <f>'Прайс лист'!G1176</f>
        <v>1200</v>
      </c>
      <c r="E252" s="1178">
        <f t="shared" si="55"/>
        <v>0</v>
      </c>
      <c r="F252" s="1182"/>
      <c r="G252" s="1185"/>
      <c r="H252" s="1189"/>
      <c r="I252" s="1187"/>
      <c r="J252" s="1187"/>
      <c r="K252" s="1178"/>
      <c r="L252" s="1178"/>
    </row>
    <row r="253" spans="1:12" ht="14.25" customHeight="1">
      <c r="A253" s="1178" t="str">
        <f>'Прайс лист'!B1177</f>
        <v>лента дельта sb-60</v>
      </c>
      <c r="B253" s="1179" t="s">
        <v>159</v>
      </c>
      <c r="C253" s="1180">
        <f>(G196+L196)/25*G183</f>
        <v>0</v>
      </c>
      <c r="D253" s="1178">
        <f>'Прайс лист'!G1177</f>
        <v>1100</v>
      </c>
      <c r="E253" s="1178">
        <f t="shared" si="55"/>
        <v>0</v>
      </c>
      <c r="F253" s="1182"/>
      <c r="G253" s="1185"/>
      <c r="H253" s="1189"/>
      <c r="I253" s="1187"/>
      <c r="J253" s="1187"/>
      <c r="K253" s="1178"/>
      <c r="L253" s="1178"/>
    </row>
    <row r="254" spans="1:12" ht="14.25" customHeight="1">
      <c r="A254" s="1178" t="str">
        <f>'Прайс лист'!B1138</f>
        <v>Кровельный саморез</v>
      </c>
      <c r="B254" s="1179" t="s">
        <v>159</v>
      </c>
      <c r="C254" s="1180">
        <f>(G196+L196)*15*G183*F213</f>
        <v>0</v>
      </c>
      <c r="D254" s="1178">
        <f>'Прайс лист'!G1138</f>
        <v>2</v>
      </c>
      <c r="E254" s="1178">
        <f t="shared" si="55"/>
        <v>0</v>
      </c>
      <c r="F254" s="1182"/>
      <c r="G254" s="1185"/>
      <c r="H254" s="1189"/>
      <c r="I254" s="1187"/>
      <c r="J254" s="1187"/>
      <c r="K254" s="1178"/>
      <c r="L254" s="1178"/>
    </row>
    <row r="255" spans="1:12" ht="14.25" customHeight="1">
      <c r="A255" s="1178" t="str">
        <f>'Прайс лист'!B897</f>
        <v xml:space="preserve">Гвозди ершоные 3,4 x 60            </v>
      </c>
      <c r="B255" s="1179" t="s">
        <v>188</v>
      </c>
      <c r="C255" s="1180">
        <f>(G196+L196)/7*G183</f>
        <v>0</v>
      </c>
      <c r="D255" s="1178">
        <f>'Прайс лист'!G897</f>
        <v>75.510000000000005</v>
      </c>
      <c r="E255" s="1178">
        <f t="shared" si="55"/>
        <v>0</v>
      </c>
      <c r="F255" s="1182"/>
      <c r="G255" s="1185"/>
      <c r="H255" s="1189"/>
      <c r="I255" s="1187"/>
      <c r="J255" s="1187"/>
      <c r="K255" s="1178"/>
      <c r="L255" s="1178"/>
    </row>
    <row r="256" spans="1:12" ht="14.25" customHeight="1">
      <c r="A256" s="1178" t="str">
        <f>'Прайс лист'!B898</f>
        <v xml:space="preserve">Гвозди ершоные 2,8 х 90            </v>
      </c>
      <c r="B256" s="1179" t="s">
        <v>188</v>
      </c>
      <c r="C256" s="1180">
        <f>(C212+C213+C215)*6*G183</f>
        <v>0</v>
      </c>
      <c r="D256" s="1178">
        <f>'Прайс лист'!G898</f>
        <v>76.489999999999995</v>
      </c>
      <c r="E256" s="1178">
        <f t="shared" si="55"/>
        <v>0</v>
      </c>
      <c r="F256" s="1182"/>
      <c r="G256" s="1185"/>
      <c r="H256" s="1189"/>
      <c r="I256" s="1187"/>
      <c r="J256" s="1187"/>
      <c r="K256" s="1178"/>
      <c r="L256" s="1178"/>
    </row>
    <row r="257" spans="1:13" ht="14.25" customHeight="1">
      <c r="A257" s="1178" t="str">
        <f>'Прайс лист'!B838</f>
        <v xml:space="preserve">Уголок усиленный 90х70х55х2,5        </v>
      </c>
      <c r="B257" s="1179" t="s">
        <v>159</v>
      </c>
      <c r="C257" s="1180">
        <f>(C76/C81*C32+D76/D81*D32+E76/E81*E32+F76/F81*F32+H32*H76/H81+I32*I76/I81+J32*J76/J81+K32*K76/K81)*2.2*G183</f>
        <v>0</v>
      </c>
      <c r="D257" s="1178">
        <f>'Прайс лист'!G838</f>
        <v>30</v>
      </c>
      <c r="E257" s="1178">
        <f t="shared" si="55"/>
        <v>0</v>
      </c>
      <c r="F257" s="1182"/>
      <c r="G257" s="1185"/>
      <c r="H257" s="1189"/>
      <c r="I257" s="1187"/>
      <c r="J257" s="1187"/>
      <c r="K257" s="1178"/>
      <c r="L257" s="1178"/>
    </row>
    <row r="258" spans="1:13" ht="14.25" customHeight="1">
      <c r="A258" s="1178" t="str">
        <f>'Ввод данных'!A412</f>
        <v>Нет техники</v>
      </c>
      <c r="B258" s="1179" t="str">
        <f>'Ввод данных'!B412</f>
        <v>ед.</v>
      </c>
      <c r="C258" s="1178">
        <f>'Ввод данных'!C412</f>
        <v>2</v>
      </c>
      <c r="D258" s="1178">
        <f>VLOOKUP(A258,'Прайс лист'!B180:G194,6,0)</f>
        <v>0</v>
      </c>
      <c r="E258" s="1178">
        <f t="shared" si="55"/>
        <v>0</v>
      </c>
      <c r="F258" s="1182"/>
      <c r="G258" s="1185"/>
      <c r="H258" s="1189"/>
      <c r="I258" s="1187"/>
      <c r="J258" s="1187"/>
      <c r="K258" s="1178"/>
      <c r="L258" s="1178"/>
    </row>
    <row r="259" spans="1:13" ht="14.25" customHeight="1">
      <c r="A259" s="1178" t="str">
        <f>'Ввод данных'!A413</f>
        <v>Нет техники</v>
      </c>
      <c r="B259" s="1179" t="str">
        <f>'Ввод данных'!B413</f>
        <v>ед.</v>
      </c>
      <c r="C259" s="1178">
        <f>'Ввод данных'!C413</f>
        <v>0</v>
      </c>
      <c r="D259" s="1178">
        <f>VLOOKUP(A259,'Прайс лист'!B180:G194,6,0)</f>
        <v>0</v>
      </c>
      <c r="E259" s="1178">
        <f t="shared" si="55"/>
        <v>0</v>
      </c>
      <c r="F259" s="1182"/>
      <c r="G259" s="1185"/>
      <c r="H259" s="1189"/>
      <c r="I259" s="1187"/>
      <c r="J259" s="1187"/>
      <c r="K259" s="1178"/>
      <c r="L259" s="1178"/>
    </row>
    <row r="260" spans="1:13" ht="14.25" customHeight="1">
      <c r="A260" s="1178" t="str">
        <f>'Ввод данных'!A415</f>
        <v>расходные материалы пристройки</v>
      </c>
      <c r="B260" s="1179" t="str">
        <f>'Ввод данных'!B415</f>
        <v>рублей</v>
      </c>
      <c r="C260" s="1180">
        <f>1</f>
        <v>1</v>
      </c>
      <c r="D260" s="1178">
        <f>'Ввод данных'!C415</f>
        <v>10000</v>
      </c>
      <c r="E260" s="1178">
        <f t="shared" si="55"/>
        <v>10000</v>
      </c>
      <c r="F260" s="1182"/>
      <c r="G260" s="1185"/>
      <c r="H260" s="1189"/>
      <c r="I260" s="1187"/>
      <c r="J260" s="1187"/>
      <c r="K260" s="1178"/>
      <c r="L260" s="1178"/>
    </row>
    <row r="261" spans="1:13" ht="14.25" customHeight="1">
      <c r="A261" s="1185"/>
      <c r="B261" s="1190"/>
      <c r="C261" s="1185"/>
      <c r="D261" s="1185"/>
      <c r="E261" s="1178">
        <f>SUM(E212:E260)</f>
        <v>10360</v>
      </c>
      <c r="F261" s="1182"/>
      <c r="G261" s="1185"/>
      <c r="H261" s="1185"/>
      <c r="I261" s="1191"/>
      <c r="J261" s="1191"/>
      <c r="K261" s="1191"/>
      <c r="L261" s="1178">
        <f>SUM(L211:L260)</f>
        <v>0</v>
      </c>
    </row>
    <row r="262" spans="1:13" ht="14.25" customHeight="1">
      <c r="A262" s="1178" t="s">
        <v>2726</v>
      </c>
      <c r="B262" s="1192">
        <f>E261</f>
        <v>10360</v>
      </c>
      <c r="C262" s="1185"/>
      <c r="D262" s="1185"/>
      <c r="E262" s="1185"/>
      <c r="F262" s="1185"/>
      <c r="G262" s="1185"/>
      <c r="H262" s="1193"/>
      <c r="I262" s="1193"/>
      <c r="J262" s="1193"/>
      <c r="K262" s="1193"/>
      <c r="L262" s="1176"/>
      <c r="M262" s="1193"/>
    </row>
    <row r="263" spans="1:13" ht="14.25" customHeight="1">
      <c r="A263" s="1178" t="s">
        <v>2727</v>
      </c>
      <c r="B263" s="1192">
        <f>L261</f>
        <v>0</v>
      </c>
      <c r="C263" s="1185"/>
      <c r="D263" s="1185"/>
      <c r="E263" s="1185"/>
      <c r="F263" s="1185"/>
      <c r="G263" s="1185"/>
      <c r="H263" s="1185"/>
      <c r="I263" s="1191"/>
      <c r="J263" s="1191"/>
      <c r="K263" s="1191"/>
      <c r="L263" s="1185"/>
      <c r="M263" s="1191"/>
    </row>
    <row r="264" spans="1:13" ht="14.25" customHeight="1">
      <c r="A264" s="1178" t="s">
        <v>2728</v>
      </c>
      <c r="B264" s="1192">
        <f>SUM(B262:B263)</f>
        <v>10360</v>
      </c>
      <c r="C264" s="1185"/>
      <c r="D264" s="1185"/>
      <c r="E264" s="1185"/>
      <c r="F264" s="1185"/>
      <c r="G264" s="1185"/>
      <c r="H264" s="1185"/>
      <c r="I264" s="1191"/>
      <c r="J264" s="1191"/>
      <c r="K264" s="1191"/>
      <c r="L264" s="1185"/>
      <c r="M264" s="1191"/>
    </row>
    <row r="265" spans="1:13" ht="14.25" customHeight="1">
      <c r="G265" s="1194"/>
      <c r="H265" s="1194"/>
      <c r="I265" s="1195"/>
      <c r="J265" s="1195"/>
      <c r="K265" s="1195"/>
      <c r="L265" s="1196"/>
      <c r="M265" s="1195"/>
    </row>
    <row r="270" spans="1:13" ht="14.25" customHeight="1">
      <c r="A270" t="s">
        <v>1801</v>
      </c>
      <c r="B270" s="916">
        <v>1</v>
      </c>
    </row>
    <row r="271" spans="1:13" ht="14.25" customHeight="1">
      <c r="A271" t="s">
        <v>1800</v>
      </c>
      <c r="B271" s="916">
        <v>2</v>
      </c>
    </row>
    <row r="272" spans="1:13" ht="14.25" customHeight="1">
      <c r="A272" t="s">
        <v>2729</v>
      </c>
      <c r="B272" s="916">
        <v>1</v>
      </c>
    </row>
    <row r="273" spans="1:2" ht="14.25" customHeight="1">
      <c r="A273" t="s">
        <v>2730</v>
      </c>
      <c r="B273" s="916">
        <f>SQRT(B270*B270+B271/2*B271/2)</f>
        <v>1.4142135623730951</v>
      </c>
    </row>
    <row r="274" spans="1:2" ht="14.25" customHeight="1">
      <c r="A274" t="s">
        <v>2731</v>
      </c>
      <c r="B274" s="916">
        <f>B273*B272</f>
        <v>1.4142135623730951</v>
      </c>
    </row>
    <row r="275" spans="1:2" ht="14.25" customHeight="1">
      <c r="A275" t="s">
        <v>2732</v>
      </c>
    </row>
    <row r="276" spans="1:2" ht="14.25" customHeight="1">
      <c r="A276" t="s">
        <v>2733</v>
      </c>
      <c r="B276" s="916">
        <f>SQRT(B270*B270+B272*B272)</f>
        <v>1.4142135623730951</v>
      </c>
    </row>
  </sheetData>
  <mergeCells count="24">
    <mergeCell ref="A183:E184"/>
    <mergeCell ref="AH54:AI54"/>
    <mergeCell ref="A181:A182"/>
    <mergeCell ref="B181:G182"/>
    <mergeCell ref="H181:L182"/>
    <mergeCell ref="M181:Q182"/>
    <mergeCell ref="AH34:AI34"/>
    <mergeCell ref="AH38:AL38"/>
    <mergeCell ref="AH40:AI42"/>
    <mergeCell ref="AH50:AI51"/>
    <mergeCell ref="AH52:AI52"/>
    <mergeCell ref="AH9:AI10"/>
    <mergeCell ref="AH11:AI31"/>
    <mergeCell ref="C20:F20"/>
    <mergeCell ref="H20:K20"/>
    <mergeCell ref="M20:P20"/>
    <mergeCell ref="C24:F24"/>
    <mergeCell ref="H24:K24"/>
    <mergeCell ref="M24:P24"/>
    <mergeCell ref="AH3:AI3"/>
    <mergeCell ref="AH5:AI8"/>
    <mergeCell ref="C8:F8"/>
    <mergeCell ref="H8:K8"/>
    <mergeCell ref="M8:P8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J2381"/>
  <sheetViews>
    <sheetView topLeftCell="A1684" zoomScale="60" zoomScaleNormal="60" workbookViewId="0">
      <pane xSplit="1" topLeftCell="G1" activePane="topRight" state="frozen"/>
      <selection activeCell="A1684" sqref="A1684"/>
      <selection pane="topRight" activeCell="E1691" sqref="E1691"/>
    </sheetView>
  </sheetViews>
  <sheetFormatPr baseColWidth="10" defaultColWidth="9.1640625" defaultRowHeight="15" outlineLevelRow="1"/>
  <cols>
    <col min="1" max="1" width="56.1640625" style="1197" customWidth="1"/>
    <col min="2" max="2" width="9" style="1198" customWidth="1"/>
    <col min="3" max="3" width="10" style="1198" customWidth="1"/>
    <col min="4" max="4" width="8.5" style="1197" customWidth="1"/>
    <col min="5" max="5" width="11.6640625" style="1197" customWidth="1"/>
    <col min="6" max="6" width="7.5" style="1197" customWidth="1"/>
    <col min="7" max="7" width="32.6640625" style="1197" customWidth="1"/>
    <col min="8" max="8" width="15.1640625" style="1197" customWidth="1"/>
    <col min="9" max="9" width="11.33203125" style="1199" customWidth="1"/>
    <col min="10" max="10" width="10" style="1197" customWidth="1"/>
    <col min="11" max="11" width="11.5" style="1197" customWidth="1"/>
    <col min="12" max="14" width="9.33203125" style="1197" customWidth="1"/>
    <col min="15" max="15" width="9.83203125" style="1197" customWidth="1"/>
    <col min="16" max="16" width="10.6640625" style="1197" customWidth="1"/>
    <col min="17" max="17" width="12.5" style="1197" customWidth="1"/>
    <col min="18" max="18" width="9.6640625" style="1197" customWidth="1"/>
    <col min="19" max="19" width="11.6640625" style="1197" customWidth="1"/>
    <col min="20" max="20" width="8.33203125" style="1197" customWidth="1"/>
    <col min="21" max="21" width="10" style="1197" customWidth="1"/>
    <col min="22" max="22" width="9.1640625" style="1197"/>
    <col min="23" max="24" width="8.1640625" style="1197" customWidth="1"/>
    <col min="25" max="29" width="9.1640625" style="1197"/>
    <col min="30" max="30" width="13.33203125" style="1197" customWidth="1"/>
    <col min="31" max="32" width="9.1640625" style="1197"/>
    <col min="33" max="33" width="10.5" style="1197" customWidth="1"/>
    <col min="34" max="37" width="9.1640625" style="1197"/>
    <col min="38" max="38" width="17.5" style="1197" customWidth="1"/>
    <col min="39" max="43" width="9.1640625" style="1197"/>
    <col min="44" max="44" width="11" style="1197" customWidth="1"/>
    <col min="45" max="46" width="9.1640625" style="1197"/>
    <col min="47" max="47" width="12" style="1197" customWidth="1"/>
    <col min="48" max="1024" width="9.1640625" style="1197"/>
  </cols>
  <sheetData>
    <row r="1" spans="1:40" ht="15.75" customHeight="1">
      <c r="A1" s="1200" t="s">
        <v>2734</v>
      </c>
      <c r="B1" s="1201">
        <v>0</v>
      </c>
      <c r="C1" s="1202"/>
      <c r="D1" s="1203"/>
      <c r="E1" s="1204"/>
      <c r="I1" s="1205"/>
      <c r="J1" s="1206"/>
      <c r="K1" s="1206"/>
      <c r="L1" s="1206"/>
      <c r="M1" s="1206"/>
      <c r="N1" s="1206"/>
      <c r="O1" s="1206"/>
      <c r="P1" s="1206"/>
      <c r="Q1" s="1206"/>
      <c r="R1" s="1206"/>
      <c r="S1" s="1206"/>
      <c r="T1" s="1206"/>
      <c r="U1" s="1206"/>
      <c r="V1" s="1206"/>
      <c r="W1" s="1206"/>
      <c r="X1" s="1206"/>
      <c r="Y1" s="1206"/>
      <c r="Z1" s="1207"/>
      <c r="AD1" s="1207"/>
      <c r="AE1" s="3147" t="s">
        <v>2735</v>
      </c>
      <c r="AF1" s="3147"/>
      <c r="AG1" s="3147"/>
      <c r="AH1" s="3147"/>
      <c r="AI1" s="3148" t="s">
        <v>2546</v>
      </c>
      <c r="AJ1" s="3148" t="s">
        <v>2543</v>
      </c>
      <c r="AL1" s="1209" t="s">
        <v>2736</v>
      </c>
      <c r="AM1" s="1209"/>
      <c r="AN1" s="1207"/>
    </row>
    <row r="2" spans="1:40" ht="15.75" customHeight="1">
      <c r="A2" s="1200" t="s">
        <v>2734</v>
      </c>
      <c r="B2" s="1201">
        <v>1</v>
      </c>
      <c r="C2" s="1202">
        <f>VLOOKUP('Ввод данных'!A3,связи1!F2:G3,2,0)</f>
        <v>1</v>
      </c>
      <c r="D2" s="1203"/>
      <c r="E2" s="1204"/>
      <c r="I2" s="1210"/>
      <c r="J2" s="1211"/>
      <c r="K2" s="1211"/>
      <c r="L2" s="1212"/>
      <c r="M2" s="1213" t="s">
        <v>2735</v>
      </c>
      <c r="N2" s="1214"/>
      <c r="O2" s="1214"/>
      <c r="P2" s="1215"/>
      <c r="Q2" s="1216" t="s">
        <v>2546</v>
      </c>
      <c r="R2" s="1216" t="s">
        <v>2543</v>
      </c>
      <c r="S2" s="1211"/>
      <c r="T2" s="1213" t="s">
        <v>2735</v>
      </c>
      <c r="U2" s="1214"/>
      <c r="V2" s="1214"/>
      <c r="W2" s="1215"/>
      <c r="X2" s="1216" t="s">
        <v>2546</v>
      </c>
      <c r="Y2" s="1216" t="s">
        <v>2543</v>
      </c>
      <c r="Z2" s="1207"/>
      <c r="AD2" s="1207"/>
      <c r="AE2" s="3147"/>
      <c r="AF2" s="3147"/>
      <c r="AG2" s="3147"/>
      <c r="AH2" s="3147"/>
      <c r="AI2" s="3148"/>
      <c r="AJ2" s="3148"/>
      <c r="AL2" s="1217" t="s">
        <v>2737</v>
      </c>
      <c r="AM2" s="1209">
        <v>1</v>
      </c>
      <c r="AN2" s="1207"/>
    </row>
    <row r="3" spans="1:40" ht="15.75" customHeight="1">
      <c r="A3" s="1218" t="s">
        <v>2738</v>
      </c>
      <c r="B3" s="1219" t="s">
        <v>156</v>
      </c>
      <c r="C3" s="1220">
        <f>'Ввод данных'!BD18</f>
        <v>0</v>
      </c>
      <c r="F3" s="355"/>
      <c r="G3" s="1221"/>
      <c r="H3" s="1221"/>
      <c r="I3" s="1222"/>
      <c r="J3" s="1221"/>
      <c r="K3" s="1221"/>
      <c r="L3" s="1223"/>
      <c r="M3" s="1224"/>
      <c r="N3" s="1225"/>
      <c r="O3" s="1225"/>
      <c r="P3" s="1226"/>
      <c r="Q3" s="1227"/>
      <c r="R3" s="1227"/>
      <c r="S3" s="1221"/>
      <c r="T3" s="1224"/>
      <c r="U3" s="1225"/>
      <c r="V3" s="1225"/>
      <c r="W3" s="1226"/>
      <c r="X3" s="1227"/>
      <c r="Y3" s="1227"/>
      <c r="Z3" s="1207"/>
      <c r="AD3" s="1207"/>
      <c r="AE3" s="3149" t="s">
        <v>2739</v>
      </c>
      <c r="AF3" s="3149"/>
      <c r="AG3" s="3149"/>
      <c r="AH3" s="1228" t="s">
        <v>156</v>
      </c>
      <c r="AI3" s="1229">
        <f>'Ввод данных'!C12</f>
        <v>10</v>
      </c>
      <c r="AJ3" s="1230">
        <f>AI3</f>
        <v>10</v>
      </c>
      <c r="AL3" s="1217" t="s">
        <v>2740</v>
      </c>
      <c r="AM3" s="1209">
        <v>0</v>
      </c>
      <c r="AN3" s="1207"/>
    </row>
    <row r="4" spans="1:40" ht="15.75" customHeight="1">
      <c r="A4" s="1218" t="s">
        <v>2741</v>
      </c>
      <c r="B4" s="1219" t="s">
        <v>156</v>
      </c>
      <c r="C4" s="1220">
        <f>'Ввод данных'!BD32</f>
        <v>0.2</v>
      </c>
      <c r="F4" s="355" t="s">
        <v>2742</v>
      </c>
      <c r="G4" s="456">
        <f>(C3+C9)*('Ввод данных'!C11+'Ввод данных'!C12)*2+(SQRT(дома!D16/2*дома!D16/2+(C11-C10)*(C11-C10)))*4</f>
        <v>210.92247805103105</v>
      </c>
      <c r="H4" s="456"/>
      <c r="I4" s="502"/>
      <c r="J4" s="456">
        <f>'Ввод данных'!BC18</f>
        <v>1</v>
      </c>
      <c r="K4" s="456">
        <f>'Ввод данных'!BD18</f>
        <v>0</v>
      </c>
      <c r="L4" s="1223"/>
      <c r="M4" s="416" t="s">
        <v>2743</v>
      </c>
      <c r="N4" s="1231"/>
      <c r="O4" s="1232"/>
      <c r="P4" s="261" t="s">
        <v>156</v>
      </c>
      <c r="Q4" s="1229">
        <f>дома!C1132</f>
        <v>10</v>
      </c>
      <c r="R4" s="1230">
        <f>Q4</f>
        <v>10</v>
      </c>
      <c r="S4" s="456"/>
      <c r="T4" s="547" t="s">
        <v>2739</v>
      </c>
      <c r="U4" s="1233"/>
      <c r="V4" s="784"/>
      <c r="W4" s="699" t="s">
        <v>156</v>
      </c>
      <c r="X4" s="1229">
        <f>дома!F1132</f>
        <v>10</v>
      </c>
      <c r="Y4" s="1230">
        <f>X4</f>
        <v>10</v>
      </c>
      <c r="Z4" s="1207"/>
      <c r="AD4" s="1207"/>
      <c r="AE4" s="3149" t="s">
        <v>2744</v>
      </c>
      <c r="AF4" s="3149"/>
      <c r="AG4" s="3149"/>
      <c r="AH4" s="1228" t="s">
        <v>156</v>
      </c>
      <c r="AI4" s="1229">
        <f>'Ввод данных'!C11</f>
        <v>10</v>
      </c>
      <c r="AJ4" s="1230">
        <f>AI4</f>
        <v>10</v>
      </c>
      <c r="AL4" s="1234"/>
      <c r="AM4" s="1235"/>
      <c r="AN4" s="1207"/>
    </row>
    <row r="5" spans="1:40" ht="15.75" customHeight="1">
      <c r="A5" s="1218" t="s">
        <v>2745</v>
      </c>
      <c r="B5" s="1219" t="s">
        <v>156</v>
      </c>
      <c r="C5" s="1220">
        <f>'Ввод данных'!BD33</f>
        <v>3</v>
      </c>
      <c r="F5" s="1236"/>
      <c r="G5" s="1236"/>
      <c r="H5" s="1236"/>
      <c r="I5" s="1222"/>
      <c r="J5" s="456">
        <f>'Ввод данных'!BC32</f>
        <v>2</v>
      </c>
      <c r="K5" s="456">
        <f>'Ввод данных'!BD32</f>
        <v>0.2</v>
      </c>
      <c r="L5" s="1223"/>
      <c r="M5" s="939" t="s">
        <v>2746</v>
      </c>
      <c r="N5" s="939"/>
      <c r="O5" s="939"/>
      <c r="P5" s="965" t="s">
        <v>156</v>
      </c>
      <c r="Q5" s="1237">
        <f>'Ввод данных'!C11</f>
        <v>10</v>
      </c>
      <c r="R5" s="379">
        <f>Q5</f>
        <v>10</v>
      </c>
      <c r="S5" s="1236"/>
      <c r="T5" s="547" t="s">
        <v>2744</v>
      </c>
      <c r="U5" s="1233"/>
      <c r="V5" s="784"/>
      <c r="W5" s="699" t="s">
        <v>156</v>
      </c>
      <c r="X5" s="1229">
        <f>дома!F1133</f>
        <v>10</v>
      </c>
      <c r="Y5" s="1230">
        <f>X5</f>
        <v>10</v>
      </c>
      <c r="Z5" s="1207"/>
      <c r="AD5" s="1207"/>
      <c r="AE5" s="3128" t="s">
        <v>2705</v>
      </c>
      <c r="AF5" s="3128"/>
      <c r="AG5" s="3128"/>
      <c r="AH5" s="1238" t="s">
        <v>156</v>
      </c>
      <c r="AI5" s="1229">
        <f>дома!J1130</f>
        <v>38</v>
      </c>
      <c r="AJ5" s="1230">
        <f>дома!K1130</f>
        <v>50.98292490664312</v>
      </c>
      <c r="AL5" s="1234" t="s">
        <v>2747</v>
      </c>
      <c r="AM5" s="1235"/>
      <c r="AN5" s="1207"/>
    </row>
    <row r="6" spans="1:40" ht="15.75" customHeight="1">
      <c r="A6" s="1218" t="s">
        <v>2748</v>
      </c>
      <c r="B6" s="1219" t="s">
        <v>156</v>
      </c>
      <c r="C6" s="1220">
        <f>'Ввод данных'!BD38</f>
        <v>3.2</v>
      </c>
      <c r="F6" s="1236"/>
      <c r="G6" s="1236"/>
      <c r="H6" s="1236"/>
      <c r="I6" s="1222"/>
      <c r="J6" s="456">
        <f>'Ввод данных'!BC33</f>
        <v>3</v>
      </c>
      <c r="K6" s="456">
        <f>'Ввод данных'!BD33</f>
        <v>3</v>
      </c>
      <c r="L6" s="1223"/>
      <c r="M6" s="1239" t="s">
        <v>2705</v>
      </c>
      <c r="N6" s="1240"/>
      <c r="O6" s="1241"/>
      <c r="P6" s="1238" t="s">
        <v>156</v>
      </c>
      <c r="Q6" s="1229">
        <f>дома!C1130</f>
        <v>48.284271247461902</v>
      </c>
      <c r="R6" s="379"/>
      <c r="S6" s="1242"/>
      <c r="T6" s="548" t="s">
        <v>2749</v>
      </c>
      <c r="U6" s="746"/>
      <c r="V6" s="786"/>
      <c r="W6" s="725" t="s">
        <v>156</v>
      </c>
      <c r="X6" s="1229">
        <f>дома!F1135</f>
        <v>5</v>
      </c>
      <c r="Y6" s="1230">
        <f>дома!G1135</f>
        <v>3.8</v>
      </c>
      <c r="Z6" s="1207"/>
      <c r="AD6" s="1207"/>
      <c r="AE6" s="3149" t="s">
        <v>1976</v>
      </c>
      <c r="AF6" s="3149"/>
      <c r="AG6" s="3149"/>
      <c r="AH6" s="1244" t="s">
        <v>156</v>
      </c>
      <c r="AI6" s="1229">
        <v>1</v>
      </c>
      <c r="AJ6" s="1230">
        <f>дома!K1122-дома!K1119</f>
        <v>1.08</v>
      </c>
      <c r="AL6" s="1234" t="s">
        <v>1058</v>
      </c>
      <c r="AM6" s="1235">
        <v>1</v>
      </c>
      <c r="AN6" s="1207"/>
    </row>
    <row r="7" spans="1:40" ht="15.75" customHeight="1">
      <c r="A7" s="1245" t="s">
        <v>2750</v>
      </c>
      <c r="B7" s="1244" t="s">
        <v>156</v>
      </c>
      <c r="C7" s="1220">
        <f>'Ввод данных'!BD39</f>
        <v>5.2</v>
      </c>
      <c r="F7" s="1236"/>
      <c r="G7" s="1236"/>
      <c r="H7" s="1236"/>
      <c r="I7" s="1222"/>
      <c r="J7" s="456">
        <f>'Ввод данных'!BC38</f>
        <v>4</v>
      </c>
      <c r="K7" s="456">
        <f>'Ввод данных'!BD38</f>
        <v>3.2</v>
      </c>
      <c r="L7" s="1223"/>
      <c r="M7" s="547" t="s">
        <v>2751</v>
      </c>
      <c r="N7" s="1233"/>
      <c r="O7" s="784"/>
      <c r="P7" s="699" t="s">
        <v>156</v>
      </c>
      <c r="Q7" s="379">
        <f>'Ввод данных'!C16</f>
        <v>2.2000000000000002</v>
      </c>
      <c r="R7" s="379">
        <f>дома!D21</f>
        <v>2</v>
      </c>
      <c r="S7" s="1242"/>
      <c r="T7" s="1239" t="s">
        <v>2705</v>
      </c>
      <c r="U7" s="1240"/>
      <c r="V7" s="1241"/>
      <c r="W7" s="1238" t="s">
        <v>156</v>
      </c>
      <c r="X7" s="1229">
        <f>дома!F1130</f>
        <v>40</v>
      </c>
      <c r="Y7" s="1230">
        <f>дома!G1197</f>
        <v>84</v>
      </c>
      <c r="Z7" s="1207"/>
      <c r="AD7" s="1207"/>
      <c r="AE7" s="3081" t="s">
        <v>2752</v>
      </c>
      <c r="AF7" s="3081"/>
      <c r="AG7" s="3081"/>
      <c r="AH7" s="261" t="s">
        <v>156</v>
      </c>
      <c r="AI7" s="1229">
        <f>дома!J1167</f>
        <v>5.024937810560445</v>
      </c>
      <c r="AJ7" s="1230" t="e">
        <f>дома!#REF!</f>
        <v>#REF!</v>
      </c>
      <c r="AL7" s="1234" t="s">
        <v>1066</v>
      </c>
      <c r="AM7" s="1235">
        <v>1</v>
      </c>
      <c r="AN7" s="1207"/>
    </row>
    <row r="8" spans="1:40" ht="15.75" customHeight="1">
      <c r="A8" s="1218" t="s">
        <v>2753</v>
      </c>
      <c r="B8" s="1219" t="s">
        <v>156</v>
      </c>
      <c r="C8" s="1220">
        <f>'Ввод данных'!BD43</f>
        <v>5.3</v>
      </c>
      <c r="F8" s="1236"/>
      <c r="G8" s="1236"/>
      <c r="H8" s="1236"/>
      <c r="I8" s="1222"/>
      <c r="J8" s="456">
        <f>'Ввод данных'!BC39</f>
        <v>5</v>
      </c>
      <c r="K8" s="456">
        <f>'Ввод данных'!BD39</f>
        <v>5.2</v>
      </c>
      <c r="L8" s="1223"/>
      <c r="M8" s="547" t="s">
        <v>2754</v>
      </c>
      <c r="N8" s="1233"/>
      <c r="O8" s="784"/>
      <c r="P8" s="699" t="s">
        <v>156</v>
      </c>
      <c r="Q8" s="379">
        <f>дома!C24</f>
        <v>0</v>
      </c>
      <c r="R8" s="379">
        <f>дома!D24</f>
        <v>9.9999999999999645E-2</v>
      </c>
      <c r="S8" s="1242"/>
      <c r="T8" s="416" t="s">
        <v>2752</v>
      </c>
      <c r="U8" s="1231"/>
      <c r="V8" s="1232"/>
      <c r="W8" s="261" t="s">
        <v>156</v>
      </c>
      <c r="X8" s="1229">
        <f>дома!F1167</f>
        <v>7.433034373659253</v>
      </c>
      <c r="Y8" s="1230">
        <f>дома!G1167</f>
        <v>5.3371134409659975</v>
      </c>
      <c r="Z8" s="1207"/>
      <c r="AD8" s="1207"/>
      <c r="AE8" s="3081" t="s">
        <v>2755</v>
      </c>
      <c r="AF8" s="3081"/>
      <c r="AG8" s="3081"/>
      <c r="AH8" s="261" t="s">
        <v>156</v>
      </c>
      <c r="AI8" s="1229">
        <f>дома!J1159</f>
        <v>5.3851648071345037</v>
      </c>
      <c r="AJ8" s="1230">
        <f>дома!K1159</f>
        <v>2.6565479147127613</v>
      </c>
      <c r="AL8" s="1234" t="s">
        <v>1068</v>
      </c>
      <c r="AM8" s="1235">
        <v>1</v>
      </c>
      <c r="AN8" s="1207"/>
    </row>
    <row r="9" spans="1:40" ht="15.75" customHeight="1">
      <c r="A9" s="1218" t="s">
        <v>2007</v>
      </c>
      <c r="B9" s="1219" t="s">
        <v>156</v>
      </c>
      <c r="C9" s="1220">
        <f>'Ввод данных'!BD209</f>
        <v>4.7</v>
      </c>
      <c r="F9" s="1246"/>
      <c r="G9" s="1236"/>
      <c r="H9" s="1236"/>
      <c r="I9" s="1222"/>
      <c r="J9" s="456">
        <f>'Ввод данных'!BC43</f>
        <v>6</v>
      </c>
      <c r="K9" s="456">
        <f>'Ввод данных'!BD43</f>
        <v>5.3</v>
      </c>
      <c r="L9" s="1223"/>
      <c r="M9" s="548" t="s">
        <v>2756</v>
      </c>
      <c r="N9" s="746"/>
      <c r="O9" s="786"/>
      <c r="P9" s="725" t="s">
        <v>156</v>
      </c>
      <c r="Q9" s="1229">
        <f>дома!C1135</f>
        <v>5</v>
      </c>
      <c r="R9" s="379">
        <f>дома!D22</f>
        <v>2.5</v>
      </c>
      <c r="S9" s="1242"/>
      <c r="T9" s="416" t="s">
        <v>2755</v>
      </c>
      <c r="U9" s="1231"/>
      <c r="V9" s="1232"/>
      <c r="W9" s="261" t="s">
        <v>156</v>
      </c>
      <c r="X9" s="1229">
        <f>дома!F1159</f>
        <v>5.8309518948453007</v>
      </c>
      <c r="Y9" s="1230">
        <f>дома!G1159</f>
        <v>4.711516702348729</v>
      </c>
      <c r="Z9" s="1207"/>
      <c r="AD9" s="1207"/>
      <c r="AE9" s="3149" t="s">
        <v>2757</v>
      </c>
      <c r="AF9" s="3149"/>
      <c r="AG9" s="3149"/>
      <c r="AH9" s="1228" t="s">
        <v>156</v>
      </c>
      <c r="AI9" s="1229" t="e">
        <f>дома!#REF!</f>
        <v>#REF!</v>
      </c>
      <c r="AJ9" s="1230" t="e">
        <f>дома!#REF!</f>
        <v>#REF!</v>
      </c>
      <c r="AL9" s="1234" t="s">
        <v>2758</v>
      </c>
      <c r="AM9" s="1235">
        <v>1</v>
      </c>
      <c r="AN9" s="1207"/>
    </row>
    <row r="10" spans="1:40" ht="15.75" customHeight="1">
      <c r="A10" s="1218" t="s">
        <v>2759</v>
      </c>
      <c r="B10" s="1219" t="s">
        <v>156</v>
      </c>
      <c r="C10" s="1220">
        <f>'Ввод данных'!BD212</f>
        <v>5</v>
      </c>
      <c r="F10" s="1246"/>
      <c r="G10" s="1236"/>
      <c r="H10" s="1236"/>
      <c r="I10" s="1222"/>
      <c r="J10" s="456"/>
      <c r="K10" s="456"/>
      <c r="L10" s="1223"/>
      <c r="M10" s="547" t="s">
        <v>1931</v>
      </c>
      <c r="N10" s="1233"/>
      <c r="O10" s="784"/>
      <c r="P10" s="699" t="s">
        <v>156</v>
      </c>
      <c r="Q10" s="379">
        <f>дома!C23</f>
        <v>0</v>
      </c>
      <c r="R10" s="379">
        <f>дома!D23</f>
        <v>2.0999999999999996</v>
      </c>
      <c r="S10" s="1242"/>
      <c r="T10" s="547" t="s">
        <v>2757</v>
      </c>
      <c r="U10" s="1233"/>
      <c r="V10" s="784"/>
      <c r="W10" s="699" t="s">
        <v>156</v>
      </c>
      <c r="X10" s="1229">
        <f>дома!F1170</f>
        <v>8.5875002007282504</v>
      </c>
      <c r="Y10" s="1230">
        <f>дома!G1170</f>
        <v>5.1212918531440721</v>
      </c>
      <c r="Z10" s="1207"/>
      <c r="AD10" s="1207"/>
      <c r="AE10" s="3149" t="s">
        <v>2760</v>
      </c>
      <c r="AF10" s="3149"/>
      <c r="AG10" s="3149"/>
      <c r="AH10" s="1244" t="s">
        <v>156</v>
      </c>
      <c r="AI10" s="1230">
        <f>'Ввод данных'!C289</f>
        <v>0.1</v>
      </c>
      <c r="AJ10" s="1230" t="e">
        <f>дома!#REF!</f>
        <v>#REF!</v>
      </c>
      <c r="AL10" s="1234"/>
      <c r="AM10" s="1235"/>
      <c r="AN10" s="1207"/>
    </row>
    <row r="11" spans="1:40" ht="15.75" customHeight="1">
      <c r="A11" s="1245" t="s">
        <v>1945</v>
      </c>
      <c r="B11" s="1247" t="s">
        <v>156</v>
      </c>
      <c r="C11" s="1247">
        <f>'Ввод данных'!BD213</f>
        <v>7.8</v>
      </c>
      <c r="F11" s="1246"/>
      <c r="G11" s="1236"/>
      <c r="H11" s="1236"/>
      <c r="I11" s="1222"/>
      <c r="J11" s="456"/>
      <c r="K11" s="456"/>
      <c r="L11" s="1223"/>
      <c r="M11" s="416" t="s">
        <v>2600</v>
      </c>
      <c r="N11" s="1231"/>
      <c r="O11" s="1232"/>
      <c r="P11" s="261" t="s">
        <v>156</v>
      </c>
      <c r="Q11" s="1229">
        <f>дома!C1140</f>
        <v>7.0710678118654755</v>
      </c>
      <c r="R11" s="379">
        <f>дома!D1167-дома!D1125</f>
        <v>2.8876368317868901</v>
      </c>
      <c r="S11" s="1242"/>
      <c r="T11" s="548" t="s">
        <v>2761</v>
      </c>
      <c r="U11" s="746"/>
      <c r="V11" s="786"/>
      <c r="W11" s="725" t="s">
        <v>156</v>
      </c>
      <c r="X11" s="1230">
        <f>'Ввод данных'!C248</f>
        <v>5</v>
      </c>
      <c r="Y11" s="1230">
        <f>дома!G1164</f>
        <v>4.6917864219698329</v>
      </c>
      <c r="Z11" s="1207"/>
      <c r="AD11" s="1207"/>
      <c r="AE11" s="3149" t="s">
        <v>2762</v>
      </c>
      <c r="AF11" s="3149"/>
      <c r="AG11" s="3149"/>
      <c r="AH11" s="1244" t="s">
        <v>156</v>
      </c>
      <c r="AI11" s="1230">
        <f>'Ввод данных'!C286</f>
        <v>6</v>
      </c>
      <c r="AJ11" s="1230" t="e">
        <f>дома!#REF!</f>
        <v>#REF!</v>
      </c>
      <c r="AL11" s="1234" t="s">
        <v>1820</v>
      </c>
      <c r="AM11" s="1235"/>
      <c r="AN11" s="1207"/>
    </row>
    <row r="12" spans="1:40" ht="15.75" customHeight="1">
      <c r="A12" s="1248" t="s">
        <v>2763</v>
      </c>
      <c r="B12" s="1249"/>
      <c r="C12" s="1249">
        <f>'Ввод данных'!BD214</f>
        <v>8.1</v>
      </c>
      <c r="F12" s="1250"/>
      <c r="G12" s="1236"/>
      <c r="H12" s="1236"/>
      <c r="I12" s="1251" t="s">
        <v>2764</v>
      </c>
      <c r="J12" s="1252">
        <v>1</v>
      </c>
      <c r="K12" s="456"/>
      <c r="L12" s="1223"/>
      <c r="M12" s="548" t="s">
        <v>2765</v>
      </c>
      <c r="N12" s="746"/>
      <c r="O12" s="786"/>
      <c r="P12" s="725" t="s">
        <v>156</v>
      </c>
      <c r="Q12" s="1229">
        <f>дома!C1167</f>
        <v>7.7287508811346406</v>
      </c>
      <c r="R12" s="379">
        <f>дома!D1167</f>
        <v>3.5806696714157433</v>
      </c>
      <c r="S12" s="1242"/>
      <c r="T12" s="416" t="s">
        <v>2766</v>
      </c>
      <c r="U12" s="1231"/>
      <c r="V12" s="1232"/>
      <c r="W12" s="261" t="s">
        <v>133</v>
      </c>
      <c r="X12" s="1229">
        <f>дома!F1179</f>
        <v>21</v>
      </c>
      <c r="Y12" s="1230">
        <f>X12</f>
        <v>21</v>
      </c>
      <c r="Z12" s="1207"/>
      <c r="AD12" s="1207"/>
      <c r="AE12" s="3081" t="s">
        <v>2766</v>
      </c>
      <c r="AF12" s="3081"/>
      <c r="AG12" s="3081"/>
      <c r="AH12" s="261" t="s">
        <v>133</v>
      </c>
      <c r="AI12" s="1229">
        <f>дома!J1179</f>
        <v>30.04987562112089</v>
      </c>
      <c r="AJ12" s="379">
        <f>AI12</f>
        <v>30.04987562112089</v>
      </c>
      <c r="AL12" s="1234" t="s">
        <v>1821</v>
      </c>
      <c r="AM12" s="1235">
        <v>1</v>
      </c>
      <c r="AN12" s="1207"/>
    </row>
    <row r="13" spans="1:40" ht="15.75" customHeight="1">
      <c r="A13" s="1218" t="s">
        <v>2767</v>
      </c>
      <c r="B13" s="1219" t="s">
        <v>1937</v>
      </c>
      <c r="C13" s="1253">
        <v>25</v>
      </c>
      <c r="F13" s="1236"/>
      <c r="G13" s="1236"/>
      <c r="H13" s="1236"/>
      <c r="I13" s="1222"/>
      <c r="J13" s="456"/>
      <c r="K13" s="456"/>
      <c r="L13" s="1223"/>
      <c r="M13" s="548" t="s">
        <v>2768</v>
      </c>
      <c r="N13" s="746"/>
      <c r="O13" s="786"/>
      <c r="P13" s="725" t="s">
        <v>156</v>
      </c>
      <c r="Q13" s="1229">
        <f>дома!C1164</f>
        <v>11.600000000000001</v>
      </c>
      <c r="R13" s="379">
        <f>дома!D1164</f>
        <v>11.600000000000001</v>
      </c>
      <c r="S13" s="1242"/>
      <c r="T13" s="416" t="s">
        <v>2769</v>
      </c>
      <c r="U13" s="1231"/>
      <c r="V13" s="1232"/>
      <c r="W13" s="699" t="s">
        <v>133</v>
      </c>
      <c r="X13" s="1229">
        <f>дома!F1181</f>
        <v>191.47449627052521</v>
      </c>
      <c r="Y13" s="1230" t="e">
        <f>дома!#REF!</f>
        <v>#REF!</v>
      </c>
      <c r="Z13" s="1207"/>
      <c r="AD13" s="1207"/>
      <c r="AE13" s="3081" t="s">
        <v>2769</v>
      </c>
      <c r="AF13" s="3081"/>
      <c r="AG13" s="3081"/>
      <c r="AH13" s="1228" t="s">
        <v>133</v>
      </c>
      <c r="AI13" s="1229">
        <f>дома!J1181</f>
        <v>237.83525422226938</v>
      </c>
      <c r="AJ13" s="379" t="e">
        <f>дома!#REF!</f>
        <v>#REF!</v>
      </c>
      <c r="AL13" s="1254" t="s">
        <v>1798</v>
      </c>
      <c r="AM13" s="1255">
        <v>0</v>
      </c>
      <c r="AN13" s="1207"/>
    </row>
    <row r="14" spans="1:40" ht="15.75" customHeight="1">
      <c r="A14" s="1256" t="s">
        <v>1093</v>
      </c>
      <c r="B14" s="1257" t="s">
        <v>120</v>
      </c>
      <c r="C14" s="1257" t="s">
        <v>1753</v>
      </c>
      <c r="D14" s="1036" t="s">
        <v>2770</v>
      </c>
      <c r="F14" s="1197" t="s">
        <v>2771</v>
      </c>
      <c r="G14" s="1258" t="s">
        <v>2772</v>
      </c>
      <c r="H14" s="1258"/>
      <c r="L14" s="1207"/>
      <c r="M14" s="416" t="s">
        <v>2773</v>
      </c>
      <c r="N14" s="1231"/>
      <c r="O14" s="1232"/>
      <c r="P14" s="261" t="s">
        <v>133</v>
      </c>
      <c r="Q14" s="1229">
        <f>дома!C1177</f>
        <v>141.42135623730951</v>
      </c>
      <c r="R14" s="1230">
        <f>дома!D1177</f>
        <v>57.752736635737804</v>
      </c>
      <c r="T14" s="416" t="s">
        <v>2774</v>
      </c>
      <c r="U14" s="1231"/>
      <c r="V14" s="1232"/>
      <c r="W14" s="261" t="s">
        <v>133</v>
      </c>
      <c r="X14" s="1229">
        <f>дома!F1183</f>
        <v>287.21174440578784</v>
      </c>
      <c r="Y14" s="1230">
        <f>дома!G1183</f>
        <v>170.40311830579842</v>
      </c>
      <c r="Z14" s="971" t="s">
        <v>2775</v>
      </c>
      <c r="AA14" s="1246" t="s">
        <v>2776</v>
      </c>
      <c r="AB14" s="1259" t="s">
        <v>2777</v>
      </c>
      <c r="AC14" s="1246" t="s">
        <v>2778</v>
      </c>
      <c r="AD14" s="1260"/>
      <c r="AE14" s="3081" t="s">
        <v>2774</v>
      </c>
      <c r="AF14" s="3081"/>
      <c r="AG14" s="3081"/>
      <c r="AH14" s="261" t="s">
        <v>133</v>
      </c>
      <c r="AI14" s="1229">
        <f>дома!J1183</f>
        <v>332.9693559111771</v>
      </c>
      <c r="AJ14" s="1230" t="e">
        <f>дома!#REF!*1.4</f>
        <v>#REF!</v>
      </c>
      <c r="AN14" s="1207"/>
    </row>
    <row r="15" spans="1:40" ht="15.75" customHeight="1">
      <c r="A15" s="555" t="s">
        <v>2779</v>
      </c>
      <c r="B15" s="1247"/>
      <c r="C15" s="1261">
        <f>IF('Ввод данных'!A6=связи1!A94,связи1!B94,0)+IF('Ввод данных'!A6=связи1!A95,связи1!B95,0)+IF('Ввод данных'!A6=связи1!A96,связи1!B96,0)+IF('Ввод данных'!A6=связи1!A98,связи1!B98,0)+IF('Ввод данных'!A6=связи1!A97,связи1!B97,0)</f>
        <v>1</v>
      </c>
      <c r="D15" s="1246" t="e">
        <f>'Ввод данных'!#REF!</f>
        <v>#REF!</v>
      </c>
      <c r="F15" s="1055">
        <f>C15</f>
        <v>1</v>
      </c>
      <c r="G15" s="1055"/>
      <c r="H15" s="1262"/>
      <c r="L15" s="1207"/>
      <c r="M15" s="416" t="s">
        <v>2766</v>
      </c>
      <c r="N15" s="1231"/>
      <c r="O15" s="1232"/>
      <c r="P15" s="261" t="s">
        <v>133</v>
      </c>
      <c r="Q15" s="1229">
        <f>дома!C1179</f>
        <v>37.885664205014152</v>
      </c>
      <c r="R15" s="1230">
        <f>дома!D1179</f>
        <v>25.318799741107444</v>
      </c>
      <c r="S15" s="1207"/>
      <c r="T15" s="1207"/>
      <c r="U15" s="1207"/>
      <c r="V15" s="1207"/>
      <c r="W15" s="1207"/>
      <c r="X15" s="1207"/>
      <c r="Y15" s="1263"/>
      <c r="Z15" s="971">
        <f>C16</f>
        <v>10</v>
      </c>
      <c r="AA15" s="971">
        <f>C16</f>
        <v>10</v>
      </c>
      <c r="AB15" s="971">
        <f>C16</f>
        <v>10</v>
      </c>
      <c r="AC15" s="971">
        <f>C16</f>
        <v>10</v>
      </c>
      <c r="AD15" s="1207"/>
      <c r="AE15" s="3081" t="s">
        <v>2780</v>
      </c>
      <c r="AF15" s="3081"/>
      <c r="AG15" s="3081"/>
      <c r="AH15" s="261" t="s">
        <v>133</v>
      </c>
      <c r="AI15" s="1229" t="e">
        <f>дома!#REF!</f>
        <v>#REF!</v>
      </c>
      <c r="AJ15" s="1230">
        <f>дома!K1185</f>
        <v>35.123547252358492</v>
      </c>
      <c r="AM15" s="1207"/>
      <c r="AN15" s="1207"/>
    </row>
    <row r="16" spans="1:40" ht="15.75" customHeight="1">
      <c r="A16" s="1246" t="s">
        <v>2746</v>
      </c>
      <c r="B16" s="1247" t="s">
        <v>156</v>
      </c>
      <c r="C16" s="1261">
        <f>'Ввод данных'!C11</f>
        <v>10</v>
      </c>
      <c r="D16" s="1246">
        <f>'Ввод данных'!C11</f>
        <v>10</v>
      </c>
      <c r="F16" s="946">
        <f>IF('Ввод данных'!A27=связи1!A133,'Ввод данных'!C29,0)</f>
        <v>0</v>
      </c>
      <c r="G16" s="946">
        <f>IF('Ввод данных'!A27=связи1!A133,'Ввод данных'!C30,0)</f>
        <v>0</v>
      </c>
      <c r="H16" s="1264"/>
      <c r="L16" s="1207"/>
      <c r="M16" s="416" t="s">
        <v>2781</v>
      </c>
      <c r="N16" s="1231"/>
      <c r="O16" s="1232"/>
      <c r="P16" s="261" t="s">
        <v>133</v>
      </c>
      <c r="Q16" s="1229">
        <f>дома!C1181</f>
        <v>179.30702044232368</v>
      </c>
      <c r="R16" s="1230">
        <f>дома!D1181</f>
        <v>83.071536376845259</v>
      </c>
      <c r="S16" s="1207"/>
      <c r="Y16" s="1199"/>
      <c r="Z16" s="971">
        <f>C17</f>
        <v>10</v>
      </c>
      <c r="AA16" s="1246">
        <f>C17</f>
        <v>10</v>
      </c>
      <c r="AB16" s="971">
        <f>C17</f>
        <v>10</v>
      </c>
      <c r="AC16" s="1055">
        <f>C17</f>
        <v>10</v>
      </c>
      <c r="AD16" s="1207"/>
      <c r="AE16" s="3149" t="s">
        <v>2661</v>
      </c>
      <c r="AF16" s="3149"/>
      <c r="AG16" s="3149"/>
      <c r="AH16" s="261" t="s">
        <v>133</v>
      </c>
      <c r="AI16" s="1229" t="e">
        <f>дома!#REF!</f>
        <v>#REF!</v>
      </c>
      <c r="AJ16" s="1230" t="e">
        <f>дома!#REF!</f>
        <v>#REF!</v>
      </c>
      <c r="AM16" s="1207"/>
      <c r="AN16" s="1207"/>
    </row>
    <row r="17" spans="1:39" ht="15.75" customHeight="1">
      <c r="A17" s="1246" t="s">
        <v>2782</v>
      </c>
      <c r="B17" s="1247" t="s">
        <v>156</v>
      </c>
      <c r="C17" s="1261">
        <f>'Ввод данных'!C12</f>
        <v>10</v>
      </c>
      <c r="D17" s="1246">
        <f>'Ввод данных'!C12</f>
        <v>10</v>
      </c>
      <c r="F17" s="946">
        <f>дома!C17</f>
        <v>10</v>
      </c>
      <c r="G17" s="1055"/>
      <c r="H17" s="1262"/>
      <c r="L17" s="1207"/>
      <c r="M17" s="548" t="s">
        <v>2774</v>
      </c>
      <c r="N17" s="746"/>
      <c r="O17" s="786"/>
      <c r="P17" s="725" t="s">
        <v>133</v>
      </c>
      <c r="Q17" s="1229">
        <f>дома!C1183</f>
        <v>206.20307350867222</v>
      </c>
      <c r="R17" s="1230">
        <f>дома!D1183</f>
        <v>103.83942047105657</v>
      </c>
      <c r="S17" s="1207"/>
      <c r="Y17" s="1199"/>
      <c r="Z17" s="995">
        <f>F16</f>
        <v>0</v>
      </c>
      <c r="AA17" s="995">
        <f>G16</f>
        <v>0</v>
      </c>
      <c r="AB17" s="995"/>
      <c r="AC17" s="995"/>
      <c r="AD17" s="1207"/>
      <c r="AM17" s="1207"/>
    </row>
    <row r="18" spans="1:39" ht="15.75" customHeight="1">
      <c r="A18" s="1265" t="s">
        <v>2783</v>
      </c>
      <c r="B18" s="1266" t="s">
        <v>156</v>
      </c>
      <c r="C18" s="1267">
        <f>'Ввод данных'!C13</f>
        <v>3</v>
      </c>
      <c r="D18" s="1265">
        <f>C5-C4</f>
        <v>2.8</v>
      </c>
      <c r="F18" s="971">
        <f>C18</f>
        <v>3</v>
      </c>
      <c r="G18" s="971"/>
      <c r="H18" s="1036"/>
      <c r="L18" s="1207"/>
      <c r="M18" s="547" t="s">
        <v>2661</v>
      </c>
      <c r="N18" s="1233"/>
      <c r="O18" s="784"/>
      <c r="P18" s="699" t="s">
        <v>133</v>
      </c>
      <c r="Q18" s="379">
        <f>дома!C1189</f>
        <v>117.02607277107688</v>
      </c>
      <c r="R18" s="1230">
        <f>дома!D1189</f>
        <v>0</v>
      </c>
      <c r="S18" s="1207"/>
      <c r="Y18" s="1199" t="s">
        <v>2784</v>
      </c>
      <c r="Z18" s="1268">
        <f>(F20)*Z16</f>
        <v>0</v>
      </c>
      <c r="AA18" s="1268">
        <f>(G20)*AA16</f>
        <v>0</v>
      </c>
      <c r="AB18" s="995"/>
      <c r="AC18" s="1268"/>
      <c r="AD18" s="1207"/>
      <c r="AE18" s="3147" t="s">
        <v>2735</v>
      </c>
      <c r="AF18" s="3147"/>
      <c r="AG18" s="3147"/>
      <c r="AH18" s="3150" t="s">
        <v>2546</v>
      </c>
      <c r="AI18" s="3150"/>
      <c r="AJ18" s="3150" t="s">
        <v>2543</v>
      </c>
      <c r="AK18" s="3150"/>
      <c r="AM18" s="1207"/>
    </row>
    <row r="19" spans="1:39" ht="15.75" customHeight="1">
      <c r="A19" s="1270" t="s">
        <v>1757</v>
      </c>
      <c r="B19" s="1266"/>
      <c r="C19" s="1267">
        <f>IF('Ввод данных'!A6=связи1!A94,'Ввод данных'!C14,0)+IF('Ввод данных'!A6=связи1!A97,'Ввод данных'!C14,0)+IF('Ввод данных'!A6=связи1!A95,'Ввод данных'!C13,0)+IF('Ввод данных'!A6=связи1!A96,'Ввод данных'!C13,0)+IF('Ввод данных'!A6=связи1!A98,'Ввод данных'!C13,0)</f>
        <v>8</v>
      </c>
      <c r="D19" s="1265"/>
      <c r="F19" s="971">
        <f>C19</f>
        <v>8</v>
      </c>
      <c r="G19" s="971"/>
      <c r="H19" s="1036"/>
      <c r="L19" s="1207"/>
      <c r="M19" s="1207"/>
      <c r="N19" s="1207"/>
      <c r="O19" s="1207"/>
      <c r="P19" s="1207"/>
      <c r="Q19" s="1207"/>
      <c r="R19" s="1207"/>
      <c r="S19" s="1207"/>
      <c r="Y19" s="1199" t="s">
        <v>2785</v>
      </c>
      <c r="Z19" s="1268">
        <f>F23*Z16</f>
        <v>0</v>
      </c>
      <c r="AA19" s="1268">
        <f>G23*AA16</f>
        <v>0</v>
      </c>
      <c r="AB19" s="995"/>
      <c r="AC19" s="1268"/>
      <c r="AD19" s="1207"/>
      <c r="AE19" s="3147"/>
      <c r="AF19" s="3147"/>
      <c r="AG19" s="3147"/>
      <c r="AH19" s="3150"/>
      <c r="AI19" s="3150"/>
      <c r="AJ19" s="3150"/>
      <c r="AK19" s="3150"/>
      <c r="AM19" s="1207"/>
    </row>
    <row r="20" spans="1:39" ht="15.75" customHeight="1">
      <c r="A20" s="1265" t="s">
        <v>2670</v>
      </c>
      <c r="B20" s="1266"/>
      <c r="C20" s="1267">
        <f>IF('Ввод данных'!A6=связи1!A94,C18,0)+IF('Ввод данных'!A6=связи1!A97,'Ввод данных'!C15,0)+IF('Ввод данных'!A6=связи1!A95,C18,0)+IF('Ввод данных'!A6=связи1!A96,C18,0)+IF('Ввод данных'!A6=связи1!A98,C18,0)</f>
        <v>3</v>
      </c>
      <c r="D20" s="1265"/>
      <c r="F20" s="1062">
        <f>IF('Ввод данных'!A19=связи1!A129,'Ввод данных'!C21,0)</f>
        <v>0</v>
      </c>
      <c r="G20" s="1062">
        <f>IF('Ввод данных'!A19=связи1!A129,'Ввод данных'!C22,0)</f>
        <v>0</v>
      </c>
      <c r="H20" s="1050"/>
      <c r="L20" s="1207"/>
      <c r="M20" s="1207"/>
      <c r="N20" s="1207"/>
      <c r="O20" s="1207"/>
      <c r="P20" s="1207"/>
      <c r="Q20" s="1207"/>
      <c r="R20" s="1207"/>
      <c r="S20" s="1207"/>
      <c r="Y20" s="1199" t="s">
        <v>2786</v>
      </c>
      <c r="Z20" s="1268">
        <f>IF(AND(0&lt;F23,F23&lt;G23),G23-F23,0)+IF(AND(0&lt;G23,G23&lt;F23),F23-G23,0)+IF(AND(G23=0,G20=0),F23+F20+0.2,0)+IF(AND(F23=0,F20=0),G23+G20+0.2,0)+IF(AND(G23=0,G20&gt;0),F23+F20+0.2-G20,0)+IF(AND(F23=0,F20&gt;0),G23+G20+0.2-F20,0)</f>
        <v>0.4</v>
      </c>
      <c r="AA20" s="995">
        <f>Z20</f>
        <v>0.4</v>
      </c>
      <c r="AB20" s="995"/>
      <c r="AC20" s="1268"/>
      <c r="AD20" s="1207"/>
      <c r="AE20" s="3147" t="s">
        <v>2787</v>
      </c>
      <c r="AF20" s="3147"/>
      <c r="AG20" s="3147"/>
      <c r="AH20" s="1269">
        <v>1</v>
      </c>
      <c r="AI20" s="1269">
        <v>2</v>
      </c>
      <c r="AJ20" s="1269">
        <v>1</v>
      </c>
      <c r="AK20" s="1269">
        <v>2</v>
      </c>
      <c r="AM20" s="1207"/>
    </row>
    <row r="21" spans="1:39" ht="15.75" customHeight="1">
      <c r="A21" s="1268" t="s">
        <v>2788</v>
      </c>
      <c r="B21" s="1271" t="s">
        <v>156</v>
      </c>
      <c r="C21" s="1272">
        <f>IF('Ввод данных'!A6=связи1!A95,'Ввод данных'!C16,0)+IF('Ввод данных'!A6=связи1!A96,'Ввод данных'!C16,0)+IF('Ввод данных'!A6=связи1!A94,0)+IF('Ввод данных'!A6=связи1!A98,'Ввод данных'!C16,0)</f>
        <v>0</v>
      </c>
      <c r="D21" s="1268">
        <f>C7-C6</f>
        <v>2</v>
      </c>
      <c r="F21" s="971">
        <f>C21</f>
        <v>0</v>
      </c>
      <c r="G21" s="971"/>
      <c r="H21" s="1036"/>
      <c r="Y21" s="1199" t="s">
        <v>2789</v>
      </c>
      <c r="Z21" s="995">
        <f>F23+F20+0.2</f>
        <v>0.2</v>
      </c>
      <c r="AA21" s="1268">
        <f>G23+G20+0.2</f>
        <v>0.2</v>
      </c>
      <c r="AB21" s="1273"/>
      <c r="AC21" s="1268"/>
      <c r="AD21" s="1207"/>
      <c r="AE21" s="3119" t="s">
        <v>1976</v>
      </c>
      <c r="AF21" s="3119"/>
      <c r="AG21" s="725" t="s">
        <v>156</v>
      </c>
      <c r="AH21" s="1230">
        <f>'Ввод данных'!C329</f>
        <v>2</v>
      </c>
      <c r="AI21" s="1229">
        <f>'Ввод данных'!D329</f>
        <v>2</v>
      </c>
      <c r="AJ21" s="1230"/>
      <c r="AK21" s="1230"/>
      <c r="AM21" s="1207"/>
    </row>
    <row r="22" spans="1:39" ht="15.75" customHeight="1">
      <c r="A22" s="1268" t="s">
        <v>2790</v>
      </c>
      <c r="B22" s="1271" t="s">
        <v>156</v>
      </c>
      <c r="C22" s="1272">
        <f>IF('Ввод данных'!A6=связи1!A95,связи1!K206,0)+IF('Ввод данных'!A6=связи1!A96,связи1!K206,0)+IF('Ввод данных'!A6=связи1!A98,связи1!K206,0)</f>
        <v>0</v>
      </c>
      <c r="D22" s="1268">
        <f>C11-C8</f>
        <v>2.5</v>
      </c>
      <c r="F22" s="971">
        <f>C22</f>
        <v>0</v>
      </c>
      <c r="G22" s="971"/>
      <c r="H22" s="1036"/>
      <c r="Y22" s="1199" t="s">
        <v>2791</v>
      </c>
      <c r="Z22" s="995">
        <f>IF(Z21&gt;AA21,Z21-AA21,0)</f>
        <v>0</v>
      </c>
      <c r="AA22" s="995">
        <f>IF(AA21&gt;Z21,AA21-Z21,0)</f>
        <v>0</v>
      </c>
      <c r="AB22" s="995"/>
      <c r="AC22" s="995"/>
      <c r="AD22" s="1207"/>
      <c r="AE22" s="3081" t="s">
        <v>2792</v>
      </c>
      <c r="AF22" s="3081"/>
      <c r="AG22" s="261" t="s">
        <v>156</v>
      </c>
      <c r="AH22" s="1230">
        <f>дома!C1215</f>
        <v>2.6360679774997897</v>
      </c>
      <c r="AI22" s="1229">
        <f>дома!D1215</f>
        <v>2.3584952830141508</v>
      </c>
      <c r="AJ22" s="1230">
        <f>дома!E1214</f>
        <v>2.310109465429512</v>
      </c>
      <c r="AK22" s="1230">
        <f>дома!F1214</f>
        <v>1.155054732714756</v>
      </c>
      <c r="AM22" s="1207"/>
    </row>
    <row r="23" spans="1:39" ht="15.75" customHeight="1">
      <c r="A23" s="1268" t="s">
        <v>2793</v>
      </c>
      <c r="B23" s="1271" t="s">
        <v>156</v>
      </c>
      <c r="C23" s="1272">
        <f>IF('Ввод данных'!A6=связи1!A94,0,0)+IF('Ввод данных'!A6=связи1!A95,'Ввод данных'!C16,0)+IF('Ввод данных'!A6=связи1!A96,связи1!K207,0)+IF('Ввод данных'!A6=связи1!A98,связи1!K207,0)</f>
        <v>0</v>
      </c>
      <c r="D23" s="1268">
        <f>C8-C6</f>
        <v>2.0999999999999996</v>
      </c>
      <c r="F23" s="1062">
        <f>IF('Ввод данных'!A6=связи1!A94,0,0)+IF('Ввод данных'!A6=связи1!A95,'Ввод данных'!C23,0)+IF('Ввод данных'!A6=связи1!A96,'Ввод данных'!C23,0)+IF('Ввод данных'!A6=связи1!A98,'Ввод данных'!C23,0)</f>
        <v>0</v>
      </c>
      <c r="G23" s="1062">
        <f>IF('Ввод данных'!A6=связи1!A94,0,0)+IF('Ввод данных'!A6=связи1!A95,'Ввод данных'!C24,0)+IF('Ввод данных'!A6=связи1!A96,'Ввод данных'!C24,0)+IF('Ввод данных'!A6=связи1!A98,'Ввод данных'!C24,0)</f>
        <v>0</v>
      </c>
      <c r="H23" s="1050"/>
      <c r="Y23" s="1199" t="s">
        <v>2794</v>
      </c>
      <c r="Z23" s="995">
        <f>C19</f>
        <v>8</v>
      </c>
      <c r="AA23" s="995">
        <f>C19</f>
        <v>8</v>
      </c>
      <c r="AB23" s="995"/>
      <c r="AC23" s="995"/>
      <c r="AD23" s="1207"/>
      <c r="AE23" s="3119" t="s">
        <v>2795</v>
      </c>
      <c r="AF23" s="3119"/>
      <c r="AG23" s="261" t="s">
        <v>156</v>
      </c>
      <c r="AH23" s="1230">
        <f>дома!C1221</f>
        <v>2.4</v>
      </c>
      <c r="AI23" s="1229">
        <f>дома!D1221</f>
        <v>3.4</v>
      </c>
      <c r="AJ23" s="1230">
        <f>дома!E1221</f>
        <v>2.4</v>
      </c>
      <c r="AK23" s="1230">
        <f>дома!F1221</f>
        <v>3.4</v>
      </c>
      <c r="AM23" s="1207"/>
    </row>
    <row r="24" spans="1:39" ht="15.75" customHeight="1">
      <c r="A24" s="1274" t="s">
        <v>2796</v>
      </c>
      <c r="B24" s="1247"/>
      <c r="C24" s="1261">
        <f>C21-C23</f>
        <v>0</v>
      </c>
      <c r="D24" s="1246">
        <f>C8-C7</f>
        <v>9.9999999999999645E-2</v>
      </c>
      <c r="F24" s="971">
        <f>F21-F23</f>
        <v>0</v>
      </c>
      <c r="G24" s="971"/>
      <c r="H24" s="1036"/>
      <c r="Y24" s="1199" t="s">
        <v>2797</v>
      </c>
      <c r="Z24" s="1268">
        <f>C22</f>
        <v>0</v>
      </c>
      <c r="AA24" s="995">
        <f>C22</f>
        <v>0</v>
      </c>
      <c r="AB24" s="995"/>
      <c r="AC24" s="995"/>
      <c r="AD24" s="1207"/>
      <c r="AE24" s="3119" t="s">
        <v>2798</v>
      </c>
      <c r="AF24" s="3119"/>
      <c r="AG24" s="699" t="s">
        <v>156</v>
      </c>
      <c r="AH24" s="1230">
        <f>дома!C1216</f>
        <v>2.8193712742382533</v>
      </c>
      <c r="AI24" s="1229">
        <f>дома!D1216</f>
        <v>3.8160843806184368</v>
      </c>
      <c r="AJ24" s="1230">
        <f>дома!E1216</f>
        <v>2.5172615561889922</v>
      </c>
      <c r="AK24" s="1230">
        <f>дома!F1216</f>
        <v>3.214677501020399</v>
      </c>
      <c r="AM24" s="1207"/>
    </row>
    <row r="25" spans="1:39" ht="15.75" customHeight="1">
      <c r="A25" s="1274" t="s">
        <v>2799</v>
      </c>
      <c r="B25" s="1247"/>
      <c r="C25" s="1261">
        <f>C22-C21</f>
        <v>0</v>
      </c>
      <c r="D25" s="1250"/>
      <c r="G25" s="1242"/>
      <c r="H25" s="1242"/>
      <c r="I25" s="1199" t="s">
        <v>2800</v>
      </c>
      <c r="J25" s="1199"/>
      <c r="O25" s="1055" t="s">
        <v>1698</v>
      </c>
      <c r="S25" s="1275" t="s">
        <v>2801</v>
      </c>
      <c r="Y25" s="1276" t="s">
        <v>2802</v>
      </c>
      <c r="Z25" s="995">
        <f>IF('Ввод данных'!A6=связи1!A94,'Ввод данных'!C14,0)+IF('Ввод данных'!A6=связи1!A95,'Ввод данных'!C13+связи1!K206+0.2,0)+IF('Ввод данных'!A6=связи1!A96,'Ввод данных'!C13+0.2+связи1!K206,0)+IF('Ввод данных'!A6=связи1!A97,'Ввод данных'!C14,0)+IF('Ввод данных'!A6=связи1!A98,'Ввод данных'!C13+0.2+связи1!K206,0)</f>
        <v>8</v>
      </c>
      <c r="AA25" s="995">
        <f>IF('Ввод данных'!A6=связи1!A94,'Ввод данных'!C14,0)+IF('Ввод данных'!A6=связи1!A95,'Ввод данных'!C13+связи1!K206+0.2,0)+IF('Ввод данных'!A6=связи1!A96,'Ввод данных'!C13+0.2+связи1!K206,0)+IF('Ввод данных'!A6=связи1!A97,'Ввод данных'!C14,0)+IF('Ввод данных'!A6=связи1!A98,'Ввод данных'!C13+0.2+связи1!K206,0)</f>
        <v>8</v>
      </c>
      <c r="AB25" s="1277"/>
      <c r="AC25" s="1277"/>
      <c r="AD25" s="1260"/>
      <c r="AE25" s="3119" t="s">
        <v>2803</v>
      </c>
      <c r="AF25" s="3119"/>
      <c r="AG25" s="725" t="s">
        <v>156</v>
      </c>
      <c r="AH25" s="1230">
        <f>дома!C1212+дома!C1207</f>
        <v>1.4</v>
      </c>
      <c r="AI25" s="1230"/>
      <c r="AJ25" s="1230">
        <f>дома!E1222</f>
        <v>1.4</v>
      </c>
      <c r="AK25" s="1230"/>
      <c r="AM25" s="1207"/>
    </row>
    <row r="26" spans="1:39" ht="15.75" customHeight="1">
      <c r="A26" s="1274"/>
      <c r="B26" s="1247"/>
      <c r="C26" s="1261"/>
      <c r="D26" s="1055" t="s">
        <v>2804</v>
      </c>
      <c r="E26" s="1055" t="s">
        <v>2805</v>
      </c>
      <c r="F26" s="1055" t="s">
        <v>2806</v>
      </c>
      <c r="G26" s="1197" t="s">
        <v>2807</v>
      </c>
      <c r="I26" s="1199" t="s">
        <v>2808</v>
      </c>
      <c r="J26" s="1246" t="s">
        <v>293</v>
      </c>
      <c r="K26" s="1278" t="s">
        <v>2809</v>
      </c>
      <c r="L26" s="1055" t="s">
        <v>2810</v>
      </c>
      <c r="M26" s="1279"/>
      <c r="N26" s="1279"/>
      <c r="O26" s="1279" t="s">
        <v>2572</v>
      </c>
      <c r="P26" s="1055" t="s">
        <v>2811</v>
      </c>
      <c r="Q26" s="1055" t="s">
        <v>1546</v>
      </c>
      <c r="R26" s="1055" t="s">
        <v>2812</v>
      </c>
      <c r="S26" s="1280" t="s">
        <v>2813</v>
      </c>
      <c r="T26" s="1280" t="s">
        <v>2814</v>
      </c>
      <c r="U26" s="1055" t="s">
        <v>2815</v>
      </c>
      <c r="V26" s="1055"/>
      <c r="W26" s="1055" t="s">
        <v>2816</v>
      </c>
      <c r="Y26" s="1276" t="s">
        <v>2817</v>
      </c>
      <c r="Z26" s="995">
        <f>Z25-Z21</f>
        <v>7.8</v>
      </c>
      <c r="AA26" s="995">
        <f>AA25-AA21</f>
        <v>7.8</v>
      </c>
      <c r="AB26" s="1277"/>
      <c r="AC26" s="1277"/>
      <c r="AD26" s="1207"/>
      <c r="AE26" s="3119" t="s">
        <v>2818</v>
      </c>
      <c r="AF26" s="3119"/>
      <c r="AG26" s="725" t="s">
        <v>156</v>
      </c>
      <c r="AH26" s="1230">
        <f>дома!C1223</f>
        <v>2.7</v>
      </c>
      <c r="AI26" s="1230">
        <f>дома!D1223</f>
        <v>3.25</v>
      </c>
      <c r="AJ26" s="1230">
        <f>дома!E1223</f>
        <v>2.7</v>
      </c>
      <c r="AK26" s="1230">
        <f>дома!F1223</f>
        <v>3.25</v>
      </c>
      <c r="AM26" s="1207"/>
    </row>
    <row r="27" spans="1:39" ht="15.75" customHeight="1">
      <c r="A27" s="1281" t="s">
        <v>2819</v>
      </c>
      <c r="B27" s="1282"/>
      <c r="C27" s="1283">
        <f>C20</f>
        <v>3</v>
      </c>
      <c r="D27" s="1055">
        <f>C27/(D1531/1000)</f>
        <v>15</v>
      </c>
      <c r="E27" s="1055">
        <f t="shared" ref="E27:E37" si="0">FLOOR(D27,1)</f>
        <v>15</v>
      </c>
      <c r="F27" s="1055">
        <v>4</v>
      </c>
      <c r="G27" s="1197">
        <f t="shared" ref="G27:G37" si="1">D27*F27</f>
        <v>60</v>
      </c>
      <c r="I27" s="1199">
        <f>C27*F27+0.4</f>
        <v>12.4</v>
      </c>
      <c r="J27" s="1246">
        <f t="shared" ref="J27:J37" si="2">E27*$D$1531/1000</f>
        <v>3</v>
      </c>
      <c r="K27" s="1278">
        <f t="shared" ref="K27:K37" si="3">C27-J27</f>
        <v>0</v>
      </c>
      <c r="L27" s="1055">
        <f t="shared" ref="L27:L37" si="4">IF(AND(K27&gt;0.1,K27&lt;=0.2),K27,0)+IF(AND(K27&gt;0,K27&lt;=0.1),0.1,0)</f>
        <v>0</v>
      </c>
      <c r="M27" s="1055"/>
      <c r="N27" s="1055"/>
      <c r="O27" s="1055">
        <f>C16+C16+C17+C17-F1531/1000*2</f>
        <v>39.799999999999997</v>
      </c>
      <c r="P27" s="1055">
        <f t="shared" ref="P27:P37" si="5">L27*O27*$F$1531/1000</f>
        <v>0</v>
      </c>
      <c r="Q27" s="1055">
        <f>B1115*C1140*4+L1115*J1140*4</f>
        <v>0</v>
      </c>
      <c r="R27" s="1055">
        <f t="shared" ref="R27:R37" si="6">S27</f>
        <v>40</v>
      </c>
      <c r="S27" s="1280">
        <f>C16+C16+C17+C17</f>
        <v>40</v>
      </c>
      <c r="T27" s="1055">
        <f t="shared" ref="T27:T37" si="7">$D$1531/1000</f>
        <v>0.2</v>
      </c>
      <c r="U27" s="1055">
        <f t="shared" ref="U27:U37" si="8">C27/T27</f>
        <v>15</v>
      </c>
      <c r="V27" s="1055">
        <f>IF(U27=0,0,U27/3+1)</f>
        <v>6</v>
      </c>
      <c r="W27" s="1055">
        <f t="shared" ref="W27:W37" si="9">S27*V27*2</f>
        <v>480</v>
      </c>
      <c r="Y27" s="1284" t="s">
        <v>2820</v>
      </c>
      <c r="Z27" s="995">
        <f>SQRT(Z17*Z17+Z26*Z26)</f>
        <v>7.8</v>
      </c>
      <c r="AA27" s="995">
        <f>SQRT(AA17*AA17+AA26*AA26)</f>
        <v>7.8</v>
      </c>
      <c r="AB27" s="1277"/>
      <c r="AC27" s="1277"/>
      <c r="AD27" s="1260"/>
      <c r="AE27" s="3081" t="s">
        <v>2624</v>
      </c>
      <c r="AF27" s="3081"/>
      <c r="AG27" s="261" t="s">
        <v>133</v>
      </c>
      <c r="AH27" s="1230">
        <f>дома!C1222</f>
        <v>2.9088543819998316</v>
      </c>
      <c r="AI27" s="1229">
        <f>дома!D1222</f>
        <v>1.8867962264113207</v>
      </c>
      <c r="AJ27" s="379">
        <f>AH27</f>
        <v>2.9088543819998316</v>
      </c>
      <c r="AK27" s="1230">
        <f>AI27</f>
        <v>1.8867962264113207</v>
      </c>
      <c r="AM27" s="1207"/>
    </row>
    <row r="28" spans="1:39" ht="15.75" customHeight="1">
      <c r="A28" s="1281" t="s">
        <v>2821</v>
      </c>
      <c r="B28" s="1285"/>
      <c r="C28" s="1283">
        <f>C23</f>
        <v>0</v>
      </c>
      <c r="D28" s="1055">
        <f>C28/(D1531/1000)</f>
        <v>0</v>
      </c>
      <c r="E28" s="1055">
        <f t="shared" si="0"/>
        <v>0</v>
      </c>
      <c r="F28" s="1055">
        <v>4</v>
      </c>
      <c r="G28" s="1197">
        <f t="shared" si="1"/>
        <v>0</v>
      </c>
      <c r="I28" s="1199">
        <f>C28*F28+0.4</f>
        <v>0.4</v>
      </c>
      <c r="J28" s="1246">
        <f t="shared" si="2"/>
        <v>0</v>
      </c>
      <c r="K28" s="1278">
        <f t="shared" si="3"/>
        <v>0</v>
      </c>
      <c r="L28" s="1055">
        <f t="shared" si="4"/>
        <v>0</v>
      </c>
      <c r="M28" s="1055"/>
      <c r="N28" s="1055"/>
      <c r="O28" s="1055">
        <f>IF('Ввод данных'!A6=связи1!A94,0,0)+IF('Ввод данных'!A6=связи1!A95,O27,0)+IF('Ввод данных'!A6=связи1!A96,дома!C17+дома!C17,0)+IF('Ввод данных'!A6=связи1!A97,0,0)+IF('Ввод данных'!A6=связи1!A98,дома!C17+дома!C17,0)</f>
        <v>0</v>
      </c>
      <c r="P28" s="1055">
        <f t="shared" si="5"/>
        <v>0</v>
      </c>
      <c r="Q28" s="1055">
        <f>Q27/L1531</f>
        <v>0</v>
      </c>
      <c r="R28" s="1055">
        <f t="shared" si="6"/>
        <v>40</v>
      </c>
      <c r="S28" s="1280">
        <f>C16+C16+C17+C17</f>
        <v>40</v>
      </c>
      <c r="T28" s="1055">
        <f t="shared" si="7"/>
        <v>0.2</v>
      </c>
      <c r="U28" s="1055">
        <f t="shared" si="8"/>
        <v>0</v>
      </c>
      <c r="V28" s="1055">
        <f>IF(U28=0,0,U28/3+1)</f>
        <v>0</v>
      </c>
      <c r="W28" s="1055">
        <f t="shared" si="9"/>
        <v>0</v>
      </c>
      <c r="Y28" s="1284"/>
      <c r="Z28" s="995"/>
      <c r="AA28" s="995"/>
      <c r="AB28" s="1277"/>
      <c r="AC28" s="1277"/>
      <c r="AD28" s="1260"/>
      <c r="AE28" s="3081" t="s">
        <v>2769</v>
      </c>
      <c r="AF28" s="3081"/>
      <c r="AG28" s="699" t="s">
        <v>133</v>
      </c>
      <c r="AH28" s="1230">
        <f>дома!C1218</f>
        <v>10.0170583144992</v>
      </c>
      <c r="AI28" s="1229">
        <f>дома!D1220</f>
        <v>12.547194905635282</v>
      </c>
      <c r="AJ28" s="379">
        <f>дома!E1218</f>
        <v>9.7784159686321459</v>
      </c>
      <c r="AK28" s="1230">
        <f>дома!F1218</f>
        <v>4.665164198144268</v>
      </c>
      <c r="AM28" s="1207"/>
    </row>
    <row r="29" spans="1:39" ht="15.75" customHeight="1">
      <c r="A29" s="1281" t="s">
        <v>2822</v>
      </c>
      <c r="B29" s="1285"/>
      <c r="C29" s="1283">
        <v>0</v>
      </c>
      <c r="D29" s="1055">
        <f>C29/(D1531/1000)</f>
        <v>0</v>
      </c>
      <c r="E29" s="1055">
        <f t="shared" si="0"/>
        <v>0</v>
      </c>
      <c r="F29" s="1055"/>
      <c r="G29" s="1197">
        <f t="shared" si="1"/>
        <v>0</v>
      </c>
      <c r="J29" s="1246">
        <f t="shared" si="2"/>
        <v>0</v>
      </c>
      <c r="K29" s="1278">
        <f t="shared" si="3"/>
        <v>0</v>
      </c>
      <c r="L29" s="1055">
        <f t="shared" si="4"/>
        <v>0</v>
      </c>
      <c r="M29" s="1055"/>
      <c r="N29" s="1055"/>
      <c r="O29" s="1055"/>
      <c r="P29" s="1055">
        <f t="shared" si="5"/>
        <v>0</v>
      </c>
      <c r="Q29" s="1055">
        <f>Q28/2</f>
        <v>0</v>
      </c>
      <c r="R29" s="1055">
        <f t="shared" si="6"/>
        <v>0</v>
      </c>
      <c r="S29" s="1280"/>
      <c r="T29" s="1055">
        <f t="shared" si="7"/>
        <v>0.2</v>
      </c>
      <c r="U29" s="1055">
        <f t="shared" si="8"/>
        <v>0</v>
      </c>
      <c r="V29" s="1055"/>
      <c r="W29" s="1055">
        <f t="shared" si="9"/>
        <v>0</v>
      </c>
      <c r="Y29" s="1286" t="s">
        <v>2823</v>
      </c>
      <c r="Z29" s="995">
        <f>Z26/Z27</f>
        <v>1</v>
      </c>
      <c r="AA29" s="995">
        <f>AA26/AA27</f>
        <v>1</v>
      </c>
      <c r="AB29" s="1277"/>
      <c r="AC29" s="1277"/>
      <c r="AD29" s="1260"/>
      <c r="AE29" s="3081" t="s">
        <v>2824</v>
      </c>
      <c r="AF29" s="3081"/>
      <c r="AG29" s="261" t="s">
        <v>133</v>
      </c>
      <c r="AH29" s="1230">
        <f>дома!C1220</f>
        <v>14.02388164029888</v>
      </c>
      <c r="AI29" s="1229">
        <f>дома!D1220</f>
        <v>12.547194905635282</v>
      </c>
      <c r="AJ29" s="1230">
        <f>дома!E1220</f>
        <v>13.689782356085004</v>
      </c>
      <c r="AK29" s="1230">
        <f>дома!F1220</f>
        <v>6.5312298774019748</v>
      </c>
      <c r="AM29" s="1207"/>
    </row>
    <row r="30" spans="1:39" ht="15.75" customHeight="1">
      <c r="A30" s="1287" t="s">
        <v>2825</v>
      </c>
      <c r="B30" s="1285"/>
      <c r="C30" s="1283">
        <f>пристройка!R43</f>
        <v>0</v>
      </c>
      <c r="D30" s="1055">
        <f>C30/(D1531/1000)</f>
        <v>0</v>
      </c>
      <c r="E30" s="1055">
        <f t="shared" si="0"/>
        <v>0</v>
      </c>
      <c r="F30" s="1055">
        <v>2</v>
      </c>
      <c r="G30" s="1197">
        <f t="shared" si="1"/>
        <v>0</v>
      </c>
      <c r="I30" s="1199">
        <f>C30*F30+0.4</f>
        <v>0.4</v>
      </c>
      <c r="J30" s="1246">
        <f t="shared" si="2"/>
        <v>0</v>
      </c>
      <c r="K30" s="1278">
        <f t="shared" si="3"/>
        <v>0</v>
      </c>
      <c r="L30" s="1055">
        <f t="shared" si="4"/>
        <v>0</v>
      </c>
      <c r="M30" s="1055"/>
      <c r="N30" s="1055"/>
      <c r="O30" s="1055">
        <f>пристройка!C33*пристройка!C32*пристройка!C3+пристройка!H33*пристройка!H32*пристройка!H3</f>
        <v>0</v>
      </c>
      <c r="P30" s="1055">
        <f t="shared" si="5"/>
        <v>0</v>
      </c>
      <c r="Q30" s="1055"/>
      <c r="R30" s="1055">
        <f t="shared" si="6"/>
        <v>0</v>
      </c>
      <c r="S30" s="1280">
        <f>пристройка!R33</f>
        <v>0</v>
      </c>
      <c r="T30" s="1055">
        <f t="shared" si="7"/>
        <v>0.2</v>
      </c>
      <c r="U30" s="1055">
        <f t="shared" si="8"/>
        <v>0</v>
      </c>
      <c r="V30" s="1055">
        <f>IF(U30=0,0,U30/3+1)</f>
        <v>0</v>
      </c>
      <c r="W30" s="1055">
        <f t="shared" si="9"/>
        <v>0</v>
      </c>
      <c r="Y30" s="1286" t="s">
        <v>2826</v>
      </c>
      <c r="Z30" s="995">
        <f>DEGREES(Z29)</f>
        <v>57.295779513082323</v>
      </c>
      <c r="AA30" s="995">
        <f>DEGREES(AA29)</f>
        <v>57.295779513082323</v>
      </c>
      <c r="AB30" s="1277"/>
      <c r="AC30" s="1277"/>
      <c r="AD30" s="1260"/>
      <c r="AE30" s="3081" t="s">
        <v>2827</v>
      </c>
      <c r="AF30" s="3081"/>
      <c r="AG30" s="261" t="s">
        <v>133</v>
      </c>
      <c r="AH30" s="1230">
        <f>дома!C1224</f>
        <v>10</v>
      </c>
      <c r="AI30" s="1229">
        <f>дома!D1224</f>
        <v>2.5</v>
      </c>
      <c r="AJ30" s="1230">
        <f>дома!E1224</f>
        <v>5</v>
      </c>
      <c r="AK30" s="1230">
        <f>дома!F1224</f>
        <v>2.5</v>
      </c>
      <c r="AM30" s="1207"/>
    </row>
    <row r="31" spans="1:39" ht="15.75" customHeight="1">
      <c r="A31" s="1287" t="s">
        <v>2828</v>
      </c>
      <c r="B31" s="1285"/>
      <c r="C31" s="1283">
        <f>пристройка!R44</f>
        <v>0</v>
      </c>
      <c r="D31" s="1055">
        <f>C31/(D1531/1000)</f>
        <v>0</v>
      </c>
      <c r="E31" s="1055">
        <f t="shared" si="0"/>
        <v>0</v>
      </c>
      <c r="F31" s="1055">
        <v>2</v>
      </c>
      <c r="G31" s="1197">
        <f t="shared" si="1"/>
        <v>0</v>
      </c>
      <c r="I31" s="1199">
        <f>C31*F31+0.4</f>
        <v>0.4</v>
      </c>
      <c r="J31" s="1246">
        <f t="shared" si="2"/>
        <v>0</v>
      </c>
      <c r="K31" s="1278">
        <f t="shared" si="3"/>
        <v>0</v>
      </c>
      <c r="L31" s="1055">
        <f t="shared" si="4"/>
        <v>0</v>
      </c>
      <c r="M31" s="1055"/>
      <c r="N31" s="1055"/>
      <c r="O31" s="1055">
        <f>пристройка!C33*пристройка!C32*пристройка!C5+пристройка!H33*пристройка!H32*пристройка!H5</f>
        <v>0</v>
      </c>
      <c r="P31" s="1055">
        <f t="shared" si="5"/>
        <v>0</v>
      </c>
      <c r="Q31" s="1055"/>
      <c r="R31" s="1055">
        <f t="shared" si="6"/>
        <v>0</v>
      </c>
      <c r="S31" s="1280">
        <f>пристройка!R35</f>
        <v>0</v>
      </c>
      <c r="T31" s="1055">
        <f t="shared" si="7"/>
        <v>0.2</v>
      </c>
      <c r="U31" s="1055">
        <f t="shared" si="8"/>
        <v>0</v>
      </c>
      <c r="V31" s="1055">
        <f>IF(U31=0,0,U31/3+1)</f>
        <v>0</v>
      </c>
      <c r="W31" s="1055">
        <f t="shared" si="9"/>
        <v>0</v>
      </c>
      <c r="Y31" s="1286"/>
      <c r="Z31" s="995"/>
      <c r="AA31" s="995"/>
      <c r="AB31" s="1288"/>
      <c r="AC31" s="1277"/>
      <c r="AD31" s="1260"/>
      <c r="AE31" s="3119" t="s">
        <v>2829</v>
      </c>
      <c r="AF31" s="3119"/>
      <c r="AG31" s="725" t="s">
        <v>133</v>
      </c>
      <c r="AH31" s="1230">
        <f>дома!C1219</f>
        <v>5.2674544681763189</v>
      </c>
      <c r="AI31" s="1230">
        <f>дома!D1219</f>
        <v>2.4999999999999996</v>
      </c>
      <c r="AJ31" s="1230">
        <f>дома!E1219</f>
        <v>5.1385365901757023</v>
      </c>
      <c r="AK31" s="1230">
        <f>дома!F1219</f>
        <v>3.7021217386889176</v>
      </c>
      <c r="AM31" s="1207"/>
    </row>
    <row r="32" spans="1:39" ht="15.75" customHeight="1">
      <c r="A32" s="1287" t="s">
        <v>2830</v>
      </c>
      <c r="B32" s="1285"/>
      <c r="C32" s="1283">
        <f>пристройка!R45</f>
        <v>0</v>
      </c>
      <c r="D32" s="1055">
        <f>C32/(D1531/1000)</f>
        <v>0</v>
      </c>
      <c r="E32" s="1055">
        <f t="shared" si="0"/>
        <v>0</v>
      </c>
      <c r="F32" s="1055">
        <v>2</v>
      </c>
      <c r="G32" s="1197">
        <f t="shared" si="1"/>
        <v>0</v>
      </c>
      <c r="J32" s="1246">
        <f t="shared" si="2"/>
        <v>0</v>
      </c>
      <c r="K32" s="1278">
        <f t="shared" si="3"/>
        <v>0</v>
      </c>
      <c r="L32" s="1055">
        <f t="shared" si="4"/>
        <v>0</v>
      </c>
      <c r="M32" s="1055"/>
      <c r="N32" s="1055"/>
      <c r="O32" s="1055">
        <f>пристройка!C33*пристройка!C32*пристройка!C3+пристройка!H33*пристройка!H32*пристройка!H3</f>
        <v>0</v>
      </c>
      <c r="P32" s="1055">
        <f t="shared" si="5"/>
        <v>0</v>
      </c>
      <c r="Q32" s="1055"/>
      <c r="R32" s="1055">
        <f t="shared" si="6"/>
        <v>0</v>
      </c>
      <c r="S32" s="1280"/>
      <c r="T32" s="1055">
        <f t="shared" si="7"/>
        <v>0.2</v>
      </c>
      <c r="U32" s="1055">
        <f t="shared" si="8"/>
        <v>0</v>
      </c>
      <c r="V32" s="1055"/>
      <c r="W32" s="1055">
        <f t="shared" si="9"/>
        <v>0</v>
      </c>
      <c r="Y32" s="1286" t="s">
        <v>2831</v>
      </c>
      <c r="Z32" s="995">
        <f>IF(G20&gt;F20,G20-F20,0)</f>
        <v>0</v>
      </c>
      <c r="AA32" s="995">
        <f>IF(F20&gt;G20,F20-G20,0)</f>
        <v>0</v>
      </c>
      <c r="AB32" s="1289"/>
      <c r="AC32" s="1277"/>
      <c r="AD32" s="1260"/>
      <c r="AE32" s="1260"/>
      <c r="AF32" s="1207"/>
      <c r="AM32" s="1207"/>
    </row>
    <row r="33" spans="1:39" ht="15.75" customHeight="1">
      <c r="A33" s="1287" t="s">
        <v>2832</v>
      </c>
      <c r="B33" s="1285"/>
      <c r="C33" s="1283">
        <f>пристройка!R46</f>
        <v>0</v>
      </c>
      <c r="D33" s="1055">
        <f>C33/(D1531/1000)</f>
        <v>0</v>
      </c>
      <c r="E33" s="1055">
        <f t="shared" si="0"/>
        <v>0</v>
      </c>
      <c r="F33" s="1055">
        <v>2</v>
      </c>
      <c r="G33" s="1197">
        <f t="shared" si="1"/>
        <v>0</v>
      </c>
      <c r="J33" s="1246">
        <f t="shared" si="2"/>
        <v>0</v>
      </c>
      <c r="K33" s="1278">
        <f t="shared" si="3"/>
        <v>0</v>
      </c>
      <c r="L33" s="1055">
        <f t="shared" si="4"/>
        <v>0</v>
      </c>
      <c r="M33" s="1055"/>
      <c r="N33" s="1055"/>
      <c r="O33" s="1055">
        <f>пристройка!C33*пристройка!C32*пристройка!C5+пристройка!H33*пристройка!H32*пристройка!H5</f>
        <v>0</v>
      </c>
      <c r="P33" s="1055">
        <f t="shared" si="5"/>
        <v>0</v>
      </c>
      <c r="Q33" s="1055"/>
      <c r="R33" s="1055">
        <f t="shared" si="6"/>
        <v>0</v>
      </c>
      <c r="S33" s="1280"/>
      <c r="T33" s="1055">
        <f t="shared" si="7"/>
        <v>0.2</v>
      </c>
      <c r="U33" s="1055">
        <f t="shared" si="8"/>
        <v>0</v>
      </c>
      <c r="V33" s="1055"/>
      <c r="W33" s="1055">
        <f t="shared" si="9"/>
        <v>0</v>
      </c>
      <c r="Y33" s="1286"/>
      <c r="Z33" s="995"/>
      <c r="AA33" s="995"/>
      <c r="AB33" s="1289"/>
      <c r="AC33" s="1277"/>
      <c r="AD33" s="1260"/>
      <c r="AE33" s="1260"/>
      <c r="AF33" s="1207"/>
      <c r="AG33" s="3147" t="s">
        <v>2735</v>
      </c>
      <c r="AH33" s="3147"/>
      <c r="AI33" s="3147"/>
      <c r="AJ33" s="3147"/>
      <c r="AK33" s="3150" t="s">
        <v>2546</v>
      </c>
      <c r="AL33" s="3150" t="s">
        <v>2543</v>
      </c>
      <c r="AM33" s="1207"/>
    </row>
    <row r="34" spans="1:39" ht="15.75" customHeight="1">
      <c r="A34" s="1287" t="s">
        <v>2833</v>
      </c>
      <c r="B34" s="1285"/>
      <c r="C34" s="1283">
        <f>C1247</f>
        <v>0</v>
      </c>
      <c r="D34" s="1055">
        <f>C34/(D1531/1000)</f>
        <v>0</v>
      </c>
      <c r="E34" s="1055">
        <f t="shared" si="0"/>
        <v>0</v>
      </c>
      <c r="F34" s="1055">
        <v>4</v>
      </c>
      <c r="G34" s="1197">
        <f t="shared" si="1"/>
        <v>0</v>
      </c>
      <c r="I34" s="1199">
        <f>C34*F34+0.4</f>
        <v>0.4</v>
      </c>
      <c r="J34" s="1246">
        <f t="shared" si="2"/>
        <v>0</v>
      </c>
      <c r="K34" s="1278">
        <f t="shared" si="3"/>
        <v>0</v>
      </c>
      <c r="L34" s="1055">
        <f t="shared" si="4"/>
        <v>0</v>
      </c>
      <c r="M34" s="1055"/>
      <c r="N34" s="1055"/>
      <c r="O34" s="1055">
        <f>C1275*C1232</f>
        <v>10.830951894845301</v>
      </c>
      <c r="P34" s="1055">
        <f t="shared" si="5"/>
        <v>0</v>
      </c>
      <c r="Q34" s="1055"/>
      <c r="R34" s="1055">
        <f t="shared" si="6"/>
        <v>10.830951894845301</v>
      </c>
      <c r="S34" s="1280">
        <f>C1275</f>
        <v>10.830951894845301</v>
      </c>
      <c r="T34" s="1055">
        <f t="shared" si="7"/>
        <v>0.2</v>
      </c>
      <c r="U34" s="1055">
        <f t="shared" si="8"/>
        <v>0</v>
      </c>
      <c r="V34" s="1055">
        <f>IF(U34=0,0,U34/3+1)</f>
        <v>0</v>
      </c>
      <c r="W34" s="1055">
        <f t="shared" si="9"/>
        <v>0</v>
      </c>
      <c r="Y34" s="1286" t="s">
        <v>2834</v>
      </c>
      <c r="Z34" s="995">
        <f>IF(F23&gt;G23,F23-G23,0)</f>
        <v>0</v>
      </c>
      <c r="AA34" s="995">
        <f>IF(G23&gt;F23,G23-F23,0)</f>
        <v>0</v>
      </c>
      <c r="AB34" s="1277"/>
      <c r="AC34" s="1277"/>
      <c r="AD34" s="1260"/>
      <c r="AE34" s="1260"/>
      <c r="AF34" s="1207"/>
      <c r="AG34" s="3147"/>
      <c r="AH34" s="3147"/>
      <c r="AI34" s="3147"/>
      <c r="AJ34" s="3147"/>
      <c r="AK34" s="3150"/>
      <c r="AL34" s="3150"/>
      <c r="AM34" s="1207"/>
    </row>
    <row r="35" spans="1:39" ht="15.75" customHeight="1">
      <c r="A35" s="1287" t="s">
        <v>2835</v>
      </c>
      <c r="B35" s="1285"/>
      <c r="C35" s="1283">
        <f>C1248</f>
        <v>0</v>
      </c>
      <c r="D35" s="1055">
        <f>C35/(D1531/1000)</f>
        <v>0</v>
      </c>
      <c r="E35" s="1055">
        <f t="shared" si="0"/>
        <v>0</v>
      </c>
      <c r="F35" s="1055">
        <v>4</v>
      </c>
      <c r="G35" s="1197">
        <f t="shared" si="1"/>
        <v>0</v>
      </c>
      <c r="I35" s="1199">
        <f>C35*F35+0.4</f>
        <v>0.4</v>
      </c>
      <c r="J35" s="1246">
        <f t="shared" si="2"/>
        <v>0</v>
      </c>
      <c r="K35" s="1278">
        <f t="shared" si="3"/>
        <v>0</v>
      </c>
      <c r="L35" s="1055">
        <f t="shared" si="4"/>
        <v>0</v>
      </c>
      <c r="M35" s="1055"/>
      <c r="N35" s="1055"/>
      <c r="O35" s="1055">
        <f>C1275*C1233</f>
        <v>10.830951894845301</v>
      </c>
      <c r="P35" s="1055">
        <f t="shared" si="5"/>
        <v>0</v>
      </c>
      <c r="Q35" s="1055"/>
      <c r="R35" s="1055">
        <f t="shared" si="6"/>
        <v>10.830951894845301</v>
      </c>
      <c r="S35" s="1280">
        <f>C1275</f>
        <v>10.830951894845301</v>
      </c>
      <c r="T35" s="1055">
        <f t="shared" si="7"/>
        <v>0.2</v>
      </c>
      <c r="U35" s="1055">
        <f t="shared" si="8"/>
        <v>0</v>
      </c>
      <c r="V35" s="1055">
        <f>IF(U35=0,0,U35/3+1)</f>
        <v>0</v>
      </c>
      <c r="W35" s="1055">
        <f t="shared" si="9"/>
        <v>0</v>
      </c>
      <c r="Y35" s="1286"/>
      <c r="Z35" s="995"/>
      <c r="AA35" s="995"/>
      <c r="AB35" s="1277"/>
      <c r="AC35" s="1277"/>
      <c r="AD35" s="1290"/>
      <c r="AE35" s="1290"/>
      <c r="AF35" s="1207"/>
      <c r="AG35" s="3149" t="s">
        <v>2836</v>
      </c>
      <c r="AH35" s="3149"/>
      <c r="AI35" s="3149"/>
      <c r="AJ35" s="1228" t="s">
        <v>156</v>
      </c>
      <c r="AK35" s="529">
        <f>связи1!C552</f>
        <v>6</v>
      </c>
      <c r="AL35" s="1291">
        <f>AK35</f>
        <v>6</v>
      </c>
      <c r="AM35" s="1207"/>
    </row>
    <row r="36" spans="1:39" ht="15.75" customHeight="1">
      <c r="A36" s="1287" t="s">
        <v>2837</v>
      </c>
      <c r="B36" s="1285"/>
      <c r="C36" s="1283">
        <f>C1249</f>
        <v>0</v>
      </c>
      <c r="D36" s="1055">
        <f>C36/(D1531/1000)</f>
        <v>0</v>
      </c>
      <c r="E36" s="1055">
        <f t="shared" si="0"/>
        <v>0</v>
      </c>
      <c r="F36" s="1055">
        <v>2</v>
      </c>
      <c r="G36" s="1197">
        <f t="shared" si="1"/>
        <v>0</v>
      </c>
      <c r="J36" s="1246">
        <f t="shared" si="2"/>
        <v>0</v>
      </c>
      <c r="K36" s="1278">
        <f t="shared" si="3"/>
        <v>0</v>
      </c>
      <c r="L36" s="1055">
        <f t="shared" si="4"/>
        <v>0</v>
      </c>
      <c r="M36" s="1055"/>
      <c r="N36" s="1055"/>
      <c r="O36" s="1055">
        <f>C1275*C1232</f>
        <v>10.830951894845301</v>
      </c>
      <c r="P36" s="1055">
        <f t="shared" si="5"/>
        <v>0</v>
      </c>
      <c r="Q36" s="1055"/>
      <c r="R36" s="1055">
        <f t="shared" si="6"/>
        <v>0</v>
      </c>
      <c r="S36" s="1280"/>
      <c r="T36" s="1055">
        <f t="shared" si="7"/>
        <v>0.2</v>
      </c>
      <c r="U36" s="1055">
        <f t="shared" si="8"/>
        <v>0</v>
      </c>
      <c r="V36" s="1055"/>
      <c r="W36" s="1055">
        <f t="shared" si="9"/>
        <v>0</v>
      </c>
      <c r="Y36" s="1286" t="s">
        <v>2555</v>
      </c>
      <c r="Z36" s="995">
        <f>IF(F20&gt;=G20,F20,G20)</f>
        <v>0</v>
      </c>
      <c r="AA36" s="995">
        <f>IF(G20&gt;=F20,G20,F20)</f>
        <v>0</v>
      </c>
      <c r="AB36" s="1277"/>
      <c r="AC36" s="1277"/>
      <c r="AD36" s="1290"/>
      <c r="AE36" s="1290"/>
      <c r="AF36" s="1207"/>
      <c r="AG36" s="3149" t="s">
        <v>2838</v>
      </c>
      <c r="AH36" s="3149"/>
      <c r="AI36" s="3149"/>
      <c r="AJ36" s="1228" t="s">
        <v>156</v>
      </c>
      <c r="AK36" s="529">
        <f>связи1!C551</f>
        <v>3</v>
      </c>
      <c r="AL36" s="1291">
        <f>AK36</f>
        <v>3</v>
      </c>
      <c r="AM36" s="1207"/>
    </row>
    <row r="37" spans="1:39" ht="15.75" customHeight="1">
      <c r="A37" s="1287" t="s">
        <v>2839</v>
      </c>
      <c r="B37" s="1285"/>
      <c r="C37" s="1283">
        <f>C1250</f>
        <v>0</v>
      </c>
      <c r="D37" s="1055">
        <f>C37/(D1531/1000)</f>
        <v>0</v>
      </c>
      <c r="E37" s="1055">
        <f t="shared" si="0"/>
        <v>0</v>
      </c>
      <c r="F37" s="1055">
        <v>2</v>
      </c>
      <c r="G37" s="1197">
        <f t="shared" si="1"/>
        <v>0</v>
      </c>
      <c r="J37" s="1246">
        <f t="shared" si="2"/>
        <v>0</v>
      </c>
      <c r="K37" s="1278">
        <f t="shared" si="3"/>
        <v>0</v>
      </c>
      <c r="L37" s="1055">
        <f t="shared" si="4"/>
        <v>0</v>
      </c>
      <c r="M37" s="1055"/>
      <c r="N37" s="1055"/>
      <c r="O37" s="1055">
        <f>C1275*C1233</f>
        <v>10.830951894845301</v>
      </c>
      <c r="P37" s="1055">
        <f t="shared" si="5"/>
        <v>0</v>
      </c>
      <c r="Q37" s="1055"/>
      <c r="R37" s="1055">
        <f t="shared" si="6"/>
        <v>0</v>
      </c>
      <c r="S37" s="1280"/>
      <c r="T37" s="1055">
        <f t="shared" si="7"/>
        <v>0.2</v>
      </c>
      <c r="U37" s="1055">
        <f t="shared" si="8"/>
        <v>0</v>
      </c>
      <c r="V37" s="1055"/>
      <c r="W37" s="1055">
        <f t="shared" si="9"/>
        <v>0</v>
      </c>
      <c r="Y37" s="1292" t="s">
        <v>2840</v>
      </c>
      <c r="Z37" s="1273">
        <f>Z32/SIN(Z29)</f>
        <v>0</v>
      </c>
      <c r="AA37" s="1273">
        <f>AA32/SIN(AA29)</f>
        <v>0</v>
      </c>
      <c r="AB37" s="995"/>
      <c r="AC37" s="1277"/>
      <c r="AD37" s="1290"/>
      <c r="AE37" s="1290"/>
      <c r="AF37" s="1207"/>
      <c r="AG37" s="3151" t="s">
        <v>2841</v>
      </c>
      <c r="AH37" s="3151"/>
      <c r="AI37" s="3151"/>
      <c r="AJ37" s="3151"/>
      <c r="AK37" s="3151"/>
      <c r="AL37" s="3151"/>
      <c r="AM37" s="1207"/>
    </row>
    <row r="38" spans="1:39" ht="15.75" customHeight="1">
      <c r="A38" s="1287"/>
      <c r="B38" s="1293"/>
      <c r="C38" s="1283"/>
      <c r="D38" s="1294" t="s">
        <v>2842</v>
      </c>
      <c r="E38" s="1280"/>
      <c r="F38" s="1280"/>
      <c r="G38" s="1197">
        <f>G32+G33+G36+G37</f>
        <v>0</v>
      </c>
      <c r="I38" s="1199">
        <f>SUM(I27:I37)</f>
        <v>14.400000000000002</v>
      </c>
      <c r="J38" s="1242"/>
      <c r="K38" s="1199"/>
      <c r="O38" s="1055" t="s">
        <v>2591</v>
      </c>
      <c r="P38" s="1055">
        <f>SUM(P27:P37)</f>
        <v>0</v>
      </c>
      <c r="Q38" s="1055"/>
      <c r="R38" s="1055"/>
      <c r="S38" s="1280"/>
      <c r="T38" s="1055"/>
      <c r="U38" s="1055"/>
      <c r="V38" s="1055"/>
      <c r="W38" s="1055">
        <f>SUM(W27:W37)</f>
        <v>480</v>
      </c>
      <c r="Y38" s="1292" t="s">
        <v>2843</v>
      </c>
      <c r="Z38" s="1268">
        <f>Z27</f>
        <v>7.8</v>
      </c>
      <c r="AA38" s="1268">
        <f>AA27</f>
        <v>7.8</v>
      </c>
      <c r="AB38" s="1268"/>
      <c r="AC38" s="1277"/>
      <c r="AD38" s="1290"/>
      <c r="AE38" s="1290"/>
      <c r="AF38" s="1207"/>
      <c r="AG38" s="3149" t="s">
        <v>2572</v>
      </c>
      <c r="AH38" s="3149"/>
      <c r="AI38" s="3149"/>
      <c r="AJ38" s="1228" t="s">
        <v>156</v>
      </c>
      <c r="AK38" s="551">
        <f>пристройка!C34+пристройка!C33+пристройка!C33</f>
        <v>12</v>
      </c>
      <c r="AL38" s="551">
        <f>AK38</f>
        <v>12</v>
      </c>
      <c r="AM38" s="1207"/>
    </row>
    <row r="39" spans="1:39" ht="15.75" customHeight="1">
      <c r="A39" s="1287" t="s">
        <v>2844</v>
      </c>
      <c r="B39" s="1293"/>
      <c r="C39" s="1283"/>
      <c r="D39" s="1294" t="s">
        <v>2845</v>
      </c>
      <c r="E39" s="1280"/>
      <c r="F39" s="1280"/>
      <c r="G39" s="1242">
        <f>G27+G28+G30+G31+G34+G35</f>
        <v>60</v>
      </c>
      <c r="H39" s="1242"/>
      <c r="K39" s="1262"/>
      <c r="L39" s="1262"/>
      <c r="M39" s="1262"/>
      <c r="N39" s="1262"/>
      <c r="O39" s="1262"/>
      <c r="P39" s="1262"/>
      <c r="Q39" s="1262"/>
      <c r="Y39" s="1292"/>
      <c r="Z39" s="1268"/>
      <c r="AA39" s="1268"/>
      <c r="AB39" s="1268"/>
      <c r="AC39" s="1277"/>
      <c r="AD39" s="1290"/>
      <c r="AE39" s="1290"/>
      <c r="AF39" s="1207"/>
      <c r="AG39" s="3149" t="s">
        <v>2846</v>
      </c>
      <c r="AH39" s="3149"/>
      <c r="AI39" s="3149"/>
      <c r="AJ39" s="1228" t="s">
        <v>133</v>
      </c>
      <c r="AK39" s="551">
        <f>пристройка!C34*пристройка!C33</f>
        <v>18</v>
      </c>
      <c r="AL39" s="551">
        <f>AK39</f>
        <v>18</v>
      </c>
      <c r="AM39" s="1207"/>
    </row>
    <row r="40" spans="1:39" ht="15.75" customHeight="1">
      <c r="A40" s="1287" t="s">
        <v>2847</v>
      </c>
      <c r="B40" s="1285"/>
      <c r="C40" s="1283"/>
      <c r="D40" s="1295"/>
      <c r="E40" s="1280"/>
      <c r="F40" s="1280"/>
      <c r="G40" s="1242"/>
      <c r="H40" s="1242"/>
      <c r="K40" s="1262"/>
      <c r="L40" s="1262"/>
      <c r="M40" s="1262"/>
      <c r="N40" s="1262"/>
      <c r="O40" s="1262"/>
      <c r="P40" s="1262"/>
      <c r="Q40" s="1262"/>
      <c r="Y40" s="1292"/>
      <c r="Z40" s="1268"/>
      <c r="AA40" s="1268"/>
      <c r="AB40" s="1268"/>
      <c r="AC40" s="1277"/>
      <c r="AD40" s="1290"/>
      <c r="AE40" s="1290"/>
      <c r="AF40" s="1207"/>
      <c r="AG40" s="3151" t="s">
        <v>2848</v>
      </c>
      <c r="AH40" s="3151"/>
      <c r="AI40" s="3151"/>
      <c r="AJ40" s="3151"/>
      <c r="AK40" s="3151"/>
      <c r="AL40" s="3151"/>
      <c r="AM40" s="1207"/>
    </row>
    <row r="41" spans="1:39" ht="15.75" customHeight="1">
      <c r="A41" s="1287" t="s">
        <v>2849</v>
      </c>
      <c r="B41" s="1285"/>
      <c r="C41" s="1283"/>
      <c r="D41" s="1295"/>
      <c r="E41" s="1280"/>
      <c r="F41" s="1280"/>
      <c r="G41" s="1242"/>
      <c r="H41" s="1242"/>
      <c r="K41" s="1055" t="s">
        <v>2850</v>
      </c>
      <c r="L41" s="1278" t="s">
        <v>2851</v>
      </c>
      <c r="M41" s="1278"/>
      <c r="N41" s="1278"/>
      <c r="O41" s="1055" t="s">
        <v>2852</v>
      </c>
      <c r="P41" s="1055" t="s">
        <v>2850</v>
      </c>
      <c r="Q41" s="1278" t="s">
        <v>2851</v>
      </c>
      <c r="R41" s="1055" t="s">
        <v>2852</v>
      </c>
      <c r="Y41" s="1292"/>
      <c r="Z41" s="1268"/>
      <c r="AA41" s="1268"/>
      <c r="AB41" s="1268"/>
      <c r="AC41" s="1277"/>
      <c r="AD41" s="1290"/>
      <c r="AE41" s="1290"/>
      <c r="AF41" s="1207"/>
      <c r="AG41" s="3149" t="s">
        <v>2853</v>
      </c>
      <c r="AH41" s="3149"/>
      <c r="AI41" s="3149"/>
      <c r="AJ41" s="1228" t="s">
        <v>133</v>
      </c>
      <c r="AK41" s="551">
        <f>пристройка!C94</f>
        <v>0</v>
      </c>
      <c r="AL41" s="551" t="e">
        <f>пристройка!AF81</f>
        <v>#REF!</v>
      </c>
      <c r="AM41" s="1207"/>
    </row>
    <row r="42" spans="1:39" ht="15.75" customHeight="1">
      <c r="A42" s="1296" t="s">
        <v>2854</v>
      </c>
      <c r="B42" s="1297" t="s">
        <v>120</v>
      </c>
      <c r="C42" s="1298" t="s">
        <v>1800</v>
      </c>
      <c r="D42" s="1299" t="s">
        <v>293</v>
      </c>
      <c r="E42" s="1300" t="s">
        <v>1820</v>
      </c>
      <c r="F42" s="1300" t="s">
        <v>2855</v>
      </c>
      <c r="G42" s="1055" t="s">
        <v>2850</v>
      </c>
      <c r="H42" s="1055"/>
      <c r="I42" s="1278" t="s">
        <v>2851</v>
      </c>
      <c r="J42" s="1055" t="s">
        <v>2852</v>
      </c>
      <c r="K42" s="1055" t="s">
        <v>2856</v>
      </c>
      <c r="L42" s="1278" t="s">
        <v>2856</v>
      </c>
      <c r="M42" s="1278"/>
      <c r="N42" s="1278"/>
      <c r="O42" s="1055" t="s">
        <v>2856</v>
      </c>
      <c r="P42" s="1055" t="s">
        <v>2857</v>
      </c>
      <c r="Q42" s="1055" t="s">
        <v>2857</v>
      </c>
      <c r="R42" s="1055" t="s">
        <v>2857</v>
      </c>
      <c r="Y42" s="1286" t="s">
        <v>2858</v>
      </c>
      <c r="Z42" s="1268">
        <f>Z38-Z37</f>
        <v>7.8</v>
      </c>
      <c r="AA42" s="1268">
        <f>AA38-AA37</f>
        <v>7.8</v>
      </c>
      <c r="AB42" s="1268" t="s">
        <v>2859</v>
      </c>
      <c r="AC42" s="1277" t="s">
        <v>1936</v>
      </c>
      <c r="AD42" s="1290"/>
      <c r="AE42" s="1290"/>
      <c r="AF42" s="1207"/>
      <c r="AG42" s="3149" t="s">
        <v>2860</v>
      </c>
      <c r="AH42" s="3149"/>
      <c r="AI42" s="3149"/>
      <c r="AJ42" s="1228" t="s">
        <v>133</v>
      </c>
      <c r="AK42" s="551" t="e">
        <f>пристройка!#REF!</f>
        <v>#REF!</v>
      </c>
      <c r="AL42" s="551">
        <f>пристройка!AF83</f>
        <v>0</v>
      </c>
      <c r="AM42" s="1207"/>
    </row>
    <row r="43" spans="1:39" ht="15.75" customHeight="1">
      <c r="A43" s="1301" t="s">
        <v>2001</v>
      </c>
      <c r="B43" s="1302" t="s">
        <v>156</v>
      </c>
      <c r="C43" s="1303">
        <v>0.1</v>
      </c>
      <c r="D43" s="1300">
        <v>0.2</v>
      </c>
      <c r="E43" s="1304">
        <f>IF('Ввод данных'!A33=связи1!A200,0,1)</f>
        <v>0</v>
      </c>
      <c r="F43" s="1300">
        <f>F1086</f>
        <v>100</v>
      </c>
      <c r="G43" s="1055">
        <f>S27*E43</f>
        <v>0</v>
      </c>
      <c r="H43" s="1055"/>
      <c r="I43" s="1278">
        <f>пристройка!R28</f>
        <v>0</v>
      </c>
      <c r="J43" s="1055">
        <f>D1229*E1235*C1275</f>
        <v>0</v>
      </c>
      <c r="K43" s="1055">
        <f>IF(E43=1,4,0)</f>
        <v>0</v>
      </c>
      <c r="L43" s="1278">
        <f>IF(I43&gt;0,2,0)</f>
        <v>0</v>
      </c>
      <c r="M43" s="1278"/>
      <c r="N43" s="1278"/>
      <c r="O43" s="1055">
        <f>IF(J43&gt;0,4,0)</f>
        <v>0</v>
      </c>
      <c r="P43" s="1055"/>
      <c r="Q43" s="1055">
        <f t="shared" ref="Q43:R45" si="10">IF(I43&gt;0,2,0)</f>
        <v>0</v>
      </c>
      <c r="R43" s="1055">
        <f t="shared" si="10"/>
        <v>0</v>
      </c>
      <c r="Y43" s="1305" t="s">
        <v>2861</v>
      </c>
      <c r="Z43" s="919">
        <f>COS(AC43)/AB43</f>
        <v>0.55751940529700694</v>
      </c>
      <c r="AA43" s="919">
        <f>COS(AE43)/AD43</f>
        <v>0.55751940529700694</v>
      </c>
      <c r="AB43" s="919">
        <f>C1148</f>
        <v>0.5</v>
      </c>
      <c r="AC43" s="919">
        <f>90-Z30</f>
        <v>32.704220486917677</v>
      </c>
      <c r="AD43" s="919">
        <f>C1150</f>
        <v>0.5</v>
      </c>
      <c r="AE43" s="919">
        <f>90-AA30</f>
        <v>32.704220486917677</v>
      </c>
      <c r="AF43" s="1207"/>
      <c r="AG43" s="3149" t="s">
        <v>2862</v>
      </c>
      <c r="AH43" s="3149"/>
      <c r="AI43" s="3149"/>
      <c r="AJ43" s="1228" t="s">
        <v>133</v>
      </c>
      <c r="AK43" s="551" t="e">
        <f>пристройка!#REF!</f>
        <v>#REF!</v>
      </c>
      <c r="AL43" s="551" t="e">
        <f>пристройка!AF84</f>
        <v>#REF!</v>
      </c>
      <c r="AM43" s="1207"/>
    </row>
    <row r="44" spans="1:39" ht="15.75" customHeight="1">
      <c r="A44" s="1301" t="s">
        <v>2557</v>
      </c>
      <c r="B44" s="1302" t="s">
        <v>156</v>
      </c>
      <c r="C44" s="1303">
        <v>0.1</v>
      </c>
      <c r="D44" s="1300">
        <v>0.2</v>
      </c>
      <c r="E44" s="1304">
        <f>IF('Ввод данных'!A6=связи1!A94,1,0)+IF('Ввод данных'!A6=связи1!A95,1,0)+IF('Ввод данных'!A6=связи1!A96,1,0)+IF('Ввод данных'!A6=связи1!A97,0,0)+IF('Ввод данных'!A6=связи1!A98,1,0)</f>
        <v>1</v>
      </c>
      <c r="F44" s="1300">
        <f>F1087</f>
        <v>100</v>
      </c>
      <c r="G44" s="1055">
        <f>S27*E44</f>
        <v>40</v>
      </c>
      <c r="H44" s="1055"/>
      <c r="I44" s="1278">
        <f>пристройка!R29</f>
        <v>0</v>
      </c>
      <c r="J44" s="1055">
        <f>D1229*E1236*C1275</f>
        <v>0</v>
      </c>
      <c r="K44" s="1055">
        <f>IF(E44=1,4,0)</f>
        <v>4</v>
      </c>
      <c r="L44" s="1278">
        <f>IF(I44&gt;0,2,0)</f>
        <v>0</v>
      </c>
      <c r="M44" s="1278"/>
      <c r="N44" s="1278"/>
      <c r="O44" s="1055">
        <f>IF(J44&gt;0,4,0)</f>
        <v>0</v>
      </c>
      <c r="P44" s="1055"/>
      <c r="Q44" s="1055">
        <f t="shared" si="10"/>
        <v>0</v>
      </c>
      <c r="R44" s="1055">
        <f t="shared" si="10"/>
        <v>0</v>
      </c>
      <c r="Y44" s="1305" t="s">
        <v>2863</v>
      </c>
      <c r="Z44" s="1280">
        <f>C1152</f>
        <v>0.8</v>
      </c>
      <c r="AA44" s="1280">
        <f>Z44</f>
        <v>0.8</v>
      </c>
      <c r="AB44" s="1280"/>
      <c r="AC44" s="1280"/>
      <c r="AE44" s="1290"/>
      <c r="AF44" s="1207"/>
      <c r="AG44" s="3149" t="s">
        <v>2864</v>
      </c>
      <c r="AH44" s="3149"/>
      <c r="AI44" s="3149"/>
      <c r="AJ44" s="1228" t="s">
        <v>133</v>
      </c>
      <c r="AK44" s="551"/>
      <c r="AL44" s="551" t="e">
        <f>пристройка!AE79</f>
        <v>#REF!</v>
      </c>
      <c r="AM44" s="1207"/>
    </row>
    <row r="45" spans="1:39" ht="15.75" customHeight="1">
      <c r="A45" s="1301" t="s">
        <v>2558</v>
      </c>
      <c r="B45" s="1302" t="s">
        <v>156</v>
      </c>
      <c r="C45" s="1303">
        <v>0.1</v>
      </c>
      <c r="D45" s="1300">
        <v>0.2</v>
      </c>
      <c r="E45" s="1304">
        <f>IF('Ввод данных'!A6=связи1!A95,1,0)+IF('Ввод данных'!A6=связи1!A98,1,0)</f>
        <v>0</v>
      </c>
      <c r="F45" s="1300">
        <f>F1090</f>
        <v>0</v>
      </c>
      <c r="G45" s="1275">
        <f>S27*E45</f>
        <v>0</v>
      </c>
      <c r="H45" s="1275"/>
      <c r="I45" s="1306">
        <f>пристройка!R30</f>
        <v>0</v>
      </c>
      <c r="J45" s="1275">
        <f>D1229*E1237*C1275</f>
        <v>0</v>
      </c>
      <c r="K45" s="1055">
        <f>IF(E45=1,4,0)</f>
        <v>0</v>
      </c>
      <c r="L45" s="1278">
        <f>IF(I45&gt;0,2,0)</f>
        <v>0</v>
      </c>
      <c r="M45" s="1278"/>
      <c r="N45" s="1278"/>
      <c r="O45" s="1055">
        <f>IF(J45&gt;0,4,0)</f>
        <v>0</v>
      </c>
      <c r="P45" s="1055"/>
      <c r="Q45" s="1055">
        <f t="shared" si="10"/>
        <v>0</v>
      </c>
      <c r="R45" s="1055">
        <f t="shared" si="10"/>
        <v>0</v>
      </c>
      <c r="Y45" s="1305" t="s">
        <v>2865</v>
      </c>
      <c r="Z45" s="1280">
        <f>C1155</f>
        <v>0.8</v>
      </c>
      <c r="AA45" s="1280">
        <f>Z45</f>
        <v>0.8</v>
      </c>
      <c r="AB45" s="1280"/>
      <c r="AC45" s="1280"/>
      <c r="AE45" s="1290"/>
      <c r="AF45" s="1207"/>
      <c r="AG45" s="3149" t="s">
        <v>2661</v>
      </c>
      <c r="AH45" s="3149"/>
      <c r="AI45" s="3149"/>
      <c r="AJ45" s="1228" t="s">
        <v>133</v>
      </c>
      <c r="AK45" s="551">
        <f>пристройка!C11</f>
        <v>0</v>
      </c>
      <c r="AL45" s="551">
        <f>пристройка!C11</f>
        <v>0</v>
      </c>
      <c r="AM45" s="1207"/>
    </row>
    <row r="46" spans="1:39" ht="15.75" customHeight="1">
      <c r="A46" s="1307" t="s">
        <v>1515</v>
      </c>
      <c r="B46" s="1308" t="s">
        <v>1800</v>
      </c>
      <c r="C46" s="1308" t="s">
        <v>293</v>
      </c>
      <c r="D46" s="1309" t="s">
        <v>1802</v>
      </c>
      <c r="E46" s="1309" t="s">
        <v>2866</v>
      </c>
      <c r="G46" s="1280">
        <f>SUM(G43:G45)</f>
        <v>40</v>
      </c>
      <c r="H46" s="1280"/>
      <c r="I46" s="1310">
        <f>SUM(I43:I45)</f>
        <v>0</v>
      </c>
      <c r="J46" s="1280">
        <f>SUM(J43:J45)</f>
        <v>0</v>
      </c>
      <c r="K46" s="1055">
        <f>SUM(K43:K45)</f>
        <v>4</v>
      </c>
      <c r="L46" s="1055">
        <f>SUM(L43:L45)</f>
        <v>0</v>
      </c>
      <c r="M46" s="1055"/>
      <c r="N46" s="1055"/>
      <c r="O46" s="1055">
        <f>SUM(O43:O45)</f>
        <v>0</v>
      </c>
      <c r="P46" s="1055"/>
      <c r="Q46" s="1055">
        <f>SUM(Q43:Q45)</f>
        <v>0</v>
      </c>
      <c r="R46" s="1055">
        <f>SUM(R43:R45)</f>
        <v>0</v>
      </c>
      <c r="S46" s="1055"/>
      <c r="Y46" s="1305" t="s">
        <v>2867</v>
      </c>
      <c r="Z46" s="1280">
        <f>(Z38+Z43)*(Z16+Z44+Z45)</f>
        <v>96.947225101445284</v>
      </c>
      <c r="AA46" s="1280">
        <f>(AA38+AA43)*(AA16+AA44+AA45)</f>
        <v>96.947225101445284</v>
      </c>
      <c r="AB46" s="1305" t="s">
        <v>2623</v>
      </c>
      <c r="AC46" s="1280">
        <f>Z46+AA46</f>
        <v>193.89445020289057</v>
      </c>
      <c r="AE46" s="1290"/>
      <c r="AF46" s="1207"/>
      <c r="AG46" s="3151" t="s">
        <v>1883</v>
      </c>
      <c r="AH46" s="3151"/>
      <c r="AI46" s="3151"/>
      <c r="AJ46" s="3151"/>
      <c r="AK46" s="3151"/>
      <c r="AL46" s="3151"/>
      <c r="AM46" s="1207"/>
    </row>
    <row r="47" spans="1:39" ht="15.75" customHeight="1">
      <c r="A47" s="971" t="s">
        <v>2868</v>
      </c>
      <c r="B47" s="1033">
        <f>'Ввод данных'!C68</f>
        <v>1</v>
      </c>
      <c r="C47" s="1261">
        <f>'Ввод данных'!D68</f>
        <v>1.2</v>
      </c>
      <c r="D47" s="977">
        <f>'Ввод данных'!E68</f>
        <v>1</v>
      </c>
      <c r="E47" s="1063">
        <f t="shared" ref="E47:E60" si="11">B47*C47*D47</f>
        <v>1.2</v>
      </c>
      <c r="J47" s="1311">
        <f>SUM(G46:J46)</f>
        <v>40</v>
      </c>
      <c r="Y47" s="1286" t="s">
        <v>2869</v>
      </c>
      <c r="Z47" s="1268">
        <f>SQRT(Z37*Z37-Z32*Z32)</f>
        <v>0</v>
      </c>
      <c r="AA47" s="1268">
        <f>SQRT(AA37*AA37-AA32*AA32)</f>
        <v>0</v>
      </c>
      <c r="AB47" s="1305" t="s">
        <v>2870</v>
      </c>
      <c r="AC47" s="1277">
        <f>AC46*1.2</f>
        <v>232.67334024346866</v>
      </c>
      <c r="AD47" s="1290"/>
      <c r="AE47" s="1290"/>
      <c r="AF47" s="1207"/>
      <c r="AG47" s="3128" t="s">
        <v>2705</v>
      </c>
      <c r="AH47" s="3128"/>
      <c r="AI47" s="3128"/>
      <c r="AJ47" s="1238" t="s">
        <v>156</v>
      </c>
      <c r="AK47" s="1229" t="e">
        <f>дома!#REF!</f>
        <v>#REF!</v>
      </c>
      <c r="AL47" s="551"/>
      <c r="AM47" s="1207"/>
    </row>
    <row r="48" spans="1:39" ht="15.75" customHeight="1">
      <c r="A48" s="971" t="s">
        <v>2871</v>
      </c>
      <c r="B48" s="1033">
        <f>'Ввод данных'!C69</f>
        <v>0.6</v>
      </c>
      <c r="C48" s="1261">
        <f>'Ввод данных'!D69</f>
        <v>0.6</v>
      </c>
      <c r="D48" s="977">
        <f>'Ввод данных'!E69</f>
        <v>0</v>
      </c>
      <c r="E48" s="1063">
        <f t="shared" si="11"/>
        <v>0</v>
      </c>
      <c r="J48" s="1312" t="s">
        <v>2872</v>
      </c>
      <c r="K48" s="1312"/>
      <c r="L48" s="1312">
        <f>K46+L46+O46</f>
        <v>4</v>
      </c>
      <c r="M48" s="1313"/>
      <c r="N48" s="1313"/>
      <c r="Y48" s="1286" t="s">
        <v>2873</v>
      </c>
      <c r="Z48" s="1268">
        <f>Z17-Z47</f>
        <v>0</v>
      </c>
      <c r="AA48" s="1268">
        <f>AA17-AA47</f>
        <v>0</v>
      </c>
      <c r="AB48" s="1268"/>
      <c r="AC48" s="1277"/>
      <c r="AD48" s="1290"/>
      <c r="AE48" s="1290"/>
      <c r="AF48" s="1207"/>
      <c r="AG48" s="3149" t="s">
        <v>2874</v>
      </c>
      <c r="AH48" s="3149"/>
      <c r="AI48" s="3149"/>
      <c r="AJ48" s="1244" t="s">
        <v>156</v>
      </c>
      <c r="AK48" s="1291">
        <f>пристройка!C39</f>
        <v>0</v>
      </c>
      <c r="AL48" s="1291">
        <f>пристройка!AD38-пристройка!AD40</f>
        <v>1</v>
      </c>
      <c r="AM48" s="1207"/>
    </row>
    <row r="49" spans="1:39" ht="15.75" customHeight="1">
      <c r="A49" s="971" t="s">
        <v>2875</v>
      </c>
      <c r="B49" s="1033">
        <f>'Ввод данных'!C70</f>
        <v>1</v>
      </c>
      <c r="C49" s="1261">
        <f>'Ввод данных'!D70</f>
        <v>2</v>
      </c>
      <c r="D49" s="977">
        <f>'Ввод данных'!E70</f>
        <v>0</v>
      </c>
      <c r="E49" s="1063">
        <f t="shared" si="11"/>
        <v>0</v>
      </c>
      <c r="J49" s="1312" t="s">
        <v>2876</v>
      </c>
      <c r="K49" s="1312"/>
      <c r="L49" s="1312">
        <f>P46+Q46+R46</f>
        <v>0</v>
      </c>
      <c r="M49" s="1313"/>
      <c r="N49" s="1313"/>
      <c r="Y49" s="1286" t="s">
        <v>2877</v>
      </c>
      <c r="Z49" s="1314">
        <f>F20*Z17+Z32*Z17-Z47*Z32</f>
        <v>0</v>
      </c>
      <c r="AA49" s="1314">
        <f>AA21*AA17+AA32*AA17-AA47*AA32</f>
        <v>0</v>
      </c>
      <c r="AB49" s="1278" t="s">
        <v>2591</v>
      </c>
      <c r="AC49" s="1315">
        <f>Z49+AA49</f>
        <v>0</v>
      </c>
      <c r="AD49" s="1290" t="s">
        <v>133</v>
      </c>
      <c r="AE49" s="1290"/>
      <c r="AF49" s="1207"/>
      <c r="AG49" s="3149" t="s">
        <v>2751</v>
      </c>
      <c r="AH49" s="3149"/>
      <c r="AI49" s="3149"/>
      <c r="AJ49" s="1228" t="s">
        <v>156</v>
      </c>
      <c r="AK49" s="551">
        <f>пристройка!C38</f>
        <v>0</v>
      </c>
      <c r="AL49" s="551">
        <f>пристройка!AD39-пристройка!AD10</f>
        <v>2.6999999999999997</v>
      </c>
      <c r="AM49" s="1207"/>
    </row>
    <row r="50" spans="1:39" ht="15.75" customHeight="1">
      <c r="A50" s="970" t="s">
        <v>2878</v>
      </c>
      <c r="B50" s="1033">
        <f>'Ввод данных'!C71</f>
        <v>0.6</v>
      </c>
      <c r="C50" s="1261">
        <f>'Ввод данных'!D71</f>
        <v>1.5</v>
      </c>
      <c r="D50" s="977">
        <f>'Ввод данных'!E71</f>
        <v>0</v>
      </c>
      <c r="E50" s="1063">
        <f t="shared" si="11"/>
        <v>0</v>
      </c>
      <c r="I50" s="1199" t="s">
        <v>2879</v>
      </c>
      <c r="J50" s="1055">
        <f>P379+P389</f>
        <v>0</v>
      </c>
      <c r="K50" s="1197" t="s">
        <v>2613</v>
      </c>
      <c r="Y50" s="1286"/>
      <c r="Z50" s="1314"/>
      <c r="AA50" s="1314"/>
      <c r="AB50" s="1278"/>
      <c r="AC50" s="1315"/>
      <c r="AD50" s="1290"/>
      <c r="AE50" s="1290"/>
      <c r="AF50" s="1207"/>
      <c r="AG50" s="3149" t="s">
        <v>2880</v>
      </c>
      <c r="AH50" s="3149"/>
      <c r="AI50" s="3149"/>
      <c r="AJ50" s="1228" t="s">
        <v>156</v>
      </c>
      <c r="AK50" s="551">
        <f>пристройка!AF54</f>
        <v>1.2</v>
      </c>
      <c r="AL50" s="551">
        <f>пристройка!AD41-пристройка!AD10</f>
        <v>2.6999999999999997</v>
      </c>
      <c r="AM50" s="1207"/>
    </row>
    <row r="51" spans="1:39" ht="15.75" customHeight="1">
      <c r="A51" s="970" t="s">
        <v>2881</v>
      </c>
      <c r="B51" s="1033">
        <f>'Ввод данных'!C72</f>
        <v>0.5</v>
      </c>
      <c r="C51" s="1261">
        <f>'Ввод данных'!D72</f>
        <v>1.5</v>
      </c>
      <c r="D51" s="977">
        <f>'Ввод данных'!E72</f>
        <v>0</v>
      </c>
      <c r="E51" s="1063">
        <f t="shared" si="11"/>
        <v>0</v>
      </c>
      <c r="J51" s="1197">
        <f>(P840+P850)*E834</f>
        <v>0</v>
      </c>
      <c r="K51" s="1197" t="s">
        <v>2622</v>
      </c>
      <c r="Y51" s="1286" t="s">
        <v>2882</v>
      </c>
      <c r="Z51" s="1314">
        <f>F23*Z17</f>
        <v>0</v>
      </c>
      <c r="AA51" s="1314">
        <f>G23*AA17</f>
        <v>0</v>
      </c>
      <c r="AB51" s="1278" t="s">
        <v>2591</v>
      </c>
      <c r="AC51" s="1315">
        <f t="shared" ref="AC51:AC58" si="12">Z51+AA51</f>
        <v>0</v>
      </c>
      <c r="AD51" s="1290" t="s">
        <v>133</v>
      </c>
      <c r="AE51" s="1290"/>
      <c r="AF51" s="1207"/>
      <c r="AG51" s="3149" t="s">
        <v>2883</v>
      </c>
      <c r="AH51" s="3149"/>
      <c r="AI51" s="3149"/>
      <c r="AJ51" s="1244" t="s">
        <v>156</v>
      </c>
      <c r="AK51" s="1229">
        <f>пристройка!C68</f>
        <v>0</v>
      </c>
      <c r="AL51" s="551" t="e">
        <f>пристройка!#REF!</f>
        <v>#REF!</v>
      </c>
      <c r="AM51" s="1207"/>
    </row>
    <row r="52" spans="1:39" ht="15.75" customHeight="1">
      <c r="A52" s="970" t="s">
        <v>2884</v>
      </c>
      <c r="B52" s="1033">
        <f>'Ввод данных'!C77</f>
        <v>0.6</v>
      </c>
      <c r="C52" s="1261">
        <f>'Ввод данных'!D77</f>
        <v>0.6</v>
      </c>
      <c r="D52" s="977">
        <f>'Ввод данных'!E77</f>
        <v>0</v>
      </c>
      <c r="E52" s="1063">
        <f t="shared" si="11"/>
        <v>0</v>
      </c>
      <c r="Y52" s="1286" t="s">
        <v>2780</v>
      </c>
      <c r="Z52" s="1268">
        <f>IF(F23&gt;0,(Z24-F23)*Z17/2,(Z25-Z36)*Z48)</f>
        <v>0</v>
      </c>
      <c r="AA52" s="1268">
        <f>IF(G23&gt;0,(AA24-G23)*AA17/2,(AA25-AA36)*AA48)</f>
        <v>0</v>
      </c>
      <c r="AB52" s="1278" t="s">
        <v>2591</v>
      </c>
      <c r="AC52" s="995">
        <f t="shared" si="12"/>
        <v>0</v>
      </c>
      <c r="AD52" s="1197" t="s">
        <v>133</v>
      </c>
      <c r="AE52" s="1290"/>
      <c r="AF52" s="1207"/>
      <c r="AG52" s="3149" t="s">
        <v>2885</v>
      </c>
      <c r="AH52" s="3149"/>
      <c r="AI52" s="3149"/>
      <c r="AJ52" s="1244" t="s">
        <v>156</v>
      </c>
      <c r="AK52" s="1229">
        <f>пристройка!C76</f>
        <v>0</v>
      </c>
      <c r="AL52" s="551" t="e">
        <f>пристройка!#REF!</f>
        <v>#REF!</v>
      </c>
      <c r="AM52" s="1207"/>
    </row>
    <row r="53" spans="1:39" ht="15.75" customHeight="1">
      <c r="A53" s="970" t="s">
        <v>2886</v>
      </c>
      <c r="B53" s="1033">
        <f>'Ввод данных'!C78</f>
        <v>0.8</v>
      </c>
      <c r="C53" s="1261">
        <f>'Ввод данных'!D78</f>
        <v>0.8</v>
      </c>
      <c r="D53" s="977">
        <f>'Ввод данных'!E78</f>
        <v>0</v>
      </c>
      <c r="E53" s="1063">
        <f t="shared" si="11"/>
        <v>0</v>
      </c>
      <c r="Y53" s="1286" t="s">
        <v>2887</v>
      </c>
      <c r="Z53" s="1316">
        <f>Z49+Z51+Z52</f>
        <v>0</v>
      </c>
      <c r="AA53" s="1316">
        <f>AA49+AA51+AA52</f>
        <v>0</v>
      </c>
      <c r="AB53" s="1278" t="s">
        <v>2591</v>
      </c>
      <c r="AC53" s="1315">
        <f t="shared" si="12"/>
        <v>0</v>
      </c>
      <c r="AD53" s="1290" t="s">
        <v>133</v>
      </c>
      <c r="AE53" s="1290"/>
      <c r="AF53" s="1207"/>
      <c r="AG53" s="3081" t="s">
        <v>2623</v>
      </c>
      <c r="AH53" s="3081"/>
      <c r="AI53" s="3081"/>
      <c r="AJ53" s="261" t="s">
        <v>133</v>
      </c>
      <c r="AK53" s="1229">
        <f>пристройка!C77</f>
        <v>0</v>
      </c>
      <c r="AL53" s="1291" t="e">
        <f>пристройка!AE187</f>
        <v>#REF!</v>
      </c>
      <c r="AM53" s="1207"/>
    </row>
    <row r="54" spans="1:39" ht="15.75" customHeight="1">
      <c r="A54" s="970" t="s">
        <v>2888</v>
      </c>
      <c r="B54" s="1033">
        <f>'Ввод данных'!C79</f>
        <v>1</v>
      </c>
      <c r="C54" s="1261">
        <f>'Ввод данных'!D79</f>
        <v>0.7</v>
      </c>
      <c r="D54" s="977">
        <f>'Ввод данных'!E79</f>
        <v>0</v>
      </c>
      <c r="E54" s="1063">
        <f t="shared" si="11"/>
        <v>0</v>
      </c>
      <c r="Y54" s="1286" t="s">
        <v>2889</v>
      </c>
      <c r="Z54" s="1316">
        <f>Z49+Z51+Z52</f>
        <v>0</v>
      </c>
      <c r="AA54" s="1316">
        <f>AA49+AA51+AA52</f>
        <v>0</v>
      </c>
      <c r="AB54" s="1278" t="s">
        <v>2591</v>
      </c>
      <c r="AC54" s="1315">
        <f t="shared" si="12"/>
        <v>0</v>
      </c>
      <c r="AD54" s="1290" t="s">
        <v>133</v>
      </c>
      <c r="AE54" s="1290"/>
      <c r="AF54" s="1207"/>
      <c r="AG54" s="3081" t="s">
        <v>2766</v>
      </c>
      <c r="AH54" s="3081"/>
      <c r="AI54" s="3081"/>
      <c r="AJ54" s="261" t="s">
        <v>133</v>
      </c>
      <c r="AK54" s="1229">
        <f>пристройка!C78</f>
        <v>0</v>
      </c>
      <c r="AL54" s="1291" t="e">
        <f>пристройка!AE188</f>
        <v>#REF!</v>
      </c>
      <c r="AM54" s="1207"/>
    </row>
    <row r="55" spans="1:39" ht="15.75" customHeight="1">
      <c r="A55" s="970" t="s">
        <v>2890</v>
      </c>
      <c r="B55" s="1033">
        <f>'Ввод данных'!C80</f>
        <v>5</v>
      </c>
      <c r="C55" s="1261">
        <f>'Ввод данных'!D80</f>
        <v>3</v>
      </c>
      <c r="D55" s="977">
        <f>'Ввод данных'!E80</f>
        <v>0</v>
      </c>
      <c r="E55" s="1063">
        <f t="shared" si="11"/>
        <v>0</v>
      </c>
      <c r="Y55" s="1286" t="s">
        <v>2891</v>
      </c>
      <c r="Z55" s="995">
        <f>Z18</f>
        <v>0</v>
      </c>
      <c r="AA55" s="995">
        <f>AA18</f>
        <v>0</v>
      </c>
      <c r="AB55" s="1278" t="s">
        <v>2591</v>
      </c>
      <c r="AC55" s="1277">
        <f t="shared" si="12"/>
        <v>0</v>
      </c>
      <c r="AD55" s="1290" t="s">
        <v>133</v>
      </c>
      <c r="AE55" s="1290"/>
      <c r="AF55" s="1207"/>
      <c r="AG55" s="3149" t="s">
        <v>2774</v>
      </c>
      <c r="AH55" s="3149"/>
      <c r="AI55" s="3149"/>
      <c r="AJ55" s="1244" t="s">
        <v>133</v>
      </c>
      <c r="AK55" s="1229">
        <f>пристройка!C79</f>
        <v>0</v>
      </c>
      <c r="AL55" s="1291" t="e">
        <f>пристройка!AE189</f>
        <v>#REF!</v>
      </c>
      <c r="AM55" s="1207"/>
    </row>
    <row r="56" spans="1:39" ht="15.75" customHeight="1">
      <c r="A56" s="970" t="s">
        <v>2892</v>
      </c>
      <c r="B56" s="1033">
        <f>'Ввод данных'!C81</f>
        <v>6</v>
      </c>
      <c r="C56" s="1261">
        <f>'Ввод данных'!D81</f>
        <v>2</v>
      </c>
      <c r="D56" s="977">
        <f>'Ввод данных'!E81</f>
        <v>0</v>
      </c>
      <c r="E56" s="1063">
        <f t="shared" si="11"/>
        <v>0</v>
      </c>
      <c r="Y56" s="1286" t="s">
        <v>2893</v>
      </c>
      <c r="Z56" s="1317">
        <f>Z19</f>
        <v>0</v>
      </c>
      <c r="AA56" s="1317">
        <f>AA19</f>
        <v>0</v>
      </c>
      <c r="AB56" s="1306" t="s">
        <v>2591</v>
      </c>
      <c r="AC56" s="1318">
        <f t="shared" si="12"/>
        <v>0</v>
      </c>
      <c r="AD56" s="1290" t="s">
        <v>133</v>
      </c>
      <c r="AE56" s="1290"/>
      <c r="AF56" s="1207"/>
      <c r="AG56" s="3149" t="s">
        <v>2780</v>
      </c>
      <c r="AH56" s="3149"/>
      <c r="AI56" s="3149"/>
      <c r="AJ56" s="1244" t="s">
        <v>133</v>
      </c>
      <c r="AK56" s="1291">
        <f>пристройка!C39*пристройка!C33/2</f>
        <v>0</v>
      </c>
      <c r="AL56" s="1291">
        <f>(пристройка!AD38-пристройка!AD40)*пристройка!C33/2</f>
        <v>1.5</v>
      </c>
      <c r="AM56" s="1207"/>
    </row>
    <row r="57" spans="1:39" ht="15.75" customHeight="1">
      <c r="A57" s="970" t="s">
        <v>2894</v>
      </c>
      <c r="B57" s="1033">
        <f>'Ввод данных'!C73</f>
        <v>0.8</v>
      </c>
      <c r="C57" s="1261">
        <f>'Ввод данных'!D73</f>
        <v>2.1</v>
      </c>
      <c r="D57" s="977">
        <f>'Ввод данных'!E73</f>
        <v>0</v>
      </c>
      <c r="E57" s="1063">
        <f t="shared" si="11"/>
        <v>0</v>
      </c>
      <c r="Y57" s="1286" t="s">
        <v>2784</v>
      </c>
      <c r="Z57" s="1316">
        <f>Z53+Z54+Z55*2</f>
        <v>0</v>
      </c>
      <c r="AA57" s="1316">
        <f>AA52+AA53+AA54+AA55</f>
        <v>0</v>
      </c>
      <c r="AB57" s="1319" t="s">
        <v>2591</v>
      </c>
      <c r="AC57" s="1315">
        <f t="shared" si="12"/>
        <v>0</v>
      </c>
      <c r="AD57" s="1290" t="s">
        <v>133</v>
      </c>
      <c r="AE57" s="1290"/>
      <c r="AF57" s="1207"/>
      <c r="AM57" s="1207"/>
    </row>
    <row r="58" spans="1:39" ht="15.75" customHeight="1">
      <c r="A58" s="970" t="s">
        <v>2895</v>
      </c>
      <c r="B58" s="1033">
        <f>'Ввод данных'!C82</f>
        <v>0.8</v>
      </c>
      <c r="C58" s="1261">
        <f>'Ввод данных'!D82</f>
        <v>2.1</v>
      </c>
      <c r="D58" s="977">
        <f>'Ввод данных'!E82</f>
        <v>0</v>
      </c>
      <c r="E58" s="1063">
        <f t="shared" si="11"/>
        <v>0</v>
      </c>
      <c r="Y58" s="1286" t="s">
        <v>2785</v>
      </c>
      <c r="Z58" s="1316">
        <f>Z51*2+Z56*2</f>
        <v>0</v>
      </c>
      <c r="AA58" s="1316">
        <f>AA51+AA56</f>
        <v>0</v>
      </c>
      <c r="AB58" s="1319" t="s">
        <v>2591</v>
      </c>
      <c r="AC58" s="1315">
        <f t="shared" si="12"/>
        <v>0</v>
      </c>
      <c r="AD58" s="1290" t="s">
        <v>133</v>
      </c>
      <c r="AE58" s="1290"/>
      <c r="AF58" s="1207"/>
      <c r="AG58" s="3152" t="s">
        <v>2735</v>
      </c>
      <c r="AH58" s="3152"/>
      <c r="AI58" s="3152"/>
      <c r="AJ58" s="3152"/>
      <c r="AK58" s="3153" t="s">
        <v>2546</v>
      </c>
      <c r="AL58" s="3153" t="s">
        <v>2543</v>
      </c>
      <c r="AM58" s="1207"/>
    </row>
    <row r="59" spans="1:39" ht="15.75" customHeight="1">
      <c r="A59" s="1320" t="s">
        <v>2896</v>
      </c>
      <c r="B59" s="1033">
        <f>'Ввод данных'!C74</f>
        <v>2</v>
      </c>
      <c r="C59" s="1261">
        <f>'Ввод данных'!D74</f>
        <v>2</v>
      </c>
      <c r="D59" s="977">
        <f>'Ввод данных'!E74</f>
        <v>0</v>
      </c>
      <c r="E59" s="1063">
        <f t="shared" si="11"/>
        <v>0</v>
      </c>
      <c r="Y59" s="1286"/>
      <c r="Z59" s="1321"/>
      <c r="AA59" s="1321"/>
      <c r="AB59" s="1322"/>
      <c r="AC59" s="1323"/>
      <c r="AD59" s="1290"/>
      <c r="AE59" s="1290"/>
      <c r="AF59" s="1207"/>
      <c r="AG59" s="3152"/>
      <c r="AH59" s="3152"/>
      <c r="AI59" s="3152"/>
      <c r="AJ59" s="3152"/>
      <c r="AK59" s="3153"/>
      <c r="AL59" s="3153"/>
      <c r="AM59" s="1207"/>
    </row>
    <row r="60" spans="1:39" ht="15.75" customHeight="1">
      <c r="A60" s="1320" t="s">
        <v>2897</v>
      </c>
      <c r="B60" s="1033">
        <f>'Ввод данных'!C75</f>
        <v>0</v>
      </c>
      <c r="C60" s="1261">
        <f>'Ввод данных'!D75</f>
        <v>3</v>
      </c>
      <c r="D60" s="977">
        <f>'Ввод данных'!E75</f>
        <v>0</v>
      </c>
      <c r="E60" s="1063">
        <f t="shared" si="11"/>
        <v>0</v>
      </c>
      <c r="Y60" s="1286"/>
      <c r="Z60" s="1321"/>
      <c r="AA60" s="1321"/>
      <c r="AB60" s="1322"/>
      <c r="AC60" s="1323"/>
      <c r="AD60" s="1290"/>
      <c r="AE60" s="1290"/>
      <c r="AF60" s="1207"/>
      <c r="AG60" s="3149" t="s">
        <v>2836</v>
      </c>
      <c r="AH60" s="3149"/>
      <c r="AI60" s="3149"/>
      <c r="AJ60" s="1228" t="s">
        <v>156</v>
      </c>
      <c r="AK60" s="529">
        <f>дома!C1245</f>
        <v>5</v>
      </c>
      <c r="AL60" s="1291">
        <f>AK60</f>
        <v>5</v>
      </c>
      <c r="AM60" s="1207"/>
    </row>
    <row r="61" spans="1:39" ht="15.75" customHeight="1">
      <c r="A61" s="1245" t="s">
        <v>2898</v>
      </c>
      <c r="B61" s="1324"/>
      <c r="C61" s="1324"/>
      <c r="D61" s="1325"/>
      <c r="E61" s="1063">
        <f>SUM(E47:E58)</f>
        <v>1.2</v>
      </c>
      <c r="Y61" s="1199" t="s">
        <v>2899</v>
      </c>
      <c r="Z61" s="1326">
        <f>IF('Ввод данных'!A6=связи1!A94,дома!Z52,0)+IF('Ввод данных'!A6=связи1!A97,дома!Z52,0)</f>
        <v>0</v>
      </c>
      <c r="AA61" s="1326">
        <f>IF('Ввод данных'!A6=связи1!A94,дома!AA52,0)+IF('Ввод данных'!A6=связи1!A97,дома!AA52,0)</f>
        <v>0</v>
      </c>
      <c r="AB61" s="1327" t="s">
        <v>2591</v>
      </c>
      <c r="AC61" s="1326">
        <f>Z61+AA61</f>
        <v>0</v>
      </c>
      <c r="AD61" s="1290" t="s">
        <v>133</v>
      </c>
      <c r="AE61" s="1290"/>
      <c r="AF61" s="1207"/>
      <c r="AG61" s="3149" t="s">
        <v>2838</v>
      </c>
      <c r="AH61" s="3149"/>
      <c r="AI61" s="3149"/>
      <c r="AJ61" s="1228" t="s">
        <v>156</v>
      </c>
      <c r="AK61" s="529">
        <f>дома!C1244</f>
        <v>4</v>
      </c>
      <c r="AL61" s="1291">
        <f>AK61</f>
        <v>4</v>
      </c>
      <c r="AM61" s="1207"/>
    </row>
    <row r="62" spans="1:39" ht="15.75" customHeight="1">
      <c r="A62" s="1307" t="s">
        <v>2593</v>
      </c>
      <c r="B62" s="1308" t="s">
        <v>1800</v>
      </c>
      <c r="C62" s="1308" t="s">
        <v>293</v>
      </c>
      <c r="D62" s="1309" t="s">
        <v>1802</v>
      </c>
      <c r="E62" s="1309" t="s">
        <v>2900</v>
      </c>
      <c r="Y62" s="1199" t="s">
        <v>2901</v>
      </c>
      <c r="Z62" s="995">
        <f>IF('Ввод данных'!A6=связи1!A95,дома!Z52,0)+IF('Ввод данных'!A6=связи1!A96,дома!Z52*2,0)+IF('Ввод данных'!A6=связи1!A98,дома!Z52*2,0)</f>
        <v>0</v>
      </c>
      <c r="AA62" s="995">
        <f>IF('Ввод данных'!A6=связи1!A95,дома!AA52,0)+IF('Ввод данных'!A6=связи1!A96,дома!AA52,0)+IF('Ввод данных'!A6=связи1!A98,дома!AA52,0)</f>
        <v>0</v>
      </c>
      <c r="AB62" s="1278" t="s">
        <v>2591</v>
      </c>
      <c r="AC62" s="1277">
        <f>Z62+AA62</f>
        <v>0</v>
      </c>
      <c r="AD62" s="1290" t="s">
        <v>133</v>
      </c>
      <c r="AE62" s="1290"/>
      <c r="AF62" s="1207"/>
      <c r="AG62" s="3151" t="s">
        <v>2841</v>
      </c>
      <c r="AH62" s="3151"/>
      <c r="AI62" s="3151"/>
      <c r="AJ62" s="3151"/>
      <c r="AK62" s="3151"/>
      <c r="AL62" s="3151"/>
      <c r="AM62" s="1207"/>
    </row>
    <row r="63" spans="1:39" ht="15.75" customHeight="1">
      <c r="A63" s="970" t="s">
        <v>2902</v>
      </c>
      <c r="B63" s="1033">
        <f>'Ввод данных'!C91</f>
        <v>0.8</v>
      </c>
      <c r="C63" s="1261">
        <f>'Ввод данных'!D91</f>
        <v>2.1</v>
      </c>
      <c r="D63" s="977">
        <f>'Ввод данных'!E91</f>
        <v>0</v>
      </c>
      <c r="E63" s="1246">
        <f t="shared" ref="E63:E72" si="13">B63*C63*D63</f>
        <v>0</v>
      </c>
      <c r="Y63" s="1290"/>
      <c r="Z63" s="1290"/>
      <c r="AA63" s="1290"/>
      <c r="AF63" s="1207"/>
      <c r="AG63" s="3149" t="s">
        <v>2572</v>
      </c>
      <c r="AH63" s="3149"/>
      <c r="AI63" s="3149"/>
      <c r="AJ63" s="1228" t="s">
        <v>156</v>
      </c>
      <c r="AK63" s="551">
        <f>дома!C1275</f>
        <v>10.830951894845301</v>
      </c>
      <c r="AL63" s="551">
        <f>AK63</f>
        <v>10.830951894845301</v>
      </c>
      <c r="AM63" s="1207"/>
    </row>
    <row r="64" spans="1:39" ht="15.75" customHeight="1">
      <c r="A64" s="970" t="s">
        <v>2903</v>
      </c>
      <c r="B64" s="1033">
        <f>'Ввод данных'!C92</f>
        <v>0.6</v>
      </c>
      <c r="C64" s="1261">
        <f>'Ввод данных'!D92</f>
        <v>2</v>
      </c>
      <c r="D64" s="977">
        <f>'Ввод данных'!E92</f>
        <v>0</v>
      </c>
      <c r="E64" s="1246">
        <f t="shared" si="13"/>
        <v>0</v>
      </c>
      <c r="W64" s="1290"/>
      <c r="X64" s="1290"/>
      <c r="Y64" s="1290"/>
      <c r="AF64" s="1207"/>
      <c r="AG64" s="3149" t="s">
        <v>2846</v>
      </c>
      <c r="AH64" s="3149"/>
      <c r="AI64" s="3149"/>
      <c r="AJ64" s="1228" t="s">
        <v>133</v>
      </c>
      <c r="AK64" s="551">
        <f>дома!C1279</f>
        <v>16.25</v>
      </c>
      <c r="AL64" s="551">
        <f>AK64</f>
        <v>16.25</v>
      </c>
      <c r="AM64" s="1207"/>
    </row>
    <row r="65" spans="1:39" ht="15.75" customHeight="1">
      <c r="A65" s="970" t="s">
        <v>2904</v>
      </c>
      <c r="B65" s="1033">
        <f>'Ввод данных'!C95</f>
        <v>0.9</v>
      </c>
      <c r="C65" s="1261">
        <f>'Ввод данных'!D95</f>
        <v>2.1</v>
      </c>
      <c r="D65" s="977">
        <f>'Ввод данных'!E95</f>
        <v>0</v>
      </c>
      <c r="E65" s="1246">
        <f t="shared" si="13"/>
        <v>0</v>
      </c>
      <c r="W65" s="1290"/>
      <c r="X65" s="1290"/>
      <c r="Y65" s="1290"/>
      <c r="AF65" s="1207"/>
      <c r="AG65" s="3151" t="s">
        <v>2848</v>
      </c>
      <c r="AH65" s="3151"/>
      <c r="AI65" s="3151"/>
      <c r="AJ65" s="3151"/>
      <c r="AK65" s="3151"/>
      <c r="AL65" s="3151"/>
      <c r="AM65" s="1207"/>
    </row>
    <row r="66" spans="1:39" ht="15.75" customHeight="1">
      <c r="A66" s="970" t="s">
        <v>2905</v>
      </c>
      <c r="B66" s="1033">
        <f>'Ввод данных'!C99</f>
        <v>0.8</v>
      </c>
      <c r="C66" s="1261">
        <f>'Ввод данных'!D99</f>
        <v>2.1</v>
      </c>
      <c r="D66" s="977">
        <f>'Ввод данных'!E99</f>
        <v>0</v>
      </c>
      <c r="E66" s="1246">
        <f t="shared" si="13"/>
        <v>0</v>
      </c>
      <c r="W66" s="1290"/>
      <c r="X66" s="1290"/>
      <c r="Y66" s="1290"/>
      <c r="AF66" s="1207"/>
      <c r="AG66" s="3149" t="s">
        <v>2853</v>
      </c>
      <c r="AH66" s="3149"/>
      <c r="AI66" s="3149"/>
      <c r="AJ66" s="1228" t="s">
        <v>133</v>
      </c>
      <c r="AK66" s="551">
        <f>дома!C1259</f>
        <v>64.985711369071822</v>
      </c>
      <c r="AL66" s="551">
        <f>дома!D1259</f>
        <v>57.404045042680089</v>
      </c>
      <c r="AM66" s="1207"/>
    </row>
    <row r="67" spans="1:39" ht="15.75" customHeight="1">
      <c r="A67" s="1328" t="s">
        <v>2906</v>
      </c>
      <c r="B67" s="1033">
        <f>'Ввод данных'!C100</f>
        <v>1</v>
      </c>
      <c r="C67" s="1261">
        <f>'Ввод данных'!D100</f>
        <v>2</v>
      </c>
      <c r="D67" s="977">
        <f>'Ввод данных'!E100</f>
        <v>0</v>
      </c>
      <c r="E67" s="1246">
        <f t="shared" si="13"/>
        <v>0</v>
      </c>
      <c r="W67" s="1290"/>
      <c r="X67" s="1290"/>
      <c r="Y67" s="1290"/>
      <c r="AF67" s="1207"/>
      <c r="AG67" s="3149" t="s">
        <v>2864</v>
      </c>
      <c r="AH67" s="3149"/>
      <c r="AI67" s="3149"/>
      <c r="AJ67" s="1228" t="s">
        <v>133</v>
      </c>
      <c r="AK67" s="551"/>
      <c r="AL67" s="551">
        <f>дома!K1269</f>
        <v>0</v>
      </c>
      <c r="AM67" s="1207"/>
    </row>
    <row r="68" spans="1:39" ht="15.75" customHeight="1">
      <c r="A68" s="1328" t="s">
        <v>2907</v>
      </c>
      <c r="B68" s="1033">
        <f>'Ввод данных'!C103</f>
        <v>1</v>
      </c>
      <c r="C68" s="1261">
        <f>'Ввод данных'!D103</f>
        <v>2</v>
      </c>
      <c r="D68" s="977">
        <f>'Ввод данных'!E103</f>
        <v>0</v>
      </c>
      <c r="E68" s="1246">
        <f t="shared" si="13"/>
        <v>0</v>
      </c>
      <c r="W68" s="1290"/>
      <c r="X68" s="1290"/>
      <c r="Y68" s="1290"/>
      <c r="AF68" s="1207"/>
      <c r="AG68" s="3149" t="s">
        <v>2661</v>
      </c>
      <c r="AH68" s="3149"/>
      <c r="AI68" s="3149"/>
      <c r="AJ68" s="1228" t="s">
        <v>133</v>
      </c>
      <c r="AK68" s="551">
        <f>дома!C1237</f>
        <v>16.25</v>
      </c>
      <c r="AL68" s="551">
        <f>дома!C1237</f>
        <v>16.25</v>
      </c>
      <c r="AM68" s="1207"/>
    </row>
    <row r="69" spans="1:39" ht="15.75" customHeight="1">
      <c r="A69" s="1329" t="s">
        <v>1843</v>
      </c>
      <c r="B69" s="1033">
        <f>'Ввод данных'!C93</f>
        <v>2</v>
      </c>
      <c r="C69" s="1261">
        <f>'Ввод данных'!D93</f>
        <v>2.2999999999999998</v>
      </c>
      <c r="D69" s="977">
        <f>'Ввод данных'!E93</f>
        <v>0</v>
      </c>
      <c r="E69" s="1063">
        <f t="shared" si="13"/>
        <v>0</v>
      </c>
      <c r="I69" s="1286"/>
      <c r="W69" s="1290"/>
      <c r="X69" s="1290"/>
      <c r="Y69" s="1290"/>
      <c r="AF69" s="1207"/>
      <c r="AG69" s="3151" t="s">
        <v>1883</v>
      </c>
      <c r="AH69" s="3151"/>
      <c r="AI69" s="3151"/>
      <c r="AJ69" s="3151"/>
      <c r="AK69" s="3151"/>
      <c r="AL69" s="3151"/>
      <c r="AM69" s="1207"/>
    </row>
    <row r="70" spans="1:39" ht="15.75" customHeight="1">
      <c r="A70" s="1329" t="s">
        <v>1847</v>
      </c>
      <c r="B70" s="1033">
        <f>'Ввод данных'!C97</f>
        <v>1.4</v>
      </c>
      <c r="C70" s="1261">
        <f>'Ввод данных'!D97</f>
        <v>3</v>
      </c>
      <c r="D70" s="977">
        <f>'Ввод данных'!E97</f>
        <v>0</v>
      </c>
      <c r="E70" s="1063">
        <f t="shared" si="13"/>
        <v>0</v>
      </c>
      <c r="I70" s="1286"/>
      <c r="W70" s="1290"/>
      <c r="X70" s="1290"/>
      <c r="Y70" s="1290"/>
      <c r="AF70" s="1207"/>
      <c r="AG70" s="3128" t="s">
        <v>2705</v>
      </c>
      <c r="AH70" s="3128"/>
      <c r="AI70" s="3128"/>
      <c r="AJ70" s="1238" t="s">
        <v>156</v>
      </c>
      <c r="AK70" s="1229">
        <f>дома!C1275</f>
        <v>10.830951894845301</v>
      </c>
      <c r="AL70" s="551">
        <f>дома!D1275</f>
        <v>10.830951894845301</v>
      </c>
      <c r="AM70" s="1207"/>
    </row>
    <row r="71" spans="1:39" ht="15.75" customHeight="1">
      <c r="A71" s="1329" t="s">
        <v>1851</v>
      </c>
      <c r="B71" s="1033">
        <f>'Ввод данных'!C101</f>
        <v>2</v>
      </c>
      <c r="C71" s="1261">
        <f>'Ввод данных'!D101</f>
        <v>2.2000000000000002</v>
      </c>
      <c r="D71" s="977">
        <f>'Ввод данных'!E101</f>
        <v>0</v>
      </c>
      <c r="E71" s="1063">
        <f t="shared" si="13"/>
        <v>0</v>
      </c>
      <c r="I71" s="1286"/>
      <c r="J71" s="921"/>
      <c r="K71" s="921"/>
      <c r="L71" s="921"/>
      <c r="M71" s="921"/>
      <c r="N71" s="921"/>
      <c r="O71" s="1290"/>
      <c r="P71" s="1290"/>
      <c r="Q71" s="1290"/>
      <c r="R71" s="1290"/>
      <c r="S71" s="1290"/>
      <c r="T71" s="1290"/>
      <c r="U71" s="1290"/>
      <c r="V71" s="1290"/>
      <c r="W71" s="1290"/>
      <c r="X71" s="1290"/>
      <c r="Y71" s="1290"/>
      <c r="AF71" s="1207"/>
      <c r="AG71" s="3149" t="s">
        <v>2874</v>
      </c>
      <c r="AH71" s="3149"/>
      <c r="AI71" s="3149"/>
      <c r="AJ71" s="1244" t="s">
        <v>156</v>
      </c>
      <c r="AK71" s="1291">
        <f>дома!D1240</f>
        <v>1</v>
      </c>
      <c r="AL71" s="1291">
        <f>дома!J1237-дома!J1239</f>
        <v>0</v>
      </c>
      <c r="AM71" s="1207"/>
    </row>
    <row r="72" spans="1:39" ht="15.75" customHeight="1">
      <c r="A72" s="1329" t="s">
        <v>1851</v>
      </c>
      <c r="B72" s="1033">
        <f>'Ввод данных'!C105</f>
        <v>2</v>
      </c>
      <c r="C72" s="1261">
        <f>'Ввод данных'!D105</f>
        <v>2</v>
      </c>
      <c r="D72" s="977">
        <f>'Ввод данных'!E105</f>
        <v>0</v>
      </c>
      <c r="E72" s="1063">
        <f t="shared" si="13"/>
        <v>0</v>
      </c>
      <c r="I72" s="1286"/>
      <c r="J72" s="921"/>
      <c r="K72" s="921"/>
      <c r="L72" s="921"/>
      <c r="M72" s="921"/>
      <c r="N72" s="921"/>
      <c r="O72" s="1290"/>
      <c r="P72" s="1290"/>
      <c r="Q72" s="1290"/>
      <c r="R72" s="1290"/>
      <c r="S72" s="1290"/>
      <c r="T72" s="1290"/>
      <c r="U72" s="1290"/>
      <c r="V72" s="1290"/>
      <c r="W72" s="1290"/>
      <c r="X72" s="1290"/>
      <c r="Y72" s="1290"/>
      <c r="AF72" s="1207"/>
      <c r="AG72" s="3149" t="s">
        <v>2751</v>
      </c>
      <c r="AH72" s="3149"/>
      <c r="AI72" s="3149"/>
      <c r="AJ72" s="1228" t="s">
        <v>156</v>
      </c>
      <c r="AK72" s="551">
        <f>дома!C1246</f>
        <v>2.2000000000000002</v>
      </c>
      <c r="AL72" s="551">
        <f>дома!P1258-дома!P1245</f>
        <v>1.6999999999999997</v>
      </c>
      <c r="AM72" s="1207"/>
    </row>
    <row r="73" spans="1:39" ht="15.75" customHeight="1">
      <c r="A73" s="1307" t="s">
        <v>1217</v>
      </c>
      <c r="B73" s="1308" t="s">
        <v>1800</v>
      </c>
      <c r="C73" s="1308" t="s">
        <v>293</v>
      </c>
      <c r="D73" s="1309" t="s">
        <v>1802</v>
      </c>
      <c r="E73" s="1309" t="s">
        <v>2900</v>
      </c>
      <c r="I73" s="1286"/>
      <c r="J73" s="921"/>
      <c r="K73" s="921"/>
      <c r="L73" s="921"/>
      <c r="M73" s="921"/>
      <c r="N73" s="921"/>
      <c r="O73" s="1290"/>
      <c r="P73" s="1290"/>
      <c r="Q73" s="1290"/>
      <c r="R73" s="1290"/>
      <c r="S73" s="1290"/>
      <c r="T73" s="1290"/>
      <c r="U73" s="1290"/>
      <c r="V73" s="1290"/>
      <c r="W73" s="1290"/>
      <c r="X73" s="1290"/>
      <c r="Y73" s="1290"/>
      <c r="AF73" s="1207"/>
      <c r="AG73" s="3081" t="s">
        <v>2623</v>
      </c>
      <c r="AH73" s="3081"/>
      <c r="AI73" s="3081"/>
      <c r="AJ73" s="261" t="s">
        <v>133</v>
      </c>
      <c r="AK73" s="1242">
        <f>дома!E1272</f>
        <v>21.273654101804102</v>
      </c>
      <c r="AL73" s="1242">
        <f>дома!G1280</f>
        <v>20.209090204359519</v>
      </c>
      <c r="AM73" s="1207"/>
    </row>
    <row r="74" spans="1:39" ht="15.75" customHeight="1">
      <c r="A74" s="970" t="s">
        <v>2902</v>
      </c>
      <c r="B74" s="1033">
        <f>'Ввод данных'!C85</f>
        <v>0.8</v>
      </c>
      <c r="C74" s="1261">
        <f>'Ввод данных'!D85</f>
        <v>2</v>
      </c>
      <c r="D74" s="977">
        <f>'Ввод данных'!E85</f>
        <v>0</v>
      </c>
      <c r="E74" s="1246">
        <f>B74*C74*D74</f>
        <v>0</v>
      </c>
      <c r="I74" s="1286"/>
      <c r="J74" s="921"/>
      <c r="K74" s="921"/>
      <c r="L74" s="921"/>
      <c r="M74" s="921"/>
      <c r="N74" s="921"/>
      <c r="O74" s="1290"/>
      <c r="P74" s="1290"/>
      <c r="Q74" s="1290"/>
      <c r="R74" s="1290"/>
      <c r="S74" s="1290"/>
      <c r="T74" s="1290"/>
      <c r="U74" s="1290"/>
      <c r="V74" s="1290"/>
      <c r="W74" s="1290"/>
      <c r="X74" s="1290"/>
      <c r="Y74" s="1290"/>
      <c r="AF74" s="1207"/>
      <c r="AG74" s="3149" t="s">
        <v>2774</v>
      </c>
      <c r="AH74" s="3149"/>
      <c r="AI74" s="3149"/>
      <c r="AJ74" s="1244" t="s">
        <v>133</v>
      </c>
      <c r="AK74" s="1229">
        <f>дома!D1272</f>
        <v>28.435652000758203</v>
      </c>
      <c r="AL74" s="1291">
        <f>дома!G1281</f>
        <v>30.313635306539279</v>
      </c>
      <c r="AM74" s="1207"/>
    </row>
    <row r="75" spans="1:39" ht="15.75" customHeight="1">
      <c r="A75" s="970" t="s">
        <v>2903</v>
      </c>
      <c r="B75" s="1033">
        <f>'Ввод данных'!C86</f>
        <v>0.9</v>
      </c>
      <c r="C75" s="1261">
        <f>'Ввод данных'!D86</f>
        <v>2.1</v>
      </c>
      <c r="D75" s="977">
        <f>'Ввод данных'!E86</f>
        <v>0</v>
      </c>
      <c r="E75" s="1246">
        <f>B75*C75*D75</f>
        <v>0</v>
      </c>
      <c r="I75" s="1286"/>
      <c r="J75" s="1245" t="s">
        <v>2908</v>
      </c>
      <c r="K75" s="1330" t="s">
        <v>133</v>
      </c>
      <c r="L75" s="1330"/>
      <c r="M75" s="1330"/>
      <c r="N75" s="1330"/>
      <c r="O75" s="1063" t="e">
        <f>#REF!*F1113+#REF!*F1112</f>
        <v>#REF!</v>
      </c>
      <c r="P75" s="1246"/>
      <c r="Q75" s="1246"/>
      <c r="R75" s="1290"/>
      <c r="S75" s="1290"/>
      <c r="T75" s="1290"/>
      <c r="U75" s="1290"/>
      <c r="V75" s="1290"/>
      <c r="W75" s="1290"/>
      <c r="X75" s="1290"/>
      <c r="Y75" s="1290"/>
      <c r="AF75" s="1207"/>
      <c r="AG75" s="1207"/>
      <c r="AH75" s="1207"/>
      <c r="AI75" s="1207"/>
      <c r="AJ75" s="1207"/>
      <c r="AK75" s="1207"/>
      <c r="AL75" s="1207"/>
      <c r="AM75" s="1207"/>
    </row>
    <row r="76" spans="1:39" ht="15.75" customHeight="1">
      <c r="A76" s="970" t="s">
        <v>2904</v>
      </c>
      <c r="B76" s="1033">
        <f>'Ввод данных'!C87</f>
        <v>1</v>
      </c>
      <c r="C76" s="1261">
        <f>'Ввод данных'!D87</f>
        <v>2</v>
      </c>
      <c r="D76" s="977">
        <f>'Ввод данных'!E87</f>
        <v>0</v>
      </c>
      <c r="E76" s="1246">
        <f>B76*C76*D76</f>
        <v>0</v>
      </c>
      <c r="I76" s="1286"/>
      <c r="J76" s="1245" t="s">
        <v>2909</v>
      </c>
      <c r="K76" s="1330" t="s">
        <v>133</v>
      </c>
      <c r="L76" s="1330"/>
      <c r="M76" s="1330"/>
      <c r="N76" s="1330"/>
      <c r="O76" s="1063" t="e">
        <f>#REF!*F1113+#REF!*F1112</f>
        <v>#REF!</v>
      </c>
      <c r="P76" s="1246"/>
      <c r="Q76" s="1246"/>
      <c r="R76" s="1290"/>
      <c r="S76" s="1290"/>
      <c r="T76" s="1290"/>
      <c r="U76" s="1290"/>
      <c r="V76" s="1290"/>
      <c r="W76" s="1290"/>
      <c r="X76" s="1290"/>
      <c r="Y76" s="1290"/>
      <c r="AF76" s="1207"/>
      <c r="AG76" s="1207"/>
      <c r="AH76" s="1207"/>
      <c r="AI76" s="1207"/>
      <c r="AJ76" s="1207"/>
      <c r="AK76" s="1207"/>
      <c r="AL76" s="1207"/>
      <c r="AM76" s="1207"/>
    </row>
    <row r="77" spans="1:39" ht="15.75" customHeight="1">
      <c r="A77" s="1331" t="s">
        <v>2898</v>
      </c>
      <c r="B77" s="1330"/>
      <c r="C77" s="1330"/>
      <c r="D77" s="1331"/>
      <c r="E77" s="1331">
        <f>SUM(E74:E76)</f>
        <v>0</v>
      </c>
      <c r="I77" s="1286"/>
      <c r="J77" s="1245" t="s">
        <v>2910</v>
      </c>
      <c r="K77" s="1330" t="s">
        <v>133</v>
      </c>
      <c r="L77" s="1330"/>
      <c r="M77" s="1330"/>
      <c r="N77" s="1330"/>
      <c r="O77" s="1063" t="e">
        <f>(O76+O75)</f>
        <v>#REF!</v>
      </c>
      <c r="P77" s="1246"/>
      <c r="Q77" s="1246"/>
      <c r="R77" s="1290"/>
      <c r="S77" s="1290"/>
      <c r="T77" s="1290"/>
      <c r="U77" s="1290"/>
      <c r="V77" s="1290"/>
      <c r="W77" s="1290"/>
      <c r="X77" s="1290"/>
      <c r="Y77" s="1290"/>
    </row>
    <row r="78" spans="1:39" ht="15.75" customHeight="1">
      <c r="A78" s="1332" t="s">
        <v>2911</v>
      </c>
      <c r="B78" s="1333" t="s">
        <v>133</v>
      </c>
      <c r="C78" s="1334">
        <f>IF('Ввод данных'!A6=связи1!A94,дома!C20*(дома!C17+дома!C16)*2,0)+IF('Ввод данных'!A6=связи1!A95,дома!C20*(дома!C17+дома!C16)*2,0)+IF('Ввод данных'!A6=связи1!A96,дома!C20*(дома!C17+дома!C16)*2,0)+IF('Ввод данных'!A6=связи1!A97,дома!C20*(дома!C17+дома!C16)*2,0)+IF('Ввод данных'!A6=связи1!A98,дома!C20*(дома!C17+дома!C16)*2,0)</f>
        <v>120</v>
      </c>
      <c r="D78" s="1246">
        <f>E47+E48+E49+E50+E51+E57+E59+E60+E74+E75+E76</f>
        <v>1.2</v>
      </c>
      <c r="E78" s="1246"/>
      <c r="I78" s="1286"/>
      <c r="J78" s="1246" t="s">
        <v>2912</v>
      </c>
      <c r="K78" s="1335" t="s">
        <v>133</v>
      </c>
      <c r="L78" s="1335"/>
      <c r="M78" s="1335"/>
      <c r="N78" s="1335"/>
      <c r="O78" s="551" t="e">
        <f>#REF!</f>
        <v>#REF!</v>
      </c>
      <c r="P78" s="1246"/>
      <c r="Q78" s="1246"/>
      <c r="R78" s="1290"/>
      <c r="S78" s="1290"/>
      <c r="T78" s="1290"/>
      <c r="U78" s="1290"/>
      <c r="V78" s="1290"/>
      <c r="W78" s="1290"/>
      <c r="X78" s="1290"/>
      <c r="Y78" s="1290"/>
    </row>
    <row r="79" spans="1:39" ht="15.75" customHeight="1">
      <c r="A79" s="1332" t="s">
        <v>2913</v>
      </c>
      <c r="B79" s="1333" t="s">
        <v>133</v>
      </c>
      <c r="C79" s="1334">
        <f>IF('Ввод данных'!A6=связи1!A95,(дома!C21)*(дома!C16+дома!C16+дома!C17+дома!C17),0)+IF('Ввод данных'!A6=связи1!A96,дома!C23*(дома!C16+дома!C16+дома!C17+дома!C17),0)+IF('Ввод данных'!A6=связи1!A98,дома!C23*(дома!C16+дома!C16+дома!C17+дома!C17),0)+IF('Ввод данных'!A6=связи1!A94,0,0)+IF('Ввод данных'!A6=связи1!A97,0,0)</f>
        <v>0</v>
      </c>
      <c r="D79" s="1246">
        <f>E52+E53+E54+E55+E56+E58</f>
        <v>0</v>
      </c>
      <c r="E79" s="1336">
        <f>C87+C88</f>
        <v>24</v>
      </c>
      <c r="I79" s="1286"/>
      <c r="J79" s="921"/>
      <c r="K79" s="921"/>
      <c r="L79" s="921"/>
      <c r="M79" s="921"/>
      <c r="N79" s="921"/>
      <c r="O79" s="1290"/>
      <c r="P79" s="1290"/>
      <c r="Q79" s="1290"/>
      <c r="R79" s="1290"/>
      <c r="S79" s="1290"/>
      <c r="T79" s="1290"/>
      <c r="U79" s="1290"/>
      <c r="V79" s="1290"/>
      <c r="W79" s="1290"/>
      <c r="X79" s="1290"/>
      <c r="Y79" s="1290"/>
    </row>
    <row r="80" spans="1:39" ht="15.75" customHeight="1">
      <c r="A80" s="1332" t="s">
        <v>2914</v>
      </c>
      <c r="B80" s="1333" t="s">
        <v>133</v>
      </c>
      <c r="C80" s="1334">
        <f>F599+F600+F605+F606+F614+F615</f>
        <v>0</v>
      </c>
      <c r="D80" s="1337"/>
      <c r="E80" s="1336"/>
      <c r="I80" s="1286"/>
      <c r="J80" s="921"/>
      <c r="K80" s="921"/>
      <c r="L80" s="921"/>
      <c r="M80" s="921"/>
      <c r="N80" s="921"/>
      <c r="O80" s="1290"/>
      <c r="P80" s="1290"/>
      <c r="Q80" s="1290"/>
      <c r="R80" s="1290"/>
      <c r="S80" s="1290"/>
      <c r="T80" s="1290"/>
      <c r="U80" s="1290"/>
      <c r="V80" s="1290"/>
      <c r="W80" s="1290"/>
      <c r="X80" s="1290"/>
      <c r="Y80" s="1290"/>
    </row>
    <row r="81" spans="1:25" ht="15.75" customHeight="1">
      <c r="A81" s="1332"/>
      <c r="B81" s="1333"/>
      <c r="C81" s="1334">
        <f>F1053+F1058+F1067</f>
        <v>0</v>
      </c>
      <c r="D81" s="1337"/>
      <c r="E81" s="1336"/>
      <c r="I81" s="1286"/>
      <c r="J81" s="921"/>
      <c r="K81" s="921"/>
      <c r="L81" s="921"/>
      <c r="M81" s="921"/>
      <c r="N81" s="921"/>
      <c r="O81" s="1290"/>
      <c r="P81" s="1290"/>
      <c r="Q81" s="1290"/>
      <c r="R81" s="1290"/>
      <c r="S81" s="1290"/>
      <c r="T81" s="1290"/>
      <c r="U81" s="1290"/>
      <c r="V81" s="1290"/>
      <c r="W81" s="1290"/>
      <c r="X81" s="1290"/>
      <c r="Y81" s="1290"/>
    </row>
    <row r="82" spans="1:25" ht="15.75" customHeight="1">
      <c r="A82" s="1332" t="s">
        <v>2915</v>
      </c>
      <c r="B82" s="1333" t="s">
        <v>133</v>
      </c>
      <c r="C82" s="1334">
        <f>F598-I602+пристройка!R149</f>
        <v>0</v>
      </c>
      <c r="D82" s="1337"/>
      <c r="E82" s="1336"/>
      <c r="I82" s="1286"/>
      <c r="J82" s="921"/>
      <c r="K82" s="921"/>
      <c r="L82" s="921"/>
      <c r="M82" s="921"/>
      <c r="N82" s="921"/>
      <c r="O82" s="1290"/>
      <c r="P82" s="1290"/>
      <c r="Q82" s="1290"/>
      <c r="R82" s="1290"/>
      <c r="S82" s="1290"/>
      <c r="T82" s="1290"/>
      <c r="U82" s="1290"/>
      <c r="V82" s="1290"/>
      <c r="W82" s="1290"/>
      <c r="X82" s="1290"/>
      <c r="Y82" s="1290"/>
    </row>
    <row r="83" spans="1:25" ht="15.75" customHeight="1">
      <c r="A83" s="1332"/>
      <c r="B83" s="1333"/>
      <c r="C83" s="1334">
        <f>F1052-I1054</f>
        <v>0</v>
      </c>
      <c r="D83" s="1337"/>
      <c r="E83" s="1336"/>
      <c r="I83" s="1286"/>
      <c r="J83" s="921"/>
      <c r="K83" s="921"/>
      <c r="L83" s="921"/>
      <c r="M83" s="921"/>
      <c r="N83" s="921"/>
      <c r="O83" s="1290"/>
      <c r="P83" s="1290"/>
      <c r="Q83" s="1290"/>
      <c r="R83" s="1290"/>
      <c r="S83" s="1290"/>
      <c r="T83" s="1290"/>
      <c r="U83" s="1290"/>
      <c r="V83" s="1290"/>
      <c r="W83" s="1290"/>
      <c r="X83" s="1290"/>
      <c r="Y83" s="1290"/>
    </row>
    <row r="84" spans="1:25" ht="15.75" customHeight="1">
      <c r="A84" s="1332" t="s">
        <v>2916</v>
      </c>
      <c r="B84" s="1333" t="s">
        <v>133</v>
      </c>
      <c r="C84" s="1334">
        <f>F604-I607</f>
        <v>0</v>
      </c>
      <c r="D84" s="1337"/>
      <c r="E84" s="1336"/>
      <c r="I84" s="1286"/>
      <c r="J84" s="921"/>
      <c r="K84" s="921"/>
      <c r="L84" s="921"/>
      <c r="M84" s="921"/>
      <c r="N84" s="921"/>
      <c r="O84" s="1290"/>
      <c r="P84" s="1290"/>
      <c r="Q84" s="1290"/>
      <c r="R84" s="1290"/>
      <c r="S84" s="1290"/>
      <c r="T84" s="1290"/>
      <c r="U84" s="1290"/>
      <c r="V84" s="1290"/>
      <c r="W84" s="1290"/>
      <c r="X84" s="1290"/>
      <c r="Y84" s="1290"/>
    </row>
    <row r="85" spans="1:25" ht="15.75" customHeight="1">
      <c r="A85" s="1332"/>
      <c r="B85" s="1333"/>
      <c r="C85" s="1334">
        <f>F1057-I1059</f>
        <v>0</v>
      </c>
      <c r="D85" s="1337"/>
      <c r="E85" s="1336"/>
      <c r="I85" s="1286"/>
      <c r="J85" s="921"/>
      <c r="K85" s="921"/>
      <c r="L85" s="921"/>
      <c r="M85" s="921"/>
      <c r="N85" s="921"/>
      <c r="O85" s="1290"/>
      <c r="P85" s="1290"/>
      <c r="Q85" s="1290"/>
      <c r="R85" s="1290"/>
      <c r="S85" s="1290"/>
      <c r="T85" s="1290"/>
      <c r="U85" s="1290"/>
      <c r="V85" s="1290"/>
      <c r="W85" s="1290"/>
      <c r="X85" s="1290"/>
      <c r="Y85" s="1290"/>
    </row>
    <row r="86" spans="1:25" ht="15.75" customHeight="1">
      <c r="A86" s="1332" t="s">
        <v>2780</v>
      </c>
      <c r="B86" s="1333"/>
      <c r="C86" s="1334">
        <f>F601+F1054+E96</f>
        <v>0</v>
      </c>
      <c r="D86" s="1337"/>
      <c r="E86" s="1336"/>
      <c r="I86" s="1286"/>
      <c r="J86" s="921"/>
      <c r="K86" s="921"/>
      <c r="L86" s="921"/>
      <c r="M86" s="921"/>
      <c r="N86" s="921"/>
      <c r="O86" s="1290"/>
      <c r="P86" s="1290"/>
      <c r="Q86" s="1290"/>
      <c r="R86" s="1290"/>
      <c r="S86" s="1290"/>
      <c r="T86" s="1290"/>
      <c r="U86" s="1290"/>
      <c r="V86" s="1290"/>
      <c r="W86" s="1290"/>
      <c r="X86" s="1290"/>
      <c r="Y86" s="1290"/>
    </row>
    <row r="87" spans="1:25" ht="15.75" customHeight="1">
      <c r="A87" s="1338" t="s">
        <v>2917</v>
      </c>
      <c r="B87" s="1249" t="s">
        <v>133</v>
      </c>
      <c r="C87" s="1339">
        <f>IF('Ввод данных'!A6=связи1!A94,дома!E87,0)+IF('Ввод данных'!A6=связи1!A97,дома!G87,0)</f>
        <v>24</v>
      </c>
      <c r="D87" s="1337" t="s">
        <v>2918</v>
      </c>
      <c r="E87" s="1246">
        <f>(C19-(C18+D44))*C16/2</f>
        <v>24</v>
      </c>
      <c r="F87" s="1246" t="s">
        <v>2919</v>
      </c>
      <c r="G87" s="1246">
        <f>(C19-C20)*C16/2</f>
        <v>25</v>
      </c>
      <c r="H87" s="1250"/>
      <c r="I87" s="1286"/>
      <c r="J87" s="921"/>
      <c r="K87" s="921"/>
      <c r="L87" s="921"/>
      <c r="M87" s="921"/>
      <c r="N87" s="921"/>
      <c r="O87" s="1290"/>
      <c r="P87" s="1290"/>
      <c r="Q87" s="1290"/>
      <c r="R87" s="1290"/>
      <c r="S87" s="1290"/>
      <c r="T87" s="1290"/>
      <c r="U87" s="1290"/>
      <c r="V87" s="1290"/>
      <c r="W87" s="1290"/>
      <c r="X87" s="1290"/>
      <c r="Y87" s="1290"/>
    </row>
    <row r="88" spans="1:25" ht="15.75" customHeight="1">
      <c r="A88" s="1338" t="s">
        <v>2920</v>
      </c>
      <c r="B88" s="1249" t="s">
        <v>133</v>
      </c>
      <c r="C88" s="1339">
        <f>IF('Ввод данных'!A6=связи1!A95,дома!E88,0)+IF('Ввод данных'!A6=связи1!A96,дома!G88,0)+IF('Ввод данных'!A6=связи1!A98,дома!G88,0)</f>
        <v>0</v>
      </c>
      <c r="D88" s="1337" t="s">
        <v>2921</v>
      </c>
      <c r="E88" s="1246">
        <f>(C22-(C18+D45))*(C16/2)</f>
        <v>-16</v>
      </c>
      <c r="F88" s="1246" t="s">
        <v>2922</v>
      </c>
      <c r="G88" s="1246">
        <f>(C22-C23)*C16/2</f>
        <v>0</v>
      </c>
      <c r="H88" s="1250"/>
      <c r="I88" s="1286"/>
      <c r="J88" s="921"/>
      <c r="K88" s="921"/>
      <c r="L88" s="921"/>
      <c r="M88" s="921"/>
      <c r="N88" s="921"/>
      <c r="O88" s="1290"/>
      <c r="P88" s="1290"/>
      <c r="Q88" s="1290"/>
      <c r="R88" s="1290"/>
      <c r="S88" s="1290"/>
      <c r="T88" s="1290"/>
      <c r="U88" s="1290"/>
      <c r="V88" s="1290"/>
      <c r="W88" s="1290"/>
      <c r="X88" s="1290"/>
      <c r="Y88" s="1290"/>
    </row>
    <row r="89" spans="1:25" ht="15.75" customHeight="1">
      <c r="A89" s="1338"/>
      <c r="B89" s="1249"/>
      <c r="C89" s="1339"/>
      <c r="D89" s="1246"/>
      <c r="E89" s="1246"/>
      <c r="F89" s="1250"/>
      <c r="G89" s="1250"/>
      <c r="H89" s="1250"/>
      <c r="I89" s="3154" t="s">
        <v>2923</v>
      </c>
      <c r="J89" s="3154"/>
      <c r="K89" s="3154"/>
      <c r="L89" s="3154"/>
      <c r="M89" s="1340"/>
      <c r="N89" s="1340"/>
      <c r="O89" s="1290"/>
      <c r="P89" s="1290"/>
      <c r="Q89" s="1290"/>
      <c r="R89" s="1290"/>
      <c r="S89" s="1290"/>
      <c r="T89" s="1290"/>
      <c r="U89" s="1290"/>
      <c r="V89" s="1290"/>
      <c r="W89" s="1290"/>
      <c r="X89" s="1290"/>
      <c r="Y89" s="1290"/>
    </row>
    <row r="90" spans="1:25" ht="15.75" customHeight="1">
      <c r="A90" s="1341" t="s">
        <v>1236</v>
      </c>
      <c r="B90" s="1342" t="s">
        <v>120</v>
      </c>
      <c r="C90" s="1018" t="s">
        <v>2924</v>
      </c>
      <c r="D90" s="1331" t="s">
        <v>2925</v>
      </c>
      <c r="E90" s="1018" t="s">
        <v>2924</v>
      </c>
      <c r="F90" s="3155" t="s">
        <v>2926</v>
      </c>
      <c r="G90" s="3155"/>
      <c r="H90" s="1343"/>
      <c r="I90" s="3155" t="s">
        <v>2927</v>
      </c>
      <c r="J90" s="3155"/>
      <c r="K90" s="1344" t="s">
        <v>2928</v>
      </c>
      <c r="L90" s="1345" t="s">
        <v>2929</v>
      </c>
      <c r="M90" s="1345"/>
      <c r="N90" s="1345"/>
      <c r="O90" s="1035"/>
      <c r="P90" s="1346" t="s">
        <v>2930</v>
      </c>
      <c r="Q90" s="1346" t="s">
        <v>2931</v>
      </c>
      <c r="R90" s="1280" t="s">
        <v>2932</v>
      </c>
      <c r="S90" s="1346" t="s">
        <v>2933</v>
      </c>
      <c r="T90" s="1290"/>
      <c r="U90" s="1290"/>
      <c r="V90" s="1290"/>
      <c r="W90" s="1290"/>
      <c r="X90" s="1290"/>
      <c r="Y90" s="1290"/>
    </row>
    <row r="91" spans="1:25" s="1355" customFormat="1" ht="15.75" customHeight="1">
      <c r="A91" s="1338"/>
      <c r="B91" s="1347"/>
      <c r="C91" s="920"/>
      <c r="D91" s="1063"/>
      <c r="E91" s="920"/>
      <c r="F91" s="1348"/>
      <c r="G91" s="1349"/>
      <c r="H91" s="1349"/>
      <c r="I91" s="1350" t="s">
        <v>2934</v>
      </c>
      <c r="J91" s="1350">
        <f>IF('Ввод данных'!A6=связи1!A94,дома!C16*дома!C17,0)+IF('Ввод данных'!A6=связи1!A95,дома!C16*дома!C17,0)+IF('Ввод данных'!A6=связи1!A96,дома!C16*дома!C17,0)+IF('Ввод данных'!A6=связи1!A97,0,0)+IF('Ввод данных'!A6=связи1!A98,дома!C16*дома!C17,0)</f>
        <v>100</v>
      </c>
      <c r="K91" s="1351">
        <f>IF('Ввод данных'!A6=связи1!A94,дома!C16*дома!C17-V617,0)+IF('Ввод данных'!A6=связи1!A95,дома!C16*дома!C17-V617,0)+IF('Ввод данных'!A6=связи1!A96,дома!C16*дома!C17-V617,0)+IF('Ввод данных'!A6=связи1!A97,дома!C16*дома!C17-V617,0)+IF('Ввод данных'!A6=связи1!A98,дома!C16*дома!C17-V617,0)-C2072</f>
        <v>100</v>
      </c>
      <c r="L91" s="1352"/>
      <c r="M91" s="1352"/>
      <c r="N91" s="1352"/>
      <c r="O91" s="971"/>
      <c r="P91" s="1353"/>
      <c r="Q91" s="1353"/>
      <c r="R91" s="971"/>
      <c r="S91" s="1353"/>
      <c r="T91" s="1354"/>
      <c r="U91" s="1354"/>
      <c r="V91" s="1354"/>
      <c r="W91" s="1354"/>
      <c r="X91" s="1354"/>
      <c r="Y91" s="1354"/>
    </row>
    <row r="92" spans="1:25" ht="15.75" customHeight="1">
      <c r="A92" s="1356" t="s">
        <v>2935</v>
      </c>
      <c r="B92" s="1357" t="s">
        <v>133</v>
      </c>
      <c r="C92" s="1358">
        <f>C1185</f>
        <v>50</v>
      </c>
      <c r="D92" s="1359">
        <f>B1115</f>
        <v>0</v>
      </c>
      <c r="E92" s="1359">
        <f>C92*D92</f>
        <v>0</v>
      </c>
      <c r="F92" s="1055">
        <f>D92*C1190</f>
        <v>0</v>
      </c>
      <c r="G92" s="1055"/>
      <c r="H92" s="1055"/>
      <c r="I92" s="1350" t="s">
        <v>2613</v>
      </c>
      <c r="J92" s="1352">
        <f>IF('Ввод данных'!A6=связи1!A94,дома!C16*дома!C17,0)+IF('Ввод данных'!A6=связи1!A95,дома!C16*дома!C17,0)+IF('Ввод данных'!A6=связи1!A96,дома!C16*дома!C17,0)+IF('Ввод данных'!A6=связи1!A97,0,0)+IF('Ввод данных'!A6=связи1!A98,дома!C16*дома!C17,0)</f>
        <v>100</v>
      </c>
      <c r="K92" s="1351">
        <f>IF('Ввод данных'!A6=связи1!A94,0,0)+IF('Ввод данных'!A6=связи1!A95,дома!C16*дома!C17-V1057,0)+IF('Ввод данных'!A6=связи1!A96,E1178-V1057,0)+IF('Ввод данных'!A6=связи1!A97,0,0)+IF('Ввод данных'!A6=связи1!A98,дома!C16*дома!C17-V1057,0)-'Ввод данных'!C485*'Ввод данных'!C486*VLOOKUP('Ввод данных'!D481,связи1!A2:B3,2,0)*VLOOKUP('Ввод данных'!F512,связи1!A2:B3,2,0)</f>
        <v>0</v>
      </c>
      <c r="L92" s="1352">
        <f>IF('Ввод данных'!A6=связи1!A94,дома!C16*дома!C17-V617,0)+IF('Ввод данных'!A6=связи1!A95,дома!C16*дома!C17-V617,0)+IF('Ввод данных'!A6=связи1!A96,дома!C16*дома!C17-V617,0)+IF('Ввод данных'!A6=связи1!A97,E1178,0)+IF('Ввод данных'!A6=связи1!A98,дома!C16*дома!C17-V617,0)-C2072</f>
        <v>100</v>
      </c>
      <c r="M92" s="1352"/>
      <c r="N92" s="1352"/>
      <c r="O92" s="1353"/>
      <c r="P92" s="1360"/>
      <c r="Q92" s="1360"/>
      <c r="R92" s="1055"/>
      <c r="S92" s="1360"/>
      <c r="T92" s="1290"/>
      <c r="U92" s="1290"/>
      <c r="V92" s="1290"/>
      <c r="W92" s="1290"/>
      <c r="X92" s="1290"/>
      <c r="Y92" s="1290"/>
    </row>
    <row r="93" spans="1:25" ht="15.75" customHeight="1">
      <c r="A93" s="1356" t="s">
        <v>2936</v>
      </c>
      <c r="B93" s="1357" t="s">
        <v>133</v>
      </c>
      <c r="C93" s="1361">
        <f>L1185</f>
        <v>0</v>
      </c>
      <c r="D93" s="1359">
        <f>L1115</f>
        <v>0</v>
      </c>
      <c r="E93" s="1359">
        <f>C93*D93</f>
        <v>0</v>
      </c>
      <c r="F93" s="1055">
        <f>D93*J1190</f>
        <v>0</v>
      </c>
      <c r="G93" s="1055"/>
      <c r="H93" s="1055"/>
      <c r="I93" s="1350" t="s">
        <v>2622</v>
      </c>
      <c r="J93" s="1352">
        <f>IF('Ввод данных'!A6=связи1!A94,0,0)+IF('Ввод данных'!A6=связи1!A95,дома!C16*дома!C17,0)+IF('Ввод данных'!A6=связи1!A96,0,0)+IF('Ввод данных'!A6=связи1!A97,0,0)+IF('Ввод данных'!A6=связи1!A98,E101,0)</f>
        <v>0</v>
      </c>
      <c r="K93" s="1352"/>
      <c r="L93" s="1352">
        <f>IF('Ввод данных'!A6=связи1!A94,0,0)+IF('Ввод данных'!A6=связи1!A95,дома!C16*дома!C17-V1057,0)+IF('Ввод данных'!A6=связи1!A96,E1178-V1057,0)+IF('Ввод данных'!A6=связи1!A97,0,0)+IF('Ввод данных'!A6=связи1!A98,E1187-V1057,0)-'Ввод данных'!C485*'Ввод данных'!C486*VLOOKUP('Ввод данных'!D481,связи1!A2:B3,2,0)*VLOOKUP('Ввод данных'!F512,связи1!A2:B3,2,0)</f>
        <v>0</v>
      </c>
      <c r="M93" s="1352"/>
      <c r="N93" s="1352"/>
      <c r="O93" s="1353"/>
      <c r="P93" s="1362">
        <f>IF('Ввод данных'!A19=связи1!A128,дома!P102,дома!P100)</f>
        <v>118.8</v>
      </c>
      <c r="Q93" s="1362">
        <f>IF('Ввод данных'!A19=связи1!A128,дома!Q102,дома!Q100)+L2237</f>
        <v>0</v>
      </c>
      <c r="R93" s="1363">
        <f>IF('Ввод данных'!A19=связи1!A128,дома!R102,дома!R100)</f>
        <v>0</v>
      </c>
      <c r="S93" s="1362">
        <f>P93+Q93+R93+L1217</f>
        <v>118.8</v>
      </c>
      <c r="T93" s="1290"/>
      <c r="U93" s="1290"/>
      <c r="V93" s="1290"/>
      <c r="W93" s="1290"/>
      <c r="X93" s="1290"/>
      <c r="Y93" s="1290"/>
    </row>
    <row r="94" spans="1:25" ht="15.75" customHeight="1">
      <c r="A94" s="1356" t="s">
        <v>2937</v>
      </c>
      <c r="B94" s="1357" t="s">
        <v>133</v>
      </c>
      <c r="C94" s="1361">
        <f>P1185+Q1186</f>
        <v>66.180339887498945</v>
      </c>
      <c r="D94" s="1364">
        <f>Q1115</f>
        <v>0</v>
      </c>
      <c r="E94" s="1359">
        <f>C94*D94</f>
        <v>0</v>
      </c>
      <c r="F94" s="1055">
        <f>(IF('Ввод данных'!A6=связи1!A98,IF('Ввод данных'!B155=связи1!A2,дома!O1190,0),0)+IF('Ввод данных'!A6=связи1!A98,IF('Ввод данных'!C155=связи1!A2,дома!P1190,0),0)+IF('Ввод данных'!A6=связи1!A96,IF('Ввод данных'!B155=связи1!A2,дома!O1190,0),0)+IF('Ввод данных'!A6=связи1!A96,IF('Ввод данных'!C155=связи1!A2,дома!P1190,0),0))*D94</f>
        <v>0</v>
      </c>
      <c r="G94" s="1055"/>
      <c r="H94" s="1055"/>
      <c r="I94" s="1350"/>
      <c r="J94" s="1352">
        <f>SUM(J91:J93)</f>
        <v>200</v>
      </c>
      <c r="K94" s="1351">
        <f>SUM(K91:K93)</f>
        <v>100</v>
      </c>
      <c r="L94" s="1352">
        <f>SUM(L91:L93)</f>
        <v>100</v>
      </c>
      <c r="M94" s="1352"/>
      <c r="N94" s="1352"/>
      <c r="O94" s="1353"/>
      <c r="P94" s="1360"/>
      <c r="Q94" s="1362">
        <f>Q93</f>
        <v>0</v>
      </c>
      <c r="R94" s="1363">
        <f>R93</f>
        <v>0</v>
      </c>
      <c r="S94" s="1362">
        <f>Q94+R94</f>
        <v>0</v>
      </c>
      <c r="T94" s="1365" t="s">
        <v>2938</v>
      </c>
      <c r="U94" s="1365"/>
      <c r="V94" s="1290"/>
      <c r="W94" s="1290"/>
      <c r="X94" s="1290"/>
      <c r="Y94" s="1290"/>
    </row>
    <row r="95" spans="1:25" ht="15.75" customHeight="1">
      <c r="A95" s="1356" t="s">
        <v>2939</v>
      </c>
      <c r="B95" s="1357" t="s">
        <v>133</v>
      </c>
      <c r="C95" s="1361"/>
      <c r="D95" s="1364"/>
      <c r="E95" s="1359">
        <f>C95*D95</f>
        <v>0</v>
      </c>
      <c r="F95" s="1055"/>
      <c r="G95" s="1055"/>
      <c r="H95" s="1055"/>
      <c r="I95" s="3156" t="s">
        <v>2940</v>
      </c>
      <c r="J95" s="3156"/>
      <c r="K95" s="3156"/>
      <c r="L95" s="3156"/>
      <c r="M95" s="1366"/>
      <c r="N95" s="1366"/>
      <c r="O95" s="1360"/>
      <c r="P95" s="1362">
        <f>P93</f>
        <v>118.8</v>
      </c>
      <c r="Q95" s="1360"/>
      <c r="R95" s="1055"/>
      <c r="S95" s="1362">
        <f>P95</f>
        <v>118.8</v>
      </c>
      <c r="T95" s="1290"/>
      <c r="U95" s="1290"/>
      <c r="V95" s="1290"/>
      <c r="W95" s="1290"/>
      <c r="X95" s="1290"/>
      <c r="Y95" s="1290"/>
    </row>
    <row r="96" spans="1:25" ht="15.75" customHeight="1">
      <c r="A96" s="1356"/>
      <c r="B96" s="1357"/>
      <c r="C96" s="1361"/>
      <c r="D96" s="1364"/>
      <c r="E96" s="1359">
        <f>SUM(E92:E95)</f>
        <v>0</v>
      </c>
      <c r="F96" s="1055">
        <f>SUM(F92:F95)</f>
        <v>0</v>
      </c>
      <c r="G96" s="1055"/>
      <c r="H96" s="1055"/>
      <c r="I96" s="1367" t="s">
        <v>2934</v>
      </c>
      <c r="J96" s="1368">
        <f>пристройка!R9</f>
        <v>0</v>
      </c>
      <c r="K96" s="1368">
        <f>пристройка!R12-D399*D402-D403*D406-D407*D410-D411*D414</f>
        <v>0</v>
      </c>
      <c r="L96" s="1368"/>
      <c r="M96" s="1368"/>
      <c r="N96" s="1368"/>
      <c r="O96" s="1360"/>
      <c r="P96" s="1362"/>
      <c r="Q96" s="1360"/>
      <c r="R96" s="1055"/>
      <c r="S96" s="1362"/>
      <c r="T96" s="1290"/>
      <c r="U96" s="1290"/>
      <c r="V96" s="1290"/>
      <c r="W96" s="1290"/>
      <c r="X96" s="1290"/>
      <c r="Y96" s="1290"/>
    </row>
    <row r="97" spans="1:25" ht="15.75" customHeight="1">
      <c r="A97" s="1356" t="s">
        <v>2941</v>
      </c>
      <c r="B97" s="1357" t="s">
        <v>133</v>
      </c>
      <c r="C97" s="1361">
        <f>IF('Ввод данных'!A6=связи1!A98,дома!C1189,0)</f>
        <v>0</v>
      </c>
      <c r="D97" s="1364">
        <f>B1115</f>
        <v>0</v>
      </c>
      <c r="E97" s="1359">
        <f>C97*D97</f>
        <v>0</v>
      </c>
      <c r="F97" s="1055">
        <f>(C1189+C1190)*D97</f>
        <v>0</v>
      </c>
      <c r="G97" s="1055">
        <f>IF('Ввод данных'!A6=связи1!A98,дома!F97,0)+IF('Ввод данных'!A6=связи1!A97,дома!C1140*2*дома!C1132,0)+IF('Ввод данных'!A6=связи1!A96,дома!C1140*2*дома!C1132,0)</f>
        <v>0</v>
      </c>
      <c r="H97" s="1055"/>
      <c r="I97" s="1367" t="s">
        <v>2613</v>
      </c>
      <c r="J97" s="1368">
        <f>пристройка!R10</f>
        <v>0</v>
      </c>
      <c r="K97" s="1368">
        <f>пристройка!R13-D861*D863-D865*D867-D869*D871-D873*D875</f>
        <v>0</v>
      </c>
      <c r="L97" s="1368">
        <f>пристройка!R14-D400*D402-D404*D406-D408*D410-D412*D414</f>
        <v>0</v>
      </c>
      <c r="M97" s="1368"/>
      <c r="N97" s="1368"/>
      <c r="O97" s="1055"/>
      <c r="P97" s="1360"/>
      <c r="Q97" s="1360"/>
      <c r="R97" s="1055"/>
      <c r="S97" s="1360"/>
      <c r="T97" s="1290"/>
      <c r="U97" s="1290"/>
      <c r="V97" s="1290"/>
      <c r="W97" s="1290"/>
      <c r="X97" s="1290"/>
      <c r="Y97" s="1290"/>
    </row>
    <row r="98" spans="1:25" ht="15.75" customHeight="1">
      <c r="A98" s="1356" t="s">
        <v>2942</v>
      </c>
      <c r="B98" s="1357" t="s">
        <v>133</v>
      </c>
      <c r="C98" s="1361">
        <f>IF('Ввод данных'!A6=связи1!A94,дома!F1189,0)+IF('Ввод данных'!A6=связи1!A95,дома!F1189,0)</f>
        <v>100</v>
      </c>
      <c r="D98" s="1364">
        <f>I1115</f>
        <v>0</v>
      </c>
      <c r="E98" s="1359">
        <f>C98*D98</f>
        <v>0</v>
      </c>
      <c r="F98" s="1055">
        <f>F1189*D98</f>
        <v>0</v>
      </c>
      <c r="G98" s="1055">
        <f>IF('Ввод данных'!A6=связи1!A94,дома!F98,0)+IF('Ввод данных'!A6=связи1!A95,дома!F98,0)</f>
        <v>0</v>
      </c>
      <c r="H98" s="1055"/>
      <c r="I98" s="1367" t="s">
        <v>2622</v>
      </c>
      <c r="J98" s="1368">
        <f>пристройка!R11</f>
        <v>0</v>
      </c>
      <c r="K98" s="1368"/>
      <c r="L98" s="1368">
        <f>пристройка!R15-D862*D863-D866*D867-D870*D871-D874*D875</f>
        <v>0</v>
      </c>
      <c r="M98" s="1368"/>
      <c r="N98" s="1368"/>
      <c r="O98" s="1055"/>
      <c r="P98" s="3157" t="s">
        <v>2943</v>
      </c>
      <c r="Q98" s="3157"/>
      <c r="R98" s="3157"/>
      <c r="S98" s="3157"/>
      <c r="T98" s="1290"/>
      <c r="U98" s="1290"/>
      <c r="V98" s="1290"/>
      <c r="W98" s="1290"/>
      <c r="X98" s="1290"/>
      <c r="Y98" s="1290"/>
    </row>
    <row r="99" spans="1:25" ht="15.75" customHeight="1">
      <c r="A99" s="1356" t="s">
        <v>2944</v>
      </c>
      <c r="B99" s="1357" t="s">
        <v>133</v>
      </c>
      <c r="C99" s="1361">
        <f>IF('Ввод данных'!A6=связи1!A98,IF('Ввод данных'!F194=связи1!A2,1,0)*IF('Ввод данных'!B155=связи1!A2,1,0)*дома!O1189,0)+IF('Ввод данных'!A6=связи1!A98,IF('Ввод данных'!F194=связи1!A2,1,0)*IF('Ввод данных'!C155=связи1!A2,1,0)*дома!P1189,0)</f>
        <v>0</v>
      </c>
      <c r="D99" s="1364">
        <f>IF('Ввод данных'!F194=связи1!A2,1,0)</f>
        <v>0</v>
      </c>
      <c r="E99" s="1359">
        <f>C99*D99</f>
        <v>0</v>
      </c>
      <c r="F99" s="1055">
        <f>F94+E99</f>
        <v>0</v>
      </c>
      <c r="G99" s="1055">
        <v>0</v>
      </c>
      <c r="H99" s="1055"/>
      <c r="I99" s="1367"/>
      <c r="J99" s="1368">
        <f>SUM(J96:J98)</f>
        <v>0</v>
      </c>
      <c r="K99" s="1368">
        <f>SUM(K96:K98)</f>
        <v>0</v>
      </c>
      <c r="L99" s="1368">
        <f>SUM(L96:L98)</f>
        <v>0</v>
      </c>
      <c r="M99" s="1368"/>
      <c r="N99" s="1368"/>
      <c r="O99" s="1055"/>
      <c r="P99" s="1369"/>
      <c r="Q99" s="1369"/>
      <c r="R99" s="1369"/>
      <c r="S99" s="1369"/>
      <c r="T99" s="1290"/>
      <c r="U99" s="1290"/>
      <c r="V99" s="1290"/>
      <c r="W99" s="1290"/>
      <c r="X99" s="1290"/>
      <c r="Y99" s="1290"/>
    </row>
    <row r="100" spans="1:25" ht="15.75" customHeight="1">
      <c r="A100" s="1356" t="s">
        <v>2945</v>
      </c>
      <c r="B100" s="1357" t="s">
        <v>133</v>
      </c>
      <c r="C100" s="1361">
        <f>IF('Ввод данных'!A6=связи1!A98,дома!J1189,0)</f>
        <v>0</v>
      </c>
      <c r="D100" s="1364">
        <f>L1115</f>
        <v>0</v>
      </c>
      <c r="E100" s="1359">
        <f>C100*D100</f>
        <v>0</v>
      </c>
      <c r="F100" s="1055">
        <f>(J1189+J1190)*D100</f>
        <v>0</v>
      </c>
      <c r="G100" s="1055">
        <f>IF('Ввод данных'!A6=связи1!A98,дома!F100,0)</f>
        <v>0</v>
      </c>
      <c r="H100" s="1055"/>
      <c r="I100" s="3158" t="s">
        <v>2050</v>
      </c>
      <c r="J100" s="3158"/>
      <c r="K100" s="3158"/>
      <c r="L100" s="3158"/>
      <c r="M100" s="1370"/>
      <c r="N100" s="1370"/>
      <c r="O100" s="1055"/>
      <c r="P100" s="1346">
        <f>AC57-E47-E48-E49-E50-E51-E57-E59-E60-E74-E75-E76</f>
        <v>-1.2</v>
      </c>
      <c r="Q100" s="1346">
        <f>AC58-E52-E53-E54-E55-E56-E58</f>
        <v>0</v>
      </c>
      <c r="R100" s="1280">
        <f>AC61+AC62</f>
        <v>0</v>
      </c>
      <c r="S100" s="1346">
        <f>P100+Q100</f>
        <v>-1.2</v>
      </c>
      <c r="T100" s="1290"/>
      <c r="U100" s="1290"/>
      <c r="V100" s="1290"/>
      <c r="W100" s="1290"/>
      <c r="X100" s="1290"/>
      <c r="Y100" s="1290"/>
    </row>
    <row r="101" spans="1:25" ht="15.75" customHeight="1">
      <c r="A101" s="967" t="s">
        <v>2591</v>
      </c>
      <c r="B101" s="1357"/>
      <c r="C101" s="1361"/>
      <c r="D101" s="1364"/>
      <c r="E101" s="1359">
        <f>SUM(E97:E100)</f>
        <v>0</v>
      </c>
      <c r="F101" s="1055">
        <f>SUM(F97:F100)</f>
        <v>0</v>
      </c>
      <c r="G101" s="1055">
        <f>SUM(G97:G100)</f>
        <v>0</v>
      </c>
      <c r="H101" s="1055"/>
      <c r="I101" s="1371" t="s">
        <v>2934</v>
      </c>
      <c r="J101" s="1372">
        <f>C1235*D1229*E1235</f>
        <v>0</v>
      </c>
      <c r="K101" s="1373">
        <f>C1235*C1232*D1229-D398*C1232*D1229+C1245*D1229*B398</f>
        <v>0</v>
      </c>
      <c r="L101" s="1372"/>
      <c r="M101" s="1372"/>
      <c r="N101" s="1372"/>
      <c r="O101" s="1055"/>
      <c r="P101" s="3157" t="s">
        <v>2946</v>
      </c>
      <c r="Q101" s="3157"/>
      <c r="R101" s="3157"/>
      <c r="S101" s="3157"/>
      <c r="T101" s="1290"/>
      <c r="U101" s="1290"/>
      <c r="V101" s="1290"/>
      <c r="W101" s="1290"/>
      <c r="X101" s="1290"/>
      <c r="Y101" s="1290"/>
    </row>
    <row r="102" spans="1:25" ht="15.75" customHeight="1">
      <c r="B102" s="1339"/>
      <c r="C102" s="1339"/>
      <c r="D102" s="1055"/>
      <c r="E102" s="1055"/>
      <c r="F102" s="1055"/>
      <c r="G102" s="1055"/>
      <c r="H102" s="1055"/>
      <c r="I102" s="1371" t="s">
        <v>2613</v>
      </c>
      <c r="J102" s="1372">
        <f>C1236*E1236*D1229</f>
        <v>0</v>
      </c>
      <c r="K102" s="1372">
        <f>(J102-D859+C1245*D1229*B859)*C1233</f>
        <v>0</v>
      </c>
      <c r="L102" s="1372">
        <f>C1236*C1232*D1229-D398*C1232*D1229+C1245*D1229*B398</f>
        <v>0</v>
      </c>
      <c r="M102" s="1372"/>
      <c r="N102" s="1372"/>
      <c r="O102" s="1055"/>
      <c r="P102" s="1346">
        <f>C78-D78+C80+C82+C84</f>
        <v>118.8</v>
      </c>
      <c r="Q102" s="1346">
        <f>C79+C81+C83+C85-D79</f>
        <v>0</v>
      </c>
      <c r="R102" s="1280">
        <f>C86</f>
        <v>0</v>
      </c>
      <c r="S102" s="1346">
        <f>P102+Q102+R102</f>
        <v>118.8</v>
      </c>
      <c r="T102" s="1290"/>
      <c r="U102" s="1290"/>
      <c r="V102" s="1290"/>
      <c r="W102" s="1290"/>
      <c r="X102" s="1290"/>
      <c r="Y102" s="1290"/>
    </row>
    <row r="103" spans="1:25" ht="15.75" customHeight="1">
      <c r="A103" s="966"/>
      <c r="B103" s="1374"/>
      <c r="C103" s="1361"/>
      <c r="D103" s="1364"/>
      <c r="E103" s="1359"/>
      <c r="F103" s="1055"/>
      <c r="G103" s="1055"/>
      <c r="H103" s="1055"/>
      <c r="I103" s="1371" t="s">
        <v>2622</v>
      </c>
      <c r="J103" s="1372">
        <f>C1237*D1229*E1237</f>
        <v>0</v>
      </c>
      <c r="K103" s="1372"/>
      <c r="L103" s="1372">
        <f>J103-D859+C1245*D1229*B859*C1233</f>
        <v>0</v>
      </c>
      <c r="M103" s="1372"/>
      <c r="N103" s="1372"/>
      <c r="O103" s="1055"/>
      <c r="P103" s="1375"/>
      <c r="Q103" s="1375"/>
      <c r="R103" s="1376"/>
      <c r="S103" s="1375"/>
      <c r="T103" s="1290"/>
      <c r="U103" s="1290"/>
      <c r="V103" s="1290"/>
      <c r="W103" s="1290"/>
      <c r="X103" s="1290"/>
      <c r="Y103" s="1290"/>
    </row>
    <row r="104" spans="1:25" ht="15.75" customHeight="1">
      <c r="A104" s="966"/>
      <c r="B104" s="1374"/>
      <c r="C104" s="1361"/>
      <c r="D104" s="1364"/>
      <c r="E104" s="1359"/>
      <c r="F104" s="1055"/>
      <c r="G104" s="1055"/>
      <c r="H104" s="1055"/>
      <c r="I104" s="1371"/>
      <c r="J104" s="1372">
        <f>SUM(J101:J103)</f>
        <v>0</v>
      </c>
      <c r="K104" s="1372">
        <f>SUM(K101:K103)</f>
        <v>0</v>
      </c>
      <c r="L104" s="1372">
        <f>SUM(L101:L103)</f>
        <v>0</v>
      </c>
      <c r="M104" s="1372"/>
      <c r="N104" s="1372"/>
      <c r="O104" s="1055"/>
      <c r="P104" s="1375"/>
      <c r="Q104" s="1375"/>
      <c r="R104" s="1376"/>
      <c r="S104" s="1375"/>
      <c r="T104" s="1290"/>
      <c r="U104" s="1290"/>
      <c r="V104" s="1290"/>
      <c r="W104" s="1290"/>
      <c r="X104" s="1290"/>
      <c r="Y104" s="1290"/>
    </row>
    <row r="105" spans="1:25" s="1355" customFormat="1" ht="15.75" customHeight="1">
      <c r="A105" s="967"/>
      <c r="B105" s="1377"/>
      <c r="C105" s="1378"/>
      <c r="D105" s="968"/>
      <c r="E105" s="1379"/>
      <c r="F105" s="971"/>
      <c r="G105" s="971"/>
      <c r="H105" s="1036"/>
      <c r="I105" s="1286" t="s">
        <v>2947</v>
      </c>
      <c r="J105" s="1276">
        <f>J94+J99+J104</f>
        <v>200</v>
      </c>
      <c r="K105" s="1276">
        <v>0</v>
      </c>
      <c r="L105" s="1276">
        <f>J91+J96+J101</f>
        <v>100</v>
      </c>
      <c r="M105" s="1276"/>
      <c r="N105" s="1276"/>
      <c r="O105" s="1036"/>
      <c r="P105" s="1380"/>
      <c r="Q105" s="1380"/>
      <c r="R105" s="1036"/>
      <c r="S105" s="1380"/>
      <c r="T105" s="1354"/>
      <c r="U105" s="1354"/>
      <c r="V105" s="1354"/>
      <c r="W105" s="1354"/>
      <c r="X105" s="1354"/>
      <c r="Y105" s="1354"/>
    </row>
    <row r="106" spans="1:25" s="1355" customFormat="1" ht="15.75" customHeight="1">
      <c r="A106" s="967"/>
      <c r="B106" s="1377"/>
      <c r="C106" s="1378"/>
      <c r="D106" s="968"/>
      <c r="E106" s="1379"/>
      <c r="F106" s="971"/>
      <c r="G106" s="971"/>
      <c r="H106" s="1036"/>
      <c r="I106" s="1286" t="s">
        <v>1590</v>
      </c>
      <c r="J106" s="1276">
        <f>K94+K99+K104</f>
        <v>100</v>
      </c>
      <c r="K106" s="1276">
        <v>1</v>
      </c>
      <c r="L106" s="1276">
        <f>J92+J97+J102</f>
        <v>100</v>
      </c>
      <c r="M106" s="1276"/>
      <c r="N106" s="1276"/>
      <c r="O106" s="1036"/>
      <c r="P106" s="1380"/>
      <c r="Q106" s="1380"/>
      <c r="R106" s="1036"/>
      <c r="S106" s="1380"/>
      <c r="T106" s="1354"/>
      <c r="U106" s="1354"/>
      <c r="V106" s="1354"/>
      <c r="W106" s="1354"/>
      <c r="X106" s="1354"/>
      <c r="Y106" s="1354"/>
    </row>
    <row r="107" spans="1:25" s="1355" customFormat="1" ht="15.75" customHeight="1">
      <c r="A107" s="967"/>
      <c r="B107" s="1377"/>
      <c r="C107" s="1378"/>
      <c r="D107" s="968"/>
      <c r="E107" s="1379"/>
      <c r="F107" s="971"/>
      <c r="G107" s="971"/>
      <c r="H107" s="1036"/>
      <c r="I107" s="1286" t="s">
        <v>1582</v>
      </c>
      <c r="J107" s="1276">
        <f>L94+L99+L104</f>
        <v>100</v>
      </c>
      <c r="K107" s="1276">
        <v>2</v>
      </c>
      <c r="L107" s="1276">
        <f>J93+J98+J103</f>
        <v>0</v>
      </c>
      <c r="M107" s="1276"/>
      <c r="N107" s="1276"/>
      <c r="O107" s="1036"/>
      <c r="P107" s="1380"/>
      <c r="Q107" s="1380"/>
      <c r="R107" s="1036"/>
      <c r="S107" s="1380"/>
      <c r="T107" s="1354"/>
      <c r="U107" s="1354"/>
      <c r="V107" s="1354"/>
      <c r="W107" s="1354"/>
      <c r="X107" s="1354"/>
      <c r="Y107" s="1354"/>
    </row>
    <row r="108" spans="1:25" s="1355" customFormat="1" ht="15.75" customHeight="1">
      <c r="A108" s="967"/>
      <c r="B108" s="1377"/>
      <c r="C108" s="1378"/>
      <c r="D108" s="968"/>
      <c r="E108" s="1379"/>
      <c r="F108" s="971"/>
      <c r="G108" s="971"/>
      <c r="H108" s="1036"/>
      <c r="I108" s="1286" t="s">
        <v>2948</v>
      </c>
      <c r="J108" s="1276">
        <f>IF(K91&gt;0,J91,0)+IF(K92&gt;0,J92,0)+IF(K96&gt;0,J96,0)+IF(K97&gt;0,J97,0)+IF(K101&gt;0,J101,0)+IF(K102&gt;0,J102,0)</f>
        <v>100</v>
      </c>
      <c r="K108" s="1276">
        <f>K91+K92+K96+K97+K101+K102</f>
        <v>100</v>
      </c>
      <c r="L108" s="1276"/>
      <c r="M108" s="1276"/>
      <c r="N108" s="1276"/>
      <c r="O108" s="1036"/>
      <c r="P108" s="1380"/>
      <c r="Q108" s="1380"/>
      <c r="R108" s="1036"/>
      <c r="S108" s="1380"/>
      <c r="T108" s="1354"/>
      <c r="U108" s="1354"/>
      <c r="V108" s="1354"/>
      <c r="W108" s="1354"/>
      <c r="X108" s="1354"/>
      <c r="Y108" s="1354"/>
    </row>
    <row r="109" spans="1:25" s="1355" customFormat="1" ht="15.75" customHeight="1">
      <c r="A109" s="967"/>
      <c r="B109" s="1377"/>
      <c r="C109" s="1378"/>
      <c r="D109" s="968"/>
      <c r="E109" s="971" t="s">
        <v>2949</v>
      </c>
      <c r="F109" s="1381" t="s">
        <v>2950</v>
      </c>
      <c r="G109" s="1381"/>
      <c r="H109" s="1382"/>
      <c r="I109" s="1355" t="s">
        <v>2951</v>
      </c>
      <c r="K109" s="1355">
        <f>E96+F601+F1054</f>
        <v>0</v>
      </c>
      <c r="O109" s="1380"/>
      <c r="P109" s="1380"/>
      <c r="Q109" s="1380"/>
      <c r="R109" s="1036"/>
      <c r="S109" s="1380"/>
      <c r="T109" s="1354"/>
      <c r="U109" s="1354"/>
      <c r="V109" s="1354"/>
      <c r="W109" s="1354"/>
      <c r="X109" s="1354"/>
      <c r="Y109" s="1354"/>
    </row>
    <row r="110" spans="1:25" s="1355" customFormat="1" ht="15.75" customHeight="1">
      <c r="A110" s="967"/>
      <c r="B110" s="1377"/>
      <c r="C110" s="1378"/>
      <c r="D110" s="968"/>
      <c r="E110" s="971"/>
      <c r="F110" s="1381"/>
      <c r="G110" s="1381"/>
      <c r="H110" s="1382"/>
      <c r="I110" s="1355" t="s">
        <v>2952</v>
      </c>
      <c r="K110" s="1355">
        <f>F613</f>
        <v>-1.2</v>
      </c>
      <c r="L110" s="1355" t="s">
        <v>2591</v>
      </c>
      <c r="O110" s="1383">
        <f>SUM(K109:K111)+L2237</f>
        <v>-1.2</v>
      </c>
      <c r="P110" s="1383" t="s">
        <v>2953</v>
      </c>
      <c r="Q110" s="1380"/>
      <c r="R110" s="1036"/>
      <c r="S110" s="1380"/>
      <c r="T110" s="1354"/>
      <c r="U110" s="1354"/>
      <c r="V110" s="1354"/>
      <c r="W110" s="1354"/>
      <c r="X110" s="1354"/>
      <c r="Y110" s="1354"/>
    </row>
    <row r="111" spans="1:25" s="1355" customFormat="1" ht="15.75" customHeight="1">
      <c r="A111" s="967"/>
      <c r="B111" s="1377"/>
      <c r="C111" s="1378"/>
      <c r="D111" s="968"/>
      <c r="E111" s="971"/>
      <c r="F111" s="1381"/>
      <c r="G111" s="1381"/>
      <c r="H111" s="1382"/>
      <c r="I111" s="1355" t="s">
        <v>2954</v>
      </c>
      <c r="K111" s="1355">
        <f>F1066</f>
        <v>0</v>
      </c>
      <c r="O111" s="1380"/>
      <c r="P111" s="1380"/>
      <c r="Q111" s="1380"/>
      <c r="R111" s="1036"/>
      <c r="S111" s="1380"/>
      <c r="T111" s="1354"/>
      <c r="U111" s="1354"/>
      <c r="V111" s="1354"/>
      <c r="W111" s="1354"/>
      <c r="X111" s="1354"/>
      <c r="Y111" s="1354"/>
    </row>
    <row r="112" spans="1:25" ht="15.75" customHeight="1">
      <c r="A112" s="1384" t="s">
        <v>2955</v>
      </c>
      <c r="B112" s="1385" t="s">
        <v>133</v>
      </c>
      <c r="C112" s="1386">
        <f>I1303</f>
        <v>0</v>
      </c>
      <c r="D112" s="1379" t="s">
        <v>2956</v>
      </c>
      <c r="E112" s="1359">
        <f>F1337</f>
        <v>48</v>
      </c>
      <c r="F112" s="1387" t="s">
        <v>2956</v>
      </c>
      <c r="G112" s="1363">
        <f>E112-C112-C113</f>
        <v>48</v>
      </c>
      <c r="H112" s="1363"/>
      <c r="I112" s="3159" t="s">
        <v>2957</v>
      </c>
      <c r="J112" s="3159"/>
      <c r="K112" s="1389">
        <f>G112+G114</f>
        <v>48</v>
      </c>
      <c r="L112" s="1390"/>
      <c r="M112" s="1390"/>
      <c r="N112" s="1390"/>
      <c r="S112" s="1380"/>
      <c r="T112" s="1290"/>
      <c r="U112" s="1290"/>
      <c r="V112" s="1290"/>
      <c r="W112" s="1290"/>
      <c r="X112" s="1290"/>
      <c r="Y112" s="1290"/>
    </row>
    <row r="113" spans="1:30" ht="15.75" customHeight="1">
      <c r="A113" s="1384" t="s">
        <v>2958</v>
      </c>
      <c r="B113" s="1385"/>
      <c r="C113" s="1386">
        <f>M1292</f>
        <v>0</v>
      </c>
      <c r="D113" s="1379"/>
      <c r="E113" s="1359"/>
      <c r="F113" s="1387"/>
      <c r="G113" s="1363"/>
      <c r="H113" s="1363"/>
      <c r="I113" s="1388"/>
      <c r="J113" s="1388"/>
      <c r="K113" s="1389"/>
      <c r="L113" s="1390"/>
      <c r="M113" s="1390"/>
      <c r="N113" s="1390"/>
      <c r="S113" s="1380"/>
      <c r="T113" s="1290"/>
      <c r="U113" s="1290"/>
      <c r="V113" s="1290"/>
      <c r="W113" s="1290"/>
      <c r="X113" s="1290"/>
      <c r="Y113" s="1290"/>
    </row>
    <row r="114" spans="1:30" ht="15.75" customHeight="1">
      <c r="A114" s="1384" t="s">
        <v>2959</v>
      </c>
      <c r="B114" s="1385" t="s">
        <v>133</v>
      </c>
      <c r="C114" s="1386">
        <f>I1305</f>
        <v>0</v>
      </c>
      <c r="D114" s="971" t="s">
        <v>2960</v>
      </c>
      <c r="E114" s="1359">
        <f>дома!R1337</f>
        <v>0</v>
      </c>
      <c r="F114" s="1381" t="s">
        <v>2960</v>
      </c>
      <c r="G114" s="1363">
        <f>E114-C114-C115</f>
        <v>0</v>
      </c>
      <c r="H114" s="1363"/>
      <c r="I114" s="3159" t="s">
        <v>2961</v>
      </c>
      <c r="J114" s="3159"/>
      <c r="K114" s="1389">
        <f>G116+G117</f>
        <v>23.4</v>
      </c>
      <c r="L114" s="1390"/>
      <c r="M114" s="1390"/>
      <c r="N114" s="1390"/>
      <c r="S114" s="1380"/>
      <c r="T114" s="1290"/>
      <c r="U114" s="1290"/>
      <c r="V114" s="1290"/>
      <c r="W114" s="1290"/>
      <c r="X114" s="1290"/>
      <c r="Y114" s="1290"/>
    </row>
    <row r="115" spans="1:30" ht="15.75" customHeight="1">
      <c r="A115" s="1384" t="s">
        <v>2962</v>
      </c>
      <c r="B115" s="1385"/>
      <c r="C115" s="1386">
        <f>M1298</f>
        <v>0</v>
      </c>
      <c r="D115" s="971"/>
      <c r="E115" s="1359"/>
      <c r="F115" s="1381"/>
      <c r="G115" s="1363"/>
      <c r="H115" s="1363"/>
      <c r="I115" s="1388"/>
      <c r="J115" s="1388"/>
      <c r="K115" s="1389"/>
      <c r="L115" s="1390"/>
      <c r="M115" s="1390"/>
      <c r="N115" s="1390"/>
      <c r="S115" s="1380"/>
      <c r="T115" s="1290"/>
      <c r="U115" s="1290"/>
      <c r="V115" s="1290"/>
      <c r="W115" s="1290"/>
      <c r="X115" s="1290"/>
      <c r="Y115" s="1290"/>
    </row>
    <row r="116" spans="1:30" ht="15.75" customHeight="1">
      <c r="A116" s="1384" t="s">
        <v>2963</v>
      </c>
      <c r="B116" s="1385" t="s">
        <v>133</v>
      </c>
      <c r="C116" s="1386">
        <f>I1304</f>
        <v>0</v>
      </c>
      <c r="D116" s="971" t="s">
        <v>2964</v>
      </c>
      <c r="E116" s="1359">
        <f>F1338</f>
        <v>23.4</v>
      </c>
      <c r="F116" s="1381" t="s">
        <v>2964</v>
      </c>
      <c r="G116" s="1363">
        <f>E116-C116-C117</f>
        <v>23.4</v>
      </c>
      <c r="H116" s="1363"/>
      <c r="I116" s="3160" t="s">
        <v>2965</v>
      </c>
      <c r="J116" s="3160"/>
      <c r="K116" s="1384">
        <f>G112+G116</f>
        <v>71.400000000000006</v>
      </c>
      <c r="L116" s="1391"/>
      <c r="M116" s="1391"/>
      <c r="N116" s="1391"/>
      <c r="O116" s="1392"/>
      <c r="S116" s="1380"/>
      <c r="T116" s="1290"/>
      <c r="U116" s="1290"/>
      <c r="V116" s="1290"/>
      <c r="W116" s="1290"/>
      <c r="X116" s="1290"/>
      <c r="Y116" s="1290"/>
    </row>
    <row r="117" spans="1:30" ht="15.75" customHeight="1">
      <c r="A117" s="1384" t="s">
        <v>2966</v>
      </c>
      <c r="B117" s="1385" t="s">
        <v>133</v>
      </c>
      <c r="C117" s="1386">
        <f>M1295</f>
        <v>0</v>
      </c>
      <c r="D117" s="967" t="s">
        <v>2967</v>
      </c>
      <c r="E117" s="1359">
        <f>R1338</f>
        <v>0</v>
      </c>
      <c r="F117" s="1393" t="s">
        <v>2967</v>
      </c>
      <c r="G117" s="1363">
        <f>E117-C118-C119</f>
        <v>0</v>
      </c>
      <c r="H117" s="1363"/>
      <c r="I117" s="3160" t="s">
        <v>2968</v>
      </c>
      <c r="J117" s="3160"/>
      <c r="K117" s="1310">
        <f>G114+G117</f>
        <v>0</v>
      </c>
      <c r="L117" s="1394"/>
      <c r="M117" s="1394"/>
      <c r="N117" s="1394"/>
      <c r="O117" s="1392"/>
      <c r="S117" s="1380"/>
      <c r="T117" s="1290"/>
      <c r="U117" s="1290"/>
      <c r="V117" s="1290"/>
      <c r="W117" s="1290"/>
      <c r="X117" s="1290"/>
      <c r="Y117" s="1290"/>
    </row>
    <row r="118" spans="1:30" ht="15.75" customHeight="1">
      <c r="A118" s="1384" t="s">
        <v>2969</v>
      </c>
      <c r="B118" s="1385" t="s">
        <v>133</v>
      </c>
      <c r="C118" s="1386">
        <f>I1306</f>
        <v>0</v>
      </c>
      <c r="D118" s="1364"/>
      <c r="E118" s="1359"/>
      <c r="F118" s="1055"/>
      <c r="G118" s="1055"/>
      <c r="H118" s="1055"/>
      <c r="I118" s="3159" t="s">
        <v>2970</v>
      </c>
      <c r="J118" s="3159"/>
      <c r="K118" s="1310">
        <f>K116+K117</f>
        <v>71.400000000000006</v>
      </c>
      <c r="L118" s="1394"/>
      <c r="M118" s="1394"/>
      <c r="N118" s="1394"/>
      <c r="O118" s="1392"/>
      <c r="S118" s="1380"/>
      <c r="T118" s="1290"/>
      <c r="U118" s="1290"/>
      <c r="V118" s="1290"/>
      <c r="W118" s="1290"/>
      <c r="X118" s="1290"/>
      <c r="Y118" s="1290"/>
    </row>
    <row r="119" spans="1:30" ht="15.75" customHeight="1">
      <c r="A119" s="1384" t="s">
        <v>2971</v>
      </c>
      <c r="B119" s="1385"/>
      <c r="C119" s="1386">
        <f>M1301</f>
        <v>0</v>
      </c>
      <c r="D119" s="1364"/>
      <c r="E119" s="1359"/>
      <c r="F119" s="1055"/>
      <c r="G119" s="1055"/>
      <c r="H119" s="1262"/>
      <c r="I119" s="1395"/>
      <c r="J119" s="1395"/>
      <c r="K119" s="1394"/>
      <c r="L119" s="1394"/>
      <c r="M119" s="1394"/>
      <c r="N119" s="1394"/>
      <c r="O119" s="1392"/>
      <c r="S119" s="1380"/>
      <c r="T119" s="1290"/>
      <c r="U119" s="1290"/>
      <c r="V119" s="1290"/>
      <c r="W119" s="1290"/>
      <c r="X119" s="1290"/>
      <c r="Y119" s="1290"/>
    </row>
    <row r="120" spans="1:30" ht="15.75" customHeight="1">
      <c r="A120" s="1384"/>
      <c r="B120" s="1385"/>
      <c r="C120" s="1386"/>
      <c r="D120" s="1364"/>
      <c r="E120" s="1359"/>
      <c r="F120" s="1055"/>
      <c r="G120" s="1055"/>
      <c r="H120" s="1262"/>
      <c r="I120" s="1395"/>
      <c r="J120" s="1395"/>
      <c r="K120" s="1394"/>
      <c r="L120" s="1394"/>
      <c r="M120" s="1394"/>
      <c r="N120" s="1394"/>
      <c r="O120" s="1392"/>
      <c r="S120" s="1380"/>
      <c r="T120" s="1290"/>
      <c r="U120" s="1290"/>
      <c r="V120" s="1290"/>
      <c r="W120" s="1290"/>
      <c r="X120" s="1290"/>
      <c r="Y120" s="1290"/>
    </row>
    <row r="121" spans="1:30" ht="15.75" customHeight="1">
      <c r="A121" s="1384"/>
      <c r="B121" s="1385"/>
      <c r="C121" s="1386"/>
      <c r="D121" s="1364"/>
      <c r="E121" s="1359"/>
      <c r="F121" s="1055"/>
      <c r="G121" s="1055"/>
      <c r="H121" s="1262"/>
      <c r="I121" s="1395"/>
      <c r="J121" s="1395"/>
      <c r="K121" s="1394"/>
      <c r="L121" s="1394"/>
      <c r="M121" s="1394"/>
      <c r="N121" s="1394"/>
      <c r="O121" s="1392"/>
      <c r="S121" s="1380"/>
      <c r="T121" s="1290"/>
      <c r="U121" s="1290"/>
      <c r="V121" s="1290"/>
      <c r="W121" s="1290"/>
      <c r="X121" s="1290"/>
      <c r="Y121" s="1290"/>
    </row>
    <row r="122" spans="1:30" s="1197" customFormat="1" ht="15.75" customHeight="1">
      <c r="A122" s="1384" t="s">
        <v>2972</v>
      </c>
      <c r="B122" s="1385" t="s">
        <v>133</v>
      </c>
      <c r="C122" s="1386">
        <f>C117+C118</f>
        <v>0</v>
      </c>
      <c r="D122" s="1364"/>
      <c r="E122" s="1359"/>
      <c r="F122" s="1055"/>
      <c r="G122" s="1055"/>
      <c r="H122" s="1262"/>
      <c r="K122" s="921"/>
      <c r="L122" s="921"/>
      <c r="M122" s="921"/>
      <c r="N122" s="921"/>
      <c r="O122" s="1392"/>
      <c r="P122" s="1380"/>
      <c r="Q122" s="1380"/>
      <c r="R122" s="1036"/>
      <c r="S122" s="1380"/>
      <c r="T122" s="1290"/>
      <c r="U122" s="1290"/>
      <c r="V122" s="1290"/>
      <c r="W122" s="1290"/>
      <c r="X122" s="1290"/>
      <c r="Y122" s="1290"/>
    </row>
    <row r="123" spans="1:30" ht="15.75" customHeight="1" outlineLevel="1">
      <c r="A123" s="1396" t="s">
        <v>2973</v>
      </c>
      <c r="B123" s="1342" t="s">
        <v>120</v>
      </c>
      <c r="C123" s="1374" t="s">
        <v>853</v>
      </c>
      <c r="D123" s="1018" t="s">
        <v>1802</v>
      </c>
      <c r="E123" s="1330" t="s">
        <v>293</v>
      </c>
      <c r="F123" s="1330" t="s">
        <v>2974</v>
      </c>
      <c r="G123" s="1018" t="s">
        <v>2156</v>
      </c>
      <c r="H123" s="1018"/>
      <c r="I123" s="1018" t="s">
        <v>2807</v>
      </c>
      <c r="J123" s="1018" t="s">
        <v>2975</v>
      </c>
      <c r="K123" s="1018" t="s">
        <v>1800</v>
      </c>
      <c r="L123" s="1018"/>
      <c r="M123" s="1018"/>
      <c r="N123" s="1018"/>
      <c r="O123" s="1280" t="s">
        <v>2976</v>
      </c>
      <c r="P123" s="1397" t="s">
        <v>2977</v>
      </c>
      <c r="Q123" s="1397" t="s">
        <v>2978</v>
      </c>
      <c r="R123" s="1397" t="s">
        <v>2979</v>
      </c>
      <c r="S123" s="1055" t="s">
        <v>2572</v>
      </c>
      <c r="T123" s="1280" t="s">
        <v>2980</v>
      </c>
      <c r="U123" s="1345" t="s">
        <v>2981</v>
      </c>
      <c r="V123" s="1280" t="s">
        <v>2982</v>
      </c>
      <c r="W123" s="982" t="s">
        <v>2983</v>
      </c>
      <c r="X123" s="982" t="s">
        <v>1802</v>
      </c>
      <c r="Y123" s="1282" t="s">
        <v>2982</v>
      </c>
      <c r="Z123" s="982" t="s">
        <v>2984</v>
      </c>
      <c r="AA123" s="1280" t="s">
        <v>2982</v>
      </c>
      <c r="AB123" s="982" t="s">
        <v>2985</v>
      </c>
      <c r="AC123" s="982" t="s">
        <v>1802</v>
      </c>
      <c r="AD123" s="1282" t="s">
        <v>1698</v>
      </c>
    </row>
    <row r="124" spans="1:30" ht="15.75" customHeight="1" outlineLevel="1">
      <c r="A124" s="1338" t="s">
        <v>2986</v>
      </c>
      <c r="B124" s="1342" t="s">
        <v>156</v>
      </c>
      <c r="C124" s="1247">
        <f>IF('Ввод данных'!A27=связи1!A132,C16,F16+G16)*(IF('Ввод данных'!A8=связи1!A150,1,0))</f>
        <v>0</v>
      </c>
      <c r="D124" s="1055">
        <f>'Ввод данных'!C21</f>
        <v>3</v>
      </c>
      <c r="E124" s="1246">
        <f>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данных'!C13,0))*C130+IF('Ввод данных'!A19=связи1!A129,'Ввод данных'!C13,0)</f>
        <v>3</v>
      </c>
      <c r="F124" s="1246">
        <f>C124*E124</f>
        <v>0</v>
      </c>
      <c r="G124" s="1055">
        <f>'Ввод данных'!C1027</f>
        <v>0.6</v>
      </c>
      <c r="H124" s="1055"/>
      <c r="I124" s="1055">
        <f>IF(C124=0,0,C124/G124+1)</f>
        <v>0</v>
      </c>
      <c r="J124" s="1055">
        <f>VLOOKUP('Ввод данных'!A1031,связи1!I458:O488,7,0)</f>
        <v>0.05</v>
      </c>
      <c r="K124" s="1055">
        <f>VLOOKUP('Ввод данных'!A1031,связи1!I458:O488,6,0)</f>
        <v>0.15</v>
      </c>
      <c r="L124" s="1055"/>
      <c r="M124" s="1055"/>
      <c r="N124" s="1055"/>
      <c r="O124" s="1280">
        <f t="shared" ref="O124:O129" si="14">E124*I124*J124*K124</f>
        <v>0</v>
      </c>
      <c r="P124" s="1360">
        <f>C124*C130</f>
        <v>0</v>
      </c>
      <c r="Q124" s="1360">
        <f>C124*C130</f>
        <v>0</v>
      </c>
      <c r="R124" s="1360">
        <f>C124*C130</f>
        <v>0</v>
      </c>
      <c r="S124" s="1055">
        <f>C124</f>
        <v>0</v>
      </c>
      <c r="T124" s="1280">
        <f t="shared" ref="T124:T129" si="15">(P124+Q124+R124)*J124*K124</f>
        <v>0</v>
      </c>
      <c r="U124" s="1398">
        <f>'Ввод данных'!E68*2</f>
        <v>2</v>
      </c>
      <c r="V124" s="1280">
        <f t="shared" ref="V124:V129" si="16">U124*($E$124+$E$125)*J124*$K$124</f>
        <v>4.5000000000000005E-2</v>
      </c>
      <c r="W124" s="1055">
        <f>'Ввод данных'!C68</f>
        <v>1</v>
      </c>
      <c r="X124" s="1055">
        <v>2</v>
      </c>
      <c r="Y124" s="1346">
        <f t="shared" ref="Y124:Y129" si="17">W124*$K$124*J124*X124</f>
        <v>1.4999999999999999E-2</v>
      </c>
      <c r="Z124" s="1055">
        <f>'Ввод данных'!E85</f>
        <v>0</v>
      </c>
      <c r="AA124" s="1280">
        <f t="shared" ref="AA124:AA129" si="18">Z124*($E$124+$E$125)*J124*K124</f>
        <v>0</v>
      </c>
      <c r="AB124" s="1360">
        <f>'Ввод данных'!C85</f>
        <v>0.8</v>
      </c>
      <c r="AC124" s="1360">
        <v>1</v>
      </c>
      <c r="AD124" s="1346">
        <f>AB124*K124*J124*AC124</f>
        <v>6.0000000000000001E-3</v>
      </c>
    </row>
    <row r="125" spans="1:30" ht="15.75" customHeight="1" outlineLevel="1">
      <c r="A125" s="1338" t="s">
        <v>2987</v>
      </c>
      <c r="B125" s="1342" t="s">
        <v>156</v>
      </c>
      <c r="C125" s="1247">
        <f>IF('Ввод данных'!A19=связи1!A128,дома!E124,дома!F20)*(IF('Ввод данных'!A8=связи1!A150,1,0))</f>
        <v>0</v>
      </c>
      <c r="D125" s="1055">
        <f>IF('Ввод данных'!A19=связи1!A129,1,0)</f>
        <v>0</v>
      </c>
      <c r="E125" s="1246">
        <f>((IF('Ввод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данных'!C13,0))*C130+IF('Ввод данных'!A19=связи1!A129,дома!C125,0))*C131</f>
        <v>0</v>
      </c>
      <c r="F125" s="1246">
        <f>E125*C128</f>
        <v>0</v>
      </c>
      <c r="G125" s="1055">
        <f>'Ввод данных'!C1027</f>
        <v>0.6</v>
      </c>
      <c r="H125" s="1055"/>
      <c r="I125" s="1055">
        <f>IF(E125=0,0,C128/G125+1)</f>
        <v>0</v>
      </c>
      <c r="J125" s="1055">
        <f>VLOOKUP('Ввод данных'!A1031,связи1!I458:O488,7,0)</f>
        <v>0.05</v>
      </c>
      <c r="K125" s="1055">
        <f>VLOOKUP('Ввод данных'!A1031,связи1!I458:O488,6,0)</f>
        <v>0.15</v>
      </c>
      <c r="L125" s="1055"/>
      <c r="M125" s="1055"/>
      <c r="N125" s="1055"/>
      <c r="O125" s="1280">
        <f t="shared" si="14"/>
        <v>0</v>
      </c>
      <c r="P125" s="1360">
        <f>C133*C131</f>
        <v>0</v>
      </c>
      <c r="Q125" s="1360">
        <f>C133*C131</f>
        <v>0</v>
      </c>
      <c r="R125" s="1360">
        <f>C133*C131</f>
        <v>0</v>
      </c>
      <c r="S125" s="1055">
        <f>P125</f>
        <v>0</v>
      </c>
      <c r="T125" s="1280">
        <f t="shared" si="15"/>
        <v>0</v>
      </c>
      <c r="U125" s="1398">
        <f>'Ввод данных'!E69*2</f>
        <v>0</v>
      </c>
      <c r="V125" s="1280">
        <f t="shared" si="16"/>
        <v>0</v>
      </c>
      <c r="W125" s="1055"/>
      <c r="X125" s="1055">
        <v>2</v>
      </c>
      <c r="Y125" s="1346">
        <f t="shared" si="17"/>
        <v>0</v>
      </c>
      <c r="Z125" s="1055"/>
      <c r="AA125" s="1280">
        <f t="shared" si="18"/>
        <v>0</v>
      </c>
      <c r="AB125" s="1360"/>
      <c r="AC125" s="1360">
        <v>1</v>
      </c>
      <c r="AD125" s="1346">
        <f>AB125*K125*J125*AC125</f>
        <v>0</v>
      </c>
    </row>
    <row r="126" spans="1:30" ht="15.75" customHeight="1" outlineLevel="1">
      <c r="A126" s="1338" t="s">
        <v>2988</v>
      </c>
      <c r="B126" s="1342" t="s">
        <v>156</v>
      </c>
      <c r="C126" s="1247">
        <f>IF('Ввод данных'!A19=связи1!A128,дома!E124,дома!G20)*(IF('Ввод данных'!A8=связи1!A150,1,0))</f>
        <v>0</v>
      </c>
      <c r="D126" s="1055"/>
      <c r="E126" s="1246">
        <f>((IF('Ввод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данных'!C13,0))*C130+IF('Ввод данных'!A19=связи1!A129,дома!C126,0))*C131</f>
        <v>0</v>
      </c>
      <c r="F126" s="1246">
        <f>E126*C129</f>
        <v>0</v>
      </c>
      <c r="G126" s="1055">
        <f>'Ввод данных'!C1027</f>
        <v>0.6</v>
      </c>
      <c r="H126" s="1055"/>
      <c r="I126" s="1055">
        <f>IF(E126=0,0,C129/G126+1)</f>
        <v>0</v>
      </c>
      <c r="J126" s="1055">
        <f>VLOOKUP('Ввод данных'!A1031,связи1!I458:O488,7,0)</f>
        <v>0.05</v>
      </c>
      <c r="K126" s="1055">
        <f>VLOOKUP('Ввод данных'!A1031,связи1!I458:O488,6,0)</f>
        <v>0.15</v>
      </c>
      <c r="L126" s="1055"/>
      <c r="M126" s="1055"/>
      <c r="N126" s="1055"/>
      <c r="O126" s="1280">
        <f t="shared" si="14"/>
        <v>0</v>
      </c>
      <c r="P126" s="1360">
        <f>C137*C131</f>
        <v>0</v>
      </c>
      <c r="Q126" s="1360">
        <f>C137*C131</f>
        <v>0</v>
      </c>
      <c r="R126" s="1360">
        <f>C137*C131</f>
        <v>0</v>
      </c>
      <c r="S126" s="1055">
        <f>P126</f>
        <v>0</v>
      </c>
      <c r="T126" s="1280">
        <f t="shared" si="15"/>
        <v>0</v>
      </c>
      <c r="U126" s="1398">
        <f>'Ввод данных'!E70*2</f>
        <v>0</v>
      </c>
      <c r="V126" s="1280">
        <f t="shared" si="16"/>
        <v>0</v>
      </c>
      <c r="W126" s="1055"/>
      <c r="X126" s="1055">
        <v>2</v>
      </c>
      <c r="Y126" s="1346">
        <f t="shared" si="17"/>
        <v>0</v>
      </c>
      <c r="Z126" s="1055"/>
      <c r="AA126" s="1280">
        <f t="shared" si="18"/>
        <v>0</v>
      </c>
      <c r="AB126" s="1360"/>
      <c r="AC126" s="1360">
        <v>1</v>
      </c>
      <c r="AD126" s="1346">
        <f>AB126*K126*J126*AC126</f>
        <v>0</v>
      </c>
    </row>
    <row r="127" spans="1:30" ht="15.75" customHeight="1" outlineLevel="1">
      <c r="A127" s="1338" t="s">
        <v>2989</v>
      </c>
      <c r="B127" s="1342" t="s">
        <v>156</v>
      </c>
      <c r="C127" s="1247">
        <f>IF('Ввод данных'!A27=связи1!A132,C16,F16+G16)*(IF('Ввод данных'!A8=связи1!A150,1,0))</f>
        <v>0</v>
      </c>
      <c r="D127" s="1055">
        <f>'Ввод данных'!C22</f>
        <v>4</v>
      </c>
      <c r="E127" s="1246">
        <f>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данных'!C13,0))*C130+IF('Ввод данных'!A19=связи1!A129,'Ввод данных'!C13,0)</f>
        <v>3</v>
      </c>
      <c r="F127" s="1246">
        <f>C127*E127</f>
        <v>0</v>
      </c>
      <c r="G127" s="1055">
        <f>'Ввод данных'!C1027</f>
        <v>0.6</v>
      </c>
      <c r="H127" s="1055"/>
      <c r="I127" s="1055">
        <f>IF(C127=0,0,C127/G127+1)</f>
        <v>0</v>
      </c>
      <c r="J127" s="1055">
        <f>VLOOKUP('Ввод данных'!A1031,связи1!I458:O488,7,0)</f>
        <v>0.05</v>
      </c>
      <c r="K127" s="1055">
        <f>VLOOKUP('Ввод данных'!A1031,связи1!I458:O488,6,0)</f>
        <v>0.15</v>
      </c>
      <c r="L127" s="1055"/>
      <c r="M127" s="1055"/>
      <c r="N127" s="1055"/>
      <c r="O127" s="1280">
        <f t="shared" si="14"/>
        <v>0</v>
      </c>
      <c r="P127" s="1360">
        <f>C127*C130</f>
        <v>0</v>
      </c>
      <c r="Q127" s="1360">
        <f>C127*C130</f>
        <v>0</v>
      </c>
      <c r="R127" s="1360">
        <f>C127*C130</f>
        <v>0</v>
      </c>
      <c r="S127" s="1055">
        <f>C127</f>
        <v>0</v>
      </c>
      <c r="T127" s="1280">
        <f t="shared" si="15"/>
        <v>0</v>
      </c>
      <c r="U127" s="1398">
        <f>'Ввод данных'!E71*2</f>
        <v>0</v>
      </c>
      <c r="V127" s="1280">
        <f t="shared" si="16"/>
        <v>0</v>
      </c>
      <c r="W127" s="1055">
        <f>'Ввод данных'!C69</f>
        <v>0.6</v>
      </c>
      <c r="X127" s="1055">
        <v>2</v>
      </c>
      <c r="Y127" s="1346">
        <f t="shared" si="17"/>
        <v>8.9999999999999993E-3</v>
      </c>
      <c r="Z127" s="1055">
        <f>'Ввод данных'!E86</f>
        <v>0</v>
      </c>
      <c r="AA127" s="1280">
        <f t="shared" si="18"/>
        <v>0</v>
      </c>
      <c r="AB127" s="1360">
        <f>'Ввод данных'!C86</f>
        <v>0.9</v>
      </c>
      <c r="AC127" s="1360">
        <v>1</v>
      </c>
      <c r="AD127" s="1346">
        <f>AB127*K127*J127*AC127</f>
        <v>6.7500000000000008E-3</v>
      </c>
    </row>
    <row r="128" spans="1:30" ht="15.75" customHeight="1" outlineLevel="1">
      <c r="A128" s="1338" t="s">
        <v>2990</v>
      </c>
      <c r="B128" s="1342" t="s">
        <v>156</v>
      </c>
      <c r="C128" s="1247">
        <f>C17*(IF('Ввод данных'!A8=связи1!A150,1,0))</f>
        <v>0</v>
      </c>
      <c r="D128" s="1055"/>
      <c r="E128" s="1246">
        <f>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</f>
        <v>3</v>
      </c>
      <c r="F128" s="1246">
        <f>C128*E128</f>
        <v>0</v>
      </c>
      <c r="G128" s="1055">
        <f>'Ввод данных'!C1027</f>
        <v>0.6</v>
      </c>
      <c r="H128" s="1055"/>
      <c r="I128" s="1055">
        <f>IF(E128=0,0,C128/G128+1)</f>
        <v>1</v>
      </c>
      <c r="J128" s="1055">
        <f>VLOOKUP('Ввод данных'!A1031,связи1!I458:O488,7,0)</f>
        <v>0.05</v>
      </c>
      <c r="K128" s="1055">
        <f>VLOOKUP('Ввод данных'!A1031,связи1!I458:O488,6,0)</f>
        <v>0.15</v>
      </c>
      <c r="L128" s="1055"/>
      <c r="M128" s="1055"/>
      <c r="N128" s="1055"/>
      <c r="O128" s="1280">
        <f t="shared" si="14"/>
        <v>2.2500000000000003E-2</v>
      </c>
      <c r="P128" s="1360">
        <f>C128</f>
        <v>0</v>
      </c>
      <c r="Q128" s="1360">
        <f>C128</f>
        <v>0</v>
      </c>
      <c r="R128" s="1360">
        <f>C128</f>
        <v>0</v>
      </c>
      <c r="S128" s="1055">
        <f>C128</f>
        <v>0</v>
      </c>
      <c r="T128" s="1280">
        <f t="shared" si="15"/>
        <v>0</v>
      </c>
      <c r="U128" s="1398">
        <f>'Ввод данных'!E72*2</f>
        <v>0</v>
      </c>
      <c r="V128" s="1280">
        <f t="shared" si="16"/>
        <v>0</v>
      </c>
      <c r="W128" s="1055">
        <f>'Ввод данных'!C70</f>
        <v>1</v>
      </c>
      <c r="X128" s="1055">
        <v>2</v>
      </c>
      <c r="Y128" s="1346">
        <f t="shared" si="17"/>
        <v>1.4999999999999999E-2</v>
      </c>
      <c r="Z128" s="1055">
        <f>'Ввод данных'!E87</f>
        <v>0</v>
      </c>
      <c r="AA128" s="1280">
        <f t="shared" si="18"/>
        <v>0</v>
      </c>
      <c r="AB128" s="1360">
        <f>'Ввод данных'!C87</f>
        <v>1</v>
      </c>
      <c r="AC128" s="1360">
        <v>1</v>
      </c>
      <c r="AD128" s="1346">
        <f>AB128*K128*J128*AC128</f>
        <v>7.4999999999999997E-3</v>
      </c>
    </row>
    <row r="129" spans="1:30" ht="15.75" customHeight="1" outlineLevel="1">
      <c r="A129" s="1338" t="s">
        <v>2991</v>
      </c>
      <c r="B129" s="1342" t="s">
        <v>156</v>
      </c>
      <c r="C129" s="1247">
        <f>C128*(IF('Ввод данных'!A8=связи1!A150,1,0))</f>
        <v>0</v>
      </c>
      <c r="D129" s="1055"/>
      <c r="E129" s="1246">
        <f>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</f>
        <v>3</v>
      </c>
      <c r="F129" s="1246">
        <f>C129*E129</f>
        <v>0</v>
      </c>
      <c r="G129" s="1055">
        <f>'Ввод данных'!C1027</f>
        <v>0.6</v>
      </c>
      <c r="H129" s="1055"/>
      <c r="I129" s="1055">
        <f>IF(E129=0,0,C129/G129+1)</f>
        <v>1</v>
      </c>
      <c r="J129" s="1055">
        <f>VLOOKUP('Ввод данных'!A1031,связи1!I458:O488,7,0)</f>
        <v>0.05</v>
      </c>
      <c r="K129" s="1055">
        <f>VLOOKUP('Ввод данных'!A1031,связи1!I458:O488,6,0)</f>
        <v>0.15</v>
      </c>
      <c r="L129" s="1055"/>
      <c r="M129" s="1055"/>
      <c r="N129" s="1055"/>
      <c r="O129" s="1280">
        <f t="shared" si="14"/>
        <v>2.2500000000000003E-2</v>
      </c>
      <c r="P129" s="1360">
        <f>C129</f>
        <v>0</v>
      </c>
      <c r="Q129" s="1360">
        <f>C129</f>
        <v>0</v>
      </c>
      <c r="R129" s="1360">
        <f>C129</f>
        <v>0</v>
      </c>
      <c r="S129" s="1055">
        <f>C129</f>
        <v>0</v>
      </c>
      <c r="T129" s="1280">
        <f t="shared" si="15"/>
        <v>0</v>
      </c>
      <c r="U129" s="1398"/>
      <c r="V129" s="1280">
        <f t="shared" si="16"/>
        <v>0</v>
      </c>
      <c r="W129" s="1055">
        <f>'Ввод данных'!C71</f>
        <v>0.6</v>
      </c>
      <c r="X129" s="1055">
        <v>2</v>
      </c>
      <c r="Y129" s="1346">
        <f t="shared" si="17"/>
        <v>8.9999999999999993E-3</v>
      </c>
      <c r="Z129" s="1055"/>
      <c r="AA129" s="1280">
        <f t="shared" si="18"/>
        <v>0</v>
      </c>
      <c r="AD129" s="1346"/>
    </row>
    <row r="130" spans="1:30" ht="15.75" customHeight="1" outlineLevel="1">
      <c r="A130" s="1399" t="s">
        <v>2992</v>
      </c>
      <c r="B130" s="1342" t="s">
        <v>1820</v>
      </c>
      <c r="C130" s="1247">
        <f>IF('Ввод данных'!A19=связи1!A128,1,0)</f>
        <v>1</v>
      </c>
      <c r="D130" s="1055"/>
      <c r="E130" s="1246"/>
      <c r="F130" s="1246"/>
      <c r="G130" s="1055"/>
      <c r="H130" s="1055"/>
      <c r="I130" s="1055"/>
      <c r="J130" s="1055"/>
      <c r="K130" s="1055"/>
      <c r="L130" s="1055"/>
      <c r="M130" s="1055"/>
      <c r="N130" s="1055"/>
      <c r="O130" s="1280"/>
      <c r="P130" s="1197">
        <f>SUM(P124:P129)</f>
        <v>0</v>
      </c>
      <c r="Q130" s="1197">
        <f>SUM(Q124:Q129)</f>
        <v>0</v>
      </c>
      <c r="R130" s="1197">
        <f>SUM(R124:R129)</f>
        <v>0</v>
      </c>
      <c r="T130" s="1400">
        <f>R131*S131</f>
        <v>0</v>
      </c>
      <c r="U130" s="1398">
        <f>SUM(U124:U129)</f>
        <v>2</v>
      </c>
      <c r="V130" s="1280"/>
      <c r="W130" s="1055"/>
      <c r="X130" s="1055"/>
      <c r="Y130" s="1346"/>
      <c r="Z130" s="1055">
        <f>SUM(Z124:Z129)</f>
        <v>0</v>
      </c>
      <c r="AA130" s="1280"/>
      <c r="AD130" s="1346"/>
    </row>
    <row r="131" spans="1:30" ht="15.75" customHeight="1" outlineLevel="1">
      <c r="A131" s="1399" t="s">
        <v>2993</v>
      </c>
      <c r="B131" s="1342"/>
      <c r="C131" s="1247">
        <f>IF('Ввод данных'!A19=связи1!A129,1,0)</f>
        <v>0</v>
      </c>
      <c r="D131" s="1055"/>
      <c r="E131" s="1246"/>
      <c r="F131" s="1246"/>
      <c r="G131" s="1055"/>
      <c r="H131" s="1055"/>
      <c r="I131" s="1055"/>
      <c r="J131" s="1055"/>
      <c r="K131" s="1055"/>
      <c r="L131" s="1055"/>
      <c r="M131" s="1055"/>
      <c r="N131" s="1055"/>
      <c r="O131" s="1280"/>
      <c r="P131" s="1360" t="s">
        <v>2994</v>
      </c>
      <c r="Q131" s="1360"/>
      <c r="R131" s="1401">
        <f>связи1!F187</f>
        <v>0.4</v>
      </c>
      <c r="S131" s="1400">
        <f>S124+S128+S129+S127</f>
        <v>0</v>
      </c>
      <c r="T131" s="1280"/>
      <c r="U131" s="1398"/>
      <c r="V131" s="1280"/>
      <c r="W131" s="1055"/>
      <c r="X131" s="1055"/>
      <c r="Y131" s="1346"/>
      <c r="Z131" s="1055"/>
      <c r="AA131" s="1280"/>
      <c r="AD131" s="1346"/>
    </row>
    <row r="132" spans="1:30" ht="15.75" customHeight="1" outlineLevel="1">
      <c r="A132" s="1402" t="s">
        <v>2853</v>
      </c>
      <c r="B132" s="1403"/>
      <c r="C132" s="1404"/>
      <c r="D132" s="1405"/>
      <c r="E132" s="1406"/>
      <c r="F132" s="1406">
        <f>F124+F127+F128+F129+(F125+F126)</f>
        <v>0</v>
      </c>
      <c r="G132" s="1055"/>
      <c r="H132" s="1055"/>
      <c r="I132" s="1055"/>
      <c r="J132" s="1055"/>
      <c r="K132" s="1055"/>
      <c r="L132" s="1055"/>
      <c r="M132" s="1055"/>
      <c r="N132" s="1055"/>
      <c r="O132" s="1280"/>
      <c r="P132" s="1360"/>
      <c r="Q132" s="1360"/>
      <c r="R132" s="1401"/>
      <c r="S132" s="1400"/>
      <c r="T132" s="1280"/>
      <c r="U132" s="1398"/>
      <c r="V132" s="1280"/>
      <c r="W132" s="1055"/>
      <c r="X132" s="1055"/>
      <c r="Y132" s="1346"/>
      <c r="Z132" s="1055"/>
      <c r="AA132" s="1280"/>
      <c r="AD132" s="1346"/>
    </row>
    <row r="133" spans="1:30" ht="15.75" customHeight="1" outlineLevel="1">
      <c r="A133" s="1407" t="s">
        <v>2995</v>
      </c>
      <c r="B133" s="1408" t="s">
        <v>156</v>
      </c>
      <c r="C133" s="1282">
        <f>IF('Ввод данных'!A27=связи1!A132,C16/2,'Ввод данных'!C29)</f>
        <v>5</v>
      </c>
      <c r="D133" s="1280"/>
      <c r="E133" s="1295">
        <f>IF('Ввод данных'!A6=связи1!A94,'Ввод данных'!C14,0)+IF('Ввод данных'!A6=связи1!A97,'Ввод данных'!C14,0)</f>
        <v>8</v>
      </c>
      <c r="F133" s="1295"/>
      <c r="G133" s="1280">
        <f>'Ввод данных'!C1027</f>
        <v>0.6</v>
      </c>
      <c r="H133" s="1280"/>
      <c r="I133" s="1055"/>
      <c r="J133" s="1055" t="str">
        <f t="shared" ref="J133:J139" si="19">I627</f>
        <v>односкатная кровля</v>
      </c>
      <c r="K133" s="1055"/>
      <c r="L133" s="1055"/>
      <c r="M133" s="1055"/>
      <c r="N133" s="1055"/>
      <c r="O133" s="1055" t="str">
        <f>L627</f>
        <v>размер дома</v>
      </c>
      <c r="P133" s="1353"/>
      <c r="Q133" s="1353"/>
      <c r="R133" s="1353"/>
      <c r="S133" s="971"/>
      <c r="T133" s="971"/>
      <c r="U133" s="1398"/>
      <c r="V133" s="971"/>
      <c r="W133" s="971"/>
      <c r="X133" s="971"/>
      <c r="Y133" s="1353"/>
      <c r="Z133" s="971"/>
      <c r="AA133" s="971"/>
      <c r="AB133" s="1355"/>
      <c r="AC133" s="1355"/>
      <c r="AD133" s="1353"/>
    </row>
    <row r="134" spans="1:30" ht="15.75" customHeight="1" outlineLevel="1">
      <c r="A134" s="1399" t="s">
        <v>2996</v>
      </c>
      <c r="B134" s="1342" t="s">
        <v>156</v>
      </c>
      <c r="C134" s="1247">
        <f>SQRT((E133-E124)*(E133-E124)+C133*C133)</f>
        <v>7.0710678118654755</v>
      </c>
      <c r="D134" s="1055" t="s">
        <v>1936</v>
      </c>
      <c r="E134" s="1246" t="s">
        <v>2997</v>
      </c>
      <c r="F134" s="1246">
        <f>(E133-E124)/C134</f>
        <v>0.70710678118654746</v>
      </c>
      <c r="G134" s="1055"/>
      <c r="H134" s="1055"/>
      <c r="I134" s="1055"/>
      <c r="J134" s="1055" t="str">
        <f t="shared" si="19"/>
        <v>длина фронтона 2</v>
      </c>
      <c r="K134" s="1055"/>
      <c r="L134" s="1055">
        <f t="shared" ref="L134:L139" si="20">K628</f>
        <v>11.180339887498949</v>
      </c>
      <c r="M134" s="1055"/>
      <c r="N134" s="1055"/>
      <c r="O134" s="1055">
        <f>L628</f>
        <v>10</v>
      </c>
      <c r="P134" s="1353"/>
      <c r="Q134" s="1353"/>
      <c r="R134" s="1353"/>
      <c r="S134" s="971"/>
      <c r="T134" s="971"/>
      <c r="U134" s="1398"/>
      <c r="V134" s="971"/>
      <c r="W134" s="971"/>
      <c r="X134" s="971"/>
      <c r="Y134" s="1353"/>
      <c r="Z134" s="971"/>
      <c r="AA134" s="971"/>
      <c r="AB134" s="1355"/>
      <c r="AC134" s="1355"/>
      <c r="AD134" s="1353"/>
    </row>
    <row r="135" spans="1:30" ht="15.75" customHeight="1" outlineLevel="1">
      <c r="A135" s="1399" t="s">
        <v>2998</v>
      </c>
      <c r="B135" s="1342" t="s">
        <v>159</v>
      </c>
      <c r="C135" s="1247">
        <f>CEILING(C133/G124,1)</f>
        <v>9</v>
      </c>
      <c r="D135" s="1055">
        <f>CEILING(C135,1)</f>
        <v>9</v>
      </c>
      <c r="E135" s="1246"/>
      <c r="F135" s="1246"/>
      <c r="G135" s="1055"/>
      <c r="H135" s="1055"/>
      <c r="I135" s="1055"/>
      <c r="J135" s="1055" t="str">
        <f t="shared" si="19"/>
        <v xml:space="preserve">длина фронтона1 </v>
      </c>
      <c r="K135" s="1055"/>
      <c r="L135" s="1055">
        <f t="shared" si="20"/>
        <v>11.180339887498949</v>
      </c>
      <c r="M135" s="1055"/>
      <c r="N135" s="1055"/>
      <c r="O135" s="1055">
        <f>L629</f>
        <v>10</v>
      </c>
      <c r="P135" s="1353"/>
      <c r="Q135" s="1353"/>
      <c r="R135" s="1353"/>
      <c r="S135" s="971"/>
      <c r="T135" s="971"/>
      <c r="U135" s="1398"/>
      <c r="V135" s="971"/>
      <c r="W135" s="971"/>
      <c r="X135" s="971"/>
      <c r="Y135" s="1353"/>
      <c r="Z135" s="971"/>
      <c r="AA135" s="971"/>
      <c r="AB135" s="1355"/>
      <c r="AC135" s="1355"/>
      <c r="AD135" s="1353"/>
    </row>
    <row r="136" spans="1:30" ht="15.75" customHeight="1" outlineLevel="1">
      <c r="A136" s="1399" t="s">
        <v>2999</v>
      </c>
      <c r="B136" s="1342" t="s">
        <v>156</v>
      </c>
      <c r="C136" s="1247">
        <f>(E133-C125)/D135</f>
        <v>0.88888888888888884</v>
      </c>
      <c r="D136" s="1055"/>
      <c r="E136" s="1246"/>
      <c r="F136" s="1246"/>
      <c r="G136" s="1055"/>
      <c r="H136" s="1055"/>
      <c r="I136" s="1055"/>
      <c r="J136" s="1055" t="str">
        <f t="shared" si="19"/>
        <v>кол во стоек 1</v>
      </c>
      <c r="K136" s="1055"/>
      <c r="L136" s="1055">
        <f t="shared" si="20"/>
        <v>18</v>
      </c>
      <c r="M136" s="1055"/>
      <c r="N136" s="1055"/>
      <c r="O136" s="1055"/>
      <c r="P136" s="1353"/>
      <c r="Q136" s="1353"/>
      <c r="R136" s="1353"/>
      <c r="S136" s="971"/>
      <c r="T136" s="971"/>
      <c r="U136" s="1398"/>
      <c r="V136" s="971"/>
      <c r="W136" s="971"/>
      <c r="X136" s="971"/>
      <c r="Y136" s="1353"/>
      <c r="Z136" s="971"/>
      <c r="AA136" s="971"/>
      <c r="AB136" s="1355"/>
      <c r="AC136" s="1355"/>
      <c r="AD136" s="1353"/>
    </row>
    <row r="137" spans="1:30" ht="15.75" customHeight="1" outlineLevel="1">
      <c r="A137" s="1407" t="s">
        <v>3000</v>
      </c>
      <c r="B137" s="1408" t="s">
        <v>156</v>
      </c>
      <c r="C137" s="1282">
        <f>IF('Ввод данных'!A27=связи1!A132,C16/2,'Ввод данных'!C30)</f>
        <v>5</v>
      </c>
      <c r="D137" s="1280"/>
      <c r="E137" s="1295">
        <f>IF('Ввод данных'!A6=связи1!A94,'Ввод данных'!C14,0)+IF('Ввод данных'!A6=связи1!A97,'Ввод данных'!C14,0)</f>
        <v>8</v>
      </c>
      <c r="F137" s="1295"/>
      <c r="G137" s="1280">
        <f>'Ввод данных'!C1027</f>
        <v>0.6</v>
      </c>
      <c r="H137" s="1280"/>
      <c r="I137" s="1055"/>
      <c r="J137" s="1055" t="str">
        <f t="shared" si="19"/>
        <v>кол во стоек 2</v>
      </c>
      <c r="K137" s="1055"/>
      <c r="L137" s="1055">
        <f t="shared" si="20"/>
        <v>18</v>
      </c>
      <c r="M137" s="1055"/>
      <c r="N137" s="1055"/>
      <c r="O137" s="1055"/>
      <c r="P137" s="1353"/>
      <c r="Q137" s="1353"/>
      <c r="R137" s="1353"/>
      <c r="S137" s="971"/>
      <c r="T137" s="971"/>
      <c r="U137" s="1398"/>
      <c r="V137" s="971"/>
      <c r="W137" s="971"/>
      <c r="X137" s="971"/>
      <c r="Y137" s="1353"/>
      <c r="Z137" s="971"/>
      <c r="AA137" s="971"/>
      <c r="AB137" s="1355"/>
      <c r="AC137" s="1355"/>
      <c r="AD137" s="1353"/>
    </row>
    <row r="138" spans="1:30" ht="15.75" customHeight="1" outlineLevel="1">
      <c r="A138" s="1399" t="s">
        <v>3001</v>
      </c>
      <c r="B138" s="1342"/>
      <c r="C138" s="1247"/>
      <c r="D138" s="1055"/>
      <c r="E138" s="1246"/>
      <c r="F138" s="1246">
        <f>SQRT(C137*C137+(E137-E124)*(E137-E124))</f>
        <v>7.0710678118654755</v>
      </c>
      <c r="G138" s="1055"/>
      <c r="H138" s="1055"/>
      <c r="I138" s="1055"/>
      <c r="J138" s="1055" t="str">
        <f t="shared" si="19"/>
        <v>разница 1</v>
      </c>
      <c r="K138" s="1055"/>
      <c r="L138" s="1055">
        <f t="shared" si="20"/>
        <v>0.19999999999999998</v>
      </c>
      <c r="M138" s="1055"/>
      <c r="N138" s="1055"/>
      <c r="O138" s="1055"/>
      <c r="P138" s="1353"/>
      <c r="Q138" s="1353"/>
      <c r="R138" s="1353"/>
      <c r="S138" s="971"/>
      <c r="T138" s="971"/>
      <c r="U138" s="1398"/>
      <c r="V138" s="971"/>
      <c r="W138" s="971"/>
      <c r="X138" s="971"/>
      <c r="Y138" s="1353"/>
      <c r="Z138" s="971"/>
      <c r="AA138" s="971"/>
      <c r="AB138" s="1355"/>
      <c r="AC138" s="1355"/>
      <c r="AD138" s="1353"/>
    </row>
    <row r="139" spans="1:30" ht="15.75" customHeight="1" outlineLevel="1">
      <c r="A139" s="1399" t="s">
        <v>3002</v>
      </c>
      <c r="B139" s="1409"/>
      <c r="C139" s="1410"/>
      <c r="D139" s="1275"/>
      <c r="E139" s="1411"/>
      <c r="F139" s="1411">
        <f>C137/G124</f>
        <v>8.3333333333333339</v>
      </c>
      <c r="G139" s="1275">
        <f>CEILING(F139,1)</f>
        <v>9</v>
      </c>
      <c r="H139" s="1275"/>
      <c r="I139" s="1055"/>
      <c r="J139" s="1055" t="str">
        <f t="shared" si="19"/>
        <v>разница 2</v>
      </c>
      <c r="K139" s="1055"/>
      <c r="L139" s="1055">
        <f t="shared" si="20"/>
        <v>0.19999999999999998</v>
      </c>
      <c r="M139" s="1055"/>
      <c r="N139" s="1055"/>
      <c r="O139" s="1055"/>
      <c r="P139" s="1353"/>
      <c r="Q139" s="1353"/>
      <c r="R139" s="1353"/>
      <c r="S139" s="971"/>
      <c r="T139" s="971"/>
      <c r="U139" s="1398"/>
      <c r="V139" s="971"/>
      <c r="W139" s="971"/>
      <c r="X139" s="971"/>
      <c r="Y139" s="1353"/>
      <c r="Z139" s="971"/>
      <c r="AA139" s="971"/>
      <c r="AB139" s="1355"/>
      <c r="AC139" s="1355"/>
      <c r="AD139" s="1353"/>
    </row>
    <row r="140" spans="1:30" ht="15.75" customHeight="1" outlineLevel="1">
      <c r="A140" s="1399" t="s">
        <v>3003</v>
      </c>
      <c r="B140" s="1339"/>
      <c r="C140" s="1339"/>
      <c r="D140" s="1055"/>
      <c r="E140" s="1246"/>
      <c r="F140" s="1246">
        <f>(E133-C126)/G139</f>
        <v>0.88888888888888884</v>
      </c>
      <c r="G140" s="1055"/>
      <c r="H140" s="1055"/>
      <c r="I140" s="1055"/>
      <c r="J140" s="1055"/>
      <c r="K140" s="1055"/>
      <c r="L140" s="1055"/>
      <c r="M140" s="1055"/>
      <c r="N140" s="1055"/>
      <c r="O140" s="1055"/>
      <c r="P140" s="1353"/>
      <c r="Q140" s="1353"/>
      <c r="R140" s="1353"/>
      <c r="S140" s="971"/>
      <c r="T140" s="971"/>
      <c r="U140" s="1398"/>
      <c r="V140" s="971"/>
      <c r="W140" s="971"/>
      <c r="X140" s="971"/>
      <c r="Y140" s="1353"/>
      <c r="Z140" s="971"/>
      <c r="AA140" s="971"/>
      <c r="AB140" s="1355"/>
      <c r="AC140" s="1355"/>
      <c r="AD140" s="1353"/>
    </row>
    <row r="141" spans="1:30" ht="15.75" customHeight="1" outlineLevel="1">
      <c r="A141" s="1338" t="s">
        <v>3004</v>
      </c>
      <c r="B141" s="1339"/>
      <c r="C141" s="1339"/>
      <c r="D141" s="1055">
        <f>IF('Ввод данных'!A6=связи1!A94,1,0)+IF('Ввод данных'!A6=связи1!A97,1,0)</f>
        <v>1</v>
      </c>
      <c r="E141" s="1246"/>
      <c r="F141" s="1246"/>
      <c r="G141" s="1055"/>
      <c r="H141" s="1055"/>
      <c r="I141" s="1055"/>
      <c r="J141" s="1055"/>
      <c r="K141" s="971"/>
      <c r="L141" s="971"/>
      <c r="M141" s="971"/>
      <c r="N141" s="971"/>
      <c r="O141" s="971"/>
      <c r="P141" s="1353"/>
      <c r="Q141" s="1353"/>
      <c r="R141" s="1353"/>
      <c r="S141" s="971"/>
      <c r="T141" s="971"/>
      <c r="U141" s="1398"/>
      <c r="V141" s="971"/>
      <c r="W141" s="971"/>
      <c r="X141" s="971"/>
      <c r="Y141" s="1353"/>
      <c r="Z141" s="971"/>
      <c r="AA141" s="971"/>
      <c r="AB141" s="1355"/>
      <c r="AC141" s="1355"/>
      <c r="AD141" s="1353"/>
    </row>
    <row r="142" spans="1:30" ht="15.75" customHeight="1" outlineLevel="1">
      <c r="A142" s="1412" t="s">
        <v>3005</v>
      </c>
      <c r="B142" s="1413" t="s">
        <v>120</v>
      </c>
      <c r="C142" s="1018" t="s">
        <v>1800</v>
      </c>
      <c r="D142" s="1018" t="s">
        <v>2975</v>
      </c>
      <c r="E142" s="1330" t="s">
        <v>3006</v>
      </c>
      <c r="F142" s="1330" t="s">
        <v>1802</v>
      </c>
      <c r="G142" s="1018" t="s">
        <v>3007</v>
      </c>
      <c r="H142" s="1018"/>
      <c r="I142" s="1055"/>
      <c r="J142" s="1055"/>
      <c r="K142" s="971"/>
      <c r="L142" s="971"/>
      <c r="M142" s="971"/>
      <c r="N142" s="971"/>
      <c r="O142" s="971"/>
      <c r="P142" s="1353"/>
      <c r="Q142" s="1353"/>
      <c r="R142" s="1353"/>
      <c r="S142" s="971"/>
      <c r="T142" s="971"/>
      <c r="U142" s="1398"/>
      <c r="V142" s="971"/>
      <c r="W142" s="971"/>
      <c r="X142" s="971"/>
      <c r="Y142" s="1353"/>
      <c r="Z142" s="971"/>
      <c r="AA142" s="971"/>
      <c r="AB142" s="1355"/>
      <c r="AC142" s="1355"/>
      <c r="AD142" s="1353"/>
    </row>
    <row r="143" spans="1:30" ht="15.75" customHeight="1" outlineLevel="1">
      <c r="A143" s="1414" t="s">
        <v>3008</v>
      </c>
      <c r="B143" s="1330" t="s">
        <v>156</v>
      </c>
      <c r="C143" s="1339">
        <f>VLOOKUP('Ввод данных'!A1031,связи1!I458:O488,6,0)</f>
        <v>0.15</v>
      </c>
      <c r="D143" s="1055">
        <f>VLOOKUP('Ввод данных'!A1031,связи1!I458:O488,7,0)</f>
        <v>0.05</v>
      </c>
      <c r="E143" s="1246">
        <f>E124*(IF('Ввод данных'!A6=связи1!A94,1,0)+IF('Ввод данных'!A6=связи1!A97,0,0)+IF('Ввод данных'!A6=связи1!A95,1,0)+IF('Ввод данных'!A6=связи1!A96,1,0)+IF('Ввод данных'!A6=связи1!A98,1,0))*IF('Ввод данных'!F194=связи1!A2,0,1)*(IF('Ввод данных'!A8=связи1!A150,1,0))</f>
        <v>0</v>
      </c>
      <c r="F143" s="1246">
        <f>CEILING(I124+I127,1)*IF('Ввод данных'!$F$237=связи1!$A$2,1,0)</f>
        <v>0</v>
      </c>
      <c r="G143" s="1055">
        <f>C143*D143*E143*F143</f>
        <v>0</v>
      </c>
      <c r="H143" s="1055"/>
      <c r="I143" s="1055"/>
      <c r="J143" s="1055"/>
      <c r="K143" s="971"/>
      <c r="L143" s="971"/>
      <c r="M143" s="971"/>
      <c r="N143" s="971"/>
      <c r="O143" s="971"/>
      <c r="P143" s="1353"/>
      <c r="Q143" s="1353"/>
      <c r="R143" s="1353"/>
      <c r="S143" s="971"/>
      <c r="T143" s="971"/>
      <c r="U143" s="1398"/>
      <c r="V143" s="971"/>
      <c r="W143" s="971"/>
      <c r="X143" s="971"/>
      <c r="Y143" s="1353"/>
      <c r="Z143" s="971"/>
      <c r="AA143" s="971"/>
      <c r="AB143" s="1355"/>
      <c r="AC143" s="1355"/>
      <c r="AD143" s="1353"/>
    </row>
    <row r="144" spans="1:30" ht="15.75" customHeight="1" outlineLevel="1">
      <c r="A144" s="1414" t="s">
        <v>3009</v>
      </c>
      <c r="B144" s="1330" t="s">
        <v>156</v>
      </c>
      <c r="C144" s="1339">
        <f>$C$143</f>
        <v>0.15</v>
      </c>
      <c r="D144" s="1055">
        <f>D143</f>
        <v>0.05</v>
      </c>
      <c r="E144" s="1246">
        <f>E125*(IF('Ввод данных'!A6=связи1!A94,1,0)+IF('Ввод данных'!A6=связи1!A97,0,0)+IF('Ввод данных'!A6=связи1!A95,1,0)+IF('Ввод данных'!A6=связи1!A96,1,0)+IF('Ввод данных'!A6=связи1!A98,1,0))*IF('Ввод данных'!F194=связи1!A2,0,1)</f>
        <v>0</v>
      </c>
      <c r="F144" s="1246">
        <f>CEILING(I125,1)*IF('Ввод данных'!$F$237=связи1!$A$2,1,0)</f>
        <v>0</v>
      </c>
      <c r="G144" s="1055">
        <f>C144*D144*E144*F144</f>
        <v>0</v>
      </c>
      <c r="H144" s="1055"/>
      <c r="I144" s="1055"/>
      <c r="J144" s="1055"/>
      <c r="K144" s="971"/>
      <c r="L144" s="971"/>
      <c r="M144" s="971"/>
      <c r="N144" s="971"/>
      <c r="O144" s="971"/>
      <c r="P144" s="1353"/>
      <c r="Q144" s="1353"/>
      <c r="R144" s="1353"/>
      <c r="S144" s="971"/>
      <c r="T144" s="971"/>
      <c r="U144" s="1398"/>
      <c r="V144" s="971"/>
      <c r="W144" s="971"/>
      <c r="X144" s="971"/>
      <c r="Y144" s="1353"/>
      <c r="Z144" s="971"/>
      <c r="AA144" s="971"/>
      <c r="AB144" s="1355"/>
      <c r="AC144" s="1355"/>
      <c r="AD144" s="1353"/>
    </row>
    <row r="145" spans="1:30" ht="15.75" customHeight="1" outlineLevel="1">
      <c r="A145" s="1414" t="s">
        <v>3010</v>
      </c>
      <c r="B145" s="1330" t="s">
        <v>156</v>
      </c>
      <c r="C145" s="1339">
        <f>$C$143</f>
        <v>0.15</v>
      </c>
      <c r="D145" s="1055">
        <f>D143</f>
        <v>0.05</v>
      </c>
      <c r="E145" s="1246">
        <f>E126*(IF('Ввод данных'!A6=связи1!A94,1,0)+IF('Ввод данных'!A6=связи1!A97,0,0)+IF('Ввод данных'!A6=связи1!A95,1,0)+IF('Ввод данных'!A6=связи1!A96,1,0)+IF('Ввод данных'!A6=связи1!A98,1,0))*IF('Ввод данных'!F194=связи1!A2,0,1)</f>
        <v>0</v>
      </c>
      <c r="F145" s="1246">
        <f>CEILING(I126,1)*IF('Ввод данных'!$F$237=связи1!$A$2,1,0)</f>
        <v>0</v>
      </c>
      <c r="G145" s="1055">
        <f>C145*D145*E145*F145</f>
        <v>0</v>
      </c>
      <c r="H145" s="1055"/>
      <c r="I145" s="1055"/>
      <c r="J145" s="1055"/>
      <c r="K145" s="971"/>
      <c r="L145" s="971"/>
      <c r="M145" s="971"/>
      <c r="N145" s="971"/>
      <c r="O145" s="971"/>
      <c r="P145" s="1353"/>
      <c r="Q145" s="1353"/>
      <c r="R145" s="1353"/>
      <c r="S145" s="971"/>
      <c r="T145" s="971"/>
      <c r="U145" s="1398"/>
      <c r="V145" s="971"/>
      <c r="W145" s="971"/>
      <c r="X145" s="971"/>
      <c r="Y145" s="1353"/>
      <c r="Z145" s="971"/>
      <c r="AA145" s="971"/>
      <c r="AB145" s="1355"/>
      <c r="AC145" s="1355"/>
      <c r="AD145" s="1353"/>
    </row>
    <row r="146" spans="1:30" ht="15.75" customHeight="1" outlineLevel="1">
      <c r="A146" s="1414" t="s">
        <v>3011</v>
      </c>
      <c r="B146" s="1330" t="s">
        <v>156</v>
      </c>
      <c r="C146" s="1339">
        <f>$C$143</f>
        <v>0.15</v>
      </c>
      <c r="D146" s="1055">
        <f>D143</f>
        <v>0.05</v>
      </c>
      <c r="E146" s="1246">
        <f>E128*(IF('Ввод данных'!A6=связи1!A94,1,0)+IF('Ввод данных'!A6=связи1!A97,0,0)+IF('Ввод данных'!A6=связи1!A95,1,0)+IF('Ввод данных'!A6=связи1!A96,1,0)+IF('Ввод данных'!A6=связи1!A98,1,0))*IF('Ввод данных'!F194=связи1!A2,0,1)*(IF('Ввод данных'!A8=связи1!A150,1,0))</f>
        <v>0</v>
      </c>
      <c r="F146" s="1246">
        <f>CEILING(I128,1)*IF('Ввод данных'!$F$237=связи1!$A$2,1,0)</f>
        <v>0</v>
      </c>
      <c r="G146" s="1055">
        <f>C146*D146*E146*F146</f>
        <v>0</v>
      </c>
      <c r="H146" s="1055"/>
      <c r="I146" s="1055"/>
      <c r="J146" s="1055"/>
      <c r="K146" s="971"/>
      <c r="L146" s="971"/>
      <c r="M146" s="971"/>
      <c r="N146" s="971"/>
      <c r="O146" s="971"/>
      <c r="P146" s="1353"/>
      <c r="Q146" s="1353"/>
      <c r="R146" s="1353"/>
      <c r="S146" s="971"/>
      <c r="T146" s="971"/>
      <c r="U146" s="1398"/>
      <c r="V146" s="971"/>
      <c r="W146" s="971"/>
      <c r="X146" s="971"/>
      <c r="Y146" s="1353"/>
      <c r="Z146" s="971"/>
      <c r="AA146" s="971"/>
      <c r="AB146" s="1355"/>
      <c r="AC146" s="1355"/>
      <c r="AD146" s="1353"/>
    </row>
    <row r="147" spans="1:30" ht="15.75" customHeight="1" outlineLevel="1">
      <c r="A147" s="1414" t="s">
        <v>3012</v>
      </c>
      <c r="B147" s="1330" t="s">
        <v>156</v>
      </c>
      <c r="C147" s="1339">
        <f>$C$143</f>
        <v>0.15</v>
      </c>
      <c r="D147" s="1055">
        <f>D143</f>
        <v>0.05</v>
      </c>
      <c r="E147" s="1246">
        <f>E129*(IF('Ввод данных'!A6=связи1!A94,1,0)+IF('Ввод данных'!A6=связи1!A97,0,0)+IF('Ввод данных'!A6=связи1!A95,1,0)+IF('Ввод данных'!A6=связи1!A96,1,0)+IF('Ввод данных'!A6=связи1!A98,1,0))*IF('Ввод данных'!F194=связи1!A2,0,1)*(IF('Ввод данных'!A8=связи1!A150,1,0))</f>
        <v>0</v>
      </c>
      <c r="F147" s="1246">
        <f>CEILING(I129,1)*IF('Ввод данных'!$F$237=связи1!$A$2,1,0)</f>
        <v>0</v>
      </c>
      <c r="G147" s="1055">
        <f>C147*D147*E147*F147</f>
        <v>0</v>
      </c>
      <c r="H147" s="1055"/>
      <c r="I147" s="1055"/>
      <c r="J147" s="1055"/>
      <c r="K147" s="971"/>
      <c r="L147" s="971"/>
      <c r="M147" s="971"/>
      <c r="N147" s="971"/>
      <c r="O147" s="971"/>
      <c r="P147" s="1353"/>
      <c r="Q147" s="1353"/>
      <c r="R147" s="1353"/>
      <c r="S147" s="971"/>
      <c r="T147" s="971"/>
      <c r="U147" s="1398"/>
      <c r="V147" s="971"/>
      <c r="W147" s="971"/>
      <c r="X147" s="971"/>
      <c r="Y147" s="1353"/>
      <c r="Z147" s="971"/>
      <c r="AA147" s="971"/>
      <c r="AB147" s="1355"/>
      <c r="AC147" s="1355"/>
      <c r="AD147" s="1353"/>
    </row>
    <row r="148" spans="1:30" ht="15.75" customHeight="1" outlineLevel="1">
      <c r="A148" s="1414"/>
      <c r="B148" s="1330"/>
      <c r="C148" s="1339"/>
      <c r="D148" s="1055"/>
      <c r="E148" s="1246"/>
      <c r="F148" s="1246"/>
      <c r="G148" s="1055"/>
      <c r="H148" s="1055"/>
      <c r="I148" s="1055"/>
      <c r="J148" s="1055"/>
      <c r="K148" s="971"/>
      <c r="L148" s="971"/>
      <c r="M148" s="971"/>
      <c r="N148" s="971"/>
      <c r="O148" s="971"/>
      <c r="P148" s="1353"/>
      <c r="Q148" s="1353"/>
      <c r="R148" s="1353"/>
      <c r="S148" s="971"/>
      <c r="T148" s="971"/>
      <c r="U148" s="1398"/>
      <c r="V148" s="971"/>
      <c r="W148" s="971"/>
      <c r="X148" s="971"/>
      <c r="Y148" s="1353"/>
      <c r="Z148" s="971"/>
      <c r="AA148" s="971"/>
      <c r="AB148" s="1355"/>
      <c r="AC148" s="1355"/>
      <c r="AD148" s="1353"/>
    </row>
    <row r="149" spans="1:30" ht="15.75" customHeight="1" outlineLevel="1">
      <c r="A149" s="1055" t="s">
        <v>3013</v>
      </c>
      <c r="B149" s="1330" t="s">
        <v>156</v>
      </c>
      <c r="C149" s="1339">
        <f>$C$143</f>
        <v>0.15</v>
      </c>
      <c r="D149" s="1055">
        <f>D143</f>
        <v>0.05</v>
      </c>
      <c r="E149" s="1246">
        <f>(P130+Q130)*IF('Ввод данных'!$F$237=связи1!$A$2,1,0)</f>
        <v>0</v>
      </c>
      <c r="F149" s="1055">
        <f>1</f>
        <v>1</v>
      </c>
      <c r="G149" s="1055">
        <f>C149*D149*E149</f>
        <v>0</v>
      </c>
      <c r="H149" s="1055"/>
      <c r="I149" s="1055"/>
      <c r="J149" s="1055"/>
      <c r="K149" s="971"/>
      <c r="L149" s="971"/>
      <c r="M149" s="971"/>
      <c r="N149" s="971"/>
      <c r="O149" s="971"/>
      <c r="P149" s="1353"/>
      <c r="Q149" s="1353"/>
      <c r="R149" s="1353"/>
      <c r="S149" s="971"/>
      <c r="T149" s="971"/>
      <c r="U149" s="1398"/>
      <c r="V149" s="971"/>
      <c r="W149" s="971"/>
      <c r="X149" s="971"/>
      <c r="Y149" s="1353"/>
      <c r="Z149" s="971"/>
      <c r="AA149" s="971"/>
      <c r="AB149" s="1355"/>
      <c r="AC149" s="1355"/>
      <c r="AD149" s="1353"/>
    </row>
    <row r="150" spans="1:30" ht="15.75" customHeight="1" outlineLevel="1">
      <c r="A150" s="1055" t="s">
        <v>3014</v>
      </c>
      <c r="B150" s="1330" t="s">
        <v>156</v>
      </c>
      <c r="C150" s="1339">
        <f>$C$143</f>
        <v>0.15</v>
      </c>
      <c r="D150" s="1055">
        <f>D143</f>
        <v>0.05</v>
      </c>
      <c r="E150" s="1246">
        <f>R130*IF('Ввод данных'!$F$237=связи1!$A$2,1,0)</f>
        <v>0</v>
      </c>
      <c r="F150" s="1055">
        <f>1</f>
        <v>1</v>
      </c>
      <c r="G150" s="1055">
        <f>C150*D150*E150</f>
        <v>0</v>
      </c>
      <c r="H150" s="1055"/>
      <c r="I150" s="1055"/>
      <c r="J150" s="1055"/>
      <c r="K150" s="971"/>
      <c r="L150" s="971"/>
      <c r="M150" s="971"/>
      <c r="N150" s="971"/>
      <c r="O150" s="971"/>
      <c r="P150" s="1353"/>
      <c r="Q150" s="1353"/>
      <c r="R150" s="1353"/>
      <c r="S150" s="971"/>
      <c r="T150" s="971"/>
      <c r="U150" s="1398"/>
      <c r="V150" s="971"/>
      <c r="W150" s="971"/>
      <c r="X150" s="971"/>
      <c r="Y150" s="1353"/>
      <c r="Z150" s="971"/>
      <c r="AA150" s="971"/>
      <c r="AB150" s="1355"/>
      <c r="AC150" s="1355"/>
      <c r="AD150" s="1353"/>
    </row>
    <row r="151" spans="1:30" ht="15.75" customHeight="1" outlineLevel="1">
      <c r="A151" s="1279" t="s">
        <v>3015</v>
      </c>
      <c r="B151" s="1413" t="s">
        <v>156</v>
      </c>
      <c r="C151" s="1339">
        <f>VLOOKUP('Ввод данных'!A1033,связи1!I458:O488,6,0)</f>
        <v>0.12</v>
      </c>
      <c r="D151" s="1055">
        <f>VLOOKUP('Ввод данных'!A1033,связи1!I458:O488,7,0)</f>
        <v>0.05</v>
      </c>
      <c r="E151" s="1246">
        <f>E375*(IF('Ввод данных'!A8=связи1!A150,1,0))</f>
        <v>0</v>
      </c>
      <c r="F151" s="1055">
        <f>I379+I389</f>
        <v>0</v>
      </c>
      <c r="G151" s="1055">
        <f>C151*D151*E151*F151</f>
        <v>0</v>
      </c>
      <c r="H151" s="1055"/>
      <c r="I151" s="1055"/>
      <c r="J151" s="1055"/>
      <c r="K151" s="971"/>
      <c r="L151" s="971"/>
      <c r="M151" s="971"/>
      <c r="N151" s="971"/>
      <c r="O151" s="971"/>
      <c r="P151" s="1353"/>
      <c r="Q151" s="1353"/>
      <c r="R151" s="1353"/>
      <c r="S151" s="971"/>
      <c r="T151" s="971"/>
      <c r="U151" s="1398"/>
      <c r="V151" s="971"/>
      <c r="W151" s="971"/>
      <c r="X151" s="971"/>
      <c r="Y151" s="1353"/>
      <c r="Z151" s="971"/>
      <c r="AA151" s="971"/>
      <c r="AB151" s="1355"/>
      <c r="AC151" s="1355"/>
      <c r="AD151" s="1353"/>
    </row>
    <row r="152" spans="1:30" ht="15.75" customHeight="1" outlineLevel="1">
      <c r="A152" s="1279"/>
      <c r="B152" s="1413"/>
      <c r="C152" s="1339"/>
      <c r="D152" s="1055"/>
      <c r="E152" s="1246"/>
      <c r="F152" s="1055"/>
      <c r="G152" s="1055"/>
      <c r="H152" s="1055"/>
      <c r="I152" s="1055"/>
      <c r="J152" s="1055"/>
      <c r="K152" s="971"/>
      <c r="L152" s="971"/>
      <c r="M152" s="971"/>
      <c r="N152" s="971"/>
      <c r="O152" s="971"/>
      <c r="P152" s="1353"/>
      <c r="Q152" s="1353"/>
      <c r="R152" s="1353"/>
      <c r="S152" s="971"/>
      <c r="T152" s="971"/>
      <c r="U152" s="1398"/>
      <c r="V152" s="971"/>
      <c r="W152" s="971"/>
      <c r="X152" s="971"/>
      <c r="Y152" s="1353"/>
      <c r="Z152" s="971"/>
      <c r="AA152" s="971"/>
      <c r="AB152" s="1355"/>
      <c r="AC152" s="1355"/>
      <c r="AD152" s="1353"/>
    </row>
    <row r="153" spans="1:30" ht="15.75" customHeight="1" outlineLevel="1">
      <c r="A153" s="1279"/>
      <c r="B153" s="1413"/>
      <c r="C153" s="1339"/>
      <c r="D153" s="1055"/>
      <c r="E153" s="1246"/>
      <c r="F153" s="1055"/>
      <c r="G153" s="1055"/>
      <c r="H153" s="1055"/>
      <c r="I153" s="1055"/>
      <c r="J153" s="1055"/>
      <c r="K153" s="971"/>
      <c r="L153" s="971"/>
      <c r="M153" s="971"/>
      <c r="N153" s="971"/>
      <c r="O153" s="971"/>
      <c r="P153" s="1353"/>
      <c r="Q153" s="1353"/>
      <c r="R153" s="1353"/>
      <c r="S153" s="971"/>
      <c r="T153" s="971"/>
      <c r="U153" s="1398"/>
      <c r="V153" s="971"/>
      <c r="W153" s="971"/>
      <c r="X153" s="971"/>
      <c r="Y153" s="1353"/>
      <c r="Z153" s="971"/>
      <c r="AA153" s="971"/>
      <c r="AB153" s="1355"/>
      <c r="AC153" s="1355"/>
      <c r="AD153" s="1353"/>
    </row>
    <row r="154" spans="1:30" ht="15.75" customHeight="1" outlineLevel="1">
      <c r="A154" s="1279"/>
      <c r="B154" s="1413"/>
      <c r="C154" s="1339"/>
      <c r="D154" s="1055"/>
      <c r="E154" s="1246"/>
      <c r="F154" s="1055"/>
      <c r="G154" s="1055"/>
      <c r="H154" s="1055"/>
      <c r="I154" s="1055"/>
      <c r="J154" s="1055"/>
      <c r="K154" s="971"/>
      <c r="L154" s="971"/>
      <c r="M154" s="971"/>
      <c r="N154" s="971"/>
      <c r="O154" s="971"/>
      <c r="P154" s="1353"/>
      <c r="Q154" s="1353"/>
      <c r="R154" s="1353"/>
      <c r="S154" s="971"/>
      <c r="T154" s="971"/>
      <c r="U154" s="1398"/>
      <c r="V154" s="971"/>
      <c r="W154" s="971"/>
      <c r="X154" s="971"/>
      <c r="Y154" s="1353"/>
      <c r="Z154" s="971"/>
      <c r="AA154" s="971"/>
      <c r="AB154" s="1355"/>
      <c r="AC154" s="1355"/>
      <c r="AD154" s="1353"/>
    </row>
    <row r="155" spans="1:30" ht="15.75" customHeight="1" outlineLevel="1">
      <c r="A155" s="1279"/>
      <c r="B155" s="1413"/>
      <c r="C155" s="1339"/>
      <c r="D155" s="1055"/>
      <c r="E155" s="1246"/>
      <c r="F155" s="1055"/>
      <c r="G155" s="1055"/>
      <c r="H155" s="1055"/>
      <c r="I155" s="1055"/>
      <c r="J155" s="1055"/>
      <c r="K155" s="971"/>
      <c r="L155" s="971"/>
      <c r="M155" s="971"/>
      <c r="N155" s="971"/>
      <c r="O155" s="971"/>
      <c r="P155" s="1353"/>
      <c r="Q155" s="1353"/>
      <c r="R155" s="1353"/>
      <c r="S155" s="971"/>
      <c r="T155" s="971"/>
      <c r="U155" s="1398"/>
      <c r="V155" s="971"/>
      <c r="W155" s="971"/>
      <c r="X155" s="971"/>
      <c r="Y155" s="1353"/>
      <c r="Z155" s="971"/>
      <c r="AA155" s="971"/>
      <c r="AB155" s="1355"/>
      <c r="AC155" s="1355"/>
      <c r="AD155" s="1353"/>
    </row>
    <row r="156" spans="1:30" ht="15.75" customHeight="1" outlineLevel="1">
      <c r="A156" s="1279"/>
      <c r="B156" s="1413"/>
      <c r="C156" s="1339"/>
      <c r="D156" s="1055"/>
      <c r="E156" s="1246"/>
      <c r="F156" s="1055"/>
      <c r="G156" s="1055"/>
      <c r="H156" s="1055"/>
      <c r="I156" s="1055"/>
      <c r="J156" s="1055"/>
      <c r="K156" s="971"/>
      <c r="L156" s="971"/>
      <c r="M156" s="971"/>
      <c r="N156" s="971"/>
      <c r="O156" s="971"/>
      <c r="P156" s="1353"/>
      <c r="Q156" s="1353"/>
      <c r="R156" s="1353"/>
      <c r="S156" s="971"/>
      <c r="T156" s="971"/>
      <c r="U156" s="1398"/>
      <c r="V156" s="971"/>
      <c r="W156" s="971"/>
      <c r="X156" s="971"/>
      <c r="Y156" s="1353"/>
      <c r="Z156" s="971"/>
      <c r="AA156" s="971"/>
      <c r="AB156" s="1355"/>
      <c r="AC156" s="1355"/>
      <c r="AD156" s="1353"/>
    </row>
    <row r="157" spans="1:30" ht="15.75" customHeight="1" outlineLevel="1">
      <c r="A157" s="1279"/>
      <c r="B157" s="1413"/>
      <c r="C157" s="1339"/>
      <c r="D157" s="1055"/>
      <c r="E157" s="1246"/>
      <c r="F157" s="1055"/>
      <c r="G157" s="1055"/>
      <c r="H157" s="1055"/>
      <c r="I157" s="1055"/>
      <c r="J157" s="1055"/>
      <c r="K157" s="971"/>
      <c r="L157" s="971"/>
      <c r="M157" s="971"/>
      <c r="N157" s="971"/>
      <c r="O157" s="971"/>
      <c r="P157" s="1353"/>
      <c r="Q157" s="1353"/>
      <c r="R157" s="1353"/>
      <c r="S157" s="971"/>
      <c r="T157" s="971"/>
      <c r="U157" s="1398"/>
      <c r="V157" s="971"/>
      <c r="W157" s="971"/>
      <c r="X157" s="971"/>
      <c r="Y157" s="1353"/>
      <c r="Z157" s="971"/>
      <c r="AA157" s="971"/>
      <c r="AB157" s="1355"/>
      <c r="AC157" s="1355"/>
      <c r="AD157" s="1353"/>
    </row>
    <row r="158" spans="1:30" ht="15.75" customHeight="1" outlineLevel="1">
      <c r="A158" s="1279"/>
      <c r="B158" s="1413"/>
      <c r="C158" s="1339"/>
      <c r="D158" s="1055"/>
      <c r="E158" s="1246"/>
      <c r="F158" s="1055"/>
      <c r="G158" s="1055"/>
      <c r="H158" s="1055"/>
      <c r="I158" s="1055"/>
      <c r="J158" s="1055"/>
      <c r="K158" s="971"/>
      <c r="L158" s="971"/>
      <c r="M158" s="971"/>
      <c r="N158" s="971"/>
      <c r="O158" s="971"/>
      <c r="P158" s="1353"/>
      <c r="Q158" s="1353"/>
      <c r="R158" s="1353"/>
      <c r="S158" s="971"/>
      <c r="T158" s="971"/>
      <c r="U158" s="1398"/>
      <c r="V158" s="971"/>
      <c r="W158" s="971"/>
      <c r="X158" s="971"/>
      <c r="Y158" s="1353"/>
      <c r="Z158" s="971"/>
      <c r="AA158" s="971"/>
      <c r="AB158" s="1355"/>
      <c r="AC158" s="1355"/>
      <c r="AD158" s="1353"/>
    </row>
    <row r="159" spans="1:30" ht="15.75" customHeight="1" outlineLevel="1">
      <c r="A159" s="1279"/>
      <c r="B159" s="1413"/>
      <c r="C159" s="1339"/>
      <c r="D159" s="1055"/>
      <c r="E159" s="1246"/>
      <c r="F159" s="1055"/>
      <c r="G159" s="1055"/>
      <c r="H159" s="1055"/>
      <c r="I159" s="1055"/>
      <c r="J159" s="1055"/>
      <c r="K159" s="971"/>
      <c r="L159" s="971"/>
      <c r="M159" s="971"/>
      <c r="N159" s="971"/>
      <c r="O159" s="971"/>
      <c r="P159" s="1353"/>
      <c r="Q159" s="1353"/>
      <c r="R159" s="1353"/>
      <c r="S159" s="971"/>
      <c r="T159" s="971"/>
      <c r="U159" s="1398"/>
      <c r="V159" s="971"/>
      <c r="W159" s="971"/>
      <c r="X159" s="971"/>
      <c r="Y159" s="1353"/>
      <c r="Z159" s="971"/>
      <c r="AA159" s="971"/>
      <c r="AB159" s="1355"/>
      <c r="AC159" s="1355"/>
      <c r="AD159" s="1353"/>
    </row>
    <row r="160" spans="1:30" ht="15.75" customHeight="1" outlineLevel="1">
      <c r="A160" s="1279"/>
      <c r="B160" s="1413"/>
      <c r="C160" s="1339"/>
      <c r="D160" s="1055"/>
      <c r="E160" s="1246"/>
      <c r="F160" s="1055"/>
      <c r="G160" s="1055"/>
      <c r="H160" s="1055"/>
      <c r="I160" s="1055"/>
      <c r="J160" s="1055"/>
      <c r="K160" s="971"/>
      <c r="L160" s="971"/>
      <c r="M160" s="971"/>
      <c r="N160" s="971"/>
      <c r="O160" s="971"/>
      <c r="P160" s="1353"/>
      <c r="Q160" s="1353"/>
      <c r="R160" s="1353"/>
      <c r="S160" s="971"/>
      <c r="T160" s="971"/>
      <c r="U160" s="1398"/>
      <c r="V160" s="971"/>
      <c r="W160" s="971"/>
      <c r="X160" s="971"/>
      <c r="Y160" s="1353"/>
      <c r="Z160" s="971"/>
      <c r="AA160" s="971"/>
      <c r="AB160" s="1355"/>
      <c r="AC160" s="1355"/>
      <c r="AD160" s="1353"/>
    </row>
    <row r="161" spans="1:30" ht="15.75" customHeight="1" outlineLevel="1">
      <c r="A161" s="1279"/>
      <c r="B161" s="1413"/>
      <c r="C161" s="1339"/>
      <c r="D161" s="1055"/>
      <c r="E161" s="1246"/>
      <c r="F161" s="1055"/>
      <c r="G161" s="1055"/>
      <c r="H161" s="1055"/>
      <c r="I161" s="1055"/>
      <c r="J161" s="1055"/>
      <c r="K161" s="971"/>
      <c r="L161" s="971"/>
      <c r="M161" s="971"/>
      <c r="N161" s="971"/>
      <c r="O161" s="971"/>
      <c r="P161" s="1353"/>
      <c r="Q161" s="1353"/>
      <c r="R161" s="1353"/>
      <c r="S161" s="971"/>
      <c r="T161" s="971"/>
      <c r="U161" s="1398"/>
      <c r="V161" s="971"/>
      <c r="W161" s="971"/>
      <c r="X161" s="971"/>
      <c r="Y161" s="1353"/>
      <c r="Z161" s="971"/>
      <c r="AA161" s="971"/>
      <c r="AB161" s="1355"/>
      <c r="AC161" s="1355"/>
      <c r="AD161" s="1353"/>
    </row>
    <row r="162" spans="1:30" ht="15.75" customHeight="1" outlineLevel="1">
      <c r="A162" s="1279"/>
      <c r="B162" s="1413"/>
      <c r="C162" s="1339"/>
      <c r="D162" s="1055"/>
      <c r="E162" s="1246"/>
      <c r="F162" s="1055"/>
      <c r="G162" s="1055"/>
      <c r="H162" s="1055"/>
      <c r="I162" s="1055"/>
      <c r="J162" s="1055"/>
      <c r="K162" s="971"/>
      <c r="L162" s="971"/>
      <c r="M162" s="971"/>
      <c r="N162" s="971"/>
      <c r="O162" s="971"/>
      <c r="P162" s="1353"/>
      <c r="Q162" s="1353"/>
      <c r="R162" s="1353"/>
      <c r="S162" s="971"/>
      <c r="T162" s="971"/>
      <c r="U162" s="1398"/>
      <c r="V162" s="971"/>
      <c r="W162" s="971"/>
      <c r="X162" s="971"/>
      <c r="Y162" s="1353"/>
      <c r="Z162" s="971"/>
      <c r="AA162" s="971"/>
      <c r="AB162" s="1355"/>
      <c r="AC162" s="1355"/>
      <c r="AD162" s="1353"/>
    </row>
    <row r="163" spans="1:30" ht="15.75" customHeight="1" outlineLevel="1">
      <c r="A163" s="1279"/>
      <c r="B163" s="1413"/>
      <c r="C163" s="1339"/>
      <c r="D163" s="1055"/>
      <c r="E163" s="1246"/>
      <c r="F163" s="1055"/>
      <c r="G163" s="1055"/>
      <c r="H163" s="1055"/>
      <c r="I163" s="1055"/>
      <c r="J163" s="1055"/>
      <c r="K163" s="971"/>
      <c r="L163" s="971"/>
      <c r="M163" s="971"/>
      <c r="N163" s="971"/>
      <c r="O163" s="971"/>
      <c r="P163" s="1353"/>
      <c r="Q163" s="1353"/>
      <c r="R163" s="1353"/>
      <c r="S163" s="971"/>
      <c r="T163" s="971"/>
      <c r="U163" s="1398"/>
      <c r="V163" s="971"/>
      <c r="W163" s="971"/>
      <c r="X163" s="971"/>
      <c r="Y163" s="1353"/>
      <c r="Z163" s="971"/>
      <c r="AA163" s="971"/>
      <c r="AB163" s="1355"/>
      <c r="AC163" s="1355"/>
      <c r="AD163" s="1353"/>
    </row>
    <row r="164" spans="1:30" ht="15.75" customHeight="1" outlineLevel="1">
      <c r="A164" s="1279"/>
      <c r="B164" s="1413"/>
      <c r="C164" s="1339"/>
      <c r="D164" s="1055"/>
      <c r="E164" s="1246"/>
      <c r="F164" s="1055"/>
      <c r="G164" s="1055"/>
      <c r="H164" s="1055"/>
      <c r="I164" s="1055"/>
      <c r="J164" s="1055"/>
      <c r="K164" s="971"/>
      <c r="L164" s="971"/>
      <c r="M164" s="971"/>
      <c r="N164" s="971"/>
      <c r="O164" s="971"/>
      <c r="P164" s="1353"/>
      <c r="Q164" s="1353"/>
      <c r="R164" s="1353"/>
      <c r="S164" s="971"/>
      <c r="T164" s="971"/>
      <c r="U164" s="1398"/>
      <c r="V164" s="971"/>
      <c r="W164" s="971"/>
      <c r="X164" s="971"/>
      <c r="Y164" s="1353"/>
      <c r="Z164" s="971"/>
      <c r="AA164" s="971"/>
      <c r="AB164" s="1355"/>
      <c r="AC164" s="1355"/>
      <c r="AD164" s="1353"/>
    </row>
    <row r="165" spans="1:30" ht="15.75" customHeight="1" outlineLevel="1">
      <c r="A165" s="1279"/>
      <c r="B165" s="1413"/>
      <c r="C165" s="1339"/>
      <c r="D165" s="1055"/>
      <c r="E165" s="1246"/>
      <c r="F165" s="1055"/>
      <c r="G165" s="1055"/>
      <c r="H165" s="1055"/>
      <c r="I165" s="1055"/>
      <c r="J165" s="1055"/>
      <c r="K165" s="971"/>
      <c r="L165" s="971"/>
      <c r="M165" s="971"/>
      <c r="N165" s="971"/>
      <c r="O165" s="971"/>
      <c r="P165" s="1353"/>
      <c r="Q165" s="1353"/>
      <c r="R165" s="1353"/>
      <c r="S165" s="971"/>
      <c r="T165" s="971"/>
      <c r="U165" s="1398"/>
      <c r="V165" s="971"/>
      <c r="W165" s="971"/>
      <c r="X165" s="971"/>
      <c r="Y165" s="1353"/>
      <c r="Z165" s="971"/>
      <c r="AA165" s="971"/>
      <c r="AB165" s="1355"/>
      <c r="AC165" s="1355"/>
      <c r="AD165" s="1353"/>
    </row>
    <row r="166" spans="1:30" ht="15.75" customHeight="1" outlineLevel="1">
      <c r="A166" s="1279"/>
      <c r="B166" s="1413"/>
      <c r="C166" s="1339"/>
      <c r="D166" s="1055"/>
      <c r="E166" s="1246"/>
      <c r="F166" s="1055"/>
      <c r="G166" s="1055"/>
      <c r="H166" s="1055"/>
      <c r="I166" s="1055"/>
      <c r="J166" s="1055"/>
      <c r="K166" s="971"/>
      <c r="L166" s="971"/>
      <c r="M166" s="971"/>
      <c r="N166" s="971"/>
      <c r="O166" s="971"/>
      <c r="P166" s="1353"/>
      <c r="Q166" s="1353"/>
      <c r="R166" s="1353"/>
      <c r="S166" s="971"/>
      <c r="T166" s="971"/>
      <c r="U166" s="1398"/>
      <c r="V166" s="971"/>
      <c r="W166" s="971"/>
      <c r="X166" s="971"/>
      <c r="Y166" s="1353"/>
      <c r="Z166" s="971"/>
      <c r="AA166" s="971"/>
      <c r="AB166" s="1355"/>
      <c r="AC166" s="1355"/>
      <c r="AD166" s="1353"/>
    </row>
    <row r="167" spans="1:30" ht="15.75" customHeight="1" outlineLevel="1">
      <c r="A167" s="1279"/>
      <c r="B167" s="1413"/>
      <c r="C167" s="1339"/>
      <c r="D167" s="1055"/>
      <c r="E167" s="1246"/>
      <c r="F167" s="1055"/>
      <c r="G167" s="1055"/>
      <c r="H167" s="1055"/>
      <c r="I167" s="1055"/>
      <c r="J167" s="1055"/>
      <c r="K167" s="971"/>
      <c r="L167" s="971"/>
      <c r="M167" s="971"/>
      <c r="N167" s="971"/>
      <c r="O167" s="971"/>
      <c r="P167" s="1353"/>
      <c r="Q167" s="1353"/>
      <c r="R167" s="1353"/>
      <c r="S167" s="971"/>
      <c r="T167" s="971"/>
      <c r="U167" s="1398"/>
      <c r="V167" s="971"/>
      <c r="W167" s="971"/>
      <c r="X167" s="971"/>
      <c r="Y167" s="1353"/>
      <c r="Z167" s="971"/>
      <c r="AA167" s="971"/>
      <c r="AB167" s="1355"/>
      <c r="AC167" s="1355"/>
      <c r="AD167" s="1353"/>
    </row>
    <row r="168" spans="1:30" ht="15.75" customHeight="1" outlineLevel="1">
      <c r="A168" s="1279"/>
      <c r="B168" s="1413"/>
      <c r="C168" s="1339"/>
      <c r="D168" s="1055"/>
      <c r="E168" s="1246"/>
      <c r="F168" s="1055"/>
      <c r="G168" s="1055"/>
      <c r="H168" s="1055"/>
      <c r="I168" s="1055"/>
      <c r="J168" s="1055"/>
      <c r="K168" s="971"/>
      <c r="L168" s="971"/>
      <c r="M168" s="971"/>
      <c r="N168" s="971"/>
      <c r="O168" s="971"/>
      <c r="P168" s="1353"/>
      <c r="Q168" s="1353"/>
      <c r="R168" s="1353"/>
      <c r="S168" s="971"/>
      <c r="T168" s="971"/>
      <c r="U168" s="1398"/>
      <c r="V168" s="971"/>
      <c r="W168" s="971"/>
      <c r="X168" s="971"/>
      <c r="Y168" s="1353"/>
      <c r="Z168" s="971"/>
      <c r="AA168" s="971"/>
      <c r="AB168" s="1355"/>
      <c r="AC168" s="1355"/>
      <c r="AD168" s="1353"/>
    </row>
    <row r="169" spans="1:30" ht="15.75" customHeight="1" outlineLevel="1">
      <c r="A169" s="1279"/>
      <c r="B169" s="1413"/>
      <c r="C169" s="1339"/>
      <c r="D169" s="1055"/>
      <c r="E169" s="1246"/>
      <c r="F169" s="1055"/>
      <c r="G169" s="1055"/>
      <c r="H169" s="1055"/>
      <c r="I169" s="1055"/>
      <c r="J169" s="1055"/>
      <c r="K169" s="971"/>
      <c r="L169" s="971"/>
      <c r="M169" s="971"/>
      <c r="N169" s="971"/>
      <c r="O169" s="971"/>
      <c r="P169" s="1353"/>
      <c r="Q169" s="1353"/>
      <c r="R169" s="1353"/>
      <c r="S169" s="971"/>
      <c r="T169" s="971"/>
      <c r="U169" s="1398"/>
      <c r="V169" s="971"/>
      <c r="W169" s="971"/>
      <c r="X169" s="971"/>
      <c r="Y169" s="1353"/>
      <c r="Z169" s="971"/>
      <c r="AA169" s="971"/>
      <c r="AB169" s="1355"/>
      <c r="AC169" s="1355"/>
      <c r="AD169" s="1353"/>
    </row>
    <row r="170" spans="1:30" ht="15.75" customHeight="1" outlineLevel="1">
      <c r="A170" s="1279"/>
      <c r="B170" s="1413"/>
      <c r="C170" s="1339"/>
      <c r="D170" s="1055"/>
      <c r="E170" s="1246"/>
      <c r="F170" s="1055"/>
      <c r="G170" s="1055"/>
      <c r="H170" s="1055"/>
      <c r="I170" s="1055"/>
      <c r="J170" s="1055"/>
      <c r="K170" s="971"/>
      <c r="L170" s="971"/>
      <c r="M170" s="971"/>
      <c r="N170" s="971"/>
      <c r="O170" s="971"/>
      <c r="P170" s="1353"/>
      <c r="Q170" s="1353"/>
      <c r="R170" s="1353"/>
      <c r="S170" s="971"/>
      <c r="T170" s="971"/>
      <c r="U170" s="1398"/>
      <c r="V170" s="971"/>
      <c r="W170" s="971"/>
      <c r="X170" s="971"/>
      <c r="Y170" s="1353"/>
      <c r="Z170" s="971"/>
      <c r="AA170" s="971"/>
      <c r="AB170" s="1355"/>
      <c r="AC170" s="1355"/>
      <c r="AD170" s="1353"/>
    </row>
    <row r="171" spans="1:30" ht="15.75" customHeight="1" outlineLevel="1">
      <c r="A171" s="1279"/>
      <c r="B171" s="1413"/>
      <c r="C171" s="1339"/>
      <c r="D171" s="1055"/>
      <c r="E171" s="1246"/>
      <c r="F171" s="1055"/>
      <c r="G171" s="1055"/>
      <c r="H171" s="1055"/>
      <c r="I171" s="1055"/>
      <c r="J171" s="1055"/>
      <c r="K171" s="971"/>
      <c r="L171" s="971"/>
      <c r="M171" s="971"/>
      <c r="N171" s="971"/>
      <c r="O171" s="971"/>
      <c r="P171" s="1353"/>
      <c r="Q171" s="1353"/>
      <c r="R171" s="1353"/>
      <c r="S171" s="971"/>
      <c r="T171" s="971"/>
      <c r="U171" s="1398"/>
      <c r="V171" s="971"/>
      <c r="W171" s="971"/>
      <c r="X171" s="971"/>
      <c r="Y171" s="1353"/>
      <c r="Z171" s="971"/>
      <c r="AA171" s="971"/>
      <c r="AB171" s="1355"/>
      <c r="AC171" s="1355"/>
      <c r="AD171" s="1353"/>
    </row>
    <row r="172" spans="1:30" ht="15.75" customHeight="1" outlineLevel="1">
      <c r="A172" s="1279"/>
      <c r="B172" s="1413"/>
      <c r="C172" s="1339"/>
      <c r="D172" s="1055"/>
      <c r="E172" s="1246"/>
      <c r="F172" s="1055"/>
      <c r="G172" s="1055"/>
      <c r="H172" s="1055"/>
      <c r="I172" s="1055"/>
      <c r="J172" s="1055"/>
      <c r="K172" s="971"/>
      <c r="L172" s="971"/>
      <c r="M172" s="971"/>
      <c r="N172" s="971"/>
      <c r="O172" s="971"/>
      <c r="P172" s="1353"/>
      <c r="Q172" s="1353"/>
      <c r="R172" s="1353"/>
      <c r="S172" s="971"/>
      <c r="T172" s="971"/>
      <c r="U172" s="1398"/>
      <c r="V172" s="971"/>
      <c r="W172" s="971"/>
      <c r="X172" s="971"/>
      <c r="Y172" s="1353"/>
      <c r="Z172" s="971"/>
      <c r="AA172" s="971"/>
      <c r="AB172" s="1355"/>
      <c r="AC172" s="1355"/>
      <c r="AD172" s="1353"/>
    </row>
    <row r="173" spans="1:30" ht="15.75" customHeight="1" outlineLevel="1">
      <c r="A173" s="1279"/>
      <c r="B173" s="1413"/>
      <c r="C173" s="1339"/>
      <c r="D173" s="1055"/>
      <c r="E173" s="1246"/>
      <c r="F173" s="1055"/>
      <c r="G173" s="1055"/>
      <c r="H173" s="1055"/>
      <c r="I173" s="1055"/>
      <c r="J173" s="1055"/>
      <c r="K173" s="971"/>
      <c r="L173" s="971"/>
      <c r="M173" s="971"/>
      <c r="N173" s="971"/>
      <c r="O173" s="971"/>
      <c r="P173" s="1353"/>
      <c r="Q173" s="1353"/>
      <c r="R173" s="1353"/>
      <c r="S173" s="971"/>
      <c r="T173" s="971"/>
      <c r="U173" s="1398"/>
      <c r="V173" s="971"/>
      <c r="W173" s="971"/>
      <c r="X173" s="971"/>
      <c r="Y173" s="1353"/>
      <c r="Z173" s="971"/>
      <c r="AA173" s="971"/>
      <c r="AB173" s="1355"/>
      <c r="AC173" s="1355"/>
      <c r="AD173" s="1353"/>
    </row>
    <row r="174" spans="1:30" ht="15.75" customHeight="1" outlineLevel="1">
      <c r="A174" s="1279"/>
      <c r="B174" s="1413"/>
      <c r="C174" s="1339"/>
      <c r="D174" s="1055"/>
      <c r="E174" s="1246"/>
      <c r="F174" s="1055"/>
      <c r="G174" s="1055"/>
      <c r="H174" s="1055"/>
      <c r="I174" s="1055"/>
      <c r="J174" s="1055"/>
      <c r="K174" s="971"/>
      <c r="L174" s="971"/>
      <c r="M174" s="971"/>
      <c r="N174" s="971"/>
      <c r="O174" s="971"/>
      <c r="P174" s="1353"/>
      <c r="Q174" s="1353"/>
      <c r="R174" s="1353"/>
      <c r="S174" s="971"/>
      <c r="T174" s="971"/>
      <c r="U174" s="1398"/>
      <c r="V174" s="971"/>
      <c r="W174" s="971"/>
      <c r="X174" s="971"/>
      <c r="Y174" s="1353"/>
      <c r="Z174" s="971"/>
      <c r="AA174" s="971"/>
      <c r="AB174" s="1355"/>
      <c r="AC174" s="1355"/>
      <c r="AD174" s="1353"/>
    </row>
    <row r="175" spans="1:30" ht="15.75" customHeight="1" outlineLevel="1">
      <c r="A175" s="1279"/>
      <c r="B175" s="1413"/>
      <c r="C175" s="1339"/>
      <c r="D175" s="1055"/>
      <c r="E175" s="1246"/>
      <c r="F175" s="1055"/>
      <c r="G175" s="1055"/>
      <c r="H175" s="1055"/>
      <c r="I175" s="1055"/>
      <c r="J175" s="1055"/>
      <c r="K175" s="971"/>
      <c r="L175" s="971"/>
      <c r="M175" s="971"/>
      <c r="N175" s="971"/>
      <c r="O175" s="971"/>
      <c r="P175" s="1353"/>
      <c r="Q175" s="1353"/>
      <c r="R175" s="1353"/>
      <c r="S175" s="971"/>
      <c r="T175" s="971"/>
      <c r="U175" s="1398"/>
      <c r="V175" s="971"/>
      <c r="W175" s="971"/>
      <c r="X175" s="971"/>
      <c r="Y175" s="1353"/>
      <c r="Z175" s="971"/>
      <c r="AA175" s="971"/>
      <c r="AB175" s="1355"/>
      <c r="AC175" s="1355"/>
      <c r="AD175" s="1353"/>
    </row>
    <row r="176" spans="1:30" ht="15.75" customHeight="1" outlineLevel="1">
      <c r="A176" s="1279"/>
      <c r="B176" s="1413"/>
      <c r="C176" s="1339"/>
      <c r="D176" s="1055"/>
      <c r="E176" s="1246"/>
      <c r="F176" s="1055"/>
      <c r="G176" s="1055"/>
      <c r="H176" s="1055"/>
      <c r="I176" s="1055"/>
      <c r="J176" s="1055"/>
      <c r="K176" s="971"/>
      <c r="L176" s="971"/>
      <c r="M176" s="971"/>
      <c r="N176" s="971"/>
      <c r="O176" s="971"/>
      <c r="P176" s="1353"/>
      <c r="Q176" s="1353"/>
      <c r="R176" s="1353"/>
      <c r="S176" s="971"/>
      <c r="T176" s="971"/>
      <c r="U176" s="1398"/>
      <c r="V176" s="971"/>
      <c r="W176" s="971"/>
      <c r="X176" s="971"/>
      <c r="Y176" s="1353"/>
      <c r="Z176" s="971"/>
      <c r="AA176" s="971"/>
      <c r="AB176" s="1355"/>
      <c r="AC176" s="1355"/>
      <c r="AD176" s="1353"/>
    </row>
    <row r="177" spans="1:30" ht="15.75" customHeight="1" outlineLevel="1">
      <c r="A177" s="1279"/>
      <c r="B177" s="1413"/>
      <c r="C177" s="1339"/>
      <c r="D177" s="1055"/>
      <c r="E177" s="1246"/>
      <c r="F177" s="1055"/>
      <c r="G177" s="1055"/>
      <c r="H177" s="1055"/>
      <c r="I177" s="1055"/>
      <c r="J177" s="1055"/>
      <c r="K177" s="971"/>
      <c r="L177" s="971"/>
      <c r="M177" s="971"/>
      <c r="N177" s="971"/>
      <c r="O177" s="971"/>
      <c r="P177" s="1353"/>
      <c r="Q177" s="1353"/>
      <c r="R177" s="1353"/>
      <c r="S177" s="971"/>
      <c r="T177" s="971"/>
      <c r="U177" s="1398"/>
      <c r="V177" s="971"/>
      <c r="W177" s="971"/>
      <c r="X177" s="971"/>
      <c r="Y177" s="1353"/>
      <c r="Z177" s="971"/>
      <c r="AA177" s="971"/>
      <c r="AB177" s="1355"/>
      <c r="AC177" s="1355"/>
      <c r="AD177" s="1353"/>
    </row>
    <row r="178" spans="1:30" ht="15.75" customHeight="1" outlineLevel="1">
      <c r="A178" s="1279" t="s">
        <v>3016</v>
      </c>
      <c r="B178" s="1413" t="s">
        <v>156</v>
      </c>
      <c r="C178" s="1339">
        <f>$C$151</f>
        <v>0.12</v>
      </c>
      <c r="D178" s="1055">
        <f>VLOOKUP('Ввод данных'!A1033,связи1!I458:O488,7,0)</f>
        <v>0.05</v>
      </c>
      <c r="E178" s="1246">
        <f>P379+Q379+P389+Q389</f>
        <v>0</v>
      </c>
      <c r="F178" s="1055">
        <f>1</f>
        <v>1</v>
      </c>
      <c r="G178" s="1055">
        <f>C178*D178*E178*(IF('Ввод данных'!A8=связи1!A150,1,0))</f>
        <v>0</v>
      </c>
      <c r="H178" s="1055"/>
      <c r="I178" s="1055"/>
      <c r="J178" s="1055"/>
      <c r="K178" s="971"/>
      <c r="L178" s="971"/>
      <c r="M178" s="971"/>
      <c r="N178" s="971"/>
      <c r="O178" s="971"/>
      <c r="P178" s="1353"/>
      <c r="Q178" s="1353"/>
      <c r="R178" s="1353"/>
      <c r="S178" s="971"/>
      <c r="T178" s="971"/>
      <c r="U178" s="1398"/>
      <c r="V178" s="971"/>
      <c r="W178" s="971"/>
      <c r="X178" s="971"/>
      <c r="Y178" s="1353"/>
      <c r="Z178" s="971"/>
      <c r="AA178" s="971"/>
      <c r="AB178" s="1355"/>
      <c r="AC178" s="1355"/>
      <c r="AD178" s="1353"/>
    </row>
    <row r="179" spans="1:30" ht="15.75" customHeight="1" outlineLevel="1">
      <c r="A179" s="1279" t="s">
        <v>3017</v>
      </c>
      <c r="B179" s="1413" t="s">
        <v>156</v>
      </c>
      <c r="C179" s="1339">
        <f>$C$151</f>
        <v>0.12</v>
      </c>
      <c r="D179" s="1055">
        <f>VLOOKUP('Ввод данных'!A1033,связи1!I458:O488,7,0)</f>
        <v>0.05</v>
      </c>
      <c r="E179" s="1246">
        <f>R379+R389</f>
        <v>0</v>
      </c>
      <c r="F179" s="1055">
        <f>1</f>
        <v>1</v>
      </c>
      <c r="G179" s="1055">
        <f>C179*D179*E179*(IF('Ввод данных'!A8=связи1!A150,1,0))</f>
        <v>0</v>
      </c>
      <c r="H179" s="1055"/>
      <c r="I179" s="1055"/>
      <c r="J179" s="1055"/>
      <c r="K179" s="971"/>
      <c r="L179" s="971"/>
      <c r="M179" s="971"/>
      <c r="N179" s="971"/>
      <c r="O179" s="971"/>
      <c r="P179" s="1353"/>
      <c r="Q179" s="1353"/>
      <c r="R179" s="1353"/>
      <c r="S179" s="971"/>
      <c r="T179" s="971"/>
      <c r="U179" s="1398"/>
      <c r="V179" s="971"/>
      <c r="W179" s="971"/>
      <c r="X179" s="971"/>
      <c r="Y179" s="1353"/>
      <c r="Z179" s="971"/>
      <c r="AA179" s="971"/>
      <c r="AB179" s="1355"/>
      <c r="AC179" s="1355"/>
      <c r="AD179" s="1353"/>
    </row>
    <row r="180" spans="1:30" ht="15.75" customHeight="1" outlineLevel="1">
      <c r="A180" s="1279" t="s">
        <v>3018</v>
      </c>
      <c r="B180" s="1413" t="s">
        <v>156</v>
      </c>
      <c r="C180" s="1339">
        <f>VLOOKUP('Ввод данных'!A1035,связи1!I458:O488,6,0)</f>
        <v>0.17</v>
      </c>
      <c r="D180" s="1055">
        <f>VLOOKUP('Ввод данных'!A1035,связи1!I458:O488,7,0)</f>
        <v>0.05</v>
      </c>
      <c r="E180" s="1246">
        <f>E380</f>
        <v>3</v>
      </c>
      <c r="F180" s="1055">
        <f>I384+I394</f>
        <v>0</v>
      </c>
      <c r="G180" s="1055">
        <f>C180*D180*E180*F180*(IF('Ввод данных'!A8=связи1!A150,1,0))</f>
        <v>0</v>
      </c>
      <c r="H180" s="1055"/>
      <c r="I180" s="1055"/>
      <c r="J180" s="1055"/>
      <c r="K180" s="971"/>
      <c r="L180" s="971"/>
      <c r="M180" s="971"/>
      <c r="N180" s="971"/>
      <c r="O180" s="971"/>
      <c r="P180" s="1353"/>
      <c r="Q180" s="1353"/>
      <c r="R180" s="1353"/>
      <c r="S180" s="971"/>
      <c r="T180" s="971"/>
      <c r="U180" s="1398"/>
      <c r="V180" s="971"/>
      <c r="W180" s="971"/>
      <c r="X180" s="971"/>
      <c r="Y180" s="1353"/>
      <c r="Z180" s="971"/>
      <c r="AA180" s="971"/>
      <c r="AB180" s="1355"/>
      <c r="AC180" s="1355"/>
      <c r="AD180" s="1353"/>
    </row>
    <row r="181" spans="1:30" ht="15.75" customHeight="1" outlineLevel="1">
      <c r="A181" s="1279" t="s">
        <v>3019</v>
      </c>
      <c r="B181" s="1413" t="s">
        <v>156</v>
      </c>
      <c r="C181" s="1339">
        <f>$C$180</f>
        <v>0.17</v>
      </c>
      <c r="D181" s="1055">
        <f>$D$180</f>
        <v>0.05</v>
      </c>
      <c r="E181" s="1246">
        <f>P384+Q384+P394+Q394</f>
        <v>0</v>
      </c>
      <c r="F181" s="1055">
        <f>1</f>
        <v>1</v>
      </c>
      <c r="G181" s="1055">
        <f>C181*D181*E181*(IF('Ввод данных'!A8=связи1!A150,1,0))</f>
        <v>0</v>
      </c>
      <c r="H181" s="1055"/>
      <c r="I181" s="1055"/>
      <c r="J181" s="1055"/>
      <c r="K181" s="971"/>
      <c r="L181" s="971"/>
      <c r="M181" s="971"/>
      <c r="N181" s="971"/>
      <c r="O181" s="971"/>
      <c r="P181" s="1353"/>
      <c r="Q181" s="1353"/>
      <c r="R181" s="1353"/>
      <c r="S181" s="971"/>
      <c r="T181" s="971"/>
      <c r="U181" s="1398"/>
      <c r="V181" s="971"/>
      <c r="W181" s="971"/>
      <c r="X181" s="971"/>
      <c r="Y181" s="1353"/>
      <c r="Z181" s="971"/>
      <c r="AA181" s="971"/>
      <c r="AB181" s="1355"/>
      <c r="AC181" s="1355"/>
      <c r="AD181" s="1353"/>
    </row>
    <row r="182" spans="1:30" ht="15.75" customHeight="1" outlineLevel="1">
      <c r="A182" s="1414" t="s">
        <v>3020</v>
      </c>
      <c r="B182" s="1413" t="s">
        <v>156</v>
      </c>
      <c r="C182" s="1339">
        <f t="shared" ref="C182:C213" si="21">$C$143</f>
        <v>0.15</v>
      </c>
      <c r="D182" s="1055">
        <f t="shared" ref="D182:D213" si="22">$D$143</f>
        <v>0.05</v>
      </c>
      <c r="E182" s="1246">
        <f>2</f>
        <v>2</v>
      </c>
      <c r="F182" s="1246">
        <f>16+12*D141</f>
        <v>28</v>
      </c>
      <c r="G182" s="1055">
        <f>C182*D182*E182*F182*(IF('Ввод данных'!A8=связи1!A150,1,0))</f>
        <v>0</v>
      </c>
      <c r="H182" s="1055"/>
      <c r="I182" s="1055"/>
      <c r="J182" s="1055"/>
      <c r="K182" s="971"/>
      <c r="L182" s="971"/>
      <c r="M182" s="971"/>
      <c r="N182" s="971"/>
      <c r="O182" s="971"/>
      <c r="P182" s="1353"/>
      <c r="Q182" s="1353"/>
      <c r="R182" s="1353"/>
      <c r="S182" s="971"/>
      <c r="T182" s="971"/>
      <c r="U182" s="1398"/>
      <c r="V182" s="971"/>
      <c r="W182" s="971"/>
      <c r="X182" s="971"/>
      <c r="Y182" s="1353"/>
      <c r="Z182" s="971"/>
      <c r="AA182" s="971"/>
      <c r="AB182" s="1355"/>
      <c r="AC182" s="1355"/>
      <c r="AD182" s="1353"/>
    </row>
    <row r="183" spans="1:30" ht="15.75" customHeight="1" outlineLevel="1">
      <c r="A183" s="1055" t="s">
        <v>3021</v>
      </c>
      <c r="B183" s="1413" t="s">
        <v>156</v>
      </c>
      <c r="C183" s="1339">
        <f t="shared" si="21"/>
        <v>0.15</v>
      </c>
      <c r="D183" s="1055">
        <f t="shared" si="22"/>
        <v>0.05</v>
      </c>
      <c r="E183" s="551">
        <f>IF('Ввод данных'!A6=связи1!A94,E133-C125+0.1,0)+IF('Ввод данных'!A6=связи1!A97,C125,0)</f>
        <v>8.1</v>
      </c>
      <c r="F183" s="551">
        <f>IF(E183&lt;($E$133+0.5),1,0)*$D$141*IF('Ввод данных'!$A$19=связи1!$A$128,2,2)*IF('Ввод данных'!$F$237=связи1!$A$2,1,0)</f>
        <v>0</v>
      </c>
      <c r="G183" s="1055">
        <f>C183*D183*E183*F183*(IF('Ввод данных'!A8=связи1!A150,1,0))</f>
        <v>0</v>
      </c>
      <c r="H183" s="1055"/>
      <c r="I183" s="1055"/>
      <c r="J183" s="1055"/>
      <c r="K183" s="971"/>
      <c r="L183" s="971"/>
      <c r="M183" s="971"/>
      <c r="N183" s="971"/>
      <c r="O183" s="971"/>
      <c r="P183" s="1353"/>
      <c r="Q183" s="1353"/>
      <c r="R183" s="1353"/>
      <c r="S183" s="971"/>
      <c r="T183" s="971"/>
      <c r="U183" s="1398"/>
      <c r="V183" s="971"/>
      <c r="W183" s="971"/>
      <c r="X183" s="971"/>
      <c r="Y183" s="1353"/>
      <c r="Z183" s="971"/>
      <c r="AA183" s="971"/>
      <c r="AB183" s="1355"/>
      <c r="AC183" s="1355"/>
      <c r="AD183" s="1353"/>
    </row>
    <row r="184" spans="1:30" ht="15.75" customHeight="1" outlineLevel="1">
      <c r="A184" s="1055" t="s">
        <v>3022</v>
      </c>
      <c r="B184" s="1330" t="s">
        <v>156</v>
      </c>
      <c r="C184" s="1339">
        <f t="shared" si="21"/>
        <v>0.15</v>
      </c>
      <c r="D184" s="1055">
        <f t="shared" si="22"/>
        <v>0.05</v>
      </c>
      <c r="E184" s="1055">
        <f>IF('Ввод данных'!$A$6=связи1!$A$94,IF(дома!E183+0.05-дома!$C$136&lt;0,0,дома!E183+0.05-дома!$C$136),0)+IF(E183=0,0,IF('Ввод данных'!$A$6=связи1!$A$97,IF(дома!E183+0.05+дома!$C$136&gt;дома!$E$137+0.5,0,дома!E183+0.05+дома!$C$136),0))</f>
        <v>7.2611111111111111</v>
      </c>
      <c r="F184" s="551">
        <f>IF(E184&lt;($E$133+0.5),1,0)*$D$141*IF('Ввод данных'!$A$19=связи1!$A$128,2,2)*IF('Ввод данных'!$F$237=связи1!$A$2,1,0)</f>
        <v>0</v>
      </c>
      <c r="G184" s="1055">
        <f t="shared" ref="G184:G215" si="23">C184*D184*E184*F184</f>
        <v>0</v>
      </c>
      <c r="H184" s="1055"/>
      <c r="I184" s="1055"/>
      <c r="J184" s="1055"/>
      <c r="K184" s="971"/>
      <c r="L184" s="971"/>
      <c r="M184" s="971"/>
      <c r="N184" s="971"/>
      <c r="O184" s="971"/>
      <c r="P184" s="1353"/>
      <c r="Q184" s="1353"/>
      <c r="R184" s="1353"/>
      <c r="S184" s="971"/>
      <c r="T184" s="971"/>
      <c r="U184" s="1398"/>
      <c r="V184" s="971"/>
      <c r="W184" s="971"/>
      <c r="X184" s="971"/>
      <c r="Y184" s="1353"/>
      <c r="Z184" s="971"/>
      <c r="AA184" s="971"/>
      <c r="AB184" s="1355"/>
      <c r="AC184" s="1355"/>
      <c r="AD184" s="1353"/>
    </row>
    <row r="185" spans="1:30" ht="15.75" customHeight="1" outlineLevel="1">
      <c r="A185" s="1055" t="s">
        <v>3023</v>
      </c>
      <c r="B185" s="1330" t="s">
        <v>156</v>
      </c>
      <c r="C185" s="1339">
        <f t="shared" si="21"/>
        <v>0.15</v>
      </c>
      <c r="D185" s="1055">
        <f t="shared" si="22"/>
        <v>0.05</v>
      </c>
      <c r="E185" s="1055">
        <f>IF('Ввод данных'!$A$6=связи1!$A$94,IF(дома!E184+0.05-дома!$C$136&lt;0,0,дома!E184+0.05-дома!$C$136),0)+IF(E184=0,0,IF('Ввод данных'!$A$6=связи1!$A$97,IF(дома!E184+0.05+дома!$C$136&gt;дома!$E$137+0.5,0,дома!E184+0.05+дома!$C$136),0))</f>
        <v>6.4222222222222225</v>
      </c>
      <c r="F185" s="551">
        <f>IF(E185&lt;($E$133+0.5),1,0)*$D$141*IF('Ввод данных'!$A$19=связи1!$A$128,2,2)*IF('Ввод данных'!$F$237=связи1!$A$2,1,0)</f>
        <v>0</v>
      </c>
      <c r="G185" s="1055">
        <f t="shared" si="23"/>
        <v>0</v>
      </c>
      <c r="H185" s="1055"/>
      <c r="I185" s="1055"/>
      <c r="J185" s="1055"/>
      <c r="K185" s="971"/>
      <c r="L185" s="971"/>
      <c r="M185" s="971"/>
      <c r="N185" s="971"/>
      <c r="O185" s="971"/>
      <c r="P185" s="1353"/>
      <c r="Q185" s="1353"/>
      <c r="R185" s="1353"/>
      <c r="S185" s="971"/>
      <c r="T185" s="971"/>
      <c r="U185" s="1398"/>
      <c r="V185" s="971"/>
      <c r="W185" s="971"/>
      <c r="X185" s="971"/>
      <c r="Y185" s="1353"/>
      <c r="Z185" s="971"/>
      <c r="AA185" s="971"/>
      <c r="AB185" s="1355"/>
      <c r="AC185" s="1355"/>
      <c r="AD185" s="1353"/>
    </row>
    <row r="186" spans="1:30" ht="15.75" customHeight="1" outlineLevel="1">
      <c r="A186" s="1055" t="s">
        <v>3024</v>
      </c>
      <c r="B186" s="1330" t="s">
        <v>156</v>
      </c>
      <c r="C186" s="1339">
        <f t="shared" si="21"/>
        <v>0.15</v>
      </c>
      <c r="D186" s="1055">
        <f t="shared" si="22"/>
        <v>0.05</v>
      </c>
      <c r="E186" s="1055">
        <f>IF('Ввод данных'!$A$6=связи1!$A$94,IF(дома!E185+0.05-дома!$C$136&lt;0,0,дома!E185+0.05-дома!$C$136),0)+IF(E185=0,0,IF('Ввод данных'!$A$6=связи1!$A$97,IF(дома!E185+0.05+дома!$C$136&gt;дома!$E$137+0.5,0,дома!E185+0.05+дома!$C$136),0))</f>
        <v>5.5833333333333339</v>
      </c>
      <c r="F186" s="551">
        <f>IF(E186&lt;($E$133+0.5),1,0)*$D$141*IF('Ввод данных'!$A$19=связи1!$A$128,2,2)*IF('Ввод данных'!$F$237=связи1!$A$2,1,0)</f>
        <v>0</v>
      </c>
      <c r="G186" s="1055">
        <f t="shared" si="23"/>
        <v>0</v>
      </c>
      <c r="H186" s="1055"/>
      <c r="I186" s="1055"/>
      <c r="J186" s="1055"/>
      <c r="K186" s="971"/>
      <c r="L186" s="971"/>
      <c r="M186" s="971"/>
      <c r="N186" s="971"/>
      <c r="O186" s="971"/>
      <c r="P186" s="1353"/>
      <c r="Q186" s="1353"/>
      <c r="R186" s="1353"/>
      <c r="S186" s="971"/>
      <c r="T186" s="971"/>
      <c r="U186" s="1398"/>
      <c r="V186" s="971"/>
      <c r="W186" s="971"/>
      <c r="X186" s="971"/>
      <c r="Y186" s="1353"/>
      <c r="Z186" s="971"/>
      <c r="AA186" s="971"/>
      <c r="AB186" s="1355"/>
      <c r="AC186" s="1355"/>
      <c r="AD186" s="1353"/>
    </row>
    <row r="187" spans="1:30" ht="15.75" customHeight="1" outlineLevel="1">
      <c r="A187" s="1055" t="s">
        <v>3025</v>
      </c>
      <c r="B187" s="1330" t="s">
        <v>156</v>
      </c>
      <c r="C187" s="1339">
        <f t="shared" si="21"/>
        <v>0.15</v>
      </c>
      <c r="D187" s="1055">
        <f t="shared" si="22"/>
        <v>0.05</v>
      </c>
      <c r="E187" s="1055">
        <f>IF('Ввод данных'!$A$6=связи1!$A$94,IF(дома!E186+0.05-дома!$C$136&lt;0,0,дома!E186+0.05-дома!$C$136),0)+IF(E186=0,0,IF('Ввод данных'!$A$6=связи1!$A$97,IF(дома!E186+0.05+дома!$C$136&gt;дома!$E$137+0.5,0,дома!E186+0.05+дома!$C$136),0))</f>
        <v>4.7444444444444454</v>
      </c>
      <c r="F187" s="551">
        <f>IF(E187&lt;($E$133+0.5),1,0)*$D$141*IF('Ввод данных'!$A$19=связи1!$A$128,2,2)*IF('Ввод данных'!$F$237=связи1!$A$2,1,0)</f>
        <v>0</v>
      </c>
      <c r="G187" s="1055">
        <f t="shared" si="23"/>
        <v>0</v>
      </c>
      <c r="H187" s="1055"/>
      <c r="I187" s="1055"/>
      <c r="J187" s="1055"/>
      <c r="K187" s="971"/>
      <c r="L187" s="971"/>
      <c r="M187" s="971"/>
      <c r="N187" s="971"/>
      <c r="O187" s="971"/>
      <c r="P187" s="1353"/>
      <c r="Q187" s="1353"/>
      <c r="R187" s="1353"/>
      <c r="S187" s="971"/>
      <c r="T187" s="971"/>
      <c r="U187" s="1398"/>
      <c r="V187" s="971"/>
      <c r="W187" s="971"/>
      <c r="X187" s="971"/>
      <c r="Y187" s="1353"/>
      <c r="Z187" s="971"/>
      <c r="AA187" s="971"/>
      <c r="AB187" s="1355"/>
      <c r="AC187" s="1355"/>
      <c r="AD187" s="1353"/>
    </row>
    <row r="188" spans="1:30" ht="15.75" customHeight="1" outlineLevel="1">
      <c r="A188" s="1055" t="s">
        <v>3026</v>
      </c>
      <c r="B188" s="1330" t="s">
        <v>156</v>
      </c>
      <c r="C188" s="1339">
        <f t="shared" si="21"/>
        <v>0.15</v>
      </c>
      <c r="D188" s="1055">
        <f t="shared" si="22"/>
        <v>0.05</v>
      </c>
      <c r="E188" s="1055">
        <f>IF('Ввод данных'!$A$6=связи1!$A$94,IF(дома!E187+0.05-дома!$C$136&lt;0,0,дома!E187+0.05-дома!$C$136),0)+IF(E187=0,0,IF('Ввод данных'!$A$6=связи1!$A$97,IF(дома!E187+0.05+дома!$C$136&gt;дома!$E$137+0.5,0,дома!E187+0.05+дома!$C$136),0))</f>
        <v>3.9055555555555563</v>
      </c>
      <c r="F188" s="551">
        <f>IF(E188&lt;($E$133+0.5),1,0)*$D$141*IF('Ввод данных'!$A$19=связи1!$A$128,2,2)*IF('Ввод данных'!$F$237=связи1!$A$2,1,0)</f>
        <v>0</v>
      </c>
      <c r="G188" s="1055">
        <f t="shared" si="23"/>
        <v>0</v>
      </c>
      <c r="H188" s="1055"/>
      <c r="I188" s="1055"/>
      <c r="J188" s="1055"/>
      <c r="K188" s="971"/>
      <c r="L188" s="971"/>
      <c r="M188" s="971"/>
      <c r="N188" s="971"/>
      <c r="O188" s="971"/>
      <c r="P188" s="1353"/>
      <c r="Q188" s="1353"/>
      <c r="R188" s="1353"/>
      <c r="S188" s="971"/>
      <c r="T188" s="971"/>
      <c r="U188" s="1398"/>
      <c r="V188" s="971"/>
      <c r="W188" s="971"/>
      <c r="X188" s="971"/>
      <c r="Y188" s="1353"/>
      <c r="Z188" s="971"/>
      <c r="AA188" s="971"/>
      <c r="AB188" s="1355"/>
      <c r="AC188" s="1355"/>
      <c r="AD188" s="1353"/>
    </row>
    <row r="189" spans="1:30" ht="15.75" customHeight="1" outlineLevel="1">
      <c r="A189" s="1055" t="s">
        <v>3027</v>
      </c>
      <c r="B189" s="1330" t="s">
        <v>156</v>
      </c>
      <c r="C189" s="1339">
        <f t="shared" si="21"/>
        <v>0.15</v>
      </c>
      <c r="D189" s="1055">
        <f t="shared" si="22"/>
        <v>0.05</v>
      </c>
      <c r="E189" s="1055">
        <f>IF('Ввод данных'!$A$6=связи1!$A$94,IF(дома!E188+0.05-дома!$C$136&lt;0,0,дома!E188+0.05-дома!$C$136),0)+IF(E188=0,0,IF('Ввод данных'!$A$6=связи1!$A$97,IF(дома!E188+0.05+дома!$C$136&gt;дома!$E$137+0.5,0,дома!E188+0.05+дома!$C$136),0))</f>
        <v>3.0666666666666673</v>
      </c>
      <c r="F189" s="551">
        <f>IF(E189&lt;($E$133+0.5),1,0)*$D$141*IF('Ввод данных'!$A$19=связи1!$A$128,2,2)*IF('Ввод данных'!$F$237=связи1!$A$2,1,0)</f>
        <v>0</v>
      </c>
      <c r="G189" s="1055">
        <f t="shared" si="23"/>
        <v>0</v>
      </c>
      <c r="H189" s="1055"/>
      <c r="I189" s="1055"/>
      <c r="J189" s="1055"/>
      <c r="K189" s="971"/>
      <c r="L189" s="971"/>
      <c r="M189" s="971"/>
      <c r="N189" s="971"/>
      <c r="O189" s="971"/>
      <c r="P189" s="1353"/>
      <c r="Q189" s="1353"/>
      <c r="R189" s="1353"/>
      <c r="S189" s="971"/>
      <c r="T189" s="971"/>
      <c r="U189" s="1398"/>
      <c r="V189" s="971"/>
      <c r="W189" s="971"/>
      <c r="X189" s="971"/>
      <c r="Y189" s="1353"/>
      <c r="Z189" s="971"/>
      <c r="AA189" s="971"/>
      <c r="AB189" s="1355"/>
      <c r="AC189" s="1355"/>
      <c r="AD189" s="1353"/>
    </row>
    <row r="190" spans="1:30" ht="15.75" customHeight="1" outlineLevel="1">
      <c r="A190" s="1055" t="s">
        <v>3028</v>
      </c>
      <c r="B190" s="1330" t="s">
        <v>156</v>
      </c>
      <c r="C190" s="1339">
        <f t="shared" si="21"/>
        <v>0.15</v>
      </c>
      <c r="D190" s="1055">
        <f t="shared" si="22"/>
        <v>0.05</v>
      </c>
      <c r="E190" s="1055">
        <f>IF('Ввод данных'!$A$6=связи1!$A$94,IF(дома!E189+0.05-дома!$C$136&lt;0,0,дома!E189+0.05-дома!$C$136),0)+IF(E189=0,0,IF('Ввод данных'!$A$6=связи1!$A$97,IF(дома!E189+0.05+дома!$C$136&gt;дома!$E$137+0.5,0,дома!E189+0.05+дома!$C$136),0))</f>
        <v>2.2277777777777783</v>
      </c>
      <c r="F190" s="551">
        <f>IF(E190&lt;($E$133+0.5),1,0)*$D$141*IF('Ввод данных'!$A$19=связи1!$A$128,2,2)*IF('Ввод данных'!$F$237=связи1!$A$2,1,0)</f>
        <v>0</v>
      </c>
      <c r="G190" s="1055">
        <f t="shared" si="23"/>
        <v>0</v>
      </c>
      <c r="H190" s="1055"/>
      <c r="I190" s="1055"/>
      <c r="J190" s="1055"/>
      <c r="K190" s="971"/>
      <c r="L190" s="971"/>
      <c r="M190" s="971"/>
      <c r="N190" s="971"/>
      <c r="O190" s="971"/>
      <c r="P190" s="1353"/>
      <c r="Q190" s="1353"/>
      <c r="R190" s="1353"/>
      <c r="S190" s="971"/>
      <c r="T190" s="971"/>
      <c r="U190" s="1398"/>
      <c r="V190" s="971"/>
      <c r="W190" s="971"/>
      <c r="X190" s="971"/>
      <c r="Y190" s="1353"/>
      <c r="Z190" s="971"/>
      <c r="AA190" s="971"/>
      <c r="AB190" s="1355"/>
      <c r="AC190" s="1355"/>
      <c r="AD190" s="1353"/>
    </row>
    <row r="191" spans="1:30" ht="15.75" customHeight="1" outlineLevel="1">
      <c r="A191" s="1055" t="s">
        <v>3029</v>
      </c>
      <c r="B191" s="1330" t="s">
        <v>156</v>
      </c>
      <c r="C191" s="1339">
        <f t="shared" si="21"/>
        <v>0.15</v>
      </c>
      <c r="D191" s="1055">
        <f t="shared" si="22"/>
        <v>0.05</v>
      </c>
      <c r="E191" s="1055">
        <f>IF('Ввод данных'!$A$6=связи1!$A$94,IF(дома!E190+0.05-дома!$C$136&lt;0,0,дома!E190+0.05-дома!$C$136),0)+IF(E190=0,0,IF('Ввод данных'!$A$6=связи1!$A$97,IF(дома!E190+0.05+дома!$C$136&gt;дома!$E$137+0.5,0,дома!E190+0.05+дома!$C$136),0))</f>
        <v>1.3888888888888893</v>
      </c>
      <c r="F191" s="551">
        <f>IF(E191&lt;($E$133+0.5),1,0)*$D$141*IF('Ввод данных'!$A$19=связи1!$A$128,2,2)*IF('Ввод данных'!$F$237=связи1!$A$2,1,0)</f>
        <v>0</v>
      </c>
      <c r="G191" s="1055">
        <f t="shared" si="23"/>
        <v>0</v>
      </c>
      <c r="H191" s="1055"/>
      <c r="I191" s="1055"/>
      <c r="J191" s="1055"/>
      <c r="K191" s="971"/>
      <c r="L191" s="971"/>
      <c r="M191" s="971"/>
      <c r="N191" s="971"/>
      <c r="O191" s="971"/>
      <c r="P191" s="1353"/>
      <c r="Q191" s="1353"/>
      <c r="R191" s="1353"/>
      <c r="S191" s="971"/>
      <c r="T191" s="971"/>
      <c r="U191" s="1398"/>
      <c r="V191" s="971"/>
      <c r="W191" s="971"/>
      <c r="X191" s="971"/>
      <c r="Y191" s="1353"/>
      <c r="Z191" s="971"/>
      <c r="AA191" s="971"/>
      <c r="AB191" s="1355"/>
      <c r="AC191" s="1355"/>
      <c r="AD191" s="1353"/>
    </row>
    <row r="192" spans="1:30" ht="15.75" customHeight="1" outlineLevel="1">
      <c r="A192" s="1055" t="s">
        <v>3030</v>
      </c>
      <c r="B192" s="1330" t="s">
        <v>156</v>
      </c>
      <c r="C192" s="1339">
        <f t="shared" si="21"/>
        <v>0.15</v>
      </c>
      <c r="D192" s="1055">
        <f t="shared" si="22"/>
        <v>0.05</v>
      </c>
      <c r="E192" s="1055">
        <f>IF('Ввод данных'!$A$6=связи1!$A$94,IF(дома!E191+0.05-дома!$C$136&lt;0,0,дома!E191+0.05-дома!$C$136),0)+IF(E191=0,0,IF('Ввод данных'!$A$6=связи1!$A$97,IF(дома!E191+0.05+дома!$C$136&gt;дома!$E$137+0.5,0,дома!E191+0.05+дома!$C$136),0))</f>
        <v>0.55000000000000049</v>
      </c>
      <c r="F192" s="551">
        <f>IF(E192&lt;($E$133+0.5),1,0)*$D$141*IF('Ввод данных'!$A$19=связи1!$A$128,2,2)*IF('Ввод данных'!$F$237=связи1!$A$2,1,0)</f>
        <v>0</v>
      </c>
      <c r="G192" s="1055">
        <f t="shared" si="23"/>
        <v>0</v>
      </c>
      <c r="H192" s="1055"/>
      <c r="I192" s="1055"/>
      <c r="J192" s="1055"/>
      <c r="K192" s="971"/>
      <c r="L192" s="971"/>
      <c r="M192" s="971"/>
      <c r="N192" s="971"/>
      <c r="O192" s="971"/>
      <c r="P192" s="1353"/>
      <c r="Q192" s="1353"/>
      <c r="R192" s="1353"/>
      <c r="S192" s="971"/>
      <c r="T192" s="971"/>
      <c r="U192" s="1398"/>
      <c r="V192" s="971"/>
      <c r="W192" s="971"/>
      <c r="X192" s="971"/>
      <c r="Y192" s="1353"/>
      <c r="Z192" s="971"/>
      <c r="AA192" s="971"/>
      <c r="AB192" s="1355"/>
      <c r="AC192" s="1355"/>
      <c r="AD192" s="1353"/>
    </row>
    <row r="193" spans="1:30" ht="15.75" customHeight="1" outlineLevel="1">
      <c r="A193" s="1055" t="s">
        <v>3031</v>
      </c>
      <c r="B193" s="1330" t="s">
        <v>156</v>
      </c>
      <c r="C193" s="1339">
        <f t="shared" si="21"/>
        <v>0.15</v>
      </c>
      <c r="D193" s="1055">
        <f t="shared" si="22"/>
        <v>0.05</v>
      </c>
      <c r="E193" s="1055">
        <f>IF('Ввод данных'!$A$6=связи1!$A$94,IF(дома!E192+0.05-дома!$C$136&lt;0,0,дома!E192+0.05-дома!$C$136),0)+IF(E192=0,0,IF('Ввод данных'!$A$6=связи1!$A$97,IF(дома!E192+0.05+дома!$C$136&gt;дома!$E$137+0.5,0,дома!E192+0.05+дома!$C$136),0))</f>
        <v>0</v>
      </c>
      <c r="F193" s="551">
        <f>IF(E193&lt;($E$133+0.5),1,0)*$D$141*IF('Ввод данных'!$A$19=связи1!$A$128,2,2)*IF('Ввод данных'!$F$237=связи1!$A$2,1,0)</f>
        <v>0</v>
      </c>
      <c r="G193" s="1055">
        <f t="shared" si="23"/>
        <v>0</v>
      </c>
      <c r="H193" s="1055"/>
      <c r="I193" s="1055"/>
      <c r="J193" s="1055"/>
      <c r="K193" s="971"/>
      <c r="L193" s="971"/>
      <c r="M193" s="971"/>
      <c r="N193" s="971"/>
      <c r="O193" s="971"/>
      <c r="P193" s="1353"/>
      <c r="Q193" s="1353"/>
      <c r="R193" s="1353"/>
      <c r="S193" s="971"/>
      <c r="T193" s="971"/>
      <c r="U193" s="1398"/>
      <c r="V193" s="971"/>
      <c r="W193" s="971"/>
      <c r="X193" s="971"/>
      <c r="Y193" s="1353"/>
      <c r="Z193" s="971"/>
      <c r="AA193" s="971"/>
      <c r="AB193" s="1355"/>
      <c r="AC193" s="1355"/>
      <c r="AD193" s="1353"/>
    </row>
    <row r="194" spans="1:30" ht="15.75" customHeight="1" outlineLevel="1">
      <c r="A194" s="1055" t="s">
        <v>3032</v>
      </c>
      <c r="B194" s="1330" t="s">
        <v>156</v>
      </c>
      <c r="C194" s="1339">
        <f t="shared" si="21"/>
        <v>0.15</v>
      </c>
      <c r="D194" s="1055">
        <f t="shared" si="22"/>
        <v>0.05</v>
      </c>
      <c r="E194" s="1055">
        <f>IF('Ввод данных'!$A$6=связи1!$A$94,IF(дома!E193+0.05-дома!$C$136&lt;0,0,дома!E193+0.05-дома!$C$136),0)+IF(E193=0,0,IF('Ввод данных'!$A$6=связи1!$A$97,IF(дома!E193+0.05+дома!$C$136&gt;дома!$E$137+0.5,0,дома!E193+0.05+дома!$C$136),0))</f>
        <v>0</v>
      </c>
      <c r="F194" s="551">
        <f>IF(E194&lt;($E$133+0.5),1,0)*$D$141*IF('Ввод данных'!$A$19=связи1!$A$128,2,2)*IF('Ввод данных'!$F$237=связи1!$A$2,1,0)</f>
        <v>0</v>
      </c>
      <c r="G194" s="1055">
        <f t="shared" si="23"/>
        <v>0</v>
      </c>
      <c r="H194" s="1055"/>
      <c r="I194" s="1055"/>
      <c r="J194" s="1055"/>
      <c r="K194" s="971"/>
      <c r="L194" s="971"/>
      <c r="M194" s="971"/>
      <c r="N194" s="971"/>
      <c r="O194" s="971"/>
      <c r="P194" s="1353"/>
      <c r="Q194" s="1353"/>
      <c r="R194" s="1353"/>
      <c r="S194" s="971"/>
      <c r="T194" s="971"/>
      <c r="U194" s="1398"/>
      <c r="V194" s="971"/>
      <c r="W194" s="971"/>
      <c r="X194" s="971"/>
      <c r="Y194" s="1353"/>
      <c r="Z194" s="971"/>
      <c r="AA194" s="971"/>
      <c r="AB194" s="1355"/>
      <c r="AC194" s="1355"/>
      <c r="AD194" s="1353"/>
    </row>
    <row r="195" spans="1:30" ht="15.75" customHeight="1" outlineLevel="1">
      <c r="A195" s="1055" t="s">
        <v>3033</v>
      </c>
      <c r="B195" s="1330" t="s">
        <v>156</v>
      </c>
      <c r="C195" s="1339">
        <f t="shared" si="21"/>
        <v>0.15</v>
      </c>
      <c r="D195" s="1055">
        <f t="shared" si="22"/>
        <v>0.05</v>
      </c>
      <c r="E195" s="1055">
        <f>IF('Ввод данных'!$A$6=связи1!$A$94,IF(дома!E194+0.05-дома!$C$136&lt;0,0,дома!E194+0.05-дома!$C$136),0)+IF(E194=0,0,IF('Ввод данных'!$A$6=связи1!$A$97,IF(дома!E194+0.05+дома!$C$136&gt;дома!$E$137+0.5,0,дома!E194+0.05+дома!$C$136),0))</f>
        <v>0</v>
      </c>
      <c r="F195" s="551">
        <f>IF(E195&lt;($E$133+0.5),1,0)*$D$141*IF('Ввод данных'!$A$19=связи1!$A$128,2,2)*IF('Ввод данных'!$F$237=связи1!$A$2,1,0)</f>
        <v>0</v>
      </c>
      <c r="G195" s="1055">
        <f t="shared" si="23"/>
        <v>0</v>
      </c>
      <c r="H195" s="1055"/>
      <c r="I195" s="1055"/>
      <c r="J195" s="1055"/>
      <c r="K195" s="971"/>
      <c r="L195" s="971"/>
      <c r="M195" s="971"/>
      <c r="N195" s="971"/>
      <c r="O195" s="971"/>
      <c r="P195" s="1353"/>
      <c r="Q195" s="1353"/>
      <c r="R195" s="1353"/>
      <c r="S195" s="971"/>
      <c r="T195" s="971"/>
      <c r="U195" s="1398"/>
      <c r="V195" s="971"/>
      <c r="W195" s="971"/>
      <c r="X195" s="971"/>
      <c r="Y195" s="1353"/>
      <c r="Z195" s="971"/>
      <c r="AA195" s="971"/>
      <c r="AB195" s="1355"/>
      <c r="AC195" s="1355"/>
      <c r="AD195" s="1353"/>
    </row>
    <row r="196" spans="1:30" ht="15.75" customHeight="1" outlineLevel="1">
      <c r="A196" s="1055" t="s">
        <v>3034</v>
      </c>
      <c r="B196" s="1330" t="s">
        <v>156</v>
      </c>
      <c r="C196" s="1339">
        <f t="shared" si="21"/>
        <v>0.15</v>
      </c>
      <c r="D196" s="1055">
        <f t="shared" si="22"/>
        <v>0.05</v>
      </c>
      <c r="E196" s="1055">
        <f>IF('Ввод данных'!$A$6=связи1!$A$94,IF(дома!E195+0.05-дома!$C$136&lt;0,0,дома!E195+0.05-дома!$C$136),0)+IF(E195=0,0,IF('Ввод данных'!$A$6=связи1!$A$97,IF(дома!E195+0.05+дома!$C$136&gt;дома!$E$137+0.5,0,дома!E195+0.05+дома!$C$136),0))</f>
        <v>0</v>
      </c>
      <c r="F196" s="551">
        <f>IF(E196&lt;($E$133+0.5),1,0)*$D$141*IF('Ввод данных'!$A$19=связи1!$A$128,2,2)*IF('Ввод данных'!$F$237=связи1!$A$2,1,0)</f>
        <v>0</v>
      </c>
      <c r="G196" s="1055">
        <f t="shared" si="23"/>
        <v>0</v>
      </c>
      <c r="H196" s="1055"/>
      <c r="I196" s="1055"/>
      <c r="J196" s="1055"/>
      <c r="K196" s="971"/>
      <c r="L196" s="971"/>
      <c r="M196" s="971"/>
      <c r="N196" s="971"/>
      <c r="O196" s="971"/>
      <c r="P196" s="1353"/>
      <c r="Q196" s="1353"/>
      <c r="R196" s="1353"/>
      <c r="S196" s="971"/>
      <c r="T196" s="971"/>
      <c r="U196" s="1398"/>
      <c r="V196" s="971"/>
      <c r="W196" s="971"/>
      <c r="X196" s="971"/>
      <c r="Y196" s="1353"/>
      <c r="Z196" s="971"/>
      <c r="AA196" s="971"/>
      <c r="AB196" s="1355"/>
      <c r="AC196" s="1355"/>
      <c r="AD196" s="1353"/>
    </row>
    <row r="197" spans="1:30" ht="15.75" customHeight="1" outlineLevel="1">
      <c r="A197" s="1055" t="s">
        <v>3035</v>
      </c>
      <c r="B197" s="1330" t="s">
        <v>156</v>
      </c>
      <c r="C197" s="1339">
        <f t="shared" si="21"/>
        <v>0.15</v>
      </c>
      <c r="D197" s="1055">
        <f t="shared" si="22"/>
        <v>0.05</v>
      </c>
      <c r="E197" s="1055">
        <f>IF('Ввод данных'!$A$6=связи1!$A$94,IF(дома!E196+0.05-дома!$C$136&lt;0,0,дома!E196+0.05-дома!$C$136),0)+IF(E196=0,0,IF('Ввод данных'!$A$6=связи1!$A$97,IF(дома!E196+0.05+дома!$C$136&gt;дома!$E$137+0.5,0,дома!E196+0.05+дома!$C$136),0))</f>
        <v>0</v>
      </c>
      <c r="F197" s="551">
        <f>IF(E197&lt;($E$133+0.5),1,0)*$D$141*IF('Ввод данных'!$A$19=связи1!$A$128,2,2)*IF('Ввод данных'!$F$237=связи1!$A$2,1,0)</f>
        <v>0</v>
      </c>
      <c r="G197" s="1055">
        <f t="shared" si="23"/>
        <v>0</v>
      </c>
      <c r="H197" s="1055"/>
      <c r="I197" s="1055"/>
      <c r="J197" s="1055"/>
      <c r="K197" s="971"/>
      <c r="L197" s="971"/>
      <c r="M197" s="971"/>
      <c r="N197" s="971"/>
      <c r="O197" s="971"/>
      <c r="P197" s="1353"/>
      <c r="Q197" s="1353"/>
      <c r="R197" s="1353"/>
      <c r="S197" s="971"/>
      <c r="T197" s="971"/>
      <c r="U197" s="1398"/>
      <c r="V197" s="971"/>
      <c r="W197" s="971"/>
      <c r="X197" s="971"/>
      <c r="Y197" s="1353"/>
      <c r="Z197" s="971"/>
      <c r="AA197" s="971"/>
      <c r="AB197" s="1355"/>
      <c r="AC197" s="1355"/>
      <c r="AD197" s="1353"/>
    </row>
    <row r="198" spans="1:30" ht="15.75" customHeight="1" outlineLevel="1">
      <c r="A198" s="1055" t="s">
        <v>3036</v>
      </c>
      <c r="B198" s="1330" t="s">
        <v>156</v>
      </c>
      <c r="C198" s="1339">
        <f t="shared" si="21"/>
        <v>0.15</v>
      </c>
      <c r="D198" s="1055">
        <f t="shared" si="22"/>
        <v>0.05</v>
      </c>
      <c r="E198" s="1055">
        <f>IF('Ввод данных'!$A$6=связи1!$A$94,IF(дома!E197+0.05-дома!$C$136&lt;0,0,дома!E197+0.05-дома!$C$136),0)+IF(E197=0,0,IF('Ввод данных'!$A$6=связи1!$A$97,IF(дома!E197+0.05+дома!$C$136&gt;дома!$E$137+0.5,0,дома!E197+0.05+дома!$C$136),0))</f>
        <v>0</v>
      </c>
      <c r="F198" s="551">
        <f>IF(E198&lt;($E$133+0.5),1,0)*$D$141*IF('Ввод данных'!$A$19=связи1!$A$128,2,2)*IF('Ввод данных'!$F$237=связи1!$A$2,1,0)</f>
        <v>0</v>
      </c>
      <c r="G198" s="1055">
        <f t="shared" si="23"/>
        <v>0</v>
      </c>
      <c r="H198" s="1055"/>
      <c r="I198" s="1055"/>
      <c r="J198" s="1055"/>
      <c r="K198" s="971"/>
      <c r="L198" s="971"/>
      <c r="M198" s="971"/>
      <c r="N198" s="971"/>
      <c r="O198" s="971"/>
      <c r="P198" s="1353"/>
      <c r="Q198" s="1353"/>
      <c r="R198" s="1353"/>
      <c r="S198" s="971"/>
      <c r="T198" s="971"/>
      <c r="U198" s="1398"/>
      <c r="V198" s="971"/>
      <c r="W198" s="971"/>
      <c r="X198" s="971"/>
      <c r="Y198" s="1353"/>
      <c r="Z198" s="971"/>
      <c r="AA198" s="971"/>
      <c r="AB198" s="1355"/>
      <c r="AC198" s="1355"/>
      <c r="AD198" s="1353"/>
    </row>
    <row r="199" spans="1:30" ht="15.75" customHeight="1" outlineLevel="1">
      <c r="A199" s="1055" t="s">
        <v>3037</v>
      </c>
      <c r="B199" s="1330" t="s">
        <v>156</v>
      </c>
      <c r="C199" s="1339">
        <f t="shared" si="21"/>
        <v>0.15</v>
      </c>
      <c r="D199" s="1055">
        <f t="shared" si="22"/>
        <v>0.05</v>
      </c>
      <c r="E199" s="1055">
        <f>IF('Ввод данных'!$A$6=связи1!$A$94,IF(дома!E198+0.05-дома!$C$136&lt;0,0,дома!E198+0.05-дома!$C$136),0)+IF(E198=0,0,IF('Ввод данных'!$A$6=связи1!$A$97,IF(дома!E198+0.05+дома!$C$136&gt;дома!$E$137+0.5,0,дома!E198+0.05+дома!$C$136),0))</f>
        <v>0</v>
      </c>
      <c r="F199" s="551">
        <f>IF(E199&lt;($E$133+0.5),1,0)*$D$141*IF('Ввод данных'!$A$19=связи1!$A$128,2,2)*IF('Ввод данных'!$F$237=связи1!$A$2,1,0)</f>
        <v>0</v>
      </c>
      <c r="G199" s="1055">
        <f t="shared" si="23"/>
        <v>0</v>
      </c>
      <c r="H199" s="1055"/>
      <c r="I199" s="1055"/>
      <c r="J199" s="1055"/>
      <c r="K199" s="971"/>
      <c r="L199" s="971"/>
      <c r="M199" s="971"/>
      <c r="N199" s="971"/>
      <c r="O199" s="971"/>
      <c r="P199" s="1353"/>
      <c r="Q199" s="1353"/>
      <c r="R199" s="1353"/>
      <c r="S199" s="971"/>
      <c r="T199" s="971"/>
      <c r="U199" s="1398"/>
      <c r="V199" s="971"/>
      <c r="W199" s="971"/>
      <c r="X199" s="971"/>
      <c r="Y199" s="1353"/>
      <c r="Z199" s="971"/>
      <c r="AA199" s="971"/>
      <c r="AB199" s="1355"/>
      <c r="AC199" s="1355"/>
      <c r="AD199" s="1353"/>
    </row>
    <row r="200" spans="1:30" ht="15.75" customHeight="1" outlineLevel="1">
      <c r="A200" s="1055" t="s">
        <v>3038</v>
      </c>
      <c r="B200" s="1330" t="s">
        <v>156</v>
      </c>
      <c r="C200" s="1339">
        <f t="shared" si="21"/>
        <v>0.15</v>
      </c>
      <c r="D200" s="1055">
        <f t="shared" si="22"/>
        <v>0.05</v>
      </c>
      <c r="E200" s="1055">
        <f>IF('Ввод данных'!$A$6=связи1!$A$94,IF(дома!E199+0.05-дома!$C$136&lt;0,0,дома!E199+0.05-дома!$C$136),0)+IF(E199=0,0,IF('Ввод данных'!$A$6=связи1!$A$97,IF(дома!E199+0.05+дома!$C$136&gt;дома!$E$137+0.5,0,дома!E199+0.05+дома!$C$136),0))</f>
        <v>0</v>
      </c>
      <c r="F200" s="551">
        <f>IF(E200&lt;($E$133+0.5),1,0)*$D$141*IF('Ввод данных'!$A$19=связи1!$A$128,2,2)*IF('Ввод данных'!$F$237=связи1!$A$2,1,0)</f>
        <v>0</v>
      </c>
      <c r="G200" s="1055">
        <f t="shared" si="23"/>
        <v>0</v>
      </c>
      <c r="H200" s="1055"/>
      <c r="I200" s="1055"/>
      <c r="J200" s="1055"/>
      <c r="K200" s="971"/>
      <c r="L200" s="971"/>
      <c r="M200" s="971"/>
      <c r="N200" s="971"/>
      <c r="O200" s="971"/>
      <c r="P200" s="1353"/>
      <c r="Q200" s="1353"/>
      <c r="R200" s="1353"/>
      <c r="S200" s="971"/>
      <c r="T200" s="971"/>
      <c r="U200" s="1398"/>
      <c r="V200" s="971"/>
      <c r="W200" s="971"/>
      <c r="X200" s="971"/>
      <c r="Y200" s="1353"/>
      <c r="Z200" s="971"/>
      <c r="AA200" s="971"/>
      <c r="AB200" s="1355"/>
      <c r="AC200" s="1355"/>
      <c r="AD200" s="1353"/>
    </row>
    <row r="201" spans="1:30" ht="15.75" customHeight="1" outlineLevel="1">
      <c r="A201" s="1055" t="s">
        <v>3039</v>
      </c>
      <c r="B201" s="1330" t="s">
        <v>156</v>
      </c>
      <c r="C201" s="1339">
        <f t="shared" si="21"/>
        <v>0.15</v>
      </c>
      <c r="D201" s="1055">
        <f t="shared" si="22"/>
        <v>0.05</v>
      </c>
      <c r="E201" s="1055">
        <f>IF('Ввод данных'!$A$6=связи1!$A$94,IF(дома!E200+0.05-дома!$C$136&lt;0,0,дома!E200+0.05-дома!$C$136),0)+IF(E200=0,0,IF('Ввод данных'!$A$6=связи1!$A$97,IF(дома!E200+0.05+дома!$C$136&gt;дома!$E$137+0.5,0,дома!E200+0.05+дома!$C$136),0))</f>
        <v>0</v>
      </c>
      <c r="F201" s="551">
        <f>IF(E201&lt;($E$133+0.5),1,0)*$D$141*IF('Ввод данных'!$A$19=связи1!$A$128,2,2)*IF('Ввод данных'!$F$237=связи1!$A$2,1,0)</f>
        <v>0</v>
      </c>
      <c r="G201" s="1055">
        <f t="shared" si="23"/>
        <v>0</v>
      </c>
      <c r="H201" s="1055"/>
      <c r="I201" s="1055"/>
      <c r="J201" s="1055"/>
      <c r="K201" s="971"/>
      <c r="L201" s="971"/>
      <c r="M201" s="971"/>
      <c r="N201" s="971"/>
      <c r="O201" s="971"/>
      <c r="P201" s="1353"/>
      <c r="Q201" s="1353"/>
      <c r="R201" s="1353"/>
      <c r="S201" s="971"/>
      <c r="T201" s="971"/>
      <c r="U201" s="1398"/>
      <c r="V201" s="971"/>
      <c r="W201" s="971"/>
      <c r="X201" s="971"/>
      <c r="Y201" s="1353"/>
      <c r="Z201" s="971"/>
      <c r="AA201" s="971"/>
      <c r="AB201" s="1355"/>
      <c r="AC201" s="1355"/>
      <c r="AD201" s="1353"/>
    </row>
    <row r="202" spans="1:30" ht="15.75" customHeight="1" outlineLevel="1">
      <c r="A202" s="1055" t="s">
        <v>3040</v>
      </c>
      <c r="B202" s="1330" t="s">
        <v>156</v>
      </c>
      <c r="C202" s="1339">
        <f t="shared" si="21"/>
        <v>0.15</v>
      </c>
      <c r="D202" s="1055">
        <f t="shared" si="22"/>
        <v>0.05</v>
      </c>
      <c r="E202" s="1055">
        <f>IF('Ввод данных'!$A$6=связи1!$A$94,IF(дома!E201+0.05-дома!$C$136&lt;0,0,дома!E201+0.05-дома!$C$136),0)+IF(E201=0,0,IF('Ввод данных'!$A$6=связи1!$A$97,IF(дома!E201+0.05+дома!$C$136&gt;дома!$E$137+0.5,0,дома!E201+0.05+дома!$C$136),0))</f>
        <v>0</v>
      </c>
      <c r="F202" s="551">
        <f>IF(E202&lt;($E$133+0.5),1,0)*$D$141*IF('Ввод данных'!$A$19=связи1!$A$128,2,2)*IF('Ввод данных'!$F$237=связи1!$A$2,1,0)</f>
        <v>0</v>
      </c>
      <c r="G202" s="1055">
        <f t="shared" si="23"/>
        <v>0</v>
      </c>
      <c r="H202" s="1055"/>
      <c r="I202" s="1055"/>
      <c r="J202" s="1055"/>
      <c r="K202" s="971"/>
      <c r="L202" s="971"/>
      <c r="M202" s="971"/>
      <c r="N202" s="971"/>
      <c r="O202" s="971"/>
      <c r="P202" s="1353"/>
      <c r="Q202" s="1353"/>
      <c r="R202" s="1353"/>
      <c r="S202" s="971"/>
      <c r="T202" s="971"/>
      <c r="U202" s="1398"/>
      <c r="V202" s="971"/>
      <c r="W202" s="971"/>
      <c r="X202" s="971"/>
      <c r="Y202" s="1353"/>
      <c r="Z202" s="971"/>
      <c r="AA202" s="971"/>
      <c r="AB202" s="1355"/>
      <c r="AC202" s="1355"/>
      <c r="AD202" s="1353"/>
    </row>
    <row r="203" spans="1:30" ht="15.75" customHeight="1" outlineLevel="1">
      <c r="A203" s="1055" t="s">
        <v>3041</v>
      </c>
      <c r="B203" s="1330" t="s">
        <v>156</v>
      </c>
      <c r="C203" s="1339">
        <f t="shared" si="21"/>
        <v>0.15</v>
      </c>
      <c r="D203" s="1055">
        <f t="shared" si="22"/>
        <v>0.05</v>
      </c>
      <c r="E203" s="1055">
        <f>IF('Ввод данных'!$A$6=связи1!$A$94,IF(дома!E202+0.05-дома!$C$136&lt;0,0,дома!E202+0.05-дома!$C$136),0)+IF(E202=0,0,IF('Ввод данных'!$A$6=связи1!$A$97,IF(дома!E202+0.05+дома!$C$136&gt;дома!$E$137+0.5,0,дома!E202+0.05+дома!$C$136),0))</f>
        <v>0</v>
      </c>
      <c r="F203" s="551">
        <f>IF(E203&lt;($E$133+0.5),1,0)*$D$141*IF('Ввод данных'!$A$19=связи1!$A$128,2,2)*IF('Ввод данных'!$F$237=связи1!$A$2,1,0)</f>
        <v>0</v>
      </c>
      <c r="G203" s="1055">
        <f t="shared" si="23"/>
        <v>0</v>
      </c>
      <c r="H203" s="1055"/>
      <c r="I203" s="1055"/>
      <c r="J203" s="1055"/>
      <c r="K203" s="971"/>
      <c r="L203" s="971"/>
      <c r="M203" s="971"/>
      <c r="N203" s="971"/>
      <c r="O203" s="971"/>
      <c r="P203" s="1353"/>
      <c r="Q203" s="1353"/>
      <c r="R203" s="1353"/>
      <c r="S203" s="971"/>
      <c r="T203" s="971"/>
      <c r="U203" s="1398"/>
      <c r="V203" s="971"/>
      <c r="W203" s="971"/>
      <c r="X203" s="971"/>
      <c r="Y203" s="1353"/>
      <c r="Z203" s="971"/>
      <c r="AA203" s="971"/>
      <c r="AB203" s="1355"/>
      <c r="AC203" s="1355"/>
      <c r="AD203" s="1353"/>
    </row>
    <row r="204" spans="1:30" ht="15.75" customHeight="1" outlineLevel="1">
      <c r="A204" s="1055" t="s">
        <v>3042</v>
      </c>
      <c r="B204" s="1330" t="s">
        <v>156</v>
      </c>
      <c r="C204" s="1339">
        <f t="shared" si="21"/>
        <v>0.15</v>
      </c>
      <c r="D204" s="1055">
        <f t="shared" si="22"/>
        <v>0.05</v>
      </c>
      <c r="E204" s="1055">
        <f>IF('Ввод данных'!$A$6=связи1!$A$94,IF(дома!E203+0.05-дома!$C$136&lt;0,0,дома!E203+0.05-дома!$C$136),0)+IF(E203=0,0,IF('Ввод данных'!$A$6=связи1!$A$97,IF(дома!E203+0.05+дома!$C$136&gt;дома!$E$137+0.5,0,дома!E203+0.05+дома!$C$136),0))</f>
        <v>0</v>
      </c>
      <c r="F204" s="551">
        <f>IF(E204&lt;($E$133+0.5),1,0)*$D$141*IF('Ввод данных'!$A$19=связи1!$A$128,2,2)*IF('Ввод данных'!$F$237=связи1!$A$2,1,0)</f>
        <v>0</v>
      </c>
      <c r="G204" s="1055">
        <f t="shared" si="23"/>
        <v>0</v>
      </c>
      <c r="H204" s="1055"/>
      <c r="I204" s="1055"/>
      <c r="J204" s="1055"/>
      <c r="K204" s="971"/>
      <c r="L204" s="971"/>
      <c r="M204" s="971"/>
      <c r="N204" s="971"/>
      <c r="O204" s="971"/>
      <c r="P204" s="1353"/>
      <c r="Q204" s="1353"/>
      <c r="R204" s="1353"/>
      <c r="S204" s="971"/>
      <c r="T204" s="971"/>
      <c r="U204" s="1398"/>
      <c r="V204" s="971"/>
      <c r="W204" s="971"/>
      <c r="X204" s="971"/>
      <c r="Y204" s="1353"/>
      <c r="Z204" s="971"/>
      <c r="AA204" s="971"/>
      <c r="AB204" s="1355"/>
      <c r="AC204" s="1355"/>
      <c r="AD204" s="1353"/>
    </row>
    <row r="205" spans="1:30" ht="15.75" customHeight="1" outlineLevel="1">
      <c r="A205" s="1055" t="s">
        <v>3043</v>
      </c>
      <c r="B205" s="1330" t="s">
        <v>156</v>
      </c>
      <c r="C205" s="1339">
        <f t="shared" si="21"/>
        <v>0.15</v>
      </c>
      <c r="D205" s="1055">
        <f t="shared" si="22"/>
        <v>0.05</v>
      </c>
      <c r="E205" s="1055">
        <f>IF('Ввод данных'!$A$6=связи1!$A$94,IF(дома!E204+0.05-дома!$C$136&lt;0,0,дома!E204+0.05-дома!$C$136),0)+IF(E204=0,0,IF('Ввод данных'!$A$6=связи1!$A$97,IF(дома!E204+0.05+дома!$C$136&gt;дома!$E$137+0.5,0,дома!E204+0.05+дома!$C$136),0))</f>
        <v>0</v>
      </c>
      <c r="F205" s="551">
        <f>IF(E205&lt;($E$133+0.5),1,0)*$D$141*IF('Ввод данных'!$A$19=связи1!$A$128,2,2)*IF('Ввод данных'!$F$237=связи1!$A$2,1,0)</f>
        <v>0</v>
      </c>
      <c r="G205" s="1055">
        <f t="shared" si="23"/>
        <v>0</v>
      </c>
      <c r="H205" s="1055"/>
      <c r="I205" s="1055"/>
      <c r="J205" s="1055"/>
      <c r="K205" s="971"/>
      <c r="L205" s="971"/>
      <c r="M205" s="971"/>
      <c r="N205" s="971"/>
      <c r="O205" s="971"/>
      <c r="P205" s="1353"/>
      <c r="Q205" s="1353"/>
      <c r="R205" s="1353"/>
      <c r="S205" s="971"/>
      <c r="T205" s="971"/>
      <c r="U205" s="1398"/>
      <c r="V205" s="971"/>
      <c r="W205" s="971"/>
      <c r="X205" s="971"/>
      <c r="Y205" s="1353"/>
      <c r="Z205" s="971"/>
      <c r="AA205" s="971"/>
      <c r="AB205" s="1355"/>
      <c r="AC205" s="1355"/>
      <c r="AD205" s="1353"/>
    </row>
    <row r="206" spans="1:30" ht="15.75" customHeight="1" outlineLevel="1">
      <c r="A206" s="1055" t="s">
        <v>3044</v>
      </c>
      <c r="B206" s="1330" t="s">
        <v>156</v>
      </c>
      <c r="C206" s="1339">
        <f t="shared" si="21"/>
        <v>0.15</v>
      </c>
      <c r="D206" s="1055">
        <f t="shared" si="22"/>
        <v>0.05</v>
      </c>
      <c r="E206" s="1055">
        <f>IF('Ввод данных'!$A$6=связи1!$A$94,IF(дома!E205+0.05-дома!$C$136&lt;0,0,дома!E205+0.05-дома!$C$136),0)+IF(E205=0,0,IF('Ввод данных'!$A$6=связи1!$A$97,IF(дома!E205+0.05+дома!$C$136&gt;дома!$E$137+0.5,0,дома!E205+0.05+дома!$C$136),0))</f>
        <v>0</v>
      </c>
      <c r="F206" s="551">
        <f>IF(E206&lt;($E$133+0.5),1,0)*$D$141*IF('Ввод данных'!$A$19=связи1!$A$128,2,2)*IF('Ввод данных'!$F$237=связи1!$A$2,1,0)</f>
        <v>0</v>
      </c>
      <c r="G206" s="1055">
        <f t="shared" si="23"/>
        <v>0</v>
      </c>
      <c r="H206" s="1055"/>
      <c r="I206" s="1055"/>
      <c r="J206" s="1055"/>
      <c r="K206" s="971"/>
      <c r="L206" s="971"/>
      <c r="M206" s="971"/>
      <c r="N206" s="971"/>
      <c r="O206" s="971"/>
      <c r="P206" s="1353"/>
      <c r="Q206" s="1353"/>
      <c r="R206" s="1353"/>
      <c r="S206" s="971"/>
      <c r="T206" s="971"/>
      <c r="U206" s="1398"/>
      <c r="V206" s="971"/>
      <c r="W206" s="971"/>
      <c r="X206" s="971"/>
      <c r="Y206" s="1353"/>
      <c r="Z206" s="971"/>
      <c r="AA206" s="971"/>
      <c r="AB206" s="1355"/>
      <c r="AC206" s="1355"/>
      <c r="AD206" s="1353"/>
    </row>
    <row r="207" spans="1:30" ht="15.75" customHeight="1" outlineLevel="1">
      <c r="A207" s="1055" t="s">
        <v>3045</v>
      </c>
      <c r="B207" s="1330" t="s">
        <v>156</v>
      </c>
      <c r="C207" s="1339">
        <f t="shared" si="21"/>
        <v>0.15</v>
      </c>
      <c r="D207" s="1055">
        <f t="shared" si="22"/>
        <v>0.05</v>
      </c>
      <c r="E207" s="1055">
        <f>IF('Ввод данных'!$A$6=связи1!$A$94,IF(дома!E206+0.05-дома!$C$136&lt;0,0,дома!E206+0.05-дома!$C$136),0)+IF(E206=0,0,IF('Ввод данных'!$A$6=связи1!$A$97,IF(дома!E206+0.05+дома!$C$136&gt;дома!$E$137+0.5,0,дома!E206+0.05+дома!$C$136),0))</f>
        <v>0</v>
      </c>
      <c r="F207" s="551">
        <f>IF(E207&lt;($E$133+0.5),1,0)*$D$141*IF('Ввод данных'!$A$19=связи1!$A$128,2,2)*IF('Ввод данных'!$F$237=связи1!$A$2,1,0)</f>
        <v>0</v>
      </c>
      <c r="G207" s="1055">
        <f t="shared" si="23"/>
        <v>0</v>
      </c>
      <c r="H207" s="1055"/>
      <c r="I207" s="1055"/>
      <c r="J207" s="1055"/>
      <c r="K207" s="971"/>
      <c r="L207" s="971"/>
      <c r="M207" s="971"/>
      <c r="N207" s="971"/>
      <c r="O207" s="971"/>
      <c r="P207" s="1353"/>
      <c r="Q207" s="1353"/>
      <c r="R207" s="1353"/>
      <c r="S207" s="971"/>
      <c r="T207" s="971"/>
      <c r="U207" s="1398"/>
      <c r="V207" s="971"/>
      <c r="W207" s="971"/>
      <c r="X207" s="971"/>
      <c r="Y207" s="1353"/>
      <c r="Z207" s="971"/>
      <c r="AA207" s="971"/>
      <c r="AB207" s="1355"/>
      <c r="AC207" s="1355"/>
      <c r="AD207" s="1353"/>
    </row>
    <row r="208" spans="1:30" ht="15.75" customHeight="1" outlineLevel="1">
      <c r="A208" s="1055" t="s">
        <v>3046</v>
      </c>
      <c r="B208" s="1330" t="s">
        <v>156</v>
      </c>
      <c r="C208" s="1339">
        <f t="shared" si="21"/>
        <v>0.15</v>
      </c>
      <c r="D208" s="1055">
        <f t="shared" si="22"/>
        <v>0.05</v>
      </c>
      <c r="E208" s="1055">
        <f>IF('Ввод данных'!$A$6=связи1!$A$94,IF(дома!E207+0.05-дома!$C$136&lt;0,0,дома!E207+0.05-дома!$C$136),0)+IF(E207=0,0,IF('Ввод данных'!$A$6=связи1!$A$97,IF(дома!E207+0.05+дома!$C$136&gt;дома!$E$137+0.5,0,дома!E207+0.05+дома!$C$136),0))</f>
        <v>0</v>
      </c>
      <c r="F208" s="551">
        <f>IF(E208&lt;($E$133+0.5),1,0)*$D$141*IF('Ввод данных'!$A$19=связи1!$A$128,2,2)*IF('Ввод данных'!$F$237=связи1!$A$2,1,0)</f>
        <v>0</v>
      </c>
      <c r="G208" s="1055">
        <f t="shared" si="23"/>
        <v>0</v>
      </c>
      <c r="H208" s="1055"/>
      <c r="I208" s="1055"/>
      <c r="J208" s="1055"/>
      <c r="K208" s="971"/>
      <c r="L208" s="971"/>
      <c r="M208" s="971"/>
      <c r="N208" s="971"/>
      <c r="O208" s="971"/>
      <c r="P208" s="1353"/>
      <c r="Q208" s="1353"/>
      <c r="R208" s="1353"/>
      <c r="S208" s="971"/>
      <c r="T208" s="971"/>
      <c r="U208" s="1398"/>
      <c r="V208" s="971"/>
      <c r="W208" s="971"/>
      <c r="X208" s="971"/>
      <c r="Y208" s="1353"/>
      <c r="Z208" s="971"/>
      <c r="AA208" s="971"/>
      <c r="AB208" s="1355"/>
      <c r="AC208" s="1355"/>
      <c r="AD208" s="1353"/>
    </row>
    <row r="209" spans="1:30" ht="15.75" customHeight="1" outlineLevel="1">
      <c r="A209" s="1055" t="s">
        <v>3047</v>
      </c>
      <c r="B209" s="1330" t="s">
        <v>156</v>
      </c>
      <c r="C209" s="1339">
        <f t="shared" si="21"/>
        <v>0.15</v>
      </c>
      <c r="D209" s="1055">
        <f t="shared" si="22"/>
        <v>0.05</v>
      </c>
      <c r="E209" s="1055">
        <f>IF('Ввод данных'!$A$6=связи1!$A$94,IF(дома!E208+0.05-дома!$C$136&lt;0,0,дома!E208+0.05-дома!$C$136),0)+IF(E208=0,0,IF('Ввод данных'!$A$6=связи1!$A$97,IF(дома!E208+0.05+дома!$C$136&gt;дома!$E$137+0.5,0,дома!E208+0.05+дома!$C$136),0))</f>
        <v>0</v>
      </c>
      <c r="F209" s="551">
        <f>IF(E209&lt;($E$133+0.5),1,0)*$D$141*IF('Ввод данных'!$A$19=связи1!$A$128,2,2)*IF('Ввод данных'!$F$237=связи1!$A$2,1,0)</f>
        <v>0</v>
      </c>
      <c r="G209" s="1055">
        <f t="shared" si="23"/>
        <v>0</v>
      </c>
      <c r="H209" s="1055"/>
      <c r="I209" s="1055"/>
      <c r="J209" s="1055"/>
      <c r="K209" s="971"/>
      <c r="L209" s="971"/>
      <c r="M209" s="971"/>
      <c r="N209" s="971"/>
      <c r="O209" s="971"/>
      <c r="P209" s="1353"/>
      <c r="Q209" s="1353"/>
      <c r="R209" s="1353"/>
      <c r="S209" s="971"/>
      <c r="T209" s="971"/>
      <c r="U209" s="1398"/>
      <c r="V209" s="971"/>
      <c r="W209" s="971"/>
      <c r="X209" s="971"/>
      <c r="Y209" s="1353"/>
      <c r="Z209" s="971"/>
      <c r="AA209" s="971"/>
      <c r="AB209" s="1355"/>
      <c r="AC209" s="1355"/>
      <c r="AD209" s="1353"/>
    </row>
    <row r="210" spans="1:30" ht="15.75" customHeight="1" outlineLevel="1">
      <c r="A210" s="1055" t="s">
        <v>3048</v>
      </c>
      <c r="B210" s="1330" t="s">
        <v>156</v>
      </c>
      <c r="C210" s="1339">
        <f t="shared" si="21"/>
        <v>0.15</v>
      </c>
      <c r="D210" s="1055">
        <f t="shared" si="22"/>
        <v>0.05</v>
      </c>
      <c r="E210" s="1055">
        <f>IF('Ввод данных'!$A$6=связи1!$A$94,IF(дома!E209+0.05-дома!$C$136&lt;0,0,дома!E209+0.05-дома!$C$136),0)+IF(E209=0,0,IF('Ввод данных'!$A$6=связи1!$A$97,IF(дома!E209+0.05+дома!$C$136&gt;дома!$E$137+0.5,0,дома!E209+0.05+дома!$C$136),0))</f>
        <v>0</v>
      </c>
      <c r="F210" s="551">
        <f>IF(E210&lt;($E$133+0.5),1,0)*$D$141*IF('Ввод данных'!$A$19=связи1!$A$128,2,2)*IF('Ввод данных'!$F$237=связи1!$A$2,1,0)</f>
        <v>0</v>
      </c>
      <c r="G210" s="1055">
        <f t="shared" si="23"/>
        <v>0</v>
      </c>
      <c r="H210" s="1055"/>
      <c r="I210" s="1055"/>
      <c r="J210" s="1055"/>
      <c r="K210" s="971"/>
      <c r="L210" s="971"/>
      <c r="M210" s="971"/>
      <c r="N210" s="971"/>
      <c r="O210" s="971"/>
      <c r="P210" s="1353"/>
      <c r="Q210" s="1353"/>
      <c r="R210" s="1353"/>
      <c r="S210" s="971"/>
      <c r="T210" s="971"/>
      <c r="U210" s="1398"/>
      <c r="V210" s="971"/>
      <c r="W210" s="971"/>
      <c r="X210" s="971"/>
      <c r="Y210" s="1353"/>
      <c r="Z210" s="971"/>
      <c r="AA210" s="971"/>
      <c r="AB210" s="1355"/>
      <c r="AC210" s="1355"/>
      <c r="AD210" s="1353"/>
    </row>
    <row r="211" spans="1:30" ht="15.75" customHeight="1" outlineLevel="1">
      <c r="A211" s="1055" t="s">
        <v>3049</v>
      </c>
      <c r="B211" s="1330" t="s">
        <v>156</v>
      </c>
      <c r="C211" s="1339">
        <f t="shared" si="21"/>
        <v>0.15</v>
      </c>
      <c r="D211" s="1055">
        <f t="shared" si="22"/>
        <v>0.05</v>
      </c>
      <c r="E211" s="1055">
        <f>IF('Ввод данных'!$A$6=связи1!$A$94,IF(дома!E210+0.05-дома!$C$136&lt;0,0,дома!E210+0.05-дома!$C$136),0)+IF(E210=0,0,IF('Ввод данных'!$A$6=связи1!$A$97,IF(дома!E210+0.05+дома!$C$136&gt;дома!$E$137+0.5,0,дома!E210+0.05+дома!$C$136),0))</f>
        <v>0</v>
      </c>
      <c r="F211" s="551">
        <f>IF(E211&lt;($E$133+0.5),1,0)*$D$141*IF('Ввод данных'!$A$19=связи1!$A$128,2,2)*IF('Ввод данных'!$F$237=связи1!$A$2,1,0)</f>
        <v>0</v>
      </c>
      <c r="G211" s="1055">
        <f t="shared" si="23"/>
        <v>0</v>
      </c>
      <c r="H211" s="1055"/>
      <c r="I211" s="1055"/>
      <c r="J211" s="1055"/>
      <c r="K211" s="971"/>
      <c r="L211" s="971"/>
      <c r="M211" s="971"/>
      <c r="N211" s="971"/>
      <c r="O211" s="971"/>
      <c r="P211" s="1353"/>
      <c r="Q211" s="1353"/>
      <c r="R211" s="1353"/>
      <c r="S211" s="971"/>
      <c r="T211" s="971"/>
      <c r="U211" s="1398"/>
      <c r="V211" s="971"/>
      <c r="W211" s="971"/>
      <c r="X211" s="971"/>
      <c r="Y211" s="1353"/>
      <c r="Z211" s="971"/>
      <c r="AA211" s="971"/>
      <c r="AB211" s="1355"/>
      <c r="AC211" s="1355"/>
      <c r="AD211" s="1353"/>
    </row>
    <row r="212" spans="1:30" ht="15.75" customHeight="1" outlineLevel="1">
      <c r="A212" s="1055" t="s">
        <v>3050</v>
      </c>
      <c r="B212" s="1330" t="s">
        <v>156</v>
      </c>
      <c r="C212" s="1339">
        <f t="shared" si="21"/>
        <v>0.15</v>
      </c>
      <c r="D212" s="1055">
        <f t="shared" si="22"/>
        <v>0.05</v>
      </c>
      <c r="E212" s="1055">
        <f>IF('Ввод данных'!$A$6=связи1!$A$94,IF(дома!E211+0.05-дома!$C$136&lt;0,0,дома!E211+0.05-дома!$C$136),0)+IF(E211=0,0,IF('Ввод данных'!$A$6=связи1!$A$97,IF(дома!E211+0.05+дома!$C$136&gt;дома!$E$137+0.5,0,дома!E211+0.05+дома!$C$136),0))</f>
        <v>0</v>
      </c>
      <c r="F212" s="551">
        <f>IF(E212&lt;($E$133+0.5),1,0)*$D$141*IF('Ввод данных'!$A$19=связи1!$A$128,2,2)*IF('Ввод данных'!$F$237=связи1!$A$2,1,0)</f>
        <v>0</v>
      </c>
      <c r="G212" s="1055">
        <f t="shared" si="23"/>
        <v>0</v>
      </c>
      <c r="H212" s="1055"/>
      <c r="I212" s="1055"/>
      <c r="J212" s="1055"/>
      <c r="K212" s="971"/>
      <c r="L212" s="971"/>
      <c r="M212" s="971"/>
      <c r="N212" s="971"/>
      <c r="O212" s="971"/>
      <c r="P212" s="1353"/>
      <c r="Q212" s="1353"/>
      <c r="R212" s="1353"/>
      <c r="S212" s="971"/>
      <c r="T212" s="971"/>
      <c r="U212" s="1398"/>
      <c r="V212" s="971"/>
      <c r="W212" s="971"/>
      <c r="X212" s="971"/>
      <c r="Y212" s="1353"/>
      <c r="Z212" s="971"/>
      <c r="AA212" s="971"/>
      <c r="AB212" s="1355"/>
      <c r="AC212" s="1355"/>
      <c r="AD212" s="1353"/>
    </row>
    <row r="213" spans="1:30" ht="15.75" customHeight="1" outlineLevel="1">
      <c r="A213" s="1055" t="s">
        <v>3051</v>
      </c>
      <c r="B213" s="1330" t="s">
        <v>156</v>
      </c>
      <c r="C213" s="1339">
        <f t="shared" si="21"/>
        <v>0.15</v>
      </c>
      <c r="D213" s="1055">
        <f t="shared" si="22"/>
        <v>0.05</v>
      </c>
      <c r="E213" s="1055">
        <f>IF('Ввод данных'!$A$6=связи1!$A$94,IF(дома!E212+0.05-дома!$C$136&lt;0,0,дома!E212+0.05-дома!$C$136),0)+IF(E212=0,0,IF('Ввод данных'!$A$6=связи1!$A$97,IF(дома!E212+0.05+дома!$C$136&gt;дома!$E$137+0.5,0,дома!E212+0.05+дома!$C$136),0))</f>
        <v>0</v>
      </c>
      <c r="F213" s="551">
        <f>IF(E213&lt;($E$133+0.5),1,0)*$D$141*IF('Ввод данных'!$A$19=связи1!$A$128,2,2)*IF('Ввод данных'!$F$237=связи1!$A$2,1,0)</f>
        <v>0</v>
      </c>
      <c r="G213" s="1055">
        <f t="shared" si="23"/>
        <v>0</v>
      </c>
      <c r="H213" s="1055"/>
      <c r="I213" s="1055"/>
      <c r="J213" s="1055"/>
      <c r="K213" s="971"/>
      <c r="L213" s="971"/>
      <c r="M213" s="971"/>
      <c r="N213" s="971"/>
      <c r="O213" s="971"/>
      <c r="P213" s="1353"/>
      <c r="Q213" s="1353"/>
      <c r="R213" s="1353"/>
      <c r="S213" s="971"/>
      <c r="T213" s="971"/>
      <c r="U213" s="1398"/>
      <c r="V213" s="971"/>
      <c r="W213" s="971"/>
      <c r="X213" s="971"/>
      <c r="Y213" s="1353"/>
      <c r="Z213" s="971"/>
      <c r="AA213" s="971"/>
      <c r="AB213" s="1355"/>
      <c r="AC213" s="1355"/>
      <c r="AD213" s="1353"/>
    </row>
    <row r="214" spans="1:30" ht="15.75" customHeight="1" outlineLevel="1">
      <c r="A214" s="1055" t="s">
        <v>3052</v>
      </c>
      <c r="B214" s="1330" t="s">
        <v>156</v>
      </c>
      <c r="C214" s="1339">
        <f t="shared" ref="C214:C245" si="24">$C$143</f>
        <v>0.15</v>
      </c>
      <c r="D214" s="1055">
        <f t="shared" ref="D214:D245" si="25">$D$143</f>
        <v>0.05</v>
      </c>
      <c r="E214" s="1055">
        <f>C134*1.05*D141</f>
        <v>7.4246212024587495</v>
      </c>
      <c r="F214" s="551">
        <f>IF(E214&lt;($E$133+0.5),1,0)*$D$141*IF('Ввод данных'!$A$19=связи1!$A$128,2,2)*IF('Ввод данных'!$F$237=связи1!$A$2,1,0)</f>
        <v>0</v>
      </c>
      <c r="G214" s="1055">
        <f t="shared" si="23"/>
        <v>0</v>
      </c>
      <c r="H214" s="1055"/>
      <c r="I214" s="1055"/>
      <c r="J214" s="1055"/>
      <c r="K214" s="971"/>
      <c r="L214" s="971"/>
      <c r="M214" s="971"/>
      <c r="N214" s="971"/>
      <c r="O214" s="971"/>
      <c r="P214" s="1353"/>
      <c r="Q214" s="1353"/>
      <c r="R214" s="1353"/>
      <c r="S214" s="971"/>
      <c r="T214" s="971"/>
      <c r="U214" s="1398"/>
      <c r="V214" s="971"/>
      <c r="W214" s="971"/>
      <c r="X214" s="971"/>
      <c r="Y214" s="1353"/>
      <c r="Z214" s="971"/>
      <c r="AA214" s="971"/>
      <c r="AB214" s="1355"/>
      <c r="AC214" s="1355"/>
      <c r="AD214" s="1353"/>
    </row>
    <row r="215" spans="1:30" ht="15.75" customHeight="1" outlineLevel="1">
      <c r="A215" s="1055" t="s">
        <v>3053</v>
      </c>
      <c r="B215" s="1330" t="s">
        <v>156</v>
      </c>
      <c r="C215" s="1339">
        <f t="shared" si="24"/>
        <v>0.15</v>
      </c>
      <c r="D215" s="1055">
        <f t="shared" si="25"/>
        <v>0.05</v>
      </c>
      <c r="E215" s="1055">
        <f>C133*D141</f>
        <v>5</v>
      </c>
      <c r="F215" s="551">
        <f>IF(E215&lt;($E$133+0.5),1,0)*$D$141*IF('Ввод данных'!$A$19=связи1!$A$128,2,2)*IF('Ввод данных'!$F$237=связи1!$A$2,1,0)</f>
        <v>0</v>
      </c>
      <c r="G215" s="1055">
        <f t="shared" si="23"/>
        <v>0</v>
      </c>
      <c r="H215" s="1055"/>
      <c r="I215" s="1055"/>
      <c r="J215" s="1055"/>
      <c r="K215" s="971"/>
      <c r="L215" s="971"/>
      <c r="M215" s="971"/>
      <c r="N215" s="971"/>
      <c r="O215" s="971"/>
      <c r="P215" s="1353"/>
      <c r="Q215" s="1353"/>
      <c r="R215" s="1353"/>
      <c r="S215" s="971"/>
      <c r="T215" s="971"/>
      <c r="U215" s="1398"/>
      <c r="V215" s="971"/>
      <c r="W215" s="971"/>
      <c r="X215" s="971"/>
      <c r="Y215" s="1353"/>
      <c r="Z215" s="971"/>
      <c r="AA215" s="971"/>
      <c r="AB215" s="1355"/>
      <c r="AC215" s="1355"/>
      <c r="AD215" s="1353"/>
    </row>
    <row r="216" spans="1:30" ht="15.75" customHeight="1" outlineLevel="1">
      <c r="A216" s="1055" t="s">
        <v>3054</v>
      </c>
      <c r="B216" s="1330" t="s">
        <v>156</v>
      </c>
      <c r="C216" s="1339">
        <f t="shared" si="24"/>
        <v>0.15</v>
      </c>
      <c r="D216" s="1055">
        <f t="shared" si="25"/>
        <v>0.05</v>
      </c>
      <c r="E216" s="1055">
        <f>E214*D141</f>
        <v>7.4246212024587495</v>
      </c>
      <c r="F216" s="551">
        <f>IF(E216&lt;($E$133+0.5),1,0)*$D$141*IF('Ввод данных'!$A$19=связи1!$A$128,2,2)*IF('Ввод данных'!$F$237=связи1!$A$2,1,0)</f>
        <v>0</v>
      </c>
      <c r="G216" s="1055">
        <f t="shared" ref="G216:G247" si="26">C216*D216*E216*F216</f>
        <v>0</v>
      </c>
      <c r="H216" s="1055"/>
      <c r="I216" s="1055"/>
      <c r="J216" s="1055"/>
      <c r="K216" s="971"/>
      <c r="L216" s="971"/>
      <c r="M216" s="971"/>
      <c r="N216" s="971"/>
      <c r="O216" s="971"/>
      <c r="P216" s="1353"/>
      <c r="Q216" s="1353"/>
      <c r="R216" s="1353"/>
      <c r="S216" s="971"/>
      <c r="T216" s="971"/>
      <c r="U216" s="1398"/>
      <c r="V216" s="971"/>
      <c r="W216" s="971"/>
      <c r="X216" s="971"/>
      <c r="Y216" s="1353"/>
      <c r="Z216" s="971"/>
      <c r="AA216" s="971"/>
      <c r="AB216" s="1355"/>
      <c r="AC216" s="1355"/>
      <c r="AD216" s="1353"/>
    </row>
    <row r="217" spans="1:30" ht="15.75" customHeight="1" outlineLevel="1">
      <c r="A217" s="1055" t="s">
        <v>3055</v>
      </c>
      <c r="B217" s="1330" t="s">
        <v>156</v>
      </c>
      <c r="C217" s="1339">
        <f t="shared" si="24"/>
        <v>0.15</v>
      </c>
      <c r="D217" s="1055">
        <f t="shared" si="25"/>
        <v>0.05</v>
      </c>
      <c r="E217" s="1246">
        <f>IF('Ввод данных'!A6=связи1!A94,E133-C125+0.1,0)+IF('Ввод данных'!A6=связи1!A97,C125,0)</f>
        <v>8.1</v>
      </c>
      <c r="F217" s="551">
        <f>IF(E217&lt;($E$133+0.5),1,0)*$D$141*IF('Ввод данных'!$A$19=связи1!$A$128,2,2)*IF('Ввод данных'!$F$237=связи1!$A$2,1,0)</f>
        <v>0</v>
      </c>
      <c r="G217" s="1055">
        <f t="shared" si="26"/>
        <v>0</v>
      </c>
      <c r="H217" s="1055"/>
      <c r="I217" s="1055"/>
      <c r="J217" s="1055"/>
      <c r="K217" s="971"/>
      <c r="L217" s="971"/>
      <c r="M217" s="971"/>
      <c r="N217" s="971"/>
      <c r="O217" s="971"/>
      <c r="P217" s="1353"/>
      <c r="Q217" s="1353"/>
      <c r="R217" s="1353"/>
      <c r="S217" s="971"/>
      <c r="T217" s="971"/>
      <c r="U217" s="1398"/>
      <c r="V217" s="971"/>
      <c r="W217" s="971"/>
      <c r="X217" s="971"/>
      <c r="Y217" s="1353"/>
      <c r="Z217" s="971"/>
      <c r="AA217" s="971"/>
      <c r="AB217" s="1355"/>
      <c r="AC217" s="1355"/>
      <c r="AD217" s="1353"/>
    </row>
    <row r="218" spans="1:30" ht="15.75" customHeight="1" outlineLevel="1">
      <c r="A218" s="1055" t="s">
        <v>3056</v>
      </c>
      <c r="B218" s="1330" t="s">
        <v>156</v>
      </c>
      <c r="C218" s="1339">
        <f t="shared" si="24"/>
        <v>0.15</v>
      </c>
      <c r="D218" s="1055">
        <f t="shared" si="25"/>
        <v>0.05</v>
      </c>
      <c r="E218" s="1246">
        <f>IF('Ввод данных'!$A$6=связи1!$A$94,IF(дома!E217+0.05-дома!$F$140&lt;0,0,дома!E217+0.05-дома!$F$140),0)+IF(E217=0,0,IF('Ввод данных'!$A$6=связи1!$A$97,IF(дома!E217+0.05+дома!$F$140&gt;дома!$E$137+0.2,0,дома!E217+0.05+дома!$F$140),0))</f>
        <v>7.2611111111111111</v>
      </c>
      <c r="F218" s="551">
        <f>IF(E218&lt;($E$133+0.5),1,0)*$D$141*IF('Ввод данных'!$A$19=связи1!$A$128,2,2)*IF('Ввод данных'!$F$237=связи1!$A$2,1,0)</f>
        <v>0</v>
      </c>
      <c r="G218" s="1055">
        <f t="shared" si="26"/>
        <v>0</v>
      </c>
      <c r="H218" s="1055"/>
      <c r="I218" s="1055"/>
      <c r="J218" s="1055"/>
      <c r="K218" s="971"/>
      <c r="L218" s="971"/>
      <c r="M218" s="971"/>
      <c r="N218" s="971"/>
      <c r="O218" s="971"/>
      <c r="P218" s="1353"/>
      <c r="Q218" s="1353"/>
      <c r="R218" s="1353"/>
      <c r="S218" s="971"/>
      <c r="T218" s="971"/>
      <c r="U218" s="1398"/>
      <c r="V218" s="971"/>
      <c r="W218" s="971"/>
      <c r="X218" s="971"/>
      <c r="Y218" s="1353"/>
      <c r="Z218" s="971"/>
      <c r="AA218" s="971"/>
      <c r="AB218" s="1355"/>
      <c r="AC218" s="1355"/>
      <c r="AD218" s="1353"/>
    </row>
    <row r="219" spans="1:30" ht="15.75" customHeight="1" outlineLevel="1">
      <c r="A219" s="1055" t="s">
        <v>3057</v>
      </c>
      <c r="B219" s="1330" t="s">
        <v>156</v>
      </c>
      <c r="C219" s="1339">
        <f t="shared" si="24"/>
        <v>0.15</v>
      </c>
      <c r="D219" s="1055">
        <f t="shared" si="25"/>
        <v>0.05</v>
      </c>
      <c r="E219" s="1246">
        <f>IF('Ввод данных'!$A$6=связи1!$A$94,IF(дома!E218+0.05-дома!$F$140&lt;0,0,дома!E218+0.05-дома!$F$140),0)+IF(E218=0,0,IF('Ввод данных'!$A$6=связи1!$A$97,IF(дома!E218+0.05+дома!$F$140&gt;дома!$E$137+0.2,0,дома!E218+0.05+дома!$F$140),0))</f>
        <v>6.4222222222222225</v>
      </c>
      <c r="F219" s="551">
        <f>IF(E219&lt;($E$133+0.5),1,0)*$D$141*IF('Ввод данных'!$A$19=связи1!$A$128,2,2)*IF('Ввод данных'!$F$237=связи1!$A$2,1,0)</f>
        <v>0</v>
      </c>
      <c r="G219" s="1055">
        <f t="shared" si="26"/>
        <v>0</v>
      </c>
      <c r="H219" s="1055"/>
      <c r="I219" s="1055"/>
      <c r="J219" s="1055"/>
      <c r="K219" s="971"/>
      <c r="L219" s="971"/>
      <c r="M219" s="971"/>
      <c r="N219" s="971"/>
      <c r="O219" s="971"/>
      <c r="P219" s="1353"/>
      <c r="Q219" s="1353"/>
      <c r="R219" s="1353"/>
      <c r="S219" s="971"/>
      <c r="T219" s="971"/>
      <c r="U219" s="1398"/>
      <c r="V219" s="971"/>
      <c r="W219" s="971"/>
      <c r="X219" s="971"/>
      <c r="Y219" s="1353"/>
      <c r="Z219" s="971"/>
      <c r="AA219" s="971"/>
      <c r="AB219" s="1355"/>
      <c r="AC219" s="1355"/>
      <c r="AD219" s="1353"/>
    </row>
    <row r="220" spans="1:30" ht="15.75" customHeight="1" outlineLevel="1">
      <c r="A220" s="1055" t="s">
        <v>3058</v>
      </c>
      <c r="B220" s="1330" t="s">
        <v>156</v>
      </c>
      <c r="C220" s="1339">
        <f t="shared" si="24"/>
        <v>0.15</v>
      </c>
      <c r="D220" s="1055">
        <f t="shared" si="25"/>
        <v>0.05</v>
      </c>
      <c r="E220" s="1246">
        <f>IF('Ввод данных'!$A$6=связи1!$A$94,IF(дома!E219+0.05-дома!$F$140&lt;0,0,дома!E219+0.05-дома!$F$140),0)+IF(E219=0,0,IF('Ввод данных'!$A$6=связи1!$A$97,IF(дома!E219+0.05+дома!$F$140&gt;дома!$E$137+0.2,0,дома!E219+0.05+дома!$F$140),0))</f>
        <v>5.5833333333333339</v>
      </c>
      <c r="F220" s="551">
        <f>IF(E220&lt;($E$133+0.5),1,0)*$D$141*IF('Ввод данных'!$A$19=связи1!$A$128,2,2)*IF('Ввод данных'!$F$237=связи1!$A$2,1,0)</f>
        <v>0</v>
      </c>
      <c r="G220" s="1055">
        <f t="shared" si="26"/>
        <v>0</v>
      </c>
      <c r="H220" s="1055"/>
      <c r="I220" s="1055"/>
      <c r="J220" s="1055"/>
      <c r="K220" s="971"/>
      <c r="L220" s="971"/>
      <c r="M220" s="971"/>
      <c r="N220" s="971"/>
      <c r="O220" s="971"/>
      <c r="P220" s="1353"/>
      <c r="Q220" s="1353"/>
      <c r="R220" s="1353"/>
      <c r="S220" s="971"/>
      <c r="T220" s="971"/>
      <c r="U220" s="1398"/>
      <c r="V220" s="971"/>
      <c r="W220" s="971"/>
      <c r="X220" s="971"/>
      <c r="Y220" s="1353"/>
      <c r="Z220" s="971"/>
      <c r="AA220" s="971"/>
      <c r="AB220" s="1355"/>
      <c r="AC220" s="1355"/>
      <c r="AD220" s="1353"/>
    </row>
    <row r="221" spans="1:30" ht="15.75" customHeight="1" outlineLevel="1">
      <c r="A221" s="1055" t="s">
        <v>3059</v>
      </c>
      <c r="B221" s="1330" t="s">
        <v>156</v>
      </c>
      <c r="C221" s="1339">
        <f t="shared" si="24"/>
        <v>0.15</v>
      </c>
      <c r="D221" s="1055">
        <f t="shared" si="25"/>
        <v>0.05</v>
      </c>
      <c r="E221" s="1246">
        <f>IF('Ввод данных'!$A$6=связи1!$A$94,IF(дома!E220+0.05-дома!$F$140&lt;0,0,дома!E220+0.05-дома!$F$140),0)+IF(E220=0,0,IF('Ввод данных'!$A$6=связи1!$A$97,IF(дома!E220+0.05+дома!$F$140&gt;дома!$E$137+0.2,0,дома!E220+0.05+дома!$F$140),0))</f>
        <v>4.7444444444444454</v>
      </c>
      <c r="F221" s="551">
        <f>IF(E221&lt;($E$133+0.5),1,0)*$D$141*IF('Ввод данных'!$A$19=связи1!$A$128,2,2)*IF('Ввод данных'!$F$237=связи1!$A$2,1,0)</f>
        <v>0</v>
      </c>
      <c r="G221" s="1055">
        <f t="shared" si="26"/>
        <v>0</v>
      </c>
      <c r="H221" s="1055"/>
      <c r="I221" s="1055"/>
      <c r="J221" s="1055"/>
      <c r="K221" s="971"/>
      <c r="L221" s="971"/>
      <c r="M221" s="971"/>
      <c r="N221" s="971"/>
      <c r="O221" s="971"/>
      <c r="P221" s="1353"/>
      <c r="Q221" s="1353"/>
      <c r="R221" s="1353"/>
      <c r="S221" s="971"/>
      <c r="T221" s="971"/>
      <c r="U221" s="1398"/>
      <c r="V221" s="971"/>
      <c r="W221" s="971"/>
      <c r="X221" s="971"/>
      <c r="Y221" s="1353"/>
      <c r="Z221" s="971"/>
      <c r="AA221" s="971"/>
      <c r="AB221" s="1355"/>
      <c r="AC221" s="1355"/>
      <c r="AD221" s="1353"/>
    </row>
    <row r="222" spans="1:30" ht="15.75" customHeight="1" outlineLevel="1">
      <c r="A222" s="1055" t="s">
        <v>3060</v>
      </c>
      <c r="B222" s="1330" t="s">
        <v>156</v>
      </c>
      <c r="C222" s="1339">
        <f t="shared" si="24"/>
        <v>0.15</v>
      </c>
      <c r="D222" s="1055">
        <f t="shared" si="25"/>
        <v>0.05</v>
      </c>
      <c r="E222" s="1246">
        <f>IF('Ввод данных'!$A$6=связи1!$A$94,IF(дома!E221+0.05-дома!$F$140&lt;0,0,дома!E221+0.05-дома!$F$140),0)+IF(E221=0,0,IF('Ввод данных'!$A$6=связи1!$A$97,IF(дома!E221+0.05+дома!$F$140&gt;дома!$E$137+0.2,0,дома!E221+0.05+дома!$F$140),0))</f>
        <v>3.9055555555555563</v>
      </c>
      <c r="F222" s="551">
        <f>IF(E222&lt;($E$133+0.5),1,0)*$D$141*IF('Ввод данных'!$A$19=связи1!$A$128,2,2)*IF('Ввод данных'!$F$237=связи1!$A$2,1,0)</f>
        <v>0</v>
      </c>
      <c r="G222" s="1055">
        <f t="shared" si="26"/>
        <v>0</v>
      </c>
      <c r="H222" s="1055"/>
      <c r="I222" s="1055"/>
      <c r="J222" s="1055"/>
      <c r="K222" s="971"/>
      <c r="L222" s="971"/>
      <c r="M222" s="971"/>
      <c r="N222" s="971"/>
      <c r="O222" s="971"/>
      <c r="P222" s="1353"/>
      <c r="Q222" s="1353"/>
      <c r="R222" s="1353"/>
      <c r="S222" s="971"/>
      <c r="T222" s="971"/>
      <c r="U222" s="1398"/>
      <c r="V222" s="971"/>
      <c r="W222" s="971"/>
      <c r="X222" s="971"/>
      <c r="Y222" s="1353"/>
      <c r="Z222" s="971"/>
      <c r="AA222" s="971"/>
      <c r="AB222" s="1355"/>
      <c r="AC222" s="1355"/>
      <c r="AD222" s="1353"/>
    </row>
    <row r="223" spans="1:30" ht="15.75" customHeight="1" outlineLevel="1">
      <c r="A223" s="1055" t="s">
        <v>3061</v>
      </c>
      <c r="B223" s="1330" t="s">
        <v>156</v>
      </c>
      <c r="C223" s="1339">
        <f t="shared" si="24"/>
        <v>0.15</v>
      </c>
      <c r="D223" s="1055">
        <f t="shared" si="25"/>
        <v>0.05</v>
      </c>
      <c r="E223" s="1246">
        <f>IF('Ввод данных'!$A$6=связи1!$A$94,IF(дома!E222+0.05-дома!$F$140&lt;0,0,дома!E222+0.05-дома!$F$140),0)+IF(E222=0,0,IF('Ввод данных'!$A$6=связи1!$A$97,IF(дома!E222+0.05+дома!$F$140&gt;дома!$E$137+0.2,0,дома!E222+0.05+дома!$F$140),0))</f>
        <v>3.0666666666666673</v>
      </c>
      <c r="F223" s="551">
        <f>IF(E223&lt;($E$133+0.5),1,0)*$D$141*IF('Ввод данных'!$A$19=связи1!$A$128,2,2)*IF('Ввод данных'!$F$237=связи1!$A$2,1,0)</f>
        <v>0</v>
      </c>
      <c r="G223" s="1055">
        <f t="shared" si="26"/>
        <v>0</v>
      </c>
      <c r="H223" s="1055"/>
      <c r="I223" s="1055"/>
      <c r="J223" s="1055"/>
      <c r="K223" s="971"/>
      <c r="L223" s="971"/>
      <c r="M223" s="971"/>
      <c r="N223" s="971"/>
      <c r="O223" s="971"/>
      <c r="P223" s="1353"/>
      <c r="Q223" s="1353"/>
      <c r="R223" s="1353"/>
      <c r="S223" s="971"/>
      <c r="T223" s="971"/>
      <c r="U223" s="1398"/>
      <c r="V223" s="971"/>
      <c r="W223" s="971"/>
      <c r="X223" s="971"/>
      <c r="Y223" s="1353"/>
      <c r="Z223" s="971"/>
      <c r="AA223" s="971"/>
      <c r="AB223" s="1355"/>
      <c r="AC223" s="1355"/>
      <c r="AD223" s="1353"/>
    </row>
    <row r="224" spans="1:30" ht="15.75" customHeight="1" outlineLevel="1">
      <c r="A224" s="1055" t="s">
        <v>3062</v>
      </c>
      <c r="B224" s="1330" t="s">
        <v>156</v>
      </c>
      <c r="C224" s="1339">
        <f t="shared" si="24"/>
        <v>0.15</v>
      </c>
      <c r="D224" s="1055">
        <f t="shared" si="25"/>
        <v>0.05</v>
      </c>
      <c r="E224" s="1246">
        <f>IF('Ввод данных'!$A$6=связи1!$A$94,IF(дома!E223+0.05-дома!$F$140&lt;0,0,дома!E223+0.05-дома!$F$140),0)+IF(E223=0,0,IF('Ввод данных'!$A$6=связи1!$A$97,IF(дома!E223+0.05+дома!$F$140&gt;дома!$E$137+0.2,0,дома!E223+0.05+дома!$F$140),0))</f>
        <v>2.2277777777777783</v>
      </c>
      <c r="F224" s="551">
        <f>IF(E224&lt;($E$133+0.5),1,0)*$D$141*IF('Ввод данных'!$A$19=связи1!$A$128,2,2)*IF('Ввод данных'!$F$237=связи1!$A$2,1,0)</f>
        <v>0</v>
      </c>
      <c r="G224" s="1055">
        <f t="shared" si="26"/>
        <v>0</v>
      </c>
      <c r="H224" s="1055"/>
      <c r="I224" s="1055"/>
      <c r="J224" s="1055"/>
      <c r="K224" s="971"/>
      <c r="L224" s="971"/>
      <c r="M224" s="971"/>
      <c r="N224" s="971"/>
      <c r="O224" s="971"/>
      <c r="P224" s="1353"/>
      <c r="Q224" s="1353"/>
      <c r="R224" s="1353"/>
      <c r="S224" s="971"/>
      <c r="T224" s="971"/>
      <c r="U224" s="1398"/>
      <c r="V224" s="971"/>
      <c r="W224" s="971"/>
      <c r="X224" s="971"/>
      <c r="Y224" s="1353"/>
      <c r="Z224" s="971"/>
      <c r="AA224" s="971"/>
      <c r="AB224" s="1355"/>
      <c r="AC224" s="1355"/>
      <c r="AD224" s="1353"/>
    </row>
    <row r="225" spans="1:30" ht="15.75" customHeight="1" outlineLevel="1">
      <c r="A225" s="1055" t="s">
        <v>3063</v>
      </c>
      <c r="B225" s="1330" t="s">
        <v>156</v>
      </c>
      <c r="C225" s="1339">
        <f t="shared" si="24"/>
        <v>0.15</v>
      </c>
      <c r="D225" s="1055">
        <f t="shared" si="25"/>
        <v>0.05</v>
      </c>
      <c r="E225" s="1246">
        <f>IF('Ввод данных'!$A$6=связи1!$A$94,IF(дома!E224+0.05-дома!$F$140&lt;0,0,дома!E224+0.05-дома!$F$140),0)+IF(E224=0,0,IF('Ввод данных'!$A$6=связи1!$A$97,IF(дома!E224+0.05+дома!$F$140&gt;дома!$E$137+0.2,0,дома!E224+0.05+дома!$F$140),0))</f>
        <v>1.3888888888888893</v>
      </c>
      <c r="F225" s="551">
        <f>IF(E225&lt;($E$133+0.5),1,0)*$D$141*IF('Ввод данных'!$A$19=связи1!$A$128,2,2)*IF('Ввод данных'!$F$237=связи1!$A$2,1,0)</f>
        <v>0</v>
      </c>
      <c r="G225" s="1055">
        <f t="shared" si="26"/>
        <v>0</v>
      </c>
      <c r="H225" s="1055"/>
      <c r="I225" s="1055"/>
      <c r="J225" s="1055"/>
      <c r="K225" s="971"/>
      <c r="L225" s="971"/>
      <c r="M225" s="971"/>
      <c r="N225" s="971"/>
      <c r="O225" s="971"/>
      <c r="P225" s="1353"/>
      <c r="Q225" s="1353"/>
      <c r="R225" s="1353"/>
      <c r="S225" s="971"/>
      <c r="T225" s="971"/>
      <c r="U225" s="1398"/>
      <c r="V225" s="971"/>
      <c r="W225" s="971"/>
      <c r="X225" s="971"/>
      <c r="Y225" s="1353"/>
      <c r="Z225" s="971"/>
      <c r="AA225" s="971"/>
      <c r="AB225" s="1355"/>
      <c r="AC225" s="1355"/>
      <c r="AD225" s="1353"/>
    </row>
    <row r="226" spans="1:30" ht="15.75" customHeight="1" outlineLevel="1">
      <c r="A226" s="1055" t="s">
        <v>3064</v>
      </c>
      <c r="B226" s="1330" t="s">
        <v>156</v>
      </c>
      <c r="C226" s="1339">
        <f t="shared" si="24"/>
        <v>0.15</v>
      </c>
      <c r="D226" s="1055">
        <f t="shared" si="25"/>
        <v>0.05</v>
      </c>
      <c r="E226" s="1246">
        <f>IF('Ввод данных'!$A$6=связи1!$A$94,IF(дома!E225+0.05-дома!$F$140&lt;0,0,дома!E225+0.05-дома!$F$140),0)+IF(E225=0,0,IF('Ввод данных'!$A$6=связи1!$A$97,IF(дома!E225+0.05+дома!$F$140&gt;дома!$E$137+0.2,0,дома!E225+0.05+дома!$F$140),0))</f>
        <v>0.55000000000000049</v>
      </c>
      <c r="F226" s="551">
        <f>IF(E226&lt;($E$133+0.5),1,0)*$D$141*IF('Ввод данных'!$A$19=связи1!$A$128,2,2)*IF('Ввод данных'!$F$237=связи1!$A$2,1,0)</f>
        <v>0</v>
      </c>
      <c r="G226" s="1055">
        <f t="shared" si="26"/>
        <v>0</v>
      </c>
      <c r="H226" s="1055"/>
      <c r="I226" s="1055"/>
      <c r="J226" s="1055"/>
      <c r="K226" s="971"/>
      <c r="L226" s="971"/>
      <c r="M226" s="971"/>
      <c r="N226" s="971"/>
      <c r="O226" s="971"/>
      <c r="P226" s="1353"/>
      <c r="Q226" s="1353"/>
      <c r="R226" s="1353"/>
      <c r="S226" s="971"/>
      <c r="T226" s="971"/>
      <c r="U226" s="1398"/>
      <c r="V226" s="971"/>
      <c r="W226" s="971"/>
      <c r="X226" s="971"/>
      <c r="Y226" s="1353"/>
      <c r="Z226" s="971"/>
      <c r="AA226" s="971"/>
      <c r="AB226" s="1355"/>
      <c r="AC226" s="1355"/>
      <c r="AD226" s="1353"/>
    </row>
    <row r="227" spans="1:30" ht="15.75" customHeight="1" outlineLevel="1">
      <c r="A227" s="1055" t="s">
        <v>3065</v>
      </c>
      <c r="B227" s="1330" t="s">
        <v>156</v>
      </c>
      <c r="C227" s="1339">
        <f t="shared" si="24"/>
        <v>0.15</v>
      </c>
      <c r="D227" s="1055">
        <f t="shared" si="25"/>
        <v>0.05</v>
      </c>
      <c r="E227" s="1246">
        <f>IF('Ввод данных'!$A$6=связи1!$A$94,IF(дома!E226+0.05-дома!$F$140&lt;0,0,дома!E226+0.05-дома!$F$140),0)+IF(E226=0,0,IF('Ввод данных'!$A$6=связи1!$A$97,IF(дома!E226+0.05+дома!$F$140&gt;дома!$E$137+0.2,0,дома!E226+0.05+дома!$F$140),0))</f>
        <v>0</v>
      </c>
      <c r="F227" s="551">
        <f>IF(E227&lt;($E$133+0.5),1,0)*$D$141*IF('Ввод данных'!$A$19=связи1!$A$128,2,2)*IF('Ввод данных'!$F$237=связи1!$A$2,1,0)</f>
        <v>0</v>
      </c>
      <c r="G227" s="1055">
        <f t="shared" si="26"/>
        <v>0</v>
      </c>
      <c r="H227" s="1055"/>
      <c r="I227" s="1055"/>
      <c r="J227" s="1055"/>
      <c r="K227" s="971"/>
      <c r="L227" s="971"/>
      <c r="M227" s="971"/>
      <c r="N227" s="971"/>
      <c r="O227" s="971"/>
      <c r="P227" s="1353"/>
      <c r="Q227" s="1353"/>
      <c r="R227" s="1353"/>
      <c r="S227" s="971"/>
      <c r="T227" s="971"/>
      <c r="U227" s="1398"/>
      <c r="V227" s="971"/>
      <c r="W227" s="971"/>
      <c r="X227" s="971"/>
      <c r="Y227" s="1353"/>
      <c r="Z227" s="971"/>
      <c r="AA227" s="971"/>
      <c r="AB227" s="1355"/>
      <c r="AC227" s="1355"/>
      <c r="AD227" s="1353"/>
    </row>
    <row r="228" spans="1:30" ht="15.75" customHeight="1" outlineLevel="1">
      <c r="A228" s="1055" t="s">
        <v>3066</v>
      </c>
      <c r="B228" s="1330" t="s">
        <v>156</v>
      </c>
      <c r="C228" s="1339">
        <f t="shared" si="24"/>
        <v>0.15</v>
      </c>
      <c r="D228" s="1055">
        <f t="shared" si="25"/>
        <v>0.05</v>
      </c>
      <c r="E228" s="1246">
        <f>IF('Ввод данных'!$A$6=связи1!$A$94,IF(дома!E227+0.05-дома!$F$140&lt;0,0,дома!E227+0.05-дома!$F$140),0)+IF(E227=0,0,IF('Ввод данных'!$A$6=связи1!$A$97,IF(дома!E227+0.05+дома!$F$140&gt;дома!$E$137+0.2,0,дома!E227+0.05+дома!$F$140),0))</f>
        <v>0</v>
      </c>
      <c r="F228" s="551">
        <f>IF(E228&lt;($E$133+0.5),1,0)*$D$141*IF('Ввод данных'!$A$19=связи1!$A$128,2,2)*IF('Ввод данных'!$F$237=связи1!$A$2,1,0)</f>
        <v>0</v>
      </c>
      <c r="G228" s="1055">
        <f t="shared" si="26"/>
        <v>0</v>
      </c>
      <c r="H228" s="1055"/>
      <c r="I228" s="1055"/>
      <c r="J228" s="1055"/>
      <c r="K228" s="971"/>
      <c r="L228" s="971"/>
      <c r="M228" s="971"/>
      <c r="N228" s="971"/>
      <c r="O228" s="971"/>
      <c r="P228" s="1353"/>
      <c r="Q228" s="1353"/>
      <c r="R228" s="1353"/>
      <c r="S228" s="971"/>
      <c r="T228" s="971"/>
      <c r="U228" s="1398"/>
      <c r="V228" s="971"/>
      <c r="W228" s="971"/>
      <c r="X228" s="971"/>
      <c r="Y228" s="1353"/>
      <c r="Z228" s="971"/>
      <c r="AA228" s="971"/>
      <c r="AB228" s="1355"/>
      <c r="AC228" s="1355"/>
      <c r="AD228" s="1353"/>
    </row>
    <row r="229" spans="1:30" ht="15.75" customHeight="1" outlineLevel="1">
      <c r="A229" s="1055" t="s">
        <v>3067</v>
      </c>
      <c r="B229" s="1330" t="s">
        <v>156</v>
      </c>
      <c r="C229" s="1339">
        <f t="shared" si="24"/>
        <v>0.15</v>
      </c>
      <c r="D229" s="1055">
        <f t="shared" si="25"/>
        <v>0.05</v>
      </c>
      <c r="E229" s="1246">
        <f>IF('Ввод данных'!$A$6=связи1!$A$94,IF(дома!E228+0.05-дома!$F$140&lt;0,0,дома!E228+0.05-дома!$F$140),0)+IF(E228=0,0,IF('Ввод данных'!$A$6=связи1!$A$97,IF(дома!E228+0.05+дома!$F$140&gt;дома!$E$137+0.2,0,дома!E228+0.05+дома!$F$140),0))</f>
        <v>0</v>
      </c>
      <c r="F229" s="551">
        <f>IF(E229&lt;($E$133+0.5),1,0)*$D$141*IF('Ввод данных'!$A$19=связи1!$A$128,2,2)*IF('Ввод данных'!$F$237=связи1!$A$2,1,0)</f>
        <v>0</v>
      </c>
      <c r="G229" s="1055">
        <f t="shared" si="26"/>
        <v>0</v>
      </c>
      <c r="H229" s="1055"/>
      <c r="I229" s="1055"/>
      <c r="J229" s="1055"/>
      <c r="K229" s="971"/>
      <c r="L229" s="971"/>
      <c r="M229" s="971"/>
      <c r="N229" s="971"/>
      <c r="O229" s="971"/>
      <c r="P229" s="1353"/>
      <c r="Q229" s="1353"/>
      <c r="R229" s="1353"/>
      <c r="S229" s="971"/>
      <c r="T229" s="971"/>
      <c r="U229" s="1398"/>
      <c r="V229" s="971"/>
      <c r="W229" s="971"/>
      <c r="X229" s="971"/>
      <c r="Y229" s="1353"/>
      <c r="Z229" s="971"/>
      <c r="AA229" s="971"/>
      <c r="AB229" s="1355"/>
      <c r="AC229" s="1355"/>
      <c r="AD229" s="1353"/>
    </row>
    <row r="230" spans="1:30" ht="15.75" customHeight="1" outlineLevel="1">
      <c r="A230" s="1055" t="s">
        <v>3068</v>
      </c>
      <c r="B230" s="1330" t="s">
        <v>156</v>
      </c>
      <c r="C230" s="1339">
        <f t="shared" si="24"/>
        <v>0.15</v>
      </c>
      <c r="D230" s="1055">
        <f t="shared" si="25"/>
        <v>0.05</v>
      </c>
      <c r="E230" s="1246">
        <f>IF('Ввод данных'!$A$6=связи1!$A$94,IF(дома!E229+0.05-дома!$F$140&lt;0,0,дома!E229+0.05-дома!$F$140),0)+IF(E229=0,0,IF('Ввод данных'!$A$6=связи1!$A$97,IF(дома!E229+0.05+дома!$F$140&gt;дома!$E$137+0.2,0,дома!E229+0.05+дома!$F$140),0))</f>
        <v>0</v>
      </c>
      <c r="F230" s="551">
        <f>IF(E230&lt;($E$133+0.5),1,0)*$D$141*IF('Ввод данных'!$A$19=связи1!$A$128,2,2)*IF('Ввод данных'!$F$237=связи1!$A$2,1,0)</f>
        <v>0</v>
      </c>
      <c r="G230" s="1055">
        <f t="shared" si="26"/>
        <v>0</v>
      </c>
      <c r="H230" s="1055"/>
      <c r="I230" s="1055"/>
      <c r="J230" s="1055"/>
      <c r="K230" s="971"/>
      <c r="L230" s="971"/>
      <c r="M230" s="971"/>
      <c r="N230" s="971"/>
      <c r="O230" s="971"/>
      <c r="P230" s="1353"/>
      <c r="Q230" s="1353"/>
      <c r="R230" s="1353"/>
      <c r="S230" s="971"/>
      <c r="T230" s="971"/>
      <c r="U230" s="1398"/>
      <c r="V230" s="971"/>
      <c r="W230" s="971"/>
      <c r="X230" s="971"/>
      <c r="Y230" s="1353"/>
      <c r="Z230" s="971"/>
      <c r="AA230" s="971"/>
      <c r="AB230" s="1355"/>
      <c r="AC230" s="1355"/>
      <c r="AD230" s="1353"/>
    </row>
    <row r="231" spans="1:30" ht="15.75" customHeight="1" outlineLevel="1">
      <c r="A231" s="1055" t="s">
        <v>3069</v>
      </c>
      <c r="B231" s="1330" t="s">
        <v>156</v>
      </c>
      <c r="C231" s="1339">
        <f t="shared" si="24"/>
        <v>0.15</v>
      </c>
      <c r="D231" s="1055">
        <f t="shared" si="25"/>
        <v>0.05</v>
      </c>
      <c r="E231" s="1246">
        <f>IF('Ввод данных'!$A$6=связи1!$A$94,IF(дома!E230+0.05-дома!$F$140&lt;0,0,дома!E230+0.05-дома!$F$140),0)+IF(E230=0,0,IF('Ввод данных'!$A$6=связи1!$A$97,IF(дома!E230+0.05+дома!$F$140&gt;дома!$E$137+0.2,0,дома!E230+0.05+дома!$F$140),0))</f>
        <v>0</v>
      </c>
      <c r="F231" s="551">
        <f>IF(E231&lt;($E$133+0.5),1,0)*$D$141*IF('Ввод данных'!$A$19=связи1!$A$128,2,2)*IF('Ввод данных'!$F$237=связи1!$A$2,1,0)</f>
        <v>0</v>
      </c>
      <c r="G231" s="1055">
        <f t="shared" si="26"/>
        <v>0</v>
      </c>
      <c r="H231" s="1055"/>
      <c r="I231" s="1055"/>
      <c r="J231" s="1055"/>
      <c r="K231" s="971"/>
      <c r="L231" s="971"/>
      <c r="M231" s="971"/>
      <c r="N231" s="971"/>
      <c r="O231" s="971"/>
      <c r="P231" s="1353"/>
      <c r="Q231" s="1353"/>
      <c r="R231" s="1353"/>
      <c r="S231" s="971"/>
      <c r="T231" s="971"/>
      <c r="U231" s="1398"/>
      <c r="V231" s="971"/>
      <c r="W231" s="971"/>
      <c r="X231" s="971"/>
      <c r="Y231" s="1353"/>
      <c r="Z231" s="971"/>
      <c r="AA231" s="971"/>
      <c r="AB231" s="1355"/>
      <c r="AC231" s="1355"/>
      <c r="AD231" s="1353"/>
    </row>
    <row r="232" spans="1:30" ht="15.75" customHeight="1" outlineLevel="1">
      <c r="A232" s="1055" t="s">
        <v>3070</v>
      </c>
      <c r="B232" s="1330" t="s">
        <v>156</v>
      </c>
      <c r="C232" s="1339">
        <f t="shared" si="24"/>
        <v>0.15</v>
      </c>
      <c r="D232" s="1055">
        <f t="shared" si="25"/>
        <v>0.05</v>
      </c>
      <c r="E232" s="1246">
        <f>IF('Ввод данных'!$A$6=связи1!$A$94,IF(дома!E231+0.05-дома!$F$140&lt;0,0,дома!E231+0.05-дома!$F$140),0)+IF(E231=0,0,IF('Ввод данных'!$A$6=связи1!$A$97,IF(дома!E231+0.05+дома!$F$140&gt;дома!$E$137+0.2,0,дома!E231+0.05+дома!$F$140),0))</f>
        <v>0</v>
      </c>
      <c r="F232" s="551">
        <f>IF(E232&lt;($E$133+0.5),1,0)*$D$141*IF('Ввод данных'!$A$19=связи1!$A$128,2,2)*IF('Ввод данных'!$F$237=связи1!$A$2,1,0)</f>
        <v>0</v>
      </c>
      <c r="G232" s="1055">
        <f t="shared" si="26"/>
        <v>0</v>
      </c>
      <c r="H232" s="1055"/>
      <c r="I232" s="1055"/>
      <c r="J232" s="1055"/>
      <c r="K232" s="971"/>
      <c r="L232" s="971"/>
      <c r="M232" s="971"/>
      <c r="N232" s="971"/>
      <c r="O232" s="971"/>
      <c r="P232" s="1353"/>
      <c r="Q232" s="1353"/>
      <c r="R232" s="1353"/>
      <c r="S232" s="971"/>
      <c r="T232" s="971"/>
      <c r="U232" s="1398"/>
      <c r="V232" s="971"/>
      <c r="W232" s="971"/>
      <c r="X232" s="971"/>
      <c r="Y232" s="1353"/>
      <c r="Z232" s="971"/>
      <c r="AA232" s="971"/>
      <c r="AB232" s="1355"/>
      <c r="AC232" s="1355"/>
      <c r="AD232" s="1353"/>
    </row>
    <row r="233" spans="1:30" ht="15.75" customHeight="1" outlineLevel="1">
      <c r="A233" s="1055" t="s">
        <v>3071</v>
      </c>
      <c r="B233" s="1330" t="s">
        <v>156</v>
      </c>
      <c r="C233" s="1339">
        <f t="shared" si="24"/>
        <v>0.15</v>
      </c>
      <c r="D233" s="1055">
        <f t="shared" si="25"/>
        <v>0.05</v>
      </c>
      <c r="E233" s="1246">
        <f>IF('Ввод данных'!$A$6=связи1!$A$94,IF(дома!E232+0.05-дома!$F$140&lt;0,0,дома!E232+0.05-дома!$F$140),0)+IF(E232=0,0,IF('Ввод данных'!$A$6=связи1!$A$97,IF(дома!E232+0.05+дома!$F$140&gt;дома!$E$137+0.2,0,дома!E232+0.05+дома!$F$140),0))</f>
        <v>0</v>
      </c>
      <c r="F233" s="551">
        <f>IF(E233&lt;($E$133+0.5),1,0)*$D$141*IF('Ввод данных'!$A$19=связи1!$A$128,2,2)*IF('Ввод данных'!$F$237=связи1!$A$2,1,0)</f>
        <v>0</v>
      </c>
      <c r="G233" s="1055">
        <f t="shared" si="26"/>
        <v>0</v>
      </c>
      <c r="H233" s="1055"/>
      <c r="I233" s="1055"/>
      <c r="J233" s="1055"/>
      <c r="K233" s="971"/>
      <c r="L233" s="971"/>
      <c r="M233" s="971"/>
      <c r="N233" s="971"/>
      <c r="O233" s="971"/>
      <c r="P233" s="1353"/>
      <c r="Q233" s="1353"/>
      <c r="R233" s="1353"/>
      <c r="S233" s="971"/>
      <c r="T233" s="971"/>
      <c r="U233" s="1398"/>
      <c r="V233" s="971"/>
      <c r="W233" s="971"/>
      <c r="X233" s="971"/>
      <c r="Y233" s="1353"/>
      <c r="Z233" s="971"/>
      <c r="AA233" s="971"/>
      <c r="AB233" s="1355"/>
      <c r="AC233" s="1355"/>
      <c r="AD233" s="1353"/>
    </row>
    <row r="234" spans="1:30" ht="15.75" customHeight="1" outlineLevel="1">
      <c r="A234" s="1055" t="s">
        <v>3072</v>
      </c>
      <c r="B234" s="1330" t="s">
        <v>156</v>
      </c>
      <c r="C234" s="1339">
        <f t="shared" si="24"/>
        <v>0.15</v>
      </c>
      <c r="D234" s="1055">
        <f t="shared" si="25"/>
        <v>0.05</v>
      </c>
      <c r="E234" s="1246">
        <f>IF('Ввод данных'!$A$6=связи1!$A$94,IF(дома!E233+0.05-дома!$F$140&lt;0,0,дома!E233+0.05-дома!$F$140),0)+IF(E233=0,0,IF('Ввод данных'!$A$6=связи1!$A$97,IF(дома!E233+0.05+дома!$F$140&gt;дома!$E$137+0.2,0,дома!E233+0.05+дома!$F$140),0))</f>
        <v>0</v>
      </c>
      <c r="F234" s="551">
        <f>IF(E234&lt;($E$133+0.5),1,0)*$D$141*IF('Ввод данных'!$A$19=связи1!$A$128,2,2)*IF('Ввод данных'!$F$237=связи1!$A$2,1,0)</f>
        <v>0</v>
      </c>
      <c r="G234" s="1055">
        <f t="shared" si="26"/>
        <v>0</v>
      </c>
      <c r="H234" s="1055"/>
      <c r="I234" s="1055"/>
      <c r="J234" s="1055"/>
      <c r="K234" s="971"/>
      <c r="L234" s="971"/>
      <c r="M234" s="971"/>
      <c r="N234" s="971"/>
      <c r="O234" s="971"/>
      <c r="P234" s="1353"/>
      <c r="Q234" s="1353"/>
      <c r="R234" s="1353"/>
      <c r="S234" s="971"/>
      <c r="T234" s="971"/>
      <c r="U234" s="1398"/>
      <c r="V234" s="971"/>
      <c r="W234" s="971"/>
      <c r="X234" s="971"/>
      <c r="Y234" s="1353"/>
      <c r="Z234" s="971"/>
      <c r="AA234" s="971"/>
      <c r="AB234" s="1355"/>
      <c r="AC234" s="1355"/>
      <c r="AD234" s="1353"/>
    </row>
    <row r="235" spans="1:30" ht="15.75" customHeight="1" outlineLevel="1">
      <c r="A235" s="1055" t="s">
        <v>3073</v>
      </c>
      <c r="B235" s="1330" t="s">
        <v>156</v>
      </c>
      <c r="C235" s="1339">
        <f t="shared" si="24"/>
        <v>0.15</v>
      </c>
      <c r="D235" s="1055">
        <f t="shared" si="25"/>
        <v>0.05</v>
      </c>
      <c r="E235" s="1246">
        <f>IF('Ввод данных'!$A$6=связи1!$A$94,IF(дома!E234+0.05-дома!$F$140&lt;0,0,дома!E234+0.05-дома!$F$140),0)+IF(E234=0,0,IF('Ввод данных'!$A$6=связи1!$A$97,IF(дома!E234+0.05+дома!$F$140&gt;дома!$E$137+0.2,0,дома!E234+0.05+дома!$F$140),0))</f>
        <v>0</v>
      </c>
      <c r="F235" s="551">
        <f>IF(E235&lt;($E$133+0.5),1,0)*$D$141*IF('Ввод данных'!$A$19=связи1!$A$128,2,2)*IF('Ввод данных'!$F$237=связи1!$A$2,1,0)</f>
        <v>0</v>
      </c>
      <c r="G235" s="1055">
        <f t="shared" si="26"/>
        <v>0</v>
      </c>
      <c r="H235" s="1055"/>
      <c r="I235" s="1055"/>
      <c r="J235" s="1055"/>
      <c r="K235" s="971"/>
      <c r="L235" s="971"/>
      <c r="M235" s="971"/>
      <c r="N235" s="971"/>
      <c r="O235" s="971"/>
      <c r="P235" s="1353"/>
      <c r="Q235" s="1353"/>
      <c r="R235" s="1353"/>
      <c r="S235" s="971"/>
      <c r="T235" s="971"/>
      <c r="U235" s="1398"/>
      <c r="V235" s="971"/>
      <c r="W235" s="971"/>
      <c r="X235" s="971"/>
      <c r="Y235" s="1353"/>
      <c r="Z235" s="971"/>
      <c r="AA235" s="971"/>
      <c r="AB235" s="1355"/>
      <c r="AC235" s="1355"/>
      <c r="AD235" s="1353"/>
    </row>
    <row r="236" spans="1:30" ht="15.75" customHeight="1" outlineLevel="1">
      <c r="A236" s="1055" t="s">
        <v>3074</v>
      </c>
      <c r="B236" s="1330" t="s">
        <v>156</v>
      </c>
      <c r="C236" s="1339">
        <f t="shared" si="24"/>
        <v>0.15</v>
      </c>
      <c r="D236" s="1055">
        <f t="shared" si="25"/>
        <v>0.05</v>
      </c>
      <c r="E236" s="1246">
        <f>IF('Ввод данных'!$A$6=связи1!$A$94,IF(дома!E235+0.05-дома!$F$140&lt;0,0,дома!E235+0.05-дома!$F$140),0)+IF(E235=0,0,IF('Ввод данных'!$A$6=связи1!$A$97,IF(дома!E235+0.05+дома!$F$140&gt;дома!$E$137+0.2,0,дома!E235+0.05+дома!$F$140),0))</f>
        <v>0</v>
      </c>
      <c r="F236" s="551">
        <f>IF(E236&lt;($E$133+0.5),1,0)*$D$141*IF('Ввод данных'!$A$19=связи1!$A$128,2,2)*IF('Ввод данных'!$F$237=связи1!$A$2,1,0)</f>
        <v>0</v>
      </c>
      <c r="G236" s="1055">
        <f t="shared" si="26"/>
        <v>0</v>
      </c>
      <c r="H236" s="1055"/>
      <c r="I236" s="1055"/>
      <c r="J236" s="1055"/>
      <c r="K236" s="971"/>
      <c r="L236" s="971"/>
      <c r="M236" s="971"/>
      <c r="N236" s="971"/>
      <c r="O236" s="971"/>
      <c r="P236" s="1353"/>
      <c r="Q236" s="1353"/>
      <c r="R236" s="1353"/>
      <c r="S236" s="971"/>
      <c r="T236" s="971"/>
      <c r="U236" s="1398"/>
      <c r="V236" s="971"/>
      <c r="W236" s="971"/>
      <c r="X236" s="971"/>
      <c r="Y236" s="1353"/>
      <c r="Z236" s="971"/>
      <c r="AA236" s="971"/>
      <c r="AB236" s="1355"/>
      <c r="AC236" s="1355"/>
      <c r="AD236" s="1353"/>
    </row>
    <row r="237" spans="1:30" ht="15.75" customHeight="1" outlineLevel="1">
      <c r="A237" s="1055" t="s">
        <v>3075</v>
      </c>
      <c r="B237" s="1330" t="s">
        <v>156</v>
      </c>
      <c r="C237" s="1339">
        <f t="shared" si="24"/>
        <v>0.15</v>
      </c>
      <c r="D237" s="1055">
        <f t="shared" si="25"/>
        <v>0.05</v>
      </c>
      <c r="E237" s="1246">
        <f>IF('Ввод данных'!$A$6=связи1!$A$94,IF(дома!E236+0.05-дома!$F$140&lt;0,0,дома!E236+0.05-дома!$F$140),0)+IF(E236=0,0,IF('Ввод данных'!$A$6=связи1!$A$97,IF(дома!E236+0.05+дома!$F$140&gt;дома!$E$137+0.2,0,дома!E236+0.05+дома!$F$140),0))</f>
        <v>0</v>
      </c>
      <c r="F237" s="551">
        <f>IF(E237&lt;($E$133+0.5),1,0)*$D$141*IF('Ввод данных'!$A$19=связи1!$A$128,2,2)*IF('Ввод данных'!$F$237=связи1!$A$2,1,0)</f>
        <v>0</v>
      </c>
      <c r="G237" s="1055">
        <f t="shared" si="26"/>
        <v>0</v>
      </c>
      <c r="H237" s="1055"/>
      <c r="I237" s="1055"/>
      <c r="J237" s="1055"/>
      <c r="K237" s="971"/>
      <c r="L237" s="971"/>
      <c r="M237" s="971"/>
      <c r="N237" s="971"/>
      <c r="O237" s="971"/>
      <c r="P237" s="1353"/>
      <c r="Q237" s="1353"/>
      <c r="R237" s="1353"/>
      <c r="S237" s="971"/>
      <c r="T237" s="971"/>
      <c r="U237" s="1398"/>
      <c r="V237" s="971"/>
      <c r="W237" s="971"/>
      <c r="X237" s="971"/>
      <c r="Y237" s="1353"/>
      <c r="Z237" s="971"/>
      <c r="AA237" s="971"/>
      <c r="AB237" s="1355"/>
      <c r="AC237" s="1355"/>
      <c r="AD237" s="1353"/>
    </row>
    <row r="238" spans="1:30" ht="15.75" customHeight="1" outlineLevel="1">
      <c r="A238" s="1055" t="s">
        <v>3076</v>
      </c>
      <c r="B238" s="1330" t="s">
        <v>156</v>
      </c>
      <c r="C238" s="1339">
        <f t="shared" si="24"/>
        <v>0.15</v>
      </c>
      <c r="D238" s="1055">
        <f t="shared" si="25"/>
        <v>0.05</v>
      </c>
      <c r="E238" s="1246">
        <f>IF('Ввод данных'!$A$6=связи1!$A$94,IF(дома!E237+0.05-дома!$F$140&lt;0,0,дома!E237+0.05-дома!$F$140),0)+IF(E237=0,0,IF('Ввод данных'!$A$6=связи1!$A$97,IF(дома!E237+0.05+дома!$F$140&gt;дома!$E$137+0.2,0,дома!E237+0.05+дома!$F$140),0))</f>
        <v>0</v>
      </c>
      <c r="F238" s="551">
        <f>IF(E238&lt;($E$133+0.5),1,0)*$D$141*IF('Ввод данных'!$A$19=связи1!$A$128,2,2)*IF('Ввод данных'!$F$237=связи1!$A$2,1,0)</f>
        <v>0</v>
      </c>
      <c r="G238" s="1055">
        <f t="shared" si="26"/>
        <v>0</v>
      </c>
      <c r="H238" s="1055"/>
      <c r="I238" s="1055"/>
      <c r="J238" s="1055"/>
      <c r="K238" s="971"/>
      <c r="L238" s="971"/>
      <c r="M238" s="971"/>
      <c r="N238" s="971"/>
      <c r="O238" s="971"/>
      <c r="P238" s="1353"/>
      <c r="Q238" s="1353"/>
      <c r="R238" s="1353"/>
      <c r="S238" s="971"/>
      <c r="T238" s="971"/>
      <c r="U238" s="1398"/>
      <c r="V238" s="971"/>
      <c r="W238" s="971"/>
      <c r="X238" s="971"/>
      <c r="Y238" s="1353"/>
      <c r="Z238" s="971"/>
      <c r="AA238" s="971"/>
      <c r="AB238" s="1355"/>
      <c r="AC238" s="1355"/>
      <c r="AD238" s="1353"/>
    </row>
    <row r="239" spans="1:30" ht="15.75" customHeight="1" outlineLevel="1">
      <c r="A239" s="1055" t="s">
        <v>3077</v>
      </c>
      <c r="B239" s="1330" t="s">
        <v>156</v>
      </c>
      <c r="C239" s="1339">
        <f t="shared" si="24"/>
        <v>0.15</v>
      </c>
      <c r="D239" s="1055">
        <f t="shared" si="25"/>
        <v>0.05</v>
      </c>
      <c r="E239" s="1246">
        <f>IF('Ввод данных'!$A$6=связи1!$A$94,IF(дома!E238+0.05-дома!$F$140&lt;0,0,дома!E238+0.05-дома!$F$140),0)+IF(E238=0,0,IF('Ввод данных'!$A$6=связи1!$A$97,IF(дома!E238+0.05+дома!$F$140&gt;дома!$E$137+0.2,0,дома!E238+0.05+дома!$F$140),0))</f>
        <v>0</v>
      </c>
      <c r="F239" s="551">
        <f>IF(E239&lt;($E$133+0.5),1,0)*$D$141*IF('Ввод данных'!$A$19=связи1!$A$128,2,2)*IF('Ввод данных'!$F$237=связи1!$A$2,1,0)</f>
        <v>0</v>
      </c>
      <c r="G239" s="1055">
        <f t="shared" si="26"/>
        <v>0</v>
      </c>
      <c r="H239" s="1055"/>
      <c r="I239" s="1055"/>
      <c r="J239" s="1055"/>
      <c r="K239" s="971"/>
      <c r="L239" s="971"/>
      <c r="M239" s="971"/>
      <c r="N239" s="971"/>
      <c r="O239" s="971"/>
      <c r="P239" s="1353"/>
      <c r="Q239" s="1353"/>
      <c r="R239" s="1353"/>
      <c r="S239" s="971"/>
      <c r="T239" s="971"/>
      <c r="U239" s="1398"/>
      <c r="V239" s="971"/>
      <c r="W239" s="971"/>
      <c r="X239" s="971"/>
      <c r="Y239" s="1353"/>
      <c r="Z239" s="971"/>
      <c r="AA239" s="971"/>
      <c r="AB239" s="1355"/>
      <c r="AC239" s="1355"/>
      <c r="AD239" s="1353"/>
    </row>
    <row r="240" spans="1:30" ht="15.75" customHeight="1" outlineLevel="1">
      <c r="A240" s="1055" t="s">
        <v>3078</v>
      </c>
      <c r="B240" s="1330" t="s">
        <v>156</v>
      </c>
      <c r="C240" s="1339">
        <f t="shared" si="24"/>
        <v>0.15</v>
      </c>
      <c r="D240" s="1055">
        <f t="shared" si="25"/>
        <v>0.05</v>
      </c>
      <c r="E240" s="1246">
        <f>IF('Ввод данных'!$A$6=связи1!$A$94,IF(дома!E239+0.05-дома!$F$140&lt;0,0,дома!E239+0.05-дома!$F$140),0)+IF(E239=0,0,IF('Ввод данных'!$A$6=связи1!$A$97,IF(дома!E239+0.05+дома!$F$140&gt;дома!$E$137+0.2,0,дома!E239+0.05+дома!$F$140),0))</f>
        <v>0</v>
      </c>
      <c r="F240" s="551">
        <f>IF(E240&lt;($E$133+0.5),1,0)*$D$141*IF('Ввод данных'!$A$19=связи1!$A$128,2,2)*IF('Ввод данных'!$F$237=связи1!$A$2,1,0)</f>
        <v>0</v>
      </c>
      <c r="G240" s="1055">
        <f t="shared" si="26"/>
        <v>0</v>
      </c>
      <c r="H240" s="1055"/>
      <c r="I240" s="1055"/>
      <c r="J240" s="1055"/>
      <c r="K240" s="971"/>
      <c r="L240" s="971"/>
      <c r="M240" s="971"/>
      <c r="N240" s="971"/>
      <c r="O240" s="971"/>
      <c r="P240" s="1353"/>
      <c r="Q240" s="1353"/>
      <c r="R240" s="1353"/>
      <c r="S240" s="971"/>
      <c r="T240" s="971"/>
      <c r="U240" s="1398"/>
      <c r="V240" s="971"/>
      <c r="W240" s="971"/>
      <c r="X240" s="971"/>
      <c r="Y240" s="1353"/>
      <c r="Z240" s="971"/>
      <c r="AA240" s="971"/>
      <c r="AB240" s="1355"/>
      <c r="AC240" s="1355"/>
      <c r="AD240" s="1353"/>
    </row>
    <row r="241" spans="1:30" ht="15.75" customHeight="1" outlineLevel="1">
      <c r="A241" s="1055" t="s">
        <v>3079</v>
      </c>
      <c r="B241" s="1330" t="s">
        <v>156</v>
      </c>
      <c r="C241" s="1339">
        <f t="shared" si="24"/>
        <v>0.15</v>
      </c>
      <c r="D241" s="1055">
        <f t="shared" si="25"/>
        <v>0.05</v>
      </c>
      <c r="E241" s="1246">
        <f>IF('Ввод данных'!$A$6=связи1!$A$94,IF(дома!E240+0.05-дома!$F$140&lt;0,0,дома!E240+0.05-дома!$F$140),0)+IF(E240=0,0,IF('Ввод данных'!$A$6=связи1!$A$97,IF(дома!E240+0.05+дома!$F$140&gt;дома!$E$137+0.2,0,дома!E240+0.05+дома!$F$140),0))</f>
        <v>0</v>
      </c>
      <c r="F241" s="551">
        <f>IF(E241&lt;($E$133+0.5),1,0)*$D$141*IF('Ввод данных'!$A$19=связи1!$A$128,2,2)*IF('Ввод данных'!$F$237=связи1!$A$2,1,0)</f>
        <v>0</v>
      </c>
      <c r="G241" s="1055">
        <f t="shared" si="26"/>
        <v>0</v>
      </c>
      <c r="H241" s="1055"/>
      <c r="I241" s="1055"/>
      <c r="J241" s="1055"/>
      <c r="K241" s="971"/>
      <c r="L241" s="971"/>
      <c r="M241" s="971"/>
      <c r="N241" s="971"/>
      <c r="O241" s="971"/>
      <c r="P241" s="1353"/>
      <c r="Q241" s="1353"/>
      <c r="R241" s="1353"/>
      <c r="S241" s="971"/>
      <c r="T241" s="971"/>
      <c r="U241" s="1398"/>
      <c r="V241" s="971"/>
      <c r="W241" s="971"/>
      <c r="X241" s="971"/>
      <c r="Y241" s="1353"/>
      <c r="Z241" s="971"/>
      <c r="AA241" s="971"/>
      <c r="AB241" s="1355"/>
      <c r="AC241" s="1355"/>
      <c r="AD241" s="1353"/>
    </row>
    <row r="242" spans="1:30" ht="15.75" customHeight="1" outlineLevel="1">
      <c r="A242" s="1055" t="s">
        <v>3080</v>
      </c>
      <c r="B242" s="1330" t="s">
        <v>156</v>
      </c>
      <c r="C242" s="1339">
        <f t="shared" si="24"/>
        <v>0.15</v>
      </c>
      <c r="D242" s="1055">
        <f t="shared" si="25"/>
        <v>0.05</v>
      </c>
      <c r="E242" s="1246">
        <f>IF('Ввод данных'!$A$6=связи1!$A$94,IF(дома!E241+0.05-дома!$F$140&lt;0,0,дома!E241+0.05-дома!$F$140),0)+IF(E241=0,0,IF('Ввод данных'!$A$6=связи1!$A$97,IF(дома!E241+0.05+дома!$F$140&gt;дома!$E$137+0.2,0,дома!E241+0.05+дома!$F$140),0))</f>
        <v>0</v>
      </c>
      <c r="F242" s="551">
        <f>IF(E242&lt;($E$133+0.5),1,0)*$D$141*IF('Ввод данных'!$A$19=связи1!$A$128,2,2)*IF('Ввод данных'!$F$237=связи1!$A$2,1,0)</f>
        <v>0</v>
      </c>
      <c r="G242" s="1055">
        <f t="shared" si="26"/>
        <v>0</v>
      </c>
      <c r="H242" s="1055"/>
      <c r="I242" s="1055"/>
      <c r="J242" s="1055"/>
      <c r="K242" s="971"/>
      <c r="L242" s="971"/>
      <c r="M242" s="971"/>
      <c r="N242" s="971"/>
      <c r="O242" s="971"/>
      <c r="P242" s="1353"/>
      <c r="Q242" s="1353"/>
      <c r="R242" s="1353"/>
      <c r="S242" s="971"/>
      <c r="T242" s="971"/>
      <c r="U242" s="1398"/>
      <c r="V242" s="971"/>
      <c r="W242" s="971"/>
      <c r="X242" s="971"/>
      <c r="Y242" s="1353"/>
      <c r="Z242" s="971"/>
      <c r="AA242" s="971"/>
      <c r="AB242" s="1355"/>
      <c r="AC242" s="1355"/>
      <c r="AD242" s="1353"/>
    </row>
    <row r="243" spans="1:30" ht="15.75" customHeight="1" outlineLevel="1">
      <c r="A243" s="1055" t="s">
        <v>3081</v>
      </c>
      <c r="B243" s="1330" t="s">
        <v>156</v>
      </c>
      <c r="C243" s="1339">
        <f t="shared" si="24"/>
        <v>0.15</v>
      </c>
      <c r="D243" s="1055">
        <f t="shared" si="25"/>
        <v>0.05</v>
      </c>
      <c r="E243" s="1246">
        <f>IF('Ввод данных'!$A$6=связи1!$A$94,IF(дома!E242+0.05-дома!$F$140&lt;0,0,дома!E242+0.05-дома!$F$140),0)+IF(E242=0,0,IF('Ввод данных'!$A$6=связи1!$A$97,IF(дома!E242+0.05+дома!$F$140&gt;дома!$E$137+0.2,0,дома!E242+0.05+дома!$F$140),0))</f>
        <v>0</v>
      </c>
      <c r="F243" s="551">
        <f>IF(E243&lt;($E$133+0.5),1,0)*$D$141*IF('Ввод данных'!$A$19=связи1!$A$128,2,2)*IF('Ввод данных'!$F$237=связи1!$A$2,1,0)</f>
        <v>0</v>
      </c>
      <c r="G243" s="1055">
        <f t="shared" si="26"/>
        <v>0</v>
      </c>
      <c r="H243" s="1055"/>
      <c r="I243" s="1055"/>
      <c r="J243" s="1055"/>
      <c r="K243" s="971"/>
      <c r="L243" s="971"/>
      <c r="M243" s="971"/>
      <c r="N243" s="971"/>
      <c r="O243" s="971"/>
      <c r="P243" s="1353"/>
      <c r="Q243" s="1353"/>
      <c r="R243" s="1353"/>
      <c r="S243" s="971"/>
      <c r="T243" s="971"/>
      <c r="U243" s="1398"/>
      <c r="V243" s="971"/>
      <c r="W243" s="971"/>
      <c r="X243" s="971"/>
      <c r="Y243" s="1353"/>
      <c r="Z243" s="971"/>
      <c r="AA243" s="971"/>
      <c r="AB243" s="1355"/>
      <c r="AC243" s="1355"/>
      <c r="AD243" s="1353"/>
    </row>
    <row r="244" spans="1:30" ht="15.75" customHeight="1" outlineLevel="1">
      <c r="A244" s="1055" t="s">
        <v>3082</v>
      </c>
      <c r="B244" s="1330" t="s">
        <v>156</v>
      </c>
      <c r="C244" s="1339">
        <f t="shared" si="24"/>
        <v>0.15</v>
      </c>
      <c r="D244" s="1055">
        <f t="shared" si="25"/>
        <v>0.05</v>
      </c>
      <c r="E244" s="1246">
        <f>IF('Ввод данных'!$A$6=связи1!$A$94,IF(дома!E243+0.05-дома!$F$140&lt;0,0,дома!E243+0.05-дома!$F$140),0)+IF(E243=0,0,IF('Ввод данных'!$A$6=связи1!$A$97,IF(дома!E243+0.05+дома!$F$140&gt;дома!$E$137+0.2,0,дома!E243+0.05+дома!$F$140),0))</f>
        <v>0</v>
      </c>
      <c r="F244" s="551">
        <f>IF(E244&lt;($E$133+0.5),1,0)*$D$141*IF('Ввод данных'!$A$19=связи1!$A$128,2,2)*IF('Ввод данных'!$F$237=связи1!$A$2,1,0)</f>
        <v>0</v>
      </c>
      <c r="G244" s="1055">
        <f t="shared" si="26"/>
        <v>0</v>
      </c>
      <c r="H244" s="1055"/>
      <c r="I244" s="1055"/>
      <c r="J244" s="1055"/>
      <c r="K244" s="971"/>
      <c r="L244" s="971"/>
      <c r="M244" s="971"/>
      <c r="N244" s="971"/>
      <c r="O244" s="971"/>
      <c r="P244" s="1353"/>
      <c r="Q244" s="1353"/>
      <c r="R244" s="1353"/>
      <c r="S244" s="971"/>
      <c r="T244" s="971"/>
      <c r="U244" s="1398"/>
      <c r="V244" s="971"/>
      <c r="W244" s="971"/>
      <c r="X244" s="971"/>
      <c r="Y244" s="1353"/>
      <c r="Z244" s="971"/>
      <c r="AA244" s="971"/>
      <c r="AB244" s="1355"/>
      <c r="AC244" s="1355"/>
      <c r="AD244" s="1353"/>
    </row>
    <row r="245" spans="1:30" ht="15.75" customHeight="1" outlineLevel="1">
      <c r="A245" s="1055" t="s">
        <v>3083</v>
      </c>
      <c r="B245" s="1330" t="s">
        <v>156</v>
      </c>
      <c r="C245" s="1339">
        <f t="shared" si="24"/>
        <v>0.15</v>
      </c>
      <c r="D245" s="1055">
        <f t="shared" si="25"/>
        <v>0.05</v>
      </c>
      <c r="E245" s="1246">
        <f>IF('Ввод данных'!$A$6=связи1!$A$94,IF(дома!E244+0.05-дома!$F$140&lt;0,0,дома!E244+0.05-дома!$F$140),0)+IF(E244=0,0,IF('Ввод данных'!$A$6=связи1!$A$97,IF(дома!E244+0.05+дома!$F$140&gt;дома!$E$137+0.2,0,дома!E244+0.05+дома!$F$140),0))</f>
        <v>0</v>
      </c>
      <c r="F245" s="551">
        <f>IF(E245&lt;($E$133+0.5),1,0)*$D$141*IF('Ввод данных'!$A$19=связи1!$A$128,2,2)*IF('Ввод данных'!$F$237=связи1!$A$2,1,0)</f>
        <v>0</v>
      </c>
      <c r="G245" s="1055">
        <f t="shared" si="26"/>
        <v>0</v>
      </c>
      <c r="H245" s="1055"/>
      <c r="I245" s="1055"/>
      <c r="J245" s="1055"/>
      <c r="K245" s="971"/>
      <c r="L245" s="971"/>
      <c r="M245" s="971"/>
      <c r="N245" s="971"/>
      <c r="O245" s="971"/>
      <c r="P245" s="1353"/>
      <c r="Q245" s="1353"/>
      <c r="R245" s="1353"/>
      <c r="S245" s="971"/>
      <c r="T245" s="971"/>
      <c r="U245" s="1398"/>
      <c r="V245" s="971"/>
      <c r="W245" s="971"/>
      <c r="X245" s="971"/>
      <c r="Y245" s="1353"/>
      <c r="Z245" s="971"/>
      <c r="AA245" s="971"/>
      <c r="AB245" s="1355"/>
      <c r="AC245" s="1355"/>
      <c r="AD245" s="1353"/>
    </row>
    <row r="246" spans="1:30" ht="15.75" customHeight="1" outlineLevel="1">
      <c r="A246" s="1055" t="s">
        <v>3084</v>
      </c>
      <c r="B246" s="1330" t="s">
        <v>156</v>
      </c>
      <c r="C246" s="1339">
        <f t="shared" ref="C246:C277" si="27">$C$143</f>
        <v>0.15</v>
      </c>
      <c r="D246" s="1055">
        <f t="shared" ref="D246:D277" si="28">$D$143</f>
        <v>0.05</v>
      </c>
      <c r="E246" s="1246">
        <f>IF('Ввод данных'!$A$6=связи1!$A$94,IF(дома!E245+0.05-дома!$F$140&lt;0,0,дома!E245+0.05-дома!$F$140),0)+IF(E245=0,0,IF('Ввод данных'!$A$6=связи1!$A$97,IF(дома!E245+0.05+дома!$F$140&gt;дома!$E$137+0.2,0,дома!E245+0.05+дома!$F$140),0))</f>
        <v>0</v>
      </c>
      <c r="F246" s="551">
        <f>IF(E246&lt;($E$133+0.5),1,0)*$D$141*IF('Ввод данных'!$A$19=связи1!$A$128,2,2)*IF('Ввод данных'!$F$237=связи1!$A$2,1,0)</f>
        <v>0</v>
      </c>
      <c r="G246" s="1055">
        <f t="shared" si="26"/>
        <v>0</v>
      </c>
      <c r="H246" s="1055"/>
      <c r="I246" s="1055"/>
      <c r="J246" s="1055"/>
      <c r="K246" s="971"/>
      <c r="L246" s="971"/>
      <c r="M246" s="971"/>
      <c r="N246" s="971"/>
      <c r="O246" s="971"/>
      <c r="P246" s="1353"/>
      <c r="Q246" s="1353"/>
      <c r="R246" s="1353"/>
      <c r="S246" s="971"/>
      <c r="T246" s="971"/>
      <c r="U246" s="1398"/>
      <c r="V246" s="971"/>
      <c r="W246" s="971"/>
      <c r="X246" s="971"/>
      <c r="Y246" s="1353"/>
      <c r="Z246" s="971"/>
      <c r="AA246" s="971"/>
      <c r="AB246" s="1355"/>
      <c r="AC246" s="1355"/>
      <c r="AD246" s="1353"/>
    </row>
    <row r="247" spans="1:30" ht="15.75" customHeight="1" outlineLevel="1">
      <c r="A247" s="1055" t="s">
        <v>3085</v>
      </c>
      <c r="B247" s="1330" t="s">
        <v>156</v>
      </c>
      <c r="C247" s="1339">
        <f t="shared" si="27"/>
        <v>0.15</v>
      </c>
      <c r="D247" s="1055">
        <f t="shared" si="28"/>
        <v>0.05</v>
      </c>
      <c r="E247" s="1246">
        <f>IF('Ввод данных'!$A$6=связи1!$A$94,IF(дома!E246+0.05-дома!$F$140&lt;0,0,дома!E246+0.05-дома!$F$140),0)+IF(E246=0,0,IF('Ввод данных'!$A$6=связи1!$A$97,IF(дома!E246+0.05+дома!$F$140&gt;дома!$E$137+0.2,0,дома!E246+0.05+дома!$F$140),0))</f>
        <v>0</v>
      </c>
      <c r="F247" s="551">
        <f>IF(E247&lt;($E$133+0.5),1,0)*$D$141*IF('Ввод данных'!$A$19=связи1!$A$128,2,2)*IF('Ввод данных'!$F$237=связи1!$A$2,1,0)</f>
        <v>0</v>
      </c>
      <c r="G247" s="1055">
        <f t="shared" si="26"/>
        <v>0</v>
      </c>
      <c r="H247" s="1055"/>
      <c r="I247" s="1055"/>
      <c r="J247" s="1055"/>
      <c r="K247" s="971"/>
      <c r="L247" s="971"/>
      <c r="M247" s="971"/>
      <c r="N247" s="971"/>
      <c r="O247" s="971"/>
      <c r="P247" s="1353"/>
      <c r="Q247" s="1353"/>
      <c r="R247" s="1353"/>
      <c r="S247" s="971"/>
      <c r="T247" s="971"/>
      <c r="U247" s="1398"/>
      <c r="V247" s="971"/>
      <c r="W247" s="971"/>
      <c r="X247" s="971"/>
      <c r="Y247" s="1353"/>
      <c r="Z247" s="971"/>
      <c r="AA247" s="971"/>
      <c r="AB247" s="1355"/>
      <c r="AC247" s="1355"/>
      <c r="AD247" s="1353"/>
    </row>
    <row r="248" spans="1:30" ht="15.75" customHeight="1" outlineLevel="1">
      <c r="A248" s="1055" t="s">
        <v>3052</v>
      </c>
      <c r="B248" s="1330" t="s">
        <v>156</v>
      </c>
      <c r="C248" s="1339">
        <f t="shared" si="27"/>
        <v>0.15</v>
      </c>
      <c r="D248" s="1055">
        <f t="shared" si="28"/>
        <v>0.05</v>
      </c>
      <c r="E248" s="1246">
        <f>F138*1.05*D141</f>
        <v>7.4246212024587495</v>
      </c>
      <c r="F248" s="551">
        <f>IF(E248&lt;($E$133+0.5),1,0)*$D$141*IF('Ввод данных'!$A$19=связи1!$A$128,2,2)*IF('Ввод данных'!$F$237=связи1!$A$2,1,0)</f>
        <v>0</v>
      </c>
      <c r="G248" s="1055">
        <f t="shared" ref="G248:G279" si="29">C248*D248*E248*F248</f>
        <v>0</v>
      </c>
      <c r="H248" s="1055"/>
      <c r="I248" s="1055"/>
      <c r="J248" s="1055"/>
      <c r="K248" s="971"/>
      <c r="L248" s="971"/>
      <c r="M248" s="971"/>
      <c r="N248" s="971"/>
      <c r="O248" s="971"/>
      <c r="P248" s="1353"/>
      <c r="Q248" s="1353"/>
      <c r="R248" s="1353"/>
      <c r="S248" s="971"/>
      <c r="T248" s="971"/>
      <c r="U248" s="1398"/>
      <c r="V248" s="971"/>
      <c r="W248" s="971"/>
      <c r="X248" s="971"/>
      <c r="Y248" s="1353"/>
      <c r="Z248" s="971"/>
      <c r="AA248" s="971"/>
      <c r="AB248" s="1355"/>
      <c r="AC248" s="1355"/>
      <c r="AD248" s="1353"/>
    </row>
    <row r="249" spans="1:30" ht="15.75" customHeight="1" outlineLevel="1">
      <c r="A249" s="1055" t="s">
        <v>3053</v>
      </c>
      <c r="B249" s="1330" t="s">
        <v>156</v>
      </c>
      <c r="C249" s="1339">
        <f t="shared" si="27"/>
        <v>0.15</v>
      </c>
      <c r="D249" s="1055">
        <f t="shared" si="28"/>
        <v>0.05</v>
      </c>
      <c r="E249" s="1246">
        <f>C137*D141</f>
        <v>5</v>
      </c>
      <c r="F249" s="551">
        <f>IF(E249&lt;($E$133+0.5),1,0)*$D$141*IF('Ввод данных'!$A$19=связи1!$A$128,2,2)*IF('Ввод данных'!$F$237=связи1!$A$2,1,0)</f>
        <v>0</v>
      </c>
      <c r="G249" s="1055">
        <f t="shared" si="29"/>
        <v>0</v>
      </c>
      <c r="H249" s="1055"/>
      <c r="I249" s="1055"/>
      <c r="J249" s="1055"/>
      <c r="K249" s="971"/>
      <c r="L249" s="971"/>
      <c r="M249" s="971"/>
      <c r="N249" s="971"/>
      <c r="O249" s="971"/>
      <c r="P249" s="1353"/>
      <c r="Q249" s="1353"/>
      <c r="R249" s="1353"/>
      <c r="S249" s="971"/>
      <c r="T249" s="971"/>
      <c r="U249" s="1398"/>
      <c r="V249" s="971"/>
      <c r="W249" s="971"/>
      <c r="X249" s="971"/>
      <c r="Y249" s="1353"/>
      <c r="Z249" s="971"/>
      <c r="AA249" s="971"/>
      <c r="AB249" s="1355"/>
      <c r="AC249" s="1355"/>
      <c r="AD249" s="1353"/>
    </row>
    <row r="250" spans="1:30" ht="15.75" customHeight="1" outlineLevel="1">
      <c r="A250" s="1055" t="s">
        <v>3054</v>
      </c>
      <c r="B250" s="1330" t="s">
        <v>156</v>
      </c>
      <c r="C250" s="1339">
        <f t="shared" si="27"/>
        <v>0.15</v>
      </c>
      <c r="D250" s="1055">
        <f t="shared" si="28"/>
        <v>0.05</v>
      </c>
      <c r="E250" s="1246">
        <f>E248*D141</f>
        <v>7.4246212024587495</v>
      </c>
      <c r="F250" s="551">
        <f>IF(E250&lt;($E$133+0.5),1,0)*$D$141*IF('Ввод данных'!$A$19=связи1!$A$128,2,2)*IF('Ввод данных'!$F$237=связи1!$A$2,1,0)</f>
        <v>0</v>
      </c>
      <c r="G250" s="1055">
        <f t="shared" si="29"/>
        <v>0</v>
      </c>
      <c r="H250" s="1055"/>
      <c r="I250" s="1055"/>
      <c r="J250" s="1055"/>
      <c r="K250" s="971"/>
      <c r="L250" s="971"/>
      <c r="M250" s="971"/>
      <c r="N250" s="971"/>
      <c r="O250" s="971"/>
      <c r="P250" s="1353"/>
      <c r="Q250" s="1353"/>
      <c r="R250" s="1353"/>
      <c r="S250" s="971"/>
      <c r="T250" s="971"/>
      <c r="U250" s="1398"/>
      <c r="V250" s="971"/>
      <c r="W250" s="971"/>
      <c r="X250" s="971"/>
      <c r="Y250" s="1353"/>
      <c r="Z250" s="971"/>
      <c r="AA250" s="971"/>
      <c r="AB250" s="1355"/>
      <c r="AC250" s="1355"/>
      <c r="AD250" s="1353"/>
    </row>
    <row r="251" spans="1:30" ht="15.75" customHeight="1" outlineLevel="1">
      <c r="A251" s="1415" t="s">
        <v>3086</v>
      </c>
      <c r="B251" s="1366" t="s">
        <v>156</v>
      </c>
      <c r="C251" s="1416">
        <f t="shared" si="27"/>
        <v>0.15</v>
      </c>
      <c r="D251" s="1417">
        <f t="shared" si="28"/>
        <v>0.05</v>
      </c>
      <c r="E251" s="1418">
        <f>IF('Ввод данных'!A6=связи1!A94,'Ввод данных'!C13,0)+IF('Ввод данных'!A6=связи1!A95,'Ввод данных'!C13,0)+IF('Ввод данных'!A6=связи1!A96,'Ввод данных'!C13,0)+IF('Ввод данных'!A6=связи1!A98,'Ввод данных'!C13,0)+IF('Ввод данных'!A6=связи1!A97,'Ввод данных'!C15,0)</f>
        <v>3</v>
      </c>
      <c r="F251" s="1417">
        <f>CEILING(C128/G124+1,1)*IF('Ввод данных'!F312=связи1!A2,1,0)</f>
        <v>0</v>
      </c>
      <c r="G251" s="1417">
        <f t="shared" si="29"/>
        <v>0</v>
      </c>
      <c r="H251" s="1417"/>
      <c r="I251" s="1055"/>
      <c r="J251" s="1055"/>
      <c r="K251" s="971"/>
      <c r="L251" s="971"/>
      <c r="M251" s="971"/>
      <c r="N251" s="971"/>
      <c r="O251" s="971"/>
      <c r="P251" s="1353"/>
      <c r="Q251" s="1353"/>
      <c r="R251" s="1353"/>
      <c r="S251" s="971"/>
      <c r="T251" s="971"/>
      <c r="U251" s="1398"/>
      <c r="V251" s="971"/>
      <c r="W251" s="971"/>
      <c r="X251" s="971"/>
      <c r="Y251" s="1353"/>
      <c r="Z251" s="971"/>
      <c r="AA251" s="971"/>
      <c r="AB251" s="1355"/>
      <c r="AC251" s="1355"/>
      <c r="AD251" s="1353"/>
    </row>
    <row r="252" spans="1:30" ht="15.75" customHeight="1" outlineLevel="1">
      <c r="A252" s="1415" t="s">
        <v>3087</v>
      </c>
      <c r="B252" s="1366" t="s">
        <v>156</v>
      </c>
      <c r="C252" s="1416">
        <f t="shared" si="27"/>
        <v>0.15</v>
      </c>
      <c r="D252" s="1417">
        <f t="shared" si="28"/>
        <v>0.05</v>
      </c>
      <c r="E252" s="1418">
        <f>IF('Ввод данных'!A6=связи1!A94,'Ввод данных'!C13,0)+IF('Ввод данных'!A6=связи1!A95,'Ввод данных'!C13,0)+IF('Ввод данных'!A6=связи1!A96,'Ввод данных'!C13,0)+IF('Ввод данных'!A6=связи1!A98,'Ввод данных'!C13,0)+IF('Ввод данных'!A6=связи1!A97,'Ввод данных'!C15,0)</f>
        <v>3</v>
      </c>
      <c r="F252" s="1417">
        <f>CEILING(C129/G129+1,1)*IF('Ввод данных'!F312=связи1!A2,1,0)</f>
        <v>0</v>
      </c>
      <c r="G252" s="1417">
        <f t="shared" si="29"/>
        <v>0</v>
      </c>
      <c r="H252" s="1417"/>
      <c r="I252" s="1055"/>
      <c r="J252" s="1055"/>
      <c r="K252" s="971"/>
      <c r="L252" s="971"/>
      <c r="M252" s="971"/>
      <c r="N252" s="971"/>
      <c r="O252" s="971"/>
      <c r="P252" s="1353"/>
      <c r="Q252" s="1353"/>
      <c r="R252" s="1353"/>
      <c r="S252" s="971"/>
      <c r="T252" s="971"/>
      <c r="U252" s="1398"/>
      <c r="V252" s="971"/>
      <c r="W252" s="971"/>
      <c r="X252" s="971"/>
      <c r="Y252" s="1353"/>
      <c r="Z252" s="971"/>
      <c r="AA252" s="971"/>
      <c r="AB252" s="1355"/>
      <c r="AC252" s="1355"/>
      <c r="AD252" s="1353"/>
    </row>
    <row r="253" spans="1:30" ht="15.75" customHeight="1" outlineLevel="1">
      <c r="A253" s="1419" t="s">
        <v>3088</v>
      </c>
      <c r="B253" s="1366" t="s">
        <v>156</v>
      </c>
      <c r="C253" s="1416">
        <f t="shared" si="27"/>
        <v>0.15</v>
      </c>
      <c r="D253" s="1417">
        <f t="shared" si="28"/>
        <v>0.05</v>
      </c>
      <c r="E253" s="1418">
        <f>IF('Ввод данных'!A6=связи1!A94,'Ввод данных'!C13,0)+IF('Ввод данных'!A6=связи1!A95,'Ввод данных'!C13,0)+IF('Ввод данных'!A6=связи1!A96,'Ввод данных'!C13,0)+IF('Ввод данных'!A6=связи1!A98,'Ввод данных'!C13,0)+IF('Ввод данных'!A6=связи1!A97,'Ввод данных'!C15,0)</f>
        <v>3</v>
      </c>
      <c r="F253" s="1417">
        <f>4*IF('Ввод данных'!F312=связи1!A2,1,0)</f>
        <v>0</v>
      </c>
      <c r="G253" s="1417">
        <f t="shared" si="29"/>
        <v>0</v>
      </c>
      <c r="H253" s="1417"/>
      <c r="I253" s="1055"/>
      <c r="J253" s="1055"/>
      <c r="K253" s="971"/>
      <c r="L253" s="971"/>
      <c r="M253" s="971"/>
      <c r="N253" s="971"/>
      <c r="O253" s="971"/>
      <c r="P253" s="1353"/>
      <c r="Q253" s="1353"/>
      <c r="R253" s="1353"/>
      <c r="S253" s="971"/>
      <c r="T253" s="971"/>
      <c r="U253" s="1398"/>
      <c r="V253" s="971"/>
      <c r="W253" s="971"/>
      <c r="X253" s="971"/>
      <c r="Y253" s="1353"/>
      <c r="Z253" s="971"/>
      <c r="AA253" s="971"/>
      <c r="AB253" s="1355"/>
      <c r="AC253" s="1355"/>
      <c r="AD253" s="1353"/>
    </row>
    <row r="254" spans="1:30" ht="15.75" customHeight="1" outlineLevel="1">
      <c r="A254" s="1419" t="s">
        <v>3089</v>
      </c>
      <c r="B254" s="1366" t="s">
        <v>156</v>
      </c>
      <c r="C254" s="1416">
        <f t="shared" si="27"/>
        <v>0.15</v>
      </c>
      <c r="D254" s="1417">
        <f t="shared" si="28"/>
        <v>0.05</v>
      </c>
      <c r="E254" s="1418">
        <f>IF('Ввод данных'!A6=связи1!A94,'Ввод данных'!C13,0)+IF('Ввод данных'!A6=связи1!A95,'Ввод данных'!C13,0)+IF('Ввод данных'!A6=связи1!A96,'Ввод данных'!C13,0)+IF('Ввод данных'!A6=связи1!A98,'Ввод данных'!C13,0)+IF('Ввод данных'!A6=связи1!A97,'Ввод данных'!C13,0)</f>
        <v>3</v>
      </c>
      <c r="F254" s="1417">
        <f>CEILING(C124/G124,1)*IF('Ввод данных'!F312=связи1!A2,1,0)</f>
        <v>0</v>
      </c>
      <c r="G254" s="1417">
        <f t="shared" si="29"/>
        <v>0</v>
      </c>
      <c r="H254" s="1417"/>
      <c r="I254" s="1055"/>
      <c r="J254" s="1055"/>
      <c r="K254" s="971"/>
      <c r="L254" s="971"/>
      <c r="M254" s="971"/>
      <c r="N254" s="971"/>
      <c r="O254" s="971"/>
      <c r="P254" s="1353"/>
      <c r="Q254" s="1353"/>
      <c r="R254" s="1353"/>
      <c r="S254" s="971"/>
      <c r="T254" s="971"/>
      <c r="U254" s="1398"/>
      <c r="V254" s="971"/>
      <c r="W254" s="971"/>
      <c r="X254" s="971"/>
      <c r="Y254" s="1353"/>
      <c r="Z254" s="971"/>
      <c r="AA254" s="971"/>
      <c r="AB254" s="1355"/>
      <c r="AC254" s="1355"/>
      <c r="AD254" s="1353"/>
    </row>
    <row r="255" spans="1:30" ht="15.75" customHeight="1" outlineLevel="1">
      <c r="A255" s="1419" t="s">
        <v>3090</v>
      </c>
      <c r="B255" s="1366" t="s">
        <v>156</v>
      </c>
      <c r="C255" s="1416">
        <f t="shared" si="27"/>
        <v>0.15</v>
      </c>
      <c r="D255" s="1417">
        <f t="shared" si="28"/>
        <v>0.05</v>
      </c>
      <c r="E255" s="1418">
        <f>C124+C127+C128+C129</f>
        <v>0</v>
      </c>
      <c r="F255" s="1417">
        <f>1*IF('Ввод данных'!F312=связи1!A2,1,0)</f>
        <v>0</v>
      </c>
      <c r="G255" s="1417">
        <f t="shared" si="29"/>
        <v>0</v>
      </c>
      <c r="H255" s="1417"/>
      <c r="I255" s="1055"/>
      <c r="J255" s="1055"/>
      <c r="K255" s="971"/>
      <c r="L255" s="971"/>
      <c r="M255" s="971"/>
      <c r="N255" s="971"/>
      <c r="O255" s="971"/>
      <c r="P255" s="1353"/>
      <c r="Q255" s="1353"/>
      <c r="R255" s="1353"/>
      <c r="S255" s="971"/>
      <c r="T255" s="971"/>
      <c r="U255" s="1398"/>
      <c r="V255" s="971"/>
      <c r="W255" s="971"/>
      <c r="X255" s="971"/>
      <c r="Y255" s="1353"/>
      <c r="Z255" s="971"/>
      <c r="AA255" s="971"/>
      <c r="AB255" s="1355"/>
      <c r="AC255" s="1355"/>
      <c r="AD255" s="1353"/>
    </row>
    <row r="256" spans="1:30" ht="15.75" customHeight="1" outlineLevel="1">
      <c r="A256" s="1419" t="s">
        <v>3091</v>
      </c>
      <c r="B256" s="1366" t="s">
        <v>156</v>
      </c>
      <c r="C256" s="1416">
        <f t="shared" si="27"/>
        <v>0.15</v>
      </c>
      <c r="D256" s="1417">
        <f t="shared" si="28"/>
        <v>0.05</v>
      </c>
      <c r="E256" s="1418">
        <f>(J1158+J1167*2+C128+C129)*1.1</f>
        <v>20.95486318323298</v>
      </c>
      <c r="F256" s="1417">
        <f>1*IF('Ввод данных'!F312=связи1!A2,1,0)</f>
        <v>0</v>
      </c>
      <c r="G256" s="1417">
        <f t="shared" si="29"/>
        <v>0</v>
      </c>
      <c r="H256" s="1417"/>
      <c r="I256" s="1055"/>
      <c r="J256" s="1055"/>
      <c r="K256" s="971"/>
      <c r="L256" s="971"/>
      <c r="M256" s="971"/>
      <c r="N256" s="971"/>
      <c r="O256" s="971"/>
      <c r="P256" s="1353"/>
      <c r="Q256" s="1353"/>
      <c r="R256" s="1353"/>
      <c r="S256" s="971"/>
      <c r="T256" s="971"/>
      <c r="U256" s="1398"/>
      <c r="V256" s="971"/>
      <c r="W256" s="971"/>
      <c r="X256" s="971"/>
      <c r="Y256" s="1353"/>
      <c r="Z256" s="971"/>
      <c r="AA256" s="971"/>
      <c r="AB256" s="1355"/>
      <c r="AC256" s="1355"/>
      <c r="AD256" s="1353"/>
    </row>
    <row r="257" spans="1:30" ht="15.75" customHeight="1" outlineLevel="1">
      <c r="A257" s="1419" t="s">
        <v>3092</v>
      </c>
      <c r="B257" s="1366" t="s">
        <v>156</v>
      </c>
      <c r="C257" s="1416">
        <f t="shared" si="27"/>
        <v>0.15</v>
      </c>
      <c r="D257" s="1417">
        <f t="shared" si="28"/>
        <v>0.05</v>
      </c>
      <c r="E257" s="1418">
        <f>(J1158+J1167*2+C128+C129)*1.1</f>
        <v>20.95486318323298</v>
      </c>
      <c r="F257" s="1417">
        <f>1*IF('Ввод данных'!F312=связи1!A2,1,0)</f>
        <v>0</v>
      </c>
      <c r="G257" s="1417">
        <f t="shared" si="29"/>
        <v>0</v>
      </c>
      <c r="H257" s="1417"/>
      <c r="I257" s="1055"/>
      <c r="J257" s="1055"/>
      <c r="K257" s="971"/>
      <c r="L257" s="971"/>
      <c r="M257" s="971"/>
      <c r="N257" s="971"/>
      <c r="O257" s="971"/>
      <c r="P257" s="1353"/>
      <c r="Q257" s="1353"/>
      <c r="R257" s="1353"/>
      <c r="S257" s="971"/>
      <c r="T257" s="971"/>
      <c r="U257" s="1398"/>
      <c r="V257" s="971"/>
      <c r="W257" s="971"/>
      <c r="X257" s="971"/>
      <c r="Y257" s="1353"/>
      <c r="Z257" s="971"/>
      <c r="AA257" s="971"/>
      <c r="AB257" s="1355"/>
      <c r="AC257" s="1355"/>
      <c r="AD257" s="1353"/>
    </row>
    <row r="258" spans="1:30" ht="15.75" customHeight="1" outlineLevel="1">
      <c r="A258" s="1420" t="s">
        <v>3093</v>
      </c>
      <c r="B258" s="1330" t="s">
        <v>156</v>
      </c>
      <c r="C258" s="1339">
        <f t="shared" si="27"/>
        <v>0.15</v>
      </c>
      <c r="D258" s="1055">
        <f t="shared" si="28"/>
        <v>0.05</v>
      </c>
      <c r="E258" s="1246">
        <f>IF('Ввод данных'!A6=связи1!A97,(C124+C127+C128+C129)*1.1,0)+IF('Ввод данных'!A6=связи1!A94,(C124+C127+C128+C129+C128+C129+C124)*1.1,0)</f>
        <v>0</v>
      </c>
      <c r="F258" s="1055">
        <f>1*IF('Ввод данных'!$F$194=связи1!$A$2,1,0)*IF('Ввод данных'!$B$155=связи1!$A$2,1,0)</f>
        <v>0</v>
      </c>
      <c r="G258" s="1055">
        <f t="shared" si="29"/>
        <v>0</v>
      </c>
      <c r="H258" s="1055"/>
      <c r="I258" s="1055"/>
      <c r="J258" s="1055"/>
      <c r="K258" s="971"/>
      <c r="L258" s="971"/>
      <c r="M258" s="971"/>
      <c r="N258" s="971"/>
      <c r="O258" s="971"/>
      <c r="P258" s="1353"/>
      <c r="Q258" s="1353"/>
      <c r="R258" s="1353"/>
      <c r="S258" s="971"/>
      <c r="T258" s="971"/>
      <c r="U258" s="1398"/>
      <c r="V258" s="971"/>
      <c r="W258" s="971"/>
      <c r="X258" s="971"/>
      <c r="Y258" s="1353"/>
      <c r="Z258" s="971"/>
      <c r="AA258" s="971"/>
      <c r="AB258" s="1355"/>
      <c r="AC258" s="1355"/>
      <c r="AD258" s="1353"/>
    </row>
    <row r="259" spans="1:30" ht="15.75" customHeight="1" outlineLevel="1">
      <c r="A259" s="1420" t="s">
        <v>3094</v>
      </c>
      <c r="B259" s="1330" t="s">
        <v>156</v>
      </c>
      <c r="C259" s="1339">
        <f t="shared" si="27"/>
        <v>0.15</v>
      </c>
      <c r="D259" s="1055">
        <f t="shared" si="28"/>
        <v>0.05</v>
      </c>
      <c r="E259" s="1246">
        <f>IF('Ввод данных'!A6=связи1!A97,(C124+C127+L135*2)*1.1,0)+IF('Ввод данных'!A6=связи1!A94,(C124+C127+дома!C124+дома!C128+дома!C129+дома!L135*2)*1.1,0)</f>
        <v>24.596747752497691</v>
      </c>
      <c r="F259" s="1055">
        <f>1*IF('Ввод данных'!$F$194=связи1!$A$2,1,0)*IF('Ввод данных'!$B$155=связи1!$A$2,1,0)</f>
        <v>0</v>
      </c>
      <c r="G259" s="1055">
        <f t="shared" si="29"/>
        <v>0</v>
      </c>
      <c r="H259" s="1055"/>
      <c r="I259" s="1055"/>
      <c r="J259" s="1055"/>
      <c r="K259" s="971"/>
      <c r="L259" s="971"/>
      <c r="M259" s="971"/>
      <c r="N259" s="971"/>
      <c r="O259" s="971"/>
      <c r="P259" s="1353"/>
      <c r="Q259" s="1353"/>
      <c r="R259" s="1353"/>
      <c r="S259" s="971"/>
      <c r="T259" s="971"/>
      <c r="U259" s="1398"/>
      <c r="V259" s="971"/>
      <c r="W259" s="971"/>
      <c r="X259" s="971"/>
      <c r="Y259" s="1353"/>
      <c r="Z259" s="971"/>
      <c r="AA259" s="971"/>
      <c r="AB259" s="1355"/>
      <c r="AC259" s="1355"/>
      <c r="AD259" s="1353"/>
    </row>
    <row r="260" spans="1:30" ht="15.75" customHeight="1" outlineLevel="1">
      <c r="A260" s="1420" t="s">
        <v>3095</v>
      </c>
      <c r="B260" s="1330" t="s">
        <v>156</v>
      </c>
      <c r="C260" s="1339">
        <f t="shared" si="27"/>
        <v>0.15</v>
      </c>
      <c r="D260" s="1055">
        <f t="shared" si="28"/>
        <v>0.05</v>
      </c>
      <c r="E260" s="1246">
        <f>IF('Ввод данных'!A6=связи1!A97,(C124+C127+L135*2)*1.1,0)+IF('Ввод данных'!A6=связи1!A94,(C124+C127+дома!C124+дома!C128+дома!C129+дома!L135*2)*1.1,0)</f>
        <v>24.596747752497691</v>
      </c>
      <c r="F260" s="1055">
        <f>1*IF('Ввод данных'!$F$194=связи1!$A$2,1,0)*IF('Ввод данных'!$B$155=связи1!$A$2,1,0)</f>
        <v>0</v>
      </c>
      <c r="G260" s="1055">
        <f t="shared" si="29"/>
        <v>0</v>
      </c>
      <c r="H260" s="1055"/>
      <c r="I260" s="1055"/>
      <c r="J260" s="1055"/>
      <c r="K260" s="971"/>
      <c r="L260" s="971"/>
      <c r="M260" s="971"/>
      <c r="N260" s="971"/>
      <c r="O260" s="971"/>
      <c r="P260" s="1353"/>
      <c r="Q260" s="1353"/>
      <c r="R260" s="1353"/>
      <c r="S260" s="971"/>
      <c r="T260" s="971"/>
      <c r="U260" s="1398"/>
      <c r="V260" s="971"/>
      <c r="W260" s="971"/>
      <c r="X260" s="971"/>
      <c r="Y260" s="1353"/>
      <c r="Z260" s="971"/>
      <c r="AA260" s="971"/>
      <c r="AB260" s="1355"/>
      <c r="AC260" s="1355"/>
      <c r="AD260" s="1353"/>
    </row>
    <row r="261" spans="1:30" ht="15.75" customHeight="1" outlineLevel="1">
      <c r="A261" s="1421" t="s">
        <v>3096</v>
      </c>
      <c r="B261" s="1330" t="s">
        <v>156</v>
      </c>
      <c r="C261" s="1339">
        <f t="shared" si="27"/>
        <v>0.15</v>
      </c>
      <c r="D261" s="1055">
        <f t="shared" si="28"/>
        <v>0.05</v>
      </c>
      <c r="E261" s="1246">
        <f>IF('Ввод данных'!A6=связи1!A97,'Ввод данных'!C15,0)+IF('Ввод данных'!A6=связи1!A94,'Ввод данных'!C13,0)</f>
        <v>3</v>
      </c>
      <c r="F261" s="1055">
        <f>CEILING(C124/G124+1,1)*IF('Ввод данных'!$F$194=связи1!$A$2,1,0)*IF('Ввод данных'!$B$155=связи1!$A$2,1,0)</f>
        <v>0</v>
      </c>
      <c r="G261" s="1055">
        <f t="shared" si="29"/>
        <v>0</v>
      </c>
      <c r="H261" s="1055"/>
      <c r="I261" s="1055"/>
      <c r="J261" s="1055"/>
      <c r="K261" s="971"/>
      <c r="L261" s="971"/>
      <c r="M261" s="971"/>
      <c r="N261" s="971"/>
      <c r="O261" s="971"/>
      <c r="P261" s="1353"/>
      <c r="Q261" s="1353"/>
      <c r="R261" s="1353"/>
      <c r="S261" s="971"/>
      <c r="T261" s="971"/>
      <c r="U261" s="1398"/>
      <c r="V261" s="971"/>
      <c r="W261" s="971"/>
      <c r="X261" s="971"/>
      <c r="Y261" s="1353"/>
      <c r="Z261" s="971"/>
      <c r="AA261" s="971"/>
      <c r="AB261" s="1355"/>
      <c r="AC261" s="1355"/>
      <c r="AD261" s="1353"/>
    </row>
    <row r="262" spans="1:30" ht="15.75" customHeight="1" outlineLevel="1">
      <c r="A262" s="1421" t="s">
        <v>3097</v>
      </c>
      <c r="B262" s="1330" t="s">
        <v>156</v>
      </c>
      <c r="C262" s="1339">
        <f t="shared" si="27"/>
        <v>0.15</v>
      </c>
      <c r="D262" s="1055">
        <f t="shared" si="28"/>
        <v>0.05</v>
      </c>
      <c r="E262" s="1246">
        <f>IF('Ввод данных'!A6=связи1!A97,'Ввод данных'!C14,0)+IF('Ввод данных'!A6=связи1!A94,'Ввод данных'!C13,0)</f>
        <v>3</v>
      </c>
      <c r="F262" s="1055">
        <f>CEILING(C124/G124+1,1)*IF('Ввод данных'!$F$194=связи1!$A$2,1,0)*IF('Ввод данных'!$B$155=связи1!$A$2,1,0)</f>
        <v>0</v>
      </c>
      <c r="G262" s="1055">
        <f t="shared" si="29"/>
        <v>0</v>
      </c>
      <c r="H262" s="1055"/>
      <c r="I262" s="1055"/>
      <c r="J262" s="1055"/>
      <c r="K262" s="971"/>
      <c r="L262" s="971"/>
      <c r="M262" s="971"/>
      <c r="N262" s="971"/>
      <c r="O262" s="971"/>
      <c r="P262" s="1353"/>
      <c r="Q262" s="1353"/>
      <c r="R262" s="1353"/>
      <c r="S262" s="971"/>
      <c r="T262" s="971"/>
      <c r="U262" s="1398"/>
      <c r="V262" s="971"/>
      <c r="W262" s="971"/>
      <c r="X262" s="971"/>
      <c r="Y262" s="1353"/>
      <c r="Z262" s="971"/>
      <c r="AA262" s="971"/>
      <c r="AB262" s="1355"/>
      <c r="AC262" s="1355"/>
      <c r="AD262" s="1353"/>
    </row>
    <row r="263" spans="1:30" ht="15.75" customHeight="1" outlineLevel="1">
      <c r="A263" s="1421" t="s">
        <v>3098</v>
      </c>
      <c r="B263" s="1330" t="s">
        <v>156</v>
      </c>
      <c r="C263" s="1339">
        <f t="shared" si="27"/>
        <v>0.15</v>
      </c>
      <c r="D263" s="1055">
        <f t="shared" si="28"/>
        <v>0.05</v>
      </c>
      <c r="E263" s="1246">
        <f>IF('Ввод данных'!A6=связи1!A97,'Ввод данных'!C14,0)+IF('Ввод данных'!A6=связи1!A94,'Ввод данных'!C13,0)</f>
        <v>3</v>
      </c>
      <c r="F263" s="1055">
        <f>IF('Ввод данных'!A6=связи1!A94,CEILING(дома!C128/дома!G128+1,1),0)*IF('Ввод данных'!$F$194=связи1!$A$2,1,0)*IF('Ввод данных'!$B$155=связи1!$A$2,1,0)</f>
        <v>0</v>
      </c>
      <c r="G263" s="1055">
        <f t="shared" si="29"/>
        <v>0</v>
      </c>
      <c r="H263" s="1055"/>
      <c r="I263" s="1055"/>
      <c r="J263" s="1055"/>
      <c r="K263" s="971"/>
      <c r="L263" s="971"/>
      <c r="M263" s="971"/>
      <c r="N263" s="971"/>
      <c r="O263" s="971"/>
      <c r="P263" s="1353"/>
      <c r="Q263" s="1353"/>
      <c r="R263" s="1353"/>
      <c r="S263" s="971"/>
      <c r="T263" s="971"/>
      <c r="U263" s="1398"/>
      <c r="V263" s="971"/>
      <c r="W263" s="971"/>
      <c r="X263" s="971"/>
      <c r="Y263" s="1353"/>
      <c r="Z263" s="971"/>
      <c r="AA263" s="971"/>
      <c r="AB263" s="1355"/>
      <c r="AC263" s="1355"/>
      <c r="AD263" s="1353"/>
    </row>
    <row r="264" spans="1:30" ht="15.75" customHeight="1" outlineLevel="1">
      <c r="A264" s="1420" t="s">
        <v>3099</v>
      </c>
      <c r="B264" s="1330" t="s">
        <v>156</v>
      </c>
      <c r="C264" s="1339">
        <f t="shared" si="27"/>
        <v>0.15</v>
      </c>
      <c r="D264" s="1055">
        <f t="shared" si="28"/>
        <v>0.05</v>
      </c>
      <c r="E264" s="1197">
        <f>IF('Ввод данных'!A6=связи1!A97,'Ввод данных'!C14,0)+IF('Ввод данных'!A6=связи1!A94,'Ввод данных'!C14-'Ввод данных'!C13,0)</f>
        <v>5</v>
      </c>
      <c r="F264" s="1055">
        <f>2*IF('Ввод данных'!$F$194=связи1!$A$2,1,0)*IF('Ввод данных'!$B$155=связи1!$A$2,1,0)</f>
        <v>0</v>
      </c>
      <c r="G264" s="1055">
        <f>C264*D264*E265*F264</f>
        <v>0</v>
      </c>
      <c r="H264" s="1055"/>
      <c r="I264" s="1055"/>
      <c r="J264" s="1055"/>
      <c r="K264" s="971"/>
      <c r="L264" s="971"/>
      <c r="M264" s="971"/>
      <c r="N264" s="971"/>
      <c r="O264" s="971"/>
      <c r="P264" s="1353"/>
      <c r="Q264" s="1353"/>
      <c r="R264" s="1353"/>
      <c r="S264" s="971"/>
      <c r="T264" s="971"/>
      <c r="U264" s="1398"/>
      <c r="V264" s="971"/>
      <c r="W264" s="971"/>
      <c r="X264" s="971"/>
      <c r="Y264" s="1353"/>
      <c r="Z264" s="971"/>
      <c r="AA264" s="971"/>
      <c r="AB264" s="1355"/>
      <c r="AC264" s="1355"/>
      <c r="AD264" s="1353"/>
    </row>
    <row r="265" spans="1:30" ht="15.75" customHeight="1" outlineLevel="1">
      <c r="A265" s="1420" t="s">
        <v>3100</v>
      </c>
      <c r="B265" s="1330" t="s">
        <v>156</v>
      </c>
      <c r="C265" s="1339">
        <f t="shared" si="27"/>
        <v>0.15</v>
      </c>
      <c r="D265" s="1055">
        <f t="shared" si="28"/>
        <v>0.05</v>
      </c>
      <c r="E265" s="1246">
        <f>IF('Ввод данных'!$A$6=связи1!$A$97,IF(дома!E264&lt;'Ввод данных'!$C$15,0,дома!E264-дома!$L$138),0)+IF(E264=0,0,IF('Ввод данных'!$A$6=связи1!$A$94,IF(дома!E264&lt;0,0,дома!E264-дома!$L$138),0))</f>
        <v>4.8</v>
      </c>
      <c r="F265" s="1055">
        <f>2*IF('Ввод данных'!$F$194=связи1!$A$2,1,0)*IF('Ввод данных'!$B$155=связи1!$A$2,1,0)</f>
        <v>0</v>
      </c>
      <c r="G265" s="1055">
        <f>C265*D265*E266*F265</f>
        <v>0</v>
      </c>
      <c r="H265" s="1055"/>
      <c r="I265" s="1055"/>
      <c r="J265" s="1055"/>
      <c r="K265" s="971"/>
      <c r="L265" s="971"/>
      <c r="M265" s="971"/>
      <c r="N265" s="971"/>
      <c r="O265" s="971"/>
      <c r="P265" s="1353"/>
      <c r="Q265" s="1353"/>
      <c r="R265" s="1353"/>
      <c r="S265" s="971"/>
      <c r="T265" s="971"/>
      <c r="U265" s="1398"/>
      <c r="V265" s="971"/>
      <c r="W265" s="971"/>
      <c r="X265" s="971"/>
      <c r="Y265" s="1353"/>
      <c r="Z265" s="971"/>
      <c r="AA265" s="971"/>
      <c r="AB265" s="1355"/>
      <c r="AC265" s="1355"/>
      <c r="AD265" s="1353"/>
    </row>
    <row r="266" spans="1:30" ht="15.75" customHeight="1" outlineLevel="1">
      <c r="A266" s="1420" t="s">
        <v>3101</v>
      </c>
      <c r="B266" s="1330" t="s">
        <v>156</v>
      </c>
      <c r="C266" s="1339">
        <f t="shared" si="27"/>
        <v>0.15</v>
      </c>
      <c r="D266" s="1055">
        <f t="shared" si="28"/>
        <v>0.05</v>
      </c>
      <c r="E266" s="1246">
        <f>IF('Ввод данных'!$A$6=связи1!$A$97,IF(дома!E265&lt;'Ввод данных'!$C$15,0,дома!E265-дома!$L$138),0)+IF(E265=0,0,IF('Ввод данных'!$A$6=связи1!$A$94,IF(дома!E265&lt;0,0,дома!E265-дома!$L$138),0))</f>
        <v>4.5999999999999996</v>
      </c>
      <c r="F266" s="1055">
        <f>2*IF('Ввод данных'!$F$194=связи1!$A$2,1,0)*IF('Ввод данных'!$B$155=связи1!$A$2,1,0)</f>
        <v>0</v>
      </c>
      <c r="G266" s="1055">
        <f t="shared" ref="G266:G297" si="30">C266*D266*E266*F266</f>
        <v>0</v>
      </c>
      <c r="H266" s="1055"/>
      <c r="I266" s="1055"/>
      <c r="J266" s="1055"/>
      <c r="K266" s="971"/>
      <c r="L266" s="971"/>
      <c r="M266" s="971"/>
      <c r="N266" s="971"/>
      <c r="O266" s="971"/>
      <c r="P266" s="1353"/>
      <c r="Q266" s="1353"/>
      <c r="R266" s="1353"/>
      <c r="S266" s="971"/>
      <c r="T266" s="971"/>
      <c r="U266" s="1398"/>
      <c r="V266" s="971"/>
      <c r="W266" s="971"/>
      <c r="X266" s="971"/>
      <c r="Y266" s="1353"/>
      <c r="Z266" s="971"/>
      <c r="AA266" s="971"/>
      <c r="AB266" s="1355"/>
      <c r="AC266" s="1355"/>
      <c r="AD266" s="1353"/>
    </row>
    <row r="267" spans="1:30" ht="15.75" customHeight="1" outlineLevel="1">
      <c r="A267" s="1420" t="s">
        <v>3102</v>
      </c>
      <c r="B267" s="1330" t="s">
        <v>156</v>
      </c>
      <c r="C267" s="1339">
        <f t="shared" si="27"/>
        <v>0.15</v>
      </c>
      <c r="D267" s="1055">
        <f t="shared" si="28"/>
        <v>0.05</v>
      </c>
      <c r="E267" s="1246">
        <f>IF('Ввод данных'!$A$6=связи1!$A$97,IF(дома!E266&lt;'Ввод данных'!$C$15,0,дома!E266-дома!$L$138),0)+IF(E266=0,0,IF('Ввод данных'!$A$6=связи1!$A$94,IF(дома!E266&lt;0,0,дома!E266-дома!$L$138),0))</f>
        <v>4.3999999999999995</v>
      </c>
      <c r="F267" s="1055">
        <f>2*IF('Ввод данных'!$F$194=связи1!$A$2,1,0)*IF('Ввод данных'!$B$155=связи1!$A$2,1,0)</f>
        <v>0</v>
      </c>
      <c r="G267" s="1055">
        <f t="shared" si="30"/>
        <v>0</v>
      </c>
      <c r="H267" s="1055"/>
      <c r="I267" s="1055"/>
      <c r="J267" s="1055"/>
      <c r="K267" s="971"/>
      <c r="L267" s="971"/>
      <c r="M267" s="971"/>
      <c r="N267" s="971"/>
      <c r="O267" s="971"/>
      <c r="P267" s="1353"/>
      <c r="Q267" s="1353"/>
      <c r="R267" s="1353"/>
      <c r="S267" s="971"/>
      <c r="T267" s="971"/>
      <c r="U267" s="1398"/>
      <c r="V267" s="971"/>
      <c r="W267" s="971"/>
      <c r="X267" s="971"/>
      <c r="Y267" s="1353"/>
      <c r="Z267" s="971"/>
      <c r="AA267" s="971"/>
      <c r="AB267" s="1355"/>
      <c r="AC267" s="1355"/>
      <c r="AD267" s="1353"/>
    </row>
    <row r="268" spans="1:30" ht="15.75" customHeight="1" outlineLevel="1">
      <c r="A268" s="1420" t="s">
        <v>3103</v>
      </c>
      <c r="B268" s="1330" t="s">
        <v>156</v>
      </c>
      <c r="C268" s="1339">
        <f t="shared" si="27"/>
        <v>0.15</v>
      </c>
      <c r="D268" s="1055">
        <f t="shared" si="28"/>
        <v>0.05</v>
      </c>
      <c r="E268" s="1246">
        <f>IF('Ввод данных'!$A$6=связи1!$A$97,IF(дома!E267&lt;'Ввод данных'!$C$15,0,дома!E267-дома!$L$138),0)+IF(E267=0,0,IF('Ввод данных'!$A$6=связи1!$A$94,IF(дома!E267&lt;0,0,дома!E267-дома!$L$138),0))</f>
        <v>4.1999999999999993</v>
      </c>
      <c r="F268" s="1055">
        <f>2*IF('Ввод данных'!$F$194=связи1!$A$2,1,0)*IF('Ввод данных'!$B$155=связи1!$A$2,1,0)</f>
        <v>0</v>
      </c>
      <c r="G268" s="1055">
        <f t="shared" si="30"/>
        <v>0</v>
      </c>
      <c r="H268" s="1055"/>
      <c r="I268" s="1055"/>
      <c r="J268" s="1055"/>
      <c r="K268" s="971"/>
      <c r="L268" s="971"/>
      <c r="M268" s="971"/>
      <c r="N268" s="971"/>
      <c r="O268" s="971"/>
      <c r="P268" s="1353"/>
      <c r="Q268" s="1353"/>
      <c r="R268" s="1353"/>
      <c r="S268" s="971"/>
      <c r="T268" s="971"/>
      <c r="U268" s="1398"/>
      <c r="V268" s="971"/>
      <c r="W268" s="971"/>
      <c r="X268" s="971"/>
      <c r="Y268" s="1353"/>
      <c r="Z268" s="971"/>
      <c r="AA268" s="971"/>
      <c r="AB268" s="1355"/>
      <c r="AC268" s="1355"/>
      <c r="AD268" s="1353"/>
    </row>
    <row r="269" spans="1:30" ht="15.75" customHeight="1" outlineLevel="1">
      <c r="A269" s="1420" t="s">
        <v>3104</v>
      </c>
      <c r="B269" s="1330" t="s">
        <v>156</v>
      </c>
      <c r="C269" s="1339">
        <f t="shared" si="27"/>
        <v>0.15</v>
      </c>
      <c r="D269" s="1055">
        <f t="shared" si="28"/>
        <v>0.05</v>
      </c>
      <c r="E269" s="1246">
        <f>IF('Ввод данных'!$A$6=связи1!$A$97,IF(дома!E268&lt;'Ввод данных'!$C$15,0,дома!E268-дома!$L$138),0)+IF(E268=0,0,IF('Ввод данных'!$A$6=связи1!$A$94,IF(дома!E268&lt;0,0,дома!E268-дома!$L$138),0))</f>
        <v>3.9999999999999991</v>
      </c>
      <c r="F269" s="1055">
        <f>2*IF('Ввод данных'!$F$194=связи1!$A$2,1,0)*IF('Ввод данных'!$B$155=связи1!$A$2,1,0)</f>
        <v>0</v>
      </c>
      <c r="G269" s="1055">
        <f t="shared" si="30"/>
        <v>0</v>
      </c>
      <c r="H269" s="1055"/>
      <c r="I269" s="1055"/>
      <c r="J269" s="1055"/>
      <c r="K269" s="971"/>
      <c r="L269" s="971"/>
      <c r="M269" s="971"/>
      <c r="N269" s="971"/>
      <c r="O269" s="971"/>
      <c r="P269" s="1353"/>
      <c r="Q269" s="1353"/>
      <c r="R269" s="1353"/>
      <c r="S269" s="971"/>
      <c r="T269" s="971"/>
      <c r="U269" s="1398"/>
      <c r="V269" s="971"/>
      <c r="W269" s="971"/>
      <c r="X269" s="971"/>
      <c r="Y269" s="1353"/>
      <c r="Z269" s="971"/>
      <c r="AA269" s="971"/>
      <c r="AB269" s="1355"/>
      <c r="AC269" s="1355"/>
      <c r="AD269" s="1353"/>
    </row>
    <row r="270" spans="1:30" ht="15.75" customHeight="1" outlineLevel="1">
      <c r="A270" s="1420" t="s">
        <v>3105</v>
      </c>
      <c r="B270" s="1330" t="s">
        <v>156</v>
      </c>
      <c r="C270" s="1339">
        <f t="shared" si="27"/>
        <v>0.15</v>
      </c>
      <c r="D270" s="1055">
        <f t="shared" si="28"/>
        <v>0.05</v>
      </c>
      <c r="E270" s="1246">
        <f>IF('Ввод данных'!$A$6=связи1!$A$97,IF(дома!E269&lt;'Ввод данных'!$C$15,0,дома!E269-дома!$L$138),0)+IF(E269=0,0,IF('Ввод данных'!$A$6=связи1!$A$94,IF(дома!E269&lt;0,0,дома!E269-дома!$L$138),0))</f>
        <v>3.7999999999999989</v>
      </c>
      <c r="F270" s="1055">
        <f>2*IF('Ввод данных'!$F$194=связи1!$A$2,1,0)*IF('Ввод данных'!$B$155=связи1!$A$2,1,0)</f>
        <v>0</v>
      </c>
      <c r="G270" s="1055">
        <f t="shared" si="30"/>
        <v>0</v>
      </c>
      <c r="H270" s="1055"/>
      <c r="I270" s="1055"/>
      <c r="J270" s="1055"/>
      <c r="K270" s="971"/>
      <c r="L270" s="971"/>
      <c r="M270" s="971"/>
      <c r="N270" s="971"/>
      <c r="O270" s="971"/>
      <c r="P270" s="1353"/>
      <c r="Q270" s="1353"/>
      <c r="R270" s="1353"/>
      <c r="S270" s="971"/>
      <c r="T270" s="971"/>
      <c r="U270" s="1398"/>
      <c r="V270" s="971"/>
      <c r="W270" s="971"/>
      <c r="X270" s="971"/>
      <c r="Y270" s="1353"/>
      <c r="Z270" s="971"/>
      <c r="AA270" s="971"/>
      <c r="AB270" s="1355"/>
      <c r="AC270" s="1355"/>
      <c r="AD270" s="1353"/>
    </row>
    <row r="271" spans="1:30" ht="15.75" customHeight="1" outlineLevel="1">
      <c r="A271" s="1420" t="s">
        <v>3106</v>
      </c>
      <c r="B271" s="1330" t="s">
        <v>156</v>
      </c>
      <c r="C271" s="1339">
        <f t="shared" si="27"/>
        <v>0.15</v>
      </c>
      <c r="D271" s="1055">
        <f t="shared" si="28"/>
        <v>0.05</v>
      </c>
      <c r="E271" s="1246">
        <f>IF('Ввод данных'!$A$6=связи1!$A$97,IF(дома!E270&lt;'Ввод данных'!$C$15,0,дома!E270-дома!$L$138),0)+IF(E270=0,0,IF('Ввод данных'!$A$6=связи1!$A$94,IF(дома!E270&lt;0,0,дома!E270-дома!$L$138),0))</f>
        <v>3.5999999999999988</v>
      </c>
      <c r="F271" s="1055">
        <f>2*IF('Ввод данных'!$F$194=связи1!$A$2,1,0)*IF('Ввод данных'!$B$155=связи1!$A$2,1,0)</f>
        <v>0</v>
      </c>
      <c r="G271" s="1055">
        <f t="shared" si="30"/>
        <v>0</v>
      </c>
      <c r="H271" s="1055"/>
      <c r="I271" s="1055"/>
      <c r="J271" s="1055"/>
      <c r="K271" s="971"/>
      <c r="L271" s="971"/>
      <c r="M271" s="971"/>
      <c r="N271" s="971"/>
      <c r="O271" s="971"/>
      <c r="P271" s="1353"/>
      <c r="Q271" s="1353"/>
      <c r="R271" s="1353"/>
      <c r="S271" s="971"/>
      <c r="T271" s="971"/>
      <c r="U271" s="1398"/>
      <c r="V271" s="971"/>
      <c r="W271" s="971"/>
      <c r="X271" s="971"/>
      <c r="Y271" s="1353"/>
      <c r="Z271" s="971"/>
      <c r="AA271" s="971"/>
      <c r="AB271" s="1355"/>
      <c r="AC271" s="1355"/>
      <c r="AD271" s="1353"/>
    </row>
    <row r="272" spans="1:30" ht="15.75" customHeight="1" outlineLevel="1">
      <c r="A272" s="1420" t="s">
        <v>3107</v>
      </c>
      <c r="B272" s="1330" t="s">
        <v>156</v>
      </c>
      <c r="C272" s="1339">
        <f t="shared" si="27"/>
        <v>0.15</v>
      </c>
      <c r="D272" s="1055">
        <f t="shared" si="28"/>
        <v>0.05</v>
      </c>
      <c r="E272" s="1246">
        <f>IF('Ввод данных'!$A$6=связи1!$A$97,IF(дома!E271&lt;'Ввод данных'!$C$15,0,дома!E271-дома!$L$138),0)+IF(E271=0,0,IF('Ввод данных'!$A$6=связи1!$A$94,IF(дома!E271&lt;0,0,дома!E271-дома!$L$138),0))</f>
        <v>3.3999999999999986</v>
      </c>
      <c r="F272" s="1055">
        <f>2*IF('Ввод данных'!$F$194=связи1!$A$2,1,0)*IF('Ввод данных'!$B$155=связи1!$A$2,1,0)</f>
        <v>0</v>
      </c>
      <c r="G272" s="1055">
        <f t="shared" si="30"/>
        <v>0</v>
      </c>
      <c r="H272" s="1055"/>
      <c r="I272" s="1055"/>
      <c r="J272" s="1055"/>
      <c r="K272" s="971"/>
      <c r="L272" s="971"/>
      <c r="M272" s="971"/>
      <c r="N272" s="971"/>
      <c r="O272" s="971"/>
      <c r="P272" s="1353"/>
      <c r="Q272" s="1353"/>
      <c r="R272" s="1353"/>
      <c r="S272" s="971"/>
      <c r="T272" s="971"/>
      <c r="U272" s="1398"/>
      <c r="V272" s="971"/>
      <c r="W272" s="971"/>
      <c r="X272" s="971"/>
      <c r="Y272" s="1353"/>
      <c r="Z272" s="971"/>
      <c r="AA272" s="971"/>
      <c r="AB272" s="1355"/>
      <c r="AC272" s="1355"/>
      <c r="AD272" s="1353"/>
    </row>
    <row r="273" spans="1:30" ht="15.75" customHeight="1" outlineLevel="1">
      <c r="A273" s="1420" t="s">
        <v>3108</v>
      </c>
      <c r="B273" s="1330" t="s">
        <v>156</v>
      </c>
      <c r="C273" s="1339">
        <f t="shared" si="27"/>
        <v>0.15</v>
      </c>
      <c r="D273" s="1055">
        <f t="shared" si="28"/>
        <v>0.05</v>
      </c>
      <c r="E273" s="1246">
        <f>IF('Ввод данных'!$A$6=связи1!$A$97,IF(дома!E272&lt;'Ввод данных'!$C$15,0,дома!E272-дома!$L$138),0)+IF(E272=0,0,IF('Ввод данных'!$A$6=связи1!$A$94,IF(дома!E272&lt;0,0,дома!E272-дома!$L$138),0))</f>
        <v>3.1999999999999984</v>
      </c>
      <c r="F273" s="1055">
        <f>2*IF('Ввод данных'!$F$194=связи1!$A$2,1,0)*IF('Ввод данных'!$B$155=связи1!$A$2,1,0)</f>
        <v>0</v>
      </c>
      <c r="G273" s="1055">
        <f t="shared" si="30"/>
        <v>0</v>
      </c>
      <c r="H273" s="1055"/>
      <c r="I273" s="1055"/>
      <c r="J273" s="1055"/>
      <c r="K273" s="971"/>
      <c r="L273" s="971"/>
      <c r="M273" s="971"/>
      <c r="N273" s="971"/>
      <c r="O273" s="971"/>
      <c r="P273" s="1353"/>
      <c r="Q273" s="1353"/>
      <c r="R273" s="1353"/>
      <c r="S273" s="971"/>
      <c r="T273" s="971"/>
      <c r="U273" s="1398"/>
      <c r="V273" s="971"/>
      <c r="W273" s="971"/>
      <c r="X273" s="971"/>
      <c r="Y273" s="1353"/>
      <c r="Z273" s="971"/>
      <c r="AA273" s="971"/>
      <c r="AB273" s="1355"/>
      <c r="AC273" s="1355"/>
      <c r="AD273" s="1353"/>
    </row>
    <row r="274" spans="1:30" ht="15.75" customHeight="1" outlineLevel="1">
      <c r="A274" s="1420" t="s">
        <v>3109</v>
      </c>
      <c r="B274" s="1330" t="s">
        <v>156</v>
      </c>
      <c r="C274" s="1339">
        <f t="shared" si="27"/>
        <v>0.15</v>
      </c>
      <c r="D274" s="1055">
        <f t="shared" si="28"/>
        <v>0.05</v>
      </c>
      <c r="E274" s="1246">
        <f>IF('Ввод данных'!$A$6=связи1!$A$97,IF(дома!E273&lt;'Ввод данных'!$C$15,0,дома!E273-дома!$L$138),0)+IF(E273=0,0,IF('Ввод данных'!$A$6=связи1!$A$94,IF(дома!E273&lt;0,0,дома!E273-дома!$L$138),0))</f>
        <v>2.9999999999999982</v>
      </c>
      <c r="F274" s="1055">
        <f>2*IF('Ввод данных'!$F$194=связи1!$A$2,1,0)*IF('Ввод данных'!$B$155=связи1!$A$2,1,0)</f>
        <v>0</v>
      </c>
      <c r="G274" s="1055">
        <f t="shared" si="30"/>
        <v>0</v>
      </c>
      <c r="H274" s="1055"/>
      <c r="I274" s="1055"/>
      <c r="J274" s="1055"/>
      <c r="K274" s="971"/>
      <c r="L274" s="971"/>
      <c r="M274" s="971"/>
      <c r="N274" s="971"/>
      <c r="O274" s="971"/>
      <c r="P274" s="1353"/>
      <c r="Q274" s="1353"/>
      <c r="R274" s="1353"/>
      <c r="S274" s="971"/>
      <c r="T274" s="971"/>
      <c r="U274" s="1398"/>
      <c r="V274" s="971"/>
      <c r="W274" s="971"/>
      <c r="X274" s="971"/>
      <c r="Y274" s="1353"/>
      <c r="Z274" s="971"/>
      <c r="AA274" s="971"/>
      <c r="AB274" s="1355"/>
      <c r="AC274" s="1355"/>
      <c r="AD274" s="1353"/>
    </row>
    <row r="275" spans="1:30" ht="15.75" customHeight="1" outlineLevel="1">
      <c r="A275" s="1420" t="s">
        <v>3110</v>
      </c>
      <c r="B275" s="1330" t="s">
        <v>156</v>
      </c>
      <c r="C275" s="1339">
        <f t="shared" si="27"/>
        <v>0.15</v>
      </c>
      <c r="D275" s="1055">
        <f t="shared" si="28"/>
        <v>0.05</v>
      </c>
      <c r="E275" s="1246">
        <f>IF('Ввод данных'!$A$6=связи1!$A$97,IF(дома!E274&lt;'Ввод данных'!$C$15,0,дома!E274-дома!$L$138),0)+IF(E274=0,0,IF('Ввод данных'!$A$6=связи1!$A$94,IF(дома!E274&lt;0,0,дома!E274-дома!$L$138),0))</f>
        <v>2.799999999999998</v>
      </c>
      <c r="F275" s="1055">
        <f>2*IF('Ввод данных'!$F$194=связи1!$A$2,1,0)*IF('Ввод данных'!$B$155=связи1!$A$2,1,0)</f>
        <v>0</v>
      </c>
      <c r="G275" s="1055">
        <f t="shared" si="30"/>
        <v>0</v>
      </c>
      <c r="H275" s="1055"/>
      <c r="I275" s="1055"/>
      <c r="J275" s="1055"/>
      <c r="K275" s="971"/>
      <c r="L275" s="971"/>
      <c r="M275" s="971"/>
      <c r="N275" s="971"/>
      <c r="O275" s="971"/>
      <c r="P275" s="1353"/>
      <c r="Q275" s="1353"/>
      <c r="R275" s="1353"/>
      <c r="S275" s="971"/>
      <c r="T275" s="971"/>
      <c r="U275" s="1398"/>
      <c r="V275" s="971"/>
      <c r="W275" s="971"/>
      <c r="X275" s="971"/>
      <c r="Y275" s="1353"/>
      <c r="Z275" s="971"/>
      <c r="AA275" s="971"/>
      <c r="AB275" s="1355"/>
      <c r="AC275" s="1355"/>
      <c r="AD275" s="1353"/>
    </row>
    <row r="276" spans="1:30" ht="15.75" customHeight="1" outlineLevel="1">
      <c r="A276" s="1420" t="s">
        <v>3111</v>
      </c>
      <c r="B276" s="1330" t="s">
        <v>156</v>
      </c>
      <c r="C276" s="1339">
        <f t="shared" si="27"/>
        <v>0.15</v>
      </c>
      <c r="D276" s="1055">
        <f t="shared" si="28"/>
        <v>0.05</v>
      </c>
      <c r="E276" s="1246">
        <f>IF('Ввод данных'!$A$6=связи1!$A$97,IF(дома!E275&lt;'Ввод данных'!$C$15,0,дома!E275-дома!$L$138),0)+IF(E275=0,0,IF('Ввод данных'!$A$6=связи1!$A$94,IF(дома!E275&lt;0,0,дома!E275-дома!$L$138),0))</f>
        <v>2.5999999999999979</v>
      </c>
      <c r="F276" s="1055">
        <f>2*IF('Ввод данных'!$F$194=связи1!$A$2,1,0)*IF('Ввод данных'!$B$155=связи1!$A$2,1,0)</f>
        <v>0</v>
      </c>
      <c r="G276" s="1055">
        <f t="shared" si="30"/>
        <v>0</v>
      </c>
      <c r="H276" s="1055"/>
      <c r="I276" s="1055"/>
      <c r="J276" s="1055"/>
      <c r="K276" s="971"/>
      <c r="L276" s="971"/>
      <c r="M276" s="971"/>
      <c r="N276" s="971"/>
      <c r="O276" s="971"/>
      <c r="P276" s="1353"/>
      <c r="Q276" s="1353"/>
      <c r="R276" s="1353"/>
      <c r="S276" s="971"/>
      <c r="T276" s="971"/>
      <c r="U276" s="1398"/>
      <c r="V276" s="971"/>
      <c r="W276" s="971"/>
      <c r="X276" s="971"/>
      <c r="Y276" s="1353"/>
      <c r="Z276" s="971"/>
      <c r="AA276" s="971"/>
      <c r="AB276" s="1355"/>
      <c r="AC276" s="1355"/>
      <c r="AD276" s="1353"/>
    </row>
    <row r="277" spans="1:30" ht="15.75" customHeight="1" outlineLevel="1">
      <c r="A277" s="1420" t="s">
        <v>3112</v>
      </c>
      <c r="B277" s="1330" t="s">
        <v>156</v>
      </c>
      <c r="C277" s="1339">
        <f t="shared" si="27"/>
        <v>0.15</v>
      </c>
      <c r="D277" s="1055">
        <f t="shared" si="28"/>
        <v>0.05</v>
      </c>
      <c r="E277" s="1246">
        <f>IF('Ввод данных'!$A$6=связи1!$A$97,IF(дома!E276&lt;'Ввод данных'!$C$15,0,дома!E276-дома!$L$138),0)+IF(E276=0,0,IF('Ввод данных'!$A$6=связи1!$A$94,IF(дома!E276&lt;0,0,дома!E276-дома!$L$138),0))</f>
        <v>2.3999999999999977</v>
      </c>
      <c r="F277" s="1055">
        <f>2*IF('Ввод данных'!$F$194=связи1!$A$2,1,0)*IF('Ввод данных'!$B$155=связи1!$A$2,1,0)</f>
        <v>0</v>
      </c>
      <c r="G277" s="1055">
        <f t="shared" si="30"/>
        <v>0</v>
      </c>
      <c r="H277" s="1055"/>
      <c r="I277" s="1055"/>
      <c r="J277" s="1055"/>
      <c r="K277" s="971"/>
      <c r="L277" s="971"/>
      <c r="M277" s="971"/>
      <c r="N277" s="971"/>
      <c r="O277" s="971"/>
      <c r="P277" s="1353"/>
      <c r="Q277" s="1353"/>
      <c r="R277" s="1353"/>
      <c r="S277" s="971"/>
      <c r="T277" s="971"/>
      <c r="U277" s="1398"/>
      <c r="V277" s="971"/>
      <c r="W277" s="971"/>
      <c r="X277" s="971"/>
      <c r="Y277" s="1353"/>
      <c r="Z277" s="971"/>
      <c r="AA277" s="971"/>
      <c r="AB277" s="1355"/>
      <c r="AC277" s="1355"/>
      <c r="AD277" s="1353"/>
    </row>
    <row r="278" spans="1:30" ht="15.75" customHeight="1" outlineLevel="1">
      <c r="A278" s="1420" t="s">
        <v>3113</v>
      </c>
      <c r="B278" s="1330" t="s">
        <v>156</v>
      </c>
      <c r="C278" s="1339">
        <f t="shared" ref="C278:C309" si="31">$C$143</f>
        <v>0.15</v>
      </c>
      <c r="D278" s="1055">
        <f t="shared" ref="D278:D309" si="32">$D$143</f>
        <v>0.05</v>
      </c>
      <c r="E278" s="1246">
        <f>IF('Ввод данных'!$A$6=связи1!$A$97,IF(дома!E277&lt;'Ввод данных'!$C$15,0,дома!E277-дома!$L$138),0)+IF(E277=0,0,IF('Ввод данных'!$A$6=связи1!$A$94,IF(дома!E277&lt;0,0,дома!E277-дома!$L$138),0))</f>
        <v>2.1999999999999975</v>
      </c>
      <c r="F278" s="1055">
        <f>2*IF('Ввод данных'!$F$194=связи1!$A$2,1,0)*IF('Ввод данных'!$B$155=связи1!$A$2,1,0)</f>
        <v>0</v>
      </c>
      <c r="G278" s="1055">
        <f t="shared" si="30"/>
        <v>0</v>
      </c>
      <c r="H278" s="1055"/>
      <c r="I278" s="1055"/>
      <c r="J278" s="1055"/>
      <c r="K278" s="971"/>
      <c r="L278" s="971"/>
      <c r="M278" s="971"/>
      <c r="N278" s="971"/>
      <c r="O278" s="971"/>
      <c r="P278" s="1353"/>
      <c r="Q278" s="1353"/>
      <c r="R278" s="1353"/>
      <c r="S278" s="971"/>
      <c r="T278" s="971"/>
      <c r="U278" s="1398"/>
      <c r="V278" s="971"/>
      <c r="W278" s="971"/>
      <c r="X278" s="971"/>
      <c r="Y278" s="1353"/>
      <c r="Z278" s="971"/>
      <c r="AA278" s="971"/>
      <c r="AB278" s="1355"/>
      <c r="AC278" s="1355"/>
      <c r="AD278" s="1353"/>
    </row>
    <row r="279" spans="1:30" ht="15.75" customHeight="1" outlineLevel="1">
      <c r="A279" s="1420" t="s">
        <v>3114</v>
      </c>
      <c r="B279" s="1330" t="s">
        <v>156</v>
      </c>
      <c r="C279" s="1339">
        <f t="shared" si="31"/>
        <v>0.15</v>
      </c>
      <c r="D279" s="1055">
        <f t="shared" si="32"/>
        <v>0.05</v>
      </c>
      <c r="E279" s="1246">
        <f>IF('Ввод данных'!$A$6=связи1!$A$97,IF(дома!E278&lt;'Ввод данных'!$C$15,0,дома!E278-дома!$L$138),0)+IF(E278=0,0,IF('Ввод данных'!$A$6=связи1!$A$94,IF(дома!E278&lt;0,0,дома!E278-дома!$L$138),0))</f>
        <v>1.9999999999999976</v>
      </c>
      <c r="F279" s="1055">
        <f>2*IF('Ввод данных'!$F$194=связи1!$A$2,1,0)*IF('Ввод данных'!$B$155=связи1!$A$2,1,0)</f>
        <v>0</v>
      </c>
      <c r="G279" s="1055">
        <f t="shared" si="30"/>
        <v>0</v>
      </c>
      <c r="H279" s="1055"/>
      <c r="I279" s="1055"/>
      <c r="J279" s="1055"/>
      <c r="K279" s="971"/>
      <c r="L279" s="971"/>
      <c r="M279" s="971"/>
      <c r="N279" s="971"/>
      <c r="O279" s="971"/>
      <c r="P279" s="1353"/>
      <c r="Q279" s="1353"/>
      <c r="R279" s="1353"/>
      <c r="S279" s="971"/>
      <c r="T279" s="971"/>
      <c r="U279" s="1398"/>
      <c r="V279" s="971"/>
      <c r="W279" s="971"/>
      <c r="X279" s="971"/>
      <c r="Y279" s="1353"/>
      <c r="Z279" s="971"/>
      <c r="AA279" s="971"/>
      <c r="AB279" s="1355"/>
      <c r="AC279" s="1355"/>
      <c r="AD279" s="1353"/>
    </row>
    <row r="280" spans="1:30" ht="15.75" customHeight="1" outlineLevel="1">
      <c r="A280" s="1420" t="s">
        <v>3115</v>
      </c>
      <c r="B280" s="1330" t="s">
        <v>156</v>
      </c>
      <c r="C280" s="1339">
        <f t="shared" si="31"/>
        <v>0.15</v>
      </c>
      <c r="D280" s="1055">
        <f t="shared" si="32"/>
        <v>0.05</v>
      </c>
      <c r="E280" s="1246">
        <f>IF('Ввод данных'!$A$6=связи1!$A$97,IF(дома!E279&lt;'Ввод данных'!$C$15,0,дома!E279-дома!$L$138),0)+IF(E279=0,0,IF('Ввод данных'!$A$6=связи1!$A$94,IF(дома!E279&lt;0,0,дома!E279-дома!$L$138),0))</f>
        <v>1.7999999999999976</v>
      </c>
      <c r="F280" s="1055">
        <f>2*IF('Ввод данных'!$F$194=связи1!$A$2,1,0)*IF('Ввод данных'!$B$155=связи1!$A$2,1,0)</f>
        <v>0</v>
      </c>
      <c r="G280" s="1055">
        <f t="shared" si="30"/>
        <v>0</v>
      </c>
      <c r="H280" s="1055"/>
      <c r="I280" s="1055"/>
      <c r="J280" s="1055"/>
      <c r="K280" s="971"/>
      <c r="L280" s="971"/>
      <c r="M280" s="971"/>
      <c r="N280" s="971"/>
      <c r="O280" s="971"/>
      <c r="P280" s="1353"/>
      <c r="Q280" s="1353"/>
      <c r="R280" s="1353"/>
      <c r="S280" s="971"/>
      <c r="T280" s="971"/>
      <c r="U280" s="1398"/>
      <c r="V280" s="971"/>
      <c r="W280" s="971"/>
      <c r="X280" s="971"/>
      <c r="Y280" s="1353"/>
      <c r="Z280" s="971"/>
      <c r="AA280" s="971"/>
      <c r="AB280" s="1355"/>
      <c r="AC280" s="1355"/>
      <c r="AD280" s="1353"/>
    </row>
    <row r="281" spans="1:30" ht="15.75" customHeight="1" outlineLevel="1">
      <c r="A281" s="1420" t="s">
        <v>3116</v>
      </c>
      <c r="B281" s="1330" t="s">
        <v>156</v>
      </c>
      <c r="C281" s="1339">
        <f t="shared" si="31"/>
        <v>0.15</v>
      </c>
      <c r="D281" s="1055">
        <f t="shared" si="32"/>
        <v>0.05</v>
      </c>
      <c r="E281" s="1246">
        <f>IF('Ввод данных'!$A$6=связи1!$A$97,IF(дома!E280&lt;'Ввод данных'!$C$15,0,дома!E280-дома!$L$138),0)+IF(E280=0,0,IF('Ввод данных'!$A$6=связи1!$A$94,IF(дома!E280&lt;0,0,дома!E280-дома!$L$138),0))</f>
        <v>1.5999999999999976</v>
      </c>
      <c r="F281" s="1055">
        <f>2*IF('Ввод данных'!$F$194=связи1!$A$2,1,0)*IF('Ввод данных'!$B$155=связи1!$A$2,1,0)</f>
        <v>0</v>
      </c>
      <c r="G281" s="1055">
        <f t="shared" si="30"/>
        <v>0</v>
      </c>
      <c r="H281" s="1055"/>
      <c r="I281" s="1055"/>
      <c r="J281" s="1055"/>
      <c r="K281" s="971"/>
      <c r="L281" s="971"/>
      <c r="M281" s="971"/>
      <c r="N281" s="971"/>
      <c r="O281" s="971"/>
      <c r="P281" s="1353"/>
      <c r="Q281" s="1353"/>
      <c r="R281" s="1353"/>
      <c r="S281" s="971"/>
      <c r="T281" s="971"/>
      <c r="U281" s="1398"/>
      <c r="V281" s="971"/>
      <c r="W281" s="971"/>
      <c r="X281" s="971"/>
      <c r="Y281" s="1353"/>
      <c r="Z281" s="971"/>
      <c r="AA281" s="971"/>
      <c r="AB281" s="1355"/>
      <c r="AC281" s="1355"/>
      <c r="AD281" s="1353"/>
    </row>
    <row r="282" spans="1:30" ht="15.75" customHeight="1" outlineLevel="1">
      <c r="A282" s="1420" t="s">
        <v>3117</v>
      </c>
      <c r="B282" s="1330" t="s">
        <v>156</v>
      </c>
      <c r="C282" s="1339">
        <f t="shared" si="31"/>
        <v>0.15</v>
      </c>
      <c r="D282" s="1055">
        <f t="shared" si="32"/>
        <v>0.05</v>
      </c>
      <c r="E282" s="1246">
        <f>IF('Ввод данных'!$A$6=связи1!$A$97,IF(дома!E281&lt;'Ввод данных'!$C$15,0,дома!E281-дома!$L$138),0)+IF(E281=0,0,IF('Ввод данных'!$A$6=связи1!$A$94,IF(дома!E281&lt;0,0,дома!E281-дома!$L$138),0))</f>
        <v>1.3999999999999977</v>
      </c>
      <c r="F282" s="1055">
        <f>2*IF('Ввод данных'!$F$194=связи1!$A$2,1,0)*IF('Ввод данных'!$B$155=связи1!$A$2,1,0)</f>
        <v>0</v>
      </c>
      <c r="G282" s="1055">
        <f t="shared" si="30"/>
        <v>0</v>
      </c>
      <c r="H282" s="1055"/>
      <c r="I282" s="1055"/>
      <c r="J282" s="1055"/>
      <c r="K282" s="971"/>
      <c r="L282" s="971"/>
      <c r="M282" s="971"/>
      <c r="N282" s="971"/>
      <c r="O282" s="971"/>
      <c r="P282" s="1353"/>
      <c r="Q282" s="1353"/>
      <c r="R282" s="1353"/>
      <c r="S282" s="971"/>
      <c r="T282" s="971"/>
      <c r="U282" s="1398"/>
      <c r="V282" s="971"/>
      <c r="W282" s="971"/>
      <c r="X282" s="971"/>
      <c r="Y282" s="1353"/>
      <c r="Z282" s="971"/>
      <c r="AA282" s="971"/>
      <c r="AB282" s="1355"/>
      <c r="AC282" s="1355"/>
      <c r="AD282" s="1353"/>
    </row>
    <row r="283" spans="1:30" ht="15.75" customHeight="1" outlineLevel="1">
      <c r="A283" s="1420" t="s">
        <v>3118</v>
      </c>
      <c r="B283" s="1330" t="s">
        <v>156</v>
      </c>
      <c r="C283" s="1339">
        <f t="shared" si="31"/>
        <v>0.15</v>
      </c>
      <c r="D283" s="1055">
        <f t="shared" si="32"/>
        <v>0.05</v>
      </c>
      <c r="E283" s="1246">
        <f>IF('Ввод данных'!$A$6=связи1!$A$97,IF(дома!E282&lt;'Ввод данных'!$C$15,0,дома!E282-дома!$L$138),0)+IF(E282=0,0,IF('Ввод данных'!$A$6=связи1!$A$94,IF(дома!E282&lt;0,0,дома!E282-дома!$L$138),0))</f>
        <v>1.1999999999999977</v>
      </c>
      <c r="F283" s="1055">
        <f>2*IF('Ввод данных'!$F$194=связи1!$A$2,1,0)*IF('Ввод данных'!$B$155=связи1!$A$2,1,0)</f>
        <v>0</v>
      </c>
      <c r="G283" s="1055">
        <f t="shared" si="30"/>
        <v>0</v>
      </c>
      <c r="H283" s="1055"/>
      <c r="I283" s="1055"/>
      <c r="J283" s="1055"/>
      <c r="K283" s="971"/>
      <c r="L283" s="971"/>
      <c r="M283" s="971"/>
      <c r="N283" s="971"/>
      <c r="O283" s="971"/>
      <c r="P283" s="1353"/>
      <c r="Q283" s="1353"/>
      <c r="R283" s="1353"/>
      <c r="S283" s="971"/>
      <c r="T283" s="971"/>
      <c r="U283" s="1398"/>
      <c r="V283" s="971"/>
      <c r="W283" s="971"/>
      <c r="X283" s="971"/>
      <c r="Y283" s="1353"/>
      <c r="Z283" s="971"/>
      <c r="AA283" s="971"/>
      <c r="AB283" s="1355"/>
      <c r="AC283" s="1355"/>
      <c r="AD283" s="1353"/>
    </row>
    <row r="284" spans="1:30" ht="15.75" customHeight="1" outlineLevel="1">
      <c r="A284" s="1420" t="s">
        <v>3119</v>
      </c>
      <c r="B284" s="1330" t="s">
        <v>156</v>
      </c>
      <c r="C284" s="1339">
        <f t="shared" si="31"/>
        <v>0.15</v>
      </c>
      <c r="D284" s="1055">
        <f t="shared" si="32"/>
        <v>0.05</v>
      </c>
      <c r="E284" s="1246">
        <f>IF('Ввод данных'!$A$6=связи1!$A$97,IF(дома!E283&lt;'Ввод данных'!$C$15,0,дома!E283-дома!$L$138),0)+IF(E283=0,0,IF('Ввод данных'!$A$6=связи1!$A$94,IF(дома!E283&lt;0,0,дома!E283-дома!$L$138),0))</f>
        <v>0.99999999999999778</v>
      </c>
      <c r="F284" s="1055">
        <f>2*IF('Ввод данных'!$F$194=связи1!$A$2,1,0)*IF('Ввод данных'!$B$155=связи1!$A$2,1,0)</f>
        <v>0</v>
      </c>
      <c r="G284" s="1055">
        <f t="shared" si="30"/>
        <v>0</v>
      </c>
      <c r="H284" s="1055"/>
      <c r="I284" s="1055"/>
      <c r="J284" s="1055"/>
      <c r="K284" s="971"/>
      <c r="L284" s="971"/>
      <c r="M284" s="971"/>
      <c r="N284" s="971"/>
      <c r="O284" s="971"/>
      <c r="P284" s="1353"/>
      <c r="Q284" s="1353"/>
      <c r="R284" s="1353"/>
      <c r="S284" s="971"/>
      <c r="T284" s="971"/>
      <c r="U284" s="1398"/>
      <c r="V284" s="971"/>
      <c r="W284" s="971"/>
      <c r="X284" s="971"/>
      <c r="Y284" s="1353"/>
      <c r="Z284" s="971"/>
      <c r="AA284" s="971"/>
      <c r="AB284" s="1355"/>
      <c r="AC284" s="1355"/>
      <c r="AD284" s="1353"/>
    </row>
    <row r="285" spans="1:30" ht="15.75" customHeight="1" outlineLevel="1">
      <c r="A285" s="1420" t="s">
        <v>3120</v>
      </c>
      <c r="B285" s="1330" t="s">
        <v>156</v>
      </c>
      <c r="C285" s="1339">
        <f t="shared" si="31"/>
        <v>0.15</v>
      </c>
      <c r="D285" s="1055">
        <f t="shared" si="32"/>
        <v>0.05</v>
      </c>
      <c r="E285" s="1246">
        <f>IF('Ввод данных'!$A$6=связи1!$A$97,IF(дома!E284&lt;'Ввод данных'!$C$15,0,дома!E284-дома!$L$138),0)+IF(E284=0,0,IF('Ввод данных'!$A$6=связи1!$A$94,IF(дома!E284&lt;0,0,дома!E284-дома!$L$138),0))</f>
        <v>0.79999999999999782</v>
      </c>
      <c r="F285" s="1055">
        <f>2*IF('Ввод данных'!$F$194=связи1!$A$2,1,0)*IF('Ввод данных'!$B$155=связи1!$A$2,1,0)</f>
        <v>0</v>
      </c>
      <c r="G285" s="1055">
        <f t="shared" si="30"/>
        <v>0</v>
      </c>
      <c r="H285" s="1055"/>
      <c r="I285" s="1055"/>
      <c r="J285" s="1055"/>
      <c r="K285" s="971"/>
      <c r="L285" s="971"/>
      <c r="M285" s="971"/>
      <c r="N285" s="971"/>
      <c r="O285" s="971"/>
      <c r="P285" s="1353"/>
      <c r="Q285" s="1353"/>
      <c r="R285" s="1353"/>
      <c r="S285" s="971"/>
      <c r="T285" s="971"/>
      <c r="U285" s="1398"/>
      <c r="V285" s="971"/>
      <c r="W285" s="971"/>
      <c r="X285" s="971"/>
      <c r="Y285" s="1353"/>
      <c r="Z285" s="971"/>
      <c r="AA285" s="971"/>
      <c r="AB285" s="1355"/>
      <c r="AC285" s="1355"/>
      <c r="AD285" s="1353"/>
    </row>
    <row r="286" spans="1:30" ht="15.75" customHeight="1" outlineLevel="1">
      <c r="A286" s="1420" t="s">
        <v>3121</v>
      </c>
      <c r="B286" s="1330" t="s">
        <v>156</v>
      </c>
      <c r="C286" s="1339">
        <f t="shared" si="31"/>
        <v>0.15</v>
      </c>
      <c r="D286" s="1055">
        <f t="shared" si="32"/>
        <v>0.05</v>
      </c>
      <c r="E286" s="1246">
        <f>IF('Ввод данных'!$A$6=связи1!$A$97,IF(дома!E285&lt;'Ввод данных'!$C$15,0,дома!E285-дома!$L$138),0)+IF(E285=0,0,IF('Ввод данных'!$A$6=связи1!$A$94,IF(дома!E285&lt;0,0,дома!E285-дома!$L$138),0))</f>
        <v>0.59999999999999787</v>
      </c>
      <c r="F286" s="1055">
        <f>2*IF('Ввод данных'!$F$194=связи1!$A$2,1,0)*IF('Ввод данных'!$B$155=связи1!$A$2,1,0)</f>
        <v>0</v>
      </c>
      <c r="G286" s="1055">
        <f t="shared" si="30"/>
        <v>0</v>
      </c>
      <c r="H286" s="1055"/>
      <c r="I286" s="1055"/>
      <c r="J286" s="1055"/>
      <c r="K286" s="971"/>
      <c r="L286" s="971"/>
      <c r="M286" s="971"/>
      <c r="N286" s="971"/>
      <c r="O286" s="971"/>
      <c r="P286" s="1353"/>
      <c r="Q286" s="1353"/>
      <c r="R286" s="1353"/>
      <c r="S286" s="971"/>
      <c r="T286" s="971"/>
      <c r="U286" s="1398"/>
      <c r="V286" s="971"/>
      <c r="W286" s="971"/>
      <c r="X286" s="971"/>
      <c r="Y286" s="1353"/>
      <c r="Z286" s="971"/>
      <c r="AA286" s="971"/>
      <c r="AB286" s="1355"/>
      <c r="AC286" s="1355"/>
      <c r="AD286" s="1353"/>
    </row>
    <row r="287" spans="1:30" ht="15.75" customHeight="1" outlineLevel="1">
      <c r="A287" s="1420" t="s">
        <v>3122</v>
      </c>
      <c r="B287" s="1330" t="s">
        <v>156</v>
      </c>
      <c r="C287" s="1339">
        <f t="shared" si="31"/>
        <v>0.15</v>
      </c>
      <c r="D287" s="1055">
        <f t="shared" si="32"/>
        <v>0.05</v>
      </c>
      <c r="E287" s="1246">
        <f>IF('Ввод данных'!$A$6=связи1!$A$97,IF(дома!E286&lt;'Ввод данных'!$C$15,0,дома!E286-дома!$L$138),0)+IF(E286=0,0,IF('Ввод данных'!$A$6=связи1!$A$94,IF(дома!E286&lt;0,0,дома!E286-дома!$L$138),0))</f>
        <v>0.39999999999999791</v>
      </c>
      <c r="F287" s="1055">
        <f>2*IF('Ввод данных'!$F$194=связи1!$A$2,1,0)*IF('Ввод данных'!$B$155=связи1!$A$2,1,0)</f>
        <v>0</v>
      </c>
      <c r="G287" s="1055">
        <f t="shared" si="30"/>
        <v>0</v>
      </c>
      <c r="H287" s="1055"/>
      <c r="I287" s="1055"/>
      <c r="J287" s="1055"/>
      <c r="K287" s="971"/>
      <c r="L287" s="971"/>
      <c r="M287" s="971"/>
      <c r="N287" s="971"/>
      <c r="O287" s="971"/>
      <c r="P287" s="1353"/>
      <c r="Q287" s="1353"/>
      <c r="R287" s="1353"/>
      <c r="S287" s="971"/>
      <c r="T287" s="971"/>
      <c r="U287" s="1398"/>
      <c r="V287" s="971"/>
      <c r="W287" s="971"/>
      <c r="X287" s="971"/>
      <c r="Y287" s="1353"/>
      <c r="Z287" s="971"/>
      <c r="AA287" s="971"/>
      <c r="AB287" s="1355"/>
      <c r="AC287" s="1355"/>
      <c r="AD287" s="1353"/>
    </row>
    <row r="288" spans="1:30" ht="15.75" customHeight="1" outlineLevel="1">
      <c r="A288" s="1420" t="s">
        <v>3123</v>
      </c>
      <c r="B288" s="1330" t="s">
        <v>156</v>
      </c>
      <c r="C288" s="1339">
        <f t="shared" si="31"/>
        <v>0.15</v>
      </c>
      <c r="D288" s="1055">
        <f t="shared" si="32"/>
        <v>0.05</v>
      </c>
      <c r="E288" s="1246">
        <f>IF('Ввод данных'!$A$6=связи1!$A$97,IF(дома!E287&lt;'Ввод данных'!$C$15,0,дома!E287-дома!$L$138),0)+IF(E287=0,0,IF('Ввод данных'!$A$6=связи1!$A$94,IF(дома!E287&lt;0,0,дома!E287-дома!$L$138),0))</f>
        <v>0.19999999999999793</v>
      </c>
      <c r="F288" s="1055">
        <f>2*IF('Ввод данных'!$F$194=связи1!$A$2,1,0)*IF('Ввод данных'!$B$155=связи1!$A$2,1,0)</f>
        <v>0</v>
      </c>
      <c r="G288" s="1055">
        <f t="shared" si="30"/>
        <v>0</v>
      </c>
      <c r="H288" s="1055"/>
      <c r="I288" s="1055"/>
      <c r="J288" s="1055"/>
      <c r="K288" s="971"/>
      <c r="L288" s="971"/>
      <c r="M288" s="971"/>
      <c r="N288" s="971"/>
      <c r="O288" s="971"/>
      <c r="P288" s="1353"/>
      <c r="Q288" s="1353"/>
      <c r="R288" s="1353"/>
      <c r="S288" s="971"/>
      <c r="T288" s="971"/>
      <c r="U288" s="1398"/>
      <c r="V288" s="971"/>
      <c r="W288" s="971"/>
      <c r="X288" s="971"/>
      <c r="Y288" s="1353"/>
      <c r="Z288" s="971"/>
      <c r="AA288" s="971"/>
      <c r="AB288" s="1355"/>
      <c r="AC288" s="1355"/>
      <c r="AD288" s="1353"/>
    </row>
    <row r="289" spans="1:30" ht="15.75" customHeight="1" outlineLevel="1">
      <c r="A289" s="1420" t="s">
        <v>3124</v>
      </c>
      <c r="B289" s="1330" t="s">
        <v>156</v>
      </c>
      <c r="C289" s="1339">
        <f t="shared" si="31"/>
        <v>0.15</v>
      </c>
      <c r="D289" s="1055">
        <f t="shared" si="32"/>
        <v>0.05</v>
      </c>
      <c r="E289" s="1246">
        <f>IF('Ввод данных'!$A$6=связи1!$A$97,IF(дома!E288&lt;'Ввод данных'!$C$15,0,дома!E288-дома!$L$138),0)+IF(E288=0,0,IF('Ввод данных'!$A$6=связи1!$A$94,IF(дома!E288&lt;0,0,дома!E288-дома!$L$138),0))</f>
        <v>-2.0539125955565396E-15</v>
      </c>
      <c r="F289" s="1055">
        <f>2*IF('Ввод данных'!$F$194=связи1!$A$2,1,0)*IF('Ввод данных'!$B$155=связи1!$A$2,1,0)</f>
        <v>0</v>
      </c>
      <c r="G289" s="1055">
        <f t="shared" si="30"/>
        <v>0</v>
      </c>
      <c r="H289" s="1055"/>
      <c r="I289" s="1055"/>
      <c r="J289" s="1055"/>
      <c r="K289" s="971"/>
      <c r="L289" s="971"/>
      <c r="M289" s="971"/>
      <c r="N289" s="971"/>
      <c r="O289" s="971"/>
      <c r="P289" s="1353"/>
      <c r="Q289" s="1353"/>
      <c r="R289" s="1353"/>
      <c r="S289" s="971"/>
      <c r="T289" s="971"/>
      <c r="U289" s="1398"/>
      <c r="V289" s="971"/>
      <c r="W289" s="971"/>
      <c r="X289" s="971"/>
      <c r="Y289" s="1353"/>
      <c r="Z289" s="971"/>
      <c r="AA289" s="971"/>
      <c r="AB289" s="1355"/>
      <c r="AC289" s="1355"/>
      <c r="AD289" s="1353"/>
    </row>
    <row r="290" spans="1:30" ht="15.75" customHeight="1" outlineLevel="1">
      <c r="A290" s="1420" t="s">
        <v>3125</v>
      </c>
      <c r="B290" s="1330" t="s">
        <v>156</v>
      </c>
      <c r="C290" s="1339">
        <f t="shared" si="31"/>
        <v>0.15</v>
      </c>
      <c r="D290" s="1055">
        <f t="shared" si="32"/>
        <v>0.05</v>
      </c>
      <c r="E290" s="1246">
        <f>IF('Ввод данных'!$A$6=связи1!$A$97,IF(дома!E289&lt;'Ввод данных'!$C$15,0,дома!E289-дома!$L$138),0)+IF(E289=0,0,IF('Ввод данных'!$A$6=связи1!$A$94,IF(дома!E289&lt;0,0,дома!E289-дома!$L$138),0))</f>
        <v>0</v>
      </c>
      <c r="F290" s="1055">
        <f>2*IF('Ввод данных'!$F$194=связи1!$A$2,1,0)*IF('Ввод данных'!$B$155=связи1!$A$2,1,0)</f>
        <v>0</v>
      </c>
      <c r="G290" s="1055">
        <f t="shared" si="30"/>
        <v>0</v>
      </c>
      <c r="H290" s="1055"/>
      <c r="I290" s="1055"/>
      <c r="J290" s="1055"/>
      <c r="K290" s="971"/>
      <c r="L290" s="971"/>
      <c r="M290" s="971"/>
      <c r="N290" s="971"/>
      <c r="O290" s="971"/>
      <c r="P290" s="1353"/>
      <c r="Q290" s="1353"/>
      <c r="R290" s="1353"/>
      <c r="S290" s="971"/>
      <c r="T290" s="971"/>
      <c r="U290" s="1398"/>
      <c r="V290" s="971"/>
      <c r="W290" s="971"/>
      <c r="X290" s="971"/>
      <c r="Y290" s="1353"/>
      <c r="Z290" s="971"/>
      <c r="AA290" s="971"/>
      <c r="AB290" s="1355"/>
      <c r="AC290" s="1355"/>
      <c r="AD290" s="1353"/>
    </row>
    <row r="291" spans="1:30" ht="15.75" customHeight="1" outlineLevel="1">
      <c r="A291" s="1420" t="s">
        <v>3126</v>
      </c>
      <c r="B291" s="1330" t="s">
        <v>156</v>
      </c>
      <c r="C291" s="1339">
        <f t="shared" si="31"/>
        <v>0.15</v>
      </c>
      <c r="D291" s="1055">
        <f t="shared" si="32"/>
        <v>0.05</v>
      </c>
      <c r="E291" s="1246">
        <f>IF('Ввод данных'!$A$6=связи1!$A$97,IF(дома!E290&lt;'Ввод данных'!$C$15,0,дома!E290-дома!$L$138),0)+IF(E290=0,0,IF('Ввод данных'!$A$6=связи1!$A$94,IF(дома!E290&lt;0,0,дома!E290-дома!$L$138),0))</f>
        <v>0</v>
      </c>
      <c r="F291" s="1055">
        <f>2*IF('Ввод данных'!$F$194=связи1!$A$2,1,0)*IF('Ввод данных'!$B$155=связи1!$A$2,1,0)</f>
        <v>0</v>
      </c>
      <c r="G291" s="1055">
        <f t="shared" si="30"/>
        <v>0</v>
      </c>
      <c r="H291" s="1055"/>
      <c r="I291" s="1055"/>
      <c r="J291" s="1055"/>
      <c r="K291" s="971"/>
      <c r="L291" s="971"/>
      <c r="M291" s="971"/>
      <c r="N291" s="971"/>
      <c r="O291" s="971"/>
      <c r="P291" s="1353"/>
      <c r="Q291" s="1353"/>
      <c r="R291" s="1353"/>
      <c r="S291" s="971"/>
      <c r="T291" s="971"/>
      <c r="U291" s="1398"/>
      <c r="V291" s="971"/>
      <c r="W291" s="971"/>
      <c r="X291" s="971"/>
      <c r="Y291" s="1353"/>
      <c r="Z291" s="971"/>
      <c r="AA291" s="971"/>
      <c r="AB291" s="1355"/>
      <c r="AC291" s="1355"/>
      <c r="AD291" s="1353"/>
    </row>
    <row r="292" spans="1:30" ht="15.75" customHeight="1" outlineLevel="1">
      <c r="A292" s="1420" t="s">
        <v>3127</v>
      </c>
      <c r="B292" s="1330" t="s">
        <v>156</v>
      </c>
      <c r="C292" s="1339">
        <f t="shared" si="31"/>
        <v>0.15</v>
      </c>
      <c r="D292" s="1055">
        <f t="shared" si="32"/>
        <v>0.05</v>
      </c>
      <c r="E292" s="1246">
        <f>IF('Ввод данных'!$A$6=связи1!$A$97,IF(дома!E291&lt;'Ввод данных'!$C$15,0,дома!E291-дома!$L$138),0)+IF(E291=0,0,IF('Ввод данных'!$A$6=связи1!$A$94,IF(дома!E291&lt;0,0,дома!E291-дома!$L$138),0))</f>
        <v>0</v>
      </c>
      <c r="F292" s="1055">
        <f>2*IF('Ввод данных'!$F$194=связи1!$A$2,1,0)*IF('Ввод данных'!$B$155=связи1!$A$2,1,0)</f>
        <v>0</v>
      </c>
      <c r="G292" s="1055">
        <f t="shared" si="30"/>
        <v>0</v>
      </c>
      <c r="H292" s="1055"/>
      <c r="I292" s="1055"/>
      <c r="J292" s="1055"/>
      <c r="K292" s="971"/>
      <c r="L292" s="971"/>
      <c r="M292" s="971"/>
      <c r="N292" s="971"/>
      <c r="O292" s="971"/>
      <c r="P292" s="1353"/>
      <c r="Q292" s="1353"/>
      <c r="R292" s="1353"/>
      <c r="S292" s="971"/>
      <c r="T292" s="971"/>
      <c r="U292" s="1398"/>
      <c r="V292" s="971"/>
      <c r="W292" s="971"/>
      <c r="X292" s="971"/>
      <c r="Y292" s="1353"/>
      <c r="Z292" s="971"/>
      <c r="AA292" s="971"/>
      <c r="AB292" s="1355"/>
      <c r="AC292" s="1355"/>
      <c r="AD292" s="1353"/>
    </row>
    <row r="293" spans="1:30" ht="15.75" customHeight="1" outlineLevel="1">
      <c r="A293" s="1420" t="s">
        <v>3128</v>
      </c>
      <c r="B293" s="1330" t="s">
        <v>156</v>
      </c>
      <c r="C293" s="1339">
        <f t="shared" si="31"/>
        <v>0.15</v>
      </c>
      <c r="D293" s="1055">
        <f t="shared" si="32"/>
        <v>0.05</v>
      </c>
      <c r="E293" s="1246">
        <f>IF('Ввод данных'!$A$6=связи1!$A$97,IF(дома!E292&lt;'Ввод данных'!$C$15,0,дома!E292-дома!$L$138),0)+IF(E292=0,0,IF('Ввод данных'!$A$6=связи1!$A$94,IF(дома!E292&lt;0,0,дома!E292-дома!$L$138),0))</f>
        <v>0</v>
      </c>
      <c r="F293" s="1055">
        <f>2*IF('Ввод данных'!$F$194=связи1!$A$2,1,0)*IF('Ввод данных'!$B$155=связи1!$A$2,1,0)</f>
        <v>0</v>
      </c>
      <c r="G293" s="1055">
        <f t="shared" si="30"/>
        <v>0</v>
      </c>
      <c r="H293" s="1055"/>
      <c r="I293" s="1055"/>
      <c r="J293" s="1055"/>
      <c r="K293" s="971"/>
      <c r="L293" s="971"/>
      <c r="M293" s="971"/>
      <c r="N293" s="971"/>
      <c r="O293" s="971"/>
      <c r="P293" s="1353"/>
      <c r="Q293" s="1353"/>
      <c r="R293" s="1353"/>
      <c r="S293" s="971"/>
      <c r="T293" s="971"/>
      <c r="U293" s="1398"/>
      <c r="V293" s="971"/>
      <c r="W293" s="971"/>
      <c r="X293" s="971"/>
      <c r="Y293" s="1353"/>
      <c r="Z293" s="971"/>
      <c r="AA293" s="971"/>
      <c r="AB293" s="1355"/>
      <c r="AC293" s="1355"/>
      <c r="AD293" s="1353"/>
    </row>
    <row r="294" spans="1:30" ht="15.75" customHeight="1" outlineLevel="1">
      <c r="A294" s="1420" t="s">
        <v>3129</v>
      </c>
      <c r="B294" s="1330" t="s">
        <v>156</v>
      </c>
      <c r="C294" s="1339">
        <f t="shared" si="31"/>
        <v>0.15</v>
      </c>
      <c r="D294" s="1055">
        <f t="shared" si="32"/>
        <v>0.05</v>
      </c>
      <c r="E294" s="1246">
        <f>IF('Ввод данных'!$A$6=связи1!$A$97,IF(дома!E293&lt;'Ввод данных'!$C$15,0,дома!E293-дома!$L$138),0)+IF(E293=0,0,IF('Ввод данных'!$A$6=связи1!$A$94,IF(дома!E293&lt;0,0,дома!E293-дома!$L$138),0))</f>
        <v>0</v>
      </c>
      <c r="F294" s="1055">
        <f>2*IF('Ввод данных'!$F$194=связи1!$A$2,1,0)*IF('Ввод данных'!$B$155=связи1!$A$2,1,0)</f>
        <v>0</v>
      </c>
      <c r="G294" s="1055">
        <f t="shared" si="30"/>
        <v>0</v>
      </c>
      <c r="H294" s="1055"/>
      <c r="I294" s="1055"/>
      <c r="J294" s="1055"/>
      <c r="K294" s="971"/>
      <c r="L294" s="971"/>
      <c r="M294" s="971"/>
      <c r="N294" s="971"/>
      <c r="O294" s="971"/>
      <c r="P294" s="1353"/>
      <c r="Q294" s="1353"/>
      <c r="R294" s="1353"/>
      <c r="S294" s="971"/>
      <c r="T294" s="971"/>
      <c r="U294" s="1398"/>
      <c r="V294" s="971"/>
      <c r="W294" s="971"/>
      <c r="X294" s="971"/>
      <c r="Y294" s="1353"/>
      <c r="Z294" s="971"/>
      <c r="AA294" s="971"/>
      <c r="AB294" s="1355"/>
      <c r="AC294" s="1355"/>
      <c r="AD294" s="1353"/>
    </row>
    <row r="295" spans="1:30" ht="15.75" customHeight="1" outlineLevel="1">
      <c r="A295" s="1420" t="s">
        <v>3130</v>
      </c>
      <c r="B295" s="1330" t="s">
        <v>156</v>
      </c>
      <c r="C295" s="1339">
        <f t="shared" si="31"/>
        <v>0.15</v>
      </c>
      <c r="D295" s="1055">
        <f t="shared" si="32"/>
        <v>0.05</v>
      </c>
      <c r="E295" s="1246">
        <f>IF('Ввод данных'!$A$6=связи1!$A$97,IF(дома!E294&lt;'Ввод данных'!$C$15,0,дома!E294-дома!$L$138),0)+IF(E294=0,0,IF('Ввод данных'!$A$6=связи1!$A$94,IF(дома!E294&lt;0,0,дома!E294-дома!$L$138),0))</f>
        <v>0</v>
      </c>
      <c r="F295" s="1055">
        <f>2*IF('Ввод данных'!$F$194=связи1!$A$2,1,0)*IF('Ввод данных'!$B$155=связи1!$A$2,1,0)</f>
        <v>0</v>
      </c>
      <c r="G295" s="1055">
        <f t="shared" si="30"/>
        <v>0</v>
      </c>
      <c r="H295" s="1055"/>
      <c r="I295" s="1055"/>
      <c r="J295" s="1055"/>
      <c r="K295" s="971"/>
      <c r="L295" s="971"/>
      <c r="M295" s="971"/>
      <c r="N295" s="971"/>
      <c r="O295" s="971"/>
      <c r="P295" s="1353"/>
      <c r="Q295" s="1353"/>
      <c r="R295" s="1353"/>
      <c r="S295" s="971"/>
      <c r="T295" s="971"/>
      <c r="U295" s="1398"/>
      <c r="V295" s="971"/>
      <c r="W295" s="971"/>
      <c r="X295" s="971"/>
      <c r="Y295" s="1353"/>
      <c r="Z295" s="971"/>
      <c r="AA295" s="971"/>
      <c r="AB295" s="1355"/>
      <c r="AC295" s="1355"/>
      <c r="AD295" s="1353"/>
    </row>
    <row r="296" spans="1:30" ht="15.75" customHeight="1" outlineLevel="1">
      <c r="A296" s="1420" t="s">
        <v>3131</v>
      </c>
      <c r="B296" s="1330" t="s">
        <v>156</v>
      </c>
      <c r="C296" s="1339">
        <f t="shared" si="31"/>
        <v>0.15</v>
      </c>
      <c r="D296" s="1055">
        <f t="shared" si="32"/>
        <v>0.05</v>
      </c>
      <c r="E296" s="1246">
        <f>IF('Ввод данных'!$A$6=связи1!$A$97,IF(дома!E295&lt;'Ввод данных'!$C$15,0,дома!E295-дома!$L$138),0)+IF(E295=0,0,IF('Ввод данных'!$A$6=связи1!$A$94,IF(дома!E295&lt;0,0,дома!E295-дома!$L$138),0))</f>
        <v>0</v>
      </c>
      <c r="F296" s="1055">
        <f>2*IF('Ввод данных'!$F$194=связи1!$A$2,1,0)*IF('Ввод данных'!$B$155=связи1!$A$2,1,0)</f>
        <v>0</v>
      </c>
      <c r="G296" s="1055">
        <f t="shared" si="30"/>
        <v>0</v>
      </c>
      <c r="H296" s="1055"/>
      <c r="I296" s="1055"/>
      <c r="J296" s="1055"/>
      <c r="K296" s="971"/>
      <c r="L296" s="971"/>
      <c r="M296" s="971"/>
      <c r="N296" s="971"/>
      <c r="O296" s="971"/>
      <c r="P296" s="1353"/>
      <c r="Q296" s="1353"/>
      <c r="R296" s="1353"/>
      <c r="S296" s="971"/>
      <c r="T296" s="971"/>
      <c r="U296" s="1398"/>
      <c r="V296" s="971"/>
      <c r="W296" s="971"/>
      <c r="X296" s="971"/>
      <c r="Y296" s="1353"/>
      <c r="Z296" s="971"/>
      <c r="AA296" s="971"/>
      <c r="AB296" s="1355"/>
      <c r="AC296" s="1355"/>
      <c r="AD296" s="1353"/>
    </row>
    <row r="297" spans="1:30" ht="15.75" customHeight="1" outlineLevel="1">
      <c r="A297" s="1420" t="s">
        <v>3132</v>
      </c>
      <c r="B297" s="1330" t="s">
        <v>156</v>
      </c>
      <c r="C297" s="1339">
        <f t="shared" si="31"/>
        <v>0.15</v>
      </c>
      <c r="D297" s="1055">
        <f t="shared" si="32"/>
        <v>0.05</v>
      </c>
      <c r="E297" s="1246">
        <f>IF('Ввод данных'!$A$6=связи1!$A$97,IF(дома!E296&lt;'Ввод данных'!$C$15,0,дома!E296-дома!$L$138),0)+IF(E296=0,0,IF('Ввод данных'!$A$6=связи1!$A$94,IF(дома!E296&lt;0,0,дома!E296-дома!$L$138),0))</f>
        <v>0</v>
      </c>
      <c r="F297" s="1055">
        <f>2*IF('Ввод данных'!$F$194=связи1!$A$2,1,0)*IF('Ввод данных'!$B$155=связи1!$A$2,1,0)</f>
        <v>0</v>
      </c>
      <c r="G297" s="1055">
        <f t="shared" si="30"/>
        <v>0</v>
      </c>
      <c r="H297" s="1055"/>
      <c r="I297" s="1055"/>
      <c r="J297" s="1055"/>
      <c r="K297" s="971"/>
      <c r="L297" s="971"/>
      <c r="M297" s="971"/>
      <c r="N297" s="971"/>
      <c r="O297" s="971"/>
      <c r="P297" s="1353"/>
      <c r="Q297" s="1353"/>
      <c r="R297" s="1353"/>
      <c r="S297" s="971"/>
      <c r="T297" s="971"/>
      <c r="U297" s="1398"/>
      <c r="V297" s="971"/>
      <c r="W297" s="971"/>
      <c r="X297" s="971"/>
      <c r="Y297" s="1353"/>
      <c r="Z297" s="971"/>
      <c r="AA297" s="971"/>
      <c r="AB297" s="1355"/>
      <c r="AC297" s="1355"/>
      <c r="AD297" s="1353"/>
    </row>
    <row r="298" spans="1:30" ht="15.75" customHeight="1" outlineLevel="1">
      <c r="A298" s="1420" t="s">
        <v>3133</v>
      </c>
      <c r="B298" s="1330" t="s">
        <v>156</v>
      </c>
      <c r="C298" s="1339">
        <f t="shared" si="31"/>
        <v>0.15</v>
      </c>
      <c r="D298" s="1055">
        <f t="shared" si="32"/>
        <v>0.05</v>
      </c>
      <c r="E298" s="1246">
        <f>IF('Ввод данных'!$A$6=связи1!$A$97,IF(дома!E297&lt;'Ввод данных'!$C$15,0,дома!E297-дома!$L$138),0)+IF(E297=0,0,IF('Ввод данных'!$A$6=связи1!$A$94,IF(дома!E297&lt;0,0,дома!E297-дома!$L$138),0))</f>
        <v>0</v>
      </c>
      <c r="F298" s="1055">
        <f>2*IF('Ввод данных'!$F$194=связи1!$A$2,1,0)*IF('Ввод данных'!$B$155=связи1!$A$2,1,0)</f>
        <v>0</v>
      </c>
      <c r="G298" s="1055">
        <f t="shared" ref="G298:G329" si="33">C298*D298*E298*F298</f>
        <v>0</v>
      </c>
      <c r="H298" s="1055"/>
      <c r="I298" s="1055"/>
      <c r="J298" s="1055"/>
      <c r="K298" s="971"/>
      <c r="L298" s="971"/>
      <c r="M298" s="971"/>
      <c r="N298" s="971"/>
      <c r="O298" s="971"/>
      <c r="P298" s="1353"/>
      <c r="Q298" s="1353"/>
      <c r="R298" s="1353"/>
      <c r="S298" s="971"/>
      <c r="T298" s="971"/>
      <c r="U298" s="1398"/>
      <c r="V298" s="971"/>
      <c r="W298" s="971"/>
      <c r="X298" s="971"/>
      <c r="Y298" s="1353"/>
      <c r="Z298" s="971"/>
      <c r="AA298" s="971"/>
      <c r="AB298" s="1355"/>
      <c r="AC298" s="1355"/>
      <c r="AD298" s="1353"/>
    </row>
    <row r="299" spans="1:30" ht="15.75" customHeight="1" outlineLevel="1">
      <c r="A299" s="1420" t="s">
        <v>3134</v>
      </c>
      <c r="B299" s="1330" t="s">
        <v>156</v>
      </c>
      <c r="C299" s="1339">
        <f t="shared" si="31"/>
        <v>0.15</v>
      </c>
      <c r="D299" s="1055">
        <f t="shared" si="32"/>
        <v>0.05</v>
      </c>
      <c r="E299" s="1246">
        <f>IF('Ввод данных'!$A$6=связи1!$A$97,IF(дома!E298&lt;'Ввод данных'!$C$15,0,дома!E298-дома!$L$138),0)+IF(E298=0,0,IF('Ввод данных'!$A$6=связи1!$A$94,IF(дома!E298&lt;0,0,дома!E298-дома!$L$138),0))</f>
        <v>0</v>
      </c>
      <c r="F299" s="1055">
        <f>2*IF('Ввод данных'!$F$194=связи1!$A$2,1,0)*IF('Ввод данных'!$B$155=связи1!$A$2,1,0)</f>
        <v>0</v>
      </c>
      <c r="G299" s="1055">
        <f t="shared" si="33"/>
        <v>0</v>
      </c>
      <c r="H299" s="1055"/>
      <c r="I299" s="1055"/>
      <c r="J299" s="1055"/>
      <c r="K299" s="971"/>
      <c r="L299" s="971"/>
      <c r="M299" s="971"/>
      <c r="N299" s="971"/>
      <c r="O299" s="971"/>
      <c r="P299" s="1353"/>
      <c r="Q299" s="1353"/>
      <c r="R299" s="1353"/>
      <c r="S299" s="971"/>
      <c r="T299" s="971"/>
      <c r="U299" s="1398"/>
      <c r="V299" s="971"/>
      <c r="W299" s="971"/>
      <c r="X299" s="971"/>
      <c r="Y299" s="1353"/>
      <c r="Z299" s="971"/>
      <c r="AA299" s="971"/>
      <c r="AB299" s="1355"/>
      <c r="AC299" s="1355"/>
      <c r="AD299" s="1353"/>
    </row>
    <row r="300" spans="1:30" ht="15.75" customHeight="1" outlineLevel="1">
      <c r="A300" s="1420" t="s">
        <v>3135</v>
      </c>
      <c r="B300" s="1330" t="s">
        <v>156</v>
      </c>
      <c r="C300" s="1339">
        <f t="shared" si="31"/>
        <v>0.15</v>
      </c>
      <c r="D300" s="1055">
        <f t="shared" si="32"/>
        <v>0.05</v>
      </c>
      <c r="E300" s="1246">
        <f>IF('Ввод данных'!$A$6=связи1!$A$97,IF(дома!E299&lt;'Ввод данных'!$C$15,0,дома!E299-дома!$L$138),0)+IF(E299=0,0,IF('Ввод данных'!$A$6=связи1!$A$94,IF(дома!E299&lt;0,0,дома!E299-дома!$L$138),0))</f>
        <v>0</v>
      </c>
      <c r="F300" s="1055">
        <f>2*IF('Ввод данных'!$F$194=связи1!$A$2,1,0)*IF('Ввод данных'!$B$155=связи1!$A$2,1,0)</f>
        <v>0</v>
      </c>
      <c r="G300" s="1055">
        <f t="shared" si="33"/>
        <v>0</v>
      </c>
      <c r="H300" s="1055"/>
      <c r="I300" s="1055"/>
      <c r="J300" s="1055"/>
      <c r="K300" s="971"/>
      <c r="L300" s="971"/>
      <c r="M300" s="971"/>
      <c r="N300" s="971"/>
      <c r="O300" s="971"/>
      <c r="P300" s="1353"/>
      <c r="Q300" s="1353"/>
      <c r="R300" s="1353"/>
      <c r="S300" s="971"/>
      <c r="T300" s="971"/>
      <c r="U300" s="1398"/>
      <c r="V300" s="971"/>
      <c r="W300" s="971"/>
      <c r="X300" s="971"/>
      <c r="Y300" s="1353"/>
      <c r="Z300" s="971"/>
      <c r="AA300" s="971"/>
      <c r="AB300" s="1355"/>
      <c r="AC300" s="1355"/>
      <c r="AD300" s="1353"/>
    </row>
    <row r="301" spans="1:30" ht="15.75" customHeight="1" outlineLevel="1">
      <c r="A301" s="1420" t="s">
        <v>3136</v>
      </c>
      <c r="B301" s="1330" t="s">
        <v>156</v>
      </c>
      <c r="C301" s="1339">
        <f t="shared" si="31"/>
        <v>0.15</v>
      </c>
      <c r="D301" s="1055">
        <f t="shared" si="32"/>
        <v>0.05</v>
      </c>
      <c r="E301" s="1246">
        <f>IF('Ввод данных'!$A$6=связи1!$A$97,IF(дома!E300&lt;'Ввод данных'!$C$15,0,дома!E300-дома!$L$138),0)+IF(E300=0,0,IF('Ввод данных'!$A$6=связи1!$A$94,IF(дома!E300&lt;0,0,дома!E300-дома!$L$138),0))</f>
        <v>0</v>
      </c>
      <c r="F301" s="1055">
        <f>2*IF('Ввод данных'!$F$194=связи1!$A$2,1,0)*IF('Ввод данных'!$B$155=связи1!$A$2,1,0)</f>
        <v>0</v>
      </c>
      <c r="G301" s="1055">
        <f t="shared" si="33"/>
        <v>0</v>
      </c>
      <c r="H301" s="1055"/>
      <c r="I301" s="1055"/>
      <c r="J301" s="1055"/>
      <c r="K301" s="971"/>
      <c r="L301" s="971"/>
      <c r="M301" s="971"/>
      <c r="N301" s="971"/>
      <c r="O301" s="971"/>
      <c r="P301" s="1353"/>
      <c r="Q301" s="1353"/>
      <c r="R301" s="1353"/>
      <c r="S301" s="971"/>
      <c r="T301" s="971"/>
      <c r="U301" s="1398"/>
      <c r="V301" s="971"/>
      <c r="W301" s="971"/>
      <c r="X301" s="971"/>
      <c r="Y301" s="1353"/>
      <c r="Z301" s="971"/>
      <c r="AA301" s="971"/>
      <c r="AB301" s="1355"/>
      <c r="AC301" s="1355"/>
      <c r="AD301" s="1353"/>
    </row>
    <row r="302" spans="1:30" ht="15.75" customHeight="1" outlineLevel="1">
      <c r="A302" s="1420" t="s">
        <v>3137</v>
      </c>
      <c r="B302" s="1330" t="s">
        <v>156</v>
      </c>
      <c r="C302" s="1339">
        <f t="shared" si="31"/>
        <v>0.15</v>
      </c>
      <c r="D302" s="1055">
        <f t="shared" si="32"/>
        <v>0.05</v>
      </c>
      <c r="E302" s="1246">
        <f>IF('Ввод данных'!$A$6=связи1!$A$97,IF(дома!E301&lt;'Ввод данных'!$C$15,0,дома!E301-дома!$L$138),0)+IF(E301=0,0,IF('Ввод данных'!$A$6=связи1!$A$94,IF(дома!E301&lt;0,0,дома!E301-дома!$L$138),0))</f>
        <v>0</v>
      </c>
      <c r="F302" s="1055">
        <f>2*IF('Ввод данных'!$F$194=связи1!$A$2,1,0)*IF('Ввод данных'!$B$155=связи1!$A$2,1,0)</f>
        <v>0</v>
      </c>
      <c r="G302" s="1055">
        <f t="shared" si="33"/>
        <v>0</v>
      </c>
      <c r="H302" s="1055"/>
      <c r="I302" s="1055"/>
      <c r="J302" s="1055"/>
      <c r="K302" s="971"/>
      <c r="L302" s="971"/>
      <c r="M302" s="971"/>
      <c r="N302" s="971"/>
      <c r="O302" s="971"/>
      <c r="P302" s="1353"/>
      <c r="Q302" s="1353"/>
      <c r="R302" s="1353"/>
      <c r="S302" s="971"/>
      <c r="T302" s="971"/>
      <c r="U302" s="1398"/>
      <c r="V302" s="971"/>
      <c r="W302" s="971"/>
      <c r="X302" s="971"/>
      <c r="Y302" s="1353"/>
      <c r="Z302" s="971"/>
      <c r="AA302" s="971"/>
      <c r="AB302" s="1355"/>
      <c r="AC302" s="1355"/>
      <c r="AD302" s="1353"/>
    </row>
    <row r="303" spans="1:30" ht="15.75" customHeight="1" outlineLevel="1">
      <c r="A303" s="1420" t="s">
        <v>3138</v>
      </c>
      <c r="B303" s="1330" t="s">
        <v>156</v>
      </c>
      <c r="C303" s="1339">
        <f t="shared" si="31"/>
        <v>0.15</v>
      </c>
      <c r="D303" s="1055">
        <f t="shared" si="32"/>
        <v>0.05</v>
      </c>
      <c r="E303" s="1246">
        <f>IF('Ввод данных'!$A$6=связи1!$A$97,IF(дома!E302&lt;'Ввод данных'!$C$15,0,дома!E302-дома!$L$138),0)+IF(E302=0,0,IF('Ввод данных'!$A$6=связи1!$A$94,IF(дома!E302&lt;0,0,дома!E302-дома!$L$138),0))</f>
        <v>0</v>
      </c>
      <c r="F303" s="1055">
        <f>2*IF('Ввод данных'!$F$194=связи1!$A$2,1,0)*IF('Ввод данных'!$B$155=связи1!$A$2,1,0)</f>
        <v>0</v>
      </c>
      <c r="G303" s="1055">
        <f t="shared" si="33"/>
        <v>0</v>
      </c>
      <c r="H303" s="1055"/>
      <c r="I303" s="1055"/>
      <c r="J303" s="1055"/>
      <c r="K303" s="971"/>
      <c r="L303" s="971"/>
      <c r="M303" s="971"/>
      <c r="N303" s="971"/>
      <c r="O303" s="971"/>
      <c r="P303" s="1353"/>
      <c r="Q303" s="1353"/>
      <c r="R303" s="1353"/>
      <c r="S303" s="971"/>
      <c r="T303" s="971"/>
      <c r="U303" s="1398"/>
      <c r="V303" s="971"/>
      <c r="W303" s="971"/>
      <c r="X303" s="971"/>
      <c r="Y303" s="1353"/>
      <c r="Z303" s="971"/>
      <c r="AA303" s="971"/>
      <c r="AB303" s="1355"/>
      <c r="AC303" s="1355"/>
      <c r="AD303" s="1353"/>
    </row>
    <row r="304" spans="1:30" ht="15.75" customHeight="1" outlineLevel="1">
      <c r="A304" s="1420" t="s">
        <v>3139</v>
      </c>
      <c r="B304" s="1330" t="s">
        <v>156</v>
      </c>
      <c r="C304" s="1339">
        <f t="shared" si="31"/>
        <v>0.15</v>
      </c>
      <c r="D304" s="1055">
        <f t="shared" si="32"/>
        <v>0.05</v>
      </c>
      <c r="E304" s="1246">
        <f>IF('Ввод данных'!$A$6=связи1!$A$97,IF(дома!E303&lt;'Ввод данных'!$C$15,0,дома!E303-дома!$L$138),0)+IF(E303=0,0,IF('Ввод данных'!$A$6=связи1!$A$94,IF(дома!E303&lt;0,0,дома!E303-дома!$L$138),0))</f>
        <v>0</v>
      </c>
      <c r="F304" s="1055">
        <f>2*IF('Ввод данных'!$F$194=связи1!$A$2,1,0)*IF('Ввод данных'!$B$155=связи1!$A$2,1,0)</f>
        <v>0</v>
      </c>
      <c r="G304" s="1055">
        <f t="shared" si="33"/>
        <v>0</v>
      </c>
      <c r="H304" s="1055"/>
      <c r="I304" s="1055"/>
      <c r="J304" s="1055"/>
      <c r="K304" s="971"/>
      <c r="L304" s="971"/>
      <c r="M304" s="971"/>
      <c r="N304" s="971"/>
      <c r="O304" s="971"/>
      <c r="P304" s="1353"/>
      <c r="Q304" s="1353"/>
      <c r="R304" s="1353"/>
      <c r="S304" s="971"/>
      <c r="T304" s="971"/>
      <c r="U304" s="1398"/>
      <c r="V304" s="971"/>
      <c r="W304" s="971"/>
      <c r="X304" s="971"/>
      <c r="Y304" s="1353"/>
      <c r="Z304" s="971"/>
      <c r="AA304" s="971"/>
      <c r="AB304" s="1355"/>
      <c r="AC304" s="1355"/>
      <c r="AD304" s="1353"/>
    </row>
    <row r="305" spans="1:30" ht="15.75" customHeight="1" outlineLevel="1">
      <c r="A305" s="1420" t="s">
        <v>3140</v>
      </c>
      <c r="B305" s="1330" t="s">
        <v>156</v>
      </c>
      <c r="C305" s="1339">
        <f t="shared" si="31"/>
        <v>0.15</v>
      </c>
      <c r="D305" s="1055">
        <f t="shared" si="32"/>
        <v>0.05</v>
      </c>
      <c r="E305" s="1246">
        <f>IF('Ввод данных'!$A$6=связи1!$A$97,IF(дома!E304&lt;'Ввод данных'!$C$15,0,дома!E304-дома!$L$138),0)+IF(E304=0,0,IF('Ввод данных'!$A$6=связи1!$A$94,IF(дома!E304&lt;0,0,дома!E304-дома!$L$138),0))</f>
        <v>0</v>
      </c>
      <c r="F305" s="1055">
        <f>2*IF('Ввод данных'!$F$194=связи1!$A$2,1,0)*IF('Ввод данных'!$B$155=связи1!$A$2,1,0)</f>
        <v>0</v>
      </c>
      <c r="G305" s="1055">
        <f t="shared" si="33"/>
        <v>0</v>
      </c>
      <c r="H305" s="1055"/>
      <c r="I305" s="1055"/>
      <c r="J305" s="1055"/>
      <c r="K305" s="971"/>
      <c r="L305" s="971"/>
      <c r="M305" s="971"/>
      <c r="N305" s="971"/>
      <c r="O305" s="971"/>
      <c r="P305" s="1353"/>
      <c r="Q305" s="1353"/>
      <c r="R305" s="1353"/>
      <c r="S305" s="971"/>
      <c r="T305" s="971"/>
      <c r="U305" s="1398"/>
      <c r="V305" s="971"/>
      <c r="W305" s="971"/>
      <c r="X305" s="971"/>
      <c r="Y305" s="1353"/>
      <c r="Z305" s="971"/>
      <c r="AA305" s="971"/>
      <c r="AB305" s="1355"/>
      <c r="AC305" s="1355"/>
      <c r="AD305" s="1353"/>
    </row>
    <row r="306" spans="1:30" ht="15.75" customHeight="1" outlineLevel="1">
      <c r="A306" s="1419" t="s">
        <v>3093</v>
      </c>
      <c r="B306" s="1330" t="s">
        <v>156</v>
      </c>
      <c r="C306" s="1339">
        <f t="shared" si="31"/>
        <v>0.15</v>
      </c>
      <c r="D306" s="1055">
        <f t="shared" si="32"/>
        <v>0.05</v>
      </c>
      <c r="E306" s="1246">
        <f>IF('Ввод данных'!A6=связи1!A97,(C124+C127+C128+C129)*1.1,0)+IF('Ввод данных'!A6=связи1!A94,(дома!C124+дома!C127+дома!C128+дома!C129+дома!C128+дома!C129)*1.1,0)</f>
        <v>0</v>
      </c>
      <c r="F306" s="1055">
        <f>1*IF('Ввод данных'!$F$194=связи1!$A$2,1,0)*IF('Ввод данных'!$C$155=связи1!$A$2,1,0)</f>
        <v>0</v>
      </c>
      <c r="G306" s="1055">
        <f t="shared" si="33"/>
        <v>0</v>
      </c>
      <c r="H306" s="1055"/>
      <c r="I306" s="1055"/>
      <c r="J306" s="1055"/>
      <c r="K306" s="971"/>
      <c r="L306" s="971"/>
      <c r="M306" s="971"/>
      <c r="N306" s="971"/>
      <c r="O306" s="971"/>
      <c r="P306" s="1353"/>
      <c r="Q306" s="1353"/>
      <c r="R306" s="1353"/>
      <c r="S306" s="971"/>
      <c r="T306" s="971"/>
      <c r="U306" s="1398"/>
      <c r="V306" s="971"/>
      <c r="W306" s="971"/>
      <c r="X306" s="971"/>
      <c r="Y306" s="1353"/>
      <c r="Z306" s="971"/>
      <c r="AA306" s="971"/>
      <c r="AB306" s="1355"/>
      <c r="AC306" s="1355"/>
      <c r="AD306" s="1353"/>
    </row>
    <row r="307" spans="1:30" ht="15.75" customHeight="1" outlineLevel="1">
      <c r="A307" s="1419" t="s">
        <v>3094</v>
      </c>
      <c r="B307" s="1330" t="s">
        <v>156</v>
      </c>
      <c r="C307" s="1339">
        <f t="shared" si="31"/>
        <v>0.15</v>
      </c>
      <c r="D307" s="1055">
        <f t="shared" si="32"/>
        <v>0.05</v>
      </c>
      <c r="E307" s="1246">
        <f>IF('Ввод данных'!A6=связи1!A97,(C128+C129+L134*2)*1.1,0)+IF('Ввод данных'!A6=связи1!A94,(C124+C127+C128+C129+C128+L134*2)*1.1,0)</f>
        <v>24.596747752497691</v>
      </c>
      <c r="F307" s="1055">
        <f>1*IF('Ввод данных'!$F$194=связи1!$A$2,1,0)*IF('Ввод данных'!$C$155=связи1!$A$2,1,0)</f>
        <v>0</v>
      </c>
      <c r="G307" s="1055">
        <f t="shared" si="33"/>
        <v>0</v>
      </c>
      <c r="H307" s="1055"/>
      <c r="I307" s="1055"/>
      <c r="J307" s="1055"/>
      <c r="K307" s="971"/>
      <c r="L307" s="971"/>
      <c r="M307" s="971"/>
      <c r="N307" s="971"/>
      <c r="O307" s="971"/>
      <c r="P307" s="1353"/>
      <c r="Q307" s="1353"/>
      <c r="R307" s="1353"/>
      <c r="S307" s="971"/>
      <c r="T307" s="971"/>
      <c r="U307" s="1398"/>
      <c r="V307" s="971"/>
      <c r="W307" s="971"/>
      <c r="X307" s="971"/>
      <c r="Y307" s="1353"/>
      <c r="Z307" s="971"/>
      <c r="AA307" s="971"/>
      <c r="AB307" s="1355"/>
      <c r="AC307" s="1355"/>
      <c r="AD307" s="1353"/>
    </row>
    <row r="308" spans="1:30" ht="15.75" customHeight="1" outlineLevel="1">
      <c r="A308" s="1419" t="s">
        <v>3095</v>
      </c>
      <c r="B308" s="1330" t="s">
        <v>156</v>
      </c>
      <c r="C308" s="1339">
        <f t="shared" si="31"/>
        <v>0.15</v>
      </c>
      <c r="D308" s="1055">
        <f t="shared" si="32"/>
        <v>0.05</v>
      </c>
      <c r="E308" s="1246">
        <f>IF('Ввод данных'!A6=связи1!A97,(C128+C129+L134*2)*1.1,0)+IF('Ввод данных'!A6=связи1!A94,(C124+C127+C128+C129+C128+L134*2)*1.1,0)</f>
        <v>24.596747752497691</v>
      </c>
      <c r="F308" s="1055">
        <f>1*IF('Ввод данных'!$F$194=связи1!$A$2,1,0)*IF('Ввод данных'!$C$155=связи1!$A$2,1,0)</f>
        <v>0</v>
      </c>
      <c r="G308" s="1055">
        <f t="shared" si="33"/>
        <v>0</v>
      </c>
      <c r="H308" s="1055"/>
      <c r="I308" s="1055"/>
      <c r="J308" s="1055"/>
      <c r="K308" s="971"/>
      <c r="L308" s="971"/>
      <c r="M308" s="971"/>
      <c r="N308" s="971"/>
      <c r="O308" s="971"/>
      <c r="P308" s="1353"/>
      <c r="Q308" s="1353"/>
      <c r="R308" s="1353"/>
      <c r="S308" s="971"/>
      <c r="T308" s="971"/>
      <c r="U308" s="1398"/>
      <c r="V308" s="971"/>
      <c r="W308" s="971"/>
      <c r="X308" s="971"/>
      <c r="Y308" s="1353"/>
      <c r="Z308" s="971"/>
      <c r="AA308" s="971"/>
      <c r="AB308" s="1355"/>
      <c r="AC308" s="1355"/>
      <c r="AD308" s="1353"/>
    </row>
    <row r="309" spans="1:30" ht="15.75" customHeight="1" outlineLevel="1">
      <c r="A309" s="1415" t="s">
        <v>3141</v>
      </c>
      <c r="B309" s="1330" t="s">
        <v>156</v>
      </c>
      <c r="C309" s="1339">
        <f t="shared" si="31"/>
        <v>0.15</v>
      </c>
      <c r="D309" s="1055">
        <f t="shared" si="32"/>
        <v>0.05</v>
      </c>
      <c r="E309" s="1246">
        <f>IF('Ввод данных'!A6=связи1!A97,'Ввод данных'!C15,0)+IF('Ввод данных'!A6=связи1!A94,'Ввод данных'!C13,0)</f>
        <v>3</v>
      </c>
      <c r="F309" s="1055">
        <f>CEILING(C128/G128+1,1)*IF('Ввод данных'!$F$194=связи1!$A$2,1,0)*IF('Ввод данных'!$C$155=связи1!$A$2,1,0)</f>
        <v>0</v>
      </c>
      <c r="G309" s="1055">
        <f t="shared" si="33"/>
        <v>0</v>
      </c>
      <c r="H309" s="1055"/>
      <c r="I309" s="1055"/>
      <c r="J309" s="1055"/>
      <c r="K309" s="971"/>
      <c r="L309" s="971"/>
      <c r="M309" s="971"/>
      <c r="N309" s="971"/>
      <c r="O309" s="971"/>
      <c r="P309" s="1353"/>
      <c r="Q309" s="1353"/>
      <c r="R309" s="1353"/>
      <c r="S309" s="971"/>
      <c r="T309" s="971"/>
      <c r="U309" s="1398"/>
      <c r="V309" s="971"/>
      <c r="W309" s="971"/>
      <c r="X309" s="971"/>
      <c r="Y309" s="1353"/>
      <c r="Z309" s="971"/>
      <c r="AA309" s="971"/>
      <c r="AB309" s="1355"/>
      <c r="AC309" s="1355"/>
      <c r="AD309" s="1353"/>
    </row>
    <row r="310" spans="1:30" ht="15.75" customHeight="1" outlineLevel="1">
      <c r="A310" s="1415" t="s">
        <v>3142</v>
      </c>
      <c r="B310" s="1330" t="s">
        <v>156</v>
      </c>
      <c r="C310" s="1339">
        <f t="shared" ref="C310:C341" si="34">$C$143</f>
        <v>0.15</v>
      </c>
      <c r="D310" s="1055">
        <f t="shared" ref="D310:D341" si="35">$D$143</f>
        <v>0.05</v>
      </c>
      <c r="E310" s="1246">
        <f>IF('Ввод данных'!A6=связи1!A94,'Ввод данных'!C13,0)+IF('Ввод данных'!A6=связи1!A95,'Ввод данных'!C13,0)+IF('Ввод данных'!A6=связи1!A96,'Ввод данных'!C13,0)+IF('Ввод данных'!A6=связи1!A98,'Ввод данных'!C13,0)+IF('Ввод данных'!A6=связи1!A97,'Ввод данных'!C15,0)</f>
        <v>3</v>
      </c>
      <c r="F310" s="1055">
        <f>CEILING(C128/G128+1,1)*IF('Ввод данных'!$F$194=связи1!$A$2,1,0)*IF('Ввод данных'!$C$155=связи1!$A$2,1,0)</f>
        <v>0</v>
      </c>
      <c r="G310" s="1055">
        <f t="shared" si="33"/>
        <v>0</v>
      </c>
      <c r="H310" s="1055"/>
      <c r="I310" s="1055"/>
      <c r="J310" s="1055"/>
      <c r="K310" s="971"/>
      <c r="L310" s="971"/>
      <c r="M310" s="971"/>
      <c r="N310" s="971"/>
      <c r="O310" s="971"/>
      <c r="P310" s="1353"/>
      <c r="Q310" s="1353"/>
      <c r="R310" s="1353"/>
      <c r="S310" s="971"/>
      <c r="T310" s="971"/>
      <c r="U310" s="1398"/>
      <c r="V310" s="971"/>
      <c r="W310" s="971"/>
      <c r="X310" s="971"/>
      <c r="Y310" s="1353"/>
      <c r="Z310" s="971"/>
      <c r="AA310" s="971"/>
      <c r="AB310" s="1355"/>
      <c r="AC310" s="1355"/>
      <c r="AD310" s="1353"/>
    </row>
    <row r="311" spans="1:30" ht="15.75" customHeight="1" outlineLevel="1">
      <c r="A311" s="1415" t="s">
        <v>3143</v>
      </c>
      <c r="B311" s="1330" t="s">
        <v>156</v>
      </c>
      <c r="C311" s="1339">
        <f t="shared" si="34"/>
        <v>0.15</v>
      </c>
      <c r="D311" s="1055">
        <f t="shared" si="35"/>
        <v>0.05</v>
      </c>
      <c r="E311" s="1246">
        <f>IF('Ввод данных'!A6=связи1!A97,'Ввод данных'!C14,0)+IF('Ввод данных'!A6=связи1!A94,'Ввод данных'!C13,0)</f>
        <v>3</v>
      </c>
      <c r="F311" s="1055">
        <f>IF('Ввод данных'!A6=связи1!A94,CEILING(дома!C124/дома!G124+1,1),0)*IF('Ввод данных'!$F$194=связи1!$A$2,1,0)*IF('Ввод данных'!$C$155=связи1!$A$2,1,0)</f>
        <v>0</v>
      </c>
      <c r="G311" s="1055">
        <f t="shared" si="33"/>
        <v>0</v>
      </c>
      <c r="H311" s="1055"/>
      <c r="I311" s="1055"/>
      <c r="J311" s="1055"/>
      <c r="K311" s="971"/>
      <c r="L311" s="971"/>
      <c r="M311" s="971"/>
      <c r="N311" s="971"/>
      <c r="O311" s="971"/>
      <c r="P311" s="1353"/>
      <c r="Q311" s="1353"/>
      <c r="R311" s="1353"/>
      <c r="S311" s="971"/>
      <c r="T311" s="971"/>
      <c r="U311" s="1398"/>
      <c r="V311" s="971"/>
      <c r="W311" s="971"/>
      <c r="X311" s="971"/>
      <c r="Y311" s="1353"/>
      <c r="Z311" s="971"/>
      <c r="AA311" s="971"/>
      <c r="AB311" s="1355"/>
      <c r="AC311" s="1355"/>
      <c r="AD311" s="1353"/>
    </row>
    <row r="312" spans="1:30" ht="15.75" customHeight="1" outlineLevel="1">
      <c r="A312" s="1419" t="s">
        <v>3099</v>
      </c>
      <c r="B312" s="1330" t="s">
        <v>156</v>
      </c>
      <c r="C312" s="1339">
        <f t="shared" si="34"/>
        <v>0.15</v>
      </c>
      <c r="D312" s="1055">
        <f t="shared" si="35"/>
        <v>0.05</v>
      </c>
      <c r="E312" s="1246">
        <f>IF('Ввод данных'!A6=связи1!A97,'Ввод данных'!C14,0)+IF('Ввод данных'!A6=связи1!A94,'Ввод данных'!C14-'Ввод данных'!C13,0)</f>
        <v>5</v>
      </c>
      <c r="F312" s="1055">
        <f>2*IF('Ввод данных'!$F$194=связи1!$A$2,1,0)*IF('Ввод данных'!$C$155=связи1!$A$2,1,0)</f>
        <v>0</v>
      </c>
      <c r="G312" s="1055">
        <f t="shared" si="33"/>
        <v>0</v>
      </c>
      <c r="H312" s="1055"/>
      <c r="I312" s="1055"/>
      <c r="J312" s="1055"/>
      <c r="K312" s="971"/>
      <c r="L312" s="971"/>
      <c r="M312" s="971"/>
      <c r="N312" s="971"/>
      <c r="O312" s="971"/>
      <c r="P312" s="1353"/>
      <c r="Q312" s="1353"/>
      <c r="R312" s="1353"/>
      <c r="S312" s="971"/>
      <c r="T312" s="971"/>
      <c r="U312" s="1398"/>
      <c r="V312" s="971"/>
      <c r="W312" s="971"/>
      <c r="X312" s="971"/>
      <c r="Y312" s="1353"/>
      <c r="Z312" s="971"/>
      <c r="AA312" s="971"/>
      <c r="AB312" s="1355"/>
      <c r="AC312" s="1355"/>
      <c r="AD312" s="1353"/>
    </row>
    <row r="313" spans="1:30" ht="15.75" customHeight="1" outlineLevel="1">
      <c r="A313" s="1419" t="s">
        <v>3100</v>
      </c>
      <c r="B313" s="1330" t="s">
        <v>156</v>
      </c>
      <c r="C313" s="1339">
        <f t="shared" si="34"/>
        <v>0.15</v>
      </c>
      <c r="D313" s="1055">
        <f t="shared" si="35"/>
        <v>0.05</v>
      </c>
      <c r="E313" s="1246">
        <f>IF('Ввод данных'!$A$6=связи1!$A$97,IF(дома!E312&lt;'Ввод данных'!$C$15,0,дома!E312-дома!$L$139),0)+IF(дома!E312=0,0,IF('Ввод данных'!$A$6=связи1!$A$94,IF(дома!E312&lt;0,0,дома!E312-дома!$L$139),0))</f>
        <v>4.8</v>
      </c>
      <c r="F313" s="1055">
        <f>2*IF('Ввод данных'!$F$194=связи1!$A$2,1,0)*IF('Ввод данных'!$C$155=связи1!$A$2,1,0)</f>
        <v>0</v>
      </c>
      <c r="G313" s="1055">
        <f t="shared" si="33"/>
        <v>0</v>
      </c>
      <c r="H313" s="1055"/>
      <c r="I313" s="1055"/>
      <c r="J313" s="1055"/>
      <c r="K313" s="971"/>
      <c r="L313" s="971"/>
      <c r="M313" s="971"/>
      <c r="N313" s="971"/>
      <c r="O313" s="971"/>
      <c r="P313" s="1353"/>
      <c r="Q313" s="1353"/>
      <c r="R313" s="1353"/>
      <c r="S313" s="971"/>
      <c r="T313" s="971"/>
      <c r="U313" s="1398"/>
      <c r="V313" s="971"/>
      <c r="W313" s="971"/>
      <c r="X313" s="971"/>
      <c r="Y313" s="1353"/>
      <c r="Z313" s="971"/>
      <c r="AA313" s="971"/>
      <c r="AB313" s="1355"/>
      <c r="AC313" s="1355"/>
      <c r="AD313" s="1353"/>
    </row>
    <row r="314" spans="1:30" ht="15.75" customHeight="1" outlineLevel="1">
      <c r="A314" s="1419" t="s">
        <v>3101</v>
      </c>
      <c r="B314" s="1330" t="s">
        <v>156</v>
      </c>
      <c r="C314" s="1339">
        <f t="shared" si="34"/>
        <v>0.15</v>
      </c>
      <c r="D314" s="1055">
        <f t="shared" si="35"/>
        <v>0.05</v>
      </c>
      <c r="E314" s="1246">
        <f>IF('Ввод данных'!$A$6=связи1!$A$97,IF(дома!E313&lt;'Ввод данных'!$C$15,0,дома!E313-дома!$L$139),0)+IF(дома!E313=0,0,IF('Ввод данных'!$A$6=связи1!$A$94,IF(дома!E313&lt;0,0,дома!E313-дома!$L$139),0))</f>
        <v>4.5999999999999996</v>
      </c>
      <c r="F314" s="1055">
        <f>2*IF('Ввод данных'!$F$194=связи1!$A$2,1,0)*IF('Ввод данных'!$C$155=связи1!$A$2,1,0)</f>
        <v>0</v>
      </c>
      <c r="G314" s="1055">
        <f t="shared" si="33"/>
        <v>0</v>
      </c>
      <c r="H314" s="1055"/>
      <c r="I314" s="1055"/>
      <c r="J314" s="1055"/>
      <c r="K314" s="971"/>
      <c r="L314" s="971"/>
      <c r="M314" s="971"/>
      <c r="N314" s="971"/>
      <c r="O314" s="971"/>
      <c r="P314" s="1353"/>
      <c r="Q314" s="1353"/>
      <c r="R314" s="1353"/>
      <c r="S314" s="971"/>
      <c r="T314" s="971"/>
      <c r="U314" s="1398"/>
      <c r="V314" s="971"/>
      <c r="W314" s="971"/>
      <c r="X314" s="971"/>
      <c r="Y314" s="1353"/>
      <c r="Z314" s="971"/>
      <c r="AA314" s="971"/>
      <c r="AB314" s="1355"/>
      <c r="AC314" s="1355"/>
      <c r="AD314" s="1353"/>
    </row>
    <row r="315" spans="1:30" ht="15.75" customHeight="1" outlineLevel="1">
      <c r="A315" s="1419" t="s">
        <v>3102</v>
      </c>
      <c r="B315" s="1330" t="s">
        <v>156</v>
      </c>
      <c r="C315" s="1339">
        <f t="shared" si="34"/>
        <v>0.15</v>
      </c>
      <c r="D315" s="1055">
        <f t="shared" si="35"/>
        <v>0.05</v>
      </c>
      <c r="E315" s="1246">
        <f>IF('Ввод данных'!$A$6=связи1!$A$97,IF(дома!E314&lt;'Ввод данных'!$C$15,0,дома!E314-дома!$L$139),0)+IF(дома!E314=0,0,IF('Ввод данных'!$A$6=связи1!$A$94,IF(дома!E314&lt;0,0,дома!E314-дома!$L$139),0))</f>
        <v>4.3999999999999995</v>
      </c>
      <c r="F315" s="1055">
        <f>2*IF('Ввод данных'!$F$194=связи1!$A$2,1,0)*IF('Ввод данных'!$C$155=связи1!$A$2,1,0)</f>
        <v>0</v>
      </c>
      <c r="G315" s="1055">
        <f t="shared" si="33"/>
        <v>0</v>
      </c>
      <c r="H315" s="1055"/>
      <c r="I315" s="1055"/>
      <c r="J315" s="1055"/>
      <c r="K315" s="971"/>
      <c r="L315" s="971"/>
      <c r="M315" s="971"/>
      <c r="N315" s="971"/>
      <c r="O315" s="971"/>
      <c r="P315" s="1353"/>
      <c r="Q315" s="1353"/>
      <c r="R315" s="1353"/>
      <c r="S315" s="971"/>
      <c r="T315" s="971"/>
      <c r="U315" s="1398"/>
      <c r="V315" s="971"/>
      <c r="W315" s="971"/>
      <c r="X315" s="971"/>
      <c r="Y315" s="1353"/>
      <c r="Z315" s="971"/>
      <c r="AA315" s="971"/>
      <c r="AB315" s="1355"/>
      <c r="AC315" s="1355"/>
      <c r="AD315" s="1353"/>
    </row>
    <row r="316" spans="1:30" ht="15.75" customHeight="1" outlineLevel="1">
      <c r="A316" s="1419" t="s">
        <v>3103</v>
      </c>
      <c r="B316" s="1330" t="s">
        <v>156</v>
      </c>
      <c r="C316" s="1339">
        <f t="shared" si="34"/>
        <v>0.15</v>
      </c>
      <c r="D316" s="1055">
        <f t="shared" si="35"/>
        <v>0.05</v>
      </c>
      <c r="E316" s="1246">
        <f>IF('Ввод данных'!$A$6=связи1!$A$97,IF(дома!E315&lt;'Ввод данных'!$C$15,0,дома!E315-дома!$L$139),0)+IF(дома!E315=0,0,IF('Ввод данных'!$A$6=связи1!$A$94,IF(дома!E315&lt;0,0,дома!E315-дома!$L$139),0))</f>
        <v>4.1999999999999993</v>
      </c>
      <c r="F316" s="1055">
        <f>2*IF('Ввод данных'!$F$194=связи1!$A$2,1,0)*IF('Ввод данных'!$C$155=связи1!$A$2,1,0)</f>
        <v>0</v>
      </c>
      <c r="G316" s="1055">
        <f t="shared" si="33"/>
        <v>0</v>
      </c>
      <c r="H316" s="1055"/>
      <c r="I316" s="1055"/>
      <c r="J316" s="1055"/>
      <c r="K316" s="971"/>
      <c r="L316" s="971"/>
      <c r="M316" s="971"/>
      <c r="N316" s="971"/>
      <c r="O316" s="971"/>
      <c r="P316" s="1353"/>
      <c r="Q316" s="1353"/>
      <c r="R316" s="1353"/>
      <c r="S316" s="971"/>
      <c r="T316" s="971"/>
      <c r="U316" s="1398"/>
      <c r="V316" s="971"/>
      <c r="W316" s="971"/>
      <c r="X316" s="971"/>
      <c r="Y316" s="1353"/>
      <c r="Z316" s="971"/>
      <c r="AA316" s="971"/>
      <c r="AB316" s="1355"/>
      <c r="AC316" s="1355"/>
      <c r="AD316" s="1353"/>
    </row>
    <row r="317" spans="1:30" ht="15.75" customHeight="1" outlineLevel="1">
      <c r="A317" s="1419" t="s">
        <v>3104</v>
      </c>
      <c r="B317" s="1330" t="s">
        <v>156</v>
      </c>
      <c r="C317" s="1339">
        <f t="shared" si="34"/>
        <v>0.15</v>
      </c>
      <c r="D317" s="1055">
        <f t="shared" si="35"/>
        <v>0.05</v>
      </c>
      <c r="E317" s="1246">
        <f>IF('Ввод данных'!$A$6=связи1!$A$97,IF(дома!E316&lt;'Ввод данных'!$C$15,0,дома!E316-дома!$L$139),0)+IF(дома!E316=0,0,IF('Ввод данных'!$A$6=связи1!$A$94,IF(дома!E316&lt;0,0,дома!E316-дома!$L$139),0))</f>
        <v>3.9999999999999991</v>
      </c>
      <c r="F317" s="1055">
        <f>2*IF('Ввод данных'!$F$194=связи1!$A$2,1,0)*IF('Ввод данных'!$C$155=связи1!$A$2,1,0)</f>
        <v>0</v>
      </c>
      <c r="G317" s="1055">
        <f t="shared" si="33"/>
        <v>0</v>
      </c>
      <c r="H317" s="1055"/>
      <c r="I317" s="1055"/>
      <c r="J317" s="1055"/>
      <c r="K317" s="971"/>
      <c r="L317" s="971"/>
      <c r="M317" s="971"/>
      <c r="N317" s="971"/>
      <c r="O317" s="971"/>
      <c r="P317" s="1353"/>
      <c r="Q317" s="1353"/>
      <c r="R317" s="1353"/>
      <c r="S317" s="971"/>
      <c r="T317" s="971"/>
      <c r="U317" s="1398"/>
      <c r="V317" s="971"/>
      <c r="W317" s="971"/>
      <c r="X317" s="971"/>
      <c r="Y317" s="1353"/>
      <c r="Z317" s="971"/>
      <c r="AA317" s="971"/>
      <c r="AB317" s="1355"/>
      <c r="AC317" s="1355"/>
      <c r="AD317" s="1353"/>
    </row>
    <row r="318" spans="1:30" ht="15.75" customHeight="1" outlineLevel="1">
      <c r="A318" s="1419" t="s">
        <v>3105</v>
      </c>
      <c r="B318" s="1330" t="s">
        <v>156</v>
      </c>
      <c r="C318" s="1339">
        <f t="shared" si="34"/>
        <v>0.15</v>
      </c>
      <c r="D318" s="1055">
        <f t="shared" si="35"/>
        <v>0.05</v>
      </c>
      <c r="E318" s="1246">
        <f>IF('Ввод данных'!$A$6=связи1!$A$97,IF(дома!E317&lt;'Ввод данных'!$C$15,0,дома!E317-дома!$L$139),0)+IF(дома!E317=0,0,IF('Ввод данных'!$A$6=связи1!$A$94,IF(дома!E317&lt;0,0,дома!E317-дома!$L$139),0))</f>
        <v>3.7999999999999989</v>
      </c>
      <c r="F318" s="1055">
        <f>2*IF('Ввод данных'!$F$194=связи1!$A$2,1,0)*IF('Ввод данных'!$C$155=связи1!$A$2,1,0)</f>
        <v>0</v>
      </c>
      <c r="G318" s="1055">
        <f t="shared" si="33"/>
        <v>0</v>
      </c>
      <c r="H318" s="1055"/>
      <c r="I318" s="1055"/>
      <c r="J318" s="1055"/>
      <c r="K318" s="971"/>
      <c r="L318" s="971"/>
      <c r="M318" s="971"/>
      <c r="N318" s="971"/>
      <c r="O318" s="971"/>
      <c r="P318" s="1353"/>
      <c r="Q318" s="1353"/>
      <c r="R318" s="1353"/>
      <c r="S318" s="971"/>
      <c r="T318" s="971"/>
      <c r="U318" s="1398"/>
      <c r="V318" s="971"/>
      <c r="W318" s="971"/>
      <c r="X318" s="971"/>
      <c r="Y318" s="1353"/>
      <c r="Z318" s="971"/>
      <c r="AA318" s="971"/>
      <c r="AB318" s="1355"/>
      <c r="AC318" s="1355"/>
      <c r="AD318" s="1353"/>
    </row>
    <row r="319" spans="1:30" ht="15.75" customHeight="1" outlineLevel="1">
      <c r="A319" s="1419" t="s">
        <v>3106</v>
      </c>
      <c r="B319" s="1330" t="s">
        <v>156</v>
      </c>
      <c r="C319" s="1339">
        <f t="shared" si="34"/>
        <v>0.15</v>
      </c>
      <c r="D319" s="1055">
        <f t="shared" si="35"/>
        <v>0.05</v>
      </c>
      <c r="E319" s="1246">
        <f>IF('Ввод данных'!$A$6=связи1!$A$97,IF(дома!E318&lt;'Ввод данных'!$C$15,0,дома!E318-дома!$L$139),0)+IF(дома!E318=0,0,IF('Ввод данных'!$A$6=связи1!$A$94,IF(дома!E318&lt;0,0,дома!E318-дома!$L$139),0))</f>
        <v>3.5999999999999988</v>
      </c>
      <c r="F319" s="1055">
        <f>2*IF('Ввод данных'!$F$194=связи1!$A$2,1,0)*IF('Ввод данных'!$C$155=связи1!$A$2,1,0)</f>
        <v>0</v>
      </c>
      <c r="G319" s="1055">
        <f t="shared" si="33"/>
        <v>0</v>
      </c>
      <c r="H319" s="1055"/>
      <c r="I319" s="1055"/>
      <c r="J319" s="1055"/>
      <c r="K319" s="971"/>
      <c r="L319" s="971"/>
      <c r="M319" s="971"/>
      <c r="N319" s="971"/>
      <c r="O319" s="971"/>
      <c r="P319" s="1353"/>
      <c r="Q319" s="1353"/>
      <c r="R319" s="1353"/>
      <c r="S319" s="971"/>
      <c r="T319" s="971"/>
      <c r="U319" s="1398"/>
      <c r="V319" s="971"/>
      <c r="W319" s="971"/>
      <c r="X319" s="971"/>
      <c r="Y319" s="1353"/>
      <c r="Z319" s="971"/>
      <c r="AA319" s="971"/>
      <c r="AB319" s="1355"/>
      <c r="AC319" s="1355"/>
      <c r="AD319" s="1353"/>
    </row>
    <row r="320" spans="1:30" ht="15.75" customHeight="1" outlineLevel="1">
      <c r="A320" s="1419" t="s">
        <v>3107</v>
      </c>
      <c r="B320" s="1330" t="s">
        <v>156</v>
      </c>
      <c r="C320" s="1339">
        <f t="shared" si="34"/>
        <v>0.15</v>
      </c>
      <c r="D320" s="1055">
        <f t="shared" si="35"/>
        <v>0.05</v>
      </c>
      <c r="E320" s="1246">
        <f>IF('Ввод данных'!$A$6=связи1!$A$97,IF(дома!E319&lt;'Ввод данных'!$C$15,0,дома!E319-дома!$L$139),0)+IF(дома!E319=0,0,IF('Ввод данных'!$A$6=связи1!$A$94,IF(дома!E319&lt;0,0,дома!E319-дома!$L$139),0))</f>
        <v>3.3999999999999986</v>
      </c>
      <c r="F320" s="1055">
        <f>2*IF('Ввод данных'!$F$194=связи1!$A$2,1,0)*IF('Ввод данных'!$C$155=связи1!$A$2,1,0)</f>
        <v>0</v>
      </c>
      <c r="G320" s="1055">
        <f t="shared" si="33"/>
        <v>0</v>
      </c>
      <c r="H320" s="1055"/>
      <c r="I320" s="1055"/>
      <c r="J320" s="1055"/>
      <c r="K320" s="971"/>
      <c r="L320" s="971"/>
      <c r="M320" s="971"/>
      <c r="N320" s="971"/>
      <c r="O320" s="971"/>
      <c r="P320" s="1353"/>
      <c r="Q320" s="1353"/>
      <c r="R320" s="1353"/>
      <c r="S320" s="971"/>
      <c r="T320" s="971"/>
      <c r="U320" s="1398"/>
      <c r="V320" s="971"/>
      <c r="W320" s="971"/>
      <c r="X320" s="971"/>
      <c r="Y320" s="1353"/>
      <c r="Z320" s="971"/>
      <c r="AA320" s="971"/>
      <c r="AB320" s="1355"/>
      <c r="AC320" s="1355"/>
      <c r="AD320" s="1353"/>
    </row>
    <row r="321" spans="1:30" ht="15.75" customHeight="1" outlineLevel="1">
      <c r="A321" s="1419" t="s">
        <v>3108</v>
      </c>
      <c r="B321" s="1330" t="s">
        <v>156</v>
      </c>
      <c r="C321" s="1339">
        <f t="shared" si="34"/>
        <v>0.15</v>
      </c>
      <c r="D321" s="1055">
        <f t="shared" si="35"/>
        <v>0.05</v>
      </c>
      <c r="E321" s="1246">
        <f>IF('Ввод данных'!$A$6=связи1!$A$97,IF(дома!E320&lt;'Ввод данных'!$C$15,0,дома!E320-дома!$L$139),0)+IF(дома!E320=0,0,IF('Ввод данных'!$A$6=связи1!$A$94,IF(дома!E320&lt;0,0,дома!E320-дома!$L$139),0))</f>
        <v>3.1999999999999984</v>
      </c>
      <c r="F321" s="1055">
        <f>2*IF('Ввод данных'!$F$194=связи1!$A$2,1,0)*IF('Ввод данных'!$C$155=связи1!$A$2,1,0)</f>
        <v>0</v>
      </c>
      <c r="G321" s="1055">
        <f t="shared" si="33"/>
        <v>0</v>
      </c>
      <c r="H321" s="1055"/>
      <c r="I321" s="1055"/>
      <c r="J321" s="1055"/>
      <c r="K321" s="971"/>
      <c r="L321" s="971"/>
      <c r="M321" s="971"/>
      <c r="N321" s="971"/>
      <c r="O321" s="971"/>
      <c r="P321" s="1353"/>
      <c r="Q321" s="1353"/>
      <c r="R321" s="1353"/>
      <c r="S321" s="971"/>
      <c r="T321" s="971"/>
      <c r="U321" s="1398"/>
      <c r="V321" s="971"/>
      <c r="W321" s="971"/>
      <c r="X321" s="971"/>
      <c r="Y321" s="1353"/>
      <c r="Z321" s="971"/>
      <c r="AA321" s="971"/>
      <c r="AB321" s="1355"/>
      <c r="AC321" s="1355"/>
      <c r="AD321" s="1353"/>
    </row>
    <row r="322" spans="1:30" ht="15.75" customHeight="1" outlineLevel="1">
      <c r="A322" s="1419" t="s">
        <v>3109</v>
      </c>
      <c r="B322" s="1330" t="s">
        <v>156</v>
      </c>
      <c r="C322" s="1339">
        <f t="shared" si="34"/>
        <v>0.15</v>
      </c>
      <c r="D322" s="1055">
        <f t="shared" si="35"/>
        <v>0.05</v>
      </c>
      <c r="E322" s="1246">
        <f>IF('Ввод данных'!$A$6=связи1!$A$97,IF(дома!E321&lt;'Ввод данных'!$C$15,0,дома!E321-дома!$L$139),0)+IF(дома!E321=0,0,IF('Ввод данных'!$A$6=связи1!$A$94,IF(дома!E321&lt;0,0,дома!E321-дома!$L$139),0))</f>
        <v>2.9999999999999982</v>
      </c>
      <c r="F322" s="1055">
        <f>2*IF('Ввод данных'!$F$194=связи1!$A$2,1,0)*IF('Ввод данных'!$C$155=связи1!$A$2,1,0)</f>
        <v>0</v>
      </c>
      <c r="G322" s="1055">
        <f t="shared" si="33"/>
        <v>0</v>
      </c>
      <c r="H322" s="1055"/>
      <c r="I322" s="1055"/>
      <c r="J322" s="1055"/>
      <c r="K322" s="971"/>
      <c r="L322" s="971"/>
      <c r="M322" s="971"/>
      <c r="N322" s="971"/>
      <c r="O322" s="971"/>
      <c r="P322" s="1353"/>
      <c r="Q322" s="1353"/>
      <c r="R322" s="1353"/>
      <c r="S322" s="971"/>
      <c r="T322" s="971"/>
      <c r="U322" s="1398"/>
      <c r="V322" s="971"/>
      <c r="W322" s="971"/>
      <c r="X322" s="971"/>
      <c r="Y322" s="1353"/>
      <c r="Z322" s="971"/>
      <c r="AA322" s="971"/>
      <c r="AB322" s="1355"/>
      <c r="AC322" s="1355"/>
      <c r="AD322" s="1353"/>
    </row>
    <row r="323" spans="1:30" ht="15.75" customHeight="1" outlineLevel="1">
      <c r="A323" s="1419" t="s">
        <v>3110</v>
      </c>
      <c r="B323" s="1330" t="s">
        <v>156</v>
      </c>
      <c r="C323" s="1339">
        <f t="shared" si="34"/>
        <v>0.15</v>
      </c>
      <c r="D323" s="1055">
        <f t="shared" si="35"/>
        <v>0.05</v>
      </c>
      <c r="E323" s="1246">
        <f>IF('Ввод данных'!$A$6=связи1!$A$97,IF(дома!E322&lt;'Ввод данных'!$C$15,0,дома!E322-дома!$L$139),0)+IF(дома!E322=0,0,IF('Ввод данных'!$A$6=связи1!$A$94,IF(дома!E322&lt;0,0,дома!E322-дома!$L$139),0))</f>
        <v>2.799999999999998</v>
      </c>
      <c r="F323" s="1055">
        <f>2*IF('Ввод данных'!$F$194=связи1!$A$2,1,0)*IF('Ввод данных'!$C$155=связи1!$A$2,1,0)</f>
        <v>0</v>
      </c>
      <c r="G323" s="1055">
        <f t="shared" si="33"/>
        <v>0</v>
      </c>
      <c r="H323" s="1055"/>
      <c r="I323" s="1055"/>
      <c r="J323" s="1055"/>
      <c r="K323" s="971"/>
      <c r="L323" s="971"/>
      <c r="M323" s="971"/>
      <c r="N323" s="971"/>
      <c r="O323" s="971"/>
      <c r="P323" s="1353"/>
      <c r="Q323" s="1353"/>
      <c r="R323" s="1353"/>
      <c r="S323" s="971"/>
      <c r="T323" s="971"/>
      <c r="U323" s="1398"/>
      <c r="V323" s="971"/>
      <c r="W323" s="971"/>
      <c r="X323" s="971"/>
      <c r="Y323" s="1353"/>
      <c r="Z323" s="971"/>
      <c r="AA323" s="971"/>
      <c r="AB323" s="1355"/>
      <c r="AC323" s="1355"/>
      <c r="AD323" s="1353"/>
    </row>
    <row r="324" spans="1:30" ht="15.75" customHeight="1" outlineLevel="1">
      <c r="A324" s="1419" t="s">
        <v>3111</v>
      </c>
      <c r="B324" s="1330" t="s">
        <v>156</v>
      </c>
      <c r="C324" s="1339">
        <f t="shared" si="34"/>
        <v>0.15</v>
      </c>
      <c r="D324" s="1055">
        <f t="shared" si="35"/>
        <v>0.05</v>
      </c>
      <c r="E324" s="1246">
        <f>IF('Ввод данных'!$A$6=связи1!$A$97,IF(дома!E323&lt;'Ввод данных'!$C$15,0,дома!E323-дома!$L$139),0)+IF(дома!E323=0,0,IF('Ввод данных'!$A$6=связи1!$A$94,IF(дома!E323&lt;0,0,дома!E323-дома!$L$139),0))</f>
        <v>2.5999999999999979</v>
      </c>
      <c r="F324" s="1055">
        <f>2*IF('Ввод данных'!$F$194=связи1!$A$2,1,0)*IF('Ввод данных'!$C$155=связи1!$A$2,1,0)</f>
        <v>0</v>
      </c>
      <c r="G324" s="1055">
        <f t="shared" si="33"/>
        <v>0</v>
      </c>
      <c r="H324" s="1055"/>
      <c r="I324" s="1055"/>
      <c r="J324" s="1055"/>
      <c r="K324" s="971"/>
      <c r="L324" s="971"/>
      <c r="M324" s="971"/>
      <c r="N324" s="971"/>
      <c r="O324" s="971"/>
      <c r="P324" s="1353"/>
      <c r="Q324" s="1353"/>
      <c r="R324" s="1353"/>
      <c r="S324" s="971"/>
      <c r="T324" s="971"/>
      <c r="U324" s="1398"/>
      <c r="V324" s="971"/>
      <c r="W324" s="971"/>
      <c r="X324" s="971"/>
      <c r="Y324" s="1353"/>
      <c r="Z324" s="971"/>
      <c r="AA324" s="971"/>
      <c r="AB324" s="1355"/>
      <c r="AC324" s="1355"/>
      <c r="AD324" s="1353"/>
    </row>
    <row r="325" spans="1:30" ht="15.75" customHeight="1" outlineLevel="1">
      <c r="A325" s="1419" t="s">
        <v>3112</v>
      </c>
      <c r="B325" s="1330" t="s">
        <v>156</v>
      </c>
      <c r="C325" s="1339">
        <f t="shared" si="34"/>
        <v>0.15</v>
      </c>
      <c r="D325" s="1055">
        <f t="shared" si="35"/>
        <v>0.05</v>
      </c>
      <c r="E325" s="1246">
        <f>IF('Ввод данных'!$A$6=связи1!$A$97,IF(дома!E324&lt;'Ввод данных'!$C$15,0,дома!E324-дома!$L$139),0)+IF(дома!E324=0,0,IF('Ввод данных'!$A$6=связи1!$A$94,IF(дома!E324&lt;0,0,дома!E324-дома!$L$139),0))</f>
        <v>2.3999999999999977</v>
      </c>
      <c r="F325" s="1055">
        <f>2*IF('Ввод данных'!$F$194=связи1!$A$2,1,0)*IF('Ввод данных'!$C$155=связи1!$A$2,1,0)</f>
        <v>0</v>
      </c>
      <c r="G325" s="1055">
        <f t="shared" si="33"/>
        <v>0</v>
      </c>
      <c r="H325" s="1055"/>
      <c r="I325" s="1055"/>
      <c r="J325" s="1055"/>
      <c r="K325" s="971"/>
      <c r="L325" s="971"/>
      <c r="M325" s="971"/>
      <c r="N325" s="971"/>
      <c r="O325" s="971"/>
      <c r="P325" s="1353"/>
      <c r="Q325" s="1353"/>
      <c r="R325" s="1353"/>
      <c r="S325" s="971"/>
      <c r="T325" s="971"/>
      <c r="U325" s="1398"/>
      <c r="V325" s="971"/>
      <c r="W325" s="971"/>
      <c r="X325" s="971"/>
      <c r="Y325" s="1353"/>
      <c r="Z325" s="971"/>
      <c r="AA325" s="971"/>
      <c r="AB325" s="1355"/>
      <c r="AC325" s="1355"/>
      <c r="AD325" s="1353"/>
    </row>
    <row r="326" spans="1:30" ht="15.75" customHeight="1" outlineLevel="1">
      <c r="A326" s="1419" t="s">
        <v>3113</v>
      </c>
      <c r="B326" s="1330" t="s">
        <v>156</v>
      </c>
      <c r="C326" s="1339">
        <f t="shared" si="34"/>
        <v>0.15</v>
      </c>
      <c r="D326" s="1055">
        <f t="shared" si="35"/>
        <v>0.05</v>
      </c>
      <c r="E326" s="1246">
        <f>IF('Ввод данных'!$A$6=связи1!$A$97,IF(дома!E325&lt;'Ввод данных'!$C$15,0,дома!E325-дома!$L$139),0)+IF(дома!E325=0,0,IF('Ввод данных'!$A$6=связи1!$A$94,IF(дома!E325&lt;0,0,дома!E325-дома!$L$139),0))</f>
        <v>2.1999999999999975</v>
      </c>
      <c r="F326" s="1055">
        <f>2*IF('Ввод данных'!$F$194=связи1!$A$2,1,0)*IF('Ввод данных'!$C$155=связи1!$A$2,1,0)</f>
        <v>0</v>
      </c>
      <c r="G326" s="1055">
        <f t="shared" si="33"/>
        <v>0</v>
      </c>
      <c r="H326" s="1055"/>
      <c r="I326" s="1055"/>
      <c r="J326" s="1055"/>
      <c r="K326" s="971"/>
      <c r="L326" s="971"/>
      <c r="M326" s="971"/>
      <c r="N326" s="971"/>
      <c r="O326" s="971"/>
      <c r="P326" s="1353"/>
      <c r="Q326" s="1353"/>
      <c r="R326" s="1353"/>
      <c r="S326" s="971"/>
      <c r="T326" s="971"/>
      <c r="U326" s="1398"/>
      <c r="V326" s="971"/>
      <c r="W326" s="971"/>
      <c r="X326" s="971"/>
      <c r="Y326" s="1353"/>
      <c r="Z326" s="971"/>
      <c r="AA326" s="971"/>
      <c r="AB326" s="1355"/>
      <c r="AC326" s="1355"/>
      <c r="AD326" s="1353"/>
    </row>
    <row r="327" spans="1:30" ht="15.75" customHeight="1" outlineLevel="1">
      <c r="A327" s="1419" t="s">
        <v>3114</v>
      </c>
      <c r="B327" s="1330" t="s">
        <v>156</v>
      </c>
      <c r="C327" s="1339">
        <f t="shared" si="34"/>
        <v>0.15</v>
      </c>
      <c r="D327" s="1055">
        <f t="shared" si="35"/>
        <v>0.05</v>
      </c>
      <c r="E327" s="1246">
        <f>IF('Ввод данных'!$A$6=связи1!$A$97,IF(дома!E326&lt;'Ввод данных'!$C$15,0,дома!E326-дома!$L$139),0)+IF(дома!E326=0,0,IF('Ввод данных'!$A$6=связи1!$A$94,IF(дома!E326&lt;0,0,дома!E326-дома!$L$139),0))</f>
        <v>1.9999999999999976</v>
      </c>
      <c r="F327" s="1055">
        <f>2*IF('Ввод данных'!$F$194=связи1!$A$2,1,0)*IF('Ввод данных'!$C$155=связи1!$A$2,1,0)</f>
        <v>0</v>
      </c>
      <c r="G327" s="1055">
        <f t="shared" si="33"/>
        <v>0</v>
      </c>
      <c r="H327" s="1055"/>
      <c r="I327" s="1055"/>
      <c r="J327" s="1055"/>
      <c r="K327" s="971"/>
      <c r="L327" s="971"/>
      <c r="M327" s="971"/>
      <c r="N327" s="971"/>
      <c r="O327" s="971"/>
      <c r="P327" s="1353"/>
      <c r="Q327" s="1353"/>
      <c r="R327" s="1353"/>
      <c r="S327" s="971"/>
      <c r="T327" s="971"/>
      <c r="U327" s="1398"/>
      <c r="V327" s="971"/>
      <c r="W327" s="971"/>
      <c r="X327" s="971"/>
      <c r="Y327" s="1353"/>
      <c r="Z327" s="971"/>
      <c r="AA327" s="971"/>
      <c r="AB327" s="1355"/>
      <c r="AC327" s="1355"/>
      <c r="AD327" s="1353"/>
    </row>
    <row r="328" spans="1:30" ht="15.75" customHeight="1" outlineLevel="1">
      <c r="A328" s="1419" t="s">
        <v>3115</v>
      </c>
      <c r="B328" s="1330" t="s">
        <v>156</v>
      </c>
      <c r="C328" s="1339">
        <f t="shared" si="34"/>
        <v>0.15</v>
      </c>
      <c r="D328" s="1055">
        <f t="shared" si="35"/>
        <v>0.05</v>
      </c>
      <c r="E328" s="1246">
        <f>IF('Ввод данных'!$A$6=связи1!$A$97,IF(дома!E327&lt;'Ввод данных'!$C$15,0,дома!E327-дома!$L$139),0)+IF(дома!E327=0,0,IF('Ввод данных'!$A$6=связи1!$A$94,IF(дома!E327&lt;0,0,дома!E327-дома!$L$139),0))</f>
        <v>1.7999999999999976</v>
      </c>
      <c r="F328" s="1055">
        <f>2*IF('Ввод данных'!$F$194=связи1!$A$2,1,0)*IF('Ввод данных'!$C$155=связи1!$A$2,1,0)</f>
        <v>0</v>
      </c>
      <c r="G328" s="1055">
        <f t="shared" si="33"/>
        <v>0</v>
      </c>
      <c r="H328" s="1055"/>
      <c r="I328" s="1055"/>
      <c r="J328" s="1055"/>
      <c r="K328" s="971"/>
      <c r="L328" s="971"/>
      <c r="M328" s="971"/>
      <c r="N328" s="971"/>
      <c r="O328" s="971"/>
      <c r="P328" s="1353"/>
      <c r="Q328" s="1353"/>
      <c r="R328" s="1353"/>
      <c r="S328" s="971"/>
      <c r="T328" s="971"/>
      <c r="U328" s="1398"/>
      <c r="V328" s="971"/>
      <c r="W328" s="971"/>
      <c r="X328" s="971"/>
      <c r="Y328" s="1353"/>
      <c r="Z328" s="971"/>
      <c r="AA328" s="971"/>
      <c r="AB328" s="1355"/>
      <c r="AC328" s="1355"/>
      <c r="AD328" s="1353"/>
    </row>
    <row r="329" spans="1:30" ht="15.75" customHeight="1" outlineLevel="1">
      <c r="A329" s="1419" t="s">
        <v>3116</v>
      </c>
      <c r="B329" s="1330" t="s">
        <v>156</v>
      </c>
      <c r="C329" s="1339">
        <f t="shared" si="34"/>
        <v>0.15</v>
      </c>
      <c r="D329" s="1055">
        <f t="shared" si="35"/>
        <v>0.05</v>
      </c>
      <c r="E329" s="1246">
        <f>IF('Ввод данных'!$A$6=связи1!$A$97,IF(дома!E328&lt;'Ввод данных'!$C$15,0,дома!E328-дома!$L$139),0)+IF(дома!E328=0,0,IF('Ввод данных'!$A$6=связи1!$A$94,IF(дома!E328&lt;0,0,дома!E328-дома!$L$139),0))</f>
        <v>1.5999999999999976</v>
      </c>
      <c r="F329" s="1055">
        <f>2*IF('Ввод данных'!$F$194=связи1!$A$2,1,0)*IF('Ввод данных'!$C$155=связи1!$A$2,1,0)</f>
        <v>0</v>
      </c>
      <c r="G329" s="1055">
        <f t="shared" si="33"/>
        <v>0</v>
      </c>
      <c r="H329" s="1055"/>
      <c r="I329" s="1055"/>
      <c r="J329" s="1055"/>
      <c r="K329" s="971"/>
      <c r="L329" s="971"/>
      <c r="M329" s="971"/>
      <c r="N329" s="971"/>
      <c r="O329" s="971"/>
      <c r="P329" s="1353"/>
      <c r="Q329" s="1353"/>
      <c r="R329" s="1353"/>
      <c r="S329" s="971"/>
      <c r="T329" s="971"/>
      <c r="U329" s="1398"/>
      <c r="V329" s="971"/>
      <c r="W329" s="971"/>
      <c r="X329" s="971"/>
      <c r="Y329" s="1353"/>
      <c r="Z329" s="971"/>
      <c r="AA329" s="971"/>
      <c r="AB329" s="1355"/>
      <c r="AC329" s="1355"/>
      <c r="AD329" s="1353"/>
    </row>
    <row r="330" spans="1:30" ht="15.75" customHeight="1" outlineLevel="1">
      <c r="A330" s="1419" t="s">
        <v>3117</v>
      </c>
      <c r="B330" s="1330" t="s">
        <v>156</v>
      </c>
      <c r="C330" s="1339">
        <f t="shared" si="34"/>
        <v>0.15</v>
      </c>
      <c r="D330" s="1055">
        <f t="shared" si="35"/>
        <v>0.05</v>
      </c>
      <c r="E330" s="1246">
        <f>IF('Ввод данных'!$A$6=связи1!$A$97,IF(дома!E329&lt;'Ввод данных'!$C$15,0,дома!E329-дома!$L$139),0)+IF(дома!E329=0,0,IF('Ввод данных'!$A$6=связи1!$A$94,IF(дома!E329&lt;0,0,дома!E329-дома!$L$139),0))</f>
        <v>1.3999999999999977</v>
      </c>
      <c r="F330" s="1055">
        <f>2*IF('Ввод данных'!$F$194=связи1!$A$2,1,0)*IF('Ввод данных'!$C$155=связи1!$A$2,1,0)</f>
        <v>0</v>
      </c>
      <c r="G330" s="1055">
        <f t="shared" ref="G330:G361" si="36">C330*D330*E330*F330</f>
        <v>0</v>
      </c>
      <c r="H330" s="1055"/>
      <c r="I330" s="1055"/>
      <c r="J330" s="1055"/>
      <c r="K330" s="971"/>
      <c r="L330" s="971"/>
      <c r="M330" s="971"/>
      <c r="N330" s="971"/>
      <c r="O330" s="971"/>
      <c r="P330" s="1353"/>
      <c r="Q330" s="1353"/>
      <c r="R330" s="1353"/>
      <c r="S330" s="971"/>
      <c r="T330" s="971"/>
      <c r="U330" s="1398"/>
      <c r="V330" s="971"/>
      <c r="W330" s="971"/>
      <c r="X330" s="971"/>
      <c r="Y330" s="1353"/>
      <c r="Z330" s="971"/>
      <c r="AA330" s="971"/>
      <c r="AB330" s="1355"/>
      <c r="AC330" s="1355"/>
      <c r="AD330" s="1353"/>
    </row>
    <row r="331" spans="1:30" ht="15.75" customHeight="1" outlineLevel="1">
      <c r="A331" s="1419" t="s">
        <v>3118</v>
      </c>
      <c r="B331" s="1330" t="s">
        <v>156</v>
      </c>
      <c r="C331" s="1339">
        <f t="shared" si="34"/>
        <v>0.15</v>
      </c>
      <c r="D331" s="1055">
        <f t="shared" si="35"/>
        <v>0.05</v>
      </c>
      <c r="E331" s="1246">
        <f>IF('Ввод данных'!$A$6=связи1!$A$97,IF(дома!E330&lt;'Ввод данных'!$C$15,0,дома!E330-дома!$L$139),0)+IF(дома!E330=0,0,IF('Ввод данных'!$A$6=связи1!$A$94,IF(дома!E330&lt;0,0,дома!E330-дома!$L$139),0))</f>
        <v>1.1999999999999977</v>
      </c>
      <c r="F331" s="1055">
        <f>2*IF('Ввод данных'!$F$194=связи1!$A$2,1,0)*IF('Ввод данных'!$C$155=связи1!$A$2,1,0)</f>
        <v>0</v>
      </c>
      <c r="G331" s="1055">
        <f t="shared" si="36"/>
        <v>0</v>
      </c>
      <c r="H331" s="1055"/>
      <c r="I331" s="1055"/>
      <c r="J331" s="1055"/>
      <c r="K331" s="971"/>
      <c r="L331" s="971"/>
      <c r="M331" s="971"/>
      <c r="N331" s="971"/>
      <c r="O331" s="971"/>
      <c r="P331" s="1353"/>
      <c r="Q331" s="1353"/>
      <c r="R331" s="1353"/>
      <c r="S331" s="971"/>
      <c r="T331" s="971"/>
      <c r="U331" s="1398"/>
      <c r="V331" s="971"/>
      <c r="W331" s="971"/>
      <c r="X331" s="971"/>
      <c r="Y331" s="1353"/>
      <c r="Z331" s="971"/>
      <c r="AA331" s="971"/>
      <c r="AB331" s="1355"/>
      <c r="AC331" s="1355"/>
      <c r="AD331" s="1353"/>
    </row>
    <row r="332" spans="1:30" ht="15.75" customHeight="1" outlineLevel="1">
      <c r="A332" s="1419" t="s">
        <v>3119</v>
      </c>
      <c r="B332" s="1330" t="s">
        <v>156</v>
      </c>
      <c r="C332" s="1339">
        <f t="shared" si="34"/>
        <v>0.15</v>
      </c>
      <c r="D332" s="1055">
        <f t="shared" si="35"/>
        <v>0.05</v>
      </c>
      <c r="E332" s="1246">
        <f>IF('Ввод данных'!$A$6=связи1!$A$97,IF(дома!E331&lt;'Ввод данных'!$C$15,0,дома!E331-дома!$L$139),0)+IF(дома!E331=0,0,IF('Ввод данных'!$A$6=связи1!$A$94,IF(дома!E331&lt;0,0,дома!E331-дома!$L$139),0))</f>
        <v>0.99999999999999778</v>
      </c>
      <c r="F332" s="1055">
        <f>2*IF('Ввод данных'!$F$194=связи1!$A$2,1,0)*IF('Ввод данных'!$C$155=связи1!$A$2,1,0)</f>
        <v>0</v>
      </c>
      <c r="G332" s="1055">
        <f t="shared" si="36"/>
        <v>0</v>
      </c>
      <c r="H332" s="1055"/>
      <c r="I332" s="1055"/>
      <c r="J332" s="1055"/>
      <c r="K332" s="971"/>
      <c r="L332" s="971"/>
      <c r="M332" s="971"/>
      <c r="N332" s="971"/>
      <c r="O332" s="971"/>
      <c r="P332" s="1353"/>
      <c r="Q332" s="1353"/>
      <c r="R332" s="1353"/>
      <c r="S332" s="971"/>
      <c r="T332" s="971"/>
      <c r="U332" s="1398"/>
      <c r="V332" s="971"/>
      <c r="W332" s="971"/>
      <c r="X332" s="971"/>
      <c r="Y332" s="1353"/>
      <c r="Z332" s="971"/>
      <c r="AA332" s="971"/>
      <c r="AB332" s="1355"/>
      <c r="AC332" s="1355"/>
      <c r="AD332" s="1353"/>
    </row>
    <row r="333" spans="1:30" ht="15.75" customHeight="1" outlineLevel="1">
      <c r="A333" s="1419" t="s">
        <v>3120</v>
      </c>
      <c r="B333" s="1330" t="s">
        <v>156</v>
      </c>
      <c r="C333" s="1339">
        <f t="shared" si="34"/>
        <v>0.15</v>
      </c>
      <c r="D333" s="1055">
        <f t="shared" si="35"/>
        <v>0.05</v>
      </c>
      <c r="E333" s="1246">
        <f>IF('Ввод данных'!$A$6=связи1!$A$97,IF(дома!E332&lt;'Ввод данных'!$C$15,0,дома!E332-дома!$L$139),0)+IF(дома!E332=0,0,IF('Ввод данных'!$A$6=связи1!$A$94,IF(дома!E332&lt;0,0,дома!E332-дома!$L$139),0))</f>
        <v>0.79999999999999782</v>
      </c>
      <c r="F333" s="1055">
        <f>2*IF('Ввод данных'!$F$194=связи1!$A$2,1,0)*IF('Ввод данных'!$C$155=связи1!$A$2,1,0)</f>
        <v>0</v>
      </c>
      <c r="G333" s="1055">
        <f t="shared" si="36"/>
        <v>0</v>
      </c>
      <c r="H333" s="1055"/>
      <c r="I333" s="1055"/>
      <c r="J333" s="1055"/>
      <c r="K333" s="971"/>
      <c r="L333" s="971"/>
      <c r="M333" s="971"/>
      <c r="N333" s="971"/>
      <c r="O333" s="971"/>
      <c r="P333" s="1353"/>
      <c r="Q333" s="1353"/>
      <c r="R333" s="1353"/>
      <c r="S333" s="971"/>
      <c r="T333" s="971"/>
      <c r="U333" s="1398"/>
      <c r="V333" s="971"/>
      <c r="W333" s="971"/>
      <c r="X333" s="971"/>
      <c r="Y333" s="1353"/>
      <c r="Z333" s="971"/>
      <c r="AA333" s="971"/>
      <c r="AB333" s="1355"/>
      <c r="AC333" s="1355"/>
      <c r="AD333" s="1353"/>
    </row>
    <row r="334" spans="1:30" ht="15.75" customHeight="1" outlineLevel="1">
      <c r="A334" s="1419" t="s">
        <v>3121</v>
      </c>
      <c r="B334" s="1330" t="s">
        <v>156</v>
      </c>
      <c r="C334" s="1339">
        <f t="shared" si="34"/>
        <v>0.15</v>
      </c>
      <c r="D334" s="1055">
        <f t="shared" si="35"/>
        <v>0.05</v>
      </c>
      <c r="E334" s="1246">
        <f>IF('Ввод данных'!$A$6=связи1!$A$97,IF(дома!E333&lt;'Ввод данных'!$C$15,0,дома!E333-дома!$L$139),0)+IF(дома!E333=0,0,IF('Ввод данных'!$A$6=связи1!$A$94,IF(дома!E333&lt;0,0,дома!E333-дома!$L$139),0))</f>
        <v>0.59999999999999787</v>
      </c>
      <c r="F334" s="1055">
        <f>2*IF('Ввод данных'!$F$194=связи1!$A$2,1,0)*IF('Ввод данных'!$C$155=связи1!$A$2,1,0)</f>
        <v>0</v>
      </c>
      <c r="G334" s="1055">
        <f t="shared" si="36"/>
        <v>0</v>
      </c>
      <c r="H334" s="1055"/>
      <c r="I334" s="1055"/>
      <c r="J334" s="1055"/>
      <c r="K334" s="971"/>
      <c r="L334" s="971"/>
      <c r="M334" s="971"/>
      <c r="N334" s="971"/>
      <c r="O334" s="971"/>
      <c r="P334" s="1353"/>
      <c r="Q334" s="1353"/>
      <c r="R334" s="1353"/>
      <c r="S334" s="971"/>
      <c r="T334" s="971"/>
      <c r="U334" s="1398"/>
      <c r="V334" s="971"/>
      <c r="W334" s="971"/>
      <c r="X334" s="971"/>
      <c r="Y334" s="1353"/>
      <c r="Z334" s="971"/>
      <c r="AA334" s="971"/>
      <c r="AB334" s="1355"/>
      <c r="AC334" s="1355"/>
      <c r="AD334" s="1353"/>
    </row>
    <row r="335" spans="1:30" ht="15.75" customHeight="1" outlineLevel="1">
      <c r="A335" s="1419" t="s">
        <v>3122</v>
      </c>
      <c r="B335" s="1330" t="s">
        <v>156</v>
      </c>
      <c r="C335" s="1339">
        <f t="shared" si="34"/>
        <v>0.15</v>
      </c>
      <c r="D335" s="1055">
        <f t="shared" si="35"/>
        <v>0.05</v>
      </c>
      <c r="E335" s="1246">
        <f>IF('Ввод данных'!$A$6=связи1!$A$97,IF(дома!E334&lt;'Ввод данных'!$C$15,0,дома!E334-дома!$L$139),0)+IF(дома!E334=0,0,IF('Ввод данных'!$A$6=связи1!$A$94,IF(дома!E334&lt;0,0,дома!E334-дома!$L$139),0))</f>
        <v>0.39999999999999791</v>
      </c>
      <c r="F335" s="1055">
        <f>2*IF('Ввод данных'!$F$194=связи1!$A$2,1,0)*IF('Ввод данных'!$C$155=связи1!$A$2,1,0)</f>
        <v>0</v>
      </c>
      <c r="G335" s="1055">
        <f t="shared" si="36"/>
        <v>0</v>
      </c>
      <c r="H335" s="1055"/>
      <c r="I335" s="1055"/>
      <c r="J335" s="1055"/>
      <c r="K335" s="971"/>
      <c r="L335" s="971"/>
      <c r="M335" s="971"/>
      <c r="N335" s="971"/>
      <c r="O335" s="971"/>
      <c r="P335" s="1353"/>
      <c r="Q335" s="1353"/>
      <c r="R335" s="1353"/>
      <c r="S335" s="971"/>
      <c r="T335" s="971"/>
      <c r="U335" s="1398"/>
      <c r="V335" s="971"/>
      <c r="W335" s="971"/>
      <c r="X335" s="971"/>
      <c r="Y335" s="1353"/>
      <c r="Z335" s="971"/>
      <c r="AA335" s="971"/>
      <c r="AB335" s="1355"/>
      <c r="AC335" s="1355"/>
      <c r="AD335" s="1353"/>
    </row>
    <row r="336" spans="1:30" ht="15.75" customHeight="1" outlineLevel="1">
      <c r="A336" s="1419" t="s">
        <v>3123</v>
      </c>
      <c r="B336" s="1330" t="s">
        <v>156</v>
      </c>
      <c r="C336" s="1339">
        <f t="shared" si="34"/>
        <v>0.15</v>
      </c>
      <c r="D336" s="1055">
        <f t="shared" si="35"/>
        <v>0.05</v>
      </c>
      <c r="E336" s="1246">
        <f>IF('Ввод данных'!$A$6=связи1!$A$97,IF(дома!E335&lt;'Ввод данных'!$C$15,0,дома!E335-дома!$L$139),0)+IF(дома!E335=0,0,IF('Ввод данных'!$A$6=связи1!$A$94,IF(дома!E335&lt;0,0,дома!E335-дома!$L$139),0))</f>
        <v>0.19999999999999793</v>
      </c>
      <c r="F336" s="1055">
        <f>2*IF('Ввод данных'!$F$194=связи1!$A$2,1,0)*IF('Ввод данных'!$C$155=связи1!$A$2,1,0)</f>
        <v>0</v>
      </c>
      <c r="G336" s="1055">
        <f t="shared" si="36"/>
        <v>0</v>
      </c>
      <c r="H336" s="1055"/>
      <c r="I336" s="1055"/>
      <c r="J336" s="1055"/>
      <c r="K336" s="971"/>
      <c r="L336" s="971"/>
      <c r="M336" s="971"/>
      <c r="N336" s="971"/>
      <c r="O336" s="971"/>
      <c r="P336" s="1353"/>
      <c r="Q336" s="1353"/>
      <c r="R336" s="1353"/>
      <c r="S336" s="971"/>
      <c r="T336" s="971"/>
      <c r="U336" s="1398"/>
      <c r="V336" s="971"/>
      <c r="W336" s="971"/>
      <c r="X336" s="971"/>
      <c r="Y336" s="1353"/>
      <c r="Z336" s="971"/>
      <c r="AA336" s="971"/>
      <c r="AB336" s="1355"/>
      <c r="AC336" s="1355"/>
      <c r="AD336" s="1353"/>
    </row>
    <row r="337" spans="1:30" ht="15.75" customHeight="1" outlineLevel="1">
      <c r="A337" s="1419" t="s">
        <v>3124</v>
      </c>
      <c r="B337" s="1330" t="s">
        <v>156</v>
      </c>
      <c r="C337" s="1339">
        <f t="shared" si="34"/>
        <v>0.15</v>
      </c>
      <c r="D337" s="1055">
        <f t="shared" si="35"/>
        <v>0.05</v>
      </c>
      <c r="E337" s="1246">
        <f>IF('Ввод данных'!$A$6=связи1!$A$97,IF(дома!E336&lt;'Ввод данных'!$C$15,0,дома!E336-дома!$L$139),0)+IF(дома!E336=0,0,IF('Ввод данных'!$A$6=связи1!$A$94,IF(дома!E336&lt;0,0,дома!E336-дома!$L$139),0))</f>
        <v>-2.0539125955565396E-15</v>
      </c>
      <c r="F337" s="1055">
        <f>2*IF('Ввод данных'!$F$194=связи1!$A$2,1,0)*IF('Ввод данных'!$C$155=связи1!$A$2,1,0)</f>
        <v>0</v>
      </c>
      <c r="G337" s="1055">
        <f t="shared" si="36"/>
        <v>0</v>
      </c>
      <c r="H337" s="1055"/>
      <c r="I337" s="1055"/>
      <c r="J337" s="1055"/>
      <c r="K337" s="971"/>
      <c r="L337" s="971"/>
      <c r="M337" s="971"/>
      <c r="N337" s="971"/>
      <c r="O337" s="971"/>
      <c r="P337" s="1353"/>
      <c r="Q337" s="1353"/>
      <c r="R337" s="1353"/>
      <c r="S337" s="971"/>
      <c r="T337" s="971"/>
      <c r="U337" s="1398"/>
      <c r="V337" s="971"/>
      <c r="W337" s="971"/>
      <c r="X337" s="971"/>
      <c r="Y337" s="1353"/>
      <c r="Z337" s="971"/>
      <c r="AA337" s="971"/>
      <c r="AB337" s="1355"/>
      <c r="AC337" s="1355"/>
      <c r="AD337" s="1353"/>
    </row>
    <row r="338" spans="1:30" ht="15.75" customHeight="1" outlineLevel="1">
      <c r="A338" s="1419" t="s">
        <v>3125</v>
      </c>
      <c r="B338" s="1330" t="s">
        <v>156</v>
      </c>
      <c r="C338" s="1339">
        <f t="shared" si="34"/>
        <v>0.15</v>
      </c>
      <c r="D338" s="1055">
        <f t="shared" si="35"/>
        <v>0.05</v>
      </c>
      <c r="E338" s="1246">
        <f>IF('Ввод данных'!$A$6=связи1!$A$97,IF(дома!E337&lt;'Ввод данных'!$C$15,0,дома!E337-дома!$L$139),0)+IF(дома!E337=0,0,IF('Ввод данных'!$A$6=связи1!$A$94,IF(дома!E337&lt;0,0,дома!E337-дома!$L$139),0))</f>
        <v>0</v>
      </c>
      <c r="F338" s="1055">
        <f>2*IF('Ввод данных'!$F$194=связи1!$A$2,1,0)*IF('Ввод данных'!$C$155=связи1!$A$2,1,0)</f>
        <v>0</v>
      </c>
      <c r="G338" s="1055">
        <f t="shared" si="36"/>
        <v>0</v>
      </c>
      <c r="H338" s="1055"/>
      <c r="I338" s="1055"/>
      <c r="J338" s="1055"/>
      <c r="K338" s="971"/>
      <c r="L338" s="971"/>
      <c r="M338" s="971"/>
      <c r="N338" s="971"/>
      <c r="O338" s="971"/>
      <c r="P338" s="1353"/>
      <c r="Q338" s="1353"/>
      <c r="R338" s="1353"/>
      <c r="S338" s="971"/>
      <c r="T338" s="971"/>
      <c r="U338" s="1398"/>
      <c r="V338" s="971"/>
      <c r="W338" s="971"/>
      <c r="X338" s="971"/>
      <c r="Y338" s="1353"/>
      <c r="Z338" s="971"/>
      <c r="AA338" s="971"/>
      <c r="AB338" s="1355"/>
      <c r="AC338" s="1355"/>
      <c r="AD338" s="1353"/>
    </row>
    <row r="339" spans="1:30" ht="15.75" customHeight="1" outlineLevel="1">
      <c r="A339" s="1419" t="s">
        <v>3126</v>
      </c>
      <c r="B339" s="1330" t="s">
        <v>156</v>
      </c>
      <c r="C339" s="1339">
        <f t="shared" si="34"/>
        <v>0.15</v>
      </c>
      <c r="D339" s="1055">
        <f t="shared" si="35"/>
        <v>0.05</v>
      </c>
      <c r="E339" s="1246">
        <f>IF('Ввод данных'!$A$6=связи1!$A$97,IF(дома!E338&lt;'Ввод данных'!$C$15,0,дома!E338-дома!$L$139),0)+IF(дома!E338=0,0,IF('Ввод данных'!$A$6=связи1!$A$94,IF(дома!E338&lt;0,0,дома!E338-дома!$L$139),0))</f>
        <v>0</v>
      </c>
      <c r="F339" s="1055">
        <f>2*IF('Ввод данных'!$F$194=связи1!$A$2,1,0)*IF('Ввод данных'!$C$155=связи1!$A$2,1,0)</f>
        <v>0</v>
      </c>
      <c r="G339" s="1055">
        <f t="shared" si="36"/>
        <v>0</v>
      </c>
      <c r="H339" s="1055"/>
      <c r="I339" s="1055"/>
      <c r="J339" s="1055"/>
      <c r="K339" s="971"/>
      <c r="L339" s="971"/>
      <c r="M339" s="971"/>
      <c r="N339" s="971"/>
      <c r="O339" s="971"/>
      <c r="P339" s="1353"/>
      <c r="Q339" s="1353"/>
      <c r="R339" s="1353"/>
      <c r="S339" s="971"/>
      <c r="T339" s="971"/>
      <c r="U339" s="1398"/>
      <c r="V339" s="971"/>
      <c r="W339" s="971"/>
      <c r="X339" s="971"/>
      <c r="Y339" s="1353"/>
      <c r="Z339" s="971"/>
      <c r="AA339" s="971"/>
      <c r="AB339" s="1355"/>
      <c r="AC339" s="1355"/>
      <c r="AD339" s="1353"/>
    </row>
    <row r="340" spans="1:30" ht="15.75" customHeight="1" outlineLevel="1">
      <c r="A340" s="1419" t="s">
        <v>3127</v>
      </c>
      <c r="B340" s="1330" t="s">
        <v>156</v>
      </c>
      <c r="C340" s="1339">
        <f t="shared" si="34"/>
        <v>0.15</v>
      </c>
      <c r="D340" s="1055">
        <f t="shared" si="35"/>
        <v>0.05</v>
      </c>
      <c r="E340" s="1246">
        <f>IF('Ввод данных'!$A$6=связи1!$A$97,IF(дома!E339&lt;'Ввод данных'!$C$15,0,дома!E339-дома!$L$139),0)+IF(дома!E339=0,0,IF('Ввод данных'!$A$6=связи1!$A$94,IF(дома!E339&lt;0,0,дома!E339-дома!$L$139),0))</f>
        <v>0</v>
      </c>
      <c r="F340" s="1055">
        <f>2*IF('Ввод данных'!$F$194=связи1!$A$2,1,0)*IF('Ввод данных'!$C$155=связи1!$A$2,1,0)</f>
        <v>0</v>
      </c>
      <c r="G340" s="1055">
        <f t="shared" si="36"/>
        <v>0</v>
      </c>
      <c r="H340" s="1055"/>
      <c r="I340" s="1055"/>
      <c r="J340" s="1055"/>
      <c r="K340" s="971"/>
      <c r="L340" s="971"/>
      <c r="M340" s="971"/>
      <c r="N340" s="971"/>
      <c r="O340" s="971"/>
      <c r="P340" s="1353"/>
      <c r="Q340" s="1353"/>
      <c r="R340" s="1353"/>
      <c r="S340" s="971"/>
      <c r="T340" s="971"/>
      <c r="U340" s="1398"/>
      <c r="V340" s="971"/>
      <c r="W340" s="971"/>
      <c r="X340" s="971"/>
      <c r="Y340" s="1353"/>
      <c r="Z340" s="971"/>
      <c r="AA340" s="971"/>
      <c r="AB340" s="1355"/>
      <c r="AC340" s="1355"/>
      <c r="AD340" s="1353"/>
    </row>
    <row r="341" spans="1:30" ht="15.75" customHeight="1" outlineLevel="1">
      <c r="A341" s="1419" t="s">
        <v>3128</v>
      </c>
      <c r="B341" s="1330" t="s">
        <v>156</v>
      </c>
      <c r="C341" s="1339">
        <f t="shared" si="34"/>
        <v>0.15</v>
      </c>
      <c r="D341" s="1055">
        <f t="shared" si="35"/>
        <v>0.05</v>
      </c>
      <c r="E341" s="1246">
        <f>IF('Ввод данных'!$A$6=связи1!$A$97,IF(дома!E340&lt;'Ввод данных'!$C$15,0,дома!E340-дома!$L$139),0)+IF(дома!E340=0,0,IF('Ввод данных'!$A$6=связи1!$A$94,IF(дома!E340&lt;0,0,дома!E340-дома!$L$139),0))</f>
        <v>0</v>
      </c>
      <c r="F341" s="1055">
        <f>2*IF('Ввод данных'!$F$194=связи1!$A$2,1,0)*IF('Ввод данных'!$C$155=связи1!$A$2,1,0)</f>
        <v>0</v>
      </c>
      <c r="G341" s="1055">
        <f t="shared" si="36"/>
        <v>0</v>
      </c>
      <c r="H341" s="1055"/>
      <c r="I341" s="1055"/>
      <c r="J341" s="1055"/>
      <c r="K341" s="971"/>
      <c r="L341" s="971"/>
      <c r="M341" s="971"/>
      <c r="N341" s="971"/>
      <c r="O341" s="971"/>
      <c r="P341" s="1353"/>
      <c r="Q341" s="1353"/>
      <c r="R341" s="1353"/>
      <c r="S341" s="971"/>
      <c r="T341" s="971"/>
      <c r="U341" s="1398"/>
      <c r="V341" s="971"/>
      <c r="W341" s="971"/>
      <c r="X341" s="971"/>
      <c r="Y341" s="1353"/>
      <c r="Z341" s="971"/>
      <c r="AA341" s="971"/>
      <c r="AB341" s="1355"/>
      <c r="AC341" s="1355"/>
      <c r="AD341" s="1353"/>
    </row>
    <row r="342" spans="1:30" ht="15.75" customHeight="1" outlineLevel="1">
      <c r="A342" s="1419" t="s">
        <v>3129</v>
      </c>
      <c r="B342" s="1330" t="s">
        <v>156</v>
      </c>
      <c r="C342" s="1339">
        <f t="shared" ref="C342:C366" si="37">$C$143</f>
        <v>0.15</v>
      </c>
      <c r="D342" s="1055">
        <f t="shared" ref="D342:D366" si="38">$D$143</f>
        <v>0.05</v>
      </c>
      <c r="E342" s="1246">
        <f>IF('Ввод данных'!$A$6=связи1!$A$97,IF(дома!E341&lt;'Ввод данных'!$C$15,0,дома!E341-дома!$L$139),0)+IF(дома!E341=0,0,IF('Ввод данных'!$A$6=связи1!$A$94,IF(дома!E341&lt;0,0,дома!E341-дома!$L$139),0))</f>
        <v>0</v>
      </c>
      <c r="F342" s="1055">
        <f>2*IF('Ввод данных'!$F$194=связи1!$A$2,1,0)*IF('Ввод данных'!$C$155=связи1!$A$2,1,0)</f>
        <v>0</v>
      </c>
      <c r="G342" s="1055">
        <f t="shared" si="36"/>
        <v>0</v>
      </c>
      <c r="H342" s="1055"/>
      <c r="I342" s="1055"/>
      <c r="J342" s="1055"/>
      <c r="K342" s="971"/>
      <c r="L342" s="971"/>
      <c r="M342" s="971"/>
      <c r="N342" s="971"/>
      <c r="O342" s="971"/>
      <c r="P342" s="1353"/>
      <c r="Q342" s="1353"/>
      <c r="R342" s="1353"/>
      <c r="S342" s="971"/>
      <c r="T342" s="971"/>
      <c r="U342" s="1398"/>
      <c r="V342" s="971"/>
      <c r="W342" s="971"/>
      <c r="X342" s="971"/>
      <c r="Y342" s="1353"/>
      <c r="Z342" s="971"/>
      <c r="AA342" s="971"/>
      <c r="AB342" s="1355"/>
      <c r="AC342" s="1355"/>
      <c r="AD342" s="1353"/>
    </row>
    <row r="343" spans="1:30" ht="15.75" customHeight="1" outlineLevel="1">
      <c r="A343" s="1419" t="s">
        <v>3130</v>
      </c>
      <c r="B343" s="1330" t="s">
        <v>156</v>
      </c>
      <c r="C343" s="1339">
        <f t="shared" si="37"/>
        <v>0.15</v>
      </c>
      <c r="D343" s="1055">
        <f t="shared" si="38"/>
        <v>0.05</v>
      </c>
      <c r="E343" s="1246">
        <f>IF('Ввод данных'!$A$6=связи1!$A$97,IF(дома!E342&lt;'Ввод данных'!$C$15,0,дома!E342-дома!$L$139),0)+IF(дома!E342=0,0,IF('Ввод данных'!$A$6=связи1!$A$94,IF(дома!E342&lt;0,0,дома!E342-дома!$L$139),0))</f>
        <v>0</v>
      </c>
      <c r="F343" s="1055">
        <f>2*IF('Ввод данных'!$F$194=связи1!$A$2,1,0)*IF('Ввод данных'!$C$155=связи1!$A$2,1,0)</f>
        <v>0</v>
      </c>
      <c r="G343" s="1055">
        <f t="shared" si="36"/>
        <v>0</v>
      </c>
      <c r="H343" s="1055"/>
      <c r="I343" s="1055"/>
      <c r="J343" s="1055"/>
      <c r="K343" s="971"/>
      <c r="L343" s="971"/>
      <c r="M343" s="971"/>
      <c r="N343" s="971"/>
      <c r="O343" s="971"/>
      <c r="P343" s="1353"/>
      <c r="Q343" s="1353"/>
      <c r="R343" s="1353"/>
      <c r="S343" s="971"/>
      <c r="T343" s="971"/>
      <c r="U343" s="1398"/>
      <c r="V343" s="971"/>
      <c r="W343" s="971"/>
      <c r="X343" s="971"/>
      <c r="Y343" s="1353"/>
      <c r="Z343" s="971"/>
      <c r="AA343" s="971"/>
      <c r="AB343" s="1355"/>
      <c r="AC343" s="1355"/>
      <c r="AD343" s="1353"/>
    </row>
    <row r="344" spans="1:30" ht="15.75" customHeight="1" outlineLevel="1">
      <c r="A344" s="1419" t="s">
        <v>3131</v>
      </c>
      <c r="B344" s="1330" t="s">
        <v>156</v>
      </c>
      <c r="C344" s="1339">
        <f t="shared" si="37"/>
        <v>0.15</v>
      </c>
      <c r="D344" s="1055">
        <f t="shared" si="38"/>
        <v>0.05</v>
      </c>
      <c r="E344" s="1246">
        <f>IF('Ввод данных'!$A$6=связи1!$A$97,IF(дома!E343&lt;'Ввод данных'!$C$15,0,дома!E343-дома!$L$139),0)+IF(дома!E343=0,0,IF('Ввод данных'!$A$6=связи1!$A$94,IF(дома!E343&lt;0,0,дома!E343-дома!$L$139),0))</f>
        <v>0</v>
      </c>
      <c r="F344" s="1055">
        <f>2*IF('Ввод данных'!$F$194=связи1!$A$2,1,0)*IF('Ввод данных'!$C$155=связи1!$A$2,1,0)</f>
        <v>0</v>
      </c>
      <c r="G344" s="1055">
        <f t="shared" si="36"/>
        <v>0</v>
      </c>
      <c r="H344" s="1055"/>
      <c r="I344" s="1055"/>
      <c r="J344" s="1055"/>
      <c r="K344" s="971"/>
      <c r="L344" s="971"/>
      <c r="M344" s="971"/>
      <c r="N344" s="971"/>
      <c r="O344" s="971"/>
      <c r="P344" s="1353"/>
      <c r="Q344" s="1353"/>
      <c r="R344" s="1353"/>
      <c r="S344" s="971"/>
      <c r="T344" s="971"/>
      <c r="U344" s="1398"/>
      <c r="V344" s="971"/>
      <c r="W344" s="971"/>
      <c r="X344" s="971"/>
      <c r="Y344" s="1353"/>
      <c r="Z344" s="971"/>
      <c r="AA344" s="971"/>
      <c r="AB344" s="1355"/>
      <c r="AC344" s="1355"/>
      <c r="AD344" s="1353"/>
    </row>
    <row r="345" spans="1:30" ht="15.75" customHeight="1" outlineLevel="1">
      <c r="A345" s="1419" t="s">
        <v>3132</v>
      </c>
      <c r="B345" s="1330" t="s">
        <v>156</v>
      </c>
      <c r="C345" s="1339">
        <f t="shared" si="37"/>
        <v>0.15</v>
      </c>
      <c r="D345" s="1055">
        <f t="shared" si="38"/>
        <v>0.05</v>
      </c>
      <c r="E345" s="1246">
        <f>IF('Ввод данных'!$A$6=связи1!$A$97,IF(дома!E344&lt;'Ввод данных'!$C$15,0,дома!E344-дома!$L$139),0)+IF(дома!E344=0,0,IF('Ввод данных'!$A$6=связи1!$A$94,IF(дома!E344&lt;0,0,дома!E344-дома!$L$139),0))</f>
        <v>0</v>
      </c>
      <c r="F345" s="1055">
        <f>2*IF('Ввод данных'!$F$194=связи1!$A$2,1,0)*IF('Ввод данных'!$C$155=связи1!$A$2,1,0)</f>
        <v>0</v>
      </c>
      <c r="G345" s="1055">
        <f t="shared" si="36"/>
        <v>0</v>
      </c>
      <c r="H345" s="1055"/>
      <c r="I345" s="1055"/>
      <c r="J345" s="1055"/>
      <c r="K345" s="971"/>
      <c r="L345" s="971"/>
      <c r="M345" s="971"/>
      <c r="N345" s="971"/>
      <c r="O345" s="971"/>
      <c r="P345" s="1353"/>
      <c r="Q345" s="1353"/>
      <c r="R345" s="1353"/>
      <c r="S345" s="971"/>
      <c r="T345" s="971"/>
      <c r="U345" s="1398"/>
      <c r="V345" s="971"/>
      <c r="W345" s="971"/>
      <c r="X345" s="971"/>
      <c r="Y345" s="1353"/>
      <c r="Z345" s="971"/>
      <c r="AA345" s="971"/>
      <c r="AB345" s="1355"/>
      <c r="AC345" s="1355"/>
      <c r="AD345" s="1353"/>
    </row>
    <row r="346" spans="1:30" ht="15.75" customHeight="1" outlineLevel="1">
      <c r="A346" s="1419" t="s">
        <v>3133</v>
      </c>
      <c r="B346" s="1330" t="s">
        <v>156</v>
      </c>
      <c r="C346" s="1339">
        <f t="shared" si="37"/>
        <v>0.15</v>
      </c>
      <c r="D346" s="1055">
        <f t="shared" si="38"/>
        <v>0.05</v>
      </c>
      <c r="E346" s="1246">
        <f>IF('Ввод данных'!$A$6=связи1!$A$97,IF(дома!E345&lt;'Ввод данных'!$C$15,0,дома!E345-дома!$L$139),0)+IF(дома!E345=0,0,IF('Ввод данных'!$A$6=связи1!$A$94,IF(дома!E345&lt;0,0,дома!E345-дома!$L$139),0))</f>
        <v>0</v>
      </c>
      <c r="F346" s="1055">
        <f>2*IF('Ввод данных'!$F$194=связи1!$A$2,1,0)*IF('Ввод данных'!$C$155=связи1!$A$2,1,0)</f>
        <v>0</v>
      </c>
      <c r="G346" s="1055">
        <f t="shared" si="36"/>
        <v>0</v>
      </c>
      <c r="H346" s="1055"/>
      <c r="I346" s="1055"/>
      <c r="J346" s="1055"/>
      <c r="K346" s="971"/>
      <c r="L346" s="971"/>
      <c r="M346" s="971"/>
      <c r="N346" s="971"/>
      <c r="O346" s="971"/>
      <c r="P346" s="1353"/>
      <c r="Q346" s="1353"/>
      <c r="R346" s="1353"/>
      <c r="S346" s="971"/>
      <c r="T346" s="971"/>
      <c r="U346" s="1398"/>
      <c r="V346" s="971"/>
      <c r="W346" s="971"/>
      <c r="X346" s="971"/>
      <c r="Y346" s="1353"/>
      <c r="Z346" s="971"/>
      <c r="AA346" s="971"/>
      <c r="AB346" s="1355"/>
      <c r="AC346" s="1355"/>
      <c r="AD346" s="1353"/>
    </row>
    <row r="347" spans="1:30" ht="15.75" customHeight="1" outlineLevel="1">
      <c r="A347" s="1419" t="s">
        <v>3134</v>
      </c>
      <c r="B347" s="1330" t="s">
        <v>156</v>
      </c>
      <c r="C347" s="1339">
        <f t="shared" si="37"/>
        <v>0.15</v>
      </c>
      <c r="D347" s="1055">
        <f t="shared" si="38"/>
        <v>0.05</v>
      </c>
      <c r="E347" s="1246">
        <f>IF('Ввод данных'!$A$6=связи1!$A$97,IF(дома!E346&lt;'Ввод данных'!$C$15,0,дома!E346-дома!$L$139),0)+IF(дома!E346=0,0,IF('Ввод данных'!$A$6=связи1!$A$94,IF(дома!E346&lt;0,0,дома!E346-дома!$L$139),0))</f>
        <v>0</v>
      </c>
      <c r="F347" s="1055">
        <f>2*IF('Ввод данных'!$F$194=связи1!$A$2,1,0)*IF('Ввод данных'!$C$155=связи1!$A$2,1,0)</f>
        <v>0</v>
      </c>
      <c r="G347" s="1055">
        <f t="shared" si="36"/>
        <v>0</v>
      </c>
      <c r="H347" s="1055"/>
      <c r="I347" s="1055"/>
      <c r="J347" s="1055"/>
      <c r="K347" s="971"/>
      <c r="L347" s="971"/>
      <c r="M347" s="971"/>
      <c r="N347" s="971"/>
      <c r="O347" s="971"/>
      <c r="P347" s="1353"/>
      <c r="Q347" s="1353"/>
      <c r="R347" s="1353"/>
      <c r="S347" s="971"/>
      <c r="T347" s="971"/>
      <c r="U347" s="1398"/>
      <c r="V347" s="971"/>
      <c r="W347" s="971"/>
      <c r="X347" s="971"/>
      <c r="Y347" s="1353"/>
      <c r="Z347" s="971"/>
      <c r="AA347" s="971"/>
      <c r="AB347" s="1355"/>
      <c r="AC347" s="1355"/>
      <c r="AD347" s="1353"/>
    </row>
    <row r="348" spans="1:30" ht="15.75" customHeight="1" outlineLevel="1">
      <c r="A348" s="1419" t="s">
        <v>3135</v>
      </c>
      <c r="B348" s="1330" t="s">
        <v>156</v>
      </c>
      <c r="C348" s="1339">
        <f t="shared" si="37"/>
        <v>0.15</v>
      </c>
      <c r="D348" s="1055">
        <f t="shared" si="38"/>
        <v>0.05</v>
      </c>
      <c r="E348" s="1246">
        <f>IF('Ввод данных'!$A$6=связи1!$A$97,IF(дома!E347&lt;'Ввод данных'!$C$15,0,дома!E347-дома!$L$139),0)+IF(дома!E347=0,0,IF('Ввод данных'!$A$6=связи1!$A$94,IF(дома!E347&lt;0,0,дома!E347-дома!$L$139),0))</f>
        <v>0</v>
      </c>
      <c r="F348" s="1055">
        <f>2*IF('Ввод данных'!$F$194=связи1!$A$2,1,0)*IF('Ввод данных'!$C$155=связи1!$A$2,1,0)</f>
        <v>0</v>
      </c>
      <c r="G348" s="1055">
        <f t="shared" si="36"/>
        <v>0</v>
      </c>
      <c r="H348" s="1055"/>
      <c r="I348" s="1055"/>
      <c r="J348" s="1055"/>
      <c r="K348" s="971"/>
      <c r="L348" s="971"/>
      <c r="M348" s="971"/>
      <c r="N348" s="971"/>
      <c r="O348" s="971"/>
      <c r="P348" s="1353"/>
      <c r="Q348" s="1353"/>
      <c r="R348" s="1353"/>
      <c r="S348" s="971"/>
      <c r="T348" s="971"/>
      <c r="U348" s="1398"/>
      <c r="V348" s="971"/>
      <c r="W348" s="971"/>
      <c r="X348" s="971"/>
      <c r="Y348" s="1353"/>
      <c r="Z348" s="971"/>
      <c r="AA348" s="971"/>
      <c r="AB348" s="1355"/>
      <c r="AC348" s="1355"/>
      <c r="AD348" s="1353"/>
    </row>
    <row r="349" spans="1:30" ht="15.75" customHeight="1" outlineLevel="1">
      <c r="A349" s="1419" t="s">
        <v>3136</v>
      </c>
      <c r="B349" s="1330" t="s">
        <v>156</v>
      </c>
      <c r="C349" s="1339">
        <f t="shared" si="37"/>
        <v>0.15</v>
      </c>
      <c r="D349" s="1055">
        <f t="shared" si="38"/>
        <v>0.05</v>
      </c>
      <c r="E349" s="1246">
        <f>IF('Ввод данных'!$A$6=связи1!$A$97,IF(дома!E348&lt;'Ввод данных'!$C$15,0,дома!E348-дома!$L$139),0)+IF(дома!E348=0,0,IF('Ввод данных'!$A$6=связи1!$A$94,IF(дома!E348&lt;0,0,дома!E348-дома!$L$139),0))</f>
        <v>0</v>
      </c>
      <c r="F349" s="1055">
        <f>2*IF('Ввод данных'!$F$194=связи1!$A$2,1,0)*IF('Ввод данных'!$C$155=связи1!$A$2,1,0)</f>
        <v>0</v>
      </c>
      <c r="G349" s="1055">
        <f t="shared" si="36"/>
        <v>0</v>
      </c>
      <c r="H349" s="1055"/>
      <c r="I349" s="1055"/>
      <c r="J349" s="1055"/>
      <c r="K349" s="971"/>
      <c r="L349" s="971"/>
      <c r="M349" s="971"/>
      <c r="N349" s="971"/>
      <c r="O349" s="971"/>
      <c r="P349" s="1353"/>
      <c r="Q349" s="1353"/>
      <c r="R349" s="1353"/>
      <c r="S349" s="971"/>
      <c r="T349" s="971"/>
      <c r="U349" s="1398"/>
      <c r="V349" s="971"/>
      <c r="W349" s="971"/>
      <c r="X349" s="971"/>
      <c r="Y349" s="1353"/>
      <c r="Z349" s="971"/>
      <c r="AA349" s="971"/>
      <c r="AB349" s="1355"/>
      <c r="AC349" s="1355"/>
      <c r="AD349" s="1353"/>
    </row>
    <row r="350" spans="1:30" ht="15.75" customHeight="1" outlineLevel="1">
      <c r="A350" s="1419" t="s">
        <v>3137</v>
      </c>
      <c r="B350" s="1330" t="s">
        <v>156</v>
      </c>
      <c r="C350" s="1339">
        <f t="shared" si="37"/>
        <v>0.15</v>
      </c>
      <c r="D350" s="1055">
        <f t="shared" si="38"/>
        <v>0.05</v>
      </c>
      <c r="E350" s="1246">
        <f>IF('Ввод данных'!$A$6=связи1!$A$97,IF(дома!E349&lt;'Ввод данных'!$C$15,0,дома!E349-дома!$L$139),0)+IF(дома!E349=0,0,IF('Ввод данных'!$A$6=связи1!$A$94,IF(дома!E349&lt;0,0,дома!E349-дома!$L$139),0))</f>
        <v>0</v>
      </c>
      <c r="F350" s="1055">
        <f>2*IF('Ввод данных'!$F$194=связи1!$A$2,1,0)*IF('Ввод данных'!$C$155=связи1!$A$2,1,0)</f>
        <v>0</v>
      </c>
      <c r="G350" s="1055">
        <f t="shared" si="36"/>
        <v>0</v>
      </c>
      <c r="H350" s="1055"/>
      <c r="I350" s="1055"/>
      <c r="J350" s="1055"/>
      <c r="K350" s="971"/>
      <c r="L350" s="971"/>
      <c r="M350" s="971"/>
      <c r="N350" s="971"/>
      <c r="O350" s="971"/>
      <c r="P350" s="1353"/>
      <c r="Q350" s="1353"/>
      <c r="R350" s="1353"/>
      <c r="S350" s="971"/>
      <c r="T350" s="971"/>
      <c r="U350" s="1398"/>
      <c r="V350" s="971"/>
      <c r="W350" s="971"/>
      <c r="X350" s="971"/>
      <c r="Y350" s="1353"/>
      <c r="Z350" s="971"/>
      <c r="AA350" s="971"/>
      <c r="AB350" s="1355"/>
      <c r="AC350" s="1355"/>
      <c r="AD350" s="1353"/>
    </row>
    <row r="351" spans="1:30" ht="15.75" customHeight="1" outlineLevel="1">
      <c r="A351" s="1419" t="s">
        <v>3138</v>
      </c>
      <c r="B351" s="1330" t="s">
        <v>156</v>
      </c>
      <c r="C351" s="1339">
        <f t="shared" si="37"/>
        <v>0.15</v>
      </c>
      <c r="D351" s="1055">
        <f t="shared" si="38"/>
        <v>0.05</v>
      </c>
      <c r="E351" s="1246">
        <f>IF('Ввод данных'!$A$6=связи1!$A$97,IF(дома!E350&lt;'Ввод данных'!$C$15,0,дома!E350-дома!$L$139),0)+IF(дома!E350=0,0,IF('Ввод данных'!$A$6=связи1!$A$94,IF(дома!E350&lt;0,0,дома!E350-дома!$L$139),0))</f>
        <v>0</v>
      </c>
      <c r="F351" s="1055">
        <f>2*IF('Ввод данных'!$F$194=связи1!$A$2,1,0)*IF('Ввод данных'!$C$155=связи1!$A$2,1,0)</f>
        <v>0</v>
      </c>
      <c r="G351" s="1055">
        <f t="shared" si="36"/>
        <v>0</v>
      </c>
      <c r="H351" s="1055"/>
      <c r="I351" s="1055"/>
      <c r="J351" s="1055"/>
      <c r="K351" s="971"/>
      <c r="L351" s="971"/>
      <c r="M351" s="971"/>
      <c r="N351" s="971"/>
      <c r="O351" s="971"/>
      <c r="P351" s="1353"/>
      <c r="Q351" s="1353"/>
      <c r="R351" s="1353"/>
      <c r="S351" s="971"/>
      <c r="T351" s="971"/>
      <c r="U351" s="1398"/>
      <c r="V351" s="971"/>
      <c r="W351" s="971"/>
      <c r="X351" s="971"/>
      <c r="Y351" s="1353"/>
      <c r="Z351" s="971"/>
      <c r="AA351" s="971"/>
      <c r="AB351" s="1355"/>
      <c r="AC351" s="1355"/>
      <c r="AD351" s="1353"/>
    </row>
    <row r="352" spans="1:30" ht="15.75" customHeight="1" outlineLevel="1">
      <c r="A352" s="1419" t="s">
        <v>3139</v>
      </c>
      <c r="B352" s="1330" t="s">
        <v>156</v>
      </c>
      <c r="C352" s="1339">
        <f t="shared" si="37"/>
        <v>0.15</v>
      </c>
      <c r="D352" s="1055">
        <f t="shared" si="38"/>
        <v>0.05</v>
      </c>
      <c r="E352" s="1246">
        <f>IF('Ввод данных'!$A$6=связи1!$A$97,IF(дома!E351&lt;'Ввод данных'!$C$15,0,дома!E351-дома!$L$139),0)+IF(дома!E351=0,0,IF('Ввод данных'!$A$6=связи1!$A$94,IF(дома!E351&lt;0,0,дома!E351-дома!$L$139),0))</f>
        <v>0</v>
      </c>
      <c r="F352" s="1055">
        <f>2*IF('Ввод данных'!$F$194=связи1!$A$2,1,0)*IF('Ввод данных'!$C$155=связи1!$A$2,1,0)</f>
        <v>0</v>
      </c>
      <c r="G352" s="1055">
        <f t="shared" si="36"/>
        <v>0</v>
      </c>
      <c r="H352" s="1055"/>
      <c r="I352" s="1055"/>
      <c r="J352" s="1055"/>
      <c r="K352" s="971"/>
      <c r="L352" s="971"/>
      <c r="M352" s="971"/>
      <c r="N352" s="971"/>
      <c r="O352" s="971"/>
      <c r="P352" s="1353"/>
      <c r="Q352" s="1353"/>
      <c r="R352" s="1353"/>
      <c r="S352" s="971"/>
      <c r="T352" s="971"/>
      <c r="U352" s="1398"/>
      <c r="V352" s="971"/>
      <c r="W352" s="971"/>
      <c r="X352" s="971"/>
      <c r="Y352" s="1353"/>
      <c r="Z352" s="971"/>
      <c r="AA352" s="971"/>
      <c r="AB352" s="1355"/>
      <c r="AC352" s="1355"/>
      <c r="AD352" s="1353"/>
    </row>
    <row r="353" spans="1:30" ht="15.75" customHeight="1" outlineLevel="1">
      <c r="A353" s="1419" t="s">
        <v>3140</v>
      </c>
      <c r="B353" s="1330" t="s">
        <v>156</v>
      </c>
      <c r="C353" s="1339">
        <f t="shared" si="37"/>
        <v>0.15</v>
      </c>
      <c r="D353" s="1055">
        <f t="shared" si="38"/>
        <v>0.05</v>
      </c>
      <c r="E353" s="1246">
        <f>IF('Ввод данных'!$A$6=связи1!$A$97,IF(дома!E352&lt;'Ввод данных'!$C$15,0,дома!E352-дома!$L$139),0)+IF(дома!E352=0,0,IF('Ввод данных'!$A$6=связи1!$A$94,IF(дома!E352&lt;0,0,дома!E352-дома!$L$139),0))</f>
        <v>0</v>
      </c>
      <c r="F353" s="1055">
        <f>2*IF('Ввод данных'!$F$194=связи1!$A$2,1,0)*IF('Ввод данных'!$C$155=связи1!$A$2,1,0)</f>
        <v>0</v>
      </c>
      <c r="G353" s="1055">
        <f t="shared" si="36"/>
        <v>0</v>
      </c>
      <c r="H353" s="1055"/>
      <c r="I353" s="1055"/>
      <c r="J353" s="1055"/>
      <c r="K353" s="971"/>
      <c r="L353" s="971"/>
      <c r="M353" s="971"/>
      <c r="N353" s="971"/>
      <c r="O353" s="971"/>
      <c r="P353" s="1353"/>
      <c r="Q353" s="1353"/>
      <c r="R353" s="1353"/>
      <c r="S353" s="971"/>
      <c r="T353" s="971"/>
      <c r="U353" s="1398"/>
      <c r="V353" s="971"/>
      <c r="W353" s="971"/>
      <c r="X353" s="971"/>
      <c r="Y353" s="1353"/>
      <c r="Z353" s="971"/>
      <c r="AA353" s="971"/>
      <c r="AB353" s="1355"/>
      <c r="AC353" s="1355"/>
      <c r="AD353" s="1353"/>
    </row>
    <row r="354" spans="1:30" ht="15.75" customHeight="1" outlineLevel="1">
      <c r="A354" s="1422" t="s">
        <v>3144</v>
      </c>
      <c r="B354" s="1330" t="s">
        <v>156</v>
      </c>
      <c r="C354" s="1339">
        <f t="shared" si="37"/>
        <v>0.15</v>
      </c>
      <c r="D354" s="1055">
        <f t="shared" si="38"/>
        <v>0.05</v>
      </c>
      <c r="E354" s="967">
        <f>E124+E125</f>
        <v>3</v>
      </c>
      <c r="F354" s="967">
        <f>U130*(IF('Ввод данных'!A8=связи1!A150,1,0))</f>
        <v>0</v>
      </c>
      <c r="G354" s="1319">
        <f t="shared" si="36"/>
        <v>0</v>
      </c>
      <c r="H354" s="1319" t="s">
        <v>853</v>
      </c>
      <c r="I354" s="1055"/>
      <c r="J354" s="1055"/>
      <c r="K354" s="971"/>
      <c r="L354" s="971"/>
      <c r="M354" s="971"/>
      <c r="N354" s="971"/>
      <c r="O354" s="971"/>
      <c r="P354" s="1353"/>
      <c r="Q354" s="1353"/>
      <c r="R354" s="1353"/>
      <c r="S354" s="971"/>
      <c r="T354" s="971"/>
      <c r="U354" s="1398"/>
      <c r="V354" s="971"/>
      <c r="W354" s="971"/>
      <c r="X354" s="971"/>
      <c r="Y354" s="1353"/>
      <c r="Z354" s="971"/>
      <c r="AA354" s="971"/>
      <c r="AB354" s="1355"/>
      <c r="AC354" s="1355"/>
      <c r="AD354" s="1353"/>
    </row>
    <row r="355" spans="1:30" ht="15.75" customHeight="1" outlineLevel="1">
      <c r="A355" s="1294" t="s">
        <v>3145</v>
      </c>
      <c r="B355" s="1330" t="s">
        <v>156</v>
      </c>
      <c r="C355" s="1339">
        <f t="shared" si="37"/>
        <v>0.15</v>
      </c>
      <c r="D355" s="1055">
        <f t="shared" si="38"/>
        <v>0.05</v>
      </c>
      <c r="E355" s="967">
        <f>W124</f>
        <v>1</v>
      </c>
      <c r="F355" s="967">
        <f>2*(IF('Ввод данных'!A8=связи1!A150,1,0))</f>
        <v>0</v>
      </c>
      <c r="G355" s="1319">
        <f t="shared" si="36"/>
        <v>0</v>
      </c>
      <c r="H355" s="1319">
        <f>E355*F355</f>
        <v>0</v>
      </c>
      <c r="I355" s="1055"/>
      <c r="J355" s="1055"/>
      <c r="K355" s="971"/>
      <c r="L355" s="971"/>
      <c r="M355" s="971"/>
      <c r="N355" s="971"/>
      <c r="O355" s="971"/>
      <c r="P355" s="1353"/>
      <c r="Q355" s="1353"/>
      <c r="R355" s="1353"/>
      <c r="S355" s="971"/>
      <c r="T355" s="971"/>
      <c r="U355" s="1398"/>
      <c r="V355" s="971"/>
      <c r="W355" s="971"/>
      <c r="X355" s="971"/>
      <c r="Y355" s="1353"/>
      <c r="Z355" s="971"/>
      <c r="AA355" s="971"/>
      <c r="AB355" s="1355"/>
      <c r="AC355" s="1355"/>
      <c r="AD355" s="1353"/>
    </row>
    <row r="356" spans="1:30" ht="15.75" customHeight="1" outlineLevel="1">
      <c r="A356" s="1294" t="s">
        <v>3146</v>
      </c>
      <c r="B356" s="1330" t="s">
        <v>156</v>
      </c>
      <c r="C356" s="1339">
        <f t="shared" si="37"/>
        <v>0.15</v>
      </c>
      <c r="D356" s="1055">
        <f t="shared" si="38"/>
        <v>0.05</v>
      </c>
      <c r="E356" s="967">
        <f>W125</f>
        <v>0</v>
      </c>
      <c r="F356" s="967">
        <f>2*(IF('Ввод данных'!A8=связи1!A150,1,0))</f>
        <v>0</v>
      </c>
      <c r="G356" s="1319">
        <f t="shared" si="36"/>
        <v>0</v>
      </c>
      <c r="H356" s="1319">
        <f>E356*F356</f>
        <v>0</v>
      </c>
      <c r="I356" s="1055"/>
      <c r="J356" s="1055"/>
      <c r="K356" s="971"/>
      <c r="L356" s="971"/>
      <c r="M356" s="971"/>
      <c r="N356" s="971"/>
      <c r="O356" s="971"/>
      <c r="P356" s="1353"/>
      <c r="Q356" s="1353"/>
      <c r="R356" s="1353"/>
      <c r="S356" s="971"/>
      <c r="T356" s="971"/>
      <c r="U356" s="1398"/>
      <c r="V356" s="971"/>
      <c r="W356" s="971"/>
      <c r="X356" s="971"/>
      <c r="Y356" s="1353"/>
      <c r="Z356" s="971"/>
      <c r="AA356" s="971"/>
      <c r="AB356" s="1355"/>
      <c r="AC356" s="1355"/>
      <c r="AD356" s="1353"/>
    </row>
    <row r="357" spans="1:30" ht="15.75" customHeight="1" outlineLevel="1">
      <c r="A357" s="1294" t="s">
        <v>3147</v>
      </c>
      <c r="B357" s="1330" t="s">
        <v>156</v>
      </c>
      <c r="C357" s="1339">
        <f t="shared" si="37"/>
        <v>0.15</v>
      </c>
      <c r="D357" s="1055">
        <f t="shared" si="38"/>
        <v>0.05</v>
      </c>
      <c r="E357" s="967">
        <f>W126</f>
        <v>0</v>
      </c>
      <c r="F357" s="967">
        <f>2*(IF('Ввод данных'!A8=связи1!A150,1,0))</f>
        <v>0</v>
      </c>
      <c r="G357" s="1319">
        <f t="shared" si="36"/>
        <v>0</v>
      </c>
      <c r="H357" s="1319">
        <f>E357*F357</f>
        <v>0</v>
      </c>
      <c r="I357" s="1055"/>
      <c r="J357" s="1055"/>
      <c r="K357" s="971"/>
      <c r="L357" s="971"/>
      <c r="M357" s="971"/>
      <c r="N357" s="971"/>
      <c r="O357" s="971"/>
      <c r="P357" s="1353"/>
      <c r="Q357" s="1353"/>
      <c r="R357" s="1353"/>
      <c r="S357" s="971"/>
      <c r="T357" s="971"/>
      <c r="U357" s="1398"/>
      <c r="V357" s="971"/>
      <c r="W357" s="971"/>
      <c r="X357" s="971"/>
      <c r="Y357" s="1353"/>
      <c r="Z357" s="971"/>
      <c r="AA357" s="971"/>
      <c r="AB357" s="1355"/>
      <c r="AC357" s="1355"/>
      <c r="AD357" s="1353"/>
    </row>
    <row r="358" spans="1:30" ht="15.75" customHeight="1" outlineLevel="1">
      <c r="A358" s="1294" t="s">
        <v>3148</v>
      </c>
      <c r="B358" s="1330" t="s">
        <v>156</v>
      </c>
      <c r="C358" s="1339">
        <f t="shared" si="37"/>
        <v>0.15</v>
      </c>
      <c r="D358" s="1055">
        <f t="shared" si="38"/>
        <v>0.05</v>
      </c>
      <c r="E358" s="967">
        <f>W127</f>
        <v>0.6</v>
      </c>
      <c r="F358" s="967">
        <f>2*(IF('Ввод данных'!A8=связи1!A150,1,0))</f>
        <v>0</v>
      </c>
      <c r="G358" s="1319">
        <f t="shared" si="36"/>
        <v>0</v>
      </c>
      <c r="H358" s="1319">
        <f>E358*F358</f>
        <v>0</v>
      </c>
      <c r="I358" s="1055"/>
      <c r="J358" s="1055"/>
      <c r="K358" s="971"/>
      <c r="L358" s="971"/>
      <c r="M358" s="971"/>
      <c r="N358" s="971"/>
      <c r="O358" s="971"/>
      <c r="P358" s="1353"/>
      <c r="Q358" s="1353"/>
      <c r="R358" s="1353"/>
      <c r="S358" s="971"/>
      <c r="T358" s="971"/>
      <c r="U358" s="1398"/>
      <c r="V358" s="971"/>
      <c r="W358" s="971"/>
      <c r="X358" s="971"/>
      <c r="Y358" s="1353"/>
      <c r="Z358" s="971"/>
      <c r="AA358" s="971"/>
      <c r="AB358" s="1355"/>
      <c r="AC358" s="1355"/>
      <c r="AD358" s="1353"/>
    </row>
    <row r="359" spans="1:30" ht="15.75" customHeight="1" outlineLevel="1">
      <c r="A359" s="1294" t="s">
        <v>3149</v>
      </c>
      <c r="B359" s="1330" t="s">
        <v>156</v>
      </c>
      <c r="C359" s="1339">
        <f t="shared" si="37"/>
        <v>0.15</v>
      </c>
      <c r="D359" s="1055">
        <f t="shared" si="38"/>
        <v>0.05</v>
      </c>
      <c r="E359" s="967">
        <f>W128</f>
        <v>1</v>
      </c>
      <c r="F359" s="967">
        <f>2*(IF('Ввод данных'!A8=связи1!A150,1,0))</f>
        <v>0</v>
      </c>
      <c r="G359" s="1319">
        <f t="shared" si="36"/>
        <v>0</v>
      </c>
      <c r="H359" s="1319">
        <f>E359*F359</f>
        <v>0</v>
      </c>
      <c r="I359" s="1055"/>
      <c r="J359" s="1055"/>
      <c r="K359" s="971"/>
      <c r="L359" s="971"/>
      <c r="M359" s="971"/>
      <c r="N359" s="971"/>
      <c r="O359" s="971"/>
      <c r="P359" s="1353"/>
      <c r="Q359" s="1353"/>
      <c r="R359" s="1353"/>
      <c r="S359" s="971"/>
      <c r="T359" s="971"/>
      <c r="U359" s="1398"/>
      <c r="V359" s="971"/>
      <c r="W359" s="971"/>
      <c r="X359" s="971"/>
      <c r="Y359" s="1353"/>
      <c r="Z359" s="971"/>
      <c r="AA359" s="971"/>
      <c r="AB359" s="1355"/>
      <c r="AC359" s="1355"/>
      <c r="AD359" s="1353"/>
    </row>
    <row r="360" spans="1:30" ht="15.75" customHeight="1" outlineLevel="1">
      <c r="A360" s="1422" t="s">
        <v>3150</v>
      </c>
      <c r="B360" s="1330" t="s">
        <v>156</v>
      </c>
      <c r="C360" s="1339">
        <f t="shared" si="37"/>
        <v>0.15</v>
      </c>
      <c r="D360" s="1055">
        <f t="shared" si="38"/>
        <v>0.05</v>
      </c>
      <c r="E360" s="967">
        <f>E124+E125</f>
        <v>3</v>
      </c>
      <c r="F360" s="967">
        <f>Z130*(IF('Ввод данных'!A8=связи1!A150,1,0))</f>
        <v>0</v>
      </c>
      <c r="G360" s="1319">
        <f t="shared" si="36"/>
        <v>0</v>
      </c>
      <c r="H360" s="1319"/>
      <c r="I360" s="1055"/>
      <c r="J360" s="1055"/>
      <c r="K360" s="971"/>
      <c r="L360" s="971"/>
      <c r="M360" s="971"/>
      <c r="N360" s="971"/>
      <c r="O360" s="971"/>
      <c r="P360" s="1353"/>
      <c r="Q360" s="1353"/>
      <c r="R360" s="1353"/>
      <c r="S360" s="971"/>
      <c r="T360" s="971"/>
      <c r="U360" s="1398"/>
      <c r="V360" s="971"/>
      <c r="W360" s="971"/>
      <c r="X360" s="971"/>
      <c r="Y360" s="1353"/>
      <c r="Z360" s="971"/>
      <c r="AA360" s="971"/>
      <c r="AB360" s="1355"/>
      <c r="AC360" s="1355"/>
      <c r="AD360" s="1353"/>
    </row>
    <row r="361" spans="1:30" ht="15.75" customHeight="1" outlineLevel="1">
      <c r="A361" s="1422" t="s">
        <v>3151</v>
      </c>
      <c r="B361" s="1330" t="s">
        <v>156</v>
      </c>
      <c r="C361" s="1339">
        <f t="shared" si="37"/>
        <v>0.15</v>
      </c>
      <c r="D361" s="1055">
        <f t="shared" si="38"/>
        <v>0.05</v>
      </c>
      <c r="E361" s="967">
        <f>AB124</f>
        <v>0.8</v>
      </c>
      <c r="F361" s="967">
        <f>1*(IF('Ввод данных'!A8=связи1!A150,1,0))</f>
        <v>0</v>
      </c>
      <c r="G361" s="1319">
        <f t="shared" si="36"/>
        <v>0</v>
      </c>
      <c r="H361" s="1319">
        <f>E361*F361</f>
        <v>0</v>
      </c>
      <c r="I361" s="1055"/>
      <c r="J361" s="1055"/>
      <c r="K361" s="971"/>
      <c r="L361" s="971"/>
      <c r="M361" s="971"/>
      <c r="N361" s="971"/>
      <c r="O361" s="971"/>
      <c r="P361" s="1353"/>
      <c r="Q361" s="1353"/>
      <c r="R361" s="1353"/>
      <c r="S361" s="971"/>
      <c r="T361" s="971"/>
      <c r="U361" s="1398"/>
      <c r="V361" s="971"/>
      <c r="W361" s="971"/>
      <c r="X361" s="971"/>
      <c r="Y361" s="1353"/>
      <c r="Z361" s="971"/>
      <c r="AA361" s="971"/>
      <c r="AB361" s="1355"/>
      <c r="AC361" s="1355"/>
      <c r="AD361" s="1353"/>
    </row>
    <row r="362" spans="1:30" ht="15.75" customHeight="1" outlineLevel="1">
      <c r="A362" s="1422" t="s">
        <v>3152</v>
      </c>
      <c r="B362" s="1330" t="s">
        <v>156</v>
      </c>
      <c r="C362" s="1339">
        <f t="shared" si="37"/>
        <v>0.15</v>
      </c>
      <c r="D362" s="1055">
        <f t="shared" si="38"/>
        <v>0.05</v>
      </c>
      <c r="E362" s="967">
        <f>AB125</f>
        <v>0</v>
      </c>
      <c r="F362" s="967">
        <f>1*(IF('Ввод данных'!A8=связи1!A150,1,0))</f>
        <v>0</v>
      </c>
      <c r="G362" s="1319">
        <f t="shared" ref="G362:G393" si="39">C362*D362*E362*F362</f>
        <v>0</v>
      </c>
      <c r="H362" s="1319">
        <f>E362*F362</f>
        <v>0</v>
      </c>
      <c r="I362" s="1055"/>
      <c r="J362" s="1055"/>
      <c r="K362" s="971"/>
      <c r="L362" s="971"/>
      <c r="M362" s="971"/>
      <c r="N362" s="971"/>
      <c r="O362" s="971"/>
      <c r="P362" s="1353"/>
      <c r="Q362" s="1353"/>
      <c r="R362" s="1353"/>
      <c r="S362" s="971"/>
      <c r="T362" s="971"/>
      <c r="U362" s="1398"/>
      <c r="V362" s="971"/>
      <c r="W362" s="971"/>
      <c r="X362" s="971"/>
      <c r="Y362" s="1353"/>
      <c r="Z362" s="971"/>
      <c r="AA362" s="971"/>
      <c r="AB362" s="1355"/>
      <c r="AC362" s="1355"/>
      <c r="AD362" s="1353"/>
    </row>
    <row r="363" spans="1:30" ht="15.75" customHeight="1" outlineLevel="1">
      <c r="A363" s="1422" t="s">
        <v>3153</v>
      </c>
      <c r="B363" s="1330" t="s">
        <v>156</v>
      </c>
      <c r="C363" s="1339">
        <f t="shared" si="37"/>
        <v>0.15</v>
      </c>
      <c r="D363" s="1055">
        <f t="shared" si="38"/>
        <v>0.05</v>
      </c>
      <c r="E363" s="967">
        <f>AB126</f>
        <v>0</v>
      </c>
      <c r="F363" s="967">
        <f>1*(IF('Ввод данных'!A8=связи1!A150,1,0))</f>
        <v>0</v>
      </c>
      <c r="G363" s="1319">
        <f t="shared" si="39"/>
        <v>0</v>
      </c>
      <c r="H363" s="1319">
        <f>E363*F363</f>
        <v>0</v>
      </c>
      <c r="I363" s="1055"/>
      <c r="J363" s="1055"/>
      <c r="K363" s="971"/>
      <c r="L363" s="971"/>
      <c r="M363" s="971"/>
      <c r="N363" s="971"/>
      <c r="O363" s="971"/>
      <c r="P363" s="1353"/>
      <c r="Q363" s="1353"/>
      <c r="R363" s="1353"/>
      <c r="S363" s="971"/>
      <c r="T363" s="971"/>
      <c r="U363" s="1398"/>
      <c r="V363" s="971"/>
      <c r="W363" s="971"/>
      <c r="X363" s="971"/>
      <c r="Y363" s="1353"/>
      <c r="Z363" s="971"/>
      <c r="AA363" s="971"/>
      <c r="AB363" s="1355"/>
      <c r="AC363" s="1355"/>
      <c r="AD363" s="1353"/>
    </row>
    <row r="364" spans="1:30" ht="15.75" customHeight="1" outlineLevel="1">
      <c r="A364" s="1422" t="s">
        <v>3154</v>
      </c>
      <c r="B364" s="1330" t="s">
        <v>156</v>
      </c>
      <c r="C364" s="1339">
        <f t="shared" si="37"/>
        <v>0.15</v>
      </c>
      <c r="D364" s="1055">
        <f t="shared" si="38"/>
        <v>0.05</v>
      </c>
      <c r="E364" s="967">
        <f>AB127</f>
        <v>0.9</v>
      </c>
      <c r="F364" s="967">
        <f>1*(IF('Ввод данных'!A8=связи1!A150,1,0))</f>
        <v>0</v>
      </c>
      <c r="G364" s="1319">
        <f t="shared" si="39"/>
        <v>0</v>
      </c>
      <c r="H364" s="1319">
        <f>E364*F364</f>
        <v>0</v>
      </c>
      <c r="I364" s="1055"/>
      <c r="J364" s="1055"/>
      <c r="K364" s="971"/>
      <c r="L364" s="971"/>
      <c r="M364" s="971"/>
      <c r="N364" s="971"/>
      <c r="O364" s="971"/>
      <c r="P364" s="1353"/>
      <c r="Q364" s="1353"/>
      <c r="R364" s="1353"/>
      <c r="S364" s="971"/>
      <c r="T364" s="971"/>
      <c r="U364" s="1398"/>
      <c r="V364" s="971"/>
      <c r="W364" s="971"/>
      <c r="X364" s="971"/>
      <c r="Y364" s="1353"/>
      <c r="Z364" s="971"/>
      <c r="AA364" s="971"/>
      <c r="AB364" s="1355"/>
      <c r="AC364" s="1355"/>
      <c r="AD364" s="1353"/>
    </row>
    <row r="365" spans="1:30" ht="15.75" customHeight="1" outlineLevel="1">
      <c r="A365" s="1422" t="s">
        <v>3155</v>
      </c>
      <c r="B365" s="1330" t="s">
        <v>156</v>
      </c>
      <c r="C365" s="1339">
        <f t="shared" si="37"/>
        <v>0.15</v>
      </c>
      <c r="D365" s="1055">
        <f t="shared" si="38"/>
        <v>0.05</v>
      </c>
      <c r="E365" s="967">
        <f>AB128</f>
        <v>1</v>
      </c>
      <c r="F365" s="967">
        <f>1*(IF('Ввод данных'!A8=связи1!A150,1,0))</f>
        <v>0</v>
      </c>
      <c r="G365" s="1319">
        <f t="shared" si="39"/>
        <v>0</v>
      </c>
      <c r="H365" s="1319">
        <f>E365*F365</f>
        <v>0</v>
      </c>
      <c r="I365" s="1055"/>
      <c r="J365" s="1055"/>
      <c r="K365" s="971"/>
      <c r="L365" s="971"/>
      <c r="M365" s="971"/>
      <c r="N365" s="971"/>
      <c r="O365" s="971"/>
      <c r="P365" s="1353"/>
      <c r="Q365" s="1353"/>
      <c r="R365" s="1353"/>
      <c r="S365" s="971"/>
      <c r="T365" s="971"/>
      <c r="U365" s="1398"/>
      <c r="V365" s="971"/>
      <c r="W365" s="971"/>
      <c r="X365" s="971"/>
      <c r="Y365" s="1353"/>
      <c r="Z365" s="971"/>
      <c r="AA365" s="971"/>
      <c r="AB365" s="1355"/>
      <c r="AC365" s="1355"/>
      <c r="AD365" s="1353"/>
    </row>
    <row r="366" spans="1:30" ht="15.75" customHeight="1" outlineLevel="1">
      <c r="A366" s="1422" t="s">
        <v>3156</v>
      </c>
      <c r="B366" s="1330" t="s">
        <v>156</v>
      </c>
      <c r="C366" s="1339">
        <f t="shared" si="37"/>
        <v>0.15</v>
      </c>
      <c r="D366" s="1055">
        <f t="shared" si="38"/>
        <v>0.05</v>
      </c>
      <c r="E366" s="967">
        <f>$E$375</f>
        <v>3</v>
      </c>
      <c r="F366" s="967">
        <f>2*(IF('Ввод данных'!A8=связи1!A150,1,0))</f>
        <v>0</v>
      </c>
      <c r="G366" s="1319">
        <f t="shared" si="39"/>
        <v>0</v>
      </c>
      <c r="H366" s="1319"/>
      <c r="I366" s="1055"/>
      <c r="J366" s="1055"/>
      <c r="K366" s="971"/>
      <c r="L366" s="971"/>
      <c r="M366" s="971"/>
      <c r="N366" s="971"/>
      <c r="O366" s="971"/>
      <c r="P366" s="1353"/>
      <c r="Q366" s="1353"/>
      <c r="R366" s="1353"/>
      <c r="S366" s="971"/>
      <c r="T366" s="971"/>
      <c r="U366" s="1398"/>
      <c r="V366" s="971"/>
      <c r="W366" s="971"/>
      <c r="X366" s="971"/>
      <c r="Y366" s="1353"/>
      <c r="Z366" s="971"/>
      <c r="AA366" s="971"/>
      <c r="AB366" s="1355"/>
      <c r="AC366" s="1355"/>
      <c r="AD366" s="1353"/>
    </row>
    <row r="367" spans="1:30" ht="15.75" customHeight="1" outlineLevel="1">
      <c r="A367" s="1422" t="s">
        <v>3157</v>
      </c>
      <c r="B367" s="1330" t="s">
        <v>156</v>
      </c>
      <c r="C367" s="920">
        <f t="shared" ref="C367:C373" si="40">$K$375</f>
        <v>0.12</v>
      </c>
      <c r="D367" s="1319">
        <f t="shared" ref="D367:D373" si="41">$J$375</f>
        <v>0.05</v>
      </c>
      <c r="E367" s="967">
        <f>AB375</f>
        <v>0.8</v>
      </c>
      <c r="F367" s="967">
        <f>1*(IF('Ввод данных'!A8=связи1!A150,1,0))</f>
        <v>0</v>
      </c>
      <c r="G367" s="1319">
        <f t="shared" si="39"/>
        <v>0</v>
      </c>
      <c r="H367" s="1319">
        <f>E367*F367</f>
        <v>0</v>
      </c>
      <c r="I367" s="1055"/>
      <c r="J367" s="1055"/>
      <c r="K367" s="971"/>
      <c r="L367" s="971"/>
      <c r="M367" s="971"/>
      <c r="N367" s="971"/>
      <c r="O367" s="971"/>
      <c r="P367" s="1353"/>
      <c r="Q367" s="1353"/>
      <c r="R367" s="1353"/>
      <c r="S367" s="971"/>
      <c r="T367" s="971"/>
      <c r="U367" s="1398"/>
      <c r="V367" s="971"/>
      <c r="W367" s="971"/>
      <c r="X367" s="971"/>
      <c r="Y367" s="1353"/>
      <c r="Z367" s="971"/>
      <c r="AA367" s="971"/>
      <c r="AB367" s="1355"/>
      <c r="AC367" s="1355"/>
      <c r="AD367" s="1353"/>
    </row>
    <row r="368" spans="1:30" ht="15.75" customHeight="1" outlineLevel="1">
      <c r="A368" s="1422" t="s">
        <v>3158</v>
      </c>
      <c r="B368" s="1330" t="s">
        <v>156</v>
      </c>
      <c r="C368" s="920">
        <f t="shared" si="40"/>
        <v>0.12</v>
      </c>
      <c r="D368" s="1319">
        <f t="shared" si="41"/>
        <v>0.05</v>
      </c>
      <c r="E368" s="967">
        <f>AB376</f>
        <v>0.6</v>
      </c>
      <c r="F368" s="967">
        <f>1*(IF('Ввод данных'!A8=связи1!A150,1,0))</f>
        <v>0</v>
      </c>
      <c r="G368" s="1319">
        <f t="shared" si="39"/>
        <v>0</v>
      </c>
      <c r="H368" s="1319">
        <f>E368*F368</f>
        <v>0</v>
      </c>
      <c r="I368" s="1055"/>
      <c r="J368" s="1055"/>
      <c r="K368" s="971"/>
      <c r="L368" s="971"/>
      <c r="M368" s="971"/>
      <c r="N368" s="971"/>
      <c r="O368" s="971"/>
      <c r="P368" s="1353"/>
      <c r="Q368" s="1353"/>
      <c r="R368" s="1353"/>
      <c r="S368" s="971"/>
      <c r="T368" s="971"/>
      <c r="U368" s="1398"/>
      <c r="V368" s="971"/>
      <c r="W368" s="971"/>
      <c r="X368" s="971"/>
      <c r="Y368" s="1353"/>
      <c r="Z368" s="971"/>
      <c r="AA368" s="971"/>
      <c r="AB368" s="1355"/>
      <c r="AC368" s="1355"/>
      <c r="AD368" s="1353"/>
    </row>
    <row r="369" spans="1:30" ht="15.75" customHeight="1" outlineLevel="1">
      <c r="A369" s="1422" t="s">
        <v>3159</v>
      </c>
      <c r="B369" s="1330" t="s">
        <v>156</v>
      </c>
      <c r="C369" s="920">
        <f t="shared" si="40"/>
        <v>0.12</v>
      </c>
      <c r="D369" s="1319">
        <f t="shared" si="41"/>
        <v>0.05</v>
      </c>
      <c r="E369" s="967">
        <f>AB377</f>
        <v>0.9</v>
      </c>
      <c r="F369" s="967">
        <f>1*(IF('Ввод данных'!A8=связи1!A150,1,0))</f>
        <v>0</v>
      </c>
      <c r="G369" s="1319">
        <f t="shared" si="39"/>
        <v>0</v>
      </c>
      <c r="H369" s="1319">
        <f>E369*F369</f>
        <v>0</v>
      </c>
      <c r="I369" s="1055"/>
      <c r="J369" s="1055"/>
      <c r="K369" s="971"/>
      <c r="L369" s="971"/>
      <c r="M369" s="971"/>
      <c r="N369" s="971"/>
      <c r="O369" s="971"/>
      <c r="P369" s="1353"/>
      <c r="Q369" s="1353"/>
      <c r="R369" s="1353"/>
      <c r="S369" s="971"/>
      <c r="T369" s="971"/>
      <c r="U369" s="1398"/>
      <c r="V369" s="971"/>
      <c r="W369" s="971"/>
      <c r="X369" s="971"/>
      <c r="Y369" s="1353"/>
      <c r="Z369" s="971"/>
      <c r="AA369" s="971"/>
      <c r="AB369" s="1355"/>
      <c r="AC369" s="1355"/>
      <c r="AD369" s="1353"/>
    </row>
    <row r="370" spans="1:30" ht="15.75" customHeight="1" outlineLevel="1">
      <c r="A370" s="1422" t="s">
        <v>3160</v>
      </c>
      <c r="B370" s="1330" t="s">
        <v>156</v>
      </c>
      <c r="C370" s="920">
        <f t="shared" si="40"/>
        <v>0.12</v>
      </c>
      <c r="D370" s="1319">
        <f t="shared" si="41"/>
        <v>0.05</v>
      </c>
      <c r="E370" s="967">
        <f>AB378</f>
        <v>0</v>
      </c>
      <c r="F370" s="967">
        <f>1*(IF('Ввод данных'!A8=связи1!A150,1,0))</f>
        <v>0</v>
      </c>
      <c r="G370" s="1319">
        <f t="shared" si="39"/>
        <v>0</v>
      </c>
      <c r="H370" s="1319">
        <f>E370*F370</f>
        <v>0</v>
      </c>
      <c r="I370" s="1055"/>
      <c r="J370" s="1055"/>
      <c r="K370" s="971"/>
      <c r="L370" s="971"/>
      <c r="M370" s="971"/>
      <c r="N370" s="971"/>
      <c r="O370" s="971"/>
      <c r="P370" s="1353"/>
      <c r="Q370" s="1353"/>
      <c r="R370" s="1353"/>
      <c r="S370" s="971"/>
      <c r="T370" s="971"/>
      <c r="U370" s="1398"/>
      <c r="V370" s="971"/>
      <c r="W370" s="971"/>
      <c r="X370" s="971"/>
      <c r="Y370" s="1353"/>
      <c r="Z370" s="971"/>
      <c r="AA370" s="971"/>
      <c r="AB370" s="1355"/>
      <c r="AC370" s="1355"/>
      <c r="AD370" s="1353"/>
    </row>
    <row r="371" spans="1:30" ht="15.75" customHeight="1" outlineLevel="1">
      <c r="A371" s="1422" t="s">
        <v>3161</v>
      </c>
      <c r="B371" s="1330" t="s">
        <v>156</v>
      </c>
      <c r="C371" s="920">
        <f t="shared" si="40"/>
        <v>0.12</v>
      </c>
      <c r="D371" s="1319">
        <f t="shared" si="41"/>
        <v>0.05</v>
      </c>
      <c r="E371" s="967">
        <f>U387</f>
        <v>0</v>
      </c>
      <c r="F371" s="967">
        <f>2*(IF('Ввод данных'!A8=связи1!A150,1,0))</f>
        <v>0</v>
      </c>
      <c r="G371" s="1319">
        <f t="shared" si="39"/>
        <v>0</v>
      </c>
      <c r="H371" s="1319"/>
      <c r="I371" s="1055"/>
      <c r="J371" s="1055"/>
      <c r="K371" s="971"/>
      <c r="L371" s="971"/>
      <c r="M371" s="971"/>
      <c r="N371" s="971"/>
      <c r="O371" s="971"/>
      <c r="P371" s="1353"/>
      <c r="Q371" s="1353"/>
      <c r="R371" s="1353"/>
      <c r="S371" s="971"/>
      <c r="T371" s="971"/>
      <c r="U371" s="1398"/>
      <c r="V371" s="971"/>
      <c r="W371" s="971"/>
      <c r="X371" s="971"/>
      <c r="Y371" s="1353"/>
      <c r="Z371" s="971"/>
      <c r="AA371" s="971"/>
      <c r="AB371" s="1355"/>
      <c r="AC371" s="1355"/>
      <c r="AD371" s="1353"/>
    </row>
    <row r="372" spans="1:30" ht="15.75" customHeight="1" outlineLevel="1">
      <c r="A372" s="1422" t="s">
        <v>3162</v>
      </c>
      <c r="B372" s="1330" t="s">
        <v>156</v>
      </c>
      <c r="C372" s="920">
        <f t="shared" si="40"/>
        <v>0.12</v>
      </c>
      <c r="D372" s="1319">
        <f t="shared" si="41"/>
        <v>0.05</v>
      </c>
      <c r="E372" s="967">
        <f>W385</f>
        <v>2</v>
      </c>
      <c r="F372" s="967">
        <f>1*(IF('Ввод данных'!A8=связи1!A150,1,0))</f>
        <v>0</v>
      </c>
      <c r="G372" s="1319">
        <f t="shared" si="39"/>
        <v>0</v>
      </c>
      <c r="H372" s="1319">
        <f>E372*F372</f>
        <v>0</v>
      </c>
      <c r="I372" s="1055"/>
      <c r="J372" s="1055"/>
      <c r="K372" s="971"/>
      <c r="L372" s="971"/>
      <c r="M372" s="971"/>
      <c r="N372" s="971"/>
      <c r="O372" s="971"/>
      <c r="P372" s="1353"/>
      <c r="Q372" s="1353"/>
      <c r="R372" s="1353"/>
      <c r="S372" s="971"/>
      <c r="T372" s="971"/>
      <c r="U372" s="1398"/>
      <c r="V372" s="971"/>
      <c r="W372" s="971"/>
      <c r="X372" s="971"/>
      <c r="Y372" s="1353"/>
      <c r="Z372" s="971"/>
      <c r="AA372" s="971"/>
      <c r="AB372" s="1355"/>
      <c r="AC372" s="1355"/>
      <c r="AD372" s="1353"/>
    </row>
    <row r="373" spans="1:30" ht="15.75" customHeight="1" outlineLevel="1">
      <c r="A373" s="1422" t="s">
        <v>3163</v>
      </c>
      <c r="B373" s="1330" t="s">
        <v>156</v>
      </c>
      <c r="C373" s="920">
        <f t="shared" si="40"/>
        <v>0.12</v>
      </c>
      <c r="D373" s="1319">
        <f t="shared" si="41"/>
        <v>0.05</v>
      </c>
      <c r="E373" s="967">
        <f>W386</f>
        <v>0</v>
      </c>
      <c r="F373" s="967">
        <f>1*(IF('Ввод данных'!A8=связи1!A150,1,0))</f>
        <v>0</v>
      </c>
      <c r="G373" s="1319">
        <f t="shared" si="39"/>
        <v>0</v>
      </c>
      <c r="H373" s="1319">
        <f>E373*F373</f>
        <v>0</v>
      </c>
      <c r="I373" s="1055"/>
      <c r="J373" s="1055"/>
      <c r="K373" s="971"/>
      <c r="L373" s="971"/>
      <c r="M373" s="971"/>
      <c r="N373" s="971"/>
      <c r="O373" s="971"/>
      <c r="P373" s="1353"/>
      <c r="Q373" s="1353"/>
      <c r="R373" s="1353"/>
      <c r="S373" s="971"/>
      <c r="T373" s="971"/>
      <c r="U373" s="1398"/>
      <c r="V373" s="971"/>
      <c r="W373" s="971"/>
      <c r="X373" s="971"/>
      <c r="Y373" s="1353"/>
      <c r="Z373" s="971"/>
      <c r="AA373" s="971"/>
      <c r="AB373" s="1355"/>
      <c r="AC373" s="1355"/>
      <c r="AD373" s="1353"/>
    </row>
    <row r="374" spans="1:30" ht="15.75" customHeight="1" outlineLevel="1">
      <c r="A374" s="1399"/>
      <c r="B374" s="1342" t="s">
        <v>120</v>
      </c>
      <c r="C374" s="1374" t="s">
        <v>853</v>
      </c>
      <c r="D374" s="1018" t="s">
        <v>1802</v>
      </c>
      <c r="E374" s="1330" t="s">
        <v>293</v>
      </c>
      <c r="F374" s="1330" t="s">
        <v>2974</v>
      </c>
      <c r="G374" s="1018">
        <f>SUM(G143:G373)</f>
        <v>0</v>
      </c>
      <c r="H374" s="1018"/>
      <c r="I374" s="1018" t="s">
        <v>2807</v>
      </c>
      <c r="J374" s="1018" t="s">
        <v>2975</v>
      </c>
      <c r="K374" s="1018" t="s">
        <v>1800</v>
      </c>
      <c r="L374" s="1018"/>
      <c r="M374" s="1018"/>
      <c r="N374" s="1018"/>
      <c r="O374" s="1280" t="s">
        <v>2976</v>
      </c>
      <c r="P374" s="1397" t="s">
        <v>2977</v>
      </c>
      <c r="Q374" s="1397" t="s">
        <v>2978</v>
      </c>
      <c r="R374" s="1397" t="s">
        <v>2979</v>
      </c>
      <c r="S374" s="1055" t="s">
        <v>2572</v>
      </c>
      <c r="T374" s="1280" t="s">
        <v>2980</v>
      </c>
      <c r="U374" s="1398">
        <f>'Ввод данных'!E77</f>
        <v>0</v>
      </c>
      <c r="V374" s="1280"/>
      <c r="W374" s="1055">
        <f>'Ввод данных'!C77</f>
        <v>0.6</v>
      </c>
      <c r="X374" s="1055">
        <v>2</v>
      </c>
      <c r="Y374" s="1346"/>
      <c r="Z374" s="1055" t="s">
        <v>3164</v>
      </c>
      <c r="AA374" s="1280"/>
      <c r="AD374" s="1401">
        <f>(AB124*Z124+AB127*Z127+AB128*Z128)*R131</f>
        <v>0</v>
      </c>
    </row>
    <row r="375" spans="1:30" s="1427" customFormat="1" ht="15.75" customHeight="1" outlineLevel="1">
      <c r="A375" s="3161" t="s">
        <v>3165</v>
      </c>
      <c r="B375" s="1423" t="s">
        <v>156</v>
      </c>
      <c r="C375" s="1266">
        <f>'Ввод данных'!C112*(IF('Ввод данных'!A8=связи1!A150,1,0))</f>
        <v>0</v>
      </c>
      <c r="D375" s="1270">
        <f>'Ввод данных'!D112</f>
        <v>2</v>
      </c>
      <c r="E375" s="1265">
        <f>($E$124+$E$125)</f>
        <v>3</v>
      </c>
      <c r="F375" s="1265">
        <f>C375*D375*E375</f>
        <v>0</v>
      </c>
      <c r="G375" s="1270">
        <f>'Ввод данных'!C1028</f>
        <v>0.6</v>
      </c>
      <c r="H375" s="1270"/>
      <c r="I375" s="1270">
        <f>IF(C375=0,0,C375/G375+1)</f>
        <v>0</v>
      </c>
      <c r="J375" s="1270">
        <f>VLOOKUP('Ввод данных'!A1033,связи1!I458:O488,7,0)</f>
        <v>0.05</v>
      </c>
      <c r="K375" s="1270">
        <f>$C$151</f>
        <v>0.12</v>
      </c>
      <c r="L375" s="1270">
        <f>CEILING(C375/G375+1,1)</f>
        <v>1</v>
      </c>
      <c r="M375" s="1270"/>
      <c r="N375" s="1270"/>
      <c r="O375" s="1280">
        <f>E375*I375*J375*K375</f>
        <v>0</v>
      </c>
      <c r="P375" s="1424">
        <f>C375</f>
        <v>0</v>
      </c>
      <c r="Q375" s="1424">
        <f>C375</f>
        <v>0</v>
      </c>
      <c r="R375" s="1424">
        <f>C375</f>
        <v>0</v>
      </c>
      <c r="S375" s="1425">
        <f>C375*D375</f>
        <v>0</v>
      </c>
      <c r="T375" s="1280">
        <f>(P375+Q375+R375)*J375*K375</f>
        <v>0</v>
      </c>
      <c r="U375" s="1398">
        <f>'Ввод данных'!E78</f>
        <v>0</v>
      </c>
      <c r="V375" s="1280">
        <f>U375*E375*J375*$K$124</f>
        <v>0</v>
      </c>
      <c r="W375" s="1055">
        <f>'Ввод данных'!C78</f>
        <v>0.8</v>
      </c>
      <c r="X375" s="1270">
        <v>2</v>
      </c>
      <c r="Y375" s="1346">
        <f>W375*$K$124*J375*X375</f>
        <v>1.2E-2</v>
      </c>
      <c r="Z375" s="1425">
        <f>'Ввод данных'!E91</f>
        <v>0</v>
      </c>
      <c r="AA375" s="1280">
        <f>Z375*E375*J375*K375*2</f>
        <v>0</v>
      </c>
      <c r="AB375" s="1426">
        <f>'Ввод данных'!C91</f>
        <v>0.8</v>
      </c>
      <c r="AC375" s="1426"/>
      <c r="AD375" s="1346">
        <f>AB375*K375*J375</f>
        <v>4.8000000000000004E-3</v>
      </c>
    </row>
    <row r="376" spans="1:30" s="1427" customFormat="1" ht="15.75" customHeight="1" outlineLevel="1">
      <c r="A376" s="3161"/>
      <c r="B376" s="1423" t="s">
        <v>156</v>
      </c>
      <c r="C376" s="1266">
        <f>'Ввод данных'!C113*(IF('Ввод данных'!A8=связи1!A150,1,0))</f>
        <v>0</v>
      </c>
      <c r="D376" s="1270">
        <f>'Ввод данных'!D113</f>
        <v>1</v>
      </c>
      <c r="E376" s="1265">
        <f t="shared" ref="E376:E384" si="42">$E$124+$E$125</f>
        <v>3</v>
      </c>
      <c r="F376" s="1265">
        <f>C376*D376*E376</f>
        <v>0</v>
      </c>
      <c r="G376" s="1270">
        <f>'Ввод данных'!C1028</f>
        <v>0.6</v>
      </c>
      <c r="H376" s="1270"/>
      <c r="I376" s="1270">
        <f>IF(C376=0,0,C376/G376+1)</f>
        <v>0</v>
      </c>
      <c r="J376" s="1270">
        <f>VLOOKUP('Ввод данных'!A1033,связи1!I458:O488,7,0)</f>
        <v>0.05</v>
      </c>
      <c r="K376" s="1270">
        <f>$C$151</f>
        <v>0.12</v>
      </c>
      <c r="L376" s="1270">
        <f>CEILING(C376/G376+1,1)</f>
        <v>1</v>
      </c>
      <c r="M376" s="1270"/>
      <c r="N376" s="1270"/>
      <c r="O376" s="1280">
        <f>E376*I376*J376*K376</f>
        <v>0</v>
      </c>
      <c r="P376" s="1424">
        <f>C376</f>
        <v>0</v>
      </c>
      <c r="Q376" s="1424">
        <f>C376</f>
        <v>0</v>
      </c>
      <c r="R376" s="1424">
        <f>C376</f>
        <v>0</v>
      </c>
      <c r="S376" s="1425">
        <f>C376*D376</f>
        <v>0</v>
      </c>
      <c r="T376" s="1280">
        <f>(P376+Q376+R376)*J376*K376</f>
        <v>0</v>
      </c>
      <c r="U376" s="1398">
        <f>'Ввод данных'!E79</f>
        <v>0</v>
      </c>
      <c r="V376" s="1280">
        <f>U376*E376*J376*$K$124</f>
        <v>0</v>
      </c>
      <c r="W376" s="1055">
        <f>'Ввод данных'!C79</f>
        <v>1</v>
      </c>
      <c r="X376" s="1270">
        <v>2</v>
      </c>
      <c r="Y376" s="1346">
        <f>W376*$K$124*J376*X376</f>
        <v>1.4999999999999999E-2</v>
      </c>
      <c r="Z376" s="1425">
        <f>'Ввод данных'!E92</f>
        <v>0</v>
      </c>
      <c r="AA376" s="1280">
        <f>Z376*E376*J376*K376</f>
        <v>0</v>
      </c>
      <c r="AB376" s="1426">
        <f>'Ввод данных'!C92</f>
        <v>0.6</v>
      </c>
      <c r="AC376" s="1426"/>
      <c r="AD376" s="1346">
        <f>AB376*K376*J376</f>
        <v>3.5999999999999999E-3</v>
      </c>
    </row>
    <row r="377" spans="1:30" s="1427" customFormat="1" ht="15.75" customHeight="1" outlineLevel="1">
      <c r="A377" s="3161"/>
      <c r="B377" s="1423" t="s">
        <v>156</v>
      </c>
      <c r="C377" s="1266">
        <f>'Ввод данных'!C114*(IF('Ввод данных'!A8=связи1!A150,1,0))</f>
        <v>0</v>
      </c>
      <c r="D377" s="1270">
        <f>'Ввод данных'!D114</f>
        <v>0</v>
      </c>
      <c r="E377" s="1265">
        <f t="shared" si="42"/>
        <v>3</v>
      </c>
      <c r="F377" s="1265">
        <f>C377*D377*E377</f>
        <v>0</v>
      </c>
      <c r="G377" s="1270">
        <f>'Ввод данных'!C1028</f>
        <v>0.6</v>
      </c>
      <c r="H377" s="1270"/>
      <c r="I377" s="1270">
        <f>IF(C377=0,0,C377/G377+1)</f>
        <v>0</v>
      </c>
      <c r="J377" s="1270">
        <f>VLOOKUP('Ввод данных'!A1033,связи1!I458:O488,7,0)</f>
        <v>0.05</v>
      </c>
      <c r="K377" s="1270">
        <f>$C$151</f>
        <v>0.12</v>
      </c>
      <c r="L377" s="1270">
        <f>CEILING(C377/G377+1,1)</f>
        <v>1</v>
      </c>
      <c r="M377" s="1270"/>
      <c r="N377" s="1270"/>
      <c r="O377" s="1280">
        <f>E377*I377*J377*K377</f>
        <v>0</v>
      </c>
      <c r="P377" s="1424">
        <f>C377</f>
        <v>0</v>
      </c>
      <c r="Q377" s="1424">
        <f>C377</f>
        <v>0</v>
      </c>
      <c r="R377" s="1424">
        <f>C377</f>
        <v>0</v>
      </c>
      <c r="S377" s="1425">
        <f>C377*D377</f>
        <v>0</v>
      </c>
      <c r="T377" s="1280">
        <f>(P377+Q377+R377)*J377*K377</f>
        <v>0</v>
      </c>
      <c r="U377" s="1398">
        <f>'Ввод данных'!E80</f>
        <v>0</v>
      </c>
      <c r="V377" s="1280">
        <f>U377*E377*J377*$K$124</f>
        <v>0</v>
      </c>
      <c r="W377" s="1055">
        <f>'Ввод данных'!C80</f>
        <v>5</v>
      </c>
      <c r="X377" s="1270">
        <v>2</v>
      </c>
      <c r="Y377" s="1346">
        <f>W377*$K$124*J377*X377</f>
        <v>7.5000000000000011E-2</v>
      </c>
      <c r="Z377" s="1425">
        <f>'Ввод данных'!E95</f>
        <v>0</v>
      </c>
      <c r="AA377" s="1280">
        <f>Z377*E377*J377*K377</f>
        <v>0</v>
      </c>
      <c r="AB377" s="1426">
        <f>'Ввод данных'!C95</f>
        <v>0.9</v>
      </c>
      <c r="AC377" s="1426"/>
      <c r="AD377" s="1346">
        <f>AB377*K377*J377</f>
        <v>5.4000000000000003E-3</v>
      </c>
    </row>
    <row r="378" spans="1:30" s="1427" customFormat="1" ht="15.75" customHeight="1" outlineLevel="1">
      <c r="A378" s="3161"/>
      <c r="B378" s="1423" t="s">
        <v>156</v>
      </c>
      <c r="C378" s="1266">
        <f>'Ввод данных'!C115*(IF('Ввод данных'!A8=связи1!A150,1,0))</f>
        <v>0</v>
      </c>
      <c r="D378" s="1270">
        <f>'Ввод данных'!D115</f>
        <v>0</v>
      </c>
      <c r="E378" s="1265">
        <f t="shared" si="42"/>
        <v>3</v>
      </c>
      <c r="F378" s="1265">
        <f>C378*D378*E378</f>
        <v>0</v>
      </c>
      <c r="G378" s="1270">
        <f>'Ввод данных'!C1028</f>
        <v>0.6</v>
      </c>
      <c r="H378" s="1270"/>
      <c r="I378" s="1270">
        <f>IF(C378=0,0,C378/G378+1)</f>
        <v>0</v>
      </c>
      <c r="J378" s="1270">
        <f>VLOOKUP('Ввод данных'!A1033,связи1!I458:O488,7,0)</f>
        <v>0.05</v>
      </c>
      <c r="K378" s="1270">
        <f>$C$151</f>
        <v>0.12</v>
      </c>
      <c r="L378" s="1270">
        <f>CEILING(C378/G378+1,1)</f>
        <v>1</v>
      </c>
      <c r="M378" s="1270"/>
      <c r="N378" s="1270"/>
      <c r="O378" s="1280">
        <f>E378*I378*J378*K378</f>
        <v>0</v>
      </c>
      <c r="P378" s="1424">
        <f>C378</f>
        <v>0</v>
      </c>
      <c r="Q378" s="1424">
        <f>C378</f>
        <v>0</v>
      </c>
      <c r="R378" s="1424">
        <f>C378</f>
        <v>0</v>
      </c>
      <c r="S378" s="1425">
        <f>C378*D378</f>
        <v>0</v>
      </c>
      <c r="T378" s="1280">
        <f>(P378+Q378+R378)*J378*K378</f>
        <v>0</v>
      </c>
      <c r="U378" s="1398">
        <f>'Ввод данных'!E81</f>
        <v>0</v>
      </c>
      <c r="V378" s="1280">
        <f>U378*E378*J378*$K$124</f>
        <v>0</v>
      </c>
      <c r="W378" s="1055">
        <f>'Ввод данных'!C81</f>
        <v>6</v>
      </c>
      <c r="X378" s="1270">
        <v>2</v>
      </c>
      <c r="Y378" s="1346">
        <f>W378*$K$124*J378*X378</f>
        <v>0.09</v>
      </c>
      <c r="Z378" s="1270"/>
      <c r="AA378" s="1280"/>
      <c r="AB378" s="1270"/>
      <c r="AC378" s="1270"/>
      <c r="AD378" s="1280"/>
    </row>
    <row r="379" spans="1:30" s="1427" customFormat="1" ht="15.75" customHeight="1" outlineLevel="1">
      <c r="A379" s="1428"/>
      <c r="B379" s="1423"/>
      <c r="C379" s="1266"/>
      <c r="D379" s="1270"/>
      <c r="E379" s="1265">
        <f t="shared" si="42"/>
        <v>3</v>
      </c>
      <c r="F379" s="1265"/>
      <c r="G379" s="1270"/>
      <c r="H379" s="1270"/>
      <c r="I379" s="1270">
        <f>CEILING(SUM(I375:I378),1)</f>
        <v>0</v>
      </c>
      <c r="J379" s="1270"/>
      <c r="K379" s="1270"/>
      <c r="L379" s="1270"/>
      <c r="M379" s="1270"/>
      <c r="N379" s="1270"/>
      <c r="O379" s="1401">
        <f>связи1!F188</f>
        <v>0.3</v>
      </c>
      <c r="P379" s="1424">
        <f>SUM(P375:P378)</f>
        <v>0</v>
      </c>
      <c r="Q379" s="1424">
        <f>SUM(Q375:Q378)</f>
        <v>0</v>
      </c>
      <c r="R379" s="1427">
        <f>SUM(R375:R378)</f>
        <v>0</v>
      </c>
      <c r="S379" s="1400">
        <f>SUM(S375:S378)</f>
        <v>0</v>
      </c>
      <c r="T379" s="1400">
        <f>O379*S379</f>
        <v>0</v>
      </c>
      <c r="U379" s="1429">
        <f>SUM(U374:U378)</f>
        <v>0</v>
      </c>
      <c r="V379" s="1280"/>
      <c r="W379" s="1270"/>
      <c r="X379" s="1270"/>
      <c r="Y379" s="1346"/>
      <c r="Z379" s="1270"/>
      <c r="AA379" s="1280">
        <f>O379</f>
        <v>0.3</v>
      </c>
      <c r="AB379" s="1270"/>
      <c r="AC379" s="1270"/>
      <c r="AD379" s="1400">
        <f>(Z375*AB375+Z376*AB376+Z377*AB377)*AA379</f>
        <v>0</v>
      </c>
    </row>
    <row r="380" spans="1:30" ht="15.75" customHeight="1" outlineLevel="1">
      <c r="A380" s="3151" t="s">
        <v>3166</v>
      </c>
      <c r="B380" s="1342" t="s">
        <v>156</v>
      </c>
      <c r="C380" s="1247">
        <f>'Ввод данных'!C116*(IF('Ввод данных'!A8=связи1!A150,1,0))</f>
        <v>0</v>
      </c>
      <c r="D380" s="1055">
        <f>'Ввод данных'!D116</f>
        <v>1</v>
      </c>
      <c r="E380" s="1265">
        <f t="shared" si="42"/>
        <v>3</v>
      </c>
      <c r="F380" s="1246">
        <f>C380*D380*E380</f>
        <v>0</v>
      </c>
      <c r="G380" s="1055">
        <f>'Ввод данных'!C1029</f>
        <v>0.6</v>
      </c>
      <c r="H380" s="1055"/>
      <c r="I380" s="1055">
        <f>IF(C380=0,0,C380/G380+1)</f>
        <v>0</v>
      </c>
      <c r="J380" s="1055">
        <f>$D$180</f>
        <v>0.05</v>
      </c>
      <c r="K380" s="1055">
        <f>$C$180</f>
        <v>0.17</v>
      </c>
      <c r="L380" s="1270">
        <f>CEILING(C380/G380+1,1)</f>
        <v>1</v>
      </c>
      <c r="M380" s="1270"/>
      <c r="N380" s="1270"/>
      <c r="O380" s="1280">
        <f>E380*I380*J380*K380</f>
        <v>0</v>
      </c>
      <c r="P380" s="1360">
        <f>C380</f>
        <v>0</v>
      </c>
      <c r="Q380" s="1360">
        <f>C380</f>
        <v>0</v>
      </c>
      <c r="R380" s="1360">
        <f>SUM(P380:Q380)</f>
        <v>0</v>
      </c>
      <c r="S380" s="1055">
        <f>C380*D380</f>
        <v>0</v>
      </c>
      <c r="T380" s="1280">
        <f>(P380+Q380+R380)*J380*K380</f>
        <v>0</v>
      </c>
      <c r="U380" s="1398">
        <f>'Ввод данных'!E80*2</f>
        <v>0</v>
      </c>
      <c r="V380" s="1280">
        <f>U380*E380*J380*$K$124</f>
        <v>0</v>
      </c>
      <c r="W380" s="1055">
        <f>'Ввод данных'!C80</f>
        <v>5</v>
      </c>
      <c r="X380" s="1055">
        <v>2</v>
      </c>
      <c r="Y380" s="1346">
        <f>W380*$K$124*J380*X380</f>
        <v>7.5000000000000011E-2</v>
      </c>
      <c r="Z380" s="1055"/>
      <c r="AA380" s="1280"/>
      <c r="AB380" s="1055"/>
      <c r="AC380" s="1055"/>
      <c r="AD380" s="1280"/>
    </row>
    <row r="381" spans="1:30" ht="15.75" customHeight="1" outlineLevel="1">
      <c r="A381" s="3151"/>
      <c r="B381" s="1342" t="s">
        <v>156</v>
      </c>
      <c r="C381" s="1247">
        <f>'Ввод данных'!C117*(IF('Ввод данных'!A8=связи1!A150,1,0))</f>
        <v>0</v>
      </c>
      <c r="D381" s="1055">
        <f>'Ввод данных'!D117</f>
        <v>0</v>
      </c>
      <c r="E381" s="1265">
        <f t="shared" si="42"/>
        <v>3</v>
      </c>
      <c r="F381" s="1246">
        <f>C381*D381*E381</f>
        <v>0</v>
      </c>
      <c r="G381" s="1055">
        <f>'Ввод данных'!C1029</f>
        <v>0.6</v>
      </c>
      <c r="H381" s="1055"/>
      <c r="I381" s="1055">
        <f>IF(C381=0,0,C381/G381+1)</f>
        <v>0</v>
      </c>
      <c r="J381" s="1055">
        <f>$D$180</f>
        <v>0.05</v>
      </c>
      <c r="K381" s="1055">
        <f>$C$180</f>
        <v>0.17</v>
      </c>
      <c r="L381" s="1270">
        <f>CEILING(C381/G381+1,1)</f>
        <v>1</v>
      </c>
      <c r="M381" s="1270"/>
      <c r="N381" s="1270"/>
      <c r="O381" s="1280">
        <f>E381*I381*J381*K381</f>
        <v>0</v>
      </c>
      <c r="P381" s="1360">
        <f>C381</f>
        <v>0</v>
      </c>
      <c r="Q381" s="1360">
        <f>C381</f>
        <v>0</v>
      </c>
      <c r="R381" s="1360">
        <f>SUM(P381:Q381)</f>
        <v>0</v>
      </c>
      <c r="S381" s="1055">
        <f>C381*D381</f>
        <v>0</v>
      </c>
      <c r="T381" s="1280">
        <f>(P381+Q381+R381)*J381*K381</f>
        <v>0</v>
      </c>
      <c r="U381" s="1398">
        <f>'Ввод данных'!E81*2</f>
        <v>0</v>
      </c>
      <c r="V381" s="1280">
        <f>U381*E381*J381*$K$124</f>
        <v>0</v>
      </c>
      <c r="W381" s="1055">
        <f>'Ввод данных'!C81</f>
        <v>6</v>
      </c>
      <c r="X381" s="1055">
        <v>2</v>
      </c>
      <c r="Y381" s="1346">
        <f>W381*$K$124*J381</f>
        <v>4.4999999999999998E-2</v>
      </c>
      <c r="Z381" s="1055"/>
      <c r="AA381" s="1280"/>
      <c r="AB381" s="1055"/>
      <c r="AC381" s="1055"/>
      <c r="AD381" s="1280"/>
    </row>
    <row r="382" spans="1:30" ht="15.75" customHeight="1" outlineLevel="1">
      <c r="A382" s="3151"/>
      <c r="B382" s="1342" t="s">
        <v>156</v>
      </c>
      <c r="C382" s="1247">
        <f>'Ввод данных'!C118*(IF('Ввод данных'!A8=связи1!A150,1,0))</f>
        <v>0</v>
      </c>
      <c r="D382" s="1055">
        <f>'Ввод данных'!D118</f>
        <v>0</v>
      </c>
      <c r="E382" s="1265">
        <f t="shared" si="42"/>
        <v>3</v>
      </c>
      <c r="F382" s="1246">
        <f>C382*D382*E382</f>
        <v>0</v>
      </c>
      <c r="G382" s="1055">
        <f>'Ввод данных'!C1029</f>
        <v>0.6</v>
      </c>
      <c r="H382" s="1055"/>
      <c r="I382" s="1055">
        <f>IF(C382=0,0,C382/G382+1)</f>
        <v>0</v>
      </c>
      <c r="J382" s="1055">
        <f>$D$180</f>
        <v>0.05</v>
      </c>
      <c r="K382" s="1055">
        <f>$C$180</f>
        <v>0.17</v>
      </c>
      <c r="L382" s="1270">
        <f>CEILING(C382/G382+1,1)</f>
        <v>1</v>
      </c>
      <c r="M382" s="1270"/>
      <c r="N382" s="1270"/>
      <c r="O382" s="1280">
        <f>E382*I382*J382*K382</f>
        <v>0</v>
      </c>
      <c r="P382" s="1360">
        <f>C382</f>
        <v>0</v>
      </c>
      <c r="Q382" s="1360">
        <f>C382</f>
        <v>0</v>
      </c>
      <c r="R382" s="1360">
        <f>SUM(P382:Q382)</f>
        <v>0</v>
      </c>
      <c r="S382" s="1055">
        <f>C382*D382</f>
        <v>0</v>
      </c>
      <c r="T382" s="1280">
        <f>(P382+Q382+R382)*J382*K382</f>
        <v>0</v>
      </c>
      <c r="U382" s="1398">
        <f>'Ввод данных'!E73*2</f>
        <v>0</v>
      </c>
      <c r="V382" s="1280">
        <f>U382*E382*J382*$K$124</f>
        <v>0</v>
      </c>
      <c r="W382" s="1055">
        <f>'Ввод данных'!C73</f>
        <v>0.8</v>
      </c>
      <c r="X382" s="1055">
        <v>2</v>
      </c>
      <c r="Y382" s="1346">
        <f>W382*$K$124*J382</f>
        <v>6.0000000000000001E-3</v>
      </c>
      <c r="Z382" s="1055"/>
      <c r="AA382" s="1280"/>
      <c r="AB382" s="1055"/>
      <c r="AC382" s="1055"/>
      <c r="AD382" s="1280"/>
    </row>
    <row r="383" spans="1:30" ht="15.75" customHeight="1" outlineLevel="1">
      <c r="A383" s="3151"/>
      <c r="B383" s="1342" t="s">
        <v>156</v>
      </c>
      <c r="C383" s="1247">
        <f>'Ввод данных'!C119*(IF('Ввод данных'!A8=связи1!A150,1,0))</f>
        <v>0</v>
      </c>
      <c r="D383" s="1055">
        <f>'Ввод данных'!D119</f>
        <v>0</v>
      </c>
      <c r="E383" s="1265">
        <f t="shared" si="42"/>
        <v>3</v>
      </c>
      <c r="F383" s="1246">
        <f>C383*D383*E383</f>
        <v>0</v>
      </c>
      <c r="G383" s="1055">
        <f>'Ввод данных'!C1029</f>
        <v>0.6</v>
      </c>
      <c r="H383" s="1055"/>
      <c r="I383" s="1055">
        <f>IF(C383=0,0,C383/G383+1)</f>
        <v>0</v>
      </c>
      <c r="J383" s="1055">
        <f>$D$180</f>
        <v>0.05</v>
      </c>
      <c r="K383" s="1055">
        <f>$C$180</f>
        <v>0.17</v>
      </c>
      <c r="L383" s="1270">
        <f>CEILING(C383/G383+1,1)</f>
        <v>1</v>
      </c>
      <c r="M383" s="1270"/>
      <c r="N383" s="1270"/>
      <c r="O383" s="1280">
        <f>E383*I383*J383*K383</f>
        <v>0</v>
      </c>
      <c r="P383" s="1360">
        <f>C383</f>
        <v>0</v>
      </c>
      <c r="Q383" s="1360">
        <f>C383</f>
        <v>0</v>
      </c>
      <c r="R383" s="1360">
        <f>SUM(P383:Q383)</f>
        <v>0</v>
      </c>
      <c r="S383" s="1055">
        <f>C383*D383</f>
        <v>0</v>
      </c>
      <c r="T383" s="1280">
        <f>(P383+Q383+R383)*J383*K383</f>
        <v>0</v>
      </c>
      <c r="U383" s="1398">
        <f>'Ввод данных'!E82*2</f>
        <v>0</v>
      </c>
      <c r="V383" s="1280">
        <f>U383*E383*J383*$K$124</f>
        <v>0</v>
      </c>
      <c r="W383" s="1055">
        <f>'Ввод данных'!C82</f>
        <v>0.8</v>
      </c>
      <c r="X383" s="1055">
        <v>2</v>
      </c>
      <c r="Y383" s="1346">
        <f>W383*$K$124*J383</f>
        <v>6.0000000000000001E-3</v>
      </c>
      <c r="Z383" s="1055"/>
      <c r="AA383" s="1280"/>
      <c r="AB383" s="1055"/>
      <c r="AC383" s="1055"/>
      <c r="AD383" s="1280"/>
    </row>
    <row r="384" spans="1:30" ht="15.75" customHeight="1" outlineLevel="1">
      <c r="A384" s="1430"/>
      <c r="B384" s="1342"/>
      <c r="C384" s="1247"/>
      <c r="D384" s="1055"/>
      <c r="E384" s="1265">
        <f t="shared" si="42"/>
        <v>3</v>
      </c>
      <c r="F384" s="1246"/>
      <c r="G384" s="1055"/>
      <c r="H384" s="1055"/>
      <c r="I384" s="1055">
        <f>CEILING(SUM(I380:I383),1)</f>
        <v>0</v>
      </c>
      <c r="J384" s="1055"/>
      <c r="K384" s="1055"/>
      <c r="L384" s="1055"/>
      <c r="M384" s="1055"/>
      <c r="N384" s="1055"/>
      <c r="O384" s="1401">
        <f>связи1!F189</f>
        <v>0.2</v>
      </c>
      <c r="P384" s="1360">
        <f>SUM(P380:P383)</f>
        <v>0</v>
      </c>
      <c r="Q384" s="1360">
        <f>SUM(Q380:Q383)</f>
        <v>0</v>
      </c>
      <c r="R384" s="1197">
        <f>SUM(P384:Q384)</f>
        <v>0</v>
      </c>
      <c r="S384" s="1400">
        <f>SUM(S380:S383)</f>
        <v>0</v>
      </c>
      <c r="T384" s="1400">
        <f>O384*S384</f>
        <v>0</v>
      </c>
      <c r="U384" s="1398"/>
      <c r="V384" s="1280"/>
      <c r="W384" s="1055"/>
      <c r="X384" s="1055"/>
      <c r="Y384" s="1346"/>
      <c r="Z384" s="1055"/>
      <c r="AA384" s="1280"/>
      <c r="AB384" s="1055"/>
      <c r="AC384" s="1055"/>
      <c r="AD384" s="1280"/>
    </row>
    <row r="385" spans="1:30" s="1427" customFormat="1" ht="15.75" customHeight="1" outlineLevel="1">
      <c r="A385" s="3161" t="s">
        <v>3167</v>
      </c>
      <c r="B385" s="1423"/>
      <c r="C385" s="1266">
        <f>'Ввод данных'!C120*(IF('Ввод данных'!A8=связи1!A150,1,0))</f>
        <v>0</v>
      </c>
      <c r="D385" s="1270">
        <f>'Ввод данных'!D120</f>
        <v>0</v>
      </c>
      <c r="E385" s="1265"/>
      <c r="F385" s="1265">
        <f>C385*D385*E385</f>
        <v>0</v>
      </c>
      <c r="G385" s="1270">
        <f>'Ввод данных'!C1028</f>
        <v>0.6</v>
      </c>
      <c r="H385" s="1270"/>
      <c r="I385" s="1270">
        <f>IF(C385=0,0,C385/G385+1)</f>
        <v>0</v>
      </c>
      <c r="J385" s="1270">
        <f>$J$375</f>
        <v>0.05</v>
      </c>
      <c r="K385" s="1270">
        <f>$C$151</f>
        <v>0.12</v>
      </c>
      <c r="L385" s="1270"/>
      <c r="M385" s="1270"/>
      <c r="N385" s="1270"/>
      <c r="O385" s="1280">
        <f>E385*I385*J385*K385</f>
        <v>0</v>
      </c>
      <c r="P385" s="1424">
        <f>C385</f>
        <v>0</v>
      </c>
      <c r="Q385" s="1424">
        <f>C385</f>
        <v>0</v>
      </c>
      <c r="R385" s="1424">
        <f>C385</f>
        <v>0</v>
      </c>
      <c r="S385" s="1425">
        <f>C385*D385</f>
        <v>0</v>
      </c>
      <c r="T385" s="1280">
        <f>(P385+Q385+R385)*J385*K385</f>
        <v>0</v>
      </c>
      <c r="U385" s="1429">
        <f>'Ввод данных'!E74*2</f>
        <v>0</v>
      </c>
      <c r="V385" s="1280">
        <f>U385*E385*J385*$K$124</f>
        <v>0</v>
      </c>
      <c r="W385" s="1270">
        <f>'Ввод данных'!C74</f>
        <v>2</v>
      </c>
      <c r="X385" s="1270">
        <v>2</v>
      </c>
      <c r="Y385" s="1346">
        <f>W385*$K$124*J385*X385</f>
        <v>0.03</v>
      </c>
      <c r="Z385" s="1425">
        <f>'Ввод данных'!E93</f>
        <v>0</v>
      </c>
      <c r="AA385" s="1280">
        <f>Z385*E385*J385*K385</f>
        <v>0</v>
      </c>
      <c r="AB385" s="1426">
        <f>'Ввод данных'!C93</f>
        <v>2</v>
      </c>
      <c r="AC385" s="1426"/>
      <c r="AD385" s="1346"/>
    </row>
    <row r="386" spans="1:30" s="1427" customFormat="1" ht="15.75" customHeight="1" outlineLevel="1">
      <c r="A386" s="3161"/>
      <c r="B386" s="1423"/>
      <c r="C386" s="1266">
        <f>'Ввод данных'!C121*(IF('Ввод данных'!A8=связи1!A150,1,0))</f>
        <v>0</v>
      </c>
      <c r="D386" s="1270">
        <f>'Ввод данных'!D121</f>
        <v>0</v>
      </c>
      <c r="E386" s="1265">
        <f t="shared" ref="E386:E393" si="43">$E$124+$E$125</f>
        <v>3</v>
      </c>
      <c r="F386" s="1265">
        <f>C386*D386*E386</f>
        <v>0</v>
      </c>
      <c r="G386" s="1270">
        <f>'Ввод данных'!C1028</f>
        <v>0.6</v>
      </c>
      <c r="H386" s="1270"/>
      <c r="I386" s="1270">
        <f>IF(C386=0,0,C386/G386+1)</f>
        <v>0</v>
      </c>
      <c r="J386" s="1270">
        <f>$J$375</f>
        <v>0.05</v>
      </c>
      <c r="K386" s="1270">
        <f>$C$151</f>
        <v>0.12</v>
      </c>
      <c r="L386" s="1270"/>
      <c r="M386" s="1270"/>
      <c r="N386" s="1270"/>
      <c r="O386" s="1280">
        <f>E386*I386*J386*K386</f>
        <v>0</v>
      </c>
      <c r="P386" s="1424">
        <f>C386</f>
        <v>0</v>
      </c>
      <c r="Q386" s="1424">
        <f>C386</f>
        <v>0</v>
      </c>
      <c r="R386" s="1424">
        <f>C386</f>
        <v>0</v>
      </c>
      <c r="S386" s="1425">
        <f>C386*D386</f>
        <v>0</v>
      </c>
      <c r="T386" s="1280">
        <f>(P386+Q386+R386)*J386*K386</f>
        <v>0</v>
      </c>
      <c r="U386" s="1429">
        <f>'Ввод данных'!E75*2</f>
        <v>0</v>
      </c>
      <c r="V386" s="1280">
        <f>U386*E386*J386*$K$124</f>
        <v>0</v>
      </c>
      <c r="W386" s="1270">
        <f>'Ввод данных'!C75</f>
        <v>0</v>
      </c>
      <c r="X386" s="1270">
        <v>2</v>
      </c>
      <c r="Y386" s="1346">
        <f>W386*$K$124*J386*X386</f>
        <v>0</v>
      </c>
      <c r="Z386" s="1425">
        <f>'Ввод данных'!E97</f>
        <v>0</v>
      </c>
      <c r="AA386" s="1280">
        <f>Z386*E386*J386*K386</f>
        <v>0</v>
      </c>
      <c r="AB386" s="1426">
        <f>'Ввод данных'!C97</f>
        <v>1.4</v>
      </c>
      <c r="AC386" s="1426"/>
      <c r="AD386" s="1346"/>
    </row>
    <row r="387" spans="1:30" s="1427" customFormat="1" ht="15.75" customHeight="1" outlineLevel="1">
      <c r="A387" s="3161"/>
      <c r="B387" s="1423"/>
      <c r="C387" s="1266">
        <f>'Ввод данных'!C122*(IF('Ввод данных'!A8=связи1!A150,1,0))</f>
        <v>0</v>
      </c>
      <c r="D387" s="1270">
        <f>'Ввод данных'!D122</f>
        <v>0</v>
      </c>
      <c r="E387" s="1265">
        <f t="shared" si="43"/>
        <v>3</v>
      </c>
      <c r="F387" s="1265">
        <f>C387*D387*E387</f>
        <v>0</v>
      </c>
      <c r="G387" s="1270">
        <f>'Ввод данных'!C1028</f>
        <v>0.6</v>
      </c>
      <c r="H387" s="1270"/>
      <c r="I387" s="1270">
        <f>IF(C387=0,0,C387/G387+1)</f>
        <v>0</v>
      </c>
      <c r="J387" s="1270">
        <f>$J$375</f>
        <v>0.05</v>
      </c>
      <c r="K387" s="1270">
        <f>$C$151</f>
        <v>0.12</v>
      </c>
      <c r="L387" s="1270"/>
      <c r="M387" s="1270"/>
      <c r="N387" s="1270"/>
      <c r="O387" s="1280">
        <f>E387*I387*J387*K387</f>
        <v>0</v>
      </c>
      <c r="P387" s="1424">
        <f>C387</f>
        <v>0</v>
      </c>
      <c r="Q387" s="1424">
        <f>C387</f>
        <v>0</v>
      </c>
      <c r="R387" s="1424">
        <f>C387</f>
        <v>0</v>
      </c>
      <c r="S387" s="1425">
        <f>C387*D387</f>
        <v>0</v>
      </c>
      <c r="T387" s="1280">
        <f>(P387+Q387+R387)*J387*K387</f>
        <v>0</v>
      </c>
      <c r="U387" s="1429">
        <f>SUM(U385:U386)</f>
        <v>0</v>
      </c>
      <c r="V387" s="1280"/>
      <c r="W387" s="1270"/>
      <c r="X387" s="1270"/>
      <c r="Y387" s="1346"/>
      <c r="Z387" s="1270"/>
      <c r="AA387" s="1280"/>
      <c r="AB387" s="1270"/>
      <c r="AC387" s="1270"/>
      <c r="AD387" s="1280"/>
    </row>
    <row r="388" spans="1:30" s="1427" customFormat="1" ht="15.75" customHeight="1" outlineLevel="1">
      <c r="A388" s="3161"/>
      <c r="B388" s="1423"/>
      <c r="C388" s="1266">
        <f>'Ввод данных'!C123*(IF('Ввод данных'!A8=связи1!A150,1,0))</f>
        <v>0</v>
      </c>
      <c r="D388" s="1270">
        <f>'Ввод данных'!D123</f>
        <v>0</v>
      </c>
      <c r="E388" s="1265">
        <f t="shared" si="43"/>
        <v>3</v>
      </c>
      <c r="F388" s="1265">
        <f>C388*D388*E388</f>
        <v>0</v>
      </c>
      <c r="G388" s="1270">
        <f>'Ввод данных'!C1028</f>
        <v>0.6</v>
      </c>
      <c r="H388" s="1270"/>
      <c r="I388" s="1270">
        <f>IF(C388=0,0,C388/G388+1)</f>
        <v>0</v>
      </c>
      <c r="J388" s="1270">
        <f>$J$375</f>
        <v>0.05</v>
      </c>
      <c r="K388" s="1270">
        <f>$C$151</f>
        <v>0.12</v>
      </c>
      <c r="L388" s="1270"/>
      <c r="M388" s="1270"/>
      <c r="N388" s="1270"/>
      <c r="O388" s="1280">
        <f>E388*I388*J388*K388</f>
        <v>0</v>
      </c>
      <c r="P388" s="1424">
        <f>C388</f>
        <v>0</v>
      </c>
      <c r="Q388" s="1424">
        <f>C388</f>
        <v>0</v>
      </c>
      <c r="R388" s="1424">
        <f>C388</f>
        <v>0</v>
      </c>
      <c r="S388" s="1425">
        <f>C388*D388</f>
        <v>0</v>
      </c>
      <c r="T388" s="1280">
        <f>(P388+Q388+R388)*J388*K388</f>
        <v>0</v>
      </c>
      <c r="U388" s="1429"/>
      <c r="V388" s="1280"/>
      <c r="W388" s="1270"/>
      <c r="X388" s="1270"/>
      <c r="Y388" s="1346"/>
      <c r="Z388" s="1270"/>
      <c r="AA388" s="1280"/>
      <c r="AB388" s="1270"/>
      <c r="AC388" s="1270"/>
      <c r="AD388" s="1280"/>
    </row>
    <row r="389" spans="1:30" s="1427" customFormat="1" ht="15.75" customHeight="1" outlineLevel="1">
      <c r="A389" s="1428"/>
      <c r="B389" s="1423"/>
      <c r="C389" s="1266"/>
      <c r="D389" s="1270"/>
      <c r="E389" s="1265">
        <f t="shared" si="43"/>
        <v>3</v>
      </c>
      <c r="F389" s="1265"/>
      <c r="G389" s="1270"/>
      <c r="H389" s="1270"/>
      <c r="I389" s="1270">
        <f>CEILING(SUM(I385:I388),1)</f>
        <v>0</v>
      </c>
      <c r="J389" s="1270"/>
      <c r="K389" s="1270"/>
      <c r="L389" s="1270"/>
      <c r="M389" s="1270"/>
      <c r="N389" s="1270"/>
      <c r="O389" s="1401">
        <f>связи1!F188</f>
        <v>0.3</v>
      </c>
      <c r="P389" s="1424">
        <f>SUM(P385:P388)</f>
        <v>0</v>
      </c>
      <c r="Q389" s="1424">
        <f>SUM(Q385:Q388)</f>
        <v>0</v>
      </c>
      <c r="R389" s="1427">
        <f>SUM(R385:R388)</f>
        <v>0</v>
      </c>
      <c r="S389" s="1400">
        <f>SUM(S385:S388)</f>
        <v>0</v>
      </c>
      <c r="T389" s="1400">
        <f>O389*S389</f>
        <v>0</v>
      </c>
      <c r="U389" s="1429"/>
      <c r="V389" s="1280"/>
      <c r="W389" s="1270"/>
      <c r="X389" s="1270"/>
      <c r="Y389" s="1346"/>
      <c r="Z389" s="1270"/>
      <c r="AA389" s="1280"/>
      <c r="AB389" s="1270"/>
      <c r="AC389" s="1270"/>
      <c r="AD389" s="1400">
        <f>(Z385*AB385+Z386*AB386)*AA379</f>
        <v>0</v>
      </c>
    </row>
    <row r="390" spans="1:30" ht="15.75" customHeight="1" outlineLevel="1">
      <c r="A390" s="3151" t="s">
        <v>3168</v>
      </c>
      <c r="B390" s="1342"/>
      <c r="C390" s="1247">
        <f>'Ввод данных'!C124*(IF('Ввод данных'!A8=связи1!A150,1,0))</f>
        <v>0</v>
      </c>
      <c r="D390" s="1055">
        <f>'Ввод данных'!D124</f>
        <v>2</v>
      </c>
      <c r="E390" s="1265">
        <f t="shared" si="43"/>
        <v>3</v>
      </c>
      <c r="F390" s="1246">
        <f>C390*D390*E390</f>
        <v>0</v>
      </c>
      <c r="G390" s="1055">
        <f>'Ввод данных'!C1029</f>
        <v>0.6</v>
      </c>
      <c r="H390" s="1055"/>
      <c r="I390" s="1055">
        <f>IF(C390=0,0,C390/G390+1)</f>
        <v>0</v>
      </c>
      <c r="J390" s="1055">
        <f>$D$180</f>
        <v>0.05</v>
      </c>
      <c r="K390" s="1055">
        <f>$C$180</f>
        <v>0.17</v>
      </c>
      <c r="L390" s="1055"/>
      <c r="M390" s="1055"/>
      <c r="N390" s="1055"/>
      <c r="O390" s="1280">
        <f>E390*I390*J390*K390</f>
        <v>0</v>
      </c>
      <c r="P390" s="1360">
        <f>C390</f>
        <v>0</v>
      </c>
      <c r="Q390" s="1360">
        <f>C390</f>
        <v>0</v>
      </c>
      <c r="R390" s="1360"/>
      <c r="S390" s="1055">
        <f>C390*D390</f>
        <v>0</v>
      </c>
      <c r="T390" s="1280">
        <f>(P390+Q390+R390)*J390*K390</f>
        <v>0</v>
      </c>
      <c r="U390" s="1398"/>
      <c r="V390" s="1280"/>
      <c r="W390" s="1055"/>
      <c r="X390" s="1055"/>
      <c r="Y390" s="1346"/>
      <c r="Z390" s="1055"/>
      <c r="AA390" s="1280"/>
      <c r="AB390" s="1055"/>
      <c r="AC390" s="1055"/>
      <c r="AD390" s="1280"/>
    </row>
    <row r="391" spans="1:30" ht="15.75" customHeight="1" outlineLevel="1">
      <c r="A391" s="3151"/>
      <c r="B391" s="1342"/>
      <c r="C391" s="1247">
        <f>'Ввод данных'!C125*(IF('Ввод данных'!A8=связи1!A150,1,0))</f>
        <v>0</v>
      </c>
      <c r="D391" s="1055">
        <f>'Ввод данных'!D125</f>
        <v>0</v>
      </c>
      <c r="E391" s="1265">
        <f t="shared" si="43"/>
        <v>3</v>
      </c>
      <c r="F391" s="1246">
        <f>C391*D391*E391</f>
        <v>0</v>
      </c>
      <c r="G391" s="1055">
        <f>'Ввод данных'!C1029</f>
        <v>0.6</v>
      </c>
      <c r="H391" s="1055"/>
      <c r="I391" s="1055">
        <f>IF(C391=0,0,C391/G391+1)</f>
        <v>0</v>
      </c>
      <c r="J391" s="1055">
        <f>$D$180</f>
        <v>0.05</v>
      </c>
      <c r="K391" s="1055">
        <f>$C$180</f>
        <v>0.17</v>
      </c>
      <c r="L391" s="1055"/>
      <c r="M391" s="1055"/>
      <c r="N391" s="1055"/>
      <c r="O391" s="1280">
        <f>E391*I391*J391*K391</f>
        <v>0</v>
      </c>
      <c r="P391" s="1360">
        <f>C391</f>
        <v>0</v>
      </c>
      <c r="Q391" s="1360">
        <f>C391</f>
        <v>0</v>
      </c>
      <c r="R391" s="1360"/>
      <c r="S391" s="1055">
        <f>C391*D391</f>
        <v>0</v>
      </c>
      <c r="T391" s="1280">
        <f>(P391+Q391+R391)*J391*K391</f>
        <v>0</v>
      </c>
      <c r="U391" s="1398"/>
      <c r="V391" s="1280"/>
      <c r="W391" s="1055"/>
      <c r="X391" s="1055"/>
      <c r="Y391" s="1346"/>
      <c r="Z391" s="1055"/>
      <c r="AA391" s="1280"/>
      <c r="AB391" s="1055"/>
      <c r="AC391" s="1055"/>
      <c r="AD391" s="1280"/>
    </row>
    <row r="392" spans="1:30" ht="15.75" customHeight="1" outlineLevel="1">
      <c r="A392" s="3151"/>
      <c r="B392" s="1342"/>
      <c r="C392" s="1247">
        <f>'Ввод данных'!C126*(IF('Ввод данных'!A8=связи1!A150,1,0))</f>
        <v>0</v>
      </c>
      <c r="D392" s="1055">
        <f>'Ввод данных'!D126</f>
        <v>0</v>
      </c>
      <c r="E392" s="1265">
        <f t="shared" si="43"/>
        <v>3</v>
      </c>
      <c r="F392" s="1246">
        <f>C392*D392*E392</f>
        <v>0</v>
      </c>
      <c r="G392" s="1055">
        <f>'Ввод данных'!C1029</f>
        <v>0.6</v>
      </c>
      <c r="H392" s="1055"/>
      <c r="I392" s="1055">
        <f>IF(C392=0,0,C392/G392+1)</f>
        <v>0</v>
      </c>
      <c r="J392" s="1055">
        <f>$D$180</f>
        <v>0.05</v>
      </c>
      <c r="K392" s="1055">
        <f>$C$180</f>
        <v>0.17</v>
      </c>
      <c r="L392" s="1055"/>
      <c r="M392" s="1055"/>
      <c r="N392" s="1055"/>
      <c r="O392" s="1280">
        <f>E392*I392*J392*K392</f>
        <v>0</v>
      </c>
      <c r="P392" s="1360">
        <f>C392</f>
        <v>0</v>
      </c>
      <c r="Q392" s="1360">
        <f>C392</f>
        <v>0</v>
      </c>
      <c r="R392" s="1360"/>
      <c r="S392" s="1055">
        <f>C392*D392</f>
        <v>0</v>
      </c>
      <c r="T392" s="1280">
        <f>(P392+Q392+R392)*J392*K392</f>
        <v>0</v>
      </c>
      <c r="U392" s="1398"/>
      <c r="V392" s="1280"/>
      <c r="W392" s="1055"/>
      <c r="X392" s="1055"/>
      <c r="Y392" s="1346"/>
      <c r="Z392" s="1055"/>
      <c r="AA392" s="1280"/>
      <c r="AB392" s="1055"/>
      <c r="AC392" s="1055"/>
      <c r="AD392" s="1280"/>
    </row>
    <row r="393" spans="1:30" ht="15.75" customHeight="1" outlineLevel="1">
      <c r="A393" s="3151"/>
      <c r="B393" s="1342"/>
      <c r="C393" s="1247">
        <f>'Ввод данных'!C127*(IF('Ввод данных'!A8=связи1!A150,1,0))</f>
        <v>0</v>
      </c>
      <c r="D393" s="1055">
        <f>'Ввод данных'!D127</f>
        <v>0</v>
      </c>
      <c r="E393" s="1265">
        <f t="shared" si="43"/>
        <v>3</v>
      </c>
      <c r="F393" s="1246">
        <f>C393*D393*E393</f>
        <v>0</v>
      </c>
      <c r="G393" s="1055">
        <f>'Ввод данных'!C1029</f>
        <v>0.6</v>
      </c>
      <c r="H393" s="1055"/>
      <c r="I393" s="1055">
        <f>IF(C393=0,0,C393/G393+1)</f>
        <v>0</v>
      </c>
      <c r="J393" s="1055">
        <f>$D$180</f>
        <v>0.05</v>
      </c>
      <c r="K393" s="1055">
        <f>$C$180</f>
        <v>0.17</v>
      </c>
      <c r="L393" s="1055"/>
      <c r="M393" s="1055"/>
      <c r="N393" s="1055"/>
      <c r="O393" s="1280">
        <f>E393*I393*J393*K393</f>
        <v>0</v>
      </c>
      <c r="P393" s="1360">
        <f>C393</f>
        <v>0</v>
      </c>
      <c r="Q393" s="1360">
        <f>C393</f>
        <v>0</v>
      </c>
      <c r="R393" s="1360"/>
      <c r="S393" s="1055">
        <f>C393*D393</f>
        <v>0</v>
      </c>
      <c r="T393" s="1280">
        <f>(P393+Q393+R393)*J393*K393</f>
        <v>0</v>
      </c>
      <c r="U393" s="1398"/>
      <c r="V393" s="1280"/>
      <c r="W393" s="1055"/>
      <c r="X393" s="1055"/>
      <c r="Y393" s="1346"/>
      <c r="Z393" s="1055"/>
      <c r="AA393" s="1280"/>
      <c r="AB393" s="1055"/>
      <c r="AC393" s="1055"/>
      <c r="AD393" s="1280"/>
    </row>
    <row r="394" spans="1:30" ht="15.75" customHeight="1" outlineLevel="1">
      <c r="A394" s="1431"/>
      <c r="B394" s="1342"/>
      <c r="C394" s="1247"/>
      <c r="D394" s="1055"/>
      <c r="E394" s="1246"/>
      <c r="F394" s="1246"/>
      <c r="G394" s="1055"/>
      <c r="H394" s="1055"/>
      <c r="I394" s="1055">
        <f>CEILING(SUM(I390:I393),1)</f>
        <v>0</v>
      </c>
      <c r="J394" s="1055"/>
      <c r="K394" s="1055"/>
      <c r="L394" s="1055"/>
      <c r="M394" s="1055"/>
      <c r="N394" s="1055"/>
      <c r="O394" s="1401">
        <f>связи1!F189</f>
        <v>0.2</v>
      </c>
      <c r="P394" s="1360">
        <f>SUM(P390:P393)</f>
        <v>0</v>
      </c>
      <c r="Q394" s="1360">
        <f>SUM(Q390:Q393)</f>
        <v>0</v>
      </c>
      <c r="S394" s="1400">
        <f>SUM(S390:S393)</f>
        <v>0</v>
      </c>
      <c r="T394" s="1400">
        <f>O394*S394</f>
        <v>0</v>
      </c>
      <c r="U394" s="1398"/>
      <c r="V394" s="1280"/>
      <c r="W394" s="1055"/>
      <c r="X394" s="1055"/>
      <c r="Y394" s="1346"/>
      <c r="Z394" s="1055"/>
      <c r="AA394" s="1280"/>
      <c r="AB394" s="1055"/>
      <c r="AC394" s="1055"/>
      <c r="AD394" s="1280"/>
    </row>
    <row r="395" spans="1:30" s="1427" customFormat="1" ht="15.75" customHeight="1" outlineLevel="1">
      <c r="A395" s="1432" t="s">
        <v>3169</v>
      </c>
      <c r="B395" s="1423"/>
      <c r="C395" s="1266">
        <f>'Ввод данных'!C427*VLOOKUP('Ввод данных'!F458,связи1!A2:B3,2,0)</f>
        <v>0</v>
      </c>
      <c r="D395" s="1270"/>
      <c r="E395" s="1265">
        <f>C1241</f>
        <v>3.2</v>
      </c>
      <c r="F395" s="1265">
        <f>C395*E395</f>
        <v>0</v>
      </c>
      <c r="G395" s="1270">
        <f>G124</f>
        <v>0.6</v>
      </c>
      <c r="H395" s="1270"/>
      <c r="I395" s="1270">
        <f>IF(C395=0,0,C395/G395+1)</f>
        <v>0</v>
      </c>
      <c r="J395" s="1270">
        <f t="shared" ref="J395:J413" si="44">$D$143</f>
        <v>0.05</v>
      </c>
      <c r="K395" s="1270">
        <f t="shared" ref="K395:K413" si="45">$C$143</f>
        <v>0.15</v>
      </c>
      <c r="L395" s="1270"/>
      <c r="M395" s="1270"/>
      <c r="N395" s="1270"/>
      <c r="O395" s="1280">
        <f>E395*I395*J395*K395</f>
        <v>0</v>
      </c>
      <c r="P395" s="1424">
        <f>C395</f>
        <v>0</v>
      </c>
      <c r="Q395" s="1424">
        <f>C395</f>
        <v>0</v>
      </c>
      <c r="R395" s="1424">
        <f>C395</f>
        <v>0</v>
      </c>
      <c r="S395" s="1425">
        <f>C395</f>
        <v>0</v>
      </c>
      <c r="T395" s="1280">
        <f>(P395+Q395+R395)*J395*K395</f>
        <v>0</v>
      </c>
      <c r="U395" s="1429"/>
      <c r="V395" s="1280"/>
      <c r="W395" s="1270"/>
      <c r="X395" s="1270"/>
      <c r="Y395" s="1346"/>
      <c r="Z395" s="1270"/>
      <c r="AA395" s="1280"/>
      <c r="AB395" s="1270"/>
      <c r="AC395" s="1270"/>
      <c r="AD395" s="1280"/>
    </row>
    <row r="396" spans="1:30" s="1427" customFormat="1" ht="15.75" customHeight="1" outlineLevel="1">
      <c r="A396" s="1432" t="s">
        <v>3170</v>
      </c>
      <c r="B396" s="1423"/>
      <c r="C396" s="1266">
        <f>'Ввод данных'!C428*VLOOKUP('Ввод данных'!F458,связи1!A2:B3,2,0)</f>
        <v>0</v>
      </c>
      <c r="D396" s="1270"/>
      <c r="E396" s="1265">
        <f>C1241</f>
        <v>3.2</v>
      </c>
      <c r="F396" s="1265">
        <f>C396*E396</f>
        <v>0</v>
      </c>
      <c r="G396" s="1270">
        <f>G124</f>
        <v>0.6</v>
      </c>
      <c r="H396" s="1270"/>
      <c r="I396" s="1270">
        <f>IF(C396=0,0,C396/G396+1)</f>
        <v>0</v>
      </c>
      <c r="J396" s="1270">
        <f t="shared" si="44"/>
        <v>0.05</v>
      </c>
      <c r="K396" s="1270">
        <f t="shared" si="45"/>
        <v>0.15</v>
      </c>
      <c r="L396" s="1270"/>
      <c r="M396" s="1270"/>
      <c r="N396" s="1270"/>
      <c r="O396" s="1280">
        <f>E396*I396*J396*K396</f>
        <v>0</v>
      </c>
      <c r="P396" s="1424">
        <f>C396</f>
        <v>0</v>
      </c>
      <c r="Q396" s="1424">
        <f>C396</f>
        <v>0</v>
      </c>
      <c r="R396" s="1424">
        <f>C396</f>
        <v>0</v>
      </c>
      <c r="S396" s="1425">
        <f>C396</f>
        <v>0</v>
      </c>
      <c r="T396" s="1280">
        <f>(P396+Q396+R396)*J396*K396</f>
        <v>0</v>
      </c>
      <c r="U396" s="1429"/>
      <c r="V396" s="1280"/>
      <c r="W396" s="1270"/>
      <c r="X396" s="1270"/>
      <c r="Y396" s="1346"/>
      <c r="Z396" s="1270"/>
      <c r="AA396" s="1280"/>
      <c r="AB396" s="1270"/>
      <c r="AC396" s="1270"/>
      <c r="AD396" s="1280"/>
    </row>
    <row r="397" spans="1:30" s="1427" customFormat="1" ht="15.75" customHeight="1" outlineLevel="1">
      <c r="A397" s="1432" t="s">
        <v>3171</v>
      </c>
      <c r="B397" s="1423"/>
      <c r="C397" s="1266">
        <f>C1239*VLOOKUP('Ввод данных'!F458,связи1!A2:B3,2,0)</f>
        <v>0</v>
      </c>
      <c r="D397" s="1270"/>
      <c r="E397" s="1265">
        <f>C1241</f>
        <v>3.2</v>
      </c>
      <c r="F397" s="1265">
        <f>C397*E397</f>
        <v>0</v>
      </c>
      <c r="G397" s="1270">
        <f>G124</f>
        <v>0.6</v>
      </c>
      <c r="H397" s="1270"/>
      <c r="I397" s="1270">
        <f>IF(C397=0,0,C397/G397+1)</f>
        <v>0</v>
      </c>
      <c r="J397" s="1270">
        <f t="shared" si="44"/>
        <v>0.05</v>
      </c>
      <c r="K397" s="1270">
        <f t="shared" si="45"/>
        <v>0.15</v>
      </c>
      <c r="L397" s="1270"/>
      <c r="M397" s="1270"/>
      <c r="N397" s="1270"/>
      <c r="O397" s="1280">
        <f>E397*I397*J397*K397</f>
        <v>0</v>
      </c>
      <c r="P397" s="1424">
        <f>C397</f>
        <v>0</v>
      </c>
      <c r="Q397" s="1424">
        <f>C397</f>
        <v>0</v>
      </c>
      <c r="R397" s="1424">
        <f>C397</f>
        <v>0</v>
      </c>
      <c r="S397" s="1425">
        <f>C397</f>
        <v>0</v>
      </c>
      <c r="T397" s="1280">
        <f>(P397+Q397+R397)*J397*K397</f>
        <v>0</v>
      </c>
      <c r="U397" s="1429"/>
      <c r="V397" s="1280"/>
      <c r="W397" s="1270"/>
      <c r="X397" s="1270"/>
      <c r="Y397" s="1346"/>
      <c r="Z397" s="1270"/>
      <c r="AA397" s="1280"/>
      <c r="AB397" s="1270"/>
      <c r="AC397" s="1270"/>
      <c r="AD397" s="1280"/>
    </row>
    <row r="398" spans="1:30" s="1427" customFormat="1" ht="15.75" customHeight="1" outlineLevel="1">
      <c r="A398" s="1432"/>
      <c r="B398" s="1433">
        <f>связи1!F187</f>
        <v>0.4</v>
      </c>
      <c r="C398" s="1434">
        <f>SUM(C395:C397)</f>
        <v>0</v>
      </c>
      <c r="D398" s="1400">
        <f>B398*C398</f>
        <v>0</v>
      </c>
      <c r="E398" s="1265"/>
      <c r="F398" s="1265"/>
      <c r="G398" s="1270"/>
      <c r="H398" s="1270"/>
      <c r="I398" s="1270"/>
      <c r="J398" s="1270">
        <f t="shared" si="44"/>
        <v>0.05</v>
      </c>
      <c r="K398" s="1270">
        <f t="shared" si="45"/>
        <v>0.15</v>
      </c>
      <c r="L398" s="1270"/>
      <c r="M398" s="1270"/>
      <c r="N398" s="1270"/>
      <c r="O398" s="1400">
        <f>O379</f>
        <v>0.3</v>
      </c>
      <c r="P398" s="1424">
        <f>SUM(P395:P397)</f>
        <v>0</v>
      </c>
      <c r="Q398" s="1424">
        <f>SUM(Q395:Q397)</f>
        <v>0</v>
      </c>
      <c r="R398" s="1424">
        <f>SUM(R395:R397)</f>
        <v>0</v>
      </c>
      <c r="S398" s="1425">
        <f>SUM(S395:S397)</f>
        <v>0</v>
      </c>
      <c r="T398" s="1400">
        <f>O398*S398</f>
        <v>0</v>
      </c>
      <c r="U398" s="1429"/>
      <c r="V398" s="1280"/>
      <c r="W398" s="1270"/>
      <c r="X398" s="1270"/>
      <c r="Y398" s="1346"/>
      <c r="Z398" s="1270"/>
      <c r="AA398" s="1280"/>
      <c r="AB398" s="1270"/>
      <c r="AC398" s="1270"/>
      <c r="AD398" s="1280"/>
    </row>
    <row r="399" spans="1:30" s="1441" customFormat="1" ht="15.75" customHeight="1" outlineLevel="1">
      <c r="A399" s="1435" t="s">
        <v>3172</v>
      </c>
      <c r="B399" s="1436" t="s">
        <v>1590</v>
      </c>
      <c r="C399" s="1437">
        <f>пристройка!C34*VLOOKUP('Ввод данных'!F416,связи1!A2:B3,2,0)*связи1!C550</f>
        <v>0</v>
      </c>
      <c r="D399" s="1438">
        <f>пристройка!C16+пристройка!H16+пристройка!M16</f>
        <v>0</v>
      </c>
      <c r="E399" s="1438">
        <f>IF('Ввод данных'!A360=связи1!A107,IF('Ввод данных'!A361=связи1!A94,связи1!C553,0)+IF('Ввод данных'!A361=связи1!A95,связи1!C553,0)+IF('Ввод данных'!A361=связи1!A96,связи1!C553,0)+IF('Ввод данных'!A361=связи1!A97,связи1!C554,0)+IF('Ввод данных'!A361=связи1!A98,связи1!C553,0),0)+IF('Ввод данных'!A360=связи1!A106,IF('Ввод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данных'!A361=связи1!A98,связи1!C553,0),0)+IF('Ввод данных'!A360=связи1!A108,IF('Ввод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</f>
        <v>5</v>
      </c>
      <c r="F399" s="1439">
        <f>C399*E399</f>
        <v>0</v>
      </c>
      <c r="G399" s="1438">
        <f>G124</f>
        <v>0.6</v>
      </c>
      <c r="H399" s="1438"/>
      <c r="I399" s="1438">
        <f>IF(C399=0,0,C399/G399+1)</f>
        <v>0</v>
      </c>
      <c r="J399" s="1438">
        <f t="shared" si="44"/>
        <v>0.05</v>
      </c>
      <c r="K399" s="1438">
        <f t="shared" si="45"/>
        <v>0.15</v>
      </c>
      <c r="L399" s="1438">
        <f>CEILING(C399/G399+1,1)*VLOOKUP('Ввод данных'!F416,связи1!A2:B3,2,0)*связи1!C550</f>
        <v>0</v>
      </c>
      <c r="M399" s="1438"/>
      <c r="N399" s="1438"/>
      <c r="O399" s="1438">
        <f>E399*I399*J399*K399</f>
        <v>0</v>
      </c>
      <c r="P399" s="1383">
        <f>C399</f>
        <v>0</v>
      </c>
      <c r="Q399" s="1383">
        <f>C399</f>
        <v>0</v>
      </c>
      <c r="R399" s="1383">
        <f>C399</f>
        <v>0</v>
      </c>
      <c r="S399" s="1438">
        <f>C399</f>
        <v>0</v>
      </c>
      <c r="T399" s="1438">
        <f>(P399+Q399+R399)*J399*K399</f>
        <v>0</v>
      </c>
      <c r="U399" s="1440"/>
      <c r="V399" s="1438"/>
      <c r="W399" s="1438"/>
      <c r="X399" s="1438"/>
      <c r="Y399" s="1383"/>
      <c r="Z399" s="1438"/>
      <c r="AA399" s="1438"/>
      <c r="AB399" s="1438"/>
      <c r="AC399" s="1438"/>
      <c r="AD399" s="1438"/>
    </row>
    <row r="400" spans="1:30" s="1441" customFormat="1" ht="15.75" customHeight="1" outlineLevel="1">
      <c r="A400" s="1435" t="s">
        <v>3173</v>
      </c>
      <c r="B400" s="1436" t="s">
        <v>1582</v>
      </c>
      <c r="C400" s="1437">
        <f>пристройка!C33*VLOOKUP('Ввод данных'!F416,связи1!A2:B3,2,0)*связи1!C550</f>
        <v>0</v>
      </c>
      <c r="D400" s="1438">
        <f>пристройка!C17+пристройка!H17+пристройка!M17</f>
        <v>0</v>
      </c>
      <c r="E400" s="1438">
        <f>IF('Ввод данных'!A360=связи1!A107,IF('Ввод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данных'!A361=связи1!A98,связи1!C553,0),0)+IF('Ввод данных'!A360=связи1!A106,IF('Ввод данных'!A361=связи1!A94,связи1!C553,0)+IF('Ввод данных'!A361=связи1!A95,связи1!C553,0)+IF('Ввод данных'!A361=связи1!A96,связи1!C553,0)+IF('Ввод данных'!A361=связи1!A97,связи1!C554,0)+IF('Ввод данных'!A361=связи1!A98,связи1!C553,0),0)+IF('Ввод данных'!A360=связи1!A108,IF('Ввод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</f>
        <v>1.2</v>
      </c>
      <c r="F400" s="1439">
        <f>C400*E400</f>
        <v>0</v>
      </c>
      <c r="G400" s="1438">
        <f>G124</f>
        <v>0.6</v>
      </c>
      <c r="H400" s="1438"/>
      <c r="I400" s="1438">
        <f>IF(C400=0,0,C400/G400+1)</f>
        <v>0</v>
      </c>
      <c r="J400" s="1438">
        <f t="shared" si="44"/>
        <v>0.05</v>
      </c>
      <c r="K400" s="1438">
        <f t="shared" si="45"/>
        <v>0.15</v>
      </c>
      <c r="L400" s="1438">
        <f>CEILING(C400/G400+1,1)*VLOOKUP('Ввод данных'!F416,связи1!A2:B3,2,0)*связи1!C550</f>
        <v>0</v>
      </c>
      <c r="M400" s="1438"/>
      <c r="N400" s="1438"/>
      <c r="O400" s="1438">
        <f>E400*I400*J400*K400</f>
        <v>0</v>
      </c>
      <c r="P400" s="1383">
        <f>C400</f>
        <v>0</v>
      </c>
      <c r="Q400" s="1383">
        <f>C400</f>
        <v>0</v>
      </c>
      <c r="R400" s="1383">
        <f>C400</f>
        <v>0</v>
      </c>
      <c r="S400" s="1438">
        <f>C400</f>
        <v>0</v>
      </c>
      <c r="T400" s="1438">
        <f>(P400+Q400+R400)*J400*K400</f>
        <v>0</v>
      </c>
      <c r="U400" s="1440"/>
      <c r="V400" s="1438"/>
      <c r="W400" s="1438"/>
      <c r="X400" s="1438"/>
      <c r="Y400" s="1383"/>
      <c r="Z400" s="1438"/>
      <c r="AA400" s="1438"/>
      <c r="AB400" s="1438"/>
      <c r="AC400" s="1438"/>
      <c r="AD400" s="1438"/>
    </row>
    <row r="401" spans="1:30" s="1441" customFormat="1" ht="15.75" customHeight="1" outlineLevel="1">
      <c r="A401" s="1435" t="s">
        <v>3174</v>
      </c>
      <c r="B401" s="1436"/>
      <c r="C401" s="1437">
        <f>пристройка!C33*VLOOKUP('Ввод данных'!F416,связи1!A2:B3,2,0)*связи1!C550</f>
        <v>0</v>
      </c>
      <c r="D401" s="1438"/>
      <c r="E401" s="1438">
        <f>IF('Ввод данных'!A360=связи1!A107,IF('Ввод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данных'!A361=связи1!A98,связи1!C553,0),0)+IF('Ввод данных'!A360=связи1!A106,IF('Ввод данных'!A361=связи1!A94,связи1!C553,0)+IF('Ввод данных'!A361=связи1!A95,связи1!C553,0)+IF('Ввод данных'!A361=связи1!A96,связи1!C553,0)+IF('Ввод данных'!A361=связи1!A97,связи1!C554,0)+IF('Ввод данных'!A361=связи1!A98,связи1!C553,0),0)+IF('Ввод данных'!A360=связи1!A108,IF('Ввод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</f>
        <v>1.2</v>
      </c>
      <c r="F401" s="1439">
        <f>C401*E401</f>
        <v>0</v>
      </c>
      <c r="G401" s="1438">
        <f>G124</f>
        <v>0.6</v>
      </c>
      <c r="H401" s="1438"/>
      <c r="I401" s="1438">
        <f>IF(C401=0,0,C401/G401+1)</f>
        <v>0</v>
      </c>
      <c r="J401" s="1438">
        <f t="shared" si="44"/>
        <v>0.05</v>
      </c>
      <c r="K401" s="1438">
        <f t="shared" si="45"/>
        <v>0.15</v>
      </c>
      <c r="L401" s="1438">
        <f>CEILING(C401/G401+1,1)*VLOOKUP('Ввод данных'!F416,связи1!A2:B3,2,0)*связи1!C550</f>
        <v>0</v>
      </c>
      <c r="M401" s="1438"/>
      <c r="N401" s="1438"/>
      <c r="O401" s="1438">
        <f>E401*I401*J401*K401</f>
        <v>0</v>
      </c>
      <c r="P401" s="1383">
        <f>C401</f>
        <v>0</v>
      </c>
      <c r="Q401" s="1383">
        <f>C401</f>
        <v>0</v>
      </c>
      <c r="R401" s="1383">
        <f>C401</f>
        <v>0</v>
      </c>
      <c r="S401" s="1438">
        <f>C401</f>
        <v>0</v>
      </c>
      <c r="T401" s="1438">
        <f>(P401+Q401+R401)*J401*K401</f>
        <v>0</v>
      </c>
      <c r="U401" s="1440"/>
      <c r="V401" s="1438"/>
      <c r="W401" s="1438"/>
      <c r="X401" s="1438"/>
      <c r="Y401" s="1383"/>
      <c r="Z401" s="1383"/>
      <c r="AA401" s="1438"/>
      <c r="AB401" s="1438"/>
      <c r="AC401" s="1438"/>
      <c r="AD401" s="1438"/>
    </row>
    <row r="402" spans="1:30" ht="15.75" customHeight="1" outlineLevel="1">
      <c r="A402" s="1442"/>
      <c r="B402" s="1443">
        <f>связи1!F187</f>
        <v>0.4</v>
      </c>
      <c r="C402" s="1444">
        <f>SUM(C399:C401)</f>
        <v>0</v>
      </c>
      <c r="D402" s="1400">
        <f>B402*C402*(пристройка!C32+пристройка!H32+пристройка!M32)</f>
        <v>0</v>
      </c>
      <c r="E402" s="971"/>
      <c r="F402" s="1246"/>
      <c r="G402" s="971"/>
      <c r="H402" s="971"/>
      <c r="I402" s="1055"/>
      <c r="J402" s="1270">
        <f t="shared" si="44"/>
        <v>0.05</v>
      </c>
      <c r="K402" s="1270">
        <f t="shared" si="45"/>
        <v>0.15</v>
      </c>
      <c r="L402" s="1055"/>
      <c r="M402" s="1055"/>
      <c r="N402" s="1055"/>
      <c r="O402" s="1400">
        <f>O398</f>
        <v>0.3</v>
      </c>
      <c r="P402" s="1360">
        <f>SUM(P399:P401)</f>
        <v>0</v>
      </c>
      <c r="Q402" s="1360">
        <f>SUM(Q399:Q401)</f>
        <v>0</v>
      </c>
      <c r="R402" s="1360">
        <f>SUM(R399:R401)</f>
        <v>0</v>
      </c>
      <c r="S402" s="1055">
        <f>SUM(S399:S401)</f>
        <v>0</v>
      </c>
      <c r="T402" s="1400">
        <f>O402*S402</f>
        <v>0</v>
      </c>
      <c r="U402" s="1398"/>
      <c r="V402" s="1280"/>
      <c r="W402" s="1055"/>
      <c r="X402" s="1055"/>
      <c r="Y402" s="1346"/>
      <c r="Z402" s="1360"/>
      <c r="AA402" s="1280"/>
      <c r="AB402" s="1055"/>
      <c r="AC402" s="1055"/>
      <c r="AD402" s="1280"/>
    </row>
    <row r="403" spans="1:30" s="1355" customFormat="1" ht="15.75" customHeight="1" outlineLevel="1">
      <c r="A403" s="1442" t="s">
        <v>3172</v>
      </c>
      <c r="B403" s="1445" t="s">
        <v>1590</v>
      </c>
      <c r="C403" s="920">
        <f>пристройка!D34*VLOOKUP('Ввод данных'!F416,связи1!A2:B3,2,0)*связи1!D550</f>
        <v>0</v>
      </c>
      <c r="D403" s="971">
        <f>пристройка!D16+пристройка!I16+пристройка!N16</f>
        <v>0</v>
      </c>
      <c r="E403" s="971">
        <f>IF('Ввод данных'!A364=связи1!A107,IF('Ввод данных'!A365=связи1!A94,связи1!D553,0)+IF('Ввод данных'!A365=связи1!A95,связи1!D553,0)+IF('Ввод данных'!A365=связи1!A96,связи1!D553,0)+IF('Ввод данных'!A365=связи1!A97,связи1!D554,0)+IF('Ввод данных'!A365=связи1!A98,связи1!D553,0),0)+IF('Ввод данных'!A364=связи1!A106,IF('Ввод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данных'!A365=связи1!A98,связи1!D553,0),0)+IF('Ввод данных'!A364=связи1!A108,IF('Ввод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</f>
        <v>2.9</v>
      </c>
      <c r="F403" s="1246">
        <f>C403*E403</f>
        <v>0</v>
      </c>
      <c r="G403" s="971">
        <f>G399</f>
        <v>0.6</v>
      </c>
      <c r="H403" s="971"/>
      <c r="I403" s="1055">
        <f>IF(C403=0,0,C403/G403+1)</f>
        <v>0</v>
      </c>
      <c r="J403" s="1270">
        <f t="shared" si="44"/>
        <v>0.05</v>
      </c>
      <c r="K403" s="1270">
        <f t="shared" si="45"/>
        <v>0.15</v>
      </c>
      <c r="L403" s="1438">
        <f>CEILING(C403/G403+1,1)*VLOOKUP('Ввод данных'!F416,связи1!A2:B3,2,0)*связи1!D550</f>
        <v>0</v>
      </c>
      <c r="M403" s="1438"/>
      <c r="N403" s="1438"/>
      <c r="O403" s="1280">
        <f>E403*I403*J403*K403</f>
        <v>0</v>
      </c>
      <c r="P403" s="1360">
        <f>C403</f>
        <v>0</v>
      </c>
      <c r="Q403" s="1360">
        <f>C403</f>
        <v>0</v>
      </c>
      <c r="R403" s="1360">
        <f>C403</f>
        <v>0</v>
      </c>
      <c r="S403" s="1055">
        <f>C403</f>
        <v>0</v>
      </c>
      <c r="T403" s="1280">
        <f t="shared" ref="T403:T409" si="46">(P403+Q403+R403)*J403*K403</f>
        <v>0</v>
      </c>
      <c r="U403" s="1398"/>
      <c r="V403" s="971"/>
      <c r="W403" s="971"/>
      <c r="X403" s="971"/>
      <c r="Y403" s="1353"/>
      <c r="Z403" s="1353"/>
      <c r="AA403" s="971"/>
      <c r="AB403" s="971"/>
      <c r="AC403" s="971"/>
      <c r="AD403" s="971"/>
    </row>
    <row r="404" spans="1:30" s="1355" customFormat="1" ht="15.75" customHeight="1" outlineLevel="1">
      <c r="A404" s="1442" t="s">
        <v>3173</v>
      </c>
      <c r="B404" s="1445" t="s">
        <v>1582</v>
      </c>
      <c r="C404" s="920">
        <f>пристройка!D33*VLOOKUP('Ввод данных'!F416,связи1!A2:B3,2,0)*связи1!D550</f>
        <v>0</v>
      </c>
      <c r="D404" s="971">
        <f>пристройка!D17+пристройка!I17+пристройка!N17</f>
        <v>0</v>
      </c>
      <c r="E404" s="971">
        <f>IF('Ввод данных'!A364=связи1!A107,IF('Ввод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данных'!A365=связи1!A98,связи1!D553,0),0)+IF('Ввод данных'!A364=связи1!A106,IF('Ввод данных'!A365=связи1!A94,связи1!D553,0)+IF('Ввод данных'!A365=связи1!A95,связи1!D553,0)+IF('Ввод данных'!A365=связи1!A96,связи1!D553,0)+IF('Ввод данных'!A365=связи1!A97,связи1!D554,0)+IF('Ввод данных'!A365=связи1!A98,связи1!D553,0),0)+IF('Ввод данных'!A364=связи1!A108,IF('Ввод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</f>
        <v>2.9</v>
      </c>
      <c r="F404" s="1246">
        <f>C404*E404</f>
        <v>0</v>
      </c>
      <c r="G404" s="971">
        <f>G399</f>
        <v>0.6</v>
      </c>
      <c r="H404" s="971"/>
      <c r="I404" s="1055">
        <f>IF(C404=0,0,C404/G404+1)</f>
        <v>0</v>
      </c>
      <c r="J404" s="1270">
        <f t="shared" si="44"/>
        <v>0.05</v>
      </c>
      <c r="K404" s="1270">
        <f t="shared" si="45"/>
        <v>0.15</v>
      </c>
      <c r="L404" s="1438">
        <f>CEILING(C404/G404+1,1)*VLOOKUP('Ввод данных'!F416,связи1!A2:B3,2,0)*связи1!D550</f>
        <v>0</v>
      </c>
      <c r="M404" s="1438"/>
      <c r="N404" s="1438"/>
      <c r="O404" s="1280">
        <f>E404*I404*J404*K404</f>
        <v>0</v>
      </c>
      <c r="P404" s="1360">
        <f>C404</f>
        <v>0</v>
      </c>
      <c r="Q404" s="1360">
        <f>C404</f>
        <v>0</v>
      </c>
      <c r="R404" s="1360">
        <f>C404</f>
        <v>0</v>
      </c>
      <c r="S404" s="1055">
        <f>C404</f>
        <v>0</v>
      </c>
      <c r="T404" s="1280">
        <f t="shared" si="46"/>
        <v>0</v>
      </c>
      <c r="U404" s="1398"/>
      <c r="V404" s="971"/>
      <c r="W404" s="971"/>
      <c r="X404" s="971"/>
      <c r="Y404" s="1353"/>
      <c r="Z404" s="1353"/>
      <c r="AA404" s="971"/>
      <c r="AB404" s="971"/>
      <c r="AC404" s="971"/>
      <c r="AD404" s="971"/>
    </row>
    <row r="405" spans="1:30" s="1355" customFormat="1" ht="15.75" customHeight="1" outlineLevel="1">
      <c r="A405" s="1442" t="s">
        <v>3174</v>
      </c>
      <c r="B405" s="1445"/>
      <c r="C405" s="920">
        <f>пристройка!D33*VLOOKUP('Ввод данных'!F416,связи1!A2:B3,2,0)*связи1!D550</f>
        <v>0</v>
      </c>
      <c r="D405" s="971"/>
      <c r="E405" s="971">
        <f>IF('Ввод данных'!A364=связи1!A107,IF('Ввод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данных'!A365=связи1!A98,связи1!D553,0),0)+IF('Ввод данных'!A364=связи1!A106,IF('Ввод данных'!A365=связи1!A94,связи1!D553,0)+IF('Ввод данных'!A365=связи1!A95,связи1!D553,0)+IF('Ввод данных'!A365=связи1!A96,связи1!D553,0)+IF('Ввод данных'!A365=связи1!A97,связи1!D554,0)+IF('Ввод данных'!A365=связи1!A98,связи1!D553,0),0)+IF('Ввод данных'!A364=связи1!A108,IF('Ввод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</f>
        <v>2.9</v>
      </c>
      <c r="F405" s="1246">
        <f>C405*E405</f>
        <v>0</v>
      </c>
      <c r="G405" s="971">
        <f>G399</f>
        <v>0.6</v>
      </c>
      <c r="H405" s="971"/>
      <c r="I405" s="1055">
        <f>IF(C405=0,0,C405/G405+1)</f>
        <v>0</v>
      </c>
      <c r="J405" s="1270">
        <f t="shared" si="44"/>
        <v>0.05</v>
      </c>
      <c r="K405" s="1270">
        <f t="shared" si="45"/>
        <v>0.15</v>
      </c>
      <c r="L405" s="1438">
        <f>CEILING(C405/G405+1,1)*VLOOKUP('Ввод данных'!F416,связи1!A2:B3,2,0)*связи1!D550</f>
        <v>0</v>
      </c>
      <c r="M405" s="1438"/>
      <c r="N405" s="1438"/>
      <c r="O405" s="1280">
        <f>E405*I405*J405*K405</f>
        <v>0</v>
      </c>
      <c r="P405" s="1360">
        <f>C405</f>
        <v>0</v>
      </c>
      <c r="Q405" s="1360">
        <f>C405</f>
        <v>0</v>
      </c>
      <c r="R405" s="1360">
        <f>C405</f>
        <v>0</v>
      </c>
      <c r="S405" s="1055">
        <f>C405</f>
        <v>0</v>
      </c>
      <c r="T405" s="1280">
        <f t="shared" si="46"/>
        <v>0</v>
      </c>
      <c r="U405" s="1398"/>
      <c r="V405" s="971"/>
      <c r="W405" s="971"/>
      <c r="X405" s="971"/>
      <c r="Y405" s="1353"/>
      <c r="Z405" s="1353"/>
      <c r="AA405" s="971"/>
      <c r="AB405" s="971"/>
      <c r="AC405" s="971"/>
      <c r="AD405" s="971"/>
    </row>
    <row r="406" spans="1:30" s="1355" customFormat="1" ht="15.75" customHeight="1" outlineLevel="1">
      <c r="A406" s="1442"/>
      <c r="B406" s="1443">
        <f>B402</f>
        <v>0.4</v>
      </c>
      <c r="C406" s="1444">
        <f>SUM(C403:C405)</f>
        <v>0</v>
      </c>
      <c r="D406" s="1400">
        <f>B406*C406*(пристройка!I32+пристройка!D32+пристройка!N32)</f>
        <v>0</v>
      </c>
      <c r="E406" s="971"/>
      <c r="F406" s="1063"/>
      <c r="G406" s="971"/>
      <c r="H406" s="971"/>
      <c r="I406" s="971"/>
      <c r="J406" s="1270">
        <f t="shared" si="44"/>
        <v>0.05</v>
      </c>
      <c r="K406" s="1270">
        <f t="shared" si="45"/>
        <v>0.15</v>
      </c>
      <c r="L406" s="971"/>
      <c r="M406" s="971"/>
      <c r="N406" s="971"/>
      <c r="O406" s="1400">
        <f>O398</f>
        <v>0.3</v>
      </c>
      <c r="P406" s="1353">
        <f>SUM(P403:P405)</f>
        <v>0</v>
      </c>
      <c r="Q406" s="1353">
        <f>SUM(Q403:Q405)</f>
        <v>0</v>
      </c>
      <c r="R406" s="1353">
        <f>SUM(R403:R405)</f>
        <v>0</v>
      </c>
      <c r="S406" s="971">
        <f>SUM(S403:S405)</f>
        <v>0</v>
      </c>
      <c r="T406" s="1400">
        <f t="shared" si="46"/>
        <v>0</v>
      </c>
      <c r="U406" s="1398"/>
      <c r="V406" s="971"/>
      <c r="W406" s="971"/>
      <c r="X406" s="971"/>
      <c r="Y406" s="1353"/>
      <c r="Z406" s="1353"/>
      <c r="AA406" s="971"/>
      <c r="AB406" s="971"/>
      <c r="AC406" s="971"/>
      <c r="AD406" s="971"/>
    </row>
    <row r="407" spans="1:30" s="1355" customFormat="1" ht="15.75" customHeight="1" outlineLevel="1">
      <c r="A407" s="1442" t="s">
        <v>3172</v>
      </c>
      <c r="B407" s="1445" t="s">
        <v>1590</v>
      </c>
      <c r="C407" s="920">
        <f>пристройка!E34*VLOOKUP('Ввод данных'!F416,связи1!A2:B3,2,0)*связи1!E550</f>
        <v>0</v>
      </c>
      <c r="D407" s="971">
        <f>пристройка!E16+пристройка!J16+пристройка!O16</f>
        <v>0</v>
      </c>
      <c r="E407" s="971">
        <f>IF('Ввод данных'!A368=связи1!A107,IF('Ввод данных'!A369=связи1!A94,связи1!E553,0)+IF('Ввод данных'!A369=связи1!A95,связи1!E553,0)+IF('Ввод данных'!A369=связи1!A96,связи1!E553,0)+IF('Ввод данных'!A369=связи1!A97,связи1!E554,0)+IF('Ввод данных'!A369=связи1!A98,связи1!E553,0),0)+IF('Ввод данных'!A368=связи1!A106,IF('Ввод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данных'!A369=связи1!A98,связи1!E553,0),0)+IF('Ввод данных'!A368=связи1!A108,IF('Ввод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</f>
        <v>2.9</v>
      </c>
      <c r="F407" s="1246">
        <f>C407*E407</f>
        <v>0</v>
      </c>
      <c r="G407" s="971">
        <f>G399</f>
        <v>0.6</v>
      </c>
      <c r="H407" s="971"/>
      <c r="I407" s="1055">
        <f>IF(C407=0,0,C407/G407+1)</f>
        <v>0</v>
      </c>
      <c r="J407" s="1270">
        <f t="shared" si="44"/>
        <v>0.05</v>
      </c>
      <c r="K407" s="1270">
        <f t="shared" si="45"/>
        <v>0.15</v>
      </c>
      <c r="L407" s="1438">
        <f>CEILING(C407/G407+1,1)*VLOOKUP('Ввод данных'!F416,связи1!A2:B3,2,0)*связи1!E550</f>
        <v>0</v>
      </c>
      <c r="M407" s="1438"/>
      <c r="N407" s="1438"/>
      <c r="O407" s="1280">
        <f>E407*I407*J407*K407</f>
        <v>0</v>
      </c>
      <c r="P407" s="1360">
        <f>C407</f>
        <v>0</v>
      </c>
      <c r="Q407" s="1360">
        <f>C407</f>
        <v>0</v>
      </c>
      <c r="R407" s="1360">
        <f>C407</f>
        <v>0</v>
      </c>
      <c r="S407" s="1055">
        <f>C407</f>
        <v>0</v>
      </c>
      <c r="T407" s="1280">
        <f t="shared" si="46"/>
        <v>0</v>
      </c>
      <c r="U407" s="1398"/>
      <c r="V407" s="971"/>
      <c r="W407" s="971"/>
      <c r="X407" s="971"/>
      <c r="Y407" s="1353"/>
      <c r="Z407" s="1353"/>
      <c r="AA407" s="971"/>
      <c r="AB407" s="971"/>
      <c r="AC407" s="971"/>
      <c r="AD407" s="971"/>
    </row>
    <row r="408" spans="1:30" s="1355" customFormat="1" ht="15.75" customHeight="1" outlineLevel="1">
      <c r="A408" s="1442" t="s">
        <v>3173</v>
      </c>
      <c r="B408" s="1445" t="s">
        <v>1582</v>
      </c>
      <c r="C408" s="920">
        <f>пристройка!E33*VLOOKUP('Ввод данных'!F416,связи1!A2:B3,2,0)*связи1!E550</f>
        <v>0</v>
      </c>
      <c r="D408" s="971">
        <f>пристройка!E17+пристройка!J17+пристройка!O17</f>
        <v>0</v>
      </c>
      <c r="E408" s="971">
        <f>IF('Ввод данных'!A368=связи1!A107,IF('Ввод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данных'!A369=связи1!A98,связи1!E553,0),0)+IF('Ввод данных'!A368=связи1!A106,IF('Ввод данных'!A369=связи1!A94,связи1!E553,0)+IF('Ввод данных'!A369=связи1!A95,связи1!E553,0)+IF('Ввод данных'!A369=связи1!A96,связи1!E553,0)+IF('Ввод данных'!A369=связи1!A97,связи1!E554,0)+IF('Ввод данных'!A369=связи1!A98,связи1!E553,0),0)+IF('Ввод данных'!A368=связи1!A108,IF('Ввод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</f>
        <v>2.9</v>
      </c>
      <c r="F408" s="1246">
        <f>C408*E408</f>
        <v>0</v>
      </c>
      <c r="G408" s="971">
        <f>G399</f>
        <v>0.6</v>
      </c>
      <c r="H408" s="971"/>
      <c r="I408" s="1055">
        <f>IF(C408=0,0,C408/G408+1)</f>
        <v>0</v>
      </c>
      <c r="J408" s="1270">
        <f t="shared" si="44"/>
        <v>0.05</v>
      </c>
      <c r="K408" s="1270">
        <f t="shared" si="45"/>
        <v>0.15</v>
      </c>
      <c r="L408" s="1438">
        <f>CEILING(C408/G408+1,1)*VLOOKUP('Ввод данных'!F416,связи1!A2:B3,2,0)*связи1!E550</f>
        <v>0</v>
      </c>
      <c r="M408" s="1438"/>
      <c r="N408" s="1438"/>
      <c r="O408" s="1280">
        <f>E408*I408*J408*K408</f>
        <v>0</v>
      </c>
      <c r="P408" s="1360">
        <f>C408</f>
        <v>0</v>
      </c>
      <c r="Q408" s="1360">
        <f>C408</f>
        <v>0</v>
      </c>
      <c r="R408" s="1360">
        <f>C408</f>
        <v>0</v>
      </c>
      <c r="S408" s="1055">
        <f>C408</f>
        <v>0</v>
      </c>
      <c r="T408" s="1280">
        <f t="shared" si="46"/>
        <v>0</v>
      </c>
      <c r="U408" s="1398"/>
      <c r="V408" s="971"/>
      <c r="W408" s="971"/>
      <c r="X408" s="971"/>
      <c r="Y408" s="1353"/>
      <c r="Z408" s="1353"/>
      <c r="AA408" s="971"/>
      <c r="AB408" s="971"/>
      <c r="AC408" s="971"/>
      <c r="AD408" s="971"/>
    </row>
    <row r="409" spans="1:30" s="1355" customFormat="1" ht="15.75" customHeight="1" outlineLevel="1">
      <c r="A409" s="1442" t="s">
        <v>3174</v>
      </c>
      <c r="B409" s="1445"/>
      <c r="C409" s="920">
        <f>пристройка!E33*VLOOKUP('Ввод данных'!F416,связи1!A2:B3,2,0)*связи1!E550</f>
        <v>0</v>
      </c>
      <c r="D409" s="971"/>
      <c r="E409" s="971">
        <f>IF('Ввод данных'!A368=связи1!A107,IF('Ввод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данных'!A369=связи1!A98,связи1!E553,0),0)+IF('Ввод данных'!A368=связи1!A106,IF('Ввод данных'!A369=связи1!A94,связи1!E553,0)+IF('Ввод данных'!A369=связи1!A95,связи1!E553,0)+IF('Ввод данных'!A369=связи1!A96,связи1!E553,0)+IF('Ввод данных'!A369=связи1!A97,связи1!E554,0)+IF('Ввод данных'!A369=связи1!A98,связи1!E553,0),0)+IF('Ввод данных'!A368=связи1!A108,IF('Ввод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</f>
        <v>2.9</v>
      </c>
      <c r="F409" s="1246">
        <f>C409*E409</f>
        <v>0</v>
      </c>
      <c r="G409" s="971">
        <f>G399</f>
        <v>0.6</v>
      </c>
      <c r="H409" s="971"/>
      <c r="I409" s="1055">
        <f>IF(C409=0,0,C409/G409+1)</f>
        <v>0</v>
      </c>
      <c r="J409" s="1270">
        <f t="shared" si="44"/>
        <v>0.05</v>
      </c>
      <c r="K409" s="1270">
        <f t="shared" si="45"/>
        <v>0.15</v>
      </c>
      <c r="L409" s="1438">
        <f>CEILING(C409/G409+1,1)*VLOOKUP('Ввод данных'!F416,связи1!A2:B3,2,0)*связи1!E550</f>
        <v>0</v>
      </c>
      <c r="M409" s="1438"/>
      <c r="N409" s="1438"/>
      <c r="O409" s="1280">
        <f>E409*I409*J409*K409</f>
        <v>0</v>
      </c>
      <c r="P409" s="1360">
        <f>C409</f>
        <v>0</v>
      </c>
      <c r="Q409" s="1360">
        <f>C409</f>
        <v>0</v>
      </c>
      <c r="R409" s="1360">
        <f>C409</f>
        <v>0</v>
      </c>
      <c r="S409" s="1055">
        <f>C409</f>
        <v>0</v>
      </c>
      <c r="T409" s="1280">
        <f t="shared" si="46"/>
        <v>0</v>
      </c>
      <c r="U409" s="1398"/>
      <c r="V409" s="971"/>
      <c r="W409" s="971"/>
      <c r="X409" s="971"/>
      <c r="Y409" s="1353"/>
      <c r="Z409" s="1353"/>
      <c r="AA409" s="971"/>
      <c r="AB409" s="971"/>
      <c r="AC409" s="971"/>
      <c r="AD409" s="971"/>
    </row>
    <row r="410" spans="1:30" s="1355" customFormat="1" ht="15.75" customHeight="1" outlineLevel="1">
      <c r="A410" s="1442"/>
      <c r="B410" s="1443">
        <f>B402</f>
        <v>0.4</v>
      </c>
      <c r="C410" s="1444">
        <f>SUM(C407:C409)</f>
        <v>0</v>
      </c>
      <c r="D410" s="1400">
        <f>B410*C410*(пристройка!E32+пристройка!J32+пристройка!O32)</f>
        <v>0</v>
      </c>
      <c r="E410" s="971"/>
      <c r="F410" s="1063"/>
      <c r="G410" s="971"/>
      <c r="H410" s="971"/>
      <c r="I410" s="971"/>
      <c r="J410" s="1270">
        <f t="shared" si="44"/>
        <v>0.05</v>
      </c>
      <c r="K410" s="1270">
        <f t="shared" si="45"/>
        <v>0.15</v>
      </c>
      <c r="L410" s="971"/>
      <c r="M410" s="971"/>
      <c r="N410" s="971"/>
      <c r="O410" s="1400">
        <f>O398</f>
        <v>0.3</v>
      </c>
      <c r="P410" s="1353">
        <f>SUM(P407:P409)</f>
        <v>0</v>
      </c>
      <c r="Q410" s="1353">
        <f>SUM(Q407:Q409)</f>
        <v>0</v>
      </c>
      <c r="R410" s="1353">
        <f>SUM(R407:R409)</f>
        <v>0</v>
      </c>
      <c r="S410" s="1353">
        <f>SUM(S407:S409)</f>
        <v>0</v>
      </c>
      <c r="T410" s="1400"/>
      <c r="U410" s="1398"/>
      <c r="V410" s="971"/>
      <c r="W410" s="971"/>
      <c r="X410" s="971"/>
      <c r="Y410" s="1353"/>
      <c r="Z410" s="1353"/>
      <c r="AA410" s="971"/>
      <c r="AB410" s="971"/>
      <c r="AC410" s="971"/>
      <c r="AD410" s="971"/>
    </row>
    <row r="411" spans="1:30" s="1355" customFormat="1" ht="15.75" customHeight="1" outlineLevel="1">
      <c r="A411" s="1442" t="s">
        <v>3172</v>
      </c>
      <c r="B411" s="1445" t="s">
        <v>1590</v>
      </c>
      <c r="C411" s="920">
        <f>пристройка!F34*VLOOKUP('Ввод данных'!F416,связи1!A2:B3,2,0)*связи1!F550</f>
        <v>0</v>
      </c>
      <c r="D411" s="971">
        <f>пристройка!F16+пристройка!K16+пристройка!P16</f>
        <v>0</v>
      </c>
      <c r="E411" s="971">
        <f>IF('Ввод данных'!A372=связи1!A107,IF('Ввод данных'!A373=связи1!A94,связи1!F553,0)+IF('Ввод данных'!A373=связи1!A95,связи1!F553,0)+IF('Ввод данных'!A373=связи1!A96,связи1!F553,0)+IF('Ввод данных'!A373=связи1!A97,связи1!F554,0)+IF('Ввод данных'!A373=связи1!A98,связи1!F553,0),0)+IF('Ввод данных'!A372=связи1!A106,IF('Ввод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данных'!A373=связи1!A98,связи1!F553,0),0)+IF('Ввод данных'!A372=связи1!A108,IF('Ввод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</f>
        <v>3</v>
      </c>
      <c r="F411" s="1246">
        <f>C411*E411</f>
        <v>0</v>
      </c>
      <c r="G411" s="971">
        <f>G399</f>
        <v>0.6</v>
      </c>
      <c r="H411" s="971"/>
      <c r="I411" s="1055">
        <f>IF(C411=0,0,C411/G411+1)</f>
        <v>0</v>
      </c>
      <c r="J411" s="1270">
        <f t="shared" si="44"/>
        <v>0.05</v>
      </c>
      <c r="K411" s="1270">
        <f t="shared" si="45"/>
        <v>0.15</v>
      </c>
      <c r="L411" s="1438">
        <f>CEILING(C411/G411+1,1)*VLOOKUP('Ввод данных'!F416,связи1!A2:B3,2,0)*связи1!F550</f>
        <v>0</v>
      </c>
      <c r="M411" s="1438"/>
      <c r="N411" s="1438"/>
      <c r="O411" s="1280">
        <f>E411*I411*J411*K411</f>
        <v>0</v>
      </c>
      <c r="P411" s="1360">
        <f>C411</f>
        <v>0</v>
      </c>
      <c r="Q411" s="1360">
        <f>C411</f>
        <v>0</v>
      </c>
      <c r="R411" s="1360">
        <f>C411</f>
        <v>0</v>
      </c>
      <c r="S411" s="1055">
        <f>C411</f>
        <v>0</v>
      </c>
      <c r="T411" s="1280">
        <f>(P411+Q411+R411)*J411*K411</f>
        <v>0</v>
      </c>
      <c r="U411" s="1398"/>
      <c r="V411" s="971"/>
      <c r="W411" s="971"/>
      <c r="X411" s="971"/>
      <c r="Y411" s="1353"/>
      <c r="Z411" s="1353"/>
      <c r="AA411" s="971"/>
      <c r="AB411" s="971"/>
      <c r="AC411" s="971"/>
      <c r="AD411" s="971"/>
    </row>
    <row r="412" spans="1:30" s="1355" customFormat="1" ht="15.75" customHeight="1" outlineLevel="1">
      <c r="A412" s="1442" t="s">
        <v>3173</v>
      </c>
      <c r="B412" s="1445" t="s">
        <v>1582</v>
      </c>
      <c r="C412" s="920">
        <f>пристройка!F33*VLOOKUP('Ввод данных'!F416,связи1!A2:B3,2,0)*связи1!F550</f>
        <v>0</v>
      </c>
      <c r="D412" s="971">
        <f>пристройка!F17+пристройка!K17+пристройка!P17</f>
        <v>0</v>
      </c>
      <c r="E412" s="971">
        <f>IF('Ввод данных'!A372=связи1!A107,IF('Ввод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данных'!A373=связи1!A98,связи1!F553,0),0)+IF('Ввод данных'!A372=связи1!A106,IF('Ввод данных'!A373=связи1!A94,связи1!F553,0)+IF('Ввод данных'!A373=связи1!A95,связи1!F553,0)+IF('Ввод данных'!A373=связи1!A96,связи1!F553,0)+IF('Ввод данных'!A373=связи1!A97,связи1!F554,0)+IF('Ввод данных'!A373=связи1!A98,связи1!F553,0),0)+IF('Ввод данных'!A372=связи1!A108,IF('Ввод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</f>
        <v>3</v>
      </c>
      <c r="F412" s="1246">
        <f>C412*E412</f>
        <v>0</v>
      </c>
      <c r="G412" s="971">
        <f>G399</f>
        <v>0.6</v>
      </c>
      <c r="H412" s="971"/>
      <c r="I412" s="1055">
        <f>IF(C412=0,0,C412/G412+1)</f>
        <v>0</v>
      </c>
      <c r="J412" s="1270">
        <f t="shared" si="44"/>
        <v>0.05</v>
      </c>
      <c r="K412" s="1270">
        <f t="shared" si="45"/>
        <v>0.15</v>
      </c>
      <c r="L412" s="1438">
        <f>CEILING(C412/G412+1,1)*VLOOKUP('Ввод данных'!F416,связи1!A2:B3,2,0)*связи1!F550</f>
        <v>0</v>
      </c>
      <c r="M412" s="1438"/>
      <c r="N412" s="1438"/>
      <c r="O412" s="1280">
        <f>E412*I412*J412*K412</f>
        <v>0</v>
      </c>
      <c r="P412" s="1360">
        <f>C412</f>
        <v>0</v>
      </c>
      <c r="Q412" s="1360">
        <f>C412</f>
        <v>0</v>
      </c>
      <c r="R412" s="1360">
        <f>C412</f>
        <v>0</v>
      </c>
      <c r="S412" s="1055">
        <f>C412</f>
        <v>0</v>
      </c>
      <c r="T412" s="1280">
        <f>(P412+Q412+R412)*J412*K412</f>
        <v>0</v>
      </c>
      <c r="U412" s="1398"/>
      <c r="V412" s="971"/>
      <c r="W412" s="971"/>
      <c r="X412" s="971"/>
      <c r="Y412" s="1353"/>
      <c r="Z412" s="1353"/>
      <c r="AA412" s="971"/>
      <c r="AB412" s="971"/>
      <c r="AC412" s="971"/>
      <c r="AD412" s="971"/>
    </row>
    <row r="413" spans="1:30" s="1355" customFormat="1" ht="15.75" customHeight="1" outlineLevel="1">
      <c r="A413" s="1442" t="s">
        <v>3174</v>
      </c>
      <c r="B413" s="1445"/>
      <c r="C413" s="920">
        <f>пристройка!F33*VLOOKUP('Ввод данных'!F416,связи1!A2:B3,2,0)*связи1!F550</f>
        <v>0</v>
      </c>
      <c r="D413" s="971"/>
      <c r="E413" s="971">
        <f>IF('Ввод данных'!A372=связи1!A107,IF('Ввод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данных'!A373=связи1!A98,связи1!F553,0),0)+IF('Ввод данных'!A372=связи1!A106,IF('Ввод данных'!A373=связи1!A94,связи1!F553,0)+IF('Ввод данных'!A373=связи1!A95,связи1!F553,0)+IF('Ввод данных'!A373=связи1!A96,связи1!F553,0)+IF('Ввод данных'!A373=связи1!A97,связи1!F554,0)+IF('Ввод данных'!A373=связи1!A98,связи1!F553,0),0)+IF('Ввод данных'!A372=связи1!A108,IF('Ввод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</f>
        <v>3</v>
      </c>
      <c r="F413" s="1246">
        <f>C413*E413</f>
        <v>0</v>
      </c>
      <c r="G413" s="971">
        <f>G399</f>
        <v>0.6</v>
      </c>
      <c r="H413" s="971"/>
      <c r="I413" s="1055">
        <f>IF(C413=0,0,C413/G413+1)</f>
        <v>0</v>
      </c>
      <c r="J413" s="1270">
        <f t="shared" si="44"/>
        <v>0.05</v>
      </c>
      <c r="K413" s="1270">
        <f t="shared" si="45"/>
        <v>0.15</v>
      </c>
      <c r="L413" s="1438">
        <f>CEILING(C413/G413+1,1)*VLOOKUP('Ввод данных'!F416,связи1!A2:B3,2,0)*связи1!F550</f>
        <v>0</v>
      </c>
      <c r="M413" s="1438"/>
      <c r="N413" s="1438"/>
      <c r="O413" s="1280">
        <f>E413*I413*J413*K413</f>
        <v>0</v>
      </c>
      <c r="P413" s="1360">
        <f>C413</f>
        <v>0</v>
      </c>
      <c r="Q413" s="1360">
        <f>C413</f>
        <v>0</v>
      </c>
      <c r="R413" s="1360">
        <f>C413</f>
        <v>0</v>
      </c>
      <c r="S413" s="1055">
        <f>C413</f>
        <v>0</v>
      </c>
      <c r="T413" s="1280">
        <f>(P413+Q413+R413)*J413*K413</f>
        <v>0</v>
      </c>
      <c r="U413" s="1398"/>
      <c r="V413" s="971"/>
      <c r="W413" s="971"/>
      <c r="X413" s="971"/>
      <c r="Y413" s="1353"/>
      <c r="Z413" s="1353"/>
      <c r="AA413" s="971"/>
      <c r="AB413" s="971"/>
      <c r="AC413" s="971"/>
      <c r="AD413" s="971"/>
    </row>
    <row r="414" spans="1:30" s="1355" customFormat="1" ht="15.75" customHeight="1" outlineLevel="1">
      <c r="A414" s="1442"/>
      <c r="B414" s="1443">
        <f>B402</f>
        <v>0.4</v>
      </c>
      <c r="C414" s="1444">
        <f>SUM(C411:C413)</f>
        <v>0</v>
      </c>
      <c r="D414" s="1400">
        <f>B414*C414*(пристройка!F32+пристройка!K32+пристройка!P32)</f>
        <v>0</v>
      </c>
      <c r="E414" s="971"/>
      <c r="F414" s="1063"/>
      <c r="G414" s="971"/>
      <c r="H414" s="971"/>
      <c r="I414" s="971"/>
      <c r="J414" s="971"/>
      <c r="K414" s="971"/>
      <c r="L414" s="971"/>
      <c r="M414" s="971"/>
      <c r="N414" s="971"/>
      <c r="O414" s="971">
        <f>O398</f>
        <v>0.3</v>
      </c>
      <c r="P414" s="1353">
        <f>SUM(P411:P413)</f>
        <v>0</v>
      </c>
      <c r="Q414" s="1353">
        <f>SUM(Q411:Q413)</f>
        <v>0</v>
      </c>
      <c r="R414" s="1353">
        <f>SUM(R411:R413)</f>
        <v>0</v>
      </c>
      <c r="S414" s="1353">
        <f>SUM(S411:S413)</f>
        <v>0</v>
      </c>
      <c r="T414" s="971"/>
      <c r="U414" s="1398"/>
      <c r="V414" s="971"/>
      <c r="W414" s="971"/>
      <c r="X414" s="971"/>
      <c r="Y414" s="1353"/>
      <c r="Z414" s="1353"/>
      <c r="AA414" s="971"/>
      <c r="AB414" s="971"/>
      <c r="AC414" s="971"/>
      <c r="AD414" s="971"/>
    </row>
    <row r="415" spans="1:30" s="1355" customFormat="1" ht="15.75" customHeight="1" outlineLevel="1">
      <c r="A415" s="1442" t="s">
        <v>3175</v>
      </c>
      <c r="B415" s="920" t="s">
        <v>156</v>
      </c>
      <c r="C415" s="1446">
        <f>IF('Ввод данных'!A361=связи1!A94,связи1!C554-связи1!C553,0)+IF('Ввод данных'!A361=связи1!A97,связи1!C554,0)</f>
        <v>5</v>
      </c>
      <c r="D415" s="971"/>
      <c r="E415" s="971"/>
      <c r="F415" s="1063"/>
      <c r="G415" s="971"/>
      <c r="H415" s="971"/>
      <c r="I415" s="971"/>
      <c r="J415" s="971"/>
      <c r="K415" s="971"/>
      <c r="L415" s="971"/>
      <c r="M415" s="971"/>
      <c r="N415" s="971"/>
      <c r="O415" s="971"/>
      <c r="P415" s="1353"/>
      <c r="Q415" s="1353"/>
      <c r="R415" s="1353"/>
      <c r="S415" s="971"/>
      <c r="T415" s="971"/>
      <c r="U415" s="1398"/>
      <c r="V415" s="971"/>
      <c r="W415" s="971"/>
      <c r="X415" s="971"/>
      <c r="Y415" s="1353"/>
      <c r="Z415" s="1353"/>
      <c r="AA415" s="971"/>
      <c r="AB415" s="971"/>
      <c r="AC415" s="971"/>
      <c r="AD415" s="971"/>
    </row>
    <row r="416" spans="1:30" s="1355" customFormat="1" ht="15.75" customHeight="1" outlineLevel="1">
      <c r="A416" s="1442" t="s">
        <v>3176</v>
      </c>
      <c r="B416" s="920"/>
      <c r="C416" s="1446">
        <f>IF('Ввод данных'!A361=связи1!A94,1,0)+IF('Ввод данных'!A361=связи1!A97,1,0)</f>
        <v>1</v>
      </c>
      <c r="D416" s="971">
        <f>IF('Ввод данных'!A365=связи1!A94,1,0)+IF('Ввод данных'!A365=связи1!A97,1,0)</f>
        <v>0</v>
      </c>
      <c r="E416" s="971">
        <f>IF('Ввод данных'!A369=связи1!A94,1,0)+IF('Ввод данных'!A369=связи1!A97,1,0)</f>
        <v>0</v>
      </c>
      <c r="F416" s="1063"/>
      <c r="G416" s="971"/>
      <c r="H416" s="971"/>
      <c r="I416" s="971"/>
      <c r="J416" s="971"/>
      <c r="K416" s="971"/>
      <c r="L416" s="971"/>
      <c r="M416" s="971"/>
      <c r="N416" s="971"/>
      <c r="O416" s="971"/>
      <c r="P416" s="1353"/>
      <c r="Q416" s="1353"/>
      <c r="R416" s="1353"/>
      <c r="S416" s="971"/>
      <c r="T416" s="971"/>
      <c r="U416" s="1398"/>
      <c r="V416" s="971"/>
      <c r="W416" s="971"/>
      <c r="X416" s="971"/>
      <c r="Y416" s="1353"/>
      <c r="Z416" s="1353"/>
      <c r="AA416" s="971"/>
      <c r="AB416" s="971"/>
      <c r="AC416" s="971"/>
      <c r="AD416" s="971"/>
    </row>
    <row r="417" spans="1:30" s="1355" customFormat="1" ht="15.75" customHeight="1" outlineLevel="1">
      <c r="A417" s="1442" t="s">
        <v>3177</v>
      </c>
      <c r="B417" s="920" t="s">
        <v>156</v>
      </c>
      <c r="C417" s="1446">
        <f>C404</f>
        <v>0</v>
      </c>
      <c r="D417" s="971"/>
      <c r="E417" s="971"/>
      <c r="F417" s="1063"/>
      <c r="G417" s="971"/>
      <c r="H417" s="971"/>
      <c r="I417" s="971"/>
      <c r="J417" s="971"/>
      <c r="K417" s="971"/>
      <c r="L417" s="971"/>
      <c r="M417" s="971"/>
      <c r="N417" s="971"/>
      <c r="O417" s="971"/>
      <c r="P417" s="1353"/>
      <c r="Q417" s="1353"/>
      <c r="R417" s="1353"/>
      <c r="S417" s="971"/>
      <c r="T417" s="971"/>
      <c r="U417" s="1398"/>
      <c r="V417" s="971"/>
      <c r="W417" s="971"/>
      <c r="X417" s="971"/>
      <c r="Y417" s="1353"/>
      <c r="Z417" s="1353"/>
      <c r="AA417" s="971"/>
      <c r="AB417" s="971"/>
      <c r="AC417" s="971"/>
      <c r="AD417" s="971"/>
    </row>
    <row r="418" spans="1:30" s="1355" customFormat="1" ht="15.75" customHeight="1" outlineLevel="1">
      <c r="A418" s="1442" t="s">
        <v>3178</v>
      </c>
      <c r="B418" s="920" t="s">
        <v>159</v>
      </c>
      <c r="C418" s="1446">
        <f>CEILING(IF('Ввод данных'!A360=связи1!A106,L400,0)+IF('Ввод данных'!A360=связи1!A107,дома!C399/2/дома!G399,0)+IF('Ввод данных'!A360=связи1!A108,дома!L400,0),1)</f>
        <v>0</v>
      </c>
      <c r="D418" s="971">
        <f>CEILING(IF('Ввод данных'!A364=связи1!A106,L404,0)+IF('Ввод данных'!A364=связи1!A107,дома!C403/2/дома!G403,0)+IF('Ввод данных'!A364=связи1!A108,дома!L404,0),1)</f>
        <v>0</v>
      </c>
      <c r="E418" s="971">
        <f>CEILING(IF('Ввод данных'!A368=связи1!A106,L408,0)+IF('Ввод данных'!A368=связи1!A107,дома!C407/2/дома!G407,0)+IF('Ввод данных'!A368=связи1!A108,дома!L408,0),1)</f>
        <v>0</v>
      </c>
      <c r="F418" s="1063">
        <f>CEILING(IF('Ввод данных'!A372=связи1!A106,L412,0)+IF('Ввод данных'!A372=связи1!A107,дома!C411/2/дома!G411,0)+IF('Ввод данных'!A372=связи1!A108,дома!L412,0),1)</f>
        <v>0</v>
      </c>
      <c r="G418" s="971"/>
      <c r="H418" s="971"/>
      <c r="I418" s="971"/>
      <c r="J418" s="971"/>
      <c r="K418" s="971"/>
      <c r="L418" s="971"/>
      <c r="M418" s="971"/>
      <c r="N418" s="971"/>
      <c r="O418" s="971"/>
      <c r="P418" s="1353"/>
      <c r="Q418" s="1353"/>
      <c r="R418" s="1353"/>
      <c r="S418" s="971"/>
      <c r="T418" s="971"/>
      <c r="U418" s="1398"/>
      <c r="V418" s="971"/>
      <c r="W418" s="971"/>
      <c r="X418" s="971"/>
      <c r="Y418" s="1353"/>
      <c r="Z418" s="1353"/>
      <c r="AA418" s="971"/>
      <c r="AB418" s="971"/>
      <c r="AC418" s="971"/>
      <c r="AD418" s="971"/>
    </row>
    <row r="419" spans="1:30" s="1355" customFormat="1" ht="15.75" customHeight="1" outlineLevel="1">
      <c r="A419" s="1442" t="s">
        <v>3179</v>
      </c>
      <c r="B419" s="920" t="s">
        <v>156</v>
      </c>
      <c r="C419" s="1446">
        <f>(IF('Ввод данных'!A361=связи1!A94,(связи1!C554-связи1!C553)/IF(C418=0,1,C418),0)+IF('Ввод данных'!A361=связи1!A97,(связи1!C554-связи1!C553)/IF(C418=0,1,C418),0))*IF(C418=0,0,1)</f>
        <v>0</v>
      </c>
      <c r="D419" s="1446">
        <f>(IF('Ввод данных'!A365=связи1!A94,(связи1!D554-связи1!D553)/IF(D418=0,1,D418),0)+IF('Ввод данных'!A365=связи1!A97,(связи1!D554-связи1!D553)/IF(D418=0,1,D418),0))*IF(D418=0,0,1)</f>
        <v>0</v>
      </c>
      <c r="E419" s="971">
        <f>((IF('Ввод данных'!A369=связи1!A94,(связи1!E554-связи1!E553)/IF(E418=0,1,E418),0)+IF('Ввод данных'!A369=связи1!A97,(связи1!E554-связи1!E553)/IF(E418=0,1,E418),0)))*IF(E418=0,0,1)</f>
        <v>0</v>
      </c>
      <c r="F419" s="1063">
        <f>(IF('Ввод данных'!A373=связи1!A94,(связи1!F554-связи1!F553)/IF(F418=0,1,F418),0)+IF('Ввод данных'!A373=связи1!A97,(связи1!F554-связи1!F553)/IF(F418=0,1,F418),0))*IF(F418=0,0,1)</f>
        <v>0</v>
      </c>
      <c r="G419" s="971"/>
      <c r="H419" s="971"/>
      <c r="I419" s="971"/>
      <c r="J419" s="971"/>
      <c r="K419" s="971"/>
      <c r="L419" s="971"/>
      <c r="M419" s="971"/>
      <c r="N419" s="971"/>
      <c r="O419" s="971"/>
      <c r="P419" s="1353"/>
      <c r="Q419" s="1353"/>
      <c r="R419" s="1353"/>
      <c r="S419" s="971"/>
      <c r="T419" s="971"/>
      <c r="U419" s="1398"/>
      <c r="V419" s="971"/>
      <c r="W419" s="971"/>
      <c r="X419" s="971"/>
      <c r="Y419" s="1353"/>
      <c r="Z419" s="1353"/>
      <c r="AA419" s="971"/>
      <c r="AB419" s="971"/>
      <c r="AC419" s="971"/>
      <c r="AD419" s="971"/>
    </row>
    <row r="420" spans="1:30" s="1355" customFormat="1" ht="15.75" customHeight="1" outlineLevel="1">
      <c r="A420" s="1442" t="s">
        <v>3180</v>
      </c>
      <c r="B420" s="920"/>
      <c r="C420" s="971"/>
      <c r="D420" s="971"/>
      <c r="E420" s="971"/>
      <c r="F420" s="1063"/>
      <c r="G420" s="971"/>
      <c r="H420" s="971"/>
      <c r="I420" s="971"/>
      <c r="J420" s="971"/>
      <c r="K420" s="971"/>
      <c r="L420" s="971"/>
      <c r="M420" s="971"/>
      <c r="N420" s="971"/>
      <c r="O420" s="971"/>
      <c r="P420" s="1353"/>
      <c r="Q420" s="1353"/>
      <c r="R420" s="1353"/>
      <c r="S420" s="971"/>
      <c r="T420" s="971"/>
      <c r="U420" s="1398"/>
      <c r="V420" s="971"/>
      <c r="W420" s="971"/>
      <c r="X420" s="971"/>
      <c r="Y420" s="1353"/>
      <c r="Z420" s="1353"/>
      <c r="AA420" s="971"/>
      <c r="AB420" s="971"/>
      <c r="AC420" s="971"/>
      <c r="AD420" s="971"/>
    </row>
    <row r="421" spans="1:30" s="1355" customFormat="1" ht="15.75" customHeight="1" outlineLevel="1">
      <c r="A421" s="1442" t="s">
        <v>3181</v>
      </c>
      <c r="B421" s="920"/>
      <c r="C421" s="971"/>
      <c r="D421" s="971"/>
      <c r="E421" s="971"/>
      <c r="F421" s="1063"/>
      <c r="G421" s="971"/>
      <c r="H421" s="971"/>
      <c r="I421" s="971"/>
      <c r="J421" s="971"/>
      <c r="K421" s="971"/>
      <c r="L421" s="971"/>
      <c r="M421" s="971"/>
      <c r="N421" s="971"/>
      <c r="O421" s="971"/>
      <c r="P421" s="1353"/>
      <c r="Q421" s="1353"/>
      <c r="R421" s="1353"/>
      <c r="S421" s="971"/>
      <c r="T421" s="971"/>
      <c r="U421" s="1398"/>
      <c r="V421" s="971"/>
      <c r="W421" s="971"/>
      <c r="X421" s="971"/>
      <c r="Y421" s="1353"/>
      <c r="Z421" s="1353"/>
      <c r="AA421" s="971"/>
      <c r="AB421" s="971"/>
      <c r="AC421" s="971"/>
      <c r="AD421" s="971"/>
    </row>
    <row r="422" spans="1:30" s="1355" customFormat="1" ht="15.75" customHeight="1" outlineLevel="1">
      <c r="A422" s="1442" t="s">
        <v>3182</v>
      </c>
      <c r="B422" s="920"/>
      <c r="C422" s="971"/>
      <c r="D422" s="971"/>
      <c r="E422" s="971"/>
      <c r="F422" s="1063"/>
      <c r="G422" s="971"/>
      <c r="H422" s="971"/>
      <c r="I422" s="971"/>
      <c r="J422" s="971"/>
      <c r="K422" s="971"/>
      <c r="L422" s="971"/>
      <c r="M422" s="971"/>
      <c r="N422" s="971"/>
      <c r="O422" s="971"/>
      <c r="P422" s="1353"/>
      <c r="Q422" s="1353"/>
      <c r="R422" s="1353"/>
      <c r="S422" s="971"/>
      <c r="T422" s="971"/>
      <c r="U422" s="1398"/>
      <c r="V422" s="971"/>
      <c r="W422" s="971"/>
      <c r="X422" s="971"/>
      <c r="Y422" s="1353"/>
      <c r="Z422" s="1353"/>
      <c r="AA422" s="971"/>
      <c r="AB422" s="971"/>
      <c r="AC422" s="971"/>
      <c r="AD422" s="971"/>
    </row>
    <row r="423" spans="1:30" s="1355" customFormat="1" ht="15.75" customHeight="1" outlineLevel="1">
      <c r="A423" s="1447" t="s">
        <v>3183</v>
      </c>
      <c r="B423" s="1448" t="s">
        <v>120</v>
      </c>
      <c r="C423" s="1449" t="s">
        <v>1800</v>
      </c>
      <c r="D423" s="1450" t="s">
        <v>2975</v>
      </c>
      <c r="E423" s="1450" t="s">
        <v>293</v>
      </c>
      <c r="F423" s="1451" t="s">
        <v>1802</v>
      </c>
      <c r="G423" s="971"/>
      <c r="H423" s="971"/>
      <c r="I423" s="971"/>
      <c r="J423" s="971"/>
      <c r="K423" s="971"/>
      <c r="L423" s="971"/>
      <c r="M423" s="971"/>
      <c r="N423" s="971"/>
      <c r="O423" s="971"/>
      <c r="P423" s="1353"/>
      <c r="Q423" s="1353"/>
      <c r="R423" s="1353"/>
      <c r="S423" s="971"/>
      <c r="T423" s="971"/>
      <c r="U423" s="1398"/>
      <c r="V423" s="971"/>
      <c r="W423" s="971"/>
      <c r="X423" s="971"/>
      <c r="Y423" s="1353"/>
      <c r="Z423" s="1353"/>
      <c r="AA423" s="971"/>
      <c r="AB423" s="971"/>
      <c r="AC423" s="971"/>
      <c r="AD423" s="971"/>
    </row>
    <row r="424" spans="1:30" s="1355" customFormat="1" ht="15.75" customHeight="1" outlineLevel="1">
      <c r="A424" s="1414" t="s">
        <v>3184</v>
      </c>
      <c r="B424" s="1330" t="s">
        <v>156</v>
      </c>
      <c r="C424" s="920">
        <f t="shared" ref="C424:C463" si="47">$B$402</f>
        <v>0.4</v>
      </c>
      <c r="D424" s="971">
        <f t="shared" ref="D424:D463" si="48">$J$399</f>
        <v>0.05</v>
      </c>
      <c r="E424" s="971">
        <f>связи1!C553</f>
        <v>2.9</v>
      </c>
      <c r="F424" s="1063">
        <f>L399</f>
        <v>0</v>
      </c>
      <c r="G424" s="971">
        <f t="shared" ref="G424:G464" si="49">C424*D424*E424*F424</f>
        <v>0</v>
      </c>
      <c r="H424" s="971"/>
      <c r="I424" s="971"/>
      <c r="J424" s="971"/>
      <c r="K424" s="971"/>
      <c r="L424" s="971"/>
      <c r="M424" s="971"/>
      <c r="N424" s="971"/>
      <c r="O424" s="971"/>
      <c r="P424" s="1353"/>
      <c r="Q424" s="1353"/>
      <c r="R424" s="1353"/>
      <c r="S424" s="971"/>
      <c r="T424" s="971"/>
      <c r="U424" s="1398"/>
      <c r="V424" s="971"/>
      <c r="W424" s="971"/>
      <c r="X424" s="971"/>
      <c r="Y424" s="1353"/>
      <c r="Z424" s="1353"/>
      <c r="AA424" s="971"/>
      <c r="AB424" s="971"/>
      <c r="AC424" s="971"/>
      <c r="AD424" s="971"/>
    </row>
    <row r="425" spans="1:30" s="1355" customFormat="1" ht="15.75" customHeight="1" outlineLevel="1">
      <c r="A425" s="1414" t="s">
        <v>3009</v>
      </c>
      <c r="B425" s="1330" t="s">
        <v>156</v>
      </c>
      <c r="C425" s="920">
        <f t="shared" si="47"/>
        <v>0.4</v>
      </c>
      <c r="D425" s="971">
        <f t="shared" si="48"/>
        <v>0.05</v>
      </c>
      <c r="E425" s="971">
        <f>$E$400*IF('Ввод данных'!A361=связи1!A97,IF('Ввод данных'!A360=связи1!A106,0,1),1)</f>
        <v>1.2</v>
      </c>
      <c r="F425" s="1063">
        <f>L400</f>
        <v>0</v>
      </c>
      <c r="G425" s="971">
        <f t="shared" si="49"/>
        <v>0</v>
      </c>
      <c r="H425" s="971"/>
      <c r="I425" s="971"/>
      <c r="J425" s="971"/>
      <c r="K425" s="971"/>
      <c r="L425" s="971"/>
      <c r="M425" s="971"/>
      <c r="N425" s="971"/>
      <c r="O425" s="971"/>
      <c r="P425" s="1353"/>
      <c r="Q425" s="1353"/>
      <c r="R425" s="1353"/>
      <c r="S425" s="971"/>
      <c r="T425" s="971"/>
      <c r="U425" s="1398"/>
      <c r="V425" s="971"/>
      <c r="W425" s="971"/>
      <c r="X425" s="971"/>
      <c r="Y425" s="1353"/>
      <c r="Z425" s="1353"/>
      <c r="AA425" s="971"/>
      <c r="AB425" s="971"/>
      <c r="AC425" s="971"/>
      <c r="AD425" s="971"/>
    </row>
    <row r="426" spans="1:30" s="1355" customFormat="1" ht="15.75" customHeight="1" outlineLevel="1">
      <c r="A426" s="1414" t="s">
        <v>3010</v>
      </c>
      <c r="B426" s="1330" t="s">
        <v>156</v>
      </c>
      <c r="C426" s="920">
        <f t="shared" si="47"/>
        <v>0.4</v>
      </c>
      <c r="D426" s="971">
        <f t="shared" si="48"/>
        <v>0.05</v>
      </c>
      <c r="E426" s="971">
        <f>$E$400*IF('Ввод данных'!A361=связи1!A97,IF('Ввод данных'!A360=связи1!A106,0,1),1)</f>
        <v>1.2</v>
      </c>
      <c r="F426" s="1063">
        <f>L401</f>
        <v>0</v>
      </c>
      <c r="G426" s="971">
        <f t="shared" si="49"/>
        <v>0</v>
      </c>
      <c r="H426" s="971"/>
      <c r="I426" s="971"/>
      <c r="J426" s="971"/>
      <c r="K426" s="971"/>
      <c r="L426" s="971"/>
      <c r="M426" s="971"/>
      <c r="N426" s="971"/>
      <c r="O426" s="971"/>
      <c r="P426" s="1353"/>
      <c r="Q426" s="1353"/>
      <c r="R426" s="1353"/>
      <c r="S426" s="971"/>
      <c r="T426" s="971"/>
      <c r="U426" s="1398"/>
      <c r="V426" s="971"/>
      <c r="W426" s="971"/>
      <c r="X426" s="971"/>
      <c r="Y426" s="1353"/>
      <c r="Z426" s="1353"/>
      <c r="AA426" s="971"/>
      <c r="AB426" s="971"/>
      <c r="AC426" s="971"/>
      <c r="AD426" s="971"/>
    </row>
    <row r="427" spans="1:30" s="1355" customFormat="1" ht="15.75" customHeight="1" outlineLevel="1">
      <c r="A427" s="1055" t="s">
        <v>3013</v>
      </c>
      <c r="B427" s="1330" t="s">
        <v>156</v>
      </c>
      <c r="C427" s="920">
        <f t="shared" si="47"/>
        <v>0.4</v>
      </c>
      <c r="D427" s="971">
        <f t="shared" si="48"/>
        <v>0.05</v>
      </c>
      <c r="E427" s="971"/>
      <c r="F427" s="1063">
        <f>(P402+Q402)</f>
        <v>0</v>
      </c>
      <c r="G427" s="971">
        <f t="shared" si="49"/>
        <v>0</v>
      </c>
      <c r="H427" s="971"/>
      <c r="I427" s="971"/>
      <c r="J427" s="971"/>
      <c r="K427" s="971"/>
      <c r="L427" s="971"/>
      <c r="M427" s="971"/>
      <c r="N427" s="971"/>
      <c r="O427" s="971"/>
      <c r="P427" s="1353"/>
      <c r="Q427" s="1353"/>
      <c r="R427" s="1353"/>
      <c r="S427" s="971"/>
      <c r="T427" s="971"/>
      <c r="U427" s="1398"/>
      <c r="V427" s="971"/>
      <c r="W427" s="971"/>
      <c r="X427" s="971"/>
      <c r="Y427" s="1353"/>
      <c r="Z427" s="1353"/>
      <c r="AA427" s="971"/>
      <c r="AB427" s="971"/>
      <c r="AC427" s="971"/>
      <c r="AD427" s="971"/>
    </row>
    <row r="428" spans="1:30" s="1355" customFormat="1" ht="15.75" customHeight="1" outlineLevel="1">
      <c r="A428" s="1055" t="s">
        <v>3014</v>
      </c>
      <c r="B428" s="1330" t="s">
        <v>156</v>
      </c>
      <c r="C428" s="920">
        <f t="shared" si="47"/>
        <v>0.4</v>
      </c>
      <c r="D428" s="971">
        <f t="shared" si="48"/>
        <v>0.05</v>
      </c>
      <c r="E428" s="971"/>
      <c r="F428" s="1063">
        <f>R402</f>
        <v>0</v>
      </c>
      <c r="G428" s="971">
        <f t="shared" si="49"/>
        <v>0</v>
      </c>
      <c r="H428" s="971"/>
      <c r="I428" s="971"/>
      <c r="J428" s="971"/>
      <c r="K428" s="971"/>
      <c r="L428" s="971"/>
      <c r="M428" s="971"/>
      <c r="N428" s="971"/>
      <c r="O428" s="971"/>
      <c r="P428" s="1353"/>
      <c r="Q428" s="1353"/>
      <c r="R428" s="1353"/>
      <c r="S428" s="971"/>
      <c r="T428" s="971"/>
      <c r="U428" s="1398"/>
      <c r="V428" s="971"/>
      <c r="W428" s="971"/>
      <c r="X428" s="971"/>
      <c r="Y428" s="1353"/>
      <c r="Z428" s="1353"/>
      <c r="AA428" s="971"/>
      <c r="AB428" s="971"/>
      <c r="AC428" s="971"/>
      <c r="AD428" s="971"/>
    </row>
    <row r="429" spans="1:30" s="1355" customFormat="1" ht="15.75" customHeight="1" outlineLevel="1">
      <c r="A429" s="1414" t="s">
        <v>3020</v>
      </c>
      <c r="B429" s="1330" t="s">
        <v>156</v>
      </c>
      <c r="C429" s="920">
        <f t="shared" si="47"/>
        <v>0.4</v>
      </c>
      <c r="D429" s="971">
        <f t="shared" si="48"/>
        <v>0.05</v>
      </c>
      <c r="E429" s="971">
        <f>1.5*VLOOKUP('Ввод данных'!F416,связи1!A2:B3,2,0)*связи1!C550</f>
        <v>0</v>
      </c>
      <c r="F429" s="1063">
        <f>8</f>
        <v>8</v>
      </c>
      <c r="G429" s="971">
        <f t="shared" si="49"/>
        <v>0</v>
      </c>
      <c r="H429" s="971"/>
      <c r="I429" s="971"/>
      <c r="J429" s="971"/>
      <c r="K429" s="971"/>
      <c r="L429" s="971"/>
      <c r="M429" s="971"/>
      <c r="N429" s="971"/>
      <c r="O429" s="971"/>
      <c r="P429" s="1353"/>
      <c r="Q429" s="1353"/>
      <c r="R429" s="1353"/>
      <c r="S429" s="971"/>
      <c r="T429" s="971"/>
      <c r="U429" s="1398"/>
      <c r="V429" s="971"/>
      <c r="W429" s="971"/>
      <c r="X429" s="971"/>
      <c r="Y429" s="1353"/>
      <c r="Z429" s="1353"/>
      <c r="AA429" s="971"/>
      <c r="AB429" s="971"/>
      <c r="AC429" s="971"/>
      <c r="AD429" s="971"/>
    </row>
    <row r="430" spans="1:30" s="1355" customFormat="1" ht="15.75" customHeight="1" outlineLevel="1">
      <c r="A430" s="1452" t="s">
        <v>3185</v>
      </c>
      <c r="B430" s="1453" t="s">
        <v>156</v>
      </c>
      <c r="C430" s="1454">
        <f t="shared" si="47"/>
        <v>0.4</v>
      </c>
      <c r="D430" s="1452">
        <f t="shared" si="48"/>
        <v>0.05</v>
      </c>
      <c r="E430" s="1452">
        <f>IF('Ввод данных'!A360=связи1!A106,IF('Ввод данных'!A361=связи1!A94,связи1!C554-связи1!C553,0)+IF('Ввод данных'!A361=связи1!A95,0,0)+IF('Ввод данных'!A361=связи1!A96,0,0)+IF('Ввод данных'!A361=связи1!A97,связи1!C554,0)+IF('Ввод данных'!A361=связи1!A98,0,0),0)</f>
        <v>0</v>
      </c>
      <c r="F430" s="1455">
        <f>2</f>
        <v>2</v>
      </c>
      <c r="G430" s="971">
        <f t="shared" si="49"/>
        <v>0</v>
      </c>
      <c r="H430" s="971"/>
      <c r="I430" s="971"/>
      <c r="J430" s="971"/>
      <c r="K430" s="971"/>
      <c r="L430" s="971"/>
      <c r="M430" s="971"/>
      <c r="N430" s="971"/>
      <c r="O430" s="971"/>
      <c r="P430" s="1353"/>
      <c r="Q430" s="1353"/>
      <c r="R430" s="1353"/>
      <c r="S430" s="971"/>
      <c r="T430" s="971"/>
      <c r="U430" s="1398"/>
      <c r="V430" s="971"/>
      <c r="W430" s="971"/>
      <c r="X430" s="971"/>
      <c r="Y430" s="1353"/>
      <c r="Z430" s="1353"/>
      <c r="AA430" s="971"/>
      <c r="AB430" s="971"/>
      <c r="AC430" s="971"/>
      <c r="AD430" s="971"/>
    </row>
    <row r="431" spans="1:30" s="1355" customFormat="1" ht="15.75" customHeight="1" outlineLevel="1">
      <c r="A431" s="1452" t="s">
        <v>3186</v>
      </c>
      <c r="B431" s="1453" t="s">
        <v>156</v>
      </c>
      <c r="C431" s="1454">
        <f t="shared" si="47"/>
        <v>0.4</v>
      </c>
      <c r="D431" s="1452">
        <f t="shared" si="48"/>
        <v>0.05</v>
      </c>
      <c r="E431" s="1452">
        <f>IF('Ввод данных'!$A$361=связи1!$A$97,IF(дома!E430&lt;связи1!$C$553,0,дома!E430-$C$419),0)+IF(E430=0,0,IF('Ввод данных'!$A$361=связи1!$A$94,IF(дома!E430&lt;0,0,E430-$C$419),0))</f>
        <v>0</v>
      </c>
      <c r="F431" s="1455">
        <f>2</f>
        <v>2</v>
      </c>
      <c r="G431" s="971">
        <f t="shared" si="49"/>
        <v>0</v>
      </c>
      <c r="H431" s="971"/>
      <c r="I431" s="971"/>
      <c r="J431" s="971"/>
      <c r="K431" s="971"/>
      <c r="L431" s="971"/>
      <c r="M431" s="971"/>
      <c r="N431" s="971"/>
      <c r="O431" s="971"/>
      <c r="P431" s="1353"/>
      <c r="Q431" s="1353"/>
      <c r="R431" s="1353"/>
      <c r="S431" s="971"/>
      <c r="T431" s="971"/>
      <c r="U431" s="1398"/>
      <c r="V431" s="971"/>
      <c r="W431" s="971"/>
      <c r="X431" s="971"/>
      <c r="Y431" s="1353"/>
      <c r="Z431" s="1353"/>
      <c r="AA431" s="971"/>
      <c r="AB431" s="971"/>
      <c r="AC431" s="971"/>
      <c r="AD431" s="971"/>
    </row>
    <row r="432" spans="1:30" s="1355" customFormat="1" ht="15.75" customHeight="1" outlineLevel="1">
      <c r="A432" s="1452" t="s">
        <v>3187</v>
      </c>
      <c r="B432" s="1453" t="s">
        <v>156</v>
      </c>
      <c r="C432" s="1454">
        <f t="shared" si="47"/>
        <v>0.4</v>
      </c>
      <c r="D432" s="1452">
        <f t="shared" si="48"/>
        <v>0.05</v>
      </c>
      <c r="E432" s="1452">
        <f>IF('Ввод данных'!$A$361=связи1!$A$97,IF(дома!E431&lt;связи1!$C$553,0,дома!E431-$C$419),0)+IF(E431=0,0,IF('Ввод данных'!$A$361=связи1!$A$94,IF(дома!E431&lt;0,0,E431-$C$419),0))</f>
        <v>0</v>
      </c>
      <c r="F432" s="1455">
        <f>2</f>
        <v>2</v>
      </c>
      <c r="G432" s="971">
        <f t="shared" si="49"/>
        <v>0</v>
      </c>
      <c r="H432" s="971"/>
      <c r="I432" s="971"/>
      <c r="J432" s="971"/>
      <c r="K432" s="971"/>
      <c r="L432" s="971"/>
      <c r="M432" s="971"/>
      <c r="N432" s="971"/>
      <c r="O432" s="971"/>
      <c r="P432" s="1353"/>
      <c r="Q432" s="1353"/>
      <c r="R432" s="1353"/>
      <c r="S432" s="971"/>
      <c r="T432" s="971"/>
      <c r="U432" s="1398"/>
      <c r="V432" s="971"/>
      <c r="W432" s="971"/>
      <c r="X432" s="971"/>
      <c r="Y432" s="1353"/>
      <c r="Z432" s="1353"/>
      <c r="AA432" s="971"/>
      <c r="AB432" s="971"/>
      <c r="AC432" s="971"/>
      <c r="AD432" s="971"/>
    </row>
    <row r="433" spans="1:30" s="1355" customFormat="1" ht="15.75" customHeight="1" outlineLevel="1">
      <c r="A433" s="1452" t="s">
        <v>3188</v>
      </c>
      <c r="B433" s="1453" t="s">
        <v>156</v>
      </c>
      <c r="C433" s="1454">
        <f t="shared" si="47"/>
        <v>0.4</v>
      </c>
      <c r="D433" s="1452">
        <f t="shared" si="48"/>
        <v>0.05</v>
      </c>
      <c r="E433" s="1452">
        <f>IF('Ввод данных'!$A$361=связи1!$A$97,IF(дома!E432&lt;связи1!$C$553,0,дома!E432-$C$419),0)+IF(E432=0,0,IF('Ввод данных'!$A$361=связи1!$A$94,IF(дома!E432&lt;0,0,E432-$C$419),0))</f>
        <v>0</v>
      </c>
      <c r="F433" s="1455">
        <f>2</f>
        <v>2</v>
      </c>
      <c r="G433" s="971">
        <f t="shared" si="49"/>
        <v>0</v>
      </c>
      <c r="H433" s="971"/>
      <c r="I433" s="971"/>
      <c r="J433" s="971"/>
      <c r="K433" s="971"/>
      <c r="L433" s="971"/>
      <c r="M433" s="971"/>
      <c r="N433" s="971"/>
      <c r="O433" s="971"/>
      <c r="P433" s="1353"/>
      <c r="Q433" s="1353"/>
      <c r="R433" s="1353"/>
      <c r="S433" s="971"/>
      <c r="T433" s="971"/>
      <c r="U433" s="1398"/>
      <c r="V433" s="971"/>
      <c r="W433" s="971"/>
      <c r="X433" s="971"/>
      <c r="Y433" s="1353"/>
      <c r="Z433" s="1353"/>
      <c r="AA433" s="971"/>
      <c r="AB433" s="971"/>
      <c r="AC433" s="971"/>
      <c r="AD433" s="971"/>
    </row>
    <row r="434" spans="1:30" s="1355" customFormat="1" ht="15.75" customHeight="1" outlineLevel="1">
      <c r="A434" s="1452" t="s">
        <v>3189</v>
      </c>
      <c r="B434" s="1453" t="s">
        <v>156</v>
      </c>
      <c r="C434" s="1454">
        <f t="shared" si="47"/>
        <v>0.4</v>
      </c>
      <c r="D434" s="1452">
        <f t="shared" si="48"/>
        <v>0.05</v>
      </c>
      <c r="E434" s="1452">
        <f>IF('Ввод данных'!$A$361=связи1!$A$97,IF(дома!E433&lt;связи1!$C$553,0,дома!E433-$C$419),0)+IF(E433=0,0,IF('Ввод данных'!$A$361=связи1!$A$94,IF(дома!E433&lt;0,0,E433-$C$419),0))</f>
        <v>0</v>
      </c>
      <c r="F434" s="1455">
        <f>2</f>
        <v>2</v>
      </c>
      <c r="G434" s="971">
        <f t="shared" si="49"/>
        <v>0</v>
      </c>
      <c r="H434" s="971"/>
      <c r="I434" s="971"/>
      <c r="J434" s="971"/>
      <c r="K434" s="971"/>
      <c r="L434" s="971"/>
      <c r="M434" s="971"/>
      <c r="N434" s="971"/>
      <c r="O434" s="971"/>
      <c r="P434" s="1353"/>
      <c r="Q434" s="1353"/>
      <c r="R434" s="1353"/>
      <c r="S434" s="971"/>
      <c r="T434" s="971"/>
      <c r="U434" s="1398"/>
      <c r="V434" s="971"/>
      <c r="W434" s="971"/>
      <c r="X434" s="971"/>
      <c r="Y434" s="1353"/>
      <c r="Z434" s="1353"/>
      <c r="AA434" s="971"/>
      <c r="AB434" s="971"/>
      <c r="AC434" s="971"/>
      <c r="AD434" s="971"/>
    </row>
    <row r="435" spans="1:30" s="1355" customFormat="1" ht="15.75" customHeight="1" outlineLevel="1">
      <c r="A435" s="1452" t="s">
        <v>3190</v>
      </c>
      <c r="B435" s="1453" t="s">
        <v>156</v>
      </c>
      <c r="C435" s="1454">
        <f t="shared" si="47"/>
        <v>0.4</v>
      </c>
      <c r="D435" s="1452">
        <f t="shared" si="48"/>
        <v>0.05</v>
      </c>
      <c r="E435" s="1452">
        <f>IF('Ввод данных'!$A$361=связи1!$A$97,IF(дома!E434&lt;связи1!$C$553,0,дома!E434-$C$419),0)+IF(E434=0,0,IF('Ввод данных'!$A$361=связи1!$A$94,IF(дома!E434&lt;0,0,E434-$C$419),0))</f>
        <v>0</v>
      </c>
      <c r="F435" s="1455">
        <f>2</f>
        <v>2</v>
      </c>
      <c r="G435" s="971">
        <f t="shared" si="49"/>
        <v>0</v>
      </c>
      <c r="H435" s="971"/>
      <c r="I435" s="971"/>
      <c r="J435" s="971"/>
      <c r="K435" s="971"/>
      <c r="L435" s="971"/>
      <c r="M435" s="971"/>
      <c r="N435" s="971"/>
      <c r="O435" s="971"/>
      <c r="P435" s="1353"/>
      <c r="Q435" s="1353"/>
      <c r="R435" s="1353"/>
      <c r="S435" s="971"/>
      <c r="T435" s="971"/>
      <c r="U435" s="1398"/>
      <c r="V435" s="971"/>
      <c r="W435" s="971"/>
      <c r="X435" s="971"/>
      <c r="Y435" s="1353"/>
      <c r="Z435" s="1353"/>
      <c r="AA435" s="971"/>
      <c r="AB435" s="971"/>
      <c r="AC435" s="971"/>
      <c r="AD435" s="971"/>
    </row>
    <row r="436" spans="1:30" s="1355" customFormat="1" ht="15.75" customHeight="1" outlineLevel="1">
      <c r="A436" s="1452" t="s">
        <v>3191</v>
      </c>
      <c r="B436" s="1453" t="s">
        <v>156</v>
      </c>
      <c r="C436" s="1454">
        <f t="shared" si="47"/>
        <v>0.4</v>
      </c>
      <c r="D436" s="1452">
        <f t="shared" si="48"/>
        <v>0.05</v>
      </c>
      <c r="E436" s="1452">
        <f>IF('Ввод данных'!$A$361=связи1!$A$97,IF(дома!E435&lt;связи1!$C$553,0,дома!E435-$C$419),0)+IF(E435=0,0,IF('Ввод данных'!$A$361=связи1!$A$94,IF(дома!E435&lt;0,0,E435-$C$419),0))</f>
        <v>0</v>
      </c>
      <c r="F436" s="1455">
        <f>2</f>
        <v>2</v>
      </c>
      <c r="G436" s="971">
        <f t="shared" si="49"/>
        <v>0</v>
      </c>
      <c r="H436" s="971"/>
      <c r="I436" s="971"/>
      <c r="J436" s="971"/>
      <c r="K436" s="971"/>
      <c r="L436" s="971"/>
      <c r="M436" s="971"/>
      <c r="N436" s="971"/>
      <c r="O436" s="971"/>
      <c r="P436" s="1353"/>
      <c r="Q436" s="1353"/>
      <c r="R436" s="1353"/>
      <c r="S436" s="971"/>
      <c r="T436" s="971"/>
      <c r="U436" s="1398"/>
      <c r="V436" s="971"/>
      <c r="W436" s="971"/>
      <c r="X436" s="971"/>
      <c r="Y436" s="1353"/>
      <c r="Z436" s="1353"/>
      <c r="AA436" s="971"/>
      <c r="AB436" s="971"/>
      <c r="AC436" s="971"/>
      <c r="AD436" s="971"/>
    </row>
    <row r="437" spans="1:30" s="1355" customFormat="1" ht="15.75" customHeight="1" outlineLevel="1">
      <c r="A437" s="1452" t="s">
        <v>3192</v>
      </c>
      <c r="B437" s="1453" t="s">
        <v>156</v>
      </c>
      <c r="C437" s="1454">
        <f t="shared" si="47"/>
        <v>0.4</v>
      </c>
      <c r="D437" s="1452">
        <f t="shared" si="48"/>
        <v>0.05</v>
      </c>
      <c r="E437" s="1452">
        <f>IF('Ввод данных'!$A$361=связи1!$A$97,IF(дома!E436&lt;связи1!$C$553,0,дома!E436-$C$419),0)+IF(E436=0,0,IF('Ввод данных'!$A$361=связи1!$A$94,IF(дома!E436&lt;0,0,E436-$C$419),0))</f>
        <v>0</v>
      </c>
      <c r="F437" s="1455">
        <f>2</f>
        <v>2</v>
      </c>
      <c r="G437" s="971">
        <f t="shared" si="49"/>
        <v>0</v>
      </c>
      <c r="H437" s="971"/>
      <c r="I437" s="971"/>
      <c r="J437" s="971"/>
      <c r="K437" s="971"/>
      <c r="L437" s="971"/>
      <c r="M437" s="971"/>
      <c r="N437" s="971"/>
      <c r="O437" s="971"/>
      <c r="P437" s="1353"/>
      <c r="Q437" s="1353"/>
      <c r="R437" s="1353"/>
      <c r="S437" s="971"/>
      <c r="T437" s="971"/>
      <c r="U437" s="1398"/>
      <c r="V437" s="971"/>
      <c r="W437" s="971"/>
      <c r="X437" s="971"/>
      <c r="Y437" s="1353"/>
      <c r="Z437" s="1353"/>
      <c r="AA437" s="971"/>
      <c r="AB437" s="971"/>
      <c r="AC437" s="971"/>
      <c r="AD437" s="971"/>
    </row>
    <row r="438" spans="1:30" s="1355" customFormat="1" ht="15.75" customHeight="1" outlineLevel="1">
      <c r="A438" s="1452" t="s">
        <v>3193</v>
      </c>
      <c r="B438" s="1453" t="s">
        <v>156</v>
      </c>
      <c r="C438" s="1454">
        <f t="shared" si="47"/>
        <v>0.4</v>
      </c>
      <c r="D438" s="1452">
        <f t="shared" si="48"/>
        <v>0.05</v>
      </c>
      <c r="E438" s="1452">
        <f>IF('Ввод данных'!$A$361=связи1!$A$97,IF(дома!E437&lt;связи1!$C$553,0,дома!E437-$C$419),0)+IF(E437=0,0,IF('Ввод данных'!$A$361=связи1!$A$94,IF(дома!E437&lt;0,0,E437-$C$419),0))</f>
        <v>0</v>
      </c>
      <c r="F438" s="1455">
        <f>2</f>
        <v>2</v>
      </c>
      <c r="G438" s="971">
        <f t="shared" si="49"/>
        <v>0</v>
      </c>
      <c r="H438" s="971"/>
      <c r="I438" s="971"/>
      <c r="J438" s="971"/>
      <c r="K438" s="971"/>
      <c r="L438" s="971"/>
      <c r="M438" s="971"/>
      <c r="N438" s="971"/>
      <c r="O438" s="971"/>
      <c r="P438" s="1353"/>
      <c r="Q438" s="1353"/>
      <c r="R438" s="1353"/>
      <c r="S438" s="971"/>
      <c r="T438" s="971"/>
      <c r="U438" s="1398"/>
      <c r="V438" s="971"/>
      <c r="W438" s="971"/>
      <c r="X438" s="971"/>
      <c r="Y438" s="1353"/>
      <c r="Z438" s="1353"/>
      <c r="AA438" s="971"/>
      <c r="AB438" s="971"/>
      <c r="AC438" s="971"/>
      <c r="AD438" s="971"/>
    </row>
    <row r="439" spans="1:30" s="1355" customFormat="1" ht="15.75" customHeight="1" outlineLevel="1">
      <c r="A439" s="1452" t="s">
        <v>3194</v>
      </c>
      <c r="B439" s="1453" t="s">
        <v>156</v>
      </c>
      <c r="C439" s="1454">
        <f t="shared" si="47"/>
        <v>0.4</v>
      </c>
      <c r="D439" s="1452">
        <f t="shared" si="48"/>
        <v>0.05</v>
      </c>
      <c r="E439" s="1452">
        <f>IF('Ввод данных'!$A$361=связи1!$A$97,IF(дома!E438&lt;связи1!$C$553,0,дома!E438-$C$419),0)+IF(E438=0,0,IF('Ввод данных'!$A$361=связи1!$A$94,IF(дома!E438&lt;0,0,E438-$C$419),0))</f>
        <v>0</v>
      </c>
      <c r="F439" s="1455">
        <f>2</f>
        <v>2</v>
      </c>
      <c r="G439" s="971">
        <f t="shared" si="49"/>
        <v>0</v>
      </c>
      <c r="H439" s="971"/>
      <c r="I439" s="971"/>
      <c r="J439" s="971"/>
      <c r="K439" s="971"/>
      <c r="L439" s="971"/>
      <c r="M439" s="971"/>
      <c r="N439" s="971"/>
      <c r="O439" s="971"/>
      <c r="P439" s="1353"/>
      <c r="Q439" s="1353"/>
      <c r="R439" s="1353"/>
      <c r="S439" s="971"/>
      <c r="T439" s="971"/>
      <c r="U439" s="1398"/>
      <c r="V439" s="971"/>
      <c r="W439" s="971"/>
      <c r="X439" s="971"/>
      <c r="Y439" s="1353"/>
      <c r="Z439" s="1353"/>
      <c r="AA439" s="971"/>
      <c r="AB439" s="971"/>
      <c r="AC439" s="971"/>
      <c r="AD439" s="971"/>
    </row>
    <row r="440" spans="1:30" s="1355" customFormat="1" ht="15.75" customHeight="1" outlineLevel="1">
      <c r="A440" s="1452" t="s">
        <v>3195</v>
      </c>
      <c r="B440" s="1453" t="s">
        <v>156</v>
      </c>
      <c r="C440" s="1454">
        <f t="shared" si="47"/>
        <v>0.4</v>
      </c>
      <c r="D440" s="1452">
        <f t="shared" si="48"/>
        <v>0.05</v>
      </c>
      <c r="E440" s="1452">
        <f>IF('Ввод данных'!$A$361=связи1!$A$97,IF(дома!E439&lt;связи1!$C$553,0,дома!E439-$C$419),0)+IF(E439=0,0,IF('Ввод данных'!$A$361=связи1!$A$94,IF(дома!E439&lt;0,0,E439-$C$419),0))</f>
        <v>0</v>
      </c>
      <c r="F440" s="1455">
        <f>2</f>
        <v>2</v>
      </c>
      <c r="G440" s="971">
        <f t="shared" si="49"/>
        <v>0</v>
      </c>
      <c r="H440" s="971"/>
      <c r="I440" s="971"/>
      <c r="J440" s="971"/>
      <c r="K440" s="971"/>
      <c r="L440" s="971"/>
      <c r="M440" s="971"/>
      <c r="N440" s="971"/>
      <c r="O440" s="971"/>
      <c r="P440" s="1353"/>
      <c r="Q440" s="1353"/>
      <c r="R440" s="1353"/>
      <c r="S440" s="971"/>
      <c r="T440" s="971"/>
      <c r="U440" s="1398"/>
      <c r="V440" s="971"/>
      <c r="W440" s="971"/>
      <c r="X440" s="971"/>
      <c r="Y440" s="1353"/>
      <c r="Z440" s="1353"/>
      <c r="AA440" s="971"/>
      <c r="AB440" s="971"/>
      <c r="AC440" s="971"/>
      <c r="AD440" s="971"/>
    </row>
    <row r="441" spans="1:30" s="1355" customFormat="1" ht="15.75" customHeight="1" outlineLevel="1">
      <c r="A441" s="1452" t="s">
        <v>3196</v>
      </c>
      <c r="B441" s="1453" t="s">
        <v>156</v>
      </c>
      <c r="C441" s="1454">
        <f t="shared" si="47"/>
        <v>0.4</v>
      </c>
      <c r="D441" s="1452">
        <f t="shared" si="48"/>
        <v>0.05</v>
      </c>
      <c r="E441" s="1452">
        <f>IF('Ввод данных'!$A$361=связи1!$A$97,IF(дома!E440&lt;связи1!$C$553,0,дома!E440-$C$419),0)+IF(E440=0,0,IF('Ввод данных'!$A$361=связи1!$A$94,IF(дома!E440&lt;0,0,E440-$C$419),0))</f>
        <v>0</v>
      </c>
      <c r="F441" s="1455">
        <f>2</f>
        <v>2</v>
      </c>
      <c r="G441" s="971">
        <f t="shared" si="49"/>
        <v>0</v>
      </c>
      <c r="H441" s="971"/>
      <c r="I441" s="971"/>
      <c r="J441" s="971"/>
      <c r="K441" s="971"/>
      <c r="L441" s="971"/>
      <c r="M441" s="971"/>
      <c r="N441" s="971"/>
      <c r="O441" s="971"/>
      <c r="P441" s="1353"/>
      <c r="Q441" s="1353"/>
      <c r="R441" s="1353"/>
      <c r="S441" s="971"/>
      <c r="T441" s="971"/>
      <c r="U441" s="1398"/>
      <c r="V441" s="971"/>
      <c r="W441" s="971"/>
      <c r="X441" s="971"/>
      <c r="Y441" s="1353"/>
      <c r="Z441" s="1353"/>
      <c r="AA441" s="971"/>
      <c r="AB441" s="971"/>
      <c r="AC441" s="971"/>
      <c r="AD441" s="971"/>
    </row>
    <row r="442" spans="1:30" s="1355" customFormat="1" ht="15.75" customHeight="1" outlineLevel="1">
      <c r="A442" s="1452" t="s">
        <v>3197</v>
      </c>
      <c r="B442" s="1453" t="s">
        <v>156</v>
      </c>
      <c r="C442" s="1454">
        <f t="shared" si="47"/>
        <v>0.4</v>
      </c>
      <c r="D442" s="1452">
        <f t="shared" si="48"/>
        <v>0.05</v>
      </c>
      <c r="E442" s="1452">
        <f>IF('Ввод данных'!$A$361=связи1!$A$97,IF(дома!E441&lt;связи1!$C$553,0,дома!E441-$C$419),0)+IF(E441=0,0,IF('Ввод данных'!$A$361=связи1!$A$94,IF(дома!E441&lt;0,0,E441-$C$419),0))</f>
        <v>0</v>
      </c>
      <c r="F442" s="1455">
        <f>2</f>
        <v>2</v>
      </c>
      <c r="G442" s="971">
        <f t="shared" si="49"/>
        <v>0</v>
      </c>
      <c r="H442" s="971"/>
      <c r="I442" s="971"/>
      <c r="J442" s="971"/>
      <c r="K442" s="971"/>
      <c r="L442" s="971"/>
      <c r="M442" s="971"/>
      <c r="N442" s="971"/>
      <c r="O442" s="971"/>
      <c r="P442" s="1353"/>
      <c r="Q442" s="1353"/>
      <c r="R442" s="1353"/>
      <c r="S442" s="971"/>
      <c r="T442" s="971"/>
      <c r="U442" s="1398"/>
      <c r="V442" s="971"/>
      <c r="W442" s="971"/>
      <c r="X442" s="971"/>
      <c r="Y442" s="1353"/>
      <c r="Z442" s="1353"/>
      <c r="AA442" s="971"/>
      <c r="AB442" s="971"/>
      <c r="AC442" s="971"/>
      <c r="AD442" s="971"/>
    </row>
    <row r="443" spans="1:30" s="1355" customFormat="1" ht="15.75" customHeight="1" outlineLevel="1">
      <c r="A443" s="1452" t="s">
        <v>3198</v>
      </c>
      <c r="B443" s="1453" t="s">
        <v>156</v>
      </c>
      <c r="C443" s="1454">
        <f t="shared" si="47"/>
        <v>0.4</v>
      </c>
      <c r="D443" s="1452">
        <f t="shared" si="48"/>
        <v>0.05</v>
      </c>
      <c r="E443" s="1452">
        <f>IF('Ввод данных'!$A$361=связи1!$A$97,IF(дома!E442&lt;связи1!$C$553,0,дома!E442-$C$419),0)+IF(E442=0,0,IF('Ввод данных'!$A$361=связи1!$A$94,IF(дома!E442&lt;0,0,E442-$C$419),0))</f>
        <v>0</v>
      </c>
      <c r="F443" s="1455">
        <f>2</f>
        <v>2</v>
      </c>
      <c r="G443" s="971">
        <f t="shared" si="49"/>
        <v>0</v>
      </c>
      <c r="H443" s="971"/>
      <c r="I443" s="971"/>
      <c r="J443" s="971"/>
      <c r="K443" s="971"/>
      <c r="L443" s="971"/>
      <c r="M443" s="971"/>
      <c r="N443" s="971"/>
      <c r="O443" s="971"/>
      <c r="P443" s="1353"/>
      <c r="Q443" s="1353"/>
      <c r="R443" s="1353"/>
      <c r="S443" s="971"/>
      <c r="T443" s="971"/>
      <c r="U443" s="1398"/>
      <c r="V443" s="971"/>
      <c r="W443" s="971"/>
      <c r="X443" s="971"/>
      <c r="Y443" s="1353"/>
      <c r="Z443" s="1353"/>
      <c r="AA443" s="971"/>
      <c r="AB443" s="971"/>
      <c r="AC443" s="971"/>
      <c r="AD443" s="971"/>
    </row>
    <row r="444" spans="1:30" s="1355" customFormat="1" ht="15.75" customHeight="1" outlineLevel="1">
      <c r="A444" s="1452" t="s">
        <v>3199</v>
      </c>
      <c r="B444" s="1453" t="s">
        <v>156</v>
      </c>
      <c r="C444" s="1454">
        <f t="shared" si="47"/>
        <v>0.4</v>
      </c>
      <c r="D444" s="1452">
        <f t="shared" si="48"/>
        <v>0.05</v>
      </c>
      <c r="E444" s="1452">
        <f>IF('Ввод данных'!$A$361=связи1!$A$97,IF(дома!E443&lt;связи1!$C$553,0,дома!E443-$C$419),0)+IF(E443=0,0,IF('Ввод данных'!$A$361=связи1!$A$94,IF(дома!E443&lt;0,0,E443-$C$419),0))</f>
        <v>0</v>
      </c>
      <c r="F444" s="1455">
        <f>2</f>
        <v>2</v>
      </c>
      <c r="G444" s="971">
        <f t="shared" si="49"/>
        <v>0</v>
      </c>
      <c r="H444" s="971"/>
      <c r="I444" s="971"/>
      <c r="J444" s="971"/>
      <c r="K444" s="971"/>
      <c r="L444" s="971"/>
      <c r="M444" s="971"/>
      <c r="N444" s="971"/>
      <c r="O444" s="971"/>
      <c r="P444" s="1353"/>
      <c r="Q444" s="1353"/>
      <c r="R444" s="1353"/>
      <c r="S444" s="971"/>
      <c r="T444" s="971"/>
      <c r="U444" s="1398"/>
      <c r="V444" s="971"/>
      <c r="W444" s="971"/>
      <c r="X444" s="971"/>
      <c r="Y444" s="1353"/>
      <c r="Z444" s="1353"/>
      <c r="AA444" s="971"/>
      <c r="AB444" s="971"/>
      <c r="AC444" s="971"/>
      <c r="AD444" s="971"/>
    </row>
    <row r="445" spans="1:30" s="1355" customFormat="1" ht="15.75" customHeight="1" outlineLevel="1">
      <c r="A445" s="1452" t="s">
        <v>3200</v>
      </c>
      <c r="B445" s="1453" t="s">
        <v>156</v>
      </c>
      <c r="C445" s="1454">
        <f t="shared" si="47"/>
        <v>0.4</v>
      </c>
      <c r="D445" s="1452">
        <f t="shared" si="48"/>
        <v>0.05</v>
      </c>
      <c r="E445" s="1452">
        <f>IF('Ввод данных'!$A$360=связи1!$A$106,IF(дома!E444&lt;связи1!$C$553,0,дома!E444-$C$419),0)</f>
        <v>0</v>
      </c>
      <c r="F445" s="1455">
        <f>2</f>
        <v>2</v>
      </c>
      <c r="G445" s="971">
        <f t="shared" si="49"/>
        <v>0</v>
      </c>
      <c r="H445" s="971"/>
      <c r="I445" s="971"/>
      <c r="J445" s="971"/>
      <c r="K445" s="971"/>
      <c r="L445" s="971"/>
      <c r="M445" s="971"/>
      <c r="N445" s="971"/>
      <c r="O445" s="971"/>
      <c r="P445" s="1353"/>
      <c r="Q445" s="1353"/>
      <c r="R445" s="1353"/>
      <c r="S445" s="971"/>
      <c r="T445" s="971"/>
      <c r="U445" s="1398"/>
      <c r="V445" s="971"/>
      <c r="W445" s="971"/>
      <c r="X445" s="971"/>
      <c r="Y445" s="1353"/>
      <c r="Z445" s="1353"/>
      <c r="AA445" s="971"/>
      <c r="AB445" s="971"/>
      <c r="AC445" s="971"/>
      <c r="AD445" s="971"/>
    </row>
    <row r="446" spans="1:30" s="1355" customFormat="1" ht="15.75" customHeight="1" outlineLevel="1">
      <c r="A446" s="1452" t="s">
        <v>3201</v>
      </c>
      <c r="B446" s="1453" t="s">
        <v>156</v>
      </c>
      <c r="C446" s="1454">
        <f t="shared" si="47"/>
        <v>0.4</v>
      </c>
      <c r="D446" s="1452">
        <f t="shared" si="48"/>
        <v>0.05</v>
      </c>
      <c r="E446" s="1452">
        <f>IF('Ввод данных'!$A$360=связи1!$A$106,IF(дома!E445&lt;связи1!$C$553,0,дома!E445-$C$419),0)</f>
        <v>0</v>
      </c>
      <c r="F446" s="1455">
        <f>2</f>
        <v>2</v>
      </c>
      <c r="G446" s="971">
        <f t="shared" si="49"/>
        <v>0</v>
      </c>
      <c r="H446" s="971"/>
      <c r="I446" s="971"/>
      <c r="J446" s="971"/>
      <c r="K446" s="971"/>
      <c r="L446" s="971"/>
      <c r="M446" s="971"/>
      <c r="N446" s="971"/>
      <c r="O446" s="971"/>
      <c r="P446" s="1353"/>
      <c r="Q446" s="1353"/>
      <c r="R446" s="1353"/>
      <c r="S446" s="971"/>
      <c r="T446" s="971"/>
      <c r="U446" s="1398"/>
      <c r="V446" s="971"/>
      <c r="W446" s="971"/>
      <c r="X446" s="971"/>
      <c r="Y446" s="1353"/>
      <c r="Z446" s="1353"/>
      <c r="AA446" s="971"/>
      <c r="AB446" s="971"/>
      <c r="AC446" s="971"/>
      <c r="AD446" s="971"/>
    </row>
    <row r="447" spans="1:30" s="1355" customFormat="1" ht="15.75" customHeight="1" outlineLevel="1">
      <c r="A447" s="995" t="s">
        <v>3202</v>
      </c>
      <c r="B447" s="1271" t="s">
        <v>156</v>
      </c>
      <c r="C447" s="1272">
        <f t="shared" si="47"/>
        <v>0.4</v>
      </c>
      <c r="D447" s="995">
        <f t="shared" si="48"/>
        <v>0.05</v>
      </c>
      <c r="E447" s="995">
        <f>IF('Ввод данных'!A360=связи1!A107,IF('Ввод данных'!A361=связи1!A94,связи1!C554-связи1!C553,0)+IF('Ввод данных'!A361=связи1!A95,0,0)+IF('Ввод данных'!A361=связи1!A96,0,0)+IF('Ввод данных'!A360=связи1!A107,IF('Ввод данных'!A361=связи1!A97,связи1!C554,0),0)+IF('Ввод данных'!A361=связи1!A98,0,0),0)</f>
        <v>5</v>
      </c>
      <c r="F447" s="1268">
        <f>2</f>
        <v>2</v>
      </c>
      <c r="G447" s="971">
        <f t="shared" si="49"/>
        <v>0.20000000000000004</v>
      </c>
      <c r="H447" s="971"/>
      <c r="I447" s="971"/>
      <c r="J447" s="971"/>
      <c r="K447" s="971"/>
      <c r="L447" s="971"/>
      <c r="M447" s="971"/>
      <c r="N447" s="971"/>
      <c r="O447" s="971"/>
      <c r="P447" s="1353"/>
      <c r="Q447" s="1353"/>
      <c r="R447" s="1353"/>
      <c r="S447" s="971"/>
      <c r="T447" s="971"/>
      <c r="U447" s="1398"/>
      <c r="V447" s="971"/>
      <c r="W447" s="971"/>
      <c r="X447" s="971"/>
      <c r="Y447" s="1353"/>
      <c r="Z447" s="1353"/>
      <c r="AA447" s="971"/>
      <c r="AB447" s="971"/>
      <c r="AC447" s="971"/>
      <c r="AD447" s="971"/>
    </row>
    <row r="448" spans="1:30" s="1355" customFormat="1" ht="15.75" customHeight="1" outlineLevel="1">
      <c r="A448" s="995" t="s">
        <v>3203</v>
      </c>
      <c r="B448" s="1271" t="s">
        <v>156</v>
      </c>
      <c r="C448" s="1272">
        <f t="shared" si="47"/>
        <v>0.4</v>
      </c>
      <c r="D448" s="995">
        <f t="shared" si="48"/>
        <v>0.05</v>
      </c>
      <c r="E448" s="995">
        <f>IF('Ввод данных'!$A$361=связи1!$A$97,IF(дома!E447&lt;связи1!$C$553,0,дома!E447-$C$419),0)+IF(дома!E447=0,0,IF('Ввод данных'!$A$361=связи1!$A$94,IF(дома!E447&lt;0,0,дома!E447-$C$419),0))</f>
        <v>5</v>
      </c>
      <c r="F448" s="1268">
        <f>2</f>
        <v>2</v>
      </c>
      <c r="G448" s="971">
        <f t="shared" si="49"/>
        <v>0.20000000000000004</v>
      </c>
      <c r="H448" s="971"/>
      <c r="I448" s="971"/>
      <c r="J448" s="971"/>
      <c r="K448" s="971"/>
      <c r="L448" s="971"/>
      <c r="M448" s="971"/>
      <c r="N448" s="971"/>
      <c r="O448" s="971"/>
      <c r="P448" s="1353"/>
      <c r="Q448" s="1353"/>
      <c r="R448" s="1353"/>
      <c r="S448" s="971"/>
      <c r="T448" s="971"/>
      <c r="U448" s="1398"/>
      <c r="V448" s="971"/>
      <c r="W448" s="971"/>
      <c r="X448" s="971"/>
      <c r="Y448" s="1353"/>
      <c r="Z448" s="1353"/>
      <c r="AA448" s="971"/>
      <c r="AB448" s="971"/>
      <c r="AC448" s="971"/>
      <c r="AD448" s="971"/>
    </row>
    <row r="449" spans="1:30" s="1355" customFormat="1" ht="15.75" customHeight="1" outlineLevel="1">
      <c r="A449" s="995" t="s">
        <v>3204</v>
      </c>
      <c r="B449" s="1271" t="s">
        <v>156</v>
      </c>
      <c r="C449" s="1272">
        <f t="shared" si="47"/>
        <v>0.4</v>
      </c>
      <c r="D449" s="995">
        <f t="shared" si="48"/>
        <v>0.05</v>
      </c>
      <c r="E449" s="995">
        <f>IF('Ввод данных'!$A$361=связи1!$A$97,IF(дома!E448&lt;связи1!$C$553,0,дома!E448-$C$419),0)+IF(дома!E448=0,0,IF('Ввод данных'!$A$361=связи1!$A$94,IF(дома!E448&lt;0,0,дома!E448-$C$419),0))</f>
        <v>5</v>
      </c>
      <c r="F449" s="1268">
        <f>2</f>
        <v>2</v>
      </c>
      <c r="G449" s="971">
        <f t="shared" si="49"/>
        <v>0.20000000000000004</v>
      </c>
      <c r="H449" s="971"/>
      <c r="I449" s="971"/>
      <c r="J449" s="971"/>
      <c r="K449" s="971"/>
      <c r="L449" s="971"/>
      <c r="M449" s="971"/>
      <c r="N449" s="971"/>
      <c r="O449" s="971"/>
      <c r="P449" s="1353"/>
      <c r="Q449" s="1353"/>
      <c r="R449" s="1353"/>
      <c r="S449" s="971"/>
      <c r="T449" s="971"/>
      <c r="U449" s="1398"/>
      <c r="V449" s="971"/>
      <c r="W449" s="971"/>
      <c r="X449" s="971"/>
      <c r="Y449" s="1353"/>
      <c r="Z449" s="1353"/>
      <c r="AA449" s="971"/>
      <c r="AB449" s="971"/>
      <c r="AC449" s="971"/>
      <c r="AD449" s="971"/>
    </row>
    <row r="450" spans="1:30" s="1355" customFormat="1" ht="15.75" customHeight="1" outlineLevel="1">
      <c r="A450" s="995" t="s">
        <v>3205</v>
      </c>
      <c r="B450" s="1271" t="s">
        <v>156</v>
      </c>
      <c r="C450" s="1272">
        <f t="shared" si="47"/>
        <v>0.4</v>
      </c>
      <c r="D450" s="995">
        <f t="shared" si="48"/>
        <v>0.05</v>
      </c>
      <c r="E450" s="995">
        <f>IF('Ввод данных'!$A$361=связи1!$A$97,IF(дома!E449&lt;связи1!$C$553,0,дома!E449-$C$419),0)+IF(дома!E449=0,0,IF('Ввод данных'!$A$361=связи1!$A$94,IF(дома!E449&lt;0,0,дома!E449-$C$419),0))</f>
        <v>5</v>
      </c>
      <c r="F450" s="1268">
        <f>2</f>
        <v>2</v>
      </c>
      <c r="G450" s="971">
        <f t="shared" si="49"/>
        <v>0.20000000000000004</v>
      </c>
      <c r="H450" s="971"/>
      <c r="I450" s="971"/>
      <c r="J450" s="971"/>
      <c r="K450" s="971"/>
      <c r="L450" s="971"/>
      <c r="M450" s="971"/>
      <c r="N450" s="971"/>
      <c r="O450" s="971"/>
      <c r="P450" s="1353"/>
      <c r="Q450" s="1353"/>
      <c r="R450" s="1353"/>
      <c r="S450" s="971"/>
      <c r="T450" s="971"/>
      <c r="U450" s="1398"/>
      <c r="V450" s="971"/>
      <c r="W450" s="971"/>
      <c r="X450" s="971"/>
      <c r="Y450" s="1353"/>
      <c r="Z450" s="1353"/>
      <c r="AA450" s="971"/>
      <c r="AB450" s="971"/>
      <c r="AC450" s="971"/>
      <c r="AD450" s="971"/>
    </row>
    <row r="451" spans="1:30" s="1355" customFormat="1" ht="15.75" customHeight="1" outlineLevel="1">
      <c r="A451" s="995" t="s">
        <v>3206</v>
      </c>
      <c r="B451" s="1271" t="s">
        <v>156</v>
      </c>
      <c r="C451" s="1272">
        <f t="shared" si="47"/>
        <v>0.4</v>
      </c>
      <c r="D451" s="995">
        <f t="shared" si="48"/>
        <v>0.05</v>
      </c>
      <c r="E451" s="995">
        <f>IF('Ввод данных'!$A$361=связи1!$A$97,IF(дома!E450&lt;связи1!$C$553,0,дома!E450-$C$419),0)+IF(дома!E450=0,0,IF('Ввод данных'!$A$361=связи1!$A$94,IF(дома!E450&lt;0,0,дома!E450-$C$419),0))</f>
        <v>5</v>
      </c>
      <c r="F451" s="1268">
        <f>2</f>
        <v>2</v>
      </c>
      <c r="G451" s="971">
        <f t="shared" si="49"/>
        <v>0.20000000000000004</v>
      </c>
      <c r="H451" s="971"/>
      <c r="I451" s="971"/>
      <c r="J451" s="971"/>
      <c r="K451" s="971"/>
      <c r="L451" s="971"/>
      <c r="M451" s="971"/>
      <c r="N451" s="971"/>
      <c r="O451" s="971"/>
      <c r="P451" s="1353"/>
      <c r="Q451" s="1353"/>
      <c r="R451" s="1353"/>
      <c r="S451" s="971"/>
      <c r="T451" s="971"/>
      <c r="U451" s="1398"/>
      <c r="V451" s="971"/>
      <c r="W451" s="971"/>
      <c r="X451" s="971"/>
      <c r="Y451" s="1353"/>
      <c r="Z451" s="1353"/>
      <c r="AA451" s="971"/>
      <c r="AB451" s="971"/>
      <c r="AC451" s="971"/>
      <c r="AD451" s="971"/>
    </row>
    <row r="452" spans="1:30" s="1355" customFormat="1" ht="15.75" customHeight="1" outlineLevel="1">
      <c r="A452" s="995" t="s">
        <v>3207</v>
      </c>
      <c r="B452" s="1271" t="s">
        <v>156</v>
      </c>
      <c r="C452" s="1272">
        <f t="shared" si="47"/>
        <v>0.4</v>
      </c>
      <c r="D452" s="995">
        <f t="shared" si="48"/>
        <v>0.05</v>
      </c>
      <c r="E452" s="995">
        <f>IF('Ввод данных'!$A$361=связи1!$A$97,IF(дома!E451&lt;связи1!$C$553,0,дома!E451-$C$419),0)+IF(дома!E451=0,0,IF('Ввод данных'!$A$361=связи1!$A$94,IF(дома!E451&lt;0,0,дома!E451-$C$419),0))</f>
        <v>5</v>
      </c>
      <c r="F452" s="1268">
        <f>2</f>
        <v>2</v>
      </c>
      <c r="G452" s="971">
        <f t="shared" si="49"/>
        <v>0.20000000000000004</v>
      </c>
      <c r="H452" s="971"/>
      <c r="I452" s="971"/>
      <c r="J452" s="971"/>
      <c r="K452" s="971"/>
      <c r="L452" s="971"/>
      <c r="M452" s="971"/>
      <c r="N452" s="971"/>
      <c r="O452" s="971"/>
      <c r="P452" s="1353"/>
      <c r="Q452" s="1353"/>
      <c r="R452" s="1353"/>
      <c r="S452" s="971"/>
      <c r="T452" s="971"/>
      <c r="U452" s="1398"/>
      <c r="V452" s="971"/>
      <c r="W452" s="971"/>
      <c r="X452" s="971"/>
      <c r="Y452" s="1353"/>
      <c r="Z452" s="1353"/>
      <c r="AA452" s="971"/>
      <c r="AB452" s="971"/>
      <c r="AC452" s="971"/>
      <c r="AD452" s="971"/>
    </row>
    <row r="453" spans="1:30" s="1355" customFormat="1" ht="15.75" customHeight="1" outlineLevel="1">
      <c r="A453" s="995" t="s">
        <v>3208</v>
      </c>
      <c r="B453" s="1271" t="s">
        <v>156</v>
      </c>
      <c r="C453" s="1272">
        <f t="shared" si="47"/>
        <v>0.4</v>
      </c>
      <c r="D453" s="995">
        <f t="shared" si="48"/>
        <v>0.05</v>
      </c>
      <c r="E453" s="995">
        <f>IF('Ввод данных'!$A$361=связи1!$A$97,IF(дома!E452&lt;связи1!$C$553,0,дома!E452-$C$419),0)+IF(дома!E452=0,0,IF('Ввод данных'!$A$361=связи1!$A$94,IF(дома!E452&lt;0,0,дома!E452-$C$419),0))</f>
        <v>5</v>
      </c>
      <c r="F453" s="1268">
        <f>2</f>
        <v>2</v>
      </c>
      <c r="G453" s="971">
        <f t="shared" si="49"/>
        <v>0.20000000000000004</v>
      </c>
      <c r="H453" s="971"/>
      <c r="I453" s="971"/>
      <c r="J453" s="971"/>
      <c r="K453" s="971"/>
      <c r="L453" s="971"/>
      <c r="M453" s="971"/>
      <c r="N453" s="971"/>
      <c r="O453" s="971"/>
      <c r="P453" s="1353"/>
      <c r="Q453" s="1353"/>
      <c r="R453" s="1353"/>
      <c r="S453" s="971"/>
      <c r="T453" s="971"/>
      <c r="U453" s="1398"/>
      <c r="V453" s="971"/>
      <c r="W453" s="971"/>
      <c r="X453" s="971"/>
      <c r="Y453" s="1353"/>
      <c r="Z453" s="1353"/>
      <c r="AA453" s="971"/>
      <c r="AB453" s="971"/>
      <c r="AC453" s="971"/>
      <c r="AD453" s="971"/>
    </row>
    <row r="454" spans="1:30" s="1355" customFormat="1" ht="15.75" customHeight="1" outlineLevel="1">
      <c r="A454" s="995" t="s">
        <v>3209</v>
      </c>
      <c r="B454" s="1271" t="s">
        <v>156</v>
      </c>
      <c r="C454" s="1272">
        <f t="shared" si="47"/>
        <v>0.4</v>
      </c>
      <c r="D454" s="995">
        <f t="shared" si="48"/>
        <v>0.05</v>
      </c>
      <c r="E454" s="995">
        <f>IF('Ввод данных'!$A$361=связи1!$A$97,IF(дома!E453&lt;связи1!$C$553,0,дома!E453-$C$419),0)+IF(дома!E453=0,0,IF('Ввод данных'!$A$361=связи1!$A$94,IF(дома!E453&lt;0,0,дома!E453-$C$419),0))</f>
        <v>5</v>
      </c>
      <c r="F454" s="1268">
        <f>2</f>
        <v>2</v>
      </c>
      <c r="G454" s="971">
        <f t="shared" si="49"/>
        <v>0.20000000000000004</v>
      </c>
      <c r="H454" s="971"/>
      <c r="I454" s="971"/>
      <c r="J454" s="971"/>
      <c r="K454" s="971"/>
      <c r="L454" s="971"/>
      <c r="M454" s="971"/>
      <c r="N454" s="971"/>
      <c r="O454" s="971"/>
      <c r="P454" s="1353"/>
      <c r="Q454" s="1353"/>
      <c r="R454" s="1353"/>
      <c r="S454" s="971"/>
      <c r="T454" s="971"/>
      <c r="U454" s="1398"/>
      <c r="V454" s="971"/>
      <c r="W454" s="971"/>
      <c r="X454" s="971"/>
      <c r="Y454" s="1353"/>
      <c r="Z454" s="1353"/>
      <c r="AA454" s="971"/>
      <c r="AB454" s="971"/>
      <c r="AC454" s="971"/>
      <c r="AD454" s="971"/>
    </row>
    <row r="455" spans="1:30" s="1355" customFormat="1" ht="15.75" customHeight="1" outlineLevel="1">
      <c r="A455" s="995" t="s">
        <v>3210</v>
      </c>
      <c r="B455" s="1271" t="s">
        <v>156</v>
      </c>
      <c r="C455" s="1272">
        <f t="shared" si="47"/>
        <v>0.4</v>
      </c>
      <c r="D455" s="995">
        <f t="shared" si="48"/>
        <v>0.05</v>
      </c>
      <c r="E455" s="995">
        <f>IF('Ввод данных'!$A$361=связи1!$A$97,IF(дома!E454&lt;связи1!$C$553,0,дома!E454-$C$419),0)+IF(дома!E454=0,0,IF('Ввод данных'!$A$361=связи1!$A$94,IF(дома!E454&lt;0,0,дома!E454-$C$419),0))</f>
        <v>5</v>
      </c>
      <c r="F455" s="1268">
        <f>2</f>
        <v>2</v>
      </c>
      <c r="G455" s="971">
        <f t="shared" si="49"/>
        <v>0.20000000000000004</v>
      </c>
      <c r="H455" s="971"/>
      <c r="I455" s="971"/>
      <c r="J455" s="971"/>
      <c r="K455" s="971"/>
      <c r="L455" s="971"/>
      <c r="M455" s="971"/>
      <c r="N455" s="971"/>
      <c r="O455" s="971"/>
      <c r="P455" s="1353"/>
      <c r="Q455" s="1353"/>
      <c r="R455" s="1353"/>
      <c r="S455" s="971"/>
      <c r="T455" s="971"/>
      <c r="U455" s="1398"/>
      <c r="V455" s="971"/>
      <c r="W455" s="971"/>
      <c r="X455" s="971"/>
      <c r="Y455" s="1353"/>
      <c r="Z455" s="1353"/>
      <c r="AA455" s="971"/>
      <c r="AB455" s="971"/>
      <c r="AC455" s="971"/>
      <c r="AD455" s="971"/>
    </row>
    <row r="456" spans="1:30" s="1355" customFormat="1" ht="15.75" customHeight="1" outlineLevel="1">
      <c r="A456" s="995" t="s">
        <v>3211</v>
      </c>
      <c r="B456" s="1271" t="s">
        <v>156</v>
      </c>
      <c r="C456" s="1272">
        <f t="shared" si="47"/>
        <v>0.4</v>
      </c>
      <c r="D456" s="995">
        <f t="shared" si="48"/>
        <v>0.05</v>
      </c>
      <c r="E456" s="995">
        <f>IF('Ввод данных'!$A$361=связи1!$A$97,IF(дома!E455&lt;связи1!$C$553,0,дома!E455-$C$419),0)+IF(дома!E455=0,0,IF('Ввод данных'!$A$361=связи1!$A$94,IF(дома!E455&lt;0,0,дома!E455-$C$419),0))</f>
        <v>5</v>
      </c>
      <c r="F456" s="1268">
        <f>2</f>
        <v>2</v>
      </c>
      <c r="G456" s="971">
        <f t="shared" si="49"/>
        <v>0.20000000000000004</v>
      </c>
      <c r="H456" s="971"/>
      <c r="I456" s="971"/>
      <c r="J456" s="971"/>
      <c r="K456" s="971"/>
      <c r="L456" s="971"/>
      <c r="M456" s="971"/>
      <c r="N456" s="971"/>
      <c r="O456" s="971"/>
      <c r="P456" s="1353"/>
      <c r="Q456" s="1353"/>
      <c r="R456" s="1353"/>
      <c r="S456" s="971"/>
      <c r="T456" s="971"/>
      <c r="U456" s="1398"/>
      <c r="V456" s="971"/>
      <c r="W456" s="971"/>
      <c r="X456" s="971"/>
      <c r="Y456" s="1353"/>
      <c r="Z456" s="1353"/>
      <c r="AA456" s="971"/>
      <c r="AB456" s="971"/>
      <c r="AC456" s="971"/>
      <c r="AD456" s="971"/>
    </row>
    <row r="457" spans="1:30" s="1355" customFormat="1" ht="15.75" customHeight="1" outlineLevel="1">
      <c r="A457" s="995" t="s">
        <v>3212</v>
      </c>
      <c r="B457" s="1271" t="s">
        <v>156</v>
      </c>
      <c r="C457" s="1272">
        <f t="shared" si="47"/>
        <v>0.4</v>
      </c>
      <c r="D457" s="995">
        <f t="shared" si="48"/>
        <v>0.05</v>
      </c>
      <c r="E457" s="995">
        <f>IF('Ввод данных'!$A$361=связи1!$A$97,IF(дома!E456&lt;связи1!$C$553,0,дома!E456-$C$419),0)+IF(дома!E456=0,0,IF('Ввод данных'!$A$361=связи1!$A$94,IF(дома!E456&lt;0,0,дома!E456-$C$419),0))</f>
        <v>5</v>
      </c>
      <c r="F457" s="1268">
        <f>2</f>
        <v>2</v>
      </c>
      <c r="G457" s="971">
        <f t="shared" si="49"/>
        <v>0.20000000000000004</v>
      </c>
      <c r="H457" s="971"/>
      <c r="I457" s="971"/>
      <c r="J457" s="971"/>
      <c r="K457" s="971"/>
      <c r="L457" s="971"/>
      <c r="M457" s="971"/>
      <c r="N457" s="971"/>
      <c r="O457" s="971"/>
      <c r="P457" s="1353"/>
      <c r="Q457" s="1353"/>
      <c r="R457" s="1353"/>
      <c r="S457" s="971"/>
      <c r="T457" s="971"/>
      <c r="U457" s="1398"/>
      <c r="V457" s="971"/>
      <c r="W457" s="971"/>
      <c r="X457" s="971"/>
      <c r="Y457" s="1353"/>
      <c r="Z457" s="1353"/>
      <c r="AA457" s="971"/>
      <c r="AB457" s="971"/>
      <c r="AC457" s="971"/>
      <c r="AD457" s="971"/>
    </row>
    <row r="458" spans="1:30" s="1355" customFormat="1" ht="15.75" customHeight="1" outlineLevel="1">
      <c r="A458" s="995" t="s">
        <v>3213</v>
      </c>
      <c r="B458" s="1271" t="s">
        <v>156</v>
      </c>
      <c r="C458" s="1272">
        <f t="shared" si="47"/>
        <v>0.4</v>
      </c>
      <c r="D458" s="995">
        <f t="shared" si="48"/>
        <v>0.05</v>
      </c>
      <c r="E458" s="995">
        <f>IF('Ввод данных'!$A$361=связи1!$A$97,IF(дома!E457&lt;связи1!$C$553,0,дома!E457-$C$419),0)+IF(дома!E457=0,0,IF('Ввод данных'!$A$361=связи1!$A$94,IF(дома!E457&lt;0,0,дома!E457-$C$419),0))</f>
        <v>5</v>
      </c>
      <c r="F458" s="1268">
        <f>2</f>
        <v>2</v>
      </c>
      <c r="G458" s="971">
        <f t="shared" si="49"/>
        <v>0.20000000000000004</v>
      </c>
      <c r="H458" s="971"/>
      <c r="I458" s="971"/>
      <c r="J458" s="971"/>
      <c r="K458" s="971"/>
      <c r="L458" s="971"/>
      <c r="M458" s="971"/>
      <c r="N458" s="971"/>
      <c r="O458" s="971"/>
      <c r="P458" s="1353"/>
      <c r="Q458" s="1353"/>
      <c r="R458" s="1353"/>
      <c r="S458" s="971"/>
      <c r="T458" s="971"/>
      <c r="U458" s="1398"/>
      <c r="V458" s="971"/>
      <c r="W458" s="971"/>
      <c r="X458" s="971"/>
      <c r="Y458" s="1353"/>
      <c r="Z458" s="1353"/>
      <c r="AA458" s="971"/>
      <c r="AB458" s="971"/>
      <c r="AC458" s="971"/>
      <c r="AD458" s="971"/>
    </row>
    <row r="459" spans="1:30" s="1355" customFormat="1" ht="15.75" customHeight="1" outlineLevel="1">
      <c r="A459" s="995" t="s">
        <v>3214</v>
      </c>
      <c r="B459" s="1271" t="s">
        <v>156</v>
      </c>
      <c r="C459" s="1272">
        <f t="shared" si="47"/>
        <v>0.4</v>
      </c>
      <c r="D459" s="995">
        <f t="shared" si="48"/>
        <v>0.05</v>
      </c>
      <c r="E459" s="995">
        <f>IF('Ввод данных'!$A$361=связи1!$A$97,IF(дома!E458&lt;связи1!$C$553,0,дома!E458-$C$419),0)+IF(дома!E458=0,0,IF('Ввод данных'!$A$361=связи1!$A$94,IF(дома!E458&lt;0,0,дома!E458-$C$419),0))</f>
        <v>5</v>
      </c>
      <c r="F459" s="1268">
        <f>2</f>
        <v>2</v>
      </c>
      <c r="G459" s="971">
        <f t="shared" si="49"/>
        <v>0.20000000000000004</v>
      </c>
      <c r="H459" s="971"/>
      <c r="I459" s="971"/>
      <c r="J459" s="971"/>
      <c r="K459" s="971"/>
      <c r="L459" s="971"/>
      <c r="M459" s="971"/>
      <c r="N459" s="971"/>
      <c r="O459" s="971"/>
      <c r="P459" s="1353"/>
      <c r="Q459" s="1353"/>
      <c r="R459" s="1353"/>
      <c r="S459" s="971"/>
      <c r="T459" s="971"/>
      <c r="U459" s="1398"/>
      <c r="V459" s="971"/>
      <c r="W459" s="971"/>
      <c r="X459" s="971"/>
      <c r="Y459" s="1353"/>
      <c r="Z459" s="1353"/>
      <c r="AA459" s="971"/>
      <c r="AB459" s="971"/>
      <c r="AC459" s="971"/>
      <c r="AD459" s="971"/>
    </row>
    <row r="460" spans="1:30" s="1355" customFormat="1" ht="15.75" customHeight="1" outlineLevel="1">
      <c r="A460" s="995" t="s">
        <v>3215</v>
      </c>
      <c r="B460" s="1271" t="s">
        <v>156</v>
      </c>
      <c r="C460" s="1272">
        <f t="shared" si="47"/>
        <v>0.4</v>
      </c>
      <c r="D460" s="995">
        <f t="shared" si="48"/>
        <v>0.05</v>
      </c>
      <c r="E460" s="995">
        <f>IF('Ввод данных'!$A$361=связи1!$A$97,IF(дома!E459&lt;связи1!$C$553,0,дома!E459-$C$419),0)+IF(дома!E459=0,0,IF('Ввод данных'!$A$361=связи1!$A$94,IF(дома!E459&lt;0,0,дома!E459-$C$419),0))</f>
        <v>5</v>
      </c>
      <c r="F460" s="1268">
        <f>2</f>
        <v>2</v>
      </c>
      <c r="G460" s="971">
        <f t="shared" si="49"/>
        <v>0.20000000000000004</v>
      </c>
      <c r="H460" s="971"/>
      <c r="I460" s="971"/>
      <c r="J460" s="971"/>
      <c r="K460" s="971"/>
      <c r="L460" s="971"/>
      <c r="M460" s="971"/>
      <c r="N460" s="971"/>
      <c r="O460" s="971"/>
      <c r="P460" s="1353"/>
      <c r="Q460" s="1353"/>
      <c r="R460" s="1353"/>
      <c r="S460" s="971"/>
      <c r="T460" s="971"/>
      <c r="U460" s="1398"/>
      <c r="V460" s="971"/>
      <c r="W460" s="971"/>
      <c r="X460" s="971"/>
      <c r="Y460" s="1353"/>
      <c r="Z460" s="1353"/>
      <c r="AA460" s="971"/>
      <c r="AB460" s="971"/>
      <c r="AC460" s="971"/>
      <c r="AD460" s="971"/>
    </row>
    <row r="461" spans="1:30" s="1355" customFormat="1" ht="15.75" customHeight="1" outlineLevel="1">
      <c r="A461" s="995" t="s">
        <v>3216</v>
      </c>
      <c r="B461" s="1271" t="s">
        <v>156</v>
      </c>
      <c r="C461" s="1272">
        <f t="shared" si="47"/>
        <v>0.4</v>
      </c>
      <c r="D461" s="995">
        <f t="shared" si="48"/>
        <v>0.05</v>
      </c>
      <c r="E461" s="995">
        <f>IF('Ввод данных'!$A$361=связи1!$A$97,IF(дома!E460&lt;связи1!$C$553,0,дома!E460-$C$419),0)+IF(дома!E460=0,0,IF('Ввод данных'!$A$361=связи1!$A$94,IF(дома!E460&lt;0,0,дома!E460-$C$419),0))</f>
        <v>5</v>
      </c>
      <c r="F461" s="1268">
        <f>2</f>
        <v>2</v>
      </c>
      <c r="G461" s="971">
        <f t="shared" si="49"/>
        <v>0.20000000000000004</v>
      </c>
      <c r="H461" s="971"/>
      <c r="I461" s="971"/>
      <c r="J461" s="971"/>
      <c r="K461" s="971"/>
      <c r="L461" s="971"/>
      <c r="M461" s="971"/>
      <c r="N461" s="971"/>
      <c r="O461" s="971"/>
      <c r="P461" s="1353"/>
      <c r="Q461" s="1353"/>
      <c r="R461" s="1353"/>
      <c r="S461" s="971"/>
      <c r="T461" s="971"/>
      <c r="U461" s="1398"/>
      <c r="V461" s="971"/>
      <c r="W461" s="971"/>
      <c r="X461" s="971"/>
      <c r="Y461" s="1353"/>
      <c r="Z461" s="1353"/>
      <c r="AA461" s="971"/>
      <c r="AB461" s="971"/>
      <c r="AC461" s="971"/>
      <c r="AD461" s="971"/>
    </row>
    <row r="462" spans="1:30" s="1355" customFormat="1" ht="15.75" customHeight="1" outlineLevel="1">
      <c r="A462" s="995" t="s">
        <v>3217</v>
      </c>
      <c r="B462" s="1271" t="s">
        <v>156</v>
      </c>
      <c r="C462" s="1272">
        <f t="shared" si="47"/>
        <v>0.4</v>
      </c>
      <c r="D462" s="995">
        <f t="shared" si="48"/>
        <v>0.05</v>
      </c>
      <c r="E462" s="995">
        <f>IF('Ввод данных'!$A$361=связи1!$A$97,IF(дома!E461&lt;связи1!$C$553,0,дома!E461-$C$419),0)+IF(дома!E461=0,0,IF('Ввод данных'!$A$361=связи1!$A$94,IF(дома!E461&lt;0,0,дома!E461-$C$419),0))</f>
        <v>5</v>
      </c>
      <c r="F462" s="1268">
        <f>2</f>
        <v>2</v>
      </c>
      <c r="G462" s="971">
        <f t="shared" si="49"/>
        <v>0.20000000000000004</v>
      </c>
      <c r="H462" s="971"/>
      <c r="I462" s="971"/>
      <c r="J462" s="971"/>
      <c r="K462" s="971"/>
      <c r="L462" s="971"/>
      <c r="M462" s="971"/>
      <c r="N462" s="971"/>
      <c r="O462" s="971"/>
      <c r="P462" s="1353"/>
      <c r="Q462" s="1353"/>
      <c r="R462" s="1353"/>
      <c r="S462" s="971"/>
      <c r="T462" s="971"/>
      <c r="U462" s="1398"/>
      <c r="V462" s="971"/>
      <c r="W462" s="971"/>
      <c r="X462" s="971"/>
      <c r="Y462" s="1353"/>
      <c r="Z462" s="1353"/>
      <c r="AA462" s="971"/>
      <c r="AB462" s="971"/>
      <c r="AC462" s="971"/>
      <c r="AD462" s="971"/>
    </row>
    <row r="463" spans="1:30" s="1355" customFormat="1" ht="15.75" customHeight="1" outlineLevel="1">
      <c r="A463" s="995" t="s">
        <v>3218</v>
      </c>
      <c r="B463" s="1271" t="s">
        <v>156</v>
      </c>
      <c r="C463" s="1272">
        <f t="shared" si="47"/>
        <v>0.4</v>
      </c>
      <c r="D463" s="995">
        <f t="shared" si="48"/>
        <v>0.05</v>
      </c>
      <c r="E463" s="995">
        <f>IF('Ввод данных'!$A$361=связи1!$A$97,IF(дома!E462&lt;связи1!$C$553,0,дома!E462-$C$419),0)+IF(дома!E462=0,0,IF('Ввод данных'!$A$361=связи1!$A$94,IF(дома!E462&lt;0,0,дома!E462-$C$419),0))</f>
        <v>5</v>
      </c>
      <c r="F463" s="1268">
        <f>2</f>
        <v>2</v>
      </c>
      <c r="G463" s="971">
        <f t="shared" si="49"/>
        <v>0.20000000000000004</v>
      </c>
      <c r="H463" s="971"/>
      <c r="I463" s="971"/>
      <c r="J463" s="971"/>
      <c r="K463" s="971"/>
      <c r="L463" s="971"/>
      <c r="M463" s="971"/>
      <c r="N463" s="971"/>
      <c r="O463" s="971"/>
      <c r="P463" s="1353"/>
      <c r="Q463" s="1353"/>
      <c r="R463" s="1353"/>
      <c r="S463" s="971"/>
      <c r="T463" s="971"/>
      <c r="U463" s="1398"/>
      <c r="V463" s="971"/>
      <c r="W463" s="971"/>
      <c r="X463" s="971"/>
      <c r="Y463" s="1353"/>
      <c r="Z463" s="1353"/>
      <c r="AA463" s="971"/>
      <c r="AB463" s="971"/>
      <c r="AC463" s="971"/>
      <c r="AD463" s="971"/>
    </row>
    <row r="464" spans="1:30" s="1355" customFormat="1" ht="15.75" customHeight="1" outlineLevel="1">
      <c r="A464" s="1442"/>
      <c r="B464" s="1445"/>
      <c r="C464" s="920"/>
      <c r="D464" s="971"/>
      <c r="E464" s="971"/>
      <c r="F464" s="1063"/>
      <c r="G464" s="971">
        <f t="shared" si="49"/>
        <v>0</v>
      </c>
      <c r="H464" s="971"/>
      <c r="I464" s="971"/>
      <c r="J464" s="971"/>
      <c r="K464" s="971"/>
      <c r="L464" s="971"/>
      <c r="M464" s="971"/>
      <c r="N464" s="971"/>
      <c r="O464" s="971"/>
      <c r="P464" s="1353"/>
      <c r="Q464" s="1353"/>
      <c r="R464" s="1353"/>
      <c r="S464" s="971"/>
      <c r="T464" s="971"/>
      <c r="U464" s="1398"/>
      <c r="V464" s="971"/>
      <c r="W464" s="971"/>
      <c r="X464" s="971"/>
      <c r="Y464" s="1353"/>
      <c r="Z464" s="1353"/>
      <c r="AA464" s="971"/>
      <c r="AB464" s="971"/>
      <c r="AC464" s="971"/>
      <c r="AD464" s="971"/>
    </row>
    <row r="465" spans="1:30" s="1355" customFormat="1" ht="15.75" customHeight="1" outlineLevel="1">
      <c r="A465" s="1447" t="s">
        <v>3219</v>
      </c>
      <c r="B465" s="1449" t="str">
        <f>B423</f>
        <v>ед.изм</v>
      </c>
      <c r="C465" s="1447" t="str">
        <f>C423</f>
        <v>ширина</v>
      </c>
      <c r="D465" s="1447" t="str">
        <f>D423</f>
        <v>толщина</v>
      </c>
      <c r="E465" s="1447" t="str">
        <f>E423</f>
        <v>высота</v>
      </c>
      <c r="F465" s="1447" t="str">
        <f>F423</f>
        <v>кол-во</v>
      </c>
      <c r="G465" s="971"/>
      <c r="H465" s="971"/>
      <c r="I465" s="971"/>
      <c r="J465" s="971"/>
      <c r="K465" s="971"/>
      <c r="L465" s="971"/>
      <c r="M465" s="971"/>
      <c r="N465" s="971"/>
      <c r="O465" s="971"/>
      <c r="P465" s="1353"/>
      <c r="Q465" s="1353"/>
      <c r="R465" s="1353"/>
      <c r="S465" s="971"/>
      <c r="T465" s="971"/>
      <c r="U465" s="1398"/>
      <c r="V465" s="971"/>
      <c r="W465" s="971"/>
      <c r="X465" s="971"/>
      <c r="Y465" s="1353"/>
      <c r="Z465" s="1353"/>
      <c r="AA465" s="971"/>
      <c r="AB465" s="971"/>
      <c r="AC465" s="971"/>
      <c r="AD465" s="971"/>
    </row>
    <row r="466" spans="1:30" s="1355" customFormat="1" ht="15.75" customHeight="1" outlineLevel="1">
      <c r="A466" s="1442" t="str">
        <f t="shared" ref="A466:D485" si="50">A424</f>
        <v>Стойки каркаса передней стены 1 эт</v>
      </c>
      <c r="B466" s="920" t="str">
        <f t="shared" si="50"/>
        <v>м.п.</v>
      </c>
      <c r="C466" s="1442">
        <f t="shared" si="50"/>
        <v>0.4</v>
      </c>
      <c r="D466" s="1442">
        <f t="shared" si="50"/>
        <v>0.05</v>
      </c>
      <c r="E466" s="1319">
        <f>связи1!D553</f>
        <v>2.9</v>
      </c>
      <c r="F466" s="1319">
        <f>L403</f>
        <v>0</v>
      </c>
      <c r="G466" s="971">
        <f t="shared" ref="G466:G506" si="51">C466*D466*E466*F466</f>
        <v>0</v>
      </c>
      <c r="H466" s="971"/>
      <c r="I466" s="971"/>
      <c r="J466" s="971"/>
      <c r="K466" s="971"/>
      <c r="L466" s="971"/>
      <c r="M466" s="971"/>
      <c r="N466" s="971"/>
      <c r="O466" s="971"/>
      <c r="P466" s="1353"/>
      <c r="Q466" s="1353"/>
      <c r="R466" s="1353"/>
      <c r="S466" s="971"/>
      <c r="T466" s="971"/>
      <c r="U466" s="1398"/>
      <c r="V466" s="971"/>
      <c r="W466" s="971"/>
      <c r="X466" s="971"/>
      <c r="Y466" s="1353"/>
      <c r="Z466" s="1353"/>
      <c r="AA466" s="971"/>
      <c r="AB466" s="971"/>
      <c r="AC466" s="971"/>
      <c r="AD466" s="971"/>
    </row>
    <row r="467" spans="1:30" s="1355" customFormat="1" ht="15.75" customHeight="1" outlineLevel="1">
      <c r="A467" s="1442" t="str">
        <f t="shared" si="50"/>
        <v>Стойки каркаса, левая сторона 1 эт</v>
      </c>
      <c r="B467" s="920" t="str">
        <f t="shared" si="50"/>
        <v>м.п.</v>
      </c>
      <c r="C467" s="1442">
        <f t="shared" si="50"/>
        <v>0.4</v>
      </c>
      <c r="D467" s="1442">
        <f t="shared" si="50"/>
        <v>0.05</v>
      </c>
      <c r="E467" s="1319">
        <f>E404*IF('Ввод данных'!A365=связи1!A97,IF('Ввод данных'!A364=связи1!A106,0,1),1)</f>
        <v>2.9</v>
      </c>
      <c r="F467" s="1319">
        <f>L404</f>
        <v>0</v>
      </c>
      <c r="G467" s="971">
        <f t="shared" si="51"/>
        <v>0</v>
      </c>
      <c r="H467" s="971"/>
      <c r="I467" s="971"/>
      <c r="J467" s="971"/>
      <c r="K467" s="971"/>
      <c r="L467" s="971"/>
      <c r="M467" s="971"/>
      <c r="N467" s="971"/>
      <c r="O467" s="971"/>
      <c r="P467" s="1353"/>
      <c r="Q467" s="1353"/>
      <c r="R467" s="1353"/>
      <c r="S467" s="971"/>
      <c r="T467" s="971"/>
      <c r="U467" s="1398"/>
      <c r="V467" s="971"/>
      <c r="W467" s="971"/>
      <c r="X467" s="971"/>
      <c r="Y467" s="1353"/>
      <c r="Z467" s="1353"/>
      <c r="AA467" s="971"/>
      <c r="AB467" s="971"/>
      <c r="AC467" s="971"/>
      <c r="AD467" s="971"/>
    </row>
    <row r="468" spans="1:30" s="1355" customFormat="1" ht="15.75" customHeight="1" outlineLevel="1">
      <c r="A468" s="1442" t="str">
        <f t="shared" si="50"/>
        <v>Стойки каркаса, правая сторона, 1 эт</v>
      </c>
      <c r="B468" s="920" t="str">
        <f t="shared" si="50"/>
        <v>м.п.</v>
      </c>
      <c r="C468" s="1442">
        <f t="shared" si="50"/>
        <v>0.4</v>
      </c>
      <c r="D468" s="1442">
        <f t="shared" si="50"/>
        <v>0.05</v>
      </c>
      <c r="E468" s="1319">
        <f>E405*IF('Ввод данных'!A365=связи1!A97,IF('Ввод данных'!A364=связи1!A106,0,1),1)</f>
        <v>2.9</v>
      </c>
      <c r="F468" s="1319">
        <f>L405</f>
        <v>0</v>
      </c>
      <c r="G468" s="971">
        <f t="shared" si="51"/>
        <v>0</v>
      </c>
      <c r="H468" s="971"/>
      <c r="I468" s="971"/>
      <c r="J468" s="971"/>
      <c r="K468" s="971"/>
      <c r="L468" s="971"/>
      <c r="M468" s="971"/>
      <c r="N468" s="971"/>
      <c r="O468" s="971"/>
      <c r="P468" s="1353"/>
      <c r="Q468" s="1353"/>
      <c r="R468" s="1353"/>
      <c r="S468" s="971"/>
      <c r="T468" s="971"/>
      <c r="U468" s="1398"/>
      <c r="V468" s="971"/>
      <c r="W468" s="971"/>
      <c r="X468" s="971"/>
      <c r="Y468" s="1353"/>
      <c r="Z468" s="1353"/>
      <c r="AA468" s="971"/>
      <c r="AB468" s="971"/>
      <c r="AC468" s="971"/>
      <c r="AD468" s="971"/>
    </row>
    <row r="469" spans="1:30" s="1355" customFormat="1" ht="15.75" customHeight="1" outlineLevel="1">
      <c r="A469" s="1442" t="str">
        <f t="shared" si="50"/>
        <v>Обвязка каркаса верхняя/нижняя наружние стены 1 эт</v>
      </c>
      <c r="B469" s="920" t="str">
        <f t="shared" si="50"/>
        <v>м.п.</v>
      </c>
      <c r="C469" s="1442">
        <f t="shared" si="50"/>
        <v>0.4</v>
      </c>
      <c r="D469" s="1442">
        <f t="shared" si="50"/>
        <v>0.05</v>
      </c>
      <c r="E469" s="1319"/>
      <c r="F469" s="1319">
        <f>P406+Q406</f>
        <v>0</v>
      </c>
      <c r="G469" s="971">
        <f t="shared" si="51"/>
        <v>0</v>
      </c>
      <c r="H469" s="971"/>
      <c r="I469" s="971"/>
      <c r="J469" s="971"/>
      <c r="K469" s="971"/>
      <c r="L469" s="971"/>
      <c r="M469" s="971"/>
      <c r="N469" s="971"/>
      <c r="O469" s="971"/>
      <c r="P469" s="1353"/>
      <c r="Q469" s="1353"/>
      <c r="R469" s="1353"/>
      <c r="S469" s="971"/>
      <c r="T469" s="971"/>
      <c r="U469" s="1398"/>
      <c r="V469" s="971"/>
      <c r="W469" s="971"/>
      <c r="X469" s="971"/>
      <c r="Y469" s="1353"/>
      <c r="Z469" s="1353"/>
      <c r="AA469" s="971"/>
      <c r="AB469" s="971"/>
      <c r="AC469" s="971"/>
      <c r="AD469" s="971"/>
    </row>
    <row r="470" spans="1:30" s="1355" customFormat="1" ht="15.75" customHeight="1" outlineLevel="1">
      <c r="A470" s="1442" t="str">
        <f t="shared" si="50"/>
        <v>Ригель каркаса наружние стены 1 эт</v>
      </c>
      <c r="B470" s="920" t="str">
        <f t="shared" si="50"/>
        <v>м.п.</v>
      </c>
      <c r="C470" s="1442">
        <f t="shared" si="50"/>
        <v>0.4</v>
      </c>
      <c r="D470" s="1442">
        <f t="shared" si="50"/>
        <v>0.05</v>
      </c>
      <c r="E470" s="1319"/>
      <c r="F470" s="1319">
        <f>F428</f>
        <v>0</v>
      </c>
      <c r="G470" s="971">
        <f t="shared" si="51"/>
        <v>0</v>
      </c>
      <c r="H470" s="971"/>
      <c r="I470" s="971"/>
      <c r="J470" s="971"/>
      <c r="K470" s="971"/>
      <c r="L470" s="971"/>
      <c r="M470" s="971"/>
      <c r="N470" s="971"/>
      <c r="O470" s="971"/>
      <c r="P470" s="1353"/>
      <c r="Q470" s="1353"/>
      <c r="R470" s="1353"/>
      <c r="S470" s="971"/>
      <c r="T470" s="971"/>
      <c r="U470" s="1398"/>
      <c r="V470" s="971"/>
      <c r="W470" s="971"/>
      <c r="X470" s="971"/>
      <c r="Y470" s="1353"/>
      <c r="Z470" s="1353"/>
      <c r="AA470" s="971"/>
      <c r="AB470" s="971"/>
      <c r="AC470" s="971"/>
      <c r="AD470" s="971"/>
    </row>
    <row r="471" spans="1:30" s="1355" customFormat="1" ht="15.75" customHeight="1" outlineLevel="1">
      <c r="A471" s="1442" t="str">
        <f t="shared" si="50"/>
        <v>Укосина наружних стен, усиление 1 этаж</v>
      </c>
      <c r="B471" s="920" t="str">
        <f t="shared" si="50"/>
        <v>м.п.</v>
      </c>
      <c r="C471" s="1442">
        <f t="shared" si="50"/>
        <v>0.4</v>
      </c>
      <c r="D471" s="1442">
        <f t="shared" si="50"/>
        <v>0.05</v>
      </c>
      <c r="E471" s="1319">
        <f>1.5*VLOOKUP('Ввод данных'!F416,связи1!A2:B3,2,0)*связи1!D550</f>
        <v>0</v>
      </c>
      <c r="F471" s="1319">
        <v>8</v>
      </c>
      <c r="G471" s="971">
        <f t="shared" si="51"/>
        <v>0</v>
      </c>
      <c r="H471" s="971"/>
      <c r="I471" s="971"/>
      <c r="J471" s="971"/>
      <c r="K471" s="971"/>
      <c r="L471" s="971"/>
      <c r="M471" s="971"/>
      <c r="N471" s="971"/>
      <c r="O471" s="971"/>
      <c r="P471" s="1353"/>
      <c r="Q471" s="1353"/>
      <c r="R471" s="1353"/>
      <c r="S471" s="971"/>
      <c r="T471" s="971"/>
      <c r="U471" s="1398"/>
      <c r="V471" s="971"/>
      <c r="W471" s="971"/>
      <c r="X471" s="971"/>
      <c r="Y471" s="1353"/>
      <c r="Z471" s="1353"/>
      <c r="AA471" s="971"/>
      <c r="AB471" s="971"/>
      <c r="AC471" s="971"/>
      <c r="AD471" s="971"/>
    </row>
    <row r="472" spans="1:30" s="1355" customFormat="1" ht="15.75" customHeight="1" outlineLevel="1">
      <c r="A472" s="1456" t="str">
        <f t="shared" si="50"/>
        <v>Стойка каркаса по фронтону, 1 этаж, односкатная кровля, №1</v>
      </c>
      <c r="B472" s="1457" t="str">
        <f t="shared" si="50"/>
        <v>м.п.</v>
      </c>
      <c r="C472" s="1456">
        <f t="shared" si="50"/>
        <v>0.4</v>
      </c>
      <c r="D472" s="1456">
        <f t="shared" si="50"/>
        <v>0.05</v>
      </c>
      <c r="E472" s="1458">
        <f>IF('Ввод данных'!A364=связи1!A106,IF('Ввод данных'!A365=связи1!A94,связи1!D554-связи1!D553,0)+IF('Ввод данных'!A365=связи1!A95,0,0)+IF('Ввод данных'!A365=связи1!A96,0,0)+IF('Ввод данных'!A364=связи1!A106,IF('Ввод данных'!A365=связи1!A97,связи1!D554,0),0)+IF('Ввод данных'!A365=связи1!A98,0,0),0)</f>
        <v>0</v>
      </c>
      <c r="F472" s="1458">
        <f t="shared" ref="F472:F505" si="52">F430</f>
        <v>2</v>
      </c>
      <c r="G472" s="971">
        <f t="shared" si="51"/>
        <v>0</v>
      </c>
      <c r="H472" s="971"/>
      <c r="I472" s="971"/>
      <c r="J472" s="971"/>
      <c r="K472" s="971"/>
      <c r="L472" s="971"/>
      <c r="M472" s="971"/>
      <c r="N472" s="971"/>
      <c r="O472" s="971"/>
      <c r="P472" s="1353"/>
      <c r="Q472" s="1353"/>
      <c r="R472" s="1353"/>
      <c r="S472" s="971"/>
      <c r="T472" s="971"/>
      <c r="U472" s="1398"/>
      <c r="V472" s="971"/>
      <c r="W472" s="971"/>
      <c r="X472" s="971"/>
      <c r="Y472" s="1353"/>
      <c r="Z472" s="1353"/>
      <c r="AA472" s="971"/>
      <c r="AB472" s="971"/>
      <c r="AC472" s="971"/>
      <c r="AD472" s="971"/>
    </row>
    <row r="473" spans="1:30" s="1355" customFormat="1" ht="15.75" customHeight="1" outlineLevel="1">
      <c r="A473" s="1456" t="str">
        <f t="shared" si="50"/>
        <v>Стойка каркаса по фронтону, 1 этаж, односкатная кровля, №2</v>
      </c>
      <c r="B473" s="1457" t="str">
        <f t="shared" si="50"/>
        <v>м.п.</v>
      </c>
      <c r="C473" s="1456">
        <f t="shared" si="50"/>
        <v>0.4</v>
      </c>
      <c r="D473" s="1456">
        <f t="shared" si="50"/>
        <v>0.05</v>
      </c>
      <c r="E473" s="1458">
        <f>IF('Ввод данных'!$A$365=связи1!$A$97,IF(дома!E472&lt;связи1!$D$553,0,дома!E472-$D$419),0)+IF(дома!E472=0,0,IF('Ввод данных'!$A$365=связи1!$A$94,IF(дома!E472&lt;0,0,дома!E472-$D$419),0))</f>
        <v>0</v>
      </c>
      <c r="F473" s="1458">
        <f t="shared" si="52"/>
        <v>2</v>
      </c>
      <c r="G473" s="971">
        <f t="shared" si="51"/>
        <v>0</v>
      </c>
      <c r="H473" s="971"/>
      <c r="I473" s="971"/>
      <c r="J473" s="971"/>
      <c r="K473" s="971"/>
      <c r="L473" s="971"/>
      <c r="M473" s="971"/>
      <c r="N473" s="971"/>
      <c r="O473" s="971"/>
      <c r="P473" s="1353"/>
      <c r="Q473" s="1353"/>
      <c r="R473" s="1353"/>
      <c r="S473" s="971"/>
      <c r="T473" s="971"/>
      <c r="U473" s="1398"/>
      <c r="V473" s="971"/>
      <c r="W473" s="971"/>
      <c r="X473" s="971"/>
      <c r="Y473" s="1353"/>
      <c r="Z473" s="1353"/>
      <c r="AA473" s="971"/>
      <c r="AB473" s="971"/>
      <c r="AC473" s="971"/>
      <c r="AD473" s="971"/>
    </row>
    <row r="474" spans="1:30" s="1355" customFormat="1" ht="15.75" customHeight="1" outlineLevel="1">
      <c r="A474" s="1456" t="str">
        <f t="shared" si="50"/>
        <v>Стойка каркаса по фронтону, 1 этаж, односкатная кровля, №3</v>
      </c>
      <c r="B474" s="1457" t="str">
        <f t="shared" si="50"/>
        <v>м.п.</v>
      </c>
      <c r="C474" s="1456">
        <f t="shared" si="50"/>
        <v>0.4</v>
      </c>
      <c r="D474" s="1456">
        <f t="shared" si="50"/>
        <v>0.05</v>
      </c>
      <c r="E474" s="1458">
        <f>IF('Ввод данных'!$A$365=связи1!$A$97,IF(дома!E473&lt;связи1!$D$553,0,дома!E473-$D$419),0)+IF(дома!E473=0,0,IF('Ввод данных'!$A$365=связи1!$A$94,IF(дома!E473&lt;0,0,дома!E473-$D$419),0))</f>
        <v>0</v>
      </c>
      <c r="F474" s="1458">
        <f t="shared" si="52"/>
        <v>2</v>
      </c>
      <c r="G474" s="971">
        <f t="shared" si="51"/>
        <v>0</v>
      </c>
      <c r="H474" s="971"/>
      <c r="I474" s="971"/>
      <c r="J474" s="971"/>
      <c r="K474" s="971"/>
      <c r="L474" s="971"/>
      <c r="M474" s="971"/>
      <c r="N474" s="971"/>
      <c r="O474" s="971"/>
      <c r="P474" s="1353"/>
      <c r="Q474" s="1353"/>
      <c r="R474" s="1353"/>
      <c r="S474" s="971"/>
      <c r="T474" s="971"/>
      <c r="U474" s="1398"/>
      <c r="V474" s="971"/>
      <c r="W474" s="971"/>
      <c r="X474" s="971"/>
      <c r="Y474" s="1353"/>
      <c r="Z474" s="1353"/>
      <c r="AA474" s="971"/>
      <c r="AB474" s="971"/>
      <c r="AC474" s="971"/>
      <c r="AD474" s="971"/>
    </row>
    <row r="475" spans="1:30" s="1355" customFormat="1" ht="15.75" customHeight="1" outlineLevel="1">
      <c r="A475" s="1456" t="str">
        <f t="shared" si="50"/>
        <v>Стойка каркаса по фронтону, 1 этаж, односкатная кровля, №4</v>
      </c>
      <c r="B475" s="1457" t="str">
        <f t="shared" si="50"/>
        <v>м.п.</v>
      </c>
      <c r="C475" s="1456">
        <f t="shared" si="50"/>
        <v>0.4</v>
      </c>
      <c r="D475" s="1456">
        <f t="shared" si="50"/>
        <v>0.05</v>
      </c>
      <c r="E475" s="1458">
        <f>IF('Ввод данных'!$A$365=связи1!$A$97,IF(дома!E474&lt;связи1!$D$553,0,дома!E474-$D$419),0)+IF(дома!E474=0,0,IF('Ввод данных'!$A$365=связи1!$A$94,IF(дома!E474&lt;0,0,дома!E474-$D$419),0))</f>
        <v>0</v>
      </c>
      <c r="F475" s="1458">
        <f t="shared" si="52"/>
        <v>2</v>
      </c>
      <c r="G475" s="971">
        <f t="shared" si="51"/>
        <v>0</v>
      </c>
      <c r="H475" s="971"/>
      <c r="I475" s="971"/>
      <c r="J475" s="971"/>
      <c r="K475" s="971"/>
      <c r="L475" s="971"/>
      <c r="M475" s="971"/>
      <c r="N475" s="971"/>
      <c r="O475" s="971"/>
      <c r="P475" s="1353"/>
      <c r="Q475" s="1353"/>
      <c r="R475" s="1353"/>
      <c r="S475" s="971"/>
      <c r="T475" s="971"/>
      <c r="U475" s="1398"/>
      <c r="V475" s="971"/>
      <c r="W475" s="971"/>
      <c r="X475" s="971"/>
      <c r="Y475" s="1353"/>
      <c r="Z475" s="1353"/>
      <c r="AA475" s="971"/>
      <c r="AB475" s="971"/>
      <c r="AC475" s="971"/>
      <c r="AD475" s="971"/>
    </row>
    <row r="476" spans="1:30" s="1355" customFormat="1" ht="15.75" customHeight="1" outlineLevel="1">
      <c r="A476" s="1456" t="str">
        <f t="shared" si="50"/>
        <v>Стойка каркаса по фронтону, 1 этаж, односкатная кровля, №5</v>
      </c>
      <c r="B476" s="1457" t="str">
        <f t="shared" si="50"/>
        <v>м.п.</v>
      </c>
      <c r="C476" s="1456">
        <f t="shared" si="50"/>
        <v>0.4</v>
      </c>
      <c r="D476" s="1456">
        <f t="shared" si="50"/>
        <v>0.05</v>
      </c>
      <c r="E476" s="1458">
        <f>IF('Ввод данных'!$A$365=связи1!$A$97,IF(дома!E475&lt;связи1!$D$553,0,дома!E475-$D$419),0)+IF(дома!E475=0,0,IF('Ввод данных'!$A$365=связи1!$A$94,IF(дома!E475&lt;0,0,дома!E475-$D$419),0))</f>
        <v>0</v>
      </c>
      <c r="F476" s="1458">
        <f t="shared" si="52"/>
        <v>2</v>
      </c>
      <c r="G476" s="971">
        <f t="shared" si="51"/>
        <v>0</v>
      </c>
      <c r="H476" s="971"/>
      <c r="I476" s="971"/>
      <c r="J476" s="971"/>
      <c r="K476" s="971"/>
      <c r="L476" s="971"/>
      <c r="M476" s="971"/>
      <c r="N476" s="971"/>
      <c r="O476" s="971"/>
      <c r="P476" s="1353"/>
      <c r="Q476" s="1353"/>
      <c r="R476" s="1353"/>
      <c r="S476" s="971"/>
      <c r="T476" s="971"/>
      <c r="U476" s="1398"/>
      <c r="V476" s="971"/>
      <c r="W476" s="971"/>
      <c r="X476" s="971"/>
      <c r="Y476" s="1353"/>
      <c r="Z476" s="1353"/>
      <c r="AA476" s="971"/>
      <c r="AB476" s="971"/>
      <c r="AC476" s="971"/>
      <c r="AD476" s="971"/>
    </row>
    <row r="477" spans="1:30" s="1355" customFormat="1" ht="15.75" customHeight="1" outlineLevel="1">
      <c r="A477" s="1456" t="str">
        <f t="shared" si="50"/>
        <v>Стойка каркаса по фронтону, 1 этаж, односкатная кровля, №6</v>
      </c>
      <c r="B477" s="1457" t="str">
        <f t="shared" si="50"/>
        <v>м.п.</v>
      </c>
      <c r="C477" s="1456">
        <f t="shared" si="50"/>
        <v>0.4</v>
      </c>
      <c r="D477" s="1456">
        <f t="shared" si="50"/>
        <v>0.05</v>
      </c>
      <c r="E477" s="1458">
        <f>IF('Ввод данных'!$A$365=связи1!$A$97,IF(дома!E476&lt;связи1!$D$553,0,дома!E476-$D$419),0)+IF(дома!E476=0,0,IF('Ввод данных'!$A$365=связи1!$A$94,IF(дома!E476&lt;0,0,дома!E476-$D$419),0))</f>
        <v>0</v>
      </c>
      <c r="F477" s="1458">
        <f t="shared" si="52"/>
        <v>2</v>
      </c>
      <c r="G477" s="971">
        <f t="shared" si="51"/>
        <v>0</v>
      </c>
      <c r="H477" s="971"/>
      <c r="I477" s="971"/>
      <c r="J477" s="971"/>
      <c r="K477" s="971"/>
      <c r="L477" s="971"/>
      <c r="M477" s="971"/>
      <c r="N477" s="971"/>
      <c r="O477" s="971"/>
      <c r="P477" s="1353"/>
      <c r="Q477" s="1353"/>
      <c r="R477" s="1353"/>
      <c r="S477" s="971"/>
      <c r="T477" s="971"/>
      <c r="U477" s="1398"/>
      <c r="V477" s="971"/>
      <c r="W477" s="971"/>
      <c r="X477" s="971"/>
      <c r="Y477" s="1353"/>
      <c r="Z477" s="1353"/>
      <c r="AA477" s="971"/>
      <c r="AB477" s="971"/>
      <c r="AC477" s="971"/>
      <c r="AD477" s="971"/>
    </row>
    <row r="478" spans="1:30" s="1355" customFormat="1" ht="15.75" customHeight="1" outlineLevel="1">
      <c r="A478" s="1456" t="str">
        <f t="shared" si="50"/>
        <v>Стойка каркаса по фронтону, 1 этаж, односкатная кровля, №7</v>
      </c>
      <c r="B478" s="1457" t="str">
        <f t="shared" si="50"/>
        <v>м.п.</v>
      </c>
      <c r="C478" s="1456">
        <f t="shared" si="50"/>
        <v>0.4</v>
      </c>
      <c r="D478" s="1456">
        <f t="shared" si="50"/>
        <v>0.05</v>
      </c>
      <c r="E478" s="1458">
        <f>IF('Ввод данных'!$A$365=связи1!$A$97,IF(дома!E477&lt;связи1!$D$553,0,дома!E477-$D$419),0)+IF(дома!E477=0,0,IF('Ввод данных'!$A$365=связи1!$A$94,IF(дома!E477&lt;0,0,дома!E477-$D$419),0))</f>
        <v>0</v>
      </c>
      <c r="F478" s="1458">
        <f t="shared" si="52"/>
        <v>2</v>
      </c>
      <c r="G478" s="971">
        <f t="shared" si="51"/>
        <v>0</v>
      </c>
      <c r="H478" s="971"/>
      <c r="I478" s="971"/>
      <c r="J478" s="971"/>
      <c r="K478" s="971"/>
      <c r="L478" s="971"/>
      <c r="M478" s="971"/>
      <c r="N478" s="971"/>
      <c r="O478" s="971"/>
      <c r="P478" s="1353"/>
      <c r="Q478" s="1353"/>
      <c r="R478" s="1353"/>
      <c r="S478" s="971"/>
      <c r="T478" s="971"/>
      <c r="U478" s="1398"/>
      <c r="V478" s="971"/>
      <c r="W478" s="971"/>
      <c r="X478" s="971"/>
      <c r="Y478" s="1353"/>
      <c r="Z478" s="1353"/>
      <c r="AA478" s="971"/>
      <c r="AB478" s="971"/>
      <c r="AC478" s="971"/>
      <c r="AD478" s="971"/>
    </row>
    <row r="479" spans="1:30" s="1355" customFormat="1" ht="15.75" customHeight="1" outlineLevel="1">
      <c r="A479" s="1456" t="str">
        <f t="shared" si="50"/>
        <v>Стойка каркаса по фронтону, 1 этаж, односкатная кровля, №8</v>
      </c>
      <c r="B479" s="1457" t="str">
        <f t="shared" si="50"/>
        <v>м.п.</v>
      </c>
      <c r="C479" s="1456">
        <f t="shared" si="50"/>
        <v>0.4</v>
      </c>
      <c r="D479" s="1456">
        <f t="shared" si="50"/>
        <v>0.05</v>
      </c>
      <c r="E479" s="1458">
        <f>IF('Ввод данных'!$A$365=связи1!$A$97,IF(дома!E478&lt;связи1!$D$553,0,дома!E478-$D$419),0)+IF(дома!E478=0,0,IF('Ввод данных'!$A$365=связи1!$A$94,IF(дома!E478&lt;0,0,дома!E478-$D$419),0))</f>
        <v>0</v>
      </c>
      <c r="F479" s="1458">
        <f t="shared" si="52"/>
        <v>2</v>
      </c>
      <c r="G479" s="971">
        <f t="shared" si="51"/>
        <v>0</v>
      </c>
      <c r="H479" s="971"/>
      <c r="I479" s="971"/>
      <c r="J479" s="971"/>
      <c r="K479" s="971"/>
      <c r="L479" s="971"/>
      <c r="M479" s="971"/>
      <c r="N479" s="971"/>
      <c r="O479" s="971"/>
      <c r="P479" s="1353"/>
      <c r="Q479" s="1353"/>
      <c r="R479" s="1353"/>
      <c r="S479" s="971"/>
      <c r="T479" s="971"/>
      <c r="U479" s="1398"/>
      <c r="V479" s="971"/>
      <c r="W479" s="971"/>
      <c r="X479" s="971"/>
      <c r="Y479" s="1353"/>
      <c r="Z479" s="1353"/>
      <c r="AA479" s="971"/>
      <c r="AB479" s="971"/>
      <c r="AC479" s="971"/>
      <c r="AD479" s="971"/>
    </row>
    <row r="480" spans="1:30" s="1355" customFormat="1" ht="15.75" customHeight="1" outlineLevel="1">
      <c r="A480" s="1456" t="str">
        <f t="shared" si="50"/>
        <v>Стойка каркаса по фронтону, 1 этаж, односкатная кровля, №9</v>
      </c>
      <c r="B480" s="1457" t="str">
        <f t="shared" si="50"/>
        <v>м.п.</v>
      </c>
      <c r="C480" s="1456">
        <f t="shared" si="50"/>
        <v>0.4</v>
      </c>
      <c r="D480" s="1456">
        <f t="shared" si="50"/>
        <v>0.05</v>
      </c>
      <c r="E480" s="1458">
        <f>IF('Ввод данных'!$A$365=связи1!$A$97,IF(дома!E479&lt;связи1!$D$553,0,дома!E479-$D$419),0)+IF(дома!E479=0,0,IF('Ввод данных'!$A$365=связи1!$A$94,IF(дома!E479&lt;0,0,дома!E479-$D$419),0))</f>
        <v>0</v>
      </c>
      <c r="F480" s="1458">
        <f t="shared" si="52"/>
        <v>2</v>
      </c>
      <c r="G480" s="971">
        <f t="shared" si="51"/>
        <v>0</v>
      </c>
      <c r="H480" s="971"/>
      <c r="I480" s="971"/>
      <c r="J480" s="971"/>
      <c r="K480" s="971"/>
      <c r="L480" s="971"/>
      <c r="M480" s="971"/>
      <c r="N480" s="971"/>
      <c r="O480" s="971"/>
      <c r="P480" s="1353"/>
      <c r="Q480" s="1353"/>
      <c r="R480" s="1353"/>
      <c r="S480" s="971"/>
      <c r="T480" s="971"/>
      <c r="U480" s="1398"/>
      <c r="V480" s="971"/>
      <c r="W480" s="971"/>
      <c r="X480" s="971"/>
      <c r="Y480" s="1353"/>
      <c r="Z480" s="1353"/>
      <c r="AA480" s="971"/>
      <c r="AB480" s="971"/>
      <c r="AC480" s="971"/>
      <c r="AD480" s="971"/>
    </row>
    <row r="481" spans="1:30" s="1355" customFormat="1" ht="15.75" customHeight="1" outlineLevel="1">
      <c r="A481" s="1456" t="str">
        <f t="shared" si="50"/>
        <v>Стойка каркаса по фронтону, 1 этаж, односкатная кровля, №10</v>
      </c>
      <c r="B481" s="1457" t="str">
        <f t="shared" si="50"/>
        <v>м.п.</v>
      </c>
      <c r="C481" s="1456">
        <f t="shared" si="50"/>
        <v>0.4</v>
      </c>
      <c r="D481" s="1456">
        <f t="shared" si="50"/>
        <v>0.05</v>
      </c>
      <c r="E481" s="1458">
        <f>IF('Ввод данных'!$A$365=связи1!$A$97,IF(дома!E480&lt;связи1!$D$553,0,дома!E480-$D$419),0)+IF(дома!E480=0,0,IF('Ввод данных'!$A$365=связи1!$A$94,IF(дома!E480&lt;0,0,дома!E480-$D$419),0))</f>
        <v>0</v>
      </c>
      <c r="F481" s="1458">
        <f t="shared" si="52"/>
        <v>2</v>
      </c>
      <c r="G481" s="971">
        <f t="shared" si="51"/>
        <v>0</v>
      </c>
      <c r="H481" s="971"/>
      <c r="I481" s="971"/>
      <c r="J481" s="971"/>
      <c r="K481" s="971"/>
      <c r="L481" s="971"/>
      <c r="M481" s="971"/>
      <c r="N481" s="971"/>
      <c r="O481" s="971"/>
      <c r="P481" s="1353"/>
      <c r="Q481" s="1353"/>
      <c r="R481" s="1353"/>
      <c r="S481" s="971"/>
      <c r="T481" s="971"/>
      <c r="U481" s="1398"/>
      <c r="V481" s="971"/>
      <c r="W481" s="971"/>
      <c r="X481" s="971"/>
      <c r="Y481" s="1353"/>
      <c r="Z481" s="1353"/>
      <c r="AA481" s="971"/>
      <c r="AB481" s="971"/>
      <c r="AC481" s="971"/>
      <c r="AD481" s="971"/>
    </row>
    <row r="482" spans="1:30" s="1355" customFormat="1" ht="15.75" customHeight="1" outlineLevel="1">
      <c r="A482" s="1456" t="str">
        <f t="shared" si="50"/>
        <v>Стойка каркаса по фронтону, 1 этаж, односкатная кровля, №11</v>
      </c>
      <c r="B482" s="1457" t="str">
        <f t="shared" si="50"/>
        <v>м.п.</v>
      </c>
      <c r="C482" s="1456">
        <f t="shared" si="50"/>
        <v>0.4</v>
      </c>
      <c r="D482" s="1456">
        <f t="shared" si="50"/>
        <v>0.05</v>
      </c>
      <c r="E482" s="1458">
        <f>IF('Ввод данных'!$A$365=связи1!$A$97,IF(дома!E481&lt;связи1!$D$553,0,дома!E481-$D$419),0)+IF(дома!E481=0,0,IF('Ввод данных'!$A$365=связи1!$A$94,IF(дома!E481&lt;0,0,дома!E481-$D$419),0))</f>
        <v>0</v>
      </c>
      <c r="F482" s="1458">
        <f t="shared" si="52"/>
        <v>2</v>
      </c>
      <c r="G482" s="971">
        <f t="shared" si="51"/>
        <v>0</v>
      </c>
      <c r="H482" s="971"/>
      <c r="I482" s="971"/>
      <c r="J482" s="971"/>
      <c r="K482" s="971"/>
      <c r="L482" s="971"/>
      <c r="M482" s="971"/>
      <c r="N482" s="971"/>
      <c r="O482" s="971"/>
      <c r="P482" s="1353"/>
      <c r="Q482" s="1353"/>
      <c r="R482" s="1353"/>
      <c r="S482" s="971"/>
      <c r="T482" s="971"/>
      <c r="U482" s="1398"/>
      <c r="V482" s="971"/>
      <c r="W482" s="971"/>
      <c r="X482" s="971"/>
      <c r="Y482" s="1353"/>
      <c r="Z482" s="1353"/>
      <c r="AA482" s="971"/>
      <c r="AB482" s="971"/>
      <c r="AC482" s="971"/>
      <c r="AD482" s="971"/>
    </row>
    <row r="483" spans="1:30" s="1355" customFormat="1" ht="15.75" customHeight="1" outlineLevel="1">
      <c r="A483" s="1456" t="str">
        <f t="shared" si="50"/>
        <v>Стойка каркаса по фронтону, 1 этаж, односкатная кровля, №12</v>
      </c>
      <c r="B483" s="1457" t="str">
        <f t="shared" si="50"/>
        <v>м.п.</v>
      </c>
      <c r="C483" s="1456">
        <f t="shared" si="50"/>
        <v>0.4</v>
      </c>
      <c r="D483" s="1456">
        <f t="shared" si="50"/>
        <v>0.05</v>
      </c>
      <c r="E483" s="1458">
        <f>IF('Ввод данных'!$A$365=связи1!$A$97,IF(дома!E482&lt;связи1!$D$553,0,дома!E482-$D$419),0)+IF(дома!E482=0,0,IF('Ввод данных'!$A$365=связи1!$A$94,IF(дома!E482&lt;0,0,дома!E482-$D$419),0))</f>
        <v>0</v>
      </c>
      <c r="F483" s="1458">
        <f t="shared" si="52"/>
        <v>2</v>
      </c>
      <c r="G483" s="971">
        <f t="shared" si="51"/>
        <v>0</v>
      </c>
      <c r="H483" s="971"/>
      <c r="I483" s="971"/>
      <c r="J483" s="971"/>
      <c r="K483" s="971"/>
      <c r="L483" s="971"/>
      <c r="M483" s="971"/>
      <c r="N483" s="971"/>
      <c r="O483" s="971"/>
      <c r="P483" s="1353"/>
      <c r="Q483" s="1353"/>
      <c r="R483" s="1353"/>
      <c r="S483" s="971"/>
      <c r="T483" s="971"/>
      <c r="U483" s="1398"/>
      <c r="V483" s="971"/>
      <c r="W483" s="971"/>
      <c r="X483" s="971"/>
      <c r="Y483" s="1353"/>
      <c r="Z483" s="1353"/>
      <c r="AA483" s="971"/>
      <c r="AB483" s="971"/>
      <c r="AC483" s="971"/>
      <c r="AD483" s="971"/>
    </row>
    <row r="484" spans="1:30" s="1355" customFormat="1" ht="15.75" customHeight="1" outlineLevel="1">
      <c r="A484" s="1456" t="str">
        <f t="shared" si="50"/>
        <v>Стойка каркаса по фронтону, 1 этаж, односкатная кровля, №13</v>
      </c>
      <c r="B484" s="1457" t="str">
        <f t="shared" si="50"/>
        <v>м.п.</v>
      </c>
      <c r="C484" s="1456">
        <f t="shared" si="50"/>
        <v>0.4</v>
      </c>
      <c r="D484" s="1456">
        <f t="shared" si="50"/>
        <v>0.05</v>
      </c>
      <c r="E484" s="1458">
        <f>IF('Ввод данных'!$A$365=связи1!$A$97,IF(дома!E483&lt;связи1!$D$553,0,дома!E483-$D$419),0)+IF(дома!E483=0,0,IF('Ввод данных'!$A$365=связи1!$A$94,IF(дома!E483&lt;0,0,дома!E483-$D$419),0))</f>
        <v>0</v>
      </c>
      <c r="F484" s="1458">
        <f t="shared" si="52"/>
        <v>2</v>
      </c>
      <c r="G484" s="971">
        <f t="shared" si="51"/>
        <v>0</v>
      </c>
      <c r="H484" s="971"/>
      <c r="I484" s="971"/>
      <c r="J484" s="971"/>
      <c r="K484" s="971"/>
      <c r="L484" s="971"/>
      <c r="M484" s="971"/>
      <c r="N484" s="971"/>
      <c r="O484" s="971"/>
      <c r="P484" s="1353"/>
      <c r="Q484" s="1353"/>
      <c r="R484" s="1353"/>
      <c r="S484" s="971"/>
      <c r="T484" s="971"/>
      <c r="U484" s="1398"/>
      <c r="V484" s="971"/>
      <c r="W484" s="971"/>
      <c r="X484" s="971"/>
      <c r="Y484" s="1353"/>
      <c r="Z484" s="1353"/>
      <c r="AA484" s="971"/>
      <c r="AB484" s="971"/>
      <c r="AC484" s="971"/>
      <c r="AD484" s="971"/>
    </row>
    <row r="485" spans="1:30" s="1355" customFormat="1" ht="15.75" customHeight="1" outlineLevel="1">
      <c r="A485" s="1456" t="str">
        <f t="shared" si="50"/>
        <v>Стойка каркаса по фронтону, 1 этаж, односкатная кровля, №14</v>
      </c>
      <c r="B485" s="1457" t="str">
        <f t="shared" si="50"/>
        <v>м.п.</v>
      </c>
      <c r="C485" s="1456">
        <f t="shared" si="50"/>
        <v>0.4</v>
      </c>
      <c r="D485" s="1456">
        <f t="shared" si="50"/>
        <v>0.05</v>
      </c>
      <c r="E485" s="1458">
        <f>IF('Ввод данных'!$A$365=связи1!$A$97,IF(дома!E484&lt;связи1!$D$553,0,дома!E484-$D$419),0)+IF(дома!E484=0,0,IF('Ввод данных'!$A$365=связи1!$A$94,IF(дома!E484&lt;0,0,дома!E484-$D$419),0))</f>
        <v>0</v>
      </c>
      <c r="F485" s="1458">
        <f t="shared" si="52"/>
        <v>2</v>
      </c>
      <c r="G485" s="971">
        <f t="shared" si="51"/>
        <v>0</v>
      </c>
      <c r="H485" s="971"/>
      <c r="I485" s="971"/>
      <c r="J485" s="971"/>
      <c r="K485" s="971"/>
      <c r="L485" s="971"/>
      <c r="M485" s="971"/>
      <c r="N485" s="971"/>
      <c r="O485" s="971"/>
      <c r="P485" s="1353"/>
      <c r="Q485" s="1353"/>
      <c r="R485" s="1353"/>
      <c r="S485" s="971"/>
      <c r="T485" s="971"/>
      <c r="U485" s="1398"/>
      <c r="V485" s="971"/>
      <c r="W485" s="971"/>
      <c r="X485" s="971"/>
      <c r="Y485" s="1353"/>
      <c r="Z485" s="1353"/>
      <c r="AA485" s="971"/>
      <c r="AB485" s="971"/>
      <c r="AC485" s="971"/>
      <c r="AD485" s="971"/>
    </row>
    <row r="486" spans="1:30" s="1355" customFormat="1" ht="15.75" customHeight="1" outlineLevel="1">
      <c r="A486" s="1456" t="str">
        <f t="shared" ref="A486:D505" si="53">A444</f>
        <v>Стойка каркаса по фронтону, 1 этаж, односкатная кровля, №15</v>
      </c>
      <c r="B486" s="1457" t="str">
        <f t="shared" si="53"/>
        <v>м.п.</v>
      </c>
      <c r="C486" s="1456">
        <f t="shared" si="53"/>
        <v>0.4</v>
      </c>
      <c r="D486" s="1456">
        <f t="shared" si="53"/>
        <v>0.05</v>
      </c>
      <c r="E486" s="1458">
        <f>IF('Ввод данных'!$A$365=связи1!$A$97,IF(дома!E485&lt;связи1!$D$553,0,дома!E485-$D$419),0)+IF(дома!E485=0,0,IF('Ввод данных'!$A$365=связи1!$A$94,IF(дома!E485&lt;0,0,дома!E485-$D$419),0))</f>
        <v>0</v>
      </c>
      <c r="F486" s="1458">
        <f t="shared" si="52"/>
        <v>2</v>
      </c>
      <c r="G486" s="971">
        <f t="shared" si="51"/>
        <v>0</v>
      </c>
      <c r="H486" s="971"/>
      <c r="I486" s="971"/>
      <c r="J486" s="971"/>
      <c r="K486" s="971"/>
      <c r="L486" s="971"/>
      <c r="M486" s="971"/>
      <c r="N486" s="971"/>
      <c r="O486" s="971"/>
      <c r="P486" s="1353"/>
      <c r="Q486" s="1353"/>
      <c r="R486" s="1353"/>
      <c r="S486" s="971"/>
      <c r="T486" s="971"/>
      <c r="U486" s="1398"/>
      <c r="V486" s="971"/>
      <c r="W486" s="971"/>
      <c r="X486" s="971"/>
      <c r="Y486" s="1353"/>
      <c r="Z486" s="1353"/>
      <c r="AA486" s="971"/>
      <c r="AB486" s="971"/>
      <c r="AC486" s="971"/>
      <c r="AD486" s="971"/>
    </row>
    <row r="487" spans="1:30" s="1355" customFormat="1" ht="15.75" customHeight="1" outlineLevel="1">
      <c r="A487" s="1456" t="str">
        <f t="shared" si="53"/>
        <v>Стойка каркаса по фронтону, 1 этаж, односкатная кровля, №16</v>
      </c>
      <c r="B487" s="1457" t="str">
        <f t="shared" si="53"/>
        <v>м.п.</v>
      </c>
      <c r="C487" s="1456">
        <f t="shared" si="53"/>
        <v>0.4</v>
      </c>
      <c r="D487" s="1456">
        <f t="shared" si="53"/>
        <v>0.05</v>
      </c>
      <c r="E487" s="1458">
        <f>IF('Ввод данных'!$A$365=связи1!$A$97,IF(дома!E486&lt;связи1!$D$553,0,дома!E486-$D$419),0)+IF(дома!E486=0,0,IF('Ввод данных'!$A$365=связи1!$A$94,IF(дома!E486&lt;0,0,дома!E486-$D$419),0))</f>
        <v>0</v>
      </c>
      <c r="F487" s="1458">
        <f t="shared" si="52"/>
        <v>2</v>
      </c>
      <c r="G487" s="971">
        <f t="shared" si="51"/>
        <v>0</v>
      </c>
      <c r="H487" s="971"/>
      <c r="I487" s="971"/>
      <c r="J487" s="971"/>
      <c r="K487" s="971"/>
      <c r="L487" s="971"/>
      <c r="M487" s="971"/>
      <c r="N487" s="971"/>
      <c r="O487" s="971"/>
      <c r="P487" s="1353"/>
      <c r="Q487" s="1353"/>
      <c r="R487" s="1353"/>
      <c r="S487" s="971"/>
      <c r="T487" s="971"/>
      <c r="U487" s="1398"/>
      <c r="V487" s="971"/>
      <c r="W487" s="971"/>
      <c r="X487" s="971"/>
      <c r="Y487" s="1353"/>
      <c r="Z487" s="1353"/>
      <c r="AA487" s="971"/>
      <c r="AB487" s="971"/>
      <c r="AC487" s="971"/>
      <c r="AD487" s="971"/>
    </row>
    <row r="488" spans="1:30" s="1355" customFormat="1" ht="15.75" customHeight="1" outlineLevel="1">
      <c r="A488" s="1456" t="str">
        <f t="shared" si="53"/>
        <v>Стойка каркаса по фронтону, 1 этаж, односкатная кровля, №17</v>
      </c>
      <c r="B488" s="1457" t="str">
        <f t="shared" si="53"/>
        <v>м.п.</v>
      </c>
      <c r="C488" s="1456">
        <f t="shared" si="53"/>
        <v>0.4</v>
      </c>
      <c r="D488" s="1456">
        <f t="shared" si="53"/>
        <v>0.05</v>
      </c>
      <c r="E488" s="1458">
        <f>IF('Ввод данных'!$A$365=связи1!$A$97,IF(дома!E487&lt;связи1!$D$553,0,дома!E487-$D$419),0)+IF(дома!E487=0,0,IF('Ввод данных'!$A$365=связи1!$A$94,IF(дома!E487&lt;0,0,дома!E487-$D$419),0))</f>
        <v>0</v>
      </c>
      <c r="F488" s="1458">
        <f t="shared" si="52"/>
        <v>2</v>
      </c>
      <c r="G488" s="971">
        <f t="shared" si="51"/>
        <v>0</v>
      </c>
      <c r="H488" s="971"/>
      <c r="I488" s="971"/>
      <c r="J488" s="971"/>
      <c r="K488" s="971"/>
      <c r="L488" s="971"/>
      <c r="M488" s="971"/>
      <c r="N488" s="971"/>
      <c r="O488" s="971"/>
      <c r="P488" s="1353"/>
      <c r="Q488" s="1353"/>
      <c r="R488" s="1353"/>
      <c r="S488" s="971"/>
      <c r="T488" s="971"/>
      <c r="U488" s="1398"/>
      <c r="V488" s="971"/>
      <c r="W488" s="971"/>
      <c r="X488" s="971"/>
      <c r="Y488" s="1353"/>
      <c r="Z488" s="1353"/>
      <c r="AA488" s="971"/>
      <c r="AB488" s="971"/>
      <c r="AC488" s="971"/>
      <c r="AD488" s="971"/>
    </row>
    <row r="489" spans="1:30" s="1355" customFormat="1" ht="15.75" customHeight="1" outlineLevel="1">
      <c r="A489" s="1459" t="str">
        <f t="shared" si="53"/>
        <v>Стойка каркаса по фронтону, 1 этаж, двускатная кровля, №1</v>
      </c>
      <c r="B489" s="1460" t="str">
        <f t="shared" si="53"/>
        <v>м.п.</v>
      </c>
      <c r="C489" s="1459">
        <f t="shared" si="53"/>
        <v>0.4</v>
      </c>
      <c r="D489" s="1459">
        <f t="shared" si="53"/>
        <v>0.05</v>
      </c>
      <c r="E489" s="1461">
        <f>IF('Ввод данных'!A364=связи1!A107,IF('Ввод данных'!A365=связи1!A94,связи1!D554-связи1!D553,0)+IF('Ввод данных'!A365=связи1!A95,0,0)+IF('Ввод данных'!A365=связи1!A96,0,0)+IF('Ввод данных'!A364=связи1!A107,IF('Ввод данных'!A365=связи1!A97,связи1!D554,0),0)+IF('Ввод данных'!A365=связи1!A98,0,0),0)</f>
        <v>0</v>
      </c>
      <c r="F489" s="1461">
        <f t="shared" si="52"/>
        <v>2</v>
      </c>
      <c r="G489" s="971">
        <f t="shared" si="51"/>
        <v>0</v>
      </c>
      <c r="H489" s="971"/>
      <c r="I489" s="971"/>
      <c r="J489" s="971"/>
      <c r="K489" s="971"/>
      <c r="L489" s="971"/>
      <c r="M489" s="971"/>
      <c r="N489" s="971"/>
      <c r="O489" s="971"/>
      <c r="P489" s="1353"/>
      <c r="Q489" s="1353"/>
      <c r="R489" s="1353"/>
      <c r="S489" s="971"/>
      <c r="T489" s="971"/>
      <c r="U489" s="1398"/>
      <c r="V489" s="971"/>
      <c r="W489" s="971"/>
      <c r="X489" s="971"/>
      <c r="Y489" s="1353"/>
      <c r="Z489" s="1353"/>
      <c r="AA489" s="971"/>
      <c r="AB489" s="971"/>
      <c r="AC489" s="971"/>
      <c r="AD489" s="971"/>
    </row>
    <row r="490" spans="1:30" s="1355" customFormat="1" ht="15.75" customHeight="1" outlineLevel="1">
      <c r="A490" s="1459" t="str">
        <f t="shared" si="53"/>
        <v>Стойка каркаса по фронтону, 1 этаж, двускатная кровля, №2</v>
      </c>
      <c r="B490" s="1460" t="str">
        <f t="shared" si="53"/>
        <v>м.п.</v>
      </c>
      <c r="C490" s="1459">
        <f t="shared" si="53"/>
        <v>0.4</v>
      </c>
      <c r="D490" s="1459">
        <f t="shared" si="53"/>
        <v>0.05</v>
      </c>
      <c r="E490" s="1461">
        <f>IF('Ввод данных'!$A$365=связи1!$A$97,IF(дома!E489&lt;связи1!$D$553,0,дома!E489-$D$419),0)+IF(дома!E489&lt;=0,0,IF('Ввод данных'!$A$365=связи1!$A$94,IF(дома!E489&lt;0,0,дома!E489-$D$419),0))</f>
        <v>0</v>
      </c>
      <c r="F490" s="1461">
        <f t="shared" si="52"/>
        <v>2</v>
      </c>
      <c r="G490" s="971">
        <f t="shared" si="51"/>
        <v>0</v>
      </c>
      <c r="H490" s="971"/>
      <c r="I490" s="971"/>
      <c r="J490" s="971"/>
      <c r="K490" s="971"/>
      <c r="L490" s="971"/>
      <c r="M490" s="971"/>
      <c r="N490" s="971"/>
      <c r="O490" s="971"/>
      <c r="P490" s="1353"/>
      <c r="Q490" s="1353"/>
      <c r="R490" s="1353"/>
      <c r="S490" s="971"/>
      <c r="T490" s="971"/>
      <c r="U490" s="1398"/>
      <c r="V490" s="971"/>
      <c r="W490" s="971"/>
      <c r="X490" s="971"/>
      <c r="Y490" s="1353"/>
      <c r="Z490" s="1353"/>
      <c r="AA490" s="971"/>
      <c r="AB490" s="971"/>
      <c r="AC490" s="971"/>
      <c r="AD490" s="971"/>
    </row>
    <row r="491" spans="1:30" s="1355" customFormat="1" ht="15.75" customHeight="1" outlineLevel="1">
      <c r="A491" s="1459" t="str">
        <f t="shared" si="53"/>
        <v>Стойка каркаса по фронтону, 1 этаж, двускатная кровля, №3</v>
      </c>
      <c r="B491" s="1460" t="str">
        <f t="shared" si="53"/>
        <v>м.п.</v>
      </c>
      <c r="C491" s="1459">
        <f t="shared" si="53"/>
        <v>0.4</v>
      </c>
      <c r="D491" s="1459">
        <f t="shared" si="53"/>
        <v>0.05</v>
      </c>
      <c r="E491" s="1461">
        <f>IF('Ввод данных'!$A$365=связи1!$A$97,IF(дома!E490&lt;связи1!$D$553,0,дома!E490-$D$419),0)+IF(дома!E490&lt;=0,0,IF('Ввод данных'!$A$365=связи1!$A$94,IF(дома!E490&lt;0,0,дома!E490-$D$419),0))</f>
        <v>0</v>
      </c>
      <c r="F491" s="1461">
        <f t="shared" si="52"/>
        <v>2</v>
      </c>
      <c r="G491" s="971">
        <f t="shared" si="51"/>
        <v>0</v>
      </c>
      <c r="H491" s="971"/>
      <c r="I491" s="971"/>
      <c r="J491" s="971"/>
      <c r="K491" s="971"/>
      <c r="L491" s="971"/>
      <c r="M491" s="971"/>
      <c r="N491" s="971"/>
      <c r="O491" s="971"/>
      <c r="P491" s="1353"/>
      <c r="Q491" s="1353"/>
      <c r="R491" s="1353"/>
      <c r="S491" s="971"/>
      <c r="T491" s="971"/>
      <c r="U491" s="1398"/>
      <c r="V491" s="971"/>
      <c r="W491" s="971"/>
      <c r="X491" s="971"/>
      <c r="Y491" s="1353"/>
      <c r="Z491" s="1353"/>
      <c r="AA491" s="971"/>
      <c r="AB491" s="971"/>
      <c r="AC491" s="971"/>
      <c r="AD491" s="971"/>
    </row>
    <row r="492" spans="1:30" s="1355" customFormat="1" ht="15.75" customHeight="1" outlineLevel="1">
      <c r="A492" s="1459" t="str">
        <f t="shared" si="53"/>
        <v>Стойка каркаса по фронтону, 1 этаж, двускатная кровля, №4</v>
      </c>
      <c r="B492" s="1460" t="str">
        <f t="shared" si="53"/>
        <v>м.п.</v>
      </c>
      <c r="C492" s="1459">
        <f t="shared" si="53"/>
        <v>0.4</v>
      </c>
      <c r="D492" s="1459">
        <f t="shared" si="53"/>
        <v>0.05</v>
      </c>
      <c r="E492" s="1461">
        <f>IF('Ввод данных'!$A$365=связи1!$A$97,IF(дома!E491&lt;связи1!$D$553,0,дома!E491-$D$419),0)+IF(дома!E491&lt;=0,0,IF('Ввод данных'!$A$365=связи1!$A$94,IF(дома!E491&lt;0,0,дома!E491-$D$419),0))</f>
        <v>0</v>
      </c>
      <c r="F492" s="1461">
        <f t="shared" si="52"/>
        <v>2</v>
      </c>
      <c r="G492" s="971">
        <f t="shared" si="51"/>
        <v>0</v>
      </c>
      <c r="H492" s="971"/>
      <c r="I492" s="971"/>
      <c r="J492" s="971"/>
      <c r="K492" s="971"/>
      <c r="L492" s="971"/>
      <c r="M492" s="971"/>
      <c r="N492" s="971"/>
      <c r="O492" s="971"/>
      <c r="P492" s="1353"/>
      <c r="Q492" s="1353"/>
      <c r="R492" s="1353"/>
      <c r="S492" s="971"/>
      <c r="T492" s="971"/>
      <c r="U492" s="1398"/>
      <c r="V492" s="971"/>
      <c r="W492" s="971"/>
      <c r="X492" s="971"/>
      <c r="Y492" s="1353"/>
      <c r="Z492" s="1353"/>
      <c r="AA492" s="971"/>
      <c r="AB492" s="971"/>
      <c r="AC492" s="971"/>
      <c r="AD492" s="971"/>
    </row>
    <row r="493" spans="1:30" s="1355" customFormat="1" ht="15.75" customHeight="1" outlineLevel="1">
      <c r="A493" s="1459" t="str">
        <f t="shared" si="53"/>
        <v>Стойка каркаса по фронтону, 1 этаж, двускатная кровля, №5</v>
      </c>
      <c r="B493" s="1460" t="str">
        <f t="shared" si="53"/>
        <v>м.п.</v>
      </c>
      <c r="C493" s="1459">
        <f t="shared" si="53"/>
        <v>0.4</v>
      </c>
      <c r="D493" s="1459">
        <f t="shared" si="53"/>
        <v>0.05</v>
      </c>
      <c r="E493" s="1461">
        <f>IF('Ввод данных'!$A$365=связи1!$A$97,IF(дома!E492&lt;связи1!$D$553,0,дома!E492-$D$419),0)+IF(дома!E492&lt;=0,0,IF('Ввод данных'!$A$365=связи1!$A$94,IF(дома!E492&lt;0,0,дома!E492-$D$419),0))</f>
        <v>0</v>
      </c>
      <c r="F493" s="1461">
        <f t="shared" si="52"/>
        <v>2</v>
      </c>
      <c r="G493" s="971">
        <f t="shared" si="51"/>
        <v>0</v>
      </c>
      <c r="H493" s="971"/>
      <c r="I493" s="971"/>
      <c r="J493" s="971"/>
      <c r="K493" s="971"/>
      <c r="L493" s="971"/>
      <c r="M493" s="971"/>
      <c r="N493" s="971"/>
      <c r="O493" s="971"/>
      <c r="P493" s="1353"/>
      <c r="Q493" s="1353"/>
      <c r="R493" s="1353"/>
      <c r="S493" s="971"/>
      <c r="T493" s="971"/>
      <c r="U493" s="1398"/>
      <c r="V493" s="971"/>
      <c r="W493" s="971"/>
      <c r="X493" s="971"/>
      <c r="Y493" s="1353"/>
      <c r="Z493" s="1353"/>
      <c r="AA493" s="971"/>
      <c r="AB493" s="971"/>
      <c r="AC493" s="971"/>
      <c r="AD493" s="971"/>
    </row>
    <row r="494" spans="1:30" s="1355" customFormat="1" ht="15.75" customHeight="1" outlineLevel="1">
      <c r="A494" s="1459" t="str">
        <f t="shared" si="53"/>
        <v>Стойка каркаса по фронтону, 1 этаж, двускатная кровля, №6</v>
      </c>
      <c r="B494" s="1460" t="str">
        <f t="shared" si="53"/>
        <v>м.п.</v>
      </c>
      <c r="C494" s="1459">
        <f t="shared" si="53"/>
        <v>0.4</v>
      </c>
      <c r="D494" s="1459">
        <f t="shared" si="53"/>
        <v>0.05</v>
      </c>
      <c r="E494" s="1461">
        <f>IF('Ввод данных'!$A$365=связи1!$A$97,IF(дома!E493&lt;связи1!$D$553,0,дома!E493-$D$419),0)+IF(дома!E493&lt;=0,0,IF('Ввод данных'!$A$365=связи1!$A$94,IF(дома!E493&lt;0,0,дома!E493-$D$419),0))</f>
        <v>0</v>
      </c>
      <c r="F494" s="1461">
        <f t="shared" si="52"/>
        <v>2</v>
      </c>
      <c r="G494" s="971">
        <f t="shared" si="51"/>
        <v>0</v>
      </c>
      <c r="H494" s="971"/>
      <c r="I494" s="971"/>
      <c r="J494" s="971"/>
      <c r="K494" s="971"/>
      <c r="L494" s="971"/>
      <c r="M494" s="971"/>
      <c r="N494" s="971"/>
      <c r="O494" s="971"/>
      <c r="P494" s="1353"/>
      <c r="Q494" s="1353"/>
      <c r="R494" s="1353"/>
      <c r="S494" s="971"/>
      <c r="T494" s="971"/>
      <c r="U494" s="1398"/>
      <c r="V494" s="971"/>
      <c r="W494" s="971"/>
      <c r="X494" s="971"/>
      <c r="Y494" s="1353"/>
      <c r="Z494" s="1353"/>
      <c r="AA494" s="971"/>
      <c r="AB494" s="971"/>
      <c r="AC494" s="971"/>
      <c r="AD494" s="971"/>
    </row>
    <row r="495" spans="1:30" s="1355" customFormat="1" ht="15.75" customHeight="1" outlineLevel="1">
      <c r="A495" s="1459" t="str">
        <f t="shared" si="53"/>
        <v>Стойка каркаса по фронтону, 1 этаж, двускатная кровля, №7</v>
      </c>
      <c r="B495" s="1460" t="str">
        <f t="shared" si="53"/>
        <v>м.п.</v>
      </c>
      <c r="C495" s="1459">
        <f t="shared" si="53"/>
        <v>0.4</v>
      </c>
      <c r="D495" s="1459">
        <f t="shared" si="53"/>
        <v>0.05</v>
      </c>
      <c r="E495" s="1461">
        <f>IF('Ввод данных'!$A$365=связи1!$A$97,IF(дома!E494&lt;связи1!$D$553,0,дома!E494-$D$419),0)+IF(дома!E494&lt;=0,0,IF('Ввод данных'!$A$365=связи1!$A$94,IF(дома!E494&lt;0,0,дома!E494-$D$419),0))</f>
        <v>0</v>
      </c>
      <c r="F495" s="1461">
        <f t="shared" si="52"/>
        <v>2</v>
      </c>
      <c r="G495" s="971">
        <f t="shared" si="51"/>
        <v>0</v>
      </c>
      <c r="H495" s="971"/>
      <c r="I495" s="971"/>
      <c r="J495" s="971"/>
      <c r="K495" s="971"/>
      <c r="L495" s="971"/>
      <c r="M495" s="971"/>
      <c r="N495" s="971"/>
      <c r="O495" s="971"/>
      <c r="P495" s="1353"/>
      <c r="Q495" s="1353"/>
      <c r="R495" s="1353"/>
      <c r="S495" s="971"/>
      <c r="T495" s="971"/>
      <c r="U495" s="1398"/>
      <c r="V495" s="971"/>
      <c r="W495" s="971"/>
      <c r="X495" s="971"/>
      <c r="Y495" s="1353"/>
      <c r="Z495" s="1353"/>
      <c r="AA495" s="971"/>
      <c r="AB495" s="971"/>
      <c r="AC495" s="971"/>
      <c r="AD495" s="971"/>
    </row>
    <row r="496" spans="1:30" s="1355" customFormat="1" ht="15.75" customHeight="1" outlineLevel="1">
      <c r="A496" s="1459" t="str">
        <f t="shared" si="53"/>
        <v>Стойка каркаса по фронтону, 1 этаж, двускатная кровля, №8</v>
      </c>
      <c r="B496" s="1460" t="str">
        <f t="shared" si="53"/>
        <v>м.п.</v>
      </c>
      <c r="C496" s="1459">
        <f t="shared" si="53"/>
        <v>0.4</v>
      </c>
      <c r="D496" s="1459">
        <f t="shared" si="53"/>
        <v>0.05</v>
      </c>
      <c r="E496" s="1461">
        <f>IF('Ввод данных'!$A$365=связи1!$A$97,IF(дома!E495&lt;связи1!$D$553,0,дома!E495-$D$419),0)+IF(дома!E495&lt;=0,0,IF('Ввод данных'!$A$365=связи1!$A$94,IF(дома!E495&lt;0,0,дома!E495-$D$419),0))</f>
        <v>0</v>
      </c>
      <c r="F496" s="1461">
        <f t="shared" si="52"/>
        <v>2</v>
      </c>
      <c r="G496" s="971">
        <f t="shared" si="51"/>
        <v>0</v>
      </c>
      <c r="H496" s="971"/>
      <c r="I496" s="971"/>
      <c r="J496" s="971"/>
      <c r="K496" s="971"/>
      <c r="L496" s="971"/>
      <c r="M496" s="971"/>
      <c r="N496" s="971"/>
      <c r="O496" s="971"/>
      <c r="P496" s="1353"/>
      <c r="Q496" s="1353"/>
      <c r="R496" s="1353"/>
      <c r="S496" s="971"/>
      <c r="T496" s="971"/>
      <c r="U496" s="1398"/>
      <c r="V496" s="971"/>
      <c r="W496" s="971"/>
      <c r="X496" s="971"/>
      <c r="Y496" s="1353"/>
      <c r="Z496" s="1353"/>
      <c r="AA496" s="971"/>
      <c r="AB496" s="971"/>
      <c r="AC496" s="971"/>
      <c r="AD496" s="971"/>
    </row>
    <row r="497" spans="1:30" s="1355" customFormat="1" ht="15.75" customHeight="1" outlineLevel="1">
      <c r="A497" s="1459" t="str">
        <f t="shared" si="53"/>
        <v>Стойка каркаса по фронтону, 1 этаж, двускатная кровля, №9</v>
      </c>
      <c r="B497" s="1460" t="str">
        <f t="shared" si="53"/>
        <v>м.п.</v>
      </c>
      <c r="C497" s="1459">
        <f t="shared" si="53"/>
        <v>0.4</v>
      </c>
      <c r="D497" s="1459">
        <f t="shared" si="53"/>
        <v>0.05</v>
      </c>
      <c r="E497" s="1461">
        <f>IF('Ввод данных'!$A$365=связи1!$A$97,IF(дома!E496&lt;связи1!$D$553,0,дома!E496-$D$419),0)+IF(дома!E496&lt;=0,0,IF('Ввод данных'!$A$365=связи1!$A$94,IF(дома!E496&lt;0,0,дома!E496-$D$419),0))</f>
        <v>0</v>
      </c>
      <c r="F497" s="1461">
        <f t="shared" si="52"/>
        <v>2</v>
      </c>
      <c r="G497" s="971">
        <f t="shared" si="51"/>
        <v>0</v>
      </c>
      <c r="H497" s="971"/>
      <c r="I497" s="971"/>
      <c r="J497" s="971"/>
      <c r="K497" s="971"/>
      <c r="L497" s="971"/>
      <c r="M497" s="971"/>
      <c r="N497" s="971"/>
      <c r="O497" s="971"/>
      <c r="P497" s="1353"/>
      <c r="Q497" s="1353"/>
      <c r="R497" s="1353"/>
      <c r="S497" s="971"/>
      <c r="T497" s="971"/>
      <c r="U497" s="1398"/>
      <c r="V497" s="971"/>
      <c r="W497" s="971"/>
      <c r="X497" s="971"/>
      <c r="Y497" s="1353"/>
      <c r="Z497" s="1353"/>
      <c r="AA497" s="971"/>
      <c r="AB497" s="971"/>
      <c r="AC497" s="971"/>
      <c r="AD497" s="971"/>
    </row>
    <row r="498" spans="1:30" s="1355" customFormat="1" ht="15.75" customHeight="1" outlineLevel="1">
      <c r="A498" s="1459" t="str">
        <f t="shared" si="53"/>
        <v>Стойка каркаса по фронтону, 1 этаж, двускатная кровля, №10</v>
      </c>
      <c r="B498" s="1460" t="str">
        <f t="shared" si="53"/>
        <v>м.п.</v>
      </c>
      <c r="C498" s="1459">
        <f t="shared" si="53"/>
        <v>0.4</v>
      </c>
      <c r="D498" s="1459">
        <f t="shared" si="53"/>
        <v>0.05</v>
      </c>
      <c r="E498" s="1461">
        <f>IF('Ввод данных'!$A$365=связи1!$A$97,IF(дома!E497&lt;связи1!$D$553,0,дома!E497-$D$419),0)+IF(дома!E497&lt;=0,0,IF('Ввод данных'!$A$365=связи1!$A$94,IF(дома!E497&lt;0,0,дома!E497-$D$419),0))</f>
        <v>0</v>
      </c>
      <c r="F498" s="1461">
        <f t="shared" si="52"/>
        <v>2</v>
      </c>
      <c r="G498" s="971">
        <f t="shared" si="51"/>
        <v>0</v>
      </c>
      <c r="H498" s="971"/>
      <c r="I498" s="971"/>
      <c r="J498" s="971"/>
      <c r="K498" s="971"/>
      <c r="L498" s="971"/>
      <c r="M498" s="971"/>
      <c r="N498" s="971"/>
      <c r="O498" s="971"/>
      <c r="P498" s="1353"/>
      <c r="Q498" s="1353"/>
      <c r="R498" s="1353"/>
      <c r="S498" s="971"/>
      <c r="T498" s="971"/>
      <c r="U498" s="1398"/>
      <c r="V498" s="971"/>
      <c r="W498" s="971"/>
      <c r="X498" s="971"/>
      <c r="Y498" s="1353"/>
      <c r="Z498" s="1353"/>
      <c r="AA498" s="971"/>
      <c r="AB498" s="971"/>
      <c r="AC498" s="971"/>
      <c r="AD498" s="971"/>
    </row>
    <row r="499" spans="1:30" s="1355" customFormat="1" ht="15.75" customHeight="1" outlineLevel="1">
      <c r="A499" s="1459" t="str">
        <f t="shared" si="53"/>
        <v>Стойка каркаса по фронтону, 1 этаж, двускатная кровля, №11</v>
      </c>
      <c r="B499" s="1460" t="str">
        <f t="shared" si="53"/>
        <v>м.п.</v>
      </c>
      <c r="C499" s="1459">
        <f t="shared" si="53"/>
        <v>0.4</v>
      </c>
      <c r="D499" s="1459">
        <f t="shared" si="53"/>
        <v>0.05</v>
      </c>
      <c r="E499" s="1461">
        <f>IF('Ввод данных'!$A$365=связи1!$A$97,IF(дома!E498&lt;связи1!$D$553,0,дома!E498-$D$419),0)+IF(дома!E498&lt;=0,0,IF('Ввод данных'!$A$365=связи1!$A$94,IF(дома!E498&lt;0,0,дома!E498-$D$419),0))</f>
        <v>0</v>
      </c>
      <c r="F499" s="1461">
        <f t="shared" si="52"/>
        <v>2</v>
      </c>
      <c r="G499" s="971">
        <f t="shared" si="51"/>
        <v>0</v>
      </c>
      <c r="H499" s="971"/>
      <c r="I499" s="971"/>
      <c r="J499" s="971"/>
      <c r="K499" s="971"/>
      <c r="L499" s="971"/>
      <c r="M499" s="971"/>
      <c r="N499" s="971"/>
      <c r="O499" s="971"/>
      <c r="P499" s="1353"/>
      <c r="Q499" s="1353"/>
      <c r="R499" s="1353"/>
      <c r="S499" s="971"/>
      <c r="T499" s="971"/>
      <c r="U499" s="1398"/>
      <c r="V499" s="971"/>
      <c r="W499" s="971"/>
      <c r="X499" s="971"/>
      <c r="Y499" s="1353"/>
      <c r="Z499" s="1353"/>
      <c r="AA499" s="971"/>
      <c r="AB499" s="971"/>
      <c r="AC499" s="971"/>
      <c r="AD499" s="971"/>
    </row>
    <row r="500" spans="1:30" s="1355" customFormat="1" ht="15.75" customHeight="1" outlineLevel="1">
      <c r="A500" s="1459" t="str">
        <f t="shared" si="53"/>
        <v>Стойка каркаса по фронтону, 1 этаж, двускатная кровля, №12</v>
      </c>
      <c r="B500" s="1460" t="str">
        <f t="shared" si="53"/>
        <v>м.п.</v>
      </c>
      <c r="C500" s="1459">
        <f t="shared" si="53"/>
        <v>0.4</v>
      </c>
      <c r="D500" s="1459">
        <f t="shared" si="53"/>
        <v>0.05</v>
      </c>
      <c r="E500" s="1461">
        <f>IF('Ввод данных'!$A$365=связи1!$A$97,IF(дома!E499&lt;связи1!$D$553,0,дома!E499-$D$419),0)+IF(дома!E499&lt;=0,0,IF('Ввод данных'!$A$365=связи1!$A$94,IF(дома!E499&lt;0,0,дома!E499-$D$419),0))</f>
        <v>0</v>
      </c>
      <c r="F500" s="1461">
        <f t="shared" si="52"/>
        <v>2</v>
      </c>
      <c r="G500" s="971">
        <f t="shared" si="51"/>
        <v>0</v>
      </c>
      <c r="H500" s="971"/>
      <c r="I500" s="971"/>
      <c r="J500" s="971"/>
      <c r="K500" s="971"/>
      <c r="L500" s="971"/>
      <c r="M500" s="971"/>
      <c r="N500" s="971"/>
      <c r="O500" s="971"/>
      <c r="P500" s="1353"/>
      <c r="Q500" s="1353"/>
      <c r="R500" s="1353"/>
      <c r="S500" s="971"/>
      <c r="T500" s="971"/>
      <c r="U500" s="1398"/>
      <c r="V500" s="971"/>
      <c r="W500" s="971"/>
      <c r="X500" s="971"/>
      <c r="Y500" s="1353"/>
      <c r="Z500" s="1353"/>
      <c r="AA500" s="971"/>
      <c r="AB500" s="971"/>
      <c r="AC500" s="971"/>
      <c r="AD500" s="971"/>
    </row>
    <row r="501" spans="1:30" s="1355" customFormat="1" ht="15.75" customHeight="1" outlineLevel="1">
      <c r="A501" s="1459" t="str">
        <f t="shared" si="53"/>
        <v>Стойка каркаса по фронтону, 1 этаж, двускатная кровля, №13</v>
      </c>
      <c r="B501" s="1460" t="str">
        <f t="shared" si="53"/>
        <v>м.п.</v>
      </c>
      <c r="C501" s="1459">
        <f t="shared" si="53"/>
        <v>0.4</v>
      </c>
      <c r="D501" s="1459">
        <f t="shared" si="53"/>
        <v>0.05</v>
      </c>
      <c r="E501" s="1461">
        <f>IF('Ввод данных'!$A$365=связи1!$A$97,IF(дома!E500&lt;связи1!$D$553,0,дома!E500-$D$419),0)+IF(дома!E500&lt;=0,0,IF('Ввод данных'!$A$365=связи1!$A$94,IF(дома!E500&lt;0,0,дома!E500-$D$419),0))</f>
        <v>0</v>
      </c>
      <c r="F501" s="1461">
        <f t="shared" si="52"/>
        <v>2</v>
      </c>
      <c r="G501" s="971">
        <f t="shared" si="51"/>
        <v>0</v>
      </c>
      <c r="H501" s="971"/>
      <c r="I501" s="971"/>
      <c r="J501" s="971"/>
      <c r="K501" s="971"/>
      <c r="L501" s="971"/>
      <c r="M501" s="971"/>
      <c r="N501" s="971"/>
      <c r="O501" s="971"/>
      <c r="P501" s="1353"/>
      <c r="Q501" s="1353"/>
      <c r="R501" s="1353"/>
      <c r="S501" s="971"/>
      <c r="T501" s="971"/>
      <c r="U501" s="1398"/>
      <c r="V501" s="971"/>
      <c r="W501" s="971"/>
      <c r="X501" s="971"/>
      <c r="Y501" s="1353"/>
      <c r="Z501" s="1353"/>
      <c r="AA501" s="971"/>
      <c r="AB501" s="971"/>
      <c r="AC501" s="971"/>
      <c r="AD501" s="971"/>
    </row>
    <row r="502" spans="1:30" s="1355" customFormat="1" ht="15.75" customHeight="1" outlineLevel="1">
      <c r="A502" s="1459" t="str">
        <f t="shared" si="53"/>
        <v>Стойка каркаса по фронтону, 1 этаж, двускатная кровля, №14</v>
      </c>
      <c r="B502" s="1460" t="str">
        <f t="shared" si="53"/>
        <v>м.п.</v>
      </c>
      <c r="C502" s="1459">
        <f t="shared" si="53"/>
        <v>0.4</v>
      </c>
      <c r="D502" s="1459">
        <f t="shared" si="53"/>
        <v>0.05</v>
      </c>
      <c r="E502" s="1461">
        <f>IF('Ввод данных'!$A$365=связи1!$A$97,IF(дома!E501&lt;связи1!$D$553,0,дома!E501-$D$419),0)+IF(дома!E501&lt;=0,0,IF('Ввод данных'!$A$365=связи1!$A$94,IF(дома!E501&lt;0,0,дома!E501-$D$419),0))</f>
        <v>0</v>
      </c>
      <c r="F502" s="1461">
        <f t="shared" si="52"/>
        <v>2</v>
      </c>
      <c r="G502" s="971">
        <f t="shared" si="51"/>
        <v>0</v>
      </c>
      <c r="H502" s="971"/>
      <c r="I502" s="971"/>
      <c r="J502" s="971"/>
      <c r="K502" s="971"/>
      <c r="L502" s="971"/>
      <c r="M502" s="971"/>
      <c r="N502" s="971"/>
      <c r="O502" s="971"/>
      <c r="P502" s="1353"/>
      <c r="Q502" s="1353"/>
      <c r="R502" s="1353"/>
      <c r="S502" s="971"/>
      <c r="T502" s="971"/>
      <c r="U502" s="1398"/>
      <c r="V502" s="971"/>
      <c r="W502" s="971"/>
      <c r="X502" s="971"/>
      <c r="Y502" s="1353"/>
      <c r="Z502" s="1353"/>
      <c r="AA502" s="971"/>
      <c r="AB502" s="971"/>
      <c r="AC502" s="971"/>
      <c r="AD502" s="971"/>
    </row>
    <row r="503" spans="1:30" s="1355" customFormat="1" ht="15.75" customHeight="1" outlineLevel="1">
      <c r="A503" s="1459" t="str">
        <f t="shared" si="53"/>
        <v>Стойка каркаса по фронтону, 1 этаж, двускатная кровля, №15</v>
      </c>
      <c r="B503" s="1460" t="str">
        <f t="shared" si="53"/>
        <v>м.п.</v>
      </c>
      <c r="C503" s="1459">
        <f t="shared" si="53"/>
        <v>0.4</v>
      </c>
      <c r="D503" s="1459">
        <f t="shared" si="53"/>
        <v>0.05</v>
      </c>
      <c r="E503" s="1461">
        <f>IF('Ввод данных'!$A$365=связи1!$A$97,IF(дома!E502&lt;связи1!$D$553,0,дома!E502-$D$419),0)+IF(дома!E502&lt;=0,0,IF('Ввод данных'!$A$365=связи1!$A$94,IF(дома!E502&lt;0,0,дома!E502-$D$419),0))</f>
        <v>0</v>
      </c>
      <c r="F503" s="1461">
        <f t="shared" si="52"/>
        <v>2</v>
      </c>
      <c r="G503" s="971">
        <f t="shared" si="51"/>
        <v>0</v>
      </c>
      <c r="H503" s="971"/>
      <c r="I503" s="971"/>
      <c r="J503" s="971"/>
      <c r="K503" s="971"/>
      <c r="L503" s="971"/>
      <c r="M503" s="971"/>
      <c r="N503" s="971"/>
      <c r="O503" s="971"/>
      <c r="P503" s="1353"/>
      <c r="Q503" s="1353"/>
      <c r="R503" s="1353"/>
      <c r="S503" s="971"/>
      <c r="T503" s="971"/>
      <c r="U503" s="1398"/>
      <c r="V503" s="971"/>
      <c r="W503" s="971"/>
      <c r="X503" s="971"/>
      <c r="Y503" s="1353"/>
      <c r="Z503" s="1353"/>
      <c r="AA503" s="971"/>
      <c r="AB503" s="971"/>
      <c r="AC503" s="971"/>
      <c r="AD503" s="971"/>
    </row>
    <row r="504" spans="1:30" s="1355" customFormat="1" ht="15.75" customHeight="1" outlineLevel="1">
      <c r="A504" s="1459" t="str">
        <f t="shared" si="53"/>
        <v>Стойка каркаса по фронтону, 1 этаж, двускатная кровля, №16</v>
      </c>
      <c r="B504" s="1460" t="str">
        <f t="shared" si="53"/>
        <v>м.п.</v>
      </c>
      <c r="C504" s="1459">
        <f t="shared" si="53"/>
        <v>0.4</v>
      </c>
      <c r="D504" s="1459">
        <f t="shared" si="53"/>
        <v>0.05</v>
      </c>
      <c r="E504" s="1461">
        <f>IF('Ввод данных'!$A$365=связи1!$A$97,IF(дома!E503&lt;связи1!$D$553,0,дома!E503-$D$419),0)+IF(дома!E503&lt;=0,0,IF('Ввод данных'!$A$365=связи1!$A$94,IF(дома!E503&lt;0,0,дома!E503-$D$419),0))</f>
        <v>0</v>
      </c>
      <c r="F504" s="1461">
        <f t="shared" si="52"/>
        <v>2</v>
      </c>
      <c r="G504" s="971">
        <f t="shared" si="51"/>
        <v>0</v>
      </c>
      <c r="H504" s="971"/>
      <c r="I504" s="971"/>
      <c r="J504" s="971"/>
      <c r="K504" s="971"/>
      <c r="L504" s="971"/>
      <c r="M504" s="971"/>
      <c r="N504" s="971"/>
      <c r="O504" s="971"/>
      <c r="P504" s="1353"/>
      <c r="Q504" s="1353"/>
      <c r="R504" s="1353"/>
      <c r="S504" s="971"/>
      <c r="T504" s="971"/>
      <c r="U504" s="1398"/>
      <c r="V504" s="971"/>
      <c r="W504" s="971"/>
      <c r="X504" s="971"/>
      <c r="Y504" s="1353"/>
      <c r="Z504" s="1353"/>
      <c r="AA504" s="971"/>
      <c r="AB504" s="971"/>
      <c r="AC504" s="971"/>
      <c r="AD504" s="971"/>
    </row>
    <row r="505" spans="1:30" s="1355" customFormat="1" ht="15.75" customHeight="1" outlineLevel="1">
      <c r="A505" s="1459" t="str">
        <f t="shared" si="53"/>
        <v>Стойка каркаса по фронтону, 1 этаж, двускатная кровля, №17</v>
      </c>
      <c r="B505" s="1460" t="str">
        <f t="shared" si="53"/>
        <v>м.п.</v>
      </c>
      <c r="C505" s="1459">
        <f t="shared" si="53"/>
        <v>0.4</v>
      </c>
      <c r="D505" s="1459">
        <f t="shared" si="53"/>
        <v>0.05</v>
      </c>
      <c r="E505" s="1461">
        <f>IF('Ввод данных'!$A$365=связи1!$A$97,IF(дома!E504&lt;связи1!$D$553,0,дома!E504-$D$419),0)+IF(дома!E504&lt;=0,0,IF('Ввод данных'!$A$365=связи1!$A$94,IF(дома!E504&lt;0,0,дома!E504-$D$419),0))</f>
        <v>0</v>
      </c>
      <c r="F505" s="1461">
        <f t="shared" si="52"/>
        <v>2</v>
      </c>
      <c r="G505" s="971">
        <f t="shared" si="51"/>
        <v>0</v>
      </c>
      <c r="H505" s="971"/>
      <c r="I505" s="971"/>
      <c r="J505" s="971"/>
      <c r="K505" s="971"/>
      <c r="L505" s="971"/>
      <c r="M505" s="971"/>
      <c r="N505" s="971"/>
      <c r="O505" s="971"/>
      <c r="P505" s="1353"/>
      <c r="Q505" s="1353"/>
      <c r="R505" s="1353"/>
      <c r="S505" s="971"/>
      <c r="T505" s="971"/>
      <c r="U505" s="1398"/>
      <c r="V505" s="971"/>
      <c r="W505" s="971"/>
      <c r="X505" s="971"/>
      <c r="Y505" s="1353"/>
      <c r="Z505" s="1353"/>
      <c r="AA505" s="971"/>
      <c r="AB505" s="971"/>
      <c r="AC505" s="971"/>
      <c r="AD505" s="971"/>
    </row>
    <row r="506" spans="1:30" s="1355" customFormat="1" ht="15.75" customHeight="1" outlineLevel="1">
      <c r="A506" s="1442"/>
      <c r="B506" s="920"/>
      <c r="C506" s="1442"/>
      <c r="D506" s="1442"/>
      <c r="E506" s="1442"/>
      <c r="F506" s="1442"/>
      <c r="G506" s="971">
        <f t="shared" si="51"/>
        <v>0</v>
      </c>
      <c r="H506" s="971"/>
      <c r="I506" s="971"/>
      <c r="J506" s="971"/>
      <c r="K506" s="971"/>
      <c r="L506" s="971"/>
      <c r="M506" s="971"/>
      <c r="N506" s="971"/>
      <c r="O506" s="971"/>
      <c r="P506" s="1353"/>
      <c r="Q506" s="1353"/>
      <c r="R506" s="1353"/>
      <c r="S506" s="971"/>
      <c r="T506" s="971"/>
      <c r="U506" s="1398"/>
      <c r="V506" s="971"/>
      <c r="W506" s="971"/>
      <c r="X506" s="971"/>
      <c r="Y506" s="1353"/>
      <c r="Z506" s="1353"/>
      <c r="AA506" s="971"/>
      <c r="AB506" s="971"/>
      <c r="AC506" s="971"/>
      <c r="AD506" s="971"/>
    </row>
    <row r="507" spans="1:30" s="1355" customFormat="1" ht="15.75" customHeight="1" outlineLevel="1">
      <c r="A507" s="1447" t="s">
        <v>3220</v>
      </c>
      <c r="B507" s="1449" t="str">
        <f>B465</f>
        <v>ед.изм</v>
      </c>
      <c r="C507" s="1447" t="str">
        <f>C465</f>
        <v>ширина</v>
      </c>
      <c r="D507" s="1447" t="str">
        <f>D465</f>
        <v>толщина</v>
      </c>
      <c r="E507" s="1447" t="str">
        <f>E465</f>
        <v>высота</v>
      </c>
      <c r="F507" s="1447" t="str">
        <f>F465</f>
        <v>кол-во</v>
      </c>
      <c r="G507" s="971"/>
      <c r="H507" s="971"/>
      <c r="I507" s="971"/>
      <c r="J507" s="971"/>
      <c r="K507" s="971"/>
      <c r="L507" s="971"/>
      <c r="M507" s="971"/>
      <c r="N507" s="971"/>
      <c r="O507" s="971"/>
      <c r="P507" s="1353"/>
      <c r="Q507" s="1353"/>
      <c r="R507" s="1353"/>
      <c r="S507" s="971"/>
      <c r="T507" s="971"/>
      <c r="U507" s="1398"/>
      <c r="V507" s="971"/>
      <c r="W507" s="971"/>
      <c r="X507" s="971"/>
      <c r="Y507" s="1353"/>
      <c r="Z507" s="1353"/>
      <c r="AA507" s="971"/>
      <c r="AB507" s="971"/>
      <c r="AC507" s="971"/>
      <c r="AD507" s="971"/>
    </row>
    <row r="508" spans="1:30" s="1355" customFormat="1" ht="15.75" customHeight="1" outlineLevel="1">
      <c r="A508" s="1442" t="str">
        <f t="shared" ref="A508:D527" si="54">A466</f>
        <v>Стойки каркаса передней стены 1 эт</v>
      </c>
      <c r="B508" s="920" t="str">
        <f t="shared" si="54"/>
        <v>м.п.</v>
      </c>
      <c r="C508" s="1442">
        <f t="shared" si="54"/>
        <v>0.4</v>
      </c>
      <c r="D508" s="1442">
        <f t="shared" si="54"/>
        <v>0.05</v>
      </c>
      <c r="E508" s="1442">
        <f>связи1!E553</f>
        <v>2.9</v>
      </c>
      <c r="F508" s="1442">
        <f>L407</f>
        <v>0</v>
      </c>
      <c r="G508" s="971">
        <f t="shared" ref="G508:G548" si="55">C508*D508*E508*F508</f>
        <v>0</v>
      </c>
      <c r="H508" s="971"/>
      <c r="I508" s="971"/>
      <c r="J508" s="971"/>
      <c r="K508" s="971"/>
      <c r="L508" s="971"/>
      <c r="M508" s="971"/>
      <c r="N508" s="971"/>
      <c r="O508" s="971"/>
      <c r="P508" s="1353"/>
      <c r="Q508" s="1353"/>
      <c r="R508" s="1353"/>
      <c r="S508" s="971"/>
      <c r="T508" s="971"/>
      <c r="U508" s="1398"/>
      <c r="V508" s="971"/>
      <c r="W508" s="971"/>
      <c r="X508" s="971"/>
      <c r="Y508" s="1353"/>
      <c r="Z508" s="1353"/>
      <c r="AA508" s="971"/>
      <c r="AB508" s="971"/>
      <c r="AC508" s="971"/>
      <c r="AD508" s="971"/>
    </row>
    <row r="509" spans="1:30" s="1355" customFormat="1" ht="15.75" customHeight="1" outlineLevel="1">
      <c r="A509" s="1442" t="str">
        <f t="shared" si="54"/>
        <v>Стойки каркаса, левая сторона 1 эт</v>
      </c>
      <c r="B509" s="920" t="str">
        <f t="shared" si="54"/>
        <v>м.п.</v>
      </c>
      <c r="C509" s="1442">
        <f t="shared" si="54"/>
        <v>0.4</v>
      </c>
      <c r="D509" s="1442">
        <f t="shared" si="54"/>
        <v>0.05</v>
      </c>
      <c r="E509" s="1442">
        <f>$E$408*IF('Ввод данных'!A361=связи1!A97,IF('Ввод данных'!A360=связи1!A106,0,1),1)</f>
        <v>2.9</v>
      </c>
      <c r="F509" s="1442">
        <f>L408</f>
        <v>0</v>
      </c>
      <c r="G509" s="971">
        <f t="shared" si="55"/>
        <v>0</v>
      </c>
      <c r="H509" s="971"/>
      <c r="I509" s="971"/>
      <c r="J509" s="971"/>
      <c r="K509" s="971"/>
      <c r="L509" s="971"/>
      <c r="M509" s="971"/>
      <c r="N509" s="971"/>
      <c r="O509" s="971"/>
      <c r="P509" s="1353"/>
      <c r="Q509" s="1353"/>
      <c r="R509" s="1353"/>
      <c r="S509" s="971"/>
      <c r="T509" s="971"/>
      <c r="U509" s="1398"/>
      <c r="V509" s="971"/>
      <c r="W509" s="971"/>
      <c r="X509" s="971"/>
      <c r="Y509" s="1353"/>
      <c r="Z509" s="1353"/>
      <c r="AA509" s="971"/>
      <c r="AB509" s="971"/>
      <c r="AC509" s="971"/>
      <c r="AD509" s="971"/>
    </row>
    <row r="510" spans="1:30" s="1355" customFormat="1" ht="15.75" customHeight="1" outlineLevel="1">
      <c r="A510" s="1442" t="str">
        <f t="shared" si="54"/>
        <v>Стойки каркаса, правая сторона, 1 эт</v>
      </c>
      <c r="B510" s="920" t="str">
        <f t="shared" si="54"/>
        <v>м.п.</v>
      </c>
      <c r="C510" s="1442">
        <f t="shared" si="54"/>
        <v>0.4</v>
      </c>
      <c r="D510" s="1442">
        <f t="shared" si="54"/>
        <v>0.05</v>
      </c>
      <c r="E510" s="1442">
        <f>$E$408*IF('Ввод данных'!A361=связи1!A97,IF('Ввод данных'!A360=связи1!A106,0,1),1)</f>
        <v>2.9</v>
      </c>
      <c r="F510" s="1442">
        <f>L409</f>
        <v>0</v>
      </c>
      <c r="G510" s="971">
        <f t="shared" si="55"/>
        <v>0</v>
      </c>
      <c r="H510" s="971"/>
      <c r="I510" s="971"/>
      <c r="J510" s="971"/>
      <c r="K510" s="971"/>
      <c r="L510" s="971"/>
      <c r="M510" s="971"/>
      <c r="N510" s="971"/>
      <c r="O510" s="971"/>
      <c r="P510" s="1353"/>
      <c r="Q510" s="1353"/>
      <c r="R510" s="1353"/>
      <c r="S510" s="971"/>
      <c r="T510" s="971"/>
      <c r="U510" s="1398"/>
      <c r="V510" s="971"/>
      <c r="W510" s="971"/>
      <c r="X510" s="971"/>
      <c r="Y510" s="1353"/>
      <c r="Z510" s="1353"/>
      <c r="AA510" s="971"/>
      <c r="AB510" s="971"/>
      <c r="AC510" s="971"/>
      <c r="AD510" s="971"/>
    </row>
    <row r="511" spans="1:30" s="1355" customFormat="1" ht="15.75" customHeight="1" outlineLevel="1">
      <c r="A511" s="1442" t="str">
        <f t="shared" si="54"/>
        <v>Обвязка каркаса верхняя/нижняя наружние стены 1 эт</v>
      </c>
      <c r="B511" s="920" t="str">
        <f t="shared" si="54"/>
        <v>м.п.</v>
      </c>
      <c r="C511" s="1442">
        <f t="shared" si="54"/>
        <v>0.4</v>
      </c>
      <c r="D511" s="1442">
        <f t="shared" si="54"/>
        <v>0.05</v>
      </c>
      <c r="E511" s="1442">
        <f>E469</f>
        <v>0</v>
      </c>
      <c r="F511" s="1442">
        <f>P410+Q410</f>
        <v>0</v>
      </c>
      <c r="G511" s="971">
        <f t="shared" si="55"/>
        <v>0</v>
      </c>
      <c r="H511" s="971"/>
      <c r="I511" s="971"/>
      <c r="J511" s="971"/>
      <c r="K511" s="971"/>
      <c r="L511" s="971"/>
      <c r="M511" s="971"/>
      <c r="N511" s="971"/>
      <c r="O511" s="971"/>
      <c r="P511" s="1353"/>
      <c r="Q511" s="1353"/>
      <c r="R511" s="1353"/>
      <c r="S511" s="971"/>
      <c r="T511" s="971"/>
      <c r="U511" s="1398"/>
      <c r="V511" s="971"/>
      <c r="W511" s="971"/>
      <c r="X511" s="971"/>
      <c r="Y511" s="1353"/>
      <c r="Z511" s="1353"/>
      <c r="AA511" s="971"/>
      <c r="AB511" s="971"/>
      <c r="AC511" s="971"/>
      <c r="AD511" s="971"/>
    </row>
    <row r="512" spans="1:30" s="1355" customFormat="1" ht="15.75" customHeight="1" outlineLevel="1">
      <c r="A512" s="1442" t="str">
        <f t="shared" si="54"/>
        <v>Ригель каркаса наружние стены 1 эт</v>
      </c>
      <c r="B512" s="920" t="str">
        <f t="shared" si="54"/>
        <v>м.п.</v>
      </c>
      <c r="C512" s="1442">
        <f t="shared" si="54"/>
        <v>0.4</v>
      </c>
      <c r="D512" s="1442">
        <f t="shared" si="54"/>
        <v>0.05</v>
      </c>
      <c r="E512" s="1442">
        <f>E470</f>
        <v>0</v>
      </c>
      <c r="F512" s="1442">
        <f>R410</f>
        <v>0</v>
      </c>
      <c r="G512" s="971">
        <f t="shared" si="55"/>
        <v>0</v>
      </c>
      <c r="H512" s="971"/>
      <c r="I512" s="971"/>
      <c r="J512" s="971"/>
      <c r="K512" s="971"/>
      <c r="L512" s="971"/>
      <c r="M512" s="971"/>
      <c r="N512" s="971"/>
      <c r="O512" s="971"/>
      <c r="P512" s="1353"/>
      <c r="Q512" s="1353"/>
      <c r="R512" s="1353"/>
      <c r="S512" s="971"/>
      <c r="T512" s="971"/>
      <c r="U512" s="1398"/>
      <c r="V512" s="971"/>
      <c r="W512" s="971"/>
      <c r="X512" s="971"/>
      <c r="Y512" s="1353"/>
      <c r="Z512" s="1353"/>
      <c r="AA512" s="971"/>
      <c r="AB512" s="971"/>
      <c r="AC512" s="971"/>
      <c r="AD512" s="971"/>
    </row>
    <row r="513" spans="1:30" s="1355" customFormat="1" ht="15.75" customHeight="1" outlineLevel="1">
      <c r="A513" s="1442" t="str">
        <f t="shared" si="54"/>
        <v>Укосина наружних стен, усиление 1 этаж</v>
      </c>
      <c r="B513" s="920" t="str">
        <f t="shared" si="54"/>
        <v>м.п.</v>
      </c>
      <c r="C513" s="1442">
        <f t="shared" si="54"/>
        <v>0.4</v>
      </c>
      <c r="D513" s="1442">
        <f t="shared" si="54"/>
        <v>0.05</v>
      </c>
      <c r="E513" s="1442">
        <f>E471*VLOOKUP('Ввод данных'!F416,связи1!A2:B3,2,0)*связи1!E550</f>
        <v>0</v>
      </c>
      <c r="F513" s="1442">
        <f t="shared" ref="F513:F547" si="56">F471</f>
        <v>8</v>
      </c>
      <c r="G513" s="971">
        <f t="shared" si="55"/>
        <v>0</v>
      </c>
      <c r="H513" s="971"/>
      <c r="I513" s="971"/>
      <c r="J513" s="971"/>
      <c r="K513" s="971"/>
      <c r="L513" s="971"/>
      <c r="M513" s="971"/>
      <c r="N513" s="971"/>
      <c r="O513" s="971"/>
      <c r="P513" s="1353"/>
      <c r="Q513" s="1353"/>
      <c r="R513" s="1353"/>
      <c r="S513" s="971"/>
      <c r="T513" s="971"/>
      <c r="U513" s="1398"/>
      <c r="V513" s="971"/>
      <c r="W513" s="971"/>
      <c r="X513" s="971"/>
      <c r="Y513" s="1353"/>
      <c r="Z513" s="1353"/>
      <c r="AA513" s="971"/>
      <c r="AB513" s="971"/>
      <c r="AC513" s="971"/>
      <c r="AD513" s="971"/>
    </row>
    <row r="514" spans="1:30" s="1355" customFormat="1" ht="15.75" customHeight="1" outlineLevel="1">
      <c r="A514" s="1442" t="str">
        <f t="shared" si="54"/>
        <v>Стойка каркаса по фронтону, 1 этаж, односкатная кровля, №1</v>
      </c>
      <c r="B514" s="920" t="str">
        <f t="shared" si="54"/>
        <v>м.п.</v>
      </c>
      <c r="C514" s="1442">
        <f t="shared" si="54"/>
        <v>0.4</v>
      </c>
      <c r="D514" s="1442">
        <f t="shared" si="54"/>
        <v>0.05</v>
      </c>
      <c r="E514" s="1442">
        <f>IF('Ввод данных'!A368=связи1!A106,IF('Ввод данных'!A369=связи1!A94,связи1!E554-связи1!E553,0)+IF('Ввод данных'!A369=связи1!A95,0,0)+IF('Ввод данных'!A369=связи1!A96,0,0)+IF('Ввод данных'!A369=связи1!A97,связи1!E554,0)+IF('Ввод данных'!A369=связи1!A98,0,0),0)</f>
        <v>0</v>
      </c>
      <c r="F514" s="1442">
        <f t="shared" si="56"/>
        <v>2</v>
      </c>
      <c r="G514" s="971">
        <f t="shared" si="55"/>
        <v>0</v>
      </c>
      <c r="H514" s="971"/>
      <c r="I514" s="971"/>
      <c r="J514" s="971"/>
      <c r="K514" s="971"/>
      <c r="L514" s="971"/>
      <c r="M514" s="971"/>
      <c r="N514" s="971"/>
      <c r="O514" s="971"/>
      <c r="P514" s="1353"/>
      <c r="Q514" s="1353"/>
      <c r="R514" s="1353"/>
      <c r="S514" s="971"/>
      <c r="T514" s="971"/>
      <c r="U514" s="1398"/>
      <c r="V514" s="971"/>
      <c r="W514" s="971"/>
      <c r="X514" s="971"/>
      <c r="Y514" s="1353"/>
      <c r="Z514" s="1353"/>
      <c r="AA514" s="971"/>
      <c r="AB514" s="971"/>
      <c r="AC514" s="971"/>
      <c r="AD514" s="971"/>
    </row>
    <row r="515" spans="1:30" s="1355" customFormat="1" ht="15.75" customHeight="1" outlineLevel="1">
      <c r="A515" s="1442" t="str">
        <f t="shared" si="54"/>
        <v>Стойка каркаса по фронтону, 1 этаж, односкатная кровля, №2</v>
      </c>
      <c r="B515" s="920" t="str">
        <f t="shared" si="54"/>
        <v>м.п.</v>
      </c>
      <c r="C515" s="1442">
        <f t="shared" si="54"/>
        <v>0.4</v>
      </c>
      <c r="D515" s="1442">
        <f t="shared" si="54"/>
        <v>0.05</v>
      </c>
      <c r="E515" s="1442">
        <f>IF('Ввод данных'!$A$369=связи1!$A$97,IF(дома!E514&lt;связи1!$E$553,0,дома!E514-$E$419),0)+IF(дома!E514=0,0,IF('Ввод данных'!$A$369=связи1!$A$94,IF(дома!E514&lt;0,0,дома!E514-$E$419),0))</f>
        <v>0</v>
      </c>
      <c r="F515" s="1442">
        <f t="shared" si="56"/>
        <v>2</v>
      </c>
      <c r="G515" s="971">
        <f t="shared" si="55"/>
        <v>0</v>
      </c>
      <c r="H515" s="971"/>
      <c r="I515" s="971"/>
      <c r="J515" s="971"/>
      <c r="K515" s="971"/>
      <c r="L515" s="971"/>
      <c r="M515" s="971"/>
      <c r="N515" s="971"/>
      <c r="O515" s="971"/>
      <c r="P515" s="1353"/>
      <c r="Q515" s="1353"/>
      <c r="R515" s="1353"/>
      <c r="S515" s="971"/>
      <c r="T515" s="971"/>
      <c r="U515" s="1398"/>
      <c r="V515" s="971"/>
      <c r="W515" s="971"/>
      <c r="X515" s="971"/>
      <c r="Y515" s="1353"/>
      <c r="Z515" s="1353"/>
      <c r="AA515" s="971"/>
      <c r="AB515" s="971"/>
      <c r="AC515" s="971"/>
      <c r="AD515" s="971"/>
    </row>
    <row r="516" spans="1:30" s="1355" customFormat="1" ht="15.75" customHeight="1" outlineLevel="1">
      <c r="A516" s="1442" t="str">
        <f t="shared" si="54"/>
        <v>Стойка каркаса по фронтону, 1 этаж, односкатная кровля, №3</v>
      </c>
      <c r="B516" s="920" t="str">
        <f t="shared" si="54"/>
        <v>м.п.</v>
      </c>
      <c r="C516" s="1442">
        <f t="shared" si="54"/>
        <v>0.4</v>
      </c>
      <c r="D516" s="1442">
        <f t="shared" si="54"/>
        <v>0.05</v>
      </c>
      <c r="E516" s="1442">
        <f>IF('Ввод данных'!$A$369=связи1!$A$97,IF(дома!E515&lt;связи1!$E$553,0,дома!E515-$E$419),0)+IF(дома!E515=0,0,IF('Ввод данных'!$A$369=связи1!$A$94,IF(дома!E515&lt;0,0,дома!E515-$E$419),0))</f>
        <v>0</v>
      </c>
      <c r="F516" s="1442">
        <f t="shared" si="56"/>
        <v>2</v>
      </c>
      <c r="G516" s="971">
        <f t="shared" si="55"/>
        <v>0</v>
      </c>
      <c r="H516" s="971"/>
      <c r="I516" s="971"/>
      <c r="J516" s="971"/>
      <c r="K516" s="971"/>
      <c r="L516" s="971"/>
      <c r="M516" s="971"/>
      <c r="N516" s="971"/>
      <c r="O516" s="971"/>
      <c r="P516" s="1353"/>
      <c r="Q516" s="1353"/>
      <c r="R516" s="1353"/>
      <c r="S516" s="971"/>
      <c r="T516" s="971"/>
      <c r="U516" s="1398"/>
      <c r="V516" s="971"/>
      <c r="W516" s="971"/>
      <c r="X516" s="971"/>
      <c r="Y516" s="1353"/>
      <c r="Z516" s="1353"/>
      <c r="AA516" s="971"/>
      <c r="AB516" s="971"/>
      <c r="AC516" s="971"/>
      <c r="AD516" s="971"/>
    </row>
    <row r="517" spans="1:30" s="1355" customFormat="1" ht="15.75" customHeight="1" outlineLevel="1">
      <c r="A517" s="1442" t="str">
        <f t="shared" si="54"/>
        <v>Стойка каркаса по фронтону, 1 этаж, односкатная кровля, №4</v>
      </c>
      <c r="B517" s="920" t="str">
        <f t="shared" si="54"/>
        <v>м.п.</v>
      </c>
      <c r="C517" s="1442">
        <f t="shared" si="54"/>
        <v>0.4</v>
      </c>
      <c r="D517" s="1442">
        <f t="shared" si="54"/>
        <v>0.05</v>
      </c>
      <c r="E517" s="1442">
        <f>IF('Ввод данных'!$A$369=связи1!$A$97,IF(дома!E516&lt;связи1!$E$553,0,дома!E516-$E$419),0)+IF(дома!E516=0,0,IF('Ввод данных'!$A$369=связи1!$A$94,IF(дома!E516&lt;0,0,дома!E516-$E$419),0))</f>
        <v>0</v>
      </c>
      <c r="F517" s="1442">
        <f t="shared" si="56"/>
        <v>2</v>
      </c>
      <c r="G517" s="971">
        <f t="shared" si="55"/>
        <v>0</v>
      </c>
      <c r="H517" s="971"/>
      <c r="I517" s="971"/>
      <c r="J517" s="971"/>
      <c r="K517" s="971"/>
      <c r="L517" s="971"/>
      <c r="M517" s="971"/>
      <c r="N517" s="971"/>
      <c r="O517" s="971"/>
      <c r="P517" s="1353"/>
      <c r="Q517" s="1353"/>
      <c r="R517" s="1353"/>
      <c r="S517" s="971"/>
      <c r="T517" s="971"/>
      <c r="U517" s="1398"/>
      <c r="V517" s="971"/>
      <c r="W517" s="971"/>
      <c r="X517" s="971"/>
      <c r="Y517" s="1353"/>
      <c r="Z517" s="1353"/>
      <c r="AA517" s="971"/>
      <c r="AB517" s="971"/>
      <c r="AC517" s="971"/>
      <c r="AD517" s="971"/>
    </row>
    <row r="518" spans="1:30" s="1355" customFormat="1" ht="15.75" customHeight="1" outlineLevel="1">
      <c r="A518" s="1442" t="str">
        <f t="shared" si="54"/>
        <v>Стойка каркаса по фронтону, 1 этаж, односкатная кровля, №5</v>
      </c>
      <c r="B518" s="920" t="str">
        <f t="shared" si="54"/>
        <v>м.п.</v>
      </c>
      <c r="C518" s="1442">
        <f t="shared" si="54"/>
        <v>0.4</v>
      </c>
      <c r="D518" s="1442">
        <f t="shared" si="54"/>
        <v>0.05</v>
      </c>
      <c r="E518" s="1442">
        <f>IF('Ввод данных'!$A$369=связи1!$A$97,IF(дома!E517&lt;связи1!$E$553,0,дома!E517-$E$419),0)+IF(дома!E517=0,0,IF('Ввод данных'!$A$369=связи1!$A$94,IF(дома!E517&lt;0,0,дома!E517-$E$419),0))</f>
        <v>0</v>
      </c>
      <c r="F518" s="1442">
        <f t="shared" si="56"/>
        <v>2</v>
      </c>
      <c r="G518" s="971">
        <f t="shared" si="55"/>
        <v>0</v>
      </c>
      <c r="H518" s="971"/>
      <c r="I518" s="971"/>
      <c r="J518" s="971"/>
      <c r="K518" s="971"/>
      <c r="L518" s="971"/>
      <c r="M518" s="971"/>
      <c r="N518" s="971"/>
      <c r="O518" s="971"/>
      <c r="P518" s="1353"/>
      <c r="Q518" s="1353"/>
      <c r="R518" s="1353"/>
      <c r="S518" s="971"/>
      <c r="T518" s="971"/>
      <c r="U518" s="1398"/>
      <c r="V518" s="971"/>
      <c r="W518" s="971"/>
      <c r="X518" s="971"/>
      <c r="Y518" s="1353"/>
      <c r="Z518" s="1353"/>
      <c r="AA518" s="971"/>
      <c r="AB518" s="971"/>
      <c r="AC518" s="971"/>
      <c r="AD518" s="971"/>
    </row>
    <row r="519" spans="1:30" s="1355" customFormat="1" ht="15.75" customHeight="1" outlineLevel="1">
      <c r="A519" s="1442" t="str">
        <f t="shared" si="54"/>
        <v>Стойка каркаса по фронтону, 1 этаж, односкатная кровля, №6</v>
      </c>
      <c r="B519" s="920" t="str">
        <f t="shared" si="54"/>
        <v>м.п.</v>
      </c>
      <c r="C519" s="1442">
        <f t="shared" si="54"/>
        <v>0.4</v>
      </c>
      <c r="D519" s="1442">
        <f t="shared" si="54"/>
        <v>0.05</v>
      </c>
      <c r="E519" s="1442">
        <f>IF('Ввод данных'!$A$369=связи1!$A$97,IF(дома!E518&lt;связи1!$E$553,0,дома!E518-$E$419),0)+IF(дома!E518=0,0,IF('Ввод данных'!$A$369=связи1!$A$94,IF(дома!E518&lt;0,0,дома!E518-$E$419),0))</f>
        <v>0</v>
      </c>
      <c r="F519" s="1442">
        <f t="shared" si="56"/>
        <v>2</v>
      </c>
      <c r="G519" s="971">
        <f t="shared" si="55"/>
        <v>0</v>
      </c>
      <c r="H519" s="971"/>
      <c r="I519" s="971"/>
      <c r="J519" s="971"/>
      <c r="K519" s="971"/>
      <c r="L519" s="971"/>
      <c r="M519" s="971"/>
      <c r="N519" s="971"/>
      <c r="O519" s="971"/>
      <c r="P519" s="1353"/>
      <c r="Q519" s="1353"/>
      <c r="R519" s="1353"/>
      <c r="S519" s="971"/>
      <c r="T519" s="971"/>
      <c r="U519" s="1398"/>
      <c r="V519" s="971"/>
      <c r="W519" s="971"/>
      <c r="X519" s="971"/>
      <c r="Y519" s="1353"/>
      <c r="Z519" s="1353"/>
      <c r="AA519" s="971"/>
      <c r="AB519" s="971"/>
      <c r="AC519" s="971"/>
      <c r="AD519" s="971"/>
    </row>
    <row r="520" spans="1:30" s="1355" customFormat="1" ht="15.75" customHeight="1" outlineLevel="1">
      <c r="A520" s="1442" t="str">
        <f t="shared" si="54"/>
        <v>Стойка каркаса по фронтону, 1 этаж, односкатная кровля, №7</v>
      </c>
      <c r="B520" s="920" t="str">
        <f t="shared" si="54"/>
        <v>м.п.</v>
      </c>
      <c r="C520" s="1442">
        <f t="shared" si="54"/>
        <v>0.4</v>
      </c>
      <c r="D520" s="1442">
        <f t="shared" si="54"/>
        <v>0.05</v>
      </c>
      <c r="E520" s="1442">
        <f>IF('Ввод данных'!$A$369=связи1!$A$97,IF(дома!E519&lt;связи1!$E$553,0,дома!E519-$E$419),0)+IF(дома!E519=0,0,IF('Ввод данных'!$A$369=связи1!$A$94,IF(дома!E519&lt;0,0,дома!E519-$E$419),0))</f>
        <v>0</v>
      </c>
      <c r="F520" s="1442">
        <f t="shared" si="56"/>
        <v>2</v>
      </c>
      <c r="G520" s="971">
        <f t="shared" si="55"/>
        <v>0</v>
      </c>
      <c r="H520" s="971"/>
      <c r="I520" s="971"/>
      <c r="J520" s="971"/>
      <c r="K520" s="971"/>
      <c r="L520" s="971"/>
      <c r="M520" s="971"/>
      <c r="N520" s="971"/>
      <c r="O520" s="971"/>
      <c r="P520" s="1353"/>
      <c r="Q520" s="1353"/>
      <c r="R520" s="1353"/>
      <c r="S520" s="971"/>
      <c r="T520" s="971"/>
      <c r="U520" s="1398"/>
      <c r="V520" s="971"/>
      <c r="W520" s="971"/>
      <c r="X520" s="971"/>
      <c r="Y520" s="1353"/>
      <c r="Z520" s="1353"/>
      <c r="AA520" s="971"/>
      <c r="AB520" s="971"/>
      <c r="AC520" s="971"/>
      <c r="AD520" s="971"/>
    </row>
    <row r="521" spans="1:30" s="1355" customFormat="1" ht="15.75" customHeight="1" outlineLevel="1">
      <c r="A521" s="1442" t="str">
        <f t="shared" si="54"/>
        <v>Стойка каркаса по фронтону, 1 этаж, односкатная кровля, №8</v>
      </c>
      <c r="B521" s="920" t="str">
        <f t="shared" si="54"/>
        <v>м.п.</v>
      </c>
      <c r="C521" s="1442">
        <f t="shared" si="54"/>
        <v>0.4</v>
      </c>
      <c r="D521" s="1442">
        <f t="shared" si="54"/>
        <v>0.05</v>
      </c>
      <c r="E521" s="1442">
        <f>IF('Ввод данных'!$A$369=связи1!$A$97,IF(дома!E520&lt;связи1!$E$553,0,дома!E520-$E$419),0)+IF(дома!E520=0,0,IF('Ввод данных'!$A$369=связи1!$A$94,IF(дома!E520&lt;0,0,дома!E520-$E$419),0))</f>
        <v>0</v>
      </c>
      <c r="F521" s="1442">
        <f t="shared" si="56"/>
        <v>2</v>
      </c>
      <c r="G521" s="971">
        <f t="shared" si="55"/>
        <v>0</v>
      </c>
      <c r="H521" s="971"/>
      <c r="I521" s="971"/>
      <c r="J521" s="971"/>
      <c r="K521" s="971"/>
      <c r="L521" s="971"/>
      <c r="M521" s="971"/>
      <c r="N521" s="971"/>
      <c r="O521" s="971"/>
      <c r="P521" s="1353"/>
      <c r="Q521" s="1353"/>
      <c r="R521" s="1353"/>
      <c r="S521" s="971"/>
      <c r="T521" s="971"/>
      <c r="U521" s="1398"/>
      <c r="V521" s="971"/>
      <c r="W521" s="971"/>
      <c r="X521" s="971"/>
      <c r="Y521" s="1353"/>
      <c r="Z521" s="1353"/>
      <c r="AA521" s="971"/>
      <c r="AB521" s="971"/>
      <c r="AC521" s="971"/>
      <c r="AD521" s="971"/>
    </row>
    <row r="522" spans="1:30" s="1355" customFormat="1" ht="15.75" customHeight="1" outlineLevel="1">
      <c r="A522" s="1442" t="str">
        <f t="shared" si="54"/>
        <v>Стойка каркаса по фронтону, 1 этаж, односкатная кровля, №9</v>
      </c>
      <c r="B522" s="920" t="str">
        <f t="shared" si="54"/>
        <v>м.п.</v>
      </c>
      <c r="C522" s="1442">
        <f t="shared" si="54"/>
        <v>0.4</v>
      </c>
      <c r="D522" s="1442">
        <f t="shared" si="54"/>
        <v>0.05</v>
      </c>
      <c r="E522" s="1442">
        <f>IF('Ввод данных'!$A$369=связи1!$A$97,IF(дома!E521&lt;связи1!$E$553,0,дома!E521-$E$419),0)+IF(дома!E521=0,0,IF('Ввод данных'!$A$369=связи1!$A$94,IF(дома!E521&lt;0,0,дома!E521-$E$419),0))</f>
        <v>0</v>
      </c>
      <c r="F522" s="1442">
        <f t="shared" si="56"/>
        <v>2</v>
      </c>
      <c r="G522" s="971">
        <f t="shared" si="55"/>
        <v>0</v>
      </c>
      <c r="H522" s="971"/>
      <c r="I522" s="971"/>
      <c r="J522" s="971"/>
      <c r="K522" s="971"/>
      <c r="L522" s="971"/>
      <c r="M522" s="971"/>
      <c r="N522" s="971"/>
      <c r="O522" s="971"/>
      <c r="P522" s="1353"/>
      <c r="Q522" s="1353"/>
      <c r="R522" s="1353"/>
      <c r="S522" s="971"/>
      <c r="T522" s="971"/>
      <c r="U522" s="1398"/>
      <c r="V522" s="971"/>
      <c r="W522" s="971"/>
      <c r="X522" s="971"/>
      <c r="Y522" s="1353"/>
      <c r="Z522" s="1353"/>
      <c r="AA522" s="971"/>
      <c r="AB522" s="971"/>
      <c r="AC522" s="971"/>
      <c r="AD522" s="971"/>
    </row>
    <row r="523" spans="1:30" s="1355" customFormat="1" ht="15.75" customHeight="1" outlineLevel="1">
      <c r="A523" s="1442" t="str">
        <f t="shared" si="54"/>
        <v>Стойка каркаса по фронтону, 1 этаж, односкатная кровля, №10</v>
      </c>
      <c r="B523" s="920" t="str">
        <f t="shared" si="54"/>
        <v>м.п.</v>
      </c>
      <c r="C523" s="1442">
        <f t="shared" si="54"/>
        <v>0.4</v>
      </c>
      <c r="D523" s="1442">
        <f t="shared" si="54"/>
        <v>0.05</v>
      </c>
      <c r="E523" s="1442">
        <f>IF('Ввод данных'!$A$369=связи1!$A$97,IF(дома!E522&lt;связи1!$E$553,0,дома!E522-$E$419),0)+IF(дома!E522=0,0,IF('Ввод данных'!$A$369=связи1!$A$94,IF(дома!E522&lt;0,0,дома!E522-$E$419),0))</f>
        <v>0</v>
      </c>
      <c r="F523" s="1442">
        <f t="shared" si="56"/>
        <v>2</v>
      </c>
      <c r="G523" s="971">
        <f t="shared" si="55"/>
        <v>0</v>
      </c>
      <c r="H523" s="971"/>
      <c r="I523" s="971"/>
      <c r="J523" s="971"/>
      <c r="K523" s="971"/>
      <c r="L523" s="971"/>
      <c r="M523" s="971"/>
      <c r="N523" s="971"/>
      <c r="O523" s="971"/>
      <c r="P523" s="1353"/>
      <c r="Q523" s="1353"/>
      <c r="R523" s="1353"/>
      <c r="S523" s="971"/>
      <c r="T523" s="971"/>
      <c r="U523" s="1398"/>
      <c r="V523" s="971"/>
      <c r="W523" s="971"/>
      <c r="X523" s="971"/>
      <c r="Y523" s="1353"/>
      <c r="Z523" s="1353"/>
      <c r="AA523" s="971"/>
      <c r="AB523" s="971"/>
      <c r="AC523" s="971"/>
      <c r="AD523" s="971"/>
    </row>
    <row r="524" spans="1:30" s="1355" customFormat="1" ht="15.75" customHeight="1" outlineLevel="1">
      <c r="A524" s="1442" t="str">
        <f t="shared" si="54"/>
        <v>Стойка каркаса по фронтону, 1 этаж, односкатная кровля, №11</v>
      </c>
      <c r="B524" s="920" t="str">
        <f t="shared" si="54"/>
        <v>м.п.</v>
      </c>
      <c r="C524" s="1442">
        <f t="shared" si="54"/>
        <v>0.4</v>
      </c>
      <c r="D524" s="1442">
        <f t="shared" si="54"/>
        <v>0.05</v>
      </c>
      <c r="E524" s="1442">
        <f>IF('Ввод данных'!$A$369=связи1!$A$97,IF(дома!E523&lt;связи1!$E$553,0,дома!E523-$E$419),0)+IF(дома!E523=0,0,IF('Ввод данных'!$A$369=связи1!$A$94,IF(дома!E523&lt;0,0,дома!E523-$E$419),0))</f>
        <v>0</v>
      </c>
      <c r="F524" s="1442">
        <f t="shared" si="56"/>
        <v>2</v>
      </c>
      <c r="G524" s="971">
        <f t="shared" si="55"/>
        <v>0</v>
      </c>
      <c r="H524" s="971"/>
      <c r="I524" s="971"/>
      <c r="J524" s="971"/>
      <c r="K524" s="971"/>
      <c r="L524" s="971"/>
      <c r="M524" s="971"/>
      <c r="N524" s="971"/>
      <c r="O524" s="971"/>
      <c r="P524" s="1353"/>
      <c r="Q524" s="1353"/>
      <c r="R524" s="1353"/>
      <c r="S524" s="971"/>
      <c r="T524" s="971"/>
      <c r="U524" s="1398"/>
      <c r="V524" s="971"/>
      <c r="W524" s="971"/>
      <c r="X524" s="971"/>
      <c r="Y524" s="1353"/>
      <c r="Z524" s="1353"/>
      <c r="AA524" s="971"/>
      <c r="AB524" s="971"/>
      <c r="AC524" s="971"/>
      <c r="AD524" s="971"/>
    </row>
    <row r="525" spans="1:30" s="1355" customFormat="1" ht="15.75" customHeight="1" outlineLevel="1">
      <c r="A525" s="1442" t="str">
        <f t="shared" si="54"/>
        <v>Стойка каркаса по фронтону, 1 этаж, односкатная кровля, №12</v>
      </c>
      <c r="B525" s="920" t="str">
        <f t="shared" si="54"/>
        <v>м.п.</v>
      </c>
      <c r="C525" s="1442">
        <f t="shared" si="54"/>
        <v>0.4</v>
      </c>
      <c r="D525" s="1442">
        <f t="shared" si="54"/>
        <v>0.05</v>
      </c>
      <c r="E525" s="1442">
        <f>IF('Ввод данных'!$A$369=связи1!$A$97,IF(дома!E524&lt;связи1!$E$553,0,дома!E524-$E$419),0)+IF(дома!E524=0,0,IF('Ввод данных'!$A$369=связи1!$A$94,IF(дома!E524&lt;0,0,дома!E524-$E$419),0))</f>
        <v>0</v>
      </c>
      <c r="F525" s="1442">
        <f t="shared" si="56"/>
        <v>2</v>
      </c>
      <c r="G525" s="971">
        <f t="shared" si="55"/>
        <v>0</v>
      </c>
      <c r="H525" s="971"/>
      <c r="I525" s="971"/>
      <c r="J525" s="971"/>
      <c r="K525" s="971"/>
      <c r="L525" s="971"/>
      <c r="M525" s="971"/>
      <c r="N525" s="971"/>
      <c r="O525" s="971"/>
      <c r="P525" s="1353"/>
      <c r="Q525" s="1353"/>
      <c r="R525" s="1353"/>
      <c r="S525" s="971"/>
      <c r="T525" s="971"/>
      <c r="U525" s="1398"/>
      <c r="V525" s="971"/>
      <c r="W525" s="971"/>
      <c r="X525" s="971"/>
      <c r="Y525" s="1353"/>
      <c r="Z525" s="1353"/>
      <c r="AA525" s="971"/>
      <c r="AB525" s="971"/>
      <c r="AC525" s="971"/>
      <c r="AD525" s="971"/>
    </row>
    <row r="526" spans="1:30" s="1355" customFormat="1" ht="15.75" customHeight="1" outlineLevel="1">
      <c r="A526" s="1442" t="str">
        <f t="shared" si="54"/>
        <v>Стойка каркаса по фронтону, 1 этаж, односкатная кровля, №13</v>
      </c>
      <c r="B526" s="920" t="str">
        <f t="shared" si="54"/>
        <v>м.п.</v>
      </c>
      <c r="C526" s="1442">
        <f t="shared" si="54"/>
        <v>0.4</v>
      </c>
      <c r="D526" s="1442">
        <f t="shared" si="54"/>
        <v>0.05</v>
      </c>
      <c r="E526" s="1442">
        <f>IF('Ввод данных'!$A$369=связи1!$A$97,IF(дома!E525&lt;связи1!$E$553,0,дома!E525-$E$419),0)+IF(дома!E525=0,0,IF('Ввод данных'!$A$369=связи1!$A$94,IF(дома!E525&lt;0,0,дома!E525-$E$419),0))</f>
        <v>0</v>
      </c>
      <c r="F526" s="1442">
        <f t="shared" si="56"/>
        <v>2</v>
      </c>
      <c r="G526" s="971">
        <f t="shared" si="55"/>
        <v>0</v>
      </c>
      <c r="H526" s="971"/>
      <c r="I526" s="971"/>
      <c r="J526" s="971"/>
      <c r="K526" s="971"/>
      <c r="L526" s="971"/>
      <c r="M526" s="971"/>
      <c r="N526" s="971"/>
      <c r="O526" s="971"/>
      <c r="P526" s="1353"/>
      <c r="Q526" s="1353"/>
      <c r="R526" s="1353"/>
      <c r="S526" s="971"/>
      <c r="T526" s="971"/>
      <c r="U526" s="1398"/>
      <c r="V526" s="971"/>
      <c r="W526" s="971"/>
      <c r="X526" s="971"/>
      <c r="Y526" s="1353"/>
      <c r="Z526" s="1353"/>
      <c r="AA526" s="971"/>
      <c r="AB526" s="971"/>
      <c r="AC526" s="971"/>
      <c r="AD526" s="971"/>
    </row>
    <row r="527" spans="1:30" s="1355" customFormat="1" ht="15.75" customHeight="1" outlineLevel="1">
      <c r="A527" s="1442" t="str">
        <f t="shared" si="54"/>
        <v>Стойка каркаса по фронтону, 1 этаж, односкатная кровля, №14</v>
      </c>
      <c r="B527" s="920" t="str">
        <f t="shared" si="54"/>
        <v>м.п.</v>
      </c>
      <c r="C527" s="1442">
        <f t="shared" si="54"/>
        <v>0.4</v>
      </c>
      <c r="D527" s="1442">
        <f t="shared" si="54"/>
        <v>0.05</v>
      </c>
      <c r="E527" s="1442">
        <f>IF('Ввод данных'!$A$369=связи1!$A$97,IF(дома!E526&lt;связи1!$E$553,0,дома!E526-$E$419),0)+IF(дома!E526=0,0,IF('Ввод данных'!$A$369=связи1!$A$94,IF(дома!E526&lt;0,0,дома!E526-$E$419),0))</f>
        <v>0</v>
      </c>
      <c r="F527" s="1442">
        <f t="shared" si="56"/>
        <v>2</v>
      </c>
      <c r="G527" s="971">
        <f t="shared" si="55"/>
        <v>0</v>
      </c>
      <c r="H527" s="971"/>
      <c r="I527" s="971"/>
      <c r="J527" s="971"/>
      <c r="K527" s="971"/>
      <c r="L527" s="971"/>
      <c r="M527" s="971"/>
      <c r="N527" s="971"/>
      <c r="O527" s="971"/>
      <c r="P527" s="1353"/>
      <c r="Q527" s="1353"/>
      <c r="R527" s="1353"/>
      <c r="S527" s="971"/>
      <c r="T527" s="971"/>
      <c r="U527" s="1398"/>
      <c r="V527" s="971"/>
      <c r="W527" s="971"/>
      <c r="X527" s="971"/>
      <c r="Y527" s="1353"/>
      <c r="Z527" s="1353"/>
      <c r="AA527" s="971"/>
      <c r="AB527" s="971"/>
      <c r="AC527" s="971"/>
      <c r="AD527" s="971"/>
    </row>
    <row r="528" spans="1:30" s="1355" customFormat="1" ht="15.75" customHeight="1" outlineLevel="1">
      <c r="A528" s="1442" t="str">
        <f t="shared" ref="A528:D547" si="57">A486</f>
        <v>Стойка каркаса по фронтону, 1 этаж, односкатная кровля, №15</v>
      </c>
      <c r="B528" s="920" t="str">
        <f t="shared" si="57"/>
        <v>м.п.</v>
      </c>
      <c r="C528" s="1442">
        <f t="shared" si="57"/>
        <v>0.4</v>
      </c>
      <c r="D528" s="1442">
        <f t="shared" si="57"/>
        <v>0.05</v>
      </c>
      <c r="E528" s="1442">
        <f>IF('Ввод данных'!$A$369=связи1!$A$97,IF(дома!E527&lt;связи1!$E$553,0,дома!E527-$E$419),0)+IF(дома!E527=0,0,IF('Ввод данных'!$A$369=связи1!$A$94,IF(дома!E527&lt;0,0,дома!E527-$E$419),0))</f>
        <v>0</v>
      </c>
      <c r="F528" s="1442">
        <f t="shared" si="56"/>
        <v>2</v>
      </c>
      <c r="G528" s="971">
        <f t="shared" si="55"/>
        <v>0</v>
      </c>
      <c r="H528" s="971"/>
      <c r="I528" s="971"/>
      <c r="J528" s="971"/>
      <c r="K528" s="971"/>
      <c r="L528" s="971"/>
      <c r="M528" s="971"/>
      <c r="N528" s="971"/>
      <c r="O528" s="971"/>
      <c r="P528" s="1353"/>
      <c r="Q528" s="1353"/>
      <c r="R528" s="1353"/>
      <c r="S528" s="971"/>
      <c r="T528" s="971"/>
      <c r="U528" s="1398"/>
      <c r="V528" s="971"/>
      <c r="W528" s="971"/>
      <c r="X528" s="971"/>
      <c r="Y528" s="1353"/>
      <c r="Z528" s="1353"/>
      <c r="AA528" s="971"/>
      <c r="AB528" s="971"/>
      <c r="AC528" s="971"/>
      <c r="AD528" s="971"/>
    </row>
    <row r="529" spans="1:30" s="1355" customFormat="1" ht="15.75" customHeight="1" outlineLevel="1">
      <c r="A529" s="1442" t="str">
        <f t="shared" si="57"/>
        <v>Стойка каркаса по фронтону, 1 этаж, односкатная кровля, №16</v>
      </c>
      <c r="B529" s="920" t="str">
        <f t="shared" si="57"/>
        <v>м.п.</v>
      </c>
      <c r="C529" s="1442">
        <f t="shared" si="57"/>
        <v>0.4</v>
      </c>
      <c r="D529" s="1442">
        <f t="shared" si="57"/>
        <v>0.05</v>
      </c>
      <c r="E529" s="1442">
        <f>IF('Ввод данных'!$A$369=связи1!$A$97,IF(дома!E528&lt;связи1!$E$553,0,дома!E528-$E$419),0)+IF(дома!E528=0,0,IF('Ввод данных'!$A$369=связи1!$A$94,IF(дома!E528&lt;0,0,дома!E528-$E$419),0))</f>
        <v>0</v>
      </c>
      <c r="F529" s="1442">
        <f t="shared" si="56"/>
        <v>2</v>
      </c>
      <c r="G529" s="971">
        <f t="shared" si="55"/>
        <v>0</v>
      </c>
      <c r="H529" s="971"/>
      <c r="I529" s="971"/>
      <c r="J529" s="971"/>
      <c r="K529" s="971"/>
      <c r="L529" s="971"/>
      <c r="M529" s="971"/>
      <c r="N529" s="971"/>
      <c r="O529" s="971"/>
      <c r="P529" s="1353"/>
      <c r="Q529" s="1353"/>
      <c r="R529" s="1353"/>
      <c r="S529" s="971"/>
      <c r="T529" s="971"/>
      <c r="U529" s="1398"/>
      <c r="V529" s="971"/>
      <c r="W529" s="971"/>
      <c r="X529" s="971"/>
      <c r="Y529" s="1353"/>
      <c r="Z529" s="1353"/>
      <c r="AA529" s="971"/>
      <c r="AB529" s="971"/>
      <c r="AC529" s="971"/>
      <c r="AD529" s="971"/>
    </row>
    <row r="530" spans="1:30" s="1355" customFormat="1" ht="15.75" customHeight="1" outlineLevel="1">
      <c r="A530" s="1442" t="str">
        <f t="shared" si="57"/>
        <v>Стойка каркаса по фронтону, 1 этаж, односкатная кровля, №17</v>
      </c>
      <c r="B530" s="920" t="str">
        <f t="shared" si="57"/>
        <v>м.п.</v>
      </c>
      <c r="C530" s="1442">
        <f t="shared" si="57"/>
        <v>0.4</v>
      </c>
      <c r="D530" s="1442">
        <f t="shared" si="57"/>
        <v>0.05</v>
      </c>
      <c r="E530" s="1442">
        <f>IF('Ввод данных'!$A$369=связи1!$A$97,IF(дома!E529&lt;связи1!$E$553,0,дома!E529-$E$419),0)+IF(дома!E529=0,0,IF('Ввод данных'!$A$369=связи1!$A$94,IF(дома!E529&lt;0,0,дома!E529-$E$419),0))</f>
        <v>0</v>
      </c>
      <c r="F530" s="1442">
        <f t="shared" si="56"/>
        <v>2</v>
      </c>
      <c r="G530" s="971">
        <f t="shared" si="55"/>
        <v>0</v>
      </c>
      <c r="H530" s="971"/>
      <c r="I530" s="971"/>
      <c r="J530" s="971"/>
      <c r="K530" s="971"/>
      <c r="L530" s="971"/>
      <c r="M530" s="971"/>
      <c r="N530" s="971"/>
      <c r="O530" s="971"/>
      <c r="P530" s="1353"/>
      <c r="Q530" s="1353"/>
      <c r="R530" s="1353"/>
      <c r="S530" s="971"/>
      <c r="T530" s="971"/>
      <c r="U530" s="1398"/>
      <c r="V530" s="971"/>
      <c r="W530" s="971"/>
      <c r="X530" s="971"/>
      <c r="Y530" s="1353"/>
      <c r="Z530" s="1353"/>
      <c r="AA530" s="971"/>
      <c r="AB530" s="971"/>
      <c r="AC530" s="971"/>
      <c r="AD530" s="971"/>
    </row>
    <row r="531" spans="1:30" s="1355" customFormat="1" ht="15.75" customHeight="1" outlineLevel="1">
      <c r="A531" s="1442" t="str">
        <f t="shared" si="57"/>
        <v>Стойка каркаса по фронтону, 1 этаж, двускатная кровля, №1</v>
      </c>
      <c r="B531" s="920" t="str">
        <f t="shared" si="57"/>
        <v>м.п.</v>
      </c>
      <c r="C531" s="1442">
        <f t="shared" si="57"/>
        <v>0.4</v>
      </c>
      <c r="D531" s="1442">
        <f t="shared" si="57"/>
        <v>0.05</v>
      </c>
      <c r="E531" s="1442">
        <f>IF('Ввод данных'!A368=связи1!A107,IF('Ввод данных'!A369=связи1!A94,связи1!E554-связи1!E553,0)+IF('Ввод данных'!A369=связи1!A95,0,0)+IF('Ввод данных'!A369=связи1!A96,0,0)+IF('Ввод данных'!A368=связи1!A107,IF('Ввод данных'!A369=связи1!A97,связи1!E554,0),0)+IF('Ввод данных'!A369=связи1!A98,0,0),0)</f>
        <v>0</v>
      </c>
      <c r="F531" s="1442">
        <f t="shared" si="56"/>
        <v>2</v>
      </c>
      <c r="G531" s="971">
        <f t="shared" si="55"/>
        <v>0</v>
      </c>
      <c r="H531" s="971"/>
      <c r="I531" s="971"/>
      <c r="J531" s="971"/>
      <c r="K531" s="971"/>
      <c r="L531" s="971"/>
      <c r="M531" s="971"/>
      <c r="N531" s="971"/>
      <c r="O531" s="971"/>
      <c r="P531" s="1353"/>
      <c r="Q531" s="1353"/>
      <c r="R531" s="1353"/>
      <c r="S531" s="971"/>
      <c r="T531" s="971"/>
      <c r="U531" s="1398"/>
      <c r="V531" s="971"/>
      <c r="W531" s="971"/>
      <c r="X531" s="971"/>
      <c r="Y531" s="1353"/>
      <c r="Z531" s="1353"/>
      <c r="AA531" s="971"/>
      <c r="AB531" s="971"/>
      <c r="AC531" s="971"/>
      <c r="AD531" s="971"/>
    </row>
    <row r="532" spans="1:30" s="1355" customFormat="1" ht="15.75" customHeight="1" outlineLevel="1">
      <c r="A532" s="1442" t="str">
        <f t="shared" si="57"/>
        <v>Стойка каркаса по фронтону, 1 этаж, двускатная кровля, №2</v>
      </c>
      <c r="B532" s="920" t="str">
        <f t="shared" si="57"/>
        <v>м.п.</v>
      </c>
      <c r="C532" s="1442">
        <f t="shared" si="57"/>
        <v>0.4</v>
      </c>
      <c r="D532" s="1442">
        <f t="shared" si="57"/>
        <v>0.05</v>
      </c>
      <c r="E532" s="1442">
        <f>IF('Ввод данных'!$A$369=связи1!$A$97,IF(дома!E531&lt;связи1!$E$553,0,дома!E531-$E$419),0)+IF(дома!E531&lt;=0,0,IF('Ввод данных'!$A$369=связи1!$A$94,IF(дома!E531&lt;0,0,дома!E531-$E$419),0))</f>
        <v>0</v>
      </c>
      <c r="F532" s="1442">
        <f t="shared" si="56"/>
        <v>2</v>
      </c>
      <c r="G532" s="971">
        <f t="shared" si="55"/>
        <v>0</v>
      </c>
      <c r="H532" s="971"/>
      <c r="I532" s="971"/>
      <c r="J532" s="971"/>
      <c r="K532" s="971"/>
      <c r="L532" s="971"/>
      <c r="M532" s="971"/>
      <c r="N532" s="971"/>
      <c r="O532" s="971"/>
      <c r="P532" s="1353"/>
      <c r="Q532" s="1353"/>
      <c r="R532" s="1353"/>
      <c r="S532" s="971"/>
      <c r="T532" s="971"/>
      <c r="U532" s="1398"/>
      <c r="V532" s="971"/>
      <c r="W532" s="971"/>
      <c r="X532" s="971"/>
      <c r="Y532" s="1353"/>
      <c r="Z532" s="1353"/>
      <c r="AA532" s="971"/>
      <c r="AB532" s="971"/>
      <c r="AC532" s="971"/>
      <c r="AD532" s="971"/>
    </row>
    <row r="533" spans="1:30" s="1355" customFormat="1" ht="15.75" customHeight="1" outlineLevel="1">
      <c r="A533" s="1442" t="str">
        <f t="shared" si="57"/>
        <v>Стойка каркаса по фронтону, 1 этаж, двускатная кровля, №3</v>
      </c>
      <c r="B533" s="920" t="str">
        <f t="shared" si="57"/>
        <v>м.п.</v>
      </c>
      <c r="C533" s="1442">
        <f t="shared" si="57"/>
        <v>0.4</v>
      </c>
      <c r="D533" s="1442">
        <f t="shared" si="57"/>
        <v>0.05</v>
      </c>
      <c r="E533" s="1442">
        <f>IF('Ввод данных'!$A$369=связи1!$A$97,IF(дома!E532&lt;связи1!$E$553,0,дома!E532-$E$419),0)+IF(дома!E532&lt;=0,0,IF('Ввод данных'!$A$369=связи1!$A$94,IF(дома!E532&lt;0,0,дома!E532-$E$419),0))</f>
        <v>0</v>
      </c>
      <c r="F533" s="1442">
        <f t="shared" si="56"/>
        <v>2</v>
      </c>
      <c r="G533" s="971">
        <f t="shared" si="55"/>
        <v>0</v>
      </c>
      <c r="H533" s="971"/>
      <c r="I533" s="971"/>
      <c r="J533" s="971"/>
      <c r="K533" s="971"/>
      <c r="L533" s="971"/>
      <c r="M533" s="971"/>
      <c r="N533" s="971"/>
      <c r="O533" s="971"/>
      <c r="P533" s="1353"/>
      <c r="Q533" s="1353"/>
      <c r="R533" s="1353"/>
      <c r="S533" s="971"/>
      <c r="T533" s="971"/>
      <c r="U533" s="1398"/>
      <c r="V533" s="971"/>
      <c r="W533" s="971"/>
      <c r="X533" s="971"/>
      <c r="Y533" s="1353"/>
      <c r="Z533" s="1353"/>
      <c r="AA533" s="971"/>
      <c r="AB533" s="971"/>
      <c r="AC533" s="971"/>
      <c r="AD533" s="971"/>
    </row>
    <row r="534" spans="1:30" s="1355" customFormat="1" ht="15.75" customHeight="1" outlineLevel="1">
      <c r="A534" s="1442" t="str">
        <f t="shared" si="57"/>
        <v>Стойка каркаса по фронтону, 1 этаж, двускатная кровля, №4</v>
      </c>
      <c r="B534" s="920" t="str">
        <f t="shared" si="57"/>
        <v>м.п.</v>
      </c>
      <c r="C534" s="1442">
        <f t="shared" si="57"/>
        <v>0.4</v>
      </c>
      <c r="D534" s="1442">
        <f t="shared" si="57"/>
        <v>0.05</v>
      </c>
      <c r="E534" s="1442">
        <f>IF('Ввод данных'!$A$369=связи1!$A$97,IF(дома!E533&lt;связи1!$E$553,0,дома!E533-$E$419),0)+IF(дома!E533&lt;=0,0,IF('Ввод данных'!$A$369=связи1!$A$94,IF(дома!E533&lt;0,0,дома!E533-$E$419),0))</f>
        <v>0</v>
      </c>
      <c r="F534" s="1442">
        <f t="shared" si="56"/>
        <v>2</v>
      </c>
      <c r="G534" s="971">
        <f t="shared" si="55"/>
        <v>0</v>
      </c>
      <c r="H534" s="971"/>
      <c r="I534" s="971"/>
      <c r="J534" s="971"/>
      <c r="K534" s="971"/>
      <c r="L534" s="971"/>
      <c r="M534" s="971"/>
      <c r="N534" s="971"/>
      <c r="O534" s="971"/>
      <c r="P534" s="1353"/>
      <c r="Q534" s="1353"/>
      <c r="R534" s="1353"/>
      <c r="S534" s="971"/>
      <c r="T534" s="971"/>
      <c r="U534" s="1398"/>
      <c r="V534" s="971"/>
      <c r="W534" s="971"/>
      <c r="X534" s="971"/>
      <c r="Y534" s="1353"/>
      <c r="Z534" s="1353"/>
      <c r="AA534" s="971"/>
      <c r="AB534" s="971"/>
      <c r="AC534" s="971"/>
      <c r="AD534" s="971"/>
    </row>
    <row r="535" spans="1:30" s="1355" customFormat="1" ht="15.75" customHeight="1" outlineLevel="1">
      <c r="A535" s="1442" t="str">
        <f t="shared" si="57"/>
        <v>Стойка каркаса по фронтону, 1 этаж, двускатная кровля, №5</v>
      </c>
      <c r="B535" s="920" t="str">
        <f t="shared" si="57"/>
        <v>м.п.</v>
      </c>
      <c r="C535" s="1442">
        <f t="shared" si="57"/>
        <v>0.4</v>
      </c>
      <c r="D535" s="1442">
        <f t="shared" si="57"/>
        <v>0.05</v>
      </c>
      <c r="E535" s="1442">
        <f>IF('Ввод данных'!$A$369=связи1!$A$97,IF(дома!E534&lt;связи1!$E$553,0,дома!E534-$E$419),0)+IF(дома!E534&lt;=0,0,IF('Ввод данных'!$A$369=связи1!$A$94,IF(дома!E534&lt;0,0,дома!E534-$E$419),0))</f>
        <v>0</v>
      </c>
      <c r="F535" s="1442">
        <f t="shared" si="56"/>
        <v>2</v>
      </c>
      <c r="G535" s="971">
        <f t="shared" si="55"/>
        <v>0</v>
      </c>
      <c r="H535" s="971"/>
      <c r="I535" s="971"/>
      <c r="J535" s="971"/>
      <c r="K535" s="971"/>
      <c r="L535" s="971"/>
      <c r="M535" s="971"/>
      <c r="N535" s="971"/>
      <c r="O535" s="971"/>
      <c r="P535" s="1353"/>
      <c r="Q535" s="1353"/>
      <c r="R535" s="1353"/>
      <c r="S535" s="971"/>
      <c r="T535" s="971"/>
      <c r="U535" s="1398"/>
      <c r="V535" s="971"/>
      <c r="W535" s="971"/>
      <c r="X535" s="971"/>
      <c r="Y535" s="1353"/>
      <c r="Z535" s="1353"/>
      <c r="AA535" s="971"/>
      <c r="AB535" s="971"/>
      <c r="AC535" s="971"/>
      <c r="AD535" s="971"/>
    </row>
    <row r="536" spans="1:30" s="1355" customFormat="1" ht="15.75" customHeight="1" outlineLevel="1">
      <c r="A536" s="1442" t="str">
        <f t="shared" si="57"/>
        <v>Стойка каркаса по фронтону, 1 этаж, двускатная кровля, №6</v>
      </c>
      <c r="B536" s="920" t="str">
        <f t="shared" si="57"/>
        <v>м.п.</v>
      </c>
      <c r="C536" s="1442">
        <f t="shared" si="57"/>
        <v>0.4</v>
      </c>
      <c r="D536" s="1442">
        <f t="shared" si="57"/>
        <v>0.05</v>
      </c>
      <c r="E536" s="1442">
        <f>IF('Ввод данных'!$A$369=связи1!$A$97,IF(дома!E535&lt;связи1!$E$553,0,дома!E535-$E$419),0)+IF(дома!E535&lt;=0,0,IF('Ввод данных'!$A$369=связи1!$A$94,IF(дома!E535&lt;0,0,дома!E535-$E$419),0))</f>
        <v>0</v>
      </c>
      <c r="F536" s="1442">
        <f t="shared" si="56"/>
        <v>2</v>
      </c>
      <c r="G536" s="971">
        <f t="shared" si="55"/>
        <v>0</v>
      </c>
      <c r="H536" s="971"/>
      <c r="I536" s="971"/>
      <c r="J536" s="971"/>
      <c r="K536" s="971"/>
      <c r="L536" s="971"/>
      <c r="M536" s="971"/>
      <c r="N536" s="971"/>
      <c r="O536" s="971"/>
      <c r="P536" s="1353"/>
      <c r="Q536" s="1353"/>
      <c r="R536" s="1353"/>
      <c r="S536" s="971"/>
      <c r="T536" s="971"/>
      <c r="U536" s="1398"/>
      <c r="V536" s="971"/>
      <c r="W536" s="971"/>
      <c r="X536" s="971"/>
      <c r="Y536" s="1353"/>
      <c r="Z536" s="1353"/>
      <c r="AA536" s="971"/>
      <c r="AB536" s="971"/>
      <c r="AC536" s="971"/>
      <c r="AD536" s="971"/>
    </row>
    <row r="537" spans="1:30" s="1355" customFormat="1" ht="15.75" customHeight="1" outlineLevel="1">
      <c r="A537" s="1442" t="str">
        <f t="shared" si="57"/>
        <v>Стойка каркаса по фронтону, 1 этаж, двускатная кровля, №7</v>
      </c>
      <c r="B537" s="920" t="str">
        <f t="shared" si="57"/>
        <v>м.п.</v>
      </c>
      <c r="C537" s="1442">
        <f t="shared" si="57"/>
        <v>0.4</v>
      </c>
      <c r="D537" s="1442">
        <f t="shared" si="57"/>
        <v>0.05</v>
      </c>
      <c r="E537" s="1442">
        <f>IF('Ввод данных'!$A$369=связи1!$A$97,IF(дома!E536&lt;связи1!$E$553,0,дома!E536-$E$419),0)+IF(дома!E536&lt;=0,0,IF('Ввод данных'!$A$369=связи1!$A$94,IF(дома!E536&lt;0,0,дома!E536-$E$419),0))</f>
        <v>0</v>
      </c>
      <c r="F537" s="1442">
        <f t="shared" si="56"/>
        <v>2</v>
      </c>
      <c r="G537" s="971">
        <f t="shared" si="55"/>
        <v>0</v>
      </c>
      <c r="H537" s="971"/>
      <c r="I537" s="971"/>
      <c r="J537" s="971"/>
      <c r="K537" s="971"/>
      <c r="L537" s="971"/>
      <c r="M537" s="971"/>
      <c r="N537" s="971"/>
      <c r="O537" s="971"/>
      <c r="P537" s="1353"/>
      <c r="Q537" s="1353"/>
      <c r="R537" s="1353"/>
      <c r="S537" s="971"/>
      <c r="T537" s="971"/>
      <c r="U537" s="1398"/>
      <c r="V537" s="971"/>
      <c r="W537" s="971"/>
      <c r="X537" s="971"/>
      <c r="Y537" s="1353"/>
      <c r="Z537" s="1353"/>
      <c r="AA537" s="971"/>
      <c r="AB537" s="971"/>
      <c r="AC537" s="971"/>
      <c r="AD537" s="971"/>
    </row>
    <row r="538" spans="1:30" s="1355" customFormat="1" ht="15.75" customHeight="1" outlineLevel="1">
      <c r="A538" s="1442" t="str">
        <f t="shared" si="57"/>
        <v>Стойка каркаса по фронтону, 1 этаж, двускатная кровля, №8</v>
      </c>
      <c r="B538" s="920" t="str">
        <f t="shared" si="57"/>
        <v>м.п.</v>
      </c>
      <c r="C538" s="1442">
        <f t="shared" si="57"/>
        <v>0.4</v>
      </c>
      <c r="D538" s="1442">
        <f t="shared" si="57"/>
        <v>0.05</v>
      </c>
      <c r="E538" s="1442">
        <f>IF('Ввод данных'!$A$369=связи1!$A$97,IF(дома!E537&lt;связи1!$E$553,0,дома!E537-$E$419),0)+IF(дома!E537&lt;=0,0,IF('Ввод данных'!$A$369=связи1!$A$94,IF(дома!E537&lt;0,0,дома!E537-$E$419),0))</f>
        <v>0</v>
      </c>
      <c r="F538" s="1442">
        <f t="shared" si="56"/>
        <v>2</v>
      </c>
      <c r="G538" s="971">
        <f t="shared" si="55"/>
        <v>0</v>
      </c>
      <c r="H538" s="971"/>
      <c r="I538" s="971"/>
      <c r="J538" s="971"/>
      <c r="K538" s="971"/>
      <c r="L538" s="971"/>
      <c r="M538" s="971"/>
      <c r="N538" s="971"/>
      <c r="O538" s="971"/>
      <c r="P538" s="1353"/>
      <c r="Q538" s="1353"/>
      <c r="R538" s="1353"/>
      <c r="S538" s="971"/>
      <c r="T538" s="971"/>
      <c r="U538" s="1398"/>
      <c r="V538" s="971"/>
      <c r="W538" s="971"/>
      <c r="X538" s="971"/>
      <c r="Y538" s="1353"/>
      <c r="Z538" s="1353"/>
      <c r="AA538" s="971"/>
      <c r="AB538" s="971"/>
      <c r="AC538" s="971"/>
      <c r="AD538" s="971"/>
    </row>
    <row r="539" spans="1:30" s="1355" customFormat="1" ht="15.75" customHeight="1" outlineLevel="1">
      <c r="A539" s="1442" t="str">
        <f t="shared" si="57"/>
        <v>Стойка каркаса по фронтону, 1 этаж, двускатная кровля, №9</v>
      </c>
      <c r="B539" s="920" t="str">
        <f t="shared" si="57"/>
        <v>м.п.</v>
      </c>
      <c r="C539" s="1442">
        <f t="shared" si="57"/>
        <v>0.4</v>
      </c>
      <c r="D539" s="1442">
        <f t="shared" si="57"/>
        <v>0.05</v>
      </c>
      <c r="E539" s="1442">
        <f>IF('Ввод данных'!$A$369=связи1!$A$97,IF(дома!E538&lt;связи1!$E$553,0,дома!E538-$E$419),0)+IF(дома!E538&lt;=0,0,IF('Ввод данных'!$A$369=связи1!$A$94,IF(дома!E538&lt;0,0,дома!E538-$E$419),0))</f>
        <v>0</v>
      </c>
      <c r="F539" s="1442">
        <f t="shared" si="56"/>
        <v>2</v>
      </c>
      <c r="G539" s="971">
        <f t="shared" si="55"/>
        <v>0</v>
      </c>
      <c r="H539" s="971"/>
      <c r="I539" s="971"/>
      <c r="J539" s="971"/>
      <c r="K539" s="971"/>
      <c r="L539" s="971"/>
      <c r="M539" s="971"/>
      <c r="N539" s="971"/>
      <c r="O539" s="971"/>
      <c r="P539" s="1353"/>
      <c r="Q539" s="1353"/>
      <c r="R539" s="1353"/>
      <c r="S539" s="971"/>
      <c r="T539" s="971"/>
      <c r="U539" s="1398"/>
      <c r="V539" s="971"/>
      <c r="W539" s="971"/>
      <c r="X539" s="971"/>
      <c r="Y539" s="1353"/>
      <c r="Z539" s="1353"/>
      <c r="AA539" s="971"/>
      <c r="AB539" s="971"/>
      <c r="AC539" s="971"/>
      <c r="AD539" s="971"/>
    </row>
    <row r="540" spans="1:30" s="1355" customFormat="1" ht="15.75" customHeight="1" outlineLevel="1">
      <c r="A540" s="1442" t="str">
        <f t="shared" si="57"/>
        <v>Стойка каркаса по фронтону, 1 этаж, двускатная кровля, №10</v>
      </c>
      <c r="B540" s="920" t="str">
        <f t="shared" si="57"/>
        <v>м.п.</v>
      </c>
      <c r="C540" s="1442">
        <f t="shared" si="57"/>
        <v>0.4</v>
      </c>
      <c r="D540" s="1442">
        <f t="shared" si="57"/>
        <v>0.05</v>
      </c>
      <c r="E540" s="1442">
        <f>IF('Ввод данных'!$A$369=связи1!$A$97,IF(дома!E539&lt;связи1!$E$553,0,дома!E539-$E$419),0)+IF(дома!E539&lt;=0,0,IF('Ввод данных'!$A$369=связи1!$A$94,IF(дома!E539&lt;0,0,дома!E539-$E$419),0))</f>
        <v>0</v>
      </c>
      <c r="F540" s="1442">
        <f t="shared" si="56"/>
        <v>2</v>
      </c>
      <c r="G540" s="971">
        <f t="shared" si="55"/>
        <v>0</v>
      </c>
      <c r="H540" s="971"/>
      <c r="I540" s="971"/>
      <c r="J540" s="971"/>
      <c r="K540" s="971"/>
      <c r="L540" s="971"/>
      <c r="M540" s="971"/>
      <c r="N540" s="971"/>
      <c r="O540" s="971"/>
      <c r="P540" s="1353"/>
      <c r="Q540" s="1353"/>
      <c r="R540" s="1353"/>
      <c r="S540" s="971"/>
      <c r="T540" s="971"/>
      <c r="U540" s="1398"/>
      <c r="V540" s="971"/>
      <c r="W540" s="971"/>
      <c r="X540" s="971"/>
      <c r="Y540" s="1353"/>
      <c r="Z540" s="1353"/>
      <c r="AA540" s="971"/>
      <c r="AB540" s="971"/>
      <c r="AC540" s="971"/>
      <c r="AD540" s="971"/>
    </row>
    <row r="541" spans="1:30" s="1355" customFormat="1" ht="15.75" customHeight="1" outlineLevel="1">
      <c r="A541" s="1442" t="str">
        <f t="shared" si="57"/>
        <v>Стойка каркаса по фронтону, 1 этаж, двускатная кровля, №11</v>
      </c>
      <c r="B541" s="920" t="str">
        <f t="shared" si="57"/>
        <v>м.п.</v>
      </c>
      <c r="C541" s="1442">
        <f t="shared" si="57"/>
        <v>0.4</v>
      </c>
      <c r="D541" s="1442">
        <f t="shared" si="57"/>
        <v>0.05</v>
      </c>
      <c r="E541" s="1442">
        <f>IF('Ввод данных'!$A$369=связи1!$A$97,IF(дома!E540&lt;связи1!$E$553,0,дома!E540-$E$419),0)+IF(дома!E540&lt;=0,0,IF('Ввод данных'!$A$369=связи1!$A$94,IF(дома!E540&lt;0,0,дома!E540-$E$419),0))</f>
        <v>0</v>
      </c>
      <c r="F541" s="1442">
        <f t="shared" si="56"/>
        <v>2</v>
      </c>
      <c r="G541" s="971">
        <f t="shared" si="55"/>
        <v>0</v>
      </c>
      <c r="H541" s="971"/>
      <c r="I541" s="971"/>
      <c r="J541" s="971"/>
      <c r="K541" s="971"/>
      <c r="L541" s="971"/>
      <c r="M541" s="971"/>
      <c r="N541" s="971"/>
      <c r="O541" s="971"/>
      <c r="P541" s="1353"/>
      <c r="Q541" s="1353"/>
      <c r="R541" s="1353"/>
      <c r="S541" s="971"/>
      <c r="T541" s="971"/>
      <c r="U541" s="1398"/>
      <c r="V541" s="971"/>
      <c r="W541" s="971"/>
      <c r="X541" s="971"/>
      <c r="Y541" s="1353"/>
      <c r="Z541" s="1353"/>
      <c r="AA541" s="971"/>
      <c r="AB541" s="971"/>
      <c r="AC541" s="971"/>
      <c r="AD541" s="971"/>
    </row>
    <row r="542" spans="1:30" s="1355" customFormat="1" ht="15.75" customHeight="1" outlineLevel="1">
      <c r="A542" s="1442" t="str">
        <f t="shared" si="57"/>
        <v>Стойка каркаса по фронтону, 1 этаж, двускатная кровля, №12</v>
      </c>
      <c r="B542" s="920" t="str">
        <f t="shared" si="57"/>
        <v>м.п.</v>
      </c>
      <c r="C542" s="1442">
        <f t="shared" si="57"/>
        <v>0.4</v>
      </c>
      <c r="D542" s="1442">
        <f t="shared" si="57"/>
        <v>0.05</v>
      </c>
      <c r="E542" s="1442">
        <f>IF('Ввод данных'!$A$369=связи1!$A$97,IF(дома!E541&lt;связи1!$E$553,0,дома!E541-$E$419),0)+IF(дома!E541&lt;=0,0,IF('Ввод данных'!$A$369=связи1!$A$94,IF(дома!E541&lt;0,0,дома!E541-$E$419),0))</f>
        <v>0</v>
      </c>
      <c r="F542" s="1442">
        <f t="shared" si="56"/>
        <v>2</v>
      </c>
      <c r="G542" s="971">
        <f t="shared" si="55"/>
        <v>0</v>
      </c>
      <c r="H542" s="971"/>
      <c r="I542" s="971"/>
      <c r="J542" s="971"/>
      <c r="K542" s="971"/>
      <c r="L542" s="971"/>
      <c r="M542" s="971"/>
      <c r="N542" s="971"/>
      <c r="O542" s="971"/>
      <c r="P542" s="1353"/>
      <c r="Q542" s="1353"/>
      <c r="R542" s="1353"/>
      <c r="S542" s="971"/>
      <c r="T542" s="971"/>
      <c r="U542" s="1398"/>
      <c r="V542" s="971"/>
      <c r="W542" s="971"/>
      <c r="X542" s="971"/>
      <c r="Y542" s="1353"/>
      <c r="Z542" s="1353"/>
      <c r="AA542" s="971"/>
      <c r="AB542" s="971"/>
      <c r="AC542" s="971"/>
      <c r="AD542" s="971"/>
    </row>
    <row r="543" spans="1:30" s="1355" customFormat="1" ht="15.75" customHeight="1" outlineLevel="1">
      <c r="A543" s="1442" t="str">
        <f t="shared" si="57"/>
        <v>Стойка каркаса по фронтону, 1 этаж, двускатная кровля, №13</v>
      </c>
      <c r="B543" s="920" t="str">
        <f t="shared" si="57"/>
        <v>м.п.</v>
      </c>
      <c r="C543" s="1442">
        <f t="shared" si="57"/>
        <v>0.4</v>
      </c>
      <c r="D543" s="1442">
        <f t="shared" si="57"/>
        <v>0.05</v>
      </c>
      <c r="E543" s="1442">
        <f>IF('Ввод данных'!$A$369=связи1!$A$97,IF(дома!E542&lt;связи1!$E$553,0,дома!E542-$E$419),0)+IF(дома!E542&lt;=0,0,IF('Ввод данных'!$A$369=связи1!$A$94,IF(дома!E542&lt;0,0,дома!E542-$E$419),0))</f>
        <v>0</v>
      </c>
      <c r="F543" s="1442">
        <f t="shared" si="56"/>
        <v>2</v>
      </c>
      <c r="G543" s="971">
        <f t="shared" si="55"/>
        <v>0</v>
      </c>
      <c r="H543" s="971"/>
      <c r="I543" s="971"/>
      <c r="J543" s="971"/>
      <c r="K543" s="971"/>
      <c r="L543" s="971"/>
      <c r="M543" s="971"/>
      <c r="N543" s="971"/>
      <c r="O543" s="971"/>
      <c r="P543" s="1353"/>
      <c r="Q543" s="1353"/>
      <c r="R543" s="1353"/>
      <c r="S543" s="971"/>
      <c r="T543" s="971"/>
      <c r="U543" s="1398"/>
      <c r="V543" s="971"/>
      <c r="W543" s="971"/>
      <c r="X543" s="971"/>
      <c r="Y543" s="1353"/>
      <c r="Z543" s="1353"/>
      <c r="AA543" s="971"/>
      <c r="AB543" s="971"/>
      <c r="AC543" s="971"/>
      <c r="AD543" s="971"/>
    </row>
    <row r="544" spans="1:30" s="1355" customFormat="1" ht="15.75" customHeight="1" outlineLevel="1">
      <c r="A544" s="1442" t="str">
        <f t="shared" si="57"/>
        <v>Стойка каркаса по фронтону, 1 этаж, двускатная кровля, №14</v>
      </c>
      <c r="B544" s="920" t="str">
        <f t="shared" si="57"/>
        <v>м.п.</v>
      </c>
      <c r="C544" s="1442">
        <f t="shared" si="57"/>
        <v>0.4</v>
      </c>
      <c r="D544" s="1442">
        <f t="shared" si="57"/>
        <v>0.05</v>
      </c>
      <c r="E544" s="1442">
        <f>IF('Ввод данных'!$A$369=связи1!$A$97,IF(дома!E543&lt;связи1!$E$553,0,дома!E543-$E$419),0)+IF(дома!E543&lt;=0,0,IF('Ввод данных'!$A$369=связи1!$A$94,IF(дома!E543&lt;0,0,дома!E543-$E$419),0))</f>
        <v>0</v>
      </c>
      <c r="F544" s="1442">
        <f t="shared" si="56"/>
        <v>2</v>
      </c>
      <c r="G544" s="971">
        <f t="shared" si="55"/>
        <v>0</v>
      </c>
      <c r="H544" s="971"/>
      <c r="I544" s="971"/>
      <c r="J544" s="971"/>
      <c r="K544" s="971"/>
      <c r="L544" s="971"/>
      <c r="M544" s="971"/>
      <c r="N544" s="971"/>
      <c r="O544" s="971"/>
      <c r="P544" s="1353"/>
      <c r="Q544" s="1353"/>
      <c r="R544" s="1353"/>
      <c r="S544" s="971"/>
      <c r="T544" s="971"/>
      <c r="U544" s="1398"/>
      <c r="V544" s="971"/>
      <c r="W544" s="971"/>
      <c r="X544" s="971"/>
      <c r="Y544" s="1353"/>
      <c r="Z544" s="1353"/>
      <c r="AA544" s="971"/>
      <c r="AB544" s="971"/>
      <c r="AC544" s="971"/>
      <c r="AD544" s="971"/>
    </row>
    <row r="545" spans="1:30" s="1355" customFormat="1" ht="15.75" customHeight="1" outlineLevel="1">
      <c r="A545" s="1442" t="str">
        <f t="shared" si="57"/>
        <v>Стойка каркаса по фронтону, 1 этаж, двускатная кровля, №15</v>
      </c>
      <c r="B545" s="920" t="str">
        <f t="shared" si="57"/>
        <v>м.п.</v>
      </c>
      <c r="C545" s="1442">
        <f t="shared" si="57"/>
        <v>0.4</v>
      </c>
      <c r="D545" s="1442">
        <f t="shared" si="57"/>
        <v>0.05</v>
      </c>
      <c r="E545" s="1442">
        <f>IF('Ввод данных'!$A$369=связи1!$A$97,IF(дома!E544&lt;связи1!$E$553,0,дома!E544-$E$419),0)+IF(дома!E544&lt;=0,0,IF('Ввод данных'!$A$369=связи1!$A$94,IF(дома!E544&lt;0,0,дома!E544-$E$419),0))</f>
        <v>0</v>
      </c>
      <c r="F545" s="1442">
        <f t="shared" si="56"/>
        <v>2</v>
      </c>
      <c r="G545" s="971">
        <f t="shared" si="55"/>
        <v>0</v>
      </c>
      <c r="H545" s="971"/>
      <c r="I545" s="971"/>
      <c r="J545" s="971"/>
      <c r="K545" s="971"/>
      <c r="L545" s="971"/>
      <c r="M545" s="971"/>
      <c r="N545" s="971"/>
      <c r="O545" s="971"/>
      <c r="P545" s="1353"/>
      <c r="Q545" s="1353"/>
      <c r="R545" s="1353"/>
      <c r="S545" s="971"/>
      <c r="T545" s="971"/>
      <c r="U545" s="1398"/>
      <c r="V545" s="971"/>
      <c r="W545" s="971"/>
      <c r="X545" s="971"/>
      <c r="Y545" s="1353"/>
      <c r="Z545" s="1353"/>
      <c r="AA545" s="971"/>
      <c r="AB545" s="971"/>
      <c r="AC545" s="971"/>
      <c r="AD545" s="971"/>
    </row>
    <row r="546" spans="1:30" s="1355" customFormat="1" ht="15.75" customHeight="1" outlineLevel="1">
      <c r="A546" s="1442" t="str">
        <f t="shared" si="57"/>
        <v>Стойка каркаса по фронтону, 1 этаж, двускатная кровля, №16</v>
      </c>
      <c r="B546" s="920" t="str">
        <f t="shared" si="57"/>
        <v>м.п.</v>
      </c>
      <c r="C546" s="1442">
        <f t="shared" si="57"/>
        <v>0.4</v>
      </c>
      <c r="D546" s="1442">
        <f t="shared" si="57"/>
        <v>0.05</v>
      </c>
      <c r="E546" s="1442">
        <f>IF('Ввод данных'!$A$369=связи1!$A$97,IF(дома!E545&lt;связи1!$E$553,0,дома!E545-$E$419),0)+IF(дома!E545&lt;=0,0,IF('Ввод данных'!$A$369=связи1!$A$94,IF(дома!E545&lt;0,0,дома!E545-$E$419),0))</f>
        <v>0</v>
      </c>
      <c r="F546" s="1442">
        <f t="shared" si="56"/>
        <v>2</v>
      </c>
      <c r="G546" s="971">
        <f t="shared" si="55"/>
        <v>0</v>
      </c>
      <c r="H546" s="971"/>
      <c r="I546" s="971"/>
      <c r="J546" s="971"/>
      <c r="K546" s="971"/>
      <c r="L546" s="971"/>
      <c r="M546" s="971"/>
      <c r="N546" s="971"/>
      <c r="O546" s="971"/>
      <c r="P546" s="1353"/>
      <c r="Q546" s="1353"/>
      <c r="R546" s="1353"/>
      <c r="S546" s="971"/>
      <c r="T546" s="971"/>
      <c r="U546" s="1398"/>
      <c r="V546" s="971"/>
      <c r="W546" s="971"/>
      <c r="X546" s="971"/>
      <c r="Y546" s="1353"/>
      <c r="Z546" s="1353"/>
      <c r="AA546" s="971"/>
      <c r="AB546" s="971"/>
      <c r="AC546" s="971"/>
      <c r="AD546" s="971"/>
    </row>
    <row r="547" spans="1:30" s="1355" customFormat="1" ht="15.75" customHeight="1" outlineLevel="1">
      <c r="A547" s="1442" t="str">
        <f t="shared" si="57"/>
        <v>Стойка каркаса по фронтону, 1 этаж, двускатная кровля, №17</v>
      </c>
      <c r="B547" s="920" t="str">
        <f t="shared" si="57"/>
        <v>м.п.</v>
      </c>
      <c r="C547" s="1442">
        <f t="shared" si="57"/>
        <v>0.4</v>
      </c>
      <c r="D547" s="1442">
        <f t="shared" si="57"/>
        <v>0.05</v>
      </c>
      <c r="E547" s="1442">
        <f>IF('Ввод данных'!$A$369=связи1!$A$97,IF(дома!E546&lt;связи1!$E$553,0,дома!E546-$E$419),0)+IF(дома!E546&lt;=0,0,IF('Ввод данных'!$A$369=связи1!$A$94,IF(дома!E546&lt;0,0,дома!E546-$E$419),0))</f>
        <v>0</v>
      </c>
      <c r="F547" s="1442">
        <f t="shared" si="56"/>
        <v>2</v>
      </c>
      <c r="G547" s="971">
        <f t="shared" si="55"/>
        <v>0</v>
      </c>
      <c r="H547" s="971"/>
      <c r="I547" s="971"/>
      <c r="J547" s="971"/>
      <c r="K547" s="971"/>
      <c r="L547" s="971"/>
      <c r="M547" s="971"/>
      <c r="N547" s="971"/>
      <c r="O547" s="971"/>
      <c r="P547" s="1353"/>
      <c r="Q547" s="1353"/>
      <c r="R547" s="1353"/>
      <c r="S547" s="971"/>
      <c r="T547" s="971"/>
      <c r="U547" s="1398"/>
      <c r="V547" s="971"/>
      <c r="W547" s="971"/>
      <c r="X547" s="971"/>
      <c r="Y547" s="1353"/>
      <c r="Z547" s="1353"/>
      <c r="AA547" s="971"/>
      <c r="AB547" s="971"/>
      <c r="AC547" s="971"/>
      <c r="AD547" s="971"/>
    </row>
    <row r="548" spans="1:30" s="1355" customFormat="1" ht="15.75" customHeight="1" outlineLevel="1">
      <c r="A548" s="1442"/>
      <c r="B548" s="1445"/>
      <c r="C548" s="920"/>
      <c r="D548" s="971"/>
      <c r="E548" s="971"/>
      <c r="F548" s="1063"/>
      <c r="G548" s="971">
        <f t="shared" si="55"/>
        <v>0</v>
      </c>
      <c r="H548" s="971"/>
      <c r="I548" s="971"/>
      <c r="J548" s="971"/>
      <c r="K548" s="971"/>
      <c r="L548" s="971"/>
      <c r="M548" s="971"/>
      <c r="N548" s="971"/>
      <c r="O548" s="971"/>
      <c r="P548" s="1353"/>
      <c r="Q548" s="1353"/>
      <c r="R548" s="1353"/>
      <c r="S548" s="971"/>
      <c r="T548" s="971"/>
      <c r="U548" s="1398"/>
      <c r="V548" s="971"/>
      <c r="W548" s="971"/>
      <c r="X548" s="971"/>
      <c r="Y548" s="1353"/>
      <c r="Z548" s="1353"/>
      <c r="AA548" s="971"/>
      <c r="AB548" s="971"/>
      <c r="AC548" s="971"/>
      <c r="AD548" s="971"/>
    </row>
    <row r="549" spans="1:30" s="1355" customFormat="1" ht="15.75" customHeight="1" outlineLevel="1">
      <c r="A549" s="1447" t="s">
        <v>3221</v>
      </c>
      <c r="B549" s="1449" t="str">
        <f>B507</f>
        <v>ед.изм</v>
      </c>
      <c r="C549" s="1447" t="str">
        <f>C507</f>
        <v>ширина</v>
      </c>
      <c r="D549" s="1447" t="str">
        <f>D507</f>
        <v>толщина</v>
      </c>
      <c r="E549" s="1447" t="str">
        <f>E507</f>
        <v>высота</v>
      </c>
      <c r="F549" s="1447" t="str">
        <f>F507</f>
        <v>кол-во</v>
      </c>
      <c r="G549" s="971"/>
      <c r="H549" s="971"/>
      <c r="I549" s="971"/>
      <c r="J549" s="971"/>
      <c r="K549" s="971"/>
      <c r="L549" s="971"/>
      <c r="M549" s="971"/>
      <c r="N549" s="971"/>
      <c r="O549" s="971"/>
      <c r="P549" s="1353"/>
      <c r="Q549" s="1353"/>
      <c r="R549" s="1353"/>
      <c r="S549" s="971"/>
      <c r="T549" s="971"/>
      <c r="U549" s="1398"/>
      <c r="V549" s="971"/>
      <c r="W549" s="971"/>
      <c r="X549" s="971"/>
      <c r="Y549" s="1353"/>
      <c r="Z549" s="1353"/>
      <c r="AA549" s="971"/>
      <c r="AB549" s="971"/>
      <c r="AC549" s="971"/>
      <c r="AD549" s="971"/>
    </row>
    <row r="550" spans="1:30" s="1355" customFormat="1" ht="15.75" customHeight="1" outlineLevel="1">
      <c r="A550" s="1442" t="str">
        <f t="shared" ref="A550:D569" si="58">A424</f>
        <v>Стойки каркаса передней стены 1 эт</v>
      </c>
      <c r="B550" s="920" t="str">
        <f t="shared" si="58"/>
        <v>м.п.</v>
      </c>
      <c r="C550" s="1442">
        <f t="shared" si="58"/>
        <v>0.4</v>
      </c>
      <c r="D550" s="1442">
        <f t="shared" si="58"/>
        <v>0.05</v>
      </c>
      <c r="E550" s="1442">
        <f>связи1!F553</f>
        <v>3</v>
      </c>
      <c r="F550" s="1442">
        <f>L411</f>
        <v>0</v>
      </c>
      <c r="G550" s="971">
        <f t="shared" ref="G550:G589" si="59">C550*D550*E550*F550</f>
        <v>0</v>
      </c>
      <c r="H550" s="971"/>
      <c r="I550" s="971"/>
      <c r="J550" s="971"/>
      <c r="K550" s="971"/>
      <c r="L550" s="971"/>
      <c r="M550" s="971"/>
      <c r="N550" s="971"/>
      <c r="O550" s="971"/>
      <c r="P550" s="1353"/>
      <c r="Q550" s="1353"/>
      <c r="R550" s="1353"/>
      <c r="S550" s="971"/>
      <c r="T550" s="971"/>
      <c r="U550" s="1398"/>
      <c r="V550" s="971"/>
      <c r="W550" s="971"/>
      <c r="X550" s="971"/>
      <c r="Y550" s="1353"/>
      <c r="Z550" s="1353"/>
      <c r="AA550" s="971"/>
      <c r="AB550" s="971"/>
      <c r="AC550" s="971"/>
      <c r="AD550" s="971"/>
    </row>
    <row r="551" spans="1:30" s="1355" customFormat="1" ht="15.75" customHeight="1" outlineLevel="1">
      <c r="A551" s="1442" t="str">
        <f t="shared" si="58"/>
        <v>Стойки каркаса, левая сторона 1 эт</v>
      </c>
      <c r="B551" s="920" t="str">
        <f t="shared" si="58"/>
        <v>м.п.</v>
      </c>
      <c r="C551" s="1442">
        <f t="shared" si="58"/>
        <v>0.4</v>
      </c>
      <c r="D551" s="1442">
        <f t="shared" si="58"/>
        <v>0.05</v>
      </c>
      <c r="E551" s="1442">
        <f>$E$412*IF('Ввод данных'!A373=связи1!A97,IF('Ввод данных'!A372=связи1!A106,0,1),1)</f>
        <v>3</v>
      </c>
      <c r="F551" s="1442">
        <f>L412</f>
        <v>0</v>
      </c>
      <c r="G551" s="971">
        <f t="shared" si="59"/>
        <v>0</v>
      </c>
      <c r="H551" s="971"/>
      <c r="I551" s="971"/>
      <c r="J551" s="971"/>
      <c r="K551" s="971"/>
      <c r="L551" s="971"/>
      <c r="M551" s="971"/>
      <c r="N551" s="971"/>
      <c r="O551" s="971"/>
      <c r="P551" s="1353"/>
      <c r="Q551" s="1353"/>
      <c r="R551" s="1353"/>
      <c r="S551" s="971"/>
      <c r="T551" s="971"/>
      <c r="U551" s="1398"/>
      <c r="V551" s="971"/>
      <c r="W551" s="971"/>
      <c r="X551" s="971"/>
      <c r="Y551" s="1353"/>
      <c r="Z551" s="1353"/>
      <c r="AA551" s="971"/>
      <c r="AB551" s="971"/>
      <c r="AC551" s="971"/>
      <c r="AD551" s="971"/>
    </row>
    <row r="552" spans="1:30" s="1355" customFormat="1" ht="15.75" customHeight="1" outlineLevel="1">
      <c r="A552" s="1442" t="str">
        <f t="shared" si="58"/>
        <v>Стойки каркаса, правая сторона, 1 эт</v>
      </c>
      <c r="B552" s="920" t="str">
        <f t="shared" si="58"/>
        <v>м.п.</v>
      </c>
      <c r="C552" s="1442">
        <f t="shared" si="58"/>
        <v>0.4</v>
      </c>
      <c r="D552" s="1442">
        <f t="shared" si="58"/>
        <v>0.05</v>
      </c>
      <c r="E552" s="1442">
        <f>$E$413*IF('Ввод данных'!A373=связи1!A97,IF('Ввод данных'!A372=связи1!A106,0,1),1)</f>
        <v>3</v>
      </c>
      <c r="F552" s="1442">
        <f>L413</f>
        <v>0</v>
      </c>
      <c r="G552" s="971">
        <f t="shared" si="59"/>
        <v>0</v>
      </c>
      <c r="H552" s="971"/>
      <c r="I552" s="971"/>
      <c r="J552" s="971"/>
      <c r="K552" s="971"/>
      <c r="L552" s="971"/>
      <c r="M552" s="971"/>
      <c r="N552" s="971"/>
      <c r="O552" s="971"/>
      <c r="P552" s="1353"/>
      <c r="Q552" s="1353"/>
      <c r="R552" s="1353"/>
      <c r="S552" s="971"/>
      <c r="T552" s="971"/>
      <c r="U552" s="1398"/>
      <c r="V552" s="971"/>
      <c r="W552" s="971"/>
      <c r="X552" s="971"/>
      <c r="Y552" s="1353"/>
      <c r="Z552" s="1353"/>
      <c r="AA552" s="971"/>
      <c r="AB552" s="971"/>
      <c r="AC552" s="971"/>
      <c r="AD552" s="971"/>
    </row>
    <row r="553" spans="1:30" s="1355" customFormat="1" ht="15.75" customHeight="1" outlineLevel="1">
      <c r="A553" s="1442" t="str">
        <f t="shared" si="58"/>
        <v>Обвязка каркаса верхняя/нижняя наружние стены 1 эт</v>
      </c>
      <c r="B553" s="920" t="str">
        <f t="shared" si="58"/>
        <v>м.п.</v>
      </c>
      <c r="C553" s="1442">
        <f t="shared" si="58"/>
        <v>0.4</v>
      </c>
      <c r="D553" s="1442">
        <f t="shared" si="58"/>
        <v>0.05</v>
      </c>
      <c r="E553" s="1442"/>
      <c r="F553" s="1442">
        <f>P414+Q414</f>
        <v>0</v>
      </c>
      <c r="G553" s="971">
        <f t="shared" si="59"/>
        <v>0</v>
      </c>
      <c r="H553" s="971"/>
      <c r="I553" s="971"/>
      <c r="J553" s="971"/>
      <c r="K553" s="971"/>
      <c r="L553" s="971"/>
      <c r="M553" s="971"/>
      <c r="N553" s="971"/>
      <c r="O553" s="971"/>
      <c r="P553" s="1353"/>
      <c r="Q553" s="1353"/>
      <c r="R553" s="1353"/>
      <c r="S553" s="971"/>
      <c r="T553" s="971"/>
      <c r="U553" s="1398"/>
      <c r="V553" s="971"/>
      <c r="W553" s="971"/>
      <c r="X553" s="971"/>
      <c r="Y553" s="1353"/>
      <c r="Z553" s="1353"/>
      <c r="AA553" s="971"/>
      <c r="AB553" s="971"/>
      <c r="AC553" s="971"/>
      <c r="AD553" s="971"/>
    </row>
    <row r="554" spans="1:30" s="1355" customFormat="1" ht="15.75" customHeight="1" outlineLevel="1">
      <c r="A554" s="1442" t="str">
        <f t="shared" si="58"/>
        <v>Ригель каркаса наружние стены 1 эт</v>
      </c>
      <c r="B554" s="920" t="str">
        <f t="shared" si="58"/>
        <v>м.п.</v>
      </c>
      <c r="C554" s="1442">
        <f t="shared" si="58"/>
        <v>0.4</v>
      </c>
      <c r="D554" s="1442">
        <f t="shared" si="58"/>
        <v>0.05</v>
      </c>
      <c r="E554" s="1442"/>
      <c r="F554" s="1442">
        <f>R414</f>
        <v>0</v>
      </c>
      <c r="G554" s="971">
        <f t="shared" si="59"/>
        <v>0</v>
      </c>
      <c r="H554" s="971"/>
      <c r="I554" s="971"/>
      <c r="J554" s="971"/>
      <c r="K554" s="971"/>
      <c r="L554" s="971"/>
      <c r="M554" s="971"/>
      <c r="N554" s="971"/>
      <c r="O554" s="971"/>
      <c r="P554" s="1353"/>
      <c r="Q554" s="1353"/>
      <c r="R554" s="1353"/>
      <c r="S554" s="971"/>
      <c r="T554" s="971"/>
      <c r="U554" s="1398"/>
      <c r="V554" s="971"/>
      <c r="W554" s="971"/>
      <c r="X554" s="971"/>
      <c r="Y554" s="1353"/>
      <c r="Z554" s="1353"/>
      <c r="AA554" s="971"/>
      <c r="AB554" s="971"/>
      <c r="AC554" s="971"/>
      <c r="AD554" s="971"/>
    </row>
    <row r="555" spans="1:30" s="1355" customFormat="1" ht="15.75" customHeight="1" outlineLevel="1">
      <c r="A555" s="1442" t="str">
        <f t="shared" si="58"/>
        <v>Укосина наружних стен, усиление 1 этаж</v>
      </c>
      <c r="B555" s="920" t="str">
        <f t="shared" si="58"/>
        <v>м.п.</v>
      </c>
      <c r="C555" s="1442">
        <f t="shared" si="58"/>
        <v>0.4</v>
      </c>
      <c r="D555" s="1442">
        <f t="shared" si="58"/>
        <v>0.05</v>
      </c>
      <c r="E555" s="1442">
        <f>1.5*VLOOKUP('Ввод данных'!F416,связи1!A2:B3,2,0)*связи1!F550</f>
        <v>0</v>
      </c>
      <c r="F555" s="1442">
        <v>8</v>
      </c>
      <c r="G555" s="971">
        <f t="shared" si="59"/>
        <v>0</v>
      </c>
      <c r="H555" s="971"/>
      <c r="I555" s="971"/>
      <c r="J555" s="971"/>
      <c r="K555" s="971"/>
      <c r="L555" s="971"/>
      <c r="M555" s="971"/>
      <c r="N555" s="971"/>
      <c r="O555" s="971"/>
      <c r="P555" s="1353"/>
      <c r="Q555" s="1353"/>
      <c r="R555" s="1353"/>
      <c r="S555" s="971"/>
      <c r="T555" s="971"/>
      <c r="U555" s="1398"/>
      <c r="V555" s="971"/>
      <c r="W555" s="971"/>
      <c r="X555" s="971"/>
      <c r="Y555" s="1353"/>
      <c r="Z555" s="1353"/>
      <c r="AA555" s="971"/>
      <c r="AB555" s="971"/>
      <c r="AC555" s="971"/>
      <c r="AD555" s="971"/>
    </row>
    <row r="556" spans="1:30" s="1355" customFormat="1" ht="15.75" customHeight="1" outlineLevel="1">
      <c r="A556" s="1442" t="str">
        <f t="shared" si="58"/>
        <v>Стойка каркаса по фронтону, 1 этаж, односкатная кровля, №1</v>
      </c>
      <c r="B556" s="920" t="str">
        <f t="shared" si="58"/>
        <v>м.п.</v>
      </c>
      <c r="C556" s="1442">
        <f t="shared" si="58"/>
        <v>0.4</v>
      </c>
      <c r="D556" s="1442">
        <f t="shared" si="58"/>
        <v>0.05</v>
      </c>
      <c r="E556" s="1442">
        <f>IF('Ввод данных'!A372=связи1!A106,IF('Ввод данных'!A373=связи1!A94,связи1!F554-связи1!F553,0)+IF('Ввод данных'!A373=связи1!A95,0,0)+IF('Ввод данных'!A373=связи1!A96,0,0)+IF('Ввод данных'!A373=связи1!A97,связи1!F554,0)+IF('Ввод данных'!A373=связи1!A98,0,0),0)</f>
        <v>0</v>
      </c>
      <c r="F556" s="1442">
        <f t="shared" ref="F556:F589" si="60">F430</f>
        <v>2</v>
      </c>
      <c r="G556" s="971">
        <f t="shared" si="59"/>
        <v>0</v>
      </c>
      <c r="H556" s="971"/>
      <c r="I556" s="971"/>
      <c r="J556" s="971"/>
      <c r="K556" s="971"/>
      <c r="L556" s="971"/>
      <c r="M556" s="971"/>
      <c r="N556" s="971"/>
      <c r="O556" s="971"/>
      <c r="P556" s="1353"/>
      <c r="Q556" s="1353"/>
      <c r="R556" s="1353"/>
      <c r="S556" s="971"/>
      <c r="T556" s="971"/>
      <c r="U556" s="1398"/>
      <c r="V556" s="971"/>
      <c r="W556" s="971"/>
      <c r="X556" s="971"/>
      <c r="Y556" s="1353"/>
      <c r="Z556" s="1353"/>
      <c r="AA556" s="971"/>
      <c r="AB556" s="971"/>
      <c r="AC556" s="971"/>
      <c r="AD556" s="971"/>
    </row>
    <row r="557" spans="1:30" s="1355" customFormat="1" ht="15.75" customHeight="1" outlineLevel="1">
      <c r="A557" s="1442" t="str">
        <f t="shared" si="58"/>
        <v>Стойка каркаса по фронтону, 1 этаж, односкатная кровля, №2</v>
      </c>
      <c r="B557" s="920" t="str">
        <f t="shared" si="58"/>
        <v>м.п.</v>
      </c>
      <c r="C557" s="1442">
        <f t="shared" si="58"/>
        <v>0.4</v>
      </c>
      <c r="D557" s="1442">
        <f t="shared" si="58"/>
        <v>0.05</v>
      </c>
      <c r="E557" s="1442">
        <f>IF('Ввод данных'!$A$373=связи1!$A$97,IF(дома!E556&lt;связи1!$F$553,0,дома!E556-$F$419),0)+IF(дома!E556=0,0,IF('Ввод данных'!$A$373=связи1!$A$94,IF(дома!E556&lt;0,0,дома!E556-$F$419),0))</f>
        <v>0</v>
      </c>
      <c r="F557" s="1442">
        <f t="shared" si="60"/>
        <v>2</v>
      </c>
      <c r="G557" s="971">
        <f t="shared" si="59"/>
        <v>0</v>
      </c>
      <c r="H557" s="971"/>
      <c r="I557" s="971"/>
      <c r="J557" s="971"/>
      <c r="K557" s="971"/>
      <c r="L557" s="971"/>
      <c r="M557" s="971"/>
      <c r="N557" s="971"/>
      <c r="O557" s="971"/>
      <c r="P557" s="1353"/>
      <c r="Q557" s="1353"/>
      <c r="R557" s="1353"/>
      <c r="S557" s="971"/>
      <c r="T557" s="971"/>
      <c r="U557" s="1398"/>
      <c r="V557" s="971"/>
      <c r="W557" s="971"/>
      <c r="X557" s="971"/>
      <c r="Y557" s="1353"/>
      <c r="Z557" s="1353"/>
      <c r="AA557" s="971"/>
      <c r="AB557" s="971"/>
      <c r="AC557" s="971"/>
      <c r="AD557" s="971"/>
    </row>
    <row r="558" spans="1:30" s="1355" customFormat="1" ht="15.75" customHeight="1" outlineLevel="1">
      <c r="A558" s="1442" t="str">
        <f t="shared" si="58"/>
        <v>Стойка каркаса по фронтону, 1 этаж, односкатная кровля, №3</v>
      </c>
      <c r="B558" s="920" t="str">
        <f t="shared" si="58"/>
        <v>м.п.</v>
      </c>
      <c r="C558" s="1442">
        <f t="shared" si="58"/>
        <v>0.4</v>
      </c>
      <c r="D558" s="1442">
        <f t="shared" si="58"/>
        <v>0.05</v>
      </c>
      <c r="E558" s="1442">
        <f>IF('Ввод данных'!$A$373=связи1!$A$97,IF(дома!E557&lt;связи1!$F$553,0,дома!E557-$F$419),0)+IF(дома!E557=0,0,IF('Ввод данных'!$A$373=связи1!$A$94,IF(дома!E557&lt;0,0,дома!E557-$F$419),0))</f>
        <v>0</v>
      </c>
      <c r="F558" s="1442">
        <f t="shared" si="60"/>
        <v>2</v>
      </c>
      <c r="G558" s="971">
        <f t="shared" si="59"/>
        <v>0</v>
      </c>
      <c r="H558" s="971"/>
      <c r="I558" s="971"/>
      <c r="J558" s="971"/>
      <c r="K558" s="971"/>
      <c r="L558" s="971"/>
      <c r="M558" s="971"/>
      <c r="N558" s="971"/>
      <c r="O558" s="971"/>
      <c r="P558" s="1353"/>
      <c r="Q558" s="1353"/>
      <c r="R558" s="1353"/>
      <c r="S558" s="971"/>
      <c r="T558" s="971"/>
      <c r="U558" s="1398"/>
      <c r="V558" s="971"/>
      <c r="W558" s="971"/>
      <c r="X558" s="971"/>
      <c r="Y558" s="1353"/>
      <c r="Z558" s="1353"/>
      <c r="AA558" s="971"/>
      <c r="AB558" s="971"/>
      <c r="AC558" s="971"/>
      <c r="AD558" s="971"/>
    </row>
    <row r="559" spans="1:30" s="1355" customFormat="1" ht="15.75" customHeight="1" outlineLevel="1">
      <c r="A559" s="1442" t="str">
        <f t="shared" si="58"/>
        <v>Стойка каркаса по фронтону, 1 этаж, односкатная кровля, №4</v>
      </c>
      <c r="B559" s="920" t="str">
        <f t="shared" si="58"/>
        <v>м.п.</v>
      </c>
      <c r="C559" s="1442">
        <f t="shared" si="58"/>
        <v>0.4</v>
      </c>
      <c r="D559" s="1442">
        <f t="shared" si="58"/>
        <v>0.05</v>
      </c>
      <c r="E559" s="1442">
        <f>IF('Ввод данных'!$A$373=связи1!$A$97,IF(дома!E558&lt;связи1!$F$553,0,дома!E558-$F$419),0)+IF(дома!E558=0,0,IF('Ввод данных'!$A$373=связи1!$A$94,IF(дома!E558&lt;0,0,дома!E558-$F$419),0))</f>
        <v>0</v>
      </c>
      <c r="F559" s="1442">
        <f t="shared" si="60"/>
        <v>2</v>
      </c>
      <c r="G559" s="971">
        <f t="shared" si="59"/>
        <v>0</v>
      </c>
      <c r="H559" s="971"/>
      <c r="I559" s="971"/>
      <c r="J559" s="971"/>
      <c r="K559" s="971"/>
      <c r="L559" s="971"/>
      <c r="M559" s="971"/>
      <c r="N559" s="971"/>
      <c r="O559" s="971"/>
      <c r="P559" s="1353"/>
      <c r="Q559" s="1353"/>
      <c r="R559" s="1353"/>
      <c r="S559" s="971"/>
      <c r="T559" s="971"/>
      <c r="U559" s="1398"/>
      <c r="V559" s="971"/>
      <c r="W559" s="971"/>
      <c r="X559" s="971"/>
      <c r="Y559" s="1353"/>
      <c r="Z559" s="1353"/>
      <c r="AA559" s="971"/>
      <c r="AB559" s="971"/>
      <c r="AC559" s="971"/>
      <c r="AD559" s="971"/>
    </row>
    <row r="560" spans="1:30" s="1355" customFormat="1" ht="15.75" customHeight="1" outlineLevel="1">
      <c r="A560" s="1442" t="str">
        <f t="shared" si="58"/>
        <v>Стойка каркаса по фронтону, 1 этаж, односкатная кровля, №5</v>
      </c>
      <c r="B560" s="920" t="str">
        <f t="shared" si="58"/>
        <v>м.п.</v>
      </c>
      <c r="C560" s="1442">
        <f t="shared" si="58"/>
        <v>0.4</v>
      </c>
      <c r="D560" s="1442">
        <f t="shared" si="58"/>
        <v>0.05</v>
      </c>
      <c r="E560" s="1442">
        <f>IF('Ввод данных'!$A$373=связи1!$A$97,IF(дома!E559&lt;связи1!$F$553,0,дома!E559-$F$419),0)+IF(дома!E559=0,0,IF('Ввод данных'!$A$373=связи1!$A$94,IF(дома!E559&lt;0,0,дома!E559-$F$419),0))</f>
        <v>0</v>
      </c>
      <c r="F560" s="1442">
        <f t="shared" si="60"/>
        <v>2</v>
      </c>
      <c r="G560" s="971">
        <f t="shared" si="59"/>
        <v>0</v>
      </c>
      <c r="H560" s="971"/>
      <c r="I560" s="971"/>
      <c r="J560" s="971"/>
      <c r="K560" s="971"/>
      <c r="L560" s="971"/>
      <c r="M560" s="971"/>
      <c r="N560" s="971"/>
      <c r="O560" s="971"/>
      <c r="P560" s="1353"/>
      <c r="Q560" s="1353"/>
      <c r="R560" s="1353"/>
      <c r="S560" s="971"/>
      <c r="T560" s="971"/>
      <c r="U560" s="1398"/>
      <c r="V560" s="971"/>
      <c r="W560" s="971"/>
      <c r="X560" s="971"/>
      <c r="Y560" s="1353"/>
      <c r="Z560" s="1353"/>
      <c r="AA560" s="971"/>
      <c r="AB560" s="971"/>
      <c r="AC560" s="971"/>
      <c r="AD560" s="971"/>
    </row>
    <row r="561" spans="1:30" s="1355" customFormat="1" ht="15.75" customHeight="1" outlineLevel="1">
      <c r="A561" s="1442" t="str">
        <f t="shared" si="58"/>
        <v>Стойка каркаса по фронтону, 1 этаж, односкатная кровля, №6</v>
      </c>
      <c r="B561" s="920" t="str">
        <f t="shared" si="58"/>
        <v>м.п.</v>
      </c>
      <c r="C561" s="1442">
        <f t="shared" si="58"/>
        <v>0.4</v>
      </c>
      <c r="D561" s="1442">
        <f t="shared" si="58"/>
        <v>0.05</v>
      </c>
      <c r="E561" s="1442">
        <f>IF('Ввод данных'!$A$373=связи1!$A$97,IF(дома!E560&lt;связи1!$F$553,0,дома!E560-$F$419),0)+IF(дома!E560=0,0,IF('Ввод данных'!$A$373=связи1!$A$94,IF(дома!E560&lt;0,0,дома!E560-$F$419),0))</f>
        <v>0</v>
      </c>
      <c r="F561" s="1442">
        <f t="shared" si="60"/>
        <v>2</v>
      </c>
      <c r="G561" s="971">
        <f t="shared" si="59"/>
        <v>0</v>
      </c>
      <c r="H561" s="971"/>
      <c r="I561" s="971"/>
      <c r="J561" s="971"/>
      <c r="K561" s="971"/>
      <c r="L561" s="971"/>
      <c r="M561" s="971"/>
      <c r="N561" s="971"/>
      <c r="O561" s="971"/>
      <c r="P561" s="1353"/>
      <c r="Q561" s="1353"/>
      <c r="R561" s="1353"/>
      <c r="S561" s="971"/>
      <c r="T561" s="971"/>
      <c r="U561" s="1398"/>
      <c r="V561" s="971"/>
      <c r="W561" s="971"/>
      <c r="X561" s="971"/>
      <c r="Y561" s="1353"/>
      <c r="Z561" s="1353"/>
      <c r="AA561" s="971"/>
      <c r="AB561" s="971"/>
      <c r="AC561" s="971"/>
      <c r="AD561" s="971"/>
    </row>
    <row r="562" spans="1:30" s="1355" customFormat="1" ht="15.75" customHeight="1" outlineLevel="1">
      <c r="A562" s="1442" t="str">
        <f t="shared" si="58"/>
        <v>Стойка каркаса по фронтону, 1 этаж, односкатная кровля, №7</v>
      </c>
      <c r="B562" s="920" t="str">
        <f t="shared" si="58"/>
        <v>м.п.</v>
      </c>
      <c r="C562" s="1442">
        <f t="shared" si="58"/>
        <v>0.4</v>
      </c>
      <c r="D562" s="1442">
        <f t="shared" si="58"/>
        <v>0.05</v>
      </c>
      <c r="E562" s="1442">
        <f>IF('Ввод данных'!$A$373=связи1!$A$97,IF(дома!E561&lt;связи1!$F$553,0,дома!E561-$F$419),0)+IF(дома!E561=0,0,IF('Ввод данных'!$A$373=связи1!$A$94,IF(дома!E561&lt;0,0,дома!E561-$F$419),0))</f>
        <v>0</v>
      </c>
      <c r="F562" s="1442">
        <f t="shared" si="60"/>
        <v>2</v>
      </c>
      <c r="G562" s="971">
        <f t="shared" si="59"/>
        <v>0</v>
      </c>
      <c r="H562" s="971"/>
      <c r="I562" s="971"/>
      <c r="J562" s="971"/>
      <c r="K562" s="971"/>
      <c r="L562" s="971"/>
      <c r="M562" s="971"/>
      <c r="N562" s="971"/>
      <c r="O562" s="971"/>
      <c r="P562" s="1353"/>
      <c r="Q562" s="1353"/>
      <c r="R562" s="1353"/>
      <c r="S562" s="971"/>
      <c r="T562" s="971"/>
      <c r="U562" s="1398"/>
      <c r="V562" s="971"/>
      <c r="W562" s="971"/>
      <c r="X562" s="971"/>
      <c r="Y562" s="1353"/>
      <c r="Z562" s="1353"/>
      <c r="AA562" s="971"/>
      <c r="AB562" s="971"/>
      <c r="AC562" s="971"/>
      <c r="AD562" s="971"/>
    </row>
    <row r="563" spans="1:30" s="1355" customFormat="1" ht="15.75" customHeight="1" outlineLevel="1">
      <c r="A563" s="1442" t="str">
        <f t="shared" si="58"/>
        <v>Стойка каркаса по фронтону, 1 этаж, односкатная кровля, №8</v>
      </c>
      <c r="B563" s="920" t="str">
        <f t="shared" si="58"/>
        <v>м.п.</v>
      </c>
      <c r="C563" s="1442">
        <f t="shared" si="58"/>
        <v>0.4</v>
      </c>
      <c r="D563" s="1442">
        <f t="shared" si="58"/>
        <v>0.05</v>
      </c>
      <c r="E563" s="1442">
        <f>IF('Ввод данных'!$A$373=связи1!$A$97,IF(дома!E562&lt;связи1!$F$553,0,дома!E562-$F$419),0)+IF(дома!E562=0,0,IF('Ввод данных'!$A$373=связи1!$A$94,IF(дома!E562&lt;0,0,дома!E562-$F$419),0))</f>
        <v>0</v>
      </c>
      <c r="F563" s="1442">
        <f t="shared" si="60"/>
        <v>2</v>
      </c>
      <c r="G563" s="971">
        <f t="shared" si="59"/>
        <v>0</v>
      </c>
      <c r="H563" s="971"/>
      <c r="I563" s="971"/>
      <c r="J563" s="971"/>
      <c r="K563" s="971"/>
      <c r="L563" s="971"/>
      <c r="M563" s="971"/>
      <c r="N563" s="971"/>
      <c r="O563" s="971"/>
      <c r="P563" s="1353"/>
      <c r="Q563" s="1353"/>
      <c r="R563" s="1353"/>
      <c r="S563" s="971"/>
      <c r="T563" s="971"/>
      <c r="U563" s="1398"/>
      <c r="V563" s="971"/>
      <c r="W563" s="971"/>
      <c r="X563" s="971"/>
      <c r="Y563" s="1353"/>
      <c r="Z563" s="1353"/>
      <c r="AA563" s="971"/>
      <c r="AB563" s="971"/>
      <c r="AC563" s="971"/>
      <c r="AD563" s="971"/>
    </row>
    <row r="564" spans="1:30" s="1355" customFormat="1" ht="15.75" customHeight="1" outlineLevel="1">
      <c r="A564" s="1442" t="str">
        <f t="shared" si="58"/>
        <v>Стойка каркаса по фронтону, 1 этаж, односкатная кровля, №9</v>
      </c>
      <c r="B564" s="920" t="str">
        <f t="shared" si="58"/>
        <v>м.п.</v>
      </c>
      <c r="C564" s="1442">
        <f t="shared" si="58"/>
        <v>0.4</v>
      </c>
      <c r="D564" s="1442">
        <f t="shared" si="58"/>
        <v>0.05</v>
      </c>
      <c r="E564" s="1442">
        <f>IF('Ввод данных'!$A$373=связи1!$A$97,IF(дома!E563&lt;связи1!$F$553,0,дома!E563-$F$419),0)+IF(дома!E563=0,0,IF('Ввод данных'!$A$373=связи1!$A$94,IF(дома!E563&lt;0,0,дома!E563-$F$419),0))</f>
        <v>0</v>
      </c>
      <c r="F564" s="1442">
        <f t="shared" si="60"/>
        <v>2</v>
      </c>
      <c r="G564" s="971">
        <f t="shared" si="59"/>
        <v>0</v>
      </c>
      <c r="H564" s="971"/>
      <c r="I564" s="971"/>
      <c r="J564" s="971"/>
      <c r="K564" s="971"/>
      <c r="L564" s="971"/>
      <c r="M564" s="971"/>
      <c r="N564" s="971"/>
      <c r="O564" s="971"/>
      <c r="P564" s="1353"/>
      <c r="Q564" s="1353"/>
      <c r="R564" s="1353"/>
      <c r="S564" s="971"/>
      <c r="T564" s="971"/>
      <c r="U564" s="1398"/>
      <c r="V564" s="971"/>
      <c r="W564" s="971"/>
      <c r="X564" s="971"/>
      <c r="Y564" s="1353"/>
      <c r="Z564" s="1353"/>
      <c r="AA564" s="971"/>
      <c r="AB564" s="971"/>
      <c r="AC564" s="971"/>
      <c r="AD564" s="971"/>
    </row>
    <row r="565" spans="1:30" s="1355" customFormat="1" ht="15.75" customHeight="1" outlineLevel="1">
      <c r="A565" s="1442" t="str">
        <f t="shared" si="58"/>
        <v>Стойка каркаса по фронтону, 1 этаж, односкатная кровля, №10</v>
      </c>
      <c r="B565" s="920" t="str">
        <f t="shared" si="58"/>
        <v>м.п.</v>
      </c>
      <c r="C565" s="1442">
        <f t="shared" si="58"/>
        <v>0.4</v>
      </c>
      <c r="D565" s="1442">
        <f t="shared" si="58"/>
        <v>0.05</v>
      </c>
      <c r="E565" s="1442">
        <f>IF('Ввод данных'!$A$373=связи1!$A$97,IF(дома!E564&lt;связи1!$F$553,0,дома!E564-$F$419),0)+IF(дома!E564=0,0,IF('Ввод данных'!$A$373=связи1!$A$94,IF(дома!E564&lt;0,0,дома!E564-$F$419),0))</f>
        <v>0</v>
      </c>
      <c r="F565" s="1442">
        <f t="shared" si="60"/>
        <v>2</v>
      </c>
      <c r="G565" s="971">
        <f t="shared" si="59"/>
        <v>0</v>
      </c>
      <c r="H565" s="971"/>
      <c r="I565" s="971"/>
      <c r="J565" s="971"/>
      <c r="K565" s="971"/>
      <c r="L565" s="971"/>
      <c r="M565" s="971"/>
      <c r="N565" s="971"/>
      <c r="O565" s="971"/>
      <c r="P565" s="1353"/>
      <c r="Q565" s="1353"/>
      <c r="R565" s="1353"/>
      <c r="S565" s="971"/>
      <c r="T565" s="971"/>
      <c r="U565" s="1398"/>
      <c r="V565" s="971"/>
      <c r="W565" s="971"/>
      <c r="X565" s="971"/>
      <c r="Y565" s="1353"/>
      <c r="Z565" s="1353"/>
      <c r="AA565" s="971"/>
      <c r="AB565" s="971"/>
      <c r="AC565" s="971"/>
      <c r="AD565" s="971"/>
    </row>
    <row r="566" spans="1:30" s="1355" customFormat="1" ht="15.75" customHeight="1" outlineLevel="1">
      <c r="A566" s="1442" t="str">
        <f t="shared" si="58"/>
        <v>Стойка каркаса по фронтону, 1 этаж, односкатная кровля, №11</v>
      </c>
      <c r="B566" s="920" t="str">
        <f t="shared" si="58"/>
        <v>м.п.</v>
      </c>
      <c r="C566" s="1442">
        <f t="shared" si="58"/>
        <v>0.4</v>
      </c>
      <c r="D566" s="1442">
        <f t="shared" si="58"/>
        <v>0.05</v>
      </c>
      <c r="E566" s="1442">
        <f>IF('Ввод данных'!$A$373=связи1!$A$97,IF(дома!E565&lt;связи1!$F$553,0,дома!E565-$F$419),0)+IF(дома!E565=0,0,IF('Ввод данных'!$A$373=связи1!$A$94,IF(дома!E565&lt;0,0,дома!E565-$F$419),0))</f>
        <v>0</v>
      </c>
      <c r="F566" s="1442">
        <f t="shared" si="60"/>
        <v>2</v>
      </c>
      <c r="G566" s="971">
        <f t="shared" si="59"/>
        <v>0</v>
      </c>
      <c r="H566" s="971"/>
      <c r="I566" s="971"/>
      <c r="J566" s="971"/>
      <c r="K566" s="971"/>
      <c r="L566" s="971"/>
      <c r="M566" s="971"/>
      <c r="N566" s="971"/>
      <c r="O566" s="971"/>
      <c r="P566" s="1353"/>
      <c r="Q566" s="1353"/>
      <c r="R566" s="1353"/>
      <c r="S566" s="971"/>
      <c r="T566" s="971"/>
      <c r="U566" s="1398"/>
      <c r="V566" s="971"/>
      <c r="W566" s="971"/>
      <c r="X566" s="971"/>
      <c r="Y566" s="1353"/>
      <c r="Z566" s="1353"/>
      <c r="AA566" s="971"/>
      <c r="AB566" s="971"/>
      <c r="AC566" s="971"/>
      <c r="AD566" s="971"/>
    </row>
    <row r="567" spans="1:30" s="1355" customFormat="1" ht="15.75" customHeight="1" outlineLevel="1">
      <c r="A567" s="1442" t="str">
        <f t="shared" si="58"/>
        <v>Стойка каркаса по фронтону, 1 этаж, односкатная кровля, №12</v>
      </c>
      <c r="B567" s="920" t="str">
        <f t="shared" si="58"/>
        <v>м.п.</v>
      </c>
      <c r="C567" s="1442">
        <f t="shared" si="58"/>
        <v>0.4</v>
      </c>
      <c r="D567" s="1442">
        <f t="shared" si="58"/>
        <v>0.05</v>
      </c>
      <c r="E567" s="1442">
        <f>IF('Ввод данных'!$A$373=связи1!$A$97,IF(дома!E566&lt;связи1!$F$553,0,дома!E566-$F$419),0)+IF(дома!E566=0,0,IF('Ввод данных'!$A$373=связи1!$A$94,IF(дома!E566&lt;0,0,дома!E566-$F$419),0))</f>
        <v>0</v>
      </c>
      <c r="F567" s="1442">
        <f t="shared" si="60"/>
        <v>2</v>
      </c>
      <c r="G567" s="971">
        <f t="shared" si="59"/>
        <v>0</v>
      </c>
      <c r="H567" s="971"/>
      <c r="I567" s="971"/>
      <c r="J567" s="971"/>
      <c r="K567" s="971"/>
      <c r="L567" s="971"/>
      <c r="M567" s="971"/>
      <c r="N567" s="971"/>
      <c r="O567" s="971"/>
      <c r="P567" s="1353"/>
      <c r="Q567" s="1353"/>
      <c r="R567" s="1353"/>
      <c r="S567" s="971"/>
      <c r="T567" s="971"/>
      <c r="U567" s="1398"/>
      <c r="V567" s="971"/>
      <c r="W567" s="971"/>
      <c r="X567" s="971"/>
      <c r="Y567" s="1353"/>
      <c r="Z567" s="1353"/>
      <c r="AA567" s="971"/>
      <c r="AB567" s="971"/>
      <c r="AC567" s="971"/>
      <c r="AD567" s="971"/>
    </row>
    <row r="568" spans="1:30" s="1355" customFormat="1" ht="15.75" customHeight="1" outlineLevel="1">
      <c r="A568" s="1442" t="str">
        <f t="shared" si="58"/>
        <v>Стойка каркаса по фронтону, 1 этаж, односкатная кровля, №13</v>
      </c>
      <c r="B568" s="920" t="str">
        <f t="shared" si="58"/>
        <v>м.п.</v>
      </c>
      <c r="C568" s="1442">
        <f t="shared" si="58"/>
        <v>0.4</v>
      </c>
      <c r="D568" s="1442">
        <f t="shared" si="58"/>
        <v>0.05</v>
      </c>
      <c r="E568" s="1442">
        <f>IF('Ввод данных'!$A$373=связи1!$A$97,IF(дома!E567&lt;связи1!$F$553,0,дома!E567-$F$419),0)+IF(дома!E567=0,0,IF('Ввод данных'!$A$373=связи1!$A$94,IF(дома!E567&lt;0,0,дома!E567-$F$419),0))</f>
        <v>0</v>
      </c>
      <c r="F568" s="1442">
        <f t="shared" si="60"/>
        <v>2</v>
      </c>
      <c r="G568" s="971">
        <f t="shared" si="59"/>
        <v>0</v>
      </c>
      <c r="H568" s="971"/>
      <c r="I568" s="971"/>
      <c r="J568" s="971"/>
      <c r="K568" s="971"/>
      <c r="L568" s="971"/>
      <c r="M568" s="971"/>
      <c r="N568" s="971"/>
      <c r="O568" s="971"/>
      <c r="P568" s="1353"/>
      <c r="Q568" s="1353"/>
      <c r="R568" s="1353"/>
      <c r="S568" s="971"/>
      <c r="T568" s="971"/>
      <c r="U568" s="1398"/>
      <c r="V568" s="971"/>
      <c r="W568" s="971"/>
      <c r="X568" s="971"/>
      <c r="Y568" s="1353"/>
      <c r="Z568" s="1353"/>
      <c r="AA568" s="971"/>
      <c r="AB568" s="971"/>
      <c r="AC568" s="971"/>
      <c r="AD568" s="971"/>
    </row>
    <row r="569" spans="1:30" s="1355" customFormat="1" ht="15.75" customHeight="1" outlineLevel="1">
      <c r="A569" s="1442" t="str">
        <f t="shared" si="58"/>
        <v>Стойка каркаса по фронтону, 1 этаж, односкатная кровля, №14</v>
      </c>
      <c r="B569" s="920" t="str">
        <f t="shared" si="58"/>
        <v>м.п.</v>
      </c>
      <c r="C569" s="1442">
        <f t="shared" si="58"/>
        <v>0.4</v>
      </c>
      <c r="D569" s="1442">
        <f t="shared" si="58"/>
        <v>0.05</v>
      </c>
      <c r="E569" s="1442">
        <f>IF('Ввод данных'!$A$373=связи1!$A$97,IF(дома!E568&lt;связи1!$F$553,0,дома!E568-$F$419),0)+IF(дома!E568=0,0,IF('Ввод данных'!$A$373=связи1!$A$94,IF(дома!E568&lt;0,0,дома!E568-$F$419),0))</f>
        <v>0</v>
      </c>
      <c r="F569" s="1442">
        <f t="shared" si="60"/>
        <v>2</v>
      </c>
      <c r="G569" s="971">
        <f t="shared" si="59"/>
        <v>0</v>
      </c>
      <c r="H569" s="971"/>
      <c r="I569" s="971"/>
      <c r="J569" s="971"/>
      <c r="K569" s="971"/>
      <c r="L569" s="971"/>
      <c r="M569" s="971"/>
      <c r="N569" s="971"/>
      <c r="O569" s="971"/>
      <c r="P569" s="1353"/>
      <c r="Q569" s="1353"/>
      <c r="R569" s="1353"/>
      <c r="S569" s="971"/>
      <c r="T569" s="971"/>
      <c r="U569" s="1398"/>
      <c r="V569" s="971"/>
      <c r="W569" s="971"/>
      <c r="X569" s="971"/>
      <c r="Y569" s="1353"/>
      <c r="Z569" s="1353"/>
      <c r="AA569" s="971"/>
      <c r="AB569" s="971"/>
      <c r="AC569" s="971"/>
      <c r="AD569" s="971"/>
    </row>
    <row r="570" spans="1:30" s="1355" customFormat="1" ht="15.75" customHeight="1" outlineLevel="1">
      <c r="A570" s="1442" t="str">
        <f t="shared" ref="A570:D589" si="61">A444</f>
        <v>Стойка каркаса по фронтону, 1 этаж, односкатная кровля, №15</v>
      </c>
      <c r="B570" s="920" t="str">
        <f t="shared" si="61"/>
        <v>м.п.</v>
      </c>
      <c r="C570" s="1442">
        <f t="shared" si="61"/>
        <v>0.4</v>
      </c>
      <c r="D570" s="1442">
        <f t="shared" si="61"/>
        <v>0.05</v>
      </c>
      <c r="E570" s="1442">
        <f>IF('Ввод данных'!$A$373=связи1!$A$97,IF(дома!E569&lt;связи1!$F$553,0,дома!E569-$F$419),0)+IF(дома!E569=0,0,IF('Ввод данных'!$A$373=связи1!$A$94,IF(дома!E569&lt;0,0,дома!E569-$F$419),0))</f>
        <v>0</v>
      </c>
      <c r="F570" s="1442">
        <f t="shared" si="60"/>
        <v>2</v>
      </c>
      <c r="G570" s="971">
        <f t="shared" si="59"/>
        <v>0</v>
      </c>
      <c r="H570" s="971"/>
      <c r="I570" s="971"/>
      <c r="J570" s="971"/>
      <c r="K570" s="971"/>
      <c r="L570" s="971"/>
      <c r="M570" s="971"/>
      <c r="N570" s="971"/>
      <c r="O570" s="971"/>
      <c r="P570" s="1353"/>
      <c r="Q570" s="1353"/>
      <c r="R570" s="1353"/>
      <c r="S570" s="971"/>
      <c r="T570" s="971"/>
      <c r="U570" s="1398"/>
      <c r="V570" s="971"/>
      <c r="W570" s="971"/>
      <c r="X570" s="971"/>
      <c r="Y570" s="1353"/>
      <c r="Z570" s="1353"/>
      <c r="AA570" s="971"/>
      <c r="AB570" s="971"/>
      <c r="AC570" s="971"/>
      <c r="AD570" s="971"/>
    </row>
    <row r="571" spans="1:30" s="1355" customFormat="1" ht="15.75" customHeight="1" outlineLevel="1">
      <c r="A571" s="1442" t="str">
        <f t="shared" si="61"/>
        <v>Стойка каркаса по фронтону, 1 этаж, односкатная кровля, №16</v>
      </c>
      <c r="B571" s="920" t="str">
        <f t="shared" si="61"/>
        <v>м.п.</v>
      </c>
      <c r="C571" s="1442">
        <f t="shared" si="61"/>
        <v>0.4</v>
      </c>
      <c r="D571" s="1442">
        <f t="shared" si="61"/>
        <v>0.05</v>
      </c>
      <c r="E571" s="1442">
        <f>IF('Ввод данных'!$A$373=связи1!$A$97,IF(дома!E570&lt;связи1!$F$553,0,дома!E570-$F$419),0)+IF(дома!E570=0,0,IF('Ввод данных'!$A$373=связи1!$A$94,IF(дома!E570&lt;0,0,дома!E570-$F$419),0))</f>
        <v>0</v>
      </c>
      <c r="F571" s="1442">
        <f t="shared" si="60"/>
        <v>2</v>
      </c>
      <c r="G571" s="971">
        <f t="shared" si="59"/>
        <v>0</v>
      </c>
      <c r="H571" s="971"/>
      <c r="I571" s="971"/>
      <c r="J571" s="971"/>
      <c r="K571" s="971"/>
      <c r="L571" s="971"/>
      <c r="M571" s="971"/>
      <c r="N571" s="971"/>
      <c r="O571" s="971"/>
      <c r="P571" s="1353"/>
      <c r="Q571" s="1353"/>
      <c r="R571" s="1353"/>
      <c r="S571" s="971"/>
      <c r="T571" s="971"/>
      <c r="U571" s="1398"/>
      <c r="V571" s="971"/>
      <c r="W571" s="971"/>
      <c r="X571" s="971"/>
      <c r="Y571" s="1353"/>
      <c r="Z571" s="1353"/>
      <c r="AA571" s="971"/>
      <c r="AB571" s="971"/>
      <c r="AC571" s="971"/>
      <c r="AD571" s="971"/>
    </row>
    <row r="572" spans="1:30" s="1355" customFormat="1" ht="15.75" customHeight="1" outlineLevel="1">
      <c r="A572" s="1442" t="str">
        <f t="shared" si="61"/>
        <v>Стойка каркаса по фронтону, 1 этаж, односкатная кровля, №17</v>
      </c>
      <c r="B572" s="920" t="str">
        <f t="shared" si="61"/>
        <v>м.п.</v>
      </c>
      <c r="C572" s="1442">
        <f t="shared" si="61"/>
        <v>0.4</v>
      </c>
      <c r="D572" s="1442">
        <f t="shared" si="61"/>
        <v>0.05</v>
      </c>
      <c r="E572" s="1442">
        <f>IF('Ввод данных'!$A$373=связи1!$A$97,IF(дома!E571&lt;связи1!$F$553,0,дома!E571-$F$419),0)+IF(дома!E571=0,0,IF('Ввод данных'!$A$373=связи1!$A$94,IF(дома!E571&lt;0,0,дома!E571-$F$419),0))</f>
        <v>0</v>
      </c>
      <c r="F572" s="1442">
        <f t="shared" si="60"/>
        <v>2</v>
      </c>
      <c r="G572" s="971">
        <f t="shared" si="59"/>
        <v>0</v>
      </c>
      <c r="H572" s="971"/>
      <c r="I572" s="971"/>
      <c r="J572" s="971"/>
      <c r="K572" s="971"/>
      <c r="L572" s="971"/>
      <c r="M572" s="971"/>
      <c r="N572" s="971"/>
      <c r="O572" s="971"/>
      <c r="P572" s="1353"/>
      <c r="Q572" s="1353"/>
      <c r="R572" s="1353"/>
      <c r="S572" s="971"/>
      <c r="T572" s="971"/>
      <c r="U572" s="1398"/>
      <c r="V572" s="971"/>
      <c r="W572" s="971"/>
      <c r="X572" s="971"/>
      <c r="Y572" s="1353"/>
      <c r="Z572" s="1353"/>
      <c r="AA572" s="971"/>
      <c r="AB572" s="971"/>
      <c r="AC572" s="971"/>
      <c r="AD572" s="971"/>
    </row>
    <row r="573" spans="1:30" s="1355" customFormat="1" ht="15.75" customHeight="1" outlineLevel="1">
      <c r="A573" s="1442" t="str">
        <f t="shared" si="61"/>
        <v>Стойка каркаса по фронтону, 1 этаж, двускатная кровля, №1</v>
      </c>
      <c r="B573" s="920" t="str">
        <f t="shared" si="61"/>
        <v>м.п.</v>
      </c>
      <c r="C573" s="1442">
        <f t="shared" si="61"/>
        <v>0.4</v>
      </c>
      <c r="D573" s="1442">
        <f t="shared" si="61"/>
        <v>0.05</v>
      </c>
      <c r="E573" s="1442">
        <f>IF('Ввод данных'!A372=связи1!A107,IF('Ввод данных'!A373=связи1!A94,связи1!F554-связи1!F553,0)+IF('Ввод данных'!A373=связи1!A95,0,0)+IF('Ввод данных'!A373=связи1!A96,0,0)+IF('Ввод данных'!A372=связи1!A107,IF('Ввод данных'!A373=связи1!A97,связи1!F554,0),0)+IF('Ввод данных'!A373=связи1!A98,0,0),0)</f>
        <v>1</v>
      </c>
      <c r="F573" s="1442">
        <f t="shared" si="60"/>
        <v>2</v>
      </c>
      <c r="G573" s="971">
        <f t="shared" si="59"/>
        <v>4.0000000000000008E-2</v>
      </c>
      <c r="H573" s="971"/>
      <c r="I573" s="971"/>
      <c r="J573" s="971"/>
      <c r="K573" s="971"/>
      <c r="L573" s="971"/>
      <c r="M573" s="971"/>
      <c r="N573" s="971"/>
      <c r="O573" s="971"/>
      <c r="P573" s="1353"/>
      <c r="Q573" s="1353"/>
      <c r="R573" s="1353"/>
      <c r="S573" s="971"/>
      <c r="T573" s="971"/>
      <c r="U573" s="1398"/>
      <c r="V573" s="971"/>
      <c r="W573" s="971"/>
      <c r="X573" s="971"/>
      <c r="Y573" s="1353"/>
      <c r="Z573" s="1353"/>
      <c r="AA573" s="971"/>
      <c r="AB573" s="971"/>
      <c r="AC573" s="971"/>
      <c r="AD573" s="971"/>
    </row>
    <row r="574" spans="1:30" s="1355" customFormat="1" ht="15.75" customHeight="1" outlineLevel="1">
      <c r="A574" s="1442" t="str">
        <f t="shared" si="61"/>
        <v>Стойка каркаса по фронтону, 1 этаж, двускатная кровля, №2</v>
      </c>
      <c r="B574" s="920" t="str">
        <f t="shared" si="61"/>
        <v>м.п.</v>
      </c>
      <c r="C574" s="1442">
        <f t="shared" si="61"/>
        <v>0.4</v>
      </c>
      <c r="D574" s="1442">
        <f t="shared" si="61"/>
        <v>0.05</v>
      </c>
      <c r="E574" s="1442">
        <f>IF('Ввод данных'!$A$373=связи1!$A$97,IF(дома!E573&lt;связи1!$F$553,0,дома!E573-$F$419),0)+IF(дома!E573&lt;=0,0,IF('Ввод данных'!$A$373=связи1!$A$94,IF(дома!E573&lt;0,0,дома!E573-$F$419),0))</f>
        <v>1</v>
      </c>
      <c r="F574" s="1442">
        <f t="shared" si="60"/>
        <v>2</v>
      </c>
      <c r="G574" s="971">
        <f t="shared" si="59"/>
        <v>4.0000000000000008E-2</v>
      </c>
      <c r="H574" s="971"/>
      <c r="I574" s="971"/>
      <c r="J574" s="971"/>
      <c r="K574" s="971"/>
      <c r="L574" s="971"/>
      <c r="M574" s="971"/>
      <c r="N574" s="971"/>
      <c r="O574" s="971"/>
      <c r="P574" s="1353"/>
      <c r="Q574" s="1353"/>
      <c r="R574" s="1353"/>
      <c r="S574" s="971"/>
      <c r="T574" s="971"/>
      <c r="U574" s="1398"/>
      <c r="V574" s="971"/>
      <c r="W574" s="971"/>
      <c r="X574" s="971"/>
      <c r="Y574" s="1353"/>
      <c r="Z574" s="1353"/>
      <c r="AA574" s="971"/>
      <c r="AB574" s="971"/>
      <c r="AC574" s="971"/>
      <c r="AD574" s="971"/>
    </row>
    <row r="575" spans="1:30" s="1355" customFormat="1" ht="15.75" customHeight="1" outlineLevel="1">
      <c r="A575" s="1442" t="str">
        <f t="shared" si="61"/>
        <v>Стойка каркаса по фронтону, 1 этаж, двускатная кровля, №3</v>
      </c>
      <c r="B575" s="920" t="str">
        <f t="shared" si="61"/>
        <v>м.п.</v>
      </c>
      <c r="C575" s="1442">
        <f t="shared" si="61"/>
        <v>0.4</v>
      </c>
      <c r="D575" s="1442">
        <f t="shared" si="61"/>
        <v>0.05</v>
      </c>
      <c r="E575" s="1442">
        <f>IF('Ввод данных'!$A$373=связи1!$A$97,IF(дома!E574&lt;связи1!$F$553,0,дома!E574-$F$419),0)+IF(дома!E574&lt;=0,0,IF('Ввод данных'!$A$373=связи1!$A$94,IF(дома!E574&lt;0,0,дома!E574-$F$419),0))</f>
        <v>1</v>
      </c>
      <c r="F575" s="1442">
        <f t="shared" si="60"/>
        <v>2</v>
      </c>
      <c r="G575" s="971">
        <f t="shared" si="59"/>
        <v>4.0000000000000008E-2</v>
      </c>
      <c r="H575" s="971"/>
      <c r="I575" s="971"/>
      <c r="J575" s="971"/>
      <c r="K575" s="971"/>
      <c r="L575" s="971"/>
      <c r="M575" s="971"/>
      <c r="N575" s="971"/>
      <c r="O575" s="971"/>
      <c r="P575" s="1353"/>
      <c r="Q575" s="1353"/>
      <c r="R575" s="1353"/>
      <c r="S575" s="971"/>
      <c r="T575" s="971"/>
      <c r="U575" s="1398"/>
      <c r="V575" s="971"/>
      <c r="W575" s="971"/>
      <c r="X575" s="971"/>
      <c r="Y575" s="1353"/>
      <c r="Z575" s="1353"/>
      <c r="AA575" s="971"/>
      <c r="AB575" s="971"/>
      <c r="AC575" s="971"/>
      <c r="AD575" s="971"/>
    </row>
    <row r="576" spans="1:30" s="1355" customFormat="1" ht="15.75" customHeight="1" outlineLevel="1">
      <c r="A576" s="1442" t="str">
        <f t="shared" si="61"/>
        <v>Стойка каркаса по фронтону, 1 этаж, двускатная кровля, №4</v>
      </c>
      <c r="B576" s="920" t="str">
        <f t="shared" si="61"/>
        <v>м.п.</v>
      </c>
      <c r="C576" s="1442">
        <f t="shared" si="61"/>
        <v>0.4</v>
      </c>
      <c r="D576" s="1442">
        <f t="shared" si="61"/>
        <v>0.05</v>
      </c>
      <c r="E576" s="1442">
        <f>IF('Ввод данных'!$A$373=связи1!$A$97,IF(дома!E575&lt;связи1!$F$553,0,дома!E575-$F$419),0)+IF(дома!E575&lt;=0,0,IF('Ввод данных'!$A$373=связи1!$A$94,IF(дома!E575&lt;0,0,дома!E575-$F$419),0))</f>
        <v>1</v>
      </c>
      <c r="F576" s="1442">
        <f t="shared" si="60"/>
        <v>2</v>
      </c>
      <c r="G576" s="971">
        <f t="shared" si="59"/>
        <v>4.0000000000000008E-2</v>
      </c>
      <c r="H576" s="971"/>
      <c r="I576" s="971"/>
      <c r="J576" s="971"/>
      <c r="K576" s="971"/>
      <c r="L576" s="971"/>
      <c r="M576" s="971"/>
      <c r="N576" s="971"/>
      <c r="O576" s="971"/>
      <c r="P576" s="1353"/>
      <c r="Q576" s="1353"/>
      <c r="R576" s="1353"/>
      <c r="S576" s="971"/>
      <c r="T576" s="971"/>
      <c r="U576" s="1398"/>
      <c r="V576" s="971"/>
      <c r="W576" s="971"/>
      <c r="X576" s="971"/>
      <c r="Y576" s="1353"/>
      <c r="Z576" s="1353"/>
      <c r="AA576" s="971"/>
      <c r="AB576" s="971"/>
      <c r="AC576" s="971"/>
      <c r="AD576" s="971"/>
    </row>
    <row r="577" spans="1:30" s="1355" customFormat="1" ht="15.75" customHeight="1" outlineLevel="1">
      <c r="A577" s="1442" t="str">
        <f t="shared" si="61"/>
        <v>Стойка каркаса по фронтону, 1 этаж, двускатная кровля, №5</v>
      </c>
      <c r="B577" s="920" t="str">
        <f t="shared" si="61"/>
        <v>м.п.</v>
      </c>
      <c r="C577" s="1442">
        <f t="shared" si="61"/>
        <v>0.4</v>
      </c>
      <c r="D577" s="1442">
        <f t="shared" si="61"/>
        <v>0.05</v>
      </c>
      <c r="E577" s="1442">
        <f>IF('Ввод данных'!$A$373=связи1!$A$97,IF(дома!E576&lt;связи1!$F$553,0,дома!E576-$F$419),0)+IF(дома!E576&lt;=0,0,IF('Ввод данных'!$A$373=связи1!$A$94,IF(дома!E576&lt;0,0,дома!E576-$F$419),0))</f>
        <v>1</v>
      </c>
      <c r="F577" s="1442">
        <f t="shared" si="60"/>
        <v>2</v>
      </c>
      <c r="G577" s="971">
        <f t="shared" si="59"/>
        <v>4.0000000000000008E-2</v>
      </c>
      <c r="H577" s="971"/>
      <c r="I577" s="971"/>
      <c r="J577" s="971"/>
      <c r="K577" s="971"/>
      <c r="L577" s="971"/>
      <c r="M577" s="971"/>
      <c r="N577" s="971"/>
      <c r="O577" s="971"/>
      <c r="P577" s="1353"/>
      <c r="Q577" s="1353"/>
      <c r="R577" s="1353"/>
      <c r="S577" s="971"/>
      <c r="T577" s="971"/>
      <c r="U577" s="1398"/>
      <c r="V577" s="971"/>
      <c r="W577" s="971"/>
      <c r="X577" s="971"/>
      <c r="Y577" s="1353"/>
      <c r="Z577" s="1353"/>
      <c r="AA577" s="971"/>
      <c r="AB577" s="971"/>
      <c r="AC577" s="971"/>
      <c r="AD577" s="971"/>
    </row>
    <row r="578" spans="1:30" s="1355" customFormat="1" ht="15.75" customHeight="1" outlineLevel="1">
      <c r="A578" s="1442" t="str">
        <f t="shared" si="61"/>
        <v>Стойка каркаса по фронтону, 1 этаж, двускатная кровля, №6</v>
      </c>
      <c r="B578" s="920" t="str">
        <f t="shared" si="61"/>
        <v>м.п.</v>
      </c>
      <c r="C578" s="1442">
        <f t="shared" si="61"/>
        <v>0.4</v>
      </c>
      <c r="D578" s="1442">
        <f t="shared" si="61"/>
        <v>0.05</v>
      </c>
      <c r="E578" s="1442">
        <f>IF('Ввод данных'!$A$373=связи1!$A$97,IF(дома!E577&lt;связи1!$F$553,0,дома!E577-$F$419),0)+IF(дома!E577&lt;=0,0,IF('Ввод данных'!$A$373=связи1!$A$94,IF(дома!E577&lt;0,0,дома!E577-$F$419),0))</f>
        <v>1</v>
      </c>
      <c r="F578" s="1442">
        <f t="shared" si="60"/>
        <v>2</v>
      </c>
      <c r="G578" s="971">
        <f t="shared" si="59"/>
        <v>4.0000000000000008E-2</v>
      </c>
      <c r="H578" s="971"/>
      <c r="I578" s="971"/>
      <c r="J578" s="971"/>
      <c r="K578" s="971"/>
      <c r="L578" s="971"/>
      <c r="M578" s="971"/>
      <c r="N578" s="971"/>
      <c r="O578" s="971"/>
      <c r="P578" s="1353"/>
      <c r="Q578" s="1353"/>
      <c r="R578" s="1353"/>
      <c r="S578" s="971"/>
      <c r="T578" s="971"/>
      <c r="U578" s="1398"/>
      <c r="V578" s="971"/>
      <c r="W578" s="971"/>
      <c r="X578" s="971"/>
      <c r="Y578" s="1353"/>
      <c r="Z578" s="1353"/>
      <c r="AA578" s="971"/>
      <c r="AB578" s="971"/>
      <c r="AC578" s="971"/>
      <c r="AD578" s="971"/>
    </row>
    <row r="579" spans="1:30" s="1355" customFormat="1" ht="15.75" customHeight="1" outlineLevel="1">
      <c r="A579" s="1442" t="str">
        <f t="shared" si="61"/>
        <v>Стойка каркаса по фронтону, 1 этаж, двускатная кровля, №7</v>
      </c>
      <c r="B579" s="920" t="str">
        <f t="shared" si="61"/>
        <v>м.п.</v>
      </c>
      <c r="C579" s="1442">
        <f t="shared" si="61"/>
        <v>0.4</v>
      </c>
      <c r="D579" s="1442">
        <f t="shared" si="61"/>
        <v>0.05</v>
      </c>
      <c r="E579" s="1442">
        <f>IF('Ввод данных'!$A$373=связи1!$A$97,IF(дома!E578&lt;связи1!$F$553,0,дома!E578-$F$419),0)+IF(дома!E578&lt;=0,0,IF('Ввод данных'!$A$373=связи1!$A$94,IF(дома!E578&lt;0,0,дома!E578-$F$419),0))</f>
        <v>1</v>
      </c>
      <c r="F579" s="1442">
        <f t="shared" si="60"/>
        <v>2</v>
      </c>
      <c r="G579" s="971">
        <f t="shared" si="59"/>
        <v>4.0000000000000008E-2</v>
      </c>
      <c r="H579" s="971"/>
      <c r="I579" s="971"/>
      <c r="J579" s="971"/>
      <c r="K579" s="971"/>
      <c r="L579" s="971"/>
      <c r="M579" s="971"/>
      <c r="N579" s="971"/>
      <c r="O579" s="971"/>
      <c r="P579" s="1353"/>
      <c r="Q579" s="1353"/>
      <c r="R579" s="1353"/>
      <c r="S579" s="971"/>
      <c r="T579" s="971"/>
      <c r="U579" s="1398"/>
      <c r="V579" s="971"/>
      <c r="W579" s="971"/>
      <c r="X579" s="971"/>
      <c r="Y579" s="1353"/>
      <c r="Z579" s="1353"/>
      <c r="AA579" s="971"/>
      <c r="AB579" s="971"/>
      <c r="AC579" s="971"/>
      <c r="AD579" s="971"/>
    </row>
    <row r="580" spans="1:30" s="1355" customFormat="1" ht="15.75" customHeight="1" outlineLevel="1">
      <c r="A580" s="1442" t="str">
        <f t="shared" si="61"/>
        <v>Стойка каркаса по фронтону, 1 этаж, двускатная кровля, №8</v>
      </c>
      <c r="B580" s="920" t="str">
        <f t="shared" si="61"/>
        <v>м.п.</v>
      </c>
      <c r="C580" s="1442">
        <f t="shared" si="61"/>
        <v>0.4</v>
      </c>
      <c r="D580" s="1442">
        <f t="shared" si="61"/>
        <v>0.05</v>
      </c>
      <c r="E580" s="1442">
        <f>IF('Ввод данных'!$A$373=связи1!$A$97,IF(дома!E579&lt;связи1!$F$553,0,дома!E579-$F$419),0)+IF(дома!E579&lt;=0,0,IF('Ввод данных'!$A$373=связи1!$A$94,IF(дома!E579&lt;0,0,дома!E579-$F$419),0))</f>
        <v>1</v>
      </c>
      <c r="F580" s="1442">
        <f t="shared" si="60"/>
        <v>2</v>
      </c>
      <c r="G580" s="971">
        <f t="shared" si="59"/>
        <v>4.0000000000000008E-2</v>
      </c>
      <c r="H580" s="971"/>
      <c r="I580" s="971"/>
      <c r="J580" s="971"/>
      <c r="K580" s="971"/>
      <c r="L580" s="971"/>
      <c r="M580" s="971"/>
      <c r="N580" s="971"/>
      <c r="O580" s="971"/>
      <c r="P580" s="1353"/>
      <c r="Q580" s="1353"/>
      <c r="R580" s="1353"/>
      <c r="S580" s="971"/>
      <c r="T580" s="971"/>
      <c r="U580" s="1398"/>
      <c r="V580" s="971"/>
      <c r="W580" s="971"/>
      <c r="X580" s="971"/>
      <c r="Y580" s="1353"/>
      <c r="Z580" s="1353"/>
      <c r="AA580" s="971"/>
      <c r="AB580" s="971"/>
      <c r="AC580" s="971"/>
      <c r="AD580" s="971"/>
    </row>
    <row r="581" spans="1:30" s="1355" customFormat="1" ht="15.75" customHeight="1" outlineLevel="1">
      <c r="A581" s="1442" t="str">
        <f t="shared" si="61"/>
        <v>Стойка каркаса по фронтону, 1 этаж, двускатная кровля, №9</v>
      </c>
      <c r="B581" s="920" t="str">
        <f t="shared" si="61"/>
        <v>м.п.</v>
      </c>
      <c r="C581" s="1442">
        <f t="shared" si="61"/>
        <v>0.4</v>
      </c>
      <c r="D581" s="1442">
        <f t="shared" si="61"/>
        <v>0.05</v>
      </c>
      <c r="E581" s="1442">
        <f>IF('Ввод данных'!$A$373=связи1!$A$97,IF(дома!E580&lt;связи1!$F$553,0,дома!E580-$F$419),0)+IF(дома!E580&lt;=0,0,IF('Ввод данных'!$A$373=связи1!$A$94,IF(дома!E580&lt;0,0,дома!E580-$F$419),0))</f>
        <v>1</v>
      </c>
      <c r="F581" s="1442">
        <f t="shared" si="60"/>
        <v>2</v>
      </c>
      <c r="G581" s="971">
        <f t="shared" si="59"/>
        <v>4.0000000000000008E-2</v>
      </c>
      <c r="H581" s="971"/>
      <c r="I581" s="971"/>
      <c r="J581" s="971"/>
      <c r="K581" s="971"/>
      <c r="L581" s="971"/>
      <c r="M581" s="971"/>
      <c r="N581" s="971"/>
      <c r="O581" s="971"/>
      <c r="P581" s="1353"/>
      <c r="Q581" s="1353"/>
      <c r="R581" s="1353"/>
      <c r="S581" s="971"/>
      <c r="T581" s="971"/>
      <c r="U581" s="1398"/>
      <c r="V581" s="971"/>
      <c r="W581" s="971"/>
      <c r="X581" s="971"/>
      <c r="Y581" s="1353"/>
      <c r="Z581" s="1353"/>
      <c r="AA581" s="971"/>
      <c r="AB581" s="971"/>
      <c r="AC581" s="971"/>
      <c r="AD581" s="971"/>
    </row>
    <row r="582" spans="1:30" s="1355" customFormat="1" ht="15.75" customHeight="1" outlineLevel="1">
      <c r="A582" s="1442" t="str">
        <f t="shared" si="61"/>
        <v>Стойка каркаса по фронтону, 1 этаж, двускатная кровля, №10</v>
      </c>
      <c r="B582" s="920" t="str">
        <f t="shared" si="61"/>
        <v>м.п.</v>
      </c>
      <c r="C582" s="1442">
        <f t="shared" si="61"/>
        <v>0.4</v>
      </c>
      <c r="D582" s="1442">
        <f t="shared" si="61"/>
        <v>0.05</v>
      </c>
      <c r="E582" s="1442">
        <f>IF('Ввод данных'!$A$373=связи1!$A$97,IF(дома!E581&lt;связи1!$F$553,0,дома!E581-$F$419),0)+IF(дома!E581&lt;=0,0,IF('Ввод данных'!$A$373=связи1!$A$94,IF(дома!E581&lt;0,0,дома!E581-$F$419),0))</f>
        <v>1</v>
      </c>
      <c r="F582" s="1442">
        <f t="shared" si="60"/>
        <v>2</v>
      </c>
      <c r="G582" s="971">
        <f t="shared" si="59"/>
        <v>4.0000000000000008E-2</v>
      </c>
      <c r="H582" s="971"/>
      <c r="I582" s="971"/>
      <c r="J582" s="971"/>
      <c r="K582" s="971"/>
      <c r="L582" s="971"/>
      <c r="M582" s="971"/>
      <c r="N582" s="971"/>
      <c r="O582" s="971"/>
      <c r="P582" s="1353"/>
      <c r="Q582" s="1353"/>
      <c r="R582" s="1353"/>
      <c r="S582" s="971"/>
      <c r="T582" s="971"/>
      <c r="U582" s="1398"/>
      <c r="V582" s="971"/>
      <c r="W582" s="971"/>
      <c r="X582" s="971"/>
      <c r="Y582" s="1353"/>
      <c r="Z582" s="1353"/>
      <c r="AA582" s="971"/>
      <c r="AB582" s="971"/>
      <c r="AC582" s="971"/>
      <c r="AD582" s="971"/>
    </row>
    <row r="583" spans="1:30" s="1355" customFormat="1" ht="15.75" customHeight="1" outlineLevel="1">
      <c r="A583" s="1442" t="str">
        <f t="shared" si="61"/>
        <v>Стойка каркаса по фронтону, 1 этаж, двускатная кровля, №11</v>
      </c>
      <c r="B583" s="920" t="str">
        <f t="shared" si="61"/>
        <v>м.п.</v>
      </c>
      <c r="C583" s="1442">
        <f t="shared" si="61"/>
        <v>0.4</v>
      </c>
      <c r="D583" s="1442">
        <f t="shared" si="61"/>
        <v>0.05</v>
      </c>
      <c r="E583" s="1442">
        <f>IF('Ввод данных'!$A$373=связи1!$A$97,IF(дома!E582&lt;связи1!$F$553,0,дома!E582-$F$419),0)+IF(дома!E582&lt;=0,0,IF('Ввод данных'!$A$373=связи1!$A$94,IF(дома!E582&lt;0,0,дома!E582-$F$419),0))</f>
        <v>1</v>
      </c>
      <c r="F583" s="1442">
        <f t="shared" si="60"/>
        <v>2</v>
      </c>
      <c r="G583" s="971">
        <f t="shared" si="59"/>
        <v>4.0000000000000008E-2</v>
      </c>
      <c r="H583" s="971"/>
      <c r="I583" s="971"/>
      <c r="J583" s="971"/>
      <c r="K583" s="971"/>
      <c r="L583" s="971"/>
      <c r="M583" s="971"/>
      <c r="N583" s="971"/>
      <c r="O583" s="971"/>
      <c r="P583" s="1353"/>
      <c r="Q583" s="1353"/>
      <c r="R583" s="1353"/>
      <c r="S583" s="971"/>
      <c r="T583" s="971"/>
      <c r="U583" s="1398"/>
      <c r="V583" s="971"/>
      <c r="W583" s="971"/>
      <c r="X583" s="971"/>
      <c r="Y583" s="1353"/>
      <c r="Z583" s="1353"/>
      <c r="AA583" s="971"/>
      <c r="AB583" s="971"/>
      <c r="AC583" s="971"/>
      <c r="AD583" s="971"/>
    </row>
    <row r="584" spans="1:30" s="1355" customFormat="1" ht="15.75" customHeight="1" outlineLevel="1">
      <c r="A584" s="1442" t="str">
        <f t="shared" si="61"/>
        <v>Стойка каркаса по фронтону, 1 этаж, двускатная кровля, №12</v>
      </c>
      <c r="B584" s="920" t="str">
        <f t="shared" si="61"/>
        <v>м.п.</v>
      </c>
      <c r="C584" s="1442">
        <f t="shared" si="61"/>
        <v>0.4</v>
      </c>
      <c r="D584" s="1442">
        <f t="shared" si="61"/>
        <v>0.05</v>
      </c>
      <c r="E584" s="1442">
        <f>IF('Ввод данных'!$A$373=связи1!$A$97,IF(дома!E583&lt;связи1!$F$553,0,дома!E583-$F$419),0)+IF(дома!E583&lt;=0,0,IF('Ввод данных'!$A$373=связи1!$A$94,IF(дома!E583&lt;0,0,дома!E583-$F$419),0))</f>
        <v>1</v>
      </c>
      <c r="F584" s="1442">
        <f t="shared" si="60"/>
        <v>2</v>
      </c>
      <c r="G584" s="971">
        <f t="shared" si="59"/>
        <v>4.0000000000000008E-2</v>
      </c>
      <c r="H584" s="971"/>
      <c r="I584" s="971"/>
      <c r="J584" s="971"/>
      <c r="K584" s="971"/>
      <c r="L584" s="971"/>
      <c r="M584" s="971"/>
      <c r="N584" s="971"/>
      <c r="O584" s="971"/>
      <c r="P584" s="1353"/>
      <c r="Q584" s="1353"/>
      <c r="R584" s="1353"/>
      <c r="S584" s="971"/>
      <c r="T584" s="971"/>
      <c r="U584" s="1398"/>
      <c r="V584" s="971"/>
      <c r="W584" s="971"/>
      <c r="X584" s="971"/>
      <c r="Y584" s="1353"/>
      <c r="Z584" s="1353"/>
      <c r="AA584" s="971"/>
      <c r="AB584" s="971"/>
      <c r="AC584" s="971"/>
      <c r="AD584" s="971"/>
    </row>
    <row r="585" spans="1:30" s="1355" customFormat="1" ht="15.75" customHeight="1" outlineLevel="1">
      <c r="A585" s="1442" t="str">
        <f t="shared" si="61"/>
        <v>Стойка каркаса по фронтону, 1 этаж, двускатная кровля, №13</v>
      </c>
      <c r="B585" s="920" t="str">
        <f t="shared" si="61"/>
        <v>м.п.</v>
      </c>
      <c r="C585" s="1442">
        <f t="shared" si="61"/>
        <v>0.4</v>
      </c>
      <c r="D585" s="1442">
        <f t="shared" si="61"/>
        <v>0.05</v>
      </c>
      <c r="E585" s="1442">
        <f>IF('Ввод данных'!$A$373=связи1!$A$97,IF(дома!E584&lt;связи1!$F$553,0,дома!E584-$F$419),0)+IF(дома!E584&lt;=0,0,IF('Ввод данных'!$A$373=связи1!$A$94,IF(дома!E584&lt;0,0,дома!E584-$F$419),0))</f>
        <v>1</v>
      </c>
      <c r="F585" s="1442">
        <f t="shared" si="60"/>
        <v>2</v>
      </c>
      <c r="G585" s="971">
        <f t="shared" si="59"/>
        <v>4.0000000000000008E-2</v>
      </c>
      <c r="H585" s="971"/>
      <c r="I585" s="971"/>
      <c r="J585" s="971"/>
      <c r="K585" s="971"/>
      <c r="L585" s="971"/>
      <c r="M585" s="971"/>
      <c r="N585" s="971"/>
      <c r="O585" s="971"/>
      <c r="P585" s="1353"/>
      <c r="Q585" s="1353"/>
      <c r="R585" s="1353"/>
      <c r="S585" s="971"/>
      <c r="T585" s="971"/>
      <c r="U585" s="1398"/>
      <c r="V585" s="971"/>
      <c r="W585" s="971"/>
      <c r="X585" s="971"/>
      <c r="Y585" s="1353"/>
      <c r="Z585" s="1353"/>
      <c r="AA585" s="971"/>
      <c r="AB585" s="971"/>
      <c r="AC585" s="971"/>
      <c r="AD585" s="971"/>
    </row>
    <row r="586" spans="1:30" s="1355" customFormat="1" ht="15.75" customHeight="1" outlineLevel="1">
      <c r="A586" s="1442" t="str">
        <f t="shared" si="61"/>
        <v>Стойка каркаса по фронтону, 1 этаж, двускатная кровля, №14</v>
      </c>
      <c r="B586" s="920" t="str">
        <f t="shared" si="61"/>
        <v>м.п.</v>
      </c>
      <c r="C586" s="1442">
        <f t="shared" si="61"/>
        <v>0.4</v>
      </c>
      <c r="D586" s="1442">
        <f t="shared" si="61"/>
        <v>0.05</v>
      </c>
      <c r="E586" s="1442">
        <f>IF('Ввод данных'!$A$373=связи1!$A$97,IF(дома!E585&lt;связи1!$F$553,0,дома!E585-$F$419),0)+IF(дома!E585&lt;=0,0,IF('Ввод данных'!$A$373=связи1!$A$94,IF(дома!E585&lt;0,0,дома!E585-$F$419),0))</f>
        <v>1</v>
      </c>
      <c r="F586" s="1442">
        <f t="shared" si="60"/>
        <v>2</v>
      </c>
      <c r="G586" s="971">
        <f t="shared" si="59"/>
        <v>4.0000000000000008E-2</v>
      </c>
      <c r="H586" s="971"/>
      <c r="I586" s="971"/>
      <c r="J586" s="971"/>
      <c r="K586" s="971"/>
      <c r="L586" s="971"/>
      <c r="M586" s="971"/>
      <c r="N586" s="971"/>
      <c r="O586" s="971"/>
      <c r="P586" s="1353"/>
      <c r="Q586" s="1353"/>
      <c r="R586" s="1353"/>
      <c r="S586" s="971"/>
      <c r="T586" s="971"/>
      <c r="U586" s="1398"/>
      <c r="V586" s="971"/>
      <c r="W586" s="971"/>
      <c r="X586" s="971"/>
      <c r="Y586" s="1353"/>
      <c r="Z586" s="1353"/>
      <c r="AA586" s="971"/>
      <c r="AB586" s="971"/>
      <c r="AC586" s="971"/>
      <c r="AD586" s="971"/>
    </row>
    <row r="587" spans="1:30" s="1355" customFormat="1" ht="15.75" customHeight="1" outlineLevel="1">
      <c r="A587" s="1442" t="str">
        <f t="shared" si="61"/>
        <v>Стойка каркаса по фронтону, 1 этаж, двускатная кровля, №15</v>
      </c>
      <c r="B587" s="920" t="str">
        <f t="shared" si="61"/>
        <v>м.п.</v>
      </c>
      <c r="C587" s="1442">
        <f t="shared" si="61"/>
        <v>0.4</v>
      </c>
      <c r="D587" s="1442">
        <f t="shared" si="61"/>
        <v>0.05</v>
      </c>
      <c r="E587" s="1442">
        <f>IF('Ввод данных'!$A$373=связи1!$A$97,IF(дома!E586&lt;связи1!$F$553,0,дома!E586-$F$419),0)+IF(дома!E586&lt;=0,0,IF('Ввод данных'!$A$373=связи1!$A$94,IF(дома!E586&lt;0,0,дома!E586-$F$419),0))</f>
        <v>1</v>
      </c>
      <c r="F587" s="1442">
        <f t="shared" si="60"/>
        <v>2</v>
      </c>
      <c r="G587" s="971">
        <f t="shared" si="59"/>
        <v>4.0000000000000008E-2</v>
      </c>
      <c r="H587" s="971"/>
      <c r="I587" s="971"/>
      <c r="J587" s="971"/>
      <c r="K587" s="971"/>
      <c r="L587" s="971"/>
      <c r="M587" s="971"/>
      <c r="N587" s="971"/>
      <c r="O587" s="971"/>
      <c r="P587" s="1353"/>
      <c r="Q587" s="1353"/>
      <c r="R587" s="1353"/>
      <c r="S587" s="971"/>
      <c r="T587" s="971"/>
      <c r="U587" s="1398"/>
      <c r="V587" s="971"/>
      <c r="W587" s="971"/>
      <c r="X587" s="971"/>
      <c r="Y587" s="1353"/>
      <c r="Z587" s="1353"/>
      <c r="AA587" s="971"/>
      <c r="AB587" s="971"/>
      <c r="AC587" s="971"/>
      <c r="AD587" s="971"/>
    </row>
    <row r="588" spans="1:30" s="1355" customFormat="1" ht="15.75" customHeight="1" outlineLevel="1">
      <c r="A588" s="1442" t="str">
        <f t="shared" si="61"/>
        <v>Стойка каркаса по фронтону, 1 этаж, двускатная кровля, №16</v>
      </c>
      <c r="B588" s="920" t="str">
        <f t="shared" si="61"/>
        <v>м.п.</v>
      </c>
      <c r="C588" s="1442">
        <f t="shared" si="61"/>
        <v>0.4</v>
      </c>
      <c r="D588" s="1442">
        <f t="shared" si="61"/>
        <v>0.05</v>
      </c>
      <c r="E588" s="1442">
        <f>IF('Ввод данных'!$A$373=связи1!$A$97,IF(дома!E587&lt;связи1!$F$553,0,дома!E587-$F$419),0)+IF(дома!E587&lt;=0,0,IF('Ввод данных'!$A$373=связи1!$A$94,IF(дома!E587&lt;0,0,дома!E587-$F$419),0))</f>
        <v>1</v>
      </c>
      <c r="F588" s="1442">
        <f t="shared" si="60"/>
        <v>2</v>
      </c>
      <c r="G588" s="971">
        <f t="shared" si="59"/>
        <v>4.0000000000000008E-2</v>
      </c>
      <c r="H588" s="971"/>
      <c r="I588" s="971"/>
      <c r="J588" s="971"/>
      <c r="K588" s="971"/>
      <c r="L588" s="971"/>
      <c r="M588" s="971"/>
      <c r="N588" s="971"/>
      <c r="O588" s="971"/>
      <c r="P588" s="1353"/>
      <c r="Q588" s="1353"/>
      <c r="R588" s="1353"/>
      <c r="S588" s="971"/>
      <c r="T588" s="971"/>
      <c r="U588" s="1398"/>
      <c r="V588" s="971"/>
      <c r="W588" s="971"/>
      <c r="X588" s="971"/>
      <c r="Y588" s="1353"/>
      <c r="Z588" s="1353"/>
      <c r="AA588" s="971"/>
      <c r="AB588" s="971"/>
      <c r="AC588" s="971"/>
      <c r="AD588" s="971"/>
    </row>
    <row r="589" spans="1:30" s="1355" customFormat="1" ht="15.75" customHeight="1" outlineLevel="1">
      <c r="A589" s="1442" t="str">
        <f t="shared" si="61"/>
        <v>Стойка каркаса по фронтону, 1 этаж, двускатная кровля, №17</v>
      </c>
      <c r="B589" s="920" t="str">
        <f t="shared" si="61"/>
        <v>м.п.</v>
      </c>
      <c r="C589" s="1442">
        <f t="shared" si="61"/>
        <v>0.4</v>
      </c>
      <c r="D589" s="1442">
        <f t="shared" si="61"/>
        <v>0.05</v>
      </c>
      <c r="E589" s="1442">
        <f>IF('Ввод данных'!$A$373=связи1!$A$97,IF(дома!E588&lt;связи1!$F$553,0,дома!E588-$F$419),0)+IF(дома!E588&lt;=0,0,IF('Ввод данных'!$A$373=связи1!$A$94,IF(дома!E588&lt;0,0,дома!E588-$F$419),0))</f>
        <v>1</v>
      </c>
      <c r="F589" s="1442">
        <f t="shared" si="60"/>
        <v>2</v>
      </c>
      <c r="G589" s="971">
        <f t="shared" si="59"/>
        <v>4.0000000000000008E-2</v>
      </c>
      <c r="H589" s="971"/>
      <c r="I589" s="971"/>
      <c r="J589" s="971"/>
      <c r="K589" s="971"/>
      <c r="L589" s="971"/>
      <c r="M589" s="971"/>
      <c r="N589" s="971"/>
      <c r="O589" s="971"/>
      <c r="P589" s="1353"/>
      <c r="Q589" s="1353"/>
      <c r="R589" s="1353"/>
      <c r="S589" s="971"/>
      <c r="T589" s="971"/>
      <c r="U589" s="1398"/>
      <c r="V589" s="971"/>
      <c r="W589" s="971"/>
      <c r="X589" s="971"/>
      <c r="Y589" s="1353"/>
      <c r="Z589" s="1353"/>
      <c r="AA589" s="971"/>
      <c r="AB589" s="971"/>
      <c r="AC589" s="971"/>
      <c r="AD589" s="971"/>
    </row>
    <row r="590" spans="1:30" s="1355" customFormat="1" ht="15.75" customHeight="1" outlineLevel="1">
      <c r="A590" s="1442" t="s">
        <v>3222</v>
      </c>
      <c r="B590" s="920">
        <f>B464</f>
        <v>0</v>
      </c>
      <c r="C590" s="920"/>
      <c r="D590" s="971"/>
      <c r="E590" s="971"/>
      <c r="F590" s="1063"/>
      <c r="G590" s="971"/>
      <c r="H590" s="971"/>
      <c r="I590" s="971"/>
      <c r="J590" s="971"/>
      <c r="K590" s="971"/>
      <c r="L590" s="971"/>
      <c r="M590" s="971"/>
      <c r="N590" s="971"/>
      <c r="O590" s="971"/>
      <c r="P590" s="1353"/>
      <c r="Q590" s="1353"/>
      <c r="R590" s="1353"/>
      <c r="S590" s="971"/>
      <c r="T590" s="971"/>
      <c r="U590" s="1398"/>
      <c r="V590" s="971"/>
      <c r="W590" s="971"/>
      <c r="X590" s="971"/>
      <c r="Y590" s="1353"/>
      <c r="Z590" s="1353"/>
      <c r="AA590" s="971"/>
      <c r="AB590" s="971"/>
      <c r="AC590" s="971"/>
      <c r="AD590" s="971"/>
    </row>
    <row r="591" spans="1:30" s="1355" customFormat="1" ht="15.75" customHeight="1" outlineLevel="1">
      <c r="A591" s="1442" t="s">
        <v>3223</v>
      </c>
      <c r="B591" s="920" t="s">
        <v>156</v>
      </c>
      <c r="C591" s="971">
        <f>K399</f>
        <v>0.15</v>
      </c>
      <c r="D591" s="920">
        <f>J395</f>
        <v>0.05</v>
      </c>
      <c r="E591" s="971">
        <f>E395</f>
        <v>3.2</v>
      </c>
      <c r="F591" s="1063">
        <f>CEILING(((C399/G399+1)+(C400/G400+1)*2+(C401/G401+1)*2),1)*IF('Ввод данных'!F458=связи1!A2,1,0)</f>
        <v>0</v>
      </c>
      <c r="G591" s="971">
        <f>C591*D591*E591*F591</f>
        <v>0</v>
      </c>
      <c r="H591" s="971"/>
      <c r="I591" s="971"/>
      <c r="J591" s="971"/>
      <c r="K591" s="971"/>
      <c r="L591" s="971"/>
      <c r="M591" s="971"/>
      <c r="N591" s="971"/>
      <c r="O591" s="971"/>
      <c r="P591" s="1353"/>
      <c r="Q591" s="1353"/>
      <c r="R591" s="1353"/>
      <c r="S591" s="971"/>
      <c r="T591" s="971"/>
      <c r="U591" s="1398"/>
      <c r="V591" s="971"/>
      <c r="W591" s="971"/>
      <c r="X591" s="971"/>
      <c r="Y591" s="1353"/>
      <c r="Z591" s="1353"/>
      <c r="AA591" s="971"/>
      <c r="AB591" s="971"/>
      <c r="AC591" s="971"/>
      <c r="AD591" s="971"/>
    </row>
    <row r="592" spans="1:30" s="1355" customFormat="1" ht="15.75" customHeight="1" outlineLevel="1">
      <c r="A592" s="1442" t="s">
        <v>3224</v>
      </c>
      <c r="B592" s="920" t="s">
        <v>156</v>
      </c>
      <c r="C592" s="971">
        <f>K400</f>
        <v>0.15</v>
      </c>
      <c r="D592" s="920">
        <f>J396</f>
        <v>0.05</v>
      </c>
      <c r="E592" s="971">
        <f>(C395+C396*2+C397*2)*1.1</f>
        <v>0</v>
      </c>
      <c r="F592" s="1063">
        <f>1*IF('Ввод данных'!F458=связи1!A2,1,0)</f>
        <v>0</v>
      </c>
      <c r="G592" s="971">
        <f>C592*D592*E592*F592</f>
        <v>0</v>
      </c>
      <c r="H592" s="971"/>
      <c r="I592" s="971"/>
      <c r="J592" s="971"/>
      <c r="K592" s="971"/>
      <c r="L592" s="971"/>
      <c r="M592" s="971"/>
      <c r="N592" s="971"/>
      <c r="O592" s="971"/>
      <c r="P592" s="1353"/>
      <c r="Q592" s="1353"/>
      <c r="R592" s="1353"/>
      <c r="S592" s="971"/>
      <c r="T592" s="971"/>
      <c r="U592" s="1398"/>
      <c r="V592" s="971"/>
      <c r="W592" s="971"/>
      <c r="X592" s="971"/>
      <c r="Y592" s="1353"/>
      <c r="Z592" s="1353"/>
      <c r="AA592" s="971"/>
      <c r="AB592" s="971"/>
      <c r="AC592" s="971"/>
      <c r="AD592" s="971"/>
    </row>
    <row r="593" spans="1:31" s="1355" customFormat="1" ht="15.75" customHeight="1" outlineLevel="1">
      <c r="A593" s="1442" t="s">
        <v>3225</v>
      </c>
      <c r="B593" s="920" t="s">
        <v>156</v>
      </c>
      <c r="C593" s="971">
        <f>K401</f>
        <v>0.15</v>
      </c>
      <c r="D593" s="920">
        <f>J397</f>
        <v>0.05</v>
      </c>
      <c r="E593" s="971">
        <f>E592</f>
        <v>0</v>
      </c>
      <c r="F593" s="1063">
        <f>1*IF('Ввод данных'!F458=связи1!A2,1,0)</f>
        <v>0</v>
      </c>
      <c r="G593" s="971">
        <f>C593*D593*E593*F593</f>
        <v>0</v>
      </c>
      <c r="H593" s="971"/>
      <c r="I593" s="971"/>
      <c r="J593" s="971"/>
      <c r="K593" s="971"/>
      <c r="L593" s="971"/>
      <c r="M593" s="971"/>
      <c r="N593" s="971"/>
      <c r="O593" s="971"/>
      <c r="P593" s="1353"/>
      <c r="Q593" s="1353"/>
      <c r="R593" s="1353"/>
      <c r="S593" s="971"/>
      <c r="T593" s="971"/>
      <c r="U593" s="1398"/>
      <c r="V593" s="971"/>
      <c r="W593" s="971"/>
      <c r="X593" s="971"/>
      <c r="Y593" s="1353"/>
      <c r="Z593" s="1353"/>
      <c r="AA593" s="971"/>
      <c r="AB593" s="971"/>
      <c r="AC593" s="971"/>
      <c r="AD593" s="971"/>
    </row>
    <row r="594" spans="1:31" s="1355" customFormat="1" ht="15.75" customHeight="1" outlineLevel="1">
      <c r="A594" s="1442" t="str">
        <f t="shared" ref="A594:E596" si="62">A591</f>
        <v>Стойка каркаса 1 этаж</v>
      </c>
      <c r="B594" s="920" t="str">
        <f t="shared" si="62"/>
        <v>м.п.</v>
      </c>
      <c r="C594" s="1319">
        <f t="shared" si="62"/>
        <v>0.15</v>
      </c>
      <c r="D594" s="1319">
        <f t="shared" si="62"/>
        <v>0.05</v>
      </c>
      <c r="E594" s="1319">
        <f t="shared" si="62"/>
        <v>3.2</v>
      </c>
      <c r="F594" s="1319">
        <f>CEILING(((C399/G399+1)+(C400/G400+1)*2+(C401/G401+1)*2),1)*IF('Ввод данных'!C424=2,1,0)*IF('Ввод данных'!F458=связи1!A2,1,0)</f>
        <v>0</v>
      </c>
      <c r="G594" s="1319">
        <f>G591</f>
        <v>0</v>
      </c>
      <c r="H594" s="1319"/>
      <c r="I594" s="971"/>
      <c r="J594" s="971"/>
      <c r="K594" s="971"/>
      <c r="L594" s="971"/>
      <c r="M594" s="971"/>
      <c r="N594" s="971"/>
      <c r="O594" s="971"/>
      <c r="P594" s="1353"/>
      <c r="Q594" s="1353"/>
      <c r="R594" s="1353"/>
      <c r="S594" s="971"/>
      <c r="T594" s="971"/>
      <c r="U594" s="1398"/>
      <c r="V594" s="971"/>
      <c r="W594" s="971"/>
      <c r="X594" s="971"/>
      <c r="Y594" s="1353"/>
      <c r="Z594" s="1353"/>
      <c r="AA594" s="971"/>
      <c r="AB594" s="971"/>
      <c r="AC594" s="971"/>
      <c r="AD594" s="971"/>
    </row>
    <row r="595" spans="1:31" s="1355" customFormat="1" ht="15.75" customHeight="1" outlineLevel="1">
      <c r="A595" s="1442" t="str">
        <f t="shared" si="62"/>
        <v>Обвязка нижняя/верхняя стен каркаса 1 этаж</v>
      </c>
      <c r="B595" s="920" t="str">
        <f t="shared" si="62"/>
        <v>м.п.</v>
      </c>
      <c r="C595" s="1319">
        <f t="shared" si="62"/>
        <v>0.15</v>
      </c>
      <c r="D595" s="1319">
        <f t="shared" si="62"/>
        <v>0.05</v>
      </c>
      <c r="E595" s="1319">
        <f t="shared" si="62"/>
        <v>0</v>
      </c>
      <c r="F595" s="1319">
        <f>1*IF('Ввод данных'!C424=2,1,0)*IF('Ввод данных'!F458=связи1!A2,1,0)</f>
        <v>0</v>
      </c>
      <c r="G595" s="1319">
        <f>G592</f>
        <v>0</v>
      </c>
      <c r="H595" s="1319"/>
      <c r="I595" s="971"/>
      <c r="J595" s="971"/>
      <c r="K595" s="971"/>
      <c r="L595" s="971"/>
      <c r="M595" s="971"/>
      <c r="N595" s="971"/>
      <c r="O595" s="971"/>
      <c r="P595" s="1353"/>
      <c r="Q595" s="1353"/>
      <c r="R595" s="1353"/>
      <c r="S595" s="971"/>
      <c r="T595" s="971"/>
      <c r="U595" s="1398"/>
      <c r="V595" s="971"/>
      <c r="W595" s="971"/>
      <c r="X595" s="971"/>
      <c r="Y595" s="1353"/>
      <c r="Z595" s="1353"/>
      <c r="AA595" s="971"/>
      <c r="AB595" s="971"/>
      <c r="AC595" s="971"/>
      <c r="AD595" s="971"/>
    </row>
    <row r="596" spans="1:31" s="1355" customFormat="1" ht="15.75" customHeight="1" outlineLevel="1">
      <c r="A596" s="1442" t="str">
        <f t="shared" si="62"/>
        <v>Ригель каркаса, 1 этаж</v>
      </c>
      <c r="B596" s="920" t="str">
        <f t="shared" si="62"/>
        <v>м.п.</v>
      </c>
      <c r="C596" s="1319">
        <f t="shared" si="62"/>
        <v>0.15</v>
      </c>
      <c r="D596" s="1319">
        <f t="shared" si="62"/>
        <v>0.05</v>
      </c>
      <c r="E596" s="1319">
        <f t="shared" si="62"/>
        <v>0</v>
      </c>
      <c r="F596" s="1319">
        <f>1*IF('Ввод данных'!C424=2,1,0)*IF('Ввод данных'!F458=связи1!A2,1,0)</f>
        <v>0</v>
      </c>
      <c r="G596" s="1319">
        <f>G593</f>
        <v>0</v>
      </c>
      <c r="H596" s="1319"/>
      <c r="I596" s="971"/>
      <c r="J596" s="971"/>
      <c r="K596" s="971"/>
      <c r="L596" s="971"/>
      <c r="M596" s="971"/>
      <c r="N596" s="971"/>
      <c r="O596" s="971"/>
      <c r="P596" s="1353"/>
      <c r="Q596" s="1353"/>
      <c r="R596" s="1353"/>
      <c r="S596" s="971"/>
      <c r="T596" s="971"/>
      <c r="U596" s="1398"/>
      <c r="V596" s="971"/>
      <c r="W596" s="971"/>
      <c r="X596" s="971"/>
      <c r="Y596" s="1353"/>
      <c r="Z596" s="1353"/>
      <c r="AA596" s="971"/>
      <c r="AB596" s="971"/>
      <c r="AC596" s="971"/>
      <c r="AD596" s="971"/>
    </row>
    <row r="597" spans="1:31" s="1355" customFormat="1" ht="15.75" customHeight="1" outlineLevel="1">
      <c r="A597" s="1442"/>
      <c r="B597" s="1445"/>
      <c r="C597" s="920"/>
      <c r="D597" s="971"/>
      <c r="E597" s="971"/>
      <c r="F597" s="1063"/>
      <c r="G597" s="971"/>
      <c r="H597" s="971"/>
      <c r="I597" s="971"/>
      <c r="J597" s="971"/>
      <c r="K597" s="971"/>
      <c r="L597" s="971"/>
      <c r="M597" s="971"/>
      <c r="N597" s="971"/>
      <c r="O597" s="971"/>
      <c r="P597" s="1353"/>
      <c r="Q597" s="1353"/>
      <c r="R597" s="1353"/>
      <c r="S597" s="971"/>
      <c r="T597" s="971"/>
      <c r="U597" s="1398"/>
      <c r="V597" s="971"/>
      <c r="W597" s="971"/>
      <c r="X597" s="971"/>
      <c r="Y597" s="1353"/>
      <c r="Z597" s="1353"/>
      <c r="AA597" s="971"/>
      <c r="AB597" s="971"/>
      <c r="AC597" s="971"/>
      <c r="AD597" s="971"/>
    </row>
    <row r="598" spans="1:31" s="1441" customFormat="1" ht="15.75" customHeight="1" outlineLevel="1">
      <c r="A598" s="1462" t="s">
        <v>3226</v>
      </c>
      <c r="B598" s="1463"/>
      <c r="C598" s="1464"/>
      <c r="D598" s="1465"/>
      <c r="E598" s="1466"/>
      <c r="F598" s="1466">
        <f>пристройка!R89</f>
        <v>0</v>
      </c>
      <c r="G598" s="1465"/>
      <c r="H598" s="1465"/>
      <c r="I598" s="1465"/>
      <c r="J598" s="1465"/>
      <c r="K598" s="1465"/>
      <c r="L598" s="1465"/>
      <c r="M598" s="1465"/>
      <c r="N598" s="1465"/>
      <c r="O598" s="1438">
        <f>SUM(O124:O402)</f>
        <v>21.645000000000003</v>
      </c>
      <c r="P598" s="1383"/>
      <c r="Q598" s="1383"/>
      <c r="R598" s="1383"/>
      <c r="S598" s="1438"/>
      <c r="T598" s="1438">
        <f>T379+T384+T389+T394+T398+T402</f>
        <v>0</v>
      </c>
      <c r="U598" s="1440"/>
      <c r="V598" s="1438">
        <f>SUM(V124:V401)</f>
        <v>4.5000000000000005E-2</v>
      </c>
      <c r="W598" s="1438"/>
      <c r="X598" s="1438"/>
      <c r="Y598" s="1383">
        <f>SUM(Y124:Y401)</f>
        <v>0.40200000000000002</v>
      </c>
      <c r="Z598" s="1383"/>
      <c r="AA598" s="1438">
        <f>SUM(AA124:AA402)</f>
        <v>0.3</v>
      </c>
      <c r="AB598" s="1438"/>
      <c r="AC598" s="1438"/>
      <c r="AD598" s="1438">
        <f>SUM(AD124:AD402)</f>
        <v>3.4050000000000004E-2</v>
      </c>
      <c r="AE598" s="1441">
        <f>O598+T598+V598+Y598+AA598+AD598</f>
        <v>22.426050000000007</v>
      </c>
    </row>
    <row r="599" spans="1:31" s="1441" customFormat="1" ht="15.75" customHeight="1" outlineLevel="1">
      <c r="A599" s="1462" t="s">
        <v>3227</v>
      </c>
      <c r="B599" s="1463"/>
      <c r="C599" s="1464"/>
      <c r="D599" s="1465"/>
      <c r="E599" s="1466"/>
      <c r="F599" s="1466">
        <f>пристройка!R91</f>
        <v>0</v>
      </c>
      <c r="G599" s="1465"/>
      <c r="H599" s="1465"/>
      <c r="I599" s="1465"/>
      <c r="J599" s="1465"/>
      <c r="K599" s="1465"/>
      <c r="L599" s="1465"/>
      <c r="M599" s="1465"/>
      <c r="N599" s="1465"/>
      <c r="O599" s="1438"/>
      <c r="P599" s="1383"/>
      <c r="Q599" s="1383"/>
      <c r="R599" s="1383"/>
      <c r="S599" s="1438"/>
      <c r="T599" s="1438"/>
      <c r="U599" s="1440"/>
      <c r="V599" s="1438"/>
      <c r="W599" s="1438"/>
      <c r="X599" s="1438"/>
      <c r="Y599" s="1383"/>
      <c r="Z599" s="1383"/>
      <c r="AA599" s="1438"/>
      <c r="AB599" s="1438"/>
      <c r="AC599" s="1438"/>
      <c r="AD599" s="1438"/>
    </row>
    <row r="600" spans="1:31" s="1441" customFormat="1" ht="15.75" customHeight="1" outlineLevel="1">
      <c r="A600" s="1462" t="s">
        <v>3228</v>
      </c>
      <c r="B600" s="1463"/>
      <c r="C600" s="1464"/>
      <c r="D600" s="1465"/>
      <c r="E600" s="1466"/>
      <c r="F600" s="1466">
        <f>пристройка!R92</f>
        <v>0</v>
      </c>
      <c r="G600" s="1465"/>
      <c r="H600" s="1465"/>
      <c r="I600" s="1465"/>
      <c r="J600" s="1465"/>
      <c r="K600" s="1465"/>
      <c r="L600" s="1465"/>
      <c r="M600" s="1465"/>
      <c r="N600" s="1465"/>
      <c r="O600" s="1438"/>
      <c r="P600" s="1383"/>
      <c r="Q600" s="1383"/>
      <c r="R600" s="1383"/>
      <c r="S600" s="1438"/>
      <c r="T600" s="1438"/>
      <c r="U600" s="1440"/>
      <c r="V600" s="1438"/>
      <c r="W600" s="1438"/>
      <c r="X600" s="1438"/>
      <c r="Y600" s="1383"/>
      <c r="Z600" s="1383"/>
      <c r="AA600" s="1438"/>
      <c r="AB600" s="1438"/>
      <c r="AC600" s="1438"/>
      <c r="AD600" s="1438"/>
    </row>
    <row r="601" spans="1:31" s="1441" customFormat="1" ht="15.75" customHeight="1" outlineLevel="1">
      <c r="A601" s="1462" t="s">
        <v>2780</v>
      </c>
      <c r="B601" s="1463"/>
      <c r="C601" s="1464"/>
      <c r="D601" s="1465"/>
      <c r="E601" s="1466"/>
      <c r="F601" s="1466">
        <f>пристройка!R87</f>
        <v>0</v>
      </c>
      <c r="G601" s="1465"/>
      <c r="H601" s="1465"/>
      <c r="I601" s="1465"/>
      <c r="J601" s="1465"/>
      <c r="K601" s="1465"/>
      <c r="L601" s="1465"/>
      <c r="M601" s="1465"/>
      <c r="N601" s="1465"/>
      <c r="O601" s="1438"/>
      <c r="P601" s="1383"/>
      <c r="Q601" s="1383"/>
      <c r="R601" s="1383"/>
      <c r="S601" s="1438"/>
      <c r="T601" s="1438"/>
      <c r="U601" s="1440"/>
      <c r="V601" s="1438"/>
      <c r="W601" s="1438"/>
      <c r="X601" s="1438"/>
      <c r="Y601" s="1383"/>
      <c r="Z601" s="1383"/>
      <c r="AA601" s="1438"/>
      <c r="AB601" s="1438"/>
      <c r="AC601" s="1438"/>
      <c r="AD601" s="1438"/>
    </row>
    <row r="602" spans="1:31" s="1441" customFormat="1" ht="15.75" customHeight="1" outlineLevel="1">
      <c r="A602" s="1462" t="s">
        <v>3229</v>
      </c>
      <c r="B602" s="1463"/>
      <c r="C602" s="1464"/>
      <c r="D602" s="1465"/>
      <c r="E602" s="1466"/>
      <c r="F602" s="1467">
        <f>F598+F599+F601+F600</f>
        <v>0</v>
      </c>
      <c r="G602" s="1465" t="s">
        <v>3230</v>
      </c>
      <c r="H602" s="1465"/>
      <c r="I602" s="1465">
        <f>пристройка!R97</f>
        <v>0</v>
      </c>
      <c r="J602" s="1465"/>
      <c r="K602" s="1465"/>
      <c r="L602" s="1465"/>
      <c r="M602" s="1465"/>
      <c r="N602" s="1465"/>
      <c r="O602" s="1438"/>
      <c r="P602" s="1383"/>
      <c r="Q602" s="1383"/>
      <c r="R602" s="1383"/>
      <c r="S602" s="1438"/>
      <c r="T602" s="1438"/>
      <c r="U602" s="1440"/>
      <c r="V602" s="1438"/>
      <c r="W602" s="1438"/>
      <c r="X602" s="1438"/>
      <c r="Y602" s="1383"/>
      <c r="Z602" s="1383"/>
      <c r="AA602" s="1438"/>
      <c r="AB602" s="1438"/>
      <c r="AC602" s="1438"/>
      <c r="AD602" s="1438"/>
    </row>
    <row r="603" spans="1:31" s="1441" customFormat="1" ht="15.75" customHeight="1" outlineLevel="1">
      <c r="A603" s="1462" t="s">
        <v>3231</v>
      </c>
      <c r="B603" s="1463"/>
      <c r="C603" s="1464"/>
      <c r="D603" s="1465"/>
      <c r="E603" s="1466"/>
      <c r="F603" s="1466">
        <f>F598+F601</f>
        <v>0</v>
      </c>
      <c r="G603" s="1465"/>
      <c r="H603" s="1465"/>
      <c r="I603" s="1465"/>
      <c r="J603" s="1465"/>
      <c r="K603" s="1465"/>
      <c r="L603" s="1465"/>
      <c r="M603" s="1465"/>
      <c r="N603" s="1465"/>
      <c r="O603" s="1438"/>
      <c r="P603" s="1383"/>
      <c r="Q603" s="1383"/>
      <c r="R603" s="1383"/>
      <c r="S603" s="1438"/>
      <c r="T603" s="1438"/>
      <c r="U603" s="1440"/>
      <c r="V603" s="1438"/>
      <c r="W603" s="1438"/>
      <c r="X603" s="1438"/>
      <c r="Y603" s="1383"/>
      <c r="Z603" s="1383"/>
      <c r="AA603" s="1438"/>
      <c r="AB603" s="1438"/>
      <c r="AC603" s="1438"/>
      <c r="AD603" s="1438"/>
    </row>
    <row r="604" spans="1:31" s="1441" customFormat="1" ht="15.75" customHeight="1" outlineLevel="1">
      <c r="A604" s="1468" t="s">
        <v>3232</v>
      </c>
      <c r="B604" s="1469"/>
      <c r="C604" s="1470"/>
      <c r="D604" s="1468"/>
      <c r="E604" s="1471"/>
      <c r="F604" s="1471">
        <f>C1251*D1229</f>
        <v>0</v>
      </c>
      <c r="G604" s="1468"/>
      <c r="H604" s="1468"/>
      <c r="I604" s="1468"/>
      <c r="J604" s="1468"/>
      <c r="K604" s="1468"/>
      <c r="L604" s="1468"/>
      <c r="M604" s="1468"/>
      <c r="N604" s="1468"/>
      <c r="O604" s="1438"/>
      <c r="P604" s="1383"/>
      <c r="Q604" s="1383"/>
      <c r="R604" s="1383"/>
      <c r="S604" s="1438"/>
      <c r="T604" s="1438"/>
      <c r="U604" s="1440"/>
      <c r="V604" s="1438"/>
      <c r="W604" s="1438"/>
      <c r="X604" s="1438"/>
      <c r="Y604" s="1383"/>
      <c r="Z604" s="1383"/>
      <c r="AA604" s="1438"/>
      <c r="AB604" s="1438"/>
      <c r="AC604" s="1438"/>
      <c r="AD604" s="1438"/>
    </row>
    <row r="605" spans="1:31" s="1441" customFormat="1" ht="15.75" customHeight="1" outlineLevel="1">
      <c r="A605" s="1468" t="s">
        <v>3233</v>
      </c>
      <c r="B605" s="1469"/>
      <c r="C605" s="1470"/>
      <c r="D605" s="1468"/>
      <c r="E605" s="1471"/>
      <c r="F605" s="1471">
        <f>C1255*D1229</f>
        <v>0</v>
      </c>
      <c r="G605" s="1468"/>
      <c r="H605" s="1468"/>
      <c r="I605" s="1468"/>
      <c r="J605" s="1468"/>
      <c r="K605" s="1468"/>
      <c r="L605" s="1468"/>
      <c r="M605" s="1468"/>
      <c r="N605" s="1468"/>
      <c r="O605" s="1438"/>
      <c r="P605" s="1383"/>
      <c r="Q605" s="1383"/>
      <c r="R605" s="1383"/>
      <c r="S605" s="1438"/>
      <c r="T605" s="1438"/>
      <c r="U605" s="1440"/>
      <c r="V605" s="1438"/>
      <c r="W605" s="1438"/>
      <c r="X605" s="1438"/>
      <c r="Y605" s="1383"/>
      <c r="Z605" s="1383"/>
      <c r="AA605" s="1438"/>
      <c r="AB605" s="1438"/>
      <c r="AC605" s="1438"/>
      <c r="AD605" s="1438"/>
    </row>
    <row r="606" spans="1:31" s="1441" customFormat="1" ht="15.75" customHeight="1" outlineLevel="1">
      <c r="A606" s="1468" t="s">
        <v>3234</v>
      </c>
      <c r="B606" s="1469"/>
      <c r="C606" s="1470"/>
      <c r="D606" s="1468"/>
      <c r="E606" s="1471"/>
      <c r="F606" s="1471">
        <f>C1256*D1229</f>
        <v>0</v>
      </c>
      <c r="G606" s="1468"/>
      <c r="H606" s="1468"/>
      <c r="I606" s="1468"/>
      <c r="J606" s="1468"/>
      <c r="K606" s="1468"/>
      <c r="L606" s="1468"/>
      <c r="M606" s="1468"/>
      <c r="N606" s="1468"/>
      <c r="O606" s="1438"/>
      <c r="P606" s="1383"/>
      <c r="Q606" s="1383"/>
      <c r="R606" s="1383"/>
      <c r="S606" s="1438"/>
      <c r="T606" s="1438"/>
      <c r="U606" s="1440"/>
      <c r="V606" s="1438"/>
      <c r="W606" s="1438"/>
      <c r="X606" s="1438"/>
      <c r="Y606" s="1383"/>
      <c r="Z606" s="1383"/>
      <c r="AA606" s="1438"/>
      <c r="AB606" s="1438"/>
      <c r="AC606" s="1438"/>
      <c r="AD606" s="1438"/>
    </row>
    <row r="607" spans="1:31" s="1441" customFormat="1" ht="15.75" customHeight="1" outlineLevel="1">
      <c r="A607" s="1468" t="s">
        <v>3235</v>
      </c>
      <c r="B607" s="1469"/>
      <c r="C607" s="1470"/>
      <c r="D607" s="1468"/>
      <c r="E607" s="1471"/>
      <c r="F607" s="1467">
        <f>F604+F605+F606</f>
        <v>0</v>
      </c>
      <c r="G607" s="1468" t="s">
        <v>3236</v>
      </c>
      <c r="H607" s="1468"/>
      <c r="I607" s="1468">
        <f>C1252*D1229</f>
        <v>0</v>
      </c>
      <c r="J607" s="1468"/>
      <c r="K607" s="1468"/>
      <c r="L607" s="1468"/>
      <c r="M607" s="1468"/>
      <c r="N607" s="1468"/>
      <c r="O607" s="1438"/>
      <c r="P607" s="1383"/>
      <c r="Q607" s="1383"/>
      <c r="R607" s="1383"/>
      <c r="S607" s="1438"/>
      <c r="T607" s="1438"/>
      <c r="U607" s="1440"/>
      <c r="V607" s="1438"/>
      <c r="W607" s="1438"/>
      <c r="X607" s="1438"/>
      <c r="Y607" s="1383"/>
      <c r="Z607" s="1383"/>
      <c r="AA607" s="1438"/>
      <c r="AB607" s="1438"/>
      <c r="AC607" s="1438"/>
      <c r="AD607" s="1438"/>
    </row>
    <row r="608" spans="1:31" s="1441" customFormat="1" ht="15.75" customHeight="1" outlineLevel="1">
      <c r="A608" s="1468" t="s">
        <v>3231</v>
      </c>
      <c r="B608" s="1469"/>
      <c r="C608" s="1470"/>
      <c r="D608" s="1468"/>
      <c r="E608" s="1471"/>
      <c r="F608" s="1471">
        <f>C1251*D1229</f>
        <v>0</v>
      </c>
      <c r="G608" s="1468"/>
      <c r="H608" s="1468"/>
      <c r="I608" s="1468"/>
      <c r="J608" s="1468"/>
      <c r="K608" s="1468"/>
      <c r="L608" s="1468"/>
      <c r="M608" s="1468"/>
      <c r="N608" s="1468"/>
      <c r="O608" s="1438"/>
      <c r="P608" s="1383"/>
      <c r="Q608" s="1383"/>
      <c r="R608" s="1383"/>
      <c r="S608" s="1438"/>
      <c r="T608" s="1438"/>
      <c r="U608" s="1440"/>
      <c r="V608" s="1438"/>
      <c r="W608" s="1438"/>
      <c r="X608" s="1438"/>
      <c r="Y608" s="1383"/>
      <c r="Z608" s="1383"/>
      <c r="AA608" s="1438"/>
      <c r="AB608" s="1438"/>
      <c r="AC608" s="1438"/>
      <c r="AD608" s="1438"/>
    </row>
    <row r="609" spans="1:30" s="1441" customFormat="1" ht="15.75" customHeight="1" outlineLevel="1">
      <c r="A609" s="1472" t="s">
        <v>3237</v>
      </c>
      <c r="B609" s="1473"/>
      <c r="C609" s="1474"/>
      <c r="D609" s="1475"/>
      <c r="E609" s="1476"/>
      <c r="F609" s="1476">
        <f>F124+F127+F128+F129</f>
        <v>0</v>
      </c>
      <c r="G609" s="1475"/>
      <c r="H609" s="1475"/>
      <c r="I609" s="1475"/>
      <c r="J609" s="1475"/>
      <c r="K609" s="1475"/>
      <c r="L609" s="1475"/>
      <c r="M609" s="1475"/>
      <c r="N609" s="1475"/>
      <c r="O609" s="1438"/>
      <c r="P609" s="1383"/>
      <c r="Q609" s="1383"/>
      <c r="R609" s="1383"/>
      <c r="S609" s="1438"/>
      <c r="T609" s="1438"/>
      <c r="U609" s="1440"/>
      <c r="V609" s="1438"/>
      <c r="W609" s="1438"/>
      <c r="X609" s="1438"/>
      <c r="Y609" s="1383"/>
      <c r="Z609" s="1383"/>
      <c r="AA609" s="1438"/>
      <c r="AB609" s="1438"/>
      <c r="AC609" s="1438"/>
      <c r="AD609" s="1438"/>
    </row>
    <row r="610" spans="1:30" s="1441" customFormat="1" ht="15.75" customHeight="1" outlineLevel="1">
      <c r="A610" s="1472" t="s">
        <v>3238</v>
      </c>
      <c r="B610" s="1473"/>
      <c r="C610" s="1474"/>
      <c r="D610" s="1475"/>
      <c r="E610" s="1476"/>
      <c r="F610" s="1476">
        <f>F375+F376+F377+F378+F385+F386+F387+F388</f>
        <v>0</v>
      </c>
      <c r="G610" s="1475"/>
      <c r="H610" s="1475"/>
      <c r="I610" s="1475"/>
      <c r="J610" s="1475"/>
      <c r="K610" s="1475"/>
      <c r="L610" s="1475"/>
      <c r="M610" s="1475"/>
      <c r="N610" s="1475"/>
      <c r="O610" s="1438"/>
      <c r="P610" s="1383"/>
      <c r="Q610" s="1383"/>
      <c r="R610" s="1383"/>
      <c r="S610" s="1438"/>
      <c r="T610" s="1438"/>
      <c r="U610" s="1440"/>
      <c r="V610" s="1438"/>
      <c r="W610" s="1438"/>
      <c r="X610" s="1438"/>
      <c r="Y610" s="1383"/>
      <c r="Z610" s="1383"/>
      <c r="AA610" s="1438"/>
      <c r="AB610" s="1438"/>
      <c r="AC610" s="1438"/>
      <c r="AD610" s="1438"/>
    </row>
    <row r="611" spans="1:30" s="1441" customFormat="1" ht="15.75" customHeight="1" outlineLevel="1">
      <c r="A611" s="1472" t="s">
        <v>3239</v>
      </c>
      <c r="B611" s="1473"/>
      <c r="C611" s="1474"/>
      <c r="D611" s="1475"/>
      <c r="E611" s="1476"/>
      <c r="F611" s="1476">
        <f>F380+F381+F382+F383+F390+F391+F392+F393</f>
        <v>0</v>
      </c>
      <c r="G611" s="1475"/>
      <c r="H611" s="1475"/>
      <c r="I611" s="1475"/>
      <c r="J611" s="1475"/>
      <c r="K611" s="1475"/>
      <c r="L611" s="1475"/>
      <c r="M611" s="1475"/>
      <c r="N611" s="1475"/>
      <c r="O611" s="1438"/>
      <c r="P611" s="1383"/>
      <c r="Q611" s="1383"/>
      <c r="R611" s="1383"/>
      <c r="S611" s="1438"/>
      <c r="T611" s="1438"/>
      <c r="U611" s="1440"/>
      <c r="V611" s="1438"/>
      <c r="W611" s="1438"/>
      <c r="X611" s="1438"/>
      <c r="Y611" s="1383"/>
      <c r="Z611" s="1383"/>
      <c r="AA611" s="1438"/>
      <c r="AB611" s="1438"/>
      <c r="AC611" s="1438"/>
      <c r="AD611" s="1438"/>
    </row>
    <row r="612" spans="1:30" s="1441" customFormat="1" ht="15.75" customHeight="1" outlineLevel="1">
      <c r="A612" s="1472" t="s">
        <v>3240</v>
      </c>
      <c r="B612" s="1473"/>
      <c r="C612" s="1474"/>
      <c r="D612" s="1475"/>
      <c r="E612" s="1476"/>
      <c r="F612" s="1467">
        <f>F598+F604+F609-E47-E48-E49-E50-E51-E57-E59-E60-E74-E75-E76+F614+F615-I607-I602+F599+F600+F605+F606</f>
        <v>-1.2</v>
      </c>
      <c r="G612" s="1475">
        <f>F598+F604+F609-E47-E48-E49-E50-E51-E57-E59-E60-E74-E75-E76+F614+F615-I607-I602</f>
        <v>-1.2</v>
      </c>
      <c r="H612" s="1475"/>
      <c r="I612" s="1475"/>
      <c r="J612" s="1475"/>
      <c r="K612" s="1475"/>
      <c r="L612" s="1475"/>
      <c r="M612" s="1475"/>
      <c r="N612" s="1475"/>
      <c r="O612" s="1438"/>
      <c r="P612" s="1383"/>
      <c r="Q612" s="1383"/>
      <c r="R612" s="1383"/>
      <c r="S612" s="1438"/>
      <c r="T612" s="1438"/>
      <c r="U612" s="1440"/>
      <c r="V612" s="1438"/>
      <c r="W612" s="1438"/>
      <c r="X612" s="1438"/>
      <c r="Y612" s="1383"/>
      <c r="Z612" s="1383"/>
      <c r="AA612" s="1438"/>
      <c r="AB612" s="1438"/>
      <c r="AC612" s="1438"/>
      <c r="AD612" s="1438"/>
    </row>
    <row r="613" spans="1:30" s="1441" customFormat="1" ht="15.75" customHeight="1" outlineLevel="1">
      <c r="A613" s="1472" t="s">
        <v>3241</v>
      </c>
      <c r="B613" s="1333" t="s">
        <v>3242</v>
      </c>
      <c r="C613" s="1334"/>
      <c r="D613" s="1477"/>
      <c r="E613" s="1478"/>
      <c r="F613" s="1478">
        <f>F598+F604+F609-E47-E48-E49-E50-E51-E57-E59-E60-E74-E75-E76-I607-I602</f>
        <v>-1.2</v>
      </c>
      <c r="G613" s="1475"/>
      <c r="H613" s="1475"/>
      <c r="I613" s="1475"/>
      <c r="J613" s="1475"/>
      <c r="K613" s="1475"/>
      <c r="L613" s="1475"/>
      <c r="M613" s="1475"/>
      <c r="N613" s="1475"/>
      <c r="O613" s="1438"/>
      <c r="P613" s="1383"/>
      <c r="Q613" s="1383"/>
      <c r="R613" s="1383"/>
      <c r="S613" s="1438"/>
      <c r="T613" s="1438"/>
      <c r="U613" s="1440"/>
      <c r="V613" s="1438"/>
      <c r="W613" s="1438"/>
      <c r="X613" s="1438"/>
      <c r="Y613" s="1383"/>
      <c r="Z613" s="1383"/>
      <c r="AA613" s="1438"/>
      <c r="AB613" s="1438"/>
      <c r="AC613" s="1438"/>
      <c r="AD613" s="1438"/>
    </row>
    <row r="614" spans="1:30" s="1441" customFormat="1" ht="15.75" customHeight="1" outlineLevel="1">
      <c r="A614" s="1472" t="s">
        <v>3243</v>
      </c>
      <c r="B614" s="1473"/>
      <c r="C614" s="1474"/>
      <c r="D614" s="1475"/>
      <c r="E614" s="1476"/>
      <c r="F614" s="1476">
        <f>(S131)*E43*D43</f>
        <v>0</v>
      </c>
      <c r="G614" s="1475"/>
      <c r="H614" s="1475"/>
      <c r="I614" s="1475"/>
      <c r="J614" s="1475"/>
      <c r="K614" s="1475"/>
      <c r="L614" s="1475"/>
      <c r="M614" s="1475"/>
      <c r="N614" s="1475"/>
      <c r="O614" s="1438"/>
      <c r="P614" s="1383"/>
      <c r="Q614" s="1383"/>
      <c r="R614" s="1383"/>
      <c r="S614" s="1438"/>
      <c r="T614" s="1438"/>
      <c r="U614" s="1440"/>
      <c r="V614" s="1438"/>
      <c r="W614" s="1438"/>
      <c r="X614" s="1438"/>
      <c r="Y614" s="1383"/>
      <c r="Z614" s="1383"/>
      <c r="AA614" s="1438"/>
      <c r="AB614" s="1438"/>
      <c r="AC614" s="1438"/>
      <c r="AD614" s="1438"/>
    </row>
    <row r="615" spans="1:30" s="1441" customFormat="1" ht="15.75" customHeight="1" outlineLevel="1">
      <c r="A615" s="1472" t="s">
        <v>3244</v>
      </c>
      <c r="B615" s="1473"/>
      <c r="C615" s="1474"/>
      <c r="D615" s="1475"/>
      <c r="E615" s="1476"/>
      <c r="F615" s="1476">
        <f>S131*E44*D44</f>
        <v>0</v>
      </c>
      <c r="G615" s="1475" t="s">
        <v>293</v>
      </c>
      <c r="H615" s="1475"/>
      <c r="I615" s="1475"/>
      <c r="J615" s="1475"/>
      <c r="K615" s="1475" t="s">
        <v>3245</v>
      </c>
      <c r="L615" s="1475"/>
      <c r="M615" s="1475"/>
      <c r="N615" s="1475"/>
      <c r="O615" s="1438"/>
      <c r="P615" s="1383"/>
      <c r="Q615" s="1383"/>
      <c r="R615" s="1383"/>
      <c r="S615" s="1438"/>
      <c r="T615" s="1438"/>
      <c r="U615" s="1440"/>
      <c r="V615" s="1438"/>
      <c r="W615" s="1438"/>
      <c r="X615" s="1438"/>
      <c r="Y615" s="1383"/>
      <c r="Z615" s="1383"/>
      <c r="AA615" s="1438"/>
      <c r="AB615" s="1438"/>
      <c r="AC615" s="1438"/>
      <c r="AD615" s="1438"/>
    </row>
    <row r="616" spans="1:30" s="1441" customFormat="1" ht="15.75" customHeight="1" outlineLevel="1">
      <c r="A616" s="1479" t="s">
        <v>3246</v>
      </c>
      <c r="B616" s="1480"/>
      <c r="C616" s="1481"/>
      <c r="D616" s="1482"/>
      <c r="E616" s="1483"/>
      <c r="F616" s="1483">
        <f>S379+S384+S389+S394</f>
        <v>0</v>
      </c>
      <c r="G616" s="1475">
        <f>E124+E125</f>
        <v>3</v>
      </c>
      <c r="H616" s="1475"/>
      <c r="I616" s="1475">
        <f>G616/D1532*1000</f>
        <v>15</v>
      </c>
      <c r="J616" s="1475">
        <f>CEILING(I616/3+1,1)</f>
        <v>6</v>
      </c>
      <c r="K616" s="1475">
        <f>F616*J616*2</f>
        <v>0</v>
      </c>
      <c r="L616" s="1475"/>
      <c r="M616" s="1475"/>
      <c r="N616" s="1475"/>
      <c r="O616" s="1438"/>
      <c r="P616" s="1383"/>
      <c r="Q616" s="1383"/>
      <c r="R616" s="1383"/>
      <c r="S616" s="1438"/>
      <c r="T616" s="1438"/>
      <c r="U616" s="1440"/>
      <c r="V616" s="1438"/>
      <c r="W616" s="1438"/>
      <c r="X616" s="1438"/>
      <c r="Y616" s="1383"/>
      <c r="Z616" s="1383"/>
      <c r="AA616" s="1438"/>
      <c r="AB616" s="1438"/>
      <c r="AC616" s="1438"/>
      <c r="AD616" s="1438"/>
    </row>
    <row r="617" spans="1:30" s="1441" customFormat="1" ht="15.75" customHeight="1" outlineLevel="1">
      <c r="A617" s="1484" t="s">
        <v>2591</v>
      </c>
      <c r="B617" s="1485"/>
      <c r="C617" s="1485"/>
      <c r="D617" s="1486"/>
      <c r="E617" s="1487"/>
      <c r="F617" s="1400"/>
      <c r="G617" s="1486"/>
      <c r="H617" s="1486"/>
      <c r="I617" s="1486"/>
      <c r="J617" s="1486"/>
      <c r="K617" s="1486"/>
      <c r="L617" s="1486"/>
      <c r="M617" s="1486"/>
      <c r="N617" s="1486"/>
      <c r="O617" s="1400" t="s">
        <v>3236</v>
      </c>
      <c r="P617" s="1400" t="s">
        <v>3247</v>
      </c>
      <c r="Q617" s="1401"/>
      <c r="R617" s="1401"/>
      <c r="S617" s="1400"/>
      <c r="T617" s="1400">
        <f>T130+T379+T384+T389+T394</f>
        <v>0</v>
      </c>
      <c r="U617" s="1488" t="s">
        <v>2591</v>
      </c>
      <c r="V617" s="1489">
        <f>T617-AB617</f>
        <v>0</v>
      </c>
      <c r="W617" s="1400" t="s">
        <v>3248</v>
      </c>
      <c r="X617" s="1400"/>
      <c r="Y617" s="1401"/>
      <c r="Z617" s="1401"/>
      <c r="AA617" s="1400"/>
      <c r="AB617" s="1400">
        <f>AD374+AD379+AD389</f>
        <v>0</v>
      </c>
      <c r="AC617" s="1400"/>
      <c r="AD617" s="1438"/>
    </row>
    <row r="618" spans="1:30" s="1441" customFormat="1" ht="15.75" customHeight="1">
      <c r="A618" s="1484" t="s">
        <v>2973</v>
      </c>
      <c r="B618" s="1490"/>
      <c r="C618" s="1485"/>
      <c r="D618" s="1486"/>
      <c r="E618" s="1487"/>
      <c r="F618" s="1400"/>
      <c r="G618" s="1486"/>
      <c r="H618" s="1486"/>
      <c r="I618" s="1486"/>
      <c r="J618" s="1486"/>
      <c r="K618" s="1486"/>
      <c r="L618" s="1486"/>
      <c r="M618" s="1486"/>
      <c r="N618" s="1486"/>
      <c r="O618" s="1400"/>
      <c r="P618" s="1400"/>
      <c r="Q618" s="1401"/>
      <c r="R618" s="1401"/>
      <c r="S618" s="1400"/>
      <c r="T618" s="1400"/>
      <c r="U618" s="3162" t="s">
        <v>3249</v>
      </c>
      <c r="V618" s="3162"/>
      <c r="W618" s="1491"/>
      <c r="X618" s="1491"/>
      <c r="Y618" s="1492"/>
      <c r="Z618" s="1401"/>
      <c r="AA618" s="1400"/>
      <c r="AB618" s="1400"/>
      <c r="AC618" s="1400"/>
      <c r="AD618" s="1438"/>
    </row>
    <row r="619" spans="1:30" ht="15.75" customHeight="1" outlineLevel="1">
      <c r="A619" s="1396" t="s">
        <v>3250</v>
      </c>
      <c r="B619" s="1342" t="s">
        <v>120</v>
      </c>
      <c r="C619" s="1374" t="s">
        <v>853</v>
      </c>
      <c r="D619" s="1018" t="s">
        <v>1802</v>
      </c>
      <c r="E619" s="1330" t="s">
        <v>293</v>
      </c>
      <c r="F619" s="1330" t="s">
        <v>2974</v>
      </c>
      <c r="G619" s="1018" t="s">
        <v>2156</v>
      </c>
      <c r="H619" s="1018"/>
      <c r="I619" s="1018" t="s">
        <v>2807</v>
      </c>
      <c r="J619" s="1018" t="s">
        <v>2975</v>
      </c>
      <c r="K619" s="1018" t="s">
        <v>1800</v>
      </c>
      <c r="L619" s="1018"/>
      <c r="M619" s="1018"/>
      <c r="N619" s="1018"/>
      <c r="O619" s="982" t="s">
        <v>2976</v>
      </c>
      <c r="P619" s="1397" t="s">
        <v>2977</v>
      </c>
      <c r="Q619" s="1397" t="s">
        <v>2978</v>
      </c>
      <c r="R619" s="1397" t="s">
        <v>2979</v>
      </c>
      <c r="S619" s="1055" t="s">
        <v>2572</v>
      </c>
      <c r="T619" s="982" t="s">
        <v>2980</v>
      </c>
      <c r="U619" s="1493" t="s">
        <v>3251</v>
      </c>
      <c r="V619" s="1494"/>
      <c r="W619" s="1494"/>
      <c r="X619" s="1494"/>
      <c r="Y619" s="1495"/>
      <c r="Z619" s="1496"/>
      <c r="AA619" s="982"/>
      <c r="AB619" s="982"/>
      <c r="AC619" s="982"/>
      <c r="AD619" s="982"/>
    </row>
    <row r="620" spans="1:30" ht="15.75" customHeight="1" outlineLevel="1">
      <c r="A620" s="1497" t="s">
        <v>2986</v>
      </c>
      <c r="B620" s="1342" t="s">
        <v>156</v>
      </c>
      <c r="C620" s="1247">
        <f>IF('Ввод данных'!A27=связи1!A132,C16,F16+G16)*D635</f>
        <v>0</v>
      </c>
      <c r="D620" s="1055"/>
      <c r="E620" s="1246">
        <f>C23*D624</f>
        <v>0</v>
      </c>
      <c r="F620" s="1246">
        <f t="shared" ref="F620:F625" si="63">C620*E620</f>
        <v>0</v>
      </c>
      <c r="G620" s="1055">
        <f t="shared" ref="G620:G625" si="64">G124</f>
        <v>0.6</v>
      </c>
      <c r="H620" s="1055"/>
      <c r="I620" s="1055">
        <f>CEILING(IF(E620=0,0,C620/G620+1),1)</f>
        <v>0</v>
      </c>
      <c r="J620" s="1055">
        <f>VLOOKUP('Ввод данных'!A1031,связи1!I458:O488,7,0)</f>
        <v>0.05</v>
      </c>
      <c r="K620" s="1055">
        <f t="shared" ref="K620:K625" si="65">$C$143</f>
        <v>0.15</v>
      </c>
      <c r="L620" s="1055"/>
      <c r="M620" s="1055"/>
      <c r="N620" s="1055"/>
      <c r="O620" s="1280">
        <f t="shared" ref="O620:O625" si="66">E620*I620*J620*K620</f>
        <v>0</v>
      </c>
      <c r="P620" s="1360">
        <f>C620*C130</f>
        <v>0</v>
      </c>
      <c r="Q620" s="1360">
        <f>C620*C130</f>
        <v>0</v>
      </c>
      <c r="R620" s="1360">
        <f>C620*C130</f>
        <v>0</v>
      </c>
      <c r="S620" s="1055">
        <f>C620</f>
        <v>0</v>
      </c>
      <c r="T620" s="1280">
        <f t="shared" ref="T620:T625" si="67">(P620+Q620+R620)*J620*K620</f>
        <v>0</v>
      </c>
      <c r="U620" s="1055"/>
      <c r="V620" s="1280"/>
      <c r="W620" s="1055"/>
      <c r="X620" s="1055"/>
      <c r="Y620" s="1280"/>
      <c r="Z620" s="1360"/>
      <c r="AA620" s="1055"/>
      <c r="AB620" s="1055"/>
      <c r="AC620" s="1055"/>
      <c r="AD620" s="971"/>
    </row>
    <row r="621" spans="1:30" ht="15.75" customHeight="1" outlineLevel="1">
      <c r="A621" s="1338" t="s">
        <v>3252</v>
      </c>
      <c r="B621" s="1342" t="s">
        <v>156</v>
      </c>
      <c r="C621" s="1247">
        <f>IF('Ввод данных'!A19=связи1!A128,дома!E620,дома!F23)</f>
        <v>0</v>
      </c>
      <c r="D621" s="1055">
        <f>IF('Ввод данных'!A19=связи1!A129,1,0)</f>
        <v>0</v>
      </c>
      <c r="E621" s="1246">
        <f>C23*D625</f>
        <v>0</v>
      </c>
      <c r="F621" s="1246">
        <f t="shared" si="63"/>
        <v>0</v>
      </c>
      <c r="G621" s="1055">
        <f t="shared" si="64"/>
        <v>0.6</v>
      </c>
      <c r="H621" s="1055"/>
      <c r="I621" s="1055">
        <f>CEILING(IF(E621=0,0,C624/G621+1),1)</f>
        <v>0</v>
      </c>
      <c r="J621" s="1055">
        <f>VLOOKUP('Ввод данных'!A1031,связи1!I458:O488,7,0)</f>
        <v>0.05</v>
      </c>
      <c r="K621" s="1055">
        <f t="shared" si="65"/>
        <v>0.15</v>
      </c>
      <c r="L621" s="1055"/>
      <c r="M621" s="1055"/>
      <c r="N621" s="1055"/>
      <c r="O621" s="1280">
        <f t="shared" si="66"/>
        <v>0</v>
      </c>
      <c r="P621" s="1360">
        <f>C627*C131*D635</f>
        <v>0</v>
      </c>
      <c r="Q621" s="1360">
        <f>C627*C131*D635</f>
        <v>0</v>
      </c>
      <c r="R621" s="1360">
        <f>C627*C131*D635</f>
        <v>0</v>
      </c>
      <c r="S621" s="1055">
        <f>C627*D635*D621</f>
        <v>0</v>
      </c>
      <c r="T621" s="1280">
        <f t="shared" si="67"/>
        <v>0</v>
      </c>
      <c r="U621" s="1055"/>
      <c r="V621" s="1280"/>
      <c r="W621" s="1055"/>
      <c r="X621" s="1055"/>
      <c r="Y621" s="1280"/>
      <c r="Z621" s="1360"/>
      <c r="AA621" s="1055"/>
      <c r="AB621" s="1055"/>
      <c r="AC621" s="1055"/>
      <c r="AD621" s="971"/>
    </row>
    <row r="622" spans="1:30" ht="15.75" customHeight="1" outlineLevel="1">
      <c r="A622" s="1338" t="s">
        <v>3253</v>
      </c>
      <c r="B622" s="1342" t="s">
        <v>156</v>
      </c>
      <c r="C622" s="1247">
        <f>IF('Ввод данных'!A19=связи1!A128,дома!E620,дома!G23)</f>
        <v>0</v>
      </c>
      <c r="D622" s="1498">
        <f>IF('Ввод данных'!A6=связи1!A94,0,0)+IF('Ввод данных'!A6=связи1!A95,1,0)+IF('Ввод данных'!A6=связи1!A96,1,0)+IF('Ввод данных'!A6=связи1!A98,1,0)+IF('Ввод данных'!A6=связи1!A97,0,0)</f>
        <v>0</v>
      </c>
      <c r="E622" s="1197">
        <f>C23*D625</f>
        <v>0</v>
      </c>
      <c r="F622" s="1246">
        <f t="shared" si="63"/>
        <v>0</v>
      </c>
      <c r="G622" s="1055">
        <f t="shared" si="64"/>
        <v>0.6</v>
      </c>
      <c r="H622" s="1055"/>
      <c r="I622" s="1055">
        <f>CEILING(IF(E622=0,0,C625/G622+1),1)</f>
        <v>0</v>
      </c>
      <c r="J622" s="1055">
        <f>VLOOKUP('Ввод данных'!A1031,связи1!I458:O488,7,0)</f>
        <v>0.05</v>
      </c>
      <c r="K622" s="1055">
        <f t="shared" si="65"/>
        <v>0.15</v>
      </c>
      <c r="L622" s="1055"/>
      <c r="M622" s="1055"/>
      <c r="N622" s="1055"/>
      <c r="O622" s="1280">
        <f t="shared" si="66"/>
        <v>0</v>
      </c>
      <c r="P622" s="1360">
        <f>C631*C131*D635</f>
        <v>0</v>
      </c>
      <c r="Q622" s="1360">
        <f>C631*C131*D635</f>
        <v>0</v>
      </c>
      <c r="R622" s="1360">
        <f>C631*C131*D635</f>
        <v>0</v>
      </c>
      <c r="S622" s="1055">
        <f>C631*D635*D621</f>
        <v>0</v>
      </c>
      <c r="T622" s="1280">
        <f t="shared" si="67"/>
        <v>0</v>
      </c>
      <c r="U622" s="1055"/>
      <c r="V622" s="1280"/>
      <c r="W622" s="1055"/>
      <c r="X622" s="1055"/>
      <c r="Y622" s="1280"/>
      <c r="Z622" s="1360"/>
      <c r="AA622" s="1055"/>
      <c r="AB622" s="1055"/>
      <c r="AC622" s="1055"/>
      <c r="AD622" s="971"/>
    </row>
    <row r="623" spans="1:30" ht="15.75" customHeight="1" outlineLevel="1">
      <c r="A623" s="1497" t="s">
        <v>2989</v>
      </c>
      <c r="B623" s="1342" t="s">
        <v>156</v>
      </c>
      <c r="C623" s="1247">
        <f>IF('Ввод данных'!A27=связи1!A132,C16,F16+G16)*D635</f>
        <v>0</v>
      </c>
      <c r="D623" s="1055"/>
      <c r="E623" s="1246">
        <f>E620*D624</f>
        <v>0</v>
      </c>
      <c r="F623" s="1246">
        <f t="shared" si="63"/>
        <v>0</v>
      </c>
      <c r="G623" s="1055">
        <f t="shared" si="64"/>
        <v>0.6</v>
      </c>
      <c r="H623" s="1055"/>
      <c r="I623" s="1055">
        <f>CEILING(IF(E623=0,0,C623/G623+1),1)</f>
        <v>0</v>
      </c>
      <c r="J623" s="1055">
        <f>VLOOKUP('Ввод данных'!A1031,связи1!I458:O488,7,0)</f>
        <v>0.05</v>
      </c>
      <c r="K623" s="1055">
        <f t="shared" si="65"/>
        <v>0.15</v>
      </c>
      <c r="L623" s="1055"/>
      <c r="M623" s="1055"/>
      <c r="N623" s="1055"/>
      <c r="O623" s="1280">
        <f t="shared" si="66"/>
        <v>0</v>
      </c>
      <c r="P623" s="1360">
        <f>C623*C130</f>
        <v>0</v>
      </c>
      <c r="Q623" s="1360">
        <f>C623*C130</f>
        <v>0</v>
      </c>
      <c r="R623" s="1360">
        <f>C623*C130</f>
        <v>0</v>
      </c>
      <c r="S623" s="1055">
        <f>C623</f>
        <v>0</v>
      </c>
      <c r="T623" s="1280">
        <f t="shared" si="67"/>
        <v>0</v>
      </c>
      <c r="U623" s="1055"/>
      <c r="V623" s="1280"/>
      <c r="W623" s="1055"/>
      <c r="X623" s="1055"/>
      <c r="Y623" s="1280"/>
      <c r="Z623" s="1360"/>
      <c r="AA623" s="1055"/>
      <c r="AB623" s="1055"/>
      <c r="AC623" s="1055"/>
      <c r="AD623" s="971"/>
    </row>
    <row r="624" spans="1:30" ht="15.75" customHeight="1" outlineLevel="1">
      <c r="A624" s="1338" t="s">
        <v>3254</v>
      </c>
      <c r="B624" s="1342" t="s">
        <v>156</v>
      </c>
      <c r="C624" s="1247">
        <f>C17*D635</f>
        <v>0</v>
      </c>
      <c r="D624" s="1055">
        <f>C130</f>
        <v>1</v>
      </c>
      <c r="E624" s="1246">
        <f>C621*(D624+D625)</f>
        <v>0</v>
      </c>
      <c r="F624" s="1246">
        <f t="shared" si="63"/>
        <v>0</v>
      </c>
      <c r="G624" s="1055">
        <f t="shared" si="64"/>
        <v>0.6</v>
      </c>
      <c r="H624" s="1055"/>
      <c r="I624" s="1055">
        <f>CEILING(IF(C624=0,0,C624/G624+1),1)</f>
        <v>0</v>
      </c>
      <c r="J624" s="1055">
        <f>VLOOKUP('Ввод данных'!A1031,связи1!I458:O488,7,0)</f>
        <v>0.05</v>
      </c>
      <c r="K624" s="1055">
        <f t="shared" si="65"/>
        <v>0.15</v>
      </c>
      <c r="L624" s="1055"/>
      <c r="M624" s="1055"/>
      <c r="N624" s="1055"/>
      <c r="O624" s="1280">
        <f t="shared" si="66"/>
        <v>0</v>
      </c>
      <c r="P624" s="1360">
        <f>C624</f>
        <v>0</v>
      </c>
      <c r="Q624" s="1360">
        <f>C624</f>
        <v>0</v>
      </c>
      <c r="R624" s="1360">
        <f>C624</f>
        <v>0</v>
      </c>
      <c r="S624" s="1055">
        <f>C624</f>
        <v>0</v>
      </c>
      <c r="T624" s="1280">
        <f t="shared" si="67"/>
        <v>0</v>
      </c>
      <c r="U624" s="1055"/>
      <c r="V624" s="1280"/>
      <c r="W624" s="1055"/>
      <c r="X624" s="1055"/>
      <c r="Y624" s="1280"/>
      <c r="Z624" s="1360"/>
      <c r="AA624" s="1055"/>
      <c r="AB624" s="1055"/>
      <c r="AC624" s="1055"/>
      <c r="AD624" s="971"/>
    </row>
    <row r="625" spans="1:30" ht="15.75" customHeight="1" outlineLevel="1">
      <c r="A625" s="1338" t="s">
        <v>3255</v>
      </c>
      <c r="B625" s="1342" t="s">
        <v>156</v>
      </c>
      <c r="C625" s="1247">
        <f>C17*D635</f>
        <v>0</v>
      </c>
      <c r="D625" s="1055">
        <f>C131</f>
        <v>0</v>
      </c>
      <c r="E625" s="1246">
        <f>C622*(D624+D625)</f>
        <v>0</v>
      </c>
      <c r="F625" s="1246">
        <f t="shared" si="63"/>
        <v>0</v>
      </c>
      <c r="G625" s="1055">
        <f t="shared" si="64"/>
        <v>0.6</v>
      </c>
      <c r="H625" s="1055"/>
      <c r="I625" s="1055">
        <f>CEILING(IF(C625=0,0,C625/G625+1),1)</f>
        <v>0</v>
      </c>
      <c r="J625" s="1055">
        <f>VLOOKUP('Ввод данных'!A1031,связи1!I458:O488,7,0)</f>
        <v>0.05</v>
      </c>
      <c r="K625" s="1055">
        <f t="shared" si="65"/>
        <v>0.15</v>
      </c>
      <c r="L625" s="1055"/>
      <c r="M625" s="1055"/>
      <c r="N625" s="1055"/>
      <c r="O625" s="1280">
        <f t="shared" si="66"/>
        <v>0</v>
      </c>
      <c r="P625" s="1360">
        <f>C625</f>
        <v>0</v>
      </c>
      <c r="Q625" s="1360">
        <f>C625</f>
        <v>0</v>
      </c>
      <c r="R625" s="1360">
        <f>C625</f>
        <v>0</v>
      </c>
      <c r="S625" s="1055">
        <f>C625</f>
        <v>0</v>
      </c>
      <c r="T625" s="1280">
        <f t="shared" si="67"/>
        <v>0</v>
      </c>
      <c r="U625" s="1055"/>
      <c r="V625" s="1280"/>
      <c r="W625" s="1055"/>
      <c r="X625" s="1055"/>
      <c r="Y625" s="1280"/>
      <c r="Z625" s="1360"/>
      <c r="AA625" s="1055"/>
      <c r="AB625" s="1055"/>
      <c r="AC625" s="1055"/>
      <c r="AD625" s="971"/>
    </row>
    <row r="626" spans="1:30" ht="15.75" customHeight="1" outlineLevel="1">
      <c r="A626" s="1402" t="s">
        <v>3256</v>
      </c>
      <c r="B626" s="1403"/>
      <c r="C626" s="1404"/>
      <c r="D626" s="1405"/>
      <c r="E626" s="1406"/>
      <c r="F626" s="1406">
        <f>F620+F623+F624+F625+(F621+F622)</f>
        <v>0</v>
      </c>
      <c r="G626" s="1055"/>
      <c r="H626" s="1055"/>
      <c r="I626" s="1055"/>
      <c r="J626" s="1055"/>
      <c r="K626" s="1055"/>
      <c r="L626" s="1055"/>
      <c r="M626" s="1055"/>
      <c r="N626" s="1055"/>
      <c r="O626" s="1280"/>
      <c r="P626" s="1360">
        <f>SUM(P620:P625)</f>
        <v>0</v>
      </c>
      <c r="Q626" s="1360">
        <f>SUM(Q620:Q625)</f>
        <v>0</v>
      </c>
      <c r="R626" s="1360">
        <f>SUM(R620:R625)</f>
        <v>0</v>
      </c>
      <c r="S626" s="1055"/>
      <c r="T626" s="1280"/>
      <c r="U626" s="1279"/>
      <c r="V626" s="1280"/>
      <c r="W626" s="1499"/>
      <c r="X626" s="1499"/>
      <c r="Y626" s="1280"/>
      <c r="Z626" s="1360"/>
      <c r="AA626" s="1055"/>
      <c r="AB626" s="1055"/>
      <c r="AC626" s="1055"/>
      <c r="AD626" s="971"/>
    </row>
    <row r="627" spans="1:30" ht="15.75" customHeight="1" outlineLevel="1">
      <c r="A627" s="1407" t="s">
        <v>2995</v>
      </c>
      <c r="B627" s="1408" t="s">
        <v>156</v>
      </c>
      <c r="C627" s="1282">
        <f>IF('Ввод данных'!A27=связи1!A132,C16/2,Z48)</f>
        <v>5</v>
      </c>
      <c r="D627" s="1280"/>
      <c r="E627" s="1295">
        <f>IF('Ввод данных'!A6=связи1!A95,связи1!K206,0)+IF('Ввод данных'!A6=связи1!A96,связи1!K206,0)+IF('Ввод данных'!A6=связи1!A98,связи1!K206,0)</f>
        <v>0</v>
      </c>
      <c r="F627" s="1246"/>
      <c r="G627" s="1055"/>
      <c r="H627" s="1055"/>
      <c r="I627" s="1055" t="s">
        <v>3257</v>
      </c>
      <c r="J627" s="1055"/>
      <c r="K627" s="1055"/>
      <c r="L627" s="1055" t="s">
        <v>3258</v>
      </c>
      <c r="M627" s="1055"/>
      <c r="N627" s="1055"/>
      <c r="O627" s="1280"/>
      <c r="P627" s="1360"/>
      <c r="Q627" s="1360"/>
      <c r="R627" s="1360"/>
      <c r="S627" s="1055"/>
      <c r="T627" s="1280"/>
      <c r="U627" s="1279"/>
      <c r="V627" s="1280"/>
      <c r="W627" s="1499"/>
      <c r="X627" s="1499"/>
      <c r="Y627" s="1280"/>
      <c r="Z627" s="1360"/>
      <c r="AA627" s="1055"/>
      <c r="AB627" s="1055"/>
      <c r="AC627" s="1055"/>
      <c r="AD627" s="971"/>
    </row>
    <row r="628" spans="1:30" ht="15.75" customHeight="1" outlineLevel="1">
      <c r="A628" s="1399" t="s">
        <v>2996</v>
      </c>
      <c r="B628" s="1342" t="s">
        <v>156</v>
      </c>
      <c r="C628" s="1247">
        <f>SQRT((E627-E620)*(E627-E620)+C627*C627)</f>
        <v>5</v>
      </c>
      <c r="D628" s="1055" t="s">
        <v>1936</v>
      </c>
      <c r="E628" s="1246" t="s">
        <v>2997</v>
      </c>
      <c r="F628" s="1246">
        <f>(E627-E620)/C628</f>
        <v>0</v>
      </c>
      <c r="G628" s="1055"/>
      <c r="H628" s="1055"/>
      <c r="I628" s="1055" t="s">
        <v>3259</v>
      </c>
      <c r="J628" s="1055"/>
      <c r="K628" s="1055">
        <f>O1140</f>
        <v>11.180339887498949</v>
      </c>
      <c r="L628" s="1055">
        <f>'Ввод данных'!C11</f>
        <v>10</v>
      </c>
      <c r="M628" s="1055"/>
      <c r="N628" s="1055"/>
      <c r="O628" s="1280"/>
      <c r="P628" s="1360"/>
      <c r="Q628" s="1360"/>
      <c r="R628" s="1360"/>
      <c r="S628" s="1055"/>
      <c r="T628" s="1280"/>
      <c r="U628" s="1279"/>
      <c r="V628" s="1280"/>
      <c r="W628" s="1499"/>
      <c r="X628" s="1499"/>
      <c r="Y628" s="1280"/>
      <c r="Z628" s="1360"/>
      <c r="AA628" s="1055"/>
      <c r="AB628" s="1055"/>
      <c r="AC628" s="1055"/>
      <c r="AD628" s="971"/>
    </row>
    <row r="629" spans="1:30" ht="15.75" customHeight="1" outlineLevel="1">
      <c r="A629" s="1399" t="s">
        <v>2998</v>
      </c>
      <c r="B629" s="1342" t="s">
        <v>159</v>
      </c>
      <c r="C629" s="1247">
        <f>CEILING(C627/G620,1)</f>
        <v>9</v>
      </c>
      <c r="D629" s="1055">
        <f>CEILING(C629,1)</f>
        <v>9</v>
      </c>
      <c r="E629" s="1246"/>
      <c r="F629" s="1246"/>
      <c r="G629" s="1055"/>
      <c r="H629" s="1055"/>
      <c r="I629" s="1055" t="s">
        <v>3260</v>
      </c>
      <c r="J629" s="1055"/>
      <c r="K629" s="1055">
        <f>O1142</f>
        <v>11.180339887498949</v>
      </c>
      <c r="L629" s="1055">
        <f>'Ввод данных'!C12</f>
        <v>10</v>
      </c>
      <c r="M629" s="1055"/>
      <c r="N629" s="1055"/>
      <c r="O629" s="1280"/>
      <c r="P629" s="1360"/>
      <c r="Q629" s="1360"/>
      <c r="R629" s="1360"/>
      <c r="S629" s="1055"/>
      <c r="T629" s="1280"/>
      <c r="U629" s="1279"/>
      <c r="V629" s="1280"/>
      <c r="W629" s="1499"/>
      <c r="X629" s="1499"/>
      <c r="Y629" s="1280"/>
      <c r="Z629" s="1360"/>
      <c r="AA629" s="1055"/>
      <c r="AB629" s="1055"/>
      <c r="AC629" s="1055"/>
      <c r="AD629" s="971"/>
    </row>
    <row r="630" spans="1:30" ht="15.75" customHeight="1" outlineLevel="1">
      <c r="A630" s="1399" t="s">
        <v>2999</v>
      </c>
      <c r="B630" s="1342" t="s">
        <v>156</v>
      </c>
      <c r="C630" s="1247">
        <f>(E627-C621)/D629</f>
        <v>0</v>
      </c>
      <c r="D630" s="1055"/>
      <c r="E630" s="1246"/>
      <c r="F630" s="1246"/>
      <c r="G630" s="1055"/>
      <c r="H630" s="1055"/>
      <c r="I630" s="1055" t="s">
        <v>3261</v>
      </c>
      <c r="J630" s="1055"/>
      <c r="K630" s="1055">
        <f>CEILING(L629/G620+1,1)</f>
        <v>18</v>
      </c>
      <c r="L630" s="1055"/>
      <c r="M630" s="1055"/>
      <c r="N630" s="1055"/>
      <c r="O630" s="1280"/>
      <c r="P630" s="1360"/>
      <c r="Q630" s="1360"/>
      <c r="R630" s="1360"/>
      <c r="S630" s="1055"/>
      <c r="T630" s="1280"/>
      <c r="U630" s="1279"/>
      <c r="V630" s="1280"/>
      <c r="W630" s="1499"/>
      <c r="X630" s="1499"/>
      <c r="Y630" s="1280"/>
      <c r="Z630" s="1360"/>
      <c r="AA630" s="1055"/>
      <c r="AB630" s="1055"/>
      <c r="AC630" s="1055"/>
      <c r="AD630" s="971"/>
    </row>
    <row r="631" spans="1:30" ht="15.75" customHeight="1" outlineLevel="1">
      <c r="A631" s="1407" t="s">
        <v>3000</v>
      </c>
      <c r="B631" s="1408" t="s">
        <v>156</v>
      </c>
      <c r="C631" s="1282">
        <f>IF('Ввод данных'!A27=связи1!A132,C16/2,дома!AA48)</f>
        <v>5</v>
      </c>
      <c r="D631" s="1280"/>
      <c r="E631" s="1295">
        <f>IF('Ввод данных'!A6=связи1!A95,связи1!K206,0)+IF('Ввод данных'!A6=связи1!A96,связи1!K206,0)+IF('Ввод данных'!A6=связи1!A98,связи1!K206,0)</f>
        <v>0</v>
      </c>
      <c r="F631" s="1246"/>
      <c r="G631" s="1055"/>
      <c r="H631" s="1055"/>
      <c r="I631" s="1055" t="s">
        <v>3262</v>
      </c>
      <c r="J631" s="1055"/>
      <c r="K631" s="1055">
        <f>CEILING(L628/G620+1,1)</f>
        <v>18</v>
      </c>
      <c r="L631" s="1055"/>
      <c r="M631" s="1055"/>
      <c r="N631" s="1055"/>
      <c r="O631" s="1280"/>
      <c r="P631" s="1360"/>
      <c r="Q631" s="1360"/>
      <c r="R631" s="1360"/>
      <c r="S631" s="1055"/>
      <c r="T631" s="1280"/>
      <c r="U631" s="1279"/>
      <c r="V631" s="1280"/>
      <c r="W631" s="1499"/>
      <c r="X631" s="1499"/>
      <c r="Y631" s="1280"/>
      <c r="Z631" s="1360"/>
      <c r="AA631" s="1055"/>
      <c r="AB631" s="1055"/>
      <c r="AC631" s="1055"/>
      <c r="AD631" s="971"/>
    </row>
    <row r="632" spans="1:30" ht="15.75" customHeight="1" outlineLevel="1">
      <c r="A632" s="1399" t="s">
        <v>3001</v>
      </c>
      <c r="B632" s="1342"/>
      <c r="C632" s="1247"/>
      <c r="D632" s="1055"/>
      <c r="E632" s="1246"/>
      <c r="F632" s="1246">
        <f>SQRT(C631*C631+(E631-E620)*(E631-E620))</f>
        <v>5</v>
      </c>
      <c r="G632" s="1055"/>
      <c r="H632" s="1055"/>
      <c r="I632" s="1405" t="s">
        <v>3263</v>
      </c>
      <c r="J632" s="1405"/>
      <c r="K632" s="1405">
        <f>(связи1!K206-связи1!K207)/K630</f>
        <v>0.19999999999999998</v>
      </c>
      <c r="L632" s="1055"/>
      <c r="M632" s="1055"/>
      <c r="N632" s="1055"/>
      <c r="O632" s="1280"/>
      <c r="P632" s="1360"/>
      <c r="Q632" s="1360"/>
      <c r="R632" s="1360"/>
      <c r="S632" s="1055"/>
      <c r="T632" s="1280"/>
      <c r="U632" s="1279"/>
      <c r="V632" s="1280"/>
      <c r="W632" s="1499"/>
      <c r="X632" s="1499"/>
      <c r="Y632" s="1280"/>
      <c r="Z632" s="1360"/>
      <c r="AA632" s="1055"/>
      <c r="AB632" s="1055"/>
      <c r="AC632" s="1055"/>
      <c r="AD632" s="971"/>
    </row>
    <row r="633" spans="1:30" ht="15.75" customHeight="1" outlineLevel="1">
      <c r="A633" s="1399" t="s">
        <v>3002</v>
      </c>
      <c r="B633" s="1409"/>
      <c r="C633" s="1410"/>
      <c r="D633" s="1275"/>
      <c r="E633" s="1411"/>
      <c r="F633" s="1411">
        <f>C631/G620</f>
        <v>8.3333333333333339</v>
      </c>
      <c r="G633" s="1275">
        <f>CEILING(F633,1)</f>
        <v>9</v>
      </c>
      <c r="H633" s="1275"/>
      <c r="I633" s="1405" t="s">
        <v>3264</v>
      </c>
      <c r="J633" s="1405"/>
      <c r="K633" s="1405">
        <f>(связи1!K206-связи1!K207)/K631</f>
        <v>0.19999999999999998</v>
      </c>
      <c r="L633" s="1055"/>
      <c r="M633" s="1055"/>
      <c r="N633" s="1055"/>
      <c r="O633" s="1280"/>
      <c r="P633" s="1360"/>
      <c r="Q633" s="1360"/>
      <c r="R633" s="1360"/>
      <c r="S633" s="1055"/>
      <c r="T633" s="1280"/>
      <c r="U633" s="1279"/>
      <c r="V633" s="1280"/>
      <c r="W633" s="1499"/>
      <c r="X633" s="1499"/>
      <c r="Y633" s="1280"/>
      <c r="Z633" s="1360"/>
      <c r="AA633" s="1055"/>
      <c r="AB633" s="1055"/>
      <c r="AC633" s="1055"/>
      <c r="AD633" s="971"/>
    </row>
    <row r="634" spans="1:30" ht="15.75" customHeight="1" outlineLevel="1">
      <c r="A634" s="1399" t="s">
        <v>3003</v>
      </c>
      <c r="B634" s="1339"/>
      <c r="C634" s="1339"/>
      <c r="D634" s="1055"/>
      <c r="E634" s="1246"/>
      <c r="F634" s="1246">
        <f>(E627-C622)/G633</f>
        <v>0</v>
      </c>
      <c r="G634" s="1055"/>
      <c r="H634" s="1055"/>
      <c r="I634" s="1055"/>
      <c r="J634" s="1055"/>
      <c r="K634" s="1055"/>
      <c r="L634" s="1055"/>
      <c r="M634" s="1055"/>
      <c r="N634" s="1055"/>
      <c r="O634" s="1280"/>
      <c r="P634" s="1360"/>
      <c r="Q634" s="1360"/>
      <c r="R634" s="1360"/>
      <c r="S634" s="1055"/>
      <c r="T634" s="1280"/>
      <c r="U634" s="1279"/>
      <c r="V634" s="1280"/>
      <c r="W634" s="1499"/>
      <c r="X634" s="1499"/>
      <c r="Y634" s="1280"/>
      <c r="Z634" s="1360"/>
      <c r="AA634" s="1055"/>
      <c r="AB634" s="1055"/>
      <c r="AC634" s="1055"/>
      <c r="AD634" s="971"/>
    </row>
    <row r="635" spans="1:30" ht="15.75" customHeight="1" outlineLevel="1">
      <c r="A635" s="1338" t="s">
        <v>3265</v>
      </c>
      <c r="B635" s="1339"/>
      <c r="C635" s="1339"/>
      <c r="D635" s="1055">
        <f>IF('Ввод данных'!A6=связи1!A95,1,0)+IF('Ввод данных'!A6=связи1!A96,1,0)+IF('Ввод данных'!A6=связи1!A98,1,0)</f>
        <v>0</v>
      </c>
      <c r="E635" s="1246"/>
      <c r="F635" s="1246"/>
      <c r="G635" s="1055"/>
      <c r="H635" s="1055"/>
      <c r="I635" s="1055"/>
      <c r="J635" s="1055"/>
      <c r="K635" s="1055"/>
      <c r="L635" s="1055"/>
      <c r="M635" s="1055"/>
      <c r="N635" s="1055"/>
      <c r="O635" s="1280"/>
      <c r="P635" s="1360"/>
      <c r="Q635" s="1360"/>
      <c r="R635" s="1360"/>
      <c r="S635" s="1055"/>
      <c r="T635" s="1280"/>
      <c r="U635" s="1279"/>
      <c r="V635" s="1280"/>
      <c r="W635" s="1499"/>
      <c r="X635" s="1499"/>
      <c r="Y635" s="1280"/>
      <c r="Z635" s="1360"/>
      <c r="AA635" s="1055"/>
      <c r="AB635" s="1055"/>
      <c r="AC635" s="1055"/>
      <c r="AD635" s="971"/>
    </row>
    <row r="636" spans="1:30" ht="15.75" customHeight="1" outlineLevel="1">
      <c r="A636" s="1412" t="s">
        <v>3005</v>
      </c>
      <c r="B636" s="1413" t="s">
        <v>120</v>
      </c>
      <c r="C636" s="1018" t="s">
        <v>1800</v>
      </c>
      <c r="D636" s="1018" t="s">
        <v>2975</v>
      </c>
      <c r="E636" s="1330" t="s">
        <v>3006</v>
      </c>
      <c r="F636" s="1330" t="s">
        <v>1802</v>
      </c>
      <c r="G636" s="1018" t="s">
        <v>3007</v>
      </c>
      <c r="H636" s="1018"/>
      <c r="I636" s="1055"/>
      <c r="J636" s="1055"/>
      <c r="K636" s="1055"/>
      <c r="L636" s="1055"/>
      <c r="M636" s="1055"/>
      <c r="N636" s="1055"/>
      <c r="O636" s="1280"/>
      <c r="P636" s="1360"/>
      <c r="Q636" s="1360"/>
      <c r="R636" s="1360"/>
      <c r="S636" s="1055"/>
      <c r="T636" s="1280"/>
      <c r="U636" s="1279"/>
      <c r="V636" s="1280"/>
      <c r="W636" s="1499"/>
      <c r="X636" s="1499"/>
      <c r="Y636" s="1280"/>
      <c r="Z636" s="1360"/>
      <c r="AA636" s="1055"/>
      <c r="AB636" s="1055"/>
      <c r="AC636" s="1055"/>
      <c r="AD636" s="971"/>
    </row>
    <row r="637" spans="1:30" ht="15.75" customHeight="1" outlineLevel="1">
      <c r="A637" s="1414" t="s">
        <v>3143</v>
      </c>
      <c r="B637" s="1330" t="s">
        <v>156</v>
      </c>
      <c r="C637" s="1339">
        <f t="shared" ref="C637:C646" si="68">$C$143</f>
        <v>0.15</v>
      </c>
      <c r="D637" s="1055">
        <f t="shared" ref="D637:D646" si="69">$J$620</f>
        <v>0.05</v>
      </c>
      <c r="E637" s="1246">
        <f>IF('Ввод данных'!A6=связи1!A95,E620,0)+IF('Ввод данных'!A6=связи1!A96,0,0)+IF('Ввод данных'!A6=связи1!A98,0,0)</f>
        <v>0</v>
      </c>
      <c r="F637" s="1246">
        <f>(I620+I623)*IF('Ввод данных'!A6=связи1!A95,1,0)*IF('Ввод данных'!$F$237=связи1!$A$2,1,0)</f>
        <v>0</v>
      </c>
      <c r="G637" s="1055">
        <f t="shared" ref="G637:G647" si="70">C637*D637*E637*F637</f>
        <v>0</v>
      </c>
      <c r="H637" s="1055"/>
      <c r="I637" s="1055"/>
      <c r="J637" s="1055"/>
      <c r="K637" s="1055"/>
      <c r="L637" s="1055"/>
      <c r="M637" s="1055"/>
      <c r="N637" s="1055"/>
      <c r="O637" s="1280"/>
      <c r="P637" s="1360"/>
      <c r="Q637" s="1360"/>
      <c r="R637" s="1360"/>
      <c r="S637" s="1055"/>
      <c r="T637" s="1280"/>
      <c r="U637" s="1279"/>
      <c r="V637" s="1280"/>
      <c r="W637" s="1499"/>
      <c r="X637" s="1499"/>
      <c r="Y637" s="1280"/>
      <c r="Z637" s="1360"/>
      <c r="AA637" s="1055"/>
      <c r="AB637" s="1055"/>
      <c r="AC637" s="1055"/>
      <c r="AD637" s="971"/>
    </row>
    <row r="638" spans="1:30" ht="15.75" customHeight="1" outlineLevel="1">
      <c r="A638" s="1414" t="s">
        <v>3141</v>
      </c>
      <c r="B638" s="1330" t="s">
        <v>156</v>
      </c>
      <c r="C638" s="1339">
        <f t="shared" si="68"/>
        <v>0.15</v>
      </c>
      <c r="D638" s="1055">
        <f t="shared" si="69"/>
        <v>0.05</v>
      </c>
      <c r="E638" s="1246">
        <f>(IF('Ввод данных'!A6=связи1!A95,E621,0)+IF('Ввод данных'!A6=связи1!A96,C621,0)+IF('Ввод данных'!A6=связи1!A98,C621,0))*D621</f>
        <v>0</v>
      </c>
      <c r="F638" s="1246">
        <f>I621*IF('Ввод данных'!$F$237=связи1!$A$2,1,0)</f>
        <v>0</v>
      </c>
      <c r="G638" s="1055">
        <f t="shared" si="70"/>
        <v>0</v>
      </c>
      <c r="H638" s="1055"/>
      <c r="I638" s="1055"/>
      <c r="J638" s="1055"/>
      <c r="K638" s="1055"/>
      <c r="L638" s="1055"/>
      <c r="M638" s="1055"/>
      <c r="N638" s="1055"/>
      <c r="O638" s="1280"/>
      <c r="P638" s="1360"/>
      <c r="Q638" s="1360"/>
      <c r="R638" s="1360"/>
      <c r="S638" s="1055"/>
      <c r="T638" s="1280"/>
      <c r="U638" s="1279"/>
      <c r="V638" s="1280"/>
      <c r="W638" s="1499"/>
      <c r="X638" s="1499"/>
      <c r="Y638" s="1280"/>
      <c r="Z638" s="1360"/>
      <c r="AA638" s="1055"/>
      <c r="AB638" s="1055"/>
      <c r="AC638" s="1055"/>
      <c r="AD638" s="971"/>
    </row>
    <row r="639" spans="1:30" ht="15.75" customHeight="1" outlineLevel="1">
      <c r="A639" s="1414" t="s">
        <v>3142</v>
      </c>
      <c r="B639" s="1330" t="s">
        <v>156</v>
      </c>
      <c r="C639" s="1339">
        <f t="shared" si="68"/>
        <v>0.15</v>
      </c>
      <c r="D639" s="1055">
        <f t="shared" si="69"/>
        <v>0.05</v>
      </c>
      <c r="E639" s="1246">
        <f>(IF('Ввод данных'!A6=связи1!A95,E622,0)+IF('Ввод данных'!A6=связи1!A96,C622,0)+IF('Ввод данных'!A6=связи1!A98,C622,0))*D621</f>
        <v>0</v>
      </c>
      <c r="F639" s="1246">
        <f>I622*IF('Ввод данных'!$F$237=связи1!$A$2,1,0)</f>
        <v>0</v>
      </c>
      <c r="G639" s="1055">
        <f t="shared" si="70"/>
        <v>0</v>
      </c>
      <c r="H639" s="1055"/>
      <c r="I639" s="1055"/>
      <c r="J639" s="1055"/>
      <c r="K639" s="1055"/>
      <c r="L639" s="1055"/>
      <c r="M639" s="1055"/>
      <c r="N639" s="1055"/>
      <c r="O639" s="1280"/>
      <c r="P639" s="1360"/>
      <c r="Q639" s="1360"/>
      <c r="R639" s="1360"/>
      <c r="S639" s="1055"/>
      <c r="T639" s="1280"/>
      <c r="U639" s="1279"/>
      <c r="V639" s="1280"/>
      <c r="W639" s="1499"/>
      <c r="X639" s="1499"/>
      <c r="Y639" s="1280"/>
      <c r="Z639" s="1360"/>
      <c r="AA639" s="1055"/>
      <c r="AB639" s="1055"/>
      <c r="AC639" s="1055"/>
      <c r="AD639" s="971"/>
    </row>
    <row r="640" spans="1:30" ht="15.75" customHeight="1" outlineLevel="1">
      <c r="A640" s="1414" t="s">
        <v>3266</v>
      </c>
      <c r="B640" s="1330" t="s">
        <v>156</v>
      </c>
      <c r="C640" s="1339">
        <f t="shared" si="68"/>
        <v>0.15</v>
      </c>
      <c r="D640" s="1055">
        <f t="shared" si="69"/>
        <v>0.05</v>
      </c>
      <c r="E640" s="1246">
        <f>E624</f>
        <v>0</v>
      </c>
      <c r="F640" s="1246">
        <f>I624*IF('Ввод данных'!$F$237=связи1!$A$2,1,0)</f>
        <v>0</v>
      </c>
      <c r="G640" s="1055">
        <f t="shared" si="70"/>
        <v>0</v>
      </c>
      <c r="H640" s="1055"/>
      <c r="I640" s="1055"/>
      <c r="J640" s="1055"/>
      <c r="K640" s="1055"/>
      <c r="L640" s="1055"/>
      <c r="M640" s="1055"/>
      <c r="N640" s="1055"/>
      <c r="O640" s="1280"/>
      <c r="P640" s="1360"/>
      <c r="Q640" s="1360"/>
      <c r="R640" s="1360"/>
      <c r="S640" s="1055"/>
      <c r="T640" s="1280"/>
      <c r="U640" s="1279"/>
      <c r="V640" s="1280"/>
      <c r="W640" s="1499"/>
      <c r="X640" s="1499"/>
      <c r="Y640" s="1280"/>
      <c r="Z640" s="1360"/>
      <c r="AA640" s="1055"/>
      <c r="AB640" s="1055"/>
      <c r="AC640" s="1055"/>
      <c r="AD640" s="971"/>
    </row>
    <row r="641" spans="1:30" ht="15.75" customHeight="1" outlineLevel="1">
      <c r="A641" s="1414" t="s">
        <v>3012</v>
      </c>
      <c r="B641" s="1330" t="s">
        <v>156</v>
      </c>
      <c r="C641" s="1339">
        <f t="shared" si="68"/>
        <v>0.15</v>
      </c>
      <c r="D641" s="1055">
        <f t="shared" si="69"/>
        <v>0.05</v>
      </c>
      <c r="E641" s="1246">
        <f>E625</f>
        <v>0</v>
      </c>
      <c r="F641" s="1246">
        <f>I625*IF('Ввод данных'!$F$237=связи1!$A$2,1,0)</f>
        <v>0</v>
      </c>
      <c r="G641" s="1055">
        <f t="shared" si="70"/>
        <v>0</v>
      </c>
      <c r="H641" s="1055"/>
      <c r="I641" s="1055"/>
      <c r="J641" s="1055"/>
      <c r="K641" s="1055"/>
      <c r="L641" s="1055"/>
      <c r="M641" s="1055"/>
      <c r="N641" s="1055"/>
      <c r="O641" s="1280"/>
      <c r="P641" s="1360"/>
      <c r="Q641" s="1360"/>
      <c r="R641" s="1360"/>
      <c r="S641" s="1055"/>
      <c r="T641" s="1280"/>
      <c r="U641" s="1279"/>
      <c r="V641" s="1280"/>
      <c r="W641" s="1499"/>
      <c r="X641" s="1499"/>
      <c r="Y641" s="1280"/>
      <c r="Z641" s="1360"/>
      <c r="AA641" s="1055"/>
      <c r="AB641" s="1055"/>
      <c r="AC641" s="1055"/>
      <c r="AD641" s="971"/>
    </row>
    <row r="642" spans="1:30" ht="15.75" customHeight="1" outlineLevel="1">
      <c r="A642" s="1055" t="s">
        <v>3267</v>
      </c>
      <c r="B642" s="1330" t="s">
        <v>156</v>
      </c>
      <c r="C642" s="1339">
        <f t="shared" si="68"/>
        <v>0.15</v>
      </c>
      <c r="D642" s="1055">
        <f t="shared" si="69"/>
        <v>0.05</v>
      </c>
      <c r="E642" s="1246">
        <f>F632*1.05</f>
        <v>5.25</v>
      </c>
      <c r="F642" s="1055">
        <f>$D$635*IF('Ввод данных'!$A$19=связи1!$A$128,2,2)*IF('Ввод данных'!$F$237=связи1!$A$2,1,0)</f>
        <v>0</v>
      </c>
      <c r="G642" s="1055">
        <f t="shared" si="70"/>
        <v>0</v>
      </c>
      <c r="H642" s="1055"/>
      <c r="I642" s="1055"/>
      <c r="J642" s="1055"/>
      <c r="K642" s="1055"/>
      <c r="L642" s="1055"/>
      <c r="M642" s="1055"/>
      <c r="N642" s="1055"/>
      <c r="O642" s="1280"/>
      <c r="P642" s="1360"/>
      <c r="Q642" s="1360"/>
      <c r="R642" s="1360"/>
      <c r="S642" s="1055"/>
      <c r="T642" s="1280"/>
      <c r="U642" s="1279"/>
      <c r="V642" s="1280"/>
      <c r="W642" s="1499"/>
      <c r="X642" s="1499"/>
      <c r="Y642" s="1280"/>
      <c r="Z642" s="1360"/>
      <c r="AA642" s="1055"/>
      <c r="AB642" s="1055"/>
      <c r="AC642" s="1055"/>
      <c r="AD642" s="971"/>
    </row>
    <row r="643" spans="1:30" ht="15.75" customHeight="1" outlineLevel="1">
      <c r="A643" s="1055" t="s">
        <v>3268</v>
      </c>
      <c r="B643" s="1330" t="s">
        <v>156</v>
      </c>
      <c r="C643" s="1339">
        <f t="shared" si="68"/>
        <v>0.15</v>
      </c>
      <c r="D643" s="1055">
        <f t="shared" si="69"/>
        <v>0.05</v>
      </c>
      <c r="E643" s="1246">
        <f>C631</f>
        <v>5</v>
      </c>
      <c r="F643" s="1055">
        <f>$D$635*IF('Ввод данных'!$A$19=связи1!$A$128,2,2)*IF('Ввод данных'!$F$237=связи1!$A$2,1,0)</f>
        <v>0</v>
      </c>
      <c r="G643" s="1055">
        <f t="shared" si="70"/>
        <v>0</v>
      </c>
      <c r="H643" s="1055"/>
      <c r="I643" s="1055"/>
      <c r="J643" s="1055"/>
      <c r="K643" s="1055"/>
      <c r="L643" s="1055"/>
      <c r="M643" s="1055"/>
      <c r="N643" s="1055"/>
      <c r="O643" s="1280"/>
      <c r="P643" s="1360"/>
      <c r="Q643" s="1360"/>
      <c r="R643" s="1360"/>
      <c r="S643" s="1055"/>
      <c r="T643" s="1280"/>
      <c r="U643" s="1279"/>
      <c r="V643" s="1280"/>
      <c r="W643" s="1499"/>
      <c r="X643" s="1499"/>
      <c r="Y643" s="1280"/>
      <c r="Z643" s="1360"/>
      <c r="AA643" s="1055"/>
      <c r="AB643" s="1055"/>
      <c r="AC643" s="1055"/>
      <c r="AD643" s="971"/>
    </row>
    <row r="644" spans="1:30" ht="15.75" customHeight="1" outlineLevel="1">
      <c r="A644" s="1055" t="s">
        <v>3269</v>
      </c>
      <c r="B644" s="1330" t="s">
        <v>156</v>
      </c>
      <c r="C644" s="1339">
        <f t="shared" si="68"/>
        <v>0.15</v>
      </c>
      <c r="D644" s="1055">
        <f t="shared" si="69"/>
        <v>0.05</v>
      </c>
      <c r="E644" s="1246">
        <f>E642</f>
        <v>5.25</v>
      </c>
      <c r="F644" s="1055">
        <f>$D$635*IF('Ввод данных'!$A$19=связи1!$A$128,2,2)*IF('Ввод данных'!$F$237=связи1!$A$2,1,0)</f>
        <v>0</v>
      </c>
      <c r="G644" s="1055">
        <f t="shared" si="70"/>
        <v>0</v>
      </c>
      <c r="H644" s="1055"/>
      <c r="I644" s="1055"/>
      <c r="J644" s="1055"/>
      <c r="K644" s="1055"/>
      <c r="L644" s="1055"/>
      <c r="M644" s="1055"/>
      <c r="N644" s="1055"/>
      <c r="O644" s="1280"/>
      <c r="P644" s="1360"/>
      <c r="Q644" s="1360"/>
      <c r="R644" s="1360"/>
      <c r="S644" s="1055"/>
      <c r="T644" s="1280"/>
      <c r="U644" s="1279"/>
      <c r="V644" s="1280"/>
      <c r="W644" s="1499"/>
      <c r="X644" s="1499"/>
      <c r="Y644" s="1280"/>
      <c r="Z644" s="1360"/>
      <c r="AA644" s="1055"/>
      <c r="AB644" s="1055"/>
      <c r="AC644" s="1055"/>
      <c r="AD644" s="971"/>
    </row>
    <row r="645" spans="1:30" ht="15.75" customHeight="1" outlineLevel="1">
      <c r="A645" s="1055" t="s">
        <v>3270</v>
      </c>
      <c r="B645" s="1330" t="s">
        <v>156</v>
      </c>
      <c r="C645" s="1339">
        <f t="shared" si="68"/>
        <v>0.15</v>
      </c>
      <c r="D645" s="1055">
        <f t="shared" si="69"/>
        <v>0.05</v>
      </c>
      <c r="E645" s="1246">
        <f>P626+Q626</f>
        <v>0</v>
      </c>
      <c r="F645" s="1055">
        <f>1*IF('Ввод данных'!$F$237=связи1!$A$2,1,0)</f>
        <v>0</v>
      </c>
      <c r="G645" s="1055">
        <f t="shared" si="70"/>
        <v>0</v>
      </c>
      <c r="H645" s="1055"/>
      <c r="I645" s="1055"/>
      <c r="J645" s="1055"/>
      <c r="K645" s="1055"/>
      <c r="L645" s="1055"/>
      <c r="M645" s="1055"/>
      <c r="N645" s="1055"/>
      <c r="O645" s="1280"/>
      <c r="P645" s="1360"/>
      <c r="Q645" s="1360"/>
      <c r="R645" s="1360"/>
      <c r="S645" s="1055"/>
      <c r="T645" s="1280"/>
      <c r="U645" s="1279"/>
      <c r="V645" s="1280"/>
      <c r="W645" s="1499"/>
      <c r="X645" s="1499"/>
      <c r="Y645" s="1280"/>
      <c r="Z645" s="1360"/>
      <c r="AA645" s="1055"/>
      <c r="AB645" s="1055"/>
      <c r="AC645" s="1055"/>
      <c r="AD645" s="971"/>
    </row>
    <row r="646" spans="1:30" ht="15.75" customHeight="1" outlineLevel="1">
      <c r="A646" s="1055" t="s">
        <v>3271</v>
      </c>
      <c r="B646" s="1330" t="s">
        <v>156</v>
      </c>
      <c r="C646" s="1339">
        <f t="shared" si="68"/>
        <v>0.15</v>
      </c>
      <c r="D646" s="1055">
        <f t="shared" si="69"/>
        <v>0.05</v>
      </c>
      <c r="E646" s="1246">
        <f>R626</f>
        <v>0</v>
      </c>
      <c r="F646" s="1055">
        <f>1*IF('Ввод данных'!$F$237=связи1!$A$2,1,0)</f>
        <v>0</v>
      </c>
      <c r="G646" s="1055">
        <f t="shared" si="70"/>
        <v>0</v>
      </c>
      <c r="H646" s="1055"/>
      <c r="I646" s="1055"/>
      <c r="J646" s="1055"/>
      <c r="K646" s="1055"/>
      <c r="L646" s="1055"/>
      <c r="M646" s="1055"/>
      <c r="N646" s="1055"/>
      <c r="O646" s="1280"/>
      <c r="P646" s="1360"/>
      <c r="Q646" s="1360"/>
      <c r="R646" s="1360"/>
      <c r="S646" s="1055"/>
      <c r="T646" s="1280"/>
      <c r="U646" s="1279"/>
      <c r="V646" s="1280"/>
      <c r="W646" s="1499"/>
      <c r="X646" s="1499"/>
      <c r="Y646" s="1280"/>
      <c r="Z646" s="1360"/>
      <c r="AA646" s="1055"/>
      <c r="AB646" s="1055"/>
      <c r="AC646" s="1055"/>
      <c r="AD646" s="971"/>
    </row>
    <row r="647" spans="1:30" ht="15.75" customHeight="1" outlineLevel="1">
      <c r="A647" s="1500" t="s">
        <v>3272</v>
      </c>
      <c r="B647" s="1501" t="s">
        <v>156</v>
      </c>
      <c r="C647" s="1454">
        <f>$C$151</f>
        <v>0.12</v>
      </c>
      <c r="D647" s="1452">
        <f>$J$375</f>
        <v>0.05</v>
      </c>
      <c r="E647" s="1455">
        <f>E836</f>
        <v>0</v>
      </c>
      <c r="F647" s="1452">
        <f>(I840+I850)</f>
        <v>0</v>
      </c>
      <c r="G647" s="1452">
        <f t="shared" si="70"/>
        <v>0</v>
      </c>
      <c r="H647" s="1452"/>
      <c r="I647" s="1055"/>
      <c r="J647" s="1055"/>
      <c r="K647" s="1055"/>
      <c r="L647" s="1055"/>
      <c r="M647" s="1055"/>
      <c r="N647" s="1055"/>
      <c r="O647" s="1280"/>
      <c r="P647" s="1360"/>
      <c r="Q647" s="1360"/>
      <c r="R647" s="1360"/>
      <c r="S647" s="1055"/>
      <c r="T647" s="1280"/>
      <c r="U647" s="1279"/>
      <c r="V647" s="1280"/>
      <c r="W647" s="1499"/>
      <c r="X647" s="1499"/>
      <c r="Y647" s="1280"/>
      <c r="Z647" s="1360"/>
      <c r="AA647" s="1055"/>
      <c r="AB647" s="1055"/>
      <c r="AC647" s="1055"/>
      <c r="AD647" s="971"/>
    </row>
    <row r="648" spans="1:30" ht="15.75" customHeight="1" outlineLevel="1">
      <c r="A648" s="1500" t="s">
        <v>3273</v>
      </c>
      <c r="B648" s="1501" t="s">
        <v>156</v>
      </c>
      <c r="C648" s="1454">
        <f>$C$151</f>
        <v>0.12</v>
      </c>
      <c r="D648" s="1452">
        <f>$J$375</f>
        <v>0.05</v>
      </c>
      <c r="E648" s="1455">
        <f>P840+P850+Q840+Q850</f>
        <v>0</v>
      </c>
      <c r="F648" s="1452"/>
      <c r="G648" s="1452">
        <f>C648*D648*E648</f>
        <v>0</v>
      </c>
      <c r="H648" s="1452"/>
      <c r="I648" s="1055"/>
      <c r="J648" s="1055"/>
      <c r="K648" s="1055"/>
      <c r="L648" s="1055"/>
      <c r="M648" s="1055"/>
      <c r="N648" s="1055"/>
      <c r="O648" s="1280"/>
      <c r="P648" s="1360"/>
      <c r="Q648" s="1360"/>
      <c r="R648" s="1360"/>
      <c r="S648" s="1055"/>
      <c r="T648" s="1280"/>
      <c r="U648" s="1279"/>
      <c r="V648" s="1280"/>
      <c r="W648" s="1499"/>
      <c r="X648" s="1499"/>
      <c r="Y648" s="1280"/>
      <c r="Z648" s="1360"/>
      <c r="AA648" s="1055"/>
      <c r="AB648" s="1055"/>
      <c r="AC648" s="1055"/>
      <c r="AD648" s="971"/>
    </row>
    <row r="649" spans="1:30" ht="15.75" customHeight="1" outlineLevel="1">
      <c r="A649" s="1500" t="s">
        <v>3274</v>
      </c>
      <c r="B649" s="1501" t="s">
        <v>156</v>
      </c>
      <c r="C649" s="1454">
        <f>$C$151</f>
        <v>0.12</v>
      </c>
      <c r="D649" s="1452">
        <f>$J$375</f>
        <v>0.05</v>
      </c>
      <c r="E649" s="1455">
        <f>R840+R850</f>
        <v>0</v>
      </c>
      <c r="F649" s="1452"/>
      <c r="G649" s="1452">
        <f>C649*D649*E649</f>
        <v>0</v>
      </c>
      <c r="H649" s="1452"/>
      <c r="I649" s="1055"/>
      <c r="J649" s="1055"/>
      <c r="K649" s="1055"/>
      <c r="L649" s="1055"/>
      <c r="M649" s="1055"/>
      <c r="N649" s="1055"/>
      <c r="O649" s="1280"/>
      <c r="P649" s="1360"/>
      <c r="Q649" s="1360"/>
      <c r="R649" s="1360"/>
      <c r="S649" s="1055"/>
      <c r="T649" s="1280"/>
      <c r="U649" s="1279"/>
      <c r="V649" s="1280"/>
      <c r="W649" s="1499"/>
      <c r="X649" s="1499"/>
      <c r="Y649" s="1280"/>
      <c r="Z649" s="1360"/>
      <c r="AA649" s="1055"/>
      <c r="AB649" s="1055"/>
      <c r="AC649" s="1055"/>
      <c r="AD649" s="971"/>
    </row>
    <row r="650" spans="1:30" ht="15.75" customHeight="1" outlineLevel="1">
      <c r="A650" s="1500" t="s">
        <v>3275</v>
      </c>
      <c r="B650" s="1501" t="s">
        <v>156</v>
      </c>
      <c r="C650" s="1454">
        <f>$C$180</f>
        <v>0.17</v>
      </c>
      <c r="D650" s="1452">
        <f>$D$180</f>
        <v>0.05</v>
      </c>
      <c r="E650" s="1455">
        <f>E841</f>
        <v>0</v>
      </c>
      <c r="F650" s="1452">
        <f>I845+I855</f>
        <v>0</v>
      </c>
      <c r="G650" s="1452">
        <f>C650*D650*E650*F650</f>
        <v>0</v>
      </c>
      <c r="H650" s="1452"/>
      <c r="I650" s="1055"/>
      <c r="J650" s="1055"/>
      <c r="K650" s="1055"/>
      <c r="L650" s="1055"/>
      <c r="M650" s="1055"/>
      <c r="N650" s="1055"/>
      <c r="O650" s="1280"/>
      <c r="P650" s="1360"/>
      <c r="Q650" s="1360"/>
      <c r="R650" s="1360"/>
      <c r="S650" s="1055"/>
      <c r="T650" s="1280"/>
      <c r="U650" s="1279"/>
      <c r="V650" s="1280"/>
      <c r="W650" s="1499"/>
      <c r="X650" s="1499"/>
      <c r="Y650" s="1280"/>
      <c r="Z650" s="1360"/>
      <c r="AA650" s="1055"/>
      <c r="AB650" s="1055"/>
      <c r="AC650" s="1055"/>
      <c r="AD650" s="971"/>
    </row>
    <row r="651" spans="1:30" ht="15.75" customHeight="1" outlineLevel="1">
      <c r="A651" s="1500" t="s">
        <v>3276</v>
      </c>
      <c r="B651" s="1501" t="s">
        <v>156</v>
      </c>
      <c r="C651" s="1454">
        <f>$C$180</f>
        <v>0.17</v>
      </c>
      <c r="D651" s="1452">
        <f>$D$180</f>
        <v>0.05</v>
      </c>
      <c r="E651" s="1455">
        <f>P845+P855+Q845+Q855</f>
        <v>0</v>
      </c>
      <c r="F651" s="1452"/>
      <c r="G651" s="1452">
        <f>C651*D651*E651</f>
        <v>0</v>
      </c>
      <c r="H651" s="1452"/>
      <c r="I651" s="1055"/>
      <c r="J651" s="1055"/>
      <c r="K651" s="1055"/>
      <c r="L651" s="1055"/>
      <c r="M651" s="1055"/>
      <c r="N651" s="1055"/>
      <c r="O651" s="1280"/>
      <c r="P651" s="1360"/>
      <c r="Q651" s="1360"/>
      <c r="R651" s="1360"/>
      <c r="S651" s="1055"/>
      <c r="T651" s="1280"/>
      <c r="U651" s="1279"/>
      <c r="V651" s="1280"/>
      <c r="W651" s="1499"/>
      <c r="X651" s="1499"/>
      <c r="Y651" s="1280"/>
      <c r="Z651" s="1360"/>
      <c r="AA651" s="1055"/>
      <c r="AB651" s="1055"/>
      <c r="AC651" s="1055"/>
      <c r="AD651" s="971"/>
    </row>
    <row r="652" spans="1:30" ht="15.75" customHeight="1" outlineLevel="1">
      <c r="A652" s="1055" t="s">
        <v>3277</v>
      </c>
      <c r="B652" s="1330" t="s">
        <v>156</v>
      </c>
      <c r="C652" s="1339">
        <f t="shared" ref="C652:C683" si="71">$C$143</f>
        <v>0.15</v>
      </c>
      <c r="D652" s="1055">
        <f t="shared" ref="D652:D683" si="72">$J$620</f>
        <v>0.05</v>
      </c>
      <c r="E652" s="551">
        <f>IF('Ввод данных'!A6=связи1!A95,C621,0)+IF('Ввод данных'!A6=связи1!A96,дома!C621,0)+IF('Ввод данных'!A6=связи1!A98,дома!C621,0)</f>
        <v>0</v>
      </c>
      <c r="F652" s="551">
        <f>IF(E652&lt;($E$627+0.5),1,0)*$D$635*IF('Ввод данных'!$A$19=связи1!$A$128,2,2)*IF('Ввод данных'!$F$237=связи1!$A$2,1,0)</f>
        <v>0</v>
      </c>
      <c r="G652" s="1055">
        <f t="shared" ref="G652:G683" si="73">C652*D652*E652*F652</f>
        <v>0</v>
      </c>
      <c r="H652" s="1055"/>
      <c r="I652" s="1055"/>
      <c r="J652" s="1055"/>
      <c r="K652" s="1055"/>
      <c r="L652" s="1055"/>
      <c r="M652" s="1055"/>
      <c r="N652" s="1055"/>
      <c r="O652" s="1280"/>
      <c r="P652" s="1360"/>
      <c r="Q652" s="1360"/>
      <c r="R652" s="1360"/>
      <c r="S652" s="1055"/>
      <c r="T652" s="1280"/>
      <c r="U652" s="1279"/>
      <c r="V652" s="1280"/>
      <c r="W652" s="1499"/>
      <c r="X652" s="1499"/>
      <c r="Y652" s="1280"/>
      <c r="Z652" s="1360"/>
      <c r="AA652" s="1055"/>
      <c r="AB652" s="1055"/>
      <c r="AC652" s="1055"/>
      <c r="AD652" s="971"/>
    </row>
    <row r="653" spans="1:30" ht="15.75" customHeight="1" outlineLevel="1">
      <c r="A653" s="1055" t="s">
        <v>3278</v>
      </c>
      <c r="B653" s="1330" t="s">
        <v>156</v>
      </c>
      <c r="C653" s="1339">
        <f t="shared" si="71"/>
        <v>0.15</v>
      </c>
      <c r="D653" s="1055">
        <f t="shared" si="72"/>
        <v>0.05</v>
      </c>
      <c r="E653" s="1055">
        <f>IF(E652=0,0,IF('Ввод данных'!$A$6=связи1!$A$95,IF(дома!E652+дома!$C$630&lt;дома!$E$627+0.3,дома!E652+дома!$C$630,0),0))+IF(E652=0,0,IF('Ввод данных'!$A$6=связи1!$A$96,IF(дома!E652+0.05+дома!$C$630&gt;дома!$E$627+0.4,0,дома!E652+дома!$C$630),0))+IF(E652=0,0,IF('Ввод данных'!$A$6=связи1!$A$98,IF(дома!E652+0.05+дома!$C$630&gt;дома!$E$627+0.4,0,дома!E652+дома!$C$630),0))</f>
        <v>0</v>
      </c>
      <c r="F653" s="551">
        <f>IF(E653&lt;($E$627+0.5),1,0)*$D$635*IF('Ввод данных'!$A$19=связи1!$A$128,2,2)*IF('Ввод данных'!$F$237=связи1!$A$2,1,0)</f>
        <v>0</v>
      </c>
      <c r="G653" s="1055">
        <f t="shared" si="73"/>
        <v>0</v>
      </c>
      <c r="H653" s="1055"/>
      <c r="I653" s="1055"/>
      <c r="J653" s="1055"/>
      <c r="K653" s="1055"/>
      <c r="L653" s="1055"/>
      <c r="M653" s="1055"/>
      <c r="N653" s="1055"/>
      <c r="O653" s="1280"/>
      <c r="P653" s="1360"/>
      <c r="Q653" s="1360"/>
      <c r="R653" s="1360"/>
      <c r="S653" s="1055"/>
      <c r="T653" s="1280"/>
      <c r="U653" s="1279"/>
      <c r="V653" s="1280"/>
      <c r="W653" s="1499"/>
      <c r="X653" s="1499"/>
      <c r="Y653" s="1280"/>
      <c r="Z653" s="1360"/>
      <c r="AA653" s="1055"/>
      <c r="AB653" s="1055"/>
      <c r="AC653" s="1055"/>
      <c r="AD653" s="971"/>
    </row>
    <row r="654" spans="1:30" ht="15.75" customHeight="1" outlineLevel="1">
      <c r="A654" s="1055" t="s">
        <v>3279</v>
      </c>
      <c r="B654" s="1330" t="s">
        <v>156</v>
      </c>
      <c r="C654" s="1339">
        <f t="shared" si="71"/>
        <v>0.15</v>
      </c>
      <c r="D654" s="1055">
        <f t="shared" si="72"/>
        <v>0.05</v>
      </c>
      <c r="E654" s="1055">
        <f>IF(E653=0,0,IF('Ввод данных'!$A$6=связи1!$A$95,IF(дома!E653+дома!$C$630&lt;дома!$E$627+0.3,дома!E653+дома!$C$630,0),0))+IF(E653=0,0,IF('Ввод данных'!$A$6=связи1!$A$96,IF(дома!E653+0.05+дома!$C$630&gt;дома!$E$627+0.4,0,дома!E653+дома!$C$630),0))+IF(E653=0,0,IF('Ввод данных'!$A$6=связи1!$A$98,IF(дома!E653+0.05+дома!$C$630&gt;дома!$E$627+0.4,0,дома!E653+дома!$C$630),0))</f>
        <v>0</v>
      </c>
      <c r="F654" s="551">
        <f>IF(E654&lt;($E$627+0.5),1,0)*$D$635*IF('Ввод данных'!$A$19=связи1!$A$128,2,2)*IF('Ввод данных'!$F$237=связи1!$A$2,1,0)</f>
        <v>0</v>
      </c>
      <c r="G654" s="1055">
        <f t="shared" si="73"/>
        <v>0</v>
      </c>
      <c r="H654" s="1055"/>
      <c r="I654" s="1055"/>
      <c r="J654" s="1055"/>
      <c r="K654" s="1055"/>
      <c r="L654" s="1055"/>
      <c r="M654" s="1055"/>
      <c r="N654" s="1055"/>
      <c r="O654" s="1280"/>
      <c r="P654" s="1360"/>
      <c r="Q654" s="1360"/>
      <c r="R654" s="1360"/>
      <c r="S654" s="1055"/>
      <c r="T654" s="1280"/>
      <c r="U654" s="1279"/>
      <c r="V654" s="1280"/>
      <c r="W654" s="1499"/>
      <c r="X654" s="1499"/>
      <c r="Y654" s="1280"/>
      <c r="Z654" s="1360"/>
      <c r="AA654" s="1055"/>
      <c r="AB654" s="1055"/>
      <c r="AC654" s="1055"/>
      <c r="AD654" s="971"/>
    </row>
    <row r="655" spans="1:30" ht="15.75" customHeight="1" outlineLevel="1">
      <c r="A655" s="1055" t="s">
        <v>3280</v>
      </c>
      <c r="B655" s="1330" t="s">
        <v>156</v>
      </c>
      <c r="C655" s="1339">
        <f t="shared" si="71"/>
        <v>0.15</v>
      </c>
      <c r="D655" s="1055">
        <f t="shared" si="72"/>
        <v>0.05</v>
      </c>
      <c r="E655" s="1055">
        <f>IF(E654=0,0,IF('Ввод данных'!$A$6=связи1!$A$95,IF(дома!E654+дома!$C$630&lt;дома!$E$627+0.3,дома!E654+дома!$C$630,0),0))+IF(E654=0,0,IF('Ввод данных'!$A$6=связи1!$A$96,IF(дома!E654+0.05+дома!$C$630&gt;дома!$E$627+0.4,0,дома!E654+дома!$C$630),0))+IF(E654=0,0,IF('Ввод данных'!$A$6=связи1!$A$98,IF(дома!E654+0.05+дома!$C$630&gt;дома!$E$627+0.4,0,дома!E654+дома!$C$630),0))</f>
        <v>0</v>
      </c>
      <c r="F655" s="551">
        <f>IF(E655&lt;($E$627+0.5),1,0)*$D$635*IF('Ввод данных'!$A$19=связи1!$A$128,2,2)*IF('Ввод данных'!$F$237=связи1!$A$2,1,0)</f>
        <v>0</v>
      </c>
      <c r="G655" s="1055">
        <f t="shared" si="73"/>
        <v>0</v>
      </c>
      <c r="H655" s="1055"/>
      <c r="I655" s="1055"/>
      <c r="J655" s="1055"/>
      <c r="K655" s="1055"/>
      <c r="L655" s="1055"/>
      <c r="M655" s="1055"/>
      <c r="N655" s="1055"/>
      <c r="O655" s="1280"/>
      <c r="P655" s="1360"/>
      <c r="Q655" s="1360"/>
      <c r="R655" s="1360"/>
      <c r="S655" s="1055"/>
      <c r="T655" s="1280"/>
      <c r="U655" s="1279"/>
      <c r="V655" s="1280"/>
      <c r="W655" s="1499"/>
      <c r="X655" s="1499"/>
      <c r="Y655" s="1280"/>
      <c r="Z655" s="1360"/>
      <c r="AA655" s="1055"/>
      <c r="AB655" s="1055"/>
      <c r="AC655" s="1055"/>
      <c r="AD655" s="971"/>
    </row>
    <row r="656" spans="1:30" ht="15.75" customHeight="1" outlineLevel="1">
      <c r="A656" s="1055" t="s">
        <v>3281</v>
      </c>
      <c r="B656" s="1330" t="s">
        <v>156</v>
      </c>
      <c r="C656" s="1339">
        <f t="shared" si="71"/>
        <v>0.15</v>
      </c>
      <c r="D656" s="1055">
        <f t="shared" si="72"/>
        <v>0.05</v>
      </c>
      <c r="E656" s="1055">
        <f>IF(E655=0,0,IF('Ввод данных'!$A$6=связи1!$A$95,IF(дома!E655+дома!$C$630&lt;дома!$E$627+0.3,дома!E655+дома!$C$630,0),0))+IF(E655=0,0,IF('Ввод данных'!$A$6=связи1!$A$96,IF(дома!E655+0.05+дома!$C$630&gt;дома!$E$627+0.4,0,дома!E655+дома!$C$630),0))+IF(E655=0,0,IF('Ввод данных'!$A$6=связи1!$A$98,IF(дома!E655+0.05+дома!$C$630&gt;дома!$E$627+0.4,0,дома!E655+дома!$C$630),0))</f>
        <v>0</v>
      </c>
      <c r="F656" s="551">
        <f>IF(E656&lt;($E$627+0.5),1,0)*$D$635*IF('Ввод данных'!$A$19=связи1!$A$128,2,2)*IF('Ввод данных'!$F$237=связи1!$A$2,1,0)</f>
        <v>0</v>
      </c>
      <c r="G656" s="1055">
        <f t="shared" si="73"/>
        <v>0</v>
      </c>
      <c r="H656" s="1055"/>
      <c r="I656" s="1055"/>
      <c r="J656" s="1055"/>
      <c r="K656" s="1055"/>
      <c r="L656" s="1055"/>
      <c r="M656" s="1055"/>
      <c r="N656" s="1055"/>
      <c r="O656" s="1280"/>
      <c r="P656" s="1360"/>
      <c r="Q656" s="1360"/>
      <c r="R656" s="1360"/>
      <c r="S656" s="1055"/>
      <c r="T656" s="1280"/>
      <c r="U656" s="1279"/>
      <c r="V656" s="1280"/>
      <c r="W656" s="1499"/>
      <c r="X656" s="1499"/>
      <c r="Y656" s="1280"/>
      <c r="Z656" s="1360"/>
      <c r="AA656" s="1055"/>
      <c r="AB656" s="1055"/>
      <c r="AC656" s="1055"/>
      <c r="AD656" s="971"/>
    </row>
    <row r="657" spans="1:30" ht="15.75" customHeight="1" outlineLevel="1">
      <c r="A657" s="1055" t="s">
        <v>3282</v>
      </c>
      <c r="B657" s="1330" t="s">
        <v>156</v>
      </c>
      <c r="C657" s="1339">
        <f t="shared" si="71"/>
        <v>0.15</v>
      </c>
      <c r="D657" s="1055">
        <f t="shared" si="72"/>
        <v>0.05</v>
      </c>
      <c r="E657" s="1055">
        <f>IF(E656=0,0,IF('Ввод данных'!$A$6=связи1!$A$95,IF(дома!E656+дома!$C$630&lt;дома!$E$627+0.3,дома!E656+дома!$C$630,0),0))+IF(E656=0,0,IF('Ввод данных'!$A$6=связи1!$A$96,IF(дома!E656+0.05+дома!$C$630&gt;дома!$E$627+0.4,0,дома!E656+дома!$C$630),0))+IF(E656=0,0,IF('Ввод данных'!$A$6=связи1!$A$98,IF(дома!E656+0.05+дома!$C$630&gt;дома!$E$627+0.4,0,дома!E656+дома!$C$630),0))</f>
        <v>0</v>
      </c>
      <c r="F657" s="551">
        <f>IF(E657&lt;($E$627+0.5),1,0)*$D$635*IF('Ввод данных'!$A$19=связи1!$A$128,2,2)*IF('Ввод данных'!$F$237=связи1!$A$2,1,0)</f>
        <v>0</v>
      </c>
      <c r="G657" s="1055">
        <f t="shared" si="73"/>
        <v>0</v>
      </c>
      <c r="H657" s="1055"/>
      <c r="I657" s="1055"/>
      <c r="J657" s="1055"/>
      <c r="K657" s="1055"/>
      <c r="L657" s="1055"/>
      <c r="M657" s="1055"/>
      <c r="N657" s="1055"/>
      <c r="O657" s="1280"/>
      <c r="P657" s="1360"/>
      <c r="Q657" s="1360"/>
      <c r="R657" s="1360"/>
      <c r="S657" s="1055"/>
      <c r="T657" s="1280"/>
      <c r="U657" s="1279"/>
      <c r="V657" s="1280"/>
      <c r="W657" s="1499"/>
      <c r="X657" s="1499"/>
      <c r="Y657" s="1280"/>
      <c r="Z657" s="1360"/>
      <c r="AA657" s="1055"/>
      <c r="AB657" s="1055"/>
      <c r="AC657" s="1055"/>
      <c r="AD657" s="971"/>
    </row>
    <row r="658" spans="1:30" ht="15.75" customHeight="1" outlineLevel="1">
      <c r="A658" s="1055" t="s">
        <v>3283</v>
      </c>
      <c r="B658" s="1330" t="s">
        <v>156</v>
      </c>
      <c r="C658" s="1339">
        <f t="shared" si="71"/>
        <v>0.15</v>
      </c>
      <c r="D658" s="1055">
        <f t="shared" si="72"/>
        <v>0.05</v>
      </c>
      <c r="E658" s="1055">
        <f>IF(E657=0,0,IF('Ввод данных'!$A$6=связи1!$A$95,IF(дома!E657+дома!$C$630&lt;дома!$E$627+0.3,дома!E657+дома!$C$630,0),0))+IF(E657=0,0,IF('Ввод данных'!$A$6=связи1!$A$96,IF(дома!E657+0.05+дома!$C$630&gt;дома!$E$627+0.4,0,дома!E657+дома!$C$630),0))+IF(E657=0,0,IF('Ввод данных'!$A$6=связи1!$A$98,IF(дома!E657+0.05+дома!$C$630&gt;дома!$E$627+0.4,0,дома!E657+дома!$C$630),0))</f>
        <v>0</v>
      </c>
      <c r="F658" s="551">
        <f>IF(E658&lt;($E$627+0.5),1,0)*$D$635*IF('Ввод данных'!$A$19=связи1!$A$128,2,2)*IF('Ввод данных'!$F$237=связи1!$A$2,1,0)</f>
        <v>0</v>
      </c>
      <c r="G658" s="1055">
        <f t="shared" si="73"/>
        <v>0</v>
      </c>
      <c r="H658" s="1055"/>
      <c r="I658" s="1055"/>
      <c r="J658" s="1055"/>
      <c r="K658" s="1055"/>
      <c r="L658" s="1055"/>
      <c r="M658" s="1055"/>
      <c r="N658" s="1055"/>
      <c r="O658" s="1280"/>
      <c r="P658" s="1360"/>
      <c r="Q658" s="1360"/>
      <c r="R658" s="1360"/>
      <c r="S658" s="1055"/>
      <c r="T658" s="1280"/>
      <c r="U658" s="1279"/>
      <c r="V658" s="1280"/>
      <c r="W658" s="1499"/>
      <c r="X658" s="1499"/>
      <c r="Y658" s="1280"/>
      <c r="Z658" s="1360"/>
      <c r="AA658" s="1055"/>
      <c r="AB658" s="1055"/>
      <c r="AC658" s="1055"/>
      <c r="AD658" s="971"/>
    </row>
    <row r="659" spans="1:30" ht="15.75" customHeight="1" outlineLevel="1">
      <c r="A659" s="1055" t="s">
        <v>3284</v>
      </c>
      <c r="B659" s="1330" t="s">
        <v>156</v>
      </c>
      <c r="C659" s="1339">
        <f t="shared" si="71"/>
        <v>0.15</v>
      </c>
      <c r="D659" s="1055">
        <f t="shared" si="72"/>
        <v>0.05</v>
      </c>
      <c r="E659" s="1055">
        <f>IF(E658=0,0,IF('Ввод данных'!$A$6=связи1!$A$95,IF(дома!E658+дома!$C$630&lt;дома!$E$627+0.3,дома!E658+дома!$C$630,0),0))+IF(E658=0,0,IF('Ввод данных'!$A$6=связи1!$A$96,IF(дома!E658+0.05+дома!$C$630&gt;дома!$E$627+0.4,0,дома!E658+дома!$C$630),0))+IF(E658=0,0,IF('Ввод данных'!$A$6=связи1!$A$98,IF(дома!E658+0.05+дома!$C$630&gt;дома!$E$627+0.4,0,дома!E658+дома!$C$630),0))</f>
        <v>0</v>
      </c>
      <c r="F659" s="551">
        <f>IF(E659&lt;($E$627+0.5),1,0)*$D$635*IF('Ввод данных'!$A$19=связи1!$A$128,2,2)*IF('Ввод данных'!$F$237=связи1!$A$2,1,0)</f>
        <v>0</v>
      </c>
      <c r="G659" s="1055">
        <f t="shared" si="73"/>
        <v>0</v>
      </c>
      <c r="H659" s="1055"/>
      <c r="I659" s="1055"/>
      <c r="J659" s="1055"/>
      <c r="K659" s="1055"/>
      <c r="L659" s="1055"/>
      <c r="M659" s="1055"/>
      <c r="N659" s="1055"/>
      <c r="O659" s="1280"/>
      <c r="P659" s="1360"/>
      <c r="Q659" s="1360"/>
      <c r="R659" s="1360"/>
      <c r="S659" s="1055"/>
      <c r="T659" s="1280"/>
      <c r="U659" s="1279"/>
      <c r="V659" s="1280"/>
      <c r="W659" s="1499"/>
      <c r="X659" s="1499"/>
      <c r="Y659" s="1280"/>
      <c r="Z659" s="1360"/>
      <c r="AA659" s="1055"/>
      <c r="AB659" s="1055"/>
      <c r="AC659" s="1055"/>
      <c r="AD659" s="971"/>
    </row>
    <row r="660" spans="1:30" ht="15.75" customHeight="1" outlineLevel="1">
      <c r="A660" s="1055" t="s">
        <v>3285</v>
      </c>
      <c r="B660" s="1330" t="s">
        <v>156</v>
      </c>
      <c r="C660" s="1339">
        <f t="shared" si="71"/>
        <v>0.15</v>
      </c>
      <c r="D660" s="1055">
        <f t="shared" si="72"/>
        <v>0.05</v>
      </c>
      <c r="E660" s="1055">
        <f>IF(E659=0,0,IF('Ввод данных'!$A$6=связи1!$A$95,IF(дома!E659+дома!$C$630&lt;дома!$E$627+0.3,дома!E659+дома!$C$630,0),0))+IF(E659=0,0,IF('Ввод данных'!$A$6=связи1!$A$96,IF(дома!E659+0.05+дома!$C$630&gt;дома!$E$627+0.4,0,дома!E659+дома!$C$630),0))+IF(E659=0,0,IF('Ввод данных'!$A$6=связи1!$A$98,IF(дома!E659+0.05+дома!$C$630&gt;дома!$E$627+0.4,0,дома!E659+дома!$C$630),0))</f>
        <v>0</v>
      </c>
      <c r="F660" s="551">
        <f>IF(E660&lt;($E$627+0.5),1,0)*$D$635*IF('Ввод данных'!$A$19=связи1!$A$128,2,2)*IF('Ввод данных'!$F$237=связи1!$A$2,1,0)</f>
        <v>0</v>
      </c>
      <c r="G660" s="1055">
        <f t="shared" si="73"/>
        <v>0</v>
      </c>
      <c r="H660" s="1055"/>
      <c r="I660" s="1055"/>
      <c r="J660" s="1055"/>
      <c r="K660" s="1055"/>
      <c r="L660" s="1055"/>
      <c r="M660" s="1055"/>
      <c r="N660" s="1055"/>
      <c r="O660" s="1280"/>
      <c r="P660" s="1360"/>
      <c r="Q660" s="1360"/>
      <c r="R660" s="1360"/>
      <c r="S660" s="1055"/>
      <c r="T660" s="1280"/>
      <c r="U660" s="1279"/>
      <c r="V660" s="1280"/>
      <c r="W660" s="1499"/>
      <c r="X660" s="1499"/>
      <c r="Y660" s="1280"/>
      <c r="Z660" s="1360"/>
      <c r="AA660" s="1055"/>
      <c r="AB660" s="1055"/>
      <c r="AC660" s="1055"/>
      <c r="AD660" s="971"/>
    </row>
    <row r="661" spans="1:30" ht="15.75" customHeight="1" outlineLevel="1">
      <c r="A661" s="1055" t="s">
        <v>3286</v>
      </c>
      <c r="B661" s="1330" t="s">
        <v>156</v>
      </c>
      <c r="C661" s="1339">
        <f t="shared" si="71"/>
        <v>0.15</v>
      </c>
      <c r="D661" s="1055">
        <f t="shared" si="72"/>
        <v>0.05</v>
      </c>
      <c r="E661" s="1055">
        <f>IF(E660=0,0,IF('Ввод данных'!$A$6=связи1!$A$95,IF(дома!E660+дома!$C$630&lt;дома!$E$627+0.3,дома!E660+дома!$C$630,0),0))+IF(E660=0,0,IF('Ввод данных'!$A$6=связи1!$A$96,IF(дома!E660+0.05+дома!$C$630&gt;дома!$E$627+0.4,0,дома!E660+дома!$C$630),0))+IF(E660=0,0,IF('Ввод данных'!$A$6=связи1!$A$98,IF(дома!E660+0.05+дома!$C$630&gt;дома!$E$627+0.4,0,дома!E660+дома!$C$630),0))</f>
        <v>0</v>
      </c>
      <c r="F661" s="551">
        <f>IF(E661&lt;($E$627+0.5),1,0)*$D$635*IF('Ввод данных'!$A$19=связи1!$A$128,2,2)*IF('Ввод данных'!$F$237=связи1!$A$2,1,0)</f>
        <v>0</v>
      </c>
      <c r="G661" s="1055">
        <f t="shared" si="73"/>
        <v>0</v>
      </c>
      <c r="H661" s="1055"/>
      <c r="I661" s="1055"/>
      <c r="J661" s="1055"/>
      <c r="K661" s="1055"/>
      <c r="L661" s="1055"/>
      <c r="M661" s="1055"/>
      <c r="N661" s="1055"/>
      <c r="O661" s="1280"/>
      <c r="P661" s="1360"/>
      <c r="Q661" s="1360"/>
      <c r="R661" s="1360"/>
      <c r="S661" s="1055"/>
      <c r="T661" s="1280"/>
      <c r="U661" s="1279"/>
      <c r="V661" s="1280"/>
      <c r="W661" s="1499"/>
      <c r="X661" s="1499"/>
      <c r="Y661" s="1280"/>
      <c r="Z661" s="1360"/>
      <c r="AA661" s="1055"/>
      <c r="AB661" s="1055"/>
      <c r="AC661" s="1055"/>
      <c r="AD661" s="971"/>
    </row>
    <row r="662" spans="1:30" ht="15.75" customHeight="1" outlineLevel="1">
      <c r="A662" s="1055" t="s">
        <v>3287</v>
      </c>
      <c r="B662" s="1330" t="s">
        <v>156</v>
      </c>
      <c r="C662" s="1339">
        <f t="shared" si="71"/>
        <v>0.15</v>
      </c>
      <c r="D662" s="1055">
        <f t="shared" si="72"/>
        <v>0.05</v>
      </c>
      <c r="E662" s="1055">
        <f>IF(E661=0,0,IF('Ввод данных'!$A$6=связи1!$A$95,IF(дома!E661+дома!$C$630&lt;дома!$E$627+0.3,дома!E661+дома!$C$630,0),0))+IF(E661=0,0,IF('Ввод данных'!$A$6=связи1!$A$96,IF(дома!E661+0.05+дома!$C$630&gt;дома!$E$627+0.4,0,дома!E661+дома!$C$630),0))+IF(E661=0,0,IF('Ввод данных'!$A$6=связи1!$A$98,IF(дома!E661+0.05+дома!$C$630&gt;дома!$E$627+0.4,0,дома!E661+дома!$C$630),0))</f>
        <v>0</v>
      </c>
      <c r="F662" s="551">
        <f>IF(E662&lt;($E$627+0.5),1,0)*$D$635*IF('Ввод данных'!$A$19=связи1!$A$128,2,2)*IF('Ввод данных'!$F$237=связи1!$A$2,1,0)</f>
        <v>0</v>
      </c>
      <c r="G662" s="1055">
        <f t="shared" si="73"/>
        <v>0</v>
      </c>
      <c r="H662" s="1055"/>
      <c r="I662" s="1055"/>
      <c r="J662" s="1055"/>
      <c r="K662" s="1055"/>
      <c r="L662" s="1055"/>
      <c r="M662" s="1055"/>
      <c r="N662" s="1055"/>
      <c r="O662" s="1280"/>
      <c r="P662" s="1360"/>
      <c r="Q662" s="1360"/>
      <c r="R662" s="1360"/>
      <c r="S662" s="1055"/>
      <c r="T662" s="1280"/>
      <c r="U662" s="1279"/>
      <c r="V662" s="1280"/>
      <c r="W662" s="1499"/>
      <c r="X662" s="1499"/>
      <c r="Y662" s="1280"/>
      <c r="Z662" s="1360"/>
      <c r="AA662" s="1055"/>
      <c r="AB662" s="1055"/>
      <c r="AC662" s="1055"/>
      <c r="AD662" s="971"/>
    </row>
    <row r="663" spans="1:30" ht="15.75" customHeight="1" outlineLevel="1">
      <c r="A663" s="1055" t="s">
        <v>3288</v>
      </c>
      <c r="B663" s="1330" t="s">
        <v>156</v>
      </c>
      <c r="C663" s="1339">
        <f t="shared" si="71"/>
        <v>0.15</v>
      </c>
      <c r="D663" s="1055">
        <f t="shared" si="72"/>
        <v>0.05</v>
      </c>
      <c r="E663" s="1055">
        <f>IF(E662=0,0,IF('Ввод данных'!$A$6=связи1!$A$95,IF(дома!E662+дома!$C$630&lt;дома!$E$627+0.3,дома!E662+дома!$C$630,0),0))+IF(E662=0,0,IF('Ввод данных'!$A$6=связи1!$A$96,IF(дома!E662+0.05+дома!$C$630&gt;дома!$E$627+0.4,0,дома!E662+дома!$C$630),0))+IF(E662=0,0,IF('Ввод данных'!$A$6=связи1!$A$98,IF(дома!E662+0.05+дома!$C$630&gt;дома!$E$627+0.4,0,дома!E662+дома!$C$630),0))</f>
        <v>0</v>
      </c>
      <c r="F663" s="551">
        <f>IF(E663&lt;($E$627+0.5),1,0)*$D$635*IF('Ввод данных'!$A$19=связи1!$A$128,2,2)*IF('Ввод данных'!$F$237=связи1!$A$2,1,0)</f>
        <v>0</v>
      </c>
      <c r="G663" s="1055">
        <f t="shared" si="73"/>
        <v>0</v>
      </c>
      <c r="H663" s="1055"/>
      <c r="I663" s="1055"/>
      <c r="J663" s="1055"/>
      <c r="K663" s="1055"/>
      <c r="L663" s="1055"/>
      <c r="M663" s="1055"/>
      <c r="N663" s="1055"/>
      <c r="O663" s="1280"/>
      <c r="P663" s="1360"/>
      <c r="Q663" s="1360"/>
      <c r="R663" s="1360"/>
      <c r="S663" s="1055"/>
      <c r="T663" s="1280"/>
      <c r="U663" s="1279"/>
      <c r="V663" s="1280"/>
      <c r="W663" s="1499"/>
      <c r="X663" s="1499"/>
      <c r="Y663" s="1280"/>
      <c r="Z663" s="1360"/>
      <c r="AA663" s="1055"/>
      <c r="AB663" s="1055"/>
      <c r="AC663" s="1055"/>
      <c r="AD663" s="971"/>
    </row>
    <row r="664" spans="1:30" ht="15.75" customHeight="1" outlineLevel="1">
      <c r="A664" s="1055" t="s">
        <v>3289</v>
      </c>
      <c r="B664" s="1330" t="s">
        <v>156</v>
      </c>
      <c r="C664" s="1339">
        <f t="shared" si="71"/>
        <v>0.15</v>
      </c>
      <c r="D664" s="1055">
        <f t="shared" si="72"/>
        <v>0.05</v>
      </c>
      <c r="E664" s="1055">
        <f>IF(E663=0,0,IF('Ввод данных'!$A$6=связи1!$A$95,IF(дома!E663+дома!$C$630&lt;дома!$E$627+0.3,дома!E663+дома!$C$630,0),0))+IF(E663=0,0,IF('Ввод данных'!$A$6=связи1!$A$96,IF(дома!E663+0.05+дома!$C$630&gt;дома!$E$627+0.4,0,дома!E663+дома!$C$630),0))+IF(E663=0,0,IF('Ввод данных'!$A$6=связи1!$A$98,IF(дома!E663+0.05+дома!$C$630&gt;дома!$E$627+0.4,0,дома!E663+дома!$C$630),0))</f>
        <v>0</v>
      </c>
      <c r="F664" s="551">
        <f>IF(E664&lt;($E$627+0.5),1,0)*$D$635*IF('Ввод данных'!$A$19=связи1!$A$128,2,2)*IF('Ввод данных'!$F$237=связи1!$A$2,1,0)</f>
        <v>0</v>
      </c>
      <c r="G664" s="1055">
        <f t="shared" si="73"/>
        <v>0</v>
      </c>
      <c r="H664" s="1055"/>
      <c r="I664" s="1055"/>
      <c r="J664" s="1055"/>
      <c r="K664" s="1055"/>
      <c r="L664" s="1055"/>
      <c r="M664" s="1055"/>
      <c r="N664" s="1055"/>
      <c r="O664" s="1280"/>
      <c r="P664" s="1360"/>
      <c r="Q664" s="1360"/>
      <c r="R664" s="1360"/>
      <c r="S664" s="1055"/>
      <c r="T664" s="1280"/>
      <c r="U664" s="1279"/>
      <c r="V664" s="1280"/>
      <c r="W664" s="1499"/>
      <c r="X664" s="1499"/>
      <c r="Y664" s="1280"/>
      <c r="Z664" s="1360"/>
      <c r="AA664" s="1055"/>
      <c r="AB664" s="1055"/>
      <c r="AC664" s="1055"/>
      <c r="AD664" s="971"/>
    </row>
    <row r="665" spans="1:30" ht="15.75" customHeight="1" outlineLevel="1">
      <c r="A665" s="1055" t="s">
        <v>3290</v>
      </c>
      <c r="B665" s="1330" t="s">
        <v>156</v>
      </c>
      <c r="C665" s="1339">
        <f t="shared" si="71"/>
        <v>0.15</v>
      </c>
      <c r="D665" s="1055">
        <f t="shared" si="72"/>
        <v>0.05</v>
      </c>
      <c r="E665" s="1055">
        <f>IF(E664=0,0,IF('Ввод данных'!$A$6=связи1!$A$95,IF(дома!E664+дома!$C$630&lt;дома!$E$627+0.3,дома!E664+дома!$C$630,0),0))+IF(E664=0,0,IF('Ввод данных'!$A$6=связи1!$A$96,IF(дома!E664+0.05+дома!$C$630&gt;дома!$E$627+0.4,0,дома!E664+дома!$C$630),0))+IF(E664=0,0,IF('Ввод данных'!$A$6=связи1!$A$98,IF(дома!E664+0.05+дома!$C$630&gt;дома!$E$627+0.4,0,дома!E664+дома!$C$630),0))</f>
        <v>0</v>
      </c>
      <c r="F665" s="551">
        <f>IF(E665&lt;($E$627+0.5),1,0)*$D$635*IF('Ввод данных'!$A$19=связи1!$A$128,2,2)*IF('Ввод данных'!$F$237=связи1!$A$2,1,0)</f>
        <v>0</v>
      </c>
      <c r="G665" s="1055">
        <f t="shared" si="73"/>
        <v>0</v>
      </c>
      <c r="H665" s="1055"/>
      <c r="I665" s="1055"/>
      <c r="J665" s="1055"/>
      <c r="K665" s="1055"/>
      <c r="L665" s="1055"/>
      <c r="M665" s="1055"/>
      <c r="N665" s="1055"/>
      <c r="O665" s="1280"/>
      <c r="P665" s="1360"/>
      <c r="Q665" s="1360"/>
      <c r="R665" s="1360"/>
      <c r="S665" s="1055"/>
      <c r="T665" s="1280"/>
      <c r="U665" s="1279"/>
      <c r="V665" s="1280"/>
      <c r="W665" s="1499"/>
      <c r="X665" s="1499"/>
      <c r="Y665" s="1280"/>
      <c r="Z665" s="1360"/>
      <c r="AA665" s="1055"/>
      <c r="AB665" s="1055"/>
      <c r="AC665" s="1055"/>
      <c r="AD665" s="971"/>
    </row>
    <row r="666" spans="1:30" ht="15.75" customHeight="1" outlineLevel="1">
      <c r="A666" s="1055" t="s">
        <v>3291</v>
      </c>
      <c r="B666" s="1330" t="s">
        <v>156</v>
      </c>
      <c r="C666" s="1339">
        <f t="shared" si="71"/>
        <v>0.15</v>
      </c>
      <c r="D666" s="1055">
        <f t="shared" si="72"/>
        <v>0.05</v>
      </c>
      <c r="E666" s="1055">
        <f>IF(E665=0,0,IF('Ввод данных'!$A$6=связи1!$A$95,IF(дома!E665+дома!$C$630&lt;дома!$E$627+0.3,дома!E665+дома!$C$630,0),0))+IF(E665=0,0,IF('Ввод данных'!$A$6=связи1!$A$96,IF(дома!E665+0.05+дома!$C$630&gt;дома!$E$627+0.4,0,дома!E665+дома!$C$630),0))+IF(E665=0,0,IF('Ввод данных'!$A$6=связи1!$A$98,IF(дома!E665+0.05+дома!$C$630&gt;дома!$E$627+0.4,0,дома!E665+дома!$C$630),0))</f>
        <v>0</v>
      </c>
      <c r="F666" s="551">
        <f>IF(E666&lt;($E$627+0.5),1,0)*$D$635*IF('Ввод данных'!$A$19=связи1!$A$128,2,2)*IF('Ввод данных'!$F$237=связи1!$A$2,1,0)</f>
        <v>0</v>
      </c>
      <c r="G666" s="1055">
        <f t="shared" si="73"/>
        <v>0</v>
      </c>
      <c r="H666" s="1055"/>
      <c r="I666" s="1055"/>
      <c r="J666" s="1055"/>
      <c r="K666" s="1055"/>
      <c r="L666" s="1055"/>
      <c r="M666" s="1055"/>
      <c r="N666" s="1055"/>
      <c r="O666" s="1280"/>
      <c r="P666" s="1360"/>
      <c r="Q666" s="1360"/>
      <c r="R666" s="1360"/>
      <c r="S666" s="1055"/>
      <c r="T666" s="1280"/>
      <c r="U666" s="1279"/>
      <c r="V666" s="1280"/>
      <c r="W666" s="1499"/>
      <c r="X666" s="1499"/>
      <c r="Y666" s="1280"/>
      <c r="Z666" s="1360"/>
      <c r="AA666" s="1055"/>
      <c r="AB666" s="1055"/>
      <c r="AC666" s="1055"/>
      <c r="AD666" s="971"/>
    </row>
    <row r="667" spans="1:30" ht="15.75" customHeight="1" outlineLevel="1">
      <c r="A667" s="1055" t="s">
        <v>3292</v>
      </c>
      <c r="B667" s="1330" t="s">
        <v>156</v>
      </c>
      <c r="C667" s="1339">
        <f t="shared" si="71"/>
        <v>0.15</v>
      </c>
      <c r="D667" s="1055">
        <f t="shared" si="72"/>
        <v>0.05</v>
      </c>
      <c r="E667" s="1055">
        <f>IF(E666=0,0,IF('Ввод данных'!$A$6=связи1!$A$95,IF(дома!E666+дома!$C$630&lt;дома!$E$627+0.3,дома!E666+дома!$C$630,0),0))+IF(E666=0,0,IF('Ввод данных'!$A$6=связи1!$A$96,IF(дома!E666+0.05+дома!$C$630&gt;дома!$E$627+0.4,0,дома!E666+дома!$C$630),0))+IF(E666=0,0,IF('Ввод данных'!$A$6=связи1!$A$98,IF(дома!E666+0.05+дома!$C$630&gt;дома!$E$627+0.4,0,дома!E666+дома!$C$630),0))</f>
        <v>0</v>
      </c>
      <c r="F667" s="551">
        <f>IF(E667&lt;($E$627+0.5),1,0)*$D$635*IF('Ввод данных'!$A$19=связи1!$A$128,2,2)*IF('Ввод данных'!$F$237=связи1!$A$2,1,0)</f>
        <v>0</v>
      </c>
      <c r="G667" s="1055">
        <f t="shared" si="73"/>
        <v>0</v>
      </c>
      <c r="H667" s="1055"/>
      <c r="I667" s="1055"/>
      <c r="J667" s="1055"/>
      <c r="K667" s="1055"/>
      <c r="L667" s="1055"/>
      <c r="M667" s="1055"/>
      <c r="N667" s="1055"/>
      <c r="O667" s="1280"/>
      <c r="P667" s="1360"/>
      <c r="Q667" s="1360"/>
      <c r="R667" s="1360"/>
      <c r="S667" s="1055"/>
      <c r="T667" s="1280"/>
      <c r="U667" s="1279"/>
      <c r="V667" s="1280"/>
      <c r="W667" s="1499"/>
      <c r="X667" s="1499"/>
      <c r="Y667" s="1280"/>
      <c r="Z667" s="1360"/>
      <c r="AA667" s="1055"/>
      <c r="AB667" s="1055"/>
      <c r="AC667" s="1055"/>
      <c r="AD667" s="971"/>
    </row>
    <row r="668" spans="1:30" ht="15.75" customHeight="1" outlineLevel="1">
      <c r="A668" s="1055" t="s">
        <v>3293</v>
      </c>
      <c r="B668" s="1330" t="s">
        <v>156</v>
      </c>
      <c r="C668" s="1339">
        <f t="shared" si="71"/>
        <v>0.15</v>
      </c>
      <c r="D668" s="1055">
        <f t="shared" si="72"/>
        <v>0.05</v>
      </c>
      <c r="E668" s="1055">
        <f>IF(E667=0,0,IF('Ввод данных'!$A$6=связи1!$A$95,IF(дома!E667+дома!$C$630&lt;дома!$E$627+0.3,дома!E667+дома!$C$630,0),0))+IF(E667=0,0,IF('Ввод данных'!$A$6=связи1!$A$96,IF(дома!E667+0.05+дома!$C$630&gt;дома!$E$627+0.4,0,дома!E667+дома!$C$630),0))+IF(E667=0,0,IF('Ввод данных'!$A$6=связи1!$A$98,IF(дома!E667+0.05+дома!$C$630&gt;дома!$E$627+0.4,0,дома!E667+дома!$C$630),0))</f>
        <v>0</v>
      </c>
      <c r="F668" s="551">
        <f>IF(E668&lt;($E$627+0.5),1,0)*$D$635*IF('Ввод данных'!$A$19=связи1!$A$128,2,2)*IF('Ввод данных'!$F$237=связи1!$A$2,1,0)</f>
        <v>0</v>
      </c>
      <c r="G668" s="1055">
        <f t="shared" si="73"/>
        <v>0</v>
      </c>
      <c r="H668" s="1055"/>
      <c r="I668" s="1055"/>
      <c r="J668" s="1055"/>
      <c r="K668" s="1055"/>
      <c r="L668" s="1055"/>
      <c r="M668" s="1055"/>
      <c r="N668" s="1055"/>
      <c r="O668" s="1280"/>
      <c r="P668" s="1360"/>
      <c r="Q668" s="1360"/>
      <c r="R668" s="1360"/>
      <c r="S668" s="1055"/>
      <c r="T668" s="1280"/>
      <c r="U668" s="1279"/>
      <c r="V668" s="1280"/>
      <c r="W668" s="1499"/>
      <c r="X668" s="1499"/>
      <c r="Y668" s="1280"/>
      <c r="Z668" s="1360"/>
      <c r="AA668" s="1055"/>
      <c r="AB668" s="1055"/>
      <c r="AC668" s="1055"/>
      <c r="AD668" s="971"/>
    </row>
    <row r="669" spans="1:30" ht="15.75" customHeight="1" outlineLevel="1">
      <c r="A669" s="1055" t="s">
        <v>3294</v>
      </c>
      <c r="B669" s="1330" t="s">
        <v>156</v>
      </c>
      <c r="C669" s="1339">
        <f t="shared" si="71"/>
        <v>0.15</v>
      </c>
      <c r="D669" s="1055">
        <f t="shared" si="72"/>
        <v>0.05</v>
      </c>
      <c r="E669" s="1055">
        <f>IF(E668=0,0,IF('Ввод данных'!$A$6=связи1!$A$95,IF(дома!E668+дома!$C$630&lt;дома!$E$627+0.3,дома!E668+дома!$C$630,0),0))+IF(E668=0,0,IF('Ввод данных'!$A$6=связи1!$A$96,IF(дома!E668+0.05+дома!$C$630&gt;дома!$E$627+0.4,0,дома!E668+дома!$C$630),0))+IF(E668=0,0,IF('Ввод данных'!$A$6=связи1!$A$98,IF(дома!E668+0.05+дома!$C$630&gt;дома!$E$627+0.4,0,дома!E668+дома!$C$630),0))</f>
        <v>0</v>
      </c>
      <c r="F669" s="551">
        <f>IF(E669&lt;($E$627+0.5),1,0)*$D$635*IF('Ввод данных'!$A$19=связи1!$A$128,2,2)*IF('Ввод данных'!$F$237=связи1!$A$2,1,0)</f>
        <v>0</v>
      </c>
      <c r="G669" s="1055">
        <f t="shared" si="73"/>
        <v>0</v>
      </c>
      <c r="H669" s="1055"/>
      <c r="I669" s="1055"/>
      <c r="J669" s="1055"/>
      <c r="K669" s="1055"/>
      <c r="L669" s="1055"/>
      <c r="M669" s="1055"/>
      <c r="N669" s="1055"/>
      <c r="O669" s="1280"/>
      <c r="P669" s="1360"/>
      <c r="Q669" s="1360"/>
      <c r="R669" s="1360"/>
      <c r="S669" s="1055"/>
      <c r="T669" s="1280"/>
      <c r="U669" s="1279"/>
      <c r="V669" s="1280"/>
      <c r="W669" s="1499"/>
      <c r="X669" s="1499"/>
      <c r="Y669" s="1280"/>
      <c r="Z669" s="1360"/>
      <c r="AA669" s="1055"/>
      <c r="AB669" s="1055"/>
      <c r="AC669" s="1055"/>
      <c r="AD669" s="971"/>
    </row>
    <row r="670" spans="1:30" ht="15.75" customHeight="1" outlineLevel="1">
      <c r="A670" s="1055" t="s">
        <v>3295</v>
      </c>
      <c r="B670" s="1330" t="s">
        <v>156</v>
      </c>
      <c r="C670" s="1339">
        <f t="shared" si="71"/>
        <v>0.15</v>
      </c>
      <c r="D670" s="1055">
        <f t="shared" si="72"/>
        <v>0.05</v>
      </c>
      <c r="E670" s="1055">
        <f>IF(E669=0,0,IF('Ввод данных'!$A$6=связи1!$A$95,IF(дома!E669+дома!$C$630&lt;дома!$E$627+0.3,дома!E669+дома!$C$630,0),0))+IF(E669=0,0,IF('Ввод данных'!$A$6=связи1!$A$96,IF(дома!E669+0.05+дома!$C$630&gt;дома!$E$627+0.4,0,дома!E669+дома!$C$630),0))+IF(E669=0,0,IF('Ввод данных'!$A$6=связи1!$A$98,IF(дома!E669+0.05+дома!$C$630&gt;дома!$E$627+0.4,0,дома!E669+дома!$C$630),0))</f>
        <v>0</v>
      </c>
      <c r="F670" s="551">
        <f>IF(E670&lt;($E$627+0.5),1,0)*$D$635*IF('Ввод данных'!$A$19=связи1!$A$128,2,2)*IF('Ввод данных'!$F$237=связи1!$A$2,1,0)</f>
        <v>0</v>
      </c>
      <c r="G670" s="1055">
        <f t="shared" si="73"/>
        <v>0</v>
      </c>
      <c r="H670" s="1055"/>
      <c r="I670" s="1055"/>
      <c r="J670" s="1055"/>
      <c r="K670" s="1055"/>
      <c r="L670" s="1055"/>
      <c r="M670" s="1055"/>
      <c r="N670" s="1055"/>
      <c r="O670" s="1280"/>
      <c r="P670" s="1360"/>
      <c r="Q670" s="1360"/>
      <c r="R670" s="1360"/>
      <c r="S670" s="1055"/>
      <c r="T670" s="1280"/>
      <c r="U670" s="1279"/>
      <c r="V670" s="1280"/>
      <c r="W670" s="1499"/>
      <c r="X670" s="1499"/>
      <c r="Y670" s="1280"/>
      <c r="Z670" s="1360"/>
      <c r="AA670" s="1055"/>
      <c r="AB670" s="1055"/>
      <c r="AC670" s="1055"/>
      <c r="AD670" s="971"/>
    </row>
    <row r="671" spans="1:30" ht="15.75" customHeight="1" outlineLevel="1">
      <c r="A671" s="1055" t="s">
        <v>3296</v>
      </c>
      <c r="B671" s="1330" t="s">
        <v>156</v>
      </c>
      <c r="C671" s="1339">
        <f t="shared" si="71"/>
        <v>0.15</v>
      </c>
      <c r="D671" s="1055">
        <f t="shared" si="72"/>
        <v>0.05</v>
      </c>
      <c r="E671" s="1055">
        <f>IF(E670=0,0,IF('Ввод данных'!$A$6=связи1!$A$95,IF(дома!E670+дома!$C$630&lt;дома!$E$627+0.3,дома!E670+дома!$C$630,0),0))+IF(E670=0,0,IF('Ввод данных'!$A$6=связи1!$A$96,IF(дома!E670+0.05+дома!$C$630&gt;дома!$E$627+0.4,0,дома!E670+дома!$C$630),0))+IF(E670=0,0,IF('Ввод данных'!$A$6=связи1!$A$98,IF(дома!E670+0.05+дома!$C$630&gt;дома!$E$627+0.4,0,дома!E670+дома!$C$630),0))</f>
        <v>0</v>
      </c>
      <c r="F671" s="551">
        <f>IF(E671&lt;($E$627+0.5),1,0)*$D$635*IF('Ввод данных'!$A$19=связи1!$A$128,2,2)*IF('Ввод данных'!$F$237=связи1!$A$2,1,0)</f>
        <v>0</v>
      </c>
      <c r="G671" s="1055">
        <f t="shared" si="73"/>
        <v>0</v>
      </c>
      <c r="H671" s="1055"/>
      <c r="I671" s="1055"/>
      <c r="J671" s="1055"/>
      <c r="K671" s="1055"/>
      <c r="L671" s="1055"/>
      <c r="M671" s="1055"/>
      <c r="N671" s="1055"/>
      <c r="O671" s="1280"/>
      <c r="P671" s="1360"/>
      <c r="Q671" s="1360"/>
      <c r="R671" s="1360"/>
      <c r="S671" s="1055"/>
      <c r="T671" s="1280"/>
      <c r="U671" s="1279"/>
      <c r="V671" s="1280"/>
      <c r="W671" s="1499"/>
      <c r="X671" s="1499"/>
      <c r="Y671" s="1280"/>
      <c r="Z671" s="1360"/>
      <c r="AA671" s="1055"/>
      <c r="AB671" s="1055"/>
      <c r="AC671" s="1055"/>
      <c r="AD671" s="971"/>
    </row>
    <row r="672" spans="1:30" ht="15.75" customHeight="1" outlineLevel="1">
      <c r="A672" s="1055" t="s">
        <v>3297</v>
      </c>
      <c r="B672" s="1330" t="s">
        <v>156</v>
      </c>
      <c r="C672" s="1339">
        <f t="shared" si="71"/>
        <v>0.15</v>
      </c>
      <c r="D672" s="1055">
        <f t="shared" si="72"/>
        <v>0.05</v>
      </c>
      <c r="E672" s="1055">
        <f>IF(E671=0,0,IF('Ввод данных'!$A$6=связи1!$A$95,IF(дома!E671+дома!$C$630&lt;дома!$E$627+0.3,дома!E671+дома!$C$630,0),0))+IF(E671=0,0,IF('Ввод данных'!$A$6=связи1!$A$96,IF(дома!E671+0.05+дома!$C$630&gt;дома!$E$627+0.4,0,дома!E671+дома!$C$630),0))+IF(E671=0,0,IF('Ввод данных'!$A$6=связи1!$A$98,IF(дома!E671+0.05+дома!$C$630&gt;дома!$E$627+0.4,0,дома!E671+дома!$C$630),0))</f>
        <v>0</v>
      </c>
      <c r="F672" s="551">
        <f>IF(E672&lt;($E$627+0.5),1,0)*$D$635*IF('Ввод данных'!$A$19=связи1!$A$128,2,2)*IF('Ввод данных'!$F$237=связи1!$A$2,1,0)</f>
        <v>0</v>
      </c>
      <c r="G672" s="1055">
        <f t="shared" si="73"/>
        <v>0</v>
      </c>
      <c r="H672" s="1055"/>
      <c r="I672" s="1055"/>
      <c r="J672" s="1055"/>
      <c r="K672" s="1055"/>
      <c r="L672" s="1055"/>
      <c r="M672" s="1055"/>
      <c r="N672" s="1055"/>
      <c r="O672" s="1280"/>
      <c r="P672" s="1360"/>
      <c r="Q672" s="1360"/>
      <c r="R672" s="1360"/>
      <c r="S672" s="1055"/>
      <c r="T672" s="1280"/>
      <c r="U672" s="1279"/>
      <c r="V672" s="1280"/>
      <c r="W672" s="1499"/>
      <c r="X672" s="1499"/>
      <c r="Y672" s="1280"/>
      <c r="Z672" s="1360"/>
      <c r="AA672" s="1055"/>
      <c r="AB672" s="1055"/>
      <c r="AC672" s="1055"/>
      <c r="AD672" s="971"/>
    </row>
    <row r="673" spans="1:30" ht="15.75" customHeight="1" outlineLevel="1">
      <c r="A673" s="1055" t="s">
        <v>3298</v>
      </c>
      <c r="B673" s="1330" t="s">
        <v>156</v>
      </c>
      <c r="C673" s="1339">
        <f t="shared" si="71"/>
        <v>0.15</v>
      </c>
      <c r="D673" s="1055">
        <f t="shared" si="72"/>
        <v>0.05</v>
      </c>
      <c r="E673" s="1055">
        <f>IF(E672=0,0,IF('Ввод данных'!$A$6=связи1!$A$95,IF(дома!E672+дома!$C$630&lt;дома!$E$627+0.3,дома!E672+дома!$C$630,0),0))+IF(E672=0,0,IF('Ввод данных'!$A$6=связи1!$A$96,IF(дома!E672+0.05+дома!$C$630&gt;дома!$E$627+0.4,0,дома!E672+дома!$C$630),0))+IF(E672=0,0,IF('Ввод данных'!$A$6=связи1!$A$98,IF(дома!E672+0.05+дома!$C$630&gt;дома!$E$627+0.4,0,дома!E672+дома!$C$630),0))</f>
        <v>0</v>
      </c>
      <c r="F673" s="551">
        <f>IF(E673&lt;($E$627+0.5),1,0)*$D$635*IF('Ввод данных'!$A$19=связи1!$A$128,2,2)*IF('Ввод данных'!$F$237=связи1!$A$2,1,0)</f>
        <v>0</v>
      </c>
      <c r="G673" s="1055">
        <f t="shared" si="73"/>
        <v>0</v>
      </c>
      <c r="H673" s="1055"/>
      <c r="I673" s="1055"/>
      <c r="J673" s="1055"/>
      <c r="K673" s="1055"/>
      <c r="L673" s="1055"/>
      <c r="M673" s="1055"/>
      <c r="N673" s="1055"/>
      <c r="O673" s="1280"/>
      <c r="P673" s="1360"/>
      <c r="Q673" s="1360"/>
      <c r="R673" s="1360"/>
      <c r="S673" s="1055"/>
      <c r="T673" s="1280"/>
      <c r="U673" s="1279"/>
      <c r="V673" s="1280"/>
      <c r="W673" s="1499"/>
      <c r="X673" s="1499"/>
      <c r="Y673" s="1280"/>
      <c r="Z673" s="1360"/>
      <c r="AA673" s="1055"/>
      <c r="AB673" s="1055"/>
      <c r="AC673" s="1055"/>
      <c r="AD673" s="971"/>
    </row>
    <row r="674" spans="1:30" ht="15.75" customHeight="1" outlineLevel="1">
      <c r="A674" s="1055" t="s">
        <v>3299</v>
      </c>
      <c r="B674" s="1330" t="s">
        <v>156</v>
      </c>
      <c r="C674" s="1339">
        <f t="shared" si="71"/>
        <v>0.15</v>
      </c>
      <c r="D674" s="1055">
        <f t="shared" si="72"/>
        <v>0.05</v>
      </c>
      <c r="E674" s="1055">
        <f>IF(E673=0,0,IF('Ввод данных'!$A$6=связи1!$A$95,IF(дома!E673+дома!$C$630&lt;дома!$E$627+0.3,дома!E673+дома!$C$630,0),0))+IF(E673=0,0,IF('Ввод данных'!$A$6=связи1!$A$96,IF(дома!E673+0.05+дома!$C$630&gt;дома!$E$627+0.4,0,дома!E673+дома!$C$630),0))+IF(E673=0,0,IF('Ввод данных'!$A$6=связи1!$A$98,IF(дома!E673+0.05+дома!$C$630&gt;дома!$E$627+0.4,0,дома!E673+дома!$C$630),0))</f>
        <v>0</v>
      </c>
      <c r="F674" s="551">
        <f>IF(E674&lt;($E$627+0.5),1,0)*$D$635*IF('Ввод данных'!$A$19=связи1!$A$128,2,2)*IF('Ввод данных'!$F$237=связи1!$A$2,1,0)</f>
        <v>0</v>
      </c>
      <c r="G674" s="1055">
        <f t="shared" si="73"/>
        <v>0</v>
      </c>
      <c r="H674" s="1055"/>
      <c r="I674" s="1055"/>
      <c r="J674" s="1055"/>
      <c r="K674" s="1055"/>
      <c r="L674" s="1055"/>
      <c r="M674" s="1055"/>
      <c r="N674" s="1055"/>
      <c r="O674" s="1280"/>
      <c r="P674" s="1360"/>
      <c r="Q674" s="1360"/>
      <c r="R674" s="1360"/>
      <c r="S674" s="1055"/>
      <c r="T674" s="1280"/>
      <c r="U674" s="1279"/>
      <c r="V674" s="1280"/>
      <c r="W674" s="1499"/>
      <c r="X674" s="1499"/>
      <c r="Y674" s="1280"/>
      <c r="Z674" s="1360"/>
      <c r="AA674" s="1055"/>
      <c r="AB674" s="1055"/>
      <c r="AC674" s="1055"/>
      <c r="AD674" s="971"/>
    </row>
    <row r="675" spans="1:30" ht="15.75" customHeight="1" outlineLevel="1">
      <c r="A675" s="1055" t="s">
        <v>3300</v>
      </c>
      <c r="B675" s="1330" t="s">
        <v>156</v>
      </c>
      <c r="C675" s="1339">
        <f t="shared" si="71"/>
        <v>0.15</v>
      </c>
      <c r="D675" s="1055">
        <f t="shared" si="72"/>
        <v>0.05</v>
      </c>
      <c r="E675" s="1055">
        <f>IF(E674=0,0,IF('Ввод данных'!$A$6=связи1!$A$95,IF(дома!E674+дома!$C$630&lt;дома!$E$627+0.3,дома!E674+дома!$C$630,0),0))+IF(E674=0,0,IF('Ввод данных'!$A$6=связи1!$A$96,IF(дома!E674+0.05+дома!$C$630&gt;дома!$E$627+0.4,0,дома!E674+дома!$C$630),0))+IF(E674=0,0,IF('Ввод данных'!$A$6=связи1!$A$98,IF(дома!E674+0.05+дома!$C$630&gt;дома!$E$627+0.4,0,дома!E674+дома!$C$630),0))</f>
        <v>0</v>
      </c>
      <c r="F675" s="551">
        <f>IF(E675&lt;($E$627+0.5),1,0)*$D$635*IF('Ввод данных'!$A$19=связи1!$A$128,2,2)*IF('Ввод данных'!$F$237=связи1!$A$2,1,0)</f>
        <v>0</v>
      </c>
      <c r="G675" s="1055">
        <f t="shared" si="73"/>
        <v>0</v>
      </c>
      <c r="H675" s="1055"/>
      <c r="I675" s="1055"/>
      <c r="J675" s="1055"/>
      <c r="K675" s="1055"/>
      <c r="L675" s="1055"/>
      <c r="M675" s="1055"/>
      <c r="N675" s="1055"/>
      <c r="O675" s="1280"/>
      <c r="P675" s="1360"/>
      <c r="Q675" s="1360"/>
      <c r="R675" s="1360"/>
      <c r="S675" s="1055"/>
      <c r="T675" s="1280"/>
      <c r="U675" s="1279"/>
      <c r="V675" s="1280"/>
      <c r="W675" s="1499"/>
      <c r="X675" s="1499"/>
      <c r="Y675" s="1280"/>
      <c r="Z675" s="1360"/>
      <c r="AA675" s="1055"/>
      <c r="AB675" s="1055"/>
      <c r="AC675" s="1055"/>
      <c r="AD675" s="971"/>
    </row>
    <row r="676" spans="1:30" ht="15.75" customHeight="1" outlineLevel="1">
      <c r="A676" s="1055" t="s">
        <v>3301</v>
      </c>
      <c r="B676" s="1330" t="s">
        <v>156</v>
      </c>
      <c r="C676" s="1339">
        <f t="shared" si="71"/>
        <v>0.15</v>
      </c>
      <c r="D676" s="1055">
        <f t="shared" si="72"/>
        <v>0.05</v>
      </c>
      <c r="E676" s="1055">
        <f>IF(E675=0,0,IF('Ввод данных'!$A$6=связи1!$A$95,IF(дома!E675+дома!$C$630&lt;дома!$E$627+0.3,дома!E675+дома!$C$630,0),0))+IF(E675=0,0,IF('Ввод данных'!$A$6=связи1!$A$96,IF(дома!E675+0.05+дома!$C$630&gt;дома!$E$627+0.4,0,дома!E675+дома!$C$630),0))+IF(E675=0,0,IF('Ввод данных'!$A$6=связи1!$A$98,IF(дома!E675+0.05+дома!$C$630&gt;дома!$E$627+0.4,0,дома!E675+дома!$C$630),0))</f>
        <v>0</v>
      </c>
      <c r="F676" s="551">
        <f>IF(E676&lt;($E$627+0.5),1,0)*$D$635*IF('Ввод данных'!$A$19=связи1!$A$128,2,2)*IF('Ввод данных'!$F$237=связи1!$A$2,1,0)</f>
        <v>0</v>
      </c>
      <c r="G676" s="1055">
        <f t="shared" si="73"/>
        <v>0</v>
      </c>
      <c r="H676" s="1055"/>
      <c r="I676" s="1055"/>
      <c r="J676" s="1055"/>
      <c r="K676" s="1055"/>
      <c r="L676" s="1055"/>
      <c r="M676" s="1055"/>
      <c r="N676" s="1055"/>
      <c r="O676" s="1280"/>
      <c r="P676" s="1360"/>
      <c r="Q676" s="1360"/>
      <c r="R676" s="1360"/>
      <c r="S676" s="1055"/>
      <c r="T676" s="1280"/>
      <c r="U676" s="1279"/>
      <c r="V676" s="1280"/>
      <c r="W676" s="1499"/>
      <c r="X676" s="1499"/>
      <c r="Y676" s="1280"/>
      <c r="Z676" s="1360"/>
      <c r="AA676" s="1055"/>
      <c r="AB676" s="1055"/>
      <c r="AC676" s="1055"/>
      <c r="AD676" s="971"/>
    </row>
    <row r="677" spans="1:30" ht="15.75" customHeight="1" outlineLevel="1">
      <c r="A677" s="1055" t="s">
        <v>3302</v>
      </c>
      <c r="B677" s="1330" t="s">
        <v>156</v>
      </c>
      <c r="C677" s="1339">
        <f t="shared" si="71"/>
        <v>0.15</v>
      </c>
      <c r="D677" s="1055">
        <f t="shared" si="72"/>
        <v>0.05</v>
      </c>
      <c r="E677" s="1055">
        <f>IF(E676=0,0,IF('Ввод данных'!$A$6=связи1!$A$95,IF(дома!E676+дома!$C$630&lt;дома!$E$627+0.3,дома!E676+дома!$C$630,0),0))+IF(E676=0,0,IF('Ввод данных'!$A$6=связи1!$A$96,IF(дома!E676+0.05+дома!$C$630&gt;дома!$E$627+0.4,0,дома!E676+дома!$C$630),0))+IF(E676=0,0,IF('Ввод данных'!$A$6=связи1!$A$98,IF(дома!E676+0.05+дома!$C$630&gt;дома!$E$627+0.4,0,дома!E676+дома!$C$630),0))</f>
        <v>0</v>
      </c>
      <c r="F677" s="551">
        <f>IF(E677&lt;($E$627+0.5),1,0)*$D$635*IF('Ввод данных'!$A$19=связи1!$A$128,2,2)*IF('Ввод данных'!$F$237=связи1!$A$2,1,0)</f>
        <v>0</v>
      </c>
      <c r="G677" s="1055">
        <f t="shared" si="73"/>
        <v>0</v>
      </c>
      <c r="H677" s="1055"/>
      <c r="I677" s="1055"/>
      <c r="J677" s="1055"/>
      <c r="K677" s="1055"/>
      <c r="L677" s="1055"/>
      <c r="M677" s="1055"/>
      <c r="N677" s="1055"/>
      <c r="O677" s="1280"/>
      <c r="P677" s="1360"/>
      <c r="Q677" s="1360"/>
      <c r="R677" s="1360"/>
      <c r="S677" s="1055"/>
      <c r="T677" s="1280"/>
      <c r="U677" s="1279"/>
      <c r="V677" s="1280"/>
      <c r="W677" s="1499"/>
      <c r="X677" s="1499"/>
      <c r="Y677" s="1280"/>
      <c r="Z677" s="1360"/>
      <c r="AA677" s="1055"/>
      <c r="AB677" s="1055"/>
      <c r="AC677" s="1055"/>
      <c r="AD677" s="971"/>
    </row>
    <row r="678" spans="1:30" ht="15.75" customHeight="1" outlineLevel="1">
      <c r="A678" s="1055" t="s">
        <v>3303</v>
      </c>
      <c r="B678" s="1330" t="s">
        <v>156</v>
      </c>
      <c r="C678" s="1339">
        <f t="shared" si="71"/>
        <v>0.15</v>
      </c>
      <c r="D678" s="1055">
        <f t="shared" si="72"/>
        <v>0.05</v>
      </c>
      <c r="E678" s="1055">
        <f>IF(E677=0,0,IF('Ввод данных'!$A$6=связи1!$A$95,IF(дома!E677+дома!$C$630&lt;дома!$E$627+0.3,дома!E677+дома!$C$630,0),0))+IF(E677=0,0,IF('Ввод данных'!$A$6=связи1!$A$96,IF(дома!E677+0.05+дома!$C$630&gt;дома!$E$627+0.4,0,дома!E677+дома!$C$630),0))+IF(E677=0,0,IF('Ввод данных'!$A$6=связи1!$A$98,IF(дома!E677+0.05+дома!$C$630&gt;дома!$E$627+0.4,0,дома!E677+дома!$C$630),0))</f>
        <v>0</v>
      </c>
      <c r="F678" s="551">
        <f>IF(E678&lt;($E$627+0.5),1,0)*$D$635*IF('Ввод данных'!$A$19=связи1!$A$128,2,2)*IF('Ввод данных'!$F$237=связи1!$A$2,1,0)</f>
        <v>0</v>
      </c>
      <c r="G678" s="1055">
        <f t="shared" si="73"/>
        <v>0</v>
      </c>
      <c r="H678" s="1055"/>
      <c r="I678" s="1055"/>
      <c r="J678" s="1055"/>
      <c r="K678" s="1055"/>
      <c r="L678" s="1055"/>
      <c r="M678" s="1055"/>
      <c r="N678" s="1055"/>
      <c r="O678" s="1280"/>
      <c r="P678" s="1360"/>
      <c r="Q678" s="1360"/>
      <c r="R678" s="1360"/>
      <c r="S678" s="1055"/>
      <c r="T678" s="1280"/>
      <c r="U678" s="1279"/>
      <c r="V678" s="1280"/>
      <c r="W678" s="1499"/>
      <c r="X678" s="1499"/>
      <c r="Y678" s="1280"/>
      <c r="Z678" s="1360"/>
      <c r="AA678" s="1055"/>
      <c r="AB678" s="1055"/>
      <c r="AC678" s="1055"/>
      <c r="AD678" s="971"/>
    </row>
    <row r="679" spans="1:30" ht="15.75" customHeight="1" outlineLevel="1">
      <c r="A679" s="1055" t="s">
        <v>3304</v>
      </c>
      <c r="B679" s="1330" t="s">
        <v>156</v>
      </c>
      <c r="C679" s="1339">
        <f t="shared" si="71"/>
        <v>0.15</v>
      </c>
      <c r="D679" s="1055">
        <f t="shared" si="72"/>
        <v>0.05</v>
      </c>
      <c r="E679" s="1055">
        <f>IF(E678=0,0,IF('Ввод данных'!$A$6=связи1!$A$95,IF(дома!E678+дома!$C$630&lt;дома!$E$627+0.3,дома!E678+дома!$C$630,0),0))+IF(E678=0,0,IF('Ввод данных'!$A$6=связи1!$A$96,IF(дома!E678+0.05+дома!$C$630&gt;дома!$E$627+0.4,0,дома!E678+дома!$C$630),0))+IF(E678=0,0,IF('Ввод данных'!$A$6=связи1!$A$98,IF(дома!E678+0.05+дома!$C$630&gt;дома!$E$627+0.4,0,дома!E678+дома!$C$630),0))</f>
        <v>0</v>
      </c>
      <c r="F679" s="551">
        <f>IF(E679&lt;($E$627+0.5),1,0)*$D$635*IF('Ввод данных'!$A$19=связи1!$A$128,2,2)*IF('Ввод данных'!$F$237=связи1!$A$2,1,0)</f>
        <v>0</v>
      </c>
      <c r="G679" s="1055">
        <f t="shared" si="73"/>
        <v>0</v>
      </c>
      <c r="H679" s="1055"/>
      <c r="I679" s="1055"/>
      <c r="J679" s="1055"/>
      <c r="K679" s="1055"/>
      <c r="L679" s="1055"/>
      <c r="M679" s="1055"/>
      <c r="N679" s="1055"/>
      <c r="O679" s="1280"/>
      <c r="P679" s="1360"/>
      <c r="Q679" s="1360"/>
      <c r="R679" s="1360"/>
      <c r="S679" s="1055"/>
      <c r="T679" s="1280"/>
      <c r="U679" s="1279"/>
      <c r="V679" s="1280"/>
      <c r="W679" s="1499"/>
      <c r="X679" s="1499"/>
      <c r="Y679" s="1280"/>
      <c r="Z679" s="1360"/>
      <c r="AA679" s="1055"/>
      <c r="AB679" s="1055"/>
      <c r="AC679" s="1055"/>
      <c r="AD679" s="971"/>
    </row>
    <row r="680" spans="1:30" ht="15.75" customHeight="1" outlineLevel="1">
      <c r="A680" s="1055" t="s">
        <v>3305</v>
      </c>
      <c r="B680" s="1330" t="s">
        <v>156</v>
      </c>
      <c r="C680" s="1339">
        <f t="shared" si="71"/>
        <v>0.15</v>
      </c>
      <c r="D680" s="1055">
        <f t="shared" si="72"/>
        <v>0.05</v>
      </c>
      <c r="E680" s="1055">
        <f>IF(E679=0,0,IF('Ввод данных'!$A$6=связи1!$A$95,IF(дома!E679+дома!$C$630&lt;дома!$E$627+0.3,дома!E679+дома!$C$630,0),0))+IF(E679=0,0,IF('Ввод данных'!$A$6=связи1!$A$96,IF(дома!E679+0.05+дома!$C$630&gt;дома!$E$627+0.4,0,дома!E679+дома!$C$630),0))+IF(E679=0,0,IF('Ввод данных'!$A$6=связи1!$A$98,IF(дома!E679+0.05+дома!$C$630&gt;дома!$E$627+0.4,0,дома!E679+дома!$C$630),0))</f>
        <v>0</v>
      </c>
      <c r="F680" s="551">
        <f>IF(E680&lt;($E$627+0.5),1,0)*$D$635*IF('Ввод данных'!$A$19=связи1!$A$128,2,2)*IF('Ввод данных'!$F$237=связи1!$A$2,1,0)</f>
        <v>0</v>
      </c>
      <c r="G680" s="1055">
        <f t="shared" si="73"/>
        <v>0</v>
      </c>
      <c r="H680" s="1055"/>
      <c r="I680" s="1055"/>
      <c r="J680" s="1055"/>
      <c r="K680" s="1055"/>
      <c r="L680" s="1055"/>
      <c r="M680" s="1055"/>
      <c r="N680" s="1055"/>
      <c r="O680" s="1280"/>
      <c r="P680" s="1360"/>
      <c r="Q680" s="1360"/>
      <c r="R680" s="1360"/>
      <c r="S680" s="1055"/>
      <c r="T680" s="1280"/>
      <c r="U680" s="1279"/>
      <c r="V680" s="1280"/>
      <c r="W680" s="1499"/>
      <c r="X680" s="1499"/>
      <c r="Y680" s="1280"/>
      <c r="Z680" s="1360"/>
      <c r="AA680" s="1055"/>
      <c r="AB680" s="1055"/>
      <c r="AC680" s="1055"/>
      <c r="AD680" s="971"/>
    </row>
    <row r="681" spans="1:30" ht="15.75" customHeight="1" outlineLevel="1">
      <c r="A681" s="1055" t="s">
        <v>3306</v>
      </c>
      <c r="B681" s="1330" t="s">
        <v>156</v>
      </c>
      <c r="C681" s="1339">
        <f t="shared" si="71"/>
        <v>0.15</v>
      </c>
      <c r="D681" s="1055">
        <f t="shared" si="72"/>
        <v>0.05</v>
      </c>
      <c r="E681" s="1055">
        <f>IF(E680=0,0,IF('Ввод данных'!$A$6=связи1!$A$95,IF(дома!E680+дома!$C$630&lt;дома!$E$627+0.3,дома!E680+дома!$C$630,0),0))+IF(E680=0,0,IF('Ввод данных'!$A$6=связи1!$A$96,IF(дома!E680+0.05+дома!$C$630&gt;дома!$E$627+0.4,0,дома!E680+дома!$C$630),0))+IF(E680=0,0,IF('Ввод данных'!$A$6=связи1!$A$98,IF(дома!E680+0.05+дома!$C$630&gt;дома!$E$627+0.4,0,дома!E680+дома!$C$630),0))</f>
        <v>0</v>
      </c>
      <c r="F681" s="551">
        <f>IF(E681&lt;($E$627+0.5),1,0)*$D$635*IF('Ввод данных'!$A$19=связи1!$A$128,2,2)*IF('Ввод данных'!$F$237=связи1!$A$2,1,0)</f>
        <v>0</v>
      </c>
      <c r="G681" s="1055">
        <f t="shared" si="73"/>
        <v>0</v>
      </c>
      <c r="H681" s="1055"/>
      <c r="I681" s="1055"/>
      <c r="J681" s="1055"/>
      <c r="K681" s="1055"/>
      <c r="L681" s="1055"/>
      <c r="M681" s="1055"/>
      <c r="N681" s="1055"/>
      <c r="O681" s="1280"/>
      <c r="P681" s="1360"/>
      <c r="Q681" s="1360"/>
      <c r="R681" s="1360"/>
      <c r="S681" s="1055"/>
      <c r="T681" s="1280"/>
      <c r="U681" s="1279"/>
      <c r="V681" s="1280"/>
      <c r="W681" s="1499"/>
      <c r="X681" s="1499"/>
      <c r="Y681" s="1280"/>
      <c r="Z681" s="1360"/>
      <c r="AA681" s="1055"/>
      <c r="AB681" s="1055"/>
      <c r="AC681" s="1055"/>
      <c r="AD681" s="971"/>
    </row>
    <row r="682" spans="1:30" ht="15.75" customHeight="1" outlineLevel="1">
      <c r="A682" s="1055" t="s">
        <v>3307</v>
      </c>
      <c r="B682" s="1330" t="s">
        <v>156</v>
      </c>
      <c r="C682" s="1339">
        <f t="shared" si="71"/>
        <v>0.15</v>
      </c>
      <c r="D682" s="1055">
        <f t="shared" si="72"/>
        <v>0.05</v>
      </c>
      <c r="E682" s="1055">
        <f>IF(E681=0,0,IF('Ввод данных'!$A$6=связи1!$A$95,IF(дома!E681+дома!$C$630&lt;дома!$E$627+0.3,дома!E681+дома!$C$630,0),0))+IF(E681=0,0,IF('Ввод данных'!$A$6=связи1!$A$96,IF(дома!E681+0.05+дома!$C$630&gt;дома!$E$627+0.4,0,дома!E681+дома!$C$630),0))+IF(E681=0,0,IF('Ввод данных'!$A$6=связи1!$A$98,IF(дома!E681+0.05+дома!$C$630&gt;дома!$E$627+0.4,0,дома!E681+дома!$C$630),0))</f>
        <v>0</v>
      </c>
      <c r="F682" s="551">
        <f>IF(E682&lt;($E$627+0.5),1,0)*$D$635*IF('Ввод данных'!$A$19=связи1!$A$128,2,2)*IF('Ввод данных'!$F$237=связи1!$A$2,1,0)</f>
        <v>0</v>
      </c>
      <c r="G682" s="1055">
        <f t="shared" si="73"/>
        <v>0</v>
      </c>
      <c r="H682" s="1055"/>
      <c r="I682" s="1055"/>
      <c r="J682" s="1055"/>
      <c r="K682" s="1055"/>
      <c r="L682" s="1055"/>
      <c r="M682" s="1055"/>
      <c r="N682" s="1055"/>
      <c r="O682" s="1280"/>
      <c r="P682" s="1360"/>
      <c r="Q682" s="1360"/>
      <c r="R682" s="1360"/>
      <c r="S682" s="1055"/>
      <c r="T682" s="1280"/>
      <c r="U682" s="1279"/>
      <c r="V682" s="1280"/>
      <c r="W682" s="1499"/>
      <c r="X682" s="1499"/>
      <c r="Y682" s="1280"/>
      <c r="Z682" s="1360"/>
      <c r="AA682" s="1055"/>
      <c r="AB682" s="1055"/>
      <c r="AC682" s="1055"/>
      <c r="AD682" s="971"/>
    </row>
    <row r="683" spans="1:30" ht="15.75" customHeight="1" outlineLevel="1">
      <c r="A683" s="1055" t="s">
        <v>3267</v>
      </c>
      <c r="B683" s="1330" t="s">
        <v>156</v>
      </c>
      <c r="C683" s="1339">
        <f t="shared" si="71"/>
        <v>0.15</v>
      </c>
      <c r="D683" s="1055">
        <f t="shared" si="72"/>
        <v>0.05</v>
      </c>
      <c r="E683" s="1055">
        <f>C628*1.05</f>
        <v>5.25</v>
      </c>
      <c r="F683" s="551">
        <f>$D$635*IF('Ввод данных'!$A$19=связи1!$A$128,2,2)*IF('Ввод данных'!$F$237=связи1!$A$2,1,0)</f>
        <v>0</v>
      </c>
      <c r="G683" s="1055">
        <f t="shared" si="73"/>
        <v>0</v>
      </c>
      <c r="H683" s="1055"/>
      <c r="I683" s="1055"/>
      <c r="J683" s="1055"/>
      <c r="K683" s="1055"/>
      <c r="L683" s="1055"/>
      <c r="M683" s="1055"/>
      <c r="N683" s="1055"/>
      <c r="O683" s="1280"/>
      <c r="P683" s="1360"/>
      <c r="Q683" s="1360"/>
      <c r="R683" s="1360"/>
      <c r="S683" s="1055"/>
      <c r="T683" s="1280"/>
      <c r="U683" s="1279"/>
      <c r="V683" s="1280"/>
      <c r="W683" s="1499"/>
      <c r="X683" s="1499"/>
      <c r="Y683" s="1280"/>
      <c r="Z683" s="1360"/>
      <c r="AA683" s="1055"/>
      <c r="AB683" s="1055"/>
      <c r="AC683" s="1055"/>
      <c r="AD683" s="971"/>
    </row>
    <row r="684" spans="1:30" ht="15.75" customHeight="1" outlineLevel="1">
      <c r="A684" s="1055" t="s">
        <v>3268</v>
      </c>
      <c r="B684" s="1330" t="s">
        <v>156</v>
      </c>
      <c r="C684" s="1339">
        <f t="shared" ref="C684:C715" si="74">$C$143</f>
        <v>0.15</v>
      </c>
      <c r="D684" s="1055">
        <f t="shared" ref="D684:D715" si="75">$J$620</f>
        <v>0.05</v>
      </c>
      <c r="E684" s="1055">
        <f>C627</f>
        <v>5</v>
      </c>
      <c r="F684" s="551">
        <f>$D$635*IF('Ввод данных'!$A$19=связи1!$A$128,2,2)*IF('Ввод данных'!$F$237=связи1!$A$2,1,0)</f>
        <v>0</v>
      </c>
      <c r="G684" s="1055">
        <f t="shared" ref="G684:G715" si="76">C684*D684*E684*F684</f>
        <v>0</v>
      </c>
      <c r="H684" s="1055"/>
      <c r="I684" s="1055"/>
      <c r="J684" s="1055"/>
      <c r="K684" s="1055"/>
      <c r="L684" s="1055"/>
      <c r="M684" s="1055"/>
      <c r="N684" s="1055"/>
      <c r="O684" s="1280"/>
      <c r="P684" s="1360"/>
      <c r="Q684" s="1360"/>
      <c r="R684" s="1360"/>
      <c r="S684" s="1055"/>
      <c r="T684" s="1280"/>
      <c r="U684" s="1279"/>
      <c r="V684" s="1280"/>
      <c r="W684" s="1499"/>
      <c r="X684" s="1499"/>
      <c r="Y684" s="1280"/>
      <c r="Z684" s="1360"/>
      <c r="AA684" s="1055"/>
      <c r="AB684" s="1055"/>
      <c r="AC684" s="1055"/>
      <c r="AD684" s="971"/>
    </row>
    <row r="685" spans="1:30" ht="15.75" customHeight="1" outlineLevel="1">
      <c r="A685" s="1055" t="s">
        <v>3269</v>
      </c>
      <c r="B685" s="1330" t="s">
        <v>156</v>
      </c>
      <c r="C685" s="1339">
        <f t="shared" si="74"/>
        <v>0.15</v>
      </c>
      <c r="D685" s="1055">
        <f t="shared" si="75"/>
        <v>0.05</v>
      </c>
      <c r="E685" s="1055">
        <f>E683</f>
        <v>5.25</v>
      </c>
      <c r="F685" s="551">
        <f>$D$635*IF('Ввод данных'!$A$19=связи1!$A$128,2,2)*IF('Ввод данных'!$F$237=связи1!$A$2,1,0)</f>
        <v>0</v>
      </c>
      <c r="G685" s="1055">
        <f t="shared" si="76"/>
        <v>0</v>
      </c>
      <c r="H685" s="1055"/>
      <c r="I685" s="1055"/>
      <c r="J685" s="1055"/>
      <c r="K685" s="1055"/>
      <c r="L685" s="1055"/>
      <c r="M685" s="1055"/>
      <c r="N685" s="1055"/>
      <c r="O685" s="1280"/>
      <c r="P685" s="1360"/>
      <c r="Q685" s="1360"/>
      <c r="R685" s="1360"/>
      <c r="S685" s="1055"/>
      <c r="T685" s="1280"/>
      <c r="U685" s="1279"/>
      <c r="V685" s="1280"/>
      <c r="W685" s="1499"/>
      <c r="X685" s="1499"/>
      <c r="Y685" s="1280"/>
      <c r="Z685" s="1360"/>
      <c r="AA685" s="1055"/>
      <c r="AB685" s="1055"/>
      <c r="AC685" s="1055"/>
      <c r="AD685" s="971"/>
    </row>
    <row r="686" spans="1:30" ht="15.75" customHeight="1" outlineLevel="1">
      <c r="A686" s="1055" t="s">
        <v>3308</v>
      </c>
      <c r="B686" s="1330" t="s">
        <v>156</v>
      </c>
      <c r="C686" s="1339">
        <f t="shared" si="74"/>
        <v>0.15</v>
      </c>
      <c r="D686" s="1055">
        <f t="shared" si="75"/>
        <v>0.05</v>
      </c>
      <c r="E686" s="1246">
        <f>IF('Ввод данных'!A6=связи1!A95,C621,0)+IF('Ввод данных'!A6=связи1!A96,дома!C621,0)+IF('Ввод данных'!A6=связи1!A98,дома!C621,0)</f>
        <v>0</v>
      </c>
      <c r="F686" s="1055">
        <f>IF(E686&lt;($E$631+0.5),1,0)*$D$635*IF('Ввод данных'!$A$19=связи1!$A$128,2,2)*IF('Ввод данных'!$F$237=связи1!$A$2,1,0)</f>
        <v>0</v>
      </c>
      <c r="G686" s="1055">
        <f t="shared" si="76"/>
        <v>0</v>
      </c>
      <c r="H686" s="1055"/>
      <c r="I686" s="1055"/>
      <c r="J686" s="1055"/>
      <c r="K686" s="1055"/>
      <c r="L686" s="1055"/>
      <c r="M686" s="1055"/>
      <c r="N686" s="1055"/>
      <c r="O686" s="1280"/>
      <c r="P686" s="1360"/>
      <c r="Q686" s="1360"/>
      <c r="R686" s="1360"/>
      <c r="S686" s="1055"/>
      <c r="T686" s="1280"/>
      <c r="U686" s="1279"/>
      <c r="V686" s="1280"/>
      <c r="W686" s="1499"/>
      <c r="X686" s="1499"/>
      <c r="Y686" s="1280"/>
      <c r="Z686" s="1360"/>
      <c r="AA686" s="1055"/>
      <c r="AB686" s="1055"/>
      <c r="AC686" s="1055"/>
      <c r="AD686" s="971"/>
    </row>
    <row r="687" spans="1:30" ht="15.75" customHeight="1" outlineLevel="1">
      <c r="A687" s="1055" t="s">
        <v>3309</v>
      </c>
      <c r="B687" s="1330" t="s">
        <v>156</v>
      </c>
      <c r="C687" s="1339">
        <f t="shared" si="74"/>
        <v>0.15</v>
      </c>
      <c r="D687" s="1055">
        <f t="shared" si="75"/>
        <v>0.05</v>
      </c>
      <c r="E687" s="1246">
        <f>IF(E652=0,0,IF('Ввод данных'!$A$6=связи1!$A$95,IF(дома!E686+дома!$F$634&lt;дома!$E$627+0.3,дома!E686+дома!$F$634,0),0))+IF(дома!E686=0,0,IF('Ввод данных'!$A$6=связи1!$A$96,IF(дома!E686+0.05+дома!$F$634&gt;дома!$E$627+0.4,0,дома!E686+дома!$F$634),0))+IF(дома!E686=0,0,IF('Ввод данных'!$A$6=связи1!$A$98,IF(дома!E686+0.05+дома!$F$634&gt;дома!$E$627+0.4,0,дома!E686+дома!$F$634),0))</f>
        <v>0</v>
      </c>
      <c r="F687" s="1055">
        <f>IF(E687&lt;($E$631+0.5),1,0)*$D$635*IF('Ввод данных'!$A$19=связи1!$A$128,2,2)*IF('Ввод данных'!$F$237=связи1!$A$2,1,0)</f>
        <v>0</v>
      </c>
      <c r="G687" s="1055">
        <f t="shared" si="76"/>
        <v>0</v>
      </c>
      <c r="H687" s="1055"/>
      <c r="I687" s="1055"/>
      <c r="J687" s="1055"/>
      <c r="K687" s="1055"/>
      <c r="L687" s="1055"/>
      <c r="M687" s="1055"/>
      <c r="N687" s="1055"/>
      <c r="O687" s="1280"/>
      <c r="P687" s="1360"/>
      <c r="Q687" s="1360"/>
      <c r="R687" s="1360"/>
      <c r="S687" s="1055"/>
      <c r="T687" s="1280"/>
      <c r="U687" s="1279"/>
      <c r="V687" s="1280"/>
      <c r="W687" s="1499"/>
      <c r="X687" s="1499"/>
      <c r="Y687" s="1280"/>
      <c r="Z687" s="1360"/>
      <c r="AA687" s="1055"/>
      <c r="AB687" s="1055"/>
      <c r="AC687" s="1055"/>
      <c r="AD687" s="971"/>
    </row>
    <row r="688" spans="1:30" ht="15.75" customHeight="1" outlineLevel="1">
      <c r="A688" s="1055" t="s">
        <v>3310</v>
      </c>
      <c r="B688" s="1330" t="s">
        <v>156</v>
      </c>
      <c r="C688" s="1339">
        <f t="shared" si="74"/>
        <v>0.15</v>
      </c>
      <c r="D688" s="1055">
        <f t="shared" si="75"/>
        <v>0.05</v>
      </c>
      <c r="E688" s="1246">
        <f>IF(E653=0,0,IF('Ввод данных'!$A$6=связи1!$A$95,IF(дома!E687+дома!$F$634&lt;дома!$E$627+0.3,дома!E687+дома!$F$634,0),0))+IF(дома!E687=0,0,IF('Ввод данных'!$A$6=связи1!$A$96,IF(дома!E687+0.05+дома!$F$634&gt;дома!$E$627+0.4,0,дома!E687+дома!$F$634),0))+IF(дома!E687=0,0,IF('Ввод данных'!$A$6=связи1!$A$98,IF(дома!E687+0.05+дома!$F$634&gt;дома!$E$627+0.4,0,дома!E687+дома!$F$634),0))</f>
        <v>0</v>
      </c>
      <c r="F688" s="1055">
        <f>IF(E688&lt;($E$631+0.5),1,0)*$D$635*IF('Ввод данных'!$A$19=связи1!$A$128,2,2)*IF('Ввод данных'!$F$237=связи1!$A$2,1,0)</f>
        <v>0</v>
      </c>
      <c r="G688" s="1055">
        <f t="shared" si="76"/>
        <v>0</v>
      </c>
      <c r="H688" s="1055"/>
      <c r="I688" s="1055"/>
      <c r="J688" s="1055"/>
      <c r="K688" s="1055"/>
      <c r="L688" s="1055"/>
      <c r="M688" s="1055"/>
      <c r="N688" s="1055"/>
      <c r="O688" s="1280"/>
      <c r="P688" s="1360"/>
      <c r="Q688" s="1360"/>
      <c r="R688" s="1360"/>
      <c r="S688" s="1055"/>
      <c r="T688" s="1280"/>
      <c r="U688" s="1279"/>
      <c r="V688" s="1280"/>
      <c r="W688" s="1499"/>
      <c r="X688" s="1499"/>
      <c r="Y688" s="1280"/>
      <c r="Z688" s="1360"/>
      <c r="AA688" s="1055"/>
      <c r="AB688" s="1055"/>
      <c r="AC688" s="1055"/>
      <c r="AD688" s="971"/>
    </row>
    <row r="689" spans="1:30" ht="15.75" customHeight="1" outlineLevel="1">
      <c r="A689" s="1055" t="s">
        <v>3311</v>
      </c>
      <c r="B689" s="1330" t="s">
        <v>156</v>
      </c>
      <c r="C689" s="1339">
        <f t="shared" si="74"/>
        <v>0.15</v>
      </c>
      <c r="D689" s="1055">
        <f t="shared" si="75"/>
        <v>0.05</v>
      </c>
      <c r="E689" s="1246">
        <f>IF(E654=0,0,IF('Ввод данных'!$A$6=связи1!$A$95,IF(дома!E688+дома!$F$634&lt;дома!$E$627+0.3,дома!E688+дома!$F$634,0),0))+IF(дома!E688=0,0,IF('Ввод данных'!$A$6=связи1!$A$96,IF(дома!E688+0.05+дома!$F$634&gt;дома!$E$627+0.4,0,дома!E688+дома!$F$634),0))+IF(дома!E688=0,0,IF('Ввод данных'!$A$6=связи1!$A$98,IF(дома!E688+0.05+дома!$F$634&gt;дома!$E$627+0.4,0,дома!E688+дома!$F$634),0))</f>
        <v>0</v>
      </c>
      <c r="F689" s="1055">
        <f>IF(E689&lt;($E$631+0.5),1,0)*$D$635*IF('Ввод данных'!$A$19=связи1!$A$128,2,2)*IF('Ввод данных'!$F$237=связи1!$A$2,1,0)</f>
        <v>0</v>
      </c>
      <c r="G689" s="1055">
        <f t="shared" si="76"/>
        <v>0</v>
      </c>
      <c r="H689" s="1055"/>
      <c r="I689" s="1055"/>
      <c r="J689" s="1055"/>
      <c r="K689" s="1055"/>
      <c r="L689" s="1055"/>
      <c r="M689" s="1055"/>
      <c r="N689" s="1055"/>
      <c r="O689" s="1280"/>
      <c r="P689" s="1360"/>
      <c r="Q689" s="1360"/>
      <c r="R689" s="1360"/>
      <c r="S689" s="1055"/>
      <c r="T689" s="1280"/>
      <c r="U689" s="1279"/>
      <c r="V689" s="1280"/>
      <c r="W689" s="1499"/>
      <c r="X689" s="1499"/>
      <c r="Y689" s="1280"/>
      <c r="Z689" s="1360"/>
      <c r="AA689" s="1055"/>
      <c r="AB689" s="1055"/>
      <c r="AC689" s="1055"/>
      <c r="AD689" s="971"/>
    </row>
    <row r="690" spans="1:30" ht="15.75" customHeight="1" outlineLevel="1">
      <c r="A690" s="1055" t="s">
        <v>3312</v>
      </c>
      <c r="B690" s="1330" t="s">
        <v>156</v>
      </c>
      <c r="C690" s="1339">
        <f t="shared" si="74"/>
        <v>0.15</v>
      </c>
      <c r="D690" s="1055">
        <f t="shared" si="75"/>
        <v>0.05</v>
      </c>
      <c r="E690" s="1246">
        <f>IF(E655=0,0,IF('Ввод данных'!$A$6=связи1!$A$95,IF(дома!E689+дома!$F$634&lt;дома!$E$627+0.3,дома!E689+дома!$F$634,0),0))+IF(дома!E689=0,0,IF('Ввод данных'!$A$6=связи1!$A$96,IF(дома!E689+0.05+дома!$F$634&gt;дома!$E$627+0.4,0,дома!E689+дома!$F$634),0))+IF(дома!E689=0,0,IF('Ввод данных'!$A$6=связи1!$A$98,IF(дома!E689+0.05+дома!$F$634&gt;дома!$E$627+0.4,0,дома!E689+дома!$F$634),0))</f>
        <v>0</v>
      </c>
      <c r="F690" s="1055">
        <f>IF(E690&lt;($E$631+0.5),1,0)*$D$635*IF('Ввод данных'!$A$19=связи1!$A$128,2,2)*IF('Ввод данных'!$F$237=связи1!$A$2,1,0)</f>
        <v>0</v>
      </c>
      <c r="G690" s="1055">
        <f t="shared" si="76"/>
        <v>0</v>
      </c>
      <c r="H690" s="1055"/>
      <c r="I690" s="1055"/>
      <c r="J690" s="1055"/>
      <c r="K690" s="1055"/>
      <c r="L690" s="1055"/>
      <c r="M690" s="1055"/>
      <c r="N690" s="1055"/>
      <c r="O690" s="1280"/>
      <c r="P690" s="1360"/>
      <c r="Q690" s="1360"/>
      <c r="R690" s="1360"/>
      <c r="S690" s="1055"/>
      <c r="T690" s="1280"/>
      <c r="U690" s="1279"/>
      <c r="V690" s="1280"/>
      <c r="W690" s="1499"/>
      <c r="X690" s="1499"/>
      <c r="Y690" s="1280"/>
      <c r="Z690" s="1360"/>
      <c r="AA690" s="1055"/>
      <c r="AB690" s="1055"/>
      <c r="AC690" s="1055"/>
      <c r="AD690" s="971"/>
    </row>
    <row r="691" spans="1:30" ht="15.75" customHeight="1" outlineLevel="1">
      <c r="A691" s="1055" t="s">
        <v>3313</v>
      </c>
      <c r="B691" s="1330" t="s">
        <v>156</v>
      </c>
      <c r="C691" s="1339">
        <f t="shared" si="74"/>
        <v>0.15</v>
      </c>
      <c r="D691" s="1055">
        <f t="shared" si="75"/>
        <v>0.05</v>
      </c>
      <c r="E691" s="1246">
        <f>IF(E656=0,0,IF('Ввод данных'!$A$6=связи1!$A$95,IF(дома!E690+дома!$F$634&lt;дома!$E$627+0.3,дома!E690+дома!$F$634,0),0))+IF(дома!E690=0,0,IF('Ввод данных'!$A$6=связи1!$A$96,IF(дома!E690+0.05+дома!$F$634&gt;дома!$E$627+0.4,0,дома!E690+дома!$F$634),0))+IF(дома!E690=0,0,IF('Ввод данных'!$A$6=связи1!$A$98,IF(дома!E690+0.05+дома!$F$634&gt;дома!$E$627+0.4,0,дома!E690+дома!$F$634),0))</f>
        <v>0</v>
      </c>
      <c r="F691" s="1055">
        <f>IF(E691&lt;($E$631+0.5),1,0)*$D$635*IF('Ввод данных'!$A$19=связи1!$A$128,2,2)*IF('Ввод данных'!$F$237=связи1!$A$2,1,0)</f>
        <v>0</v>
      </c>
      <c r="G691" s="1055">
        <f t="shared" si="76"/>
        <v>0</v>
      </c>
      <c r="H691" s="1055"/>
      <c r="I691" s="1055"/>
      <c r="J691" s="1055"/>
      <c r="K691" s="1055"/>
      <c r="L691" s="1055"/>
      <c r="M691" s="1055"/>
      <c r="N691" s="1055"/>
      <c r="O691" s="1280"/>
      <c r="P691" s="1360"/>
      <c r="Q691" s="1360"/>
      <c r="R691" s="1360"/>
      <c r="S691" s="1055"/>
      <c r="T691" s="1280"/>
      <c r="U691" s="1279"/>
      <c r="V691" s="1280"/>
      <c r="W691" s="1499"/>
      <c r="X691" s="1499"/>
      <c r="Y691" s="1280"/>
      <c r="Z691" s="1360"/>
      <c r="AA691" s="1055"/>
      <c r="AB691" s="1055"/>
      <c r="AC691" s="1055"/>
      <c r="AD691" s="971"/>
    </row>
    <row r="692" spans="1:30" ht="15.75" customHeight="1" outlineLevel="1">
      <c r="A692" s="1055" t="s">
        <v>3314</v>
      </c>
      <c r="B692" s="1330" t="s">
        <v>156</v>
      </c>
      <c r="C692" s="1339">
        <f t="shared" si="74"/>
        <v>0.15</v>
      </c>
      <c r="D692" s="1055">
        <f t="shared" si="75"/>
        <v>0.05</v>
      </c>
      <c r="E692" s="1246">
        <f>IF(E657=0,0,IF('Ввод данных'!$A$6=связи1!$A$95,IF(дома!E691+дома!$F$634&lt;дома!$E$627+0.3,дома!E691+дома!$F$634,0),0))+IF(дома!E691=0,0,IF('Ввод данных'!$A$6=связи1!$A$96,IF(дома!E691+0.05+дома!$F$634&gt;дома!$E$627+0.4,0,дома!E691+дома!$F$634),0))+IF(дома!E691=0,0,IF('Ввод данных'!$A$6=связи1!$A$98,IF(дома!E691+0.05+дома!$F$634&gt;дома!$E$627+0.4,0,дома!E691+дома!$F$634),0))</f>
        <v>0</v>
      </c>
      <c r="F692" s="1055">
        <f>IF(E692&lt;($E$631+0.5),1,0)*$D$635*IF('Ввод данных'!$A$19=связи1!$A$128,2,2)*IF('Ввод данных'!$F$237=связи1!$A$2,1,0)</f>
        <v>0</v>
      </c>
      <c r="G692" s="1055">
        <f t="shared" si="76"/>
        <v>0</v>
      </c>
      <c r="H692" s="1055"/>
      <c r="I692" s="1055"/>
      <c r="J692" s="1055"/>
      <c r="K692" s="1055"/>
      <c r="L692" s="1055"/>
      <c r="M692" s="1055"/>
      <c r="N692" s="1055"/>
      <c r="O692" s="1280"/>
      <c r="P692" s="1360"/>
      <c r="Q692" s="1360"/>
      <c r="R692" s="1360"/>
      <c r="S692" s="1055"/>
      <c r="T692" s="1280"/>
      <c r="U692" s="1279"/>
      <c r="V692" s="1280"/>
      <c r="W692" s="1499"/>
      <c r="X692" s="1499"/>
      <c r="Y692" s="1280"/>
      <c r="Z692" s="1360"/>
      <c r="AA692" s="1055"/>
      <c r="AB692" s="1055"/>
      <c r="AC692" s="1055"/>
      <c r="AD692" s="971"/>
    </row>
    <row r="693" spans="1:30" ht="15.75" customHeight="1" outlineLevel="1">
      <c r="A693" s="1055" t="s">
        <v>3315</v>
      </c>
      <c r="B693" s="1330" t="s">
        <v>156</v>
      </c>
      <c r="C693" s="1339">
        <f t="shared" si="74"/>
        <v>0.15</v>
      </c>
      <c r="D693" s="1055">
        <f t="shared" si="75"/>
        <v>0.05</v>
      </c>
      <c r="E693" s="1246">
        <f>IF(E658=0,0,IF('Ввод данных'!$A$6=связи1!$A$95,IF(дома!E692+дома!$F$634&lt;дома!$E$627+0.3,дома!E692+дома!$F$634,0),0))+IF(дома!E692=0,0,IF('Ввод данных'!$A$6=связи1!$A$96,IF(дома!E692+0.05+дома!$F$634&gt;дома!$E$627+0.4,0,дома!E692+дома!$F$634),0))+IF(дома!E692=0,0,IF('Ввод данных'!$A$6=связи1!$A$98,IF(дома!E692+0.05+дома!$F$634&gt;дома!$E$627+0.4,0,дома!E692+дома!$F$634),0))</f>
        <v>0</v>
      </c>
      <c r="F693" s="1055">
        <f>IF(E693&lt;($E$631+0.5),1,0)*$D$635*IF('Ввод данных'!$A$19=связи1!$A$128,2,2)*IF('Ввод данных'!$F$237=связи1!$A$2,1,0)</f>
        <v>0</v>
      </c>
      <c r="G693" s="1055">
        <f t="shared" si="76"/>
        <v>0</v>
      </c>
      <c r="H693" s="1055"/>
      <c r="I693" s="1055"/>
      <c r="J693" s="1055"/>
      <c r="K693" s="1055"/>
      <c r="L693" s="1055"/>
      <c r="M693" s="1055"/>
      <c r="N693" s="1055"/>
      <c r="O693" s="1280"/>
      <c r="P693" s="1360"/>
      <c r="Q693" s="1360"/>
      <c r="R693" s="1360"/>
      <c r="S693" s="1055"/>
      <c r="T693" s="1280"/>
      <c r="U693" s="1279"/>
      <c r="V693" s="1280"/>
      <c r="W693" s="1499"/>
      <c r="X693" s="1499"/>
      <c r="Y693" s="1280"/>
      <c r="Z693" s="1360"/>
      <c r="AA693" s="1055"/>
      <c r="AB693" s="1055"/>
      <c r="AC693" s="1055"/>
      <c r="AD693" s="971"/>
    </row>
    <row r="694" spans="1:30" ht="15.75" customHeight="1" outlineLevel="1">
      <c r="A694" s="1055" t="s">
        <v>3316</v>
      </c>
      <c r="B694" s="1330" t="s">
        <v>156</v>
      </c>
      <c r="C694" s="1339">
        <f t="shared" si="74"/>
        <v>0.15</v>
      </c>
      <c r="D694" s="1055">
        <f t="shared" si="75"/>
        <v>0.05</v>
      </c>
      <c r="E694" s="1246">
        <f>IF(E659=0,0,IF('Ввод данных'!$A$6=связи1!$A$95,IF(дома!E693+дома!$F$634&lt;дома!$E$627+0.3,дома!E693+дома!$F$634,0),0))+IF(дома!E693=0,0,IF('Ввод данных'!$A$6=связи1!$A$96,IF(дома!E693+0.05+дома!$F$634&gt;дома!$E$627+0.4,0,дома!E693+дома!$F$634),0))+IF(дома!E693=0,0,IF('Ввод данных'!$A$6=связи1!$A$98,IF(дома!E693+0.05+дома!$F$634&gt;дома!$E$627+0.4,0,дома!E693+дома!$F$634),0))</f>
        <v>0</v>
      </c>
      <c r="F694" s="1055">
        <f>IF(E694&lt;($E$631+0.5),1,0)*$D$635*IF('Ввод данных'!$A$19=связи1!$A$128,2,2)*IF('Ввод данных'!$F$237=связи1!$A$2,1,0)</f>
        <v>0</v>
      </c>
      <c r="G694" s="1055">
        <f t="shared" si="76"/>
        <v>0</v>
      </c>
      <c r="H694" s="1055"/>
      <c r="I694" s="1055"/>
      <c r="J694" s="1055"/>
      <c r="K694" s="1055"/>
      <c r="L694" s="1055"/>
      <c r="M694" s="1055"/>
      <c r="N694" s="1055"/>
      <c r="O694" s="1280"/>
      <c r="P694" s="1360"/>
      <c r="Q694" s="1360"/>
      <c r="R694" s="1360"/>
      <c r="S694" s="1055"/>
      <c r="T694" s="1280"/>
      <c r="U694" s="1279"/>
      <c r="V694" s="1280"/>
      <c r="W694" s="1499"/>
      <c r="X694" s="1499"/>
      <c r="Y694" s="1280"/>
      <c r="Z694" s="1360"/>
      <c r="AA694" s="1055"/>
      <c r="AB694" s="1055"/>
      <c r="AC694" s="1055"/>
      <c r="AD694" s="971"/>
    </row>
    <row r="695" spans="1:30" ht="15.75" customHeight="1" outlineLevel="1">
      <c r="A695" s="1055" t="s">
        <v>3317</v>
      </c>
      <c r="B695" s="1330" t="s">
        <v>156</v>
      </c>
      <c r="C695" s="1339">
        <f t="shared" si="74"/>
        <v>0.15</v>
      </c>
      <c r="D695" s="1055">
        <f t="shared" si="75"/>
        <v>0.05</v>
      </c>
      <c r="E695" s="1246">
        <f>IF(E660=0,0,IF('Ввод данных'!$A$6=связи1!$A$95,IF(дома!E694+дома!$F$634&lt;дома!$E$627+0.3,дома!E694+дома!$F$634,0),0))+IF(дома!E694=0,0,IF('Ввод данных'!$A$6=связи1!$A$96,IF(дома!E694+0.05+дома!$F$634&gt;дома!$E$627+0.4,0,дома!E694+дома!$F$634),0))+IF(дома!E694=0,0,IF('Ввод данных'!$A$6=связи1!$A$98,IF(дома!E694+0.05+дома!$F$634&gt;дома!$E$627+0.4,0,дома!E694+дома!$F$634),0))</f>
        <v>0</v>
      </c>
      <c r="F695" s="1055">
        <f>IF(E695&lt;($E$631+0.5),1,0)*$D$635*IF('Ввод данных'!$A$19=связи1!$A$128,2,2)*IF('Ввод данных'!$F$237=связи1!$A$2,1,0)</f>
        <v>0</v>
      </c>
      <c r="G695" s="1055">
        <f t="shared" si="76"/>
        <v>0</v>
      </c>
      <c r="H695" s="1055"/>
      <c r="I695" s="1055"/>
      <c r="J695" s="1055"/>
      <c r="K695" s="1055"/>
      <c r="L695" s="1055"/>
      <c r="M695" s="1055"/>
      <c r="N695" s="1055"/>
      <c r="O695" s="1280"/>
      <c r="P695" s="1360"/>
      <c r="Q695" s="1360"/>
      <c r="R695" s="1360"/>
      <c r="S695" s="1055"/>
      <c r="T695" s="1280"/>
      <c r="U695" s="1279"/>
      <c r="V695" s="1280"/>
      <c r="W695" s="1499"/>
      <c r="X695" s="1499"/>
      <c r="Y695" s="1280"/>
      <c r="Z695" s="1360"/>
      <c r="AA695" s="1055"/>
      <c r="AB695" s="1055"/>
      <c r="AC695" s="1055"/>
      <c r="AD695" s="971"/>
    </row>
    <row r="696" spans="1:30" ht="15.75" customHeight="1" outlineLevel="1">
      <c r="A696" s="1055" t="s">
        <v>3318</v>
      </c>
      <c r="B696" s="1330" t="s">
        <v>156</v>
      </c>
      <c r="C696" s="1339">
        <f t="shared" si="74"/>
        <v>0.15</v>
      </c>
      <c r="D696" s="1055">
        <f t="shared" si="75"/>
        <v>0.05</v>
      </c>
      <c r="E696" s="1246">
        <f>IF(E661=0,0,IF('Ввод данных'!$A$6=связи1!$A$95,IF(дома!E695+дома!$F$634&lt;дома!$E$627+0.3,дома!E695+дома!$F$634,0),0))+IF(дома!E695=0,0,IF('Ввод данных'!$A$6=связи1!$A$96,IF(дома!E695+0.05+дома!$F$634&gt;дома!$E$627+0.4,0,дома!E695+дома!$F$634),0))+IF(дома!E695=0,0,IF('Ввод данных'!$A$6=связи1!$A$98,IF(дома!E695+0.05+дома!$F$634&gt;дома!$E$627+0.4,0,дома!E695+дома!$F$634),0))</f>
        <v>0</v>
      </c>
      <c r="F696" s="1055">
        <f>IF(E696&lt;($E$631+0.5),1,0)*$D$635*IF('Ввод данных'!$A$19=связи1!$A$128,2,2)*IF('Ввод данных'!$F$237=связи1!$A$2,1,0)</f>
        <v>0</v>
      </c>
      <c r="G696" s="1055">
        <f t="shared" si="76"/>
        <v>0</v>
      </c>
      <c r="H696" s="1055"/>
      <c r="I696" s="1055"/>
      <c r="J696" s="1055"/>
      <c r="K696" s="1055"/>
      <c r="L696" s="1055"/>
      <c r="M696" s="1055"/>
      <c r="N696" s="1055"/>
      <c r="O696" s="1280"/>
      <c r="P696" s="1360"/>
      <c r="Q696" s="1360"/>
      <c r="R696" s="1360"/>
      <c r="S696" s="1055"/>
      <c r="T696" s="1280"/>
      <c r="U696" s="1279"/>
      <c r="V696" s="1280"/>
      <c r="W696" s="1499"/>
      <c r="X696" s="1499"/>
      <c r="Y696" s="1280"/>
      <c r="Z696" s="1360"/>
      <c r="AA696" s="1055"/>
      <c r="AB696" s="1055"/>
      <c r="AC696" s="1055"/>
      <c r="AD696" s="971"/>
    </row>
    <row r="697" spans="1:30" ht="15.75" customHeight="1" outlineLevel="1">
      <c r="A697" s="1055" t="s">
        <v>3319</v>
      </c>
      <c r="B697" s="1330" t="s">
        <v>156</v>
      </c>
      <c r="C697" s="1339">
        <f t="shared" si="74"/>
        <v>0.15</v>
      </c>
      <c r="D697" s="1055">
        <f t="shared" si="75"/>
        <v>0.05</v>
      </c>
      <c r="E697" s="1246">
        <f>IF(E662=0,0,IF('Ввод данных'!$A$6=связи1!$A$95,IF(дома!E696+дома!$F$634&lt;дома!$E$627+0.3,дома!E696+дома!$F$634,0),0))+IF(дома!E696=0,0,IF('Ввод данных'!$A$6=связи1!$A$96,IF(дома!E696+0.05+дома!$F$634&gt;дома!$E$627+0.4,0,дома!E696+дома!$F$634),0))+IF(дома!E696=0,0,IF('Ввод данных'!$A$6=связи1!$A$98,IF(дома!E696+0.05+дома!$F$634&gt;дома!$E$627+0.4,0,дома!E696+дома!$F$634),0))</f>
        <v>0</v>
      </c>
      <c r="F697" s="1055">
        <f>IF(E697&lt;($E$631+0.5),1,0)*$D$635*IF('Ввод данных'!$A$19=связи1!$A$128,2,2)*IF('Ввод данных'!$F$237=связи1!$A$2,1,0)</f>
        <v>0</v>
      </c>
      <c r="G697" s="1055">
        <f t="shared" si="76"/>
        <v>0</v>
      </c>
      <c r="H697" s="1055"/>
      <c r="I697" s="1055"/>
      <c r="J697" s="1055"/>
      <c r="K697" s="1055"/>
      <c r="L697" s="1055"/>
      <c r="M697" s="1055"/>
      <c r="N697" s="1055"/>
      <c r="O697" s="1280"/>
      <c r="P697" s="1360"/>
      <c r="Q697" s="1360"/>
      <c r="R697" s="1360"/>
      <c r="S697" s="1055"/>
      <c r="T697" s="1280"/>
      <c r="U697" s="1279"/>
      <c r="V697" s="1280"/>
      <c r="W697" s="1499"/>
      <c r="X697" s="1499"/>
      <c r="Y697" s="1280"/>
      <c r="Z697" s="1360"/>
      <c r="AA697" s="1055"/>
      <c r="AB697" s="1055"/>
      <c r="AC697" s="1055"/>
      <c r="AD697" s="971"/>
    </row>
    <row r="698" spans="1:30" ht="15.75" customHeight="1" outlineLevel="1">
      <c r="A698" s="1055" t="s">
        <v>3320</v>
      </c>
      <c r="B698" s="1330" t="s">
        <v>156</v>
      </c>
      <c r="C698" s="1339">
        <f t="shared" si="74"/>
        <v>0.15</v>
      </c>
      <c r="D698" s="1055">
        <f t="shared" si="75"/>
        <v>0.05</v>
      </c>
      <c r="E698" s="1246">
        <f>IF(E663=0,0,IF('Ввод данных'!$A$6=связи1!$A$95,IF(дома!E697+дома!$F$634&lt;дома!$E$627+0.3,дома!E697+дома!$F$634,0),0))+IF(дома!E697=0,0,IF('Ввод данных'!$A$6=связи1!$A$96,IF(дома!E697+0.05+дома!$F$634&gt;дома!$E$627+0.4,0,дома!E697+дома!$F$634),0))+IF(дома!E697=0,0,IF('Ввод данных'!$A$6=связи1!$A$98,IF(дома!E697+0.05+дома!$F$634&gt;дома!$E$627+0.4,0,дома!E697+дома!$F$634),0))</f>
        <v>0</v>
      </c>
      <c r="F698" s="1055">
        <f>IF(E698&lt;($E$631+0.5),1,0)*$D$635*IF('Ввод данных'!$A$19=связи1!$A$128,2,2)*IF('Ввод данных'!$F$237=связи1!$A$2,1,0)</f>
        <v>0</v>
      </c>
      <c r="G698" s="1055">
        <f t="shared" si="76"/>
        <v>0</v>
      </c>
      <c r="H698" s="1055"/>
      <c r="I698" s="1055"/>
      <c r="J698" s="1055"/>
      <c r="K698" s="1055"/>
      <c r="L698" s="1055"/>
      <c r="M698" s="1055"/>
      <c r="N698" s="1055"/>
      <c r="O698" s="1280"/>
      <c r="P698" s="1360"/>
      <c r="Q698" s="1360"/>
      <c r="R698" s="1360"/>
      <c r="S698" s="1055"/>
      <c r="T698" s="1280"/>
      <c r="U698" s="1279"/>
      <c r="V698" s="1280"/>
      <c r="W698" s="1499"/>
      <c r="X698" s="1499"/>
      <c r="Y698" s="1280"/>
      <c r="Z698" s="1360"/>
      <c r="AA698" s="1055"/>
      <c r="AB698" s="1055"/>
      <c r="AC698" s="1055"/>
      <c r="AD698" s="971"/>
    </row>
    <row r="699" spans="1:30" ht="15.75" customHeight="1" outlineLevel="1">
      <c r="A699" s="1055" t="s">
        <v>3321</v>
      </c>
      <c r="B699" s="1330" t="s">
        <v>156</v>
      </c>
      <c r="C699" s="1339">
        <f t="shared" si="74"/>
        <v>0.15</v>
      </c>
      <c r="D699" s="1055">
        <f t="shared" si="75"/>
        <v>0.05</v>
      </c>
      <c r="E699" s="1246">
        <f>IF(E664=0,0,IF('Ввод данных'!$A$6=связи1!$A$95,IF(дома!E698+дома!$F$634&lt;дома!$E$627+0.3,дома!E698+дома!$F$634,0),0))+IF(дома!E698=0,0,IF('Ввод данных'!$A$6=связи1!$A$96,IF(дома!E698+0.05+дома!$F$634&gt;дома!$E$627+0.4,0,дома!E698+дома!$F$634),0))+IF(дома!E698=0,0,IF('Ввод данных'!$A$6=связи1!$A$98,IF(дома!E698+0.05+дома!$F$634&gt;дома!$E$627+0.4,0,дома!E698+дома!$F$634),0))</f>
        <v>0</v>
      </c>
      <c r="F699" s="1055">
        <f>IF(E699&lt;($E$631+0.5),1,0)*$D$635*IF('Ввод данных'!$A$19=связи1!$A$128,2,2)*IF('Ввод данных'!$F$237=связи1!$A$2,1,0)</f>
        <v>0</v>
      </c>
      <c r="G699" s="1055">
        <f t="shared" si="76"/>
        <v>0</v>
      </c>
      <c r="H699" s="1055"/>
      <c r="I699" s="1055"/>
      <c r="J699" s="1055"/>
      <c r="K699" s="1055"/>
      <c r="L699" s="1055"/>
      <c r="M699" s="1055"/>
      <c r="N699" s="1055"/>
      <c r="O699" s="1280"/>
      <c r="P699" s="1360"/>
      <c r="Q699" s="1360"/>
      <c r="R699" s="1360"/>
      <c r="S699" s="1055"/>
      <c r="T699" s="1280"/>
      <c r="U699" s="1279"/>
      <c r="V699" s="1280"/>
      <c r="W699" s="1499"/>
      <c r="X699" s="1499"/>
      <c r="Y699" s="1280"/>
      <c r="Z699" s="1360"/>
      <c r="AA699" s="1055"/>
      <c r="AB699" s="1055"/>
      <c r="AC699" s="1055"/>
      <c r="AD699" s="971"/>
    </row>
    <row r="700" spans="1:30" ht="15.75" customHeight="1" outlineLevel="1">
      <c r="A700" s="1055" t="s">
        <v>3322</v>
      </c>
      <c r="B700" s="1330" t="s">
        <v>156</v>
      </c>
      <c r="C700" s="1339">
        <f t="shared" si="74"/>
        <v>0.15</v>
      </c>
      <c r="D700" s="1055">
        <f t="shared" si="75"/>
        <v>0.05</v>
      </c>
      <c r="E700" s="1246">
        <f>IF(E665=0,0,IF('Ввод данных'!$A$6=связи1!$A$95,IF(дома!E699+дома!$F$634&lt;дома!$E$627+0.3,дома!E699+дома!$F$634,0),0))+IF(дома!E699=0,0,IF('Ввод данных'!$A$6=связи1!$A$96,IF(дома!E699+0.05+дома!$F$634&gt;дома!$E$627+0.4,0,дома!E699+дома!$F$634),0))+IF(дома!E699=0,0,IF('Ввод данных'!$A$6=связи1!$A$98,IF(дома!E699+0.05+дома!$F$634&gt;дома!$E$627+0.4,0,дома!E699+дома!$F$634),0))</f>
        <v>0</v>
      </c>
      <c r="F700" s="1055">
        <f>IF(E700&lt;($E$631+0.5),1,0)*$D$635*IF('Ввод данных'!$A$19=связи1!$A$128,2,2)*IF('Ввод данных'!$F$237=связи1!$A$2,1,0)</f>
        <v>0</v>
      </c>
      <c r="G700" s="1055">
        <f t="shared" si="76"/>
        <v>0</v>
      </c>
      <c r="H700" s="1055"/>
      <c r="I700" s="1055"/>
      <c r="J700" s="1055"/>
      <c r="K700" s="1055"/>
      <c r="L700" s="1055"/>
      <c r="M700" s="1055"/>
      <c r="N700" s="1055"/>
      <c r="O700" s="1280"/>
      <c r="P700" s="1360"/>
      <c r="Q700" s="1360"/>
      <c r="R700" s="1360"/>
      <c r="S700" s="1055"/>
      <c r="T700" s="1280"/>
      <c r="U700" s="1279"/>
      <c r="V700" s="1280"/>
      <c r="W700" s="1499"/>
      <c r="X700" s="1499"/>
      <c r="Y700" s="1280"/>
      <c r="Z700" s="1360"/>
      <c r="AA700" s="1055"/>
      <c r="AB700" s="1055"/>
      <c r="AC700" s="1055"/>
      <c r="AD700" s="971"/>
    </row>
    <row r="701" spans="1:30" ht="15.75" customHeight="1" outlineLevel="1">
      <c r="A701" s="1055" t="s">
        <v>3323</v>
      </c>
      <c r="B701" s="1330" t="s">
        <v>156</v>
      </c>
      <c r="C701" s="1339">
        <f t="shared" si="74"/>
        <v>0.15</v>
      </c>
      <c r="D701" s="1055">
        <f t="shared" si="75"/>
        <v>0.05</v>
      </c>
      <c r="E701" s="1246">
        <f>IF(E666=0,0,IF('Ввод данных'!$A$6=связи1!$A$95,IF(дома!E700+дома!$F$634&lt;дома!$E$627+0.3,дома!E700+дома!$F$634,0),0))+IF(дома!E700=0,0,IF('Ввод данных'!$A$6=связи1!$A$96,IF(дома!E700+0.05+дома!$F$634&gt;дома!$E$627+0.4,0,дома!E700+дома!$F$634),0))+IF(дома!E700=0,0,IF('Ввод данных'!$A$6=связи1!$A$98,IF(дома!E700+0.05+дома!$F$634&gt;дома!$E$627+0.4,0,дома!E700+дома!$F$634),0))</f>
        <v>0</v>
      </c>
      <c r="F701" s="1055">
        <f>IF(E701&lt;($E$631+0.5),1,0)*$D$635*IF('Ввод данных'!$A$19=связи1!$A$128,2,2)*IF('Ввод данных'!$F$237=связи1!$A$2,1,0)</f>
        <v>0</v>
      </c>
      <c r="G701" s="1055">
        <f t="shared" si="76"/>
        <v>0</v>
      </c>
      <c r="H701" s="1055"/>
      <c r="I701" s="1055"/>
      <c r="J701" s="1055"/>
      <c r="K701" s="1055"/>
      <c r="L701" s="1055"/>
      <c r="M701" s="1055"/>
      <c r="N701" s="1055"/>
      <c r="O701" s="1280"/>
      <c r="P701" s="1360"/>
      <c r="Q701" s="1360"/>
      <c r="R701" s="1360"/>
      <c r="S701" s="1055"/>
      <c r="T701" s="1280"/>
      <c r="U701" s="1279"/>
      <c r="V701" s="1280"/>
      <c r="W701" s="1499"/>
      <c r="X701" s="1499"/>
      <c r="Y701" s="1280"/>
      <c r="Z701" s="1360"/>
      <c r="AA701" s="1055"/>
      <c r="AB701" s="1055"/>
      <c r="AC701" s="1055"/>
      <c r="AD701" s="971"/>
    </row>
    <row r="702" spans="1:30" ht="15.75" customHeight="1" outlineLevel="1">
      <c r="A702" s="1055" t="s">
        <v>3324</v>
      </c>
      <c r="B702" s="1330" t="s">
        <v>156</v>
      </c>
      <c r="C702" s="1339">
        <f t="shared" si="74"/>
        <v>0.15</v>
      </c>
      <c r="D702" s="1055">
        <f t="shared" si="75"/>
        <v>0.05</v>
      </c>
      <c r="E702" s="1246">
        <f>IF(E667=0,0,IF('Ввод данных'!$A$6=связи1!$A$95,IF(дома!E701+дома!$F$634&lt;дома!$E$627+0.3,дома!E701+дома!$F$634,0),0))+IF(дома!E701=0,0,IF('Ввод данных'!$A$6=связи1!$A$96,IF(дома!E701+0.05+дома!$F$634&gt;дома!$E$627+0.4,0,дома!E701+дома!$F$634),0))+IF(дома!E701=0,0,IF('Ввод данных'!$A$6=связи1!$A$98,IF(дома!E701+0.05+дома!$F$634&gt;дома!$E$627+0.4,0,дома!E701+дома!$F$634),0))</f>
        <v>0</v>
      </c>
      <c r="F702" s="1055">
        <f>IF(E702&lt;($E$631+0.5),1,0)*$D$635*IF('Ввод данных'!$A$19=связи1!$A$128,2,2)*IF('Ввод данных'!$F$237=связи1!$A$2,1,0)</f>
        <v>0</v>
      </c>
      <c r="G702" s="1055">
        <f t="shared" si="76"/>
        <v>0</v>
      </c>
      <c r="H702" s="1055"/>
      <c r="I702" s="1055"/>
      <c r="J702" s="1055"/>
      <c r="K702" s="1055"/>
      <c r="L702" s="1055"/>
      <c r="M702" s="1055"/>
      <c r="N702" s="1055"/>
      <c r="O702" s="1280"/>
      <c r="P702" s="1360"/>
      <c r="Q702" s="1360"/>
      <c r="R702" s="1360"/>
      <c r="S702" s="1055"/>
      <c r="T702" s="1280"/>
      <c r="U702" s="1279"/>
      <c r="V702" s="1280"/>
      <c r="W702" s="1499"/>
      <c r="X702" s="1499"/>
      <c r="Y702" s="1280"/>
      <c r="Z702" s="1360"/>
      <c r="AA702" s="1055"/>
      <c r="AB702" s="1055"/>
      <c r="AC702" s="1055"/>
      <c r="AD702" s="971"/>
    </row>
    <row r="703" spans="1:30" ht="15.75" customHeight="1" outlineLevel="1">
      <c r="A703" s="1055" t="s">
        <v>3325</v>
      </c>
      <c r="B703" s="1330" t="s">
        <v>156</v>
      </c>
      <c r="C703" s="1339">
        <f t="shared" si="74"/>
        <v>0.15</v>
      </c>
      <c r="D703" s="1055">
        <f t="shared" si="75"/>
        <v>0.05</v>
      </c>
      <c r="E703" s="1246">
        <f>IF(E668=0,0,IF('Ввод данных'!$A$6=связи1!$A$95,IF(дома!E702+дома!$F$634&lt;дома!$E$627+0.3,дома!E702+дома!$F$634,0),0))+IF(дома!E702=0,0,IF('Ввод данных'!$A$6=связи1!$A$96,IF(дома!E702+0.05+дома!$F$634&gt;дома!$E$627+0.4,0,дома!E702+дома!$F$634),0))+IF(дома!E702=0,0,IF('Ввод данных'!$A$6=связи1!$A$98,IF(дома!E702+0.05+дома!$F$634&gt;дома!$E$627+0.4,0,дома!E702+дома!$F$634),0))</f>
        <v>0</v>
      </c>
      <c r="F703" s="1055">
        <f>IF(E703&lt;($E$631+0.5),1,0)*$D$635*IF('Ввод данных'!$A$19=связи1!$A$128,2,2)*IF('Ввод данных'!$F$237=связи1!$A$2,1,0)</f>
        <v>0</v>
      </c>
      <c r="G703" s="1055">
        <f t="shared" si="76"/>
        <v>0</v>
      </c>
      <c r="H703" s="1055"/>
      <c r="I703" s="1055"/>
      <c r="J703" s="1055"/>
      <c r="K703" s="1055"/>
      <c r="L703" s="1055"/>
      <c r="M703" s="1055"/>
      <c r="N703" s="1055"/>
      <c r="O703" s="1280"/>
      <c r="P703" s="1360"/>
      <c r="Q703" s="1360"/>
      <c r="R703" s="1360"/>
      <c r="S703" s="1055"/>
      <c r="T703" s="1280"/>
      <c r="U703" s="1279"/>
      <c r="V703" s="1280"/>
      <c r="W703" s="1499"/>
      <c r="X703" s="1499"/>
      <c r="Y703" s="1280"/>
      <c r="Z703" s="1360"/>
      <c r="AA703" s="1055"/>
      <c r="AB703" s="1055"/>
      <c r="AC703" s="1055"/>
      <c r="AD703" s="971"/>
    </row>
    <row r="704" spans="1:30" ht="15.75" customHeight="1" outlineLevel="1">
      <c r="A704" s="1055" t="s">
        <v>3326</v>
      </c>
      <c r="B704" s="1330" t="s">
        <v>156</v>
      </c>
      <c r="C704" s="1339">
        <f t="shared" si="74"/>
        <v>0.15</v>
      </c>
      <c r="D704" s="1055">
        <f t="shared" si="75"/>
        <v>0.05</v>
      </c>
      <c r="E704" s="1246">
        <f>IF(E669=0,0,IF('Ввод данных'!$A$6=связи1!$A$95,IF(дома!E703+дома!$F$634&lt;дома!$E$627+0.3,дома!E703+дома!$F$634,0),0))+IF(дома!E703=0,0,IF('Ввод данных'!$A$6=связи1!$A$96,IF(дома!E703+0.05+дома!$F$634&gt;дома!$E$627+0.4,0,дома!E703+дома!$F$634),0))+IF(дома!E703=0,0,IF('Ввод данных'!$A$6=связи1!$A$98,IF(дома!E703+0.05+дома!$F$634&gt;дома!$E$627+0.4,0,дома!E703+дома!$F$634),0))</f>
        <v>0</v>
      </c>
      <c r="F704" s="1055">
        <f>IF(E704&lt;($E$631+0.5),1,0)*$D$635*IF('Ввод данных'!$A$19=связи1!$A$128,2,2)*IF('Ввод данных'!$F$237=связи1!$A$2,1,0)</f>
        <v>0</v>
      </c>
      <c r="G704" s="1055">
        <f t="shared" si="76"/>
        <v>0</v>
      </c>
      <c r="H704" s="1055"/>
      <c r="I704" s="1055"/>
      <c r="J704" s="1055"/>
      <c r="K704" s="1055"/>
      <c r="L704" s="1055"/>
      <c r="M704" s="1055"/>
      <c r="N704" s="1055"/>
      <c r="O704" s="1280"/>
      <c r="P704" s="1360"/>
      <c r="Q704" s="1360"/>
      <c r="R704" s="1360"/>
      <c r="S704" s="1055"/>
      <c r="T704" s="1280"/>
      <c r="U704" s="1279"/>
      <c r="V704" s="1280"/>
      <c r="W704" s="1499"/>
      <c r="X704" s="1499"/>
      <c r="Y704" s="1280"/>
      <c r="Z704" s="1360"/>
      <c r="AA704" s="1055"/>
      <c r="AB704" s="1055"/>
      <c r="AC704" s="1055"/>
      <c r="AD704" s="971"/>
    </row>
    <row r="705" spans="1:30" ht="15.75" customHeight="1" outlineLevel="1">
      <c r="A705" s="1055" t="s">
        <v>3327</v>
      </c>
      <c r="B705" s="1330" t="s">
        <v>156</v>
      </c>
      <c r="C705" s="1339">
        <f t="shared" si="74"/>
        <v>0.15</v>
      </c>
      <c r="D705" s="1055">
        <f t="shared" si="75"/>
        <v>0.05</v>
      </c>
      <c r="E705" s="1246">
        <f>IF(E670=0,0,IF('Ввод данных'!$A$6=связи1!$A$95,IF(дома!E704+дома!$F$634&lt;дома!$E$627+0.3,дома!E704+дома!$F$634,0),0))+IF(дома!E704=0,0,IF('Ввод данных'!$A$6=связи1!$A$96,IF(дома!E704+0.05+дома!$F$634&gt;дома!$E$627+0.4,0,дома!E704+дома!$F$634),0))+IF(дома!E704=0,0,IF('Ввод данных'!$A$6=связи1!$A$98,IF(дома!E704+0.05+дома!$F$634&gt;дома!$E$627+0.4,0,дома!E704+дома!$F$634),0))</f>
        <v>0</v>
      </c>
      <c r="F705" s="1055">
        <f>IF(E705&lt;($E$631+0.5),1,0)*$D$635*IF('Ввод данных'!$A$19=связи1!$A$128,2,2)*IF('Ввод данных'!$F$237=связи1!$A$2,1,0)</f>
        <v>0</v>
      </c>
      <c r="G705" s="1055">
        <f t="shared" si="76"/>
        <v>0</v>
      </c>
      <c r="H705" s="1055"/>
      <c r="I705" s="1055"/>
      <c r="J705" s="1055"/>
      <c r="K705" s="1055"/>
      <c r="L705" s="1055"/>
      <c r="M705" s="1055"/>
      <c r="N705" s="1055"/>
      <c r="O705" s="1280"/>
      <c r="P705" s="1360"/>
      <c r="Q705" s="1360"/>
      <c r="R705" s="1360"/>
      <c r="S705" s="1055"/>
      <c r="T705" s="1280"/>
      <c r="U705" s="1279"/>
      <c r="V705" s="1280"/>
      <c r="W705" s="1499"/>
      <c r="X705" s="1499"/>
      <c r="Y705" s="1280"/>
      <c r="Z705" s="1360"/>
      <c r="AA705" s="1055"/>
      <c r="AB705" s="1055"/>
      <c r="AC705" s="1055"/>
      <c r="AD705" s="971"/>
    </row>
    <row r="706" spans="1:30" ht="15.75" customHeight="1" outlineLevel="1">
      <c r="A706" s="1055" t="s">
        <v>3328</v>
      </c>
      <c r="B706" s="1330" t="s">
        <v>156</v>
      </c>
      <c r="C706" s="1339">
        <f t="shared" si="74"/>
        <v>0.15</v>
      </c>
      <c r="D706" s="1055">
        <f t="shared" si="75"/>
        <v>0.05</v>
      </c>
      <c r="E706" s="1246">
        <f>IF(E671=0,0,IF('Ввод данных'!$A$6=связи1!$A$95,IF(дома!E705+дома!$F$634&lt;дома!$E$627+0.3,дома!E705+дома!$F$634,0),0))+IF(дома!E705=0,0,IF('Ввод данных'!$A$6=связи1!$A$96,IF(дома!E705+0.05+дома!$F$634&gt;дома!$E$627+0.4,0,дома!E705+дома!$F$634),0))+IF(дома!E705=0,0,IF('Ввод данных'!$A$6=связи1!$A$98,IF(дома!E705+0.05+дома!$F$634&gt;дома!$E$627+0.4,0,дома!E705+дома!$F$634),0))</f>
        <v>0</v>
      </c>
      <c r="F706" s="1055">
        <f>IF(E706&lt;($E$631+0.5),1,0)*$D$635*IF('Ввод данных'!$A$19=связи1!$A$128,2,2)*IF('Ввод данных'!$F$237=связи1!$A$2,1,0)</f>
        <v>0</v>
      </c>
      <c r="G706" s="1055">
        <f t="shared" si="76"/>
        <v>0</v>
      </c>
      <c r="H706" s="1055"/>
      <c r="I706" s="1055"/>
      <c r="J706" s="1055"/>
      <c r="K706" s="1055"/>
      <c r="L706" s="1055"/>
      <c r="M706" s="1055"/>
      <c r="N706" s="1055"/>
      <c r="O706" s="1280"/>
      <c r="P706" s="1360"/>
      <c r="Q706" s="1360"/>
      <c r="R706" s="1360"/>
      <c r="S706" s="1055"/>
      <c r="T706" s="1280"/>
      <c r="U706" s="1279"/>
      <c r="V706" s="1280"/>
      <c r="W706" s="1499"/>
      <c r="X706" s="1499"/>
      <c r="Y706" s="1280"/>
      <c r="Z706" s="1360"/>
      <c r="AA706" s="1055"/>
      <c r="AB706" s="1055"/>
      <c r="AC706" s="1055"/>
      <c r="AD706" s="971"/>
    </row>
    <row r="707" spans="1:30" ht="15.75" customHeight="1" outlineLevel="1">
      <c r="A707" s="1055" t="s">
        <v>3329</v>
      </c>
      <c r="B707" s="1330" t="s">
        <v>156</v>
      </c>
      <c r="C707" s="1339">
        <f t="shared" si="74"/>
        <v>0.15</v>
      </c>
      <c r="D707" s="1055">
        <f t="shared" si="75"/>
        <v>0.05</v>
      </c>
      <c r="E707" s="1246">
        <f>IF(E672=0,0,IF('Ввод данных'!$A$6=связи1!$A$95,IF(дома!E706+дома!$F$634&lt;дома!$E$627+0.3,дома!E706+дома!$F$634,0),0))+IF(дома!E706=0,0,IF('Ввод данных'!$A$6=связи1!$A$96,IF(дома!E706+0.05+дома!$F$634&gt;дома!$E$627+0.4,0,дома!E706+дома!$F$634),0))+IF(дома!E706=0,0,IF('Ввод данных'!$A$6=связи1!$A$98,IF(дома!E706+0.05+дома!$F$634&gt;дома!$E$627+0.4,0,дома!E706+дома!$F$634),0))</f>
        <v>0</v>
      </c>
      <c r="F707" s="1055">
        <f>IF(E707&lt;($E$631+0.5),1,0)*$D$635*IF('Ввод данных'!$A$19=связи1!$A$128,2,2)*IF('Ввод данных'!$F$237=связи1!$A$2,1,0)</f>
        <v>0</v>
      </c>
      <c r="G707" s="1055">
        <f t="shared" si="76"/>
        <v>0</v>
      </c>
      <c r="H707" s="1055"/>
      <c r="I707" s="1055"/>
      <c r="J707" s="1055"/>
      <c r="K707" s="1055"/>
      <c r="L707" s="1055"/>
      <c r="M707" s="1055"/>
      <c r="N707" s="1055"/>
      <c r="O707" s="1280"/>
      <c r="P707" s="1360"/>
      <c r="Q707" s="1360"/>
      <c r="R707" s="1360"/>
      <c r="S707" s="1055"/>
      <c r="T707" s="1280"/>
      <c r="U707" s="1279"/>
      <c r="V707" s="1280"/>
      <c r="W707" s="1499"/>
      <c r="X707" s="1499"/>
      <c r="Y707" s="1280"/>
      <c r="Z707" s="1360"/>
      <c r="AA707" s="1055"/>
      <c r="AB707" s="1055"/>
      <c r="AC707" s="1055"/>
      <c r="AD707" s="971"/>
    </row>
    <row r="708" spans="1:30" ht="15.75" customHeight="1" outlineLevel="1">
      <c r="A708" s="1055" t="s">
        <v>3330</v>
      </c>
      <c r="B708" s="1330" t="s">
        <v>156</v>
      </c>
      <c r="C708" s="1339">
        <f t="shared" si="74"/>
        <v>0.15</v>
      </c>
      <c r="D708" s="1055">
        <f t="shared" si="75"/>
        <v>0.05</v>
      </c>
      <c r="E708" s="1246">
        <f>IF(E673=0,0,IF('Ввод данных'!$A$6=связи1!$A$95,IF(дома!E707+дома!$F$634&lt;дома!$E$627+0.3,дома!E707+дома!$F$634,0),0))+IF(дома!E707=0,0,IF('Ввод данных'!$A$6=связи1!$A$96,IF(дома!E707+0.05+дома!$F$634&gt;дома!$E$627+0.4,0,дома!E707+дома!$F$634),0))+IF(дома!E707=0,0,IF('Ввод данных'!$A$6=связи1!$A$98,IF(дома!E707+0.05+дома!$F$634&gt;дома!$E$627+0.4,0,дома!E707+дома!$F$634),0))</f>
        <v>0</v>
      </c>
      <c r="F708" s="1055">
        <f>IF(E708&lt;($E$631+0.5),1,0)*$D$635*IF('Ввод данных'!$A$19=связи1!$A$128,2,2)*IF('Ввод данных'!$F$237=связи1!$A$2,1,0)</f>
        <v>0</v>
      </c>
      <c r="G708" s="1055">
        <f t="shared" si="76"/>
        <v>0</v>
      </c>
      <c r="H708" s="1055"/>
      <c r="I708" s="1055"/>
      <c r="J708" s="1055"/>
      <c r="K708" s="1055"/>
      <c r="L708" s="1055"/>
      <c r="M708" s="1055"/>
      <c r="N708" s="1055"/>
      <c r="O708" s="1280"/>
      <c r="P708" s="1360"/>
      <c r="Q708" s="1360"/>
      <c r="R708" s="1360"/>
      <c r="S708" s="1055"/>
      <c r="T708" s="1280"/>
      <c r="U708" s="1279"/>
      <c r="V708" s="1280"/>
      <c r="W708" s="1499"/>
      <c r="X708" s="1499"/>
      <c r="Y708" s="1280"/>
      <c r="Z708" s="1360"/>
      <c r="AA708" s="1055"/>
      <c r="AB708" s="1055"/>
      <c r="AC708" s="1055"/>
      <c r="AD708" s="971"/>
    </row>
    <row r="709" spans="1:30" ht="15.75" customHeight="1" outlineLevel="1">
      <c r="A709" s="1055" t="s">
        <v>3331</v>
      </c>
      <c r="B709" s="1330" t="s">
        <v>156</v>
      </c>
      <c r="C709" s="1339">
        <f t="shared" si="74"/>
        <v>0.15</v>
      </c>
      <c r="D709" s="1055">
        <f t="shared" si="75"/>
        <v>0.05</v>
      </c>
      <c r="E709" s="1246">
        <f>IF(E674=0,0,IF('Ввод данных'!$A$6=связи1!$A$95,IF(дома!E708+дома!$F$634&lt;дома!$E$627+0.3,дома!E708+дома!$F$634,0),0))+IF(дома!E708=0,0,IF('Ввод данных'!$A$6=связи1!$A$96,IF(дома!E708+0.05+дома!$F$634&gt;дома!$E$627+0.4,0,дома!E708+дома!$F$634),0))+IF(дома!E708=0,0,IF('Ввод данных'!$A$6=связи1!$A$98,IF(дома!E708+0.05+дома!$F$634&gt;дома!$E$627+0.4,0,дома!E708+дома!$F$634),0))</f>
        <v>0</v>
      </c>
      <c r="F709" s="1055">
        <f>IF(E709&lt;($E$631+0.5),1,0)*$D$635*IF('Ввод данных'!$A$19=связи1!$A$128,2,2)*IF('Ввод данных'!$F$237=связи1!$A$2,1,0)</f>
        <v>0</v>
      </c>
      <c r="G709" s="1055">
        <f t="shared" si="76"/>
        <v>0</v>
      </c>
      <c r="H709" s="1055"/>
      <c r="I709" s="1055"/>
      <c r="J709" s="1055"/>
      <c r="K709" s="1055"/>
      <c r="L709" s="1055"/>
      <c r="M709" s="1055"/>
      <c r="N709" s="1055"/>
      <c r="O709" s="1280"/>
      <c r="P709" s="1360"/>
      <c r="Q709" s="1360"/>
      <c r="R709" s="1360"/>
      <c r="S709" s="1055"/>
      <c r="T709" s="1280"/>
      <c r="U709" s="1279"/>
      <c r="V709" s="1280"/>
      <c r="W709" s="1499"/>
      <c r="X709" s="1499"/>
      <c r="Y709" s="1280"/>
      <c r="Z709" s="1360"/>
      <c r="AA709" s="1055"/>
      <c r="AB709" s="1055"/>
      <c r="AC709" s="1055"/>
      <c r="AD709" s="971"/>
    </row>
    <row r="710" spans="1:30" ht="15.75" customHeight="1" outlineLevel="1">
      <c r="A710" s="1055" t="s">
        <v>3332</v>
      </c>
      <c r="B710" s="1330" t="s">
        <v>156</v>
      </c>
      <c r="C710" s="1339">
        <f t="shared" si="74"/>
        <v>0.15</v>
      </c>
      <c r="D710" s="1055">
        <f t="shared" si="75"/>
        <v>0.05</v>
      </c>
      <c r="E710" s="1246">
        <f>IF(E675=0,0,IF('Ввод данных'!$A$6=связи1!$A$95,IF(дома!E709+дома!$F$634&lt;дома!$E$627+0.3,дома!E709+дома!$F$634,0),0))+IF(дома!E709=0,0,IF('Ввод данных'!$A$6=связи1!$A$96,IF(дома!E709+0.05+дома!$F$634&gt;дома!$E$627+0.4,0,дома!E709+дома!$F$634),0))+IF(дома!E709=0,0,IF('Ввод данных'!$A$6=связи1!$A$98,IF(дома!E709+0.05+дома!$F$634&gt;дома!$E$627+0.4,0,дома!E709+дома!$F$634),0))</f>
        <v>0</v>
      </c>
      <c r="F710" s="1055">
        <f>IF(E710&lt;($E$631+0.5),1,0)*$D$635*IF('Ввод данных'!$A$19=связи1!$A$128,2,2)*IF('Ввод данных'!$F$237=связи1!$A$2,1,0)</f>
        <v>0</v>
      </c>
      <c r="G710" s="1055">
        <f t="shared" si="76"/>
        <v>0</v>
      </c>
      <c r="H710" s="1055"/>
      <c r="I710" s="1055"/>
      <c r="J710" s="1055"/>
      <c r="K710" s="1055"/>
      <c r="L710" s="1055"/>
      <c r="M710" s="1055"/>
      <c r="N710" s="1055"/>
      <c r="O710" s="1280"/>
      <c r="P710" s="1360"/>
      <c r="Q710" s="1360"/>
      <c r="R710" s="1360"/>
      <c r="S710" s="1055"/>
      <c r="T710" s="1280"/>
      <c r="U710" s="1279"/>
      <c r="V710" s="1280"/>
      <c r="W710" s="1499"/>
      <c r="X710" s="1499"/>
      <c r="Y710" s="1280"/>
      <c r="Z710" s="1360"/>
      <c r="AA710" s="1055"/>
      <c r="AB710" s="1055"/>
      <c r="AC710" s="1055"/>
      <c r="AD710" s="971"/>
    </row>
    <row r="711" spans="1:30" ht="15.75" customHeight="1" outlineLevel="1">
      <c r="A711" s="1055" t="s">
        <v>3333</v>
      </c>
      <c r="B711" s="1330" t="s">
        <v>156</v>
      </c>
      <c r="C711" s="1339">
        <f t="shared" si="74"/>
        <v>0.15</v>
      </c>
      <c r="D711" s="1055">
        <f t="shared" si="75"/>
        <v>0.05</v>
      </c>
      <c r="E711" s="1246">
        <f>IF(E676=0,0,IF('Ввод данных'!$A$6=связи1!$A$95,IF(дома!E710+дома!$F$634&lt;дома!$E$627+0.3,дома!E710+дома!$F$634,0),0))+IF(дома!E710=0,0,IF('Ввод данных'!$A$6=связи1!$A$96,IF(дома!E710+0.05+дома!$F$634&gt;дома!$E$627+0.4,0,дома!E710+дома!$F$634),0))+IF(дома!E710=0,0,IF('Ввод данных'!$A$6=связи1!$A$98,IF(дома!E710+0.05+дома!$F$634&gt;дома!$E$627+0.4,0,дома!E710+дома!$F$634),0))</f>
        <v>0</v>
      </c>
      <c r="F711" s="1055">
        <f>IF(E711&lt;($E$631+0.5),1,0)*$D$635*IF('Ввод данных'!$A$19=связи1!$A$128,2,2)*IF('Ввод данных'!$F$237=связи1!$A$2,1,0)</f>
        <v>0</v>
      </c>
      <c r="G711" s="1055">
        <f t="shared" si="76"/>
        <v>0</v>
      </c>
      <c r="H711" s="1055"/>
      <c r="I711" s="1055"/>
      <c r="J711" s="1055"/>
      <c r="K711" s="1055"/>
      <c r="L711" s="1055"/>
      <c r="M711" s="1055"/>
      <c r="N711" s="1055"/>
      <c r="O711" s="1280"/>
      <c r="P711" s="1360"/>
      <c r="Q711" s="1360"/>
      <c r="R711" s="1360"/>
      <c r="S711" s="1055"/>
      <c r="T711" s="1280"/>
      <c r="U711" s="1279"/>
      <c r="V711" s="1280"/>
      <c r="W711" s="1499"/>
      <c r="X711" s="1499"/>
      <c r="Y711" s="1280"/>
      <c r="Z711" s="1360"/>
      <c r="AA711" s="1055"/>
      <c r="AB711" s="1055"/>
      <c r="AC711" s="1055"/>
      <c r="AD711" s="971"/>
    </row>
    <row r="712" spans="1:30" ht="15.75" customHeight="1" outlineLevel="1">
      <c r="A712" s="1055" t="s">
        <v>3334</v>
      </c>
      <c r="B712" s="1330" t="s">
        <v>156</v>
      </c>
      <c r="C712" s="1339">
        <f t="shared" si="74"/>
        <v>0.15</v>
      </c>
      <c r="D712" s="1055">
        <f t="shared" si="75"/>
        <v>0.05</v>
      </c>
      <c r="E712" s="1246">
        <f>IF(E677=0,0,IF('Ввод данных'!$A$6=связи1!$A$95,IF(дома!E711+дома!$F$634&lt;дома!$E$627+0.3,дома!E711+дома!$F$634,0),0))+IF(дома!E711=0,0,IF('Ввод данных'!$A$6=связи1!$A$96,IF(дома!E711+0.05+дома!$F$634&gt;дома!$E$627+0.4,0,дома!E711+дома!$F$634),0))+IF(дома!E711=0,0,IF('Ввод данных'!$A$6=связи1!$A$98,IF(дома!E711+0.05+дома!$F$634&gt;дома!$E$627+0.4,0,дома!E711+дома!$F$634),0))</f>
        <v>0</v>
      </c>
      <c r="F712" s="1055">
        <f>IF(E712&lt;($E$631+0.5),1,0)*$D$635*IF('Ввод данных'!$A$19=связи1!$A$128,2,2)*IF('Ввод данных'!$F$237=связи1!$A$2,1,0)</f>
        <v>0</v>
      </c>
      <c r="G712" s="1055">
        <f t="shared" si="76"/>
        <v>0</v>
      </c>
      <c r="H712" s="1055"/>
      <c r="I712" s="1055"/>
      <c r="J712" s="1055"/>
      <c r="K712" s="1055"/>
      <c r="L712" s="1055"/>
      <c r="M712" s="1055"/>
      <c r="N712" s="1055"/>
      <c r="O712" s="1280"/>
      <c r="P712" s="1360"/>
      <c r="Q712" s="1360"/>
      <c r="R712" s="1360"/>
      <c r="S712" s="1055"/>
      <c r="T712" s="1280"/>
      <c r="U712" s="1279"/>
      <c r="V712" s="1280"/>
      <c r="W712" s="1499"/>
      <c r="X712" s="1499"/>
      <c r="Y712" s="1280"/>
      <c r="Z712" s="1360"/>
      <c r="AA712" s="1055"/>
      <c r="AB712" s="1055"/>
      <c r="AC712" s="1055"/>
      <c r="AD712" s="971"/>
    </row>
    <row r="713" spans="1:30" ht="15.75" customHeight="1" outlineLevel="1">
      <c r="A713" s="1055" t="s">
        <v>3335</v>
      </c>
      <c r="B713" s="1330" t="s">
        <v>156</v>
      </c>
      <c r="C713" s="1339">
        <f t="shared" si="74"/>
        <v>0.15</v>
      </c>
      <c r="D713" s="1055">
        <f t="shared" si="75"/>
        <v>0.05</v>
      </c>
      <c r="E713" s="1246">
        <f>IF(E678=0,0,IF('Ввод данных'!$A$6=связи1!$A$95,IF(дома!E712+дома!$F$634&lt;дома!$E$627+0.3,дома!E712+дома!$F$634,0),0))+IF(дома!E712=0,0,IF('Ввод данных'!$A$6=связи1!$A$96,IF(дома!E712+0.05+дома!$F$634&gt;дома!$E$627+0.4,0,дома!E712+дома!$F$634),0))+IF(дома!E712=0,0,IF('Ввод данных'!$A$6=связи1!$A$98,IF(дома!E712+0.05+дома!$F$634&gt;дома!$E$627+0.4,0,дома!E712+дома!$F$634),0))</f>
        <v>0</v>
      </c>
      <c r="F713" s="1055">
        <f>IF(E713&lt;($E$631+0.5),1,0)*$D$635*IF('Ввод данных'!$A$19=связи1!$A$128,2,2)*IF('Ввод данных'!$F$237=связи1!$A$2,1,0)</f>
        <v>0</v>
      </c>
      <c r="G713" s="1055">
        <f t="shared" si="76"/>
        <v>0</v>
      </c>
      <c r="H713" s="1055"/>
      <c r="I713" s="1055"/>
      <c r="J713" s="1055"/>
      <c r="K713" s="1055"/>
      <c r="L713" s="1055"/>
      <c r="M713" s="1055"/>
      <c r="N713" s="1055"/>
      <c r="O713" s="1280"/>
      <c r="P713" s="1360"/>
      <c r="Q713" s="1360"/>
      <c r="R713" s="1360"/>
      <c r="S713" s="1055"/>
      <c r="T713" s="1280"/>
      <c r="U713" s="1279"/>
      <c r="V713" s="1280"/>
      <c r="W713" s="1499"/>
      <c r="X713" s="1499"/>
      <c r="Y713" s="1280"/>
      <c r="Z713" s="1360"/>
      <c r="AA713" s="1055"/>
      <c r="AB713" s="1055"/>
      <c r="AC713" s="1055"/>
      <c r="AD713" s="971"/>
    </row>
    <row r="714" spans="1:30" ht="15.75" customHeight="1" outlineLevel="1">
      <c r="A714" s="1055" t="s">
        <v>3336</v>
      </c>
      <c r="B714" s="1330" t="s">
        <v>156</v>
      </c>
      <c r="C714" s="1339">
        <f t="shared" si="74"/>
        <v>0.15</v>
      </c>
      <c r="D714" s="1055">
        <f t="shared" si="75"/>
        <v>0.05</v>
      </c>
      <c r="E714" s="1246">
        <f>IF(E679=0,0,IF('Ввод данных'!$A$6=связи1!$A$95,IF(дома!E713+дома!$F$634&lt;дома!$E$627+0.3,дома!E713+дома!$F$634,0),0))+IF(дома!E713=0,0,IF('Ввод данных'!$A$6=связи1!$A$96,IF(дома!E713+0.05+дома!$F$634&gt;дома!$E$627+0.4,0,дома!E713+дома!$F$634),0))+IF(дома!E713=0,0,IF('Ввод данных'!$A$6=связи1!$A$98,IF(дома!E713+0.05+дома!$F$634&gt;дома!$E$627+0.4,0,дома!E713+дома!$F$634),0))</f>
        <v>0</v>
      </c>
      <c r="F714" s="1055">
        <f>IF(E714&lt;($E$631+0.5),1,0)*$D$635*IF('Ввод данных'!$A$19=связи1!$A$128,2,2)*IF('Ввод данных'!$F$237=связи1!$A$2,1,0)</f>
        <v>0</v>
      </c>
      <c r="G714" s="1055">
        <f t="shared" si="76"/>
        <v>0</v>
      </c>
      <c r="H714" s="1055"/>
      <c r="I714" s="1055"/>
      <c r="J714" s="1055"/>
      <c r="K714" s="1055"/>
      <c r="L714" s="1055"/>
      <c r="M714" s="1055"/>
      <c r="N714" s="1055"/>
      <c r="O714" s="1280"/>
      <c r="P714" s="1360"/>
      <c r="Q714" s="1360"/>
      <c r="R714" s="1360"/>
      <c r="S714" s="1055"/>
      <c r="T714" s="1280"/>
      <c r="U714" s="1279"/>
      <c r="V714" s="1280"/>
      <c r="W714" s="1499"/>
      <c r="X714" s="1499"/>
      <c r="Y714" s="1280"/>
      <c r="Z714" s="1360"/>
      <c r="AA714" s="1055"/>
      <c r="AB714" s="1055"/>
      <c r="AC714" s="1055"/>
      <c r="AD714" s="971"/>
    </row>
    <row r="715" spans="1:30" ht="15.75" customHeight="1" outlineLevel="1">
      <c r="A715" s="1055" t="s">
        <v>3337</v>
      </c>
      <c r="B715" s="1330" t="s">
        <v>156</v>
      </c>
      <c r="C715" s="1339">
        <f t="shared" si="74"/>
        <v>0.15</v>
      </c>
      <c r="D715" s="1055">
        <f t="shared" si="75"/>
        <v>0.05</v>
      </c>
      <c r="E715" s="1246">
        <f>IF(E680=0,0,IF('Ввод данных'!$A$6=связи1!$A$95,IF(дома!E714+дома!$F$634&lt;дома!$E$627+0.3,дома!E714+дома!$F$634,0),0))+IF(дома!E714=0,0,IF('Ввод данных'!$A$6=связи1!$A$96,IF(дома!E714+0.05+дома!$F$634&gt;дома!$E$627+0.4,0,дома!E714+дома!$F$634),0))+IF(дома!E714=0,0,IF('Ввод данных'!$A$6=связи1!$A$98,IF(дома!E714+0.05+дома!$F$634&gt;дома!$E$627+0.4,0,дома!E714+дома!$F$634),0))</f>
        <v>0</v>
      </c>
      <c r="F715" s="1055">
        <f>IF(E715&lt;($E$631+0.5),1,0)*$D$635*IF('Ввод данных'!$A$19=связи1!$A$128,2,2)*IF('Ввод данных'!$F$237=связи1!$A$2,1,0)</f>
        <v>0</v>
      </c>
      <c r="G715" s="1055">
        <f t="shared" si="76"/>
        <v>0</v>
      </c>
      <c r="H715" s="1055"/>
      <c r="I715" s="1055"/>
      <c r="J715" s="1055"/>
      <c r="K715" s="1055"/>
      <c r="L715" s="1055"/>
      <c r="M715" s="1055"/>
      <c r="N715" s="1055"/>
      <c r="O715" s="1280"/>
      <c r="P715" s="1360"/>
      <c r="Q715" s="1360"/>
      <c r="R715" s="1360"/>
      <c r="S715" s="1055"/>
      <c r="T715" s="1280"/>
      <c r="U715" s="1279"/>
      <c r="V715" s="1280"/>
      <c r="W715" s="1499"/>
      <c r="X715" s="1499"/>
      <c r="Y715" s="1280"/>
      <c r="Z715" s="1360"/>
      <c r="AA715" s="1055"/>
      <c r="AB715" s="1055"/>
      <c r="AC715" s="1055"/>
      <c r="AD715" s="971"/>
    </row>
    <row r="716" spans="1:30" ht="15.75" customHeight="1" outlineLevel="1">
      <c r="A716" s="1055" t="s">
        <v>3338</v>
      </c>
      <c r="B716" s="1330" t="s">
        <v>156</v>
      </c>
      <c r="C716" s="1339">
        <f t="shared" ref="C716:C747" si="77">$C$143</f>
        <v>0.15</v>
      </c>
      <c r="D716" s="1055">
        <f t="shared" ref="D716:D747" si="78">$J$620</f>
        <v>0.05</v>
      </c>
      <c r="E716" s="1246">
        <f>IF(E681=0,0,IF('Ввод данных'!$A$6=связи1!$A$95,IF(дома!E715+дома!$F$634&lt;дома!$E$627+0.3,дома!E715+дома!$F$634,0),0))+IF(дома!E715=0,0,IF('Ввод данных'!$A$6=связи1!$A$96,IF(дома!E715+0.05+дома!$F$634&gt;дома!$E$627+0.4,0,дома!E715+дома!$F$634),0))+IF(дома!E715=0,0,IF('Ввод данных'!$A$6=связи1!$A$98,IF(дома!E715+0.05+дома!$F$634&gt;дома!$E$627+0.4,0,дома!E715+дома!$F$634),0))</f>
        <v>0</v>
      </c>
      <c r="F716" s="1055">
        <f>IF(E716&lt;($E$631+0.5),1,0)*$D$635*IF('Ввод данных'!$A$19=связи1!$A$128,2,2)*IF('Ввод данных'!$F$237=связи1!$A$2,1,0)</f>
        <v>0</v>
      </c>
      <c r="G716" s="1055">
        <f t="shared" ref="G716:G747" si="79">C716*D716*E716*F716</f>
        <v>0</v>
      </c>
      <c r="H716" s="1055"/>
      <c r="I716" s="1055"/>
      <c r="J716" s="1055"/>
      <c r="K716" s="1055"/>
      <c r="L716" s="1055"/>
      <c r="M716" s="1055"/>
      <c r="N716" s="1055"/>
      <c r="O716" s="1280"/>
      <c r="P716" s="1360"/>
      <c r="Q716" s="1360"/>
      <c r="R716" s="1360"/>
      <c r="S716" s="1055"/>
      <c r="T716" s="1280"/>
      <c r="U716" s="1279"/>
      <c r="V716" s="1280"/>
      <c r="W716" s="1499"/>
      <c r="X716" s="1499"/>
      <c r="Y716" s="1280"/>
      <c r="Z716" s="1360"/>
      <c r="AA716" s="1055"/>
      <c r="AB716" s="1055"/>
      <c r="AC716" s="1055"/>
      <c r="AD716" s="971"/>
    </row>
    <row r="717" spans="1:30" ht="15.75" customHeight="1" outlineLevel="1">
      <c r="A717" s="1415" t="s">
        <v>3266</v>
      </c>
      <c r="B717" s="1366" t="s">
        <v>156</v>
      </c>
      <c r="C717" s="1416">
        <f t="shared" si="77"/>
        <v>0.15</v>
      </c>
      <c r="D717" s="1417">
        <f t="shared" si="78"/>
        <v>0.05</v>
      </c>
      <c r="E717" s="1418">
        <f>C621*IF('Ввод данных'!F312=связи1!A2,1,0)</f>
        <v>0</v>
      </c>
      <c r="F717" s="1417">
        <f>CEILING(C624/G624+1,1)</f>
        <v>1</v>
      </c>
      <c r="G717" s="1417">
        <f t="shared" si="79"/>
        <v>0</v>
      </c>
      <c r="H717" s="1417"/>
      <c r="I717" s="1055"/>
      <c r="J717" s="1055"/>
      <c r="K717" s="1055"/>
      <c r="L717" s="1055"/>
      <c r="M717" s="1055"/>
      <c r="N717" s="1055"/>
      <c r="O717" s="1280"/>
      <c r="P717" s="1360"/>
      <c r="Q717" s="1360"/>
      <c r="R717" s="1360"/>
      <c r="S717" s="1055"/>
      <c r="T717" s="1280"/>
      <c r="U717" s="1279"/>
      <c r="V717" s="1280"/>
      <c r="W717" s="1499"/>
      <c r="X717" s="1499"/>
      <c r="Y717" s="1280"/>
      <c r="Z717" s="1360"/>
      <c r="AA717" s="1055"/>
      <c r="AB717" s="1055"/>
      <c r="AC717" s="1055"/>
      <c r="AD717" s="971"/>
    </row>
    <row r="718" spans="1:30" ht="15.75" customHeight="1" outlineLevel="1">
      <c r="A718" s="1415" t="s">
        <v>3339</v>
      </c>
      <c r="B718" s="1366" t="s">
        <v>156</v>
      </c>
      <c r="C718" s="1416">
        <f t="shared" si="77"/>
        <v>0.15</v>
      </c>
      <c r="D718" s="1417">
        <f t="shared" si="78"/>
        <v>0.05</v>
      </c>
      <c r="E718" s="1418">
        <f>C622*IF('Ввод данных'!F312=связи1!A2,1,0)</f>
        <v>0</v>
      </c>
      <c r="F718" s="1417">
        <f>CEILING(C624/G624+1,1)</f>
        <v>1</v>
      </c>
      <c r="G718" s="1417">
        <f t="shared" si="79"/>
        <v>0</v>
      </c>
      <c r="H718" s="1417"/>
      <c r="I718" s="1055"/>
      <c r="J718" s="1055"/>
      <c r="K718" s="1055"/>
      <c r="L718" s="1055"/>
      <c r="M718" s="1055"/>
      <c r="N718" s="1055"/>
      <c r="O718" s="1280"/>
      <c r="P718" s="1360"/>
      <c r="Q718" s="1360"/>
      <c r="R718" s="1360"/>
      <c r="S718" s="1055"/>
      <c r="T718" s="1280"/>
      <c r="U718" s="1279"/>
      <c r="V718" s="1280"/>
      <c r="W718" s="1499"/>
      <c r="X718" s="1499"/>
      <c r="Y718" s="1280"/>
      <c r="Z718" s="1360"/>
      <c r="AA718" s="1055"/>
      <c r="AB718" s="1055"/>
      <c r="AC718" s="1055"/>
      <c r="AD718" s="971"/>
    </row>
    <row r="719" spans="1:30" ht="15.75" customHeight="1" outlineLevel="1">
      <c r="A719" s="1419" t="s">
        <v>3088</v>
      </c>
      <c r="B719" s="1366" t="s">
        <v>156</v>
      </c>
      <c r="C719" s="1416">
        <f t="shared" si="77"/>
        <v>0.15</v>
      </c>
      <c r="D719" s="1417">
        <f t="shared" si="78"/>
        <v>0.05</v>
      </c>
      <c r="E719" s="1367">
        <f>IF('Ввод данных'!F312=связи1!A2,1,0)*(IF('Ввод данных'!A6=связи1!A95,C621,0)+IF('Ввод данных'!A6=связи1!A96,дома!C621,0)+IF('Ввод данных'!A6=связи1!A98,дома!C621,0))</f>
        <v>0</v>
      </c>
      <c r="F719" s="1367">
        <f>4*$D$635</f>
        <v>0</v>
      </c>
      <c r="G719" s="1368">
        <f t="shared" si="79"/>
        <v>0</v>
      </c>
      <c r="H719" s="1368"/>
      <c r="I719" s="1055"/>
      <c r="J719" s="1055"/>
      <c r="K719" s="1055"/>
      <c r="L719" s="1055"/>
      <c r="M719" s="1055"/>
      <c r="N719" s="1055"/>
      <c r="O719" s="1280"/>
      <c r="P719" s="1360"/>
      <c r="Q719" s="1360"/>
      <c r="R719" s="1360"/>
      <c r="S719" s="1055"/>
      <c r="T719" s="1280"/>
      <c r="U719" s="1279"/>
      <c r="V719" s="1280"/>
      <c r="W719" s="1499"/>
      <c r="X719" s="1499"/>
      <c r="Y719" s="1280"/>
      <c r="Z719" s="1360"/>
      <c r="AA719" s="1055"/>
      <c r="AB719" s="1055"/>
      <c r="AC719" s="1055"/>
      <c r="AD719" s="971"/>
    </row>
    <row r="720" spans="1:30" ht="15.75" customHeight="1" outlineLevel="1">
      <c r="A720" s="1419" t="s">
        <v>3089</v>
      </c>
      <c r="B720" s="1366" t="s">
        <v>156</v>
      </c>
      <c r="C720" s="1416">
        <f t="shared" si="77"/>
        <v>0.15</v>
      </c>
      <c r="D720" s="1417">
        <f t="shared" si="78"/>
        <v>0.05</v>
      </c>
      <c r="E720" s="1367">
        <f>C21*IF('Ввод данных'!F312=связи1!A2,1,0)</f>
        <v>0</v>
      </c>
      <c r="F720" s="1367">
        <f>CEILING(C620/G620,1)*2*$D$635</f>
        <v>0</v>
      </c>
      <c r="G720" s="1368">
        <f t="shared" si="79"/>
        <v>0</v>
      </c>
      <c r="H720" s="1368"/>
      <c r="I720" s="1055"/>
      <c r="J720" s="1055"/>
      <c r="K720" s="1055"/>
      <c r="L720" s="1055"/>
      <c r="M720" s="1055"/>
      <c r="N720" s="1055"/>
      <c r="O720" s="1280"/>
      <c r="P720" s="1360"/>
      <c r="Q720" s="1360"/>
      <c r="R720" s="1360"/>
      <c r="S720" s="1055"/>
      <c r="T720" s="1280"/>
      <c r="U720" s="1279"/>
      <c r="V720" s="1280"/>
      <c r="W720" s="1499"/>
      <c r="X720" s="1499"/>
      <c r="Y720" s="1280"/>
      <c r="Z720" s="1360"/>
      <c r="AA720" s="1055"/>
      <c r="AB720" s="1055"/>
      <c r="AC720" s="1055"/>
      <c r="AD720" s="971"/>
    </row>
    <row r="721" spans="1:30" ht="15.75" customHeight="1" outlineLevel="1">
      <c r="A721" s="1419" t="s">
        <v>3340</v>
      </c>
      <c r="B721" s="1366" t="s">
        <v>156</v>
      </c>
      <c r="C721" s="1416">
        <f t="shared" si="77"/>
        <v>0.15</v>
      </c>
      <c r="D721" s="1417">
        <f t="shared" si="78"/>
        <v>0.05</v>
      </c>
      <c r="E721" s="1367">
        <f>(C620+C624)*IF('Ввод данных'!F312=связи1!A2,1,0)</f>
        <v>0</v>
      </c>
      <c r="F721" s="1367">
        <f>2*$D$635</f>
        <v>0</v>
      </c>
      <c r="G721" s="1368">
        <f t="shared" si="79"/>
        <v>0</v>
      </c>
      <c r="H721" s="1368"/>
      <c r="I721" s="1055"/>
      <c r="J721" s="1055"/>
      <c r="K721" s="1055"/>
      <c r="L721" s="1055"/>
      <c r="M721" s="1055"/>
      <c r="N721" s="1055"/>
      <c r="O721" s="1280"/>
      <c r="P721" s="1360"/>
      <c r="Q721" s="1360"/>
      <c r="R721" s="1360"/>
      <c r="S721" s="1055"/>
      <c r="T721" s="1280"/>
      <c r="U721" s="1279"/>
      <c r="V721" s="1280"/>
      <c r="W721" s="1499"/>
      <c r="X721" s="1499"/>
      <c r="Y721" s="1280"/>
      <c r="Z721" s="1360"/>
      <c r="AA721" s="1055"/>
      <c r="AB721" s="1055"/>
      <c r="AC721" s="1055"/>
      <c r="AD721" s="971"/>
    </row>
    <row r="722" spans="1:30" ht="15.75" customHeight="1" outlineLevel="1">
      <c r="A722" s="1419" t="s">
        <v>3341</v>
      </c>
      <c r="B722" s="1366" t="s">
        <v>156</v>
      </c>
      <c r="C722" s="1416">
        <f t="shared" si="77"/>
        <v>0.15</v>
      </c>
      <c r="D722" s="1417">
        <f t="shared" si="78"/>
        <v>0.05</v>
      </c>
      <c r="E722" s="1367">
        <f>(J1158+J1167*2+C624+C625)*1.1*D635*IF('Ввод данных'!F312=связи1!A2,1,0)</f>
        <v>0</v>
      </c>
      <c r="F722" s="1367">
        <f>2*$D$635</f>
        <v>0</v>
      </c>
      <c r="G722" s="1368">
        <f t="shared" si="79"/>
        <v>0</v>
      </c>
      <c r="H722" s="1368"/>
      <c r="I722" s="1055"/>
      <c r="J722" s="1055"/>
      <c r="K722" s="1055"/>
      <c r="L722" s="1055"/>
      <c r="M722" s="1055"/>
      <c r="N722" s="1055"/>
      <c r="O722" s="1280"/>
      <c r="P722" s="1360"/>
      <c r="Q722" s="1360"/>
      <c r="R722" s="1360"/>
      <c r="S722" s="1055"/>
      <c r="T722" s="1280"/>
      <c r="U722" s="1279"/>
      <c r="V722" s="1280"/>
      <c r="W722" s="1499"/>
      <c r="X722" s="1499"/>
      <c r="Y722" s="1280"/>
      <c r="Z722" s="1360"/>
      <c r="AA722" s="1055"/>
      <c r="AB722" s="1055"/>
      <c r="AC722" s="1055"/>
      <c r="AD722" s="971"/>
    </row>
    <row r="723" spans="1:30" ht="15.75" customHeight="1" outlineLevel="1">
      <c r="A723" s="1419" t="s">
        <v>3054</v>
      </c>
      <c r="B723" s="1366" t="s">
        <v>156</v>
      </c>
      <c r="C723" s="1416">
        <f t="shared" si="77"/>
        <v>0.15</v>
      </c>
      <c r="D723" s="1417">
        <f t="shared" si="78"/>
        <v>0.05</v>
      </c>
      <c r="E723" s="1367">
        <f>E722*IF('Ввод данных'!F312=связи1!A2,1,0)</f>
        <v>0</v>
      </c>
      <c r="F723" s="1367">
        <f>2*$D$635</f>
        <v>0</v>
      </c>
      <c r="G723" s="1368">
        <f t="shared" si="79"/>
        <v>0</v>
      </c>
      <c r="H723" s="1368"/>
      <c r="I723" s="1055"/>
      <c r="J723" s="1055"/>
      <c r="K723" s="1055"/>
      <c r="L723" s="1055"/>
      <c r="M723" s="1055"/>
      <c r="N723" s="1055"/>
      <c r="O723" s="1280"/>
      <c r="P723" s="1360"/>
      <c r="Q723" s="1360"/>
      <c r="R723" s="1360"/>
      <c r="S723" s="1055"/>
      <c r="T723" s="1280"/>
      <c r="U723" s="1279"/>
      <c r="V723" s="1280"/>
      <c r="W723" s="1499"/>
      <c r="X723" s="1499"/>
      <c r="Y723" s="1280"/>
      <c r="Z723" s="1360"/>
      <c r="AA723" s="1055"/>
      <c r="AB723" s="1055"/>
      <c r="AC723" s="1055"/>
      <c r="AD723" s="971"/>
    </row>
    <row r="724" spans="1:30" ht="15.75" customHeight="1" outlineLevel="1">
      <c r="A724" s="1420" t="s">
        <v>3093</v>
      </c>
      <c r="B724" s="1271" t="s">
        <v>156</v>
      </c>
      <c r="C724" s="1272">
        <f t="shared" si="77"/>
        <v>0.15</v>
      </c>
      <c r="D724" s="995">
        <f t="shared" si="78"/>
        <v>0.05</v>
      </c>
      <c r="E724" s="1314">
        <f>C620+C623+C624+C625</f>
        <v>0</v>
      </c>
      <c r="F724" s="1314">
        <f>1*IF('Ввод данных'!B155=связи1!A2,1,0)*IF('Ввод данных'!F194=связи1!A2,1,0)</f>
        <v>0</v>
      </c>
      <c r="G724" s="1316">
        <f t="shared" si="79"/>
        <v>0</v>
      </c>
      <c r="H724" s="1316"/>
      <c r="I724" s="1055"/>
      <c r="J724" s="1055"/>
      <c r="K724" s="1055"/>
      <c r="L724" s="1055"/>
      <c r="M724" s="1055"/>
      <c r="N724" s="1055"/>
      <c r="O724" s="1280"/>
      <c r="P724" s="1360"/>
      <c r="Q724" s="1360"/>
      <c r="R724" s="1360"/>
      <c r="S724" s="1055"/>
      <c r="T724" s="1280"/>
      <c r="U724" s="1279"/>
      <c r="V724" s="1280"/>
      <c r="W724" s="1499"/>
      <c r="X724" s="1499"/>
      <c r="Y724" s="1280"/>
      <c r="Z724" s="1360"/>
      <c r="AA724" s="1055"/>
      <c r="AB724" s="1055"/>
      <c r="AC724" s="1055"/>
      <c r="AD724" s="971"/>
    </row>
    <row r="725" spans="1:30" ht="15.75" customHeight="1" outlineLevel="1">
      <c r="A725" s="1420" t="s">
        <v>3094</v>
      </c>
      <c r="B725" s="1271" t="s">
        <v>156</v>
      </c>
      <c r="C725" s="1272">
        <f t="shared" si="77"/>
        <v>0.15</v>
      </c>
      <c r="D725" s="995">
        <f t="shared" si="78"/>
        <v>0.05</v>
      </c>
      <c r="E725" s="1314">
        <f>C620+C623+K629+K629</f>
        <v>22.360679774997898</v>
      </c>
      <c r="F725" s="1314">
        <f>1*IF('Ввод данных'!B155=связи1!A2,1,0)*IF('Ввод данных'!F194=связи1!A2,1,0)*D635</f>
        <v>0</v>
      </c>
      <c r="G725" s="1316">
        <f t="shared" si="79"/>
        <v>0</v>
      </c>
      <c r="H725" s="1316"/>
      <c r="I725" s="1055"/>
      <c r="J725" s="1055"/>
      <c r="K725" s="1055"/>
      <c r="L725" s="1055"/>
      <c r="M725" s="1055"/>
      <c r="N725" s="1055"/>
      <c r="O725" s="1280"/>
      <c r="P725" s="1360"/>
      <c r="Q725" s="1360"/>
      <c r="R725" s="1360"/>
      <c r="S725" s="1055"/>
      <c r="T725" s="1280"/>
      <c r="U725" s="1279"/>
      <c r="V725" s="1280"/>
      <c r="W725" s="1499"/>
      <c r="X725" s="1499"/>
      <c r="Y725" s="1280"/>
      <c r="Z725" s="1360"/>
      <c r="AA725" s="1055"/>
      <c r="AB725" s="1055"/>
      <c r="AC725" s="1055"/>
      <c r="AD725" s="971"/>
    </row>
    <row r="726" spans="1:30" ht="15.75" customHeight="1" outlineLevel="1">
      <c r="A726" s="1420" t="s">
        <v>3095</v>
      </c>
      <c r="B726" s="1271" t="s">
        <v>156</v>
      </c>
      <c r="C726" s="1272">
        <f t="shared" si="77"/>
        <v>0.15</v>
      </c>
      <c r="D726" s="995">
        <f t="shared" si="78"/>
        <v>0.05</v>
      </c>
      <c r="E726" s="1314">
        <f>E725</f>
        <v>22.360679774997898</v>
      </c>
      <c r="F726" s="1314">
        <f>1*IF('Ввод данных'!B155=связи1!A2,1,0)*IF('Ввод данных'!F194=связи1!A2,1,0)*D635</f>
        <v>0</v>
      </c>
      <c r="G726" s="1316">
        <f t="shared" si="79"/>
        <v>0</v>
      </c>
      <c r="H726" s="1316"/>
      <c r="I726" s="1055"/>
      <c r="J726" s="1055"/>
      <c r="K726" s="1055"/>
      <c r="L726" s="1055"/>
      <c r="M726" s="1055"/>
      <c r="N726" s="1055"/>
      <c r="O726" s="1280"/>
      <c r="P726" s="1360"/>
      <c r="Q726" s="1360"/>
      <c r="R726" s="1360"/>
      <c r="S726" s="1055"/>
      <c r="T726" s="1280"/>
      <c r="U726" s="1279"/>
      <c r="V726" s="1280"/>
      <c r="W726" s="1499"/>
      <c r="X726" s="1499"/>
      <c r="Y726" s="1280"/>
      <c r="Z726" s="1360"/>
      <c r="AA726" s="1055"/>
      <c r="AB726" s="1055"/>
      <c r="AC726" s="1055"/>
      <c r="AD726" s="971"/>
    </row>
    <row r="727" spans="1:30" ht="15.75" customHeight="1" outlineLevel="1">
      <c r="A727" s="1421" t="s">
        <v>3342</v>
      </c>
      <c r="B727" s="1271" t="s">
        <v>156</v>
      </c>
      <c r="C727" s="1272">
        <f t="shared" si="77"/>
        <v>0.15</v>
      </c>
      <c r="D727" s="995">
        <f t="shared" si="78"/>
        <v>0.05</v>
      </c>
      <c r="E727" s="1314">
        <f>IF('Ввод данных'!B155=связи1!A2,IF('Ввод данных'!A6=связи1!A95,'Ввод данных'!C16,0)+IF('Ввод данных'!A6=связи1!A96,связи1!K207,0)+IF('Ввод данных'!A6=связи1!A98,связи1!K207,0),0)</f>
        <v>0</v>
      </c>
      <c r="F727" s="1314">
        <f>CEILING(C620/G620+1,1)*IF('Ввод данных'!B155=связи1!A2,1,0)*IF('Ввод данных'!F194=связи1!A2,1,0)</f>
        <v>0</v>
      </c>
      <c r="G727" s="1316">
        <f t="shared" si="79"/>
        <v>0</v>
      </c>
      <c r="H727" s="1316"/>
      <c r="I727" s="1055"/>
      <c r="J727" s="1055"/>
      <c r="K727" s="1055"/>
      <c r="L727" s="1055"/>
      <c r="M727" s="1055"/>
      <c r="N727" s="1055"/>
      <c r="O727" s="1280"/>
      <c r="P727" s="1360"/>
      <c r="Q727" s="1360"/>
      <c r="R727" s="1360"/>
      <c r="S727" s="1055"/>
      <c r="T727" s="1280"/>
      <c r="U727" s="1279"/>
      <c r="V727" s="1280"/>
      <c r="W727" s="1499"/>
      <c r="X727" s="1499"/>
      <c r="Y727" s="1280"/>
      <c r="Z727" s="1360"/>
      <c r="AA727" s="1055"/>
      <c r="AB727" s="1055"/>
      <c r="AC727" s="1055"/>
      <c r="AD727" s="971"/>
    </row>
    <row r="728" spans="1:30" ht="15.75" customHeight="1" outlineLevel="1">
      <c r="A728" s="1421" t="s">
        <v>3343</v>
      </c>
      <c r="B728" s="1271" t="s">
        <v>156</v>
      </c>
      <c r="C728" s="1272">
        <f t="shared" si="77"/>
        <v>0.15</v>
      </c>
      <c r="D728" s="995">
        <f t="shared" si="78"/>
        <v>0.05</v>
      </c>
      <c r="E728" s="1314">
        <f>IF('Ввод данных'!B155=связи1!A2,IF('Ввод данных'!A6=связи1!A95,'Ввод данных'!C16,0)+IF('Ввод данных'!A6=связи1!A96,связи1!K206,0)+IF('Ввод данных'!A6=связи1!A98,связи1!K206,0),0)</f>
        <v>0</v>
      </c>
      <c r="F728" s="1314">
        <f>CEILING(C620/G620+1,1)*IF('Ввод данных'!B155=связи1!A2,1,0)*IF('Ввод данных'!F194=связи1!A2,1,0)</f>
        <v>0</v>
      </c>
      <c r="G728" s="1316">
        <f t="shared" si="79"/>
        <v>0</v>
      </c>
      <c r="H728" s="1316"/>
      <c r="I728" s="1055"/>
      <c r="J728" s="1055"/>
      <c r="K728" s="1055"/>
      <c r="L728" s="1055"/>
      <c r="M728" s="1055"/>
      <c r="N728" s="1055"/>
      <c r="O728" s="1280"/>
      <c r="P728" s="1360"/>
      <c r="Q728" s="1360"/>
      <c r="R728" s="1360"/>
      <c r="S728" s="1055"/>
      <c r="T728" s="1280"/>
      <c r="U728" s="1279"/>
      <c r="V728" s="1280"/>
      <c r="W728" s="1499"/>
      <c r="X728" s="1499"/>
      <c r="Y728" s="1280"/>
      <c r="Z728" s="1360"/>
      <c r="AA728" s="1055"/>
      <c r="AB728" s="1055"/>
      <c r="AC728" s="1055"/>
      <c r="AD728" s="971"/>
    </row>
    <row r="729" spans="1:30" ht="15.75" customHeight="1" outlineLevel="1">
      <c r="A729" s="1421" t="s">
        <v>3344</v>
      </c>
      <c r="B729" s="1271" t="s">
        <v>156</v>
      </c>
      <c r="C729" s="1272">
        <f t="shared" si="77"/>
        <v>0.15</v>
      </c>
      <c r="D729" s="995">
        <f t="shared" si="78"/>
        <v>0.05</v>
      </c>
      <c r="E729" s="1314">
        <f>IF('Ввод данных'!B155=связи1!A2,IF('Ввод данных'!A6=связи1!A95,'Ввод данных'!C16,0)+IF('Ввод данных'!A6=связи1!A96,связи1!K206,0)+IF('Ввод данных'!A6=связи1!A98,связи1!K206,0),0)</f>
        <v>0</v>
      </c>
      <c r="F729" s="1314">
        <f>CEILING(C624/G624+1,1)*IF('Ввод данных'!B155=связи1!A2,1,0)*IF('Ввод данных'!F194=связи1!A2,1,0)*IF('Ввод данных'!A6=связи1!A95,1,0)</f>
        <v>0</v>
      </c>
      <c r="G729" s="1316">
        <f t="shared" si="79"/>
        <v>0</v>
      </c>
      <c r="H729" s="1316"/>
      <c r="I729" s="1055"/>
      <c r="J729" s="1055"/>
      <c r="K729" s="1055"/>
      <c r="L729" s="1055"/>
      <c r="M729" s="1055"/>
      <c r="N729" s="1055"/>
      <c r="O729" s="1280"/>
      <c r="P729" s="1360"/>
      <c r="Q729" s="1360"/>
      <c r="R729" s="1360"/>
      <c r="S729" s="1055"/>
      <c r="T729" s="1280"/>
      <c r="U729" s="1279"/>
      <c r="V729" s="1280"/>
      <c r="W729" s="1499"/>
      <c r="X729" s="1499"/>
      <c r="Y729" s="1280"/>
      <c r="Z729" s="1360"/>
      <c r="AA729" s="1055"/>
      <c r="AB729" s="1055"/>
      <c r="AC729" s="1055"/>
      <c r="AD729" s="971"/>
    </row>
    <row r="730" spans="1:30" ht="15.75" customHeight="1" outlineLevel="1">
      <c r="A730" s="1420" t="s">
        <v>3099</v>
      </c>
      <c r="B730" s="1271" t="s">
        <v>156</v>
      </c>
      <c r="C730" s="1272">
        <f t="shared" si="77"/>
        <v>0.15</v>
      </c>
      <c r="D730" s="995">
        <f t="shared" si="78"/>
        <v>0.05</v>
      </c>
      <c r="E730" s="1314">
        <f>IF('Ввод данных'!A6=связи1!A95,(связи1!K206-'Ввод данных'!C16),0)+IF('Ввод данных'!A6=связи1!A96,связи1!K206,0)+IF('Ввод данных'!A6=связи1!A98,связи1!K206,0)</f>
        <v>0</v>
      </c>
      <c r="F730" s="1314">
        <f>2*IF('Ввод данных'!$B$155=связи1!$A$2,1,0)*IF('Ввод данных'!$F$194=связи1!$A$2,1,0)</f>
        <v>0</v>
      </c>
      <c r="G730" s="1316">
        <f t="shared" si="79"/>
        <v>0</v>
      </c>
      <c r="H730" s="1316"/>
      <c r="I730" s="1055"/>
      <c r="J730" s="1055"/>
      <c r="K730" s="1055"/>
      <c r="L730" s="1055"/>
      <c r="M730" s="1055"/>
      <c r="N730" s="1055"/>
      <c r="O730" s="1280"/>
      <c r="P730" s="1360"/>
      <c r="Q730" s="1360"/>
      <c r="R730" s="1360"/>
      <c r="S730" s="1055"/>
      <c r="T730" s="1280"/>
      <c r="U730" s="1279"/>
      <c r="V730" s="1280"/>
      <c r="W730" s="1499"/>
      <c r="X730" s="1499"/>
      <c r="Y730" s="1280"/>
      <c r="Z730" s="1360"/>
      <c r="AA730" s="1055"/>
      <c r="AB730" s="1055"/>
      <c r="AC730" s="1055"/>
      <c r="AD730" s="971"/>
    </row>
    <row r="731" spans="1:30" ht="15.75" customHeight="1" outlineLevel="1">
      <c r="A731" s="1420" t="s">
        <v>3100</v>
      </c>
      <c r="B731" s="1271" t="s">
        <v>156</v>
      </c>
      <c r="C731" s="1272">
        <f t="shared" si="77"/>
        <v>0.15</v>
      </c>
      <c r="D731" s="995">
        <f t="shared" si="78"/>
        <v>0.05</v>
      </c>
      <c r="E731" s="1314">
        <f>IF(E730=0,0,IF('Ввод данных'!$A$6=связи1!$A$95,IF(E730&lt;=0,0,E730-дома!$K$632),0)+IF('Ввод данных'!$A$6=связи1!$A$96,IF(E730&lt;связи1!$K$207,0,E730-$K$632),0)+IF('Ввод данных'!$A$6=связи1!$A$98,IF(E730&lt;связи1!$K$207,0,E730-$K$632),0))</f>
        <v>0</v>
      </c>
      <c r="F731" s="1314">
        <f>2*IF('Ввод данных'!$B$155=связи1!$A$2,1,0)*IF('Ввод данных'!$F$194=связи1!$A$2,1,0)</f>
        <v>0</v>
      </c>
      <c r="G731" s="1316">
        <f t="shared" si="79"/>
        <v>0</v>
      </c>
      <c r="H731" s="1316"/>
      <c r="I731" s="1055"/>
      <c r="J731" s="1055"/>
      <c r="K731" s="1055"/>
      <c r="L731" s="1055"/>
      <c r="M731" s="1055"/>
      <c r="N731" s="1055"/>
      <c r="O731" s="1280"/>
      <c r="P731" s="1360"/>
      <c r="Q731" s="1360"/>
      <c r="R731" s="1360"/>
      <c r="S731" s="1055"/>
      <c r="T731" s="1280"/>
      <c r="U731" s="1279"/>
      <c r="V731" s="1280"/>
      <c r="W731" s="1499"/>
      <c r="X731" s="1499"/>
      <c r="Y731" s="1280"/>
      <c r="Z731" s="1360"/>
      <c r="AA731" s="1055"/>
      <c r="AB731" s="1055"/>
      <c r="AC731" s="1055"/>
      <c r="AD731" s="971"/>
    </row>
    <row r="732" spans="1:30" ht="15.75" customHeight="1" outlineLevel="1">
      <c r="A732" s="1420" t="s">
        <v>3101</v>
      </c>
      <c r="B732" s="1271" t="s">
        <v>156</v>
      </c>
      <c r="C732" s="1272">
        <f t="shared" si="77"/>
        <v>0.15</v>
      </c>
      <c r="D732" s="995">
        <f t="shared" si="78"/>
        <v>0.05</v>
      </c>
      <c r="E732" s="1314">
        <f>IF(E731=0,0,IF('Ввод данных'!$A$6=связи1!$A$95,IF(E731&lt;=0,0,E731-дома!$K$632),0)+IF('Ввод данных'!$A$6=связи1!$A$96,IF(E731&lt;связи1!$K$207,0,E731-$K$632),0)+IF('Ввод данных'!$A$6=связи1!$A$98,IF(E731&lt;связи1!$K$207,0,E731-$K$632),0))</f>
        <v>0</v>
      </c>
      <c r="F732" s="1314">
        <f>2*IF('Ввод данных'!$B$155=связи1!$A$2,1,0)*IF('Ввод данных'!$F$194=связи1!$A$2,1,0)</f>
        <v>0</v>
      </c>
      <c r="G732" s="1316">
        <f t="shared" si="79"/>
        <v>0</v>
      </c>
      <c r="H732" s="1316"/>
      <c r="I732" s="1055"/>
      <c r="J732" s="1055"/>
      <c r="K732" s="1055"/>
      <c r="L732" s="1055"/>
      <c r="M732" s="1055"/>
      <c r="N732" s="1055"/>
      <c r="O732" s="1280"/>
      <c r="P732" s="1360"/>
      <c r="Q732" s="1360"/>
      <c r="R732" s="1360"/>
      <c r="S732" s="1055"/>
      <c r="T732" s="1280"/>
      <c r="U732" s="1279"/>
      <c r="V732" s="1280"/>
      <c r="W732" s="1499"/>
      <c r="X732" s="1499"/>
      <c r="Y732" s="1280"/>
      <c r="Z732" s="1360"/>
      <c r="AA732" s="1055"/>
      <c r="AB732" s="1055"/>
      <c r="AC732" s="1055"/>
      <c r="AD732" s="971"/>
    </row>
    <row r="733" spans="1:30" ht="15.75" customHeight="1" outlineLevel="1">
      <c r="A733" s="1420" t="s">
        <v>3102</v>
      </c>
      <c r="B733" s="1271" t="s">
        <v>156</v>
      </c>
      <c r="C733" s="1272">
        <f t="shared" si="77"/>
        <v>0.15</v>
      </c>
      <c r="D733" s="995">
        <f t="shared" si="78"/>
        <v>0.05</v>
      </c>
      <c r="E733" s="1314">
        <f>IF(E732=0,0,IF('Ввод данных'!$A$6=связи1!$A$95,IF(E732&lt;=0,0,E732-дома!$K$632),0)+IF('Ввод данных'!$A$6=связи1!$A$96,IF(E732&lt;связи1!$K$207,0,E732-$K$632),0)+IF('Ввод данных'!$A$6=связи1!$A$98,IF(E732&lt;связи1!$K$207,0,E732-$K$632),0))</f>
        <v>0</v>
      </c>
      <c r="F733" s="1314">
        <f>2*IF('Ввод данных'!$B$155=связи1!$A$2,1,0)*IF('Ввод данных'!$F$194=связи1!$A$2,1,0)</f>
        <v>0</v>
      </c>
      <c r="G733" s="1316">
        <f t="shared" si="79"/>
        <v>0</v>
      </c>
      <c r="H733" s="1316"/>
      <c r="I733" s="1055"/>
      <c r="J733" s="1055"/>
      <c r="K733" s="1055"/>
      <c r="L733" s="1055"/>
      <c r="M733" s="1055"/>
      <c r="N733" s="1055"/>
      <c r="O733" s="1280"/>
      <c r="P733" s="1360"/>
      <c r="Q733" s="1360"/>
      <c r="R733" s="1360"/>
      <c r="S733" s="1055"/>
      <c r="T733" s="1280"/>
      <c r="U733" s="1279"/>
      <c r="V733" s="1280"/>
      <c r="W733" s="1499"/>
      <c r="X733" s="1499"/>
      <c r="Y733" s="1280"/>
      <c r="Z733" s="1360"/>
      <c r="AA733" s="1055"/>
      <c r="AB733" s="1055"/>
      <c r="AC733" s="1055"/>
      <c r="AD733" s="971"/>
    </row>
    <row r="734" spans="1:30" ht="15.75" customHeight="1" outlineLevel="1">
      <c r="A734" s="1420" t="s">
        <v>3103</v>
      </c>
      <c r="B734" s="1271" t="s">
        <v>156</v>
      </c>
      <c r="C734" s="1272">
        <f t="shared" si="77"/>
        <v>0.15</v>
      </c>
      <c r="D734" s="995">
        <f t="shared" si="78"/>
        <v>0.05</v>
      </c>
      <c r="E734" s="1314">
        <f>IF(E733=0,0,IF('Ввод данных'!$A$6=связи1!$A$95,IF(E733&lt;=0,0,E733-дома!$K$632),0)+IF('Ввод данных'!$A$6=связи1!$A$96,IF(E733&lt;связи1!$K$207,0,E733-$K$632),0)+IF('Ввод данных'!$A$6=связи1!$A$98,IF(E733&lt;связи1!$K$207,0,E733-$K$632),0))</f>
        <v>0</v>
      </c>
      <c r="F734" s="1314">
        <f>2*IF('Ввод данных'!$B$155=связи1!$A$2,1,0)*IF('Ввод данных'!$F$194=связи1!$A$2,1,0)</f>
        <v>0</v>
      </c>
      <c r="G734" s="1316">
        <f t="shared" si="79"/>
        <v>0</v>
      </c>
      <c r="H734" s="1316"/>
      <c r="I734" s="1055"/>
      <c r="J734" s="1055"/>
      <c r="K734" s="1055"/>
      <c r="L734" s="1055"/>
      <c r="M734" s="1055"/>
      <c r="N734" s="1055"/>
      <c r="O734" s="1280"/>
      <c r="P734" s="1360"/>
      <c r="Q734" s="1360"/>
      <c r="R734" s="1360"/>
      <c r="S734" s="1055"/>
      <c r="T734" s="1280"/>
      <c r="U734" s="1279"/>
      <c r="V734" s="1280"/>
      <c r="W734" s="1499"/>
      <c r="X734" s="1499"/>
      <c r="Y734" s="1280"/>
      <c r="Z734" s="1360"/>
      <c r="AA734" s="1055"/>
      <c r="AB734" s="1055"/>
      <c r="AC734" s="1055"/>
      <c r="AD734" s="971"/>
    </row>
    <row r="735" spans="1:30" ht="15.75" customHeight="1" outlineLevel="1">
      <c r="A735" s="1420" t="s">
        <v>3104</v>
      </c>
      <c r="B735" s="1271" t="s">
        <v>156</v>
      </c>
      <c r="C735" s="1272">
        <f t="shared" si="77"/>
        <v>0.15</v>
      </c>
      <c r="D735" s="995">
        <f t="shared" si="78"/>
        <v>0.05</v>
      </c>
      <c r="E735" s="1314">
        <f>IF(E734=0,0,IF('Ввод данных'!$A$6=связи1!$A$95,IF(E734&lt;=0,0,E734-дома!$K$632),0)+IF('Ввод данных'!$A$6=связи1!$A$96,IF(E734&lt;связи1!$K$207,0,E734-$K$632),0)+IF('Ввод данных'!$A$6=связи1!$A$98,IF(E734&lt;связи1!$K$207,0,E734-$K$632),0))</f>
        <v>0</v>
      </c>
      <c r="F735" s="1314">
        <f>2*IF('Ввод данных'!$B$155=связи1!$A$2,1,0)*IF('Ввод данных'!$F$194=связи1!$A$2,1,0)</f>
        <v>0</v>
      </c>
      <c r="G735" s="1316">
        <f t="shared" si="79"/>
        <v>0</v>
      </c>
      <c r="H735" s="1316"/>
      <c r="I735" s="1055"/>
      <c r="J735" s="1055"/>
      <c r="K735" s="1055"/>
      <c r="L735" s="1055"/>
      <c r="M735" s="1055"/>
      <c r="N735" s="1055"/>
      <c r="O735" s="1280"/>
      <c r="P735" s="1360"/>
      <c r="Q735" s="1360"/>
      <c r="R735" s="1360"/>
      <c r="S735" s="1055"/>
      <c r="T735" s="1280"/>
      <c r="U735" s="1279"/>
      <c r="V735" s="1280"/>
      <c r="W735" s="1499"/>
      <c r="X735" s="1499"/>
      <c r="Y735" s="1280"/>
      <c r="Z735" s="1360"/>
      <c r="AA735" s="1055"/>
      <c r="AB735" s="1055"/>
      <c r="AC735" s="1055"/>
      <c r="AD735" s="971"/>
    </row>
    <row r="736" spans="1:30" ht="15.75" customHeight="1" outlineLevel="1">
      <c r="A736" s="1420" t="s">
        <v>3105</v>
      </c>
      <c r="B736" s="1271" t="s">
        <v>156</v>
      </c>
      <c r="C736" s="1272">
        <f t="shared" si="77"/>
        <v>0.15</v>
      </c>
      <c r="D736" s="995">
        <f t="shared" si="78"/>
        <v>0.05</v>
      </c>
      <c r="E736" s="1314">
        <f>IF(E735=0,0,IF('Ввод данных'!$A$6=связи1!$A$95,IF(E735&lt;=0,0,E735-дома!$K$632),0)+IF('Ввод данных'!$A$6=связи1!$A$96,IF(E735&lt;связи1!$K$207,0,E735-$K$632),0)+IF('Ввод данных'!$A$6=связи1!$A$98,IF(E735&lt;связи1!$K$207,0,E735-$K$632),0))</f>
        <v>0</v>
      </c>
      <c r="F736" s="1314">
        <f>2*IF('Ввод данных'!$B$155=связи1!$A$2,1,0)*IF('Ввод данных'!$F$194=связи1!$A$2,1,0)</f>
        <v>0</v>
      </c>
      <c r="G736" s="1316">
        <f t="shared" si="79"/>
        <v>0</v>
      </c>
      <c r="H736" s="1316"/>
      <c r="I736" s="1055"/>
      <c r="J736" s="1055"/>
      <c r="K736" s="1055"/>
      <c r="L736" s="1055"/>
      <c r="M736" s="1055"/>
      <c r="N736" s="1055"/>
      <c r="O736" s="1280"/>
      <c r="P736" s="1360"/>
      <c r="Q736" s="1360"/>
      <c r="R736" s="1360"/>
      <c r="S736" s="1055"/>
      <c r="T736" s="1280"/>
      <c r="U736" s="1279"/>
      <c r="V736" s="1280"/>
      <c r="W736" s="1499"/>
      <c r="X736" s="1499"/>
      <c r="Y736" s="1280"/>
      <c r="Z736" s="1360"/>
      <c r="AA736" s="1055"/>
      <c r="AB736" s="1055"/>
      <c r="AC736" s="1055"/>
      <c r="AD736" s="971"/>
    </row>
    <row r="737" spans="1:30" ht="15.75" customHeight="1" outlineLevel="1">
      <c r="A737" s="1420" t="s">
        <v>3106</v>
      </c>
      <c r="B737" s="1271" t="s">
        <v>156</v>
      </c>
      <c r="C737" s="1272">
        <f t="shared" si="77"/>
        <v>0.15</v>
      </c>
      <c r="D737" s="995">
        <f t="shared" si="78"/>
        <v>0.05</v>
      </c>
      <c r="E737" s="1314">
        <f>IF(E736=0,0,IF('Ввод данных'!$A$6=связи1!$A$95,IF(E736&lt;=0,0,E736-дома!$K$632),0)+IF('Ввод данных'!$A$6=связи1!$A$96,IF(E736&lt;связи1!$K$207,0,E736-$K$632),0)+IF('Ввод данных'!$A$6=связи1!$A$98,IF(E736&lt;связи1!$K$207,0,E736-$K$632),0))</f>
        <v>0</v>
      </c>
      <c r="F737" s="1314">
        <f>2*IF('Ввод данных'!$B$155=связи1!$A$2,1,0)*IF('Ввод данных'!$F$194=связи1!$A$2,1,0)</f>
        <v>0</v>
      </c>
      <c r="G737" s="1316">
        <f t="shared" si="79"/>
        <v>0</v>
      </c>
      <c r="H737" s="1316"/>
      <c r="I737" s="1055"/>
      <c r="J737" s="1055"/>
      <c r="K737" s="1055"/>
      <c r="L737" s="1055"/>
      <c r="M737" s="1055"/>
      <c r="N737" s="1055"/>
      <c r="O737" s="1280"/>
      <c r="P737" s="1360"/>
      <c r="Q737" s="1360"/>
      <c r="R737" s="1360"/>
      <c r="S737" s="1055"/>
      <c r="T737" s="1280"/>
      <c r="U737" s="1279"/>
      <c r="V737" s="1280"/>
      <c r="W737" s="1499"/>
      <c r="X737" s="1499"/>
      <c r="Y737" s="1280"/>
      <c r="Z737" s="1360"/>
      <c r="AA737" s="1055"/>
      <c r="AB737" s="1055"/>
      <c r="AC737" s="1055"/>
      <c r="AD737" s="971"/>
    </row>
    <row r="738" spans="1:30" ht="15.75" customHeight="1" outlineLevel="1">
      <c r="A738" s="1420" t="s">
        <v>3107</v>
      </c>
      <c r="B738" s="1271" t="s">
        <v>156</v>
      </c>
      <c r="C738" s="1272">
        <f t="shared" si="77"/>
        <v>0.15</v>
      </c>
      <c r="D738" s="995">
        <f t="shared" si="78"/>
        <v>0.05</v>
      </c>
      <c r="E738" s="1314">
        <f>IF(E737=0,0,IF('Ввод данных'!$A$6=связи1!$A$95,IF(E737&lt;=0,0,E737-дома!$K$632),0)+IF('Ввод данных'!$A$6=связи1!$A$96,IF(E737&lt;связи1!$K$207,0,E737-$K$632),0)+IF('Ввод данных'!$A$6=связи1!$A$98,IF(E737&lt;связи1!$K$207,0,E737-$K$632),0))</f>
        <v>0</v>
      </c>
      <c r="F738" s="1314">
        <f>2*IF('Ввод данных'!$B$155=связи1!$A$2,1,0)*IF('Ввод данных'!$F$194=связи1!$A$2,1,0)</f>
        <v>0</v>
      </c>
      <c r="G738" s="1316">
        <f t="shared" si="79"/>
        <v>0</v>
      </c>
      <c r="H738" s="1316"/>
      <c r="I738" s="1055"/>
      <c r="J738" s="1055"/>
      <c r="K738" s="1055"/>
      <c r="L738" s="1055"/>
      <c r="M738" s="1055"/>
      <c r="N738" s="1055"/>
      <c r="O738" s="1280"/>
      <c r="P738" s="1360"/>
      <c r="Q738" s="1360"/>
      <c r="R738" s="1360"/>
      <c r="S738" s="1055"/>
      <c r="T738" s="1280"/>
      <c r="U738" s="1279"/>
      <c r="V738" s="1280"/>
      <c r="W738" s="1499"/>
      <c r="X738" s="1499"/>
      <c r="Y738" s="1280"/>
      <c r="Z738" s="1360"/>
      <c r="AA738" s="1055"/>
      <c r="AB738" s="1055"/>
      <c r="AC738" s="1055"/>
      <c r="AD738" s="971"/>
    </row>
    <row r="739" spans="1:30" ht="15.75" customHeight="1" outlineLevel="1">
      <c r="A739" s="1420" t="s">
        <v>3108</v>
      </c>
      <c r="B739" s="1271" t="s">
        <v>156</v>
      </c>
      <c r="C739" s="1272">
        <f t="shared" si="77"/>
        <v>0.15</v>
      </c>
      <c r="D739" s="995">
        <f t="shared" si="78"/>
        <v>0.05</v>
      </c>
      <c r="E739" s="1314">
        <f>IF(E738=0,0,IF('Ввод данных'!$A$6=связи1!$A$95,IF(E738&lt;=0,0,E738-дома!$K$632),0)+IF('Ввод данных'!$A$6=связи1!$A$96,IF(E738&lt;связи1!$K$207,0,E738-$K$632),0)+IF('Ввод данных'!$A$6=связи1!$A$98,IF(E738&lt;связи1!$K$207,0,E738-$K$632),0))</f>
        <v>0</v>
      </c>
      <c r="F739" s="1314">
        <f>2*IF('Ввод данных'!$B$155=связи1!$A$2,1,0)*IF('Ввод данных'!$F$194=связи1!$A$2,1,0)</f>
        <v>0</v>
      </c>
      <c r="G739" s="1316">
        <f t="shared" si="79"/>
        <v>0</v>
      </c>
      <c r="H739" s="1316"/>
      <c r="I739" s="1055"/>
      <c r="J739" s="1055"/>
      <c r="K739" s="1055"/>
      <c r="L739" s="1055"/>
      <c r="M739" s="1055"/>
      <c r="N739" s="1055"/>
      <c r="O739" s="1280"/>
      <c r="P739" s="1360"/>
      <c r="Q739" s="1360"/>
      <c r="R739" s="1360"/>
      <c r="S739" s="1055"/>
      <c r="T739" s="1280"/>
      <c r="U739" s="1279"/>
      <c r="V739" s="1280"/>
      <c r="W739" s="1499"/>
      <c r="X739" s="1499"/>
      <c r="Y739" s="1280"/>
      <c r="Z739" s="1360"/>
      <c r="AA739" s="1055"/>
      <c r="AB739" s="1055"/>
      <c r="AC739" s="1055"/>
      <c r="AD739" s="971"/>
    </row>
    <row r="740" spans="1:30" ht="15.75" customHeight="1" outlineLevel="1">
      <c r="A740" s="1420" t="s">
        <v>3109</v>
      </c>
      <c r="B740" s="1271" t="s">
        <v>156</v>
      </c>
      <c r="C740" s="1272">
        <f t="shared" si="77"/>
        <v>0.15</v>
      </c>
      <c r="D740" s="995">
        <f t="shared" si="78"/>
        <v>0.05</v>
      </c>
      <c r="E740" s="1314">
        <f>IF(E739=0,0,IF('Ввод данных'!$A$6=связи1!$A$95,IF(E739&lt;=0,0,E739-дома!$K$632),0)+IF('Ввод данных'!$A$6=связи1!$A$96,IF(E739&lt;связи1!$K$207,0,E739-$K$632),0)+IF('Ввод данных'!$A$6=связи1!$A$98,IF(E739&lt;связи1!$K$207,0,E739-$K$632),0))</f>
        <v>0</v>
      </c>
      <c r="F740" s="1314">
        <f>2*IF('Ввод данных'!$B$155=связи1!$A$2,1,0)*IF('Ввод данных'!$F$194=связи1!$A$2,1,0)</f>
        <v>0</v>
      </c>
      <c r="G740" s="1316">
        <f t="shared" si="79"/>
        <v>0</v>
      </c>
      <c r="H740" s="1316"/>
      <c r="I740" s="1055"/>
      <c r="J740" s="1055"/>
      <c r="K740" s="1055"/>
      <c r="L740" s="1055"/>
      <c r="M740" s="1055"/>
      <c r="N740" s="1055"/>
      <c r="O740" s="1280"/>
      <c r="P740" s="1360"/>
      <c r="Q740" s="1360"/>
      <c r="R740" s="1360"/>
      <c r="S740" s="1055"/>
      <c r="T740" s="1280"/>
      <c r="U740" s="1279"/>
      <c r="V740" s="1280"/>
      <c r="W740" s="1499"/>
      <c r="X740" s="1499"/>
      <c r="Y740" s="1280"/>
      <c r="Z740" s="1360"/>
      <c r="AA740" s="1055"/>
      <c r="AB740" s="1055"/>
      <c r="AC740" s="1055"/>
      <c r="AD740" s="971"/>
    </row>
    <row r="741" spans="1:30" ht="15.75" customHeight="1" outlineLevel="1">
      <c r="A741" s="1420" t="s">
        <v>3110</v>
      </c>
      <c r="B741" s="1271" t="s">
        <v>156</v>
      </c>
      <c r="C741" s="1272">
        <f t="shared" si="77"/>
        <v>0.15</v>
      </c>
      <c r="D741" s="995">
        <f t="shared" si="78"/>
        <v>0.05</v>
      </c>
      <c r="E741" s="1314">
        <f>IF(E740=0,0,IF('Ввод данных'!$A$6=связи1!$A$95,IF(E740&lt;=0,0,E740-дома!$K$632),0)+IF('Ввод данных'!$A$6=связи1!$A$96,IF(E740&lt;связи1!$K$207,0,E740-$K$632),0)+IF('Ввод данных'!$A$6=связи1!$A$98,IF(E740&lt;связи1!$K$207,0,E740-$K$632),0))</f>
        <v>0</v>
      </c>
      <c r="F741" s="1314">
        <f>2*IF('Ввод данных'!$B$155=связи1!$A$2,1,0)*IF('Ввод данных'!$F$194=связи1!$A$2,1,0)</f>
        <v>0</v>
      </c>
      <c r="G741" s="1316">
        <f t="shared" si="79"/>
        <v>0</v>
      </c>
      <c r="H741" s="1316"/>
      <c r="I741" s="1055"/>
      <c r="J741" s="1055"/>
      <c r="K741" s="1055"/>
      <c r="L741" s="1055"/>
      <c r="M741" s="1055"/>
      <c r="N741" s="1055"/>
      <c r="O741" s="1280"/>
      <c r="P741" s="1360"/>
      <c r="Q741" s="1360"/>
      <c r="R741" s="1360"/>
      <c r="S741" s="1055"/>
      <c r="T741" s="1280"/>
      <c r="U741" s="1279"/>
      <c r="V741" s="1280"/>
      <c r="W741" s="1499"/>
      <c r="X741" s="1499"/>
      <c r="Y741" s="1280"/>
      <c r="Z741" s="1360"/>
      <c r="AA741" s="1055"/>
      <c r="AB741" s="1055"/>
      <c r="AC741" s="1055"/>
      <c r="AD741" s="971"/>
    </row>
    <row r="742" spans="1:30" ht="15.75" customHeight="1" outlineLevel="1">
      <c r="A742" s="1420" t="s">
        <v>3111</v>
      </c>
      <c r="B742" s="1271" t="s">
        <v>156</v>
      </c>
      <c r="C742" s="1272">
        <f t="shared" si="77"/>
        <v>0.15</v>
      </c>
      <c r="D742" s="995">
        <f t="shared" si="78"/>
        <v>0.05</v>
      </c>
      <c r="E742" s="1314">
        <f>IF(E741=0,0,IF('Ввод данных'!$A$6=связи1!$A$95,IF(E741&lt;=0,0,E741-дома!$K$632),0)+IF('Ввод данных'!$A$6=связи1!$A$96,IF(E741&lt;связи1!$K$207,0,E741-$K$632),0)+IF('Ввод данных'!$A$6=связи1!$A$98,IF(E741&lt;связи1!$K$207,0,E741-$K$632),0))</f>
        <v>0</v>
      </c>
      <c r="F742" s="1314">
        <f>2*IF('Ввод данных'!$B$155=связи1!$A$2,1,0)*IF('Ввод данных'!$F$194=связи1!$A$2,1,0)</f>
        <v>0</v>
      </c>
      <c r="G742" s="1316">
        <f t="shared" si="79"/>
        <v>0</v>
      </c>
      <c r="H742" s="1316"/>
      <c r="I742" s="1055"/>
      <c r="J742" s="1055"/>
      <c r="K742" s="1055"/>
      <c r="L742" s="1055"/>
      <c r="M742" s="1055"/>
      <c r="N742" s="1055"/>
      <c r="O742" s="1280"/>
      <c r="P742" s="1360"/>
      <c r="Q742" s="1360"/>
      <c r="R742" s="1360"/>
      <c r="S742" s="1055"/>
      <c r="T742" s="1280"/>
      <c r="U742" s="1279"/>
      <c r="V742" s="1280"/>
      <c r="W742" s="1499"/>
      <c r="X742" s="1499"/>
      <c r="Y742" s="1280"/>
      <c r="Z742" s="1360"/>
      <c r="AA742" s="1055"/>
      <c r="AB742" s="1055"/>
      <c r="AC742" s="1055"/>
      <c r="AD742" s="971"/>
    </row>
    <row r="743" spans="1:30" ht="15.75" customHeight="1" outlineLevel="1">
      <c r="A743" s="1420" t="s">
        <v>3112</v>
      </c>
      <c r="B743" s="1271" t="s">
        <v>156</v>
      </c>
      <c r="C743" s="1272">
        <f t="shared" si="77"/>
        <v>0.15</v>
      </c>
      <c r="D743" s="995">
        <f t="shared" si="78"/>
        <v>0.05</v>
      </c>
      <c r="E743" s="1314">
        <f>IF(E742=0,0,IF('Ввод данных'!$A$6=связи1!$A$95,IF(E742&lt;=0,0,E742-дома!$K$632),0)+IF('Ввод данных'!$A$6=связи1!$A$96,IF(E742&lt;связи1!$K$207,0,E742-$K$632),0)+IF('Ввод данных'!$A$6=связи1!$A$98,IF(E742&lt;связи1!$K$207,0,E742-$K$632),0))</f>
        <v>0</v>
      </c>
      <c r="F743" s="1314">
        <f>2*IF('Ввод данных'!$B$155=связи1!$A$2,1,0)*IF('Ввод данных'!$F$194=связи1!$A$2,1,0)</f>
        <v>0</v>
      </c>
      <c r="G743" s="1316">
        <f t="shared" si="79"/>
        <v>0</v>
      </c>
      <c r="H743" s="1316"/>
      <c r="I743" s="1055"/>
      <c r="J743" s="1055"/>
      <c r="K743" s="1055"/>
      <c r="L743" s="1055"/>
      <c r="M743" s="1055"/>
      <c r="N743" s="1055"/>
      <c r="O743" s="1280"/>
      <c r="P743" s="1360"/>
      <c r="Q743" s="1360"/>
      <c r="R743" s="1360"/>
      <c r="S743" s="1055"/>
      <c r="T743" s="1280"/>
      <c r="U743" s="1279"/>
      <c r="V743" s="1280"/>
      <c r="W743" s="1499"/>
      <c r="X743" s="1499"/>
      <c r="Y743" s="1280"/>
      <c r="Z743" s="1360"/>
      <c r="AA743" s="1055"/>
      <c r="AB743" s="1055"/>
      <c r="AC743" s="1055"/>
      <c r="AD743" s="971"/>
    </row>
    <row r="744" spans="1:30" ht="15.75" customHeight="1" outlineLevel="1">
      <c r="A744" s="1420" t="s">
        <v>3113</v>
      </c>
      <c r="B744" s="1271" t="s">
        <v>156</v>
      </c>
      <c r="C744" s="1272">
        <f t="shared" si="77"/>
        <v>0.15</v>
      </c>
      <c r="D744" s="995">
        <f t="shared" si="78"/>
        <v>0.05</v>
      </c>
      <c r="E744" s="1314">
        <f>IF(E743=0,0,IF('Ввод данных'!$A$6=связи1!$A$95,IF(E743&lt;=0,0,E743-дома!$K$632),0)+IF('Ввод данных'!$A$6=связи1!$A$96,IF(E743&lt;связи1!$K$207,0,E743-$K$632),0)+IF('Ввод данных'!$A$6=связи1!$A$98,IF(E743&lt;связи1!$K$207,0,E743-$K$632),0))</f>
        <v>0</v>
      </c>
      <c r="F744" s="1314">
        <f>2*IF('Ввод данных'!$B$155=связи1!$A$2,1,0)*IF('Ввод данных'!$F$194=связи1!$A$2,1,0)</f>
        <v>0</v>
      </c>
      <c r="G744" s="1316">
        <f t="shared" si="79"/>
        <v>0</v>
      </c>
      <c r="H744" s="1316"/>
      <c r="I744" s="1055"/>
      <c r="J744" s="1055"/>
      <c r="K744" s="1055"/>
      <c r="L744" s="1055"/>
      <c r="M744" s="1055"/>
      <c r="N744" s="1055"/>
      <c r="O744" s="1280"/>
      <c r="P744" s="1360"/>
      <c r="Q744" s="1360"/>
      <c r="R744" s="1360"/>
      <c r="S744" s="1055"/>
      <c r="T744" s="1280"/>
      <c r="U744" s="1279"/>
      <c r="V744" s="1280"/>
      <c r="W744" s="1499"/>
      <c r="X744" s="1499"/>
      <c r="Y744" s="1280"/>
      <c r="Z744" s="1360"/>
      <c r="AA744" s="1055"/>
      <c r="AB744" s="1055"/>
      <c r="AC744" s="1055"/>
      <c r="AD744" s="971"/>
    </row>
    <row r="745" spans="1:30" ht="15.75" customHeight="1" outlineLevel="1">
      <c r="A745" s="1420" t="s">
        <v>3114</v>
      </c>
      <c r="B745" s="1271" t="s">
        <v>156</v>
      </c>
      <c r="C745" s="1272">
        <f t="shared" si="77"/>
        <v>0.15</v>
      </c>
      <c r="D745" s="995">
        <f t="shared" si="78"/>
        <v>0.05</v>
      </c>
      <c r="E745" s="1314">
        <f>IF(E744=0,0,IF('Ввод данных'!$A$6=связи1!$A$95,IF(E744&lt;=0,0,E744-дома!$K$632),0)+IF('Ввод данных'!$A$6=связи1!$A$96,IF(E744&lt;связи1!$K$207,0,E744-$K$632),0)+IF('Ввод данных'!$A$6=связи1!$A$98,IF(E744&lt;связи1!$K$207,0,E744-$K$632),0))</f>
        <v>0</v>
      </c>
      <c r="F745" s="1314">
        <f>2*IF('Ввод данных'!$B$155=связи1!$A$2,1,0)*IF('Ввод данных'!$F$194=связи1!$A$2,1,0)</f>
        <v>0</v>
      </c>
      <c r="G745" s="1316">
        <f t="shared" si="79"/>
        <v>0</v>
      </c>
      <c r="H745" s="1316"/>
      <c r="I745" s="1055"/>
      <c r="J745" s="1055"/>
      <c r="K745" s="1055"/>
      <c r="L745" s="1055"/>
      <c r="M745" s="1055"/>
      <c r="N745" s="1055"/>
      <c r="O745" s="1280"/>
      <c r="P745" s="1360"/>
      <c r="Q745" s="1360"/>
      <c r="R745" s="1360"/>
      <c r="S745" s="1055"/>
      <c r="T745" s="1280"/>
      <c r="U745" s="1279"/>
      <c r="V745" s="1280"/>
      <c r="W745" s="1499"/>
      <c r="X745" s="1499"/>
      <c r="Y745" s="1280"/>
      <c r="Z745" s="1360"/>
      <c r="AA745" s="1055"/>
      <c r="AB745" s="1055"/>
      <c r="AC745" s="1055"/>
      <c r="AD745" s="971"/>
    </row>
    <row r="746" spans="1:30" ht="15.75" customHeight="1" outlineLevel="1">
      <c r="A746" s="1420" t="s">
        <v>3115</v>
      </c>
      <c r="B746" s="1271" t="s">
        <v>156</v>
      </c>
      <c r="C746" s="1272">
        <f t="shared" si="77"/>
        <v>0.15</v>
      </c>
      <c r="D746" s="995">
        <f t="shared" si="78"/>
        <v>0.05</v>
      </c>
      <c r="E746" s="1314">
        <f>IF(E745=0,0,IF('Ввод данных'!$A$6=связи1!$A$95,IF(E745&lt;=0,0,E745-дома!$K$632),0)+IF('Ввод данных'!$A$6=связи1!$A$96,IF(E745&lt;связи1!$K$207,0,E745-$K$632),0)+IF('Ввод данных'!$A$6=связи1!$A$98,IF(E745&lt;связи1!$K$207,0,E745-$K$632),0))</f>
        <v>0</v>
      </c>
      <c r="F746" s="1314">
        <f>2*IF('Ввод данных'!$B$155=связи1!$A$2,1,0)*IF('Ввод данных'!$F$194=связи1!$A$2,1,0)</f>
        <v>0</v>
      </c>
      <c r="G746" s="1316">
        <f t="shared" si="79"/>
        <v>0</v>
      </c>
      <c r="H746" s="1316"/>
      <c r="I746" s="1055"/>
      <c r="J746" s="1055"/>
      <c r="K746" s="1055"/>
      <c r="L746" s="1055"/>
      <c r="M746" s="1055"/>
      <c r="N746" s="1055"/>
      <c r="O746" s="1280"/>
      <c r="P746" s="1360"/>
      <c r="Q746" s="1360"/>
      <c r="R746" s="1360"/>
      <c r="S746" s="1055"/>
      <c r="T746" s="1280"/>
      <c r="U746" s="1279"/>
      <c r="V746" s="1280"/>
      <c r="W746" s="1499"/>
      <c r="X746" s="1499"/>
      <c r="Y746" s="1280"/>
      <c r="Z746" s="1360"/>
      <c r="AA746" s="1055"/>
      <c r="AB746" s="1055"/>
      <c r="AC746" s="1055"/>
      <c r="AD746" s="971"/>
    </row>
    <row r="747" spans="1:30" ht="15.75" customHeight="1" outlineLevel="1">
      <c r="A747" s="1420" t="s">
        <v>3116</v>
      </c>
      <c r="B747" s="1271" t="s">
        <v>156</v>
      </c>
      <c r="C747" s="1272">
        <f t="shared" si="77"/>
        <v>0.15</v>
      </c>
      <c r="D747" s="995">
        <f t="shared" si="78"/>
        <v>0.05</v>
      </c>
      <c r="E747" s="1314">
        <f>IF(E746=0,0,IF('Ввод данных'!$A$6=связи1!$A$95,IF(E746&lt;=0,0,E746-дома!$K$632),0)+IF('Ввод данных'!$A$6=связи1!$A$96,IF(E746&lt;связи1!$K$207,0,E746-$K$632),0)+IF('Ввод данных'!$A$6=связи1!$A$98,IF(E746&lt;связи1!$K$207,0,E746-$K$632),0))</f>
        <v>0</v>
      </c>
      <c r="F747" s="1314">
        <f>2*IF('Ввод данных'!$B$155=связи1!$A$2,1,0)*IF('Ввод данных'!$F$194=связи1!$A$2,1,0)</f>
        <v>0</v>
      </c>
      <c r="G747" s="1316">
        <f t="shared" si="79"/>
        <v>0</v>
      </c>
      <c r="H747" s="1316"/>
      <c r="I747" s="1055"/>
      <c r="J747" s="1055"/>
      <c r="K747" s="1055"/>
      <c r="L747" s="1055"/>
      <c r="M747" s="1055"/>
      <c r="N747" s="1055"/>
      <c r="O747" s="1280"/>
      <c r="P747" s="1360"/>
      <c r="Q747" s="1360"/>
      <c r="R747" s="1360"/>
      <c r="S747" s="1055"/>
      <c r="T747" s="1280"/>
      <c r="U747" s="1279"/>
      <c r="V747" s="1280"/>
      <c r="W747" s="1499"/>
      <c r="X747" s="1499"/>
      <c r="Y747" s="1280"/>
      <c r="Z747" s="1360"/>
      <c r="AA747" s="1055"/>
      <c r="AB747" s="1055"/>
      <c r="AC747" s="1055"/>
      <c r="AD747" s="971"/>
    </row>
    <row r="748" spans="1:30" ht="15.75" customHeight="1" outlineLevel="1">
      <c r="A748" s="1420" t="s">
        <v>3117</v>
      </c>
      <c r="B748" s="1271" t="s">
        <v>156</v>
      </c>
      <c r="C748" s="1272">
        <f t="shared" ref="C748:C779" si="80">$C$143</f>
        <v>0.15</v>
      </c>
      <c r="D748" s="995">
        <f t="shared" ref="D748:D779" si="81">$J$620</f>
        <v>0.05</v>
      </c>
      <c r="E748" s="1314">
        <f>IF(E747=0,0,IF('Ввод данных'!$A$6=связи1!$A$95,IF(E747&lt;=0,0,E747-дома!$K$632),0)+IF('Ввод данных'!$A$6=связи1!$A$96,IF(E747&lt;связи1!$K$207,0,E747-$K$632),0)+IF('Ввод данных'!$A$6=связи1!$A$98,IF(E747&lt;связи1!$K$207,0,E747-$K$632),0))</f>
        <v>0</v>
      </c>
      <c r="F748" s="1314">
        <f>2*IF('Ввод данных'!$B$155=связи1!$A$2,1,0)*IF('Ввод данных'!$F$194=связи1!$A$2,1,0)</f>
        <v>0</v>
      </c>
      <c r="G748" s="1316">
        <f t="shared" ref="G748:G779" si="82">C748*D748*E748*F748</f>
        <v>0</v>
      </c>
      <c r="H748" s="1316"/>
      <c r="I748" s="1055"/>
      <c r="J748" s="1055"/>
      <c r="K748" s="1055"/>
      <c r="L748" s="1055"/>
      <c r="M748" s="1055"/>
      <c r="N748" s="1055"/>
      <c r="O748" s="1280"/>
      <c r="P748" s="1360"/>
      <c r="Q748" s="1360"/>
      <c r="R748" s="1360"/>
      <c r="S748" s="1055"/>
      <c r="T748" s="1280"/>
      <c r="U748" s="1279"/>
      <c r="V748" s="1280"/>
      <c r="W748" s="1499"/>
      <c r="X748" s="1499"/>
      <c r="Y748" s="1280"/>
      <c r="Z748" s="1360"/>
      <c r="AA748" s="1055"/>
      <c r="AB748" s="1055"/>
      <c r="AC748" s="1055"/>
      <c r="AD748" s="971"/>
    </row>
    <row r="749" spans="1:30" ht="15.75" customHeight="1" outlineLevel="1">
      <c r="A749" s="1420" t="s">
        <v>3118</v>
      </c>
      <c r="B749" s="1271" t="s">
        <v>156</v>
      </c>
      <c r="C749" s="1272">
        <f t="shared" si="80"/>
        <v>0.15</v>
      </c>
      <c r="D749" s="995">
        <f t="shared" si="81"/>
        <v>0.05</v>
      </c>
      <c r="E749" s="1314">
        <f>IF(E748=0,0,IF('Ввод данных'!$A$6=связи1!$A$95,IF(E748&lt;=0,0,E748-дома!$K$632),0)+IF('Ввод данных'!$A$6=связи1!$A$96,IF(E748&lt;связи1!$K$207,0,E748-$K$632),0)+IF('Ввод данных'!$A$6=связи1!$A$98,IF(E748&lt;связи1!$K$207,0,E748-$K$632),0))</f>
        <v>0</v>
      </c>
      <c r="F749" s="1314">
        <f>2*IF('Ввод данных'!$B$155=связи1!$A$2,1,0)*IF('Ввод данных'!$F$194=связи1!$A$2,1,0)</f>
        <v>0</v>
      </c>
      <c r="G749" s="1316">
        <f t="shared" si="82"/>
        <v>0</v>
      </c>
      <c r="H749" s="1316"/>
      <c r="I749" s="1055"/>
      <c r="J749" s="1055"/>
      <c r="K749" s="1055"/>
      <c r="L749" s="1055"/>
      <c r="M749" s="1055"/>
      <c r="N749" s="1055"/>
      <c r="O749" s="1280"/>
      <c r="P749" s="1360"/>
      <c r="Q749" s="1360"/>
      <c r="R749" s="1360"/>
      <c r="S749" s="1055"/>
      <c r="T749" s="1280"/>
      <c r="U749" s="1279"/>
      <c r="V749" s="1280"/>
      <c r="W749" s="1499"/>
      <c r="X749" s="1499"/>
      <c r="Y749" s="1280"/>
      <c r="Z749" s="1360"/>
      <c r="AA749" s="1055"/>
      <c r="AB749" s="1055"/>
      <c r="AC749" s="1055"/>
      <c r="AD749" s="971"/>
    </row>
    <row r="750" spans="1:30" ht="15.75" customHeight="1" outlineLevel="1">
      <c r="A750" s="1420" t="s">
        <v>3119</v>
      </c>
      <c r="B750" s="1271" t="s">
        <v>156</v>
      </c>
      <c r="C750" s="1272">
        <f t="shared" si="80"/>
        <v>0.15</v>
      </c>
      <c r="D750" s="995">
        <f t="shared" si="81"/>
        <v>0.05</v>
      </c>
      <c r="E750" s="1314">
        <f>IF(E749=0,0,IF('Ввод данных'!$A$6=связи1!$A$95,IF(E749&lt;=0,0,E749-дома!$K$632),0)+IF('Ввод данных'!$A$6=связи1!$A$96,IF(E749&lt;связи1!$K$207,0,E749-$K$632),0)+IF('Ввод данных'!$A$6=связи1!$A$98,IF(E749&lt;связи1!$K$207,0,E749-$K$632),0))</f>
        <v>0</v>
      </c>
      <c r="F750" s="1314">
        <f>2*IF('Ввод данных'!$B$155=связи1!$A$2,1,0)*IF('Ввод данных'!$F$194=связи1!$A$2,1,0)</f>
        <v>0</v>
      </c>
      <c r="G750" s="1316">
        <f t="shared" si="82"/>
        <v>0</v>
      </c>
      <c r="H750" s="1316"/>
      <c r="I750" s="1055"/>
      <c r="J750" s="1055"/>
      <c r="K750" s="1055"/>
      <c r="L750" s="1055"/>
      <c r="M750" s="1055"/>
      <c r="N750" s="1055"/>
      <c r="O750" s="1280"/>
      <c r="P750" s="1360"/>
      <c r="Q750" s="1360"/>
      <c r="R750" s="1360"/>
      <c r="S750" s="1055"/>
      <c r="T750" s="1280"/>
      <c r="U750" s="1279"/>
      <c r="V750" s="1280"/>
      <c r="W750" s="1499"/>
      <c r="X750" s="1499"/>
      <c r="Y750" s="1280"/>
      <c r="Z750" s="1360"/>
      <c r="AA750" s="1055"/>
      <c r="AB750" s="1055"/>
      <c r="AC750" s="1055"/>
      <c r="AD750" s="971"/>
    </row>
    <row r="751" spans="1:30" ht="15.75" customHeight="1" outlineLevel="1">
      <c r="A751" s="1420" t="s">
        <v>3120</v>
      </c>
      <c r="B751" s="1271" t="s">
        <v>156</v>
      </c>
      <c r="C751" s="1272">
        <f t="shared" si="80"/>
        <v>0.15</v>
      </c>
      <c r="D751" s="995">
        <f t="shared" si="81"/>
        <v>0.05</v>
      </c>
      <c r="E751" s="1314">
        <f>IF(E750=0,0,IF('Ввод данных'!$A$6=связи1!$A$95,IF(E750&lt;=0,0,E750-дома!$K$632),0)+IF('Ввод данных'!$A$6=связи1!$A$96,IF(E750&lt;связи1!$K$207,0,E750-$K$632),0)+IF('Ввод данных'!$A$6=связи1!$A$98,IF(E750&lt;связи1!$K$207,0,E750-$K$632),0))</f>
        <v>0</v>
      </c>
      <c r="F751" s="1314">
        <f>2*IF('Ввод данных'!$B$155=связи1!$A$2,1,0)*IF('Ввод данных'!$F$194=связи1!$A$2,1,0)</f>
        <v>0</v>
      </c>
      <c r="G751" s="1316">
        <f t="shared" si="82"/>
        <v>0</v>
      </c>
      <c r="H751" s="1316"/>
      <c r="I751" s="1055"/>
      <c r="J751" s="1055"/>
      <c r="K751" s="1055"/>
      <c r="L751" s="1055"/>
      <c r="M751" s="1055"/>
      <c r="N751" s="1055"/>
      <c r="O751" s="1280"/>
      <c r="P751" s="1360"/>
      <c r="Q751" s="1360"/>
      <c r="R751" s="1360"/>
      <c r="S751" s="1055"/>
      <c r="T751" s="1280"/>
      <c r="U751" s="1279"/>
      <c r="V751" s="1280"/>
      <c r="W751" s="1499"/>
      <c r="X751" s="1499"/>
      <c r="Y751" s="1280"/>
      <c r="Z751" s="1360"/>
      <c r="AA751" s="1055"/>
      <c r="AB751" s="1055"/>
      <c r="AC751" s="1055"/>
      <c r="AD751" s="971"/>
    </row>
    <row r="752" spans="1:30" ht="15.75" customHeight="1" outlineLevel="1">
      <c r="A752" s="1420" t="s">
        <v>3121</v>
      </c>
      <c r="B752" s="1271" t="s">
        <v>156</v>
      </c>
      <c r="C752" s="1272">
        <f t="shared" si="80"/>
        <v>0.15</v>
      </c>
      <c r="D752" s="995">
        <f t="shared" si="81"/>
        <v>0.05</v>
      </c>
      <c r="E752" s="1314">
        <f>IF(E751=0,0,IF('Ввод данных'!$A$6=связи1!$A$95,IF(E751&lt;=0,0,E751-дома!$K$632),0)+IF('Ввод данных'!$A$6=связи1!$A$96,IF(E751&lt;связи1!$K$207,0,E751-$K$632),0)+IF('Ввод данных'!$A$6=связи1!$A$98,IF(E751&lt;связи1!$K$207,0,E751-$K$632),0))</f>
        <v>0</v>
      </c>
      <c r="F752" s="1314">
        <f>2*IF('Ввод данных'!$B$155=связи1!$A$2,1,0)*IF('Ввод данных'!$F$194=связи1!$A$2,1,0)</f>
        <v>0</v>
      </c>
      <c r="G752" s="1316">
        <f t="shared" si="82"/>
        <v>0</v>
      </c>
      <c r="H752" s="1316"/>
      <c r="I752" s="1055"/>
      <c r="J752" s="1055"/>
      <c r="K752" s="1055"/>
      <c r="L752" s="1055"/>
      <c r="M752" s="1055"/>
      <c r="N752" s="1055"/>
      <c r="O752" s="1280"/>
      <c r="P752" s="1360"/>
      <c r="Q752" s="1360"/>
      <c r="R752" s="1360"/>
      <c r="S752" s="1055"/>
      <c r="T752" s="1280"/>
      <c r="U752" s="1279"/>
      <c r="V752" s="1280"/>
      <c r="W752" s="1499"/>
      <c r="X752" s="1499"/>
      <c r="Y752" s="1280"/>
      <c r="Z752" s="1360"/>
      <c r="AA752" s="1055"/>
      <c r="AB752" s="1055"/>
      <c r="AC752" s="1055"/>
      <c r="AD752" s="971"/>
    </row>
    <row r="753" spans="1:30" ht="15.75" customHeight="1" outlineLevel="1">
      <c r="A753" s="1420" t="s">
        <v>3122</v>
      </c>
      <c r="B753" s="1271" t="s">
        <v>156</v>
      </c>
      <c r="C753" s="1272">
        <f t="shared" si="80"/>
        <v>0.15</v>
      </c>
      <c r="D753" s="995">
        <f t="shared" si="81"/>
        <v>0.05</v>
      </c>
      <c r="E753" s="1314">
        <f>IF(E752=0,0,IF('Ввод данных'!$A$6=связи1!$A$95,IF(E752&lt;=0,0,E752-дома!$K$632),0)+IF('Ввод данных'!$A$6=связи1!$A$96,IF(E752&lt;связи1!$K$207,0,E752-$K$632),0)+IF('Ввод данных'!$A$6=связи1!$A$98,IF(E752&lt;связи1!$K$207,0,E752-$K$632),0))</f>
        <v>0</v>
      </c>
      <c r="F753" s="1314">
        <f>2*IF('Ввод данных'!$B$155=связи1!$A$2,1,0)*IF('Ввод данных'!$F$194=связи1!$A$2,1,0)</f>
        <v>0</v>
      </c>
      <c r="G753" s="1316">
        <f t="shared" si="82"/>
        <v>0</v>
      </c>
      <c r="H753" s="1316"/>
      <c r="I753" s="1055"/>
      <c r="J753" s="1055"/>
      <c r="K753" s="1055"/>
      <c r="L753" s="1055"/>
      <c r="M753" s="1055"/>
      <c r="N753" s="1055"/>
      <c r="O753" s="1280"/>
      <c r="P753" s="1360"/>
      <c r="Q753" s="1360"/>
      <c r="R753" s="1360"/>
      <c r="S753" s="1055"/>
      <c r="T753" s="1280"/>
      <c r="U753" s="1279"/>
      <c r="V753" s="1280"/>
      <c r="W753" s="1499"/>
      <c r="X753" s="1499"/>
      <c r="Y753" s="1280"/>
      <c r="Z753" s="1360"/>
      <c r="AA753" s="1055"/>
      <c r="AB753" s="1055"/>
      <c r="AC753" s="1055"/>
      <c r="AD753" s="971"/>
    </row>
    <row r="754" spans="1:30" ht="15.75" customHeight="1" outlineLevel="1">
      <c r="A754" s="1420" t="s">
        <v>3123</v>
      </c>
      <c r="B754" s="1271" t="s">
        <v>156</v>
      </c>
      <c r="C754" s="1272">
        <f t="shared" si="80"/>
        <v>0.15</v>
      </c>
      <c r="D754" s="995">
        <f t="shared" si="81"/>
        <v>0.05</v>
      </c>
      <c r="E754" s="1314">
        <f>IF(E753=0,0,IF('Ввод данных'!$A$6=связи1!$A$95,IF(E753&lt;=0,0,E753-дома!$K$632),0)+IF('Ввод данных'!$A$6=связи1!$A$96,IF(E753&lt;связи1!$K$207,0,E753-$K$632),0)+IF('Ввод данных'!$A$6=связи1!$A$98,IF(E753&lt;связи1!$K$207,0,E753-$K$632),0))</f>
        <v>0</v>
      </c>
      <c r="F754" s="1314">
        <f>2*IF('Ввод данных'!$B$155=связи1!$A$2,1,0)*IF('Ввод данных'!$F$194=связи1!$A$2,1,0)</f>
        <v>0</v>
      </c>
      <c r="G754" s="1316">
        <f t="shared" si="82"/>
        <v>0</v>
      </c>
      <c r="H754" s="1316"/>
      <c r="I754" s="1055"/>
      <c r="J754" s="1055"/>
      <c r="K754" s="1055"/>
      <c r="L754" s="1055"/>
      <c r="M754" s="1055"/>
      <c r="N754" s="1055"/>
      <c r="O754" s="1280"/>
      <c r="P754" s="1360"/>
      <c r="Q754" s="1360"/>
      <c r="R754" s="1360"/>
      <c r="S754" s="1055"/>
      <c r="T754" s="1280"/>
      <c r="U754" s="1279"/>
      <c r="V754" s="1280"/>
      <c r="W754" s="1499"/>
      <c r="X754" s="1499"/>
      <c r="Y754" s="1280"/>
      <c r="Z754" s="1360"/>
      <c r="AA754" s="1055"/>
      <c r="AB754" s="1055"/>
      <c r="AC754" s="1055"/>
      <c r="AD754" s="971"/>
    </row>
    <row r="755" spans="1:30" ht="15.75" customHeight="1" outlineLevel="1">
      <c r="A755" s="1420" t="s">
        <v>3124</v>
      </c>
      <c r="B755" s="1271" t="s">
        <v>156</v>
      </c>
      <c r="C755" s="1272">
        <f t="shared" si="80"/>
        <v>0.15</v>
      </c>
      <c r="D755" s="995">
        <f t="shared" si="81"/>
        <v>0.05</v>
      </c>
      <c r="E755" s="1314">
        <f>IF(E754=0,0,IF('Ввод данных'!$A$6=связи1!$A$95,IF(E754&lt;=0,0,E754-дома!$K$632),0)+IF('Ввод данных'!$A$6=связи1!$A$96,IF(E754&lt;связи1!$K$207,0,E754-$K$632),0)+IF('Ввод данных'!$A$6=связи1!$A$98,IF(E754&lt;связи1!$K$207,0,E754-$K$632),0))</f>
        <v>0</v>
      </c>
      <c r="F755" s="1314">
        <f>2*IF('Ввод данных'!$B$155=связи1!$A$2,1,0)*IF('Ввод данных'!$F$194=связи1!$A$2,1,0)</f>
        <v>0</v>
      </c>
      <c r="G755" s="1316">
        <f t="shared" si="82"/>
        <v>0</v>
      </c>
      <c r="H755" s="1316"/>
      <c r="I755" s="1055"/>
      <c r="J755" s="1055"/>
      <c r="K755" s="1055"/>
      <c r="L755" s="1055"/>
      <c r="M755" s="1055"/>
      <c r="N755" s="1055"/>
      <c r="O755" s="1280"/>
      <c r="P755" s="1360"/>
      <c r="Q755" s="1360"/>
      <c r="R755" s="1360"/>
      <c r="S755" s="1055"/>
      <c r="T755" s="1280"/>
      <c r="U755" s="1279"/>
      <c r="V755" s="1280"/>
      <c r="W755" s="1499"/>
      <c r="X755" s="1499"/>
      <c r="Y755" s="1280"/>
      <c r="Z755" s="1360"/>
      <c r="AA755" s="1055"/>
      <c r="AB755" s="1055"/>
      <c r="AC755" s="1055"/>
      <c r="AD755" s="971"/>
    </row>
    <row r="756" spans="1:30" ht="15.75" customHeight="1" outlineLevel="1">
      <c r="A756" s="1420" t="s">
        <v>3125</v>
      </c>
      <c r="B756" s="1271" t="s">
        <v>156</v>
      </c>
      <c r="C756" s="1272">
        <f t="shared" si="80"/>
        <v>0.15</v>
      </c>
      <c r="D756" s="995">
        <f t="shared" si="81"/>
        <v>0.05</v>
      </c>
      <c r="E756" s="1314">
        <f>IF(E755=0,0,IF('Ввод данных'!$A$6=связи1!$A$95,IF(E755&lt;=0,0,E755-дома!$K$632),0)+IF('Ввод данных'!$A$6=связи1!$A$96,IF(E755&lt;связи1!$K$207,0,E755-$K$632),0)+IF('Ввод данных'!$A$6=связи1!$A$98,IF(E755&lt;связи1!$K$207,0,E755-$K$632),0))</f>
        <v>0</v>
      </c>
      <c r="F756" s="1314">
        <f>2*IF('Ввод данных'!$B$155=связи1!$A$2,1,0)*IF('Ввод данных'!$F$194=связи1!$A$2,1,0)</f>
        <v>0</v>
      </c>
      <c r="G756" s="1316">
        <f t="shared" si="82"/>
        <v>0</v>
      </c>
      <c r="H756" s="1316"/>
      <c r="I756" s="1055"/>
      <c r="J756" s="1055"/>
      <c r="K756" s="1055"/>
      <c r="L756" s="1055"/>
      <c r="M756" s="1055"/>
      <c r="N756" s="1055"/>
      <c r="O756" s="1280"/>
      <c r="P756" s="1360"/>
      <c r="Q756" s="1360"/>
      <c r="R756" s="1360"/>
      <c r="S756" s="1055"/>
      <c r="T756" s="1280"/>
      <c r="U756" s="1279"/>
      <c r="V756" s="1280"/>
      <c r="W756" s="1499"/>
      <c r="X756" s="1499"/>
      <c r="Y756" s="1280"/>
      <c r="Z756" s="1360"/>
      <c r="AA756" s="1055"/>
      <c r="AB756" s="1055"/>
      <c r="AC756" s="1055"/>
      <c r="AD756" s="971"/>
    </row>
    <row r="757" spans="1:30" ht="15.75" customHeight="1" outlineLevel="1">
      <c r="A757" s="1420" t="s">
        <v>3126</v>
      </c>
      <c r="B757" s="1271" t="s">
        <v>156</v>
      </c>
      <c r="C757" s="1272">
        <f t="shared" si="80"/>
        <v>0.15</v>
      </c>
      <c r="D757" s="995">
        <f t="shared" si="81"/>
        <v>0.05</v>
      </c>
      <c r="E757" s="1314">
        <f>IF(E756=0,0,IF('Ввод данных'!$A$6=связи1!$A$95,IF(E756&lt;=0,0,E756-дома!$K$632),0)+IF('Ввод данных'!$A$6=связи1!$A$96,IF(E756&lt;связи1!$K$207,0,E756-$K$632),0)+IF('Ввод данных'!$A$6=связи1!$A$98,IF(E756&lt;связи1!$K$207,0,E756-$K$632),0))</f>
        <v>0</v>
      </c>
      <c r="F757" s="1314">
        <f>2*IF('Ввод данных'!$B$155=связи1!$A$2,1,0)*IF('Ввод данных'!$F$194=связи1!$A$2,1,0)</f>
        <v>0</v>
      </c>
      <c r="G757" s="1316">
        <f t="shared" si="82"/>
        <v>0</v>
      </c>
      <c r="H757" s="1316"/>
      <c r="I757" s="1055"/>
      <c r="J757" s="1055"/>
      <c r="K757" s="1055"/>
      <c r="L757" s="1055"/>
      <c r="M757" s="1055"/>
      <c r="N757" s="1055"/>
      <c r="O757" s="1280"/>
      <c r="P757" s="1360"/>
      <c r="Q757" s="1360"/>
      <c r="R757" s="1360"/>
      <c r="S757" s="1055"/>
      <c r="T757" s="1280"/>
      <c r="U757" s="1279"/>
      <c r="V757" s="1280"/>
      <c r="W757" s="1499"/>
      <c r="X757" s="1499"/>
      <c r="Y757" s="1280"/>
      <c r="Z757" s="1360"/>
      <c r="AA757" s="1055"/>
      <c r="AB757" s="1055"/>
      <c r="AC757" s="1055"/>
      <c r="AD757" s="971"/>
    </row>
    <row r="758" spans="1:30" ht="15.75" customHeight="1" outlineLevel="1">
      <c r="A758" s="1420" t="s">
        <v>3127</v>
      </c>
      <c r="B758" s="1271" t="s">
        <v>156</v>
      </c>
      <c r="C758" s="1272">
        <f t="shared" si="80"/>
        <v>0.15</v>
      </c>
      <c r="D758" s="995">
        <f t="shared" si="81"/>
        <v>0.05</v>
      </c>
      <c r="E758" s="1314">
        <f>IF(E757=0,0,IF('Ввод данных'!$A$6=связи1!$A$95,IF(E757&lt;=0,0,E757-дома!$K$632),0)+IF('Ввод данных'!$A$6=связи1!$A$96,IF(E757&lt;связи1!$K$207,0,E757-$K$632),0)+IF('Ввод данных'!$A$6=связи1!$A$98,IF(E757&lt;связи1!$K$207,0,E757-$K$632),0))</f>
        <v>0</v>
      </c>
      <c r="F758" s="1314">
        <f>2*IF('Ввод данных'!$B$155=связи1!$A$2,1,0)*IF('Ввод данных'!$F$194=связи1!$A$2,1,0)</f>
        <v>0</v>
      </c>
      <c r="G758" s="1316">
        <f t="shared" si="82"/>
        <v>0</v>
      </c>
      <c r="H758" s="1316"/>
      <c r="I758" s="1055"/>
      <c r="J758" s="1055"/>
      <c r="K758" s="1055"/>
      <c r="L758" s="1055"/>
      <c r="M758" s="1055"/>
      <c r="N758" s="1055"/>
      <c r="O758" s="1280"/>
      <c r="P758" s="1360"/>
      <c r="Q758" s="1360"/>
      <c r="R758" s="1360"/>
      <c r="S758" s="1055"/>
      <c r="T758" s="1280"/>
      <c r="U758" s="1279"/>
      <c r="V758" s="1280"/>
      <c r="W758" s="1499"/>
      <c r="X758" s="1499"/>
      <c r="Y758" s="1280"/>
      <c r="Z758" s="1360"/>
      <c r="AA758" s="1055"/>
      <c r="AB758" s="1055"/>
      <c r="AC758" s="1055"/>
      <c r="AD758" s="971"/>
    </row>
    <row r="759" spans="1:30" ht="15.75" customHeight="1" outlineLevel="1">
      <c r="A759" s="1420" t="s">
        <v>3128</v>
      </c>
      <c r="B759" s="1271" t="s">
        <v>156</v>
      </c>
      <c r="C759" s="1272">
        <f t="shared" si="80"/>
        <v>0.15</v>
      </c>
      <c r="D759" s="995">
        <f t="shared" si="81"/>
        <v>0.05</v>
      </c>
      <c r="E759" s="1314">
        <f>IF(E758=0,0,IF('Ввод данных'!$A$6=связи1!$A$95,IF(E758&lt;=0,0,E758-дома!$K$632),0)+IF('Ввод данных'!$A$6=связи1!$A$96,IF(E758&lt;связи1!$K$207,0,E758-$K$632),0)+IF('Ввод данных'!$A$6=связи1!$A$98,IF(E758&lt;связи1!$K$207,0,E758-$K$632),0))</f>
        <v>0</v>
      </c>
      <c r="F759" s="1314">
        <f>2*IF('Ввод данных'!$B$155=связи1!$A$2,1,0)*IF('Ввод данных'!$F$194=связи1!$A$2,1,0)</f>
        <v>0</v>
      </c>
      <c r="G759" s="1316">
        <f t="shared" si="82"/>
        <v>0</v>
      </c>
      <c r="H759" s="1316"/>
      <c r="I759" s="1055"/>
      <c r="J759" s="1055"/>
      <c r="K759" s="1055"/>
      <c r="L759" s="1055"/>
      <c r="M759" s="1055"/>
      <c r="N759" s="1055"/>
      <c r="O759" s="1280"/>
      <c r="P759" s="1360"/>
      <c r="Q759" s="1360"/>
      <c r="R759" s="1360"/>
      <c r="S759" s="1055"/>
      <c r="T759" s="1280"/>
      <c r="U759" s="1279"/>
      <c r="V759" s="1280"/>
      <c r="W759" s="1499"/>
      <c r="X759" s="1499"/>
      <c r="Y759" s="1280"/>
      <c r="Z759" s="1360"/>
      <c r="AA759" s="1055"/>
      <c r="AB759" s="1055"/>
      <c r="AC759" s="1055"/>
      <c r="AD759" s="971"/>
    </row>
    <row r="760" spans="1:30" ht="15.75" customHeight="1" outlineLevel="1">
      <c r="A760" s="1420" t="s">
        <v>3129</v>
      </c>
      <c r="B760" s="1271" t="s">
        <v>156</v>
      </c>
      <c r="C760" s="1272">
        <f t="shared" si="80"/>
        <v>0.15</v>
      </c>
      <c r="D760" s="995">
        <f t="shared" si="81"/>
        <v>0.05</v>
      </c>
      <c r="E760" s="1314">
        <f>IF(E759=0,0,IF('Ввод данных'!$A$6=связи1!$A$95,IF(E759&lt;=0,0,E759-дома!$K$632),0)+IF('Ввод данных'!$A$6=связи1!$A$96,IF(E759&lt;связи1!$K$207,0,E759-$K$632),0)+IF('Ввод данных'!$A$6=связи1!$A$98,IF(E759&lt;связи1!$K$207,0,E759-$K$632),0))</f>
        <v>0</v>
      </c>
      <c r="F760" s="1314">
        <f>2*IF('Ввод данных'!$B$155=связи1!$A$2,1,0)*IF('Ввод данных'!$F$194=связи1!$A$2,1,0)</f>
        <v>0</v>
      </c>
      <c r="G760" s="1316">
        <f t="shared" si="82"/>
        <v>0</v>
      </c>
      <c r="H760" s="1316"/>
      <c r="I760" s="1055"/>
      <c r="J760" s="1055"/>
      <c r="K760" s="1055"/>
      <c r="L760" s="1055"/>
      <c r="M760" s="1055"/>
      <c r="N760" s="1055"/>
      <c r="O760" s="1280"/>
      <c r="P760" s="1360"/>
      <c r="Q760" s="1360"/>
      <c r="R760" s="1360"/>
      <c r="S760" s="1055"/>
      <c r="T760" s="1280"/>
      <c r="U760" s="1279"/>
      <c r="V760" s="1280"/>
      <c r="W760" s="1499"/>
      <c r="X760" s="1499"/>
      <c r="Y760" s="1280"/>
      <c r="Z760" s="1360"/>
      <c r="AA760" s="1055"/>
      <c r="AB760" s="1055"/>
      <c r="AC760" s="1055"/>
      <c r="AD760" s="971"/>
    </row>
    <row r="761" spans="1:30" ht="15.75" customHeight="1" outlineLevel="1">
      <c r="A761" s="1420" t="s">
        <v>3130</v>
      </c>
      <c r="B761" s="1271" t="s">
        <v>156</v>
      </c>
      <c r="C761" s="1272">
        <f t="shared" si="80"/>
        <v>0.15</v>
      </c>
      <c r="D761" s="995">
        <f t="shared" si="81"/>
        <v>0.05</v>
      </c>
      <c r="E761" s="1314">
        <f>IF(E760=0,0,IF('Ввод данных'!$A$6=связи1!$A$95,IF(E760&lt;=0,0,E760-дома!$K$632),0)+IF('Ввод данных'!$A$6=связи1!$A$96,IF(E760&lt;связи1!$K$207,0,E760-$K$632),0)+IF('Ввод данных'!$A$6=связи1!$A$98,IF(E760&lt;связи1!$K$207,0,E760-$K$632),0))</f>
        <v>0</v>
      </c>
      <c r="F761" s="1314">
        <f>2*IF('Ввод данных'!$B$155=связи1!$A$2,1,0)*IF('Ввод данных'!$F$194=связи1!$A$2,1,0)</f>
        <v>0</v>
      </c>
      <c r="G761" s="1316">
        <f t="shared" si="82"/>
        <v>0</v>
      </c>
      <c r="H761" s="1316"/>
      <c r="I761" s="1055"/>
      <c r="J761" s="1055"/>
      <c r="K761" s="1055"/>
      <c r="L761" s="1055"/>
      <c r="M761" s="1055"/>
      <c r="N761" s="1055"/>
      <c r="O761" s="1280"/>
      <c r="P761" s="1360"/>
      <c r="Q761" s="1360"/>
      <c r="R761" s="1360"/>
      <c r="S761" s="1055"/>
      <c r="T761" s="1280"/>
      <c r="U761" s="1279"/>
      <c r="V761" s="1280"/>
      <c r="W761" s="1499"/>
      <c r="X761" s="1499"/>
      <c r="Y761" s="1280"/>
      <c r="Z761" s="1360"/>
      <c r="AA761" s="1055"/>
      <c r="AB761" s="1055"/>
      <c r="AC761" s="1055"/>
      <c r="AD761" s="971"/>
    </row>
    <row r="762" spans="1:30" ht="15.75" customHeight="1" outlineLevel="1">
      <c r="A762" s="1420" t="s">
        <v>3131</v>
      </c>
      <c r="B762" s="1271" t="s">
        <v>156</v>
      </c>
      <c r="C762" s="1272">
        <f t="shared" si="80"/>
        <v>0.15</v>
      </c>
      <c r="D762" s="995">
        <f t="shared" si="81"/>
        <v>0.05</v>
      </c>
      <c r="E762" s="1314">
        <f>IF(E761=0,0,IF('Ввод данных'!$A$6=связи1!$A$95,IF(E761&lt;=0,0,E761-дома!$K$632),0)+IF('Ввод данных'!$A$6=связи1!$A$96,IF(E761&lt;связи1!$K$207,0,E761-$K$632),0)+IF('Ввод данных'!$A$6=связи1!$A$98,IF(E761&lt;связи1!$K$207,0,E761-$K$632),0))</f>
        <v>0</v>
      </c>
      <c r="F762" s="1314">
        <f>2*IF('Ввод данных'!$B$155=связи1!$A$2,1,0)*IF('Ввод данных'!$F$194=связи1!$A$2,1,0)</f>
        <v>0</v>
      </c>
      <c r="G762" s="1316">
        <f t="shared" si="82"/>
        <v>0</v>
      </c>
      <c r="H762" s="1316"/>
      <c r="I762" s="1055"/>
      <c r="J762" s="1055"/>
      <c r="K762" s="1055"/>
      <c r="L762" s="1055"/>
      <c r="M762" s="1055"/>
      <c r="N762" s="1055"/>
      <c r="O762" s="1280"/>
      <c r="P762" s="1360"/>
      <c r="Q762" s="1360"/>
      <c r="R762" s="1360"/>
      <c r="S762" s="1055"/>
      <c r="T762" s="1280"/>
      <c r="U762" s="1279"/>
      <c r="V762" s="1280"/>
      <c r="W762" s="1499"/>
      <c r="X762" s="1499"/>
      <c r="Y762" s="1280"/>
      <c r="Z762" s="1360"/>
      <c r="AA762" s="1055"/>
      <c r="AB762" s="1055"/>
      <c r="AC762" s="1055"/>
      <c r="AD762" s="971"/>
    </row>
    <row r="763" spans="1:30" ht="15.75" customHeight="1" outlineLevel="1">
      <c r="A763" s="1420" t="s">
        <v>3132</v>
      </c>
      <c r="B763" s="1271" t="s">
        <v>156</v>
      </c>
      <c r="C763" s="1272">
        <f t="shared" si="80"/>
        <v>0.15</v>
      </c>
      <c r="D763" s="995">
        <f t="shared" si="81"/>
        <v>0.05</v>
      </c>
      <c r="E763" s="1314">
        <f>IF(E762=0,0,IF('Ввод данных'!$A$6=связи1!$A$95,IF(E762&lt;=0,0,E762-дома!$K$632),0)+IF('Ввод данных'!$A$6=связи1!$A$96,IF(E762&lt;связи1!$K$207,0,E762-$K$632),0)+IF('Ввод данных'!$A$6=связи1!$A$98,IF(E762&lt;связи1!$K$207,0,E762-$K$632),0))</f>
        <v>0</v>
      </c>
      <c r="F763" s="1314">
        <f>2*IF('Ввод данных'!$B$155=связи1!$A$2,1,0)*IF('Ввод данных'!$F$194=связи1!$A$2,1,0)</f>
        <v>0</v>
      </c>
      <c r="G763" s="1316">
        <f t="shared" si="82"/>
        <v>0</v>
      </c>
      <c r="H763" s="1316"/>
      <c r="I763" s="1055"/>
      <c r="J763" s="1055"/>
      <c r="K763" s="1055"/>
      <c r="L763" s="1055"/>
      <c r="M763" s="1055"/>
      <c r="N763" s="1055"/>
      <c r="O763" s="1280"/>
      <c r="P763" s="1360"/>
      <c r="Q763" s="1360"/>
      <c r="R763" s="1360"/>
      <c r="S763" s="1055"/>
      <c r="T763" s="1280"/>
      <c r="U763" s="1279"/>
      <c r="V763" s="1280"/>
      <c r="W763" s="1499"/>
      <c r="X763" s="1499"/>
      <c r="Y763" s="1280"/>
      <c r="Z763" s="1360"/>
      <c r="AA763" s="1055"/>
      <c r="AB763" s="1055"/>
      <c r="AC763" s="1055"/>
      <c r="AD763" s="971"/>
    </row>
    <row r="764" spans="1:30" ht="15.75" customHeight="1" outlineLevel="1">
      <c r="A764" s="1420" t="s">
        <v>3133</v>
      </c>
      <c r="B764" s="1271" t="s">
        <v>156</v>
      </c>
      <c r="C764" s="1272">
        <f t="shared" si="80"/>
        <v>0.15</v>
      </c>
      <c r="D764" s="995">
        <f t="shared" si="81"/>
        <v>0.05</v>
      </c>
      <c r="E764" s="1314">
        <f>IF(E763=0,0,IF('Ввод данных'!$A$6=связи1!$A$95,IF(E763&lt;=0,0,E763-дома!$K$632),0)+IF('Ввод данных'!$A$6=связи1!$A$96,IF(E763&lt;связи1!$K$207,0,E763-$K$632),0)+IF('Ввод данных'!$A$6=связи1!$A$98,IF(E763&lt;связи1!$K$207,0,E763-$K$632),0))</f>
        <v>0</v>
      </c>
      <c r="F764" s="1314">
        <f>2*IF('Ввод данных'!$B$155=связи1!$A$2,1,0)*IF('Ввод данных'!$F$194=связи1!$A$2,1,0)</f>
        <v>0</v>
      </c>
      <c r="G764" s="1316">
        <f t="shared" si="82"/>
        <v>0</v>
      </c>
      <c r="H764" s="1316"/>
      <c r="I764" s="1055"/>
      <c r="J764" s="1055"/>
      <c r="K764" s="1055"/>
      <c r="L764" s="1055"/>
      <c r="M764" s="1055"/>
      <c r="N764" s="1055"/>
      <c r="O764" s="1280"/>
      <c r="P764" s="1360"/>
      <c r="Q764" s="1360"/>
      <c r="R764" s="1360"/>
      <c r="S764" s="1055"/>
      <c r="T764" s="1280"/>
      <c r="U764" s="1279"/>
      <c r="V764" s="1280"/>
      <c r="W764" s="1499"/>
      <c r="X764" s="1499"/>
      <c r="Y764" s="1280"/>
      <c r="Z764" s="1360"/>
      <c r="AA764" s="1055"/>
      <c r="AB764" s="1055"/>
      <c r="AC764" s="1055"/>
      <c r="AD764" s="971"/>
    </row>
    <row r="765" spans="1:30" ht="15.75" customHeight="1" outlineLevel="1">
      <c r="A765" s="1420" t="s">
        <v>3134</v>
      </c>
      <c r="B765" s="1271" t="s">
        <v>156</v>
      </c>
      <c r="C765" s="1272">
        <f t="shared" si="80"/>
        <v>0.15</v>
      </c>
      <c r="D765" s="995">
        <f t="shared" si="81"/>
        <v>0.05</v>
      </c>
      <c r="E765" s="1314">
        <f>IF(E764=0,0,IF('Ввод данных'!$A$6=связи1!$A$95,IF(E764&lt;=0,0,E764-дома!$K$632),0)+IF('Ввод данных'!$A$6=связи1!$A$96,IF(E764&lt;связи1!$K$207,0,E764-$K$632),0)+IF('Ввод данных'!$A$6=связи1!$A$98,IF(E764&lt;связи1!$K$207,0,E764-$K$632),0))</f>
        <v>0</v>
      </c>
      <c r="F765" s="1314">
        <f>2*IF('Ввод данных'!$B$155=связи1!$A$2,1,0)*IF('Ввод данных'!$F$194=связи1!$A$2,1,0)</f>
        <v>0</v>
      </c>
      <c r="G765" s="1316">
        <f t="shared" si="82"/>
        <v>0</v>
      </c>
      <c r="H765" s="1316"/>
      <c r="I765" s="1055"/>
      <c r="J765" s="1055"/>
      <c r="K765" s="1055"/>
      <c r="L765" s="1055"/>
      <c r="M765" s="1055"/>
      <c r="N765" s="1055"/>
      <c r="O765" s="1280"/>
      <c r="P765" s="1360"/>
      <c r="Q765" s="1360"/>
      <c r="R765" s="1360"/>
      <c r="S765" s="1055"/>
      <c r="T765" s="1280"/>
      <c r="U765" s="1279"/>
      <c r="V765" s="1280"/>
      <c r="W765" s="1499"/>
      <c r="X765" s="1499"/>
      <c r="Y765" s="1280"/>
      <c r="Z765" s="1360"/>
      <c r="AA765" s="1055"/>
      <c r="AB765" s="1055"/>
      <c r="AC765" s="1055"/>
      <c r="AD765" s="971"/>
    </row>
    <row r="766" spans="1:30" ht="15.75" customHeight="1" outlineLevel="1">
      <c r="A766" s="1420" t="s">
        <v>3135</v>
      </c>
      <c r="B766" s="1271" t="s">
        <v>156</v>
      </c>
      <c r="C766" s="1272">
        <f t="shared" si="80"/>
        <v>0.15</v>
      </c>
      <c r="D766" s="995">
        <f t="shared" si="81"/>
        <v>0.05</v>
      </c>
      <c r="E766" s="1314">
        <f>IF(E765=0,0,IF('Ввод данных'!$A$6=связи1!$A$95,IF(E765&lt;=0,0,E765-дома!$K$632),0)+IF('Ввод данных'!$A$6=связи1!$A$96,IF(E765&lt;связи1!$K$207,0,E765-$K$632),0)+IF('Ввод данных'!$A$6=связи1!$A$98,IF(E765&lt;связи1!$K$207,0,E765-$K$632),0))</f>
        <v>0</v>
      </c>
      <c r="F766" s="1314">
        <f>2*IF('Ввод данных'!$B$155=связи1!$A$2,1,0)*IF('Ввод данных'!$F$194=связи1!$A$2,1,0)</f>
        <v>0</v>
      </c>
      <c r="G766" s="1316">
        <f t="shared" si="82"/>
        <v>0</v>
      </c>
      <c r="H766" s="1316"/>
      <c r="I766" s="1055"/>
      <c r="J766" s="1055"/>
      <c r="K766" s="1055"/>
      <c r="L766" s="1055"/>
      <c r="M766" s="1055"/>
      <c r="N766" s="1055"/>
      <c r="O766" s="1280"/>
      <c r="P766" s="1360"/>
      <c r="Q766" s="1360"/>
      <c r="R766" s="1360"/>
      <c r="S766" s="1055"/>
      <c r="T766" s="1280"/>
      <c r="U766" s="1279"/>
      <c r="V766" s="1280"/>
      <c r="W766" s="1499"/>
      <c r="X766" s="1499"/>
      <c r="Y766" s="1280"/>
      <c r="Z766" s="1360"/>
      <c r="AA766" s="1055"/>
      <c r="AB766" s="1055"/>
      <c r="AC766" s="1055"/>
      <c r="AD766" s="971"/>
    </row>
    <row r="767" spans="1:30" ht="15.75" customHeight="1" outlineLevel="1">
      <c r="A767" s="1420" t="s">
        <v>3136</v>
      </c>
      <c r="B767" s="1271" t="s">
        <v>156</v>
      </c>
      <c r="C767" s="1272">
        <f t="shared" si="80"/>
        <v>0.15</v>
      </c>
      <c r="D767" s="995">
        <f t="shared" si="81"/>
        <v>0.05</v>
      </c>
      <c r="E767" s="1314">
        <f>IF(E766=0,0,IF('Ввод данных'!$A$6=связи1!$A$95,IF(E766&lt;=0,0,E766-дома!$K$632),0)+IF('Ввод данных'!$A$6=связи1!$A$96,IF(E766&lt;связи1!$K$207,0,E766-$K$632),0)+IF('Ввод данных'!$A$6=связи1!$A$98,IF(E766&lt;связи1!$K$207,0,E766-$K$632),0))</f>
        <v>0</v>
      </c>
      <c r="F767" s="1314">
        <f>2*IF('Ввод данных'!$B$155=связи1!$A$2,1,0)*IF('Ввод данных'!$F$194=связи1!$A$2,1,0)</f>
        <v>0</v>
      </c>
      <c r="G767" s="1316">
        <f t="shared" si="82"/>
        <v>0</v>
      </c>
      <c r="H767" s="1316"/>
      <c r="I767" s="1055"/>
      <c r="J767" s="1055"/>
      <c r="K767" s="1055"/>
      <c r="L767" s="1055"/>
      <c r="M767" s="1055"/>
      <c r="N767" s="1055"/>
      <c r="O767" s="1280"/>
      <c r="P767" s="1360"/>
      <c r="Q767" s="1360"/>
      <c r="R767" s="1360"/>
      <c r="S767" s="1055"/>
      <c r="T767" s="1280"/>
      <c r="U767" s="1279"/>
      <c r="V767" s="1280"/>
      <c r="W767" s="1499"/>
      <c r="X767" s="1499"/>
      <c r="Y767" s="1280"/>
      <c r="Z767" s="1360"/>
      <c r="AA767" s="1055"/>
      <c r="AB767" s="1055"/>
      <c r="AC767" s="1055"/>
      <c r="AD767" s="971"/>
    </row>
    <row r="768" spans="1:30" ht="15.75" customHeight="1" outlineLevel="1">
      <c r="A768" s="1420" t="s">
        <v>3137</v>
      </c>
      <c r="B768" s="1271" t="s">
        <v>156</v>
      </c>
      <c r="C768" s="1272">
        <f t="shared" si="80"/>
        <v>0.15</v>
      </c>
      <c r="D768" s="995">
        <f t="shared" si="81"/>
        <v>0.05</v>
      </c>
      <c r="E768" s="1314">
        <f>IF(E767=0,0,IF('Ввод данных'!$A$6=связи1!$A$95,IF(E767&lt;=0,0,E767-дома!$K$632),0)+IF('Ввод данных'!$A$6=связи1!$A$96,IF(E767&lt;связи1!$K$207,0,E767-$K$632),0)+IF('Ввод данных'!$A$6=связи1!$A$98,IF(E767&lt;связи1!$K$207,0,E767-$K$632),0))</f>
        <v>0</v>
      </c>
      <c r="F768" s="1314">
        <f>2*IF('Ввод данных'!$B$155=связи1!$A$2,1,0)*IF('Ввод данных'!$F$194=связи1!$A$2,1,0)</f>
        <v>0</v>
      </c>
      <c r="G768" s="1316">
        <f t="shared" si="82"/>
        <v>0</v>
      </c>
      <c r="H768" s="1316"/>
      <c r="I768" s="1055"/>
      <c r="J768" s="1055"/>
      <c r="K768" s="1055"/>
      <c r="L768" s="1055"/>
      <c r="M768" s="1055"/>
      <c r="N768" s="1055"/>
      <c r="O768" s="1280"/>
      <c r="P768" s="1360"/>
      <c r="Q768" s="1360"/>
      <c r="R768" s="1360"/>
      <c r="S768" s="1055"/>
      <c r="T768" s="1280"/>
      <c r="U768" s="1279"/>
      <c r="V768" s="1280"/>
      <c r="W768" s="1499"/>
      <c r="X768" s="1499"/>
      <c r="Y768" s="1280"/>
      <c r="Z768" s="1360"/>
      <c r="AA768" s="1055"/>
      <c r="AB768" s="1055"/>
      <c r="AC768" s="1055"/>
      <c r="AD768" s="971"/>
    </row>
    <row r="769" spans="1:30" ht="15.75" customHeight="1" outlineLevel="1">
      <c r="A769" s="1420" t="s">
        <v>3138</v>
      </c>
      <c r="B769" s="1271" t="s">
        <v>156</v>
      </c>
      <c r="C769" s="1272">
        <f t="shared" si="80"/>
        <v>0.15</v>
      </c>
      <c r="D769" s="995">
        <f t="shared" si="81"/>
        <v>0.05</v>
      </c>
      <c r="E769" s="1314">
        <f>IF(E768=0,0,IF('Ввод данных'!$A$6=связи1!$A$95,IF(E768&lt;=0,0,E768-дома!$K$632),0)+IF('Ввод данных'!$A$6=связи1!$A$96,IF(E768&lt;связи1!$K$207,0,E768-$K$632),0)+IF('Ввод данных'!$A$6=связи1!$A$98,IF(E768&lt;связи1!$K$207,0,E768-$K$632),0))</f>
        <v>0</v>
      </c>
      <c r="F769" s="1314">
        <f>2*IF('Ввод данных'!$B$155=связи1!$A$2,1,0)*IF('Ввод данных'!$F$194=связи1!$A$2,1,0)</f>
        <v>0</v>
      </c>
      <c r="G769" s="1316">
        <f t="shared" si="82"/>
        <v>0</v>
      </c>
      <c r="H769" s="1316"/>
      <c r="I769" s="1055"/>
      <c r="J769" s="1055"/>
      <c r="K769" s="1055"/>
      <c r="L769" s="1055"/>
      <c r="M769" s="1055"/>
      <c r="N769" s="1055"/>
      <c r="O769" s="1280"/>
      <c r="P769" s="1360"/>
      <c r="Q769" s="1360"/>
      <c r="R769" s="1360"/>
      <c r="S769" s="1055"/>
      <c r="T769" s="1280"/>
      <c r="U769" s="1279"/>
      <c r="V769" s="1280"/>
      <c r="W769" s="1499"/>
      <c r="X769" s="1499"/>
      <c r="Y769" s="1280"/>
      <c r="Z769" s="1360"/>
      <c r="AA769" s="1055"/>
      <c r="AB769" s="1055"/>
      <c r="AC769" s="1055"/>
      <c r="AD769" s="971"/>
    </row>
    <row r="770" spans="1:30" ht="15.75" customHeight="1" outlineLevel="1">
      <c r="A770" s="1420" t="s">
        <v>3139</v>
      </c>
      <c r="B770" s="1271" t="s">
        <v>156</v>
      </c>
      <c r="C770" s="1272">
        <f t="shared" si="80"/>
        <v>0.15</v>
      </c>
      <c r="D770" s="995">
        <f t="shared" si="81"/>
        <v>0.05</v>
      </c>
      <c r="E770" s="1314">
        <f>IF(E769=0,0,IF('Ввод данных'!$A$6=связи1!$A$95,IF(E769&lt;=0,0,E769-дома!$K$632),0)+IF('Ввод данных'!$A$6=связи1!$A$96,IF(E769&lt;связи1!$K$207,0,E769-$K$632),0)+IF('Ввод данных'!$A$6=связи1!$A$98,IF(E769&lt;связи1!$K$207,0,E769-$K$632),0))</f>
        <v>0</v>
      </c>
      <c r="F770" s="1314">
        <f>2*IF('Ввод данных'!$B$155=связи1!$A$2,1,0)*IF('Ввод данных'!$F$194=связи1!$A$2,1,0)</f>
        <v>0</v>
      </c>
      <c r="G770" s="1316">
        <f t="shared" si="82"/>
        <v>0</v>
      </c>
      <c r="H770" s="1316"/>
      <c r="I770" s="1055"/>
      <c r="J770" s="1055"/>
      <c r="K770" s="1055"/>
      <c r="L770" s="1055"/>
      <c r="M770" s="1055"/>
      <c r="N770" s="1055"/>
      <c r="O770" s="1280"/>
      <c r="P770" s="1360"/>
      <c r="Q770" s="1360"/>
      <c r="R770" s="1360"/>
      <c r="S770" s="1055"/>
      <c r="T770" s="1280"/>
      <c r="U770" s="1279"/>
      <c r="V770" s="1280"/>
      <c r="W770" s="1499"/>
      <c r="X770" s="1499"/>
      <c r="Y770" s="1280"/>
      <c r="Z770" s="1360"/>
      <c r="AA770" s="1055"/>
      <c r="AB770" s="1055"/>
      <c r="AC770" s="1055"/>
      <c r="AD770" s="971"/>
    </row>
    <row r="771" spans="1:30" ht="15.75" customHeight="1" outlineLevel="1">
      <c r="A771" s="1420" t="s">
        <v>3140</v>
      </c>
      <c r="B771" s="1271" t="s">
        <v>156</v>
      </c>
      <c r="C771" s="1272">
        <f t="shared" si="80"/>
        <v>0.15</v>
      </c>
      <c r="D771" s="995">
        <f t="shared" si="81"/>
        <v>0.05</v>
      </c>
      <c r="E771" s="1314">
        <f>IF(E770=0,0,IF('Ввод данных'!$A$6=связи1!$A$95,IF(E770&lt;=0,0,E770-дома!$K$632),0)+IF('Ввод данных'!$A$6=связи1!$A$96,IF(E770&lt;связи1!$K$207,0,E770-$K$632),0)+IF('Ввод данных'!$A$6=связи1!$A$98,IF(E770&lt;связи1!$K$207,0,E770-$K$632),0))</f>
        <v>0</v>
      </c>
      <c r="F771" s="1314">
        <f>2*IF('Ввод данных'!$B$155=связи1!$A$2,1,0)*IF('Ввод данных'!$F$194=связи1!$A$2,1,0)</f>
        <v>0</v>
      </c>
      <c r="G771" s="1316">
        <f t="shared" si="82"/>
        <v>0</v>
      </c>
      <c r="H771" s="1316"/>
      <c r="I771" s="1055"/>
      <c r="J771" s="1055"/>
      <c r="K771" s="1055"/>
      <c r="L771" s="1055"/>
      <c r="M771" s="1055"/>
      <c r="N771" s="1055"/>
      <c r="O771" s="1280"/>
      <c r="P771" s="1360"/>
      <c r="Q771" s="1360"/>
      <c r="R771" s="1360"/>
      <c r="S771" s="1055"/>
      <c r="T771" s="1280"/>
      <c r="U771" s="1279"/>
      <c r="V771" s="1280"/>
      <c r="W771" s="1499"/>
      <c r="X771" s="1499"/>
      <c r="Y771" s="1280"/>
      <c r="Z771" s="1360"/>
      <c r="AA771" s="1055"/>
      <c r="AB771" s="1055"/>
      <c r="AC771" s="1055"/>
      <c r="AD771" s="971"/>
    </row>
    <row r="772" spans="1:30" ht="15.75" customHeight="1" outlineLevel="1">
      <c r="A772" s="1419" t="s">
        <v>3093</v>
      </c>
      <c r="B772" s="1366" t="s">
        <v>156</v>
      </c>
      <c r="C772" s="1416">
        <f t="shared" si="80"/>
        <v>0.15</v>
      </c>
      <c r="D772" s="1417">
        <f t="shared" si="81"/>
        <v>0.05</v>
      </c>
      <c r="E772" s="1367">
        <f>C620+C623+C624+C625</f>
        <v>0</v>
      </c>
      <c r="F772" s="1367">
        <f>1*IF('Ввод данных'!$C$155=связи1!$A$2,1,0)*IF('Ввод данных'!$F$194=связи1!$A$2,1,0)</f>
        <v>0</v>
      </c>
      <c r="G772" s="1368">
        <f t="shared" si="82"/>
        <v>0</v>
      </c>
      <c r="H772" s="1368"/>
      <c r="I772" s="1055"/>
      <c r="J772" s="1055"/>
      <c r="K772" s="1055"/>
      <c r="L772" s="1055"/>
      <c r="M772" s="1055"/>
      <c r="N772" s="1055"/>
      <c r="O772" s="1280"/>
      <c r="P772" s="1360"/>
      <c r="Q772" s="1360"/>
      <c r="R772" s="1360"/>
      <c r="S772" s="1055"/>
      <c r="T772" s="1280"/>
      <c r="U772" s="1279"/>
      <c r="V772" s="1280"/>
      <c r="W772" s="1499"/>
      <c r="X772" s="1499"/>
      <c r="Y772" s="1280"/>
      <c r="Z772" s="1360"/>
      <c r="AA772" s="1055"/>
      <c r="AB772" s="1055"/>
      <c r="AC772" s="1055"/>
      <c r="AD772" s="971"/>
    </row>
    <row r="773" spans="1:30" ht="15.75" customHeight="1" outlineLevel="1">
      <c r="A773" s="1419" t="s">
        <v>3094</v>
      </c>
      <c r="B773" s="1366" t="s">
        <v>156</v>
      </c>
      <c r="C773" s="1416">
        <f t="shared" si="80"/>
        <v>0.15</v>
      </c>
      <c r="D773" s="1417">
        <f t="shared" si="81"/>
        <v>0.05</v>
      </c>
      <c r="E773" s="1367">
        <f>C624+C625+K628+K628</f>
        <v>22.360679774997898</v>
      </c>
      <c r="F773" s="1367">
        <f>1*IF('Ввод данных'!$C$155=связи1!$A$2,1,0)*IF('Ввод данных'!$F$194=связи1!$A$2,1,0)*D635</f>
        <v>0</v>
      </c>
      <c r="G773" s="1368">
        <f t="shared" si="82"/>
        <v>0</v>
      </c>
      <c r="H773" s="1368"/>
      <c r="I773" s="1055"/>
      <c r="J773" s="1055"/>
      <c r="K773" s="1055"/>
      <c r="L773" s="1055"/>
      <c r="M773" s="1055"/>
      <c r="N773" s="1055"/>
      <c r="O773" s="1280"/>
      <c r="P773" s="1360"/>
      <c r="Q773" s="1360"/>
      <c r="R773" s="1360"/>
      <c r="S773" s="1055"/>
      <c r="T773" s="1280"/>
      <c r="U773" s="1279"/>
      <c r="V773" s="1280"/>
      <c r="W773" s="1499"/>
      <c r="X773" s="1499"/>
      <c r="Y773" s="1280"/>
      <c r="Z773" s="1360"/>
      <c r="AA773" s="1055"/>
      <c r="AB773" s="1055"/>
      <c r="AC773" s="1055"/>
      <c r="AD773" s="971"/>
    </row>
    <row r="774" spans="1:30" ht="15.75" customHeight="1" outlineLevel="1">
      <c r="A774" s="1419" t="s">
        <v>3095</v>
      </c>
      <c r="B774" s="1366" t="s">
        <v>156</v>
      </c>
      <c r="C774" s="1416">
        <f t="shared" si="80"/>
        <v>0.15</v>
      </c>
      <c r="D774" s="1417">
        <f t="shared" si="81"/>
        <v>0.05</v>
      </c>
      <c r="E774" s="1367">
        <f>E773</f>
        <v>22.360679774997898</v>
      </c>
      <c r="F774" s="1367">
        <f>1*IF('Ввод данных'!$C$155=связи1!$A$2,1,0)*IF('Ввод данных'!$F$194=связи1!$A$2,1,0)*D635</f>
        <v>0</v>
      </c>
      <c r="G774" s="1368">
        <f t="shared" si="82"/>
        <v>0</v>
      </c>
      <c r="H774" s="1368"/>
      <c r="I774" s="1055"/>
      <c r="J774" s="1055"/>
      <c r="K774" s="1055"/>
      <c r="L774" s="1055"/>
      <c r="M774" s="1055"/>
      <c r="N774" s="1055"/>
      <c r="O774" s="1280"/>
      <c r="P774" s="1360"/>
      <c r="Q774" s="1360"/>
      <c r="R774" s="1360"/>
      <c r="S774" s="1055"/>
      <c r="T774" s="1280"/>
      <c r="U774" s="1279"/>
      <c r="V774" s="1280"/>
      <c r="W774" s="1499"/>
      <c r="X774" s="1499"/>
      <c r="Y774" s="1280"/>
      <c r="Z774" s="1360"/>
      <c r="AA774" s="1055"/>
      <c r="AB774" s="1055"/>
      <c r="AC774" s="1055"/>
      <c r="AD774" s="971"/>
    </row>
    <row r="775" spans="1:30" ht="15.75" customHeight="1" outlineLevel="1">
      <c r="A775" s="1415" t="s">
        <v>3141</v>
      </c>
      <c r="B775" s="1366" t="s">
        <v>156</v>
      </c>
      <c r="C775" s="1416">
        <f t="shared" si="80"/>
        <v>0.15</v>
      </c>
      <c r="D775" s="1417">
        <f t="shared" si="81"/>
        <v>0.05</v>
      </c>
      <c r="E775" s="1367">
        <f>IF('Ввод данных'!C155=связи1!A2,IF('Ввод данных'!A6=связи1!A95,'Ввод данных'!C16,0)+IF('Ввод данных'!A6=связи1!A96,связи1!K207,0)+IF('Ввод данных'!A6=связи1!A98,связи1!K207,0),0)</f>
        <v>0</v>
      </c>
      <c r="F775" s="1367">
        <f>CEILING(C624/G624+1,1)*IF('Ввод данных'!$C$155=связи1!$A$2,1,0)*IF('Ввод данных'!$F$194=связи1!$A$2,1,0)</f>
        <v>0</v>
      </c>
      <c r="G775" s="1368">
        <f t="shared" si="82"/>
        <v>0</v>
      </c>
      <c r="H775" s="1368"/>
      <c r="I775" s="1055"/>
      <c r="J775" s="1055"/>
      <c r="K775" s="1055"/>
      <c r="L775" s="1055"/>
      <c r="M775" s="1055"/>
      <c r="N775" s="1055"/>
      <c r="O775" s="1280"/>
      <c r="P775" s="1360"/>
      <c r="Q775" s="1360"/>
      <c r="R775" s="1360"/>
      <c r="S775" s="1055"/>
      <c r="T775" s="1280"/>
      <c r="U775" s="1279"/>
      <c r="V775" s="1280"/>
      <c r="W775" s="1499"/>
      <c r="X775" s="1499"/>
      <c r="Y775" s="1280"/>
      <c r="Z775" s="1360"/>
      <c r="AA775" s="1055"/>
      <c r="AB775" s="1055"/>
      <c r="AC775" s="1055"/>
      <c r="AD775" s="971"/>
    </row>
    <row r="776" spans="1:30" ht="15.75" customHeight="1" outlineLevel="1">
      <c r="A776" s="1415" t="s">
        <v>3142</v>
      </c>
      <c r="B776" s="1366" t="s">
        <v>156</v>
      </c>
      <c r="C776" s="1416">
        <f t="shared" si="80"/>
        <v>0.15</v>
      </c>
      <c r="D776" s="1417">
        <f t="shared" si="81"/>
        <v>0.05</v>
      </c>
      <c r="E776" s="1367">
        <f>IF('Ввод данных'!C155=связи1!A2,IF('Ввод данных'!A6=связи1!A95,'Ввод данных'!C16,0)+IF('Ввод данных'!A6=связи1!A96,связи1!K206,0)+IF('Ввод данных'!A6=связи1!A98,связи1!K206,0),0)</f>
        <v>0</v>
      </c>
      <c r="F776" s="1367">
        <f>CEILING(C624/G624+1,1)*IF('Ввод данных'!$C$155=связи1!$A$2,1,0)*IF('Ввод данных'!$F$194=связи1!$A$2,1,0)</f>
        <v>0</v>
      </c>
      <c r="G776" s="1368">
        <f t="shared" si="82"/>
        <v>0</v>
      </c>
      <c r="H776" s="1368"/>
      <c r="I776" s="1055"/>
      <c r="J776" s="1055"/>
      <c r="K776" s="1055"/>
      <c r="L776" s="1055"/>
      <c r="M776" s="1055"/>
      <c r="N776" s="1055"/>
      <c r="O776" s="1280"/>
      <c r="P776" s="1360"/>
      <c r="Q776" s="1360"/>
      <c r="R776" s="1360"/>
      <c r="S776" s="1055"/>
      <c r="T776" s="1280"/>
      <c r="U776" s="1279"/>
      <c r="V776" s="1280"/>
      <c r="W776" s="1499"/>
      <c r="X776" s="1499"/>
      <c r="Y776" s="1280"/>
      <c r="Z776" s="1360"/>
      <c r="AA776" s="1055"/>
      <c r="AB776" s="1055"/>
      <c r="AC776" s="1055"/>
      <c r="AD776" s="971"/>
    </row>
    <row r="777" spans="1:30" ht="15.75" customHeight="1" outlineLevel="1">
      <c r="A777" s="1415" t="s">
        <v>3143</v>
      </c>
      <c r="B777" s="1366" t="s">
        <v>156</v>
      </c>
      <c r="C777" s="1416">
        <f t="shared" si="80"/>
        <v>0.15</v>
      </c>
      <c r="D777" s="1417">
        <f t="shared" si="81"/>
        <v>0.05</v>
      </c>
      <c r="E777" s="1367">
        <f>IF('Ввод данных'!C155=связи1!A2,IF('Ввод данных'!A6=связи1!A95,'Ввод данных'!C16,0)+IF('Ввод данных'!A6=связи1!A96,связи1!K206,0)+IF('Ввод данных'!A6=связи1!A98,связи1!K206,0),0)</f>
        <v>0</v>
      </c>
      <c r="F777" s="1367">
        <f>CEILING(C620/G620+1,1)*IF('Ввод данных'!$C$155=связи1!$A$2,1,0)*IF('Ввод данных'!$F$194=связи1!$A$2,1,0)*IF('Ввод данных'!A6=связи1!A95,1,0)</f>
        <v>0</v>
      </c>
      <c r="G777" s="1368">
        <f t="shared" si="82"/>
        <v>0</v>
      </c>
      <c r="H777" s="1368"/>
      <c r="I777" s="1055"/>
      <c r="J777" s="1055"/>
      <c r="K777" s="1055"/>
      <c r="L777" s="1055"/>
      <c r="M777" s="1055"/>
      <c r="N777" s="1055"/>
      <c r="O777" s="1280"/>
      <c r="P777" s="1360"/>
      <c r="Q777" s="1360"/>
      <c r="R777" s="1360"/>
      <c r="S777" s="1055"/>
      <c r="T777" s="1280"/>
      <c r="U777" s="1279"/>
      <c r="V777" s="1280"/>
      <c r="W777" s="1499"/>
      <c r="X777" s="1499"/>
      <c r="Y777" s="1280"/>
      <c r="Z777" s="1360"/>
      <c r="AA777" s="1055"/>
      <c r="AB777" s="1055"/>
      <c r="AC777" s="1055"/>
      <c r="AD777" s="971"/>
    </row>
    <row r="778" spans="1:30" ht="15.75" customHeight="1" outlineLevel="1">
      <c r="A778" s="1419" t="s">
        <v>3099</v>
      </c>
      <c r="B778" s="1366" t="s">
        <v>156</v>
      </c>
      <c r="C778" s="1416">
        <f t="shared" si="80"/>
        <v>0.15</v>
      </c>
      <c r="D778" s="1417">
        <f t="shared" si="81"/>
        <v>0.05</v>
      </c>
      <c r="E778" s="1367">
        <f>IF('Ввод данных'!A6=связи1!A95,(связи1!K206-'Ввод данных'!C16),0)+IF('Ввод данных'!A6=связи1!A96,связи1!K206,0)+IF('Ввод данных'!A6=связи1!A98,связи1!K206,0)</f>
        <v>0</v>
      </c>
      <c r="F778" s="1367">
        <f>2*IF('Ввод данных'!$C$155=связи1!$A$2,1,0)*IF('Ввод данных'!$F$194=связи1!$A$2,1,0)</f>
        <v>0</v>
      </c>
      <c r="G778" s="1368">
        <f t="shared" si="82"/>
        <v>0</v>
      </c>
      <c r="H778" s="1368"/>
      <c r="I778" s="1055"/>
      <c r="J778" s="1055"/>
      <c r="K778" s="1055"/>
      <c r="L778" s="1055"/>
      <c r="M778" s="1055"/>
      <c r="N778" s="1055"/>
      <c r="O778" s="1280"/>
      <c r="P778" s="1360"/>
      <c r="Q778" s="1360"/>
      <c r="R778" s="1360"/>
      <c r="S778" s="1055"/>
      <c r="T778" s="1280"/>
      <c r="U778" s="1279"/>
      <c r="V778" s="1280"/>
      <c r="W778" s="1499"/>
      <c r="X778" s="1499"/>
      <c r="Y778" s="1280"/>
      <c r="Z778" s="1360"/>
      <c r="AA778" s="1055"/>
      <c r="AB778" s="1055"/>
      <c r="AC778" s="1055"/>
      <c r="AD778" s="971"/>
    </row>
    <row r="779" spans="1:30" ht="15.75" customHeight="1" outlineLevel="1">
      <c r="A779" s="1419" t="s">
        <v>3100</v>
      </c>
      <c r="B779" s="1366" t="s">
        <v>156</v>
      </c>
      <c r="C779" s="1416">
        <f t="shared" si="80"/>
        <v>0.15</v>
      </c>
      <c r="D779" s="1417">
        <f t="shared" si="81"/>
        <v>0.05</v>
      </c>
      <c r="E779" s="1367">
        <f>IF(E778=0,0,IF('Ввод данных'!$A$6=связи1!$A$95,IF(E778&lt;=0,0,E778-дома!$K$633),0)+IF('Ввод данных'!$A$6=связи1!$A$96,IF(E778&lt;связи1!$K$207,0,E778-$K$633),0)+IF('Ввод данных'!$A$6=связи1!$A$98,IF(E778&lt;связи1!$K$207,0,E778-$K$633),0))</f>
        <v>0</v>
      </c>
      <c r="F779" s="1367">
        <f>2*IF('Ввод данных'!$C$155=связи1!$A$2,1,0)*IF('Ввод данных'!$F$194=связи1!$A$2,1,0)</f>
        <v>0</v>
      </c>
      <c r="G779" s="1368">
        <f t="shared" si="82"/>
        <v>0</v>
      </c>
      <c r="H779" s="1368"/>
      <c r="I779" s="1055"/>
      <c r="J779" s="1055"/>
      <c r="K779" s="1055"/>
      <c r="L779" s="1055"/>
      <c r="M779" s="1055"/>
      <c r="N779" s="1055"/>
      <c r="O779" s="1280"/>
      <c r="P779" s="1360"/>
      <c r="Q779" s="1360"/>
      <c r="R779" s="1360"/>
      <c r="S779" s="1055"/>
      <c r="T779" s="1280"/>
      <c r="U779" s="1279"/>
      <c r="V779" s="1280"/>
      <c r="W779" s="1499"/>
      <c r="X779" s="1499"/>
      <c r="Y779" s="1280"/>
      <c r="Z779" s="1360"/>
      <c r="AA779" s="1055"/>
      <c r="AB779" s="1055"/>
      <c r="AC779" s="1055"/>
      <c r="AD779" s="971"/>
    </row>
    <row r="780" spans="1:30" ht="15.75" customHeight="1" outlineLevel="1">
      <c r="A780" s="1419" t="s">
        <v>3101</v>
      </c>
      <c r="B780" s="1366" t="s">
        <v>156</v>
      </c>
      <c r="C780" s="1416">
        <f t="shared" ref="C780:C811" si="83">$C$143</f>
        <v>0.15</v>
      </c>
      <c r="D780" s="1417">
        <f t="shared" ref="D780:D811" si="84">$J$620</f>
        <v>0.05</v>
      </c>
      <c r="E780" s="1367">
        <f>IF(E779=0,0,IF('Ввод данных'!$A$6=связи1!$A$95,IF(E779&lt;=0,0,E779-дома!$K$633),0)+IF('Ввод данных'!$A$6=связи1!$A$96,IF(E779&lt;связи1!$K$207,0,E779-$K$633),0)+IF('Ввод данных'!$A$6=связи1!$A$98,IF(E779&lt;связи1!$K$207,0,E779-$K$633),0))</f>
        <v>0</v>
      </c>
      <c r="F780" s="1367">
        <f>2*IF('Ввод данных'!$C$155=связи1!$A$2,1,0)*IF('Ввод данных'!$F$194=связи1!$A$2,1,0)</f>
        <v>0</v>
      </c>
      <c r="G780" s="1368">
        <f t="shared" ref="G780:G811" si="85">C780*D780*E780*F780</f>
        <v>0</v>
      </c>
      <c r="H780" s="1368"/>
      <c r="I780" s="1055"/>
      <c r="J780" s="1055"/>
      <c r="K780" s="1055"/>
      <c r="L780" s="1055"/>
      <c r="M780" s="1055"/>
      <c r="N780" s="1055"/>
      <c r="O780" s="1280"/>
      <c r="P780" s="1360"/>
      <c r="Q780" s="1360"/>
      <c r="R780" s="1360"/>
      <c r="S780" s="1055"/>
      <c r="T780" s="1280"/>
      <c r="U780" s="1279"/>
      <c r="V780" s="1280"/>
      <c r="W780" s="1499"/>
      <c r="X780" s="1499"/>
      <c r="Y780" s="1280"/>
      <c r="Z780" s="1360"/>
      <c r="AA780" s="1055"/>
      <c r="AB780" s="1055"/>
      <c r="AC780" s="1055"/>
      <c r="AD780" s="971"/>
    </row>
    <row r="781" spans="1:30" ht="15.75" customHeight="1" outlineLevel="1">
      <c r="A781" s="1419" t="s">
        <v>3102</v>
      </c>
      <c r="B781" s="1366" t="s">
        <v>156</v>
      </c>
      <c r="C781" s="1416">
        <f t="shared" si="83"/>
        <v>0.15</v>
      </c>
      <c r="D781" s="1417">
        <f t="shared" si="84"/>
        <v>0.05</v>
      </c>
      <c r="E781" s="1367">
        <f>IF(E780=0,0,IF('Ввод данных'!$A$6=связи1!$A$95,IF(E780&lt;=0,0,E780-дома!$K$633),0)+IF('Ввод данных'!$A$6=связи1!$A$96,IF(E780&lt;связи1!$K$207,0,E780-$K$633),0)+IF('Ввод данных'!$A$6=связи1!$A$98,IF(E780&lt;связи1!$K$207,0,E780-$K$633),0))</f>
        <v>0</v>
      </c>
      <c r="F781" s="1367">
        <f>2*IF('Ввод данных'!$C$155=связи1!$A$2,1,0)*IF('Ввод данных'!$F$194=связи1!$A$2,1,0)</f>
        <v>0</v>
      </c>
      <c r="G781" s="1368">
        <f t="shared" si="85"/>
        <v>0</v>
      </c>
      <c r="H781" s="1368"/>
      <c r="I781" s="1055"/>
      <c r="J781" s="1055"/>
      <c r="K781" s="1055"/>
      <c r="L781" s="1055"/>
      <c r="M781" s="1055"/>
      <c r="N781" s="1055"/>
      <c r="O781" s="1280"/>
      <c r="P781" s="1360"/>
      <c r="Q781" s="1360"/>
      <c r="R781" s="1360"/>
      <c r="S781" s="1055"/>
      <c r="T781" s="1280"/>
      <c r="U781" s="1279"/>
      <c r="V781" s="1280"/>
      <c r="W781" s="1499"/>
      <c r="X781" s="1499"/>
      <c r="Y781" s="1280"/>
      <c r="Z781" s="1360"/>
      <c r="AA781" s="1055"/>
      <c r="AB781" s="1055"/>
      <c r="AC781" s="1055"/>
      <c r="AD781" s="971"/>
    </row>
    <row r="782" spans="1:30" ht="15.75" customHeight="1" outlineLevel="1">
      <c r="A782" s="1419" t="s">
        <v>3103</v>
      </c>
      <c r="B782" s="1366" t="s">
        <v>156</v>
      </c>
      <c r="C782" s="1416">
        <f t="shared" si="83"/>
        <v>0.15</v>
      </c>
      <c r="D782" s="1417">
        <f t="shared" si="84"/>
        <v>0.05</v>
      </c>
      <c r="E782" s="1367">
        <f>IF(E781=0,0,IF('Ввод данных'!$A$6=связи1!$A$95,IF(E781&lt;=0,0,E781-дома!$K$633),0)+IF('Ввод данных'!$A$6=связи1!$A$96,IF(E781&lt;связи1!$K$207,0,E781-$K$633),0)+IF('Ввод данных'!$A$6=связи1!$A$98,IF(E781&lt;связи1!$K$207,0,E781-$K$633),0))</f>
        <v>0</v>
      </c>
      <c r="F782" s="1367">
        <f>2*IF('Ввод данных'!$C$155=связи1!$A$2,1,0)*IF('Ввод данных'!$F$194=связи1!$A$2,1,0)</f>
        <v>0</v>
      </c>
      <c r="G782" s="1368">
        <f t="shared" si="85"/>
        <v>0</v>
      </c>
      <c r="H782" s="1368"/>
      <c r="I782" s="1055"/>
      <c r="J782" s="1055"/>
      <c r="K782" s="1055"/>
      <c r="L782" s="1055"/>
      <c r="M782" s="1055"/>
      <c r="N782" s="1055"/>
      <c r="O782" s="1280"/>
      <c r="P782" s="1360"/>
      <c r="Q782" s="1360"/>
      <c r="R782" s="1360"/>
      <c r="S782" s="1055"/>
      <c r="T782" s="1280"/>
      <c r="U782" s="1279"/>
      <c r="V782" s="1280"/>
      <c r="W782" s="1499"/>
      <c r="X782" s="1499"/>
      <c r="Y782" s="1280"/>
      <c r="Z782" s="1360"/>
      <c r="AA782" s="1055"/>
      <c r="AB782" s="1055"/>
      <c r="AC782" s="1055"/>
      <c r="AD782" s="971"/>
    </row>
    <row r="783" spans="1:30" ht="15.75" customHeight="1" outlineLevel="1">
      <c r="A783" s="1419" t="s">
        <v>3104</v>
      </c>
      <c r="B783" s="1366" t="s">
        <v>156</v>
      </c>
      <c r="C783" s="1416">
        <f t="shared" si="83"/>
        <v>0.15</v>
      </c>
      <c r="D783" s="1417">
        <f t="shared" si="84"/>
        <v>0.05</v>
      </c>
      <c r="E783" s="1367">
        <f>IF(E782=0,0,IF('Ввод данных'!$A$6=связи1!$A$95,IF(E782&lt;=0,0,E782-дома!$K$633),0)+IF('Ввод данных'!$A$6=связи1!$A$96,IF(E782&lt;связи1!$K$207,0,E782-$K$633),0)+IF('Ввод данных'!$A$6=связи1!$A$98,IF(E782&lt;связи1!$K$207,0,E782-$K$633),0))</f>
        <v>0</v>
      </c>
      <c r="F783" s="1367">
        <f>2*IF('Ввод данных'!$C$155=связи1!$A$2,1,0)*IF('Ввод данных'!$F$194=связи1!$A$2,1,0)</f>
        <v>0</v>
      </c>
      <c r="G783" s="1368">
        <f t="shared" si="85"/>
        <v>0</v>
      </c>
      <c r="H783" s="1368"/>
      <c r="I783" s="1055"/>
      <c r="J783" s="1055"/>
      <c r="K783" s="1055"/>
      <c r="L783" s="1055"/>
      <c r="M783" s="1055"/>
      <c r="N783" s="1055"/>
      <c r="O783" s="1280"/>
      <c r="P783" s="1360"/>
      <c r="Q783" s="1360"/>
      <c r="R783" s="1360"/>
      <c r="S783" s="1055"/>
      <c r="T783" s="1280"/>
      <c r="U783" s="1279"/>
      <c r="V783" s="1280"/>
      <c r="W783" s="1499"/>
      <c r="X783" s="1499"/>
      <c r="Y783" s="1280"/>
      <c r="Z783" s="1360"/>
      <c r="AA783" s="1055"/>
      <c r="AB783" s="1055"/>
      <c r="AC783" s="1055"/>
      <c r="AD783" s="971"/>
    </row>
    <row r="784" spans="1:30" ht="15.75" customHeight="1" outlineLevel="1">
      <c r="A784" s="1419" t="s">
        <v>3105</v>
      </c>
      <c r="B784" s="1366" t="s">
        <v>156</v>
      </c>
      <c r="C784" s="1416">
        <f t="shared" si="83"/>
        <v>0.15</v>
      </c>
      <c r="D784" s="1417">
        <f t="shared" si="84"/>
        <v>0.05</v>
      </c>
      <c r="E784" s="1367">
        <f>IF(E783=0,0,IF('Ввод данных'!$A$6=связи1!$A$95,IF(E783&lt;=0,0,E783-дома!$K$633),0)+IF('Ввод данных'!$A$6=связи1!$A$96,IF(E783&lt;связи1!$K$207,0,E783-$K$633),0)+IF('Ввод данных'!$A$6=связи1!$A$98,IF(E783&lt;связи1!$K$207,0,E783-$K$633),0))</f>
        <v>0</v>
      </c>
      <c r="F784" s="1367">
        <f>2*IF('Ввод данных'!$C$155=связи1!$A$2,1,0)*IF('Ввод данных'!$F$194=связи1!$A$2,1,0)</f>
        <v>0</v>
      </c>
      <c r="G784" s="1368">
        <f t="shared" si="85"/>
        <v>0</v>
      </c>
      <c r="H784" s="1368"/>
      <c r="I784" s="1055"/>
      <c r="J784" s="1055"/>
      <c r="K784" s="1055"/>
      <c r="L784" s="1055"/>
      <c r="M784" s="1055"/>
      <c r="N784" s="1055"/>
      <c r="O784" s="1280"/>
      <c r="P784" s="1360"/>
      <c r="Q784" s="1360"/>
      <c r="R784" s="1360"/>
      <c r="S784" s="1055"/>
      <c r="T784" s="1280"/>
      <c r="U784" s="1279"/>
      <c r="V784" s="1280"/>
      <c r="W784" s="1499"/>
      <c r="X784" s="1499"/>
      <c r="Y784" s="1280"/>
      <c r="Z784" s="1360"/>
      <c r="AA784" s="1055"/>
      <c r="AB784" s="1055"/>
      <c r="AC784" s="1055"/>
      <c r="AD784" s="971"/>
    </row>
    <row r="785" spans="1:30" ht="15.75" customHeight="1" outlineLevel="1">
      <c r="A785" s="1419" t="s">
        <v>3106</v>
      </c>
      <c r="B785" s="1366" t="s">
        <v>156</v>
      </c>
      <c r="C785" s="1416">
        <f t="shared" si="83"/>
        <v>0.15</v>
      </c>
      <c r="D785" s="1417">
        <f t="shared" si="84"/>
        <v>0.05</v>
      </c>
      <c r="E785" s="1367">
        <f>IF(E784=0,0,IF('Ввод данных'!$A$6=связи1!$A$95,IF(E784&lt;=0,0,E784-дома!$K$633),0)+IF('Ввод данных'!$A$6=связи1!$A$96,IF(E784&lt;связи1!$K$207,0,E784-$K$633),0)+IF('Ввод данных'!$A$6=связи1!$A$98,IF(E784&lt;связи1!$K$207,0,E784-$K$633),0))</f>
        <v>0</v>
      </c>
      <c r="F785" s="1367">
        <f>2*IF('Ввод данных'!$C$155=связи1!$A$2,1,0)*IF('Ввод данных'!$F$194=связи1!$A$2,1,0)</f>
        <v>0</v>
      </c>
      <c r="G785" s="1368">
        <f t="shared" si="85"/>
        <v>0</v>
      </c>
      <c r="H785" s="1368"/>
      <c r="I785" s="1055"/>
      <c r="J785" s="1055"/>
      <c r="K785" s="1055"/>
      <c r="L785" s="1055"/>
      <c r="M785" s="1055"/>
      <c r="N785" s="1055"/>
      <c r="O785" s="1280"/>
      <c r="P785" s="1360"/>
      <c r="Q785" s="1360"/>
      <c r="R785" s="1360"/>
      <c r="S785" s="1055"/>
      <c r="T785" s="1280"/>
      <c r="U785" s="1279"/>
      <c r="V785" s="1280"/>
      <c r="W785" s="1499"/>
      <c r="X785" s="1499"/>
      <c r="Y785" s="1280"/>
      <c r="Z785" s="1360"/>
      <c r="AA785" s="1055"/>
      <c r="AB785" s="1055"/>
      <c r="AC785" s="1055"/>
      <c r="AD785" s="971"/>
    </row>
    <row r="786" spans="1:30" ht="15.75" customHeight="1" outlineLevel="1">
      <c r="A786" s="1419" t="s">
        <v>3107</v>
      </c>
      <c r="B786" s="1366" t="s">
        <v>156</v>
      </c>
      <c r="C786" s="1416">
        <f t="shared" si="83"/>
        <v>0.15</v>
      </c>
      <c r="D786" s="1417">
        <f t="shared" si="84"/>
        <v>0.05</v>
      </c>
      <c r="E786" s="1367">
        <f>IF(E785=0,0,IF('Ввод данных'!$A$6=связи1!$A$95,IF(E785&lt;=0,0,E785-дома!$K$633),0)+IF('Ввод данных'!$A$6=связи1!$A$96,IF(E785&lt;связи1!$K$207,0,E785-$K$633),0)+IF('Ввод данных'!$A$6=связи1!$A$98,IF(E785&lt;связи1!$K$207,0,E785-$K$633),0))</f>
        <v>0</v>
      </c>
      <c r="F786" s="1367">
        <f>2*IF('Ввод данных'!$C$155=связи1!$A$2,1,0)*IF('Ввод данных'!$F$194=связи1!$A$2,1,0)</f>
        <v>0</v>
      </c>
      <c r="G786" s="1368">
        <f t="shared" si="85"/>
        <v>0</v>
      </c>
      <c r="H786" s="1368"/>
      <c r="I786" s="1055"/>
      <c r="J786" s="1055"/>
      <c r="K786" s="1055"/>
      <c r="L786" s="1055"/>
      <c r="M786" s="1055"/>
      <c r="N786" s="1055"/>
      <c r="O786" s="1280"/>
      <c r="P786" s="1360"/>
      <c r="Q786" s="1360"/>
      <c r="R786" s="1360"/>
      <c r="S786" s="1055"/>
      <c r="T786" s="1280"/>
      <c r="U786" s="1279"/>
      <c r="V786" s="1280"/>
      <c r="W786" s="1499"/>
      <c r="X786" s="1499"/>
      <c r="Y786" s="1280"/>
      <c r="Z786" s="1360"/>
      <c r="AA786" s="1055"/>
      <c r="AB786" s="1055"/>
      <c r="AC786" s="1055"/>
      <c r="AD786" s="971"/>
    </row>
    <row r="787" spans="1:30" ht="15.75" customHeight="1" outlineLevel="1">
      <c r="A787" s="1419" t="s">
        <v>3108</v>
      </c>
      <c r="B787" s="1366" t="s">
        <v>156</v>
      </c>
      <c r="C787" s="1416">
        <f t="shared" si="83"/>
        <v>0.15</v>
      </c>
      <c r="D787" s="1417">
        <f t="shared" si="84"/>
        <v>0.05</v>
      </c>
      <c r="E787" s="1367">
        <f>IF(E786=0,0,IF('Ввод данных'!$A$6=связи1!$A$95,IF(E786&lt;=0,0,E786-дома!$K$633),0)+IF('Ввод данных'!$A$6=связи1!$A$96,IF(E786&lt;связи1!$K$207,0,E786-$K$633),0)+IF('Ввод данных'!$A$6=связи1!$A$98,IF(E786&lt;связи1!$K$207,0,E786-$K$633),0))</f>
        <v>0</v>
      </c>
      <c r="F787" s="1367">
        <f>2*IF('Ввод данных'!$C$155=связи1!$A$2,1,0)*IF('Ввод данных'!$F$194=связи1!$A$2,1,0)</f>
        <v>0</v>
      </c>
      <c r="G787" s="1368">
        <f t="shared" si="85"/>
        <v>0</v>
      </c>
      <c r="H787" s="1368"/>
      <c r="I787" s="1055"/>
      <c r="J787" s="1055"/>
      <c r="K787" s="1055"/>
      <c r="L787" s="1055"/>
      <c r="M787" s="1055"/>
      <c r="N787" s="1055"/>
      <c r="O787" s="1280"/>
      <c r="P787" s="1360"/>
      <c r="Q787" s="1360"/>
      <c r="R787" s="1360"/>
      <c r="S787" s="1055"/>
      <c r="T787" s="1280"/>
      <c r="U787" s="1279"/>
      <c r="V787" s="1280"/>
      <c r="W787" s="1499"/>
      <c r="X787" s="1499"/>
      <c r="Y787" s="1280"/>
      <c r="Z787" s="1360"/>
      <c r="AA787" s="1055"/>
      <c r="AB787" s="1055"/>
      <c r="AC787" s="1055"/>
      <c r="AD787" s="971"/>
    </row>
    <row r="788" spans="1:30" ht="15.75" customHeight="1" outlineLevel="1">
      <c r="A788" s="1419" t="s">
        <v>3109</v>
      </c>
      <c r="B788" s="1366" t="s">
        <v>156</v>
      </c>
      <c r="C788" s="1416">
        <f t="shared" si="83"/>
        <v>0.15</v>
      </c>
      <c r="D788" s="1417">
        <f t="shared" si="84"/>
        <v>0.05</v>
      </c>
      <c r="E788" s="1367">
        <f>IF(E787=0,0,IF('Ввод данных'!$A$6=связи1!$A$95,IF(E787&lt;=0,0,E787-дома!$K$633),0)+IF('Ввод данных'!$A$6=связи1!$A$96,IF(E787&lt;связи1!$K$207,0,E787-$K$633),0)+IF('Ввод данных'!$A$6=связи1!$A$98,IF(E787&lt;связи1!$K$207,0,E787-$K$633),0))</f>
        <v>0</v>
      </c>
      <c r="F788" s="1367">
        <f>2*IF('Ввод данных'!$C$155=связи1!$A$2,1,0)*IF('Ввод данных'!$F$194=связи1!$A$2,1,0)</f>
        <v>0</v>
      </c>
      <c r="G788" s="1368">
        <f t="shared" si="85"/>
        <v>0</v>
      </c>
      <c r="H788" s="1368"/>
      <c r="I788" s="1055"/>
      <c r="J788" s="1055"/>
      <c r="K788" s="1055"/>
      <c r="L788" s="1055"/>
      <c r="M788" s="1055"/>
      <c r="N788" s="1055"/>
      <c r="O788" s="1280"/>
      <c r="P788" s="1360"/>
      <c r="Q788" s="1360"/>
      <c r="R788" s="1360"/>
      <c r="S788" s="1055"/>
      <c r="T788" s="1280"/>
      <c r="U788" s="1279"/>
      <c r="V788" s="1280"/>
      <c r="W788" s="1499"/>
      <c r="X788" s="1499"/>
      <c r="Y788" s="1280"/>
      <c r="Z788" s="1360"/>
      <c r="AA788" s="1055"/>
      <c r="AB788" s="1055"/>
      <c r="AC788" s="1055"/>
      <c r="AD788" s="971"/>
    </row>
    <row r="789" spans="1:30" ht="15.75" customHeight="1" outlineLevel="1">
      <c r="A789" s="1419" t="s">
        <v>3110</v>
      </c>
      <c r="B789" s="1366" t="s">
        <v>156</v>
      </c>
      <c r="C789" s="1416">
        <f t="shared" si="83"/>
        <v>0.15</v>
      </c>
      <c r="D789" s="1417">
        <f t="shared" si="84"/>
        <v>0.05</v>
      </c>
      <c r="E789" s="1367">
        <f>IF(E788=0,0,IF('Ввод данных'!$A$6=связи1!$A$95,IF(E788&lt;=0,0,E788-дома!$K$633),0)+IF('Ввод данных'!$A$6=связи1!$A$96,IF(E788&lt;связи1!$K$207,0,E788-$K$633),0)+IF('Ввод данных'!$A$6=связи1!$A$98,IF(E788&lt;связи1!$K$207,0,E788-$K$633),0))</f>
        <v>0</v>
      </c>
      <c r="F789" s="1367">
        <f>2*IF('Ввод данных'!$C$155=связи1!$A$2,1,0)*IF('Ввод данных'!$F$194=связи1!$A$2,1,0)</f>
        <v>0</v>
      </c>
      <c r="G789" s="1368">
        <f t="shared" si="85"/>
        <v>0</v>
      </c>
      <c r="H789" s="1368"/>
      <c r="I789" s="1055"/>
      <c r="J789" s="1055"/>
      <c r="K789" s="1055"/>
      <c r="L789" s="1055"/>
      <c r="M789" s="1055"/>
      <c r="N789" s="1055"/>
      <c r="O789" s="1280"/>
      <c r="P789" s="1360"/>
      <c r="Q789" s="1360"/>
      <c r="R789" s="1360"/>
      <c r="S789" s="1055"/>
      <c r="T789" s="1280"/>
      <c r="U789" s="1279"/>
      <c r="V789" s="1280"/>
      <c r="W789" s="1499"/>
      <c r="X789" s="1499"/>
      <c r="Y789" s="1280"/>
      <c r="Z789" s="1360"/>
      <c r="AA789" s="1055"/>
      <c r="AB789" s="1055"/>
      <c r="AC789" s="1055"/>
      <c r="AD789" s="971"/>
    </row>
    <row r="790" spans="1:30" ht="15.75" customHeight="1" outlineLevel="1">
      <c r="A790" s="1419" t="s">
        <v>3111</v>
      </c>
      <c r="B790" s="1366" t="s">
        <v>156</v>
      </c>
      <c r="C790" s="1416">
        <f t="shared" si="83"/>
        <v>0.15</v>
      </c>
      <c r="D790" s="1417">
        <f t="shared" si="84"/>
        <v>0.05</v>
      </c>
      <c r="E790" s="1367">
        <f>IF(E789=0,0,IF('Ввод данных'!$A$6=связи1!$A$95,IF(E789&lt;=0,0,E789-дома!$K$633),0)+IF('Ввод данных'!$A$6=связи1!$A$96,IF(E789&lt;связи1!$K$207,0,E789-$K$633),0)+IF('Ввод данных'!$A$6=связи1!$A$98,IF(E789&lt;связи1!$K$207,0,E789-$K$633),0))</f>
        <v>0</v>
      </c>
      <c r="F790" s="1367">
        <f>2*IF('Ввод данных'!$C$155=связи1!$A$2,1,0)*IF('Ввод данных'!$F$194=связи1!$A$2,1,0)</f>
        <v>0</v>
      </c>
      <c r="G790" s="1368">
        <f t="shared" si="85"/>
        <v>0</v>
      </c>
      <c r="H790" s="1368"/>
      <c r="I790" s="1055"/>
      <c r="J790" s="1055"/>
      <c r="K790" s="1055"/>
      <c r="L790" s="1055"/>
      <c r="M790" s="1055"/>
      <c r="N790" s="1055"/>
      <c r="O790" s="1280"/>
      <c r="P790" s="1360"/>
      <c r="Q790" s="1360"/>
      <c r="R790" s="1360"/>
      <c r="S790" s="1055"/>
      <c r="T790" s="1280"/>
      <c r="U790" s="1279"/>
      <c r="V790" s="1280"/>
      <c r="W790" s="1499"/>
      <c r="X790" s="1499"/>
      <c r="Y790" s="1280"/>
      <c r="Z790" s="1360"/>
      <c r="AA790" s="1055"/>
      <c r="AB790" s="1055"/>
      <c r="AC790" s="1055"/>
      <c r="AD790" s="971"/>
    </row>
    <row r="791" spans="1:30" ht="15.75" customHeight="1" outlineLevel="1">
      <c r="A791" s="1419" t="s">
        <v>3112</v>
      </c>
      <c r="B791" s="1366" t="s">
        <v>156</v>
      </c>
      <c r="C791" s="1416">
        <f t="shared" si="83"/>
        <v>0.15</v>
      </c>
      <c r="D791" s="1417">
        <f t="shared" si="84"/>
        <v>0.05</v>
      </c>
      <c r="E791" s="1367">
        <f>IF(E790=0,0,IF('Ввод данных'!$A$6=связи1!$A$95,IF(E790&lt;=0,0,E790-дома!$K$633),0)+IF('Ввод данных'!$A$6=связи1!$A$96,IF(E790&lt;связи1!$K$207,0,E790-$K$633),0)+IF('Ввод данных'!$A$6=связи1!$A$98,IF(E790&lt;связи1!$K$207,0,E790-$K$633),0))</f>
        <v>0</v>
      </c>
      <c r="F791" s="1367">
        <f>2*IF('Ввод данных'!$C$155=связи1!$A$2,1,0)*IF('Ввод данных'!$F$194=связи1!$A$2,1,0)</f>
        <v>0</v>
      </c>
      <c r="G791" s="1368">
        <f t="shared" si="85"/>
        <v>0</v>
      </c>
      <c r="H791" s="1368"/>
      <c r="I791" s="1055"/>
      <c r="J791" s="1055"/>
      <c r="K791" s="1055"/>
      <c r="L791" s="1055"/>
      <c r="M791" s="1055"/>
      <c r="N791" s="1055"/>
      <c r="O791" s="1280"/>
      <c r="P791" s="1360"/>
      <c r="Q791" s="1360"/>
      <c r="R791" s="1360"/>
      <c r="S791" s="1055"/>
      <c r="T791" s="1280"/>
      <c r="U791" s="1279"/>
      <c r="V791" s="1280"/>
      <c r="W791" s="1499"/>
      <c r="X791" s="1499"/>
      <c r="Y791" s="1280"/>
      <c r="Z791" s="1360"/>
      <c r="AA791" s="1055"/>
      <c r="AB791" s="1055"/>
      <c r="AC791" s="1055"/>
      <c r="AD791" s="971"/>
    </row>
    <row r="792" spans="1:30" ht="15.75" customHeight="1" outlineLevel="1">
      <c r="A792" s="1419" t="s">
        <v>3113</v>
      </c>
      <c r="B792" s="1366" t="s">
        <v>156</v>
      </c>
      <c r="C792" s="1416">
        <f t="shared" si="83"/>
        <v>0.15</v>
      </c>
      <c r="D792" s="1417">
        <f t="shared" si="84"/>
        <v>0.05</v>
      </c>
      <c r="E792" s="1367">
        <f>IF(E791=0,0,IF('Ввод данных'!$A$6=связи1!$A$95,IF(E791&lt;=0,0,E791-дома!$K$633),0)+IF('Ввод данных'!$A$6=связи1!$A$96,IF(E791&lt;связи1!$K$207,0,E791-$K$633),0)+IF('Ввод данных'!$A$6=связи1!$A$98,IF(E791&lt;связи1!$K$207,0,E791-$K$633),0))</f>
        <v>0</v>
      </c>
      <c r="F792" s="1367">
        <f>2*IF('Ввод данных'!$C$155=связи1!$A$2,1,0)*IF('Ввод данных'!$F$194=связи1!$A$2,1,0)</f>
        <v>0</v>
      </c>
      <c r="G792" s="1368">
        <f t="shared" si="85"/>
        <v>0</v>
      </c>
      <c r="H792" s="1368"/>
      <c r="I792" s="1055"/>
      <c r="J792" s="1055"/>
      <c r="K792" s="1055"/>
      <c r="L792" s="1055"/>
      <c r="M792" s="1055"/>
      <c r="N792" s="1055"/>
      <c r="O792" s="1280"/>
      <c r="P792" s="1360"/>
      <c r="Q792" s="1360"/>
      <c r="R792" s="1360"/>
      <c r="S792" s="1055"/>
      <c r="T792" s="1280"/>
      <c r="U792" s="1279"/>
      <c r="V792" s="1280"/>
      <c r="W792" s="1499"/>
      <c r="X792" s="1499"/>
      <c r="Y792" s="1280"/>
      <c r="Z792" s="1360"/>
      <c r="AA792" s="1055"/>
      <c r="AB792" s="1055"/>
      <c r="AC792" s="1055"/>
      <c r="AD792" s="971"/>
    </row>
    <row r="793" spans="1:30" ht="15.75" customHeight="1" outlineLevel="1">
      <c r="A793" s="1419" t="s">
        <v>3114</v>
      </c>
      <c r="B793" s="1366" t="s">
        <v>156</v>
      </c>
      <c r="C793" s="1416">
        <f t="shared" si="83"/>
        <v>0.15</v>
      </c>
      <c r="D793" s="1417">
        <f t="shared" si="84"/>
        <v>0.05</v>
      </c>
      <c r="E793" s="1367">
        <f>IF(E792=0,0,IF('Ввод данных'!$A$6=связи1!$A$95,IF(E792&lt;=0,0,E792-дома!$K$633),0)+IF('Ввод данных'!$A$6=связи1!$A$96,IF(E792&lt;связи1!$K$207,0,E792-$K$633),0)+IF('Ввод данных'!$A$6=связи1!$A$98,IF(E792&lt;связи1!$K$207,0,E792-$K$633),0))</f>
        <v>0</v>
      </c>
      <c r="F793" s="1367">
        <f>2*IF('Ввод данных'!$C$155=связи1!$A$2,1,0)*IF('Ввод данных'!$F$194=связи1!$A$2,1,0)</f>
        <v>0</v>
      </c>
      <c r="G793" s="1368">
        <f t="shared" si="85"/>
        <v>0</v>
      </c>
      <c r="H793" s="1368"/>
      <c r="I793" s="1055"/>
      <c r="J793" s="1055"/>
      <c r="K793" s="1055"/>
      <c r="L793" s="1055"/>
      <c r="M793" s="1055"/>
      <c r="N793" s="1055"/>
      <c r="O793" s="1280"/>
      <c r="P793" s="1360"/>
      <c r="Q793" s="1360"/>
      <c r="R793" s="1360"/>
      <c r="S793" s="1055"/>
      <c r="T793" s="1280"/>
      <c r="U793" s="1279"/>
      <c r="V793" s="1280"/>
      <c r="W793" s="1499"/>
      <c r="X793" s="1499"/>
      <c r="Y793" s="1280"/>
      <c r="Z793" s="1360"/>
      <c r="AA793" s="1055"/>
      <c r="AB793" s="1055"/>
      <c r="AC793" s="1055"/>
      <c r="AD793" s="971"/>
    </row>
    <row r="794" spans="1:30" ht="15.75" customHeight="1" outlineLevel="1">
      <c r="A794" s="1419" t="s">
        <v>3115</v>
      </c>
      <c r="B794" s="1366" t="s">
        <v>156</v>
      </c>
      <c r="C794" s="1416">
        <f t="shared" si="83"/>
        <v>0.15</v>
      </c>
      <c r="D794" s="1417">
        <f t="shared" si="84"/>
        <v>0.05</v>
      </c>
      <c r="E794" s="1367">
        <f>IF(E793=0,0,IF('Ввод данных'!$A$6=связи1!$A$95,IF(E793&lt;=0,0,E793-дома!$K$633),0)+IF('Ввод данных'!$A$6=связи1!$A$96,IF(E793&lt;связи1!$K$207,0,E793-$K$633),0)+IF('Ввод данных'!$A$6=связи1!$A$98,IF(E793&lt;связи1!$K$207,0,E793-$K$633),0))</f>
        <v>0</v>
      </c>
      <c r="F794" s="1367">
        <f>2*IF('Ввод данных'!$C$155=связи1!$A$2,1,0)*IF('Ввод данных'!$F$194=связи1!$A$2,1,0)</f>
        <v>0</v>
      </c>
      <c r="G794" s="1368">
        <f t="shared" si="85"/>
        <v>0</v>
      </c>
      <c r="H794" s="1368"/>
      <c r="I794" s="1055"/>
      <c r="J794" s="1055"/>
      <c r="K794" s="1055"/>
      <c r="L794" s="1055"/>
      <c r="M794" s="1055"/>
      <c r="N794" s="1055"/>
      <c r="O794" s="1280"/>
      <c r="P794" s="1360"/>
      <c r="Q794" s="1360"/>
      <c r="R794" s="1360"/>
      <c r="S794" s="1055"/>
      <c r="T794" s="1280"/>
      <c r="U794" s="1279"/>
      <c r="V794" s="1280"/>
      <c r="W794" s="1499"/>
      <c r="X794" s="1499"/>
      <c r="Y794" s="1280"/>
      <c r="Z794" s="1360"/>
      <c r="AA794" s="1055"/>
      <c r="AB794" s="1055"/>
      <c r="AC794" s="1055"/>
      <c r="AD794" s="971"/>
    </row>
    <row r="795" spans="1:30" ht="15.75" customHeight="1" outlineLevel="1">
      <c r="A795" s="1419" t="s">
        <v>3116</v>
      </c>
      <c r="B795" s="1366" t="s">
        <v>156</v>
      </c>
      <c r="C795" s="1416">
        <f t="shared" si="83"/>
        <v>0.15</v>
      </c>
      <c r="D795" s="1417">
        <f t="shared" si="84"/>
        <v>0.05</v>
      </c>
      <c r="E795" s="1367">
        <f>IF(E794=0,0,IF('Ввод данных'!$A$6=связи1!$A$95,IF(E794&lt;=0,0,E794-дома!$K$633),0)+IF('Ввод данных'!$A$6=связи1!$A$96,IF(E794&lt;связи1!$K$207,0,E794-$K$633),0)+IF('Ввод данных'!$A$6=связи1!$A$98,IF(E794&lt;связи1!$K$207,0,E794-$K$633),0))</f>
        <v>0</v>
      </c>
      <c r="F795" s="1367">
        <f>2*IF('Ввод данных'!$C$155=связи1!$A$2,1,0)*IF('Ввод данных'!$F$194=связи1!$A$2,1,0)</f>
        <v>0</v>
      </c>
      <c r="G795" s="1368">
        <f t="shared" si="85"/>
        <v>0</v>
      </c>
      <c r="H795" s="1368"/>
      <c r="I795" s="1055"/>
      <c r="J795" s="1055"/>
      <c r="K795" s="1055"/>
      <c r="L795" s="1055"/>
      <c r="M795" s="1055"/>
      <c r="N795" s="1055"/>
      <c r="O795" s="1280"/>
      <c r="P795" s="1360"/>
      <c r="Q795" s="1360"/>
      <c r="R795" s="1360"/>
      <c r="S795" s="1055"/>
      <c r="T795" s="1280"/>
      <c r="U795" s="1279"/>
      <c r="V795" s="1280"/>
      <c r="W795" s="1499"/>
      <c r="X795" s="1499"/>
      <c r="Y795" s="1280"/>
      <c r="Z795" s="1360"/>
      <c r="AA795" s="1055"/>
      <c r="AB795" s="1055"/>
      <c r="AC795" s="1055"/>
      <c r="AD795" s="971"/>
    </row>
    <row r="796" spans="1:30" ht="15.75" customHeight="1" outlineLevel="1">
      <c r="A796" s="1419" t="s">
        <v>3117</v>
      </c>
      <c r="B796" s="1366" t="s">
        <v>156</v>
      </c>
      <c r="C796" s="1416">
        <f t="shared" si="83"/>
        <v>0.15</v>
      </c>
      <c r="D796" s="1417">
        <f t="shared" si="84"/>
        <v>0.05</v>
      </c>
      <c r="E796" s="1367">
        <f>IF(E795=0,0,IF('Ввод данных'!$A$6=связи1!$A$95,IF(E795&lt;=0,0,E795-дома!$K$633),0)+IF('Ввод данных'!$A$6=связи1!$A$96,IF(E795&lt;связи1!$K$207,0,E795-$K$633),0)+IF('Ввод данных'!$A$6=связи1!$A$98,IF(E795&lt;связи1!$K$207,0,E795-$K$633),0))</f>
        <v>0</v>
      </c>
      <c r="F796" s="1367">
        <f>2*IF('Ввод данных'!$C$155=связи1!$A$2,1,0)*IF('Ввод данных'!$F$194=связи1!$A$2,1,0)</f>
        <v>0</v>
      </c>
      <c r="G796" s="1368">
        <f t="shared" si="85"/>
        <v>0</v>
      </c>
      <c r="H796" s="1368"/>
      <c r="I796" s="1055"/>
      <c r="J796" s="1055"/>
      <c r="K796" s="1055"/>
      <c r="L796" s="1055"/>
      <c r="M796" s="1055"/>
      <c r="N796" s="1055"/>
      <c r="O796" s="1280"/>
      <c r="P796" s="1360"/>
      <c r="Q796" s="1360"/>
      <c r="R796" s="1360"/>
      <c r="S796" s="1055"/>
      <c r="T796" s="1280"/>
      <c r="U796" s="1279"/>
      <c r="V796" s="1280"/>
      <c r="W796" s="1499"/>
      <c r="X796" s="1499"/>
      <c r="Y796" s="1280"/>
      <c r="Z796" s="1360"/>
      <c r="AA796" s="1055"/>
      <c r="AB796" s="1055"/>
      <c r="AC796" s="1055"/>
      <c r="AD796" s="971"/>
    </row>
    <row r="797" spans="1:30" ht="15.75" customHeight="1" outlineLevel="1">
      <c r="A797" s="1419" t="s">
        <v>3118</v>
      </c>
      <c r="B797" s="1366" t="s">
        <v>156</v>
      </c>
      <c r="C797" s="1416">
        <f t="shared" si="83"/>
        <v>0.15</v>
      </c>
      <c r="D797" s="1417">
        <f t="shared" si="84"/>
        <v>0.05</v>
      </c>
      <c r="E797" s="1367">
        <f>IF(E796=0,0,IF('Ввод данных'!$A$6=связи1!$A$95,IF(E796&lt;=0,0,E796-дома!$K$633),0)+IF('Ввод данных'!$A$6=связи1!$A$96,IF(E796&lt;связи1!$K$207,0,E796-$K$633),0)+IF('Ввод данных'!$A$6=связи1!$A$98,IF(E796&lt;связи1!$K$207,0,E796-$K$633),0))</f>
        <v>0</v>
      </c>
      <c r="F797" s="1367">
        <f>2*IF('Ввод данных'!$C$155=связи1!$A$2,1,0)*IF('Ввод данных'!$F$194=связи1!$A$2,1,0)</f>
        <v>0</v>
      </c>
      <c r="G797" s="1368">
        <f t="shared" si="85"/>
        <v>0</v>
      </c>
      <c r="H797" s="1368"/>
      <c r="I797" s="1055"/>
      <c r="J797" s="1055"/>
      <c r="K797" s="1055"/>
      <c r="L797" s="1055"/>
      <c r="M797" s="1055"/>
      <c r="N797" s="1055"/>
      <c r="O797" s="1280"/>
      <c r="P797" s="1360"/>
      <c r="Q797" s="1360"/>
      <c r="R797" s="1360"/>
      <c r="S797" s="1055"/>
      <c r="T797" s="1280"/>
      <c r="U797" s="1279"/>
      <c r="V797" s="1280"/>
      <c r="W797" s="1499"/>
      <c r="X797" s="1499"/>
      <c r="Y797" s="1280"/>
      <c r="Z797" s="1360"/>
      <c r="AA797" s="1055"/>
      <c r="AB797" s="1055"/>
      <c r="AC797" s="1055"/>
      <c r="AD797" s="971"/>
    </row>
    <row r="798" spans="1:30" ht="15.75" customHeight="1" outlineLevel="1">
      <c r="A798" s="1419" t="s">
        <v>3119</v>
      </c>
      <c r="B798" s="1366" t="s">
        <v>156</v>
      </c>
      <c r="C798" s="1416">
        <f t="shared" si="83"/>
        <v>0.15</v>
      </c>
      <c r="D798" s="1417">
        <f t="shared" si="84"/>
        <v>0.05</v>
      </c>
      <c r="E798" s="1367">
        <f>IF(E797=0,0,IF('Ввод данных'!$A$6=связи1!$A$95,IF(E797&lt;=0,0,E797-дома!$K$633),0)+IF('Ввод данных'!$A$6=связи1!$A$96,IF(E797&lt;связи1!$K$207,0,E797-$K$633),0)+IF('Ввод данных'!$A$6=связи1!$A$98,IF(E797&lt;связи1!$K$207,0,E797-$K$633),0))</f>
        <v>0</v>
      </c>
      <c r="F798" s="1367">
        <f>2*IF('Ввод данных'!$C$155=связи1!$A$2,1,0)*IF('Ввод данных'!$F$194=связи1!$A$2,1,0)</f>
        <v>0</v>
      </c>
      <c r="G798" s="1368">
        <f t="shared" si="85"/>
        <v>0</v>
      </c>
      <c r="H798" s="1368"/>
      <c r="I798" s="1055"/>
      <c r="J798" s="1055"/>
      <c r="K798" s="1055"/>
      <c r="L798" s="1055"/>
      <c r="M798" s="1055"/>
      <c r="N798" s="1055"/>
      <c r="O798" s="1280"/>
      <c r="P798" s="1360"/>
      <c r="Q798" s="1360"/>
      <c r="R798" s="1360"/>
      <c r="S798" s="1055"/>
      <c r="T798" s="1280"/>
      <c r="U798" s="1279"/>
      <c r="V798" s="1280"/>
      <c r="W798" s="1499"/>
      <c r="X798" s="1499"/>
      <c r="Y798" s="1280"/>
      <c r="Z798" s="1360"/>
      <c r="AA798" s="1055"/>
      <c r="AB798" s="1055"/>
      <c r="AC798" s="1055"/>
      <c r="AD798" s="971"/>
    </row>
    <row r="799" spans="1:30" ht="15.75" customHeight="1" outlineLevel="1">
      <c r="A799" s="1419" t="s">
        <v>3120</v>
      </c>
      <c r="B799" s="1366" t="s">
        <v>156</v>
      </c>
      <c r="C799" s="1416">
        <f t="shared" si="83"/>
        <v>0.15</v>
      </c>
      <c r="D799" s="1417">
        <f t="shared" si="84"/>
        <v>0.05</v>
      </c>
      <c r="E799" s="1367">
        <f>IF(E798=0,0,IF('Ввод данных'!$A$6=связи1!$A$95,IF(E798&lt;=0,0,E798-дома!$K$633),0)+IF('Ввод данных'!$A$6=связи1!$A$96,IF(E798&lt;связи1!$K$207,0,E798-$K$633),0)+IF('Ввод данных'!$A$6=связи1!$A$98,IF(E798&lt;связи1!$K$207,0,E798-$K$633),0))</f>
        <v>0</v>
      </c>
      <c r="F799" s="1367">
        <f>2*IF('Ввод данных'!$C$155=связи1!$A$2,1,0)*IF('Ввод данных'!$F$194=связи1!$A$2,1,0)</f>
        <v>0</v>
      </c>
      <c r="G799" s="1368">
        <f t="shared" si="85"/>
        <v>0</v>
      </c>
      <c r="H799" s="1368"/>
      <c r="I799" s="1055"/>
      <c r="J799" s="1055"/>
      <c r="K799" s="1055"/>
      <c r="L799" s="1055"/>
      <c r="M799" s="1055"/>
      <c r="N799" s="1055"/>
      <c r="O799" s="1280"/>
      <c r="P799" s="1360"/>
      <c r="Q799" s="1360"/>
      <c r="R799" s="1360"/>
      <c r="S799" s="1055"/>
      <c r="T799" s="1280"/>
      <c r="U799" s="1279"/>
      <c r="V799" s="1280"/>
      <c r="W799" s="1499"/>
      <c r="X799" s="1499"/>
      <c r="Y799" s="1280"/>
      <c r="Z799" s="1360"/>
      <c r="AA799" s="1055"/>
      <c r="AB799" s="1055"/>
      <c r="AC799" s="1055"/>
      <c r="AD799" s="971"/>
    </row>
    <row r="800" spans="1:30" ht="15.75" customHeight="1" outlineLevel="1">
      <c r="A800" s="1419" t="s">
        <v>3121</v>
      </c>
      <c r="B800" s="1366" t="s">
        <v>156</v>
      </c>
      <c r="C800" s="1416">
        <f t="shared" si="83"/>
        <v>0.15</v>
      </c>
      <c r="D800" s="1417">
        <f t="shared" si="84"/>
        <v>0.05</v>
      </c>
      <c r="E800" s="1367">
        <f>IF(E799=0,0,IF('Ввод данных'!$A$6=связи1!$A$95,IF(E799&lt;=0,0,E799-дома!$K$633),0)+IF('Ввод данных'!$A$6=связи1!$A$96,IF(E799&lt;связи1!$K$207,0,E799-$K$633),0)+IF('Ввод данных'!$A$6=связи1!$A$98,IF(E799&lt;связи1!$K$207,0,E799-$K$633),0))</f>
        <v>0</v>
      </c>
      <c r="F800" s="1367">
        <f>2*IF('Ввод данных'!$C$155=связи1!$A$2,1,0)*IF('Ввод данных'!$F$194=связи1!$A$2,1,0)</f>
        <v>0</v>
      </c>
      <c r="G800" s="1368">
        <f t="shared" si="85"/>
        <v>0</v>
      </c>
      <c r="H800" s="1368"/>
      <c r="I800" s="1055"/>
      <c r="J800" s="1055"/>
      <c r="K800" s="1055"/>
      <c r="L800" s="1055"/>
      <c r="M800" s="1055"/>
      <c r="N800" s="1055"/>
      <c r="O800" s="1280"/>
      <c r="P800" s="1360"/>
      <c r="Q800" s="1360"/>
      <c r="R800" s="1360"/>
      <c r="S800" s="1055"/>
      <c r="T800" s="1280"/>
      <c r="U800" s="1279"/>
      <c r="V800" s="1280"/>
      <c r="W800" s="1499"/>
      <c r="X800" s="1499"/>
      <c r="Y800" s="1280"/>
      <c r="Z800" s="1360"/>
      <c r="AA800" s="1055"/>
      <c r="AB800" s="1055"/>
      <c r="AC800" s="1055"/>
      <c r="AD800" s="971"/>
    </row>
    <row r="801" spans="1:30" ht="15.75" customHeight="1" outlineLevel="1">
      <c r="A801" s="1419" t="s">
        <v>3122</v>
      </c>
      <c r="B801" s="1366" t="s">
        <v>156</v>
      </c>
      <c r="C801" s="1416">
        <f t="shared" si="83"/>
        <v>0.15</v>
      </c>
      <c r="D801" s="1417">
        <f t="shared" si="84"/>
        <v>0.05</v>
      </c>
      <c r="E801" s="1367">
        <f>IF(E800=0,0,IF('Ввод данных'!$A$6=связи1!$A$95,IF(E800&lt;=0,0,E800-дома!$K$633),0)+IF('Ввод данных'!$A$6=связи1!$A$96,IF(E800&lt;связи1!$K$207,0,E800-$K$633),0)+IF('Ввод данных'!$A$6=связи1!$A$98,IF(E800&lt;связи1!$K$207,0,E800-$K$633),0))</f>
        <v>0</v>
      </c>
      <c r="F801" s="1367">
        <f>2*IF('Ввод данных'!$C$155=связи1!$A$2,1,0)*IF('Ввод данных'!$F$194=связи1!$A$2,1,0)</f>
        <v>0</v>
      </c>
      <c r="G801" s="1368">
        <f t="shared" si="85"/>
        <v>0</v>
      </c>
      <c r="H801" s="1368"/>
      <c r="I801" s="1055"/>
      <c r="J801" s="1055"/>
      <c r="K801" s="1055"/>
      <c r="L801" s="1055"/>
      <c r="M801" s="1055"/>
      <c r="N801" s="1055"/>
      <c r="O801" s="1280"/>
      <c r="P801" s="1360"/>
      <c r="Q801" s="1360"/>
      <c r="R801" s="1360"/>
      <c r="S801" s="1055"/>
      <c r="T801" s="1280"/>
      <c r="U801" s="1279"/>
      <c r="V801" s="1280"/>
      <c r="W801" s="1499"/>
      <c r="X801" s="1499"/>
      <c r="Y801" s="1280"/>
      <c r="Z801" s="1360"/>
      <c r="AA801" s="1055"/>
      <c r="AB801" s="1055"/>
      <c r="AC801" s="1055"/>
      <c r="AD801" s="971"/>
    </row>
    <row r="802" spans="1:30" ht="15.75" customHeight="1" outlineLevel="1">
      <c r="A802" s="1419" t="s">
        <v>3123</v>
      </c>
      <c r="B802" s="1366" t="s">
        <v>156</v>
      </c>
      <c r="C802" s="1416">
        <f t="shared" si="83"/>
        <v>0.15</v>
      </c>
      <c r="D802" s="1417">
        <f t="shared" si="84"/>
        <v>0.05</v>
      </c>
      <c r="E802" s="1367">
        <f>IF(E801=0,0,IF('Ввод данных'!$A$6=связи1!$A$95,IF(E801&lt;=0,0,E801-дома!$K$633),0)+IF('Ввод данных'!$A$6=связи1!$A$96,IF(E801&lt;связи1!$K$207,0,E801-$K$633),0)+IF('Ввод данных'!$A$6=связи1!$A$98,IF(E801&lt;связи1!$K$207,0,E801-$K$633),0))</f>
        <v>0</v>
      </c>
      <c r="F802" s="1367">
        <f>2*IF('Ввод данных'!$C$155=связи1!$A$2,1,0)*IF('Ввод данных'!$F$194=связи1!$A$2,1,0)</f>
        <v>0</v>
      </c>
      <c r="G802" s="1368">
        <f t="shared" si="85"/>
        <v>0</v>
      </c>
      <c r="H802" s="1368"/>
      <c r="I802" s="1055"/>
      <c r="J802" s="1055"/>
      <c r="K802" s="1055"/>
      <c r="L802" s="1055"/>
      <c r="M802" s="1055"/>
      <c r="N802" s="1055"/>
      <c r="O802" s="1280"/>
      <c r="P802" s="1360"/>
      <c r="Q802" s="1360"/>
      <c r="R802" s="1360"/>
      <c r="S802" s="1055"/>
      <c r="T802" s="1280"/>
      <c r="U802" s="1279"/>
      <c r="V802" s="1280"/>
      <c r="W802" s="1499"/>
      <c r="X802" s="1499"/>
      <c r="Y802" s="1280"/>
      <c r="Z802" s="1360"/>
      <c r="AA802" s="1055"/>
      <c r="AB802" s="1055"/>
      <c r="AC802" s="1055"/>
      <c r="AD802" s="971"/>
    </row>
    <row r="803" spans="1:30" ht="15.75" customHeight="1" outlineLevel="1">
      <c r="A803" s="1419" t="s">
        <v>3124</v>
      </c>
      <c r="B803" s="1366" t="s">
        <v>156</v>
      </c>
      <c r="C803" s="1416">
        <f t="shared" si="83"/>
        <v>0.15</v>
      </c>
      <c r="D803" s="1417">
        <f t="shared" si="84"/>
        <v>0.05</v>
      </c>
      <c r="E803" s="1367">
        <f>IF(E802=0,0,IF('Ввод данных'!$A$6=связи1!$A$95,IF(E802&lt;=0,0,E802-дома!$K$633),0)+IF('Ввод данных'!$A$6=связи1!$A$96,IF(E802&lt;связи1!$K$207,0,E802-$K$633),0)+IF('Ввод данных'!$A$6=связи1!$A$98,IF(E802&lt;связи1!$K$207,0,E802-$K$633),0))</f>
        <v>0</v>
      </c>
      <c r="F803" s="1367">
        <f>2*IF('Ввод данных'!$C$155=связи1!$A$2,1,0)*IF('Ввод данных'!$F$194=связи1!$A$2,1,0)</f>
        <v>0</v>
      </c>
      <c r="G803" s="1368">
        <f t="shared" si="85"/>
        <v>0</v>
      </c>
      <c r="H803" s="1368"/>
      <c r="I803" s="1055"/>
      <c r="J803" s="1055"/>
      <c r="K803" s="1055"/>
      <c r="L803" s="1055"/>
      <c r="M803" s="1055"/>
      <c r="N803" s="1055"/>
      <c r="O803" s="1280"/>
      <c r="P803" s="1360"/>
      <c r="Q803" s="1360"/>
      <c r="R803" s="1360"/>
      <c r="S803" s="1055"/>
      <c r="T803" s="1280"/>
      <c r="U803" s="1279"/>
      <c r="V803" s="1280"/>
      <c r="W803" s="1499"/>
      <c r="X803" s="1499"/>
      <c r="Y803" s="1280"/>
      <c r="Z803" s="1360"/>
      <c r="AA803" s="1055"/>
      <c r="AB803" s="1055"/>
      <c r="AC803" s="1055"/>
      <c r="AD803" s="971"/>
    </row>
    <row r="804" spans="1:30" ht="15.75" customHeight="1" outlineLevel="1">
      <c r="A804" s="1419" t="s">
        <v>3125</v>
      </c>
      <c r="B804" s="1366" t="s">
        <v>156</v>
      </c>
      <c r="C804" s="1416">
        <f t="shared" si="83"/>
        <v>0.15</v>
      </c>
      <c r="D804" s="1417">
        <f t="shared" si="84"/>
        <v>0.05</v>
      </c>
      <c r="E804" s="1367">
        <f>IF(E803=0,0,IF('Ввод данных'!$A$6=связи1!$A$95,IF(E803&lt;=0,0,E803-дома!$K$633),0)+IF('Ввод данных'!$A$6=связи1!$A$96,IF(E803&lt;связи1!$K$207,0,E803-$K$633),0)+IF('Ввод данных'!$A$6=связи1!$A$98,IF(E803&lt;связи1!$K$207,0,E803-$K$633),0))</f>
        <v>0</v>
      </c>
      <c r="F804" s="1367">
        <f>2*IF('Ввод данных'!$C$155=связи1!$A$2,1,0)*IF('Ввод данных'!$F$194=связи1!$A$2,1,0)</f>
        <v>0</v>
      </c>
      <c r="G804" s="1368">
        <f t="shared" si="85"/>
        <v>0</v>
      </c>
      <c r="H804" s="1368"/>
      <c r="I804" s="1055"/>
      <c r="J804" s="1055"/>
      <c r="K804" s="1055"/>
      <c r="L804" s="1055"/>
      <c r="M804" s="1055"/>
      <c r="N804" s="1055"/>
      <c r="O804" s="1280"/>
      <c r="P804" s="1360"/>
      <c r="Q804" s="1360"/>
      <c r="R804" s="1360"/>
      <c r="S804" s="1055"/>
      <c r="T804" s="1280"/>
      <c r="U804" s="1279"/>
      <c r="V804" s="1280"/>
      <c r="W804" s="1499"/>
      <c r="X804" s="1499"/>
      <c r="Y804" s="1280"/>
      <c r="Z804" s="1360"/>
      <c r="AA804" s="1055"/>
      <c r="AB804" s="1055"/>
      <c r="AC804" s="1055"/>
      <c r="AD804" s="971"/>
    </row>
    <row r="805" spans="1:30" ht="15.75" customHeight="1" outlineLevel="1">
      <c r="A805" s="1419" t="s">
        <v>3126</v>
      </c>
      <c r="B805" s="1366" t="s">
        <v>156</v>
      </c>
      <c r="C805" s="1416">
        <f t="shared" si="83"/>
        <v>0.15</v>
      </c>
      <c r="D805" s="1417">
        <f t="shared" si="84"/>
        <v>0.05</v>
      </c>
      <c r="E805" s="1367">
        <f>IF(E804=0,0,IF('Ввод данных'!$A$6=связи1!$A$95,IF(E804&lt;=0,0,E804-дома!$K$633),0)+IF('Ввод данных'!$A$6=связи1!$A$96,IF(E804&lt;связи1!$K$207,0,E804-$K$633),0)+IF('Ввод данных'!$A$6=связи1!$A$98,IF(E804&lt;связи1!$K$207,0,E804-$K$633),0))</f>
        <v>0</v>
      </c>
      <c r="F805" s="1367">
        <f>2*IF('Ввод данных'!$C$155=связи1!$A$2,1,0)*IF('Ввод данных'!$F$194=связи1!$A$2,1,0)</f>
        <v>0</v>
      </c>
      <c r="G805" s="1368">
        <f t="shared" si="85"/>
        <v>0</v>
      </c>
      <c r="H805" s="1368"/>
      <c r="I805" s="1055"/>
      <c r="J805" s="1055"/>
      <c r="K805" s="1055"/>
      <c r="L805" s="1055"/>
      <c r="M805" s="1055"/>
      <c r="N805" s="1055"/>
      <c r="O805" s="1280"/>
      <c r="P805" s="1360"/>
      <c r="Q805" s="1360"/>
      <c r="R805" s="1360"/>
      <c r="S805" s="1055"/>
      <c r="T805" s="1280"/>
      <c r="U805" s="1279"/>
      <c r="V805" s="1280"/>
      <c r="W805" s="1499"/>
      <c r="X805" s="1499"/>
      <c r="Y805" s="1280"/>
      <c r="Z805" s="1360"/>
      <c r="AA805" s="1055"/>
      <c r="AB805" s="1055"/>
      <c r="AC805" s="1055"/>
      <c r="AD805" s="971"/>
    </row>
    <row r="806" spans="1:30" ht="15.75" customHeight="1" outlineLevel="1">
      <c r="A806" s="1419" t="s">
        <v>3127</v>
      </c>
      <c r="B806" s="1366" t="s">
        <v>156</v>
      </c>
      <c r="C806" s="1416">
        <f t="shared" si="83"/>
        <v>0.15</v>
      </c>
      <c r="D806" s="1417">
        <f t="shared" si="84"/>
        <v>0.05</v>
      </c>
      <c r="E806" s="1367">
        <f>IF(E805=0,0,IF('Ввод данных'!$A$6=связи1!$A$95,IF(E805&lt;=0,0,E805-дома!$K$633),0)+IF('Ввод данных'!$A$6=связи1!$A$96,IF(E805&lt;связи1!$K$207,0,E805-$K$633),0)+IF('Ввод данных'!$A$6=связи1!$A$98,IF(E805&lt;связи1!$K$207,0,E805-$K$633),0))</f>
        <v>0</v>
      </c>
      <c r="F806" s="1367">
        <f>2*IF('Ввод данных'!$C$155=связи1!$A$2,1,0)*IF('Ввод данных'!$F$194=связи1!$A$2,1,0)</f>
        <v>0</v>
      </c>
      <c r="G806" s="1368">
        <f t="shared" si="85"/>
        <v>0</v>
      </c>
      <c r="H806" s="1368"/>
      <c r="I806" s="1055"/>
      <c r="J806" s="1055"/>
      <c r="K806" s="1055"/>
      <c r="L806" s="1055"/>
      <c r="M806" s="1055"/>
      <c r="N806" s="1055"/>
      <c r="O806" s="1280"/>
      <c r="P806" s="1360"/>
      <c r="Q806" s="1360"/>
      <c r="R806" s="1360"/>
      <c r="S806" s="1055"/>
      <c r="T806" s="1280"/>
      <c r="U806" s="1279"/>
      <c r="V806" s="1280"/>
      <c r="W806" s="1499"/>
      <c r="X806" s="1499"/>
      <c r="Y806" s="1280"/>
      <c r="Z806" s="1360"/>
      <c r="AA806" s="1055"/>
      <c r="AB806" s="1055"/>
      <c r="AC806" s="1055"/>
      <c r="AD806" s="971"/>
    </row>
    <row r="807" spans="1:30" ht="15.75" customHeight="1" outlineLevel="1">
      <c r="A807" s="1419" t="s">
        <v>3128</v>
      </c>
      <c r="B807" s="1366" t="s">
        <v>156</v>
      </c>
      <c r="C807" s="1416">
        <f t="shared" si="83"/>
        <v>0.15</v>
      </c>
      <c r="D807" s="1417">
        <f t="shared" si="84"/>
        <v>0.05</v>
      </c>
      <c r="E807" s="1367">
        <f>IF(E806=0,0,IF('Ввод данных'!$A$6=связи1!$A$95,IF(E806&lt;=0,0,E806-дома!$K$633),0)+IF('Ввод данных'!$A$6=связи1!$A$96,IF(E806&lt;связи1!$K$207,0,E806-$K$633),0)+IF('Ввод данных'!$A$6=связи1!$A$98,IF(E806&lt;связи1!$K$207,0,E806-$K$633),0))</f>
        <v>0</v>
      </c>
      <c r="F807" s="1367">
        <f>2*IF('Ввод данных'!$C$155=связи1!$A$2,1,0)*IF('Ввод данных'!$F$194=связи1!$A$2,1,0)</f>
        <v>0</v>
      </c>
      <c r="G807" s="1368">
        <f t="shared" si="85"/>
        <v>0</v>
      </c>
      <c r="H807" s="1368"/>
      <c r="I807" s="1055"/>
      <c r="J807" s="1055"/>
      <c r="K807" s="1055"/>
      <c r="L807" s="1055"/>
      <c r="M807" s="1055"/>
      <c r="N807" s="1055"/>
      <c r="O807" s="1280"/>
      <c r="P807" s="1360"/>
      <c r="Q807" s="1360"/>
      <c r="R807" s="1360"/>
      <c r="S807" s="1055"/>
      <c r="T807" s="1280"/>
      <c r="U807" s="1279"/>
      <c r="V807" s="1280"/>
      <c r="W807" s="1499"/>
      <c r="X807" s="1499"/>
      <c r="Y807" s="1280"/>
      <c r="Z807" s="1360"/>
      <c r="AA807" s="1055"/>
      <c r="AB807" s="1055"/>
      <c r="AC807" s="1055"/>
      <c r="AD807" s="971"/>
    </row>
    <row r="808" spans="1:30" ht="15.75" customHeight="1" outlineLevel="1">
      <c r="A808" s="1419" t="s">
        <v>3129</v>
      </c>
      <c r="B808" s="1366" t="s">
        <v>156</v>
      </c>
      <c r="C808" s="1416">
        <f t="shared" si="83"/>
        <v>0.15</v>
      </c>
      <c r="D808" s="1417">
        <f t="shared" si="84"/>
        <v>0.05</v>
      </c>
      <c r="E808" s="1367">
        <f>IF(E807=0,0,IF('Ввод данных'!$A$6=связи1!$A$95,IF(E807&lt;=0,0,E807-дома!$K$633),0)+IF('Ввод данных'!$A$6=связи1!$A$96,IF(E807&lt;связи1!$K$207,0,E807-$K$633),0)+IF('Ввод данных'!$A$6=связи1!$A$98,IF(E807&lt;связи1!$K$207,0,E807-$K$633),0))</f>
        <v>0</v>
      </c>
      <c r="F808" s="1367">
        <f>2*IF('Ввод данных'!$C$155=связи1!$A$2,1,0)*IF('Ввод данных'!$F$194=связи1!$A$2,1,0)</f>
        <v>0</v>
      </c>
      <c r="G808" s="1368">
        <f t="shared" si="85"/>
        <v>0</v>
      </c>
      <c r="H808" s="1368"/>
      <c r="I808" s="1055"/>
      <c r="J808" s="1055"/>
      <c r="K808" s="1055"/>
      <c r="L808" s="1055"/>
      <c r="M808" s="1055"/>
      <c r="N808" s="1055"/>
      <c r="O808" s="1280"/>
      <c r="P808" s="1360"/>
      <c r="Q808" s="1360"/>
      <c r="R808" s="1360"/>
      <c r="S808" s="1055"/>
      <c r="T808" s="1280"/>
      <c r="U808" s="1279"/>
      <c r="V808" s="1280"/>
      <c r="W808" s="1499"/>
      <c r="X808" s="1499"/>
      <c r="Y808" s="1280"/>
      <c r="Z808" s="1360"/>
      <c r="AA808" s="1055"/>
      <c r="AB808" s="1055"/>
      <c r="AC808" s="1055"/>
      <c r="AD808" s="971"/>
    </row>
    <row r="809" spans="1:30" ht="15.75" customHeight="1" outlineLevel="1">
      <c r="A809" s="1419" t="s">
        <v>3130</v>
      </c>
      <c r="B809" s="1366" t="s">
        <v>156</v>
      </c>
      <c r="C809" s="1416">
        <f t="shared" si="83"/>
        <v>0.15</v>
      </c>
      <c r="D809" s="1417">
        <f t="shared" si="84"/>
        <v>0.05</v>
      </c>
      <c r="E809" s="1367">
        <f>IF(E808=0,0,IF('Ввод данных'!$A$6=связи1!$A$95,IF(E808&lt;=0,0,E808-дома!$K$633),0)+IF('Ввод данных'!$A$6=связи1!$A$96,IF(E808&lt;связи1!$K$207,0,E808-$K$633),0)+IF('Ввод данных'!$A$6=связи1!$A$98,IF(E808&lt;связи1!$K$207,0,E808-$K$633),0))</f>
        <v>0</v>
      </c>
      <c r="F809" s="1367">
        <f>2*IF('Ввод данных'!$C$155=связи1!$A$2,1,0)*IF('Ввод данных'!$F$194=связи1!$A$2,1,0)</f>
        <v>0</v>
      </c>
      <c r="G809" s="1368">
        <f t="shared" si="85"/>
        <v>0</v>
      </c>
      <c r="H809" s="1368"/>
      <c r="I809" s="1055"/>
      <c r="J809" s="1055"/>
      <c r="K809" s="1055"/>
      <c r="L809" s="1055"/>
      <c r="M809" s="1055"/>
      <c r="N809" s="1055"/>
      <c r="O809" s="1280"/>
      <c r="P809" s="1360"/>
      <c r="Q809" s="1360"/>
      <c r="R809" s="1360"/>
      <c r="S809" s="1055"/>
      <c r="T809" s="1280"/>
      <c r="U809" s="1279"/>
      <c r="V809" s="1280"/>
      <c r="W809" s="1499"/>
      <c r="X809" s="1499"/>
      <c r="Y809" s="1280"/>
      <c r="Z809" s="1360"/>
      <c r="AA809" s="1055"/>
      <c r="AB809" s="1055"/>
      <c r="AC809" s="1055"/>
      <c r="AD809" s="971"/>
    </row>
    <row r="810" spans="1:30" ht="15.75" customHeight="1" outlineLevel="1">
      <c r="A810" s="1419" t="s">
        <v>3131</v>
      </c>
      <c r="B810" s="1366" t="s">
        <v>156</v>
      </c>
      <c r="C810" s="1416">
        <f t="shared" si="83"/>
        <v>0.15</v>
      </c>
      <c r="D810" s="1417">
        <f t="shared" si="84"/>
        <v>0.05</v>
      </c>
      <c r="E810" s="1367">
        <f>IF(E809=0,0,IF('Ввод данных'!$A$6=связи1!$A$95,IF(E809&lt;=0,0,E809-дома!$K$633),0)+IF('Ввод данных'!$A$6=связи1!$A$96,IF(E809&lt;связи1!$K$207,0,E809-$K$633),0)+IF('Ввод данных'!$A$6=связи1!$A$98,IF(E809&lt;связи1!$K$207,0,E809-$K$633),0))</f>
        <v>0</v>
      </c>
      <c r="F810" s="1367">
        <f>2*IF('Ввод данных'!$C$155=связи1!$A$2,1,0)*IF('Ввод данных'!$F$194=связи1!$A$2,1,0)</f>
        <v>0</v>
      </c>
      <c r="G810" s="1368">
        <f t="shared" si="85"/>
        <v>0</v>
      </c>
      <c r="H810" s="1368"/>
      <c r="I810" s="1055"/>
      <c r="J810" s="1055"/>
      <c r="K810" s="1055"/>
      <c r="L810" s="1055"/>
      <c r="M810" s="1055"/>
      <c r="N810" s="1055"/>
      <c r="O810" s="1280"/>
      <c r="P810" s="1360"/>
      <c r="Q810" s="1360"/>
      <c r="R810" s="1360"/>
      <c r="S810" s="1055"/>
      <c r="T810" s="1280"/>
      <c r="U810" s="1279"/>
      <c r="V810" s="1280"/>
      <c r="W810" s="1499"/>
      <c r="X810" s="1499"/>
      <c r="Y810" s="1280"/>
      <c r="Z810" s="1360"/>
      <c r="AA810" s="1055"/>
      <c r="AB810" s="1055"/>
      <c r="AC810" s="1055"/>
      <c r="AD810" s="971"/>
    </row>
    <row r="811" spans="1:30" ht="15.75" customHeight="1" outlineLevel="1">
      <c r="A811" s="1419" t="s">
        <v>3132</v>
      </c>
      <c r="B811" s="1366" t="s">
        <v>156</v>
      </c>
      <c r="C811" s="1416">
        <f t="shared" si="83"/>
        <v>0.15</v>
      </c>
      <c r="D811" s="1417">
        <f t="shared" si="84"/>
        <v>0.05</v>
      </c>
      <c r="E811" s="1367">
        <f>IF(E810=0,0,IF('Ввод данных'!$A$6=связи1!$A$95,IF(E810&lt;=0,0,E810-дома!$K$633),0)+IF('Ввод данных'!$A$6=связи1!$A$96,IF(E810&lt;связи1!$K$207,0,E810-$K$633),0)+IF('Ввод данных'!$A$6=связи1!$A$98,IF(E810&lt;связи1!$K$207,0,E810-$K$633),0))</f>
        <v>0</v>
      </c>
      <c r="F811" s="1367">
        <f>2*IF('Ввод данных'!$C$155=связи1!$A$2,1,0)*IF('Ввод данных'!$F$194=связи1!$A$2,1,0)</f>
        <v>0</v>
      </c>
      <c r="G811" s="1368">
        <f t="shared" si="85"/>
        <v>0</v>
      </c>
      <c r="H811" s="1368"/>
      <c r="I811" s="1055"/>
      <c r="J811" s="1055"/>
      <c r="K811" s="1055"/>
      <c r="L811" s="1055"/>
      <c r="M811" s="1055"/>
      <c r="N811" s="1055"/>
      <c r="O811" s="1280"/>
      <c r="P811" s="1360"/>
      <c r="Q811" s="1360"/>
      <c r="R811" s="1360"/>
      <c r="S811" s="1055"/>
      <c r="T811" s="1280"/>
      <c r="U811" s="1279"/>
      <c r="V811" s="1280"/>
      <c r="W811" s="1499"/>
      <c r="X811" s="1499"/>
      <c r="Y811" s="1280"/>
      <c r="Z811" s="1360"/>
      <c r="AA811" s="1055"/>
      <c r="AB811" s="1055"/>
      <c r="AC811" s="1055"/>
      <c r="AD811" s="971"/>
    </row>
    <row r="812" spans="1:30" ht="15.75" customHeight="1" outlineLevel="1">
      <c r="A812" s="1419" t="s">
        <v>3133</v>
      </c>
      <c r="B812" s="1366" t="s">
        <v>156</v>
      </c>
      <c r="C812" s="1416">
        <f t="shared" ref="C812:C825" si="86">$C$143</f>
        <v>0.15</v>
      </c>
      <c r="D812" s="1417">
        <f t="shared" ref="D812:D825" si="87">$J$620</f>
        <v>0.05</v>
      </c>
      <c r="E812" s="1367">
        <f>IF(E811=0,0,IF('Ввод данных'!$A$6=связи1!$A$95,IF(E811&lt;=0,0,E811-дома!$K$633),0)+IF('Ввод данных'!$A$6=связи1!$A$96,IF(E811&lt;связи1!$K$207,0,E811-$K$633),0)+IF('Ввод данных'!$A$6=связи1!$A$98,IF(E811&lt;связи1!$K$207,0,E811-$K$633),0))</f>
        <v>0</v>
      </c>
      <c r="F812" s="1367">
        <f>2*IF('Ввод данных'!$C$155=связи1!$A$2,1,0)*IF('Ввод данных'!$F$194=связи1!$A$2,1,0)</f>
        <v>0</v>
      </c>
      <c r="G812" s="1368">
        <f t="shared" ref="G812:G843" si="88">C812*D812*E812*F812</f>
        <v>0</v>
      </c>
      <c r="H812" s="1368"/>
      <c r="I812" s="1055"/>
      <c r="J812" s="1055"/>
      <c r="K812" s="1055"/>
      <c r="L812" s="1055"/>
      <c r="M812" s="1055"/>
      <c r="N812" s="1055"/>
      <c r="O812" s="1280"/>
      <c r="P812" s="1360"/>
      <c r="Q812" s="1360"/>
      <c r="R812" s="1360"/>
      <c r="S812" s="1055"/>
      <c r="T812" s="1280"/>
      <c r="U812" s="1279"/>
      <c r="V812" s="1280"/>
      <c r="W812" s="1499"/>
      <c r="X812" s="1499"/>
      <c r="Y812" s="1280"/>
      <c r="Z812" s="1360"/>
      <c r="AA812" s="1055"/>
      <c r="AB812" s="1055"/>
      <c r="AC812" s="1055"/>
      <c r="AD812" s="971"/>
    </row>
    <row r="813" spans="1:30" ht="15.75" customHeight="1" outlineLevel="1">
      <c r="A813" s="1419" t="s">
        <v>3134</v>
      </c>
      <c r="B813" s="1366" t="s">
        <v>156</v>
      </c>
      <c r="C813" s="1416">
        <f t="shared" si="86"/>
        <v>0.15</v>
      </c>
      <c r="D813" s="1417">
        <f t="shared" si="87"/>
        <v>0.05</v>
      </c>
      <c r="E813" s="1367">
        <f>IF(E812=0,0,IF('Ввод данных'!$A$6=связи1!$A$95,IF(E812&lt;=0,0,E812-дома!$K$633),0)+IF('Ввод данных'!$A$6=связи1!$A$96,IF(E812&lt;связи1!$K$207,0,E812-$K$633),0)+IF('Ввод данных'!$A$6=связи1!$A$98,IF(E812&lt;связи1!$K$207,0,E812-$K$633),0))</f>
        <v>0</v>
      </c>
      <c r="F813" s="1367">
        <f>2*IF('Ввод данных'!$C$155=связи1!$A$2,1,0)*IF('Ввод данных'!$F$194=связи1!$A$2,1,0)</f>
        <v>0</v>
      </c>
      <c r="G813" s="1368">
        <f t="shared" si="88"/>
        <v>0</v>
      </c>
      <c r="H813" s="1368"/>
      <c r="I813" s="1055"/>
      <c r="J813" s="1055"/>
      <c r="K813" s="1055"/>
      <c r="L813" s="1055"/>
      <c r="M813" s="1055"/>
      <c r="N813" s="1055"/>
      <c r="O813" s="1280"/>
      <c r="P813" s="1360"/>
      <c r="Q813" s="1360"/>
      <c r="R813" s="1360"/>
      <c r="S813" s="1055"/>
      <c r="T813" s="1280"/>
      <c r="U813" s="1279"/>
      <c r="V813" s="1280"/>
      <c r="W813" s="1499"/>
      <c r="X813" s="1499"/>
      <c r="Y813" s="1280"/>
      <c r="Z813" s="1360"/>
      <c r="AA813" s="1055"/>
      <c r="AB813" s="1055"/>
      <c r="AC813" s="1055"/>
      <c r="AD813" s="971"/>
    </row>
    <row r="814" spans="1:30" ht="15.75" customHeight="1" outlineLevel="1">
      <c r="A814" s="1419" t="s">
        <v>3135</v>
      </c>
      <c r="B814" s="1366" t="s">
        <v>156</v>
      </c>
      <c r="C814" s="1416">
        <f t="shared" si="86"/>
        <v>0.15</v>
      </c>
      <c r="D814" s="1417">
        <f t="shared" si="87"/>
        <v>0.05</v>
      </c>
      <c r="E814" s="1367">
        <f>IF(E813=0,0,IF('Ввод данных'!$A$6=связи1!$A$95,IF(E813&lt;=0,0,E813-дома!$K$633),0)+IF('Ввод данных'!$A$6=связи1!$A$96,IF(E813&lt;связи1!$K$207,0,E813-$K$633),0)+IF('Ввод данных'!$A$6=связи1!$A$98,IF(E813&lt;связи1!$K$207,0,E813-$K$633),0))</f>
        <v>0</v>
      </c>
      <c r="F814" s="1367">
        <f>2*IF('Ввод данных'!$C$155=связи1!$A$2,1,0)*IF('Ввод данных'!$F$194=связи1!$A$2,1,0)</f>
        <v>0</v>
      </c>
      <c r="G814" s="1368">
        <f t="shared" si="88"/>
        <v>0</v>
      </c>
      <c r="H814" s="1368"/>
      <c r="I814" s="1055"/>
      <c r="J814" s="1055"/>
      <c r="K814" s="1055"/>
      <c r="L814" s="1055"/>
      <c r="M814" s="1055"/>
      <c r="N814" s="1055"/>
      <c r="O814" s="1280"/>
      <c r="P814" s="1360"/>
      <c r="Q814" s="1360"/>
      <c r="R814" s="1360"/>
      <c r="S814" s="1055"/>
      <c r="T814" s="1280"/>
      <c r="U814" s="1279"/>
      <c r="V814" s="1280"/>
      <c r="W814" s="1499"/>
      <c r="X814" s="1499"/>
      <c r="Y814" s="1280"/>
      <c r="Z814" s="1360"/>
      <c r="AA814" s="1055"/>
      <c r="AB814" s="1055"/>
      <c r="AC814" s="1055"/>
      <c r="AD814" s="971"/>
    </row>
    <row r="815" spans="1:30" ht="15.75" customHeight="1" outlineLevel="1">
      <c r="A815" s="1419" t="s">
        <v>3136</v>
      </c>
      <c r="B815" s="1366" t="s">
        <v>156</v>
      </c>
      <c r="C815" s="1416">
        <f t="shared" si="86"/>
        <v>0.15</v>
      </c>
      <c r="D815" s="1417">
        <f t="shared" si="87"/>
        <v>0.05</v>
      </c>
      <c r="E815" s="1367">
        <f>IF(E814=0,0,IF('Ввод данных'!$A$6=связи1!$A$95,IF(E814&lt;=0,0,E814-дома!$K$633),0)+IF('Ввод данных'!$A$6=связи1!$A$96,IF(E814&lt;связи1!$K$207,0,E814-$K$633),0)+IF('Ввод данных'!$A$6=связи1!$A$98,IF(E814&lt;связи1!$K$207,0,E814-$K$633),0))</f>
        <v>0</v>
      </c>
      <c r="F815" s="1367">
        <f>2*IF('Ввод данных'!$C$155=связи1!$A$2,1,0)*IF('Ввод данных'!$F$194=связи1!$A$2,1,0)</f>
        <v>0</v>
      </c>
      <c r="G815" s="1368">
        <f t="shared" si="88"/>
        <v>0</v>
      </c>
      <c r="H815" s="1368"/>
      <c r="I815" s="1055"/>
      <c r="J815" s="1055"/>
      <c r="K815" s="1055"/>
      <c r="L815" s="1055"/>
      <c r="M815" s="1055"/>
      <c r="N815" s="1055"/>
      <c r="O815" s="1280"/>
      <c r="P815" s="1360"/>
      <c r="Q815" s="1360"/>
      <c r="R815" s="1360"/>
      <c r="S815" s="1055"/>
      <c r="T815" s="1280"/>
      <c r="U815" s="1279"/>
      <c r="V815" s="1280"/>
      <c r="W815" s="1499"/>
      <c r="X815" s="1499"/>
      <c r="Y815" s="1280"/>
      <c r="Z815" s="1360"/>
      <c r="AA815" s="1055"/>
      <c r="AB815" s="1055"/>
      <c r="AC815" s="1055"/>
      <c r="AD815" s="971"/>
    </row>
    <row r="816" spans="1:30" ht="15.75" customHeight="1" outlineLevel="1">
      <c r="A816" s="1419" t="s">
        <v>3137</v>
      </c>
      <c r="B816" s="1366" t="s">
        <v>156</v>
      </c>
      <c r="C816" s="1416">
        <f t="shared" si="86"/>
        <v>0.15</v>
      </c>
      <c r="D816" s="1417">
        <f t="shared" si="87"/>
        <v>0.05</v>
      </c>
      <c r="E816" s="1367">
        <f>IF(E815=0,0,IF('Ввод данных'!$A$6=связи1!$A$95,IF(E815&lt;=0,0,E815-дома!$K$633),0)+IF('Ввод данных'!$A$6=связи1!$A$96,IF(E815&lt;связи1!$K$207,0,E815-$K$633),0)+IF('Ввод данных'!$A$6=связи1!$A$98,IF(E815&lt;связи1!$K$207,0,E815-$K$633),0))</f>
        <v>0</v>
      </c>
      <c r="F816" s="1367">
        <f>2*IF('Ввод данных'!$C$155=связи1!$A$2,1,0)*IF('Ввод данных'!$F$194=связи1!$A$2,1,0)</f>
        <v>0</v>
      </c>
      <c r="G816" s="1368">
        <f t="shared" si="88"/>
        <v>0</v>
      </c>
      <c r="H816" s="1368"/>
      <c r="I816" s="1055"/>
      <c r="J816" s="1055"/>
      <c r="K816" s="1055"/>
      <c r="L816" s="1055"/>
      <c r="M816" s="1055"/>
      <c r="N816" s="1055"/>
      <c r="O816" s="1280"/>
      <c r="P816" s="1360"/>
      <c r="Q816" s="1360"/>
      <c r="R816" s="1360"/>
      <c r="S816" s="1055"/>
      <c r="T816" s="1280"/>
      <c r="U816" s="1279"/>
      <c r="V816" s="1280"/>
      <c r="W816" s="1499"/>
      <c r="X816" s="1499"/>
      <c r="Y816" s="1280"/>
      <c r="Z816" s="1360"/>
      <c r="AA816" s="1055"/>
      <c r="AB816" s="1055"/>
      <c r="AC816" s="1055"/>
      <c r="AD816" s="971"/>
    </row>
    <row r="817" spans="1:30" ht="15.75" customHeight="1" outlineLevel="1">
      <c r="A817" s="1419" t="s">
        <v>3138</v>
      </c>
      <c r="B817" s="1366" t="s">
        <v>156</v>
      </c>
      <c r="C817" s="1416">
        <f t="shared" si="86"/>
        <v>0.15</v>
      </c>
      <c r="D817" s="1417">
        <f t="shared" si="87"/>
        <v>0.05</v>
      </c>
      <c r="E817" s="1367">
        <f>IF(E816=0,0,IF('Ввод данных'!$A$6=связи1!$A$95,IF(E816&lt;=0,0,E816-дома!$K$633),0)+IF('Ввод данных'!$A$6=связи1!$A$96,IF(E816&lt;связи1!$K$207,0,E816-$K$633),0)+IF('Ввод данных'!$A$6=связи1!$A$98,IF(E816&lt;связи1!$K$207,0,E816-$K$633),0))</f>
        <v>0</v>
      </c>
      <c r="F817" s="1367">
        <f>2*IF('Ввод данных'!$C$155=связи1!$A$2,1,0)*IF('Ввод данных'!$F$194=связи1!$A$2,1,0)</f>
        <v>0</v>
      </c>
      <c r="G817" s="1368">
        <f t="shared" si="88"/>
        <v>0</v>
      </c>
      <c r="H817" s="1368"/>
      <c r="I817" s="1055"/>
      <c r="J817" s="1055"/>
      <c r="K817" s="1055"/>
      <c r="L817" s="1055"/>
      <c r="M817" s="1055"/>
      <c r="N817" s="1055"/>
      <c r="O817" s="1280"/>
      <c r="P817" s="1360"/>
      <c r="Q817" s="1360"/>
      <c r="R817" s="1360"/>
      <c r="S817" s="1055"/>
      <c r="T817" s="1280"/>
      <c r="U817" s="1279"/>
      <c r="V817" s="1280"/>
      <c r="W817" s="1499"/>
      <c r="X817" s="1499"/>
      <c r="Y817" s="1280"/>
      <c r="Z817" s="1360"/>
      <c r="AA817" s="1055"/>
      <c r="AB817" s="1055"/>
      <c r="AC817" s="1055"/>
      <c r="AD817" s="971"/>
    </row>
    <row r="818" spans="1:30" ht="15.75" customHeight="1" outlineLevel="1">
      <c r="A818" s="1419" t="s">
        <v>3139</v>
      </c>
      <c r="B818" s="1366" t="s">
        <v>156</v>
      </c>
      <c r="C818" s="1416">
        <f t="shared" si="86"/>
        <v>0.15</v>
      </c>
      <c r="D818" s="1417">
        <f t="shared" si="87"/>
        <v>0.05</v>
      </c>
      <c r="E818" s="1367">
        <f>IF(E817=0,0,IF('Ввод данных'!$A$6=связи1!$A$95,IF(E817&lt;=0,0,E817-дома!$K$633),0)+IF('Ввод данных'!$A$6=связи1!$A$96,IF(E817&lt;связи1!$K$207,0,E817-$K$633),0)+IF('Ввод данных'!$A$6=связи1!$A$98,IF(E817&lt;связи1!$K$207,0,E817-$K$633),0))</f>
        <v>0</v>
      </c>
      <c r="F818" s="1367">
        <f>2*IF('Ввод данных'!$C$155=связи1!$A$2,1,0)*IF('Ввод данных'!$F$194=связи1!$A$2,1,0)</f>
        <v>0</v>
      </c>
      <c r="G818" s="1368">
        <f t="shared" si="88"/>
        <v>0</v>
      </c>
      <c r="H818" s="1368"/>
      <c r="I818" s="1055"/>
      <c r="J818" s="1055"/>
      <c r="K818" s="1055"/>
      <c r="L818" s="1055"/>
      <c r="M818" s="1055"/>
      <c r="N818" s="1055"/>
      <c r="O818" s="1280"/>
      <c r="P818" s="1360"/>
      <c r="Q818" s="1360"/>
      <c r="R818" s="1360"/>
      <c r="S818" s="1055"/>
      <c r="T818" s="1280"/>
      <c r="U818" s="1279"/>
      <c r="V818" s="1280"/>
      <c r="W818" s="1499"/>
      <c r="X818" s="1499"/>
      <c r="Y818" s="1280"/>
      <c r="Z818" s="1360"/>
      <c r="AA818" s="1055"/>
      <c r="AB818" s="1055"/>
      <c r="AC818" s="1055"/>
      <c r="AD818" s="971"/>
    </row>
    <row r="819" spans="1:30" ht="15.75" customHeight="1" outlineLevel="1">
      <c r="A819" s="1419" t="s">
        <v>3140</v>
      </c>
      <c r="B819" s="1366" t="s">
        <v>156</v>
      </c>
      <c r="C819" s="1416">
        <f t="shared" si="86"/>
        <v>0.15</v>
      </c>
      <c r="D819" s="1417">
        <f t="shared" si="87"/>
        <v>0.05</v>
      </c>
      <c r="E819" s="1367">
        <f>IF(E818=0,0,IF('Ввод данных'!$A$6=связи1!$A$95,IF(E818&lt;=0,0,E818-дома!$K$633),0)+IF('Ввод данных'!$A$6=связи1!$A$96,IF(E818&lt;связи1!$K$207,0,E818-$K$633),0)+IF('Ввод данных'!$A$6=связи1!$A$98,IF(E818&lt;связи1!$K$207,0,E818-$K$633),0))</f>
        <v>0</v>
      </c>
      <c r="F819" s="1367">
        <f>2*IF('Ввод данных'!$C$155=связи1!$A$2,1,0)*IF('Ввод данных'!$F$194=связи1!$A$2,1,0)</f>
        <v>0</v>
      </c>
      <c r="G819" s="1368">
        <f t="shared" si="88"/>
        <v>0</v>
      </c>
      <c r="H819" s="1368"/>
      <c r="I819" s="1055"/>
      <c r="J819" s="1055"/>
      <c r="K819" s="1055"/>
      <c r="L819" s="1055"/>
      <c r="M819" s="1055"/>
      <c r="N819" s="1055"/>
      <c r="O819" s="1280"/>
      <c r="P819" s="1360"/>
      <c r="Q819" s="1360"/>
      <c r="R819" s="1360"/>
      <c r="S819" s="1055"/>
      <c r="T819" s="1280"/>
      <c r="U819" s="1279"/>
      <c r="V819" s="1280"/>
      <c r="W819" s="1499"/>
      <c r="X819" s="1499"/>
      <c r="Y819" s="1280"/>
      <c r="Z819" s="1360"/>
      <c r="AA819" s="1055"/>
      <c r="AB819" s="1055"/>
      <c r="AC819" s="1055"/>
      <c r="AD819" s="971"/>
    </row>
    <row r="820" spans="1:30" ht="15.75" customHeight="1" outlineLevel="1">
      <c r="A820" s="1422" t="s">
        <v>3144</v>
      </c>
      <c r="B820" s="1330" t="s">
        <v>156</v>
      </c>
      <c r="C820" s="1339">
        <f t="shared" si="86"/>
        <v>0.15</v>
      </c>
      <c r="D820" s="1055">
        <f t="shared" si="87"/>
        <v>0.05</v>
      </c>
      <c r="E820" s="967">
        <f>U379</f>
        <v>0</v>
      </c>
      <c r="F820" s="967">
        <v>2</v>
      </c>
      <c r="G820" s="1319">
        <f t="shared" si="88"/>
        <v>0</v>
      </c>
      <c r="H820" s="1319"/>
      <c r="I820" s="1055"/>
      <c r="J820" s="1055"/>
      <c r="K820" s="1055"/>
      <c r="L820" s="1055"/>
      <c r="M820" s="1055"/>
      <c r="N820" s="1055"/>
      <c r="O820" s="1280"/>
      <c r="P820" s="1360"/>
      <c r="Q820" s="1360"/>
      <c r="R820" s="1360"/>
      <c r="S820" s="1055"/>
      <c r="T820" s="1280"/>
      <c r="U820" s="1279"/>
      <c r="V820" s="1280"/>
      <c r="W820" s="1499"/>
      <c r="X820" s="1499"/>
      <c r="Y820" s="1280"/>
      <c r="Z820" s="1360"/>
      <c r="AA820" s="1055"/>
      <c r="AB820" s="1055"/>
      <c r="AC820" s="1055"/>
      <c r="AD820" s="971"/>
    </row>
    <row r="821" spans="1:30" ht="15.75" customHeight="1" outlineLevel="1">
      <c r="A821" s="1422" t="s">
        <v>3145</v>
      </c>
      <c r="B821" s="1330" t="s">
        <v>156</v>
      </c>
      <c r="C821" s="1339">
        <f t="shared" si="86"/>
        <v>0.15</v>
      </c>
      <c r="D821" s="1055">
        <f t="shared" si="87"/>
        <v>0.05</v>
      </c>
      <c r="E821" s="967">
        <f>W374</f>
        <v>0.6</v>
      </c>
      <c r="F821" s="967">
        <v>1</v>
      </c>
      <c r="G821" s="1319">
        <f t="shared" si="88"/>
        <v>4.4999999999999997E-3</v>
      </c>
      <c r="H821" s="1310">
        <f>E821*F821</f>
        <v>0.6</v>
      </c>
      <c r="I821" s="1055"/>
      <c r="J821" s="1055"/>
      <c r="K821" s="1055"/>
      <c r="L821" s="1055"/>
      <c r="M821" s="1055"/>
      <c r="N821" s="1055"/>
      <c r="O821" s="1280"/>
      <c r="P821" s="1360"/>
      <c r="Q821" s="1360"/>
      <c r="R821" s="1360"/>
      <c r="S821" s="1055"/>
      <c r="T821" s="1280"/>
      <c r="U821" s="1279"/>
      <c r="V821" s="1280"/>
      <c r="W821" s="1499"/>
      <c r="X821" s="1499"/>
      <c r="Y821" s="1280"/>
      <c r="Z821" s="1360"/>
      <c r="AA821" s="1055"/>
      <c r="AB821" s="1055"/>
      <c r="AC821" s="1055"/>
      <c r="AD821" s="971"/>
    </row>
    <row r="822" spans="1:30" ht="15.75" customHeight="1" outlineLevel="1">
      <c r="A822" s="1422" t="s">
        <v>3146</v>
      </c>
      <c r="B822" s="1330" t="s">
        <v>156</v>
      </c>
      <c r="C822" s="1339">
        <f t="shared" si="86"/>
        <v>0.15</v>
      </c>
      <c r="D822" s="1055">
        <f t="shared" si="87"/>
        <v>0.05</v>
      </c>
      <c r="E822" s="967">
        <f>W375</f>
        <v>0.8</v>
      </c>
      <c r="F822" s="967">
        <v>1</v>
      </c>
      <c r="G822" s="1319">
        <f t="shared" si="88"/>
        <v>6.0000000000000001E-3</v>
      </c>
      <c r="H822" s="1310">
        <f>E822*F822</f>
        <v>0.8</v>
      </c>
      <c r="I822" s="1055"/>
      <c r="J822" s="1055"/>
      <c r="K822" s="1055"/>
      <c r="L822" s="1055"/>
      <c r="M822" s="1055"/>
      <c r="N822" s="1055"/>
      <c r="O822" s="1280"/>
      <c r="P822" s="1360"/>
      <c r="Q822" s="1360"/>
      <c r="R822" s="1360"/>
      <c r="S822" s="1055"/>
      <c r="T822" s="1280"/>
      <c r="U822" s="1279"/>
      <c r="V822" s="1280"/>
      <c r="W822" s="1499"/>
      <c r="X822" s="1499"/>
      <c r="Y822" s="1280"/>
      <c r="Z822" s="1360"/>
      <c r="AA822" s="1055"/>
      <c r="AB822" s="1055"/>
      <c r="AC822" s="1055"/>
      <c r="AD822" s="971"/>
    </row>
    <row r="823" spans="1:30" ht="15.75" customHeight="1" outlineLevel="1">
      <c r="A823" s="1422" t="s">
        <v>3147</v>
      </c>
      <c r="B823" s="1330" t="s">
        <v>156</v>
      </c>
      <c r="C823" s="1339">
        <f t="shared" si="86"/>
        <v>0.15</v>
      </c>
      <c r="D823" s="1055">
        <f t="shared" si="87"/>
        <v>0.05</v>
      </c>
      <c r="E823" s="967">
        <f>W376</f>
        <v>1</v>
      </c>
      <c r="F823" s="967">
        <v>1</v>
      </c>
      <c r="G823" s="1319">
        <f t="shared" si="88"/>
        <v>7.4999999999999997E-3</v>
      </c>
      <c r="H823" s="1310">
        <f>E823*F823</f>
        <v>1</v>
      </c>
      <c r="I823" s="1055"/>
      <c r="J823" s="1055"/>
      <c r="K823" s="1055"/>
      <c r="L823" s="1055"/>
      <c r="M823" s="1055"/>
      <c r="N823" s="1055"/>
      <c r="O823" s="1280"/>
      <c r="P823" s="1360"/>
      <c r="Q823" s="1360"/>
      <c r="R823" s="1360"/>
      <c r="S823" s="1055"/>
      <c r="T823" s="1280"/>
      <c r="U823" s="1279"/>
      <c r="V823" s="1280"/>
      <c r="W823" s="1499"/>
      <c r="X823" s="1499"/>
      <c r="Y823" s="1280"/>
      <c r="Z823" s="1360"/>
      <c r="AA823" s="1055"/>
      <c r="AB823" s="1055"/>
      <c r="AC823" s="1055"/>
      <c r="AD823" s="971"/>
    </row>
    <row r="824" spans="1:30" ht="15.75" customHeight="1" outlineLevel="1">
      <c r="A824" s="1422" t="s">
        <v>3148</v>
      </c>
      <c r="B824" s="1330" t="s">
        <v>156</v>
      </c>
      <c r="C824" s="1339">
        <f t="shared" si="86"/>
        <v>0.15</v>
      </c>
      <c r="D824" s="1055">
        <f t="shared" si="87"/>
        <v>0.05</v>
      </c>
      <c r="E824" s="967">
        <f>W377</f>
        <v>5</v>
      </c>
      <c r="F824" s="967">
        <v>1</v>
      </c>
      <c r="G824" s="1319">
        <f t="shared" si="88"/>
        <v>3.7499999999999999E-2</v>
      </c>
      <c r="H824" s="1310">
        <f>E824*F824</f>
        <v>5</v>
      </c>
      <c r="I824" s="1055"/>
      <c r="J824" s="1055"/>
      <c r="K824" s="1055"/>
      <c r="L824" s="1055"/>
      <c r="M824" s="1055"/>
      <c r="N824" s="1055"/>
      <c r="O824" s="1280"/>
      <c r="P824" s="1360"/>
      <c r="Q824" s="1360"/>
      <c r="R824" s="1360"/>
      <c r="S824" s="1055"/>
      <c r="T824" s="1280"/>
      <c r="U824" s="1279"/>
      <c r="V824" s="1280"/>
      <c r="W824" s="1499"/>
      <c r="X824" s="1499"/>
      <c r="Y824" s="1280"/>
      <c r="Z824" s="1360"/>
      <c r="AA824" s="1055"/>
      <c r="AB824" s="1055"/>
      <c r="AC824" s="1055"/>
      <c r="AD824" s="971"/>
    </row>
    <row r="825" spans="1:30" ht="15.75" customHeight="1" outlineLevel="1">
      <c r="A825" s="1422" t="s">
        <v>3149</v>
      </c>
      <c r="B825" s="1330" t="s">
        <v>156</v>
      </c>
      <c r="C825" s="1339">
        <f t="shared" si="86"/>
        <v>0.15</v>
      </c>
      <c r="D825" s="1055">
        <f t="shared" si="87"/>
        <v>0.05</v>
      </c>
      <c r="E825" s="967">
        <f>W378</f>
        <v>6</v>
      </c>
      <c r="F825" s="967">
        <v>1</v>
      </c>
      <c r="G825" s="1319">
        <f t="shared" si="88"/>
        <v>4.4999999999999998E-2</v>
      </c>
      <c r="H825" s="1310">
        <f>E825*F825</f>
        <v>6</v>
      </c>
      <c r="I825" s="1055"/>
      <c r="J825" s="1055"/>
      <c r="K825" s="1055"/>
      <c r="L825" s="1055"/>
      <c r="M825" s="1055"/>
      <c r="N825" s="1055"/>
      <c r="O825" s="1280"/>
      <c r="P825" s="1360"/>
      <c r="Q825" s="1360"/>
      <c r="R825" s="1360"/>
      <c r="S825" s="1055"/>
      <c r="T825" s="1280"/>
      <c r="U825" s="1279"/>
      <c r="V825" s="1280"/>
      <c r="W825" s="1499"/>
      <c r="X825" s="1499"/>
      <c r="Y825" s="1280"/>
      <c r="Z825" s="1360"/>
      <c r="AA825" s="1055"/>
      <c r="AB825" s="1055"/>
      <c r="AC825" s="1055"/>
      <c r="AD825" s="971"/>
    </row>
    <row r="826" spans="1:30" ht="15.75" customHeight="1" outlineLevel="1">
      <c r="A826" s="1422" t="s">
        <v>3156</v>
      </c>
      <c r="B826" s="1330" t="s">
        <v>156</v>
      </c>
      <c r="C826" s="920">
        <f t="shared" ref="C826:C833" si="89">$K$375</f>
        <v>0.12</v>
      </c>
      <c r="D826" s="1319">
        <f t="shared" ref="D826:D833" si="90">$J$375</f>
        <v>0.05</v>
      </c>
      <c r="E826" s="967">
        <f>$E$375</f>
        <v>3</v>
      </c>
      <c r="F826" s="967">
        <f>U839</f>
        <v>0</v>
      </c>
      <c r="G826" s="1319">
        <f t="shared" si="88"/>
        <v>0</v>
      </c>
      <c r="H826" s="1319"/>
      <c r="I826" s="1055"/>
      <c r="J826" s="1055"/>
      <c r="K826" s="1055"/>
      <c r="L826" s="1055"/>
      <c r="M826" s="1055"/>
      <c r="N826" s="1055"/>
      <c r="O826" s="1280"/>
      <c r="P826" s="1360"/>
      <c r="Q826" s="1360"/>
      <c r="R826" s="1360"/>
      <c r="S826" s="1055"/>
      <c r="T826" s="1280"/>
      <c r="U826" s="1279"/>
      <c r="V826" s="1280"/>
      <c r="W826" s="1499"/>
      <c r="X826" s="1499"/>
      <c r="Y826" s="1280"/>
      <c r="Z826" s="1360"/>
      <c r="AA826" s="1055"/>
      <c r="AB826" s="1055"/>
      <c r="AC826" s="1055"/>
      <c r="AD826" s="971"/>
    </row>
    <row r="827" spans="1:30" ht="15.75" customHeight="1" outlineLevel="1">
      <c r="A827" s="1422" t="s">
        <v>3157</v>
      </c>
      <c r="B827" s="1330" t="s">
        <v>156</v>
      </c>
      <c r="C827" s="920">
        <f t="shared" si="89"/>
        <v>0.12</v>
      </c>
      <c r="D827" s="1319">
        <f t="shared" si="90"/>
        <v>0.05</v>
      </c>
      <c r="E827" s="967">
        <f>W836</f>
        <v>0.8</v>
      </c>
      <c r="F827" s="967">
        <v>1</v>
      </c>
      <c r="G827" s="1319">
        <f t="shared" si="88"/>
        <v>4.8000000000000004E-3</v>
      </c>
      <c r="H827" s="1310">
        <f>E827*F827</f>
        <v>0.8</v>
      </c>
      <c r="I827" s="1055"/>
      <c r="J827" s="1055"/>
      <c r="K827" s="1055"/>
      <c r="L827" s="1055"/>
      <c r="M827" s="1055"/>
      <c r="N827" s="1055"/>
      <c r="O827" s="1280"/>
      <c r="P827" s="1360"/>
      <c r="Q827" s="1360"/>
      <c r="R827" s="1360"/>
      <c r="S827" s="1055"/>
      <c r="T827" s="1280"/>
      <c r="U827" s="1279"/>
      <c r="V827" s="1280"/>
      <c r="W827" s="1499"/>
      <c r="X827" s="1499"/>
      <c r="Y827" s="1280"/>
      <c r="Z827" s="1360"/>
      <c r="AA827" s="1055"/>
      <c r="AB827" s="1055"/>
      <c r="AC827" s="1055"/>
      <c r="AD827" s="971"/>
    </row>
    <row r="828" spans="1:30" ht="15.75" customHeight="1" outlineLevel="1">
      <c r="A828" s="1422" t="s">
        <v>3158</v>
      </c>
      <c r="B828" s="1330" t="s">
        <v>156</v>
      </c>
      <c r="C828" s="920">
        <f t="shared" si="89"/>
        <v>0.12</v>
      </c>
      <c r="D828" s="1319">
        <f t="shared" si="90"/>
        <v>0.05</v>
      </c>
      <c r="E828" s="967">
        <f>W837</f>
        <v>1</v>
      </c>
      <c r="F828" s="967">
        <v>1</v>
      </c>
      <c r="G828" s="1319">
        <f t="shared" si="88"/>
        <v>6.0000000000000001E-3</v>
      </c>
      <c r="H828" s="1310">
        <f>E828*F828</f>
        <v>1</v>
      </c>
      <c r="I828" s="1055"/>
      <c r="J828" s="1055"/>
      <c r="K828" s="1055"/>
      <c r="L828" s="1055"/>
      <c r="M828" s="1055"/>
      <c r="N828" s="1055"/>
      <c r="O828" s="1280"/>
      <c r="P828" s="1360"/>
      <c r="Q828" s="1360"/>
      <c r="R828" s="1360"/>
      <c r="S828" s="1055"/>
      <c r="T828" s="1280"/>
      <c r="U828" s="1279"/>
      <c r="V828" s="1280"/>
      <c r="W828" s="1499"/>
      <c r="X828" s="1499"/>
      <c r="Y828" s="1280"/>
      <c r="Z828" s="1360"/>
      <c r="AA828" s="1055"/>
      <c r="AB828" s="1055"/>
      <c r="AC828" s="1055"/>
      <c r="AD828" s="971"/>
    </row>
    <row r="829" spans="1:30" ht="15.75" customHeight="1" outlineLevel="1">
      <c r="A829" s="1422" t="s">
        <v>3159</v>
      </c>
      <c r="B829" s="1330" t="s">
        <v>156</v>
      </c>
      <c r="C829" s="920">
        <f t="shared" si="89"/>
        <v>0.12</v>
      </c>
      <c r="D829" s="1319">
        <f t="shared" si="90"/>
        <v>0.05</v>
      </c>
      <c r="E829" s="967">
        <f>W838</f>
        <v>1</v>
      </c>
      <c r="F829" s="967">
        <v>1</v>
      </c>
      <c r="G829" s="1319">
        <f t="shared" si="88"/>
        <v>6.0000000000000001E-3</v>
      </c>
      <c r="H829" s="1310">
        <f>E829*F829</f>
        <v>1</v>
      </c>
      <c r="I829" s="1055"/>
      <c r="J829" s="1055"/>
      <c r="K829" s="1055"/>
      <c r="L829" s="1055"/>
      <c r="M829" s="1055"/>
      <c r="N829" s="1055"/>
      <c r="O829" s="1280"/>
      <c r="P829" s="1360"/>
      <c r="Q829" s="1360"/>
      <c r="R829" s="1360"/>
      <c r="S829" s="1055"/>
      <c r="T829" s="1280"/>
      <c r="U829" s="1279"/>
      <c r="V829" s="1280"/>
      <c r="W829" s="1499"/>
      <c r="X829" s="1499"/>
      <c r="Y829" s="1280"/>
      <c r="Z829" s="1360"/>
      <c r="AA829" s="1055"/>
      <c r="AB829" s="1055"/>
      <c r="AC829" s="1055"/>
      <c r="AD829" s="971"/>
    </row>
    <row r="830" spans="1:30" ht="15.75" customHeight="1" outlineLevel="1">
      <c r="A830" s="1422" t="s">
        <v>3160</v>
      </c>
      <c r="B830" s="1330" t="s">
        <v>156</v>
      </c>
      <c r="C830" s="920">
        <f t="shared" si="89"/>
        <v>0.12</v>
      </c>
      <c r="D830" s="1319">
        <f t="shared" si="90"/>
        <v>0.05</v>
      </c>
      <c r="E830" s="967">
        <f>W839</f>
        <v>0</v>
      </c>
      <c r="F830" s="967">
        <v>1</v>
      </c>
      <c r="G830" s="1319">
        <f t="shared" si="88"/>
        <v>0</v>
      </c>
      <c r="H830" s="1310">
        <f>E829*F829</f>
        <v>1</v>
      </c>
      <c r="I830" s="1055"/>
      <c r="J830" s="1055"/>
      <c r="K830" s="1055"/>
      <c r="L830" s="1055"/>
      <c r="M830" s="1055"/>
      <c r="N830" s="1055"/>
      <c r="O830" s="1280"/>
      <c r="P830" s="1360"/>
      <c r="Q830" s="1360"/>
      <c r="R830" s="1360"/>
      <c r="S830" s="1055"/>
      <c r="T830" s="1280"/>
      <c r="U830" s="1279"/>
      <c r="V830" s="1280"/>
      <c r="W830" s="1499"/>
      <c r="X830" s="1499"/>
      <c r="Y830" s="1280"/>
      <c r="Z830" s="1360"/>
      <c r="AA830" s="1055"/>
      <c r="AB830" s="1055"/>
      <c r="AC830" s="1055"/>
      <c r="AD830" s="971"/>
    </row>
    <row r="831" spans="1:30" ht="15.75" customHeight="1" outlineLevel="1">
      <c r="A831" s="1422" t="s">
        <v>3161</v>
      </c>
      <c r="B831" s="1330" t="s">
        <v>156</v>
      </c>
      <c r="C831" s="920">
        <f t="shared" si="89"/>
        <v>0.12</v>
      </c>
      <c r="D831" s="1319">
        <f t="shared" si="90"/>
        <v>0.05</v>
      </c>
      <c r="E831" s="967">
        <f>U848</f>
        <v>0</v>
      </c>
      <c r="F831" s="967">
        <v>2</v>
      </c>
      <c r="G831" s="1319">
        <f t="shared" si="88"/>
        <v>0</v>
      </c>
      <c r="H831" s="1310"/>
      <c r="I831" s="1055"/>
      <c r="J831" s="1055"/>
      <c r="K831" s="1055"/>
      <c r="L831" s="1055"/>
      <c r="M831" s="1055"/>
      <c r="N831" s="1055"/>
      <c r="O831" s="1280"/>
      <c r="P831" s="1360"/>
      <c r="Q831" s="1360"/>
      <c r="R831" s="1360"/>
      <c r="S831" s="1055"/>
      <c r="T831" s="1280"/>
      <c r="U831" s="1279"/>
      <c r="V831" s="1280"/>
      <c r="W831" s="1499"/>
      <c r="X831" s="1499"/>
      <c r="Y831" s="1280"/>
      <c r="Z831" s="1360"/>
      <c r="AA831" s="1055"/>
      <c r="AB831" s="1055"/>
      <c r="AC831" s="1055"/>
      <c r="AD831" s="971"/>
    </row>
    <row r="832" spans="1:30" ht="15.75" customHeight="1" outlineLevel="1">
      <c r="A832" s="1422" t="s">
        <v>3162</v>
      </c>
      <c r="B832" s="1330" t="s">
        <v>156</v>
      </c>
      <c r="C832" s="920">
        <f t="shared" si="89"/>
        <v>0.12</v>
      </c>
      <c r="D832" s="1319">
        <f t="shared" si="90"/>
        <v>0.05</v>
      </c>
      <c r="E832" s="967">
        <f>W846</f>
        <v>2</v>
      </c>
      <c r="F832" s="967">
        <v>1</v>
      </c>
      <c r="G832" s="1319">
        <f t="shared" si="88"/>
        <v>1.2E-2</v>
      </c>
      <c r="H832" s="1310">
        <f>E832*F832</f>
        <v>2</v>
      </c>
      <c r="I832" s="1055"/>
      <c r="J832" s="1055"/>
      <c r="K832" s="1055"/>
      <c r="L832" s="1055"/>
      <c r="M832" s="1055"/>
      <c r="N832" s="1055"/>
      <c r="O832" s="1280"/>
      <c r="P832" s="1360"/>
      <c r="Q832" s="1360"/>
      <c r="R832" s="1360"/>
      <c r="S832" s="1055"/>
      <c r="T832" s="1280"/>
      <c r="U832" s="1279"/>
      <c r="V832" s="1280"/>
      <c r="W832" s="1499"/>
      <c r="X832" s="1499"/>
      <c r="Y832" s="1280"/>
      <c r="Z832" s="1360"/>
      <c r="AA832" s="1055"/>
      <c r="AB832" s="1055"/>
      <c r="AC832" s="1055"/>
      <c r="AD832" s="971"/>
    </row>
    <row r="833" spans="1:30" ht="15.75" customHeight="1" outlineLevel="1">
      <c r="A833" s="1422" t="s">
        <v>3163</v>
      </c>
      <c r="B833" s="1330" t="s">
        <v>156</v>
      </c>
      <c r="C833" s="920">
        <f t="shared" si="89"/>
        <v>0.12</v>
      </c>
      <c r="D833" s="1319">
        <f t="shared" si="90"/>
        <v>0.05</v>
      </c>
      <c r="E833" s="967">
        <f>W847</f>
        <v>2</v>
      </c>
      <c r="F833" s="967">
        <v>1</v>
      </c>
      <c r="G833" s="1319">
        <f t="shared" si="88"/>
        <v>1.2E-2</v>
      </c>
      <c r="H833" s="1310">
        <f>E833*F833</f>
        <v>2</v>
      </c>
      <c r="I833" s="1055"/>
      <c r="J833" s="1055"/>
      <c r="K833" s="1055"/>
      <c r="L833" s="1055"/>
      <c r="M833" s="1055"/>
      <c r="N833" s="1055"/>
      <c r="O833" s="1280"/>
      <c r="P833" s="1360"/>
      <c r="Q833" s="1360"/>
      <c r="R833" s="1360"/>
      <c r="S833" s="1055"/>
      <c r="T833" s="1280"/>
      <c r="U833" s="1279"/>
      <c r="V833" s="1280"/>
      <c r="W833" s="1499"/>
      <c r="X833" s="1499"/>
      <c r="Y833" s="1280"/>
      <c r="Z833" s="1360"/>
      <c r="AA833" s="1055"/>
      <c r="AB833" s="1055"/>
      <c r="AC833" s="1055"/>
      <c r="AD833" s="971"/>
    </row>
    <row r="834" spans="1:30" ht="15.75" customHeight="1" outlineLevel="1">
      <c r="A834" s="3163" t="s">
        <v>3345</v>
      </c>
      <c r="B834" s="3163"/>
      <c r="C834" s="1502"/>
      <c r="D834" s="1062"/>
      <c r="E834" s="1503">
        <f>IF('Ввод данных'!A6=связи1!A94,0,0)+IF('Ввод данных'!A6=связи1!A95,1,0)+IF('Ввод данных'!A6=связи1!A96,1,0)+IF('Ввод данных'!A6=связи1!A97,0,0)+IF('Ввод данных'!A6=связи1!A98,1,0)</f>
        <v>0</v>
      </c>
      <c r="F834" s="1246"/>
      <c r="G834" s="1055">
        <f>SUM(G637:G833)</f>
        <v>0.14130000000000001</v>
      </c>
      <c r="H834" s="1055"/>
      <c r="I834" s="1055"/>
      <c r="J834" s="1055"/>
      <c r="K834" s="1055"/>
      <c r="L834" s="1055"/>
      <c r="M834" s="1055"/>
      <c r="N834" s="1055"/>
      <c r="O834" s="1280"/>
      <c r="P834" s="1360"/>
      <c r="Q834" s="1360"/>
      <c r="R834" s="1401">
        <f>связи1!F190</f>
        <v>0.4</v>
      </c>
      <c r="S834" s="1400">
        <f>S620+S624+S625+S623</f>
        <v>0</v>
      </c>
      <c r="T834" s="1400">
        <f>R834*S834</f>
        <v>0</v>
      </c>
      <c r="U834" s="1279"/>
      <c r="V834" s="1280"/>
      <c r="W834" s="1499"/>
      <c r="X834" s="1499"/>
      <c r="Y834" s="1280"/>
      <c r="Z834" s="1360"/>
      <c r="AA834" s="1055"/>
      <c r="AB834" s="1055"/>
      <c r="AC834" s="1055"/>
      <c r="AD834" s="971"/>
    </row>
    <row r="835" spans="1:30" ht="15.75" customHeight="1" outlineLevel="1">
      <c r="A835" s="1504"/>
      <c r="B835" s="1342" t="s">
        <v>120</v>
      </c>
      <c r="C835" s="1374" t="s">
        <v>853</v>
      </c>
      <c r="D835" s="1018" t="s">
        <v>1802</v>
      </c>
      <c r="E835" s="1330" t="s">
        <v>293</v>
      </c>
      <c r="F835" s="1330" t="s">
        <v>2974</v>
      </c>
      <c r="G835" s="1018" t="s">
        <v>2156</v>
      </c>
      <c r="H835" s="1018"/>
      <c r="I835" s="1018" t="s">
        <v>2807</v>
      </c>
      <c r="J835" s="1018" t="s">
        <v>2975</v>
      </c>
      <c r="K835" s="1018" t="s">
        <v>1800</v>
      </c>
      <c r="L835" s="1018"/>
      <c r="M835" s="1018"/>
      <c r="N835" s="1018"/>
      <c r="O835" s="982" t="s">
        <v>2976</v>
      </c>
      <c r="P835" s="1397" t="s">
        <v>2977</v>
      </c>
      <c r="Q835" s="1397" t="s">
        <v>2978</v>
      </c>
      <c r="R835" s="1397" t="s">
        <v>2979</v>
      </c>
      <c r="S835" s="1055" t="s">
        <v>2572</v>
      </c>
      <c r="T835" s="982" t="s">
        <v>2980</v>
      </c>
      <c r="U835" s="1279"/>
      <c r="V835" s="1280"/>
      <c r="W835" s="1499"/>
      <c r="X835" s="1499"/>
      <c r="Y835" s="1280"/>
      <c r="Z835" s="1360"/>
      <c r="AA835" s="1055"/>
      <c r="AB835" s="1055"/>
      <c r="AC835" s="1055"/>
      <c r="AD835" s="971"/>
    </row>
    <row r="836" spans="1:30" ht="15.75" customHeight="1" outlineLevel="1">
      <c r="A836" s="3151" t="s">
        <v>3165</v>
      </c>
      <c r="B836" s="1342" t="s">
        <v>156</v>
      </c>
      <c r="C836" s="1247">
        <f>'Ввод данных'!C128*E834</f>
        <v>0</v>
      </c>
      <c r="D836" s="1055">
        <f>'Ввод данных'!D128</f>
        <v>1</v>
      </c>
      <c r="E836" s="1246">
        <f>$E$834*'Ввод данных'!C16</f>
        <v>0</v>
      </c>
      <c r="F836" s="1246">
        <f>C836*D836*E836</f>
        <v>0</v>
      </c>
      <c r="G836" s="1055">
        <f>G375</f>
        <v>0.6</v>
      </c>
      <c r="H836" s="1055"/>
      <c r="I836" s="1055">
        <f>IF(C836=0,0,C836/G836+1)</f>
        <v>0</v>
      </c>
      <c r="J836" s="1055">
        <f>$J$375</f>
        <v>0.05</v>
      </c>
      <c r="K836" s="1055">
        <f>$C$151</f>
        <v>0.12</v>
      </c>
      <c r="L836" s="1055"/>
      <c r="M836" s="1055"/>
      <c r="N836" s="1055"/>
      <c r="O836" s="1280">
        <f>E836*I836*J836*K836</f>
        <v>0</v>
      </c>
      <c r="P836" s="1360">
        <f>C836</f>
        <v>0</v>
      </c>
      <c r="Q836" s="1360">
        <f>C836</f>
        <v>0</v>
      </c>
      <c r="R836" s="1360">
        <f>C836</f>
        <v>0</v>
      </c>
      <c r="S836" s="1055">
        <f>C836*D836</f>
        <v>0</v>
      </c>
      <c r="T836" s="1280">
        <f>(P836+Q836+R836)*J836*K836</f>
        <v>0</v>
      </c>
      <c r="U836" s="1505">
        <f>'Ввод данных'!E99</f>
        <v>0</v>
      </c>
      <c r="V836" s="1438">
        <f>U836*E836*J836*$K$124</f>
        <v>0</v>
      </c>
      <c r="W836" s="1506">
        <f>'Ввод данных'!C99</f>
        <v>0.8</v>
      </c>
      <c r="X836" s="1506"/>
      <c r="Y836" s="1383">
        <f>W836*$K$124*J836</f>
        <v>6.0000000000000001E-3</v>
      </c>
      <c r="Z836" s="1360"/>
      <c r="AA836" s="1055"/>
      <c r="AB836" s="1055"/>
      <c r="AC836" s="1055"/>
      <c r="AD836" s="971"/>
    </row>
    <row r="837" spans="1:30" ht="15.75" customHeight="1" outlineLevel="1">
      <c r="A837" s="3151"/>
      <c r="B837" s="1342" t="s">
        <v>156</v>
      </c>
      <c r="C837" s="1247">
        <f>'Ввод данных'!C129*E834</f>
        <v>0</v>
      </c>
      <c r="D837" s="1055">
        <f>'Ввод данных'!D129</f>
        <v>0</v>
      </c>
      <c r="E837" s="1246">
        <f>$E$834*'Ввод данных'!C16</f>
        <v>0</v>
      </c>
      <c r="F837" s="1246">
        <f>C837*D837*E837</f>
        <v>0</v>
      </c>
      <c r="G837" s="1055">
        <f>G376</f>
        <v>0.6</v>
      </c>
      <c r="H837" s="1055"/>
      <c r="I837" s="1055">
        <f>IF(C837=0,0,C837/G837+1)</f>
        <v>0</v>
      </c>
      <c r="J837" s="1055">
        <f>$J$375</f>
        <v>0.05</v>
      </c>
      <c r="K837" s="1055">
        <f>$C$151</f>
        <v>0.12</v>
      </c>
      <c r="L837" s="1055"/>
      <c r="M837" s="1055"/>
      <c r="N837" s="1055"/>
      <c r="O837" s="1280">
        <f>E837*I837*J837*K837</f>
        <v>0</v>
      </c>
      <c r="P837" s="1360">
        <f>C837</f>
        <v>0</v>
      </c>
      <c r="Q837" s="1360">
        <f>C837</f>
        <v>0</v>
      </c>
      <c r="R837" s="1360">
        <f>C837</f>
        <v>0</v>
      </c>
      <c r="S837" s="1055">
        <f>C837*D837</f>
        <v>0</v>
      </c>
      <c r="T837" s="1280">
        <f>(P837+Q837+R837)*J837*K837</f>
        <v>0</v>
      </c>
      <c r="U837" s="1505">
        <f>'Ввод данных'!E100</f>
        <v>0</v>
      </c>
      <c r="V837" s="1438">
        <f>U837*E837*J837*$K$124</f>
        <v>0</v>
      </c>
      <c r="W837" s="1506">
        <f>'Ввод данных'!C100</f>
        <v>1</v>
      </c>
      <c r="X837" s="1506"/>
      <c r="Y837" s="1383">
        <f>W837*$K$124*J837</f>
        <v>7.4999999999999997E-3</v>
      </c>
      <c r="Z837" s="1360"/>
      <c r="AA837" s="1055"/>
      <c r="AB837" s="1055"/>
      <c r="AC837" s="1055"/>
      <c r="AD837" s="971"/>
    </row>
    <row r="838" spans="1:30" ht="15.75" customHeight="1" outlineLevel="1">
      <c r="A838" s="3151"/>
      <c r="B838" s="1342" t="s">
        <v>156</v>
      </c>
      <c r="C838" s="1247">
        <f>'Ввод данных'!C130*E834</f>
        <v>0</v>
      </c>
      <c r="D838" s="1055">
        <f>'Ввод данных'!D130</f>
        <v>0</v>
      </c>
      <c r="E838" s="1246">
        <f>$E$834*'Ввод данных'!C16</f>
        <v>0</v>
      </c>
      <c r="F838" s="1246">
        <f>C838*D838*E838</f>
        <v>0</v>
      </c>
      <c r="G838" s="1055">
        <f>G377</f>
        <v>0.6</v>
      </c>
      <c r="H838" s="1055"/>
      <c r="I838" s="1055">
        <f>IF(C838=0,0,C838/G838+1)</f>
        <v>0</v>
      </c>
      <c r="J838" s="1055">
        <f>$J$375</f>
        <v>0.05</v>
      </c>
      <c r="K838" s="1055">
        <f>$C$151</f>
        <v>0.12</v>
      </c>
      <c r="L838" s="1055"/>
      <c r="M838" s="1055"/>
      <c r="N838" s="1055"/>
      <c r="O838" s="1280">
        <f>E838*I838*J838*K838</f>
        <v>0</v>
      </c>
      <c r="P838" s="1360">
        <f>C838</f>
        <v>0</v>
      </c>
      <c r="Q838" s="1360">
        <f>C838</f>
        <v>0</v>
      </c>
      <c r="R838" s="1360">
        <f>C838</f>
        <v>0</v>
      </c>
      <c r="S838" s="1055">
        <f>C838*D838</f>
        <v>0</v>
      </c>
      <c r="T838" s="1280">
        <f>(P838+Q838+R838)*J838*K838</f>
        <v>0</v>
      </c>
      <c r="U838" s="1505">
        <f>'Ввод данных'!E103</f>
        <v>0</v>
      </c>
      <c r="V838" s="1438">
        <f>U838*E838*J838*$K$124</f>
        <v>0</v>
      </c>
      <c r="W838" s="1506">
        <f>'Ввод данных'!C103</f>
        <v>1</v>
      </c>
      <c r="X838" s="1506"/>
      <c r="Y838" s="1383">
        <f>W838*$K$124*J838</f>
        <v>7.4999999999999997E-3</v>
      </c>
      <c r="Z838" s="1360"/>
      <c r="AA838" s="1055"/>
      <c r="AB838" s="1055"/>
      <c r="AC838" s="1055"/>
      <c r="AD838" s="971"/>
    </row>
    <row r="839" spans="1:30" ht="15.75" customHeight="1" outlineLevel="1">
      <c r="A839" s="3151"/>
      <c r="B839" s="1342" t="s">
        <v>156</v>
      </c>
      <c r="C839" s="1247">
        <f>'Ввод данных'!C131*E834</f>
        <v>0</v>
      </c>
      <c r="D839" s="1055">
        <f>'Ввод данных'!D131</f>
        <v>0</v>
      </c>
      <c r="E839" s="1246">
        <f>$E$834*'Ввод данных'!C16</f>
        <v>0</v>
      </c>
      <c r="F839" s="1246">
        <f>C839*D839*E839</f>
        <v>0</v>
      </c>
      <c r="G839" s="1055">
        <f>G378</f>
        <v>0.6</v>
      </c>
      <c r="H839" s="1055"/>
      <c r="I839" s="1055">
        <f>IF(C839=0,0,C839/G839+1)</f>
        <v>0</v>
      </c>
      <c r="J839" s="1055">
        <f>$J$375</f>
        <v>0.05</v>
      </c>
      <c r="K839" s="1055">
        <f>$C$151</f>
        <v>0.12</v>
      </c>
      <c r="L839" s="1055"/>
      <c r="M839" s="1055"/>
      <c r="N839" s="1055"/>
      <c r="O839" s="1280">
        <f>E839*I839*J839*K839</f>
        <v>0</v>
      </c>
      <c r="P839" s="1360">
        <f>C839</f>
        <v>0</v>
      </c>
      <c r="Q839" s="1360">
        <f>C839</f>
        <v>0</v>
      </c>
      <c r="R839" s="1360">
        <f>C839</f>
        <v>0</v>
      </c>
      <c r="S839" s="1055">
        <f>C839*D839</f>
        <v>0</v>
      </c>
      <c r="T839" s="1280">
        <f>(P839+Q839+R839)*J839*K839</f>
        <v>0</v>
      </c>
      <c r="U839" s="1279">
        <f>SUM(U836:U838)</f>
        <v>0</v>
      </c>
      <c r="V839" s="1280"/>
      <c r="W839" s="1499"/>
      <c r="X839" s="1499"/>
      <c r="Y839" s="1280"/>
      <c r="Z839" s="1055"/>
      <c r="AA839" s="1055"/>
      <c r="AB839" s="1055"/>
      <c r="AC839" s="1055"/>
      <c r="AD839" s="971"/>
    </row>
    <row r="840" spans="1:30" ht="15.75" customHeight="1" outlineLevel="1">
      <c r="A840" s="1430"/>
      <c r="B840" s="1342"/>
      <c r="C840" s="1247"/>
      <c r="D840" s="1055"/>
      <c r="E840" s="1246">
        <f>$E$834*($E$621+$E$620)</f>
        <v>0</v>
      </c>
      <c r="F840" s="1246"/>
      <c r="G840" s="1055"/>
      <c r="H840" s="1055"/>
      <c r="I840" s="1055">
        <f>CEILING(SUM(I836:I839),1)</f>
        <v>0</v>
      </c>
      <c r="J840" s="1055"/>
      <c r="K840" s="1055"/>
      <c r="L840" s="1055"/>
      <c r="M840" s="1055"/>
      <c r="N840" s="1055"/>
      <c r="O840" s="1401">
        <f>связи1!F191</f>
        <v>0.3</v>
      </c>
      <c r="P840" s="1360">
        <f>SUM(P836:P839)</f>
        <v>0</v>
      </c>
      <c r="Q840" s="1360">
        <f>SUM(Q836:Q839)</f>
        <v>0</v>
      </c>
      <c r="R840" s="1197">
        <f>SUM(R836:R839)</f>
        <v>0</v>
      </c>
      <c r="S840" s="1400">
        <f>SUM(S836:S839)</f>
        <v>0</v>
      </c>
      <c r="T840" s="1400">
        <f>O840*S840</f>
        <v>0</v>
      </c>
      <c r="U840" s="1279"/>
      <c r="V840" s="1280"/>
      <c r="W840" s="1499"/>
      <c r="X840" s="1499"/>
      <c r="Y840" s="1400">
        <f>(U836*W836+U837*W837+U838*W838)*R834</f>
        <v>0</v>
      </c>
      <c r="Z840" s="1055"/>
      <c r="AA840" s="1055"/>
      <c r="AB840" s="1055"/>
      <c r="AC840" s="1055"/>
      <c r="AD840" s="971"/>
    </row>
    <row r="841" spans="1:30" ht="15.75" customHeight="1" outlineLevel="1">
      <c r="A841" s="3151" t="s">
        <v>3166</v>
      </c>
      <c r="B841" s="1342" t="s">
        <v>156</v>
      </c>
      <c r="C841" s="1247">
        <f>'Ввод данных'!C132*E834</f>
        <v>0</v>
      </c>
      <c r="D841" s="1055">
        <f>'Ввод данных'!D132</f>
        <v>0</v>
      </c>
      <c r="E841" s="1246">
        <f>$E$834*'Ввод данных'!C16</f>
        <v>0</v>
      </c>
      <c r="F841" s="1246">
        <f>C841*D841*E841</f>
        <v>0</v>
      </c>
      <c r="G841" s="1055">
        <f>G380</f>
        <v>0.6</v>
      </c>
      <c r="H841" s="1055"/>
      <c r="I841" s="1055">
        <f>IF(C841=0,0,C841/G841+1)</f>
        <v>0</v>
      </c>
      <c r="J841" s="1055">
        <f>$D$180</f>
        <v>0.05</v>
      </c>
      <c r="K841" s="1055">
        <f>$C$180</f>
        <v>0.17</v>
      </c>
      <c r="L841" s="1055"/>
      <c r="M841" s="1055"/>
      <c r="N841" s="1055"/>
      <c r="O841" s="1280">
        <f>E841*I841*J841*K841</f>
        <v>0</v>
      </c>
      <c r="P841" s="1360">
        <f>C841</f>
        <v>0</v>
      </c>
      <c r="Q841" s="1360">
        <f>C841</f>
        <v>0</v>
      </c>
      <c r="R841" s="1360"/>
      <c r="S841" s="1055">
        <f>C841*D841</f>
        <v>0</v>
      </c>
      <c r="T841" s="1280">
        <f>(P841+Q841+R841)*J841*K841</f>
        <v>0</v>
      </c>
      <c r="U841" s="1055"/>
      <c r="V841" s="1280"/>
      <c r="W841" s="1055"/>
      <c r="X841" s="1055"/>
      <c r="Y841" s="1280"/>
      <c r="Z841" s="1360"/>
      <c r="AA841" s="1055"/>
      <c r="AB841" s="1055"/>
      <c r="AC841" s="1055"/>
      <c r="AD841" s="971"/>
    </row>
    <row r="842" spans="1:30" ht="15.75" customHeight="1" outlineLevel="1">
      <c r="A842" s="3151"/>
      <c r="B842" s="1342" t="s">
        <v>156</v>
      </c>
      <c r="C842" s="1247">
        <f>'Ввод данных'!C133*E834</f>
        <v>0</v>
      </c>
      <c r="D842" s="1055">
        <f>'Ввод данных'!D133</f>
        <v>0</v>
      </c>
      <c r="E842" s="1246">
        <f>$E$834*'Ввод данных'!C16</f>
        <v>0</v>
      </c>
      <c r="F842" s="1246">
        <f>C842*D842*E842</f>
        <v>0</v>
      </c>
      <c r="G842" s="1055">
        <f>G381</f>
        <v>0.6</v>
      </c>
      <c r="H842" s="1055"/>
      <c r="I842" s="1055">
        <f>IF(C842=0,0,C842/G842+1)</f>
        <v>0</v>
      </c>
      <c r="J842" s="1055">
        <f>$D$180</f>
        <v>0.05</v>
      </c>
      <c r="K842" s="1055">
        <f>$C$180</f>
        <v>0.17</v>
      </c>
      <c r="L842" s="1055"/>
      <c r="M842" s="1055"/>
      <c r="N842" s="1055"/>
      <c r="O842" s="1280">
        <f>E842*I842*J842*K842</f>
        <v>0</v>
      </c>
      <c r="P842" s="1360">
        <f>C842</f>
        <v>0</v>
      </c>
      <c r="Q842" s="1360">
        <f>C842</f>
        <v>0</v>
      </c>
      <c r="R842" s="1360"/>
      <c r="S842" s="1055">
        <f>C842*D842</f>
        <v>0</v>
      </c>
      <c r="T842" s="1280">
        <f>(P842+Q842+R842)*J842*K842</f>
        <v>0</v>
      </c>
      <c r="U842" s="1055"/>
      <c r="V842" s="1280"/>
      <c r="W842" s="1055"/>
      <c r="X842" s="1055"/>
      <c r="Y842" s="1280"/>
      <c r="Z842" s="1360"/>
      <c r="AA842" s="1055"/>
      <c r="AB842" s="1055"/>
      <c r="AC842" s="1055"/>
      <c r="AD842" s="971"/>
    </row>
    <row r="843" spans="1:30" ht="15.75" customHeight="1" outlineLevel="1">
      <c r="A843" s="3151"/>
      <c r="B843" s="1342" t="s">
        <v>156</v>
      </c>
      <c r="C843" s="1247">
        <f>'Ввод данных'!C134*E834</f>
        <v>0</v>
      </c>
      <c r="D843" s="1055">
        <f>'Ввод данных'!D134</f>
        <v>0</v>
      </c>
      <c r="E843" s="1246">
        <f>$E$834*'Ввод данных'!C16</f>
        <v>0</v>
      </c>
      <c r="F843" s="1246">
        <f>C843*D843*E843</f>
        <v>0</v>
      </c>
      <c r="G843" s="1055">
        <f>G382</f>
        <v>0.6</v>
      </c>
      <c r="H843" s="1055"/>
      <c r="I843" s="1055">
        <f>IF(C843=0,0,C843/G843+1)</f>
        <v>0</v>
      </c>
      <c r="J843" s="1055">
        <f>$D$180</f>
        <v>0.05</v>
      </c>
      <c r="K843" s="1055">
        <f>$C$180</f>
        <v>0.17</v>
      </c>
      <c r="L843" s="1055"/>
      <c r="M843" s="1055"/>
      <c r="N843" s="1055"/>
      <c r="O843" s="1280">
        <f>E843*I843*J843*K843</f>
        <v>0</v>
      </c>
      <c r="P843" s="1360">
        <f>C843</f>
        <v>0</v>
      </c>
      <c r="Q843" s="1360">
        <f>C843</f>
        <v>0</v>
      </c>
      <c r="R843" s="1360"/>
      <c r="S843" s="1055">
        <f>C843*D843</f>
        <v>0</v>
      </c>
      <c r="T843" s="1280">
        <f>(P843+Q843+R843)*J843*K843</f>
        <v>0</v>
      </c>
      <c r="U843" s="1055"/>
      <c r="V843" s="1280"/>
      <c r="W843" s="1055"/>
      <c r="X843" s="1055"/>
      <c r="Y843" s="1280"/>
      <c r="Z843" s="1360"/>
      <c r="AA843" s="1055"/>
      <c r="AB843" s="1055"/>
      <c r="AC843" s="1055"/>
      <c r="AD843" s="971"/>
    </row>
    <row r="844" spans="1:30" ht="15.75" customHeight="1" outlineLevel="1">
      <c r="A844" s="3151"/>
      <c r="B844" s="1342" t="s">
        <v>156</v>
      </c>
      <c r="C844" s="1247">
        <f>'Ввод данных'!C135*E834</f>
        <v>0</v>
      </c>
      <c r="D844" s="1055">
        <f>'Ввод данных'!D135</f>
        <v>0</v>
      </c>
      <c r="E844" s="1246">
        <f>$E$834*'Ввод данных'!C16</f>
        <v>0</v>
      </c>
      <c r="F844" s="1246">
        <f>C844*D844*E844</f>
        <v>0</v>
      </c>
      <c r="G844" s="1055">
        <f>G383</f>
        <v>0.6</v>
      </c>
      <c r="H844" s="1055"/>
      <c r="I844" s="1055">
        <f>IF(C844=0,0,C844/G844+1)</f>
        <v>0</v>
      </c>
      <c r="J844" s="1055">
        <f>$D$180</f>
        <v>0.05</v>
      </c>
      <c r="K844" s="1055">
        <f>$C$180</f>
        <v>0.17</v>
      </c>
      <c r="L844" s="1055"/>
      <c r="M844" s="1055"/>
      <c r="N844" s="1055"/>
      <c r="O844" s="1280">
        <f>E844*I844*J844*K844</f>
        <v>0</v>
      </c>
      <c r="P844" s="1360">
        <f>C844</f>
        <v>0</v>
      </c>
      <c r="Q844" s="1360">
        <f>C844</f>
        <v>0</v>
      </c>
      <c r="R844" s="1360"/>
      <c r="S844" s="1055">
        <f>C844*D844</f>
        <v>0</v>
      </c>
      <c r="T844" s="1280">
        <f>(P844+Q844+R844)*J844*K844</f>
        <v>0</v>
      </c>
      <c r="U844" s="1279"/>
      <c r="V844" s="1280"/>
      <c r="W844" s="1499"/>
      <c r="X844" s="1499"/>
      <c r="Y844" s="1280"/>
      <c r="Z844" s="1055"/>
      <c r="AA844" s="1055"/>
      <c r="AB844" s="1055"/>
      <c r="AC844" s="1055"/>
      <c r="AD844" s="971"/>
    </row>
    <row r="845" spans="1:30" ht="15.75" customHeight="1" outlineLevel="1">
      <c r="A845" s="1430"/>
      <c r="B845" s="1342"/>
      <c r="C845" s="1247"/>
      <c r="D845" s="1055"/>
      <c r="E845" s="1246">
        <f>$E$834*($E$621+$E$620)</f>
        <v>0</v>
      </c>
      <c r="F845" s="1246"/>
      <c r="G845" s="1055"/>
      <c r="H845" s="1055"/>
      <c r="I845" s="1055">
        <f>CEILING(SUM(I841:I844),1)</f>
        <v>0</v>
      </c>
      <c r="J845" s="1055"/>
      <c r="K845" s="1055"/>
      <c r="L845" s="1055"/>
      <c r="M845" s="1055"/>
      <c r="N845" s="1055"/>
      <c r="O845" s="1401">
        <f>связи1!F192</f>
        <v>0.2</v>
      </c>
      <c r="P845" s="1360">
        <f>SUM(P841:P844)</f>
        <v>0</v>
      </c>
      <c r="Q845" s="1360">
        <f>SUM(Q841:Q844)</f>
        <v>0</v>
      </c>
      <c r="S845" s="1400">
        <f>SUM(S841:S844)</f>
        <v>0</v>
      </c>
      <c r="T845" s="1400">
        <f>O845*S845</f>
        <v>0</v>
      </c>
      <c r="U845" s="1279"/>
      <c r="V845" s="1280"/>
      <c r="W845" s="1499"/>
      <c r="X845" s="1499"/>
      <c r="Y845" s="1280"/>
      <c r="Z845" s="1055"/>
      <c r="AA845" s="1055"/>
      <c r="AB845" s="1055"/>
      <c r="AC845" s="1055"/>
      <c r="AD845" s="971"/>
    </row>
    <row r="846" spans="1:30" ht="15.75" customHeight="1" outlineLevel="1">
      <c r="A846" s="3151" t="s">
        <v>3167</v>
      </c>
      <c r="B846" s="1342"/>
      <c r="C846" s="1247">
        <f>'Ввод данных'!C136*E834</f>
        <v>0</v>
      </c>
      <c r="D846" s="1055">
        <f>'Ввод данных'!D136</f>
        <v>1</v>
      </c>
      <c r="E846" s="1246">
        <f>$E$834*'Ввод данных'!C16</f>
        <v>0</v>
      </c>
      <c r="F846" s="1246">
        <f>C846*D846*E846</f>
        <v>0</v>
      </c>
      <c r="G846" s="1055">
        <f>G385</f>
        <v>0.6</v>
      </c>
      <c r="H846" s="1055"/>
      <c r="I846" s="1055">
        <f>IF(C846=0,0,C846/G846+1)</f>
        <v>0</v>
      </c>
      <c r="J846" s="1055">
        <f>$J$375</f>
        <v>0.05</v>
      </c>
      <c r="K846" s="1055">
        <f>$C$151</f>
        <v>0.12</v>
      </c>
      <c r="L846" s="1055"/>
      <c r="M846" s="1055"/>
      <c r="N846" s="1055"/>
      <c r="O846" s="1280">
        <f>E846*I846*J846*K846</f>
        <v>0</v>
      </c>
      <c r="P846" s="1360">
        <f>C846</f>
        <v>0</v>
      </c>
      <c r="Q846" s="1360">
        <f>C846</f>
        <v>0</v>
      </c>
      <c r="R846" s="1360">
        <f>C846</f>
        <v>0</v>
      </c>
      <c r="S846" s="1055">
        <f>C846*D846</f>
        <v>0</v>
      </c>
      <c r="T846" s="1280">
        <f>(P846+Q846+R846)*J846*K846</f>
        <v>0</v>
      </c>
      <c r="U846" s="1505">
        <f>'Ввод данных'!E101</f>
        <v>0</v>
      </c>
      <c r="V846" s="1438">
        <f>U846*E846*J846*$K$124</f>
        <v>0</v>
      </c>
      <c r="W846" s="1506">
        <f>'Ввод данных'!C101</f>
        <v>2</v>
      </c>
      <c r="X846" s="1506"/>
      <c r="Y846" s="1383">
        <f>W846*$K$124*J846</f>
        <v>1.4999999999999999E-2</v>
      </c>
      <c r="Z846" s="1360"/>
      <c r="AA846" s="1055"/>
      <c r="AB846" s="1055"/>
      <c r="AC846" s="1055"/>
      <c r="AD846" s="971"/>
    </row>
    <row r="847" spans="1:30" ht="15.75" customHeight="1" outlineLevel="1">
      <c r="A847" s="3151"/>
      <c r="B847" s="1342"/>
      <c r="C847" s="1247">
        <f>'Ввод данных'!C137*E834</f>
        <v>0</v>
      </c>
      <c r="D847" s="1055">
        <f>'Ввод данных'!D137</f>
        <v>1</v>
      </c>
      <c r="E847" s="1246">
        <f>$E$834*'Ввод данных'!C16</f>
        <v>0</v>
      </c>
      <c r="F847" s="1246">
        <f>C847*D847*E847</f>
        <v>0</v>
      </c>
      <c r="G847" s="1055">
        <f>G386</f>
        <v>0.6</v>
      </c>
      <c r="H847" s="1055"/>
      <c r="I847" s="1055">
        <f>IF(C847=0,0,C847/G847+1)</f>
        <v>0</v>
      </c>
      <c r="J847" s="1055">
        <f>$J$375</f>
        <v>0.05</v>
      </c>
      <c r="K847" s="1055">
        <f>$C$151</f>
        <v>0.12</v>
      </c>
      <c r="L847" s="1055"/>
      <c r="M847" s="1055"/>
      <c r="N847" s="1055"/>
      <c r="O847" s="1280">
        <f>E847*I847*J847*K847</f>
        <v>0</v>
      </c>
      <c r="P847" s="1360">
        <f>C847</f>
        <v>0</v>
      </c>
      <c r="Q847" s="1360">
        <f>C847</f>
        <v>0</v>
      </c>
      <c r="R847" s="1360">
        <f>C847</f>
        <v>0</v>
      </c>
      <c r="S847" s="1055">
        <f>C847*D847</f>
        <v>0</v>
      </c>
      <c r="T847" s="1280">
        <f>(P847+Q847+R847)*J847*K847</f>
        <v>0</v>
      </c>
      <c r="U847" s="1505">
        <f>'Ввод данных'!E105</f>
        <v>0</v>
      </c>
      <c r="V847" s="1438">
        <f>U847*E847*J847*$K$124</f>
        <v>0</v>
      </c>
      <c r="W847" s="1506">
        <f>'Ввод данных'!C105</f>
        <v>2</v>
      </c>
      <c r="X847" s="1506"/>
      <c r="Y847" s="1383">
        <f>W847*$K$124*J847</f>
        <v>1.4999999999999999E-2</v>
      </c>
      <c r="Z847" s="1360"/>
      <c r="AA847" s="1055"/>
      <c r="AB847" s="1055"/>
      <c r="AC847" s="1055"/>
      <c r="AD847" s="971"/>
    </row>
    <row r="848" spans="1:30" ht="15.75" customHeight="1" outlineLevel="1">
      <c r="A848" s="3151"/>
      <c r="B848" s="1342"/>
      <c r="C848" s="1247">
        <f>'Ввод данных'!C138*E834</f>
        <v>0</v>
      </c>
      <c r="D848" s="1055">
        <f>'Ввод данных'!D138</f>
        <v>1</v>
      </c>
      <c r="E848" s="1246">
        <f>$E$834*'Ввод данных'!C16</f>
        <v>0</v>
      </c>
      <c r="F848" s="1246">
        <f>C848*D848*E848</f>
        <v>0</v>
      </c>
      <c r="G848" s="1055">
        <f>G387</f>
        <v>0.6</v>
      </c>
      <c r="H848" s="1055"/>
      <c r="I848" s="1055">
        <f>IF(C848=0,0,C848/G848+1)</f>
        <v>0</v>
      </c>
      <c r="J848" s="1055">
        <f>$J$375</f>
        <v>0.05</v>
      </c>
      <c r="K848" s="1055">
        <f>$C$151</f>
        <v>0.12</v>
      </c>
      <c r="L848" s="1055"/>
      <c r="M848" s="1055"/>
      <c r="N848" s="1055"/>
      <c r="O848" s="1280">
        <f>E848*I848*J848*K848</f>
        <v>0</v>
      </c>
      <c r="P848" s="1360">
        <f>C848</f>
        <v>0</v>
      </c>
      <c r="Q848" s="1360">
        <f>C848</f>
        <v>0</v>
      </c>
      <c r="R848" s="1360">
        <f>C848</f>
        <v>0</v>
      </c>
      <c r="S848" s="1055">
        <f>C848*D848</f>
        <v>0</v>
      </c>
      <c r="T848" s="1280">
        <f>(P848+Q848+R848)*J848*K848</f>
        <v>0</v>
      </c>
      <c r="U848" s="1055">
        <f>SUM(U846:U847)</f>
        <v>0</v>
      </c>
      <c r="V848" s="1280"/>
      <c r="W848" s="1279"/>
      <c r="X848" s="1279"/>
      <c r="Y848" s="1346"/>
      <c r="Z848" s="1055"/>
      <c r="AA848" s="1055"/>
      <c r="AB848" s="1055"/>
      <c r="AC848" s="1055"/>
      <c r="AD848" s="971"/>
    </row>
    <row r="849" spans="1:30" ht="15.75" customHeight="1" outlineLevel="1">
      <c r="A849" s="3151"/>
      <c r="B849" s="1342"/>
      <c r="C849" s="1247">
        <f>'Ввод данных'!C139*E834</f>
        <v>0</v>
      </c>
      <c r="D849" s="1055">
        <f>'Ввод данных'!D139</f>
        <v>0</v>
      </c>
      <c r="E849" s="1246">
        <f>$E$834*'Ввод данных'!C16</f>
        <v>0</v>
      </c>
      <c r="F849" s="1246">
        <f>C849*D849*E849</f>
        <v>0</v>
      </c>
      <c r="G849" s="1055">
        <f>G388</f>
        <v>0.6</v>
      </c>
      <c r="H849" s="1055"/>
      <c r="I849" s="1055">
        <f>IF(C849=0,0,C849/G849+1)</f>
        <v>0</v>
      </c>
      <c r="J849" s="1055">
        <f>$J$375</f>
        <v>0.05</v>
      </c>
      <c r="K849" s="1055">
        <f>$C$151</f>
        <v>0.12</v>
      </c>
      <c r="L849" s="1055"/>
      <c r="M849" s="1055"/>
      <c r="N849" s="1055"/>
      <c r="O849" s="1280">
        <f>E849*I849*J849*K849</f>
        <v>0</v>
      </c>
      <c r="P849" s="1360">
        <f>C849</f>
        <v>0</v>
      </c>
      <c r="Q849" s="1360">
        <f>C849</f>
        <v>0</v>
      </c>
      <c r="R849" s="1360">
        <f>C849</f>
        <v>0</v>
      </c>
      <c r="S849" s="1055">
        <f>C849*D849</f>
        <v>0</v>
      </c>
      <c r="T849" s="1280">
        <f>(P849+Q849+R849)*J849*K849</f>
        <v>0</v>
      </c>
      <c r="U849" s="1055"/>
      <c r="V849" s="1280"/>
      <c r="W849" s="1055"/>
      <c r="X849" s="1055"/>
      <c r="Y849" s="1346"/>
      <c r="Z849" s="1055"/>
      <c r="AA849" s="1055"/>
      <c r="AB849" s="1055"/>
      <c r="AC849" s="1055"/>
      <c r="AD849" s="971"/>
    </row>
    <row r="850" spans="1:30" ht="15.75" customHeight="1" outlineLevel="1">
      <c r="A850" s="1430"/>
      <c r="B850" s="1342"/>
      <c r="C850" s="1247"/>
      <c r="D850" s="1055"/>
      <c r="E850" s="1246">
        <f>$E$834*($E$621+$E$620)</f>
        <v>0</v>
      </c>
      <c r="F850" s="1246"/>
      <c r="G850" s="1055"/>
      <c r="H850" s="1055"/>
      <c r="I850" s="1055">
        <f>CEILING(SUM(I846:I849),1)</f>
        <v>0</v>
      </c>
      <c r="J850" s="1055"/>
      <c r="K850" s="1055"/>
      <c r="L850" s="1055"/>
      <c r="M850" s="1055"/>
      <c r="N850" s="1055"/>
      <c r="O850" s="1401">
        <f>связи1!F191</f>
        <v>0.3</v>
      </c>
      <c r="P850" s="1360">
        <f>SUM(P846:P849)</f>
        <v>0</v>
      </c>
      <c r="Q850" s="1360">
        <f>SUM(Q846:Q849)</f>
        <v>0</v>
      </c>
      <c r="R850" s="1197">
        <f>SUM(R846:R849)</f>
        <v>0</v>
      </c>
      <c r="S850" s="1400">
        <f>SUM(S846:S849)</f>
        <v>0</v>
      </c>
      <c r="T850" s="1400">
        <f>O850*S850</f>
        <v>0</v>
      </c>
      <c r="U850" s="1055"/>
      <c r="V850" s="1280"/>
      <c r="W850" s="1055"/>
      <c r="X850" s="1055"/>
      <c r="Y850" s="1401">
        <f>(U846*W846+U847*W847)*O840</f>
        <v>0</v>
      </c>
      <c r="Z850" s="1055"/>
      <c r="AA850" s="1055"/>
      <c r="AB850" s="1055"/>
      <c r="AC850" s="1055"/>
      <c r="AD850" s="971"/>
    </row>
    <row r="851" spans="1:30" ht="15.75" customHeight="1" outlineLevel="1">
      <c r="A851" s="3151" t="s">
        <v>3168</v>
      </c>
      <c r="B851" s="1342"/>
      <c r="C851" s="1247">
        <f>'Ввод данных'!C140*E834</f>
        <v>0</v>
      </c>
      <c r="D851" s="1055">
        <f>'Ввод данных'!D140</f>
        <v>0</v>
      </c>
      <c r="E851" s="1246">
        <f>$E$834*'Ввод данных'!C16</f>
        <v>0</v>
      </c>
      <c r="F851" s="1246">
        <f>C851*D851*E851</f>
        <v>0</v>
      </c>
      <c r="G851" s="1055">
        <f>G390</f>
        <v>0.6</v>
      </c>
      <c r="H851" s="1055"/>
      <c r="I851" s="1055">
        <f>IF(C851=0,0,C851/G851+1)</f>
        <v>0</v>
      </c>
      <c r="J851" s="1055">
        <f>$D$180</f>
        <v>0.05</v>
      </c>
      <c r="K851" s="1055">
        <f>$C$180</f>
        <v>0.17</v>
      </c>
      <c r="L851" s="1055"/>
      <c r="M851" s="1055"/>
      <c r="N851" s="1055"/>
      <c r="O851" s="1280">
        <f>E851*I851*J851*K851</f>
        <v>0</v>
      </c>
      <c r="P851" s="1360">
        <f>C851</f>
        <v>0</v>
      </c>
      <c r="Q851" s="1360">
        <f>C851</f>
        <v>0</v>
      </c>
      <c r="R851" s="1360">
        <f>SUM(P851:Q851)</f>
        <v>0</v>
      </c>
      <c r="S851" s="971">
        <f>C851*D851</f>
        <v>0</v>
      </c>
      <c r="T851" s="1280">
        <f>(P851+Q851+R851)*J851*K851</f>
        <v>0</v>
      </c>
      <c r="U851" s="1055"/>
      <c r="V851" s="1280"/>
      <c r="W851" s="1055"/>
      <c r="X851" s="1055"/>
      <c r="Y851" s="1280"/>
      <c r="Z851" s="1360"/>
      <c r="AA851" s="1055"/>
      <c r="AB851" s="1055"/>
      <c r="AC851" s="1055"/>
      <c r="AD851" s="971"/>
    </row>
    <row r="852" spans="1:30" ht="15.75" customHeight="1" outlineLevel="1">
      <c r="A852" s="3151"/>
      <c r="B852" s="1342"/>
      <c r="C852" s="1247">
        <f>'Ввод данных'!C141*E834</f>
        <v>0</v>
      </c>
      <c r="D852" s="1055">
        <f>'Ввод данных'!D141</f>
        <v>0</v>
      </c>
      <c r="E852" s="1246">
        <f>$E$834*'Ввод данных'!C16</f>
        <v>0</v>
      </c>
      <c r="F852" s="1246">
        <f>C852*D852*E852</f>
        <v>0</v>
      </c>
      <c r="G852" s="1055">
        <f>G391</f>
        <v>0.6</v>
      </c>
      <c r="H852" s="1055"/>
      <c r="I852" s="1055">
        <f>IF(C852=0,0,C852/G852+1)</f>
        <v>0</v>
      </c>
      <c r="J852" s="1055">
        <f>$D$180</f>
        <v>0.05</v>
      </c>
      <c r="K852" s="1055">
        <f>$C$180</f>
        <v>0.17</v>
      </c>
      <c r="L852" s="1055"/>
      <c r="M852" s="1055"/>
      <c r="N852" s="1055"/>
      <c r="O852" s="1280">
        <f>E852*I852*J852*K852</f>
        <v>0</v>
      </c>
      <c r="P852" s="1360">
        <f>C852</f>
        <v>0</v>
      </c>
      <c r="Q852" s="1360">
        <f>C852</f>
        <v>0</v>
      </c>
      <c r="R852" s="1360">
        <f>SUM(P852:Q852)</f>
        <v>0</v>
      </c>
      <c r="S852" s="1055">
        <f>C852*D852</f>
        <v>0</v>
      </c>
      <c r="T852" s="1280">
        <f>(P852+Q852+R852)*J852*K852</f>
        <v>0</v>
      </c>
      <c r="U852" s="1055"/>
      <c r="V852" s="1280"/>
      <c r="W852" s="1055"/>
      <c r="X852" s="1055"/>
      <c r="Y852" s="1280"/>
      <c r="Z852" s="1360"/>
      <c r="AA852" s="1055"/>
      <c r="AB852" s="1055"/>
      <c r="AC852" s="1055"/>
      <c r="AD852" s="971"/>
    </row>
    <row r="853" spans="1:30" ht="15.75" customHeight="1" outlineLevel="1">
      <c r="A853" s="3151"/>
      <c r="B853" s="1342"/>
      <c r="C853" s="1247">
        <f>'Ввод данных'!C142*E834</f>
        <v>0</v>
      </c>
      <c r="D853" s="1055">
        <f>'Ввод данных'!D142</f>
        <v>0</v>
      </c>
      <c r="E853" s="1246">
        <f>$E$834*'Ввод данных'!C16</f>
        <v>0</v>
      </c>
      <c r="F853" s="1246">
        <f>C853*D853*E853</f>
        <v>0</v>
      </c>
      <c r="G853" s="1055">
        <f>G392</f>
        <v>0.6</v>
      </c>
      <c r="H853" s="1055"/>
      <c r="I853" s="1055">
        <f>IF(C853=0,0,C853/G853+1)</f>
        <v>0</v>
      </c>
      <c r="J853" s="1055">
        <f>$D$180</f>
        <v>0.05</v>
      </c>
      <c r="K853" s="1055">
        <f>$C$180</f>
        <v>0.17</v>
      </c>
      <c r="L853" s="1055"/>
      <c r="M853" s="1055"/>
      <c r="N853" s="1055"/>
      <c r="O853" s="1280">
        <f>E853*I853*J853*K853</f>
        <v>0</v>
      </c>
      <c r="P853" s="1360">
        <f>C853</f>
        <v>0</v>
      </c>
      <c r="Q853" s="1360">
        <f>C853</f>
        <v>0</v>
      </c>
      <c r="R853" s="1360">
        <f>SUM(P853:Q853)</f>
        <v>0</v>
      </c>
      <c r="S853" s="1055">
        <f>C853*D853</f>
        <v>0</v>
      </c>
      <c r="T853" s="1280">
        <f>(P853+Q853+R853)*J853*K853</f>
        <v>0</v>
      </c>
      <c r="U853" s="920"/>
      <c r="V853" s="1280"/>
      <c r="W853" s="1055"/>
      <c r="X853" s="1055"/>
      <c r="Y853" s="1346"/>
      <c r="Z853" s="1055"/>
      <c r="AA853" s="1055"/>
      <c r="AB853" s="1055"/>
      <c r="AC853" s="1055"/>
      <c r="AD853" s="971"/>
    </row>
    <row r="854" spans="1:30" ht="15.75" customHeight="1" outlineLevel="1">
      <c r="A854" s="3151"/>
      <c r="B854" s="1342"/>
      <c r="C854" s="1247">
        <f>'Ввод данных'!C143*E834</f>
        <v>0</v>
      </c>
      <c r="D854" s="1055">
        <f>'Ввод данных'!D143</f>
        <v>0</v>
      </c>
      <c r="E854" s="1246">
        <f>$E$834*'Ввод данных'!C16</f>
        <v>0</v>
      </c>
      <c r="F854" s="1246">
        <f>C854*D854*E854</f>
        <v>0</v>
      </c>
      <c r="G854" s="1055">
        <f>G393</f>
        <v>0.6</v>
      </c>
      <c r="H854" s="1055"/>
      <c r="I854" s="1055">
        <f>IF(C854=0,0,C854/G854+1)</f>
        <v>0</v>
      </c>
      <c r="J854" s="1055">
        <f>$D$180</f>
        <v>0.05</v>
      </c>
      <c r="K854" s="1055">
        <f>$C$180</f>
        <v>0.17</v>
      </c>
      <c r="L854" s="1055"/>
      <c r="M854" s="1055"/>
      <c r="N854" s="1055"/>
      <c r="O854" s="1280">
        <f>E854*I854*J854*K854</f>
        <v>0</v>
      </c>
      <c r="P854" s="1360">
        <f>C854</f>
        <v>0</v>
      </c>
      <c r="Q854" s="1360">
        <f>C854</f>
        <v>0</v>
      </c>
      <c r="R854" s="1360">
        <f>SUM(P854:Q854)</f>
        <v>0</v>
      </c>
      <c r="S854" s="1055">
        <f>C854*D854</f>
        <v>0</v>
      </c>
      <c r="T854" s="1280">
        <f>(P854+Q854+R854)*J854*K854</f>
        <v>0</v>
      </c>
      <c r="U854" s="1398"/>
      <c r="V854" s="1280"/>
      <c r="W854" s="1055"/>
      <c r="X854" s="1055"/>
      <c r="Y854" s="1346"/>
      <c r="Z854" s="1055"/>
      <c r="AA854" s="1055"/>
      <c r="AB854" s="1055"/>
      <c r="AC854" s="1055"/>
      <c r="AD854" s="971"/>
    </row>
    <row r="855" spans="1:30" ht="15.75" customHeight="1" outlineLevel="1">
      <c r="A855" s="1507" t="s">
        <v>3346</v>
      </c>
      <c r="B855" s="1508"/>
      <c r="C855" s="1502"/>
      <c r="D855" s="1062"/>
      <c r="E855" s="1503"/>
      <c r="F855" s="1246"/>
      <c r="G855" s="1055"/>
      <c r="H855" s="1055"/>
      <c r="I855" s="1055">
        <f>CEILING(SUM(I851:I854),1)</f>
        <v>0</v>
      </c>
      <c r="J855" s="1055"/>
      <c r="K855" s="1055"/>
      <c r="L855" s="1055"/>
      <c r="M855" s="1055"/>
      <c r="N855" s="1055"/>
      <c r="O855" s="1401">
        <f>связи1!F192</f>
        <v>0.2</v>
      </c>
      <c r="P855" s="1360">
        <f>SUM(P851:P854)</f>
        <v>0</v>
      </c>
      <c r="Q855" s="1360">
        <f>SUM(Q851:Q854)</f>
        <v>0</v>
      </c>
      <c r="R855" s="1197">
        <f>SUM(P855:Q855)</f>
        <v>0</v>
      </c>
      <c r="S855" s="1400">
        <f>SUM(S851:S854)</f>
        <v>0</v>
      </c>
      <c r="T855" s="1400">
        <f>O855*S855</f>
        <v>0</v>
      </c>
      <c r="U855" s="1398"/>
      <c r="V855" s="1280"/>
      <c r="W855" s="1055"/>
      <c r="X855" s="1055"/>
      <c r="Y855" s="1346"/>
      <c r="Z855" s="1055"/>
      <c r="AA855" s="1055"/>
      <c r="AB855" s="1055"/>
      <c r="AC855" s="1055"/>
      <c r="AD855" s="971"/>
    </row>
    <row r="856" spans="1:30" ht="15.75" customHeight="1" outlineLevel="1">
      <c r="A856" s="1509" t="s">
        <v>3169</v>
      </c>
      <c r="B856" s="1342"/>
      <c r="C856" s="1247">
        <f>C395*C1233</f>
        <v>0</v>
      </c>
      <c r="D856" s="1055"/>
      <c r="E856" s="1246">
        <f>E395</f>
        <v>3.2</v>
      </c>
      <c r="F856" s="1246">
        <f>C856*E856</f>
        <v>0</v>
      </c>
      <c r="G856" s="1055">
        <f>G395</f>
        <v>0.6</v>
      </c>
      <c r="H856" s="1055"/>
      <c r="I856" s="1055">
        <f>IF(C856=0,0,C856/G856+1)</f>
        <v>0</v>
      </c>
      <c r="J856" s="1055">
        <f t="shared" ref="J856:J862" si="91">$D$143</f>
        <v>0.05</v>
      </c>
      <c r="K856" s="1055">
        <f t="shared" ref="K856:K862" si="92">$C$143</f>
        <v>0.15</v>
      </c>
      <c r="L856" s="1055"/>
      <c r="M856" s="1055"/>
      <c r="N856" s="1055"/>
      <c r="O856" s="1280">
        <f>E856*I856*J856*K856</f>
        <v>0</v>
      </c>
      <c r="P856" s="1360">
        <f>C856</f>
        <v>0</v>
      </c>
      <c r="Q856" s="1360">
        <f>C856</f>
        <v>0</v>
      </c>
      <c r="R856" s="1360">
        <f>C856</f>
        <v>0</v>
      </c>
      <c r="S856" s="1055"/>
      <c r="T856" s="1280">
        <f>(P856+Q856+R856)*J856*K856</f>
        <v>0</v>
      </c>
      <c r="U856" s="1398"/>
      <c r="V856" s="1280"/>
      <c r="W856" s="1055"/>
      <c r="X856" s="1055"/>
      <c r="Y856" s="1346"/>
      <c r="Z856" s="1055"/>
      <c r="AA856" s="1055"/>
      <c r="AB856" s="1055"/>
      <c r="AC856" s="1055"/>
      <c r="AD856" s="971"/>
    </row>
    <row r="857" spans="1:30" ht="15.75" customHeight="1" outlineLevel="1">
      <c r="A857" s="1509" t="s">
        <v>3170</v>
      </c>
      <c r="B857" s="1342"/>
      <c r="C857" s="1247">
        <f>C396*C1233</f>
        <v>0</v>
      </c>
      <c r="D857" s="1055"/>
      <c r="E857" s="1246">
        <f>E396</f>
        <v>3.2</v>
      </c>
      <c r="F857" s="1246">
        <f>C857*E857</f>
        <v>0</v>
      </c>
      <c r="G857" s="1055">
        <f>G396</f>
        <v>0.6</v>
      </c>
      <c r="H857" s="1055"/>
      <c r="I857" s="1055">
        <f>IF(C857=0,0,C857/G857+1)</f>
        <v>0</v>
      </c>
      <c r="J857" s="1055">
        <f t="shared" si="91"/>
        <v>0.05</v>
      </c>
      <c r="K857" s="1055">
        <f t="shared" si="92"/>
        <v>0.15</v>
      </c>
      <c r="L857" s="1055"/>
      <c r="M857" s="1055"/>
      <c r="N857" s="1055"/>
      <c r="O857" s="1280">
        <f>E857*I857*J857*K857</f>
        <v>0</v>
      </c>
      <c r="P857" s="1360">
        <f>C857</f>
        <v>0</v>
      </c>
      <c r="Q857" s="1360">
        <f>C857</f>
        <v>0</v>
      </c>
      <c r="R857" s="1360">
        <f>C857</f>
        <v>0</v>
      </c>
      <c r="S857" s="1055"/>
      <c r="T857" s="1280">
        <f>(P857+Q857+R857)*J857*K857</f>
        <v>0</v>
      </c>
      <c r="U857" s="1398"/>
      <c r="V857" s="1280"/>
      <c r="W857" s="1055"/>
      <c r="X857" s="1055"/>
      <c r="Y857" s="1346"/>
      <c r="Z857" s="1055"/>
      <c r="AA857" s="1055"/>
      <c r="AB857" s="1055"/>
      <c r="AC857" s="1055"/>
      <c r="AD857" s="971"/>
    </row>
    <row r="858" spans="1:30" ht="15.75" customHeight="1" outlineLevel="1">
      <c r="A858" s="1509" t="s">
        <v>3171</v>
      </c>
      <c r="B858" s="1342"/>
      <c r="C858" s="1247">
        <f>C397*C1233</f>
        <v>0</v>
      </c>
      <c r="D858" s="1055"/>
      <c r="E858" s="1246">
        <f>E397</f>
        <v>3.2</v>
      </c>
      <c r="F858" s="1246">
        <f>C858*E858</f>
        <v>0</v>
      </c>
      <c r="G858" s="1055">
        <f>G397</f>
        <v>0.6</v>
      </c>
      <c r="H858" s="1055"/>
      <c r="I858" s="1055">
        <f>IF(C858=0,0,C858/G858+1)</f>
        <v>0</v>
      </c>
      <c r="J858" s="1055">
        <f t="shared" si="91"/>
        <v>0.05</v>
      </c>
      <c r="K858" s="1055">
        <f t="shared" si="92"/>
        <v>0.15</v>
      </c>
      <c r="L858" s="1055"/>
      <c r="M858" s="1055"/>
      <c r="N858" s="1055"/>
      <c r="O858" s="1280">
        <f>E858*I858*J858*K858</f>
        <v>0</v>
      </c>
      <c r="P858" s="1360">
        <f>C858</f>
        <v>0</v>
      </c>
      <c r="Q858" s="1360">
        <f>C858</f>
        <v>0</v>
      </c>
      <c r="R858" s="1360">
        <f>C858</f>
        <v>0</v>
      </c>
      <c r="S858" s="1055"/>
      <c r="T858" s="1280">
        <f>(P858+Q858+R858)*J858*K858</f>
        <v>0</v>
      </c>
      <c r="U858" s="1398"/>
      <c r="V858" s="1280"/>
      <c r="W858" s="1055"/>
      <c r="X858" s="1055"/>
      <c r="Y858" s="1346"/>
      <c r="Z858" s="1055"/>
      <c r="AA858" s="1055"/>
      <c r="AB858" s="1055"/>
      <c r="AC858" s="1055"/>
      <c r="AD858" s="971"/>
    </row>
    <row r="859" spans="1:30" ht="15.75" customHeight="1" outlineLevel="1">
      <c r="A859" s="1507" t="s">
        <v>3347</v>
      </c>
      <c r="B859" s="1433">
        <f>связи1!F190</f>
        <v>0.4</v>
      </c>
      <c r="C859" s="1434">
        <f>SUM(C856:C858)</f>
        <v>0</v>
      </c>
      <c r="D859" s="1400">
        <f>B859*C859</f>
        <v>0</v>
      </c>
      <c r="E859" s="1503"/>
      <c r="F859" s="1246"/>
      <c r="G859" s="1055"/>
      <c r="H859" s="1055"/>
      <c r="I859" s="1055"/>
      <c r="J859" s="1055">
        <f t="shared" si="91"/>
        <v>0.05</v>
      </c>
      <c r="K859" s="1055">
        <f t="shared" si="92"/>
        <v>0.15</v>
      </c>
      <c r="L859" s="1055"/>
      <c r="M859" s="1055"/>
      <c r="N859" s="1055"/>
      <c r="O859" s="1280"/>
      <c r="P859" s="1360">
        <f>SUM(P856:P858)</f>
        <v>0</v>
      </c>
      <c r="Q859" s="1360">
        <f>SUM(Q856:Q858)</f>
        <v>0</v>
      </c>
      <c r="R859" s="1360">
        <f>SUM(R856:R858)</f>
        <v>0</v>
      </c>
      <c r="S859" s="1055"/>
      <c r="T859" s="1280"/>
      <c r="U859" s="1398"/>
      <c r="V859" s="1280"/>
      <c r="W859" s="1055"/>
      <c r="X859" s="1055"/>
      <c r="Y859" s="1346"/>
      <c r="Z859" s="1055"/>
      <c r="AA859" s="1055"/>
      <c r="AB859" s="1055"/>
      <c r="AC859" s="1055"/>
      <c r="AD859" s="971"/>
    </row>
    <row r="860" spans="1:30" ht="15.75" customHeight="1" outlineLevel="1">
      <c r="A860" s="1442" t="s">
        <v>3172</v>
      </c>
      <c r="B860" s="1445"/>
      <c r="C860" s="1247">
        <f>C399*пристройка!C5</f>
        <v>0</v>
      </c>
      <c r="D860" s="1055"/>
      <c r="E860" s="1246">
        <f>IF('Ввод данных'!A360=связи1!A107,IF('Ввод данных'!A361=связи1!A94,0,0)+IF('Ввод данных'!A361=связи1!A95,связи1!C556,0)+IF('Ввод данных'!A361=связи1!A96,связи1!C557,0)+IF('Ввод данных'!A361=связи1!A97,0,0)+IF('Ввод данных'!A361=связи1!A98,связи1!C557,0),0)+IF('Ввод данных'!A360=связи1!A106,IF('Ввод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данных'!A361=связи1!A98,связи1!C558,0),0)+IF('Ввод данных'!A360=связи1!A108,IF('Ввод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</f>
        <v>0</v>
      </c>
      <c r="F860" s="1246">
        <f>C860*E860</f>
        <v>0</v>
      </c>
      <c r="G860" s="1055">
        <f>G399</f>
        <v>0.6</v>
      </c>
      <c r="H860" s="1055"/>
      <c r="I860" s="1055">
        <f>IF(C860=0,0,C860/G860+1)</f>
        <v>0</v>
      </c>
      <c r="J860" s="1055">
        <f t="shared" si="91"/>
        <v>0.05</v>
      </c>
      <c r="K860" s="1055">
        <f t="shared" si="92"/>
        <v>0.15</v>
      </c>
      <c r="L860" s="971">
        <f>CEILING(C860/G860+1,1)</f>
        <v>1</v>
      </c>
      <c r="M860" s="971"/>
      <c r="N860" s="971"/>
      <c r="O860" s="1280">
        <f>E860*I860*J860*K860</f>
        <v>0</v>
      </c>
      <c r="P860" s="1360">
        <f t="shared" ref="P860:P866" si="93">C860</f>
        <v>0</v>
      </c>
      <c r="Q860" s="1360">
        <f t="shared" ref="Q860:Q866" si="94">C860</f>
        <v>0</v>
      </c>
      <c r="R860" s="1360">
        <f t="shared" ref="R860:R866" si="95">C860</f>
        <v>0</v>
      </c>
      <c r="S860" s="1055"/>
      <c r="T860" s="1280">
        <f>(P860+Q860+R860)*J860*K860</f>
        <v>0</v>
      </c>
      <c r="U860" s="1398"/>
      <c r="V860" s="1280"/>
      <c r="W860" s="1055"/>
      <c r="X860" s="1055"/>
      <c r="Y860" s="1346"/>
      <c r="Z860" s="1055"/>
      <c r="AA860" s="1055"/>
      <c r="AB860" s="1055"/>
      <c r="AC860" s="1055"/>
      <c r="AD860" s="971"/>
    </row>
    <row r="861" spans="1:30" ht="15.75" customHeight="1" outlineLevel="1">
      <c r="A861" s="1442" t="s">
        <v>3173</v>
      </c>
      <c r="B861" s="1445" t="s">
        <v>1590</v>
      </c>
      <c r="C861" s="1247">
        <f>C400*пристройка!C5</f>
        <v>0</v>
      </c>
      <c r="D861" s="1055">
        <f>пристройка!C18+пристройка!H18+пристройка!M18</f>
        <v>0</v>
      </c>
      <c r="E861" s="1246">
        <f>IF('Ввод данных'!A360=связи1!A107,IF('Ввод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данных'!A361=связи1!A98,связи1!C558,0),0)+IF('Ввод данных'!A360=связи1!A106,IF('Ввод данных'!A361=связи1!A94,0,0)+IF('Ввод данных'!A361=связи1!A95,связи1!C556,0)+IF('Ввод данных'!A361=связи1!A96,связи1!C557,0)+IF('Ввод данных'!A361=связи1!A97,0,0)+IF('Ввод данных'!A361=связи1!A98,связи1!C557,0),0)+IF('Ввод данных'!A360=связи1!A108,IF('Ввод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</f>
        <v>0</v>
      </c>
      <c r="F861" s="1246">
        <f>C861*E861</f>
        <v>0</v>
      </c>
      <c r="G861" s="1055">
        <f>G400</f>
        <v>0.6</v>
      </c>
      <c r="H861" s="1055"/>
      <c r="I861" s="1055">
        <f>IF(C861=0,0,C861/G861+1)</f>
        <v>0</v>
      </c>
      <c r="J861" s="1055">
        <f t="shared" si="91"/>
        <v>0.05</v>
      </c>
      <c r="K861" s="1055">
        <f t="shared" si="92"/>
        <v>0.15</v>
      </c>
      <c r="L861" s="971">
        <f>CEILING(C861/G861+1,1)</f>
        <v>1</v>
      </c>
      <c r="M861" s="971"/>
      <c r="N861" s="971"/>
      <c r="O861" s="1280">
        <f>E861*I861*J861*K861</f>
        <v>0</v>
      </c>
      <c r="P861" s="1360">
        <f t="shared" si="93"/>
        <v>0</v>
      </c>
      <c r="Q861" s="1360">
        <f t="shared" si="94"/>
        <v>0</v>
      </c>
      <c r="R861" s="1360">
        <f t="shared" si="95"/>
        <v>0</v>
      </c>
      <c r="S861" s="1055"/>
      <c r="T861" s="1280">
        <f>(P861+Q861+R861)*J861*K861</f>
        <v>0</v>
      </c>
      <c r="U861" s="1398"/>
      <c r="V861" s="1280"/>
      <c r="W861" s="1055"/>
      <c r="X861" s="1055"/>
      <c r="Y861" s="1346"/>
      <c r="Z861" s="1055"/>
      <c r="AA861" s="1055"/>
      <c r="AB861" s="1055"/>
      <c r="AC861" s="1055"/>
      <c r="AD861" s="971"/>
    </row>
    <row r="862" spans="1:30" ht="15.75" customHeight="1" outlineLevel="1">
      <c r="A862" s="1442" t="s">
        <v>3174</v>
      </c>
      <c r="B862" s="1445" t="s">
        <v>1582</v>
      </c>
      <c r="C862" s="1247">
        <f>C401*пристройка!C5</f>
        <v>0</v>
      </c>
      <c r="D862" s="1055">
        <f>пристройка!C19+пристройка!H19+пристройка!M19</f>
        <v>0</v>
      </c>
      <c r="E862" s="1246">
        <f>IF('Ввод данных'!A360=связи1!A107,IF('Ввод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данных'!A361=связи1!A98,связи1!C558,0),0)+IF('Ввод данных'!A360=связи1!A106,IF('Ввод данных'!A361=связи1!A94,0,0)+IF('Ввод данных'!A361=связи1!A95,связи1!C556,0)+IF('Ввод данных'!A361=связи1!A96,связи1!C557,0)+IF('Ввод данных'!A361=связи1!A97,0,0)+IF('Ввод данных'!A361=связи1!A98,связи1!C557,0),0)+IF('Ввод данных'!A360=связи1!A108,IF('Ввод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</f>
        <v>0</v>
      </c>
      <c r="F862" s="1246">
        <f>C862*E862</f>
        <v>0</v>
      </c>
      <c r="G862" s="1055">
        <f>G401</f>
        <v>0.6</v>
      </c>
      <c r="H862" s="1055"/>
      <c r="I862" s="1055">
        <f>IF(C862=0,0,C862/G862+1)</f>
        <v>0</v>
      </c>
      <c r="J862" s="1055">
        <f t="shared" si="91"/>
        <v>0.05</v>
      </c>
      <c r="K862" s="1055">
        <f t="shared" si="92"/>
        <v>0.15</v>
      </c>
      <c r="L862" s="971">
        <f>CEILING(C862/G862+1,1)</f>
        <v>1</v>
      </c>
      <c r="M862" s="971"/>
      <c r="N862" s="971"/>
      <c r="O862" s="1280">
        <f>E862*I862*J862*K862</f>
        <v>0</v>
      </c>
      <c r="P862" s="1360">
        <f t="shared" si="93"/>
        <v>0</v>
      </c>
      <c r="Q862" s="1360">
        <f t="shared" si="94"/>
        <v>0</v>
      </c>
      <c r="R862" s="1360">
        <f t="shared" si="95"/>
        <v>0</v>
      </c>
      <c r="S862" s="1055"/>
      <c r="T862" s="1280">
        <f>(P862+Q862+R862)*J862*K862</f>
        <v>0</v>
      </c>
      <c r="U862" s="1398"/>
      <c r="V862" s="1280"/>
      <c r="W862" s="1055"/>
      <c r="X862" s="1055"/>
      <c r="Y862" s="1346"/>
      <c r="Z862" s="1360"/>
      <c r="AA862" s="1055"/>
      <c r="AB862" s="1055"/>
      <c r="AC862" s="1055"/>
      <c r="AD862" s="971"/>
    </row>
    <row r="863" spans="1:30" ht="15.75" customHeight="1" outlineLevel="1">
      <c r="A863" s="1442"/>
      <c r="B863" s="1443">
        <f>связи1!F190</f>
        <v>0.4</v>
      </c>
      <c r="C863" s="1434">
        <f>SUM(C860:C862)</f>
        <v>0</v>
      </c>
      <c r="D863" s="1400">
        <f>B863*C863</f>
        <v>0</v>
      </c>
      <c r="E863" s="1246"/>
      <c r="F863" s="1246"/>
      <c r="G863" s="1055"/>
      <c r="H863" s="1055"/>
      <c r="I863" s="1055"/>
      <c r="J863" s="1055"/>
      <c r="K863" s="1055"/>
      <c r="L863" s="1055"/>
      <c r="M863" s="1055"/>
      <c r="N863" s="1055"/>
      <c r="O863" s="1280"/>
      <c r="P863" s="1360">
        <f t="shared" si="93"/>
        <v>0</v>
      </c>
      <c r="Q863" s="1360">
        <f t="shared" si="94"/>
        <v>0</v>
      </c>
      <c r="R863" s="1360">
        <f t="shared" si="95"/>
        <v>0</v>
      </c>
      <c r="S863" s="1055"/>
      <c r="T863" s="1280"/>
      <c r="U863" s="1398"/>
      <c r="V863" s="1280"/>
      <c r="W863" s="1055"/>
      <c r="X863" s="1055"/>
      <c r="Y863" s="1346"/>
      <c r="Z863" s="1360"/>
      <c r="AA863" s="1055"/>
      <c r="AB863" s="1055"/>
      <c r="AC863" s="1055"/>
      <c r="AD863" s="971"/>
    </row>
    <row r="864" spans="1:30" s="1355" customFormat="1" ht="15.75" customHeight="1" outlineLevel="1">
      <c r="A864" s="1442" t="s">
        <v>3172</v>
      </c>
      <c r="B864" s="1445"/>
      <c r="C864" s="1510">
        <f>C403*пристройка!D5</f>
        <v>0</v>
      </c>
      <c r="D864" s="971"/>
      <c r="E864" s="1246">
        <f>IF('Ввод данных'!A364=связи1!A107,IF('Ввод данных'!A365=связи1!A94,0,0)+IF('Ввод данных'!A365=связи1!A95,связи1!D556,0)+IF('Ввод данных'!A365=связи1!A96,связи1!D557,0)+IF('Ввод данных'!A365=связи1!A97,0,0)+IF('Ввод данных'!A365=связи1!A98,связи1!D557,0),0)+IF('Ввод данных'!A364=связи1!A106,IF('Ввод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данных'!A365=связи1!A98,связи1!D558,0),0)+IF('Ввод данных'!A364=связи1!A108,IF('Ввод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</f>
        <v>2.2000000000000002</v>
      </c>
      <c r="F864" s="1246">
        <f>C864*E864</f>
        <v>0</v>
      </c>
      <c r="G864" s="1055">
        <f>G403</f>
        <v>0.6</v>
      </c>
      <c r="H864" s="1055"/>
      <c r="I864" s="1055">
        <f>IF(C864=0,0,C864/G864+1)</f>
        <v>0</v>
      </c>
      <c r="J864" s="1055">
        <f>$D$143</f>
        <v>0.05</v>
      </c>
      <c r="K864" s="1055">
        <f>$C$143</f>
        <v>0.15</v>
      </c>
      <c r="L864" s="971">
        <f>CEILING(C864/G864+1,1)</f>
        <v>1</v>
      </c>
      <c r="M864" s="971"/>
      <c r="N864" s="971"/>
      <c r="O864" s="1280">
        <f>E864*I864*J864*K864</f>
        <v>0</v>
      </c>
      <c r="P864" s="1360">
        <f t="shared" si="93"/>
        <v>0</v>
      </c>
      <c r="Q864" s="1360">
        <f t="shared" si="94"/>
        <v>0</v>
      </c>
      <c r="R864" s="1360">
        <f t="shared" si="95"/>
        <v>0</v>
      </c>
      <c r="S864" s="971"/>
      <c r="T864" s="971"/>
      <c r="U864" s="1398"/>
      <c r="V864" s="971"/>
      <c r="W864" s="971"/>
      <c r="X864" s="971"/>
      <c r="Y864" s="1353"/>
      <c r="Z864" s="1353"/>
      <c r="AA864" s="971"/>
      <c r="AB864" s="971"/>
      <c r="AC864" s="971"/>
      <c r="AD864" s="971"/>
    </row>
    <row r="865" spans="1:30" s="1355" customFormat="1" ht="15.75" customHeight="1" outlineLevel="1">
      <c r="A865" s="1442" t="s">
        <v>3173</v>
      </c>
      <c r="B865" s="1445" t="s">
        <v>1590</v>
      </c>
      <c r="C865" s="1510">
        <f>C404*пристройка!D5</f>
        <v>0</v>
      </c>
      <c r="D865" s="971">
        <f>пристройка!D18+пристройка!I18+пристройка!N18</f>
        <v>0</v>
      </c>
      <c r="E865" s="1246">
        <f>IF('Ввод данных'!A364=связи1!A107,IF('Ввод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данных'!A365=связи1!A98,связи1!D558,0),0)+IF('Ввод данных'!A364=связи1!A106,IF('Ввод данных'!A365=связи1!A94,0,0)+IF('Ввод данных'!A365=связи1!A95,связи1!D556,0)+IF('Ввод данных'!A365=связи1!A96,связи1!D557,0)+IF('Ввод данных'!A365=связи1!A97,0,0)+IF('Ввод данных'!A365=связи1!A98,связи1!D557,0),0)+IF('Ввод данных'!A364=связи1!A108,IF('Ввод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</f>
        <v>2.2000000000000002</v>
      </c>
      <c r="F865" s="1246">
        <f>C865*E865</f>
        <v>0</v>
      </c>
      <c r="G865" s="1055">
        <f>G404</f>
        <v>0.6</v>
      </c>
      <c r="H865" s="1055"/>
      <c r="I865" s="1055">
        <f>IF(C865=0,0,C865/G865+1)</f>
        <v>0</v>
      </c>
      <c r="J865" s="1055">
        <f>$D$143</f>
        <v>0.05</v>
      </c>
      <c r="K865" s="1055">
        <f>$C$143</f>
        <v>0.15</v>
      </c>
      <c r="L865" s="971">
        <f>CEILING(C865/G865+1,1)</f>
        <v>1</v>
      </c>
      <c r="M865" s="971"/>
      <c r="N865" s="971"/>
      <c r="O865" s="1280">
        <f>E865*I865*J865*K865</f>
        <v>0</v>
      </c>
      <c r="P865" s="1360">
        <f t="shared" si="93"/>
        <v>0</v>
      </c>
      <c r="Q865" s="1360">
        <f t="shared" si="94"/>
        <v>0</v>
      </c>
      <c r="R865" s="1360">
        <f t="shared" si="95"/>
        <v>0</v>
      </c>
      <c r="S865" s="971"/>
      <c r="T865" s="971"/>
      <c r="U865" s="1398"/>
      <c r="V865" s="971"/>
      <c r="W865" s="971"/>
      <c r="X865" s="971"/>
      <c r="Y865" s="1353"/>
      <c r="Z865" s="1353"/>
      <c r="AA865" s="971"/>
      <c r="AB865" s="971"/>
      <c r="AC865" s="971"/>
      <c r="AD865" s="971"/>
    </row>
    <row r="866" spans="1:30" s="1355" customFormat="1" ht="15.75" customHeight="1" outlineLevel="1">
      <c r="A866" s="1442" t="s">
        <v>3174</v>
      </c>
      <c r="B866" s="1445" t="s">
        <v>1582</v>
      </c>
      <c r="C866" s="1510">
        <f>C405*пристройка!D5</f>
        <v>0</v>
      </c>
      <c r="D866" s="971">
        <f>пристройка!D19+пристройка!I19+пристройка!N19</f>
        <v>0</v>
      </c>
      <c r="E866" s="1246">
        <f>IF('Ввод данных'!A364=связи1!A107,IF('Ввод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данных'!A365=связи1!A98,связи1!D558,0),0)+IF('Ввод данных'!A364=связи1!A106,IF('Ввод данных'!A365=связи1!A94,0,0)+IF('Ввод данных'!A365=связи1!A95,связи1!D556,0)+IF('Ввод данных'!A365=связи1!A96,связи1!D557,0)+IF('Ввод данных'!A365=связи1!A97,0,0)+IF('Ввод данных'!A365=связи1!A98,связи1!D557,0),0)+IF('Ввод данных'!A364=связи1!A108,IF('Ввод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</f>
        <v>2.2000000000000002</v>
      </c>
      <c r="F866" s="1246">
        <f>C866*E866</f>
        <v>0</v>
      </c>
      <c r="G866" s="1055">
        <f>G405</f>
        <v>0.6</v>
      </c>
      <c r="H866" s="1055"/>
      <c r="I866" s="1055">
        <f>IF(C866=0,0,C866/G866+1)</f>
        <v>0</v>
      </c>
      <c r="J866" s="1055">
        <f>$D$143</f>
        <v>0.05</v>
      </c>
      <c r="K866" s="1055">
        <f>$C$143</f>
        <v>0.15</v>
      </c>
      <c r="L866" s="971">
        <f>CEILING(C866/G866+1,1)</f>
        <v>1</v>
      </c>
      <c r="M866" s="971"/>
      <c r="N866" s="971"/>
      <c r="O866" s="1280">
        <f>E866*I866*J866*K866</f>
        <v>0</v>
      </c>
      <c r="P866" s="1360">
        <f t="shared" si="93"/>
        <v>0</v>
      </c>
      <c r="Q866" s="1360">
        <f t="shared" si="94"/>
        <v>0</v>
      </c>
      <c r="R866" s="1360">
        <f t="shared" si="95"/>
        <v>0</v>
      </c>
      <c r="S866" s="971"/>
      <c r="T866" s="971"/>
      <c r="U866" s="1398"/>
      <c r="V866" s="971"/>
      <c r="W866" s="971"/>
      <c r="X866" s="971"/>
      <c r="Y866" s="1353"/>
      <c r="Z866" s="1353"/>
      <c r="AA866" s="971"/>
      <c r="AB866" s="971"/>
      <c r="AC866" s="971"/>
      <c r="AD866" s="971"/>
    </row>
    <row r="867" spans="1:30" s="1355" customFormat="1" ht="15.75" customHeight="1" outlineLevel="1">
      <c r="A867" s="1442"/>
      <c r="B867" s="1445">
        <f>B863</f>
        <v>0.4</v>
      </c>
      <c r="C867" s="1510">
        <f>SUM(C864:C866)</f>
        <v>0</v>
      </c>
      <c r="D867" s="1400">
        <f>B867*C867</f>
        <v>0</v>
      </c>
      <c r="E867" s="1063"/>
      <c r="F867" s="1063"/>
      <c r="G867" s="1055"/>
      <c r="H867" s="1055"/>
      <c r="I867" s="1055"/>
      <c r="J867" s="1055"/>
      <c r="K867" s="1055"/>
      <c r="L867" s="971"/>
      <c r="M867" s="971"/>
      <c r="N867" s="971"/>
      <c r="O867" s="971"/>
      <c r="P867" s="1353">
        <f>SUM(P864:P866)</f>
        <v>0</v>
      </c>
      <c r="Q867" s="1353">
        <f>SUM(Q864:Q866)</f>
        <v>0</v>
      </c>
      <c r="R867" s="1353">
        <f>SUM(R864:R866)</f>
        <v>0</v>
      </c>
      <c r="S867" s="971"/>
      <c r="T867" s="971"/>
      <c r="U867" s="1398"/>
      <c r="V867" s="971"/>
      <c r="W867" s="971"/>
      <c r="X867" s="971"/>
      <c r="Y867" s="1353"/>
      <c r="Z867" s="1353"/>
      <c r="AA867" s="971"/>
      <c r="AB867" s="971"/>
      <c r="AC867" s="971"/>
      <c r="AD867" s="971"/>
    </row>
    <row r="868" spans="1:30" s="1355" customFormat="1" ht="15.75" customHeight="1" outlineLevel="1">
      <c r="A868" s="1442" t="s">
        <v>3172</v>
      </c>
      <c r="B868" s="1445"/>
      <c r="C868" s="1510">
        <f>C407*пристройка!E5</f>
        <v>0</v>
      </c>
      <c r="D868" s="971"/>
      <c r="E868" s="1246">
        <f>IF('Ввод данных'!A368=связи1!A107,IF('Ввод данных'!A369=связи1!A94,0,0)+IF('Ввод данных'!A369=связи1!A95,связи1!E556,0)+IF('Ввод данных'!A369=связи1!A96,связи1!E557,0)+IF('Ввод данных'!A369=связи1!A97,0,0)+IF('Ввод данных'!A369=связи1!A98,связи1!E557,0),0)+IF('Ввод данных'!A368=связи1!A106,IF('Ввод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данных'!A369=связи1!A98,связи1!E558,0),0)+IF('Ввод данных'!A368=связи1!A108,IF('Ввод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</f>
        <v>2.9</v>
      </c>
      <c r="F868" s="1246">
        <f>C868*E868</f>
        <v>0</v>
      </c>
      <c r="G868" s="1055">
        <f>G407</f>
        <v>0.6</v>
      </c>
      <c r="H868" s="1055"/>
      <c r="I868" s="1055">
        <f>IF(C868=0,0,C868/G868+1)</f>
        <v>0</v>
      </c>
      <c r="J868" s="1055">
        <f>$D$143</f>
        <v>0.05</v>
      </c>
      <c r="K868" s="1055">
        <f>$C$143</f>
        <v>0.15</v>
      </c>
      <c r="L868" s="971">
        <f>CEILING(C868/G868+1,1)</f>
        <v>1</v>
      </c>
      <c r="M868" s="971"/>
      <c r="N868" s="971"/>
      <c r="O868" s="1280">
        <f>E868*I868*J868*K868</f>
        <v>0</v>
      </c>
      <c r="P868" s="1360">
        <f>C868</f>
        <v>0</v>
      </c>
      <c r="Q868" s="1360">
        <f>C868</f>
        <v>0</v>
      </c>
      <c r="R868" s="1360">
        <f>C868</f>
        <v>0</v>
      </c>
      <c r="S868" s="971"/>
      <c r="T868" s="971"/>
      <c r="U868" s="1398"/>
      <c r="V868" s="971"/>
      <c r="W868" s="971"/>
      <c r="X868" s="971"/>
      <c r="Y868" s="1353"/>
      <c r="Z868" s="1353"/>
      <c r="AA868" s="971"/>
      <c r="AB868" s="971"/>
      <c r="AC868" s="971"/>
      <c r="AD868" s="971"/>
    </row>
    <row r="869" spans="1:30" s="1355" customFormat="1" ht="15.75" customHeight="1" outlineLevel="1">
      <c r="A869" s="1442" t="s">
        <v>3173</v>
      </c>
      <c r="B869" s="1445" t="s">
        <v>1590</v>
      </c>
      <c r="C869" s="1510">
        <f>C408*пристройка!E5</f>
        <v>0</v>
      </c>
      <c r="D869" s="971">
        <f>пристройка!E18+пристройка!J18+пристройка!O18</f>
        <v>0</v>
      </c>
      <c r="E869" s="1246">
        <f>IF('Ввод данных'!A368=связи1!A107,IF('Ввод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данных'!A369=связи1!A98,связи1!E558,0),0)+IF('Ввод данных'!A368=связи1!A106,IF('Ввод данных'!A369=связи1!A94,0,0)+IF('Ввод данных'!A369=связи1!A95,связи1!E556,0)+IF('Ввод данных'!A369=связи1!A96,связи1!E557,0)+IF('Ввод данных'!A369=связи1!A97,0,0)+IF('Ввод данных'!A369=связи1!A98,связи1!E557,0),0)+IF('Ввод данных'!A368=связи1!A108,IF('Ввод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</f>
        <v>1.5</v>
      </c>
      <c r="F869" s="1246">
        <f>C869*E869</f>
        <v>0</v>
      </c>
      <c r="G869" s="1055">
        <f>G408</f>
        <v>0.6</v>
      </c>
      <c r="H869" s="1055"/>
      <c r="I869" s="1055">
        <f>IF(C869=0,0,C869/G869+1)</f>
        <v>0</v>
      </c>
      <c r="J869" s="1055">
        <f>$D$143</f>
        <v>0.05</v>
      </c>
      <c r="K869" s="1055">
        <f>$C$143</f>
        <v>0.15</v>
      </c>
      <c r="L869" s="971">
        <f>CEILING(C869/G869+1,1)</f>
        <v>1</v>
      </c>
      <c r="M869" s="971"/>
      <c r="N869" s="971"/>
      <c r="O869" s="1280">
        <f>E869*I869*J869*K869</f>
        <v>0</v>
      </c>
      <c r="P869" s="1360">
        <f>C869</f>
        <v>0</v>
      </c>
      <c r="Q869" s="1360">
        <f>C869</f>
        <v>0</v>
      </c>
      <c r="R869" s="1360">
        <f>C869</f>
        <v>0</v>
      </c>
      <c r="S869" s="971"/>
      <c r="T869" s="971"/>
      <c r="U869" s="1398"/>
      <c r="V869" s="971"/>
      <c r="W869" s="971"/>
      <c r="X869" s="971"/>
      <c r="Y869" s="1353"/>
      <c r="Z869" s="1353"/>
      <c r="AA869" s="971"/>
      <c r="AB869" s="971"/>
      <c r="AC869" s="971"/>
      <c r="AD869" s="971"/>
    </row>
    <row r="870" spans="1:30" s="1355" customFormat="1" ht="15.75" customHeight="1" outlineLevel="1">
      <c r="A870" s="1442" t="s">
        <v>3174</v>
      </c>
      <c r="B870" s="1445" t="s">
        <v>1582</v>
      </c>
      <c r="C870" s="1510">
        <f>C409*пристройка!E5</f>
        <v>0</v>
      </c>
      <c r="D870" s="971">
        <f>пристройка!E19+пристройка!J19+пристройка!O19</f>
        <v>0</v>
      </c>
      <c r="E870" s="1246">
        <f>IF('Ввод данных'!A368=связи1!A107,IF('Ввод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данных'!A369=связи1!A98,связи1!E558,0),0)+IF('Ввод данных'!A368=связи1!A106,IF('Ввод данных'!A369=связи1!A94,0,0)+IF('Ввод данных'!A369=связи1!A95,связи1!E556,0)+IF('Ввод данных'!A369=связи1!A96,связи1!E557,0)+IF('Ввод данных'!A369=связи1!A97,0,0)+IF('Ввод данных'!A369=связи1!A98,связи1!E557,0),0)+IF('Ввод данных'!A368=связи1!A108,IF('Ввод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</f>
        <v>1.5</v>
      </c>
      <c r="F870" s="1246">
        <f>C870*E870</f>
        <v>0</v>
      </c>
      <c r="G870" s="1055">
        <f>G409</f>
        <v>0.6</v>
      </c>
      <c r="H870" s="1055"/>
      <c r="I870" s="1055">
        <f>IF(C870=0,0,C870/G870+1)</f>
        <v>0</v>
      </c>
      <c r="J870" s="1055">
        <f>$D$143</f>
        <v>0.05</v>
      </c>
      <c r="K870" s="1055">
        <f>$C$143</f>
        <v>0.15</v>
      </c>
      <c r="L870" s="971">
        <f>CEILING(C870/G870+1,1)</f>
        <v>1</v>
      </c>
      <c r="M870" s="971"/>
      <c r="N870" s="971"/>
      <c r="O870" s="1280">
        <f>E870*I870*J870*K870</f>
        <v>0</v>
      </c>
      <c r="P870" s="1360">
        <f>C870</f>
        <v>0</v>
      </c>
      <c r="Q870" s="1360">
        <f>C870</f>
        <v>0</v>
      </c>
      <c r="R870" s="1360">
        <f>C870</f>
        <v>0</v>
      </c>
      <c r="S870" s="971"/>
      <c r="T870" s="971"/>
      <c r="U870" s="1398"/>
      <c r="V870" s="971"/>
      <c r="W870" s="971"/>
      <c r="X870" s="971"/>
      <c r="Y870" s="1353"/>
      <c r="Z870" s="1353"/>
      <c r="AA870" s="971"/>
      <c r="AB870" s="971"/>
      <c r="AC870" s="971"/>
      <c r="AD870" s="971"/>
    </row>
    <row r="871" spans="1:30" s="1355" customFormat="1" ht="15.75" customHeight="1" outlineLevel="1">
      <c r="A871" s="1442"/>
      <c r="B871" s="1445">
        <f>B863</f>
        <v>0.4</v>
      </c>
      <c r="C871" s="1510">
        <f>SUM(C868:C870)</f>
        <v>0</v>
      </c>
      <c r="D871" s="1400">
        <f>B871*C871</f>
        <v>0</v>
      </c>
      <c r="E871" s="1246"/>
      <c r="F871" s="1063"/>
      <c r="G871" s="1055"/>
      <c r="H871" s="1055"/>
      <c r="I871" s="1055"/>
      <c r="J871" s="1055"/>
      <c r="K871" s="1055"/>
      <c r="L871" s="971"/>
      <c r="M871" s="971"/>
      <c r="N871" s="971"/>
      <c r="O871" s="971"/>
      <c r="P871" s="1353">
        <f>SUM(P868:P870)</f>
        <v>0</v>
      </c>
      <c r="Q871" s="1353">
        <f>SUM(Q868:Q870)</f>
        <v>0</v>
      </c>
      <c r="R871" s="1353">
        <f>SUM(R868:R870)</f>
        <v>0</v>
      </c>
      <c r="S871" s="971"/>
      <c r="T871" s="971"/>
      <c r="U871" s="1398"/>
      <c r="V871" s="971"/>
      <c r="W871" s="971"/>
      <c r="X871" s="971"/>
      <c r="Y871" s="1353"/>
      <c r="Z871" s="1353"/>
      <c r="AA871" s="971"/>
      <c r="AB871" s="971"/>
      <c r="AC871" s="971"/>
      <c r="AD871" s="971"/>
    </row>
    <row r="872" spans="1:30" s="1355" customFormat="1" ht="15.75" customHeight="1" outlineLevel="1">
      <c r="A872" s="1442" t="s">
        <v>3172</v>
      </c>
      <c r="B872" s="1445"/>
      <c r="C872" s="1510">
        <f>C411*пристройка!F5</f>
        <v>0</v>
      </c>
      <c r="D872" s="971"/>
      <c r="E872" s="1246">
        <f>IF('Ввод данных'!A372=связи1!A107,IF('Ввод данных'!A373=связи1!A94,0,0)+IF('Ввод данных'!A373=связи1!A95,связи1!F556,0)+IF('Ввод данных'!A373=связи1!A96,связи1!F557,0)+IF('Ввод данных'!A373=связи1!A97,0,0)+IF('Ввод данных'!A373=связи1!A98,связи1!F557,0),0)+IF('Ввод данных'!A372=связи1!A106,IF('Ввод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данных'!A373=связи1!A98,связи1!F558,0),0)+IF('Ввод данных'!A372=связи1!A108,IF('Ввод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</f>
        <v>0</v>
      </c>
      <c r="F872" s="1246">
        <f>C872*E872</f>
        <v>0</v>
      </c>
      <c r="G872" s="1055">
        <f>G411</f>
        <v>0.6</v>
      </c>
      <c r="H872" s="1055"/>
      <c r="I872" s="1055">
        <f>IF(C872=0,0,C872/G872+1)</f>
        <v>0</v>
      </c>
      <c r="J872" s="1055">
        <f>$D$143</f>
        <v>0.05</v>
      </c>
      <c r="K872" s="1055">
        <f>$C$143</f>
        <v>0.15</v>
      </c>
      <c r="L872" s="971">
        <f>CEILING(C872/G872+1,1)</f>
        <v>1</v>
      </c>
      <c r="M872" s="971"/>
      <c r="N872" s="971"/>
      <c r="O872" s="1280">
        <f>E872*I872*J872*K872</f>
        <v>0</v>
      </c>
      <c r="P872" s="1360">
        <f>C872</f>
        <v>0</v>
      </c>
      <c r="Q872" s="1360">
        <f>C872</f>
        <v>0</v>
      </c>
      <c r="R872" s="1360">
        <f>C872</f>
        <v>0</v>
      </c>
      <c r="S872" s="971"/>
      <c r="T872" s="971"/>
      <c r="U872" s="1398"/>
      <c r="V872" s="971"/>
      <c r="W872" s="971"/>
      <c r="X872" s="971"/>
      <c r="Y872" s="1353"/>
      <c r="Z872" s="1353"/>
      <c r="AA872" s="971"/>
      <c r="AB872" s="971"/>
      <c r="AC872" s="971"/>
      <c r="AD872" s="971"/>
    </row>
    <row r="873" spans="1:30" s="1355" customFormat="1" ht="15.75" customHeight="1" outlineLevel="1">
      <c r="A873" s="1442" t="s">
        <v>3173</v>
      </c>
      <c r="B873" s="1445" t="s">
        <v>1590</v>
      </c>
      <c r="C873" s="1510">
        <f>C412*пристройка!F5</f>
        <v>0</v>
      </c>
      <c r="D873" s="971">
        <f>пристройка!F18+пристройка!K18+пристройка!P18</f>
        <v>0</v>
      </c>
      <c r="E873" s="1246">
        <f>IF('Ввод данных'!A372=связи1!A107,IF('Ввод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данных'!A373=связи1!A98,связи1!F558,0),0)+IF('Ввод данных'!A372=связи1!A106,IF('Ввод данных'!A373=связи1!A94,0,0)+IF('Ввод данных'!A373=связи1!A95,связи1!F556,0)+IF('Ввод данных'!A373=связи1!A96,связи1!F557,0)+IF('Ввод данных'!A373=связи1!A97,0,0)+IF('Ввод данных'!A373=связи1!A98,связи1!F557,0),0)+IF('Ввод данных'!A372=связи1!A108,IF('Ввод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</f>
        <v>0</v>
      </c>
      <c r="F873" s="1246">
        <f>C873*E873</f>
        <v>0</v>
      </c>
      <c r="G873" s="1055">
        <f>G412</f>
        <v>0.6</v>
      </c>
      <c r="H873" s="1055"/>
      <c r="I873" s="1055">
        <f>IF(C873=0,0,C873/G873+1)</f>
        <v>0</v>
      </c>
      <c r="J873" s="1055">
        <f>$D$143</f>
        <v>0.05</v>
      </c>
      <c r="K873" s="1055">
        <f>$C$143</f>
        <v>0.15</v>
      </c>
      <c r="L873" s="971">
        <f>CEILING(C873/G873+1,1)</f>
        <v>1</v>
      </c>
      <c r="M873" s="971"/>
      <c r="N873" s="971"/>
      <c r="O873" s="1280">
        <f>E873*I873*J873*K873</f>
        <v>0</v>
      </c>
      <c r="P873" s="1360">
        <f>C873</f>
        <v>0</v>
      </c>
      <c r="Q873" s="1360">
        <f>C873</f>
        <v>0</v>
      </c>
      <c r="R873" s="1360">
        <f>C873</f>
        <v>0</v>
      </c>
      <c r="S873" s="971"/>
      <c r="T873" s="971"/>
      <c r="U873" s="1398"/>
      <c r="V873" s="971"/>
      <c r="W873" s="971"/>
      <c r="X873" s="971"/>
      <c r="Y873" s="1353"/>
      <c r="Z873" s="1353"/>
      <c r="AA873" s="971"/>
      <c r="AB873" s="971"/>
      <c r="AC873" s="971"/>
      <c r="AD873" s="971"/>
    </row>
    <row r="874" spans="1:30" s="1355" customFormat="1" ht="15.75" customHeight="1" outlineLevel="1">
      <c r="A874" s="1442" t="s">
        <v>3174</v>
      </c>
      <c r="B874" s="1445" t="s">
        <v>1582</v>
      </c>
      <c r="C874" s="1510">
        <f>C413*пристройка!F5</f>
        <v>0</v>
      </c>
      <c r="D874" s="971">
        <f>пристройка!F19+пристройка!K19+пристройка!P19</f>
        <v>0</v>
      </c>
      <c r="E874" s="1246">
        <f>IF('Ввод данных'!A372=связи1!A107,IF('Ввод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данных'!A373=связи1!A98,связи1!F558,0),0)+IF('Ввод данных'!A372=связи1!A106,IF('Ввод данных'!A373=связи1!A94,0,0)+IF('Ввод данных'!A373=связи1!A95,связи1!F556,0)+IF('Ввод данных'!A373=связи1!A96,связи1!F557,0)+IF('Ввод данных'!A373=связи1!A97,0,0)+IF('Ввод данных'!A373=связи1!A98,связи1!F557,0),0)+IF('Ввод данных'!A372=связи1!A108,IF('Ввод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</f>
        <v>0</v>
      </c>
      <c r="F874" s="1246">
        <f>C874*E874</f>
        <v>0</v>
      </c>
      <c r="G874" s="1055">
        <f>G413</f>
        <v>0.6</v>
      </c>
      <c r="H874" s="1055"/>
      <c r="I874" s="1055">
        <f>IF(C874=0,0,C874/G874+1)</f>
        <v>0</v>
      </c>
      <c r="J874" s="1055">
        <f>$D$143</f>
        <v>0.05</v>
      </c>
      <c r="K874" s="1055">
        <f>$C$143</f>
        <v>0.15</v>
      </c>
      <c r="L874" s="971">
        <f>CEILING(C874/G874+1,1)</f>
        <v>1</v>
      </c>
      <c r="M874" s="971"/>
      <c r="N874" s="971"/>
      <c r="O874" s="1280">
        <f>E874*I874*J874*K874</f>
        <v>0</v>
      </c>
      <c r="P874" s="1360">
        <f>C874</f>
        <v>0</v>
      </c>
      <c r="Q874" s="1360">
        <f>C874</f>
        <v>0</v>
      </c>
      <c r="R874" s="1360">
        <f>C874</f>
        <v>0</v>
      </c>
      <c r="S874" s="971"/>
      <c r="T874" s="971"/>
      <c r="U874" s="1398"/>
      <c r="V874" s="971"/>
      <c r="W874" s="971"/>
      <c r="X874" s="971"/>
      <c r="Y874" s="1353"/>
      <c r="Z874" s="1353"/>
      <c r="AA874" s="971"/>
      <c r="AB874" s="971"/>
      <c r="AC874" s="971"/>
      <c r="AD874" s="971"/>
    </row>
    <row r="875" spans="1:30" s="1355" customFormat="1" ht="15.75" customHeight="1" outlineLevel="1">
      <c r="A875" s="1442"/>
      <c r="B875" s="1445">
        <f>B863</f>
        <v>0.4</v>
      </c>
      <c r="C875" s="1510">
        <f>SUM(C872:C874)</f>
        <v>0</v>
      </c>
      <c r="D875" s="1400">
        <f>B875*C875</f>
        <v>0</v>
      </c>
      <c r="E875" s="1063"/>
      <c r="F875" s="1063"/>
      <c r="G875" s="971"/>
      <c r="H875" s="971"/>
      <c r="I875" s="971"/>
      <c r="J875" s="971"/>
      <c r="K875" s="971"/>
      <c r="L875" s="971"/>
      <c r="M875" s="971"/>
      <c r="N875" s="971"/>
      <c r="O875" s="971"/>
      <c r="P875" s="1353">
        <f>SUM(P872:P874)</f>
        <v>0</v>
      </c>
      <c r="Q875" s="1353">
        <f>SUM(Q872:Q874)</f>
        <v>0</v>
      </c>
      <c r="R875" s="1353">
        <f>SUM(R872:R874)</f>
        <v>0</v>
      </c>
      <c r="S875" s="971"/>
      <c r="T875" s="971"/>
      <c r="U875" s="1398"/>
      <c r="V875" s="971"/>
      <c r="W875" s="971"/>
      <c r="X875" s="971"/>
      <c r="Y875" s="1353"/>
      <c r="Z875" s="1353"/>
      <c r="AA875" s="971"/>
      <c r="AB875" s="971"/>
      <c r="AC875" s="971"/>
      <c r="AD875" s="971"/>
    </row>
    <row r="876" spans="1:30" s="1355" customFormat="1" ht="15.75" customHeight="1" outlineLevel="1">
      <c r="A876" s="1442"/>
      <c r="B876" s="1445"/>
      <c r="C876" s="1510"/>
      <c r="D876" s="971"/>
      <c r="E876" s="1063"/>
      <c r="F876" s="1063"/>
      <c r="G876" s="971"/>
      <c r="H876" s="971"/>
      <c r="I876" s="971"/>
      <c r="J876" s="971"/>
      <c r="K876" s="971"/>
      <c r="L876" s="971"/>
      <c r="M876" s="971"/>
      <c r="N876" s="971"/>
      <c r="O876" s="971"/>
      <c r="P876" s="1353"/>
      <c r="Q876" s="1353"/>
      <c r="R876" s="1353"/>
      <c r="S876" s="971"/>
      <c r="T876" s="971"/>
      <c r="U876" s="1398"/>
      <c r="V876" s="971"/>
      <c r="W876" s="971"/>
      <c r="X876" s="971"/>
      <c r="Y876" s="1353"/>
      <c r="Z876" s="1353"/>
      <c r="AA876" s="971"/>
      <c r="AB876" s="971"/>
      <c r="AC876" s="971"/>
      <c r="AD876" s="971"/>
    </row>
    <row r="877" spans="1:30" s="1355" customFormat="1" ht="15.75" customHeight="1" outlineLevel="1">
      <c r="A877" s="1442" t="str">
        <f t="shared" ref="A877:F877" si="96">A415</f>
        <v>выбор по этажности пристройки фронтона высоту 1 эт</v>
      </c>
      <c r="B877" s="920" t="str">
        <f t="shared" si="96"/>
        <v>м.п.</v>
      </c>
      <c r="C877" s="1442">
        <f t="shared" si="96"/>
        <v>5</v>
      </c>
      <c r="D877" s="1442">
        <f t="shared" si="96"/>
        <v>0</v>
      </c>
      <c r="E877" s="1442">
        <f t="shared" si="96"/>
        <v>0</v>
      </c>
      <c r="F877" s="1442">
        <f t="shared" si="96"/>
        <v>0</v>
      </c>
      <c r="G877" s="971"/>
      <c r="H877" s="971"/>
      <c r="I877" s="971"/>
      <c r="J877" s="971"/>
      <c r="K877" s="971"/>
      <c r="L877" s="971"/>
      <c r="M877" s="971"/>
      <c r="N877" s="971"/>
      <c r="O877" s="971"/>
      <c r="P877" s="1353"/>
      <c r="Q877" s="1353"/>
      <c r="R877" s="1353"/>
      <c r="S877" s="971"/>
      <c r="T877" s="971"/>
      <c r="U877" s="1398"/>
      <c r="V877" s="971"/>
      <c r="W877" s="971"/>
      <c r="X877" s="971"/>
      <c r="Y877" s="1353"/>
      <c r="Z877" s="1353"/>
      <c r="AA877" s="971"/>
      <c r="AB877" s="971"/>
      <c r="AC877" s="971"/>
      <c r="AD877" s="971"/>
    </row>
    <row r="878" spans="1:30" s="1355" customFormat="1" ht="15.75" customHeight="1" outlineLevel="1">
      <c r="A878" s="1442" t="s">
        <v>3348</v>
      </c>
      <c r="B878" s="920">
        <f t="shared" ref="B878:F879" si="97">B416</f>
        <v>0</v>
      </c>
      <c r="C878" s="1442">
        <f t="shared" si="97"/>
        <v>1</v>
      </c>
      <c r="D878" s="1442">
        <f t="shared" si="97"/>
        <v>0</v>
      </c>
      <c r="E878" s="1442">
        <f t="shared" si="97"/>
        <v>0</v>
      </c>
      <c r="F878" s="1442">
        <f t="shared" si="97"/>
        <v>0</v>
      </c>
      <c r="G878" s="971"/>
      <c r="H878" s="971"/>
      <c r="I878" s="971"/>
      <c r="J878" s="971"/>
      <c r="K878" s="971"/>
      <c r="L878" s="971"/>
      <c r="M878" s="971"/>
      <c r="N878" s="971"/>
      <c r="O878" s="971"/>
      <c r="P878" s="1353"/>
      <c r="Q878" s="1353"/>
      <c r="R878" s="1353"/>
      <c r="S878" s="971"/>
      <c r="T878" s="971"/>
      <c r="U878" s="1398"/>
      <c r="V878" s="971"/>
      <c r="W878" s="971"/>
      <c r="X878" s="971"/>
      <c r="Y878" s="1353"/>
      <c r="Z878" s="1353"/>
      <c r="AA878" s="971"/>
      <c r="AB878" s="971"/>
      <c r="AC878" s="971"/>
      <c r="AD878" s="971"/>
    </row>
    <row r="879" spans="1:30" s="1355" customFormat="1" ht="15.75" customHeight="1" outlineLevel="1">
      <c r="A879" s="1442" t="str">
        <f>A417</f>
        <v>левая половина фронтона для односкатной кровли</v>
      </c>
      <c r="B879" s="920" t="str">
        <f t="shared" si="97"/>
        <v>м.п.</v>
      </c>
      <c r="C879" s="1442">
        <f t="shared" si="97"/>
        <v>0</v>
      </c>
      <c r="D879" s="1442">
        <f t="shared" si="97"/>
        <v>0</v>
      </c>
      <c r="E879" s="1442">
        <f t="shared" si="97"/>
        <v>0</v>
      </c>
      <c r="F879" s="1442">
        <f t="shared" si="97"/>
        <v>0</v>
      </c>
      <c r="G879" s="971"/>
      <c r="H879" s="971"/>
      <c r="I879" s="971"/>
      <c r="J879" s="971"/>
      <c r="K879" s="971"/>
      <c r="L879" s="971"/>
      <c r="M879" s="971"/>
      <c r="N879" s="971"/>
      <c r="O879" s="971"/>
      <c r="P879" s="1353"/>
      <c r="Q879" s="1353"/>
      <c r="R879" s="1353"/>
      <c r="S879" s="971"/>
      <c r="T879" s="971"/>
      <c r="U879" s="1398"/>
      <c r="V879" s="971"/>
      <c r="W879" s="971"/>
      <c r="X879" s="971"/>
      <c r="Y879" s="1353"/>
      <c r="Z879" s="1353"/>
      <c r="AA879" s="971"/>
      <c r="AB879" s="971"/>
      <c r="AC879" s="971"/>
      <c r="AD879" s="971"/>
    </row>
    <row r="880" spans="1:30" s="1355" customFormat="1" ht="15.75" customHeight="1" outlineLevel="1">
      <c r="A880" s="1442" t="str">
        <f>A418</f>
        <v>количество стоек каркаса фронтона</v>
      </c>
      <c r="B880" s="920" t="str">
        <f t="shared" ref="B880:B911" si="98">B418</f>
        <v>шт</v>
      </c>
      <c r="C880" s="1442">
        <f>CEILING(IF('Ввод данных'!A360=связи1!A106,L861,0)+IF('Ввод данных'!A360=связи1!A107,дома!C860/2/дома!G860,0)+IF('Ввод данных'!A360=связи1!A108,дома!L861,0),1)</f>
        <v>0</v>
      </c>
      <c r="D880" s="1442">
        <f>CEILING(IF('Ввод данных'!A360=связи1!A106,L865,0)+IF('Ввод данных'!A360=связи1!A107,дома!C864/2/дома!G864,0)+IF('Ввод данных'!A360=связи1!A108,дома!L865,0),1)</f>
        <v>0</v>
      </c>
      <c r="E880" s="1442">
        <f>CEILING(IF('Ввод данных'!A360=связи1!A106,L869,0)+IF('Ввод данных'!A360=связи1!A107,дома!C868/2/дома!G868,0)+IF('Ввод данных'!A360=связи1!A108,дома!L869,0),1)</f>
        <v>0</v>
      </c>
      <c r="F880" s="1442">
        <f>CEILING(IF('Ввод данных'!A360=связи1!A106,L873,0)+IF('Ввод данных'!A360=связи1!A107,дома!C872/2/дома!G872,0)+IF('Ввод данных'!A360=связи1!A108,дома!L873,0),1)</f>
        <v>0</v>
      </c>
      <c r="G880" s="971"/>
      <c r="H880" s="971"/>
      <c r="I880" s="971"/>
      <c r="J880" s="971"/>
      <c r="K880" s="971"/>
      <c r="L880" s="971"/>
      <c r="M880" s="971"/>
      <c r="N880" s="971"/>
      <c r="O880" s="971"/>
      <c r="P880" s="1353"/>
      <c r="Q880" s="1353"/>
      <c r="R880" s="1353"/>
      <c r="S880" s="971"/>
      <c r="T880" s="971"/>
      <c r="U880" s="1398"/>
      <c r="V880" s="971"/>
      <c r="W880" s="971"/>
      <c r="X880" s="971"/>
      <c r="Y880" s="1353"/>
      <c r="Z880" s="1353"/>
      <c r="AA880" s="971"/>
      <c r="AB880" s="971"/>
      <c r="AC880" s="971"/>
      <c r="AD880" s="971"/>
    </row>
    <row r="881" spans="1:30" s="1355" customFormat="1" ht="15.75" customHeight="1" outlineLevel="1">
      <c r="A881" s="1442" t="s">
        <v>3349</v>
      </c>
      <c r="B881" s="920" t="str">
        <f t="shared" si="98"/>
        <v>м.п.</v>
      </c>
      <c r="C881" s="1442">
        <f>(IF('Ввод данных'!A361=связи1!A95,(связи1!C557-связи1!C556)/IF(C880=0,1,C880),0)+IF('Ввод данных'!A361=связи1!A96,(связи1!C557-связи1!C558)/IF(C880=0,1,C880),0)+IF('Ввод данных'!A361=связи1!A98,(связи1!C557-связи1!C558)/IF(C880=0,1,C880),0))*IF(C880=0,0,1)</f>
        <v>0</v>
      </c>
      <c r="D881" s="1442">
        <f>(IF('Ввод данных'!A365=связи1!A95,(связи1!D557-связи1!D556)/IF(D880=0,1,D880),0)+IF('Ввод данных'!A365=связи1!A96,(связи1!D557-связи1!D558)/IF(D880=0,1,D880),0)+IF('Ввод данных'!A365=связи1!A98,(связи1!D557-связи1!D558)/IF(D880=0,1,D880),0))*IF(D880=0,0,1)</f>
        <v>0</v>
      </c>
      <c r="E881" s="1442">
        <f>(IF('Ввод данных'!A369=связи1!A95,(связи1!E557-связи1!E556)/IF(E880=0,1,E880),0)+IF('Ввод данных'!A369=связи1!A96,(связи1!E557-связи1!E558)/IF(E880=0,1,E880),0)+IF('Ввод данных'!A369=связи1!A98,(связи1!E557-связи1!E558)/IF(E880=0,1,E880),0))*IF(E880=0,0,1)</f>
        <v>0</v>
      </c>
      <c r="F881" s="1442">
        <f>(IF('Ввод данных'!A373=связи1!A95,(связи1!F557-связи1!F556)/IF(F880=0,1,F880),0)+IF('Ввод данных'!A373=связи1!A96,(связи1!F557-связи1!F558)/IF(F880=0,1,F880),0)+IF('Ввод данных'!A373=связи1!A98,(связи1!F557-связи1!F558)/IF(F880=0,1,F880),0))*IF(F880=0,0,1)</f>
        <v>0</v>
      </c>
      <c r="G881" s="971"/>
      <c r="H881" s="971"/>
      <c r="I881" s="971"/>
      <c r="J881" s="971"/>
      <c r="K881" s="971"/>
      <c r="L881" s="971"/>
      <c r="M881" s="971"/>
      <c r="N881" s="971"/>
      <c r="O881" s="971"/>
      <c r="P881" s="1353"/>
      <c r="Q881" s="1353"/>
      <c r="R881" s="1353"/>
      <c r="S881" s="971"/>
      <c r="T881" s="971"/>
      <c r="U881" s="1398"/>
      <c r="V881" s="971"/>
      <c r="W881" s="971"/>
      <c r="X881" s="971"/>
      <c r="Y881" s="1353"/>
      <c r="Z881" s="1353"/>
      <c r="AA881" s="971"/>
      <c r="AB881" s="971"/>
      <c r="AC881" s="971"/>
      <c r="AD881" s="971"/>
    </row>
    <row r="882" spans="1:30" s="1355" customFormat="1" ht="15.75" customHeight="1" outlineLevel="1">
      <c r="A882" s="1442" t="s">
        <v>3350</v>
      </c>
      <c r="B882" s="920">
        <f t="shared" si="98"/>
        <v>0</v>
      </c>
      <c r="C882" s="1442"/>
      <c r="D882" s="1442"/>
      <c r="E882" s="1442"/>
      <c r="F882" s="1442"/>
      <c r="G882" s="971"/>
      <c r="H882" s="971"/>
      <c r="I882" s="971"/>
      <c r="J882" s="971"/>
      <c r="K882" s="971"/>
      <c r="L882" s="971"/>
      <c r="M882" s="971"/>
      <c r="N882" s="971"/>
      <c r="O882" s="971"/>
      <c r="P882" s="1353"/>
      <c r="Q882" s="1353"/>
      <c r="R882" s="1353"/>
      <c r="S882" s="971"/>
      <c r="T882" s="971"/>
      <c r="U882" s="1398"/>
      <c r="V882" s="971"/>
      <c r="W882" s="971"/>
      <c r="X882" s="971"/>
      <c r="Y882" s="1353"/>
      <c r="Z882" s="1353"/>
      <c r="AA882" s="971"/>
      <c r="AB882" s="971"/>
      <c r="AC882" s="971"/>
      <c r="AD882" s="971"/>
    </row>
    <row r="883" spans="1:30" s="1355" customFormat="1" ht="15.75" customHeight="1" outlineLevel="1">
      <c r="A883" s="1442" t="str">
        <f>A421</f>
        <v>разница по высоте стоек каркаса на фронтоне 3 пристр</v>
      </c>
      <c r="B883" s="920">
        <f t="shared" si="98"/>
        <v>0</v>
      </c>
      <c r="C883" s="1442"/>
      <c r="D883" s="1442"/>
      <c r="E883" s="1442"/>
      <c r="F883" s="1442"/>
      <c r="G883" s="971"/>
      <c r="H883" s="971"/>
      <c r="I883" s="971"/>
      <c r="J883" s="971"/>
      <c r="K883" s="971"/>
      <c r="L883" s="971"/>
      <c r="M883" s="971"/>
      <c r="N883" s="971"/>
      <c r="O883" s="971"/>
      <c r="P883" s="1353"/>
      <c r="Q883" s="1353"/>
      <c r="R883" s="1353"/>
      <c r="S883" s="971"/>
      <c r="T883" s="971"/>
      <c r="U883" s="1398"/>
      <c r="V883" s="971"/>
      <c r="W883" s="971"/>
      <c r="X883" s="971"/>
      <c r="Y883" s="1353"/>
      <c r="Z883" s="1353"/>
      <c r="AA883" s="971"/>
      <c r="AB883" s="971"/>
      <c r="AC883" s="971"/>
      <c r="AD883" s="971"/>
    </row>
    <row r="884" spans="1:30" s="1355" customFormat="1" ht="15.75" customHeight="1" outlineLevel="1">
      <c r="A884" s="1442" t="str">
        <f>A422</f>
        <v>разница по высоте стоек каркаса на фронтоне 4 пристр</v>
      </c>
      <c r="B884" s="920">
        <f t="shared" si="98"/>
        <v>0</v>
      </c>
      <c r="C884" s="1442"/>
      <c r="D884" s="1442"/>
      <c r="E884" s="1442"/>
      <c r="F884" s="1442"/>
      <c r="G884" s="971"/>
      <c r="H884" s="971"/>
      <c r="I884" s="971"/>
      <c r="J884" s="971"/>
      <c r="K884" s="971"/>
      <c r="L884" s="971"/>
      <c r="M884" s="971"/>
      <c r="N884" s="971"/>
      <c r="O884" s="971"/>
      <c r="P884" s="1353"/>
      <c r="Q884" s="1353"/>
      <c r="R884" s="1353"/>
      <c r="S884" s="971"/>
      <c r="T884" s="971"/>
      <c r="U884" s="1398"/>
      <c r="V884" s="971"/>
      <c r="W884" s="971"/>
      <c r="X884" s="971"/>
      <c r="Y884" s="1353"/>
      <c r="Z884" s="1353"/>
      <c r="AA884" s="971"/>
      <c r="AB884" s="971"/>
      <c r="AC884" s="971"/>
      <c r="AD884" s="971"/>
    </row>
    <row r="885" spans="1:30" s="1355" customFormat="1" ht="15.75" customHeight="1" outlineLevel="1">
      <c r="A885" s="1447" t="s">
        <v>3351</v>
      </c>
      <c r="B885" s="1449" t="str">
        <f t="shared" si="98"/>
        <v>ед.изм</v>
      </c>
      <c r="C885" s="1447" t="str">
        <f>C423</f>
        <v>ширина</v>
      </c>
      <c r="D885" s="1447" t="str">
        <f>D423</f>
        <v>толщина</v>
      </c>
      <c r="E885" s="1447" t="str">
        <f>E423</f>
        <v>высота</v>
      </c>
      <c r="F885" s="1447" t="str">
        <f>F423</f>
        <v>кол-во</v>
      </c>
      <c r="G885" s="971"/>
      <c r="H885" s="971"/>
      <c r="I885" s="971"/>
      <c r="J885" s="971"/>
      <c r="K885" s="971"/>
      <c r="L885" s="971"/>
      <c r="M885" s="971"/>
      <c r="N885" s="971"/>
      <c r="O885" s="971"/>
      <c r="P885" s="1353"/>
      <c r="Q885" s="1353"/>
      <c r="R885" s="1353"/>
      <c r="S885" s="971"/>
      <c r="T885" s="971"/>
      <c r="U885" s="1398"/>
      <c r="V885" s="971"/>
      <c r="W885" s="971"/>
      <c r="X885" s="971"/>
      <c r="Y885" s="1353"/>
      <c r="Z885" s="1353"/>
      <c r="AA885" s="971"/>
      <c r="AB885" s="971"/>
      <c r="AC885" s="971"/>
      <c r="AD885" s="971"/>
    </row>
    <row r="886" spans="1:30" s="1355" customFormat="1" ht="15.75" customHeight="1" outlineLevel="1">
      <c r="A886" s="1442" t="s">
        <v>3352</v>
      </c>
      <c r="B886" s="920" t="str">
        <f t="shared" si="98"/>
        <v>м.п.</v>
      </c>
      <c r="C886" s="1442">
        <f t="shared" ref="C886:D905" si="99">C424</f>
        <v>0.4</v>
      </c>
      <c r="D886" s="1442">
        <f t="shared" si="99"/>
        <v>0.05</v>
      </c>
      <c r="E886" s="1442">
        <f>E860</f>
        <v>0</v>
      </c>
      <c r="F886" s="1442">
        <f>L860*VLOOKUP('Ввод данных'!$F$416,связи1!$A$2:$B$3,2,0)</f>
        <v>0</v>
      </c>
      <c r="G886" s="971">
        <f t="shared" ref="G886:G926" si="100">C886*D886*E886*F886</f>
        <v>0</v>
      </c>
      <c r="H886" s="971"/>
      <c r="I886" s="971"/>
      <c r="J886" s="971"/>
      <c r="K886" s="971"/>
      <c r="L886" s="971"/>
      <c r="M886" s="971"/>
      <c r="N886" s="971"/>
      <c r="O886" s="971"/>
      <c r="P886" s="1353"/>
      <c r="Q886" s="1353"/>
      <c r="R886" s="1353"/>
      <c r="S886" s="971"/>
      <c r="T886" s="971"/>
      <c r="U886" s="1398"/>
      <c r="V886" s="971"/>
      <c r="W886" s="971"/>
      <c r="X886" s="971"/>
      <c r="Y886" s="1353"/>
      <c r="Z886" s="1353"/>
      <c r="AA886" s="971"/>
      <c r="AB886" s="971"/>
      <c r="AC886" s="971"/>
      <c r="AD886" s="971"/>
    </row>
    <row r="887" spans="1:30" s="1355" customFormat="1" ht="15.75" customHeight="1" outlineLevel="1">
      <c r="A887" s="1442" t="s">
        <v>3353</v>
      </c>
      <c r="B887" s="920" t="str">
        <f t="shared" si="98"/>
        <v>м.п.</v>
      </c>
      <c r="C887" s="1442">
        <f t="shared" si="99"/>
        <v>0.4</v>
      </c>
      <c r="D887" s="1442">
        <f t="shared" si="99"/>
        <v>0.05</v>
      </c>
      <c r="E887" s="1442">
        <f>E861</f>
        <v>0</v>
      </c>
      <c r="F887" s="1442">
        <f>L861*VLOOKUP('Ввод данных'!$F$416,связи1!$A$2:$B$3,2,0)</f>
        <v>0</v>
      </c>
      <c r="G887" s="971">
        <f t="shared" si="100"/>
        <v>0</v>
      </c>
      <c r="H887" s="971"/>
      <c r="I887" s="971"/>
      <c r="J887" s="971"/>
      <c r="K887" s="971"/>
      <c r="L887" s="971"/>
      <c r="M887" s="971"/>
      <c r="N887" s="971"/>
      <c r="O887" s="971"/>
      <c r="P887" s="1353"/>
      <c r="Q887" s="1353"/>
      <c r="R887" s="1353"/>
      <c r="S887" s="971"/>
      <c r="T887" s="971"/>
      <c r="U887" s="1398"/>
      <c r="V887" s="971"/>
      <c r="W887" s="971"/>
      <c r="X887" s="971"/>
      <c r="Y887" s="1353"/>
      <c r="Z887" s="1353"/>
      <c r="AA887" s="971"/>
      <c r="AB887" s="971"/>
      <c r="AC887" s="971"/>
      <c r="AD887" s="971"/>
    </row>
    <row r="888" spans="1:30" s="1355" customFormat="1" ht="15.75" customHeight="1" outlineLevel="1">
      <c r="A888" s="1442" t="s">
        <v>3354</v>
      </c>
      <c r="B888" s="920" t="str">
        <f t="shared" si="98"/>
        <v>м.п.</v>
      </c>
      <c r="C888" s="1442">
        <f t="shared" si="99"/>
        <v>0.4</v>
      </c>
      <c r="D888" s="1442">
        <f t="shared" si="99"/>
        <v>0.05</v>
      </c>
      <c r="E888" s="1442">
        <f>E862</f>
        <v>0</v>
      </c>
      <c r="F888" s="1442">
        <f>L862*VLOOKUP('Ввод данных'!$F$416,связи1!$A$2:$B$3,2,0)</f>
        <v>0</v>
      </c>
      <c r="G888" s="971">
        <f t="shared" si="100"/>
        <v>0</v>
      </c>
      <c r="H888" s="971"/>
      <c r="I888" s="971"/>
      <c r="J888" s="971"/>
      <c r="K888" s="971"/>
      <c r="L888" s="971"/>
      <c r="M888" s="971"/>
      <c r="N888" s="971"/>
      <c r="O888" s="971"/>
      <c r="P888" s="1353"/>
      <c r="Q888" s="1353"/>
      <c r="R888" s="1353"/>
      <c r="S888" s="971"/>
      <c r="T888" s="971"/>
      <c r="U888" s="1398"/>
      <c r="V888" s="971"/>
      <c r="W888" s="971"/>
      <c r="X888" s="971"/>
      <c r="Y888" s="1353"/>
      <c r="Z888" s="1353"/>
      <c r="AA888" s="971"/>
      <c r="AB888" s="971"/>
      <c r="AC888" s="971"/>
      <c r="AD888" s="971"/>
    </row>
    <row r="889" spans="1:30" s="1355" customFormat="1" ht="15.75" customHeight="1" outlineLevel="1">
      <c r="A889" s="1442" t="s">
        <v>3270</v>
      </c>
      <c r="B889" s="920" t="str">
        <f t="shared" si="98"/>
        <v>м.п.</v>
      </c>
      <c r="C889" s="1442">
        <f t="shared" si="99"/>
        <v>0.4</v>
      </c>
      <c r="D889" s="1442">
        <f t="shared" si="99"/>
        <v>0.05</v>
      </c>
      <c r="E889" s="1442">
        <f>1</f>
        <v>1</v>
      </c>
      <c r="F889" s="1442">
        <f>P863*VLOOKUP('Ввод данных'!$F$416,связи1!$A$2:$B$3,2,0)+Q863*VLOOKUP('Ввод данных'!$F$416,связи1!$A$2:$B$3,2,0)</f>
        <v>0</v>
      </c>
      <c r="G889" s="971">
        <f t="shared" si="100"/>
        <v>0</v>
      </c>
      <c r="H889" s="971"/>
      <c r="I889" s="971"/>
      <c r="J889" s="971"/>
      <c r="K889" s="971"/>
      <c r="L889" s="971"/>
      <c r="M889" s="971"/>
      <c r="N889" s="971"/>
      <c r="O889" s="971"/>
      <c r="P889" s="1353"/>
      <c r="Q889" s="1353"/>
      <c r="R889" s="1353"/>
      <c r="S889" s="971"/>
      <c r="T889" s="971"/>
      <c r="U889" s="1398"/>
      <c r="V889" s="971"/>
      <c r="W889" s="971"/>
      <c r="X889" s="971"/>
      <c r="Y889" s="1353"/>
      <c r="Z889" s="1353"/>
      <c r="AA889" s="971"/>
      <c r="AB889" s="971"/>
      <c r="AC889" s="971"/>
      <c r="AD889" s="971"/>
    </row>
    <row r="890" spans="1:30" s="1355" customFormat="1" ht="15.75" customHeight="1" outlineLevel="1">
      <c r="A890" s="1442" t="s">
        <v>3271</v>
      </c>
      <c r="B890" s="920" t="str">
        <f t="shared" si="98"/>
        <v>м.п.</v>
      </c>
      <c r="C890" s="1442">
        <f t="shared" si="99"/>
        <v>0.4</v>
      </c>
      <c r="D890" s="1442">
        <f t="shared" si="99"/>
        <v>0.05</v>
      </c>
      <c r="E890" s="1442">
        <f>1</f>
        <v>1</v>
      </c>
      <c r="F890" s="1442">
        <f>R863*VLOOKUP('Ввод данных'!$F$416,связи1!$A$2:$B$3,2,0)</f>
        <v>0</v>
      </c>
      <c r="G890" s="971">
        <f t="shared" si="100"/>
        <v>0</v>
      </c>
      <c r="H890" s="971"/>
      <c r="I890" s="971"/>
      <c r="J890" s="971"/>
      <c r="K890" s="971"/>
      <c r="L890" s="971"/>
      <c r="M890" s="971"/>
      <c r="N890" s="971"/>
      <c r="O890" s="971"/>
      <c r="P890" s="1353"/>
      <c r="Q890" s="1353"/>
      <c r="R890" s="1353"/>
      <c r="S890" s="971"/>
      <c r="T890" s="971"/>
      <c r="U890" s="1398"/>
      <c r="V890" s="971"/>
      <c r="W890" s="971"/>
      <c r="X890" s="971"/>
      <c r="Y890" s="1353"/>
      <c r="Z890" s="1353"/>
      <c r="AA890" s="971"/>
      <c r="AB890" s="971"/>
      <c r="AC890" s="971"/>
      <c r="AD890" s="971"/>
    </row>
    <row r="891" spans="1:30" s="1355" customFormat="1" ht="15.75" customHeight="1" outlineLevel="1">
      <c r="A891" s="1442" t="s">
        <v>3355</v>
      </c>
      <c r="B891" s="920" t="str">
        <f t="shared" si="98"/>
        <v>м.п.</v>
      </c>
      <c r="C891" s="1442">
        <f t="shared" si="99"/>
        <v>0.4</v>
      </c>
      <c r="D891" s="1442">
        <f t="shared" si="99"/>
        <v>0.05</v>
      </c>
      <c r="E891" s="1442">
        <v>1.5</v>
      </c>
      <c r="F891" s="1442">
        <f>8*VLOOKUP('Ввод данных'!$F$416,связи1!$A$2:$B$3,2,0)</f>
        <v>0</v>
      </c>
      <c r="G891" s="971">
        <f t="shared" si="100"/>
        <v>0</v>
      </c>
      <c r="H891" s="971"/>
      <c r="I891" s="971"/>
      <c r="J891" s="971"/>
      <c r="K891" s="971"/>
      <c r="L891" s="971"/>
      <c r="M891" s="971"/>
      <c r="N891" s="971"/>
      <c r="O891" s="971"/>
      <c r="P891" s="1353"/>
      <c r="Q891" s="1353"/>
      <c r="R891" s="1353"/>
      <c r="S891" s="971"/>
      <c r="T891" s="971"/>
      <c r="U891" s="1398"/>
      <c r="V891" s="971"/>
      <c r="W891" s="971"/>
      <c r="X891" s="971"/>
      <c r="Y891" s="1353"/>
      <c r="Z891" s="1353"/>
      <c r="AA891" s="971"/>
      <c r="AB891" s="971"/>
      <c r="AC891" s="971"/>
      <c r="AD891" s="971"/>
    </row>
    <row r="892" spans="1:30" s="1355" customFormat="1" ht="15.75" customHeight="1" outlineLevel="1">
      <c r="A892" s="1442" t="s">
        <v>3356</v>
      </c>
      <c r="B892" s="920" t="str">
        <f t="shared" si="98"/>
        <v>м.п.</v>
      </c>
      <c r="C892" s="1442">
        <f t="shared" si="99"/>
        <v>0.4</v>
      </c>
      <c r="D892" s="1442">
        <f t="shared" si="99"/>
        <v>0.05</v>
      </c>
      <c r="E892" s="1442">
        <f>IF('Ввод данных'!A360=связи1!A106,IF('Ввод данных'!A361=связи1!A94,0,0)+IF('Ввод данных'!A361=связи1!A95,связи1!C557-связи1!C556,0)+IF('Ввод данных'!A361=связи1!A96,связи1!C557,0)+IF('Ввод данных'!A361=связи1!A97,0,0)+IF('Ввод данных'!A361=связи1!A98,связи1!C557,0),0)</f>
        <v>0</v>
      </c>
      <c r="F892" s="1442">
        <f>2*VLOOKUP('Ввод данных'!$F$416,связи1!$A$2:$B$3,2,0)</f>
        <v>0</v>
      </c>
      <c r="G892" s="971">
        <f t="shared" si="100"/>
        <v>0</v>
      </c>
      <c r="H892" s="971"/>
      <c r="I892" s="971"/>
      <c r="J892" s="971"/>
      <c r="K892" s="971"/>
      <c r="L892" s="971"/>
      <c r="M892" s="971"/>
      <c r="N892" s="971"/>
      <c r="O892" s="971"/>
      <c r="P892" s="1353"/>
      <c r="Q892" s="1353"/>
      <c r="R892" s="1353"/>
      <c r="S892" s="971"/>
      <c r="T892" s="971"/>
      <c r="U892" s="1398"/>
      <c r="V892" s="971"/>
      <c r="W892" s="971"/>
      <c r="X892" s="971"/>
      <c r="Y892" s="1353"/>
      <c r="Z892" s="1353"/>
      <c r="AA892" s="971"/>
      <c r="AB892" s="971"/>
      <c r="AC892" s="971"/>
      <c r="AD892" s="971"/>
    </row>
    <row r="893" spans="1:30" s="1355" customFormat="1" ht="15.75" customHeight="1" outlineLevel="1">
      <c r="A893" s="1442" t="s">
        <v>3357</v>
      </c>
      <c r="B893" s="920" t="str">
        <f t="shared" si="98"/>
        <v>м.п.</v>
      </c>
      <c r="C893" s="1442">
        <f t="shared" si="99"/>
        <v>0.4</v>
      </c>
      <c r="D893" s="1442">
        <f t="shared" si="99"/>
        <v>0.05</v>
      </c>
      <c r="E893" s="1442">
        <f>IF('Ввод данных'!$A$361=связи1!$A$96,IF(дома!E892&lt;связи1!$C$558,0,дома!E892-$C$881),0)+IF(дома!E892=0,0,IF('Ввод данных'!$A$361=связи1!$A$95,IF(дома!E892&lt;0,0,дома!E892-$C$881),0))+IF('Ввод данных'!$A$361=связи1!$A$98,IF(дома!E892&lt;связи1!$C$558,0,дома!E892-$C$881),0)</f>
        <v>0</v>
      </c>
      <c r="F893" s="1442">
        <f>2*VLOOKUP('Ввод данных'!$F$416,связи1!$A$2:$B$3,2,0)</f>
        <v>0</v>
      </c>
      <c r="G893" s="971">
        <f t="shared" si="100"/>
        <v>0</v>
      </c>
      <c r="H893" s="971"/>
      <c r="I893" s="971"/>
      <c r="J893" s="971"/>
      <c r="K893" s="971"/>
      <c r="L893" s="971"/>
      <c r="M893" s="971"/>
      <c r="N893" s="971"/>
      <c r="O893" s="971"/>
      <c r="P893" s="1353"/>
      <c r="Q893" s="1353"/>
      <c r="R893" s="1353"/>
      <c r="S893" s="971"/>
      <c r="T893" s="971"/>
      <c r="U893" s="1398"/>
      <c r="V893" s="971"/>
      <c r="W893" s="971"/>
      <c r="X893" s="971"/>
      <c r="Y893" s="1353"/>
      <c r="Z893" s="1353"/>
      <c r="AA893" s="971"/>
      <c r="AB893" s="971"/>
      <c r="AC893" s="971"/>
      <c r="AD893" s="971"/>
    </row>
    <row r="894" spans="1:30" s="1355" customFormat="1" ht="15.75" customHeight="1" outlineLevel="1">
      <c r="A894" s="1442" t="s">
        <v>3358</v>
      </c>
      <c r="B894" s="920" t="str">
        <f t="shared" si="98"/>
        <v>м.п.</v>
      </c>
      <c r="C894" s="1442">
        <f t="shared" si="99"/>
        <v>0.4</v>
      </c>
      <c r="D894" s="1442">
        <f t="shared" si="99"/>
        <v>0.05</v>
      </c>
      <c r="E894" s="1442">
        <f>IF('Ввод данных'!$A$361=связи1!$A$96,IF(дома!E893&lt;связи1!$C$558,0,дома!E893-$C$881),0)+IF(дома!E893=0,0,IF('Ввод данных'!$A$361=связи1!$A$95,IF(дома!E893&lt;0,0,дома!E893-$C$881),0))+IF('Ввод данных'!$A$361=связи1!$A$98,IF(дома!E893&lt;связи1!$C$558,0,дома!E893-$C$881),0)</f>
        <v>0</v>
      </c>
      <c r="F894" s="1442">
        <f>2*VLOOKUP('Ввод данных'!$F$416,связи1!$A$2:$B$3,2,0)</f>
        <v>0</v>
      </c>
      <c r="G894" s="971">
        <f t="shared" si="100"/>
        <v>0</v>
      </c>
      <c r="H894" s="971"/>
      <c r="I894" s="971"/>
      <c r="J894" s="971"/>
      <c r="K894" s="971"/>
      <c r="L894" s="971"/>
      <c r="M894" s="971"/>
      <c r="N894" s="971"/>
      <c r="O894" s="971"/>
      <c r="P894" s="1353"/>
      <c r="Q894" s="1353"/>
      <c r="R894" s="1353"/>
      <c r="S894" s="971"/>
      <c r="T894" s="971"/>
      <c r="U894" s="1398"/>
      <c r="V894" s="971"/>
      <c r="W894" s="971"/>
      <c r="X894" s="971"/>
      <c r="Y894" s="1353"/>
      <c r="Z894" s="1353"/>
      <c r="AA894" s="971"/>
      <c r="AB894" s="971"/>
      <c r="AC894" s="971"/>
      <c r="AD894" s="971"/>
    </row>
    <row r="895" spans="1:30" s="1355" customFormat="1" ht="15.75" customHeight="1" outlineLevel="1">
      <c r="A895" s="1442" t="s">
        <v>3359</v>
      </c>
      <c r="B895" s="920" t="str">
        <f t="shared" si="98"/>
        <v>м.п.</v>
      </c>
      <c r="C895" s="1442">
        <f t="shared" si="99"/>
        <v>0.4</v>
      </c>
      <c r="D895" s="1442">
        <f t="shared" si="99"/>
        <v>0.05</v>
      </c>
      <c r="E895" s="1442">
        <f>IF('Ввод данных'!$A$361=связи1!$A$96,IF(дома!E894&lt;связи1!$C$558,0,дома!E894-$C$881),0)+IF(дома!E894=0,0,IF('Ввод данных'!$A$361=связи1!$A$95,IF(дома!E894&lt;0,0,дома!E894-$C$881),0))+IF('Ввод данных'!$A$361=связи1!$A$98,IF(дома!E894&lt;связи1!$C$558,0,дома!E894-$C$881),0)</f>
        <v>0</v>
      </c>
      <c r="F895" s="1442">
        <f>2*VLOOKUP('Ввод данных'!$F$416,связи1!$A$2:$B$3,2,0)</f>
        <v>0</v>
      </c>
      <c r="G895" s="971">
        <f t="shared" si="100"/>
        <v>0</v>
      </c>
      <c r="H895" s="971"/>
      <c r="I895" s="971"/>
      <c r="J895" s="971"/>
      <c r="K895" s="971"/>
      <c r="L895" s="971"/>
      <c r="M895" s="971"/>
      <c r="N895" s="971"/>
      <c r="O895" s="971"/>
      <c r="P895" s="1353"/>
      <c r="Q895" s="1353"/>
      <c r="R895" s="1353"/>
      <c r="S895" s="971"/>
      <c r="T895" s="971"/>
      <c r="U895" s="1398"/>
      <c r="V895" s="971"/>
      <c r="W895" s="971"/>
      <c r="X895" s="971"/>
      <c r="Y895" s="1353"/>
      <c r="Z895" s="1353"/>
      <c r="AA895" s="971"/>
      <c r="AB895" s="971"/>
      <c r="AC895" s="971"/>
      <c r="AD895" s="971"/>
    </row>
    <row r="896" spans="1:30" s="1355" customFormat="1" ht="15.75" customHeight="1" outlineLevel="1">
      <c r="A896" s="1442" t="s">
        <v>3360</v>
      </c>
      <c r="B896" s="920" t="str">
        <f t="shared" si="98"/>
        <v>м.п.</v>
      </c>
      <c r="C896" s="1442">
        <f t="shared" si="99"/>
        <v>0.4</v>
      </c>
      <c r="D896" s="1442">
        <f t="shared" si="99"/>
        <v>0.05</v>
      </c>
      <c r="E896" s="1442">
        <f>IF('Ввод данных'!$A$361=связи1!$A$96,IF(дома!E895&lt;связи1!$C$558,0,дома!E895-$C$881),0)+IF(дома!E895=0,0,IF('Ввод данных'!$A$361=связи1!$A$95,IF(дома!E895&lt;0,0,дома!E895-$C$881),0))+IF('Ввод данных'!$A$361=связи1!$A$98,IF(дома!E895&lt;связи1!$C$558,0,дома!E895-$C$881),0)</f>
        <v>0</v>
      </c>
      <c r="F896" s="1442">
        <f>2*VLOOKUP('Ввод данных'!$F$416,связи1!$A$2:$B$3,2,0)</f>
        <v>0</v>
      </c>
      <c r="G896" s="971">
        <f t="shared" si="100"/>
        <v>0</v>
      </c>
      <c r="H896" s="971"/>
      <c r="I896" s="971"/>
      <c r="J896" s="971"/>
      <c r="K896" s="971"/>
      <c r="L896" s="971"/>
      <c r="M896" s="971"/>
      <c r="N896" s="971"/>
      <c r="O896" s="971"/>
      <c r="P896" s="1353"/>
      <c r="Q896" s="1353"/>
      <c r="R896" s="1353"/>
      <c r="S896" s="971"/>
      <c r="T896" s="971"/>
      <c r="U896" s="1398"/>
      <c r="V896" s="971"/>
      <c r="W896" s="971"/>
      <c r="X896" s="971"/>
      <c r="Y896" s="1353"/>
      <c r="Z896" s="1353"/>
      <c r="AA896" s="971"/>
      <c r="AB896" s="971"/>
      <c r="AC896" s="971"/>
      <c r="AD896" s="971"/>
    </row>
    <row r="897" spans="1:30" s="1355" customFormat="1" ht="15.75" customHeight="1" outlineLevel="1">
      <c r="A897" s="1442" t="s">
        <v>3361</v>
      </c>
      <c r="B897" s="920" t="str">
        <f t="shared" si="98"/>
        <v>м.п.</v>
      </c>
      <c r="C897" s="1442">
        <f t="shared" si="99"/>
        <v>0.4</v>
      </c>
      <c r="D897" s="1442">
        <f t="shared" si="99"/>
        <v>0.05</v>
      </c>
      <c r="E897" s="1442">
        <f>IF('Ввод данных'!$A$361=связи1!$A$96,IF(дома!E896&lt;связи1!$C$558,0,дома!E896-$C$881),0)+IF(дома!E896=0,0,IF('Ввод данных'!$A$361=связи1!$A$95,IF(дома!E896&lt;0,0,дома!E896-$C$881),0))+IF('Ввод данных'!$A$361=связи1!$A$98,IF(дома!E896&lt;связи1!$C$558,0,дома!E896-$C$881),0)</f>
        <v>0</v>
      </c>
      <c r="F897" s="1442">
        <f>2*VLOOKUP('Ввод данных'!$F$416,связи1!$A$2:$B$3,2,0)</f>
        <v>0</v>
      </c>
      <c r="G897" s="971">
        <f t="shared" si="100"/>
        <v>0</v>
      </c>
      <c r="H897" s="971"/>
      <c r="I897" s="971"/>
      <c r="J897" s="971"/>
      <c r="K897" s="971"/>
      <c r="L897" s="971"/>
      <c r="M897" s="971"/>
      <c r="N897" s="971"/>
      <c r="O897" s="971"/>
      <c r="P897" s="1353"/>
      <c r="Q897" s="1353"/>
      <c r="R897" s="1353"/>
      <c r="S897" s="971"/>
      <c r="T897" s="971"/>
      <c r="U897" s="1398"/>
      <c r="V897" s="971"/>
      <c r="W897" s="971"/>
      <c r="X897" s="971"/>
      <c r="Y897" s="1353"/>
      <c r="Z897" s="1353"/>
      <c r="AA897" s="971"/>
      <c r="AB897" s="971"/>
      <c r="AC897" s="971"/>
      <c r="AD897" s="971"/>
    </row>
    <row r="898" spans="1:30" s="1355" customFormat="1" ht="15.75" customHeight="1" outlineLevel="1">
      <c r="A898" s="1442" t="s">
        <v>3362</v>
      </c>
      <c r="B898" s="920" t="str">
        <f t="shared" si="98"/>
        <v>м.п.</v>
      </c>
      <c r="C898" s="1442">
        <f t="shared" si="99"/>
        <v>0.4</v>
      </c>
      <c r="D898" s="1442">
        <f t="shared" si="99"/>
        <v>0.05</v>
      </c>
      <c r="E898" s="1442">
        <f>IF('Ввод данных'!$A$361=связи1!$A$96,IF(дома!E897&lt;связи1!$C$558,0,дома!E897-$C$881),0)+IF(дома!E897=0,0,IF('Ввод данных'!$A$361=связи1!$A$95,IF(дома!E897&lt;0,0,дома!E897-$C$881),0))+IF('Ввод данных'!$A$361=связи1!$A$98,IF(дома!E897&lt;связи1!$C$558,0,дома!E897-$C$881),0)</f>
        <v>0</v>
      </c>
      <c r="F898" s="1442">
        <f>2*VLOOKUP('Ввод данных'!$F$416,связи1!$A$2:$B$3,2,0)</f>
        <v>0</v>
      </c>
      <c r="G898" s="971">
        <f t="shared" si="100"/>
        <v>0</v>
      </c>
      <c r="H898" s="971"/>
      <c r="I898" s="971"/>
      <c r="J898" s="971"/>
      <c r="K898" s="971"/>
      <c r="L898" s="971"/>
      <c r="M898" s="971"/>
      <c r="N898" s="971"/>
      <c r="O898" s="971"/>
      <c r="P898" s="1353"/>
      <c r="Q898" s="1353"/>
      <c r="R898" s="1353"/>
      <c r="S898" s="971"/>
      <c r="T898" s="971"/>
      <c r="U898" s="1398"/>
      <c r="V898" s="971"/>
      <c r="W898" s="971"/>
      <c r="X898" s="971"/>
      <c r="Y898" s="1353"/>
      <c r="Z898" s="1353"/>
      <c r="AA898" s="971"/>
      <c r="AB898" s="971"/>
      <c r="AC898" s="971"/>
      <c r="AD898" s="971"/>
    </row>
    <row r="899" spans="1:30" s="1355" customFormat="1" ht="15.75" customHeight="1" outlineLevel="1">
      <c r="A899" s="1442" t="s">
        <v>3363</v>
      </c>
      <c r="B899" s="920" t="str">
        <f t="shared" si="98"/>
        <v>м.п.</v>
      </c>
      <c r="C899" s="1442">
        <f t="shared" si="99"/>
        <v>0.4</v>
      </c>
      <c r="D899" s="1442">
        <f t="shared" si="99"/>
        <v>0.05</v>
      </c>
      <c r="E899" s="1442">
        <f>IF('Ввод данных'!$A$361=связи1!$A$96,IF(дома!E898&lt;связи1!$C$558,0,дома!E898-$C$881),0)+IF(дома!E898=0,0,IF('Ввод данных'!$A$361=связи1!$A$95,IF(дома!E898&lt;0,0,дома!E898-$C$881),0))+IF('Ввод данных'!$A$361=связи1!$A$98,IF(дома!E898&lt;связи1!$C$558,0,дома!E898-$C$881),0)</f>
        <v>0</v>
      </c>
      <c r="F899" s="1442">
        <f>2*VLOOKUP('Ввод данных'!$F$416,связи1!$A$2:$B$3,2,0)</f>
        <v>0</v>
      </c>
      <c r="G899" s="971">
        <f t="shared" si="100"/>
        <v>0</v>
      </c>
      <c r="H899" s="971"/>
      <c r="I899" s="971"/>
      <c r="J899" s="971"/>
      <c r="K899" s="971"/>
      <c r="L899" s="971"/>
      <c r="M899" s="971"/>
      <c r="N899" s="971"/>
      <c r="O899" s="971"/>
      <c r="P899" s="1353"/>
      <c r="Q899" s="1353"/>
      <c r="R899" s="1353"/>
      <c r="S899" s="971"/>
      <c r="T899" s="971"/>
      <c r="U899" s="1398"/>
      <c r="V899" s="971"/>
      <c r="W899" s="971"/>
      <c r="X899" s="971"/>
      <c r="Y899" s="1353"/>
      <c r="Z899" s="1353"/>
      <c r="AA899" s="971"/>
      <c r="AB899" s="971"/>
      <c r="AC899" s="971"/>
      <c r="AD899" s="971"/>
    </row>
    <row r="900" spans="1:30" s="1355" customFormat="1" ht="15.75" customHeight="1" outlineLevel="1">
      <c r="A900" s="1442" t="s">
        <v>3364</v>
      </c>
      <c r="B900" s="920" t="str">
        <f t="shared" si="98"/>
        <v>м.п.</v>
      </c>
      <c r="C900" s="1442">
        <f t="shared" si="99"/>
        <v>0.4</v>
      </c>
      <c r="D900" s="1442">
        <f t="shared" si="99"/>
        <v>0.05</v>
      </c>
      <c r="E900" s="1442">
        <f>IF('Ввод данных'!$A$361=связи1!$A$96,IF(дома!E899&lt;связи1!$C$558,0,дома!E899-$C$881),0)+IF(дома!E899=0,0,IF('Ввод данных'!$A$361=связи1!$A$95,IF(дома!E899&lt;0,0,дома!E899-$C$881),0))+IF('Ввод данных'!$A$361=связи1!$A$98,IF(дома!E899&lt;связи1!$C$558,0,дома!E899-$C$881),0)</f>
        <v>0</v>
      </c>
      <c r="F900" s="1442">
        <f>2*VLOOKUP('Ввод данных'!$F$416,связи1!$A$2:$B$3,2,0)</f>
        <v>0</v>
      </c>
      <c r="G900" s="971">
        <f t="shared" si="100"/>
        <v>0</v>
      </c>
      <c r="H900" s="971"/>
      <c r="I900" s="971"/>
      <c r="J900" s="971"/>
      <c r="K900" s="971"/>
      <c r="L900" s="971"/>
      <c r="M900" s="971"/>
      <c r="N900" s="971"/>
      <c r="O900" s="971"/>
      <c r="P900" s="1353"/>
      <c r="Q900" s="1353"/>
      <c r="R900" s="1353"/>
      <c r="S900" s="971"/>
      <c r="T900" s="971"/>
      <c r="U900" s="1398"/>
      <c r="V900" s="971"/>
      <c r="W900" s="971"/>
      <c r="X900" s="971"/>
      <c r="Y900" s="1353"/>
      <c r="Z900" s="1353"/>
      <c r="AA900" s="971"/>
      <c r="AB900" s="971"/>
      <c r="AC900" s="971"/>
      <c r="AD900" s="971"/>
    </row>
    <row r="901" spans="1:30" s="1355" customFormat="1" ht="15.75" customHeight="1" outlineLevel="1">
      <c r="A901" s="1442" t="s">
        <v>3365</v>
      </c>
      <c r="B901" s="920" t="str">
        <f t="shared" si="98"/>
        <v>м.п.</v>
      </c>
      <c r="C901" s="1442">
        <f t="shared" si="99"/>
        <v>0.4</v>
      </c>
      <c r="D901" s="1442">
        <f t="shared" si="99"/>
        <v>0.05</v>
      </c>
      <c r="E901" s="1442">
        <f>IF('Ввод данных'!$A$361=связи1!$A$96,IF(дома!E900&lt;связи1!$C$558,0,дома!E900-$C$881),0)+IF(дома!E900=0,0,IF('Ввод данных'!$A$361=связи1!$A$95,IF(дома!E900&lt;0,0,дома!E900-$C$881),0))+IF('Ввод данных'!$A$361=связи1!$A$98,IF(дома!E900&lt;связи1!$C$558,0,дома!E900-$C$881),0)</f>
        <v>0</v>
      </c>
      <c r="F901" s="1442">
        <f>2*VLOOKUP('Ввод данных'!$F$416,связи1!$A$2:$B$3,2,0)</f>
        <v>0</v>
      </c>
      <c r="G901" s="971">
        <f t="shared" si="100"/>
        <v>0</v>
      </c>
      <c r="H901" s="971"/>
      <c r="I901" s="971"/>
      <c r="J901" s="971"/>
      <c r="K901" s="971"/>
      <c r="L901" s="971"/>
      <c r="M901" s="971"/>
      <c r="N901" s="971"/>
      <c r="O901" s="971"/>
      <c r="P901" s="1353"/>
      <c r="Q901" s="1353"/>
      <c r="R901" s="1353"/>
      <c r="S901" s="971"/>
      <c r="T901" s="971"/>
      <c r="U901" s="1398"/>
      <c r="V901" s="971"/>
      <c r="W901" s="971"/>
      <c r="X901" s="971"/>
      <c r="Y901" s="1353"/>
      <c r="Z901" s="1353"/>
      <c r="AA901" s="971"/>
      <c r="AB901" s="971"/>
      <c r="AC901" s="971"/>
      <c r="AD901" s="971"/>
    </row>
    <row r="902" spans="1:30" s="1355" customFormat="1" ht="15.75" customHeight="1" outlineLevel="1">
      <c r="A902" s="1442" t="s">
        <v>3366</v>
      </c>
      <c r="B902" s="920" t="str">
        <f t="shared" si="98"/>
        <v>м.п.</v>
      </c>
      <c r="C902" s="1442">
        <f t="shared" si="99"/>
        <v>0.4</v>
      </c>
      <c r="D902" s="1442">
        <f t="shared" si="99"/>
        <v>0.05</v>
      </c>
      <c r="E902" s="1442">
        <f>IF('Ввод данных'!$A$361=связи1!$A$96,IF(дома!E901&lt;связи1!$C$558,0,дома!E901-$C$881),0)+IF(дома!E901=0,0,IF('Ввод данных'!$A$361=связи1!$A$95,IF(дома!E901&lt;0,0,дома!E901-$C$881),0))+IF('Ввод данных'!$A$361=связи1!$A$98,IF(дома!E901&lt;связи1!$C$558,0,дома!E901-$C$881),0)</f>
        <v>0</v>
      </c>
      <c r="F902" s="1442">
        <f>2*VLOOKUP('Ввод данных'!$F$416,связи1!$A$2:$B$3,2,0)</f>
        <v>0</v>
      </c>
      <c r="G902" s="971">
        <f t="shared" si="100"/>
        <v>0</v>
      </c>
      <c r="H902" s="971"/>
      <c r="I902" s="971"/>
      <c r="J902" s="971"/>
      <c r="K902" s="971"/>
      <c r="L902" s="971"/>
      <c r="M902" s="971"/>
      <c r="N902" s="971"/>
      <c r="O902" s="971"/>
      <c r="P902" s="1353"/>
      <c r="Q902" s="1353"/>
      <c r="R902" s="1353"/>
      <c r="S902" s="971"/>
      <c r="T902" s="971"/>
      <c r="U902" s="1398"/>
      <c r="V902" s="971"/>
      <c r="W902" s="971"/>
      <c r="X902" s="971"/>
      <c r="Y902" s="1353"/>
      <c r="Z902" s="1353"/>
      <c r="AA902" s="971"/>
      <c r="AB902" s="971"/>
      <c r="AC902" s="971"/>
      <c r="AD902" s="971"/>
    </row>
    <row r="903" spans="1:30" s="1355" customFormat="1" ht="15.75" customHeight="1" outlineLevel="1">
      <c r="A903" s="1442" t="s">
        <v>3367</v>
      </c>
      <c r="B903" s="920" t="str">
        <f t="shared" si="98"/>
        <v>м.п.</v>
      </c>
      <c r="C903" s="1442">
        <f t="shared" si="99"/>
        <v>0.4</v>
      </c>
      <c r="D903" s="1442">
        <f t="shared" si="99"/>
        <v>0.05</v>
      </c>
      <c r="E903" s="1442">
        <f>IF('Ввод данных'!$A$361=связи1!$A$96,IF(дома!E902&lt;связи1!$C$558,0,дома!E902-$C$881),0)+IF(дома!E902=0,0,IF('Ввод данных'!$A$361=связи1!$A$95,IF(дома!E902&lt;0,0,дома!E902-$C$881),0))+IF('Ввод данных'!$A$361=связи1!$A$98,IF(дома!E902&lt;связи1!$C$558,0,дома!E902-$C$881),0)</f>
        <v>0</v>
      </c>
      <c r="F903" s="1442">
        <f>2*VLOOKUP('Ввод данных'!$F$416,связи1!$A$2:$B$3,2,0)</f>
        <v>0</v>
      </c>
      <c r="G903" s="971">
        <f t="shared" si="100"/>
        <v>0</v>
      </c>
      <c r="H903" s="971"/>
      <c r="I903" s="971"/>
      <c r="J903" s="971"/>
      <c r="K903" s="971"/>
      <c r="L903" s="971"/>
      <c r="M903" s="971"/>
      <c r="N903" s="971"/>
      <c r="O903" s="971"/>
      <c r="P903" s="1353"/>
      <c r="Q903" s="1353"/>
      <c r="R903" s="1353"/>
      <c r="S903" s="971"/>
      <c r="T903" s="971"/>
      <c r="U903" s="1398"/>
      <c r="V903" s="971"/>
      <c r="W903" s="971"/>
      <c r="X903" s="971"/>
      <c r="Y903" s="1353"/>
      <c r="Z903" s="1353"/>
      <c r="AA903" s="971"/>
      <c r="AB903" s="971"/>
      <c r="AC903" s="971"/>
      <c r="AD903" s="971"/>
    </row>
    <row r="904" spans="1:30" s="1355" customFormat="1" ht="15.75" customHeight="1" outlineLevel="1">
      <c r="A904" s="1442" t="s">
        <v>3368</v>
      </c>
      <c r="B904" s="920" t="str">
        <f t="shared" si="98"/>
        <v>м.п.</v>
      </c>
      <c r="C904" s="1442">
        <f t="shared" si="99"/>
        <v>0.4</v>
      </c>
      <c r="D904" s="1442">
        <f t="shared" si="99"/>
        <v>0.05</v>
      </c>
      <c r="E904" s="1442">
        <f>IF('Ввод данных'!$A$361=связи1!$A$96,IF(дома!E903&lt;связи1!$C$558,0,дома!E903-$C$881),0)+IF(дома!E903=0,0,IF('Ввод данных'!$A$361=связи1!$A$95,IF(дома!E903&lt;0,0,дома!E903-$C$881),0))+IF('Ввод данных'!$A$361=связи1!$A$98,IF(дома!E903&lt;связи1!$C$558,0,дома!E903-$C$881),0)</f>
        <v>0</v>
      </c>
      <c r="F904" s="1442">
        <f>2*VLOOKUP('Ввод данных'!$F$416,связи1!$A$2:$B$3,2,0)</f>
        <v>0</v>
      </c>
      <c r="G904" s="971">
        <f t="shared" si="100"/>
        <v>0</v>
      </c>
      <c r="H904" s="971"/>
      <c r="I904" s="971"/>
      <c r="J904" s="971"/>
      <c r="K904" s="971"/>
      <c r="L904" s="971"/>
      <c r="M904" s="971"/>
      <c r="N904" s="971"/>
      <c r="O904" s="971"/>
      <c r="P904" s="1353"/>
      <c r="Q904" s="1353"/>
      <c r="R904" s="1353"/>
      <c r="S904" s="971"/>
      <c r="T904" s="971"/>
      <c r="U904" s="1398"/>
      <c r="V904" s="971"/>
      <c r="W904" s="971"/>
      <c r="X904" s="971"/>
      <c r="Y904" s="1353"/>
      <c r="Z904" s="1353"/>
      <c r="AA904" s="971"/>
      <c r="AB904" s="971"/>
      <c r="AC904" s="971"/>
      <c r="AD904" s="971"/>
    </row>
    <row r="905" spans="1:30" s="1355" customFormat="1" ht="15.75" customHeight="1" outlineLevel="1">
      <c r="A905" s="1442" t="s">
        <v>3369</v>
      </c>
      <c r="B905" s="920" t="str">
        <f t="shared" si="98"/>
        <v>м.п.</v>
      </c>
      <c r="C905" s="1442">
        <f t="shared" si="99"/>
        <v>0.4</v>
      </c>
      <c r="D905" s="1442">
        <f t="shared" si="99"/>
        <v>0.05</v>
      </c>
      <c r="E905" s="1442">
        <f>IF('Ввод данных'!$A$361=связи1!$A$96,IF(дома!E904&lt;связи1!$C$558,0,дома!E904-$C$881),0)+IF(дома!E904=0,0,IF('Ввод данных'!$A$361=связи1!$A$95,IF(дома!E904&lt;0,0,дома!E904-$C$881),0))+IF('Ввод данных'!$A$361=связи1!$A$98,IF(дома!E904&lt;связи1!$C$558,0,дома!E904-$C$881),0)</f>
        <v>0</v>
      </c>
      <c r="F905" s="1442">
        <f>2*VLOOKUP('Ввод данных'!$F$416,связи1!$A$2:$B$3,2,0)</f>
        <v>0</v>
      </c>
      <c r="G905" s="971">
        <f t="shared" si="100"/>
        <v>0</v>
      </c>
      <c r="H905" s="971"/>
      <c r="I905" s="971"/>
      <c r="J905" s="971"/>
      <c r="K905" s="971"/>
      <c r="L905" s="971"/>
      <c r="M905" s="971"/>
      <c r="N905" s="971"/>
      <c r="O905" s="971"/>
      <c r="P905" s="1353"/>
      <c r="Q905" s="1353"/>
      <c r="R905" s="1353"/>
      <c r="S905" s="971"/>
      <c r="T905" s="971"/>
      <c r="U905" s="1398"/>
      <c r="V905" s="971"/>
      <c r="W905" s="971"/>
      <c r="X905" s="971"/>
      <c r="Y905" s="1353"/>
      <c r="Z905" s="1353"/>
      <c r="AA905" s="971"/>
      <c r="AB905" s="971"/>
      <c r="AC905" s="971"/>
      <c r="AD905" s="971"/>
    </row>
    <row r="906" spans="1:30" s="1355" customFormat="1" ht="15.75" customHeight="1" outlineLevel="1">
      <c r="A906" s="1442" t="s">
        <v>3370</v>
      </c>
      <c r="B906" s="920" t="str">
        <f t="shared" si="98"/>
        <v>м.п.</v>
      </c>
      <c r="C906" s="1442">
        <f t="shared" ref="C906:D925" si="101">C444</f>
        <v>0.4</v>
      </c>
      <c r="D906" s="1442">
        <f t="shared" si="101"/>
        <v>0.05</v>
      </c>
      <c r="E906" s="1442">
        <f>IF('Ввод данных'!$A$361=связи1!$A$96,IF(дома!E905&lt;связи1!$C$558,0,дома!E905-$C$881),0)+IF(дома!E905=0,0,IF('Ввод данных'!$A$361=связи1!$A$95,IF(дома!E905&lt;0,0,дома!E905-$C$881),0))+IF('Ввод данных'!$A$361=связи1!$A$98,IF(дома!E905&lt;связи1!$C$558,0,дома!E905-$C$881),0)</f>
        <v>0</v>
      </c>
      <c r="F906" s="1442">
        <f>2*VLOOKUP('Ввод данных'!$F$416,связи1!$A$2:$B$3,2,0)</f>
        <v>0</v>
      </c>
      <c r="G906" s="971">
        <f t="shared" si="100"/>
        <v>0</v>
      </c>
      <c r="H906" s="971"/>
      <c r="I906" s="971"/>
      <c r="J906" s="971"/>
      <c r="K906" s="971"/>
      <c r="L906" s="971"/>
      <c r="M906" s="971"/>
      <c r="N906" s="971"/>
      <c r="O906" s="971"/>
      <c r="P906" s="1353"/>
      <c r="Q906" s="1353"/>
      <c r="R906" s="1353"/>
      <c r="S906" s="971"/>
      <c r="T906" s="971"/>
      <c r="U906" s="1398"/>
      <c r="V906" s="971"/>
      <c r="W906" s="971"/>
      <c r="X906" s="971"/>
      <c r="Y906" s="1353"/>
      <c r="Z906" s="1353"/>
      <c r="AA906" s="971"/>
      <c r="AB906" s="971"/>
      <c r="AC906" s="971"/>
      <c r="AD906" s="971"/>
    </row>
    <row r="907" spans="1:30" s="1355" customFormat="1" ht="15.75" customHeight="1" outlineLevel="1">
      <c r="A907" s="1442" t="s">
        <v>3371</v>
      </c>
      <c r="B907" s="920" t="str">
        <f t="shared" si="98"/>
        <v>м.п.</v>
      </c>
      <c r="C907" s="1442">
        <f t="shared" si="101"/>
        <v>0.4</v>
      </c>
      <c r="D907" s="1442">
        <f t="shared" si="101"/>
        <v>0.05</v>
      </c>
      <c r="E907" s="1442">
        <f>IF('Ввод данных'!$A$361=связи1!$A$96,IF(дома!E906&lt;связи1!$C$558,0,дома!E906-$C$881),0)+IF(дома!E906=0,0,IF('Ввод данных'!$A$361=связи1!$A$95,IF(дома!E906&lt;0,0,дома!E906-$C$881),0))+IF('Ввод данных'!$A$361=связи1!$A$98,IF(дома!E906&lt;связи1!$C$558,0,дома!E906-$C$881),0)</f>
        <v>0</v>
      </c>
      <c r="F907" s="1442">
        <f>2*VLOOKUP('Ввод данных'!$F$416,связи1!$A$2:$B$3,2,0)</f>
        <v>0</v>
      </c>
      <c r="G907" s="971">
        <f t="shared" si="100"/>
        <v>0</v>
      </c>
      <c r="H907" s="971"/>
      <c r="I907" s="971"/>
      <c r="J907" s="971"/>
      <c r="K907" s="971"/>
      <c r="L907" s="971"/>
      <c r="M907" s="971"/>
      <c r="N907" s="971"/>
      <c r="O907" s="971"/>
      <c r="P907" s="1353"/>
      <c r="Q907" s="1353"/>
      <c r="R907" s="1353"/>
      <c r="S907" s="971"/>
      <c r="T907" s="971"/>
      <c r="U907" s="1398"/>
      <c r="V907" s="971"/>
      <c r="W907" s="971"/>
      <c r="X907" s="971"/>
      <c r="Y907" s="1353"/>
      <c r="Z907" s="1353"/>
      <c r="AA907" s="971"/>
      <c r="AB907" s="971"/>
      <c r="AC907" s="971"/>
      <c r="AD907" s="971"/>
    </row>
    <row r="908" spans="1:30" s="1355" customFormat="1" ht="15.75" customHeight="1" outlineLevel="1">
      <c r="A908" s="1442" t="s">
        <v>3372</v>
      </c>
      <c r="B908" s="920" t="str">
        <f t="shared" si="98"/>
        <v>м.п.</v>
      </c>
      <c r="C908" s="1442">
        <f t="shared" si="101"/>
        <v>0.4</v>
      </c>
      <c r="D908" s="1442">
        <f t="shared" si="101"/>
        <v>0.05</v>
      </c>
      <c r="E908" s="1442">
        <f>IF('Ввод данных'!$A$361=связи1!$A$96,IF(дома!E907&lt;связи1!$C$558,0,дома!E907-$C$881),0)+IF(дома!E907=0,0,IF('Ввод данных'!$A$361=связи1!$A$95,IF(дома!E907&lt;0,0,дома!E907-$C$881),0))+IF('Ввод данных'!$A$361=связи1!$A$98,IF(дома!E907&lt;связи1!$C$558,0,дома!E907-$C$881),0)</f>
        <v>0</v>
      </c>
      <c r="F908" s="1442">
        <f>2*VLOOKUP('Ввод данных'!$F$416,связи1!$A$2:$B$3,2,0)</f>
        <v>0</v>
      </c>
      <c r="G908" s="971">
        <f t="shared" si="100"/>
        <v>0</v>
      </c>
      <c r="H908" s="971"/>
      <c r="I908" s="971"/>
      <c r="J908" s="971"/>
      <c r="K908" s="971"/>
      <c r="L908" s="971"/>
      <c r="M908" s="971"/>
      <c r="N908" s="971"/>
      <c r="O908" s="971"/>
      <c r="P908" s="1353"/>
      <c r="Q908" s="1353"/>
      <c r="R908" s="1353"/>
      <c r="S908" s="971"/>
      <c r="T908" s="971"/>
      <c r="U908" s="1398"/>
      <c r="V908" s="971"/>
      <c r="W908" s="971"/>
      <c r="X908" s="971"/>
      <c r="Y908" s="1353"/>
      <c r="Z908" s="1353"/>
      <c r="AA908" s="971"/>
      <c r="AB908" s="971"/>
      <c r="AC908" s="971"/>
      <c r="AD908" s="971"/>
    </row>
    <row r="909" spans="1:30" s="1355" customFormat="1" ht="15.75" customHeight="1" outlineLevel="1">
      <c r="A909" s="1442" t="s">
        <v>3373</v>
      </c>
      <c r="B909" s="920" t="str">
        <f t="shared" si="98"/>
        <v>м.п.</v>
      </c>
      <c r="C909" s="1442">
        <f t="shared" si="101"/>
        <v>0.4</v>
      </c>
      <c r="D909" s="1442">
        <f t="shared" si="101"/>
        <v>0.05</v>
      </c>
      <c r="E909" s="1442">
        <f>IF('Ввод данных'!A360=связи1!A107,IF('Ввод данных'!A361=связи1!A94,0,0)+IF('Ввод данных'!A361=связи1!A95,связи1!C557-связи1!C556,0)+IF('Ввод данных'!A361=связи1!A96,связи1!C557,0)+IF('Ввод данных'!A361=связи1!A97,0,0)+IF('Ввод данных'!A361=связи1!A98,связи1!C557,0),0)</f>
        <v>0</v>
      </c>
      <c r="F909" s="1442">
        <f>2*VLOOKUP('Ввод данных'!$F$416,связи1!$A$2:$B$3,2,0)</f>
        <v>0</v>
      </c>
      <c r="G909" s="971">
        <f t="shared" si="100"/>
        <v>0</v>
      </c>
      <c r="H909" s="971"/>
      <c r="I909" s="971"/>
      <c r="J909" s="971"/>
      <c r="K909" s="971"/>
      <c r="L909" s="971"/>
      <c r="M909" s="971"/>
      <c r="N909" s="971"/>
      <c r="O909" s="971"/>
      <c r="P909" s="1353"/>
      <c r="Q909" s="1353"/>
      <c r="R909" s="1353"/>
      <c r="S909" s="971"/>
      <c r="T909" s="971"/>
      <c r="U909" s="1398"/>
      <c r="V909" s="971"/>
      <c r="W909" s="971"/>
      <c r="X909" s="971"/>
      <c r="Y909" s="1353"/>
      <c r="Z909" s="1353"/>
      <c r="AA909" s="971"/>
      <c r="AB909" s="971"/>
      <c r="AC909" s="971"/>
      <c r="AD909" s="971"/>
    </row>
    <row r="910" spans="1:30" s="1355" customFormat="1" ht="15.75" customHeight="1" outlineLevel="1">
      <c r="A910" s="1442" t="s">
        <v>3374</v>
      </c>
      <c r="B910" s="920" t="str">
        <f t="shared" si="98"/>
        <v>м.п.</v>
      </c>
      <c r="C910" s="1442">
        <f t="shared" si="101"/>
        <v>0.4</v>
      </c>
      <c r="D910" s="1442">
        <f t="shared" si="101"/>
        <v>0.05</v>
      </c>
      <c r="E910" s="1442">
        <f>IF('Ввод данных'!$A$361=связи1!$A$96,IF(дома!E909&lt;связи1!$C$558,0,дома!E909-$C$881),0)+IF(дома!E909=0,0,IF('Ввод данных'!$A$361=связи1!$A$95,IF(дома!E909&lt;0,0,дома!E909-$C$881),0))+IF('Ввод данных'!$A$361=связи1!$A$98,IF(дома!E909&lt;связи1!$C$558,0,дома!E909-$C$881),0)</f>
        <v>0</v>
      </c>
      <c r="F910" s="1442">
        <f>2*VLOOKUP('Ввод данных'!$F$416,связи1!$A$2:$B$3,2,0)</f>
        <v>0</v>
      </c>
      <c r="G910" s="971">
        <f t="shared" si="100"/>
        <v>0</v>
      </c>
      <c r="H910" s="971"/>
      <c r="I910" s="971"/>
      <c r="J910" s="971"/>
      <c r="K910" s="971"/>
      <c r="L910" s="971"/>
      <c r="M910" s="971"/>
      <c r="N910" s="971"/>
      <c r="O910" s="971"/>
      <c r="P910" s="1353"/>
      <c r="Q910" s="1353"/>
      <c r="R910" s="1353"/>
      <c r="S910" s="971"/>
      <c r="T910" s="971"/>
      <c r="U910" s="1398"/>
      <c r="V910" s="971"/>
      <c r="W910" s="971"/>
      <c r="X910" s="971"/>
      <c r="Y910" s="1353"/>
      <c r="Z910" s="1353"/>
      <c r="AA910" s="971"/>
      <c r="AB910" s="971"/>
      <c r="AC910" s="971"/>
      <c r="AD910" s="971"/>
    </row>
    <row r="911" spans="1:30" s="1355" customFormat="1" ht="15.75" customHeight="1" outlineLevel="1">
      <c r="A911" s="1442" t="s">
        <v>3375</v>
      </c>
      <c r="B911" s="920" t="str">
        <f t="shared" si="98"/>
        <v>м.п.</v>
      </c>
      <c r="C911" s="1442">
        <f t="shared" si="101"/>
        <v>0.4</v>
      </c>
      <c r="D911" s="1442">
        <f t="shared" si="101"/>
        <v>0.05</v>
      </c>
      <c r="E911" s="1442">
        <f>IF('Ввод данных'!$A$361=связи1!$A$96,IF(дома!E910&lt;связи1!$C$558,0,дома!E910-$C$881),0)+IF(дома!E910=0,0,IF('Ввод данных'!$A$361=связи1!$A$95,IF(дома!E910&lt;0,0,дома!E910-$C$881),0))+IF('Ввод данных'!$A$361=связи1!$A$98,IF(дома!E910&lt;связи1!$C$558,0,дома!E910-$C$881),0)</f>
        <v>0</v>
      </c>
      <c r="F911" s="1442">
        <f>2*VLOOKUP('Ввод данных'!$F$416,связи1!$A$2:$B$3,2,0)</f>
        <v>0</v>
      </c>
      <c r="G911" s="971">
        <f t="shared" si="100"/>
        <v>0</v>
      </c>
      <c r="H911" s="971"/>
      <c r="I911" s="971"/>
      <c r="J911" s="971"/>
      <c r="K911" s="971"/>
      <c r="L911" s="971"/>
      <c r="M911" s="971"/>
      <c r="N911" s="971"/>
      <c r="O911" s="971"/>
      <c r="P911" s="1353"/>
      <c r="Q911" s="1353"/>
      <c r="R911" s="1353"/>
      <c r="S911" s="971"/>
      <c r="T911" s="971"/>
      <c r="U911" s="1398"/>
      <c r="V911" s="971"/>
      <c r="W911" s="971"/>
      <c r="X911" s="971"/>
      <c r="Y911" s="1353"/>
      <c r="Z911" s="1353"/>
      <c r="AA911" s="971"/>
      <c r="AB911" s="971"/>
      <c r="AC911" s="971"/>
      <c r="AD911" s="971"/>
    </row>
    <row r="912" spans="1:30" s="1355" customFormat="1" ht="15.75" customHeight="1" outlineLevel="1">
      <c r="A912" s="1442" t="s">
        <v>3376</v>
      </c>
      <c r="B912" s="920" t="str">
        <f t="shared" ref="B912:B943" si="102">B450</f>
        <v>м.п.</v>
      </c>
      <c r="C912" s="1442">
        <f t="shared" si="101"/>
        <v>0.4</v>
      </c>
      <c r="D912" s="1442">
        <f t="shared" si="101"/>
        <v>0.05</v>
      </c>
      <c r="E912" s="1442">
        <f>IF('Ввод данных'!$A$361=связи1!$A$96,IF(дома!E911&lt;связи1!$C$558,0,дома!E911-$C$881),0)+IF(дома!E911=0,0,IF('Ввод данных'!$A$361=связи1!$A$95,IF(дома!E911&lt;0,0,дома!E911-$C$881),0))+IF('Ввод данных'!$A$361=связи1!$A$98,IF(дома!E911&lt;связи1!$C$558,0,дома!E911-$C$881),0)</f>
        <v>0</v>
      </c>
      <c r="F912" s="1442">
        <f>2*VLOOKUP('Ввод данных'!$F$416,связи1!$A$2:$B$3,2,0)</f>
        <v>0</v>
      </c>
      <c r="G912" s="971">
        <f t="shared" si="100"/>
        <v>0</v>
      </c>
      <c r="H912" s="971"/>
      <c r="I912" s="971"/>
      <c r="J912" s="971"/>
      <c r="K912" s="971"/>
      <c r="L912" s="971"/>
      <c r="M912" s="971"/>
      <c r="N912" s="971"/>
      <c r="O912" s="971"/>
      <c r="P912" s="1353"/>
      <c r="Q912" s="1353"/>
      <c r="R912" s="1353"/>
      <c r="S912" s="971"/>
      <c r="T912" s="971"/>
      <c r="U912" s="1398"/>
      <c r="V912" s="971"/>
      <c r="W912" s="971"/>
      <c r="X912" s="971"/>
      <c r="Y912" s="1353"/>
      <c r="Z912" s="1353"/>
      <c r="AA912" s="971"/>
      <c r="AB912" s="971"/>
      <c r="AC912" s="971"/>
      <c r="AD912" s="971"/>
    </row>
    <row r="913" spans="1:30" s="1355" customFormat="1" ht="15.75" customHeight="1" outlineLevel="1">
      <c r="A913" s="1442" t="s">
        <v>3377</v>
      </c>
      <c r="B913" s="920" t="str">
        <f t="shared" si="102"/>
        <v>м.п.</v>
      </c>
      <c r="C913" s="1442">
        <f t="shared" si="101"/>
        <v>0.4</v>
      </c>
      <c r="D913" s="1442">
        <f t="shared" si="101"/>
        <v>0.05</v>
      </c>
      <c r="E913" s="1442">
        <f>IF('Ввод данных'!$A$361=связи1!$A$96,IF(дома!E912&lt;связи1!$C$558,0,дома!E912-$C$881),0)+IF(дома!E912=0,0,IF('Ввод данных'!$A$361=связи1!$A$95,IF(дома!E912&lt;0,0,дома!E912-$C$881),0))+IF('Ввод данных'!$A$361=связи1!$A$98,IF(дома!E912&lt;связи1!$C$558,0,дома!E912-$C$881),0)</f>
        <v>0</v>
      </c>
      <c r="F913" s="1442">
        <f>2*VLOOKUP('Ввод данных'!$F$416,связи1!$A$2:$B$3,2,0)</f>
        <v>0</v>
      </c>
      <c r="G913" s="971">
        <f t="shared" si="100"/>
        <v>0</v>
      </c>
      <c r="H913" s="971"/>
      <c r="I913" s="971"/>
      <c r="J913" s="971"/>
      <c r="K913" s="971"/>
      <c r="L913" s="971"/>
      <c r="M913" s="971"/>
      <c r="N913" s="971"/>
      <c r="O913" s="971"/>
      <c r="P913" s="1353"/>
      <c r="Q913" s="1353"/>
      <c r="R913" s="1353"/>
      <c r="S913" s="971"/>
      <c r="T913" s="971"/>
      <c r="U913" s="1398"/>
      <c r="V913" s="971"/>
      <c r="W913" s="971"/>
      <c r="X913" s="971"/>
      <c r="Y913" s="1353"/>
      <c r="Z913" s="1353"/>
      <c r="AA913" s="971"/>
      <c r="AB913" s="971"/>
      <c r="AC913" s="971"/>
      <c r="AD913" s="971"/>
    </row>
    <row r="914" spans="1:30" s="1355" customFormat="1" ht="15.75" customHeight="1" outlineLevel="1">
      <c r="A914" s="1442" t="s">
        <v>3378</v>
      </c>
      <c r="B914" s="920" t="str">
        <f t="shared" si="102"/>
        <v>м.п.</v>
      </c>
      <c r="C914" s="1442">
        <f t="shared" si="101"/>
        <v>0.4</v>
      </c>
      <c r="D914" s="1442">
        <f t="shared" si="101"/>
        <v>0.05</v>
      </c>
      <c r="E914" s="1442">
        <f>IF('Ввод данных'!$A$361=связи1!$A$96,IF(дома!E913&lt;связи1!$C$558,0,дома!E913-$C$881),0)+IF(дома!E913=0,0,IF('Ввод данных'!$A$361=связи1!$A$95,IF(дома!E913&lt;0,0,дома!E913-$C$881),0))+IF('Ввод данных'!$A$361=связи1!$A$98,IF(дома!E913&lt;связи1!$C$558,0,дома!E913-$C$881),0)</f>
        <v>0</v>
      </c>
      <c r="F914" s="1442">
        <f>2*VLOOKUP('Ввод данных'!$F$416,связи1!$A$2:$B$3,2,0)</f>
        <v>0</v>
      </c>
      <c r="G914" s="971">
        <f t="shared" si="100"/>
        <v>0</v>
      </c>
      <c r="H914" s="971"/>
      <c r="I914" s="971"/>
      <c r="J914" s="971"/>
      <c r="K914" s="971"/>
      <c r="L914" s="971"/>
      <c r="M914" s="971"/>
      <c r="N914" s="971"/>
      <c r="O914" s="971"/>
      <c r="P914" s="1353"/>
      <c r="Q914" s="1353"/>
      <c r="R914" s="1353"/>
      <c r="S914" s="971"/>
      <c r="T914" s="971"/>
      <c r="U914" s="1398"/>
      <c r="V914" s="971"/>
      <c r="W914" s="971"/>
      <c r="X914" s="971"/>
      <c r="Y914" s="1353"/>
      <c r="Z914" s="1353"/>
      <c r="AA914" s="971"/>
      <c r="AB914" s="971"/>
      <c r="AC914" s="971"/>
      <c r="AD914" s="971"/>
    </row>
    <row r="915" spans="1:30" s="1355" customFormat="1" ht="15.75" customHeight="1" outlineLevel="1">
      <c r="A915" s="1442" t="s">
        <v>3379</v>
      </c>
      <c r="B915" s="920" t="str">
        <f t="shared" si="102"/>
        <v>м.п.</v>
      </c>
      <c r="C915" s="1442">
        <f t="shared" si="101"/>
        <v>0.4</v>
      </c>
      <c r="D915" s="1442">
        <f t="shared" si="101"/>
        <v>0.05</v>
      </c>
      <c r="E915" s="1442">
        <f>IF('Ввод данных'!$A$361=связи1!$A$96,IF(дома!E914&lt;связи1!$C$558,0,дома!E914-$C$881),0)+IF(дома!E914=0,0,IF('Ввод данных'!$A$361=связи1!$A$95,IF(дома!E914&lt;0,0,дома!E914-$C$881),0))+IF('Ввод данных'!$A$361=связи1!$A$98,IF(дома!E914&lt;связи1!$C$558,0,дома!E914-$C$881),0)</f>
        <v>0</v>
      </c>
      <c r="F915" s="1442">
        <f>2*VLOOKUP('Ввод данных'!$F$416,связи1!$A$2:$B$3,2,0)</f>
        <v>0</v>
      </c>
      <c r="G915" s="971">
        <f t="shared" si="100"/>
        <v>0</v>
      </c>
      <c r="H915" s="971"/>
      <c r="I915" s="971"/>
      <c r="J915" s="971"/>
      <c r="K915" s="971"/>
      <c r="L915" s="971"/>
      <c r="M915" s="971"/>
      <c r="N915" s="971"/>
      <c r="O915" s="971"/>
      <c r="P915" s="1353"/>
      <c r="Q915" s="1353"/>
      <c r="R915" s="1353"/>
      <c r="S915" s="971"/>
      <c r="T915" s="971"/>
      <c r="U915" s="1398"/>
      <c r="V915" s="971"/>
      <c r="W915" s="971"/>
      <c r="X915" s="971"/>
      <c r="Y915" s="1353"/>
      <c r="Z915" s="1353"/>
      <c r="AA915" s="971"/>
      <c r="AB915" s="971"/>
      <c r="AC915" s="971"/>
      <c r="AD915" s="971"/>
    </row>
    <row r="916" spans="1:30" s="1355" customFormat="1" ht="15.75" customHeight="1" outlineLevel="1">
      <c r="A916" s="1442" t="s">
        <v>3380</v>
      </c>
      <c r="B916" s="920" t="str">
        <f t="shared" si="102"/>
        <v>м.п.</v>
      </c>
      <c r="C916" s="1442">
        <f t="shared" si="101"/>
        <v>0.4</v>
      </c>
      <c r="D916" s="1442">
        <f t="shared" si="101"/>
        <v>0.05</v>
      </c>
      <c r="E916" s="1442">
        <f>IF('Ввод данных'!$A$361=связи1!$A$96,IF(дома!E915&lt;связи1!$C$558,0,дома!E915-$C$881),0)+IF(дома!E915=0,0,IF('Ввод данных'!$A$361=связи1!$A$95,IF(дома!E915&lt;0,0,дома!E915-$C$881),0))+IF('Ввод данных'!$A$361=связи1!$A$98,IF(дома!E915&lt;связи1!$C$558,0,дома!E915-$C$881),0)</f>
        <v>0</v>
      </c>
      <c r="F916" s="1442">
        <f>2*VLOOKUP('Ввод данных'!$F$416,связи1!$A$2:$B$3,2,0)</f>
        <v>0</v>
      </c>
      <c r="G916" s="971">
        <f t="shared" si="100"/>
        <v>0</v>
      </c>
      <c r="H916" s="971"/>
      <c r="I916" s="971"/>
      <c r="J916" s="971"/>
      <c r="K916" s="971"/>
      <c r="L916" s="971"/>
      <c r="M916" s="971"/>
      <c r="N916" s="971"/>
      <c r="O916" s="971"/>
      <c r="P916" s="1353"/>
      <c r="Q916" s="1353"/>
      <c r="R916" s="1353"/>
      <c r="S916" s="971"/>
      <c r="T916" s="971"/>
      <c r="U916" s="1398"/>
      <c r="V916" s="971"/>
      <c r="W916" s="971"/>
      <c r="X916" s="971"/>
      <c r="Y916" s="1353"/>
      <c r="Z916" s="1353"/>
      <c r="AA916" s="971"/>
      <c r="AB916" s="971"/>
      <c r="AC916" s="971"/>
      <c r="AD916" s="971"/>
    </row>
    <row r="917" spans="1:30" s="1355" customFormat="1" ht="15.75" customHeight="1" outlineLevel="1">
      <c r="A917" s="1442" t="s">
        <v>3381</v>
      </c>
      <c r="B917" s="920" t="str">
        <f t="shared" si="102"/>
        <v>м.п.</v>
      </c>
      <c r="C917" s="1442">
        <f t="shared" si="101"/>
        <v>0.4</v>
      </c>
      <c r="D917" s="1442">
        <f t="shared" si="101"/>
        <v>0.05</v>
      </c>
      <c r="E917" s="1442">
        <f>IF('Ввод данных'!$A$361=связи1!$A$96,IF(дома!E916&lt;связи1!$C$558,0,дома!E916-$C$881),0)+IF(дома!E916=0,0,IF('Ввод данных'!$A$361=связи1!$A$95,IF(дома!E916&lt;0,0,дома!E916-$C$881),0))+IF('Ввод данных'!$A$361=связи1!$A$98,IF(дома!E916&lt;связи1!$C$558,0,дома!E916-$C$881),0)</f>
        <v>0</v>
      </c>
      <c r="F917" s="1442">
        <f>2*VLOOKUP('Ввод данных'!$F$416,связи1!$A$2:$B$3,2,0)</f>
        <v>0</v>
      </c>
      <c r="G917" s="971">
        <f t="shared" si="100"/>
        <v>0</v>
      </c>
      <c r="H917" s="971"/>
      <c r="I917" s="971"/>
      <c r="J917" s="971"/>
      <c r="K917" s="971"/>
      <c r="L917" s="971"/>
      <c r="M917" s="971"/>
      <c r="N917" s="971"/>
      <c r="O917" s="971"/>
      <c r="P917" s="1353"/>
      <c r="Q917" s="1353"/>
      <c r="R917" s="1353"/>
      <c r="S917" s="971"/>
      <c r="T917" s="971"/>
      <c r="U917" s="1398"/>
      <c r="V917" s="971"/>
      <c r="W917" s="971"/>
      <c r="X917" s="971"/>
      <c r="Y917" s="1353"/>
      <c r="Z917" s="1353"/>
      <c r="AA917" s="971"/>
      <c r="AB917" s="971"/>
      <c r="AC917" s="971"/>
      <c r="AD917" s="971"/>
    </row>
    <row r="918" spans="1:30" s="1355" customFormat="1" ht="15.75" customHeight="1" outlineLevel="1">
      <c r="A918" s="1442" t="s">
        <v>3382</v>
      </c>
      <c r="B918" s="920" t="str">
        <f t="shared" si="102"/>
        <v>м.п.</v>
      </c>
      <c r="C918" s="1442">
        <f t="shared" si="101"/>
        <v>0.4</v>
      </c>
      <c r="D918" s="1442">
        <f t="shared" si="101"/>
        <v>0.05</v>
      </c>
      <c r="E918" s="1442">
        <f>IF('Ввод данных'!$A$361=связи1!$A$96,IF(дома!E917&lt;связи1!$C$558,0,дома!E917-$C$881),0)+IF(дома!E917=0,0,IF('Ввод данных'!$A$361=связи1!$A$95,IF(дома!E917&lt;0,0,дома!E917-$C$881),0))+IF('Ввод данных'!$A$361=связи1!$A$98,IF(дома!E917&lt;связи1!$C$558,0,дома!E917-$C$881),0)</f>
        <v>0</v>
      </c>
      <c r="F918" s="1442">
        <f>2*VLOOKUP('Ввод данных'!$F$416,связи1!$A$2:$B$3,2,0)</f>
        <v>0</v>
      </c>
      <c r="G918" s="971">
        <f t="shared" si="100"/>
        <v>0</v>
      </c>
      <c r="H918" s="971"/>
      <c r="I918" s="971"/>
      <c r="J918" s="971"/>
      <c r="K918" s="971"/>
      <c r="L918" s="971"/>
      <c r="M918" s="971"/>
      <c r="N918" s="971"/>
      <c r="O918" s="971"/>
      <c r="P918" s="1353"/>
      <c r="Q918" s="1353"/>
      <c r="R918" s="1353"/>
      <c r="S918" s="971"/>
      <c r="T918" s="971"/>
      <c r="U918" s="1398"/>
      <c r="V918" s="971"/>
      <c r="W918" s="971"/>
      <c r="X918" s="971"/>
      <c r="Y918" s="1353"/>
      <c r="Z918" s="1353"/>
      <c r="AA918" s="971"/>
      <c r="AB918" s="971"/>
      <c r="AC918" s="971"/>
      <c r="AD918" s="971"/>
    </row>
    <row r="919" spans="1:30" s="1355" customFormat="1" ht="15.75" customHeight="1" outlineLevel="1">
      <c r="A919" s="1442" t="s">
        <v>3383</v>
      </c>
      <c r="B919" s="920" t="str">
        <f t="shared" si="102"/>
        <v>м.п.</v>
      </c>
      <c r="C919" s="1442">
        <f t="shared" si="101"/>
        <v>0.4</v>
      </c>
      <c r="D919" s="1442">
        <f t="shared" si="101"/>
        <v>0.05</v>
      </c>
      <c r="E919" s="1442">
        <f>IF('Ввод данных'!$A$361=связи1!$A$96,IF(дома!E918&lt;связи1!$C$558,0,дома!E918-$C$881),0)+IF(дома!E918=0,0,IF('Ввод данных'!$A$361=связи1!$A$95,IF(дома!E918&lt;0,0,дома!E918-$C$881),0))+IF('Ввод данных'!$A$361=связи1!$A$98,IF(дома!E918&lt;связи1!$C$558,0,дома!E918-$C$881),0)</f>
        <v>0</v>
      </c>
      <c r="F919" s="1442">
        <f>2*VLOOKUP('Ввод данных'!$F$416,связи1!$A$2:$B$3,2,0)</f>
        <v>0</v>
      </c>
      <c r="G919" s="971">
        <f t="shared" si="100"/>
        <v>0</v>
      </c>
      <c r="H919" s="971"/>
      <c r="I919" s="971"/>
      <c r="J919" s="971"/>
      <c r="K919" s="971"/>
      <c r="L919" s="971"/>
      <c r="M919" s="971"/>
      <c r="N919" s="971"/>
      <c r="O919" s="971"/>
      <c r="P919" s="1353"/>
      <c r="Q919" s="1353"/>
      <c r="R919" s="1353"/>
      <c r="S919" s="971"/>
      <c r="T919" s="971"/>
      <c r="U919" s="1398"/>
      <c r="V919" s="971"/>
      <c r="W919" s="971"/>
      <c r="X919" s="971"/>
      <c r="Y919" s="1353"/>
      <c r="Z919" s="1353"/>
      <c r="AA919" s="971"/>
      <c r="AB919" s="971"/>
      <c r="AC919" s="971"/>
      <c r="AD919" s="971"/>
    </row>
    <row r="920" spans="1:30" s="1355" customFormat="1" ht="15.75" customHeight="1" outlineLevel="1">
      <c r="A920" s="1442" t="s">
        <v>3384</v>
      </c>
      <c r="B920" s="920" t="str">
        <f t="shared" si="102"/>
        <v>м.п.</v>
      </c>
      <c r="C920" s="1442">
        <f t="shared" si="101"/>
        <v>0.4</v>
      </c>
      <c r="D920" s="1442">
        <f t="shared" si="101"/>
        <v>0.05</v>
      </c>
      <c r="E920" s="1442">
        <f>IF('Ввод данных'!$A$361=связи1!$A$96,IF(дома!E919&lt;связи1!$C$558,0,дома!E919-$C$881),0)+IF(дома!E919=0,0,IF('Ввод данных'!$A$361=связи1!$A$95,IF(дома!E919&lt;0,0,дома!E919-$C$881),0))+IF('Ввод данных'!$A$361=связи1!$A$98,IF(дома!E919&lt;связи1!$C$558,0,дома!E919-$C$881),0)</f>
        <v>0</v>
      </c>
      <c r="F920" s="1442">
        <f>2*VLOOKUP('Ввод данных'!$F$416,связи1!$A$2:$B$3,2,0)</f>
        <v>0</v>
      </c>
      <c r="G920" s="971">
        <f t="shared" si="100"/>
        <v>0</v>
      </c>
      <c r="H920" s="971"/>
      <c r="I920" s="971"/>
      <c r="J920" s="971"/>
      <c r="K920" s="971"/>
      <c r="L920" s="971"/>
      <c r="M920" s="971"/>
      <c r="N920" s="971"/>
      <c r="O920" s="971"/>
      <c r="P920" s="1353"/>
      <c r="Q920" s="1353"/>
      <c r="R920" s="1353"/>
      <c r="S920" s="971"/>
      <c r="T920" s="971"/>
      <c r="U920" s="1398"/>
      <c r="V920" s="971"/>
      <c r="W920" s="971"/>
      <c r="X920" s="971"/>
      <c r="Y920" s="1353"/>
      <c r="Z920" s="1353"/>
      <c r="AA920" s="971"/>
      <c r="AB920" s="971"/>
      <c r="AC920" s="971"/>
      <c r="AD920" s="971"/>
    </row>
    <row r="921" spans="1:30" s="1355" customFormat="1" ht="15.75" customHeight="1" outlineLevel="1">
      <c r="A921" s="1442" t="s">
        <v>3385</v>
      </c>
      <c r="B921" s="920" t="str">
        <f t="shared" si="102"/>
        <v>м.п.</v>
      </c>
      <c r="C921" s="1442">
        <f t="shared" si="101"/>
        <v>0.4</v>
      </c>
      <c r="D921" s="1442">
        <f t="shared" si="101"/>
        <v>0.05</v>
      </c>
      <c r="E921" s="1442">
        <f>IF('Ввод данных'!$A$361=связи1!$A$96,IF(дома!E920&lt;связи1!$C$558,0,дома!E920-$C$881),0)+IF(дома!E920=0,0,IF('Ввод данных'!$A$361=связи1!$A$95,IF(дома!E920&lt;0,0,дома!E920-$C$881),0))+IF('Ввод данных'!$A$361=связи1!$A$98,IF(дома!E920&lt;связи1!$C$558,0,дома!E920-$C$881),0)</f>
        <v>0</v>
      </c>
      <c r="F921" s="1442">
        <f>2*VLOOKUP('Ввод данных'!$F$416,связи1!$A$2:$B$3,2,0)</f>
        <v>0</v>
      </c>
      <c r="G921" s="971">
        <f t="shared" si="100"/>
        <v>0</v>
      </c>
      <c r="H921" s="971"/>
      <c r="I921" s="971"/>
      <c r="J921" s="971"/>
      <c r="K921" s="971"/>
      <c r="L921" s="971"/>
      <c r="M921" s="971"/>
      <c r="N921" s="971"/>
      <c r="O921" s="971"/>
      <c r="P921" s="1353"/>
      <c r="Q921" s="1353"/>
      <c r="R921" s="1353"/>
      <c r="S921" s="971"/>
      <c r="T921" s="971"/>
      <c r="U921" s="1398"/>
      <c r="V921" s="971"/>
      <c r="W921" s="971"/>
      <c r="X921" s="971"/>
      <c r="Y921" s="1353"/>
      <c r="Z921" s="1353"/>
      <c r="AA921" s="971"/>
      <c r="AB921" s="971"/>
      <c r="AC921" s="971"/>
      <c r="AD921" s="971"/>
    </row>
    <row r="922" spans="1:30" s="1355" customFormat="1" ht="15.75" customHeight="1" outlineLevel="1">
      <c r="A922" s="1442" t="s">
        <v>3386</v>
      </c>
      <c r="B922" s="920" t="str">
        <f t="shared" si="102"/>
        <v>м.п.</v>
      </c>
      <c r="C922" s="1442">
        <f t="shared" si="101"/>
        <v>0.4</v>
      </c>
      <c r="D922" s="1442">
        <f t="shared" si="101"/>
        <v>0.05</v>
      </c>
      <c r="E922" s="1442">
        <f>IF('Ввод данных'!$A$361=связи1!$A$96,IF(дома!E921&lt;связи1!$C$558,0,дома!E921-$C$881),0)+IF(дома!E921=0,0,IF('Ввод данных'!$A$361=связи1!$A$95,IF(дома!E921&lt;0,0,дома!E921-$C$881),0))+IF('Ввод данных'!$A$361=связи1!$A$98,IF(дома!E921&lt;связи1!$C$558,0,дома!E921-$C$881),0)</f>
        <v>0</v>
      </c>
      <c r="F922" s="1442">
        <f>2*VLOOKUP('Ввод данных'!$F$416,связи1!$A$2:$B$3,2,0)</f>
        <v>0</v>
      </c>
      <c r="G922" s="971">
        <f t="shared" si="100"/>
        <v>0</v>
      </c>
      <c r="H922" s="971"/>
      <c r="I922" s="971"/>
      <c r="J922" s="971"/>
      <c r="K922" s="971"/>
      <c r="L922" s="971"/>
      <c r="M922" s="971"/>
      <c r="N922" s="971"/>
      <c r="O922" s="971"/>
      <c r="P922" s="1353"/>
      <c r="Q922" s="1353"/>
      <c r="R922" s="1353"/>
      <c r="S922" s="971"/>
      <c r="T922" s="971"/>
      <c r="U922" s="1398"/>
      <c r="V922" s="971"/>
      <c r="W922" s="971"/>
      <c r="X922" s="971"/>
      <c r="Y922" s="1353"/>
      <c r="Z922" s="1353"/>
      <c r="AA922" s="971"/>
      <c r="AB922" s="971"/>
      <c r="AC922" s="971"/>
      <c r="AD922" s="971"/>
    </row>
    <row r="923" spans="1:30" s="1355" customFormat="1" ht="15.75" customHeight="1" outlineLevel="1">
      <c r="A923" s="1442" t="s">
        <v>3387</v>
      </c>
      <c r="B923" s="920" t="str">
        <f t="shared" si="102"/>
        <v>м.п.</v>
      </c>
      <c r="C923" s="1442">
        <f t="shared" si="101"/>
        <v>0.4</v>
      </c>
      <c r="D923" s="1442">
        <f t="shared" si="101"/>
        <v>0.05</v>
      </c>
      <c r="E923" s="1442">
        <f>IF('Ввод данных'!$A$361=связи1!$A$96,IF(дома!E922&lt;связи1!$C$558,0,дома!E922-$C$881),0)+IF(дома!E922=0,0,IF('Ввод данных'!$A$361=связи1!$A$95,IF(дома!E922&lt;0,0,дома!E922-$C$881),0))+IF('Ввод данных'!$A$361=связи1!$A$98,IF(дома!E922&lt;связи1!$C$558,0,дома!E922-$C$881),0)</f>
        <v>0</v>
      </c>
      <c r="F923" s="1442">
        <f>2*VLOOKUP('Ввод данных'!$F$416,связи1!$A$2:$B$3,2,0)</f>
        <v>0</v>
      </c>
      <c r="G923" s="971">
        <f t="shared" si="100"/>
        <v>0</v>
      </c>
      <c r="H923" s="971"/>
      <c r="I923" s="971"/>
      <c r="J923" s="971"/>
      <c r="K923" s="971"/>
      <c r="L923" s="971"/>
      <c r="M923" s="971"/>
      <c r="N923" s="971"/>
      <c r="O923" s="971"/>
      <c r="P923" s="1353"/>
      <c r="Q923" s="1353"/>
      <c r="R923" s="1353"/>
      <c r="S923" s="971"/>
      <c r="T923" s="971"/>
      <c r="U923" s="1398"/>
      <c r="V923" s="971"/>
      <c r="W923" s="971"/>
      <c r="X923" s="971"/>
      <c r="Y923" s="1353"/>
      <c r="Z923" s="1353"/>
      <c r="AA923" s="971"/>
      <c r="AB923" s="971"/>
      <c r="AC923" s="971"/>
      <c r="AD923" s="971"/>
    </row>
    <row r="924" spans="1:30" s="1355" customFormat="1" ht="15.75" customHeight="1" outlineLevel="1">
      <c r="A924" s="1442" t="s">
        <v>3388</v>
      </c>
      <c r="B924" s="920" t="str">
        <f t="shared" si="102"/>
        <v>м.п.</v>
      </c>
      <c r="C924" s="1442">
        <f t="shared" si="101"/>
        <v>0.4</v>
      </c>
      <c r="D924" s="1442">
        <f t="shared" si="101"/>
        <v>0.05</v>
      </c>
      <c r="E924" s="1442">
        <f>IF('Ввод данных'!$A$361=связи1!$A$96,IF(дома!E923&lt;связи1!$C$558,0,дома!E923-$C$881),0)+IF(дома!E923=0,0,IF('Ввод данных'!$A$361=связи1!$A$95,IF(дома!E923&lt;0,0,дома!E923-$C$881),0))+IF('Ввод данных'!$A$361=связи1!$A$98,IF(дома!E923&lt;связи1!$C$558,0,дома!E923-$C$881),0)</f>
        <v>0</v>
      </c>
      <c r="F924" s="1442">
        <f>2*VLOOKUP('Ввод данных'!$F$416,связи1!$A$2:$B$3,2,0)</f>
        <v>0</v>
      </c>
      <c r="G924" s="971">
        <f t="shared" si="100"/>
        <v>0</v>
      </c>
      <c r="H924" s="971"/>
      <c r="I924" s="971"/>
      <c r="J924" s="971"/>
      <c r="K924" s="971"/>
      <c r="L924" s="971"/>
      <c r="M924" s="971"/>
      <c r="N924" s="971"/>
      <c r="O924" s="971"/>
      <c r="P924" s="1353"/>
      <c r="Q924" s="1353"/>
      <c r="R924" s="1353"/>
      <c r="S924" s="971"/>
      <c r="T924" s="971"/>
      <c r="U924" s="1398"/>
      <c r="V924" s="971"/>
      <c r="W924" s="971"/>
      <c r="X924" s="971"/>
      <c r="Y924" s="1353"/>
      <c r="Z924" s="1353"/>
      <c r="AA924" s="971"/>
      <c r="AB924" s="971"/>
      <c r="AC924" s="971"/>
      <c r="AD924" s="971"/>
    </row>
    <row r="925" spans="1:30" s="1355" customFormat="1" ht="15.75" customHeight="1" outlineLevel="1">
      <c r="A925" s="1442" t="s">
        <v>3389</v>
      </c>
      <c r="B925" s="920" t="str">
        <f t="shared" si="102"/>
        <v>м.п.</v>
      </c>
      <c r="C925" s="1442">
        <f t="shared" si="101"/>
        <v>0.4</v>
      </c>
      <c r="D925" s="1442">
        <f t="shared" si="101"/>
        <v>0.05</v>
      </c>
      <c r="E925" s="1442">
        <f>IF('Ввод данных'!$A$361=связи1!$A$96,IF(дома!E924&lt;связи1!$C$558,0,дома!E924-$C$881),0)+IF(дома!E924=0,0,IF('Ввод данных'!$A$361=связи1!$A$95,IF(дома!E924&lt;0,0,дома!E924-$C$881),0))+IF('Ввод данных'!$A$361=связи1!$A$98,IF(дома!E924&lt;связи1!$C$558,0,дома!E924-$C$881),0)</f>
        <v>0</v>
      </c>
      <c r="F925" s="1442">
        <f>2*VLOOKUP('Ввод данных'!$F$416,связи1!$A$2:$B$3,2,0)</f>
        <v>0</v>
      </c>
      <c r="G925" s="971">
        <f t="shared" si="100"/>
        <v>0</v>
      </c>
      <c r="H925" s="971"/>
      <c r="I925" s="971"/>
      <c r="J925" s="971"/>
      <c r="K925" s="971"/>
      <c r="L925" s="971"/>
      <c r="M925" s="971"/>
      <c r="N925" s="971"/>
      <c r="O925" s="971"/>
      <c r="P925" s="1353"/>
      <c r="Q925" s="1353"/>
      <c r="R925" s="1353"/>
      <c r="S925" s="971"/>
      <c r="T925" s="971"/>
      <c r="U925" s="1398"/>
      <c r="V925" s="971"/>
      <c r="W925" s="971"/>
      <c r="X925" s="971"/>
      <c r="Y925" s="1353"/>
      <c r="Z925" s="1353"/>
      <c r="AA925" s="971"/>
      <c r="AB925" s="971"/>
      <c r="AC925" s="971"/>
      <c r="AD925" s="971"/>
    </row>
    <row r="926" spans="1:30" s="1355" customFormat="1" ht="15.75" customHeight="1" outlineLevel="1">
      <c r="A926" s="1442">
        <f>A464</f>
        <v>0</v>
      </c>
      <c r="B926" s="920">
        <f t="shared" si="102"/>
        <v>0</v>
      </c>
      <c r="C926" s="1442">
        <f t="shared" ref="C926:D945" si="103">C464</f>
        <v>0</v>
      </c>
      <c r="D926" s="1442">
        <f t="shared" si="103"/>
        <v>0</v>
      </c>
      <c r="E926" s="1442"/>
      <c r="F926" s="1442"/>
      <c r="G926" s="971">
        <f t="shared" si="100"/>
        <v>0</v>
      </c>
      <c r="H926" s="971"/>
      <c r="I926" s="971"/>
      <c r="J926" s="971"/>
      <c r="K926" s="971"/>
      <c r="L926" s="971"/>
      <c r="M926" s="971"/>
      <c r="N926" s="971"/>
      <c r="O926" s="971"/>
      <c r="P926" s="1353"/>
      <c r="Q926" s="1353"/>
      <c r="R926" s="1353"/>
      <c r="S926" s="971"/>
      <c r="T926" s="971"/>
      <c r="U926" s="1398"/>
      <c r="V926" s="971"/>
      <c r="W926" s="971"/>
      <c r="X926" s="971"/>
      <c r="Y926" s="1353"/>
      <c r="Z926" s="1353"/>
      <c r="AA926" s="971"/>
      <c r="AB926" s="971"/>
      <c r="AC926" s="971"/>
      <c r="AD926" s="971"/>
    </row>
    <row r="927" spans="1:30" s="1355" customFormat="1" ht="15.75" customHeight="1" outlineLevel="1">
      <c r="A927" s="1447" t="s">
        <v>3390</v>
      </c>
      <c r="B927" s="1449" t="str">
        <f t="shared" si="102"/>
        <v>ед.изм</v>
      </c>
      <c r="C927" s="1447" t="str">
        <f t="shared" si="103"/>
        <v>ширина</v>
      </c>
      <c r="D927" s="1447" t="str">
        <f t="shared" si="103"/>
        <v>толщина</v>
      </c>
      <c r="E927" s="1447" t="str">
        <f>E465</f>
        <v>высота</v>
      </c>
      <c r="F927" s="1447" t="str">
        <f>F465</f>
        <v>кол-во</v>
      </c>
      <c r="G927" s="971"/>
      <c r="H927" s="971"/>
      <c r="I927" s="971"/>
      <c r="J927" s="971"/>
      <c r="K927" s="971"/>
      <c r="L927" s="971"/>
      <c r="M927" s="971"/>
      <c r="N927" s="971"/>
      <c r="O927" s="971"/>
      <c r="P927" s="1353"/>
      <c r="Q927" s="1353"/>
      <c r="R927" s="1353"/>
      <c r="S927" s="971"/>
      <c r="T927" s="971"/>
      <c r="U927" s="1398"/>
      <c r="V927" s="971"/>
      <c r="W927" s="971"/>
      <c r="X927" s="971"/>
      <c r="Y927" s="1353"/>
      <c r="Z927" s="1353"/>
      <c r="AA927" s="971"/>
      <c r="AB927" s="971"/>
      <c r="AC927" s="971"/>
      <c r="AD927" s="971"/>
    </row>
    <row r="928" spans="1:30" s="1355" customFormat="1" ht="15.75" customHeight="1" outlineLevel="1">
      <c r="A928" s="1442" t="s">
        <v>3352</v>
      </c>
      <c r="B928" s="920" t="str">
        <f t="shared" si="102"/>
        <v>м.п.</v>
      </c>
      <c r="C928" s="1442">
        <f t="shared" si="103"/>
        <v>0.4</v>
      </c>
      <c r="D928" s="1442">
        <f t="shared" si="103"/>
        <v>0.05</v>
      </c>
      <c r="E928" s="1442">
        <f>E864</f>
        <v>2.2000000000000002</v>
      </c>
      <c r="F928" s="1442">
        <f>L864*VLOOKUP('Ввод данных'!F416,связи1!A2:B3,2,0)</f>
        <v>0</v>
      </c>
      <c r="G928" s="971">
        <f t="shared" ref="G928:G968" si="104">C928*D928*E928*F928</f>
        <v>0</v>
      </c>
      <c r="H928" s="971"/>
      <c r="I928" s="971"/>
      <c r="J928" s="971"/>
      <c r="K928" s="971"/>
      <c r="L928" s="971"/>
      <c r="M928" s="971"/>
      <c r="N928" s="971"/>
      <c r="O928" s="971"/>
      <c r="P928" s="1353"/>
      <c r="Q928" s="1353"/>
      <c r="R928" s="1353"/>
      <c r="S928" s="971"/>
      <c r="T928" s="971"/>
      <c r="U928" s="1398"/>
      <c r="V928" s="971"/>
      <c r="W928" s="971"/>
      <c r="X928" s="971"/>
      <c r="Y928" s="1353"/>
      <c r="Z928" s="1353"/>
      <c r="AA928" s="971"/>
      <c r="AB928" s="971"/>
      <c r="AC928" s="971"/>
      <c r="AD928" s="971"/>
    </row>
    <row r="929" spans="1:30" s="1355" customFormat="1" ht="15.75" customHeight="1" outlineLevel="1">
      <c r="A929" s="1442" t="s">
        <v>3353</v>
      </c>
      <c r="B929" s="920" t="str">
        <f t="shared" si="102"/>
        <v>м.п.</v>
      </c>
      <c r="C929" s="1442">
        <f t="shared" si="103"/>
        <v>0.4</v>
      </c>
      <c r="D929" s="1442">
        <f t="shared" si="103"/>
        <v>0.05</v>
      </c>
      <c r="E929" s="1442">
        <f>E865</f>
        <v>2.2000000000000002</v>
      </c>
      <c r="F929" s="1442">
        <f>L865*VLOOKUP('Ввод данных'!F416,связи1!A2:B3,2,0)</f>
        <v>0</v>
      </c>
      <c r="G929" s="971">
        <f t="shared" si="104"/>
        <v>0</v>
      </c>
      <c r="H929" s="971"/>
      <c r="I929" s="971"/>
      <c r="J929" s="971"/>
      <c r="K929" s="971"/>
      <c r="L929" s="971"/>
      <c r="M929" s="971"/>
      <c r="N929" s="971"/>
      <c r="O929" s="971"/>
      <c r="P929" s="1353"/>
      <c r="Q929" s="1353"/>
      <c r="R929" s="1353"/>
      <c r="S929" s="971"/>
      <c r="T929" s="971"/>
      <c r="U929" s="1398"/>
      <c r="V929" s="971"/>
      <c r="W929" s="971"/>
      <c r="X929" s="971"/>
      <c r="Y929" s="1353"/>
      <c r="Z929" s="1353"/>
      <c r="AA929" s="971"/>
      <c r="AB929" s="971"/>
      <c r="AC929" s="971"/>
      <c r="AD929" s="971"/>
    </row>
    <row r="930" spans="1:30" s="1355" customFormat="1" ht="15.75" customHeight="1" outlineLevel="1">
      <c r="A930" s="1442" t="s">
        <v>3354</v>
      </c>
      <c r="B930" s="920" t="str">
        <f t="shared" si="102"/>
        <v>м.п.</v>
      </c>
      <c r="C930" s="1442">
        <f t="shared" si="103"/>
        <v>0.4</v>
      </c>
      <c r="D930" s="1442">
        <f t="shared" si="103"/>
        <v>0.05</v>
      </c>
      <c r="E930" s="1442">
        <f>E866</f>
        <v>2.2000000000000002</v>
      </c>
      <c r="F930" s="1442">
        <f>L866*VLOOKUP('Ввод данных'!F416,связи1!A2:B3,2,0)</f>
        <v>0</v>
      </c>
      <c r="G930" s="971">
        <f t="shared" si="104"/>
        <v>0</v>
      </c>
      <c r="H930" s="971"/>
      <c r="I930" s="971"/>
      <c r="J930" s="971"/>
      <c r="K930" s="971"/>
      <c r="L930" s="971"/>
      <c r="M930" s="971"/>
      <c r="N930" s="971"/>
      <c r="O930" s="971"/>
      <c r="P930" s="1353"/>
      <c r="Q930" s="1353"/>
      <c r="R930" s="1353"/>
      <c r="S930" s="971"/>
      <c r="T930" s="971"/>
      <c r="U930" s="1398"/>
      <c r="V930" s="971"/>
      <c r="W930" s="971"/>
      <c r="X930" s="971"/>
      <c r="Y930" s="1353"/>
      <c r="Z930" s="1353"/>
      <c r="AA930" s="971"/>
      <c r="AB930" s="971"/>
      <c r="AC930" s="971"/>
      <c r="AD930" s="971"/>
    </row>
    <row r="931" spans="1:30" s="1355" customFormat="1" ht="15.75" customHeight="1" outlineLevel="1">
      <c r="A931" s="1442" t="s">
        <v>3270</v>
      </c>
      <c r="B931" s="920" t="str">
        <f t="shared" si="102"/>
        <v>м.п.</v>
      </c>
      <c r="C931" s="1442">
        <f t="shared" si="103"/>
        <v>0.4</v>
      </c>
      <c r="D931" s="1442">
        <f t="shared" si="103"/>
        <v>0.05</v>
      </c>
      <c r="E931" s="1442">
        <f>1</f>
        <v>1</v>
      </c>
      <c r="F931" s="1442">
        <f>P867*VLOOKUP('Ввод данных'!F416,связи1!A2:B3,2,0)+Q867*VLOOKUP('Ввод данных'!F416,связи1!A2:B3,2,0)</f>
        <v>0</v>
      </c>
      <c r="G931" s="971">
        <f t="shared" si="104"/>
        <v>0</v>
      </c>
      <c r="H931" s="971"/>
      <c r="I931" s="971"/>
      <c r="J931" s="971"/>
      <c r="K931" s="971"/>
      <c r="L931" s="971"/>
      <c r="M931" s="971"/>
      <c r="N931" s="971"/>
      <c r="O931" s="971"/>
      <c r="P931" s="1353"/>
      <c r="Q931" s="1353"/>
      <c r="R931" s="1353"/>
      <c r="S931" s="971"/>
      <c r="T931" s="971"/>
      <c r="U931" s="1398"/>
      <c r="V931" s="971"/>
      <c r="W931" s="971"/>
      <c r="X931" s="971"/>
      <c r="Y931" s="1353"/>
      <c r="Z931" s="1353"/>
      <c r="AA931" s="971"/>
      <c r="AB931" s="971"/>
      <c r="AC931" s="971"/>
      <c r="AD931" s="971"/>
    </row>
    <row r="932" spans="1:30" s="1355" customFormat="1" ht="15.75" customHeight="1" outlineLevel="1">
      <c r="A932" s="1442" t="s">
        <v>3271</v>
      </c>
      <c r="B932" s="920" t="str">
        <f t="shared" si="102"/>
        <v>м.п.</v>
      </c>
      <c r="C932" s="1442">
        <f t="shared" si="103"/>
        <v>0.4</v>
      </c>
      <c r="D932" s="1442">
        <f t="shared" si="103"/>
        <v>0.05</v>
      </c>
      <c r="E932" s="1442">
        <f>1</f>
        <v>1</v>
      </c>
      <c r="F932" s="1442">
        <f>R867*VLOOKUP('Ввод данных'!F416,связи1!A2:B3,2,0)</f>
        <v>0</v>
      </c>
      <c r="G932" s="971">
        <f t="shared" si="104"/>
        <v>0</v>
      </c>
      <c r="H932" s="971"/>
      <c r="I932" s="971"/>
      <c r="J932" s="971"/>
      <c r="K932" s="971"/>
      <c r="L932" s="971"/>
      <c r="M932" s="971"/>
      <c r="N932" s="971"/>
      <c r="O932" s="971"/>
      <c r="P932" s="1353"/>
      <c r="Q932" s="1353"/>
      <c r="R932" s="1353"/>
      <c r="S932" s="971"/>
      <c r="T932" s="971"/>
      <c r="U932" s="1398"/>
      <c r="V932" s="971"/>
      <c r="W932" s="971"/>
      <c r="X932" s="971"/>
      <c r="Y932" s="1353"/>
      <c r="Z932" s="1353"/>
      <c r="AA932" s="971"/>
      <c r="AB932" s="971"/>
      <c r="AC932" s="971"/>
      <c r="AD932" s="971"/>
    </row>
    <row r="933" spans="1:30" s="1355" customFormat="1" ht="15.75" customHeight="1" outlineLevel="1">
      <c r="A933" s="1442" t="s">
        <v>3355</v>
      </c>
      <c r="B933" s="920" t="str">
        <f t="shared" si="102"/>
        <v>м.п.</v>
      </c>
      <c r="C933" s="1442">
        <f t="shared" si="103"/>
        <v>0.4</v>
      </c>
      <c r="D933" s="1442">
        <f t="shared" si="103"/>
        <v>0.05</v>
      </c>
      <c r="E933" s="1442">
        <v>1.5</v>
      </c>
      <c r="F933" s="1442">
        <f>8*VLOOKUP('Ввод данных'!F416,связи1!A2:B3,2,0)</f>
        <v>0</v>
      </c>
      <c r="G933" s="971">
        <f t="shared" si="104"/>
        <v>0</v>
      </c>
      <c r="H933" s="971"/>
      <c r="I933" s="971"/>
      <c r="J933" s="971"/>
      <c r="K933" s="971"/>
      <c r="L933" s="971"/>
      <c r="M933" s="971"/>
      <c r="N933" s="971"/>
      <c r="O933" s="971"/>
      <c r="P933" s="1353"/>
      <c r="Q933" s="1353"/>
      <c r="R933" s="1353"/>
      <c r="S933" s="971"/>
      <c r="T933" s="971"/>
      <c r="U933" s="1398"/>
      <c r="V933" s="971"/>
      <c r="W933" s="971"/>
      <c r="X933" s="971"/>
      <c r="Y933" s="1353"/>
      <c r="Z933" s="1353"/>
      <c r="AA933" s="971"/>
      <c r="AB933" s="971"/>
      <c r="AC933" s="971"/>
      <c r="AD933" s="971"/>
    </row>
    <row r="934" spans="1:30" s="1355" customFormat="1" ht="15.75" customHeight="1" outlineLevel="1">
      <c r="A934" s="1442" t="s">
        <v>3356</v>
      </c>
      <c r="B934" s="920" t="str">
        <f t="shared" si="102"/>
        <v>м.п.</v>
      </c>
      <c r="C934" s="1442">
        <f t="shared" si="103"/>
        <v>0.4</v>
      </c>
      <c r="D934" s="1442">
        <f t="shared" si="103"/>
        <v>0.05</v>
      </c>
      <c r="E934" s="1442">
        <f>IF('Ввод данных'!A364=связи1!A106,IF('Ввод данных'!A365=связи1!A94,0,0)+IF('Ввод данных'!A365=связи1!A95,связи1!D557-связи1!D556,0)+IF('Ввод данных'!A365=связи1!A96,связи1!D557,0)+IF('Ввод данных'!A365=связи1!A97,0,0)+IF('Ввод данных'!A365=связи1!A98,связи1!D557,0),0)</f>
        <v>0</v>
      </c>
      <c r="F934" s="1442">
        <f>2*VLOOKUP('Ввод данных'!$F$416,связи1!$A$2:$B$3,2,0)</f>
        <v>0</v>
      </c>
      <c r="G934" s="971">
        <f t="shared" si="104"/>
        <v>0</v>
      </c>
      <c r="H934" s="971"/>
      <c r="I934" s="971"/>
      <c r="J934" s="971"/>
      <c r="K934" s="971"/>
      <c r="L934" s="971"/>
      <c r="M934" s="971"/>
      <c r="N934" s="971"/>
      <c r="O934" s="971"/>
      <c r="P934" s="1353"/>
      <c r="Q934" s="1353"/>
      <c r="R934" s="1353"/>
      <c r="S934" s="971"/>
      <c r="T934" s="971"/>
      <c r="U934" s="1398"/>
      <c r="V934" s="971"/>
      <c r="W934" s="971"/>
      <c r="X934" s="971"/>
      <c r="Y934" s="1353"/>
      <c r="Z934" s="1353"/>
      <c r="AA934" s="971"/>
      <c r="AB934" s="971"/>
      <c r="AC934" s="971"/>
      <c r="AD934" s="971"/>
    </row>
    <row r="935" spans="1:30" s="1355" customFormat="1" ht="15.75" customHeight="1" outlineLevel="1">
      <c r="A935" s="1442" t="s">
        <v>3357</v>
      </c>
      <c r="B935" s="920" t="str">
        <f t="shared" si="102"/>
        <v>м.п.</v>
      </c>
      <c r="C935" s="1442">
        <f t="shared" si="103"/>
        <v>0.4</v>
      </c>
      <c r="D935" s="1442">
        <f t="shared" si="103"/>
        <v>0.05</v>
      </c>
      <c r="E935" s="1442">
        <f>IF('Ввод данных'!$A$365=связи1!$A$96,IF(дома!E934&lt;связи1!$D$558,0,дома!E934-$D$881),0)+IF(дома!E934=0,0,IF('Ввод данных'!$A$365=связи1!$A$95,IF(дома!E934&lt;0,0,дома!E934-$D$881),0))+IF('Ввод данных'!$A$365=связи1!$A$98,IF(дома!E934&lt;связи1!$D$558,0,дома!E934-$D$881),0)</f>
        <v>0</v>
      </c>
      <c r="F935" s="1442">
        <f>2*VLOOKUP('Ввод данных'!$F$416,связи1!$A$2:$B$3,2,0)</f>
        <v>0</v>
      </c>
      <c r="G935" s="971">
        <f t="shared" si="104"/>
        <v>0</v>
      </c>
      <c r="H935" s="971"/>
      <c r="I935" s="971"/>
      <c r="J935" s="971"/>
      <c r="K935" s="971"/>
      <c r="L935" s="971"/>
      <c r="M935" s="971"/>
      <c r="N935" s="971"/>
      <c r="O935" s="971"/>
      <c r="P935" s="1353"/>
      <c r="Q935" s="1353"/>
      <c r="R935" s="1353"/>
      <c r="S935" s="971"/>
      <c r="T935" s="971"/>
      <c r="U935" s="1398"/>
      <c r="V935" s="971"/>
      <c r="W935" s="971"/>
      <c r="X935" s="971"/>
      <c r="Y935" s="1353"/>
      <c r="Z935" s="1353"/>
      <c r="AA935" s="971"/>
      <c r="AB935" s="971"/>
      <c r="AC935" s="971"/>
      <c r="AD935" s="971"/>
    </row>
    <row r="936" spans="1:30" s="1355" customFormat="1" ht="15.75" customHeight="1" outlineLevel="1">
      <c r="A936" s="1442" t="s">
        <v>3358</v>
      </c>
      <c r="B936" s="920" t="str">
        <f t="shared" si="102"/>
        <v>м.п.</v>
      </c>
      <c r="C936" s="1442">
        <f t="shared" si="103"/>
        <v>0.4</v>
      </c>
      <c r="D936" s="1442">
        <f t="shared" si="103"/>
        <v>0.05</v>
      </c>
      <c r="E936" s="1442">
        <f>IF('Ввод данных'!$A$365=связи1!$A$96,IF(дома!E935&lt;связи1!$D$558,0,дома!E935-$D$881),0)+IF(дома!E935=0,0,IF('Ввод данных'!$A$365=связи1!$A$95,IF(дома!E935&lt;0,0,дома!E935-$D$881),0))+IF('Ввод данных'!$A$365=связи1!$A$98,IF(дома!E935&lt;связи1!$D$558,0,дома!E935-$D$881),0)</f>
        <v>0</v>
      </c>
      <c r="F936" s="1442">
        <f>2*VLOOKUP('Ввод данных'!$F$416,связи1!$A$2:$B$3,2,0)</f>
        <v>0</v>
      </c>
      <c r="G936" s="971">
        <f t="shared" si="104"/>
        <v>0</v>
      </c>
      <c r="H936" s="971"/>
      <c r="I936" s="971"/>
      <c r="J936" s="971"/>
      <c r="K936" s="971"/>
      <c r="L936" s="971"/>
      <c r="M936" s="971"/>
      <c r="N936" s="971"/>
      <c r="O936" s="971"/>
      <c r="P936" s="1353"/>
      <c r="Q936" s="1353"/>
      <c r="R936" s="1353"/>
      <c r="S936" s="971"/>
      <c r="T936" s="971"/>
      <c r="U936" s="1398"/>
      <c r="V936" s="971"/>
      <c r="W936" s="971"/>
      <c r="X936" s="971"/>
      <c r="Y936" s="1353"/>
      <c r="Z936" s="1353"/>
      <c r="AA936" s="971"/>
      <c r="AB936" s="971"/>
      <c r="AC936" s="971"/>
      <c r="AD936" s="971"/>
    </row>
    <row r="937" spans="1:30" s="1355" customFormat="1" ht="15.75" customHeight="1" outlineLevel="1">
      <c r="A937" s="1442" t="s">
        <v>3359</v>
      </c>
      <c r="B937" s="920" t="str">
        <f t="shared" si="102"/>
        <v>м.п.</v>
      </c>
      <c r="C937" s="1442">
        <f t="shared" si="103"/>
        <v>0.4</v>
      </c>
      <c r="D937" s="1442">
        <f t="shared" si="103"/>
        <v>0.05</v>
      </c>
      <c r="E937" s="1442">
        <f>IF('Ввод данных'!$A$365=связи1!$A$96,IF(дома!E936&lt;связи1!$D$558,0,дома!E936-$D$881),0)+IF(дома!E936=0,0,IF('Ввод данных'!$A$365=связи1!$A$95,IF(дома!E936&lt;0,0,дома!E936-$D$881),0))+IF('Ввод данных'!$A$365=связи1!$A$98,IF(дома!E936&lt;связи1!$D$558,0,дома!E936-$D$881),0)</f>
        <v>0</v>
      </c>
      <c r="F937" s="1442">
        <f>2*VLOOKUP('Ввод данных'!$F$416,связи1!$A$2:$B$3,2,0)</f>
        <v>0</v>
      </c>
      <c r="G937" s="971">
        <f t="shared" si="104"/>
        <v>0</v>
      </c>
      <c r="H937" s="971"/>
      <c r="I937" s="971"/>
      <c r="J937" s="971"/>
      <c r="K937" s="971"/>
      <c r="L937" s="971"/>
      <c r="M937" s="971"/>
      <c r="N937" s="971"/>
      <c r="O937" s="971"/>
      <c r="P937" s="1353"/>
      <c r="Q937" s="1353"/>
      <c r="R937" s="1353"/>
      <c r="S937" s="971"/>
      <c r="T937" s="971"/>
      <c r="U937" s="1398"/>
      <c r="V937" s="971"/>
      <c r="W937" s="971"/>
      <c r="X937" s="971"/>
      <c r="Y937" s="1353"/>
      <c r="Z937" s="1353"/>
      <c r="AA937" s="971"/>
      <c r="AB937" s="971"/>
      <c r="AC937" s="971"/>
      <c r="AD937" s="971"/>
    </row>
    <row r="938" spans="1:30" s="1355" customFormat="1" ht="15.75" customHeight="1" outlineLevel="1">
      <c r="A938" s="1442" t="s">
        <v>3360</v>
      </c>
      <c r="B938" s="920" t="str">
        <f t="shared" si="102"/>
        <v>м.п.</v>
      </c>
      <c r="C938" s="1442">
        <f t="shared" si="103"/>
        <v>0.4</v>
      </c>
      <c r="D938" s="1442">
        <f t="shared" si="103"/>
        <v>0.05</v>
      </c>
      <c r="E938" s="1442">
        <f>IF('Ввод данных'!$A$365=связи1!$A$96,IF(дома!E937&lt;связи1!$D$558,0,дома!E937-$D$881),0)+IF(дома!E937=0,0,IF('Ввод данных'!$A$365=связи1!$A$95,IF(дома!E937&lt;0,0,дома!E937-$D$881),0))+IF('Ввод данных'!$A$365=связи1!$A$98,IF(дома!E937&lt;связи1!$D$558,0,дома!E937-$D$881),0)</f>
        <v>0</v>
      </c>
      <c r="F938" s="1442">
        <f>2*VLOOKUP('Ввод данных'!$F$416,связи1!$A$2:$B$3,2,0)</f>
        <v>0</v>
      </c>
      <c r="G938" s="971">
        <f t="shared" si="104"/>
        <v>0</v>
      </c>
      <c r="H938" s="971"/>
      <c r="I938" s="971"/>
      <c r="J938" s="971"/>
      <c r="K938" s="971"/>
      <c r="L938" s="971"/>
      <c r="M938" s="971"/>
      <c r="N938" s="971"/>
      <c r="O938" s="971"/>
      <c r="P938" s="1353"/>
      <c r="Q938" s="1353"/>
      <c r="R938" s="1353"/>
      <c r="S938" s="971"/>
      <c r="T938" s="971"/>
      <c r="U938" s="1398"/>
      <c r="V938" s="971"/>
      <c r="W938" s="971"/>
      <c r="X938" s="971"/>
      <c r="Y938" s="1353"/>
      <c r="Z938" s="1353"/>
      <c r="AA938" s="971"/>
      <c r="AB938" s="971"/>
      <c r="AC938" s="971"/>
      <c r="AD938" s="971"/>
    </row>
    <row r="939" spans="1:30" s="1355" customFormat="1" ht="15.75" customHeight="1" outlineLevel="1">
      <c r="A939" s="1442" t="s">
        <v>3361</v>
      </c>
      <c r="B939" s="920" t="str">
        <f t="shared" si="102"/>
        <v>м.п.</v>
      </c>
      <c r="C939" s="1442">
        <f t="shared" si="103"/>
        <v>0.4</v>
      </c>
      <c r="D939" s="1442">
        <f t="shared" si="103"/>
        <v>0.05</v>
      </c>
      <c r="E939" s="1442">
        <f>IF('Ввод данных'!$A$365=связи1!$A$96,IF(дома!E938&lt;связи1!$D$558,0,дома!E938-$D$881),0)+IF(дома!E938=0,0,IF('Ввод данных'!$A$365=связи1!$A$95,IF(дома!E938&lt;0,0,дома!E938-$D$881),0))+IF('Ввод данных'!$A$365=связи1!$A$98,IF(дома!E938&lt;связи1!$D$558,0,дома!E938-$D$881),0)</f>
        <v>0</v>
      </c>
      <c r="F939" s="1442">
        <f>2*VLOOKUP('Ввод данных'!$F$416,связи1!$A$2:$B$3,2,0)</f>
        <v>0</v>
      </c>
      <c r="G939" s="971">
        <f t="shared" si="104"/>
        <v>0</v>
      </c>
      <c r="H939" s="971"/>
      <c r="I939" s="971"/>
      <c r="J939" s="971"/>
      <c r="K939" s="971"/>
      <c r="L939" s="971"/>
      <c r="M939" s="971"/>
      <c r="N939" s="971"/>
      <c r="O939" s="971"/>
      <c r="P939" s="1353"/>
      <c r="Q939" s="1353"/>
      <c r="R939" s="1353"/>
      <c r="S939" s="971"/>
      <c r="T939" s="971"/>
      <c r="U939" s="1398"/>
      <c r="V939" s="971"/>
      <c r="W939" s="971"/>
      <c r="X939" s="971"/>
      <c r="Y939" s="1353"/>
      <c r="Z939" s="1353"/>
      <c r="AA939" s="971"/>
      <c r="AB939" s="971"/>
      <c r="AC939" s="971"/>
      <c r="AD939" s="971"/>
    </row>
    <row r="940" spans="1:30" s="1355" customFormat="1" ht="15.75" customHeight="1" outlineLevel="1">
      <c r="A940" s="1442" t="s">
        <v>3362</v>
      </c>
      <c r="B940" s="920" t="str">
        <f t="shared" si="102"/>
        <v>м.п.</v>
      </c>
      <c r="C940" s="1442">
        <f t="shared" si="103"/>
        <v>0.4</v>
      </c>
      <c r="D940" s="1442">
        <f t="shared" si="103"/>
        <v>0.05</v>
      </c>
      <c r="E940" s="1442">
        <f>IF('Ввод данных'!$A$365=связи1!$A$96,IF(дома!E939&lt;связи1!$D$558,0,дома!E939-$D$881),0)+IF(дома!E939=0,0,IF('Ввод данных'!$A$365=связи1!$A$95,IF(дома!E939&lt;0,0,дома!E939-$D$881),0))+IF('Ввод данных'!$A$365=связи1!$A$98,IF(дома!E939&lt;связи1!$D$558,0,дома!E939-$D$881),0)</f>
        <v>0</v>
      </c>
      <c r="F940" s="1442">
        <f>2*VLOOKUP('Ввод данных'!$F$416,связи1!$A$2:$B$3,2,0)</f>
        <v>0</v>
      </c>
      <c r="G940" s="971">
        <f t="shared" si="104"/>
        <v>0</v>
      </c>
      <c r="H940" s="971"/>
      <c r="I940" s="971"/>
      <c r="J940" s="971"/>
      <c r="K940" s="971"/>
      <c r="L940" s="971"/>
      <c r="M940" s="971"/>
      <c r="N940" s="971"/>
      <c r="O940" s="971"/>
      <c r="P940" s="1353"/>
      <c r="Q940" s="1353"/>
      <c r="R940" s="1353"/>
      <c r="S940" s="971"/>
      <c r="T940" s="971"/>
      <c r="U940" s="1398"/>
      <c r="V940" s="971"/>
      <c r="W940" s="971"/>
      <c r="X940" s="971"/>
      <c r="Y940" s="1353"/>
      <c r="Z940" s="1353"/>
      <c r="AA940" s="971"/>
      <c r="AB940" s="971"/>
      <c r="AC940" s="971"/>
      <c r="AD940" s="971"/>
    </row>
    <row r="941" spans="1:30" s="1355" customFormat="1" ht="15.75" customHeight="1" outlineLevel="1">
      <c r="A941" s="1442" t="s">
        <v>3363</v>
      </c>
      <c r="B941" s="920" t="str">
        <f t="shared" si="102"/>
        <v>м.п.</v>
      </c>
      <c r="C941" s="1442">
        <f t="shared" si="103"/>
        <v>0.4</v>
      </c>
      <c r="D941" s="1442">
        <f t="shared" si="103"/>
        <v>0.05</v>
      </c>
      <c r="E941" s="1442">
        <f>IF('Ввод данных'!$A$365=связи1!$A$96,IF(дома!E940&lt;связи1!$D$558,0,дома!E940-$D$881),0)+IF(дома!E940=0,0,IF('Ввод данных'!$A$365=связи1!$A$95,IF(дома!E940&lt;0,0,дома!E940-$D$881),0))+IF('Ввод данных'!$A$365=связи1!$A$98,IF(дома!E940&lt;связи1!$D$558,0,дома!E940-$D$881),0)</f>
        <v>0</v>
      </c>
      <c r="F941" s="1442">
        <f>2*VLOOKUP('Ввод данных'!$F$416,связи1!$A$2:$B$3,2,0)</f>
        <v>0</v>
      </c>
      <c r="G941" s="971">
        <f t="shared" si="104"/>
        <v>0</v>
      </c>
      <c r="H941" s="971"/>
      <c r="I941" s="971"/>
      <c r="J941" s="971"/>
      <c r="K941" s="971"/>
      <c r="L941" s="971"/>
      <c r="M941" s="971"/>
      <c r="N941" s="971"/>
      <c r="O941" s="971"/>
      <c r="P941" s="1353"/>
      <c r="Q941" s="1353"/>
      <c r="R941" s="1353"/>
      <c r="S941" s="971"/>
      <c r="T941" s="971"/>
      <c r="U941" s="1398"/>
      <c r="V941" s="971"/>
      <c r="W941" s="971"/>
      <c r="X941" s="971"/>
      <c r="Y941" s="1353"/>
      <c r="Z941" s="1353"/>
      <c r="AA941" s="971"/>
      <c r="AB941" s="971"/>
      <c r="AC941" s="971"/>
      <c r="AD941" s="971"/>
    </row>
    <row r="942" spans="1:30" s="1355" customFormat="1" ht="15.75" customHeight="1" outlineLevel="1">
      <c r="A942" s="1442" t="s">
        <v>3364</v>
      </c>
      <c r="B942" s="920" t="str">
        <f t="shared" si="102"/>
        <v>м.п.</v>
      </c>
      <c r="C942" s="1442">
        <f t="shared" si="103"/>
        <v>0.4</v>
      </c>
      <c r="D942" s="1442">
        <f t="shared" si="103"/>
        <v>0.05</v>
      </c>
      <c r="E942" s="1442">
        <f>IF('Ввод данных'!$A$365=связи1!$A$96,IF(дома!E941&lt;связи1!$D$558,0,дома!E941-$D$881),0)+IF(дома!E941=0,0,IF('Ввод данных'!$A$365=связи1!$A$95,IF(дома!E941&lt;0,0,дома!E941-$D$881),0))+IF('Ввод данных'!$A$365=связи1!$A$98,IF(дома!E941&lt;связи1!$D$558,0,дома!E941-$D$881),0)</f>
        <v>0</v>
      </c>
      <c r="F942" s="1442">
        <f>2*VLOOKUP('Ввод данных'!$F$416,связи1!$A$2:$B$3,2,0)</f>
        <v>0</v>
      </c>
      <c r="G942" s="971">
        <f t="shared" si="104"/>
        <v>0</v>
      </c>
      <c r="H942" s="971"/>
      <c r="I942" s="971"/>
      <c r="J942" s="971"/>
      <c r="K942" s="971"/>
      <c r="L942" s="971"/>
      <c r="M942" s="971"/>
      <c r="N942" s="971"/>
      <c r="O942" s="971"/>
      <c r="P942" s="1353"/>
      <c r="Q942" s="1353"/>
      <c r="R942" s="1353"/>
      <c r="S942" s="971"/>
      <c r="T942" s="971"/>
      <c r="U942" s="1398"/>
      <c r="V942" s="971"/>
      <c r="W942" s="971"/>
      <c r="X942" s="971"/>
      <c r="Y942" s="1353"/>
      <c r="Z942" s="1353"/>
      <c r="AA942" s="971"/>
      <c r="AB942" s="971"/>
      <c r="AC942" s="971"/>
      <c r="AD942" s="971"/>
    </row>
    <row r="943" spans="1:30" s="1355" customFormat="1" ht="15.75" customHeight="1" outlineLevel="1">
      <c r="A943" s="1442" t="s">
        <v>3365</v>
      </c>
      <c r="B943" s="920" t="str">
        <f t="shared" si="102"/>
        <v>м.п.</v>
      </c>
      <c r="C943" s="1442">
        <f t="shared" si="103"/>
        <v>0.4</v>
      </c>
      <c r="D943" s="1442">
        <f t="shared" si="103"/>
        <v>0.05</v>
      </c>
      <c r="E943" s="1442">
        <f>IF('Ввод данных'!$A$365=связи1!$A$96,IF(дома!E942&lt;связи1!$D$558,0,дома!E942-$D$881),0)+IF(дома!E942=0,0,IF('Ввод данных'!$A$365=связи1!$A$95,IF(дома!E942&lt;0,0,дома!E942-$D$881),0))+IF('Ввод данных'!$A$365=связи1!$A$98,IF(дома!E942&lt;связи1!$D$558,0,дома!E942-$D$881),0)</f>
        <v>0</v>
      </c>
      <c r="F943" s="1442">
        <f>2*VLOOKUP('Ввод данных'!$F$416,связи1!$A$2:$B$3,2,0)</f>
        <v>0</v>
      </c>
      <c r="G943" s="971">
        <f t="shared" si="104"/>
        <v>0</v>
      </c>
      <c r="H943" s="971"/>
      <c r="I943" s="971"/>
      <c r="J943" s="971"/>
      <c r="K943" s="971"/>
      <c r="L943" s="971"/>
      <c r="M943" s="971"/>
      <c r="N943" s="971"/>
      <c r="O943" s="971"/>
      <c r="P943" s="1353"/>
      <c r="Q943" s="1353"/>
      <c r="R943" s="1353"/>
      <c r="S943" s="971"/>
      <c r="T943" s="971"/>
      <c r="U943" s="1398"/>
      <c r="V943" s="971"/>
      <c r="W943" s="971"/>
      <c r="X943" s="971"/>
      <c r="Y943" s="1353"/>
      <c r="Z943" s="1353"/>
      <c r="AA943" s="971"/>
      <c r="AB943" s="971"/>
      <c r="AC943" s="971"/>
      <c r="AD943" s="971"/>
    </row>
    <row r="944" spans="1:30" s="1355" customFormat="1" ht="15.75" customHeight="1" outlineLevel="1">
      <c r="A944" s="1442" t="s">
        <v>3366</v>
      </c>
      <c r="B944" s="920" t="str">
        <f t="shared" ref="B944:B975" si="105">B482</f>
        <v>м.п.</v>
      </c>
      <c r="C944" s="1442">
        <f t="shared" si="103"/>
        <v>0.4</v>
      </c>
      <c r="D944" s="1442">
        <f t="shared" si="103"/>
        <v>0.05</v>
      </c>
      <c r="E944" s="1442">
        <f>IF('Ввод данных'!$A$365=связи1!$A$96,IF(дома!E943&lt;связи1!$D$558,0,дома!E943-$D$881),0)+IF(дома!E943=0,0,IF('Ввод данных'!$A$365=связи1!$A$95,IF(дома!E943&lt;0,0,дома!E943-$D$881),0))+IF('Ввод данных'!$A$365=связи1!$A$98,IF(дома!E943&lt;связи1!$D$558,0,дома!E943-$D$881),0)</f>
        <v>0</v>
      </c>
      <c r="F944" s="1442">
        <f>2*VLOOKUP('Ввод данных'!$F$416,связи1!$A$2:$B$3,2,0)</f>
        <v>0</v>
      </c>
      <c r="G944" s="971">
        <f t="shared" si="104"/>
        <v>0</v>
      </c>
      <c r="H944" s="971"/>
      <c r="I944" s="971"/>
      <c r="J944" s="971"/>
      <c r="K944" s="971"/>
      <c r="L944" s="971"/>
      <c r="M944" s="971"/>
      <c r="N944" s="971"/>
      <c r="O944" s="971"/>
      <c r="P944" s="1353"/>
      <c r="Q944" s="1353"/>
      <c r="R944" s="1353"/>
      <c r="S944" s="971"/>
      <c r="T944" s="971"/>
      <c r="U944" s="1398"/>
      <c r="V944" s="971"/>
      <c r="W944" s="971"/>
      <c r="X944" s="971"/>
      <c r="Y944" s="1353"/>
      <c r="Z944" s="1353"/>
      <c r="AA944" s="971"/>
      <c r="AB944" s="971"/>
      <c r="AC944" s="971"/>
      <c r="AD944" s="971"/>
    </row>
    <row r="945" spans="1:30" s="1355" customFormat="1" ht="15.75" customHeight="1" outlineLevel="1">
      <c r="A945" s="1442" t="s">
        <v>3367</v>
      </c>
      <c r="B945" s="920" t="str">
        <f t="shared" si="105"/>
        <v>м.п.</v>
      </c>
      <c r="C945" s="1442">
        <f t="shared" si="103"/>
        <v>0.4</v>
      </c>
      <c r="D945" s="1442">
        <f t="shared" si="103"/>
        <v>0.05</v>
      </c>
      <c r="E945" s="1442">
        <f>IF('Ввод данных'!$A$365=связи1!$A$96,IF(дома!E944&lt;связи1!$D$558,0,дома!E944-$D$881),0)+IF(дома!E944=0,0,IF('Ввод данных'!$A$365=связи1!$A$95,IF(дома!E944&lt;0,0,дома!E944-$D$881),0))+IF('Ввод данных'!$A$365=связи1!$A$98,IF(дома!E944&lt;связи1!$D$558,0,дома!E944-$D$881),0)</f>
        <v>0</v>
      </c>
      <c r="F945" s="1442">
        <f>2*VLOOKUP('Ввод данных'!$F$416,связи1!$A$2:$B$3,2,0)</f>
        <v>0</v>
      </c>
      <c r="G945" s="971">
        <f t="shared" si="104"/>
        <v>0</v>
      </c>
      <c r="H945" s="971"/>
      <c r="I945" s="971"/>
      <c r="J945" s="971"/>
      <c r="K945" s="971"/>
      <c r="L945" s="971"/>
      <c r="M945" s="971"/>
      <c r="N945" s="971"/>
      <c r="O945" s="971"/>
      <c r="P945" s="1353"/>
      <c r="Q945" s="1353"/>
      <c r="R945" s="1353"/>
      <c r="S945" s="971"/>
      <c r="T945" s="971"/>
      <c r="U945" s="1398"/>
      <c r="V945" s="971"/>
      <c r="W945" s="971"/>
      <c r="X945" s="971"/>
      <c r="Y945" s="1353"/>
      <c r="Z945" s="1353"/>
      <c r="AA945" s="971"/>
      <c r="AB945" s="971"/>
      <c r="AC945" s="971"/>
      <c r="AD945" s="971"/>
    </row>
    <row r="946" spans="1:30" s="1355" customFormat="1" ht="15.75" customHeight="1" outlineLevel="1">
      <c r="A946" s="1442" t="s">
        <v>3368</v>
      </c>
      <c r="B946" s="920" t="str">
        <f t="shared" si="105"/>
        <v>м.п.</v>
      </c>
      <c r="C946" s="1442">
        <f t="shared" ref="C946:D965" si="106">C484</f>
        <v>0.4</v>
      </c>
      <c r="D946" s="1442">
        <f t="shared" si="106"/>
        <v>0.05</v>
      </c>
      <c r="E946" s="1442">
        <f>IF('Ввод данных'!$A$365=связи1!$A$96,IF(дома!E945&lt;связи1!$D$558,0,дома!E945-$D$881),0)+IF(дома!E945=0,0,IF('Ввод данных'!$A$365=связи1!$A$95,IF(дома!E945&lt;0,0,дома!E945-$D$881),0))+IF('Ввод данных'!$A$365=связи1!$A$98,IF(дома!E945&lt;связи1!$D$558,0,дома!E945-$D$881),0)</f>
        <v>0</v>
      </c>
      <c r="F946" s="1442">
        <f>2*VLOOKUP('Ввод данных'!$F$416,связи1!$A$2:$B$3,2,0)</f>
        <v>0</v>
      </c>
      <c r="G946" s="971">
        <f t="shared" si="104"/>
        <v>0</v>
      </c>
      <c r="H946" s="971"/>
      <c r="I946" s="971"/>
      <c r="J946" s="971"/>
      <c r="K946" s="971"/>
      <c r="L946" s="971"/>
      <c r="M946" s="971"/>
      <c r="N946" s="971"/>
      <c r="O946" s="971"/>
      <c r="P946" s="1353"/>
      <c r="Q946" s="1353"/>
      <c r="R946" s="1353"/>
      <c r="S946" s="971"/>
      <c r="T946" s="971"/>
      <c r="U946" s="1398"/>
      <c r="V946" s="971"/>
      <c r="W946" s="971"/>
      <c r="X946" s="971"/>
      <c r="Y946" s="1353"/>
      <c r="Z946" s="1353"/>
      <c r="AA946" s="971"/>
      <c r="AB946" s="971"/>
      <c r="AC946" s="971"/>
      <c r="AD946" s="971"/>
    </row>
    <row r="947" spans="1:30" s="1355" customFormat="1" ht="15.75" customHeight="1" outlineLevel="1">
      <c r="A947" s="1442" t="s">
        <v>3369</v>
      </c>
      <c r="B947" s="920" t="str">
        <f t="shared" si="105"/>
        <v>м.п.</v>
      </c>
      <c r="C947" s="1442">
        <f t="shared" si="106"/>
        <v>0.4</v>
      </c>
      <c r="D947" s="1442">
        <f t="shared" si="106"/>
        <v>0.05</v>
      </c>
      <c r="E947" s="1442">
        <f>IF('Ввод данных'!$A$365=связи1!$A$96,IF(дома!E946&lt;связи1!$D$558,0,дома!E946-$D$881),0)+IF(дома!E946=0,0,IF('Ввод данных'!$A$365=связи1!$A$95,IF(дома!E946&lt;0,0,дома!E946-$D$881),0))+IF('Ввод данных'!$A$365=связи1!$A$98,IF(дома!E946&lt;связи1!$D$558,0,дома!E946-$D$881),0)</f>
        <v>0</v>
      </c>
      <c r="F947" s="1442">
        <f>2*VLOOKUP('Ввод данных'!$F$416,связи1!$A$2:$B$3,2,0)</f>
        <v>0</v>
      </c>
      <c r="G947" s="971">
        <f t="shared" si="104"/>
        <v>0</v>
      </c>
      <c r="H947" s="971"/>
      <c r="I947" s="971"/>
      <c r="J947" s="971"/>
      <c r="K947" s="971"/>
      <c r="L947" s="971"/>
      <c r="M947" s="971"/>
      <c r="N947" s="971"/>
      <c r="O947" s="971"/>
      <c r="P947" s="1353"/>
      <c r="Q947" s="1353"/>
      <c r="R947" s="1353"/>
      <c r="S947" s="971"/>
      <c r="T947" s="971"/>
      <c r="U947" s="1398"/>
      <c r="V947" s="971"/>
      <c r="W947" s="971"/>
      <c r="X947" s="971"/>
      <c r="Y947" s="1353"/>
      <c r="Z947" s="1353"/>
      <c r="AA947" s="971"/>
      <c r="AB947" s="971"/>
      <c r="AC947" s="971"/>
      <c r="AD947" s="971"/>
    </row>
    <row r="948" spans="1:30" s="1355" customFormat="1" ht="15.75" customHeight="1" outlineLevel="1">
      <c r="A948" s="1442" t="s">
        <v>3370</v>
      </c>
      <c r="B948" s="920" t="str">
        <f t="shared" si="105"/>
        <v>м.п.</v>
      </c>
      <c r="C948" s="1442">
        <f t="shared" si="106"/>
        <v>0.4</v>
      </c>
      <c r="D948" s="1442">
        <f t="shared" si="106"/>
        <v>0.05</v>
      </c>
      <c r="E948" s="1442">
        <f>IF('Ввод данных'!$A$365=связи1!$A$96,IF(дома!E947&lt;связи1!$D$558,0,дома!E947-$D$881),0)+IF(дома!E947=0,0,IF('Ввод данных'!$A$365=связи1!$A$95,IF(дома!E947&lt;0,0,дома!E947-$D$881),0))+IF('Ввод данных'!$A$365=связи1!$A$98,IF(дома!E947&lt;связи1!$D$558,0,дома!E947-$D$881),0)</f>
        <v>0</v>
      </c>
      <c r="F948" s="1442">
        <f>2*VLOOKUP('Ввод данных'!$F$416,связи1!$A$2:$B$3,2,0)</f>
        <v>0</v>
      </c>
      <c r="G948" s="971">
        <f t="shared" si="104"/>
        <v>0</v>
      </c>
      <c r="H948" s="971"/>
      <c r="I948" s="971"/>
      <c r="J948" s="971"/>
      <c r="K948" s="971"/>
      <c r="L948" s="971"/>
      <c r="M948" s="971"/>
      <c r="N948" s="971"/>
      <c r="O948" s="971"/>
      <c r="P948" s="1353"/>
      <c r="Q948" s="1353"/>
      <c r="R948" s="1353"/>
      <c r="S948" s="971"/>
      <c r="T948" s="971"/>
      <c r="U948" s="1398"/>
      <c r="V948" s="971"/>
      <c r="W948" s="971"/>
      <c r="X948" s="971"/>
      <c r="Y948" s="1353"/>
      <c r="Z948" s="1353"/>
      <c r="AA948" s="971"/>
      <c r="AB948" s="971"/>
      <c r="AC948" s="971"/>
      <c r="AD948" s="971"/>
    </row>
    <row r="949" spans="1:30" s="1355" customFormat="1" ht="15.75" customHeight="1" outlineLevel="1">
      <c r="A949" s="1442" t="s">
        <v>3371</v>
      </c>
      <c r="B949" s="920" t="str">
        <f t="shared" si="105"/>
        <v>м.п.</v>
      </c>
      <c r="C949" s="1442">
        <f t="shared" si="106"/>
        <v>0.4</v>
      </c>
      <c r="D949" s="1442">
        <f t="shared" si="106"/>
        <v>0.05</v>
      </c>
      <c r="E949" s="1442">
        <f>IF('Ввод данных'!$A$365=связи1!$A$96,IF(дома!E948&lt;связи1!$D$558,0,дома!E948-$D$881),0)+IF(дома!E948=0,0,IF('Ввод данных'!$A$365=связи1!$A$95,IF(дома!E948&lt;0,0,дома!E948-$D$881),0))+IF('Ввод данных'!$A$365=связи1!$A$98,IF(дома!E948&lt;связи1!$D$558,0,дома!E948-$D$881),0)</f>
        <v>0</v>
      </c>
      <c r="F949" s="1442">
        <f>2*VLOOKUP('Ввод данных'!$F$416,связи1!$A$2:$B$3,2,0)</f>
        <v>0</v>
      </c>
      <c r="G949" s="971">
        <f t="shared" si="104"/>
        <v>0</v>
      </c>
      <c r="H949" s="971"/>
      <c r="I949" s="971"/>
      <c r="J949" s="971"/>
      <c r="K949" s="971"/>
      <c r="L949" s="971"/>
      <c r="M949" s="971"/>
      <c r="N949" s="971"/>
      <c r="O949" s="971"/>
      <c r="P949" s="1353"/>
      <c r="Q949" s="1353"/>
      <c r="R949" s="1353"/>
      <c r="S949" s="971"/>
      <c r="T949" s="971"/>
      <c r="U949" s="1398"/>
      <c r="V949" s="971"/>
      <c r="W949" s="971"/>
      <c r="X949" s="971"/>
      <c r="Y949" s="1353"/>
      <c r="Z949" s="1353"/>
      <c r="AA949" s="971"/>
      <c r="AB949" s="971"/>
      <c r="AC949" s="971"/>
      <c r="AD949" s="971"/>
    </row>
    <row r="950" spans="1:30" s="1355" customFormat="1" ht="15.75" customHeight="1" outlineLevel="1">
      <c r="A950" s="1442" t="s">
        <v>3372</v>
      </c>
      <c r="B950" s="920" t="str">
        <f t="shared" si="105"/>
        <v>м.п.</v>
      </c>
      <c r="C950" s="1442">
        <f t="shared" si="106"/>
        <v>0.4</v>
      </c>
      <c r="D950" s="1442">
        <f t="shared" si="106"/>
        <v>0.05</v>
      </c>
      <c r="E950" s="1442">
        <f>IF('Ввод данных'!$A$365=связи1!$A$96,IF(дома!E949&lt;связи1!$D$558,0,дома!E949-$D$881),0)+IF(дома!E949=0,0,IF('Ввод данных'!$A$365=связи1!$A$95,IF(дома!E949&lt;0,0,дома!E949-$D$881),0))+IF('Ввод данных'!$A$365=связи1!$A$98,IF(дома!E949&lt;связи1!$D$558,0,дома!E949-$D$881),0)</f>
        <v>0</v>
      </c>
      <c r="F950" s="1442">
        <f>2*VLOOKUP('Ввод данных'!$F$416,связи1!$A$2:$B$3,2,0)</f>
        <v>0</v>
      </c>
      <c r="G950" s="971">
        <f t="shared" si="104"/>
        <v>0</v>
      </c>
      <c r="H950" s="971"/>
      <c r="I950" s="971"/>
      <c r="J950" s="971"/>
      <c r="K950" s="971"/>
      <c r="L950" s="971"/>
      <c r="M950" s="971"/>
      <c r="N950" s="971"/>
      <c r="O950" s="971"/>
      <c r="P950" s="1353"/>
      <c r="Q950" s="1353"/>
      <c r="R950" s="1353"/>
      <c r="S950" s="971"/>
      <c r="T950" s="971"/>
      <c r="U950" s="1398"/>
      <c r="V950" s="971"/>
      <c r="W950" s="971"/>
      <c r="X950" s="971"/>
      <c r="Y950" s="1353"/>
      <c r="Z950" s="1353"/>
      <c r="AA950" s="971"/>
      <c r="AB950" s="971"/>
      <c r="AC950" s="971"/>
      <c r="AD950" s="971"/>
    </row>
    <row r="951" spans="1:30" s="1355" customFormat="1" ht="15.75" customHeight="1" outlineLevel="1">
      <c r="A951" s="1442" t="s">
        <v>3373</v>
      </c>
      <c r="B951" s="920" t="str">
        <f t="shared" si="105"/>
        <v>м.п.</v>
      </c>
      <c r="C951" s="1442">
        <f t="shared" si="106"/>
        <v>0.4</v>
      </c>
      <c r="D951" s="1442">
        <f t="shared" si="106"/>
        <v>0.05</v>
      </c>
      <c r="E951" s="1442">
        <f>IF('Ввод данных'!A364=связи1!A107,IF('Ввод данных'!A365=связи1!A94,0,0)+IF('Ввод данных'!A365=связи1!A95,связи1!D557-связи1!D556,0)+IF('Ввод данных'!A365=связи1!A96,связи1!D557,0)+IF('Ввод данных'!A365=связи1!A97,0,0)+IF('Ввод данных'!A365=связи1!A98,связи1!D557,0),0)</f>
        <v>-1.2000000000000004</v>
      </c>
      <c r="F951" s="1442">
        <f>2*VLOOKUP('Ввод данных'!$F$416,связи1!$A$2:$B$3,2,0)</f>
        <v>0</v>
      </c>
      <c r="G951" s="971">
        <f t="shared" si="104"/>
        <v>0</v>
      </c>
      <c r="H951" s="971"/>
      <c r="I951" s="971"/>
      <c r="J951" s="971"/>
      <c r="K951" s="971"/>
      <c r="L951" s="971"/>
      <c r="M951" s="971"/>
      <c r="N951" s="971"/>
      <c r="O951" s="971"/>
      <c r="P951" s="1353"/>
      <c r="Q951" s="1353"/>
      <c r="R951" s="1353"/>
      <c r="S951" s="971"/>
      <c r="T951" s="971"/>
      <c r="U951" s="1398"/>
      <c r="V951" s="971"/>
      <c r="W951" s="971"/>
      <c r="X951" s="971"/>
      <c r="Y951" s="1353"/>
      <c r="Z951" s="1353"/>
      <c r="AA951" s="971"/>
      <c r="AB951" s="971"/>
      <c r="AC951" s="971"/>
      <c r="AD951" s="971"/>
    </row>
    <row r="952" spans="1:30" s="1355" customFormat="1" ht="15.75" customHeight="1" outlineLevel="1">
      <c r="A952" s="1442" t="s">
        <v>3374</v>
      </c>
      <c r="B952" s="920" t="str">
        <f t="shared" si="105"/>
        <v>м.п.</v>
      </c>
      <c r="C952" s="1442">
        <f t="shared" si="106"/>
        <v>0.4</v>
      </c>
      <c r="D952" s="1442">
        <f t="shared" si="106"/>
        <v>0.05</v>
      </c>
      <c r="E952" s="1442">
        <f>IF('Ввод данных'!$A$365=связи1!$A$96,IF(дома!E951&lt;связи1!$D$558,0,дома!E951-$D$881),0)+IF(дома!E951=0,0,IF('Ввод данных'!$A$365=связи1!$A$95,IF(дома!E951&lt;0,0,дома!E951-$D$881),0))+IF('Ввод данных'!$A$365=связи1!$A$98,IF(дома!E951&lt;связи1!$D$558,0,дома!E951-$D$881),0)</f>
        <v>0</v>
      </c>
      <c r="F952" s="1442">
        <f>2*VLOOKUP('Ввод данных'!$F$416,связи1!$A$2:$B$3,2,0)</f>
        <v>0</v>
      </c>
      <c r="G952" s="971">
        <f t="shared" si="104"/>
        <v>0</v>
      </c>
      <c r="H952" s="971"/>
      <c r="I952" s="971"/>
      <c r="J952" s="971"/>
      <c r="K952" s="971"/>
      <c r="L952" s="971"/>
      <c r="M952" s="971"/>
      <c r="N952" s="971"/>
      <c r="O952" s="971"/>
      <c r="P952" s="1353"/>
      <c r="Q952" s="1353"/>
      <c r="R952" s="1353"/>
      <c r="S952" s="971"/>
      <c r="T952" s="971"/>
      <c r="U952" s="1398"/>
      <c r="V952" s="971"/>
      <c r="W952" s="971"/>
      <c r="X952" s="971"/>
      <c r="Y952" s="1353"/>
      <c r="Z952" s="1353"/>
      <c r="AA952" s="971"/>
      <c r="AB952" s="971"/>
      <c r="AC952" s="971"/>
      <c r="AD952" s="971"/>
    </row>
    <row r="953" spans="1:30" s="1355" customFormat="1" ht="15.75" customHeight="1" outlineLevel="1">
      <c r="A953" s="1442" t="s">
        <v>3375</v>
      </c>
      <c r="B953" s="920" t="str">
        <f t="shared" si="105"/>
        <v>м.п.</v>
      </c>
      <c r="C953" s="1442">
        <f t="shared" si="106"/>
        <v>0.4</v>
      </c>
      <c r="D953" s="1442">
        <f t="shared" si="106"/>
        <v>0.05</v>
      </c>
      <c r="E953" s="1442">
        <f>IF('Ввод данных'!$A$365=связи1!$A$96,IF(дома!E952&lt;связи1!$D$558,0,дома!E952-$D$881),0)+IF(дома!E952=0,0,IF('Ввод данных'!$A$365=связи1!$A$95,IF(дома!E952&lt;0,0,дома!E952-$D$881),0))+IF('Ввод данных'!$A$365=связи1!$A$98,IF(дома!E952&lt;связи1!$D$558,0,дома!E952-$D$881),0)</f>
        <v>0</v>
      </c>
      <c r="F953" s="1442">
        <f>2*VLOOKUP('Ввод данных'!$F$416,связи1!$A$2:$B$3,2,0)</f>
        <v>0</v>
      </c>
      <c r="G953" s="971">
        <f t="shared" si="104"/>
        <v>0</v>
      </c>
      <c r="H953" s="971"/>
      <c r="I953" s="971"/>
      <c r="J953" s="971"/>
      <c r="K953" s="971"/>
      <c r="L953" s="971"/>
      <c r="M953" s="971"/>
      <c r="N953" s="971"/>
      <c r="O953" s="971"/>
      <c r="P953" s="1353"/>
      <c r="Q953" s="1353"/>
      <c r="R953" s="1353"/>
      <c r="S953" s="971"/>
      <c r="T953" s="971"/>
      <c r="U953" s="1398"/>
      <c r="V953" s="971"/>
      <c r="W953" s="971"/>
      <c r="X953" s="971"/>
      <c r="Y953" s="1353"/>
      <c r="Z953" s="1353"/>
      <c r="AA953" s="971"/>
      <c r="AB953" s="971"/>
      <c r="AC953" s="971"/>
      <c r="AD953" s="971"/>
    </row>
    <row r="954" spans="1:30" s="1355" customFormat="1" ht="15.75" customHeight="1" outlineLevel="1">
      <c r="A954" s="1442" t="s">
        <v>3376</v>
      </c>
      <c r="B954" s="920" t="str">
        <f t="shared" si="105"/>
        <v>м.п.</v>
      </c>
      <c r="C954" s="1442">
        <f t="shared" si="106"/>
        <v>0.4</v>
      </c>
      <c r="D954" s="1442">
        <f t="shared" si="106"/>
        <v>0.05</v>
      </c>
      <c r="E954" s="1442">
        <f>IF('Ввод данных'!$A$365=связи1!$A$96,IF(дома!E953&lt;связи1!$D$558,0,дома!E953-$D$881),0)+IF(дома!E953=0,0,IF('Ввод данных'!$A$365=связи1!$A$95,IF(дома!E953&lt;0,0,дома!E953-$D$881),0))+IF('Ввод данных'!$A$365=связи1!$A$98,IF(дома!E953&lt;связи1!$D$558,0,дома!E953-$D$881),0)</f>
        <v>0</v>
      </c>
      <c r="F954" s="1442">
        <f>2*VLOOKUP('Ввод данных'!$F$416,связи1!$A$2:$B$3,2,0)</f>
        <v>0</v>
      </c>
      <c r="G954" s="971">
        <f t="shared" si="104"/>
        <v>0</v>
      </c>
      <c r="H954" s="971"/>
      <c r="I954" s="971"/>
      <c r="J954" s="971"/>
      <c r="K954" s="971"/>
      <c r="L954" s="971"/>
      <c r="M954" s="971"/>
      <c r="N954" s="971"/>
      <c r="O954" s="971"/>
      <c r="P954" s="1353"/>
      <c r="Q954" s="1353"/>
      <c r="R954" s="1353"/>
      <c r="S954" s="971"/>
      <c r="T954" s="971"/>
      <c r="U954" s="1398"/>
      <c r="V954" s="971"/>
      <c r="W954" s="971"/>
      <c r="X954" s="971"/>
      <c r="Y954" s="1353"/>
      <c r="Z954" s="1353"/>
      <c r="AA954" s="971"/>
      <c r="AB954" s="971"/>
      <c r="AC954" s="971"/>
      <c r="AD954" s="971"/>
    </row>
    <row r="955" spans="1:30" s="1355" customFormat="1" ht="15.75" customHeight="1" outlineLevel="1">
      <c r="A955" s="1442" t="s">
        <v>3377</v>
      </c>
      <c r="B955" s="920" t="str">
        <f t="shared" si="105"/>
        <v>м.п.</v>
      </c>
      <c r="C955" s="1442">
        <f t="shared" si="106"/>
        <v>0.4</v>
      </c>
      <c r="D955" s="1442">
        <f t="shared" si="106"/>
        <v>0.05</v>
      </c>
      <c r="E955" s="1442">
        <f>IF('Ввод данных'!$A$365=связи1!$A$96,IF(дома!E954&lt;связи1!$D$558,0,дома!E954-$D$881),0)+IF(дома!E954=0,0,IF('Ввод данных'!$A$365=связи1!$A$95,IF(дома!E954&lt;0,0,дома!E954-$D$881),0))+IF('Ввод данных'!$A$365=связи1!$A$98,IF(дома!E954&lt;связи1!$D$558,0,дома!E954-$D$881),0)</f>
        <v>0</v>
      </c>
      <c r="F955" s="1442">
        <f>2*VLOOKUP('Ввод данных'!$F$416,связи1!$A$2:$B$3,2,0)</f>
        <v>0</v>
      </c>
      <c r="G955" s="971">
        <f t="shared" si="104"/>
        <v>0</v>
      </c>
      <c r="H955" s="971"/>
      <c r="I955" s="971"/>
      <c r="J955" s="971"/>
      <c r="K955" s="971"/>
      <c r="L955" s="971"/>
      <c r="M955" s="971"/>
      <c r="N955" s="971"/>
      <c r="O955" s="971"/>
      <c r="P955" s="1353"/>
      <c r="Q955" s="1353"/>
      <c r="R955" s="1353"/>
      <c r="S955" s="971"/>
      <c r="T955" s="971"/>
      <c r="U955" s="1398"/>
      <c r="V955" s="971"/>
      <c r="W955" s="971"/>
      <c r="X955" s="971"/>
      <c r="Y955" s="1353"/>
      <c r="Z955" s="1353"/>
      <c r="AA955" s="971"/>
      <c r="AB955" s="971"/>
      <c r="AC955" s="971"/>
      <c r="AD955" s="971"/>
    </row>
    <row r="956" spans="1:30" s="1355" customFormat="1" ht="15.75" customHeight="1" outlineLevel="1">
      <c r="A956" s="1442" t="s">
        <v>3378</v>
      </c>
      <c r="B956" s="920" t="str">
        <f t="shared" si="105"/>
        <v>м.п.</v>
      </c>
      <c r="C956" s="1442">
        <f t="shared" si="106"/>
        <v>0.4</v>
      </c>
      <c r="D956" s="1442">
        <f t="shared" si="106"/>
        <v>0.05</v>
      </c>
      <c r="E956" s="1442">
        <f>IF('Ввод данных'!$A$365=связи1!$A$96,IF(дома!E955&lt;связи1!$D$558,0,дома!E955-$D$881),0)+IF(дома!E955=0,0,IF('Ввод данных'!$A$365=связи1!$A$95,IF(дома!E955&lt;0,0,дома!E955-$D$881),0))+IF('Ввод данных'!$A$365=связи1!$A$98,IF(дома!E955&lt;связи1!$D$558,0,дома!E955-$D$881),0)</f>
        <v>0</v>
      </c>
      <c r="F956" s="1442">
        <f>2*VLOOKUP('Ввод данных'!$F$416,связи1!$A$2:$B$3,2,0)</f>
        <v>0</v>
      </c>
      <c r="G956" s="971">
        <f t="shared" si="104"/>
        <v>0</v>
      </c>
      <c r="H956" s="971"/>
      <c r="I956" s="971"/>
      <c r="J956" s="971"/>
      <c r="K956" s="971"/>
      <c r="L956" s="971"/>
      <c r="M956" s="971"/>
      <c r="N956" s="971"/>
      <c r="O956" s="971"/>
      <c r="P956" s="1353"/>
      <c r="Q956" s="1353"/>
      <c r="R956" s="1353"/>
      <c r="S956" s="971"/>
      <c r="T956" s="971"/>
      <c r="U956" s="1398"/>
      <c r="V956" s="971"/>
      <c r="W956" s="971"/>
      <c r="X956" s="971"/>
      <c r="Y956" s="1353"/>
      <c r="Z956" s="1353"/>
      <c r="AA956" s="971"/>
      <c r="AB956" s="971"/>
      <c r="AC956" s="971"/>
      <c r="AD956" s="971"/>
    </row>
    <row r="957" spans="1:30" s="1355" customFormat="1" ht="15.75" customHeight="1" outlineLevel="1">
      <c r="A957" s="1442" t="s">
        <v>3379</v>
      </c>
      <c r="B957" s="920" t="str">
        <f t="shared" si="105"/>
        <v>м.п.</v>
      </c>
      <c r="C957" s="1442">
        <f t="shared" si="106"/>
        <v>0.4</v>
      </c>
      <c r="D957" s="1442">
        <f t="shared" si="106"/>
        <v>0.05</v>
      </c>
      <c r="E957" s="1442">
        <f>IF('Ввод данных'!$A$365=связи1!$A$96,IF(дома!E956&lt;связи1!$D$558,0,дома!E956-$D$881),0)+IF(дома!E956=0,0,IF('Ввод данных'!$A$365=связи1!$A$95,IF(дома!E956&lt;0,0,дома!E956-$D$881),0))+IF('Ввод данных'!$A$365=связи1!$A$98,IF(дома!E956&lt;связи1!$D$558,0,дома!E956-$D$881),0)</f>
        <v>0</v>
      </c>
      <c r="F957" s="1442">
        <f>2*VLOOKUP('Ввод данных'!$F$416,связи1!$A$2:$B$3,2,0)</f>
        <v>0</v>
      </c>
      <c r="G957" s="971">
        <f t="shared" si="104"/>
        <v>0</v>
      </c>
      <c r="H957" s="971"/>
      <c r="I957" s="971"/>
      <c r="J957" s="971"/>
      <c r="K957" s="971"/>
      <c r="L957" s="971"/>
      <c r="M957" s="971"/>
      <c r="N957" s="971"/>
      <c r="O957" s="971"/>
      <c r="P957" s="1353"/>
      <c r="Q957" s="1353"/>
      <c r="R957" s="1353"/>
      <c r="S957" s="971"/>
      <c r="T957" s="971"/>
      <c r="U957" s="1398"/>
      <c r="V957" s="971"/>
      <c r="W957" s="971"/>
      <c r="X957" s="971"/>
      <c r="Y957" s="1353"/>
      <c r="Z957" s="1353"/>
      <c r="AA957" s="971"/>
      <c r="AB957" s="971"/>
      <c r="AC957" s="971"/>
      <c r="AD957" s="971"/>
    </row>
    <row r="958" spans="1:30" s="1355" customFormat="1" ht="15.75" customHeight="1" outlineLevel="1">
      <c r="A958" s="1442" t="s">
        <v>3380</v>
      </c>
      <c r="B958" s="920" t="str">
        <f t="shared" si="105"/>
        <v>м.п.</v>
      </c>
      <c r="C958" s="1442">
        <f t="shared" si="106"/>
        <v>0.4</v>
      </c>
      <c r="D958" s="1442">
        <f t="shared" si="106"/>
        <v>0.05</v>
      </c>
      <c r="E958" s="1442">
        <f>IF('Ввод данных'!$A$365=связи1!$A$96,IF(дома!E957&lt;связи1!$D$558,0,дома!E957-$D$881),0)+IF(дома!E957=0,0,IF('Ввод данных'!$A$365=связи1!$A$95,IF(дома!E957&lt;0,0,дома!E957-$D$881),0))+IF('Ввод данных'!$A$365=связи1!$A$98,IF(дома!E957&lt;связи1!$D$558,0,дома!E957-$D$881),0)</f>
        <v>0</v>
      </c>
      <c r="F958" s="1442">
        <f>2*VLOOKUP('Ввод данных'!$F$416,связи1!$A$2:$B$3,2,0)</f>
        <v>0</v>
      </c>
      <c r="G958" s="971">
        <f t="shared" si="104"/>
        <v>0</v>
      </c>
      <c r="H958" s="971"/>
      <c r="I958" s="971"/>
      <c r="J958" s="971"/>
      <c r="K958" s="971"/>
      <c r="L958" s="971"/>
      <c r="M958" s="971"/>
      <c r="N958" s="971"/>
      <c r="O958" s="971"/>
      <c r="P958" s="1353"/>
      <c r="Q958" s="1353"/>
      <c r="R958" s="1353"/>
      <c r="S958" s="971"/>
      <c r="T958" s="971"/>
      <c r="U958" s="1398"/>
      <c r="V958" s="971"/>
      <c r="W958" s="971"/>
      <c r="X958" s="971"/>
      <c r="Y958" s="1353"/>
      <c r="Z958" s="1353"/>
      <c r="AA958" s="971"/>
      <c r="AB958" s="971"/>
      <c r="AC958" s="971"/>
      <c r="AD958" s="971"/>
    </row>
    <row r="959" spans="1:30" s="1355" customFormat="1" ht="15.75" customHeight="1" outlineLevel="1">
      <c r="A959" s="1442" t="s">
        <v>3381</v>
      </c>
      <c r="B959" s="920" t="str">
        <f t="shared" si="105"/>
        <v>м.п.</v>
      </c>
      <c r="C959" s="1442">
        <f t="shared" si="106"/>
        <v>0.4</v>
      </c>
      <c r="D959" s="1442">
        <f t="shared" si="106"/>
        <v>0.05</v>
      </c>
      <c r="E959" s="1442">
        <f>IF('Ввод данных'!$A$365=связи1!$A$96,IF(дома!E958&lt;связи1!$D$558,0,дома!E958-$D$881),0)+IF(дома!E958=0,0,IF('Ввод данных'!$A$365=связи1!$A$95,IF(дома!E958&lt;0,0,дома!E958-$D$881),0))+IF('Ввод данных'!$A$365=связи1!$A$98,IF(дома!E958&lt;связи1!$D$558,0,дома!E958-$D$881),0)</f>
        <v>0</v>
      </c>
      <c r="F959" s="1442">
        <f>2*VLOOKUP('Ввод данных'!$F$416,связи1!$A$2:$B$3,2,0)</f>
        <v>0</v>
      </c>
      <c r="G959" s="971">
        <f t="shared" si="104"/>
        <v>0</v>
      </c>
      <c r="H959" s="971"/>
      <c r="I959" s="971"/>
      <c r="J959" s="971"/>
      <c r="K959" s="971"/>
      <c r="L959" s="971"/>
      <c r="M959" s="971"/>
      <c r="N959" s="971"/>
      <c r="O959" s="971"/>
      <c r="P959" s="1353"/>
      <c r="Q959" s="1353"/>
      <c r="R959" s="1353"/>
      <c r="S959" s="971"/>
      <c r="T959" s="971"/>
      <c r="U959" s="1398"/>
      <c r="V959" s="971"/>
      <c r="W959" s="971"/>
      <c r="X959" s="971"/>
      <c r="Y959" s="1353"/>
      <c r="Z959" s="1353"/>
      <c r="AA959" s="971"/>
      <c r="AB959" s="971"/>
      <c r="AC959" s="971"/>
      <c r="AD959" s="971"/>
    </row>
    <row r="960" spans="1:30" s="1355" customFormat="1" ht="15.75" customHeight="1" outlineLevel="1">
      <c r="A960" s="1442" t="s">
        <v>3382</v>
      </c>
      <c r="B960" s="920" t="str">
        <f t="shared" si="105"/>
        <v>м.п.</v>
      </c>
      <c r="C960" s="1442">
        <f t="shared" si="106"/>
        <v>0.4</v>
      </c>
      <c r="D960" s="1442">
        <f t="shared" si="106"/>
        <v>0.05</v>
      </c>
      <c r="E960" s="1442">
        <f>IF('Ввод данных'!$A$365=связи1!$A$96,IF(дома!E959&lt;связи1!$D$558,0,дома!E959-$D$881),0)+IF(дома!E959=0,0,IF('Ввод данных'!$A$365=связи1!$A$95,IF(дома!E959&lt;0,0,дома!E959-$D$881),0))+IF('Ввод данных'!$A$365=связи1!$A$98,IF(дома!E959&lt;связи1!$D$558,0,дома!E959-$D$881),0)</f>
        <v>0</v>
      </c>
      <c r="F960" s="1442">
        <f>2*VLOOKUP('Ввод данных'!$F$416,связи1!$A$2:$B$3,2,0)</f>
        <v>0</v>
      </c>
      <c r="G960" s="971">
        <f t="shared" si="104"/>
        <v>0</v>
      </c>
      <c r="H960" s="971"/>
      <c r="I960" s="971"/>
      <c r="J960" s="971"/>
      <c r="K960" s="971"/>
      <c r="L960" s="971"/>
      <c r="M960" s="971"/>
      <c r="N960" s="971"/>
      <c r="O960" s="971"/>
      <c r="P960" s="1353"/>
      <c r="Q960" s="1353"/>
      <c r="R960" s="1353"/>
      <c r="S960" s="971"/>
      <c r="T960" s="971"/>
      <c r="U960" s="1398"/>
      <c r="V960" s="971"/>
      <c r="W960" s="971"/>
      <c r="X960" s="971"/>
      <c r="Y960" s="1353"/>
      <c r="Z960" s="1353"/>
      <c r="AA960" s="971"/>
      <c r="AB960" s="971"/>
      <c r="AC960" s="971"/>
      <c r="AD960" s="971"/>
    </row>
    <row r="961" spans="1:30" s="1355" customFormat="1" ht="15.75" customHeight="1" outlineLevel="1">
      <c r="A961" s="1442" t="s">
        <v>3383</v>
      </c>
      <c r="B961" s="920" t="str">
        <f t="shared" si="105"/>
        <v>м.п.</v>
      </c>
      <c r="C961" s="1442">
        <f t="shared" si="106"/>
        <v>0.4</v>
      </c>
      <c r="D961" s="1442">
        <f t="shared" si="106"/>
        <v>0.05</v>
      </c>
      <c r="E961" s="1442">
        <f>IF('Ввод данных'!$A$365=связи1!$A$96,IF(дома!E960&lt;связи1!$D$558,0,дома!E960-$D$881),0)+IF(дома!E960=0,0,IF('Ввод данных'!$A$365=связи1!$A$95,IF(дома!E960&lt;0,0,дома!E960-$D$881),0))+IF('Ввод данных'!$A$365=связи1!$A$98,IF(дома!E960&lt;связи1!$D$558,0,дома!E960-$D$881),0)</f>
        <v>0</v>
      </c>
      <c r="F961" s="1442">
        <f>2*VLOOKUP('Ввод данных'!$F$416,связи1!$A$2:$B$3,2,0)</f>
        <v>0</v>
      </c>
      <c r="G961" s="971">
        <f t="shared" si="104"/>
        <v>0</v>
      </c>
      <c r="H961" s="971"/>
      <c r="I961" s="971"/>
      <c r="J961" s="971"/>
      <c r="K961" s="971"/>
      <c r="L961" s="971"/>
      <c r="M961" s="971"/>
      <c r="N961" s="971"/>
      <c r="O961" s="971"/>
      <c r="P961" s="1353"/>
      <c r="Q961" s="1353"/>
      <c r="R961" s="1353"/>
      <c r="S961" s="971"/>
      <c r="T961" s="971"/>
      <c r="U961" s="1398"/>
      <c r="V961" s="971"/>
      <c r="W961" s="971"/>
      <c r="X961" s="971"/>
      <c r="Y961" s="1353"/>
      <c r="Z961" s="1353"/>
      <c r="AA961" s="971"/>
      <c r="AB961" s="971"/>
      <c r="AC961" s="971"/>
      <c r="AD961" s="971"/>
    </row>
    <row r="962" spans="1:30" s="1355" customFormat="1" ht="15.75" customHeight="1" outlineLevel="1">
      <c r="A962" s="1442" t="s">
        <v>3384</v>
      </c>
      <c r="B962" s="920" t="str">
        <f t="shared" si="105"/>
        <v>м.п.</v>
      </c>
      <c r="C962" s="1442">
        <f t="shared" si="106"/>
        <v>0.4</v>
      </c>
      <c r="D962" s="1442">
        <f t="shared" si="106"/>
        <v>0.05</v>
      </c>
      <c r="E962" s="1442">
        <f>IF('Ввод данных'!$A$365=связи1!$A$96,IF(дома!E961&lt;связи1!$D$558,0,дома!E961-$D$881),0)+IF(дома!E961=0,0,IF('Ввод данных'!$A$365=связи1!$A$95,IF(дома!E961&lt;0,0,дома!E961-$D$881),0))+IF('Ввод данных'!$A$365=связи1!$A$98,IF(дома!E961&lt;связи1!$D$558,0,дома!E961-$D$881),0)</f>
        <v>0</v>
      </c>
      <c r="F962" s="1442">
        <f>2*VLOOKUP('Ввод данных'!$F$416,связи1!$A$2:$B$3,2,0)</f>
        <v>0</v>
      </c>
      <c r="G962" s="971">
        <f t="shared" si="104"/>
        <v>0</v>
      </c>
      <c r="H962" s="971"/>
      <c r="I962" s="971"/>
      <c r="J962" s="971"/>
      <c r="K962" s="971"/>
      <c r="L962" s="971"/>
      <c r="M962" s="971"/>
      <c r="N962" s="971"/>
      <c r="O962" s="971"/>
      <c r="P962" s="1353"/>
      <c r="Q962" s="1353"/>
      <c r="R962" s="1353"/>
      <c r="S962" s="971"/>
      <c r="T962" s="971"/>
      <c r="U962" s="1398"/>
      <c r="V962" s="971"/>
      <c r="W962" s="971"/>
      <c r="X962" s="971"/>
      <c r="Y962" s="1353"/>
      <c r="Z962" s="1353"/>
      <c r="AA962" s="971"/>
      <c r="AB962" s="971"/>
      <c r="AC962" s="971"/>
      <c r="AD962" s="971"/>
    </row>
    <row r="963" spans="1:30" s="1355" customFormat="1" ht="15.75" customHeight="1" outlineLevel="1">
      <c r="A963" s="1442" t="s">
        <v>3385</v>
      </c>
      <c r="B963" s="920" t="str">
        <f t="shared" si="105"/>
        <v>м.п.</v>
      </c>
      <c r="C963" s="1442">
        <f t="shared" si="106"/>
        <v>0.4</v>
      </c>
      <c r="D963" s="1442">
        <f t="shared" si="106"/>
        <v>0.05</v>
      </c>
      <c r="E963" s="1442">
        <f>IF('Ввод данных'!$A$365=связи1!$A$96,IF(дома!E962&lt;связи1!$D$558,0,дома!E962-$D$881),0)+IF(дома!E962=0,0,IF('Ввод данных'!$A$365=связи1!$A$95,IF(дома!E962&lt;0,0,дома!E962-$D$881),0))+IF('Ввод данных'!$A$365=связи1!$A$98,IF(дома!E962&lt;связи1!$D$558,0,дома!E962-$D$881),0)</f>
        <v>0</v>
      </c>
      <c r="F963" s="1442">
        <f>2*VLOOKUP('Ввод данных'!$F$416,связи1!$A$2:$B$3,2,0)</f>
        <v>0</v>
      </c>
      <c r="G963" s="971">
        <f t="shared" si="104"/>
        <v>0</v>
      </c>
      <c r="H963" s="971"/>
      <c r="I963" s="971"/>
      <c r="J963" s="971"/>
      <c r="K963" s="971"/>
      <c r="L963" s="971"/>
      <c r="M963" s="971"/>
      <c r="N963" s="971"/>
      <c r="O963" s="971"/>
      <c r="P963" s="1353"/>
      <c r="Q963" s="1353"/>
      <c r="R963" s="1353"/>
      <c r="S963" s="971"/>
      <c r="T963" s="971"/>
      <c r="U963" s="1398"/>
      <c r="V963" s="971"/>
      <c r="W963" s="971"/>
      <c r="X963" s="971"/>
      <c r="Y963" s="1353"/>
      <c r="Z963" s="1353"/>
      <c r="AA963" s="971"/>
      <c r="AB963" s="971"/>
      <c r="AC963" s="971"/>
      <c r="AD963" s="971"/>
    </row>
    <row r="964" spans="1:30" s="1355" customFormat="1" ht="15.75" customHeight="1" outlineLevel="1">
      <c r="A964" s="1442" t="s">
        <v>3386</v>
      </c>
      <c r="B964" s="920" t="str">
        <f t="shared" si="105"/>
        <v>м.п.</v>
      </c>
      <c r="C964" s="1442">
        <f t="shared" si="106"/>
        <v>0.4</v>
      </c>
      <c r="D964" s="1442">
        <f t="shared" si="106"/>
        <v>0.05</v>
      </c>
      <c r="E964" s="1442">
        <f>IF('Ввод данных'!$A$365=связи1!$A$96,IF(дома!E963&lt;связи1!$D$558,0,дома!E963-$D$881),0)+IF(дома!E963=0,0,IF('Ввод данных'!$A$365=связи1!$A$95,IF(дома!E963&lt;0,0,дома!E963-$D$881),0))+IF('Ввод данных'!$A$365=связи1!$A$98,IF(дома!E963&lt;связи1!$D$558,0,дома!E963-$D$881),0)</f>
        <v>0</v>
      </c>
      <c r="F964" s="1442">
        <f>2*VLOOKUP('Ввод данных'!$F$416,связи1!$A$2:$B$3,2,0)</f>
        <v>0</v>
      </c>
      <c r="G964" s="971">
        <f t="shared" si="104"/>
        <v>0</v>
      </c>
      <c r="H964" s="971"/>
      <c r="I964" s="971"/>
      <c r="J964" s="971"/>
      <c r="K964" s="971"/>
      <c r="L964" s="971"/>
      <c r="M964" s="971"/>
      <c r="N964" s="971"/>
      <c r="O964" s="971"/>
      <c r="P964" s="1353"/>
      <c r="Q964" s="1353"/>
      <c r="R964" s="1353"/>
      <c r="S964" s="971"/>
      <c r="T964" s="971"/>
      <c r="U964" s="1398"/>
      <c r="V964" s="971"/>
      <c r="W964" s="971"/>
      <c r="X964" s="971"/>
      <c r="Y964" s="1353"/>
      <c r="Z964" s="1353"/>
      <c r="AA964" s="971"/>
      <c r="AB964" s="971"/>
      <c r="AC964" s="971"/>
      <c r="AD964" s="971"/>
    </row>
    <row r="965" spans="1:30" s="1355" customFormat="1" ht="15.75" customHeight="1" outlineLevel="1">
      <c r="A965" s="1442" t="s">
        <v>3387</v>
      </c>
      <c r="B965" s="920" t="str">
        <f t="shared" si="105"/>
        <v>м.п.</v>
      </c>
      <c r="C965" s="1442">
        <f t="shared" si="106"/>
        <v>0.4</v>
      </c>
      <c r="D965" s="1442">
        <f t="shared" si="106"/>
        <v>0.05</v>
      </c>
      <c r="E965" s="1442">
        <f>IF('Ввод данных'!$A$365=связи1!$A$96,IF(дома!E964&lt;связи1!$D$558,0,дома!E964-$D$881),0)+IF(дома!E964=0,0,IF('Ввод данных'!$A$365=связи1!$A$95,IF(дома!E964&lt;0,0,дома!E964-$D$881),0))+IF('Ввод данных'!$A$365=связи1!$A$98,IF(дома!E964&lt;связи1!$D$558,0,дома!E964-$D$881),0)</f>
        <v>0</v>
      </c>
      <c r="F965" s="1442">
        <f>2*VLOOKUP('Ввод данных'!$F$416,связи1!$A$2:$B$3,2,0)</f>
        <v>0</v>
      </c>
      <c r="G965" s="971">
        <f t="shared" si="104"/>
        <v>0</v>
      </c>
      <c r="H965" s="971"/>
      <c r="I965" s="971"/>
      <c r="J965" s="971"/>
      <c r="K965" s="971"/>
      <c r="L965" s="971"/>
      <c r="M965" s="971"/>
      <c r="N965" s="971"/>
      <c r="O965" s="971"/>
      <c r="P965" s="1353"/>
      <c r="Q965" s="1353"/>
      <c r="R965" s="1353"/>
      <c r="S965" s="971"/>
      <c r="T965" s="971"/>
      <c r="U965" s="1398"/>
      <c r="V965" s="971"/>
      <c r="W965" s="971"/>
      <c r="X965" s="971"/>
      <c r="Y965" s="1353"/>
      <c r="Z965" s="1353"/>
      <c r="AA965" s="971"/>
      <c r="AB965" s="971"/>
      <c r="AC965" s="971"/>
      <c r="AD965" s="971"/>
    </row>
    <row r="966" spans="1:30" s="1355" customFormat="1" ht="15.75" customHeight="1" outlineLevel="1">
      <c r="A966" s="1442" t="s">
        <v>3388</v>
      </c>
      <c r="B966" s="920" t="str">
        <f t="shared" si="105"/>
        <v>м.п.</v>
      </c>
      <c r="C966" s="1442">
        <f t="shared" ref="C966:D985" si="107">C504</f>
        <v>0.4</v>
      </c>
      <c r="D966" s="1442">
        <f t="shared" si="107"/>
        <v>0.05</v>
      </c>
      <c r="E966" s="1442">
        <f>IF('Ввод данных'!$A$365=связи1!$A$96,IF(дома!E965&lt;связи1!$D$558,0,дома!E965-$D$881),0)+IF(дома!E965=0,0,IF('Ввод данных'!$A$365=связи1!$A$95,IF(дома!E965&lt;0,0,дома!E965-$D$881),0))+IF('Ввод данных'!$A$365=связи1!$A$98,IF(дома!E965&lt;связи1!$D$558,0,дома!E965-$D$881),0)</f>
        <v>0</v>
      </c>
      <c r="F966" s="1442">
        <f>2*VLOOKUP('Ввод данных'!$F$416,связи1!$A$2:$B$3,2,0)</f>
        <v>0</v>
      </c>
      <c r="G966" s="971">
        <f t="shared" si="104"/>
        <v>0</v>
      </c>
      <c r="H966" s="971"/>
      <c r="I966" s="971"/>
      <c r="J966" s="971"/>
      <c r="K966" s="971"/>
      <c r="L966" s="971"/>
      <c r="M966" s="971"/>
      <c r="N966" s="971"/>
      <c r="O966" s="971"/>
      <c r="P966" s="1353"/>
      <c r="Q966" s="1353"/>
      <c r="R966" s="1353"/>
      <c r="S966" s="971"/>
      <c r="T966" s="971"/>
      <c r="U966" s="1398"/>
      <c r="V966" s="971"/>
      <c r="W966" s="971"/>
      <c r="X966" s="971"/>
      <c r="Y966" s="1353"/>
      <c r="Z966" s="1353"/>
      <c r="AA966" s="971"/>
      <c r="AB966" s="971"/>
      <c r="AC966" s="971"/>
      <c r="AD966" s="971"/>
    </row>
    <row r="967" spans="1:30" s="1355" customFormat="1" ht="15.75" customHeight="1" outlineLevel="1">
      <c r="A967" s="1442" t="s">
        <v>3389</v>
      </c>
      <c r="B967" s="920" t="str">
        <f t="shared" si="105"/>
        <v>м.п.</v>
      </c>
      <c r="C967" s="1442">
        <f t="shared" si="107"/>
        <v>0.4</v>
      </c>
      <c r="D967" s="1442">
        <f t="shared" si="107"/>
        <v>0.05</v>
      </c>
      <c r="E967" s="1442">
        <f>IF('Ввод данных'!$A$365=связи1!$A$96,IF(дома!E966&lt;связи1!$D$558,0,дома!E966-$D$881),0)+IF(дома!E966=0,0,IF('Ввод данных'!$A$365=связи1!$A$95,IF(дома!E966&lt;0,0,дома!E966-$D$881),0))+IF('Ввод данных'!$A$365=связи1!$A$98,IF(дома!E966&lt;связи1!$D$558,0,дома!E966-$D$881),0)</f>
        <v>0</v>
      </c>
      <c r="F967" s="1442">
        <f>2*VLOOKUP('Ввод данных'!$F$416,связи1!$A$2:$B$3,2,0)</f>
        <v>0</v>
      </c>
      <c r="G967" s="971">
        <f t="shared" si="104"/>
        <v>0</v>
      </c>
      <c r="H967" s="971"/>
      <c r="I967" s="971"/>
      <c r="J967" s="971"/>
      <c r="K967" s="971"/>
      <c r="L967" s="971"/>
      <c r="M967" s="971"/>
      <c r="N967" s="971"/>
      <c r="O967" s="971"/>
      <c r="P967" s="1353"/>
      <c r="Q967" s="1353"/>
      <c r="R967" s="1353"/>
      <c r="S967" s="971"/>
      <c r="T967" s="971"/>
      <c r="U967" s="1398"/>
      <c r="V967" s="971"/>
      <c r="W967" s="971"/>
      <c r="X967" s="971"/>
      <c r="Y967" s="1353"/>
      <c r="Z967" s="1353"/>
      <c r="AA967" s="971"/>
      <c r="AB967" s="971"/>
      <c r="AC967" s="971"/>
      <c r="AD967" s="971"/>
    </row>
    <row r="968" spans="1:30" s="1355" customFormat="1" ht="15.75" customHeight="1" outlineLevel="1">
      <c r="A968" s="1442">
        <f>A506</f>
        <v>0</v>
      </c>
      <c r="B968" s="920">
        <f t="shared" si="105"/>
        <v>0</v>
      </c>
      <c r="C968" s="1442">
        <f t="shared" si="107"/>
        <v>0</v>
      </c>
      <c r="D968" s="1442">
        <f t="shared" si="107"/>
        <v>0</v>
      </c>
      <c r="E968" s="1442"/>
      <c r="F968" s="1442"/>
      <c r="G968" s="971">
        <f t="shared" si="104"/>
        <v>0</v>
      </c>
      <c r="H968" s="971"/>
      <c r="I968" s="971"/>
      <c r="J968" s="971"/>
      <c r="K968" s="971"/>
      <c r="L968" s="971"/>
      <c r="M968" s="971"/>
      <c r="N968" s="971"/>
      <c r="O968" s="971"/>
      <c r="P968" s="1353"/>
      <c r="Q968" s="1353"/>
      <c r="R968" s="1353"/>
      <c r="S968" s="971"/>
      <c r="T968" s="971"/>
      <c r="U968" s="1398"/>
      <c r="V968" s="971"/>
      <c r="W968" s="971"/>
      <c r="X968" s="971"/>
      <c r="Y968" s="1353"/>
      <c r="Z968" s="1353"/>
      <c r="AA968" s="971"/>
      <c r="AB968" s="971"/>
      <c r="AC968" s="971"/>
      <c r="AD968" s="971"/>
    </row>
    <row r="969" spans="1:30" s="1355" customFormat="1" ht="15.75" customHeight="1" outlineLevel="1">
      <c r="A969" s="1447" t="s">
        <v>3391</v>
      </c>
      <c r="B969" s="1449" t="str">
        <f t="shared" si="105"/>
        <v>ед.изм</v>
      </c>
      <c r="C969" s="1447" t="str">
        <f t="shared" si="107"/>
        <v>ширина</v>
      </c>
      <c r="D969" s="1447" t="str">
        <f t="shared" si="107"/>
        <v>толщина</v>
      </c>
      <c r="E969" s="1447" t="str">
        <f>E507</f>
        <v>высота</v>
      </c>
      <c r="F969" s="1447" t="str">
        <f>F507</f>
        <v>кол-во</v>
      </c>
      <c r="G969" s="971"/>
      <c r="H969" s="971"/>
      <c r="I969" s="971"/>
      <c r="J969" s="971"/>
      <c r="K969" s="971"/>
      <c r="L969" s="971"/>
      <c r="M969" s="971"/>
      <c r="N969" s="971"/>
      <c r="O969" s="971"/>
      <c r="P969" s="1353"/>
      <c r="Q969" s="1353"/>
      <c r="R969" s="1353"/>
      <c r="S969" s="971"/>
      <c r="T969" s="971"/>
      <c r="U969" s="1398"/>
      <c r="V969" s="971"/>
      <c r="W969" s="971"/>
      <c r="X969" s="971"/>
      <c r="Y969" s="1353"/>
      <c r="Z969" s="1353"/>
      <c r="AA969" s="971"/>
      <c r="AB969" s="971"/>
      <c r="AC969" s="971"/>
      <c r="AD969" s="971"/>
    </row>
    <row r="970" spans="1:30" s="1355" customFormat="1" ht="15.75" customHeight="1" outlineLevel="1">
      <c r="A970" s="1442" t="s">
        <v>3352</v>
      </c>
      <c r="B970" s="920" t="str">
        <f t="shared" si="105"/>
        <v>м.п.</v>
      </c>
      <c r="C970" s="1442">
        <f t="shared" si="107"/>
        <v>0.4</v>
      </c>
      <c r="D970" s="1442">
        <f t="shared" si="107"/>
        <v>0.05</v>
      </c>
      <c r="E970" s="1442">
        <f>E868</f>
        <v>2.9</v>
      </c>
      <c r="F970" s="1442">
        <f>L868*VLOOKUP('Ввод данных'!F416,связи1!A2:B3,2,0)</f>
        <v>0</v>
      </c>
      <c r="G970" s="971">
        <f t="shared" ref="G970:G1010" si="108">C970*D970*E970*F970</f>
        <v>0</v>
      </c>
      <c r="H970" s="971"/>
      <c r="I970" s="971"/>
      <c r="J970" s="971"/>
      <c r="K970" s="971"/>
      <c r="L970" s="971"/>
      <c r="M970" s="971"/>
      <c r="N970" s="971"/>
      <c r="O970" s="971"/>
      <c r="P970" s="1353"/>
      <c r="Q970" s="1353"/>
      <c r="R970" s="1353"/>
      <c r="S970" s="971"/>
      <c r="T970" s="971"/>
      <c r="U970" s="1398"/>
      <c r="V970" s="971"/>
      <c r="W970" s="971"/>
      <c r="X970" s="971"/>
      <c r="Y970" s="1353"/>
      <c r="Z970" s="1353"/>
      <c r="AA970" s="971"/>
      <c r="AB970" s="971"/>
      <c r="AC970" s="971"/>
      <c r="AD970" s="971"/>
    </row>
    <row r="971" spans="1:30" s="1355" customFormat="1" ht="15.75" customHeight="1" outlineLevel="1">
      <c r="A971" s="1442" t="s">
        <v>3353</v>
      </c>
      <c r="B971" s="920" t="str">
        <f t="shared" si="105"/>
        <v>м.п.</v>
      </c>
      <c r="C971" s="1442">
        <f t="shared" si="107"/>
        <v>0.4</v>
      </c>
      <c r="D971" s="1442">
        <f t="shared" si="107"/>
        <v>0.05</v>
      </c>
      <c r="E971" s="1442">
        <f>E869</f>
        <v>1.5</v>
      </c>
      <c r="F971" s="1442">
        <f>L869*VLOOKUP('Ввод данных'!F416,связи1!A2:B3,2,0)</f>
        <v>0</v>
      </c>
      <c r="G971" s="971">
        <f t="shared" si="108"/>
        <v>0</v>
      </c>
      <c r="H971" s="971"/>
      <c r="I971" s="971"/>
      <c r="J971" s="971"/>
      <c r="K971" s="971"/>
      <c r="L971" s="971"/>
      <c r="M971" s="971"/>
      <c r="N971" s="971"/>
      <c r="O971" s="971"/>
      <c r="P971" s="1353"/>
      <c r="Q971" s="1353"/>
      <c r="R971" s="1353"/>
      <c r="S971" s="971"/>
      <c r="T971" s="971"/>
      <c r="U971" s="1398"/>
      <c r="V971" s="971"/>
      <c r="W971" s="971"/>
      <c r="X971" s="971"/>
      <c r="Y971" s="1353"/>
      <c r="Z971" s="1353"/>
      <c r="AA971" s="971"/>
      <c r="AB971" s="971"/>
      <c r="AC971" s="971"/>
      <c r="AD971" s="971"/>
    </row>
    <row r="972" spans="1:30" s="1355" customFormat="1" ht="15.75" customHeight="1" outlineLevel="1">
      <c r="A972" s="1442" t="s">
        <v>3354</v>
      </c>
      <c r="B972" s="920" t="str">
        <f t="shared" si="105"/>
        <v>м.п.</v>
      </c>
      <c r="C972" s="1442">
        <f t="shared" si="107"/>
        <v>0.4</v>
      </c>
      <c r="D972" s="1442">
        <f t="shared" si="107"/>
        <v>0.05</v>
      </c>
      <c r="E972" s="1442">
        <f>E870</f>
        <v>1.5</v>
      </c>
      <c r="F972" s="1442">
        <f>L870*VLOOKUP('Ввод данных'!F416,связи1!A2:B3,2,0)</f>
        <v>0</v>
      </c>
      <c r="G972" s="971">
        <f t="shared" si="108"/>
        <v>0</v>
      </c>
      <c r="H972" s="971"/>
      <c r="I972" s="971"/>
      <c r="J972" s="971"/>
      <c r="K972" s="971"/>
      <c r="L972" s="971"/>
      <c r="M972" s="971"/>
      <c r="N972" s="971"/>
      <c r="O972" s="971"/>
      <c r="P972" s="1353"/>
      <c r="Q972" s="1353"/>
      <c r="R972" s="1353"/>
      <c r="S972" s="971"/>
      <c r="T972" s="971"/>
      <c r="U972" s="1398"/>
      <c r="V972" s="971"/>
      <c r="W972" s="971"/>
      <c r="X972" s="971"/>
      <c r="Y972" s="1353"/>
      <c r="Z972" s="1353"/>
      <c r="AA972" s="971"/>
      <c r="AB972" s="971"/>
      <c r="AC972" s="971"/>
      <c r="AD972" s="971"/>
    </row>
    <row r="973" spans="1:30" s="1355" customFormat="1" ht="15.75" customHeight="1" outlineLevel="1">
      <c r="A973" s="1442" t="s">
        <v>3270</v>
      </c>
      <c r="B973" s="920" t="str">
        <f t="shared" si="105"/>
        <v>м.п.</v>
      </c>
      <c r="C973" s="1442">
        <f t="shared" si="107"/>
        <v>0.4</v>
      </c>
      <c r="D973" s="1442">
        <f t="shared" si="107"/>
        <v>0.05</v>
      </c>
      <c r="E973" s="1442">
        <f>1</f>
        <v>1</v>
      </c>
      <c r="F973" s="1442">
        <f>P871*VLOOKUP('Ввод данных'!F416,связи1!A2:B3,2,0)+Q871*VLOOKUP('Ввод данных'!F416,связи1!A2:B3,2,0)</f>
        <v>0</v>
      </c>
      <c r="G973" s="971">
        <f t="shared" si="108"/>
        <v>0</v>
      </c>
      <c r="H973" s="971"/>
      <c r="I973" s="971"/>
      <c r="J973" s="971"/>
      <c r="K973" s="971"/>
      <c r="L973" s="971"/>
      <c r="M973" s="971"/>
      <c r="N973" s="971"/>
      <c r="O973" s="971"/>
      <c r="P973" s="1353"/>
      <c r="Q973" s="1353"/>
      <c r="R973" s="1353"/>
      <c r="S973" s="971"/>
      <c r="T973" s="971"/>
      <c r="U973" s="1398"/>
      <c r="V973" s="971"/>
      <c r="W973" s="971"/>
      <c r="X973" s="971"/>
      <c r="Y973" s="1353"/>
      <c r="Z973" s="1353"/>
      <c r="AA973" s="971"/>
      <c r="AB973" s="971"/>
      <c r="AC973" s="971"/>
      <c r="AD973" s="971"/>
    </row>
    <row r="974" spans="1:30" s="1355" customFormat="1" ht="15.75" customHeight="1" outlineLevel="1">
      <c r="A974" s="1442" t="s">
        <v>3271</v>
      </c>
      <c r="B974" s="920" t="str">
        <f t="shared" si="105"/>
        <v>м.п.</v>
      </c>
      <c r="C974" s="1442">
        <f t="shared" si="107"/>
        <v>0.4</v>
      </c>
      <c r="D974" s="1442">
        <f t="shared" si="107"/>
        <v>0.05</v>
      </c>
      <c r="E974" s="1442">
        <f>1</f>
        <v>1</v>
      </c>
      <c r="F974" s="1442">
        <f>R871*VLOOKUP('Ввод данных'!F416,связи1!A2:B3,2,0)</f>
        <v>0</v>
      </c>
      <c r="G974" s="971">
        <f t="shared" si="108"/>
        <v>0</v>
      </c>
      <c r="H974" s="971"/>
      <c r="I974" s="971"/>
      <c r="J974" s="971"/>
      <c r="K974" s="971"/>
      <c r="L974" s="971"/>
      <c r="M974" s="971"/>
      <c r="N974" s="971"/>
      <c r="O974" s="971"/>
      <c r="P974" s="1353"/>
      <c r="Q974" s="1353"/>
      <c r="R974" s="1353"/>
      <c r="S974" s="971"/>
      <c r="T974" s="971"/>
      <c r="U974" s="1398"/>
      <c r="V974" s="971"/>
      <c r="W974" s="971"/>
      <c r="X974" s="971"/>
      <c r="Y974" s="1353"/>
      <c r="Z974" s="1353"/>
      <c r="AA974" s="971"/>
      <c r="AB974" s="971"/>
      <c r="AC974" s="971"/>
      <c r="AD974" s="971"/>
    </row>
    <row r="975" spans="1:30" s="1355" customFormat="1" ht="15.75" customHeight="1" outlineLevel="1">
      <c r="A975" s="1442" t="s">
        <v>3355</v>
      </c>
      <c r="B975" s="920" t="str">
        <f t="shared" si="105"/>
        <v>м.п.</v>
      </c>
      <c r="C975" s="1442">
        <f t="shared" si="107"/>
        <v>0.4</v>
      </c>
      <c r="D975" s="1442">
        <f t="shared" si="107"/>
        <v>0.05</v>
      </c>
      <c r="E975" s="1442">
        <v>1.5</v>
      </c>
      <c r="F975" s="1442">
        <f>8*VLOOKUP('Ввод данных'!F416,связи1!A2:B3,2,0)</f>
        <v>0</v>
      </c>
      <c r="G975" s="971">
        <f t="shared" si="108"/>
        <v>0</v>
      </c>
      <c r="H975" s="971"/>
      <c r="I975" s="971"/>
      <c r="J975" s="971"/>
      <c r="K975" s="971"/>
      <c r="L975" s="971"/>
      <c r="M975" s="971"/>
      <c r="N975" s="971"/>
      <c r="O975" s="971"/>
      <c r="P975" s="1353"/>
      <c r="Q975" s="1353"/>
      <c r="R975" s="1353"/>
      <c r="S975" s="971"/>
      <c r="T975" s="971"/>
      <c r="U975" s="1398"/>
      <c r="V975" s="971"/>
      <c r="W975" s="971"/>
      <c r="X975" s="971"/>
      <c r="Y975" s="1353"/>
      <c r="Z975" s="1353"/>
      <c r="AA975" s="971"/>
      <c r="AB975" s="971"/>
      <c r="AC975" s="971"/>
      <c r="AD975" s="971"/>
    </row>
    <row r="976" spans="1:30" s="1355" customFormat="1" ht="15.75" customHeight="1" outlineLevel="1">
      <c r="A976" s="1442" t="s">
        <v>3356</v>
      </c>
      <c r="B976" s="920" t="str">
        <f t="shared" ref="B976:B1007" si="109">B514</f>
        <v>м.п.</v>
      </c>
      <c r="C976" s="1442">
        <f t="shared" si="107"/>
        <v>0.4</v>
      </c>
      <c r="D976" s="1442">
        <f t="shared" si="107"/>
        <v>0.05</v>
      </c>
      <c r="E976" s="1442">
        <f>IF('Ввод данных'!A368=связи1!A106,IF('Ввод данных'!A369=связи1!A94,0,0)+IF('Ввод данных'!A369=связи1!A95,связи1!E557-связи1!E556,0)+IF('Ввод данных'!A369=связи1!A96,связи1!E557,0)+IF('Ввод данных'!A369=связи1!A97,0,0)+IF('Ввод данных'!A369=связи1!A98,связи1!E557,0),0)</f>
        <v>0</v>
      </c>
      <c r="F976" s="1442">
        <f>2*VLOOKUP('Ввод данных'!$F$416,связи1!$A$2:$B$3,2,0)</f>
        <v>0</v>
      </c>
      <c r="G976" s="971">
        <f t="shared" si="108"/>
        <v>0</v>
      </c>
      <c r="H976" s="971"/>
      <c r="I976" s="971"/>
      <c r="J976" s="971"/>
      <c r="K976" s="971"/>
      <c r="L976" s="971"/>
      <c r="M976" s="971"/>
      <c r="N976" s="971"/>
      <c r="O976" s="971"/>
      <c r="P976" s="1353"/>
      <c r="Q976" s="1353"/>
      <c r="R976" s="1353"/>
      <c r="S976" s="971"/>
      <c r="T976" s="971"/>
      <c r="U976" s="1398"/>
      <c r="V976" s="971"/>
      <c r="W976" s="971"/>
      <c r="X976" s="971"/>
      <c r="Y976" s="1353"/>
      <c r="Z976" s="1353"/>
      <c r="AA976" s="971"/>
      <c r="AB976" s="971"/>
      <c r="AC976" s="971"/>
      <c r="AD976" s="971"/>
    </row>
    <row r="977" spans="1:30" s="1355" customFormat="1" ht="15.75" customHeight="1" outlineLevel="1">
      <c r="A977" s="1442" t="s">
        <v>3357</v>
      </c>
      <c r="B977" s="920" t="str">
        <f t="shared" si="109"/>
        <v>м.п.</v>
      </c>
      <c r="C977" s="1442">
        <f t="shared" si="107"/>
        <v>0.4</v>
      </c>
      <c r="D977" s="1442">
        <f t="shared" si="107"/>
        <v>0.05</v>
      </c>
      <c r="E977" s="1442">
        <f>IF('Ввод данных'!$A$369=связи1!$A$96,IF(дома!E976&lt;связи1!$E$558,0,дома!E976-$E$881),0)+IF(дома!E976=0,0,IF('Ввод данных'!$A$369=связи1!$A$95,IF(дома!E976&lt;0,0,дома!E976-$E$881),0))+IF('Ввод данных'!$A$369=связи1!$A$98,IF(дома!E976&lt;связи1!$E$558,0,дома!E976-$E$881),0)</f>
        <v>0</v>
      </c>
      <c r="F977" s="1442">
        <f>2*VLOOKUP('Ввод данных'!$F$416,связи1!$A$2:$B$3,2,0)</f>
        <v>0</v>
      </c>
      <c r="G977" s="971">
        <f t="shared" si="108"/>
        <v>0</v>
      </c>
      <c r="H977" s="971"/>
      <c r="I977" s="971"/>
      <c r="J977" s="971"/>
      <c r="K977" s="971"/>
      <c r="L977" s="971"/>
      <c r="M977" s="971"/>
      <c r="N977" s="971"/>
      <c r="O977" s="971"/>
      <c r="P977" s="1353"/>
      <c r="Q977" s="1353"/>
      <c r="R977" s="1353"/>
      <c r="S977" s="971"/>
      <c r="T977" s="971"/>
      <c r="U977" s="1398"/>
      <c r="V977" s="971"/>
      <c r="W977" s="971"/>
      <c r="X977" s="971"/>
      <c r="Y977" s="1353"/>
      <c r="Z977" s="1353"/>
      <c r="AA977" s="971"/>
      <c r="AB977" s="971"/>
      <c r="AC977" s="971"/>
      <c r="AD977" s="971"/>
    </row>
    <row r="978" spans="1:30" s="1355" customFormat="1" ht="15.75" customHeight="1" outlineLevel="1">
      <c r="A978" s="1442" t="s">
        <v>3358</v>
      </c>
      <c r="B978" s="920" t="str">
        <f t="shared" si="109"/>
        <v>м.п.</v>
      </c>
      <c r="C978" s="1442">
        <f t="shared" si="107"/>
        <v>0.4</v>
      </c>
      <c r="D978" s="1442">
        <f t="shared" si="107"/>
        <v>0.05</v>
      </c>
      <c r="E978" s="1442">
        <f>IF('Ввод данных'!$A$369=связи1!$A$96,IF(дома!E977&lt;связи1!$E$558,0,дома!E977-$E$881),0)+IF(дома!E977=0,0,IF('Ввод данных'!$A$369=связи1!$A$95,IF(дома!E977&lt;0,0,дома!E977-$E$881),0))+IF('Ввод данных'!$A$369=связи1!$A$98,IF(дома!E977&lt;связи1!$E$558,0,дома!E977-$E$881),0)</f>
        <v>0</v>
      </c>
      <c r="F978" s="1442">
        <f>2*VLOOKUP('Ввод данных'!$F$416,связи1!$A$2:$B$3,2,0)</f>
        <v>0</v>
      </c>
      <c r="G978" s="971">
        <f t="shared" si="108"/>
        <v>0</v>
      </c>
      <c r="H978" s="971"/>
      <c r="I978" s="971"/>
      <c r="J978" s="971"/>
      <c r="K978" s="971"/>
      <c r="L978" s="971"/>
      <c r="M978" s="971"/>
      <c r="N978" s="971"/>
      <c r="O978" s="971"/>
      <c r="P978" s="1353"/>
      <c r="Q978" s="1353"/>
      <c r="R978" s="1353"/>
      <c r="S978" s="971"/>
      <c r="T978" s="971"/>
      <c r="U978" s="1398"/>
      <c r="V978" s="971"/>
      <c r="W978" s="971"/>
      <c r="X978" s="971"/>
      <c r="Y978" s="1353"/>
      <c r="Z978" s="1353"/>
      <c r="AA978" s="971"/>
      <c r="AB978" s="971"/>
      <c r="AC978" s="971"/>
      <c r="AD978" s="971"/>
    </row>
    <row r="979" spans="1:30" s="1355" customFormat="1" ht="15.75" customHeight="1" outlineLevel="1">
      <c r="A979" s="1442" t="s">
        <v>3359</v>
      </c>
      <c r="B979" s="920" t="str">
        <f t="shared" si="109"/>
        <v>м.п.</v>
      </c>
      <c r="C979" s="1442">
        <f t="shared" si="107"/>
        <v>0.4</v>
      </c>
      <c r="D979" s="1442">
        <f t="shared" si="107"/>
        <v>0.05</v>
      </c>
      <c r="E979" s="1442">
        <f>IF('Ввод данных'!$A$369=связи1!$A$96,IF(дома!E978&lt;связи1!$E$558,0,дома!E978-$E$881),0)+IF(дома!E978=0,0,IF('Ввод данных'!$A$369=связи1!$A$95,IF(дома!E978&lt;0,0,дома!E978-$E$881),0))+IF('Ввод данных'!$A$369=связи1!$A$98,IF(дома!E978&lt;связи1!$E$558,0,дома!E978-$E$881),0)</f>
        <v>0</v>
      </c>
      <c r="F979" s="1442">
        <f>2*VLOOKUP('Ввод данных'!$F$416,связи1!$A$2:$B$3,2,0)</f>
        <v>0</v>
      </c>
      <c r="G979" s="971">
        <f t="shared" si="108"/>
        <v>0</v>
      </c>
      <c r="H979" s="971"/>
      <c r="I979" s="971"/>
      <c r="J979" s="971"/>
      <c r="K979" s="971"/>
      <c r="L979" s="971"/>
      <c r="M979" s="971"/>
      <c r="N979" s="971"/>
      <c r="O979" s="971"/>
      <c r="P979" s="1353"/>
      <c r="Q979" s="1353"/>
      <c r="R979" s="1353"/>
      <c r="S979" s="971"/>
      <c r="T979" s="971"/>
      <c r="U979" s="1398"/>
      <c r="V979" s="971"/>
      <c r="W979" s="971"/>
      <c r="X979" s="971"/>
      <c r="Y979" s="1353"/>
      <c r="Z979" s="1353"/>
      <c r="AA979" s="971"/>
      <c r="AB979" s="971"/>
      <c r="AC979" s="971"/>
      <c r="AD979" s="971"/>
    </row>
    <row r="980" spans="1:30" s="1355" customFormat="1" ht="15.75" customHeight="1" outlineLevel="1">
      <c r="A980" s="1442" t="s">
        <v>3360</v>
      </c>
      <c r="B980" s="920" t="str">
        <f t="shared" si="109"/>
        <v>м.п.</v>
      </c>
      <c r="C980" s="1442">
        <f t="shared" si="107"/>
        <v>0.4</v>
      </c>
      <c r="D980" s="1442">
        <f t="shared" si="107"/>
        <v>0.05</v>
      </c>
      <c r="E980" s="1442">
        <f>IF('Ввод данных'!$A$369=связи1!$A$96,IF(дома!E979&lt;связи1!$E$558,0,дома!E979-$E$881),0)+IF(дома!E979=0,0,IF('Ввод данных'!$A$369=связи1!$A$95,IF(дома!E979&lt;0,0,дома!E979-$E$881),0))+IF('Ввод данных'!$A$369=связи1!$A$98,IF(дома!E979&lt;связи1!$E$558,0,дома!E979-$E$881),0)</f>
        <v>0</v>
      </c>
      <c r="F980" s="1442">
        <f>2*VLOOKUP('Ввод данных'!$F$416,связи1!$A$2:$B$3,2,0)</f>
        <v>0</v>
      </c>
      <c r="G980" s="971">
        <f t="shared" si="108"/>
        <v>0</v>
      </c>
      <c r="H980" s="971"/>
      <c r="I980" s="971"/>
      <c r="J980" s="971"/>
      <c r="K980" s="971"/>
      <c r="L980" s="971"/>
      <c r="M980" s="971"/>
      <c r="N980" s="971"/>
      <c r="O980" s="971"/>
      <c r="P980" s="1353"/>
      <c r="Q980" s="1353"/>
      <c r="R980" s="1353"/>
      <c r="S980" s="971"/>
      <c r="T980" s="971"/>
      <c r="U980" s="1398"/>
      <c r="V980" s="971"/>
      <c r="W980" s="971"/>
      <c r="X980" s="971"/>
      <c r="Y980" s="1353"/>
      <c r="Z980" s="1353"/>
      <c r="AA980" s="971"/>
      <c r="AB980" s="971"/>
      <c r="AC980" s="971"/>
      <c r="AD980" s="971"/>
    </row>
    <row r="981" spans="1:30" s="1355" customFormat="1" ht="15.75" customHeight="1" outlineLevel="1">
      <c r="A981" s="1442" t="s">
        <v>3361</v>
      </c>
      <c r="B981" s="920" t="str">
        <f t="shared" si="109"/>
        <v>м.п.</v>
      </c>
      <c r="C981" s="1442">
        <f t="shared" si="107"/>
        <v>0.4</v>
      </c>
      <c r="D981" s="1442">
        <f t="shared" si="107"/>
        <v>0.05</v>
      </c>
      <c r="E981" s="1442">
        <f>IF('Ввод данных'!$A$369=связи1!$A$96,IF(дома!E980&lt;связи1!$E$558,0,дома!E980-$E$881),0)+IF(дома!E980=0,0,IF('Ввод данных'!$A$369=связи1!$A$95,IF(дома!E980&lt;0,0,дома!E980-$E$881),0))+IF('Ввод данных'!$A$369=связи1!$A$98,IF(дома!E980&lt;связи1!$E$558,0,дома!E980-$E$881),0)</f>
        <v>0</v>
      </c>
      <c r="F981" s="1442">
        <f>2*VLOOKUP('Ввод данных'!$F$416,связи1!$A$2:$B$3,2,0)</f>
        <v>0</v>
      </c>
      <c r="G981" s="971">
        <f t="shared" si="108"/>
        <v>0</v>
      </c>
      <c r="H981" s="971"/>
      <c r="I981" s="971"/>
      <c r="J981" s="971"/>
      <c r="K981" s="971"/>
      <c r="L981" s="971"/>
      <c r="M981" s="971"/>
      <c r="N981" s="971"/>
      <c r="O981" s="971"/>
      <c r="P981" s="1353"/>
      <c r="Q981" s="1353"/>
      <c r="R981" s="1353"/>
      <c r="S981" s="971"/>
      <c r="T981" s="971"/>
      <c r="U981" s="1398"/>
      <c r="V981" s="971"/>
      <c r="W981" s="971"/>
      <c r="X981" s="971"/>
      <c r="Y981" s="1353"/>
      <c r="Z981" s="1353"/>
      <c r="AA981" s="971"/>
      <c r="AB981" s="971"/>
      <c r="AC981" s="971"/>
      <c r="AD981" s="971"/>
    </row>
    <row r="982" spans="1:30" s="1355" customFormat="1" ht="15.75" customHeight="1" outlineLevel="1">
      <c r="A982" s="1442" t="s">
        <v>3362</v>
      </c>
      <c r="B982" s="920" t="str">
        <f t="shared" si="109"/>
        <v>м.п.</v>
      </c>
      <c r="C982" s="1442">
        <f t="shared" si="107"/>
        <v>0.4</v>
      </c>
      <c r="D982" s="1442">
        <f t="shared" si="107"/>
        <v>0.05</v>
      </c>
      <c r="E982" s="1442">
        <f>IF('Ввод данных'!$A$369=связи1!$A$96,IF(дома!E981&lt;связи1!$E$558,0,дома!E981-$E$881),0)+IF(дома!E981=0,0,IF('Ввод данных'!$A$369=связи1!$A$95,IF(дома!E981&lt;0,0,дома!E981-$E$881),0))+IF('Ввод данных'!$A$369=связи1!$A$98,IF(дома!E981&lt;связи1!$E$558,0,дома!E981-$E$881),0)</f>
        <v>0</v>
      </c>
      <c r="F982" s="1442">
        <f>2*VLOOKUP('Ввод данных'!$F$416,связи1!$A$2:$B$3,2,0)</f>
        <v>0</v>
      </c>
      <c r="G982" s="971">
        <f t="shared" si="108"/>
        <v>0</v>
      </c>
      <c r="H982" s="971"/>
      <c r="I982" s="971"/>
      <c r="J982" s="971"/>
      <c r="K982" s="971"/>
      <c r="L982" s="971"/>
      <c r="M982" s="971"/>
      <c r="N982" s="971"/>
      <c r="O982" s="971"/>
      <c r="P982" s="1353"/>
      <c r="Q982" s="1353"/>
      <c r="R982" s="1353"/>
      <c r="S982" s="971"/>
      <c r="T982" s="971"/>
      <c r="U982" s="1398"/>
      <c r="V982" s="971"/>
      <c r="W982" s="971"/>
      <c r="X982" s="971"/>
      <c r="Y982" s="1353"/>
      <c r="Z982" s="1353"/>
      <c r="AA982" s="971"/>
      <c r="AB982" s="971"/>
      <c r="AC982" s="971"/>
      <c r="AD982" s="971"/>
    </row>
    <row r="983" spans="1:30" s="1355" customFormat="1" ht="15.75" customHeight="1" outlineLevel="1">
      <c r="A983" s="1442" t="s">
        <v>3363</v>
      </c>
      <c r="B983" s="920" t="str">
        <f t="shared" si="109"/>
        <v>м.п.</v>
      </c>
      <c r="C983" s="1442">
        <f t="shared" si="107"/>
        <v>0.4</v>
      </c>
      <c r="D983" s="1442">
        <f t="shared" si="107"/>
        <v>0.05</v>
      </c>
      <c r="E983" s="1442">
        <f>IF('Ввод данных'!$A$369=связи1!$A$96,IF(дома!E982&lt;связи1!$E$558,0,дома!E982-$E$881),0)+IF(дома!E982=0,0,IF('Ввод данных'!$A$369=связи1!$A$95,IF(дома!E982&lt;0,0,дома!E982-$E$881),0))+IF('Ввод данных'!$A$369=связи1!$A$98,IF(дома!E982&lt;связи1!$E$558,0,дома!E982-$E$881),0)</f>
        <v>0</v>
      </c>
      <c r="F983" s="1442">
        <f>2*VLOOKUP('Ввод данных'!$F$416,связи1!$A$2:$B$3,2,0)</f>
        <v>0</v>
      </c>
      <c r="G983" s="971">
        <f t="shared" si="108"/>
        <v>0</v>
      </c>
      <c r="H983" s="971"/>
      <c r="I983" s="971"/>
      <c r="J983" s="971"/>
      <c r="K983" s="971"/>
      <c r="L983" s="971"/>
      <c r="M983" s="971"/>
      <c r="N983" s="971"/>
      <c r="O983" s="971"/>
      <c r="P983" s="1353"/>
      <c r="Q983" s="1353"/>
      <c r="R983" s="1353"/>
      <c r="S983" s="971"/>
      <c r="T983" s="971"/>
      <c r="U983" s="1398"/>
      <c r="V983" s="971"/>
      <c r="W983" s="971"/>
      <c r="X983" s="971"/>
      <c r="Y983" s="1353"/>
      <c r="Z983" s="1353"/>
      <c r="AA983" s="971"/>
      <c r="AB983" s="971"/>
      <c r="AC983" s="971"/>
      <c r="AD983" s="971"/>
    </row>
    <row r="984" spans="1:30" s="1355" customFormat="1" ht="15.75" customHeight="1" outlineLevel="1">
      <c r="A984" s="1442" t="s">
        <v>3364</v>
      </c>
      <c r="B984" s="920" t="str">
        <f t="shared" si="109"/>
        <v>м.п.</v>
      </c>
      <c r="C984" s="1442">
        <f t="shared" si="107"/>
        <v>0.4</v>
      </c>
      <c r="D984" s="1442">
        <f t="shared" si="107"/>
        <v>0.05</v>
      </c>
      <c r="E984" s="1442">
        <f>IF('Ввод данных'!$A$369=связи1!$A$96,IF(дома!E983&lt;связи1!$E$558,0,дома!E983-$E$881),0)+IF(дома!E983=0,0,IF('Ввод данных'!$A$369=связи1!$A$95,IF(дома!E983&lt;0,0,дома!E983-$E$881),0))+IF('Ввод данных'!$A$369=связи1!$A$98,IF(дома!E983&lt;связи1!$E$558,0,дома!E983-$E$881),0)</f>
        <v>0</v>
      </c>
      <c r="F984" s="1442">
        <f>2*VLOOKUP('Ввод данных'!$F$416,связи1!$A$2:$B$3,2,0)</f>
        <v>0</v>
      </c>
      <c r="G984" s="971">
        <f t="shared" si="108"/>
        <v>0</v>
      </c>
      <c r="H984" s="971"/>
      <c r="I984" s="971"/>
      <c r="J984" s="971"/>
      <c r="K984" s="971"/>
      <c r="L984" s="971"/>
      <c r="M984" s="971"/>
      <c r="N984" s="971"/>
      <c r="O984" s="971"/>
      <c r="P984" s="1353"/>
      <c r="Q984" s="1353"/>
      <c r="R984" s="1353"/>
      <c r="S984" s="971"/>
      <c r="T984" s="971"/>
      <c r="U984" s="1398"/>
      <c r="V984" s="971"/>
      <c r="W984" s="971"/>
      <c r="X984" s="971"/>
      <c r="Y984" s="1353"/>
      <c r="Z984" s="1353"/>
      <c r="AA984" s="971"/>
      <c r="AB984" s="971"/>
      <c r="AC984" s="971"/>
      <c r="AD984" s="971"/>
    </row>
    <row r="985" spans="1:30" s="1355" customFormat="1" ht="15.75" customHeight="1" outlineLevel="1">
      <c r="A985" s="1442" t="s">
        <v>3365</v>
      </c>
      <c r="B985" s="920" t="str">
        <f t="shared" si="109"/>
        <v>м.п.</v>
      </c>
      <c r="C985" s="1442">
        <f t="shared" si="107"/>
        <v>0.4</v>
      </c>
      <c r="D985" s="1442">
        <f t="shared" si="107"/>
        <v>0.05</v>
      </c>
      <c r="E985" s="1442">
        <f>IF('Ввод данных'!$A$369=связи1!$A$96,IF(дома!E984&lt;связи1!$E$558,0,дома!E984-$E$881),0)+IF(дома!E984=0,0,IF('Ввод данных'!$A$369=связи1!$A$95,IF(дома!E984&lt;0,0,дома!E984-$E$881),0))+IF('Ввод данных'!$A$369=связи1!$A$98,IF(дома!E984&lt;связи1!$E$558,0,дома!E984-$E$881),0)</f>
        <v>0</v>
      </c>
      <c r="F985" s="1442">
        <f>2*VLOOKUP('Ввод данных'!$F$416,связи1!$A$2:$B$3,2,0)</f>
        <v>0</v>
      </c>
      <c r="G985" s="971">
        <f t="shared" si="108"/>
        <v>0</v>
      </c>
      <c r="H985" s="971"/>
      <c r="I985" s="971"/>
      <c r="J985" s="971"/>
      <c r="K985" s="971"/>
      <c r="L985" s="971"/>
      <c r="M985" s="971"/>
      <c r="N985" s="971"/>
      <c r="O985" s="971"/>
      <c r="P985" s="1353"/>
      <c r="Q985" s="1353"/>
      <c r="R985" s="1353"/>
      <c r="S985" s="971"/>
      <c r="T985" s="971"/>
      <c r="U985" s="1398"/>
      <c r="V985" s="971"/>
      <c r="W985" s="971"/>
      <c r="X985" s="971"/>
      <c r="Y985" s="1353"/>
      <c r="Z985" s="1353"/>
      <c r="AA985" s="971"/>
      <c r="AB985" s="971"/>
      <c r="AC985" s="971"/>
      <c r="AD985" s="971"/>
    </row>
    <row r="986" spans="1:30" s="1355" customFormat="1" ht="15.75" customHeight="1" outlineLevel="1">
      <c r="A986" s="1442" t="s">
        <v>3366</v>
      </c>
      <c r="B986" s="920" t="str">
        <f t="shared" si="109"/>
        <v>м.п.</v>
      </c>
      <c r="C986" s="1442">
        <f t="shared" ref="C986:D1005" si="110">C524</f>
        <v>0.4</v>
      </c>
      <c r="D986" s="1442">
        <f t="shared" si="110"/>
        <v>0.05</v>
      </c>
      <c r="E986" s="1442">
        <f>IF('Ввод данных'!$A$369=связи1!$A$96,IF(дома!E985&lt;связи1!$E$558,0,дома!E985-$E$881),0)+IF(дома!E985=0,0,IF('Ввод данных'!$A$369=связи1!$A$95,IF(дома!E985&lt;0,0,дома!E985-$E$881),0))+IF('Ввод данных'!$A$369=связи1!$A$98,IF(дома!E985&lt;связи1!$E$558,0,дома!E985-$E$881),0)</f>
        <v>0</v>
      </c>
      <c r="F986" s="1442">
        <f>2*VLOOKUP('Ввод данных'!$F$416,связи1!$A$2:$B$3,2,0)</f>
        <v>0</v>
      </c>
      <c r="G986" s="971">
        <f t="shared" si="108"/>
        <v>0</v>
      </c>
      <c r="H986" s="971"/>
      <c r="I986" s="971"/>
      <c r="J986" s="971"/>
      <c r="K986" s="971"/>
      <c r="L986" s="971"/>
      <c r="M986" s="971"/>
      <c r="N986" s="971"/>
      <c r="O986" s="971"/>
      <c r="P986" s="1353"/>
      <c r="Q986" s="1353"/>
      <c r="R986" s="1353"/>
      <c r="S986" s="971"/>
      <c r="T986" s="971"/>
      <c r="U986" s="1398"/>
      <c r="V986" s="971"/>
      <c r="W986" s="971"/>
      <c r="X986" s="971"/>
      <c r="Y986" s="1353"/>
      <c r="Z986" s="1353"/>
      <c r="AA986" s="971"/>
      <c r="AB986" s="971"/>
      <c r="AC986" s="971"/>
      <c r="AD986" s="971"/>
    </row>
    <row r="987" spans="1:30" s="1355" customFormat="1" ht="15.75" customHeight="1" outlineLevel="1">
      <c r="A987" s="1442" t="s">
        <v>3367</v>
      </c>
      <c r="B987" s="920" t="str">
        <f t="shared" si="109"/>
        <v>м.п.</v>
      </c>
      <c r="C987" s="1442">
        <f t="shared" si="110"/>
        <v>0.4</v>
      </c>
      <c r="D987" s="1442">
        <f t="shared" si="110"/>
        <v>0.05</v>
      </c>
      <c r="E987" s="1442">
        <f>IF('Ввод данных'!$A$369=связи1!$A$96,IF(дома!E986&lt;связи1!$E$558,0,дома!E986-$E$881),0)+IF(дома!E986=0,0,IF('Ввод данных'!$A$369=связи1!$A$95,IF(дома!E986&lt;0,0,дома!E986-$E$881),0))+IF('Ввод данных'!$A$369=связи1!$A$98,IF(дома!E986&lt;связи1!$E$558,0,дома!E986-$E$881),0)</f>
        <v>0</v>
      </c>
      <c r="F987" s="1442">
        <f>2*VLOOKUP('Ввод данных'!$F$416,связи1!$A$2:$B$3,2,0)</f>
        <v>0</v>
      </c>
      <c r="G987" s="971">
        <f t="shared" si="108"/>
        <v>0</v>
      </c>
      <c r="H987" s="971"/>
      <c r="I987" s="971"/>
      <c r="J987" s="971"/>
      <c r="K987" s="971"/>
      <c r="L987" s="971"/>
      <c r="M987" s="971"/>
      <c r="N987" s="971"/>
      <c r="O987" s="971"/>
      <c r="P987" s="1353"/>
      <c r="Q987" s="1353"/>
      <c r="R987" s="1353"/>
      <c r="S987" s="971"/>
      <c r="T987" s="971"/>
      <c r="U987" s="1398"/>
      <c r="V987" s="971"/>
      <c r="W987" s="971"/>
      <c r="X987" s="971"/>
      <c r="Y987" s="1353"/>
      <c r="Z987" s="1353"/>
      <c r="AA987" s="971"/>
      <c r="AB987" s="971"/>
      <c r="AC987" s="971"/>
      <c r="AD987" s="971"/>
    </row>
    <row r="988" spans="1:30" s="1355" customFormat="1" ht="15.75" customHeight="1" outlineLevel="1">
      <c r="A988" s="1442" t="s">
        <v>3368</v>
      </c>
      <c r="B988" s="920" t="str">
        <f t="shared" si="109"/>
        <v>м.п.</v>
      </c>
      <c r="C988" s="1442">
        <f t="shared" si="110"/>
        <v>0.4</v>
      </c>
      <c r="D988" s="1442">
        <f t="shared" si="110"/>
        <v>0.05</v>
      </c>
      <c r="E988" s="1442">
        <f>IF('Ввод данных'!$A$369=связи1!$A$96,IF(дома!E987&lt;связи1!$E$558,0,дома!E987-$E$881),0)+IF(дома!E987=0,0,IF('Ввод данных'!$A$369=связи1!$A$95,IF(дома!E987&lt;0,0,дома!E987-$E$881),0))+IF('Ввод данных'!$A$369=связи1!$A$98,IF(дома!E987&lt;связи1!$E$558,0,дома!E987-$E$881),0)</f>
        <v>0</v>
      </c>
      <c r="F988" s="1442">
        <f>2*VLOOKUP('Ввод данных'!$F$416,связи1!$A$2:$B$3,2,0)</f>
        <v>0</v>
      </c>
      <c r="G988" s="971">
        <f t="shared" si="108"/>
        <v>0</v>
      </c>
      <c r="H988" s="971"/>
      <c r="I988" s="971"/>
      <c r="J988" s="971"/>
      <c r="K988" s="971"/>
      <c r="L988" s="971"/>
      <c r="M988" s="971"/>
      <c r="N988" s="971"/>
      <c r="O988" s="971"/>
      <c r="P988" s="1353"/>
      <c r="Q988" s="1353"/>
      <c r="R988" s="1353"/>
      <c r="S988" s="971"/>
      <c r="T988" s="971"/>
      <c r="U988" s="1398"/>
      <c r="V988" s="971"/>
      <c r="W988" s="971"/>
      <c r="X988" s="971"/>
      <c r="Y988" s="1353"/>
      <c r="Z988" s="1353"/>
      <c r="AA988" s="971"/>
      <c r="AB988" s="971"/>
      <c r="AC988" s="971"/>
      <c r="AD988" s="971"/>
    </row>
    <row r="989" spans="1:30" s="1355" customFormat="1" ht="15.75" customHeight="1" outlineLevel="1">
      <c r="A989" s="1442" t="s">
        <v>3369</v>
      </c>
      <c r="B989" s="920" t="str">
        <f t="shared" si="109"/>
        <v>м.п.</v>
      </c>
      <c r="C989" s="1442">
        <f t="shared" si="110"/>
        <v>0.4</v>
      </c>
      <c r="D989" s="1442">
        <f t="shared" si="110"/>
        <v>0.05</v>
      </c>
      <c r="E989" s="1442">
        <f>IF('Ввод данных'!$A$369=связи1!$A$96,IF(дома!E988&lt;связи1!$E$558,0,дома!E988-$E$881),0)+IF(дома!E988=0,0,IF('Ввод данных'!$A$369=связи1!$A$95,IF(дома!E988&lt;0,0,дома!E988-$E$881),0))+IF('Ввод данных'!$A$369=связи1!$A$98,IF(дома!E988&lt;связи1!$E$558,0,дома!E988-$E$881),0)</f>
        <v>0</v>
      </c>
      <c r="F989" s="1442">
        <f>2*VLOOKUP('Ввод данных'!$F$416,связи1!$A$2:$B$3,2,0)</f>
        <v>0</v>
      </c>
      <c r="G989" s="971">
        <f t="shared" si="108"/>
        <v>0</v>
      </c>
      <c r="H989" s="971"/>
      <c r="I989" s="971"/>
      <c r="J989" s="971"/>
      <c r="K989" s="971"/>
      <c r="L989" s="971"/>
      <c r="M989" s="971"/>
      <c r="N989" s="971"/>
      <c r="O989" s="971"/>
      <c r="P989" s="1353"/>
      <c r="Q989" s="1353"/>
      <c r="R989" s="1353"/>
      <c r="S989" s="971"/>
      <c r="T989" s="971"/>
      <c r="U989" s="1398"/>
      <c r="V989" s="971"/>
      <c r="W989" s="971"/>
      <c r="X989" s="971"/>
      <c r="Y989" s="1353"/>
      <c r="Z989" s="1353"/>
      <c r="AA989" s="971"/>
      <c r="AB989" s="971"/>
      <c r="AC989" s="971"/>
      <c r="AD989" s="971"/>
    </row>
    <row r="990" spans="1:30" s="1355" customFormat="1" ht="15.75" customHeight="1" outlineLevel="1">
      <c r="A990" s="1442" t="s">
        <v>3370</v>
      </c>
      <c r="B990" s="920" t="str">
        <f t="shared" si="109"/>
        <v>м.п.</v>
      </c>
      <c r="C990" s="1442">
        <f t="shared" si="110"/>
        <v>0.4</v>
      </c>
      <c r="D990" s="1442">
        <f t="shared" si="110"/>
        <v>0.05</v>
      </c>
      <c r="E990" s="1442">
        <f>IF('Ввод данных'!$A$369=связи1!$A$96,IF(дома!E989&lt;связи1!$E$558,0,дома!E989-$E$881),0)+IF(дома!E989=0,0,IF('Ввод данных'!$A$369=связи1!$A$95,IF(дома!E989&lt;0,0,дома!E989-$E$881),0))+IF('Ввод данных'!$A$369=связи1!$A$98,IF(дома!E989&lt;связи1!$E$558,0,дома!E989-$E$881),0)</f>
        <v>0</v>
      </c>
      <c r="F990" s="1442">
        <f>2*VLOOKUP('Ввод данных'!$F$416,связи1!$A$2:$B$3,2,0)</f>
        <v>0</v>
      </c>
      <c r="G990" s="971">
        <f t="shared" si="108"/>
        <v>0</v>
      </c>
      <c r="H990" s="971"/>
      <c r="I990" s="971"/>
      <c r="J990" s="971"/>
      <c r="K990" s="971"/>
      <c r="L990" s="971"/>
      <c r="M990" s="971"/>
      <c r="N990" s="971"/>
      <c r="O990" s="971"/>
      <c r="P990" s="1353"/>
      <c r="Q990" s="1353"/>
      <c r="R990" s="1353"/>
      <c r="S990" s="971"/>
      <c r="T990" s="971"/>
      <c r="U990" s="1398"/>
      <c r="V990" s="971"/>
      <c r="W990" s="971"/>
      <c r="X990" s="971"/>
      <c r="Y990" s="1353"/>
      <c r="Z990" s="1353"/>
      <c r="AA990" s="971"/>
      <c r="AB990" s="971"/>
      <c r="AC990" s="971"/>
      <c r="AD990" s="971"/>
    </row>
    <row r="991" spans="1:30" s="1355" customFormat="1" ht="15.75" customHeight="1" outlineLevel="1">
      <c r="A991" s="1442" t="s">
        <v>3371</v>
      </c>
      <c r="B991" s="920" t="str">
        <f t="shared" si="109"/>
        <v>м.п.</v>
      </c>
      <c r="C991" s="1442">
        <f t="shared" si="110"/>
        <v>0.4</v>
      </c>
      <c r="D991" s="1442">
        <f t="shared" si="110"/>
        <v>0.05</v>
      </c>
      <c r="E991" s="1442">
        <f>IF('Ввод данных'!$A$369=связи1!$A$96,IF(дома!E990&lt;связи1!$E$558,0,дома!E990-$E$881),0)+IF(дома!E990=0,0,IF('Ввод данных'!$A$369=связи1!$A$95,IF(дома!E990&lt;0,0,дома!E990-$E$881),0))+IF('Ввод данных'!$A$369=связи1!$A$98,IF(дома!E990&lt;связи1!$E$558,0,дома!E990-$E$881),0)</f>
        <v>0</v>
      </c>
      <c r="F991" s="1442">
        <f>2*VLOOKUP('Ввод данных'!$F$416,связи1!$A$2:$B$3,2,0)</f>
        <v>0</v>
      </c>
      <c r="G991" s="971">
        <f t="shared" si="108"/>
        <v>0</v>
      </c>
      <c r="H991" s="971"/>
      <c r="I991" s="971"/>
      <c r="J991" s="971"/>
      <c r="K991" s="971"/>
      <c r="L991" s="971"/>
      <c r="M991" s="971"/>
      <c r="N991" s="971"/>
      <c r="O991" s="971"/>
      <c r="P991" s="1353"/>
      <c r="Q991" s="1353"/>
      <c r="R991" s="1353"/>
      <c r="S991" s="971"/>
      <c r="T991" s="971"/>
      <c r="U991" s="1398"/>
      <c r="V991" s="971"/>
      <c r="W991" s="971"/>
      <c r="X991" s="971"/>
      <c r="Y991" s="1353"/>
      <c r="Z991" s="1353"/>
      <c r="AA991" s="971"/>
      <c r="AB991" s="971"/>
      <c r="AC991" s="971"/>
      <c r="AD991" s="971"/>
    </row>
    <row r="992" spans="1:30" s="1355" customFormat="1" ht="15.75" customHeight="1" outlineLevel="1">
      <c r="A992" s="1442" t="s">
        <v>3372</v>
      </c>
      <c r="B992" s="920" t="str">
        <f t="shared" si="109"/>
        <v>м.п.</v>
      </c>
      <c r="C992" s="1442">
        <f t="shared" si="110"/>
        <v>0.4</v>
      </c>
      <c r="D992" s="1442">
        <f t="shared" si="110"/>
        <v>0.05</v>
      </c>
      <c r="E992" s="1442">
        <f>IF('Ввод данных'!$A$369=связи1!$A$96,IF(дома!E991&lt;связи1!$E$558,0,дома!E991-$E$881),0)+IF(дома!E991=0,0,IF('Ввод данных'!$A$369=связи1!$A$95,IF(дома!E991&lt;0,0,дома!E991-$E$881),0))+IF('Ввод данных'!$A$369=связи1!$A$98,IF(дома!E991&lt;связи1!$E$558,0,дома!E991-$E$881),0)</f>
        <v>0</v>
      </c>
      <c r="F992" s="1442">
        <f>2*VLOOKUP('Ввод данных'!$F$416,связи1!$A$2:$B$3,2,0)</f>
        <v>0</v>
      </c>
      <c r="G992" s="971">
        <f t="shared" si="108"/>
        <v>0</v>
      </c>
      <c r="H992" s="971"/>
      <c r="I992" s="971"/>
      <c r="J992" s="971"/>
      <c r="K992" s="971"/>
      <c r="L992" s="971"/>
      <c r="M992" s="971"/>
      <c r="N992" s="971"/>
      <c r="O992" s="971"/>
      <c r="P992" s="1353"/>
      <c r="Q992" s="1353"/>
      <c r="R992" s="1353"/>
      <c r="S992" s="971"/>
      <c r="T992" s="971"/>
      <c r="U992" s="1398"/>
      <c r="V992" s="971"/>
      <c r="W992" s="971"/>
      <c r="X992" s="971"/>
      <c r="Y992" s="1353"/>
      <c r="Z992" s="1353"/>
      <c r="AA992" s="971"/>
      <c r="AB992" s="971"/>
      <c r="AC992" s="971"/>
      <c r="AD992" s="971"/>
    </row>
    <row r="993" spans="1:30" s="1355" customFormat="1" ht="15.75" customHeight="1" outlineLevel="1">
      <c r="A993" s="1442" t="s">
        <v>3373</v>
      </c>
      <c r="B993" s="920" t="str">
        <f t="shared" si="109"/>
        <v>м.п.</v>
      </c>
      <c r="C993" s="1442">
        <f t="shared" si="110"/>
        <v>0.4</v>
      </c>
      <c r="D993" s="1442">
        <f t="shared" si="110"/>
        <v>0.05</v>
      </c>
      <c r="E993" s="1442">
        <f>IF('Ввод данных'!A368=связи1!A107,IF('Ввод данных'!A369=связи1!A94,0,0)+IF('Ввод данных'!A369=связи1!A95,связи1!E557-связи1!E556,0)+IF('Ввод данных'!A369=связи1!A96,связи1!E557,0)+IF('Ввод данных'!A369=связи1!A97,0,0)+IF('Ввод данных'!A369=связи1!A98,связи1!E557,0),0)</f>
        <v>2.9</v>
      </c>
      <c r="F993" s="1442">
        <f>2*VLOOKUP('Ввод данных'!$F$416,связи1!$A$2:$B$3,2,0)</f>
        <v>0</v>
      </c>
      <c r="G993" s="971">
        <f t="shared" si="108"/>
        <v>0</v>
      </c>
      <c r="H993" s="971"/>
      <c r="I993" s="971"/>
      <c r="J993" s="971"/>
      <c r="K993" s="971"/>
      <c r="L993" s="971"/>
      <c r="M993" s="971"/>
      <c r="N993" s="971"/>
      <c r="O993" s="971"/>
      <c r="P993" s="1353"/>
      <c r="Q993" s="1353"/>
      <c r="R993" s="1353"/>
      <c r="S993" s="971"/>
      <c r="T993" s="971"/>
      <c r="U993" s="1398"/>
      <c r="V993" s="971"/>
      <c r="W993" s="971"/>
      <c r="X993" s="971"/>
      <c r="Y993" s="1353"/>
      <c r="Z993" s="1353"/>
      <c r="AA993" s="971"/>
      <c r="AB993" s="971"/>
      <c r="AC993" s="971"/>
      <c r="AD993" s="971"/>
    </row>
    <row r="994" spans="1:30" s="1355" customFormat="1" ht="15.75" customHeight="1" outlineLevel="1">
      <c r="A994" s="1442" t="s">
        <v>3374</v>
      </c>
      <c r="B994" s="920" t="str">
        <f t="shared" si="109"/>
        <v>м.п.</v>
      </c>
      <c r="C994" s="1442">
        <f t="shared" si="110"/>
        <v>0.4</v>
      </c>
      <c r="D994" s="1442">
        <f t="shared" si="110"/>
        <v>0.05</v>
      </c>
      <c r="E994" s="1442">
        <f>IF('Ввод данных'!$A$369=связи1!$A$96,IF(дома!E993&lt;связи1!$E$558,0,дома!E993-$E$881),0)+IF(дома!E993=0,0,IF('Ввод данных'!$A$369=связи1!$A$95,IF(дома!E993&lt;0,0,дома!E993-$E$881),0))+IF('Ввод данных'!$A$369=связи1!$A$98,IF(дома!E993&lt;связи1!$E$558,0,дома!E993-$E$881),0)</f>
        <v>2.9</v>
      </c>
      <c r="F994" s="1442">
        <f>2*VLOOKUP('Ввод данных'!$F$416,связи1!$A$2:$B$3,2,0)</f>
        <v>0</v>
      </c>
      <c r="G994" s="971">
        <f t="shared" si="108"/>
        <v>0</v>
      </c>
      <c r="H994" s="971"/>
      <c r="I994" s="971"/>
      <c r="J994" s="971"/>
      <c r="K994" s="971"/>
      <c r="L994" s="971"/>
      <c r="M994" s="971"/>
      <c r="N994" s="971"/>
      <c r="O994" s="971"/>
      <c r="P994" s="1353"/>
      <c r="Q994" s="1353"/>
      <c r="R994" s="1353"/>
      <c r="S994" s="971"/>
      <c r="T994" s="971"/>
      <c r="U994" s="1398"/>
      <c r="V994" s="971"/>
      <c r="W994" s="971"/>
      <c r="X994" s="971"/>
      <c r="Y994" s="1353"/>
      <c r="Z994" s="1353"/>
      <c r="AA994" s="971"/>
      <c r="AB994" s="971"/>
      <c r="AC994" s="971"/>
      <c r="AD994" s="971"/>
    </row>
    <row r="995" spans="1:30" s="1355" customFormat="1" ht="15.75" customHeight="1" outlineLevel="1">
      <c r="A995" s="1442" t="s">
        <v>3375</v>
      </c>
      <c r="B995" s="920" t="str">
        <f t="shared" si="109"/>
        <v>м.п.</v>
      </c>
      <c r="C995" s="1442">
        <f t="shared" si="110"/>
        <v>0.4</v>
      </c>
      <c r="D995" s="1442">
        <f t="shared" si="110"/>
        <v>0.05</v>
      </c>
      <c r="E995" s="1442">
        <f>IF('Ввод данных'!$A$369=связи1!$A$96,IF(дома!E994&lt;связи1!$E$558,0,дома!E994-$E$881),0)+IF(дома!E994=0,0,IF('Ввод данных'!$A$369=связи1!$A$95,IF(дома!E994&lt;0,0,дома!E994-$E$881),0))+IF('Ввод данных'!$A$369=связи1!$A$98,IF(дома!E994&lt;связи1!$E$558,0,дома!E994-$E$881),0)</f>
        <v>2.9</v>
      </c>
      <c r="F995" s="1442">
        <f>2*VLOOKUP('Ввод данных'!$F$416,связи1!$A$2:$B$3,2,0)</f>
        <v>0</v>
      </c>
      <c r="G995" s="971">
        <f t="shared" si="108"/>
        <v>0</v>
      </c>
      <c r="H995" s="971"/>
      <c r="I995" s="971"/>
      <c r="J995" s="971"/>
      <c r="K995" s="971"/>
      <c r="L995" s="971"/>
      <c r="M995" s="971"/>
      <c r="N995" s="971"/>
      <c r="O995" s="971"/>
      <c r="P995" s="1353"/>
      <c r="Q995" s="1353"/>
      <c r="R995" s="1353"/>
      <c r="S995" s="971"/>
      <c r="T995" s="971"/>
      <c r="U995" s="1398"/>
      <c r="V995" s="971"/>
      <c r="W995" s="971"/>
      <c r="X995" s="971"/>
      <c r="Y995" s="1353"/>
      <c r="Z995" s="1353"/>
      <c r="AA995" s="971"/>
      <c r="AB995" s="971"/>
      <c r="AC995" s="971"/>
      <c r="AD995" s="971"/>
    </row>
    <row r="996" spans="1:30" s="1355" customFormat="1" ht="15.75" customHeight="1" outlineLevel="1">
      <c r="A996" s="1442" t="s">
        <v>3376</v>
      </c>
      <c r="B996" s="920" t="str">
        <f t="shared" si="109"/>
        <v>м.п.</v>
      </c>
      <c r="C996" s="1442">
        <f t="shared" si="110"/>
        <v>0.4</v>
      </c>
      <c r="D996" s="1442">
        <f t="shared" si="110"/>
        <v>0.05</v>
      </c>
      <c r="E996" s="1442">
        <f>IF('Ввод данных'!$A$369=связи1!$A$96,IF(дома!E995&lt;связи1!$E$558,0,дома!E995-$E$881),0)+IF(дома!E995=0,0,IF('Ввод данных'!$A$369=связи1!$A$95,IF(дома!E995&lt;0,0,дома!E995-$E$881),0))+IF('Ввод данных'!$A$369=связи1!$A$98,IF(дома!E995&lt;связи1!$E$558,0,дома!E995-$E$881),0)</f>
        <v>2.9</v>
      </c>
      <c r="F996" s="1442">
        <f>2*VLOOKUP('Ввод данных'!$F$416,связи1!$A$2:$B$3,2,0)</f>
        <v>0</v>
      </c>
      <c r="G996" s="971">
        <f t="shared" si="108"/>
        <v>0</v>
      </c>
      <c r="H996" s="971"/>
      <c r="I996" s="971"/>
      <c r="J996" s="971"/>
      <c r="K996" s="971"/>
      <c r="L996" s="971"/>
      <c r="M996" s="971"/>
      <c r="N996" s="971"/>
      <c r="O996" s="971"/>
      <c r="P996" s="1353"/>
      <c r="Q996" s="1353"/>
      <c r="R996" s="1353"/>
      <c r="S996" s="971"/>
      <c r="T996" s="971"/>
      <c r="U996" s="1398"/>
      <c r="V996" s="971"/>
      <c r="W996" s="971"/>
      <c r="X996" s="971"/>
      <c r="Y996" s="1353"/>
      <c r="Z996" s="1353"/>
      <c r="AA996" s="971"/>
      <c r="AB996" s="971"/>
      <c r="AC996" s="971"/>
      <c r="AD996" s="971"/>
    </row>
    <row r="997" spans="1:30" s="1355" customFormat="1" ht="15.75" customHeight="1" outlineLevel="1">
      <c r="A997" s="1442" t="s">
        <v>3377</v>
      </c>
      <c r="B997" s="920" t="str">
        <f t="shared" si="109"/>
        <v>м.п.</v>
      </c>
      <c r="C997" s="1442">
        <f t="shared" si="110"/>
        <v>0.4</v>
      </c>
      <c r="D997" s="1442">
        <f t="shared" si="110"/>
        <v>0.05</v>
      </c>
      <c r="E997" s="1442">
        <f>IF('Ввод данных'!$A$369=связи1!$A$96,IF(дома!E996&lt;связи1!$E$558,0,дома!E996-$E$881),0)+IF(дома!E996=0,0,IF('Ввод данных'!$A$369=связи1!$A$95,IF(дома!E996&lt;0,0,дома!E996-$E$881),0))+IF('Ввод данных'!$A$369=связи1!$A$98,IF(дома!E996&lt;связи1!$E$558,0,дома!E996-$E$881),0)</f>
        <v>2.9</v>
      </c>
      <c r="F997" s="1442">
        <f>2*VLOOKUP('Ввод данных'!$F$416,связи1!$A$2:$B$3,2,0)</f>
        <v>0</v>
      </c>
      <c r="G997" s="971">
        <f t="shared" si="108"/>
        <v>0</v>
      </c>
      <c r="H997" s="971"/>
      <c r="I997" s="971"/>
      <c r="J997" s="971"/>
      <c r="K997" s="971"/>
      <c r="L997" s="971"/>
      <c r="M997" s="971"/>
      <c r="N997" s="971"/>
      <c r="O997" s="971"/>
      <c r="P997" s="1353"/>
      <c r="Q997" s="1353"/>
      <c r="R997" s="1353"/>
      <c r="S997" s="971"/>
      <c r="T997" s="971"/>
      <c r="U997" s="1398"/>
      <c r="V997" s="971"/>
      <c r="W997" s="971"/>
      <c r="X997" s="971"/>
      <c r="Y997" s="1353"/>
      <c r="Z997" s="1353"/>
      <c r="AA997" s="971"/>
      <c r="AB997" s="971"/>
      <c r="AC997" s="971"/>
      <c r="AD997" s="971"/>
    </row>
    <row r="998" spans="1:30" s="1355" customFormat="1" ht="15.75" customHeight="1" outlineLevel="1">
      <c r="A998" s="1442" t="s">
        <v>3378</v>
      </c>
      <c r="B998" s="920" t="str">
        <f t="shared" si="109"/>
        <v>м.п.</v>
      </c>
      <c r="C998" s="1442">
        <f t="shared" si="110"/>
        <v>0.4</v>
      </c>
      <c r="D998" s="1442">
        <f t="shared" si="110"/>
        <v>0.05</v>
      </c>
      <c r="E998" s="1442">
        <f>IF('Ввод данных'!$A$369=связи1!$A$96,IF(дома!E997&lt;связи1!$E$558,0,дома!E997-$E$881),0)+IF(дома!E997=0,0,IF('Ввод данных'!$A$369=связи1!$A$95,IF(дома!E997&lt;0,0,дома!E997-$E$881),0))+IF('Ввод данных'!$A$369=связи1!$A$98,IF(дома!E997&lt;связи1!$E$558,0,дома!E997-$E$881),0)</f>
        <v>2.9</v>
      </c>
      <c r="F998" s="1442">
        <f>2*VLOOKUP('Ввод данных'!$F$416,связи1!$A$2:$B$3,2,0)</f>
        <v>0</v>
      </c>
      <c r="G998" s="971">
        <f t="shared" si="108"/>
        <v>0</v>
      </c>
      <c r="H998" s="971"/>
      <c r="I998" s="971"/>
      <c r="J998" s="971"/>
      <c r="K998" s="971"/>
      <c r="L998" s="971"/>
      <c r="M998" s="971"/>
      <c r="N998" s="971"/>
      <c r="O998" s="971"/>
      <c r="P998" s="1353"/>
      <c r="Q998" s="1353"/>
      <c r="R998" s="1353"/>
      <c r="S998" s="971"/>
      <c r="T998" s="971"/>
      <c r="U998" s="1398"/>
      <c r="V998" s="971"/>
      <c r="W998" s="971"/>
      <c r="X998" s="971"/>
      <c r="Y998" s="1353"/>
      <c r="Z998" s="1353"/>
      <c r="AA998" s="971"/>
      <c r="AB998" s="971"/>
      <c r="AC998" s="971"/>
      <c r="AD998" s="971"/>
    </row>
    <row r="999" spans="1:30" s="1355" customFormat="1" ht="15.75" customHeight="1" outlineLevel="1">
      <c r="A999" s="1442" t="s">
        <v>3379</v>
      </c>
      <c r="B999" s="920" t="str">
        <f t="shared" si="109"/>
        <v>м.п.</v>
      </c>
      <c r="C999" s="1442">
        <f t="shared" si="110"/>
        <v>0.4</v>
      </c>
      <c r="D999" s="1442">
        <f t="shared" si="110"/>
        <v>0.05</v>
      </c>
      <c r="E999" s="1442">
        <f>IF('Ввод данных'!$A$369=связи1!$A$96,IF(дома!E998&lt;связи1!$E$558,0,дома!E998-$E$881),0)+IF(дома!E998=0,0,IF('Ввод данных'!$A$369=связи1!$A$95,IF(дома!E998&lt;0,0,дома!E998-$E$881),0))+IF('Ввод данных'!$A$369=связи1!$A$98,IF(дома!E998&lt;связи1!$E$558,0,дома!E998-$E$881),0)</f>
        <v>2.9</v>
      </c>
      <c r="F999" s="1442">
        <f>2*VLOOKUP('Ввод данных'!$F$416,связи1!$A$2:$B$3,2,0)</f>
        <v>0</v>
      </c>
      <c r="G999" s="971">
        <f t="shared" si="108"/>
        <v>0</v>
      </c>
      <c r="H999" s="971"/>
      <c r="I999" s="971"/>
      <c r="J999" s="971"/>
      <c r="K999" s="971"/>
      <c r="L999" s="971"/>
      <c r="M999" s="971"/>
      <c r="N999" s="971"/>
      <c r="O999" s="971"/>
      <c r="P999" s="1353"/>
      <c r="Q999" s="1353"/>
      <c r="R999" s="1353"/>
      <c r="S999" s="971"/>
      <c r="T999" s="971"/>
      <c r="U999" s="1398"/>
      <c r="V999" s="971"/>
      <c r="W999" s="971"/>
      <c r="X999" s="971"/>
      <c r="Y999" s="1353"/>
      <c r="Z999" s="1353"/>
      <c r="AA999" s="971"/>
      <c r="AB999" s="971"/>
      <c r="AC999" s="971"/>
      <c r="AD999" s="971"/>
    </row>
    <row r="1000" spans="1:30" s="1355" customFormat="1" ht="15.75" customHeight="1" outlineLevel="1">
      <c r="A1000" s="1442" t="s">
        <v>3380</v>
      </c>
      <c r="B1000" s="920" t="str">
        <f t="shared" si="109"/>
        <v>м.п.</v>
      </c>
      <c r="C1000" s="1442">
        <f t="shared" si="110"/>
        <v>0.4</v>
      </c>
      <c r="D1000" s="1442">
        <f t="shared" si="110"/>
        <v>0.05</v>
      </c>
      <c r="E1000" s="1442">
        <f>IF('Ввод данных'!$A$369=связи1!$A$96,IF(дома!E999&lt;связи1!$E$558,0,дома!E999-$E$881),0)+IF(дома!E999=0,0,IF('Ввод данных'!$A$369=связи1!$A$95,IF(дома!E999&lt;0,0,дома!E999-$E$881),0))+IF('Ввод данных'!$A$369=связи1!$A$98,IF(дома!E999&lt;связи1!$E$558,0,дома!E999-$E$881),0)</f>
        <v>2.9</v>
      </c>
      <c r="F1000" s="1442">
        <f>2*VLOOKUP('Ввод данных'!$F$416,связи1!$A$2:$B$3,2,0)</f>
        <v>0</v>
      </c>
      <c r="G1000" s="971">
        <f t="shared" si="108"/>
        <v>0</v>
      </c>
      <c r="H1000" s="971"/>
      <c r="I1000" s="971"/>
      <c r="J1000" s="971"/>
      <c r="K1000" s="971"/>
      <c r="L1000" s="971"/>
      <c r="M1000" s="971"/>
      <c r="N1000" s="971"/>
      <c r="O1000" s="971"/>
      <c r="P1000" s="1353"/>
      <c r="Q1000" s="1353"/>
      <c r="R1000" s="1353"/>
      <c r="S1000" s="971"/>
      <c r="T1000" s="971"/>
      <c r="U1000" s="1398"/>
      <c r="V1000" s="971"/>
      <c r="W1000" s="971"/>
      <c r="X1000" s="971"/>
      <c r="Y1000" s="1353"/>
      <c r="Z1000" s="1353"/>
      <c r="AA1000" s="971"/>
      <c r="AB1000" s="971"/>
      <c r="AC1000" s="971"/>
      <c r="AD1000" s="971"/>
    </row>
    <row r="1001" spans="1:30" s="1355" customFormat="1" ht="15.75" customHeight="1" outlineLevel="1">
      <c r="A1001" s="1442" t="s">
        <v>3381</v>
      </c>
      <c r="B1001" s="920" t="str">
        <f t="shared" si="109"/>
        <v>м.п.</v>
      </c>
      <c r="C1001" s="1442">
        <f t="shared" si="110"/>
        <v>0.4</v>
      </c>
      <c r="D1001" s="1442">
        <f t="shared" si="110"/>
        <v>0.05</v>
      </c>
      <c r="E1001" s="1442">
        <f>IF('Ввод данных'!$A$369=связи1!$A$96,IF(дома!E1000&lt;связи1!$E$558,0,дома!E1000-$E$881),0)+IF(дома!E1000=0,0,IF('Ввод данных'!$A$369=связи1!$A$95,IF(дома!E1000&lt;0,0,дома!E1000-$E$881),0))+IF('Ввод данных'!$A$369=связи1!$A$98,IF(дома!E1000&lt;связи1!$E$558,0,дома!E1000-$E$881),0)</f>
        <v>2.9</v>
      </c>
      <c r="F1001" s="1442">
        <f>2*VLOOKUP('Ввод данных'!$F$416,связи1!$A$2:$B$3,2,0)</f>
        <v>0</v>
      </c>
      <c r="G1001" s="971">
        <f t="shared" si="108"/>
        <v>0</v>
      </c>
      <c r="H1001" s="971"/>
      <c r="I1001" s="971"/>
      <c r="J1001" s="971"/>
      <c r="K1001" s="971"/>
      <c r="L1001" s="971"/>
      <c r="M1001" s="971"/>
      <c r="N1001" s="971"/>
      <c r="O1001" s="971"/>
      <c r="P1001" s="1353"/>
      <c r="Q1001" s="1353"/>
      <c r="R1001" s="1353"/>
      <c r="S1001" s="971"/>
      <c r="T1001" s="971"/>
      <c r="U1001" s="1398"/>
      <c r="V1001" s="971"/>
      <c r="W1001" s="971"/>
      <c r="X1001" s="971"/>
      <c r="Y1001" s="1353"/>
      <c r="Z1001" s="1353"/>
      <c r="AA1001" s="971"/>
      <c r="AB1001" s="971"/>
      <c r="AC1001" s="971"/>
      <c r="AD1001" s="971"/>
    </row>
    <row r="1002" spans="1:30" s="1355" customFormat="1" ht="15.75" customHeight="1" outlineLevel="1">
      <c r="A1002" s="1442" t="s">
        <v>3382</v>
      </c>
      <c r="B1002" s="920" t="str">
        <f t="shared" si="109"/>
        <v>м.п.</v>
      </c>
      <c r="C1002" s="1442">
        <f t="shared" si="110"/>
        <v>0.4</v>
      </c>
      <c r="D1002" s="1442">
        <f t="shared" si="110"/>
        <v>0.05</v>
      </c>
      <c r="E1002" s="1442">
        <f>IF('Ввод данных'!$A$369=связи1!$A$96,IF(дома!E1001&lt;связи1!$E$558,0,дома!E1001-$E$881),0)+IF(дома!E1001=0,0,IF('Ввод данных'!$A$369=связи1!$A$95,IF(дома!E1001&lt;0,0,дома!E1001-$E$881),0))+IF('Ввод данных'!$A$369=связи1!$A$98,IF(дома!E1001&lt;связи1!$E$558,0,дома!E1001-$E$881),0)</f>
        <v>2.9</v>
      </c>
      <c r="F1002" s="1442">
        <f>2*VLOOKUP('Ввод данных'!$F$416,связи1!$A$2:$B$3,2,0)</f>
        <v>0</v>
      </c>
      <c r="G1002" s="971">
        <f t="shared" si="108"/>
        <v>0</v>
      </c>
      <c r="H1002" s="971"/>
      <c r="I1002" s="971"/>
      <c r="J1002" s="971"/>
      <c r="K1002" s="971"/>
      <c r="L1002" s="971"/>
      <c r="M1002" s="971"/>
      <c r="N1002" s="971"/>
      <c r="O1002" s="971"/>
      <c r="P1002" s="1353"/>
      <c r="Q1002" s="1353"/>
      <c r="R1002" s="1353"/>
      <c r="S1002" s="971"/>
      <c r="T1002" s="971"/>
      <c r="U1002" s="1398"/>
      <c r="V1002" s="971"/>
      <c r="W1002" s="971"/>
      <c r="X1002" s="971"/>
      <c r="Y1002" s="1353"/>
      <c r="Z1002" s="1353"/>
      <c r="AA1002" s="971"/>
      <c r="AB1002" s="971"/>
      <c r="AC1002" s="971"/>
      <c r="AD1002" s="971"/>
    </row>
    <row r="1003" spans="1:30" s="1355" customFormat="1" ht="15.75" customHeight="1" outlineLevel="1">
      <c r="A1003" s="1442" t="s">
        <v>3383</v>
      </c>
      <c r="B1003" s="920" t="str">
        <f t="shared" si="109"/>
        <v>м.п.</v>
      </c>
      <c r="C1003" s="1442">
        <f t="shared" si="110"/>
        <v>0.4</v>
      </c>
      <c r="D1003" s="1442">
        <f t="shared" si="110"/>
        <v>0.05</v>
      </c>
      <c r="E1003" s="1442">
        <f>IF('Ввод данных'!$A$369=связи1!$A$96,IF(дома!E1002&lt;связи1!$E$558,0,дома!E1002-$E$881),0)+IF(дома!E1002=0,0,IF('Ввод данных'!$A$369=связи1!$A$95,IF(дома!E1002&lt;0,0,дома!E1002-$E$881),0))+IF('Ввод данных'!$A$369=связи1!$A$98,IF(дома!E1002&lt;связи1!$E$558,0,дома!E1002-$E$881),0)</f>
        <v>2.9</v>
      </c>
      <c r="F1003" s="1442">
        <f>2*VLOOKUP('Ввод данных'!$F$416,связи1!$A$2:$B$3,2,0)</f>
        <v>0</v>
      </c>
      <c r="G1003" s="971">
        <f t="shared" si="108"/>
        <v>0</v>
      </c>
      <c r="H1003" s="971"/>
      <c r="I1003" s="971"/>
      <c r="J1003" s="971"/>
      <c r="K1003" s="971"/>
      <c r="L1003" s="971"/>
      <c r="M1003" s="971"/>
      <c r="N1003" s="971"/>
      <c r="O1003" s="971"/>
      <c r="P1003" s="1353"/>
      <c r="Q1003" s="1353"/>
      <c r="R1003" s="1353"/>
      <c r="S1003" s="971"/>
      <c r="T1003" s="971"/>
      <c r="U1003" s="1398"/>
      <c r="V1003" s="971"/>
      <c r="W1003" s="971"/>
      <c r="X1003" s="971"/>
      <c r="Y1003" s="1353"/>
      <c r="Z1003" s="1353"/>
      <c r="AA1003" s="971"/>
      <c r="AB1003" s="971"/>
      <c r="AC1003" s="971"/>
      <c r="AD1003" s="971"/>
    </row>
    <row r="1004" spans="1:30" s="1355" customFormat="1" ht="15.75" customHeight="1" outlineLevel="1">
      <c r="A1004" s="1442" t="s">
        <v>3384</v>
      </c>
      <c r="B1004" s="920" t="str">
        <f t="shared" si="109"/>
        <v>м.п.</v>
      </c>
      <c r="C1004" s="1442">
        <f t="shared" si="110"/>
        <v>0.4</v>
      </c>
      <c r="D1004" s="1442">
        <f t="shared" si="110"/>
        <v>0.05</v>
      </c>
      <c r="E1004" s="1442">
        <f>IF('Ввод данных'!$A$369=связи1!$A$96,IF(дома!E1003&lt;связи1!$E$558,0,дома!E1003-$E$881),0)+IF(дома!E1003=0,0,IF('Ввод данных'!$A$369=связи1!$A$95,IF(дома!E1003&lt;0,0,дома!E1003-$E$881),0))+IF('Ввод данных'!$A$369=связи1!$A$98,IF(дома!E1003&lt;связи1!$E$558,0,дома!E1003-$E$881),0)</f>
        <v>2.9</v>
      </c>
      <c r="F1004" s="1442">
        <f>2*VLOOKUP('Ввод данных'!$F$416,связи1!$A$2:$B$3,2,0)</f>
        <v>0</v>
      </c>
      <c r="G1004" s="971">
        <f t="shared" si="108"/>
        <v>0</v>
      </c>
      <c r="H1004" s="971"/>
      <c r="I1004" s="971"/>
      <c r="J1004" s="971"/>
      <c r="K1004" s="971"/>
      <c r="L1004" s="971"/>
      <c r="M1004" s="971"/>
      <c r="N1004" s="971"/>
      <c r="O1004" s="971"/>
      <c r="P1004" s="1353"/>
      <c r="Q1004" s="1353"/>
      <c r="R1004" s="1353"/>
      <c r="S1004" s="971"/>
      <c r="T1004" s="971"/>
      <c r="U1004" s="1398"/>
      <c r="V1004" s="971"/>
      <c r="W1004" s="971"/>
      <c r="X1004" s="971"/>
      <c r="Y1004" s="1353"/>
      <c r="Z1004" s="1353"/>
      <c r="AA1004" s="971"/>
      <c r="AB1004" s="971"/>
      <c r="AC1004" s="971"/>
      <c r="AD1004" s="971"/>
    </row>
    <row r="1005" spans="1:30" s="1355" customFormat="1" ht="15.75" customHeight="1" outlineLevel="1">
      <c r="A1005" s="1442" t="s">
        <v>3385</v>
      </c>
      <c r="B1005" s="920" t="str">
        <f t="shared" si="109"/>
        <v>м.п.</v>
      </c>
      <c r="C1005" s="1442">
        <f t="shared" si="110"/>
        <v>0.4</v>
      </c>
      <c r="D1005" s="1442">
        <f t="shared" si="110"/>
        <v>0.05</v>
      </c>
      <c r="E1005" s="1442">
        <f>IF('Ввод данных'!$A$369=связи1!$A$96,IF(дома!E1004&lt;связи1!$E$558,0,дома!E1004-$E$881),0)+IF(дома!E1004=0,0,IF('Ввод данных'!$A$369=связи1!$A$95,IF(дома!E1004&lt;0,0,дома!E1004-$E$881),0))+IF('Ввод данных'!$A$369=связи1!$A$98,IF(дома!E1004&lt;связи1!$E$558,0,дома!E1004-$E$881),0)</f>
        <v>2.9</v>
      </c>
      <c r="F1005" s="1442">
        <f>2*VLOOKUP('Ввод данных'!$F$416,связи1!$A$2:$B$3,2,0)</f>
        <v>0</v>
      </c>
      <c r="G1005" s="971">
        <f t="shared" si="108"/>
        <v>0</v>
      </c>
      <c r="H1005" s="971"/>
      <c r="I1005" s="971"/>
      <c r="J1005" s="971"/>
      <c r="K1005" s="971"/>
      <c r="L1005" s="971"/>
      <c r="M1005" s="971"/>
      <c r="N1005" s="971"/>
      <c r="O1005" s="971"/>
      <c r="P1005" s="1353"/>
      <c r="Q1005" s="1353"/>
      <c r="R1005" s="1353"/>
      <c r="S1005" s="971"/>
      <c r="T1005" s="971"/>
      <c r="U1005" s="1398"/>
      <c r="V1005" s="971"/>
      <c r="W1005" s="971"/>
      <c r="X1005" s="971"/>
      <c r="Y1005" s="1353"/>
      <c r="Z1005" s="1353"/>
      <c r="AA1005" s="971"/>
      <c r="AB1005" s="971"/>
      <c r="AC1005" s="971"/>
      <c r="AD1005" s="971"/>
    </row>
    <row r="1006" spans="1:30" s="1355" customFormat="1" ht="15.75" customHeight="1" outlineLevel="1">
      <c r="A1006" s="1442" t="s">
        <v>3386</v>
      </c>
      <c r="B1006" s="920" t="str">
        <f t="shared" si="109"/>
        <v>м.п.</v>
      </c>
      <c r="C1006" s="1442">
        <f t="shared" ref="C1006:D1025" si="111">C544</f>
        <v>0.4</v>
      </c>
      <c r="D1006" s="1442">
        <f t="shared" si="111"/>
        <v>0.05</v>
      </c>
      <c r="E1006" s="1442">
        <f>IF('Ввод данных'!$A$369=связи1!$A$96,IF(дома!E1005&lt;связи1!$E$558,0,дома!E1005-$E$881),0)+IF(дома!E1005=0,0,IF('Ввод данных'!$A$369=связи1!$A$95,IF(дома!E1005&lt;0,0,дома!E1005-$E$881),0))+IF('Ввод данных'!$A$369=связи1!$A$98,IF(дома!E1005&lt;связи1!$E$558,0,дома!E1005-$E$881),0)</f>
        <v>2.9</v>
      </c>
      <c r="F1006" s="1442">
        <f>2*VLOOKUP('Ввод данных'!$F$416,связи1!$A$2:$B$3,2,0)</f>
        <v>0</v>
      </c>
      <c r="G1006" s="971">
        <f t="shared" si="108"/>
        <v>0</v>
      </c>
      <c r="H1006" s="971"/>
      <c r="I1006" s="971"/>
      <c r="J1006" s="971"/>
      <c r="K1006" s="971"/>
      <c r="L1006" s="971"/>
      <c r="M1006" s="971"/>
      <c r="N1006" s="971"/>
      <c r="O1006" s="971"/>
      <c r="P1006" s="1353"/>
      <c r="Q1006" s="1353"/>
      <c r="R1006" s="1353"/>
      <c r="S1006" s="971"/>
      <c r="T1006" s="971"/>
      <c r="U1006" s="1398"/>
      <c r="V1006" s="971"/>
      <c r="W1006" s="971"/>
      <c r="X1006" s="971"/>
      <c r="Y1006" s="1353"/>
      <c r="Z1006" s="1353"/>
      <c r="AA1006" s="971"/>
      <c r="AB1006" s="971"/>
      <c r="AC1006" s="971"/>
      <c r="AD1006" s="971"/>
    </row>
    <row r="1007" spans="1:30" s="1355" customFormat="1" ht="15.75" customHeight="1" outlineLevel="1">
      <c r="A1007" s="1442" t="s">
        <v>3387</v>
      </c>
      <c r="B1007" s="920" t="str">
        <f t="shared" si="109"/>
        <v>м.п.</v>
      </c>
      <c r="C1007" s="1442">
        <f t="shared" si="111"/>
        <v>0.4</v>
      </c>
      <c r="D1007" s="1442">
        <f t="shared" si="111"/>
        <v>0.05</v>
      </c>
      <c r="E1007" s="1442">
        <f>IF('Ввод данных'!$A$369=связи1!$A$96,IF(дома!E1006&lt;связи1!$E$558,0,дома!E1006-$E$881),0)+IF(дома!E1006=0,0,IF('Ввод данных'!$A$369=связи1!$A$95,IF(дома!E1006&lt;0,0,дома!E1006-$E$881),0))+IF('Ввод данных'!$A$369=связи1!$A$98,IF(дома!E1006&lt;связи1!$E$558,0,дома!E1006-$E$881),0)</f>
        <v>2.9</v>
      </c>
      <c r="F1007" s="1442">
        <f>2*VLOOKUP('Ввод данных'!$F$416,связи1!$A$2:$B$3,2,0)</f>
        <v>0</v>
      </c>
      <c r="G1007" s="971">
        <f t="shared" si="108"/>
        <v>0</v>
      </c>
      <c r="H1007" s="971"/>
      <c r="I1007" s="971"/>
      <c r="J1007" s="971"/>
      <c r="K1007" s="971"/>
      <c r="L1007" s="971"/>
      <c r="M1007" s="971"/>
      <c r="N1007" s="971"/>
      <c r="O1007" s="971"/>
      <c r="P1007" s="1353"/>
      <c r="Q1007" s="1353"/>
      <c r="R1007" s="1353"/>
      <c r="S1007" s="971"/>
      <c r="T1007" s="971"/>
      <c r="U1007" s="1398"/>
      <c r="V1007" s="971"/>
      <c r="W1007" s="971"/>
      <c r="X1007" s="971"/>
      <c r="Y1007" s="1353"/>
      <c r="Z1007" s="1353"/>
      <c r="AA1007" s="971"/>
      <c r="AB1007" s="971"/>
      <c r="AC1007" s="971"/>
      <c r="AD1007" s="971"/>
    </row>
    <row r="1008" spans="1:30" s="1355" customFormat="1" ht="15.75" customHeight="1" outlineLevel="1">
      <c r="A1008" s="1442" t="s">
        <v>3388</v>
      </c>
      <c r="B1008" s="920" t="str">
        <f t="shared" ref="B1008:B1039" si="112">B546</f>
        <v>м.п.</v>
      </c>
      <c r="C1008" s="1442">
        <f t="shared" si="111"/>
        <v>0.4</v>
      </c>
      <c r="D1008" s="1442">
        <f t="shared" si="111"/>
        <v>0.05</v>
      </c>
      <c r="E1008" s="1442">
        <f>IF('Ввод данных'!$A$369=связи1!$A$96,IF(дома!E1007&lt;связи1!$E$558,0,дома!E1007-$E$881),0)+IF(дома!E1007=0,0,IF('Ввод данных'!$A$369=связи1!$A$95,IF(дома!E1007&lt;0,0,дома!E1007-$E$881),0))+IF('Ввод данных'!$A$369=связи1!$A$98,IF(дома!E1007&lt;связи1!$E$558,0,дома!E1007-$E$881),0)</f>
        <v>2.9</v>
      </c>
      <c r="F1008" s="1442">
        <f>2*VLOOKUP('Ввод данных'!$F$416,связи1!$A$2:$B$3,2,0)</f>
        <v>0</v>
      </c>
      <c r="G1008" s="971">
        <f t="shared" si="108"/>
        <v>0</v>
      </c>
      <c r="H1008" s="971"/>
      <c r="I1008" s="971"/>
      <c r="J1008" s="971"/>
      <c r="K1008" s="971"/>
      <c r="L1008" s="971"/>
      <c r="M1008" s="971"/>
      <c r="N1008" s="971"/>
      <c r="O1008" s="971"/>
      <c r="P1008" s="1353"/>
      <c r="Q1008" s="1353"/>
      <c r="R1008" s="1353"/>
      <c r="S1008" s="971"/>
      <c r="T1008" s="971"/>
      <c r="U1008" s="1398"/>
      <c r="V1008" s="971"/>
      <c r="W1008" s="971"/>
      <c r="X1008" s="971"/>
      <c r="Y1008" s="1353"/>
      <c r="Z1008" s="1353"/>
      <c r="AA1008" s="971"/>
      <c r="AB1008" s="971"/>
      <c r="AC1008" s="971"/>
      <c r="AD1008" s="971"/>
    </row>
    <row r="1009" spans="1:30" s="1355" customFormat="1" ht="15.75" customHeight="1" outlineLevel="1">
      <c r="A1009" s="1442" t="s">
        <v>3389</v>
      </c>
      <c r="B1009" s="920" t="str">
        <f t="shared" si="112"/>
        <v>м.п.</v>
      </c>
      <c r="C1009" s="1442">
        <f t="shared" si="111"/>
        <v>0.4</v>
      </c>
      <c r="D1009" s="1442">
        <f t="shared" si="111"/>
        <v>0.05</v>
      </c>
      <c r="E1009" s="1442">
        <f>IF('Ввод данных'!$A$369=связи1!$A$96,IF(дома!E1008&lt;связи1!$E$558,0,дома!E1008-$E$881),0)+IF(дома!E1008=0,0,IF('Ввод данных'!$A$369=связи1!$A$95,IF(дома!E1008&lt;0,0,дома!E1008-$E$881),0))+IF('Ввод данных'!$A$369=связи1!$A$98,IF(дома!E1008&lt;связи1!$E$558,0,дома!E1008-$E$881),0)</f>
        <v>2.9</v>
      </c>
      <c r="F1009" s="1442">
        <f>2*VLOOKUP('Ввод данных'!$F$416,связи1!$A$2:$B$3,2,0)</f>
        <v>0</v>
      </c>
      <c r="G1009" s="971">
        <f t="shared" si="108"/>
        <v>0</v>
      </c>
      <c r="H1009" s="971"/>
      <c r="I1009" s="971"/>
      <c r="J1009" s="971"/>
      <c r="K1009" s="971"/>
      <c r="L1009" s="971"/>
      <c r="M1009" s="971"/>
      <c r="N1009" s="971"/>
      <c r="O1009" s="971"/>
      <c r="P1009" s="1353"/>
      <c r="Q1009" s="1353"/>
      <c r="R1009" s="1353"/>
      <c r="S1009" s="971"/>
      <c r="T1009" s="971"/>
      <c r="U1009" s="1398"/>
      <c r="V1009" s="971"/>
      <c r="W1009" s="971"/>
      <c r="X1009" s="971"/>
      <c r="Y1009" s="1353"/>
      <c r="Z1009" s="1353"/>
      <c r="AA1009" s="971"/>
      <c r="AB1009" s="971"/>
      <c r="AC1009" s="971"/>
      <c r="AD1009" s="971"/>
    </row>
    <row r="1010" spans="1:30" s="1355" customFormat="1" ht="15.75" customHeight="1" outlineLevel="1">
      <c r="A1010" s="1442">
        <f>A548</f>
        <v>0</v>
      </c>
      <c r="B1010" s="920">
        <f t="shared" si="112"/>
        <v>0</v>
      </c>
      <c r="C1010" s="1442">
        <f t="shared" si="111"/>
        <v>0</v>
      </c>
      <c r="D1010" s="1442">
        <f t="shared" si="111"/>
        <v>0</v>
      </c>
      <c r="E1010" s="1442"/>
      <c r="F1010" s="1442"/>
      <c r="G1010" s="971">
        <f t="shared" si="108"/>
        <v>0</v>
      </c>
      <c r="H1010" s="971"/>
      <c r="I1010" s="971"/>
      <c r="J1010" s="971"/>
      <c r="K1010" s="971"/>
      <c r="L1010" s="971"/>
      <c r="M1010" s="971"/>
      <c r="N1010" s="971"/>
      <c r="O1010" s="971"/>
      <c r="P1010" s="1353"/>
      <c r="Q1010" s="1353"/>
      <c r="R1010" s="1353"/>
      <c r="S1010" s="971"/>
      <c r="T1010" s="971"/>
      <c r="U1010" s="1398"/>
      <c r="V1010" s="971"/>
      <c r="W1010" s="971"/>
      <c r="X1010" s="971"/>
      <c r="Y1010" s="1353"/>
      <c r="Z1010" s="1353"/>
      <c r="AA1010" s="971"/>
      <c r="AB1010" s="971"/>
      <c r="AC1010" s="971"/>
      <c r="AD1010" s="971"/>
    </row>
    <row r="1011" spans="1:30" s="1355" customFormat="1" ht="15.75" customHeight="1" outlineLevel="1">
      <c r="A1011" s="1447" t="s">
        <v>3392</v>
      </c>
      <c r="B1011" s="1449" t="str">
        <f t="shared" si="112"/>
        <v>ед.изм</v>
      </c>
      <c r="C1011" s="1447" t="str">
        <f t="shared" si="111"/>
        <v>ширина</v>
      </c>
      <c r="D1011" s="1447" t="str">
        <f t="shared" si="111"/>
        <v>толщина</v>
      </c>
      <c r="E1011" s="1447" t="str">
        <f>E549</f>
        <v>высота</v>
      </c>
      <c r="F1011" s="1447" t="str">
        <f>F549</f>
        <v>кол-во</v>
      </c>
      <c r="G1011" s="971"/>
      <c r="H1011" s="971"/>
      <c r="I1011" s="971"/>
      <c r="J1011" s="971"/>
      <c r="K1011" s="971"/>
      <c r="L1011" s="971"/>
      <c r="M1011" s="971"/>
      <c r="N1011" s="971"/>
      <c r="O1011" s="971"/>
      <c r="P1011" s="1353"/>
      <c r="Q1011" s="1353"/>
      <c r="R1011" s="1353"/>
      <c r="S1011" s="971"/>
      <c r="T1011" s="971"/>
      <c r="U1011" s="1398"/>
      <c r="V1011" s="971"/>
      <c r="W1011" s="971"/>
      <c r="X1011" s="971"/>
      <c r="Y1011" s="1353"/>
      <c r="Z1011" s="1353"/>
      <c r="AA1011" s="971"/>
      <c r="AB1011" s="971"/>
      <c r="AC1011" s="971"/>
      <c r="AD1011" s="971"/>
    </row>
    <row r="1012" spans="1:30" s="1355" customFormat="1" ht="15.75" customHeight="1" outlineLevel="1">
      <c r="A1012" s="1442" t="s">
        <v>3352</v>
      </c>
      <c r="B1012" s="920" t="str">
        <f t="shared" si="112"/>
        <v>м.п.</v>
      </c>
      <c r="C1012" s="1442">
        <f t="shared" si="111"/>
        <v>0.4</v>
      </c>
      <c r="D1012" s="1442">
        <f t="shared" si="111"/>
        <v>0.05</v>
      </c>
      <c r="E1012" s="1442">
        <f>E872</f>
        <v>0</v>
      </c>
      <c r="F1012" s="1442">
        <f>L872*VLOOKUP('Ввод данных'!$F$416,связи1!$A$2:$B$3,2,0)</f>
        <v>0</v>
      </c>
      <c r="G1012" s="971">
        <f t="shared" ref="G1012:G1051" si="113">C1012*D1012*E1012*F1012</f>
        <v>0</v>
      </c>
      <c r="H1012" s="971"/>
      <c r="I1012" s="971"/>
      <c r="J1012" s="971"/>
      <c r="K1012" s="971"/>
      <c r="L1012" s="971"/>
      <c r="M1012" s="971"/>
      <c r="N1012" s="971"/>
      <c r="O1012" s="971"/>
      <c r="P1012" s="1353"/>
      <c r="Q1012" s="1353"/>
      <c r="R1012" s="1353"/>
      <c r="S1012" s="971"/>
      <c r="T1012" s="971"/>
      <c r="U1012" s="1398"/>
      <c r="V1012" s="971"/>
      <c r="W1012" s="971"/>
      <c r="X1012" s="971"/>
      <c r="Y1012" s="1353"/>
      <c r="Z1012" s="1353"/>
      <c r="AA1012" s="971"/>
      <c r="AB1012" s="971"/>
      <c r="AC1012" s="971"/>
      <c r="AD1012" s="971"/>
    </row>
    <row r="1013" spans="1:30" s="1355" customFormat="1" ht="15.75" customHeight="1" outlineLevel="1">
      <c r="A1013" s="1442" t="s">
        <v>3353</v>
      </c>
      <c r="B1013" s="920" t="str">
        <f t="shared" si="112"/>
        <v>м.п.</v>
      </c>
      <c r="C1013" s="1442">
        <f t="shared" si="111"/>
        <v>0.4</v>
      </c>
      <c r="D1013" s="1442">
        <f t="shared" si="111"/>
        <v>0.05</v>
      </c>
      <c r="E1013" s="1442">
        <f>E873</f>
        <v>0</v>
      </c>
      <c r="F1013" s="1442">
        <f>L873*VLOOKUP('Ввод данных'!$F$416,связи1!$A$2:$B$3,2,0)</f>
        <v>0</v>
      </c>
      <c r="G1013" s="971">
        <f t="shared" si="113"/>
        <v>0</v>
      </c>
      <c r="H1013" s="971"/>
      <c r="I1013" s="971"/>
      <c r="J1013" s="971"/>
      <c r="K1013" s="971"/>
      <c r="L1013" s="971"/>
      <c r="M1013" s="971"/>
      <c r="N1013" s="971"/>
      <c r="O1013" s="971"/>
      <c r="P1013" s="1353"/>
      <c r="Q1013" s="1353"/>
      <c r="R1013" s="1353"/>
      <c r="S1013" s="971"/>
      <c r="T1013" s="971"/>
      <c r="U1013" s="1398"/>
      <c r="V1013" s="971"/>
      <c r="W1013" s="971"/>
      <c r="X1013" s="971"/>
      <c r="Y1013" s="1353"/>
      <c r="Z1013" s="1353"/>
      <c r="AA1013" s="971"/>
      <c r="AB1013" s="971"/>
      <c r="AC1013" s="971"/>
      <c r="AD1013" s="971"/>
    </row>
    <row r="1014" spans="1:30" s="1355" customFormat="1" ht="15.75" customHeight="1" outlineLevel="1">
      <c r="A1014" s="1442" t="s">
        <v>3354</v>
      </c>
      <c r="B1014" s="920" t="str">
        <f t="shared" si="112"/>
        <v>м.п.</v>
      </c>
      <c r="C1014" s="1442">
        <f t="shared" si="111"/>
        <v>0.4</v>
      </c>
      <c r="D1014" s="1442">
        <f t="shared" si="111"/>
        <v>0.05</v>
      </c>
      <c r="E1014" s="1442">
        <f>E874</f>
        <v>0</v>
      </c>
      <c r="F1014" s="1442">
        <f>L874*VLOOKUP('Ввод данных'!$F$416,связи1!$A$2:$B$3,2,0)</f>
        <v>0</v>
      </c>
      <c r="G1014" s="971">
        <f t="shared" si="113"/>
        <v>0</v>
      </c>
      <c r="H1014" s="971"/>
      <c r="I1014" s="971"/>
      <c r="J1014" s="971"/>
      <c r="K1014" s="971"/>
      <c r="L1014" s="971"/>
      <c r="M1014" s="971"/>
      <c r="N1014" s="971"/>
      <c r="O1014" s="971"/>
      <c r="P1014" s="1353"/>
      <c r="Q1014" s="1353"/>
      <c r="R1014" s="1353"/>
      <c r="S1014" s="971"/>
      <c r="T1014" s="971"/>
      <c r="U1014" s="1398"/>
      <c r="V1014" s="971"/>
      <c r="W1014" s="971"/>
      <c r="X1014" s="971"/>
      <c r="Y1014" s="1353"/>
      <c r="Z1014" s="1353"/>
      <c r="AA1014" s="971"/>
      <c r="AB1014" s="971"/>
      <c r="AC1014" s="971"/>
      <c r="AD1014" s="971"/>
    </row>
    <row r="1015" spans="1:30" s="1355" customFormat="1" ht="15.75" customHeight="1" outlineLevel="1">
      <c r="A1015" s="1442" t="s">
        <v>3270</v>
      </c>
      <c r="B1015" s="920" t="str">
        <f t="shared" si="112"/>
        <v>м.п.</v>
      </c>
      <c r="C1015" s="1442">
        <f t="shared" si="111"/>
        <v>0.4</v>
      </c>
      <c r="D1015" s="1442">
        <f t="shared" si="111"/>
        <v>0.05</v>
      </c>
      <c r="E1015" s="1442">
        <f>1</f>
        <v>1</v>
      </c>
      <c r="F1015" s="1442">
        <f>P875*VLOOKUP('Ввод данных'!$F$416,связи1!$A$2:$B$3,2,0)+Q875*VLOOKUP('Ввод данных'!$F$416,связи1!$A$2:$B$3,2,0)</f>
        <v>0</v>
      </c>
      <c r="G1015" s="971">
        <f t="shared" si="113"/>
        <v>0</v>
      </c>
      <c r="H1015" s="971"/>
      <c r="I1015" s="971"/>
      <c r="J1015" s="971"/>
      <c r="K1015" s="971"/>
      <c r="L1015" s="971"/>
      <c r="M1015" s="971"/>
      <c r="N1015" s="971"/>
      <c r="O1015" s="971"/>
      <c r="P1015" s="1353"/>
      <c r="Q1015" s="1353"/>
      <c r="R1015" s="1353"/>
      <c r="S1015" s="971"/>
      <c r="T1015" s="971"/>
      <c r="U1015" s="1398"/>
      <c r="V1015" s="971"/>
      <c r="W1015" s="971"/>
      <c r="X1015" s="971"/>
      <c r="Y1015" s="1353"/>
      <c r="Z1015" s="1353"/>
      <c r="AA1015" s="971"/>
      <c r="AB1015" s="971"/>
      <c r="AC1015" s="971"/>
      <c r="AD1015" s="971"/>
    </row>
    <row r="1016" spans="1:30" s="1355" customFormat="1" ht="15.75" customHeight="1" outlineLevel="1">
      <c r="A1016" s="1442" t="s">
        <v>3271</v>
      </c>
      <c r="B1016" s="920" t="str">
        <f t="shared" si="112"/>
        <v>м.п.</v>
      </c>
      <c r="C1016" s="1442">
        <f t="shared" si="111"/>
        <v>0.4</v>
      </c>
      <c r="D1016" s="1442">
        <f t="shared" si="111"/>
        <v>0.05</v>
      </c>
      <c r="E1016" s="1442">
        <f>1</f>
        <v>1</v>
      </c>
      <c r="F1016" s="1442">
        <f>R875*VLOOKUP('Ввод данных'!$F$416,связи1!$A$2:$B$3,2,0)</f>
        <v>0</v>
      </c>
      <c r="G1016" s="971">
        <f t="shared" si="113"/>
        <v>0</v>
      </c>
      <c r="H1016" s="971"/>
      <c r="I1016" s="971"/>
      <c r="J1016" s="971"/>
      <c r="K1016" s="971"/>
      <c r="L1016" s="971"/>
      <c r="M1016" s="971"/>
      <c r="N1016" s="971"/>
      <c r="O1016" s="971"/>
      <c r="P1016" s="1353"/>
      <c r="Q1016" s="1353"/>
      <c r="R1016" s="1353"/>
      <c r="S1016" s="971"/>
      <c r="T1016" s="971"/>
      <c r="U1016" s="1398"/>
      <c r="V1016" s="971"/>
      <c r="W1016" s="971"/>
      <c r="X1016" s="971"/>
      <c r="Y1016" s="1353"/>
      <c r="Z1016" s="1353"/>
      <c r="AA1016" s="971"/>
      <c r="AB1016" s="971"/>
      <c r="AC1016" s="971"/>
      <c r="AD1016" s="971"/>
    </row>
    <row r="1017" spans="1:30" s="1355" customFormat="1" ht="15.75" customHeight="1" outlineLevel="1">
      <c r="A1017" s="1442" t="s">
        <v>3355</v>
      </c>
      <c r="B1017" s="920" t="str">
        <f t="shared" si="112"/>
        <v>м.п.</v>
      </c>
      <c r="C1017" s="1442">
        <f t="shared" si="111"/>
        <v>0.4</v>
      </c>
      <c r="D1017" s="1442">
        <f t="shared" si="111"/>
        <v>0.05</v>
      </c>
      <c r="E1017" s="1442">
        <v>1.5</v>
      </c>
      <c r="F1017" s="1442">
        <f>8*VLOOKUP('Ввод данных'!$F$416,связи1!$A$2:$B$3,2,0)</f>
        <v>0</v>
      </c>
      <c r="G1017" s="971">
        <f t="shared" si="113"/>
        <v>0</v>
      </c>
      <c r="H1017" s="971"/>
      <c r="I1017" s="971"/>
      <c r="J1017" s="971"/>
      <c r="K1017" s="971"/>
      <c r="L1017" s="971"/>
      <c r="M1017" s="971"/>
      <c r="N1017" s="971"/>
      <c r="O1017" s="971"/>
      <c r="P1017" s="1353"/>
      <c r="Q1017" s="1353"/>
      <c r="R1017" s="1353"/>
      <c r="S1017" s="971"/>
      <c r="T1017" s="971"/>
      <c r="U1017" s="1398"/>
      <c r="V1017" s="971"/>
      <c r="W1017" s="971"/>
      <c r="X1017" s="971"/>
      <c r="Y1017" s="1353"/>
      <c r="Z1017" s="1353"/>
      <c r="AA1017" s="971"/>
      <c r="AB1017" s="971"/>
      <c r="AC1017" s="971"/>
      <c r="AD1017" s="971"/>
    </row>
    <row r="1018" spans="1:30" s="1355" customFormat="1" ht="15.75" customHeight="1" outlineLevel="1">
      <c r="A1018" s="1442" t="s">
        <v>3356</v>
      </c>
      <c r="B1018" s="920" t="str">
        <f t="shared" si="112"/>
        <v>м.п.</v>
      </c>
      <c r="C1018" s="1442">
        <f t="shared" si="111"/>
        <v>0.4</v>
      </c>
      <c r="D1018" s="1442">
        <f t="shared" si="111"/>
        <v>0.05</v>
      </c>
      <c r="E1018" s="1442">
        <f>IF('Ввод данных'!A372=связи1!A106,IF('Ввод данных'!A373=связи1!A94,0,0)+IF('Ввод данных'!A373=связи1!A95,связи1!F557-связи1!F556,0)+IF('Ввод данных'!A373=связи1!A96,связи1!F557,0)+IF('Ввод данных'!A373=связи1!A97,0,0)+IF('Ввод данных'!A373=связи1!A98,связи1!F557,0),0)</f>
        <v>0</v>
      </c>
      <c r="F1018" s="1442">
        <f>2*VLOOKUP('Ввод данных'!$F$416,связи1!$A$2:$B$3,2,0)</f>
        <v>0</v>
      </c>
      <c r="G1018" s="971">
        <f t="shared" si="113"/>
        <v>0</v>
      </c>
      <c r="H1018" s="971"/>
      <c r="I1018" s="971"/>
      <c r="J1018" s="971"/>
      <c r="K1018" s="971"/>
      <c r="L1018" s="971"/>
      <c r="M1018" s="971"/>
      <c r="N1018" s="971"/>
      <c r="O1018" s="971"/>
      <c r="P1018" s="1353"/>
      <c r="Q1018" s="1353"/>
      <c r="R1018" s="1353"/>
      <c r="S1018" s="971"/>
      <c r="T1018" s="971"/>
      <c r="U1018" s="1398"/>
      <c r="V1018" s="971"/>
      <c r="W1018" s="971"/>
      <c r="X1018" s="971"/>
      <c r="Y1018" s="1353"/>
      <c r="Z1018" s="1353"/>
      <c r="AA1018" s="971"/>
      <c r="AB1018" s="971"/>
      <c r="AC1018" s="971"/>
      <c r="AD1018" s="971"/>
    </row>
    <row r="1019" spans="1:30" s="1355" customFormat="1" ht="15.75" customHeight="1" outlineLevel="1">
      <c r="A1019" s="1442" t="s">
        <v>3357</v>
      </c>
      <c r="B1019" s="920" t="str">
        <f t="shared" si="112"/>
        <v>м.п.</v>
      </c>
      <c r="C1019" s="1442">
        <f t="shared" si="111"/>
        <v>0.4</v>
      </c>
      <c r="D1019" s="1442">
        <f t="shared" si="111"/>
        <v>0.05</v>
      </c>
      <c r="E1019" s="1442">
        <f>IF('Ввод данных'!$A$373=связи1!$A$96,IF(дома!E1018&lt;связи1!$F$558,0,дома!E1018-$F$881),0)+IF(дома!E1018=0,0,IF('Ввод данных'!$A$373=связи1!$A$95,IF(дома!E1018&lt;0,0,дома!E1018-$F$881),0))+IF('Ввод данных'!$A$373=связи1!$A$98,IF(дома!E1018&lt;связи1!$F$558,0,дома!E1018-$F$881),0)</f>
        <v>0</v>
      </c>
      <c r="F1019" s="1442">
        <f>2*VLOOKUP('Ввод данных'!$F$416,связи1!$A$2:$B$3,2,0)</f>
        <v>0</v>
      </c>
      <c r="G1019" s="971">
        <f t="shared" si="113"/>
        <v>0</v>
      </c>
      <c r="H1019" s="971"/>
      <c r="I1019" s="971"/>
      <c r="J1019" s="971"/>
      <c r="K1019" s="971"/>
      <c r="L1019" s="971"/>
      <c r="M1019" s="971"/>
      <c r="N1019" s="971"/>
      <c r="O1019" s="971"/>
      <c r="P1019" s="1353"/>
      <c r="Q1019" s="1353"/>
      <c r="R1019" s="1353"/>
      <c r="S1019" s="971"/>
      <c r="T1019" s="971"/>
      <c r="U1019" s="1398"/>
      <c r="V1019" s="971"/>
      <c r="W1019" s="971"/>
      <c r="X1019" s="971"/>
      <c r="Y1019" s="1353"/>
      <c r="Z1019" s="1353"/>
      <c r="AA1019" s="971"/>
      <c r="AB1019" s="971"/>
      <c r="AC1019" s="971"/>
      <c r="AD1019" s="971"/>
    </row>
    <row r="1020" spans="1:30" s="1355" customFormat="1" ht="15.75" customHeight="1" outlineLevel="1">
      <c r="A1020" s="1442" t="s">
        <v>3358</v>
      </c>
      <c r="B1020" s="920" t="str">
        <f t="shared" si="112"/>
        <v>м.п.</v>
      </c>
      <c r="C1020" s="1442">
        <f t="shared" si="111"/>
        <v>0.4</v>
      </c>
      <c r="D1020" s="1442">
        <f t="shared" si="111"/>
        <v>0.05</v>
      </c>
      <c r="E1020" s="1442">
        <f>IF('Ввод данных'!$A$373=связи1!$A$96,IF(дома!E1019&lt;связи1!$F$558,0,дома!E1019-$F$881),0)+IF(дома!E1019=0,0,IF('Ввод данных'!$A$373=связи1!$A$95,IF(дома!E1019&lt;0,0,дома!E1019-$F$881),0))+IF('Ввод данных'!$A$373=связи1!$A$98,IF(дома!E1019&lt;связи1!$F$558,0,дома!E1019-$F$881),0)</f>
        <v>0</v>
      </c>
      <c r="F1020" s="1442">
        <f>2*VLOOKUP('Ввод данных'!$F$416,связи1!$A$2:$B$3,2,0)</f>
        <v>0</v>
      </c>
      <c r="G1020" s="971">
        <f t="shared" si="113"/>
        <v>0</v>
      </c>
      <c r="H1020" s="971"/>
      <c r="I1020" s="971"/>
      <c r="J1020" s="971"/>
      <c r="K1020" s="971"/>
      <c r="L1020" s="971"/>
      <c r="M1020" s="971"/>
      <c r="N1020" s="971"/>
      <c r="O1020" s="971"/>
      <c r="P1020" s="1353"/>
      <c r="Q1020" s="1353"/>
      <c r="R1020" s="1353"/>
      <c r="S1020" s="971"/>
      <c r="T1020" s="971"/>
      <c r="U1020" s="1398"/>
      <c r="V1020" s="971"/>
      <c r="W1020" s="971"/>
      <c r="X1020" s="971"/>
      <c r="Y1020" s="1353"/>
      <c r="Z1020" s="1353"/>
      <c r="AA1020" s="971"/>
      <c r="AB1020" s="971"/>
      <c r="AC1020" s="971"/>
      <c r="AD1020" s="971"/>
    </row>
    <row r="1021" spans="1:30" s="1355" customFormat="1" ht="15.75" customHeight="1" outlineLevel="1">
      <c r="A1021" s="1442" t="s">
        <v>3359</v>
      </c>
      <c r="B1021" s="920" t="str">
        <f t="shared" si="112"/>
        <v>м.п.</v>
      </c>
      <c r="C1021" s="1442">
        <f t="shared" si="111"/>
        <v>0.4</v>
      </c>
      <c r="D1021" s="1442">
        <f t="shared" si="111"/>
        <v>0.05</v>
      </c>
      <c r="E1021" s="1442">
        <f>IF('Ввод данных'!$A$373=связи1!$A$96,IF(дома!E1020&lt;связи1!$F$558,0,дома!E1020-$F$881),0)+IF(дома!E1020=0,0,IF('Ввод данных'!$A$373=связи1!$A$95,IF(дома!E1020&lt;0,0,дома!E1020-$F$881),0))+IF('Ввод данных'!$A$373=связи1!$A$98,IF(дома!E1020&lt;связи1!$F$558,0,дома!E1020-$F$881),0)</f>
        <v>0</v>
      </c>
      <c r="F1021" s="1442">
        <f>2*VLOOKUP('Ввод данных'!$F$416,связи1!$A$2:$B$3,2,0)</f>
        <v>0</v>
      </c>
      <c r="G1021" s="971">
        <f t="shared" si="113"/>
        <v>0</v>
      </c>
      <c r="H1021" s="971"/>
      <c r="I1021" s="971"/>
      <c r="J1021" s="971"/>
      <c r="K1021" s="971"/>
      <c r="L1021" s="971"/>
      <c r="M1021" s="971"/>
      <c r="N1021" s="971"/>
      <c r="O1021" s="971"/>
      <c r="P1021" s="1353"/>
      <c r="Q1021" s="1353"/>
      <c r="R1021" s="1353"/>
      <c r="S1021" s="971"/>
      <c r="T1021" s="971"/>
      <c r="U1021" s="1398"/>
      <c r="V1021" s="971"/>
      <c r="W1021" s="971"/>
      <c r="X1021" s="971"/>
      <c r="Y1021" s="1353"/>
      <c r="Z1021" s="1353"/>
      <c r="AA1021" s="971"/>
      <c r="AB1021" s="971"/>
      <c r="AC1021" s="971"/>
      <c r="AD1021" s="971"/>
    </row>
    <row r="1022" spans="1:30" s="1355" customFormat="1" ht="15.75" customHeight="1" outlineLevel="1">
      <c r="A1022" s="1442" t="s">
        <v>3360</v>
      </c>
      <c r="B1022" s="920" t="str">
        <f t="shared" si="112"/>
        <v>м.п.</v>
      </c>
      <c r="C1022" s="1442">
        <f t="shared" si="111"/>
        <v>0.4</v>
      </c>
      <c r="D1022" s="1442">
        <f t="shared" si="111"/>
        <v>0.05</v>
      </c>
      <c r="E1022" s="1442">
        <f>IF('Ввод данных'!$A$373=связи1!$A$96,IF(дома!E1021&lt;связи1!$F$558,0,дома!E1021-$F$881),0)+IF(дома!E1021=0,0,IF('Ввод данных'!$A$373=связи1!$A$95,IF(дома!E1021&lt;0,0,дома!E1021-$F$881),0))+IF('Ввод данных'!$A$373=связи1!$A$98,IF(дома!E1021&lt;связи1!$F$558,0,дома!E1021-$F$881),0)</f>
        <v>0</v>
      </c>
      <c r="F1022" s="1442">
        <f>2*VLOOKUP('Ввод данных'!$F$416,связи1!$A$2:$B$3,2,0)</f>
        <v>0</v>
      </c>
      <c r="G1022" s="971">
        <f t="shared" si="113"/>
        <v>0</v>
      </c>
      <c r="H1022" s="971"/>
      <c r="I1022" s="971"/>
      <c r="J1022" s="971"/>
      <c r="K1022" s="971"/>
      <c r="L1022" s="971"/>
      <c r="M1022" s="971"/>
      <c r="N1022" s="971"/>
      <c r="O1022" s="971"/>
      <c r="P1022" s="1353"/>
      <c r="Q1022" s="1353"/>
      <c r="R1022" s="1353"/>
      <c r="S1022" s="971"/>
      <c r="T1022" s="971"/>
      <c r="U1022" s="1398"/>
      <c r="V1022" s="971"/>
      <c r="W1022" s="971"/>
      <c r="X1022" s="971"/>
      <c r="Y1022" s="1353"/>
      <c r="Z1022" s="1353"/>
      <c r="AA1022" s="971"/>
      <c r="AB1022" s="971"/>
      <c r="AC1022" s="971"/>
      <c r="AD1022" s="971"/>
    </row>
    <row r="1023" spans="1:30" s="1355" customFormat="1" ht="15.75" customHeight="1" outlineLevel="1">
      <c r="A1023" s="1442" t="s">
        <v>3361</v>
      </c>
      <c r="B1023" s="920" t="str">
        <f t="shared" si="112"/>
        <v>м.п.</v>
      </c>
      <c r="C1023" s="1442">
        <f t="shared" si="111"/>
        <v>0.4</v>
      </c>
      <c r="D1023" s="1442">
        <f t="shared" si="111"/>
        <v>0.05</v>
      </c>
      <c r="E1023" s="1442">
        <f>IF('Ввод данных'!$A$373=связи1!$A$96,IF(дома!E1022&lt;связи1!$F$558,0,дома!E1022-$F$881),0)+IF(дома!E1022=0,0,IF('Ввод данных'!$A$373=связи1!$A$95,IF(дома!E1022&lt;0,0,дома!E1022-$F$881),0))+IF('Ввод данных'!$A$373=связи1!$A$98,IF(дома!E1022&lt;связи1!$F$558,0,дома!E1022-$F$881),0)</f>
        <v>0</v>
      </c>
      <c r="F1023" s="1442">
        <f>2*VLOOKUP('Ввод данных'!$F$416,связи1!$A$2:$B$3,2,0)</f>
        <v>0</v>
      </c>
      <c r="G1023" s="971">
        <f t="shared" si="113"/>
        <v>0</v>
      </c>
      <c r="H1023" s="971"/>
      <c r="I1023" s="971"/>
      <c r="J1023" s="971"/>
      <c r="K1023" s="971"/>
      <c r="L1023" s="971"/>
      <c r="M1023" s="971"/>
      <c r="N1023" s="971"/>
      <c r="O1023" s="971"/>
      <c r="P1023" s="1353"/>
      <c r="Q1023" s="1353"/>
      <c r="R1023" s="1353"/>
      <c r="S1023" s="971"/>
      <c r="T1023" s="971"/>
      <c r="U1023" s="1398"/>
      <c r="V1023" s="971"/>
      <c r="W1023" s="971"/>
      <c r="X1023" s="971"/>
      <c r="Y1023" s="1353"/>
      <c r="Z1023" s="1353"/>
      <c r="AA1023" s="971"/>
      <c r="AB1023" s="971"/>
      <c r="AC1023" s="971"/>
      <c r="AD1023" s="971"/>
    </row>
    <row r="1024" spans="1:30" s="1355" customFormat="1" ht="15.75" customHeight="1" outlineLevel="1">
      <c r="A1024" s="1442" t="s">
        <v>3362</v>
      </c>
      <c r="B1024" s="920" t="str">
        <f t="shared" si="112"/>
        <v>м.п.</v>
      </c>
      <c r="C1024" s="1442">
        <f t="shared" si="111"/>
        <v>0.4</v>
      </c>
      <c r="D1024" s="1442">
        <f t="shared" si="111"/>
        <v>0.05</v>
      </c>
      <c r="E1024" s="1442">
        <f>IF('Ввод данных'!$A$373=связи1!$A$96,IF(дома!E1023&lt;связи1!$F$558,0,дома!E1023-$F$881),0)+IF(дома!E1023=0,0,IF('Ввод данных'!$A$373=связи1!$A$95,IF(дома!E1023&lt;0,0,дома!E1023-$F$881),0))+IF('Ввод данных'!$A$373=связи1!$A$98,IF(дома!E1023&lt;связи1!$F$558,0,дома!E1023-$F$881),0)</f>
        <v>0</v>
      </c>
      <c r="F1024" s="1442">
        <f>2*VLOOKUP('Ввод данных'!$F$416,связи1!$A$2:$B$3,2,0)</f>
        <v>0</v>
      </c>
      <c r="G1024" s="971">
        <f t="shared" si="113"/>
        <v>0</v>
      </c>
      <c r="H1024" s="971"/>
      <c r="I1024" s="971"/>
      <c r="J1024" s="971"/>
      <c r="K1024" s="971"/>
      <c r="L1024" s="971"/>
      <c r="M1024" s="971"/>
      <c r="N1024" s="971"/>
      <c r="O1024" s="971"/>
      <c r="P1024" s="1353"/>
      <c r="Q1024" s="1353"/>
      <c r="R1024" s="1353"/>
      <c r="S1024" s="971"/>
      <c r="T1024" s="971"/>
      <c r="U1024" s="1398"/>
      <c r="V1024" s="971"/>
      <c r="W1024" s="971"/>
      <c r="X1024" s="971"/>
      <c r="Y1024" s="1353"/>
      <c r="Z1024" s="1353"/>
      <c r="AA1024" s="971"/>
      <c r="AB1024" s="971"/>
      <c r="AC1024" s="971"/>
      <c r="AD1024" s="971"/>
    </row>
    <row r="1025" spans="1:30" s="1355" customFormat="1" ht="15.75" customHeight="1" outlineLevel="1">
      <c r="A1025" s="1442" t="s">
        <v>3363</v>
      </c>
      <c r="B1025" s="920" t="str">
        <f t="shared" si="112"/>
        <v>м.п.</v>
      </c>
      <c r="C1025" s="1442">
        <f t="shared" si="111"/>
        <v>0.4</v>
      </c>
      <c r="D1025" s="1442">
        <f t="shared" si="111"/>
        <v>0.05</v>
      </c>
      <c r="E1025" s="1442">
        <f>IF('Ввод данных'!$A$373=связи1!$A$96,IF(дома!E1024&lt;связи1!$F$558,0,дома!E1024-$F$881),0)+IF(дома!E1024=0,0,IF('Ввод данных'!$A$373=связи1!$A$95,IF(дома!E1024&lt;0,0,дома!E1024-$F$881),0))+IF('Ввод данных'!$A$373=связи1!$A$98,IF(дома!E1024&lt;связи1!$F$558,0,дома!E1024-$F$881),0)</f>
        <v>0</v>
      </c>
      <c r="F1025" s="1442">
        <f>2*VLOOKUP('Ввод данных'!$F$416,связи1!$A$2:$B$3,2,0)</f>
        <v>0</v>
      </c>
      <c r="G1025" s="971">
        <f t="shared" si="113"/>
        <v>0</v>
      </c>
      <c r="H1025" s="971"/>
      <c r="I1025" s="971"/>
      <c r="J1025" s="971"/>
      <c r="K1025" s="971"/>
      <c r="L1025" s="971"/>
      <c r="M1025" s="971"/>
      <c r="N1025" s="971"/>
      <c r="O1025" s="971"/>
      <c r="P1025" s="1353"/>
      <c r="Q1025" s="1353"/>
      <c r="R1025" s="1353"/>
      <c r="S1025" s="971"/>
      <c r="T1025" s="971"/>
      <c r="U1025" s="1398"/>
      <c r="V1025" s="971"/>
      <c r="W1025" s="971"/>
      <c r="X1025" s="971"/>
      <c r="Y1025" s="1353"/>
      <c r="Z1025" s="1353"/>
      <c r="AA1025" s="971"/>
      <c r="AB1025" s="971"/>
      <c r="AC1025" s="971"/>
      <c r="AD1025" s="971"/>
    </row>
    <row r="1026" spans="1:30" s="1355" customFormat="1" ht="15.75" customHeight="1" outlineLevel="1">
      <c r="A1026" s="1442" t="s">
        <v>3364</v>
      </c>
      <c r="B1026" s="920" t="str">
        <f t="shared" si="112"/>
        <v>м.п.</v>
      </c>
      <c r="C1026" s="1442">
        <f t="shared" ref="C1026:D1045" si="114">C564</f>
        <v>0.4</v>
      </c>
      <c r="D1026" s="1442">
        <f t="shared" si="114"/>
        <v>0.05</v>
      </c>
      <c r="E1026" s="1442">
        <f>IF('Ввод данных'!$A$373=связи1!$A$96,IF(дома!E1025&lt;связи1!$F$558,0,дома!E1025-$F$881),0)+IF(дома!E1025=0,0,IF('Ввод данных'!$A$373=связи1!$A$95,IF(дома!E1025&lt;0,0,дома!E1025-$F$881),0))+IF('Ввод данных'!$A$373=связи1!$A$98,IF(дома!E1025&lt;связи1!$F$558,0,дома!E1025-$F$881),0)</f>
        <v>0</v>
      </c>
      <c r="F1026" s="1442">
        <f>2*VLOOKUP('Ввод данных'!$F$416,связи1!$A$2:$B$3,2,0)</f>
        <v>0</v>
      </c>
      <c r="G1026" s="971">
        <f t="shared" si="113"/>
        <v>0</v>
      </c>
      <c r="H1026" s="971"/>
      <c r="I1026" s="971"/>
      <c r="J1026" s="971"/>
      <c r="K1026" s="971"/>
      <c r="L1026" s="971"/>
      <c r="M1026" s="971"/>
      <c r="N1026" s="971"/>
      <c r="O1026" s="971"/>
      <c r="P1026" s="1353"/>
      <c r="Q1026" s="1353"/>
      <c r="R1026" s="1353"/>
      <c r="S1026" s="971"/>
      <c r="T1026" s="971"/>
      <c r="U1026" s="1398"/>
      <c r="V1026" s="971"/>
      <c r="W1026" s="971"/>
      <c r="X1026" s="971"/>
      <c r="Y1026" s="1353"/>
      <c r="Z1026" s="1353"/>
      <c r="AA1026" s="971"/>
      <c r="AB1026" s="971"/>
      <c r="AC1026" s="971"/>
      <c r="AD1026" s="971"/>
    </row>
    <row r="1027" spans="1:30" s="1355" customFormat="1" ht="15.75" customHeight="1" outlineLevel="1">
      <c r="A1027" s="1442" t="s">
        <v>3365</v>
      </c>
      <c r="B1027" s="920" t="str">
        <f t="shared" si="112"/>
        <v>м.п.</v>
      </c>
      <c r="C1027" s="1442">
        <f t="shared" si="114"/>
        <v>0.4</v>
      </c>
      <c r="D1027" s="1442">
        <f t="shared" si="114"/>
        <v>0.05</v>
      </c>
      <c r="E1027" s="1442">
        <f>IF('Ввод данных'!$A$373=связи1!$A$96,IF(дома!E1026&lt;связи1!$F$558,0,дома!E1026-$F$881),0)+IF(дома!E1026=0,0,IF('Ввод данных'!$A$373=связи1!$A$95,IF(дома!E1026&lt;0,0,дома!E1026-$F$881),0))+IF('Ввод данных'!$A$373=связи1!$A$98,IF(дома!E1026&lt;связи1!$F$558,0,дома!E1026-$F$881),0)</f>
        <v>0</v>
      </c>
      <c r="F1027" s="1442">
        <f>2*VLOOKUP('Ввод данных'!$F$416,связи1!$A$2:$B$3,2,0)</f>
        <v>0</v>
      </c>
      <c r="G1027" s="971">
        <f t="shared" si="113"/>
        <v>0</v>
      </c>
      <c r="H1027" s="971"/>
      <c r="I1027" s="971"/>
      <c r="J1027" s="971"/>
      <c r="K1027" s="971"/>
      <c r="L1027" s="971"/>
      <c r="M1027" s="971"/>
      <c r="N1027" s="971"/>
      <c r="O1027" s="971"/>
      <c r="P1027" s="1353"/>
      <c r="Q1027" s="1353"/>
      <c r="R1027" s="1353"/>
      <c r="S1027" s="971"/>
      <c r="T1027" s="971"/>
      <c r="U1027" s="1398"/>
      <c r="V1027" s="971"/>
      <c r="W1027" s="971"/>
      <c r="X1027" s="971"/>
      <c r="Y1027" s="1353"/>
      <c r="Z1027" s="1353"/>
      <c r="AA1027" s="971"/>
      <c r="AB1027" s="971"/>
      <c r="AC1027" s="971"/>
      <c r="AD1027" s="971"/>
    </row>
    <row r="1028" spans="1:30" s="1355" customFormat="1" ht="15.75" customHeight="1" outlineLevel="1">
      <c r="A1028" s="1442" t="s">
        <v>3366</v>
      </c>
      <c r="B1028" s="920" t="str">
        <f t="shared" si="112"/>
        <v>м.п.</v>
      </c>
      <c r="C1028" s="1442">
        <f t="shared" si="114"/>
        <v>0.4</v>
      </c>
      <c r="D1028" s="1442">
        <f t="shared" si="114"/>
        <v>0.05</v>
      </c>
      <c r="E1028" s="1442">
        <f>IF('Ввод данных'!$A$373=связи1!$A$96,IF(дома!E1027&lt;связи1!$F$558,0,дома!E1027-$F$881),0)+IF(дома!E1027=0,0,IF('Ввод данных'!$A$373=связи1!$A$95,IF(дома!E1027&lt;0,0,дома!E1027-$F$881),0))+IF('Ввод данных'!$A$373=связи1!$A$98,IF(дома!E1027&lt;связи1!$F$558,0,дома!E1027-$F$881),0)</f>
        <v>0</v>
      </c>
      <c r="F1028" s="1442">
        <f>2*VLOOKUP('Ввод данных'!$F$416,связи1!$A$2:$B$3,2,0)</f>
        <v>0</v>
      </c>
      <c r="G1028" s="971">
        <f t="shared" si="113"/>
        <v>0</v>
      </c>
      <c r="H1028" s="971"/>
      <c r="I1028" s="971"/>
      <c r="J1028" s="971"/>
      <c r="K1028" s="971"/>
      <c r="L1028" s="971"/>
      <c r="M1028" s="971"/>
      <c r="N1028" s="971"/>
      <c r="O1028" s="971"/>
      <c r="P1028" s="1353"/>
      <c r="Q1028" s="1353"/>
      <c r="R1028" s="1353"/>
      <c r="S1028" s="971"/>
      <c r="T1028" s="971"/>
      <c r="U1028" s="1398"/>
      <c r="V1028" s="971"/>
      <c r="W1028" s="971"/>
      <c r="X1028" s="971"/>
      <c r="Y1028" s="1353"/>
      <c r="Z1028" s="1353"/>
      <c r="AA1028" s="971"/>
      <c r="AB1028" s="971"/>
      <c r="AC1028" s="971"/>
      <c r="AD1028" s="971"/>
    </row>
    <row r="1029" spans="1:30" s="1355" customFormat="1" ht="15.75" customHeight="1" outlineLevel="1">
      <c r="A1029" s="1442" t="s">
        <v>3367</v>
      </c>
      <c r="B1029" s="920" t="str">
        <f t="shared" si="112"/>
        <v>м.п.</v>
      </c>
      <c r="C1029" s="1442">
        <f t="shared" si="114"/>
        <v>0.4</v>
      </c>
      <c r="D1029" s="1442">
        <f t="shared" si="114"/>
        <v>0.05</v>
      </c>
      <c r="E1029" s="1442">
        <f>IF('Ввод данных'!$A$373=связи1!$A$96,IF(дома!E1028&lt;связи1!$F$558,0,дома!E1028-$F$881),0)+IF(дома!E1028=0,0,IF('Ввод данных'!$A$373=связи1!$A$95,IF(дома!E1028&lt;0,0,дома!E1028-$F$881),0))+IF('Ввод данных'!$A$373=связи1!$A$98,IF(дома!E1028&lt;связи1!$F$558,0,дома!E1028-$F$881),0)</f>
        <v>0</v>
      </c>
      <c r="F1029" s="1442">
        <f>2*VLOOKUP('Ввод данных'!$F$416,связи1!$A$2:$B$3,2,0)</f>
        <v>0</v>
      </c>
      <c r="G1029" s="971">
        <f t="shared" si="113"/>
        <v>0</v>
      </c>
      <c r="H1029" s="971"/>
      <c r="I1029" s="971"/>
      <c r="J1029" s="971"/>
      <c r="K1029" s="971"/>
      <c r="L1029" s="971"/>
      <c r="M1029" s="971"/>
      <c r="N1029" s="971"/>
      <c r="O1029" s="971"/>
      <c r="P1029" s="1353"/>
      <c r="Q1029" s="1353"/>
      <c r="R1029" s="1353"/>
      <c r="S1029" s="971"/>
      <c r="T1029" s="971"/>
      <c r="U1029" s="1398"/>
      <c r="V1029" s="971"/>
      <c r="W1029" s="971"/>
      <c r="X1029" s="971"/>
      <c r="Y1029" s="1353"/>
      <c r="Z1029" s="1353"/>
      <c r="AA1029" s="971"/>
      <c r="AB1029" s="971"/>
      <c r="AC1029" s="971"/>
      <c r="AD1029" s="971"/>
    </row>
    <row r="1030" spans="1:30" s="1355" customFormat="1" ht="15.75" customHeight="1" outlineLevel="1">
      <c r="A1030" s="1442" t="s">
        <v>3368</v>
      </c>
      <c r="B1030" s="920" t="str">
        <f t="shared" si="112"/>
        <v>м.п.</v>
      </c>
      <c r="C1030" s="1442">
        <f t="shared" si="114"/>
        <v>0.4</v>
      </c>
      <c r="D1030" s="1442">
        <f t="shared" si="114"/>
        <v>0.05</v>
      </c>
      <c r="E1030" s="1442">
        <f>IF('Ввод данных'!$A$373=связи1!$A$96,IF(дома!E1029&lt;связи1!$F$558,0,дома!E1029-$F$881),0)+IF(дома!E1029=0,0,IF('Ввод данных'!$A$373=связи1!$A$95,IF(дома!E1029&lt;0,0,дома!E1029-$F$881),0))+IF('Ввод данных'!$A$373=связи1!$A$98,IF(дома!E1029&lt;связи1!$F$558,0,дома!E1029-$F$881),0)</f>
        <v>0</v>
      </c>
      <c r="F1030" s="1442">
        <f>2*VLOOKUP('Ввод данных'!$F$416,связи1!$A$2:$B$3,2,0)</f>
        <v>0</v>
      </c>
      <c r="G1030" s="971">
        <f t="shared" si="113"/>
        <v>0</v>
      </c>
      <c r="H1030" s="971"/>
      <c r="I1030" s="971"/>
      <c r="J1030" s="971"/>
      <c r="K1030" s="971"/>
      <c r="L1030" s="971"/>
      <c r="M1030" s="971"/>
      <c r="N1030" s="971"/>
      <c r="O1030" s="971"/>
      <c r="P1030" s="1353"/>
      <c r="Q1030" s="1353"/>
      <c r="R1030" s="1353"/>
      <c r="S1030" s="971"/>
      <c r="T1030" s="971"/>
      <c r="U1030" s="1398"/>
      <c r="V1030" s="971"/>
      <c r="W1030" s="971"/>
      <c r="X1030" s="971"/>
      <c r="Y1030" s="1353"/>
      <c r="Z1030" s="1353"/>
      <c r="AA1030" s="971"/>
      <c r="AB1030" s="971"/>
      <c r="AC1030" s="971"/>
      <c r="AD1030" s="971"/>
    </row>
    <row r="1031" spans="1:30" s="1355" customFormat="1" ht="15.75" customHeight="1" outlineLevel="1">
      <c r="A1031" s="1442" t="s">
        <v>3369</v>
      </c>
      <c r="B1031" s="920" t="str">
        <f t="shared" si="112"/>
        <v>м.п.</v>
      </c>
      <c r="C1031" s="1442">
        <f t="shared" si="114"/>
        <v>0.4</v>
      </c>
      <c r="D1031" s="1442">
        <f t="shared" si="114"/>
        <v>0.05</v>
      </c>
      <c r="E1031" s="1442">
        <f>IF('Ввод данных'!$A$373=связи1!$A$96,IF(дома!E1030&lt;связи1!$F$558,0,дома!E1030-$F$881),0)+IF(дома!E1030=0,0,IF('Ввод данных'!$A$373=связи1!$A$95,IF(дома!E1030&lt;0,0,дома!E1030-$F$881),0))+IF('Ввод данных'!$A$373=связи1!$A$98,IF(дома!E1030&lt;связи1!$F$558,0,дома!E1030-$F$881),0)</f>
        <v>0</v>
      </c>
      <c r="F1031" s="1442">
        <f>2*VLOOKUP('Ввод данных'!$F$416,связи1!$A$2:$B$3,2,0)</f>
        <v>0</v>
      </c>
      <c r="G1031" s="971">
        <f t="shared" si="113"/>
        <v>0</v>
      </c>
      <c r="H1031" s="971"/>
      <c r="I1031" s="971"/>
      <c r="J1031" s="971"/>
      <c r="K1031" s="971"/>
      <c r="L1031" s="971"/>
      <c r="M1031" s="971"/>
      <c r="N1031" s="971"/>
      <c r="O1031" s="971"/>
      <c r="P1031" s="1353"/>
      <c r="Q1031" s="1353"/>
      <c r="R1031" s="1353"/>
      <c r="S1031" s="971"/>
      <c r="T1031" s="971"/>
      <c r="U1031" s="1398"/>
      <c r="V1031" s="971"/>
      <c r="W1031" s="971"/>
      <c r="X1031" s="971"/>
      <c r="Y1031" s="1353"/>
      <c r="Z1031" s="1353"/>
      <c r="AA1031" s="971"/>
      <c r="AB1031" s="971"/>
      <c r="AC1031" s="971"/>
      <c r="AD1031" s="971"/>
    </row>
    <row r="1032" spans="1:30" s="1355" customFormat="1" ht="15.75" customHeight="1" outlineLevel="1">
      <c r="A1032" s="1442" t="s">
        <v>3370</v>
      </c>
      <c r="B1032" s="920" t="str">
        <f t="shared" si="112"/>
        <v>м.п.</v>
      </c>
      <c r="C1032" s="1442">
        <f t="shared" si="114"/>
        <v>0.4</v>
      </c>
      <c r="D1032" s="1442">
        <f t="shared" si="114"/>
        <v>0.05</v>
      </c>
      <c r="E1032" s="1442">
        <f>IF('Ввод данных'!$A$373=связи1!$A$96,IF(дома!E1031&lt;связи1!$F$558,0,дома!E1031-$F$881),0)+IF(дома!E1031=0,0,IF('Ввод данных'!$A$373=связи1!$A$95,IF(дома!E1031&lt;0,0,дома!E1031-$F$881),0))+IF('Ввод данных'!$A$373=связи1!$A$98,IF(дома!E1031&lt;связи1!$F$558,0,дома!E1031-$F$881),0)</f>
        <v>0</v>
      </c>
      <c r="F1032" s="1442">
        <f>2*VLOOKUP('Ввод данных'!$F$416,связи1!$A$2:$B$3,2,0)</f>
        <v>0</v>
      </c>
      <c r="G1032" s="971">
        <f t="shared" si="113"/>
        <v>0</v>
      </c>
      <c r="H1032" s="971"/>
      <c r="I1032" s="971"/>
      <c r="J1032" s="971"/>
      <c r="K1032" s="971"/>
      <c r="L1032" s="971"/>
      <c r="M1032" s="971"/>
      <c r="N1032" s="971"/>
      <c r="O1032" s="971"/>
      <c r="P1032" s="1353"/>
      <c r="Q1032" s="1353"/>
      <c r="R1032" s="1353"/>
      <c r="S1032" s="971"/>
      <c r="T1032" s="971"/>
      <c r="U1032" s="1398"/>
      <c r="V1032" s="971"/>
      <c r="W1032" s="971"/>
      <c r="X1032" s="971"/>
      <c r="Y1032" s="1353"/>
      <c r="Z1032" s="1353"/>
      <c r="AA1032" s="971"/>
      <c r="AB1032" s="971"/>
      <c r="AC1032" s="971"/>
      <c r="AD1032" s="971"/>
    </row>
    <row r="1033" spans="1:30" s="1355" customFormat="1" ht="15.75" customHeight="1" outlineLevel="1">
      <c r="A1033" s="1442" t="s">
        <v>3371</v>
      </c>
      <c r="B1033" s="920" t="str">
        <f t="shared" si="112"/>
        <v>м.п.</v>
      </c>
      <c r="C1033" s="1442">
        <f t="shared" si="114"/>
        <v>0.4</v>
      </c>
      <c r="D1033" s="1442">
        <f t="shared" si="114"/>
        <v>0.05</v>
      </c>
      <c r="E1033" s="1442">
        <f>IF('Ввод данных'!$A$373=связи1!$A$96,IF(дома!E1032&lt;связи1!$F$558,0,дома!E1032-$F$881),0)+IF(дома!E1032=0,0,IF('Ввод данных'!$A$373=связи1!$A$95,IF(дома!E1032&lt;0,0,дома!E1032-$F$881),0))+IF('Ввод данных'!$A$373=связи1!$A$98,IF(дома!E1032&lt;связи1!$F$558,0,дома!E1032-$F$881),0)</f>
        <v>0</v>
      </c>
      <c r="F1033" s="1442">
        <f>2*VLOOKUP('Ввод данных'!$F$416,связи1!$A$2:$B$3,2,0)</f>
        <v>0</v>
      </c>
      <c r="G1033" s="971">
        <f t="shared" si="113"/>
        <v>0</v>
      </c>
      <c r="H1033" s="971"/>
      <c r="I1033" s="971"/>
      <c r="J1033" s="971"/>
      <c r="K1033" s="971"/>
      <c r="L1033" s="971"/>
      <c r="M1033" s="971"/>
      <c r="N1033" s="971"/>
      <c r="O1033" s="971"/>
      <c r="P1033" s="1353"/>
      <c r="Q1033" s="1353"/>
      <c r="R1033" s="1353"/>
      <c r="S1033" s="971"/>
      <c r="T1033" s="971"/>
      <c r="U1033" s="1398"/>
      <c r="V1033" s="971"/>
      <c r="W1033" s="971"/>
      <c r="X1033" s="971"/>
      <c r="Y1033" s="1353"/>
      <c r="Z1033" s="1353"/>
      <c r="AA1033" s="971"/>
      <c r="AB1033" s="971"/>
      <c r="AC1033" s="971"/>
      <c r="AD1033" s="971"/>
    </row>
    <row r="1034" spans="1:30" s="1355" customFormat="1" ht="15.75" customHeight="1" outlineLevel="1">
      <c r="A1034" s="1442" t="s">
        <v>3372</v>
      </c>
      <c r="B1034" s="920" t="str">
        <f t="shared" si="112"/>
        <v>м.п.</v>
      </c>
      <c r="C1034" s="1442">
        <f t="shared" si="114"/>
        <v>0.4</v>
      </c>
      <c r="D1034" s="1442">
        <f t="shared" si="114"/>
        <v>0.05</v>
      </c>
      <c r="E1034" s="1442">
        <f>IF('Ввод данных'!$A$373=связи1!$A$96,IF(дома!E1033&lt;связи1!$F$558,0,дома!E1033-$F$881),0)+IF(дома!E1033=0,0,IF('Ввод данных'!$A$373=связи1!$A$95,IF(дома!E1033&lt;0,0,дома!E1033-$F$881),0))+IF('Ввод данных'!$A$373=связи1!$A$98,IF(дома!E1033&lt;связи1!$F$558,0,дома!E1033-$F$881),0)</f>
        <v>0</v>
      </c>
      <c r="F1034" s="1442">
        <f>2*VLOOKUP('Ввод данных'!$F$416,связи1!$A$2:$B$3,2,0)</f>
        <v>0</v>
      </c>
      <c r="G1034" s="971">
        <f t="shared" si="113"/>
        <v>0</v>
      </c>
      <c r="H1034" s="971"/>
      <c r="I1034" s="971"/>
      <c r="J1034" s="971"/>
      <c r="K1034" s="971"/>
      <c r="L1034" s="971"/>
      <c r="M1034" s="971"/>
      <c r="N1034" s="971"/>
      <c r="O1034" s="971"/>
      <c r="P1034" s="1353"/>
      <c r="Q1034" s="1353"/>
      <c r="R1034" s="1353"/>
      <c r="S1034" s="971"/>
      <c r="T1034" s="971"/>
      <c r="U1034" s="1398"/>
      <c r="V1034" s="971"/>
      <c r="W1034" s="971"/>
      <c r="X1034" s="971"/>
      <c r="Y1034" s="1353"/>
      <c r="Z1034" s="1353"/>
      <c r="AA1034" s="971"/>
      <c r="AB1034" s="971"/>
      <c r="AC1034" s="971"/>
      <c r="AD1034" s="971"/>
    </row>
    <row r="1035" spans="1:30" s="1355" customFormat="1" ht="15.75" customHeight="1" outlineLevel="1">
      <c r="A1035" s="1442" t="s">
        <v>3373</v>
      </c>
      <c r="B1035" s="920" t="str">
        <f t="shared" si="112"/>
        <v>м.п.</v>
      </c>
      <c r="C1035" s="1442">
        <f t="shared" si="114"/>
        <v>0.4</v>
      </c>
      <c r="D1035" s="1442">
        <f t="shared" si="114"/>
        <v>0.05</v>
      </c>
      <c r="E1035" s="1442">
        <f>IF('Ввод данных'!A372=связи1!A107,IF('Ввод данных'!A373=связи1!A94,0,0)+IF('Ввод данных'!A373=связи1!A95,связи1!F557-связи1!F556,0)+IF('Ввод данных'!A373=связи1!A96,связи1!F557,0)+IF('Ввод данных'!A373=связи1!A97,0,0)+IF('Ввод данных'!A373=связи1!A98,связи1!F557,0),0)</f>
        <v>0</v>
      </c>
      <c r="F1035" s="1442">
        <f>2*VLOOKUP('Ввод данных'!$F$416,связи1!$A$2:$B$3,2,0)</f>
        <v>0</v>
      </c>
      <c r="G1035" s="971">
        <f t="shared" si="113"/>
        <v>0</v>
      </c>
      <c r="H1035" s="971"/>
      <c r="I1035" s="971"/>
      <c r="J1035" s="971"/>
      <c r="K1035" s="971"/>
      <c r="L1035" s="971"/>
      <c r="M1035" s="971"/>
      <c r="N1035" s="971"/>
      <c r="O1035" s="971"/>
      <c r="P1035" s="1353"/>
      <c r="Q1035" s="1353"/>
      <c r="R1035" s="1353"/>
      <c r="S1035" s="971"/>
      <c r="T1035" s="971"/>
      <c r="U1035" s="1398"/>
      <c r="V1035" s="971"/>
      <c r="W1035" s="971"/>
      <c r="X1035" s="971"/>
      <c r="Y1035" s="1353"/>
      <c r="Z1035" s="1353"/>
      <c r="AA1035" s="971"/>
      <c r="AB1035" s="971"/>
      <c r="AC1035" s="971"/>
      <c r="AD1035" s="971"/>
    </row>
    <row r="1036" spans="1:30" s="1355" customFormat="1" ht="15.75" customHeight="1" outlineLevel="1">
      <c r="A1036" s="1442" t="s">
        <v>3374</v>
      </c>
      <c r="B1036" s="920" t="str">
        <f t="shared" si="112"/>
        <v>м.п.</v>
      </c>
      <c r="C1036" s="1442">
        <f t="shared" si="114"/>
        <v>0.4</v>
      </c>
      <c r="D1036" s="1442">
        <f t="shared" si="114"/>
        <v>0.05</v>
      </c>
      <c r="E1036" s="1442">
        <f>IF('Ввод данных'!$A$373=связи1!$A$96,IF(дома!E1035&lt;связи1!$F$558,0,дома!E1035-$F$881),0)+IF(дома!E1035=0,0,IF('Ввод данных'!$A$373=связи1!$A$95,IF(дома!E1035&lt;0,0,дома!E1035-$F$881),0))+IF('Ввод данных'!$A$373=связи1!$A$98,IF(дома!E1035&lt;связи1!$F$558,0,дома!E1035-$F$881),0)</f>
        <v>0</v>
      </c>
      <c r="F1036" s="1442">
        <f>2*VLOOKUP('Ввод данных'!$F$416,связи1!$A$2:$B$3,2,0)</f>
        <v>0</v>
      </c>
      <c r="G1036" s="971">
        <f t="shared" si="113"/>
        <v>0</v>
      </c>
      <c r="H1036" s="971"/>
      <c r="I1036" s="971"/>
      <c r="J1036" s="971"/>
      <c r="K1036" s="971"/>
      <c r="L1036" s="971"/>
      <c r="M1036" s="971"/>
      <c r="N1036" s="971"/>
      <c r="O1036" s="971"/>
      <c r="P1036" s="1353"/>
      <c r="Q1036" s="1353"/>
      <c r="R1036" s="1353"/>
      <c r="S1036" s="971"/>
      <c r="T1036" s="971"/>
      <c r="U1036" s="1398"/>
      <c r="V1036" s="971"/>
      <c r="W1036" s="971"/>
      <c r="X1036" s="971"/>
      <c r="Y1036" s="1353"/>
      <c r="Z1036" s="1353"/>
      <c r="AA1036" s="971"/>
      <c r="AB1036" s="971"/>
      <c r="AC1036" s="971"/>
      <c r="AD1036" s="971"/>
    </row>
    <row r="1037" spans="1:30" s="1355" customFormat="1" ht="15.75" customHeight="1" outlineLevel="1">
      <c r="A1037" s="1442" t="s">
        <v>3375</v>
      </c>
      <c r="B1037" s="920" t="str">
        <f t="shared" si="112"/>
        <v>м.п.</v>
      </c>
      <c r="C1037" s="1442">
        <f t="shared" si="114"/>
        <v>0.4</v>
      </c>
      <c r="D1037" s="1442">
        <f t="shared" si="114"/>
        <v>0.05</v>
      </c>
      <c r="E1037" s="1442">
        <f>IF('Ввод данных'!$A$373=связи1!$A$96,IF(дома!E1036&lt;связи1!$F$558,0,дома!E1036-$F$881),0)+IF(дома!E1036=0,0,IF('Ввод данных'!$A$373=связи1!$A$95,IF(дома!E1036&lt;0,0,дома!E1036-$F$881),0))+IF('Ввод данных'!$A$373=связи1!$A$98,IF(дома!E1036&lt;связи1!$F$558,0,дома!E1036-$F$881),0)</f>
        <v>0</v>
      </c>
      <c r="F1037" s="1442">
        <f>2*VLOOKUP('Ввод данных'!$F$416,связи1!$A$2:$B$3,2,0)</f>
        <v>0</v>
      </c>
      <c r="G1037" s="971">
        <f t="shared" si="113"/>
        <v>0</v>
      </c>
      <c r="H1037" s="971"/>
      <c r="I1037" s="971"/>
      <c r="J1037" s="971"/>
      <c r="K1037" s="971"/>
      <c r="L1037" s="971"/>
      <c r="M1037" s="971"/>
      <c r="N1037" s="971"/>
      <c r="O1037" s="971"/>
      <c r="P1037" s="1353"/>
      <c r="Q1037" s="1353"/>
      <c r="R1037" s="1353"/>
      <c r="S1037" s="971"/>
      <c r="T1037" s="971"/>
      <c r="U1037" s="1398"/>
      <c r="V1037" s="971"/>
      <c r="W1037" s="971"/>
      <c r="X1037" s="971"/>
      <c r="Y1037" s="1353"/>
      <c r="Z1037" s="1353"/>
      <c r="AA1037" s="971"/>
      <c r="AB1037" s="971"/>
      <c r="AC1037" s="971"/>
      <c r="AD1037" s="971"/>
    </row>
    <row r="1038" spans="1:30" s="1355" customFormat="1" ht="15.75" customHeight="1" outlineLevel="1">
      <c r="A1038" s="1442" t="s">
        <v>3376</v>
      </c>
      <c r="B1038" s="920" t="str">
        <f t="shared" si="112"/>
        <v>м.п.</v>
      </c>
      <c r="C1038" s="1442">
        <f t="shared" si="114"/>
        <v>0.4</v>
      </c>
      <c r="D1038" s="1442">
        <f t="shared" si="114"/>
        <v>0.05</v>
      </c>
      <c r="E1038" s="1442">
        <f>IF('Ввод данных'!$A$373=связи1!$A$96,IF(дома!E1037&lt;связи1!$F$558,0,дома!E1037-$F$881),0)+IF(дома!E1037=0,0,IF('Ввод данных'!$A$373=связи1!$A$95,IF(дома!E1037&lt;0,0,дома!E1037-$F$881),0))+IF('Ввод данных'!$A$373=связи1!$A$98,IF(дома!E1037&lt;связи1!$F$558,0,дома!E1037-$F$881),0)</f>
        <v>0</v>
      </c>
      <c r="F1038" s="1442">
        <f>2*VLOOKUP('Ввод данных'!$F$416,связи1!$A$2:$B$3,2,0)</f>
        <v>0</v>
      </c>
      <c r="G1038" s="971">
        <f t="shared" si="113"/>
        <v>0</v>
      </c>
      <c r="H1038" s="971"/>
      <c r="I1038" s="971"/>
      <c r="J1038" s="971"/>
      <c r="K1038" s="971"/>
      <c r="L1038" s="971"/>
      <c r="M1038" s="971"/>
      <c r="N1038" s="971"/>
      <c r="O1038" s="971"/>
      <c r="P1038" s="1353"/>
      <c r="Q1038" s="1353"/>
      <c r="R1038" s="1353"/>
      <c r="S1038" s="971"/>
      <c r="T1038" s="971"/>
      <c r="U1038" s="1398"/>
      <c r="V1038" s="971"/>
      <c r="W1038" s="971"/>
      <c r="X1038" s="971"/>
      <c r="Y1038" s="1353"/>
      <c r="Z1038" s="1353"/>
      <c r="AA1038" s="971"/>
      <c r="AB1038" s="971"/>
      <c r="AC1038" s="971"/>
      <c r="AD1038" s="971"/>
    </row>
    <row r="1039" spans="1:30" s="1355" customFormat="1" ht="15.75" customHeight="1" outlineLevel="1">
      <c r="A1039" s="1442" t="s">
        <v>3377</v>
      </c>
      <c r="B1039" s="920" t="str">
        <f t="shared" si="112"/>
        <v>м.п.</v>
      </c>
      <c r="C1039" s="1442">
        <f t="shared" si="114"/>
        <v>0.4</v>
      </c>
      <c r="D1039" s="1442">
        <f t="shared" si="114"/>
        <v>0.05</v>
      </c>
      <c r="E1039" s="1442">
        <f>IF('Ввод данных'!$A$373=связи1!$A$96,IF(дома!E1038&lt;связи1!$F$558,0,дома!E1038-$F$881),0)+IF(дома!E1038=0,0,IF('Ввод данных'!$A$373=связи1!$A$95,IF(дома!E1038&lt;0,0,дома!E1038-$F$881),0))+IF('Ввод данных'!$A$373=связи1!$A$98,IF(дома!E1038&lt;связи1!$F$558,0,дома!E1038-$F$881),0)</f>
        <v>0</v>
      </c>
      <c r="F1039" s="1442">
        <f>2*VLOOKUP('Ввод данных'!$F$416,связи1!$A$2:$B$3,2,0)</f>
        <v>0</v>
      </c>
      <c r="G1039" s="971">
        <f t="shared" si="113"/>
        <v>0</v>
      </c>
      <c r="H1039" s="971"/>
      <c r="I1039" s="971"/>
      <c r="J1039" s="971"/>
      <c r="K1039" s="971"/>
      <c r="L1039" s="971"/>
      <c r="M1039" s="971"/>
      <c r="N1039" s="971"/>
      <c r="O1039" s="971"/>
      <c r="P1039" s="1353"/>
      <c r="Q1039" s="1353"/>
      <c r="R1039" s="1353"/>
      <c r="S1039" s="971"/>
      <c r="T1039" s="971"/>
      <c r="U1039" s="1398"/>
      <c r="V1039" s="971"/>
      <c r="W1039" s="971"/>
      <c r="X1039" s="971"/>
      <c r="Y1039" s="1353"/>
      <c r="Z1039" s="1353"/>
      <c r="AA1039" s="971"/>
      <c r="AB1039" s="971"/>
      <c r="AC1039" s="971"/>
      <c r="AD1039" s="971"/>
    </row>
    <row r="1040" spans="1:30" s="1355" customFormat="1" ht="15.75" customHeight="1" outlineLevel="1">
      <c r="A1040" s="1442" t="s">
        <v>3378</v>
      </c>
      <c r="B1040" s="920" t="str">
        <f t="shared" ref="B1040:B1071" si="115">B578</f>
        <v>м.п.</v>
      </c>
      <c r="C1040" s="1442">
        <f t="shared" si="114"/>
        <v>0.4</v>
      </c>
      <c r="D1040" s="1442">
        <f t="shared" si="114"/>
        <v>0.05</v>
      </c>
      <c r="E1040" s="1442">
        <f>IF('Ввод данных'!$A$373=связи1!$A$96,IF(дома!E1039&lt;связи1!$F$558,0,дома!E1039-$F$881),0)+IF(дома!E1039=0,0,IF('Ввод данных'!$A$373=связи1!$A$95,IF(дома!E1039&lt;0,0,дома!E1039-$F$881),0))+IF('Ввод данных'!$A$373=связи1!$A$98,IF(дома!E1039&lt;связи1!$F$558,0,дома!E1039-$F$881),0)</f>
        <v>0</v>
      </c>
      <c r="F1040" s="1442">
        <f>2*VLOOKUP('Ввод данных'!$F$416,связи1!$A$2:$B$3,2,0)</f>
        <v>0</v>
      </c>
      <c r="G1040" s="971">
        <f t="shared" si="113"/>
        <v>0</v>
      </c>
      <c r="H1040" s="971"/>
      <c r="I1040" s="971"/>
      <c r="J1040" s="971"/>
      <c r="K1040" s="971"/>
      <c r="L1040" s="971"/>
      <c r="M1040" s="971"/>
      <c r="N1040" s="971"/>
      <c r="O1040" s="971"/>
      <c r="P1040" s="1353"/>
      <c r="Q1040" s="1353"/>
      <c r="R1040" s="1353"/>
      <c r="S1040" s="971"/>
      <c r="T1040" s="971"/>
      <c r="U1040" s="1398"/>
      <c r="V1040" s="971"/>
      <c r="W1040" s="971"/>
      <c r="X1040" s="971"/>
      <c r="Y1040" s="1353"/>
      <c r="Z1040" s="1353"/>
      <c r="AA1040" s="971"/>
      <c r="AB1040" s="971"/>
      <c r="AC1040" s="971"/>
      <c r="AD1040" s="971"/>
    </row>
    <row r="1041" spans="1:31" s="1355" customFormat="1" ht="15.75" customHeight="1" outlineLevel="1">
      <c r="A1041" s="1442" t="s">
        <v>3379</v>
      </c>
      <c r="B1041" s="920" t="str">
        <f t="shared" si="115"/>
        <v>м.п.</v>
      </c>
      <c r="C1041" s="1442">
        <f t="shared" si="114"/>
        <v>0.4</v>
      </c>
      <c r="D1041" s="1442">
        <f t="shared" si="114"/>
        <v>0.05</v>
      </c>
      <c r="E1041" s="1442">
        <f>IF('Ввод данных'!$A$373=связи1!$A$96,IF(дома!E1040&lt;связи1!$F$558,0,дома!E1040-$F$881),0)+IF(дома!E1040=0,0,IF('Ввод данных'!$A$373=связи1!$A$95,IF(дома!E1040&lt;0,0,дома!E1040-$F$881),0))+IF('Ввод данных'!$A$373=связи1!$A$98,IF(дома!E1040&lt;связи1!$F$558,0,дома!E1040-$F$881),0)</f>
        <v>0</v>
      </c>
      <c r="F1041" s="1442">
        <f>2*VLOOKUP('Ввод данных'!$F$416,связи1!$A$2:$B$3,2,0)</f>
        <v>0</v>
      </c>
      <c r="G1041" s="971">
        <f t="shared" si="113"/>
        <v>0</v>
      </c>
      <c r="H1041" s="971"/>
      <c r="I1041" s="971"/>
      <c r="J1041" s="971"/>
      <c r="K1041" s="971"/>
      <c r="L1041" s="971"/>
      <c r="M1041" s="971"/>
      <c r="N1041" s="971"/>
      <c r="O1041" s="971"/>
      <c r="P1041" s="1353"/>
      <c r="Q1041" s="1353"/>
      <c r="R1041" s="1353"/>
      <c r="S1041" s="971"/>
      <c r="T1041" s="971"/>
      <c r="U1041" s="1398"/>
      <c r="V1041" s="971"/>
      <c r="W1041" s="971"/>
      <c r="X1041" s="971"/>
      <c r="Y1041" s="1353"/>
      <c r="Z1041" s="1353"/>
      <c r="AA1041" s="971"/>
      <c r="AB1041" s="971"/>
      <c r="AC1041" s="971"/>
      <c r="AD1041" s="971"/>
    </row>
    <row r="1042" spans="1:31" s="1355" customFormat="1" ht="15.75" customHeight="1" outlineLevel="1">
      <c r="A1042" s="1442" t="s">
        <v>3380</v>
      </c>
      <c r="B1042" s="920" t="str">
        <f t="shared" si="115"/>
        <v>м.п.</v>
      </c>
      <c r="C1042" s="1442">
        <f t="shared" si="114"/>
        <v>0.4</v>
      </c>
      <c r="D1042" s="1442">
        <f t="shared" si="114"/>
        <v>0.05</v>
      </c>
      <c r="E1042" s="1442">
        <f>IF('Ввод данных'!$A$373=связи1!$A$96,IF(дома!E1041&lt;связи1!$F$558,0,дома!E1041-$F$881),0)+IF(дома!E1041=0,0,IF('Ввод данных'!$A$373=связи1!$A$95,IF(дома!E1041&lt;0,0,дома!E1041-$F$881),0))+IF('Ввод данных'!$A$373=связи1!$A$98,IF(дома!E1041&lt;связи1!$F$558,0,дома!E1041-$F$881),0)</f>
        <v>0</v>
      </c>
      <c r="F1042" s="1442">
        <f>2*VLOOKUP('Ввод данных'!$F$416,связи1!$A$2:$B$3,2,0)</f>
        <v>0</v>
      </c>
      <c r="G1042" s="971">
        <f t="shared" si="113"/>
        <v>0</v>
      </c>
      <c r="H1042" s="971"/>
      <c r="I1042" s="971"/>
      <c r="J1042" s="971"/>
      <c r="K1042" s="971"/>
      <c r="L1042" s="971"/>
      <c r="M1042" s="971"/>
      <c r="N1042" s="971"/>
      <c r="O1042" s="971"/>
      <c r="P1042" s="1353"/>
      <c r="Q1042" s="1353"/>
      <c r="R1042" s="1353"/>
      <c r="S1042" s="971"/>
      <c r="T1042" s="971"/>
      <c r="U1042" s="1398"/>
      <c r="V1042" s="971"/>
      <c r="W1042" s="971"/>
      <c r="X1042" s="971"/>
      <c r="Y1042" s="1353"/>
      <c r="Z1042" s="1353"/>
      <c r="AA1042" s="971"/>
      <c r="AB1042" s="971"/>
      <c r="AC1042" s="971"/>
      <c r="AD1042" s="971"/>
    </row>
    <row r="1043" spans="1:31" s="1355" customFormat="1" ht="15.75" customHeight="1" outlineLevel="1">
      <c r="A1043" s="1442" t="s">
        <v>3381</v>
      </c>
      <c r="B1043" s="920" t="str">
        <f t="shared" si="115"/>
        <v>м.п.</v>
      </c>
      <c r="C1043" s="1442">
        <f t="shared" si="114"/>
        <v>0.4</v>
      </c>
      <c r="D1043" s="1442">
        <f t="shared" si="114"/>
        <v>0.05</v>
      </c>
      <c r="E1043" s="1442">
        <f>IF('Ввод данных'!$A$373=связи1!$A$96,IF(дома!E1042&lt;связи1!$F$558,0,дома!E1042-$F$881),0)+IF(дома!E1042=0,0,IF('Ввод данных'!$A$373=связи1!$A$95,IF(дома!E1042&lt;0,0,дома!E1042-$F$881),0))+IF('Ввод данных'!$A$373=связи1!$A$98,IF(дома!E1042&lt;связи1!$F$558,0,дома!E1042-$F$881),0)</f>
        <v>0</v>
      </c>
      <c r="F1043" s="1442">
        <f>2*VLOOKUP('Ввод данных'!$F$416,связи1!$A$2:$B$3,2,0)</f>
        <v>0</v>
      </c>
      <c r="G1043" s="971">
        <f t="shared" si="113"/>
        <v>0</v>
      </c>
      <c r="H1043" s="971"/>
      <c r="I1043" s="971"/>
      <c r="J1043" s="971"/>
      <c r="K1043" s="971"/>
      <c r="L1043" s="971"/>
      <c r="M1043" s="971"/>
      <c r="N1043" s="971"/>
      <c r="O1043" s="971"/>
      <c r="P1043" s="1353"/>
      <c r="Q1043" s="1353"/>
      <c r="R1043" s="1353"/>
      <c r="S1043" s="971"/>
      <c r="T1043" s="971"/>
      <c r="U1043" s="1398"/>
      <c r="V1043" s="971"/>
      <c r="W1043" s="971"/>
      <c r="X1043" s="971"/>
      <c r="Y1043" s="1353"/>
      <c r="Z1043" s="1353"/>
      <c r="AA1043" s="971"/>
      <c r="AB1043" s="971"/>
      <c r="AC1043" s="971"/>
      <c r="AD1043" s="971"/>
    </row>
    <row r="1044" spans="1:31" s="1355" customFormat="1" ht="15.75" customHeight="1" outlineLevel="1">
      <c r="A1044" s="1442" t="s">
        <v>3382</v>
      </c>
      <c r="B1044" s="920" t="str">
        <f t="shared" si="115"/>
        <v>м.п.</v>
      </c>
      <c r="C1044" s="1442">
        <f t="shared" si="114"/>
        <v>0.4</v>
      </c>
      <c r="D1044" s="1442">
        <f t="shared" si="114"/>
        <v>0.05</v>
      </c>
      <c r="E1044" s="1442">
        <f>IF('Ввод данных'!$A$373=связи1!$A$96,IF(дома!E1043&lt;связи1!$F$558,0,дома!E1043-$F$881),0)+IF(дома!E1043=0,0,IF('Ввод данных'!$A$373=связи1!$A$95,IF(дома!E1043&lt;0,0,дома!E1043-$F$881),0))+IF('Ввод данных'!$A$373=связи1!$A$98,IF(дома!E1043&lt;связи1!$F$558,0,дома!E1043-$F$881),0)</f>
        <v>0</v>
      </c>
      <c r="F1044" s="1442">
        <f>2*VLOOKUP('Ввод данных'!$F$416,связи1!$A$2:$B$3,2,0)</f>
        <v>0</v>
      </c>
      <c r="G1044" s="971">
        <f t="shared" si="113"/>
        <v>0</v>
      </c>
      <c r="H1044" s="971"/>
      <c r="I1044" s="971"/>
      <c r="J1044" s="971"/>
      <c r="K1044" s="971"/>
      <c r="L1044" s="971"/>
      <c r="M1044" s="971"/>
      <c r="N1044" s="971"/>
      <c r="O1044" s="971"/>
      <c r="P1044" s="1353"/>
      <c r="Q1044" s="1353"/>
      <c r="R1044" s="1353"/>
      <c r="S1044" s="971"/>
      <c r="T1044" s="971"/>
      <c r="U1044" s="1398"/>
      <c r="V1044" s="971"/>
      <c r="W1044" s="971"/>
      <c r="X1044" s="971"/>
      <c r="Y1044" s="1353"/>
      <c r="Z1044" s="1353"/>
      <c r="AA1044" s="971"/>
      <c r="AB1044" s="971"/>
      <c r="AC1044" s="971"/>
      <c r="AD1044" s="971"/>
    </row>
    <row r="1045" spans="1:31" s="1355" customFormat="1" ht="15.75" customHeight="1" outlineLevel="1">
      <c r="A1045" s="1442" t="s">
        <v>3383</v>
      </c>
      <c r="B1045" s="920" t="str">
        <f t="shared" si="115"/>
        <v>м.п.</v>
      </c>
      <c r="C1045" s="1442">
        <f t="shared" si="114"/>
        <v>0.4</v>
      </c>
      <c r="D1045" s="1442">
        <f t="shared" si="114"/>
        <v>0.05</v>
      </c>
      <c r="E1045" s="1442">
        <f>IF('Ввод данных'!$A$373=связи1!$A$96,IF(дома!E1044&lt;связи1!$F$558,0,дома!E1044-$F$881),0)+IF(дома!E1044=0,0,IF('Ввод данных'!$A$373=связи1!$A$95,IF(дома!E1044&lt;0,0,дома!E1044-$F$881),0))+IF('Ввод данных'!$A$373=связи1!$A$98,IF(дома!E1044&lt;связи1!$F$558,0,дома!E1044-$F$881),0)</f>
        <v>0</v>
      </c>
      <c r="F1045" s="1442">
        <f>2*VLOOKUP('Ввод данных'!$F$416,связи1!$A$2:$B$3,2,0)</f>
        <v>0</v>
      </c>
      <c r="G1045" s="971">
        <f t="shared" si="113"/>
        <v>0</v>
      </c>
      <c r="H1045" s="971"/>
      <c r="I1045" s="971"/>
      <c r="J1045" s="971"/>
      <c r="K1045" s="971"/>
      <c r="L1045" s="971"/>
      <c r="M1045" s="971"/>
      <c r="N1045" s="971"/>
      <c r="O1045" s="971"/>
      <c r="P1045" s="1353"/>
      <c r="Q1045" s="1353"/>
      <c r="R1045" s="1353"/>
      <c r="S1045" s="971"/>
      <c r="T1045" s="971"/>
      <c r="U1045" s="1398"/>
      <c r="V1045" s="971"/>
      <c r="W1045" s="971"/>
      <c r="X1045" s="971"/>
      <c r="Y1045" s="1353"/>
      <c r="Z1045" s="1353"/>
      <c r="AA1045" s="971"/>
      <c r="AB1045" s="971"/>
      <c r="AC1045" s="971"/>
      <c r="AD1045" s="971"/>
    </row>
    <row r="1046" spans="1:31" s="1355" customFormat="1" ht="15.75" customHeight="1" outlineLevel="1">
      <c r="A1046" s="1442" t="s">
        <v>3384</v>
      </c>
      <c r="B1046" s="920" t="str">
        <f t="shared" si="115"/>
        <v>м.п.</v>
      </c>
      <c r="C1046" s="1442">
        <f t="shared" ref="C1046:D1065" si="116">C584</f>
        <v>0.4</v>
      </c>
      <c r="D1046" s="1442">
        <f t="shared" si="116"/>
        <v>0.05</v>
      </c>
      <c r="E1046" s="1442">
        <f>IF('Ввод данных'!$A$373=связи1!$A$96,IF(дома!E1045&lt;связи1!$F$558,0,дома!E1045-$F$881),0)+IF(дома!E1045=0,0,IF('Ввод данных'!$A$373=связи1!$A$95,IF(дома!E1045&lt;0,0,дома!E1045-$F$881),0))+IF('Ввод данных'!$A$373=связи1!$A$98,IF(дома!E1045&lt;связи1!$F$558,0,дома!E1045-$F$881),0)</f>
        <v>0</v>
      </c>
      <c r="F1046" s="1442">
        <f>2*VLOOKUP('Ввод данных'!$F$416,связи1!$A$2:$B$3,2,0)</f>
        <v>0</v>
      </c>
      <c r="G1046" s="971">
        <f t="shared" si="113"/>
        <v>0</v>
      </c>
      <c r="H1046" s="971"/>
      <c r="I1046" s="971"/>
      <c r="J1046" s="971"/>
      <c r="K1046" s="971"/>
      <c r="L1046" s="971"/>
      <c r="M1046" s="971"/>
      <c r="N1046" s="971"/>
      <c r="O1046" s="971"/>
      <c r="P1046" s="1353"/>
      <c r="Q1046" s="1353"/>
      <c r="R1046" s="1353"/>
      <c r="S1046" s="971"/>
      <c r="T1046" s="971"/>
      <c r="U1046" s="1398"/>
      <c r="V1046" s="971"/>
      <c r="W1046" s="971"/>
      <c r="X1046" s="971"/>
      <c r="Y1046" s="1353"/>
      <c r="Z1046" s="1353"/>
      <c r="AA1046" s="971"/>
      <c r="AB1046" s="971"/>
      <c r="AC1046" s="971"/>
      <c r="AD1046" s="971"/>
    </row>
    <row r="1047" spans="1:31" s="1355" customFormat="1" ht="15.75" customHeight="1" outlineLevel="1">
      <c r="A1047" s="1442" t="s">
        <v>3385</v>
      </c>
      <c r="B1047" s="920" t="str">
        <f t="shared" si="115"/>
        <v>м.п.</v>
      </c>
      <c r="C1047" s="1442">
        <f t="shared" si="116"/>
        <v>0.4</v>
      </c>
      <c r="D1047" s="1442">
        <f t="shared" si="116"/>
        <v>0.05</v>
      </c>
      <c r="E1047" s="1442">
        <f>IF('Ввод данных'!$A$373=связи1!$A$96,IF(дома!E1046&lt;связи1!$F$558,0,дома!E1046-$F$881),0)+IF(дома!E1046=0,0,IF('Ввод данных'!$A$373=связи1!$A$95,IF(дома!E1046&lt;0,0,дома!E1046-$F$881),0))+IF('Ввод данных'!$A$373=связи1!$A$98,IF(дома!E1046&lt;связи1!$F$558,0,дома!E1046-$F$881),0)</f>
        <v>0</v>
      </c>
      <c r="F1047" s="1442">
        <f>2*VLOOKUP('Ввод данных'!$F$416,связи1!$A$2:$B$3,2,0)</f>
        <v>0</v>
      </c>
      <c r="G1047" s="971">
        <f t="shared" si="113"/>
        <v>0</v>
      </c>
      <c r="H1047" s="971"/>
      <c r="I1047" s="971"/>
      <c r="J1047" s="971"/>
      <c r="K1047" s="971"/>
      <c r="L1047" s="971"/>
      <c r="M1047" s="971"/>
      <c r="N1047" s="971"/>
      <c r="O1047" s="971"/>
      <c r="P1047" s="1353"/>
      <c r="Q1047" s="1353"/>
      <c r="R1047" s="1353"/>
      <c r="S1047" s="971"/>
      <c r="T1047" s="971"/>
      <c r="U1047" s="1398"/>
      <c r="V1047" s="971"/>
      <c r="W1047" s="971"/>
      <c r="X1047" s="971"/>
      <c r="Y1047" s="1353"/>
      <c r="Z1047" s="1353"/>
      <c r="AA1047" s="971"/>
      <c r="AB1047" s="971"/>
      <c r="AC1047" s="971"/>
      <c r="AD1047" s="971"/>
    </row>
    <row r="1048" spans="1:31" s="1355" customFormat="1" ht="15.75" customHeight="1" outlineLevel="1">
      <c r="A1048" s="1442" t="s">
        <v>3386</v>
      </c>
      <c r="B1048" s="920" t="str">
        <f t="shared" si="115"/>
        <v>м.п.</v>
      </c>
      <c r="C1048" s="1442">
        <f t="shared" si="116"/>
        <v>0.4</v>
      </c>
      <c r="D1048" s="1442">
        <f t="shared" si="116"/>
        <v>0.05</v>
      </c>
      <c r="E1048" s="1442">
        <f>IF('Ввод данных'!$A$373=связи1!$A$96,IF(дома!E1047&lt;связи1!$F$558,0,дома!E1047-$F$881),0)+IF(дома!E1047=0,0,IF('Ввод данных'!$A$373=связи1!$A$95,IF(дома!E1047&lt;0,0,дома!E1047-$F$881),0))+IF('Ввод данных'!$A$373=связи1!$A$98,IF(дома!E1047&lt;связи1!$F$558,0,дома!E1047-$F$881),0)</f>
        <v>0</v>
      </c>
      <c r="F1048" s="1442">
        <f>2*VLOOKUP('Ввод данных'!$F$416,связи1!$A$2:$B$3,2,0)</f>
        <v>0</v>
      </c>
      <c r="G1048" s="971">
        <f t="shared" si="113"/>
        <v>0</v>
      </c>
      <c r="H1048" s="971"/>
      <c r="I1048" s="971"/>
      <c r="J1048" s="971"/>
      <c r="K1048" s="971"/>
      <c r="L1048" s="971"/>
      <c r="M1048" s="971"/>
      <c r="N1048" s="971"/>
      <c r="O1048" s="971"/>
      <c r="P1048" s="1353"/>
      <c r="Q1048" s="1353"/>
      <c r="R1048" s="1353"/>
      <c r="S1048" s="971"/>
      <c r="T1048" s="971"/>
      <c r="U1048" s="1398"/>
      <c r="V1048" s="971"/>
      <c r="W1048" s="971"/>
      <c r="X1048" s="971"/>
      <c r="Y1048" s="1353"/>
      <c r="Z1048" s="1353"/>
      <c r="AA1048" s="971"/>
      <c r="AB1048" s="971"/>
      <c r="AC1048" s="971"/>
      <c r="AD1048" s="971"/>
    </row>
    <row r="1049" spans="1:31" s="1355" customFormat="1" ht="15.75" customHeight="1" outlineLevel="1">
      <c r="A1049" s="1442" t="s">
        <v>3387</v>
      </c>
      <c r="B1049" s="920" t="str">
        <f t="shared" si="115"/>
        <v>м.п.</v>
      </c>
      <c r="C1049" s="1442">
        <f t="shared" si="116"/>
        <v>0.4</v>
      </c>
      <c r="D1049" s="1442">
        <f t="shared" si="116"/>
        <v>0.05</v>
      </c>
      <c r="E1049" s="1442">
        <f>IF('Ввод данных'!$A$373=связи1!$A$96,IF(дома!E1048&lt;связи1!$F$558,0,дома!E1048-$F$881),0)+IF(дома!E1048=0,0,IF('Ввод данных'!$A$373=связи1!$A$95,IF(дома!E1048&lt;0,0,дома!E1048-$F$881),0))+IF('Ввод данных'!$A$373=связи1!$A$98,IF(дома!E1048&lt;связи1!$F$558,0,дома!E1048-$F$881),0)</f>
        <v>0</v>
      </c>
      <c r="F1049" s="1442">
        <f>2*VLOOKUP('Ввод данных'!$F$416,связи1!$A$2:$B$3,2,0)</f>
        <v>0</v>
      </c>
      <c r="G1049" s="971">
        <f t="shared" si="113"/>
        <v>0</v>
      </c>
      <c r="H1049" s="971"/>
      <c r="I1049" s="971"/>
      <c r="J1049" s="971"/>
      <c r="K1049" s="971"/>
      <c r="L1049" s="971"/>
      <c r="M1049" s="971"/>
      <c r="N1049" s="971"/>
      <c r="O1049" s="971"/>
      <c r="P1049" s="1353"/>
      <c r="Q1049" s="1353"/>
      <c r="R1049" s="1353"/>
      <c r="S1049" s="971"/>
      <c r="T1049" s="971"/>
      <c r="U1049" s="1398"/>
      <c r="V1049" s="971"/>
      <c r="W1049" s="971"/>
      <c r="X1049" s="971"/>
      <c r="Y1049" s="1353"/>
      <c r="Z1049" s="1353"/>
      <c r="AA1049" s="971"/>
      <c r="AB1049" s="971"/>
      <c r="AC1049" s="971"/>
      <c r="AD1049" s="971"/>
    </row>
    <row r="1050" spans="1:31" s="1355" customFormat="1" ht="15.75" customHeight="1" outlineLevel="1">
      <c r="A1050" s="1442" t="s">
        <v>3388</v>
      </c>
      <c r="B1050" s="920" t="str">
        <f t="shared" si="115"/>
        <v>м.п.</v>
      </c>
      <c r="C1050" s="1442">
        <f t="shared" si="116"/>
        <v>0.4</v>
      </c>
      <c r="D1050" s="1442">
        <f t="shared" si="116"/>
        <v>0.05</v>
      </c>
      <c r="E1050" s="1442">
        <f>IF('Ввод данных'!$A$373=связи1!$A$96,IF(дома!E1049&lt;связи1!$F$558,0,дома!E1049-$F$881),0)+IF(дома!E1049=0,0,IF('Ввод данных'!$A$373=связи1!$A$95,IF(дома!E1049&lt;0,0,дома!E1049-$F$881),0))+IF('Ввод данных'!$A$373=связи1!$A$98,IF(дома!E1049&lt;связи1!$F$558,0,дома!E1049-$F$881),0)</f>
        <v>0</v>
      </c>
      <c r="F1050" s="1442">
        <f>2*VLOOKUP('Ввод данных'!$F$416,связи1!$A$2:$B$3,2,0)</f>
        <v>0</v>
      </c>
      <c r="G1050" s="971">
        <f t="shared" si="113"/>
        <v>0</v>
      </c>
      <c r="H1050" s="971"/>
      <c r="I1050" s="971"/>
      <c r="J1050" s="971"/>
      <c r="K1050" s="971"/>
      <c r="L1050" s="971"/>
      <c r="M1050" s="971"/>
      <c r="N1050" s="971"/>
      <c r="O1050" s="971"/>
      <c r="P1050" s="1353"/>
      <c r="Q1050" s="1353"/>
      <c r="R1050" s="1353"/>
      <c r="S1050" s="971"/>
      <c r="T1050" s="971"/>
      <c r="U1050" s="1398"/>
      <c r="V1050" s="971"/>
      <c r="W1050" s="971"/>
      <c r="X1050" s="971"/>
      <c r="Y1050" s="1353"/>
      <c r="Z1050" s="1353"/>
      <c r="AA1050" s="971"/>
      <c r="AB1050" s="971"/>
      <c r="AC1050" s="971"/>
      <c r="AD1050" s="971"/>
    </row>
    <row r="1051" spans="1:31" s="1355" customFormat="1" ht="15.75" customHeight="1" outlineLevel="1">
      <c r="A1051" s="1442" t="s">
        <v>3389</v>
      </c>
      <c r="B1051" s="920" t="str">
        <f t="shared" si="115"/>
        <v>м.п.</v>
      </c>
      <c r="C1051" s="1442">
        <f t="shared" si="116"/>
        <v>0.4</v>
      </c>
      <c r="D1051" s="1442">
        <f t="shared" si="116"/>
        <v>0.05</v>
      </c>
      <c r="E1051" s="1442">
        <f>IF('Ввод данных'!$A$373=связи1!$A$96,IF(дома!E1050&lt;связи1!$F$558,0,дома!E1050-$F$881),0)+IF(дома!E1050=0,0,IF('Ввод данных'!$A$373=связи1!$A$95,IF(дома!E1050&lt;0,0,дома!E1050-$F$881),0))+IF('Ввод данных'!$A$373=связи1!$A$98,IF(дома!E1050&lt;связи1!$F$558,0,дома!E1050-$F$881),0)</f>
        <v>0</v>
      </c>
      <c r="F1051" s="1442">
        <f>2*VLOOKUP('Ввод данных'!$F$416,связи1!$A$2:$B$3,2,0)</f>
        <v>0</v>
      </c>
      <c r="G1051" s="971">
        <f t="shared" si="113"/>
        <v>0</v>
      </c>
      <c r="H1051" s="971"/>
      <c r="I1051" s="971"/>
      <c r="J1051" s="971"/>
      <c r="K1051" s="971"/>
      <c r="L1051" s="971"/>
      <c r="M1051" s="971"/>
      <c r="N1051" s="971"/>
      <c r="O1051" s="971"/>
      <c r="P1051" s="1353"/>
      <c r="Q1051" s="1353"/>
      <c r="R1051" s="1353"/>
      <c r="S1051" s="971"/>
      <c r="T1051" s="971"/>
      <c r="U1051" s="1398"/>
      <c r="V1051" s="971"/>
      <c r="W1051" s="971"/>
      <c r="X1051" s="971"/>
      <c r="Y1051" s="1353"/>
      <c r="Z1051" s="1353"/>
      <c r="AA1051" s="971"/>
      <c r="AB1051" s="971"/>
      <c r="AC1051" s="971"/>
      <c r="AD1051" s="971"/>
    </row>
    <row r="1052" spans="1:31" s="1441" customFormat="1" ht="15.75" customHeight="1" outlineLevel="1">
      <c r="A1052" s="1462" t="s">
        <v>3393</v>
      </c>
      <c r="B1052" s="1464"/>
      <c r="C1052" s="1464"/>
      <c r="D1052" s="1465"/>
      <c r="E1052" s="1466"/>
      <c r="F1052" s="1466">
        <f>пристройка!R90</f>
        <v>0</v>
      </c>
      <c r="G1052" s="1465"/>
      <c r="H1052" s="1465"/>
      <c r="I1052" s="1465"/>
      <c r="J1052" s="1465"/>
      <c r="K1052" s="1465"/>
      <c r="L1052" s="1465"/>
      <c r="M1052" s="1465"/>
      <c r="N1052" s="1465"/>
      <c r="O1052" s="1438">
        <f>SUM(O620:O862)</f>
        <v>1</v>
      </c>
      <c r="P1052" s="1383"/>
      <c r="Q1052" s="1383"/>
      <c r="R1052" s="1383"/>
      <c r="S1052" s="1438"/>
      <c r="T1052" s="1438">
        <f>SUM(T620:T862)</f>
        <v>0</v>
      </c>
      <c r="U1052" s="1440"/>
      <c r="V1052" s="1438">
        <f>SUM(V620:V862)</f>
        <v>0</v>
      </c>
      <c r="W1052" s="1438"/>
      <c r="X1052" s="1438"/>
      <c r="Y1052" s="1383">
        <f>SUM(Y620:Y862)</f>
        <v>5.0999999999999997E-2</v>
      </c>
      <c r="Z1052" s="1383"/>
      <c r="AA1052" s="1438"/>
      <c r="AB1052" s="1438"/>
      <c r="AC1052" s="1438"/>
      <c r="AD1052" s="1438"/>
      <c r="AE1052" s="1441">
        <f>O1052+T1052+V1052+Y1052</f>
        <v>1.0509999999999999</v>
      </c>
    </row>
    <row r="1053" spans="1:31" s="1441" customFormat="1" ht="15.75" customHeight="1" outlineLevel="1">
      <c r="A1053" s="1462" t="s">
        <v>3394</v>
      </c>
      <c r="B1053" s="1464"/>
      <c r="C1053" s="1464"/>
      <c r="D1053" s="1465"/>
      <c r="E1053" s="1466"/>
      <c r="F1053" s="1466">
        <f>пристройка!R93</f>
        <v>0</v>
      </c>
      <c r="G1053" s="1465"/>
      <c r="H1053" s="1511"/>
      <c r="I1053" s="1511"/>
      <c r="J1053" s="1465"/>
      <c r="K1053" s="1465"/>
      <c r="L1053" s="1465"/>
      <c r="M1053" s="1465"/>
      <c r="N1053" s="1465"/>
      <c r="O1053" s="1438"/>
      <c r="P1053" s="1383"/>
      <c r="Q1053" s="1383"/>
      <c r="R1053" s="1383"/>
      <c r="S1053" s="1438"/>
      <c r="T1053" s="1438"/>
      <c r="U1053" s="1440"/>
      <c r="V1053" s="1438"/>
      <c r="W1053" s="1438"/>
      <c r="X1053" s="1438"/>
      <c r="Y1053" s="1383"/>
      <c r="Z1053" s="1383"/>
      <c r="AA1053" s="1438"/>
      <c r="AB1053" s="1438"/>
      <c r="AC1053" s="1438"/>
      <c r="AD1053" s="1438"/>
    </row>
    <row r="1054" spans="1:31" s="1441" customFormat="1" ht="15.75" customHeight="1" outlineLevel="1">
      <c r="A1054" s="1462" t="s">
        <v>2780</v>
      </c>
      <c r="B1054" s="1464"/>
      <c r="C1054" s="1464"/>
      <c r="D1054" s="1465"/>
      <c r="E1054" s="1466"/>
      <c r="F1054" s="1466">
        <f>пристройка!R88</f>
        <v>0</v>
      </c>
      <c r="G1054" s="1465" t="s">
        <v>3236</v>
      </c>
      <c r="H1054" s="1511"/>
      <c r="I1054" s="1511">
        <f>пристройка!R98</f>
        <v>0</v>
      </c>
      <c r="J1054" s="1465"/>
      <c r="K1054" s="1465"/>
      <c r="L1054" s="1465"/>
      <c r="M1054" s="1465"/>
      <c r="N1054" s="1465"/>
      <c r="O1054" s="1438"/>
      <c r="P1054" s="1383"/>
      <c r="Q1054" s="1383"/>
      <c r="R1054" s="1383"/>
      <c r="S1054" s="1438"/>
      <c r="T1054" s="1438"/>
      <c r="U1054" s="1440"/>
      <c r="V1054" s="1438"/>
      <c r="W1054" s="1438"/>
      <c r="X1054" s="1438"/>
      <c r="Y1054" s="1383"/>
      <c r="Z1054" s="1383"/>
      <c r="AA1054" s="1438"/>
      <c r="AB1054" s="1438"/>
      <c r="AC1054" s="1438"/>
      <c r="AD1054" s="1438"/>
    </row>
    <row r="1055" spans="1:31" s="1441" customFormat="1" ht="15.75" customHeight="1" outlineLevel="1">
      <c r="A1055" s="1462" t="s">
        <v>3395</v>
      </c>
      <c r="B1055" s="1464"/>
      <c r="C1055" s="1464"/>
      <c r="D1055" s="1465"/>
      <c r="E1055" s="1466"/>
      <c r="F1055" s="1467">
        <f>F1052+F1053+F1054</f>
        <v>0</v>
      </c>
      <c r="G1055" s="1465"/>
      <c r="H1055" s="1511"/>
      <c r="I1055" s="1511"/>
      <c r="J1055" s="1465"/>
      <c r="K1055" s="1465"/>
      <c r="L1055" s="1465"/>
      <c r="M1055" s="1465"/>
      <c r="N1055" s="1465"/>
      <c r="O1055" s="1438"/>
      <c r="P1055" s="1383"/>
      <c r="Q1055" s="1383"/>
      <c r="R1055" s="1383"/>
      <c r="S1055" s="1438"/>
      <c r="T1055" s="1438"/>
      <c r="U1055" s="1440"/>
      <c r="V1055" s="1438"/>
      <c r="W1055" s="1438"/>
      <c r="X1055" s="1438"/>
      <c r="Y1055" s="1383"/>
      <c r="Z1055" s="1383"/>
      <c r="AA1055" s="1438"/>
      <c r="AB1055" s="1438"/>
      <c r="AC1055" s="1438"/>
      <c r="AD1055" s="1438"/>
    </row>
    <row r="1056" spans="1:31" s="1441" customFormat="1" ht="15.75" customHeight="1" outlineLevel="1">
      <c r="A1056" s="1462" t="s">
        <v>3396</v>
      </c>
      <c r="B1056" s="1464"/>
      <c r="C1056" s="1464"/>
      <c r="D1056" s="1465"/>
      <c r="E1056" s="1466"/>
      <c r="F1056" s="1466">
        <f>F1052+F1054</f>
        <v>0</v>
      </c>
      <c r="G1056" s="1465"/>
      <c r="H1056" s="1511"/>
      <c r="I1056" s="1511"/>
      <c r="J1056" s="1465"/>
      <c r="K1056" s="1465"/>
      <c r="L1056" s="1465"/>
      <c r="M1056" s="1465"/>
      <c r="N1056" s="1465"/>
      <c r="O1056" s="1438"/>
      <c r="P1056" s="1383"/>
      <c r="Q1056" s="1383"/>
      <c r="R1056" s="1383"/>
      <c r="S1056" s="1438"/>
      <c r="T1056" s="1438"/>
      <c r="U1056" s="1440"/>
      <c r="V1056" s="1438"/>
      <c r="W1056" s="1438"/>
      <c r="X1056" s="1438"/>
      <c r="Y1056" s="1383"/>
      <c r="Z1056" s="1383"/>
      <c r="AA1056" s="1438"/>
      <c r="AB1056" s="1438"/>
      <c r="AC1056" s="1438"/>
      <c r="AD1056" s="1438"/>
    </row>
    <row r="1057" spans="1:32" s="1441" customFormat="1" ht="15.75" customHeight="1" outlineLevel="1">
      <c r="A1057" s="1468" t="s">
        <v>3232</v>
      </c>
      <c r="B1057" s="1512"/>
      <c r="C1057" s="1512"/>
      <c r="D1057" s="1468"/>
      <c r="E1057" s="1468"/>
      <c r="F1057" s="1468">
        <f>C1253*D1229</f>
        <v>0</v>
      </c>
      <c r="G1057" s="1468"/>
      <c r="H1057" s="1513"/>
      <c r="I1057" s="1513"/>
      <c r="J1057" s="1468"/>
      <c r="K1057" s="1468"/>
      <c r="L1057" s="1468"/>
      <c r="M1057" s="1468"/>
      <c r="N1057" s="1468"/>
      <c r="O1057" s="1400" t="s">
        <v>3236</v>
      </c>
      <c r="P1057" s="1400" t="s">
        <v>3397</v>
      </c>
      <c r="Q1057" s="1401"/>
      <c r="R1057" s="1401"/>
      <c r="S1057" s="1400"/>
      <c r="T1057" s="1400">
        <f>T834+T840+T845+T850+T855</f>
        <v>0</v>
      </c>
      <c r="U1057" s="1514" t="s">
        <v>2591</v>
      </c>
      <c r="V1057" s="1489">
        <f>T1057-Y1057</f>
        <v>0</v>
      </c>
      <c r="W1057" s="1438"/>
      <c r="X1057" s="1438"/>
      <c r="Y1057" s="1401">
        <f>Y850+Y840</f>
        <v>0</v>
      </c>
      <c r="Z1057" s="1400" t="s">
        <v>3248</v>
      </c>
      <c r="AA1057" s="1400"/>
      <c r="AB1057" s="1400"/>
      <c r="AC1057" s="1400"/>
      <c r="AD1057" s="1400"/>
      <c r="AE1057" s="1515"/>
    </row>
    <row r="1058" spans="1:32" s="1441" customFormat="1" ht="15.75" customHeight="1" outlineLevel="1">
      <c r="A1058" s="1468" t="s">
        <v>3398</v>
      </c>
      <c r="B1058" s="1512"/>
      <c r="C1058" s="1512"/>
      <c r="D1058" s="1468"/>
      <c r="E1058" s="1468"/>
      <c r="F1058" s="1468">
        <f>C1257*D1229</f>
        <v>0</v>
      </c>
      <c r="G1058" s="1468"/>
      <c r="H1058" s="1513"/>
      <c r="I1058" s="1513"/>
      <c r="J1058" s="1468"/>
      <c r="K1058" s="1468"/>
      <c r="L1058" s="1468"/>
      <c r="M1058" s="1468"/>
      <c r="N1058" s="1468"/>
      <c r="O1058" s="1400"/>
      <c r="P1058" s="1400"/>
      <c r="Q1058" s="1401"/>
      <c r="R1058" s="1401"/>
      <c r="S1058" s="1400"/>
      <c r="T1058" s="1400"/>
      <c r="U1058" s="1514"/>
      <c r="V1058" s="1489"/>
      <c r="W1058" s="1438"/>
      <c r="X1058" s="1438"/>
      <c r="Y1058" s="1401"/>
      <c r="Z1058" s="1400"/>
      <c r="AA1058" s="1400"/>
      <c r="AB1058" s="1516"/>
      <c r="AC1058" s="1516"/>
      <c r="AD1058" s="1516"/>
      <c r="AE1058" s="1515"/>
    </row>
    <row r="1059" spans="1:32" s="1441" customFormat="1" ht="15.75" customHeight="1" outlineLevel="1">
      <c r="A1059" s="1468" t="s">
        <v>3399</v>
      </c>
      <c r="B1059" s="1512"/>
      <c r="C1059" s="1512"/>
      <c r="D1059" s="1468"/>
      <c r="E1059" s="1468"/>
      <c r="F1059" s="1517">
        <f>F1057+F1058</f>
        <v>0</v>
      </c>
      <c r="G1059" s="1468" t="s">
        <v>3236</v>
      </c>
      <c r="H1059" s="1513"/>
      <c r="I1059" s="1513">
        <f>C1254*D1229</f>
        <v>0</v>
      </c>
      <c r="J1059" s="1468"/>
      <c r="K1059" s="1468"/>
      <c r="L1059" s="1468"/>
      <c r="M1059" s="1468"/>
      <c r="N1059" s="1468"/>
      <c r="O1059" s="1400"/>
      <c r="P1059" s="1400"/>
      <c r="Q1059" s="1401"/>
      <c r="R1059" s="1401"/>
      <c r="S1059" s="1400"/>
      <c r="T1059" s="1400"/>
      <c r="U1059" s="1514"/>
      <c r="V1059" s="1489"/>
      <c r="W1059" s="1438"/>
      <c r="X1059" s="1438"/>
      <c r="Y1059" s="1401"/>
      <c r="Z1059" s="1400"/>
      <c r="AA1059" s="1400"/>
      <c r="AB1059" s="1516"/>
      <c r="AC1059" s="1516"/>
      <c r="AD1059" s="1516"/>
      <c r="AE1059" s="1515"/>
    </row>
    <row r="1060" spans="1:32" s="1441" customFormat="1" ht="15.75" customHeight="1" outlineLevel="1">
      <c r="A1060" s="1468" t="s">
        <v>3396</v>
      </c>
      <c r="B1060" s="1512"/>
      <c r="C1060" s="1512"/>
      <c r="D1060" s="1468"/>
      <c r="E1060" s="1468"/>
      <c r="F1060" s="1468">
        <f>C1253*D1229</f>
        <v>0</v>
      </c>
      <c r="G1060" s="1468"/>
      <c r="H1060" s="1513"/>
      <c r="I1060" s="1513"/>
      <c r="J1060" s="1468"/>
      <c r="K1060" s="1468"/>
      <c r="L1060" s="1468"/>
      <c r="M1060" s="1468"/>
      <c r="N1060" s="1468"/>
      <c r="O1060" s="1400"/>
      <c r="P1060" s="1400"/>
      <c r="Q1060" s="1401"/>
      <c r="R1060" s="1401"/>
      <c r="S1060" s="1400"/>
      <c r="T1060" s="1400"/>
      <c r="U1060" s="1514"/>
      <c r="V1060" s="1489"/>
      <c r="W1060" s="1438"/>
      <c r="X1060" s="1438"/>
      <c r="Y1060" s="1401"/>
      <c r="Z1060" s="1400"/>
      <c r="AA1060" s="1400"/>
      <c r="AB1060" s="1516"/>
      <c r="AC1060" s="1516"/>
      <c r="AD1060" s="1516"/>
      <c r="AE1060" s="1515"/>
    </row>
    <row r="1061" spans="1:32" ht="15.75" customHeight="1" outlineLevel="1">
      <c r="A1061" s="1472" t="s">
        <v>3237</v>
      </c>
      <c r="B1061" s="1518"/>
      <c r="C1061" s="1519"/>
      <c r="D1061" s="1475"/>
      <c r="E1061" s="1475"/>
      <c r="F1061" s="1475">
        <f>F626</f>
        <v>0</v>
      </c>
      <c r="G1061" s="1475"/>
      <c r="H1061" s="1475"/>
      <c r="I1061" s="1520"/>
      <c r="J1061" s="1519"/>
      <c r="K1061" s="1521"/>
      <c r="L1061" s="1521"/>
      <c r="M1061" s="1521"/>
      <c r="N1061" s="1521"/>
      <c r="O1061" s="1383"/>
      <c r="P1061" s="1383"/>
      <c r="Q1061" s="1383"/>
      <c r="R1061" s="1438"/>
      <c r="S1061" s="1438"/>
      <c r="T1061" s="1438"/>
      <c r="U1061" s="1383"/>
      <c r="V1061" s="1383"/>
      <c r="W1061" s="1383"/>
      <c r="X1061" s="1383"/>
      <c r="Y1061" s="1383"/>
      <c r="Z1061" s="1438"/>
      <c r="AA1061" s="1438"/>
    </row>
    <row r="1062" spans="1:32" ht="15.75" customHeight="1" outlineLevel="1">
      <c r="A1062" s="1472" t="s">
        <v>3238</v>
      </c>
      <c r="B1062" s="1519"/>
      <c r="C1062" s="1519"/>
      <c r="D1062" s="1475"/>
      <c r="E1062" s="1475"/>
      <c r="F1062" s="1475">
        <f>F836+F837+F838+F839+F846+F847+F848+F849</f>
        <v>0</v>
      </c>
      <c r="G1062" s="1475"/>
      <c r="H1062" s="1475"/>
      <c r="I1062" s="1520"/>
      <c r="J1062" s="1519"/>
      <c r="K1062" s="1521"/>
      <c r="L1062" s="1521"/>
      <c r="M1062" s="1521"/>
      <c r="N1062" s="1521"/>
      <c r="O1062" s="1383"/>
      <c r="P1062" s="1383"/>
      <c r="Q1062" s="1383"/>
      <c r="R1062" s="1438"/>
      <c r="S1062" s="1438"/>
      <c r="T1062" s="1438"/>
      <c r="U1062" s="1383"/>
      <c r="V1062" s="1383"/>
      <c r="W1062" s="1383"/>
      <c r="X1062" s="1383"/>
      <c r="Y1062" s="1383"/>
      <c r="Z1062" s="1438"/>
      <c r="AA1062" s="1438"/>
    </row>
    <row r="1063" spans="1:32" ht="15.75" customHeight="1" outlineLevel="1">
      <c r="A1063" s="1472" t="s">
        <v>3239</v>
      </c>
      <c r="B1063" s="1519"/>
      <c r="C1063" s="1519"/>
      <c r="D1063" s="1475"/>
      <c r="E1063" s="1475"/>
      <c r="F1063" s="1475">
        <f>F841+F842+F843+F844+F851+F852+F853+F854</f>
        <v>0</v>
      </c>
      <c r="G1063" s="1475"/>
      <c r="H1063" s="1475"/>
      <c r="I1063" s="1520"/>
      <c r="J1063" s="1519"/>
      <c r="K1063" s="1519"/>
      <c r="L1063" s="1519"/>
      <c r="M1063" s="1519"/>
      <c r="N1063" s="1519"/>
      <c r="O1063" s="1383"/>
      <c r="P1063" s="1383"/>
      <c r="Q1063" s="1383"/>
      <c r="R1063" s="1383"/>
      <c r="S1063" s="1383"/>
      <c r="T1063" s="1383"/>
      <c r="U1063" s="1383"/>
      <c r="V1063" s="1383"/>
      <c r="W1063" s="1383"/>
      <c r="X1063" s="1383"/>
      <c r="Y1063" s="1383"/>
      <c r="Z1063" s="1438"/>
      <c r="AA1063" s="1438"/>
    </row>
    <row r="1064" spans="1:32" ht="15.75" customHeight="1" outlineLevel="1">
      <c r="A1064" s="1472" t="s">
        <v>3240</v>
      </c>
      <c r="B1064" s="1519"/>
      <c r="C1064" s="1519"/>
      <c r="D1064" s="1475"/>
      <c r="E1064" s="1475"/>
      <c r="F1064" s="1517">
        <f>F1052+F1057+F1061-E52-E53-E54-E55-E56-E58+F1067-I1059+F1053+F1058-I1054</f>
        <v>0</v>
      </c>
      <c r="G1064" s="1475"/>
      <c r="H1064" s="1475"/>
      <c r="I1064" s="1520"/>
      <c r="J1064" s="1519"/>
      <c r="K1064" s="1519"/>
      <c r="L1064" s="1522"/>
      <c r="M1064" s="1522"/>
      <c r="N1064" s="1522"/>
      <c r="O1064" s="1523"/>
      <c r="P1064" s="1523"/>
      <c r="Q1064" s="1523"/>
      <c r="R1064" s="1523"/>
      <c r="S1064" s="1523"/>
      <c r="T1064" s="1523"/>
      <c r="U1064" s="1523"/>
      <c r="V1064" s="1523"/>
      <c r="W1064" s="1523"/>
      <c r="X1064" s="1523"/>
      <c r="Y1064" s="1523"/>
      <c r="Z1064" s="1524"/>
      <c r="AA1064" s="1524"/>
    </row>
    <row r="1065" spans="1:32" ht="15.75" customHeight="1" outlineLevel="1">
      <c r="A1065" s="1472" t="s">
        <v>3400</v>
      </c>
      <c r="B1065" s="1519"/>
      <c r="C1065" s="1519"/>
      <c r="D1065" s="1475"/>
      <c r="E1065" s="1475"/>
      <c r="F1065" s="1517">
        <f>F1052+F1057+F1061+F1054-I1054-I1059</f>
        <v>0</v>
      </c>
      <c r="G1065" s="1475"/>
      <c r="H1065" s="1475"/>
      <c r="I1065" s="1520"/>
      <c r="J1065" s="1519"/>
      <c r="K1065" s="1519"/>
      <c r="L1065" s="1522"/>
      <c r="M1065" s="1522"/>
      <c r="N1065" s="1522"/>
      <c r="O1065" s="1523"/>
      <c r="P1065" s="1523"/>
      <c r="Q1065" s="1523"/>
      <c r="R1065" s="1523"/>
      <c r="S1065" s="1523"/>
      <c r="T1065" s="1523"/>
      <c r="U1065" s="1523"/>
      <c r="V1065" s="1523"/>
      <c r="W1065" s="1523"/>
      <c r="X1065" s="1523"/>
      <c r="Y1065" s="1523"/>
      <c r="Z1065" s="1524"/>
      <c r="AA1065" s="1524"/>
    </row>
    <row r="1066" spans="1:32" ht="15.75" customHeight="1" outlineLevel="1">
      <c r="A1066" s="1472" t="s">
        <v>3241</v>
      </c>
      <c r="B1066" s="1525" t="s">
        <v>3242</v>
      </c>
      <c r="C1066" s="1525"/>
      <c r="D1066" s="1477"/>
      <c r="E1066" s="1477"/>
      <c r="F1066" s="1477">
        <f>F1052+F1057+F1061-E52-E53-E54-E55-E56-E58-I1059-I1054</f>
        <v>0</v>
      </c>
      <c r="G1066" s="1475"/>
      <c r="H1066" s="1475"/>
      <c r="I1066" s="1520"/>
      <c r="J1066" s="1519"/>
      <c r="K1066" s="1519"/>
      <c r="L1066" s="1522"/>
      <c r="M1066" s="1522"/>
      <c r="N1066" s="1522"/>
      <c r="O1066" s="1523"/>
      <c r="P1066" s="1523"/>
      <c r="Q1066" s="1523"/>
      <c r="R1066" s="1523"/>
      <c r="S1066" s="1523"/>
      <c r="T1066" s="1523"/>
      <c r="U1066" s="1523"/>
      <c r="V1066" s="1523"/>
      <c r="W1066" s="1523"/>
      <c r="X1066" s="1523"/>
      <c r="Y1066" s="1523"/>
      <c r="Z1066" s="1524"/>
      <c r="AA1066" s="1524"/>
    </row>
    <row r="1067" spans="1:32" ht="15.75" customHeight="1" outlineLevel="1">
      <c r="A1067" s="1472" t="s">
        <v>3401</v>
      </c>
      <c r="B1067" s="1519"/>
      <c r="C1067" s="1519"/>
      <c r="D1067" s="1475"/>
      <c r="E1067" s="1475"/>
      <c r="F1067" s="1475">
        <f>S834*E45*D45</f>
        <v>0</v>
      </c>
      <c r="G1067" s="1475" t="s">
        <v>293</v>
      </c>
      <c r="H1067" s="1475"/>
      <c r="I1067" s="1520"/>
      <c r="J1067" s="1519"/>
      <c r="K1067" s="1519" t="s">
        <v>3245</v>
      </c>
      <c r="L1067" s="1522"/>
      <c r="M1067" s="1522"/>
      <c r="N1067" s="1522"/>
      <c r="O1067" s="1523"/>
      <c r="P1067" s="1523"/>
      <c r="Q1067" s="1523"/>
      <c r="R1067" s="1523"/>
      <c r="S1067" s="1523"/>
      <c r="T1067" s="1523"/>
      <c r="U1067" s="1523"/>
      <c r="V1067" s="1523"/>
      <c r="W1067" s="1523"/>
      <c r="X1067" s="1523"/>
      <c r="Y1067" s="1523"/>
      <c r="Z1067" s="1524"/>
      <c r="AA1067" s="1524"/>
    </row>
    <row r="1068" spans="1:32" ht="15.75" customHeight="1" outlineLevel="1">
      <c r="A1068" s="1526" t="s">
        <v>3246</v>
      </c>
      <c r="B1068" s="1527"/>
      <c r="C1068" s="1527"/>
      <c r="D1068" s="1482"/>
      <c r="E1068" s="1482"/>
      <c r="F1068" s="1482">
        <f>(S840+S845+S850+S855)*E834</f>
        <v>0</v>
      </c>
      <c r="G1068" s="1475">
        <f>E620+E621</f>
        <v>0</v>
      </c>
      <c r="H1068" s="1475"/>
      <c r="I1068" s="1520">
        <f>G1068/D1532*1000</f>
        <v>0</v>
      </c>
      <c r="J1068" s="1519">
        <f>CEILING(I1068/3+1,1)</f>
        <v>1</v>
      </c>
      <c r="K1068" s="1519">
        <f>F1068*J1068*2</f>
        <v>0</v>
      </c>
      <c r="L1068" s="1522"/>
      <c r="M1068" s="1522"/>
      <c r="N1068" s="1522"/>
      <c r="O1068" s="1523"/>
      <c r="P1068" s="1523"/>
      <c r="Q1068" s="1523"/>
      <c r="R1068" s="1523"/>
      <c r="S1068" s="1523"/>
      <c r="T1068" s="1523"/>
      <c r="U1068" s="1523"/>
      <c r="V1068" s="1523"/>
      <c r="W1068" s="1523"/>
      <c r="X1068" s="1523"/>
      <c r="Y1068" s="1523"/>
      <c r="Z1068" s="1524"/>
      <c r="AA1068" s="1524"/>
    </row>
    <row r="1069" spans="1:32" ht="15.75" customHeight="1">
      <c r="A1069" s="1528" t="s">
        <v>3402</v>
      </c>
      <c r="B1069" s="1529"/>
      <c r="C1069" s="1529"/>
      <c r="D1069" s="1530"/>
      <c r="E1069" s="1530"/>
      <c r="F1069" s="1530"/>
      <c r="G1069" s="1530"/>
      <c r="H1069" s="1530"/>
      <c r="I1069" s="1531"/>
      <c r="J1069" s="1529"/>
      <c r="K1069" s="1529"/>
      <c r="L1069" s="1532"/>
      <c r="M1069" s="1532"/>
      <c r="N1069" s="1532"/>
      <c r="O1069" s="1533"/>
      <c r="P1069" s="1533"/>
      <c r="Q1069" s="1533"/>
      <c r="R1069" s="1533"/>
      <c r="S1069" s="1533"/>
      <c r="T1069" s="1533"/>
      <c r="U1069" s="1533"/>
      <c r="V1069" s="1533"/>
      <c r="W1069" s="1290"/>
      <c r="X1069" s="1290"/>
      <c r="Y1069" s="1290"/>
    </row>
    <row r="1070" spans="1:32" ht="15.75" hidden="1" customHeight="1" outlineLevel="1">
      <c r="A1070" s="1534" t="s">
        <v>3403</v>
      </c>
      <c r="B1070" s="1535"/>
      <c r="C1070" s="1535"/>
      <c r="D1070" s="1534"/>
      <c r="E1070" s="1534"/>
      <c r="F1070" s="1534"/>
      <c r="G1070" s="1534"/>
      <c r="H1070" s="1534"/>
      <c r="I1070" s="1534"/>
      <c r="J1070" s="1534"/>
      <c r="K1070" s="1529"/>
      <c r="L1070" s="1532"/>
      <c r="M1070" s="1532"/>
      <c r="N1070" s="1532"/>
      <c r="O1070" s="1533"/>
      <c r="P1070" s="1533"/>
      <c r="Q1070" s="1533"/>
      <c r="R1070" s="1533"/>
      <c r="S1070" s="1533"/>
      <c r="T1070" s="1533"/>
      <c r="U1070" s="1533"/>
      <c r="V1070" s="1533"/>
      <c r="W1070" s="1290"/>
      <c r="X1070" s="1290"/>
      <c r="Y1070" s="1290"/>
    </row>
    <row r="1071" spans="1:32" ht="15.75" hidden="1" customHeight="1" outlineLevel="1">
      <c r="A1071" s="1528" t="s">
        <v>3404</v>
      </c>
      <c r="B1071" s="1535" t="s">
        <v>120</v>
      </c>
      <c r="C1071" s="1535" t="s">
        <v>1966</v>
      </c>
      <c r="D1071" s="1534" t="s">
        <v>1970</v>
      </c>
      <c r="E1071" s="1530" t="s">
        <v>2017</v>
      </c>
      <c r="F1071" s="1530" t="s">
        <v>2018</v>
      </c>
      <c r="G1071" s="1536"/>
      <c r="H1071" s="1536"/>
      <c r="I1071" s="1535" t="s">
        <v>1966</v>
      </c>
      <c r="J1071" s="1534" t="s">
        <v>1970</v>
      </c>
      <c r="K1071" s="1530" t="s">
        <v>2017</v>
      </c>
      <c r="L1071" s="1537"/>
      <c r="M1071" s="1537"/>
      <c r="N1071" s="1537"/>
      <c r="O1071" s="1538" t="s">
        <v>2018</v>
      </c>
      <c r="P1071" s="1539"/>
      <c r="Q1071" s="1540" t="s">
        <v>1966</v>
      </c>
      <c r="R1071" s="1541" t="s">
        <v>1970</v>
      </c>
      <c r="S1071" s="1542" t="s">
        <v>2017</v>
      </c>
      <c r="T1071" s="1542" t="s">
        <v>2018</v>
      </c>
      <c r="U1071" s="1539"/>
      <c r="V1071" s="1539"/>
      <c r="W1071" s="1276"/>
      <c r="X1071" s="1276"/>
      <c r="Y1071" s="1286"/>
      <c r="Z1071" s="1543"/>
      <c r="AA1071" s="1544"/>
      <c r="AB1071" s="1036"/>
      <c r="AC1071" s="1036"/>
      <c r="AD1071" s="1036"/>
      <c r="AE1071" s="1276"/>
      <c r="AF1071" s="1286"/>
    </row>
    <row r="1072" spans="1:32" ht="15.75" hidden="1" customHeight="1" outlineLevel="1">
      <c r="A1072" s="1528" t="s">
        <v>2986</v>
      </c>
      <c r="B1072" s="1535" t="s">
        <v>156</v>
      </c>
      <c r="C1072" s="1535">
        <f>пристройка!C34</f>
        <v>6</v>
      </c>
      <c r="D1072" s="1534">
        <f>пристройка!D34</f>
        <v>3</v>
      </c>
      <c r="E1072" s="1534">
        <f>пристройка!E34</f>
        <v>3</v>
      </c>
      <c r="F1072" s="1534">
        <f>пристройка!F34</f>
        <v>5</v>
      </c>
      <c r="G1072" s="1531"/>
      <c r="H1072" s="1531"/>
      <c r="I1072" s="1534">
        <f>пристройка!H34</f>
        <v>6</v>
      </c>
      <c r="J1072" s="1534">
        <f>пристройка!I34</f>
        <v>3</v>
      </c>
      <c r="K1072" s="1534">
        <f>пристройка!J34</f>
        <v>3</v>
      </c>
      <c r="L1072" s="1545"/>
      <c r="M1072" s="1545"/>
      <c r="N1072" s="1545"/>
      <c r="O1072" s="1546">
        <f>пристройка!K34</f>
        <v>5</v>
      </c>
      <c r="P1072" s="1539"/>
      <c r="Q1072" s="1541">
        <f>пристройка!M34</f>
        <v>6</v>
      </c>
      <c r="R1072" s="1541">
        <f>пристройка!N34</f>
        <v>3</v>
      </c>
      <c r="S1072" s="1541">
        <f>пристройка!O34</f>
        <v>3</v>
      </c>
      <c r="T1072" s="1541">
        <f>пристройка!P34</f>
        <v>5</v>
      </c>
      <c r="U1072" s="1539"/>
      <c r="V1072" s="1539"/>
      <c r="W1072" s="1286"/>
      <c r="X1072" s="1286"/>
      <c r="Y1072" s="921"/>
      <c r="Z1072" s="1544"/>
      <c r="AA1072" s="1544"/>
      <c r="AB1072" s="1036"/>
      <c r="AC1072" s="1036"/>
      <c r="AD1072" s="1036"/>
      <c r="AE1072" s="1286"/>
      <c r="AF1072" s="921"/>
    </row>
    <row r="1073" spans="1:32" ht="15.75" hidden="1" customHeight="1" outlineLevel="1">
      <c r="A1073" s="1528" t="s">
        <v>2990</v>
      </c>
      <c r="B1073" s="1535" t="s">
        <v>156</v>
      </c>
      <c r="C1073" s="1535">
        <f>пристройка!C33</f>
        <v>3</v>
      </c>
      <c r="D1073" s="1534">
        <f>пристройка!D33</f>
        <v>3</v>
      </c>
      <c r="E1073" s="1534">
        <f>пристройка!E33</f>
        <v>3</v>
      </c>
      <c r="F1073" s="1534">
        <f>пристройка!F33</f>
        <v>3</v>
      </c>
      <c r="G1073" s="1531"/>
      <c r="H1073" s="1531"/>
      <c r="I1073" s="1534">
        <f>пристройка!H33</f>
        <v>3</v>
      </c>
      <c r="J1073" s="1534">
        <f>пристройка!I33</f>
        <v>3</v>
      </c>
      <c r="K1073" s="1534">
        <f>пристройка!J33</f>
        <v>3</v>
      </c>
      <c r="L1073" s="1545"/>
      <c r="M1073" s="1545"/>
      <c r="N1073" s="1545"/>
      <c r="O1073" s="1546">
        <f>пристройка!K33</f>
        <v>3</v>
      </c>
      <c r="P1073" s="1539"/>
      <c r="Q1073" s="1541">
        <f>пристройка!M33</f>
        <v>3</v>
      </c>
      <c r="R1073" s="1541">
        <f>пристройка!N33</f>
        <v>3</v>
      </c>
      <c r="S1073" s="1541">
        <f>пристройка!O33</f>
        <v>3</v>
      </c>
      <c r="T1073" s="1541">
        <f>пристройка!P33</f>
        <v>3</v>
      </c>
      <c r="U1073" s="1539"/>
      <c r="V1073" s="1539"/>
      <c r="W1073" s="1286"/>
      <c r="X1073" s="1286"/>
      <c r="Y1073" s="921"/>
      <c r="Z1073" s="1544"/>
      <c r="AA1073" s="1544"/>
      <c r="AB1073" s="1036"/>
      <c r="AC1073" s="1036"/>
      <c r="AD1073" s="1036"/>
      <c r="AE1073" s="1286"/>
      <c r="AF1073" s="921"/>
    </row>
    <row r="1074" spans="1:32" ht="15.75" hidden="1" customHeight="1" outlineLevel="1">
      <c r="A1074" s="1528" t="s">
        <v>2991</v>
      </c>
      <c r="B1074" s="1535" t="s">
        <v>156</v>
      </c>
      <c r="C1074" s="1535">
        <f>пристройка!C33</f>
        <v>3</v>
      </c>
      <c r="D1074" s="1534">
        <f>пристройка!D33</f>
        <v>3</v>
      </c>
      <c r="E1074" s="1534">
        <f>пристройка!E33</f>
        <v>3</v>
      </c>
      <c r="F1074" s="1534">
        <f>пристройка!F33</f>
        <v>3</v>
      </c>
      <c r="G1074" s="1531"/>
      <c r="H1074" s="1531"/>
      <c r="I1074" s="1534">
        <f>пристройка!H33</f>
        <v>3</v>
      </c>
      <c r="J1074" s="1534">
        <f>пристройка!I33</f>
        <v>3</v>
      </c>
      <c r="K1074" s="1534">
        <f>пристройка!J33</f>
        <v>3</v>
      </c>
      <c r="L1074" s="1545"/>
      <c r="M1074" s="1545"/>
      <c r="N1074" s="1545"/>
      <c r="O1074" s="1546">
        <f>пристройка!K33</f>
        <v>3</v>
      </c>
      <c r="P1074" s="1539"/>
      <c r="Q1074" s="1541">
        <f>пристройка!M33</f>
        <v>3</v>
      </c>
      <c r="R1074" s="1541">
        <f>пристройка!N33</f>
        <v>3</v>
      </c>
      <c r="S1074" s="1541">
        <f>пристройка!O33</f>
        <v>3</v>
      </c>
      <c r="T1074" s="1541">
        <f>пристройка!P33</f>
        <v>3</v>
      </c>
      <c r="U1074" s="1539"/>
      <c r="V1074" s="1539"/>
      <c r="W1074" s="1286"/>
      <c r="X1074" s="1286"/>
      <c r="Y1074" s="921"/>
      <c r="Z1074" s="1544"/>
      <c r="AA1074" s="1544"/>
      <c r="AB1074" s="1036"/>
      <c r="AC1074" s="1036"/>
      <c r="AD1074" s="1036"/>
      <c r="AE1074" s="1286"/>
      <c r="AF1074" s="921"/>
    </row>
    <row r="1075" spans="1:32" ht="15.75" hidden="1" customHeight="1" outlineLevel="1">
      <c r="A1075" s="1528" t="s">
        <v>3405</v>
      </c>
      <c r="B1075" s="1535"/>
      <c r="C1075" s="1535">
        <f>пристройка!C37</f>
        <v>1.2</v>
      </c>
      <c r="D1075" s="1534">
        <f>пристройка!D37</f>
        <v>2.9</v>
      </c>
      <c r="E1075" s="1534">
        <f>пристройка!E37</f>
        <v>2.9</v>
      </c>
      <c r="F1075" s="1534">
        <f>пристройка!F37</f>
        <v>3</v>
      </c>
      <c r="G1075" s="1531"/>
      <c r="H1075" s="1531"/>
      <c r="I1075" s="1534">
        <f>пристройка!H37</f>
        <v>1.2</v>
      </c>
      <c r="J1075" s="1534">
        <f>пристройка!I37</f>
        <v>2.9</v>
      </c>
      <c r="K1075" s="1534">
        <f>пристройка!J37</f>
        <v>2.9</v>
      </c>
      <c r="L1075" s="1545"/>
      <c r="M1075" s="1545"/>
      <c r="N1075" s="1545"/>
      <c r="O1075" s="1546">
        <f>пристройка!K37</f>
        <v>3</v>
      </c>
      <c r="P1075" s="1539"/>
      <c r="Q1075" s="1541">
        <f>пристройка!M37</f>
        <v>1.2</v>
      </c>
      <c r="R1075" s="1541">
        <f>пристройка!N37</f>
        <v>2.9</v>
      </c>
      <c r="S1075" s="1541">
        <f>пристройка!O37</f>
        <v>2.9</v>
      </c>
      <c r="T1075" s="1541">
        <f>пристройка!P37</f>
        <v>3</v>
      </c>
      <c r="U1075" s="1539"/>
      <c r="V1075" s="1539"/>
      <c r="W1075" s="1286"/>
      <c r="X1075" s="1286"/>
      <c r="Y1075" s="921"/>
      <c r="Z1075" s="1544"/>
      <c r="AA1075" s="1544"/>
      <c r="AB1075" s="1036"/>
      <c r="AC1075" s="1036"/>
      <c r="AD1075" s="1036"/>
      <c r="AE1075" s="1286"/>
      <c r="AF1075" s="921"/>
    </row>
    <row r="1076" spans="1:32" ht="15.75" hidden="1" customHeight="1" outlineLevel="1">
      <c r="A1076" s="1528" t="s">
        <v>3402</v>
      </c>
      <c r="B1076" s="1535"/>
      <c r="C1076" s="1535"/>
      <c r="D1076" s="1534"/>
      <c r="E1076" s="1530"/>
      <c r="F1076" s="1530"/>
      <c r="G1076" s="1536"/>
      <c r="H1076" s="1536"/>
      <c r="I1076" s="1531"/>
      <c r="J1076" s="1535"/>
      <c r="K1076" s="1534"/>
      <c r="L1076" s="1545"/>
      <c r="M1076" s="1545"/>
      <c r="N1076" s="1545"/>
      <c r="O1076" s="1538"/>
      <c r="P1076" s="1539"/>
      <c r="Q1076" s="1547"/>
      <c r="R1076" s="1548"/>
      <c r="S1076" s="1540"/>
      <c r="T1076" s="1541"/>
      <c r="U1076" s="1539"/>
      <c r="V1076" s="1539"/>
      <c r="W1076" s="1276"/>
      <c r="X1076" s="1276"/>
      <c r="Y1076" s="1286"/>
      <c r="Z1076" s="1543"/>
      <c r="AA1076" s="1544"/>
      <c r="AB1076" s="1036"/>
      <c r="AC1076" s="1036"/>
      <c r="AD1076" s="1036"/>
      <c r="AE1076" s="1276"/>
      <c r="AF1076" s="1286"/>
    </row>
    <row r="1077" spans="1:32" ht="15.75" hidden="1" customHeight="1" outlineLevel="1">
      <c r="A1077" s="1528" t="s">
        <v>2986</v>
      </c>
      <c r="B1077" s="1535" t="s">
        <v>156</v>
      </c>
      <c r="C1077" s="1535">
        <f t="shared" ref="C1077:F1079" si="117">C1072</f>
        <v>6</v>
      </c>
      <c r="D1077" s="1534">
        <f t="shared" si="117"/>
        <v>3</v>
      </c>
      <c r="E1077" s="1534">
        <f t="shared" si="117"/>
        <v>3</v>
      </c>
      <c r="F1077" s="1534">
        <f t="shared" si="117"/>
        <v>5</v>
      </c>
      <c r="G1077" s="1531"/>
      <c r="H1077" s="1531"/>
      <c r="I1077" s="1534">
        <f t="shared" ref="I1077:K1079" si="118">I1072</f>
        <v>6</v>
      </c>
      <c r="J1077" s="1534">
        <f t="shared" si="118"/>
        <v>3</v>
      </c>
      <c r="K1077" s="1534">
        <f t="shared" si="118"/>
        <v>3</v>
      </c>
      <c r="L1077" s="1545"/>
      <c r="M1077" s="1545"/>
      <c r="N1077" s="1545"/>
      <c r="O1077" s="1546">
        <f>O1072</f>
        <v>5</v>
      </c>
      <c r="P1077" s="1539"/>
      <c r="Q1077" s="1541">
        <f t="shared" ref="Q1077:T1079" si="119">Q1072</f>
        <v>6</v>
      </c>
      <c r="R1077" s="1541">
        <f t="shared" si="119"/>
        <v>3</v>
      </c>
      <c r="S1077" s="1541">
        <f t="shared" si="119"/>
        <v>3</v>
      </c>
      <c r="T1077" s="1541">
        <f t="shared" si="119"/>
        <v>5</v>
      </c>
      <c r="U1077" s="1539"/>
      <c r="V1077" s="1539"/>
      <c r="W1077" s="1286"/>
      <c r="X1077" s="1286"/>
      <c r="Y1077" s="921"/>
      <c r="Z1077" s="1544"/>
      <c r="AA1077" s="1544"/>
      <c r="AB1077" s="1036"/>
      <c r="AC1077" s="1036"/>
      <c r="AD1077" s="1036"/>
      <c r="AE1077" s="1286"/>
      <c r="AF1077" s="921"/>
    </row>
    <row r="1078" spans="1:32" ht="15.75" hidden="1" customHeight="1" outlineLevel="1">
      <c r="A1078" s="1528" t="s">
        <v>3254</v>
      </c>
      <c r="B1078" s="1535" t="s">
        <v>156</v>
      </c>
      <c r="C1078" s="1535">
        <f t="shared" si="117"/>
        <v>3</v>
      </c>
      <c r="D1078" s="1534">
        <f t="shared" si="117"/>
        <v>3</v>
      </c>
      <c r="E1078" s="1534">
        <f t="shared" si="117"/>
        <v>3</v>
      </c>
      <c r="F1078" s="1534">
        <f t="shared" si="117"/>
        <v>3</v>
      </c>
      <c r="G1078" s="1531"/>
      <c r="H1078" s="1531"/>
      <c r="I1078" s="1534">
        <f t="shared" si="118"/>
        <v>3</v>
      </c>
      <c r="J1078" s="1534">
        <f t="shared" si="118"/>
        <v>3</v>
      </c>
      <c r="K1078" s="1534">
        <f t="shared" si="118"/>
        <v>3</v>
      </c>
      <c r="L1078" s="1545"/>
      <c r="M1078" s="1545"/>
      <c r="N1078" s="1545"/>
      <c r="O1078" s="1546">
        <f>O1073</f>
        <v>3</v>
      </c>
      <c r="P1078" s="1539"/>
      <c r="Q1078" s="1541">
        <f t="shared" si="119"/>
        <v>3</v>
      </c>
      <c r="R1078" s="1541">
        <f t="shared" si="119"/>
        <v>3</v>
      </c>
      <c r="S1078" s="1541">
        <f t="shared" si="119"/>
        <v>3</v>
      </c>
      <c r="T1078" s="1541">
        <f t="shared" si="119"/>
        <v>3</v>
      </c>
      <c r="U1078" s="1539"/>
      <c r="V1078" s="1539"/>
      <c r="W1078" s="1286"/>
      <c r="X1078" s="1286"/>
      <c r="Y1078" s="921"/>
      <c r="Z1078" s="1544"/>
      <c r="AA1078" s="1544"/>
      <c r="AB1078" s="1036"/>
      <c r="AC1078" s="1036"/>
      <c r="AD1078" s="1036"/>
      <c r="AE1078" s="1286"/>
      <c r="AF1078" s="921"/>
    </row>
    <row r="1079" spans="1:32" ht="15.75" hidden="1" customHeight="1" outlineLevel="1">
      <c r="A1079" s="1528" t="s">
        <v>3255</v>
      </c>
      <c r="B1079" s="1535" t="s">
        <v>156</v>
      </c>
      <c r="C1079" s="1535">
        <f t="shared" si="117"/>
        <v>3</v>
      </c>
      <c r="D1079" s="1534">
        <f t="shared" si="117"/>
        <v>3</v>
      </c>
      <c r="E1079" s="1534">
        <f t="shared" si="117"/>
        <v>3</v>
      </c>
      <c r="F1079" s="1534">
        <f t="shared" si="117"/>
        <v>3</v>
      </c>
      <c r="G1079" s="1531"/>
      <c r="H1079" s="1531"/>
      <c r="I1079" s="1534">
        <f t="shared" si="118"/>
        <v>3</v>
      </c>
      <c r="J1079" s="1534">
        <f t="shared" si="118"/>
        <v>3</v>
      </c>
      <c r="K1079" s="1534">
        <f t="shared" si="118"/>
        <v>3</v>
      </c>
      <c r="L1079" s="1545"/>
      <c r="M1079" s="1545"/>
      <c r="N1079" s="1545"/>
      <c r="O1079" s="1546">
        <f>O1074</f>
        <v>3</v>
      </c>
      <c r="P1079" s="1539"/>
      <c r="Q1079" s="1541">
        <f t="shared" si="119"/>
        <v>3</v>
      </c>
      <c r="R1079" s="1541">
        <f t="shared" si="119"/>
        <v>3</v>
      </c>
      <c r="S1079" s="1541">
        <f t="shared" si="119"/>
        <v>3</v>
      </c>
      <c r="T1079" s="1541">
        <f t="shared" si="119"/>
        <v>3</v>
      </c>
      <c r="U1079" s="1539"/>
      <c r="V1079" s="1539"/>
      <c r="W1079" s="1286"/>
      <c r="X1079" s="1286"/>
      <c r="Y1079" s="921"/>
      <c r="Z1079" s="1544"/>
      <c r="AA1079" s="1544"/>
      <c r="AB1079" s="1036"/>
      <c r="AC1079" s="1036"/>
      <c r="AD1079" s="1036"/>
      <c r="AE1079" s="1286"/>
      <c r="AF1079" s="921"/>
    </row>
    <row r="1080" spans="1:32" ht="15.75" hidden="1" customHeight="1" outlineLevel="1">
      <c r="A1080" s="1528" t="s">
        <v>3405</v>
      </c>
      <c r="B1080" s="1535"/>
      <c r="C1080" s="1535">
        <f>пристройка!C40</f>
        <v>0</v>
      </c>
      <c r="D1080" s="1534">
        <f>пристройка!D40</f>
        <v>2.2000000000000002</v>
      </c>
      <c r="E1080" s="1534">
        <f>пристройка!E40</f>
        <v>1.5</v>
      </c>
      <c r="F1080" s="1534">
        <f>пристройка!F40</f>
        <v>0</v>
      </c>
      <c r="G1080" s="1531"/>
      <c r="H1080" s="1531"/>
      <c r="I1080" s="1534">
        <f>пристройка!H40</f>
        <v>0</v>
      </c>
      <c r="J1080" s="1534">
        <f>пристройка!I40</f>
        <v>2.2000000000000002</v>
      </c>
      <c r="K1080" s="1534">
        <f>пристройка!J40</f>
        <v>1.5</v>
      </c>
      <c r="L1080" s="1545"/>
      <c r="M1080" s="1545"/>
      <c r="N1080" s="1545"/>
      <c r="O1080" s="1546">
        <f>пристройка!K40</f>
        <v>0</v>
      </c>
      <c r="P1080" s="1539"/>
      <c r="Q1080" s="1541">
        <f>пристройка!M40</f>
        <v>0</v>
      </c>
      <c r="R1080" s="1541">
        <f>пристройка!N40</f>
        <v>2.2000000000000002</v>
      </c>
      <c r="S1080" s="1541">
        <f>пристройка!O40</f>
        <v>1.5</v>
      </c>
      <c r="T1080" s="1541">
        <f>пристройка!P40</f>
        <v>0</v>
      </c>
      <c r="U1080" s="1539"/>
      <c r="V1080" s="1539"/>
      <c r="W1080" s="1286"/>
      <c r="X1080" s="1286"/>
      <c r="Y1080" s="921"/>
      <c r="Z1080" s="1544"/>
      <c r="AA1080" s="1544"/>
      <c r="AB1080" s="1036"/>
      <c r="AC1080" s="1036"/>
      <c r="AD1080" s="1036"/>
      <c r="AE1080" s="1286"/>
      <c r="AF1080" s="921"/>
    </row>
    <row r="1081" spans="1:32" ht="15.75" hidden="1" customHeight="1" outlineLevel="1">
      <c r="A1081" s="1528"/>
      <c r="B1081" s="1535"/>
      <c r="C1081" s="1535"/>
      <c r="D1081" s="1534"/>
      <c r="E1081" s="1530"/>
      <c r="F1081" s="1530"/>
      <c r="G1081" s="1531"/>
      <c r="H1081" s="1531"/>
      <c r="I1081" s="1529"/>
      <c r="J1081" s="1534"/>
      <c r="K1081" s="1534"/>
      <c r="L1081" s="1549"/>
      <c r="M1081" s="1549"/>
      <c r="N1081" s="1549"/>
      <c r="O1081" s="1539"/>
      <c r="P1081" s="1539"/>
      <c r="Q1081" s="1550"/>
      <c r="R1081" s="1551"/>
      <c r="S1081" s="1552"/>
      <c r="T1081" s="1552"/>
      <c r="U1081" s="1539"/>
      <c r="V1081" s="1539"/>
      <c r="W1081" s="1286"/>
      <c r="X1081" s="1286"/>
      <c r="Y1081" s="921"/>
      <c r="Z1081" s="1544"/>
      <c r="AA1081" s="1544"/>
      <c r="AB1081" s="1036"/>
      <c r="AC1081" s="1036"/>
      <c r="AD1081" s="1036"/>
      <c r="AE1081" s="1286"/>
      <c r="AF1081" s="921"/>
    </row>
    <row r="1082" spans="1:32" ht="15.75" customHeight="1">
      <c r="A1082" s="1528" t="s">
        <v>3406</v>
      </c>
      <c r="B1082" s="1535"/>
      <c r="C1082" s="1535"/>
      <c r="D1082" s="1534"/>
      <c r="E1082" s="1530"/>
      <c r="F1082" s="1530"/>
      <c r="G1082" s="1531"/>
      <c r="H1082" s="1531"/>
      <c r="I1082" s="1529"/>
      <c r="J1082" s="1534"/>
      <c r="K1082" s="1534"/>
      <c r="L1082" s="1549"/>
      <c r="M1082" s="1549"/>
      <c r="N1082" s="1549"/>
      <c r="O1082" s="1539"/>
      <c r="P1082" s="1539"/>
      <c r="Q1082" s="1550"/>
      <c r="R1082" s="1551"/>
      <c r="S1082" s="1552"/>
      <c r="T1082" s="1552"/>
      <c r="U1082" s="1539"/>
      <c r="V1082" s="1539"/>
      <c r="W1082" s="1286"/>
      <c r="X1082" s="1286"/>
      <c r="Y1082" s="921"/>
      <c r="Z1082" s="1544"/>
      <c r="AA1082" s="1544"/>
      <c r="AB1082" s="1036"/>
      <c r="AC1082" s="1036"/>
      <c r="AD1082" s="1036"/>
      <c r="AE1082" s="1286"/>
      <c r="AF1082" s="921"/>
    </row>
    <row r="1083" spans="1:32" s="1355" customFormat="1" ht="15.75" customHeight="1">
      <c r="A1083" s="1553"/>
      <c r="B1083" s="1554"/>
      <c r="C1083" s="1554"/>
      <c r="D1083" s="1552"/>
      <c r="E1083" s="1539"/>
      <c r="F1083" s="1539"/>
      <c r="G1083" s="1555"/>
      <c r="H1083" s="1555"/>
      <c r="I1083" s="1556"/>
      <c r="J1083" s="1557"/>
      <c r="K1083" s="1557"/>
      <c r="L1083" s="1557"/>
      <c r="M1083" s="1557"/>
      <c r="N1083" s="1557"/>
      <c r="O1083" s="1558"/>
      <c r="P1083" s="1558"/>
      <c r="Q1083" s="1036"/>
      <c r="R1083" s="1036"/>
      <c r="S1083" s="1036"/>
      <c r="T1083" s="1559"/>
      <c r="U1083" s="1556"/>
      <c r="V1083" s="1557"/>
      <c r="W1083" s="1286"/>
      <c r="X1083" s="1286"/>
      <c r="Y1083" s="921"/>
      <c r="Z1083" s="1544"/>
      <c r="AA1083" s="1544"/>
      <c r="AB1083" s="1036"/>
      <c r="AC1083" s="1036"/>
      <c r="AD1083" s="1036"/>
      <c r="AE1083" s="1286"/>
      <c r="AF1083" s="921"/>
    </row>
    <row r="1084" spans="1:32" ht="15.75" customHeight="1" outlineLevel="1">
      <c r="A1084" s="1356" t="s">
        <v>3407</v>
      </c>
      <c r="B1084" s="1378" t="s">
        <v>120</v>
      </c>
      <c r="C1084" s="1378" t="s">
        <v>2572</v>
      </c>
      <c r="D1084" s="968" t="s">
        <v>3408</v>
      </c>
      <c r="E1084" s="1055"/>
      <c r="F1084" s="1378" t="s">
        <v>3409</v>
      </c>
      <c r="G1084" s="1558"/>
      <c r="H1084" s="1558"/>
      <c r="I1084" s="1555"/>
      <c r="J1084" s="1556"/>
      <c r="K1084" s="1556"/>
      <c r="L1084" s="1556"/>
      <c r="M1084" s="1556"/>
      <c r="N1084" s="1556"/>
      <c r="O1084" s="1560"/>
      <c r="P1084" s="1561"/>
      <c r="Q1084" s="1036"/>
      <c r="R1084" s="1561"/>
      <c r="S1084" s="1561"/>
      <c r="T1084" s="1561"/>
      <c r="U1084" s="1561"/>
      <c r="V1084" s="1561"/>
      <c r="W1084" s="1290"/>
      <c r="X1084" s="1290"/>
      <c r="Y1084" s="1290"/>
    </row>
    <row r="1085" spans="1:32" ht="15.75" customHeight="1" outlineLevel="1">
      <c r="A1085" s="1379"/>
      <c r="B1085" s="1378" t="s">
        <v>133</v>
      </c>
      <c r="C1085" s="1562" t="s">
        <v>3410</v>
      </c>
      <c r="D1085" s="1379" t="s">
        <v>3411</v>
      </c>
      <c r="E1085" s="1055" t="s">
        <v>3412</v>
      </c>
      <c r="F1085" s="968">
        <f>J91+J96+J101</f>
        <v>100</v>
      </c>
      <c r="G1085" s="1558"/>
      <c r="H1085" s="1558"/>
      <c r="I1085" s="1555"/>
      <c r="J1085" s="1556"/>
      <c r="K1085" s="1556"/>
      <c r="L1085" s="1556"/>
      <c r="M1085" s="1556"/>
      <c r="N1085" s="1556"/>
      <c r="O1085" s="1560"/>
      <c r="P1085" s="1561"/>
      <c r="Q1085" s="1036"/>
      <c r="R1085" s="1561"/>
      <c r="S1085" s="1561"/>
      <c r="T1085" s="1561"/>
      <c r="U1085" s="1561"/>
      <c r="V1085" s="1561"/>
      <c r="W1085" s="1290"/>
      <c r="X1085" s="1290"/>
      <c r="Y1085" s="1290"/>
    </row>
    <row r="1086" spans="1:32" ht="15.75" customHeight="1" outlineLevel="1">
      <c r="A1086" s="1356" t="s">
        <v>3413</v>
      </c>
      <c r="B1086" s="1378" t="s">
        <v>133</v>
      </c>
      <c r="C1086" s="1562"/>
      <c r="D1086" s="968"/>
      <c r="E1086" s="1055"/>
      <c r="F1086" s="968">
        <f>F1085</f>
        <v>100</v>
      </c>
      <c r="G1086" s="1558"/>
      <c r="H1086" s="1558"/>
      <c r="I1086" s="1555"/>
      <c r="J1086" s="1556"/>
      <c r="K1086" s="1556"/>
      <c r="L1086" s="1556"/>
      <c r="M1086" s="1556"/>
      <c r="N1086" s="1556"/>
      <c r="O1086" s="1560"/>
      <c r="P1086" s="1561"/>
      <c r="Q1086" s="1036"/>
      <c r="R1086" s="1561"/>
      <c r="S1086" s="1561"/>
      <c r="T1086" s="1561"/>
      <c r="U1086" s="1561"/>
      <c r="V1086" s="1561"/>
      <c r="W1086" s="1290"/>
      <c r="X1086" s="1290"/>
      <c r="Y1086" s="1290"/>
    </row>
    <row r="1087" spans="1:32" ht="15.75" customHeight="1" outlineLevel="1">
      <c r="A1087" s="1563" t="s">
        <v>2557</v>
      </c>
      <c r="B1087" s="1564" t="s">
        <v>133</v>
      </c>
      <c r="C1087" s="1565">
        <f>(C620+C620+C624+C625)*E43+пристройка!R33</f>
        <v>0</v>
      </c>
      <c r="D1087" s="1566">
        <f>F1339</f>
        <v>48</v>
      </c>
      <c r="E1087" s="1055">
        <f>F1340</f>
        <v>23.4</v>
      </c>
      <c r="F1087" s="1566">
        <f>J92+J97+J102</f>
        <v>100</v>
      </c>
      <c r="G1087" s="1558"/>
      <c r="H1087" s="1558"/>
      <c r="I1087" s="1555"/>
      <c r="J1087" s="1556"/>
      <c r="K1087" s="1556"/>
      <c r="L1087" s="1556"/>
      <c r="M1087" s="1556"/>
      <c r="N1087" s="1556"/>
      <c r="O1087" s="1560"/>
      <c r="P1087" s="1561"/>
      <c r="Q1087" s="1036"/>
      <c r="R1087" s="1561"/>
      <c r="S1087" s="1561"/>
      <c r="T1087" s="1561"/>
      <c r="U1087" s="1561"/>
      <c r="V1087" s="1561"/>
      <c r="W1087" s="1290"/>
      <c r="X1087" s="1290"/>
      <c r="Y1087" s="1290"/>
    </row>
    <row r="1088" spans="1:32" ht="15.75" customHeight="1" outlineLevel="1">
      <c r="A1088" s="1563" t="s">
        <v>3414</v>
      </c>
      <c r="B1088" s="1564"/>
      <c r="C1088" s="1565"/>
      <c r="D1088" s="1566"/>
      <c r="E1088" s="1055"/>
      <c r="F1088" s="1566">
        <v>0</v>
      </c>
      <c r="G1088" s="1558"/>
      <c r="H1088" s="1558"/>
      <c r="I1088" s="1555"/>
      <c r="J1088" s="1556"/>
      <c r="K1088" s="1556"/>
      <c r="L1088" s="1556"/>
      <c r="M1088" s="1556"/>
      <c r="N1088" s="1556"/>
      <c r="O1088" s="1560"/>
      <c r="P1088" s="1561"/>
      <c r="Q1088" s="1036"/>
      <c r="R1088" s="1561"/>
      <c r="S1088" s="1561"/>
      <c r="T1088" s="1561"/>
      <c r="U1088" s="1561"/>
      <c r="V1088" s="1561"/>
      <c r="W1088" s="1290"/>
      <c r="X1088" s="1290"/>
      <c r="Y1088" s="1290"/>
    </row>
    <row r="1089" spans="1:25" ht="15.75" customHeight="1" outlineLevel="1">
      <c r="A1089" s="1563" t="s">
        <v>3414</v>
      </c>
      <c r="B1089" s="1564"/>
      <c r="C1089" s="1565"/>
      <c r="D1089" s="1566"/>
      <c r="E1089" s="1055"/>
      <c r="F1089" s="1566">
        <v>0</v>
      </c>
      <c r="G1089" s="1558"/>
      <c r="H1089" s="1558"/>
      <c r="I1089" s="1555"/>
      <c r="J1089" s="1556"/>
      <c r="K1089" s="1556"/>
      <c r="L1089" s="1556"/>
      <c r="M1089" s="1556"/>
      <c r="N1089" s="1556"/>
      <c r="O1089" s="1560"/>
      <c r="P1089" s="1561"/>
      <c r="Q1089" s="1036"/>
      <c r="R1089" s="1561"/>
      <c r="S1089" s="1561"/>
      <c r="T1089" s="1561"/>
      <c r="U1089" s="1561"/>
      <c r="V1089" s="1561"/>
      <c r="W1089" s="1290"/>
      <c r="X1089" s="1290"/>
      <c r="Y1089" s="1290"/>
    </row>
    <row r="1090" spans="1:25" ht="15.75" customHeight="1" outlineLevel="1">
      <c r="A1090" s="1567" t="s">
        <v>2558</v>
      </c>
      <c r="B1090" s="1568" t="s">
        <v>133</v>
      </c>
      <c r="C1090" s="1569">
        <f>(C620+C620+C624+C625)*E44+пристройка!R35</f>
        <v>0</v>
      </c>
      <c r="D1090" s="1570">
        <f>R1339</f>
        <v>0</v>
      </c>
      <c r="E1090" s="1055">
        <f>R1340</f>
        <v>0</v>
      </c>
      <c r="F1090" s="1570">
        <f>J93+J98+J103</f>
        <v>0</v>
      </c>
      <c r="G1090" s="1558"/>
      <c r="H1090" s="1558"/>
      <c r="I1090" s="1555"/>
      <c r="J1090" s="1556"/>
      <c r="K1090" s="1556"/>
      <c r="L1090" s="1556"/>
      <c r="M1090" s="1556"/>
      <c r="N1090" s="1556"/>
      <c r="O1090" s="1560"/>
      <c r="P1090" s="1561"/>
      <c r="Q1090" s="1036"/>
      <c r="R1090" s="1561"/>
      <c r="S1090" s="1561"/>
      <c r="T1090" s="1561"/>
      <c r="U1090" s="1561"/>
      <c r="V1090" s="1561"/>
      <c r="W1090" s="1290"/>
      <c r="X1090" s="1290"/>
      <c r="Y1090" s="1290"/>
    </row>
    <row r="1091" spans="1:25" ht="15.75" customHeight="1" outlineLevel="1">
      <c r="A1091" s="1563" t="s">
        <v>3414</v>
      </c>
      <c r="B1091" s="1568"/>
      <c r="C1091" s="1569"/>
      <c r="D1091" s="1570"/>
      <c r="E1091" s="1055"/>
      <c r="F1091" s="1570">
        <v>0</v>
      </c>
      <c r="G1091" s="1558"/>
      <c r="H1091" s="1558"/>
      <c r="I1091" s="1555"/>
      <c r="J1091" s="1556"/>
      <c r="K1091" s="1556"/>
      <c r="L1091" s="1556"/>
      <c r="M1091" s="1556"/>
      <c r="N1091" s="1556"/>
      <c r="O1091" s="1560"/>
      <c r="P1091" s="1561"/>
      <c r="Q1091" s="1036"/>
      <c r="R1091" s="1561"/>
      <c r="S1091" s="1561"/>
      <c r="T1091" s="1561"/>
      <c r="U1091" s="1561"/>
      <c r="V1091" s="1561"/>
      <c r="W1091" s="1290"/>
      <c r="X1091" s="1290"/>
      <c r="Y1091" s="1290"/>
    </row>
    <row r="1092" spans="1:25" ht="15.75" customHeight="1" outlineLevel="1">
      <c r="A1092" s="1563" t="s">
        <v>3414</v>
      </c>
      <c r="B1092" s="1568"/>
      <c r="C1092" s="1569"/>
      <c r="D1092" s="1570"/>
      <c r="E1092" s="1055"/>
      <c r="F1092" s="1570">
        <v>0</v>
      </c>
      <c r="G1092" s="1558"/>
      <c r="H1092" s="1558"/>
      <c r="I1092" s="1555"/>
      <c r="J1092" s="1556"/>
      <c r="K1092" s="1556"/>
      <c r="L1092" s="1556"/>
      <c r="M1092" s="1556"/>
      <c r="N1092" s="1556"/>
      <c r="O1092" s="1560"/>
      <c r="P1092" s="1561"/>
      <c r="Q1092" s="1036"/>
      <c r="R1092" s="1561"/>
      <c r="S1092" s="1561"/>
      <c r="T1092" s="1561"/>
      <c r="U1092" s="1561"/>
      <c r="V1092" s="1561"/>
      <c r="W1092" s="1290"/>
      <c r="X1092" s="1290"/>
      <c r="Y1092" s="1290"/>
    </row>
    <row r="1093" spans="1:25" ht="15.75" customHeight="1" outlineLevel="1">
      <c r="A1093" s="1356" t="s">
        <v>2591</v>
      </c>
      <c r="B1093" s="1378"/>
      <c r="C1093" s="1562">
        <f>C1087+C1090</f>
        <v>0</v>
      </c>
      <c r="D1093" s="968">
        <f>SUM(D1087:D1090)</f>
        <v>48</v>
      </c>
      <c r="E1093" s="1055">
        <f>SUM(E1087:E1090)</f>
        <v>23.4</v>
      </c>
      <c r="F1093" s="968">
        <f>F1086+F1087+F1090</f>
        <v>200</v>
      </c>
      <c r="G1093" s="1558"/>
      <c r="H1093" s="1558"/>
      <c r="I1093" s="1555"/>
      <c r="J1093" s="1556"/>
      <c r="K1093" s="1556"/>
      <c r="L1093" s="1556"/>
      <c r="M1093" s="1556"/>
      <c r="N1093" s="1556"/>
      <c r="O1093" s="1560"/>
      <c r="P1093" s="1561"/>
      <c r="Q1093" s="1036"/>
      <c r="R1093" s="1561"/>
      <c r="S1093" s="1561"/>
      <c r="T1093" s="1561"/>
      <c r="U1093" s="1561"/>
      <c r="V1093" s="1561"/>
      <c r="W1093" s="1290"/>
      <c r="X1093" s="1290"/>
      <c r="Y1093" s="1290"/>
    </row>
    <row r="1094" spans="1:25" ht="15.75" customHeight="1" outlineLevel="1">
      <c r="A1094" s="1356" t="s">
        <v>2994</v>
      </c>
      <c r="B1094" s="1378"/>
      <c r="C1094" s="1562">
        <v>0.2</v>
      </c>
      <c r="D1094" s="968">
        <v>0.15</v>
      </c>
      <c r="E1094" s="1055">
        <v>0.1</v>
      </c>
      <c r="F1094" s="968"/>
      <c r="G1094" s="1558"/>
      <c r="H1094" s="1558"/>
      <c r="I1094" s="1555"/>
      <c r="J1094" s="1556"/>
      <c r="K1094" s="1556"/>
      <c r="L1094" s="1556"/>
      <c r="M1094" s="1556"/>
      <c r="N1094" s="1556"/>
      <c r="O1094" s="1560"/>
      <c r="P1094" s="1561"/>
      <c r="Q1094" s="1036"/>
      <c r="R1094" s="1561"/>
      <c r="S1094" s="1561"/>
      <c r="T1094" s="1561"/>
      <c r="U1094" s="1561"/>
      <c r="V1094" s="1561"/>
      <c r="W1094" s="1290"/>
      <c r="X1094" s="1290"/>
      <c r="Y1094" s="1290"/>
    </row>
    <row r="1095" spans="1:25" ht="15.75" customHeight="1" outlineLevel="1">
      <c r="A1095" s="1356" t="s">
        <v>3415</v>
      </c>
      <c r="B1095" s="1378"/>
      <c r="C1095" s="1562">
        <f>(C1087+C1090)*C1094</f>
        <v>0</v>
      </c>
      <c r="D1095" s="968">
        <f>D1093*D1094</f>
        <v>7.1999999999999993</v>
      </c>
      <c r="E1095" s="1055">
        <f>E1093*E1094</f>
        <v>2.34</v>
      </c>
      <c r="F1095" s="968">
        <f>C1095+D1095+E1095</f>
        <v>9.5399999999999991</v>
      </c>
      <c r="G1095" s="1558"/>
      <c r="H1095" s="1558"/>
      <c r="I1095" s="1555"/>
      <c r="J1095" s="1556"/>
      <c r="K1095" s="1556"/>
      <c r="L1095" s="1556"/>
      <c r="M1095" s="1556"/>
      <c r="N1095" s="1556"/>
      <c r="O1095" s="1560"/>
      <c r="P1095" s="1561"/>
      <c r="Q1095" s="1036"/>
      <c r="R1095" s="1561"/>
      <c r="S1095" s="1561"/>
      <c r="T1095" s="1561"/>
      <c r="U1095" s="1561"/>
      <c r="V1095" s="1561"/>
      <c r="W1095" s="1290"/>
      <c r="X1095" s="1290"/>
      <c r="Y1095" s="1290"/>
    </row>
    <row r="1096" spans="1:25" ht="15.75" customHeight="1" outlineLevel="1">
      <c r="A1096" s="1356" t="s">
        <v>3416</v>
      </c>
      <c r="B1096" s="1378" t="s">
        <v>120</v>
      </c>
      <c r="C1096" s="1378" t="s">
        <v>2850</v>
      </c>
      <c r="D1096" s="968" t="s">
        <v>2851</v>
      </c>
      <c r="E1096" s="1055"/>
      <c r="F1096" s="1378" t="s">
        <v>3417</v>
      </c>
      <c r="G1096" s="1558"/>
      <c r="H1096" s="1558"/>
      <c r="I1096" s="1555"/>
      <c r="J1096" s="1556"/>
      <c r="K1096" s="1556"/>
      <c r="L1096" s="1556"/>
      <c r="M1096" s="1556"/>
      <c r="N1096" s="1556"/>
      <c r="O1096" s="1560"/>
      <c r="P1096" s="1561"/>
      <c r="Q1096" s="1036"/>
      <c r="R1096" s="1561"/>
      <c r="S1096" s="1561"/>
      <c r="T1096" s="1561"/>
      <c r="U1096" s="1561"/>
      <c r="V1096" s="1561"/>
      <c r="W1096" s="1290"/>
      <c r="X1096" s="1290"/>
      <c r="Y1096" s="1290"/>
    </row>
    <row r="1097" spans="1:25" ht="15.75" customHeight="1" outlineLevel="1">
      <c r="A1097" s="1563" t="s">
        <v>2560</v>
      </c>
      <c r="B1097" s="1564" t="s">
        <v>133</v>
      </c>
      <c r="C1097" s="1565">
        <f>K91</f>
        <v>100</v>
      </c>
      <c r="D1097" s="1566">
        <f>пристройка!R12</f>
        <v>0</v>
      </c>
      <c r="E1097" s="1055"/>
      <c r="F1097" s="1571">
        <f>C1097+D1097-C1098</f>
        <v>100</v>
      </c>
      <c r="G1097" s="1558"/>
      <c r="H1097" s="1558"/>
      <c r="I1097" s="1555"/>
      <c r="J1097" s="1556"/>
      <c r="K1097" s="1556"/>
      <c r="L1097" s="1556"/>
      <c r="M1097" s="1556"/>
      <c r="N1097" s="1556"/>
      <c r="O1097" s="1560"/>
      <c r="P1097" s="1561"/>
      <c r="Q1097" s="1036"/>
      <c r="R1097" s="1561"/>
      <c r="S1097" s="1561"/>
      <c r="T1097" s="1561"/>
      <c r="U1097" s="1561"/>
      <c r="V1097" s="1561"/>
      <c r="W1097" s="1290"/>
      <c r="X1097" s="1290"/>
      <c r="Y1097" s="1290"/>
    </row>
    <row r="1098" spans="1:25" ht="15.75" customHeight="1" outlineLevel="1">
      <c r="A1098" s="1563" t="s">
        <v>3418</v>
      </c>
      <c r="B1098" s="1564"/>
      <c r="C1098" s="1565">
        <f>V617</f>
        <v>0</v>
      </c>
      <c r="D1098" s="1566"/>
      <c r="E1098" s="1055"/>
      <c r="F1098" s="1571"/>
      <c r="G1098" s="1558"/>
      <c r="H1098" s="1558"/>
      <c r="I1098" s="1555"/>
      <c r="J1098" s="1556"/>
      <c r="K1098" s="1556"/>
      <c r="L1098" s="1556"/>
      <c r="M1098" s="1556"/>
      <c r="N1098" s="1556"/>
      <c r="O1098" s="1560"/>
      <c r="P1098" s="1561"/>
      <c r="Q1098" s="1036"/>
      <c r="R1098" s="1561"/>
      <c r="S1098" s="1561"/>
      <c r="T1098" s="1561"/>
      <c r="U1098" s="1561"/>
      <c r="V1098" s="1561"/>
      <c r="W1098" s="1290"/>
      <c r="X1098" s="1290"/>
      <c r="Y1098" s="1290"/>
    </row>
    <row r="1099" spans="1:25" ht="15.75" customHeight="1" outlineLevel="1">
      <c r="A1099" s="1567" t="s">
        <v>2561</v>
      </c>
      <c r="B1099" s="1568" t="s">
        <v>133</v>
      </c>
      <c r="C1099" s="1569">
        <f>K92</f>
        <v>0</v>
      </c>
      <c r="D1099" s="1570">
        <f>пристройка!R13</f>
        <v>0</v>
      </c>
      <c r="E1099" s="1055"/>
      <c r="F1099" s="1572">
        <f>C1099+D1099-C1100</f>
        <v>0</v>
      </c>
      <c r="G1099" s="1558"/>
      <c r="H1099" s="1558"/>
      <c r="I1099" s="1555"/>
      <c r="J1099" s="1556"/>
      <c r="K1099" s="1556"/>
      <c r="L1099" s="1556"/>
      <c r="M1099" s="1556"/>
      <c r="N1099" s="1556"/>
      <c r="O1099" s="1560"/>
      <c r="P1099" s="1561"/>
      <c r="Q1099" s="1036"/>
      <c r="R1099" s="1561"/>
      <c r="S1099" s="1561"/>
      <c r="T1099" s="1561"/>
      <c r="U1099" s="1561"/>
      <c r="V1099" s="1561"/>
      <c r="W1099" s="1290"/>
      <c r="X1099" s="1290"/>
      <c r="Y1099" s="1290"/>
    </row>
    <row r="1100" spans="1:25" ht="15.75" customHeight="1" outlineLevel="1">
      <c r="A1100" s="1567" t="s">
        <v>3419</v>
      </c>
      <c r="B1100" s="1568"/>
      <c r="C1100" s="1569">
        <f>V1057</f>
        <v>0</v>
      </c>
      <c r="D1100" s="1570"/>
      <c r="E1100" s="1055"/>
      <c r="F1100" s="1572"/>
      <c r="G1100" s="1558"/>
      <c r="H1100" s="1558"/>
      <c r="I1100" s="1555"/>
      <c r="J1100" s="1556"/>
      <c r="K1100" s="1556"/>
      <c r="L1100" s="1556"/>
      <c r="M1100" s="1556"/>
      <c r="N1100" s="1556"/>
      <c r="O1100" s="1560"/>
      <c r="P1100" s="1561"/>
      <c r="Q1100" s="1036"/>
      <c r="R1100" s="1561"/>
      <c r="S1100" s="1561"/>
      <c r="T1100" s="1561"/>
      <c r="U1100" s="1561"/>
      <c r="V1100" s="1561"/>
      <c r="W1100" s="1290"/>
      <c r="X1100" s="1290"/>
      <c r="Y1100" s="1290"/>
    </row>
    <row r="1101" spans="1:25" ht="15.75" customHeight="1" outlineLevel="1">
      <c r="A1101" s="1356" t="s">
        <v>2591</v>
      </c>
      <c r="B1101" s="1378"/>
      <c r="C1101" s="1562"/>
      <c r="D1101" s="968"/>
      <c r="E1101" s="1055"/>
      <c r="F1101" s="1379">
        <f>F1099+F1097</f>
        <v>100</v>
      </c>
      <c r="G1101" s="1558"/>
      <c r="H1101" s="1558"/>
      <c r="I1101" s="1555"/>
      <c r="J1101" s="1556"/>
      <c r="K1101" s="1556"/>
      <c r="L1101" s="1556"/>
      <c r="M1101" s="1556"/>
      <c r="N1101" s="1556"/>
      <c r="O1101" s="1560"/>
      <c r="P1101" s="1561"/>
      <c r="Q1101" s="1036"/>
      <c r="R1101" s="1561"/>
      <c r="S1101" s="1561"/>
      <c r="T1101" s="1561"/>
      <c r="U1101" s="1561"/>
      <c r="V1101" s="1561"/>
      <c r="W1101" s="1290"/>
      <c r="X1101" s="1290"/>
      <c r="Y1101" s="1290"/>
    </row>
    <row r="1102" spans="1:25" ht="15.75" customHeight="1" outlineLevel="1">
      <c r="A1102" s="1356" t="s">
        <v>2386</v>
      </c>
      <c r="B1102" s="1378" t="s">
        <v>120</v>
      </c>
      <c r="C1102" s="1378" t="s">
        <v>2850</v>
      </c>
      <c r="D1102" s="968" t="s">
        <v>2851</v>
      </c>
      <c r="E1102" s="1055"/>
      <c r="F1102" s="1378" t="s">
        <v>3417</v>
      </c>
      <c r="G1102" s="1558"/>
      <c r="H1102" s="1558"/>
      <c r="I1102" s="1555"/>
      <c r="J1102" s="1556"/>
      <c r="K1102" s="1556"/>
      <c r="L1102" s="1556"/>
      <c r="M1102" s="1556"/>
      <c r="N1102" s="1556"/>
      <c r="O1102" s="1560"/>
      <c r="P1102" s="1561"/>
      <c r="Q1102" s="1036"/>
      <c r="R1102" s="1561"/>
      <c r="S1102" s="1561"/>
      <c r="T1102" s="1561"/>
      <c r="U1102" s="1561"/>
      <c r="V1102" s="1561"/>
      <c r="W1102" s="1290"/>
      <c r="X1102" s="1290"/>
      <c r="Y1102" s="1290"/>
    </row>
    <row r="1103" spans="1:25" ht="15.75" customHeight="1" outlineLevel="1">
      <c r="A1103" s="1563" t="s">
        <v>3420</v>
      </c>
      <c r="B1103" s="1564" t="s">
        <v>133</v>
      </c>
      <c r="C1103" s="1565">
        <f>J92</f>
        <v>100</v>
      </c>
      <c r="D1103" s="1566">
        <f>пристройка!R14</f>
        <v>0</v>
      </c>
      <c r="E1103" s="1055"/>
      <c r="F1103" s="1571">
        <f>L92</f>
        <v>100</v>
      </c>
      <c r="G1103" s="1558"/>
      <c r="H1103" s="1558"/>
      <c r="I1103" s="1555"/>
      <c r="J1103" s="1556"/>
      <c r="K1103" s="1556"/>
      <c r="L1103" s="1556"/>
      <c r="M1103" s="1556"/>
      <c r="N1103" s="1556"/>
      <c r="O1103" s="1560"/>
      <c r="P1103" s="1561"/>
      <c r="Q1103" s="1036"/>
      <c r="R1103" s="1561"/>
      <c r="S1103" s="1561"/>
      <c r="T1103" s="1561"/>
      <c r="U1103" s="1561"/>
      <c r="V1103" s="1561"/>
      <c r="W1103" s="1290"/>
      <c r="X1103" s="1290"/>
      <c r="Y1103" s="1290"/>
    </row>
    <row r="1104" spans="1:25" ht="15.75" customHeight="1" outlineLevel="1">
      <c r="A1104" s="1567" t="s">
        <v>3420</v>
      </c>
      <c r="B1104" s="1568" t="s">
        <v>133</v>
      </c>
      <c r="C1104" s="1569">
        <f>J93</f>
        <v>0</v>
      </c>
      <c r="D1104" s="1570">
        <f>пристройка!R15</f>
        <v>0</v>
      </c>
      <c r="E1104" s="1055"/>
      <c r="F1104" s="1572">
        <f>L93</f>
        <v>0</v>
      </c>
      <c r="G1104" s="1558"/>
      <c r="H1104" s="1558"/>
      <c r="I1104" s="1555"/>
      <c r="J1104" s="1556"/>
      <c r="K1104" s="1556"/>
      <c r="L1104" s="1556"/>
      <c r="M1104" s="1556"/>
      <c r="N1104" s="1556"/>
      <c r="O1104" s="1560"/>
      <c r="P1104" s="1561"/>
      <c r="Q1104" s="1036"/>
      <c r="R1104" s="1561"/>
      <c r="S1104" s="1561"/>
      <c r="T1104" s="1561"/>
      <c r="U1104" s="1561"/>
      <c r="V1104" s="1561"/>
      <c r="W1104" s="1290"/>
      <c r="X1104" s="1290"/>
      <c r="Y1104" s="1290"/>
    </row>
    <row r="1105" spans="1:25" ht="15.75" customHeight="1" outlineLevel="1">
      <c r="A1105" s="1573" t="s">
        <v>2591</v>
      </c>
      <c r="B1105" s="1574"/>
      <c r="C1105" s="1575"/>
      <c r="D1105" s="1576"/>
      <c r="E1105" s="1055"/>
      <c r="F1105" s="1273">
        <f>F1103+F1104</f>
        <v>100</v>
      </c>
      <c r="G1105" s="1558"/>
      <c r="H1105" s="1558"/>
      <c r="I1105" s="1555"/>
      <c r="J1105" s="1556"/>
      <c r="K1105" s="1556"/>
      <c r="L1105" s="1556"/>
      <c r="M1105" s="1556"/>
      <c r="N1105" s="1556"/>
      <c r="O1105" s="1560"/>
      <c r="P1105" s="1561"/>
      <c r="Q1105" s="1036"/>
      <c r="R1105" s="1561"/>
      <c r="S1105" s="1561"/>
      <c r="T1105" s="1561"/>
      <c r="U1105" s="1561"/>
      <c r="V1105" s="1561"/>
      <c r="W1105" s="1290"/>
      <c r="X1105" s="1290"/>
      <c r="Y1105" s="1290"/>
    </row>
    <row r="1106" spans="1:25" ht="15.75" customHeight="1" outlineLevel="1">
      <c r="A1106" s="1356" t="s">
        <v>3421</v>
      </c>
      <c r="B1106" s="1378" t="s">
        <v>133</v>
      </c>
      <c r="C1106" s="1562">
        <f>G101</f>
        <v>0</v>
      </c>
      <c r="D1106" s="968">
        <f>пристройка!R113</f>
        <v>-35.024069612054973</v>
      </c>
      <c r="E1106" s="1055"/>
      <c r="F1106" s="1379">
        <f>C1106+D1106</f>
        <v>-35.024069612054973</v>
      </c>
      <c r="G1106" s="1558"/>
      <c r="H1106" s="1558"/>
      <c r="I1106" s="1555"/>
      <c r="J1106" s="1556"/>
      <c r="K1106" s="1556"/>
      <c r="L1106" s="1556"/>
      <c r="M1106" s="1556"/>
      <c r="N1106" s="1556"/>
      <c r="O1106" s="1560"/>
      <c r="P1106" s="1561"/>
      <c r="Q1106" s="1036"/>
      <c r="R1106" s="1561"/>
      <c r="S1106" s="1561"/>
      <c r="T1106" s="1561"/>
      <c r="U1106" s="1561"/>
      <c r="V1106" s="1561"/>
      <c r="W1106" s="1290"/>
      <c r="X1106" s="1290"/>
      <c r="Y1106" s="1290"/>
    </row>
    <row r="1107" spans="1:25" ht="15.75" customHeight="1" outlineLevel="1">
      <c r="A1107" s="1356" t="s">
        <v>3422</v>
      </c>
      <c r="B1107" s="1378"/>
      <c r="C1107" s="1562"/>
      <c r="D1107" s="968">
        <f>пристройка!R112</f>
        <v>-41.460752856543692</v>
      </c>
      <c r="E1107" s="1055"/>
      <c r="F1107" s="1379">
        <f>C1107+D1107</f>
        <v>-41.460752856543692</v>
      </c>
      <c r="G1107" s="1558"/>
      <c r="H1107" s="1558"/>
      <c r="I1107" s="1555"/>
      <c r="J1107" s="1556"/>
      <c r="K1107" s="1556"/>
      <c r="L1107" s="1556"/>
      <c r="M1107" s="1556"/>
      <c r="N1107" s="1556"/>
      <c r="O1107" s="1560"/>
      <c r="P1107" s="1561"/>
      <c r="Q1107" s="1036"/>
      <c r="R1107" s="1561"/>
      <c r="S1107" s="1561"/>
      <c r="T1107" s="1561"/>
      <c r="U1107" s="1561"/>
      <c r="V1107" s="1561"/>
      <c r="W1107" s="1290"/>
      <c r="X1107" s="1290"/>
      <c r="Y1107" s="1290"/>
    </row>
    <row r="1108" spans="1:25" ht="15.75" customHeight="1" outlineLevel="1">
      <c r="A1108" s="1577" t="s">
        <v>3423</v>
      </c>
      <c r="B1108" s="1272"/>
      <c r="C1108" s="1272"/>
      <c r="D1108" s="995"/>
      <c r="E1108" s="1055"/>
      <c r="F1108" s="995">
        <f>F1106+F1107</f>
        <v>-76.484822468598665</v>
      </c>
      <c r="G1108" s="1558"/>
      <c r="H1108" s="1558"/>
      <c r="I1108" s="1555"/>
      <c r="J1108" s="1556"/>
      <c r="K1108" s="1556"/>
      <c r="L1108" s="1556"/>
      <c r="M1108" s="1556"/>
      <c r="N1108" s="1556"/>
      <c r="O1108" s="1560"/>
      <c r="P1108" s="1561"/>
      <c r="Q1108" s="1036"/>
      <c r="R1108" s="1561"/>
      <c r="S1108" s="1561"/>
      <c r="T1108" s="1561"/>
      <c r="U1108" s="1561"/>
      <c r="V1108" s="1561"/>
      <c r="W1108" s="1290"/>
      <c r="X1108" s="1290"/>
      <c r="Y1108" s="1290"/>
    </row>
    <row r="1109" spans="1:25" ht="15.75" customHeight="1" outlineLevel="1">
      <c r="A1109" s="1356" t="s">
        <v>2591</v>
      </c>
      <c r="B1109" s="1378"/>
      <c r="C1109" s="1562"/>
      <c r="D1109" s="968"/>
      <c r="E1109" s="1055"/>
      <c r="F1109" s="968">
        <f>SUM(F1103:F1107)</f>
        <v>123.51517753140133</v>
      </c>
      <c r="G1109" s="1558"/>
      <c r="H1109" s="1558"/>
      <c r="I1109" s="1555"/>
      <c r="J1109" s="1556"/>
      <c r="K1109" s="1556"/>
      <c r="L1109" s="1556"/>
      <c r="M1109" s="1556"/>
      <c r="N1109" s="1556"/>
      <c r="O1109" s="1560"/>
      <c r="P1109" s="1561"/>
      <c r="Q1109" s="1036"/>
      <c r="R1109" s="1561"/>
      <c r="S1109" s="1561"/>
      <c r="T1109" s="1561"/>
      <c r="U1109" s="1561"/>
      <c r="V1109" s="1561"/>
      <c r="W1109" s="1290"/>
      <c r="X1109" s="1290"/>
      <c r="Y1109" s="1290"/>
    </row>
    <row r="1110" spans="1:25" ht="15.75" customHeight="1" outlineLevel="1">
      <c r="A1110" s="1578"/>
      <c r="B1110" s="1543"/>
      <c r="C1110" s="1579"/>
      <c r="D1110" s="1580"/>
      <c r="E1110" s="1580"/>
      <c r="F1110" s="1558"/>
      <c r="G1110" s="1558"/>
      <c r="H1110" s="1558"/>
      <c r="I1110" s="1555"/>
      <c r="J1110" s="1556"/>
      <c r="K1110" s="1556"/>
      <c r="L1110" s="1556"/>
      <c r="M1110" s="1556"/>
      <c r="N1110" s="1556"/>
      <c r="O1110" s="1560"/>
      <c r="P1110" s="1561"/>
      <c r="Q1110" s="1036"/>
      <c r="R1110" s="1561"/>
      <c r="S1110" s="1561"/>
      <c r="T1110" s="1561"/>
      <c r="U1110" s="1561"/>
      <c r="V1110" s="1561"/>
      <c r="W1110" s="1290"/>
      <c r="X1110" s="1290"/>
      <c r="Y1110" s="1290"/>
    </row>
    <row r="1111" spans="1:25" ht="15.75" customHeight="1">
      <c r="A1111" s="1581" t="s">
        <v>3424</v>
      </c>
      <c r="B1111" s="1582"/>
      <c r="C1111" s="1583"/>
      <c r="D1111" s="1584"/>
      <c r="E1111" s="1584"/>
      <c r="F1111" s="1585"/>
      <c r="G1111" s="1585"/>
      <c r="H1111" s="1585"/>
      <c r="I1111" s="1586"/>
      <c r="J1111" s="1587"/>
      <c r="K1111" s="1587"/>
      <c r="L1111" s="1587"/>
      <c r="M1111" s="1587"/>
      <c r="N1111" s="1587"/>
      <c r="O1111" s="1588"/>
      <c r="P1111" s="1588"/>
      <c r="Q1111" s="1588"/>
      <c r="R1111" s="1588"/>
      <c r="S1111" s="1588"/>
      <c r="T1111" s="1588"/>
      <c r="U1111" s="1588"/>
      <c r="V1111" s="1588"/>
      <c r="W1111" s="1290"/>
      <c r="X1111" s="1290"/>
      <c r="Y1111" s="1290"/>
    </row>
    <row r="1112" spans="1:25" ht="15.75" hidden="1" customHeight="1" outlineLevel="1">
      <c r="A1112" s="1589" t="s">
        <v>2635</v>
      </c>
      <c r="B1112" s="1590"/>
      <c r="C1112" s="1591">
        <v>1</v>
      </c>
      <c r="E1112" s="1592" t="s">
        <v>2543</v>
      </c>
      <c r="F1112" s="1592">
        <f>B1</f>
        <v>0</v>
      </c>
      <c r="G1112" s="1592">
        <f>F1112</f>
        <v>0</v>
      </c>
      <c r="H1112" s="1592"/>
      <c r="I1112" s="1592">
        <f>F1112</f>
        <v>0</v>
      </c>
      <c r="J1112" s="1592">
        <f>I1112</f>
        <v>0</v>
      </c>
      <c r="K1112" s="1593" t="s">
        <v>3425</v>
      </c>
      <c r="L1112" s="1593"/>
      <c r="M1112" s="1593"/>
      <c r="N1112" s="1593"/>
      <c r="O1112" s="1593"/>
      <c r="P1112" s="1592">
        <f>Q1112</f>
        <v>0</v>
      </c>
      <c r="Q1112" s="1592">
        <f>B1</f>
        <v>0</v>
      </c>
      <c r="R1112" s="502"/>
      <c r="S1112" s="1290"/>
      <c r="T1112" s="1290"/>
      <c r="U1112" s="1290"/>
      <c r="V1112" s="1290"/>
      <c r="W1112" s="1290"/>
      <c r="X1112" s="1290"/>
      <c r="Y1112" s="1290"/>
    </row>
    <row r="1113" spans="1:25" ht="15.75" hidden="1" customHeight="1" outlineLevel="1">
      <c r="A1113" s="1422" t="s">
        <v>3426</v>
      </c>
      <c r="B1113" s="1347" t="s">
        <v>156</v>
      </c>
      <c r="C1113" s="1347">
        <f>C16+C16+C17+C17+C1321*D1321+C1322*D1322+C1323*D1323+C1324*D1324+C1329*D1329+C1330*D1330+C1331*D1331+C1332*D1332+пристройка!D2*(пристройка!C28+пристройка!D28+пристройка!E28+пристройка!F28+пристройка!H28+пристройка!I28+пристройка!J28+пристройка!K28+пристройка!M28+пристройка!N28+пристройка!O28+пристройка!P28)+D1229*C1275+D2019*D2027*IF('Ввод данных'!A529=связи1!A480,1,0)*VLOOKUP('Ввод данных'!F617,связи1!A2:B3,2,0)+VLOOKUP('Ввод данных'!F693,связи1!A2:B3,2,0)*IF('Ввод данных'!A661=связи1!A480,1,0)*('Ввод данных'!C624+'Ввод данных'!C625+'Ввод данных'!C625)</f>
        <v>56</v>
      </c>
      <c r="D1113" s="1544"/>
      <c r="E1113" s="1594"/>
      <c r="F1113" s="1592">
        <f>B2</f>
        <v>1</v>
      </c>
      <c r="G1113" s="1592">
        <f>F1113</f>
        <v>1</v>
      </c>
      <c r="H1113" s="1592"/>
      <c r="I1113" s="1592">
        <f>C1112</f>
        <v>1</v>
      </c>
      <c r="J1113" s="1592">
        <f>I1113</f>
        <v>1</v>
      </c>
      <c r="K1113" s="1593" t="s">
        <v>2546</v>
      </c>
      <c r="L1113" s="1593"/>
      <c r="M1113" s="1593"/>
      <c r="N1113" s="1593"/>
      <c r="O1113" s="1593"/>
      <c r="P1113" s="1592">
        <f>Q1113</f>
        <v>1</v>
      </c>
      <c r="Q1113" s="1592">
        <f>B2</f>
        <v>1</v>
      </c>
      <c r="R1113" s="502"/>
      <c r="S1113" s="1290"/>
      <c r="T1113" s="1290"/>
      <c r="U1113" s="1290"/>
      <c r="V1113" s="1290"/>
      <c r="W1113" s="1290"/>
      <c r="X1113" s="1290"/>
      <c r="Y1113" s="1290"/>
    </row>
    <row r="1114" spans="1:25" ht="15.75" hidden="1" customHeight="1" outlineLevel="1">
      <c r="A1114" s="1422" t="s">
        <v>3427</v>
      </c>
      <c r="B1114" s="1510" t="s">
        <v>133</v>
      </c>
      <c r="C1114" s="1510">
        <f>C16*C17</f>
        <v>100</v>
      </c>
      <c r="D1114" s="356"/>
      <c r="E1114" s="356"/>
      <c r="G1114" s="505"/>
      <c r="H1114" s="505"/>
      <c r="I1114" s="1595"/>
      <c r="J1114" s="1596">
        <f>I1115</f>
        <v>0</v>
      </c>
      <c r="K1114" s="1597" t="s">
        <v>2554</v>
      </c>
      <c r="L1114" s="1392"/>
      <c r="M1114" s="1392"/>
      <c r="N1114" s="1392"/>
      <c r="O1114" s="1290"/>
      <c r="P1114" s="1290"/>
      <c r="Q1114" s="1290"/>
      <c r="R1114" s="1290"/>
      <c r="S1114" s="1290"/>
      <c r="T1114" s="1290"/>
      <c r="U1114" s="1290"/>
      <c r="V1114" s="1290"/>
      <c r="W1114" s="1290"/>
      <c r="X1114" s="1290"/>
      <c r="Y1114" s="1290"/>
    </row>
    <row r="1115" spans="1:25" ht="15.75" hidden="1" customHeight="1" outlineLevel="1">
      <c r="A1115" s="1598" t="s">
        <v>1925</v>
      </c>
      <c r="B1115" s="1599">
        <f>VLOOKUP('Ввод данных'!F237,связи1!A2:B3,2,0)</f>
        <v>0</v>
      </c>
      <c r="C1115" s="1600">
        <f>B1115</f>
        <v>0</v>
      </c>
      <c r="D1115" s="1601">
        <f>VLOOKUP('Ввод данных'!F237,связи1!A2:B3,2,0)</f>
        <v>0</v>
      </c>
      <c r="E1115" s="1197">
        <f>D1115</f>
        <v>0</v>
      </c>
      <c r="F1115" s="1602" t="s">
        <v>1942</v>
      </c>
      <c r="G1115" s="1055"/>
      <c r="H1115" s="1279"/>
      <c r="I1115" s="1603">
        <f>VLOOKUP('Ввод данных'!F273,связи1!A2:B3,2,0)</f>
        <v>0</v>
      </c>
      <c r="J1115" s="3151" t="s">
        <v>3428</v>
      </c>
      <c r="K1115" s="3151"/>
      <c r="L1115" s="1604">
        <f>VLOOKUP('Ввод данных'!F312,связи1!A2:B3,2,0)</f>
        <v>0</v>
      </c>
      <c r="M1115" s="1604"/>
      <c r="N1115" s="1604"/>
      <c r="O1115" s="1055" t="s">
        <v>3429</v>
      </c>
      <c r="P1115" s="1055"/>
      <c r="Q1115" s="1290">
        <f>VLOOKUP('Ввод данных'!F194,связи1!A2:B3,2,0)</f>
        <v>0</v>
      </c>
      <c r="R1115" s="1290"/>
      <c r="S1115" s="1290"/>
      <c r="T1115" s="1290"/>
      <c r="U1115" s="1290"/>
      <c r="V1115" s="1290"/>
      <c r="W1115" s="1290"/>
      <c r="X1115" s="1290"/>
      <c r="Y1115" s="1290"/>
    </row>
    <row r="1116" spans="1:25" ht="15.75" hidden="1" customHeight="1" outlineLevel="1">
      <c r="A1116" s="1200" t="s">
        <v>2734</v>
      </c>
      <c r="B1116" s="1201">
        <v>1</v>
      </c>
      <c r="C1116" s="1024"/>
      <c r="D1116" s="555"/>
      <c r="E1116" s="460"/>
      <c r="F1116" s="971"/>
      <c r="G1116" s="551"/>
      <c r="H1116" s="356"/>
      <c r="I1116" s="1605"/>
      <c r="J1116" s="1291"/>
      <c r="K1116" s="1291"/>
      <c r="L1116" s="481"/>
      <c r="M1116" s="481"/>
      <c r="N1116" s="481"/>
      <c r="O1116" s="1360"/>
      <c r="P1116" s="1055"/>
      <c r="Q1116" s="1290"/>
      <c r="R1116" s="1290"/>
      <c r="S1116" s="1290"/>
      <c r="T1116" s="1290"/>
      <c r="U1116" s="1290"/>
      <c r="V1116" s="1290"/>
      <c r="W1116" s="1290"/>
      <c r="X1116" s="1290"/>
      <c r="Y1116" s="1290"/>
    </row>
    <row r="1117" spans="1:25" ht="15.75" hidden="1" customHeight="1" outlineLevel="1">
      <c r="A1117" s="1606" t="s">
        <v>1929</v>
      </c>
      <c r="B1117" s="1201"/>
      <c r="C1117" s="1339"/>
      <c r="D1117" s="1607">
        <f>'Ввод данных'!BD209</f>
        <v>4.7</v>
      </c>
      <c r="E1117" s="1608">
        <f>'Ввод данных'!BD209</f>
        <v>4.7</v>
      </c>
      <c r="F1117" s="971"/>
      <c r="G1117" s="551"/>
      <c r="H1117" s="356"/>
      <c r="I1117" s="1605"/>
      <c r="J1117" s="1291"/>
      <c r="K1117" s="551">
        <f>'Ввод данных'!BD285</f>
        <v>3.7</v>
      </c>
      <c r="L1117" s="356"/>
      <c r="M1117" s="356"/>
      <c r="N1117" s="356"/>
      <c r="O1117" s="1360"/>
      <c r="P1117" s="551"/>
      <c r="Q1117" s="1290"/>
      <c r="R1117" s="1290"/>
      <c r="S1117" s="1290"/>
      <c r="T1117" s="1290"/>
      <c r="U1117" s="1290"/>
      <c r="V1117" s="1290"/>
      <c r="W1117" s="1290"/>
      <c r="X1117" s="1290"/>
      <c r="Y1117" s="1290"/>
    </row>
    <row r="1118" spans="1:25" ht="15.75" hidden="1" customHeight="1" outlineLevel="1">
      <c r="A1118" s="1606" t="s">
        <v>1933</v>
      </c>
      <c r="B1118" s="1609"/>
      <c r="C1118" s="1339"/>
      <c r="D1118" s="1610">
        <f>'Ввод данных'!BD212</f>
        <v>5</v>
      </c>
      <c r="E1118" s="1611">
        <f>D1117</f>
        <v>4.7</v>
      </c>
      <c r="F1118" s="1055"/>
      <c r="G1118" s="1055"/>
      <c r="H1118" s="1262"/>
      <c r="I1118" s="1605"/>
      <c r="J1118" s="1291" t="s">
        <v>3430</v>
      </c>
      <c r="K1118" s="551">
        <f>'Ввод данных'!BD286</f>
        <v>4</v>
      </c>
      <c r="L1118" s="356"/>
      <c r="M1118" s="356"/>
      <c r="N1118" s="356"/>
      <c r="O1118" s="1291"/>
      <c r="P1118" s="1291"/>
      <c r="R1118" s="1290"/>
      <c r="S1118" s="1290"/>
      <c r="T1118" s="1290"/>
      <c r="U1118" s="1290"/>
      <c r="V1118" s="1290"/>
      <c r="W1118" s="1290"/>
      <c r="X1118" s="1290"/>
      <c r="Y1118" s="1290"/>
    </row>
    <row r="1119" spans="1:25" ht="15.75" hidden="1" customHeight="1" outlineLevel="1">
      <c r="A1119" s="1606" t="s">
        <v>1931</v>
      </c>
      <c r="B1119" s="1201"/>
      <c r="C1119" s="1339"/>
      <c r="D1119" s="1607">
        <f>'Ввод данных'!BD210</f>
        <v>5.3</v>
      </c>
      <c r="E1119" s="356"/>
      <c r="F1119" s="1055"/>
      <c r="G1119" s="551">
        <f>'Ввод данных'!AY249</f>
        <v>5.3</v>
      </c>
      <c r="H1119" s="356"/>
      <c r="J1119" s="1291" t="s">
        <v>3431</v>
      </c>
      <c r="K1119" s="551">
        <f>'Ввод данных'!BD288</f>
        <v>6.4</v>
      </c>
      <c r="L1119" s="356"/>
      <c r="M1119" s="356"/>
      <c r="N1119" s="356"/>
      <c r="O1119" s="1291"/>
      <c r="P1119" s="1291"/>
      <c r="R1119" s="1290"/>
      <c r="S1119" s="1290"/>
      <c r="T1119" s="1290"/>
      <c r="U1119" s="1290"/>
      <c r="V1119" s="1290"/>
      <c r="W1119" s="1290"/>
      <c r="X1119" s="1290"/>
      <c r="Y1119" s="1290"/>
    </row>
    <row r="1120" spans="1:25" ht="15.75" hidden="1" customHeight="1" outlineLevel="1">
      <c r="A1120" s="1612" t="s">
        <v>1944</v>
      </c>
      <c r="B1120" s="1201"/>
      <c r="C1120" s="1339"/>
      <c r="D1120" s="1607"/>
      <c r="E1120" s="356"/>
      <c r="F1120" s="1055"/>
      <c r="G1120" s="551">
        <f>'Ввод данных'!AY250</f>
        <v>5.6</v>
      </c>
      <c r="H1120" s="356"/>
      <c r="I1120" s="1613"/>
      <c r="J1120" s="1291" t="s">
        <v>3432</v>
      </c>
      <c r="K1120" s="551">
        <f>'Ввод данных'!BD287</f>
        <v>6.1</v>
      </c>
      <c r="L1120" s="356"/>
      <c r="M1120" s="356"/>
      <c r="N1120" s="356"/>
      <c r="O1120" s="1291"/>
      <c r="P1120" s="1291"/>
      <c r="R1120" s="1290"/>
      <c r="S1120" s="1290"/>
      <c r="T1120" s="1290"/>
      <c r="U1120" s="1290"/>
      <c r="V1120" s="1290"/>
      <c r="W1120" s="1290"/>
      <c r="X1120" s="1290"/>
      <c r="Y1120" s="1290"/>
    </row>
    <row r="1121" spans="1:25" ht="15.75" hidden="1" customHeight="1" outlineLevel="1">
      <c r="A1121" s="1291" t="s">
        <v>1934</v>
      </c>
      <c r="B1121" s="1609"/>
      <c r="C1121" s="1339"/>
      <c r="D1121" s="1607">
        <f>'Ввод данных'!BD213</f>
        <v>7.8</v>
      </c>
      <c r="E1121" s="356"/>
      <c r="F1121" s="1055"/>
      <c r="G1121" s="551">
        <f>'Ввод данных'!AY251</f>
        <v>7.9</v>
      </c>
      <c r="H1121" s="356"/>
      <c r="I1121" s="1605"/>
      <c r="J1121" s="1055"/>
      <c r="K1121" s="1055"/>
      <c r="L1121" s="1262"/>
      <c r="M1121" s="1262"/>
      <c r="N1121" s="1262"/>
      <c r="O1121" s="1360"/>
      <c r="P1121" s="1360"/>
      <c r="Q1121" s="1290"/>
      <c r="R1121" s="1290"/>
      <c r="S1121" s="1290"/>
      <c r="T1121" s="1290"/>
      <c r="U1121" s="1290"/>
      <c r="V1121" s="1290"/>
      <c r="W1121" s="1290"/>
      <c r="X1121" s="1290"/>
      <c r="Y1121" s="1290"/>
    </row>
    <row r="1122" spans="1:25" ht="15.75" hidden="1" customHeight="1" outlineLevel="1">
      <c r="A1122" s="1606" t="s">
        <v>1935</v>
      </c>
      <c r="B1122" s="1609"/>
      <c r="C1122" s="1339"/>
      <c r="D1122" s="1610">
        <f>'Ввод данных'!BD214</f>
        <v>8.1</v>
      </c>
      <c r="E1122" s="356"/>
      <c r="F1122" s="1055"/>
      <c r="G1122" s="551">
        <f>'Ввод данных'!AY252</f>
        <v>9.1</v>
      </c>
      <c r="H1122" s="356"/>
      <c r="I1122" s="1605"/>
      <c r="J1122" s="551"/>
      <c r="K1122" s="551">
        <f>'Ввод данных'!BD289</f>
        <v>7.48</v>
      </c>
      <c r="L1122" s="356"/>
      <c r="M1122" s="356"/>
      <c r="N1122" s="356"/>
      <c r="O1122" s="1360"/>
      <c r="P1122" s="1360"/>
      <c r="Q1122" s="1290"/>
      <c r="R1122" s="1290"/>
      <c r="S1122" s="1290"/>
      <c r="T1122" s="1290"/>
      <c r="U1122" s="1290"/>
      <c r="V1122" s="1290"/>
      <c r="W1122" s="1290"/>
      <c r="X1122" s="1290"/>
      <c r="Y1122" s="1290"/>
    </row>
    <row r="1123" spans="1:25" ht="15.75" hidden="1" customHeight="1" outlineLevel="1">
      <c r="A1123" s="1614" t="s">
        <v>3433</v>
      </c>
      <c r="B1123" s="1615" t="s">
        <v>1937</v>
      </c>
      <c r="C1123" s="1272">
        <f>DEGREES(C1124)</f>
        <v>40.514234227069771</v>
      </c>
      <c r="D1123" s="1616">
        <f>'Ввод данных'!BD215</f>
        <v>60</v>
      </c>
      <c r="E1123" s="1289"/>
      <c r="F1123" s="995"/>
      <c r="G1123" s="1617">
        <f>'Ввод данных'!AY253</f>
        <v>48</v>
      </c>
      <c r="H1123" s="1618"/>
      <c r="I1123" s="1619"/>
      <c r="J1123" s="995"/>
      <c r="K1123" s="1617">
        <f>'Ввод данных'!BD290</f>
        <v>25</v>
      </c>
      <c r="L1123" s="1618"/>
      <c r="M1123" s="1618"/>
      <c r="N1123" s="1618"/>
      <c r="O1123" s="1277"/>
      <c r="P1123" s="1277"/>
      <c r="Q1123" s="1290"/>
      <c r="R1123" s="1290"/>
      <c r="S1123" s="1290"/>
      <c r="T1123" s="1290"/>
      <c r="U1123" s="1290"/>
      <c r="V1123" s="1290"/>
      <c r="W1123" s="1290"/>
      <c r="X1123" s="1290"/>
      <c r="Y1123" s="1290"/>
    </row>
    <row r="1124" spans="1:25" ht="15.75" hidden="1" customHeight="1" outlineLevel="1">
      <c r="A1124" s="1614"/>
      <c r="B1124" s="1620" t="s">
        <v>3434</v>
      </c>
      <c r="C1124" s="1621">
        <f>C1135/C1140</f>
        <v>0.70710678118654746</v>
      </c>
      <c r="D1124" s="1617">
        <f>D1123*(3.14/180)</f>
        <v>1.0466666666666669</v>
      </c>
      <c r="E1124" s="1618"/>
      <c r="F1124" s="1622">
        <f>F1135/F1167</f>
        <v>0.67267279399631241</v>
      </c>
      <c r="G1124" s="1622">
        <f>G1123*(3.14/180)</f>
        <v>0.83733333333333348</v>
      </c>
      <c r="H1124" s="1623"/>
      <c r="I1124" s="1619"/>
      <c r="J1124" s="1617">
        <f>J1135/J1167</f>
        <v>0.99503719020998915</v>
      </c>
      <c r="K1124" s="1624">
        <f>K1123*(3.14/180)</f>
        <v>0.43611111111111117</v>
      </c>
      <c r="L1124" s="1625"/>
      <c r="M1124" s="1625"/>
      <c r="N1124" s="1625"/>
      <c r="O1124" s="1621">
        <f>O1135/O1132</f>
        <v>0.5</v>
      </c>
      <c r="P1124" s="1621">
        <f>O1135/O1133</f>
        <v>0.5</v>
      </c>
      <c r="Q1124" s="1290"/>
      <c r="R1124" s="1290"/>
      <c r="S1124" s="1290"/>
      <c r="T1124" s="1290"/>
      <c r="U1124" s="1290"/>
      <c r="V1124" s="1290"/>
      <c r="W1124" s="1290"/>
      <c r="X1124" s="1290"/>
      <c r="Y1124" s="1290"/>
    </row>
    <row r="1125" spans="1:25" ht="15.75" hidden="1" customHeight="1" outlineLevel="1">
      <c r="A1125" s="1614" t="s">
        <v>3435</v>
      </c>
      <c r="B1125" s="1620"/>
      <c r="C1125" s="1272"/>
      <c r="D1125" s="1626">
        <f>D1126/SIN(D1124)</f>
        <v>0.6930328396288532</v>
      </c>
      <c r="E1125" s="1627" t="s">
        <v>3436</v>
      </c>
      <c r="F1125" s="1617"/>
      <c r="G1125" s="1617">
        <f>'Ввод данных'!AY254</f>
        <v>41</v>
      </c>
      <c r="H1125" s="1618"/>
      <c r="I1125" s="1619"/>
      <c r="J1125" s="995"/>
      <c r="K1125" s="1617">
        <f>'Ввод данных'!BD291</f>
        <v>70</v>
      </c>
      <c r="L1125" s="1618"/>
      <c r="M1125" s="1618"/>
      <c r="N1125" s="1618"/>
      <c r="O1125" s="1277"/>
      <c r="P1125" s="1277"/>
      <c r="Q1125" s="1290"/>
      <c r="R1125" s="1290"/>
      <c r="S1125" s="1290"/>
      <c r="T1125" s="1290"/>
      <c r="U1125" s="1290"/>
      <c r="V1125" s="1290"/>
      <c r="W1125" s="1290"/>
      <c r="X1125" s="1290"/>
      <c r="Y1125" s="1290"/>
    </row>
    <row r="1126" spans="1:25" ht="15.75" hidden="1" customHeight="1" outlineLevel="1">
      <c r="A1126" s="1614"/>
      <c r="B1126" s="1620" t="s">
        <v>3434</v>
      </c>
      <c r="C1126" s="1272"/>
      <c r="D1126" s="1626">
        <f>D1119-E1118</f>
        <v>0.59999999999999964</v>
      </c>
      <c r="E1126" s="1627" t="s">
        <v>2809</v>
      </c>
      <c r="F1126" s="1626">
        <f>F1135/F1159</f>
        <v>0.8574929257125441</v>
      </c>
      <c r="G1126" s="1622">
        <f>G1125*(3.14/180)</f>
        <v>0.71522222222222231</v>
      </c>
      <c r="H1126" s="1623"/>
      <c r="I1126" s="1619"/>
      <c r="J1126" s="1617">
        <f>J1135/J1159</f>
        <v>0.92847669088525941</v>
      </c>
      <c r="K1126" s="1624">
        <f>K1125*(3.14/180)</f>
        <v>1.2211111111111113</v>
      </c>
      <c r="L1126" s="1625"/>
      <c r="M1126" s="1625"/>
      <c r="N1126" s="1625"/>
      <c r="O1126" s="1277"/>
      <c r="P1126" s="1277"/>
      <c r="Q1126" s="1290"/>
      <c r="R1126" s="1290"/>
      <c r="S1126" s="1290"/>
      <c r="T1126" s="1290"/>
      <c r="U1126" s="1290"/>
      <c r="V1126" s="1290"/>
      <c r="W1126" s="1290"/>
      <c r="X1126" s="1290"/>
      <c r="Y1126" s="1290"/>
    </row>
    <row r="1127" spans="1:25" ht="15.75" hidden="1" customHeight="1" outlineLevel="1">
      <c r="A1127" s="1614" t="s">
        <v>3437</v>
      </c>
      <c r="B1127" s="1620"/>
      <c r="C1127" s="1272"/>
      <c r="D1127" s="1620"/>
      <c r="E1127" s="1618"/>
      <c r="F1127" s="1626"/>
      <c r="G1127" s="1622"/>
      <c r="H1127" s="1623"/>
      <c r="I1127" s="1619"/>
      <c r="J1127" s="1617"/>
      <c r="K1127" s="1617">
        <f>'Ввод данных'!BD292</f>
        <v>24</v>
      </c>
      <c r="L1127" s="1618"/>
      <c r="M1127" s="1618"/>
      <c r="N1127" s="1618"/>
      <c r="O1127" s="1277"/>
      <c r="P1127" s="1277"/>
      <c r="Q1127" s="1290"/>
      <c r="R1127" s="1290"/>
      <c r="S1127" s="1290"/>
      <c r="T1127" s="1290"/>
      <c r="U1127" s="1290"/>
      <c r="V1127" s="1290"/>
      <c r="W1127" s="1290"/>
      <c r="X1127" s="1290"/>
      <c r="Y1127" s="1290"/>
    </row>
    <row r="1128" spans="1:25" ht="15.75" hidden="1" customHeight="1" outlineLevel="1">
      <c r="A1128" s="1614"/>
      <c r="B1128" s="1620"/>
      <c r="C1128" s="1628"/>
      <c r="D1128" s="1620"/>
      <c r="E1128" s="1618"/>
      <c r="F1128" s="1626"/>
      <c r="G1128" s="1622"/>
      <c r="H1128" s="1623"/>
      <c r="I1128" s="1619"/>
      <c r="J1128" s="1617">
        <f>J1136/J1140</f>
        <v>0</v>
      </c>
      <c r="K1128" s="1624">
        <f>K1127*(3.14/180)</f>
        <v>0.41866666666666674</v>
      </c>
      <c r="L1128" s="1625"/>
      <c r="M1128" s="1625"/>
      <c r="N1128" s="1625"/>
      <c r="O1128" s="1277"/>
      <c r="P1128" s="1277" t="s">
        <v>2640</v>
      </c>
      <c r="Q1128" s="1290" t="s">
        <v>2641</v>
      </c>
      <c r="R1128" s="1290"/>
      <c r="S1128" s="1290"/>
      <c r="T1128" s="1290"/>
      <c r="U1128" s="1290"/>
      <c r="V1128" s="1290"/>
      <c r="W1128" s="1290"/>
      <c r="X1128" s="1290"/>
      <c r="Y1128" s="1290"/>
    </row>
    <row r="1129" spans="1:25" ht="15.75" hidden="1" customHeight="1" outlineLevel="1">
      <c r="A1129" s="1629" t="s">
        <v>1236</v>
      </c>
      <c r="B1129" s="1630" t="s">
        <v>3438</v>
      </c>
      <c r="C1129" s="1630" t="s">
        <v>1753</v>
      </c>
      <c r="D1129" s="1360"/>
      <c r="E1129" s="1290"/>
      <c r="F1129" s="1291"/>
      <c r="G1129" s="1055"/>
      <c r="H1129" s="1262"/>
      <c r="J1129" s="1055"/>
      <c r="K1129" s="1055"/>
      <c r="L1129" s="1262"/>
      <c r="M1129" s="1262"/>
      <c r="N1129" s="1262"/>
      <c r="O1129" s="1055"/>
      <c r="P1129" s="1360">
        <f>VLOOKUP('Ввод данных'!B155,связи1!A2:B3,2,0)</f>
        <v>1</v>
      </c>
      <c r="Q1129" s="1290">
        <f>VLOOKUP('Ввод данных'!C155,связи1!A2:B3,2,0)</f>
        <v>0</v>
      </c>
      <c r="R1129" s="1290"/>
      <c r="S1129" s="1290"/>
      <c r="T1129" s="1290"/>
      <c r="U1129" s="1290"/>
      <c r="V1129" s="1290"/>
      <c r="W1129" s="1290"/>
      <c r="X1129" s="1290"/>
      <c r="Y1129" s="1290"/>
    </row>
    <row r="1130" spans="1:25" ht="15.75" hidden="1" customHeight="1" outlineLevel="1">
      <c r="A1130" s="529" t="s">
        <v>3439</v>
      </c>
      <c r="B1130" s="1631" t="s">
        <v>156</v>
      </c>
      <c r="C1130" s="1631">
        <f>C1140*4+C1132*2</f>
        <v>48.284271247461902</v>
      </c>
      <c r="D1130" s="977">
        <v>1</v>
      </c>
      <c r="E1130" s="398"/>
      <c r="F1130" s="529">
        <f>C16+C17+C16+C17</f>
        <v>40</v>
      </c>
      <c r="G1130" s="551">
        <f>G1171*4+(F1132+F1152+F1152)*2</f>
        <v>38.116962434275223</v>
      </c>
      <c r="H1130" s="356"/>
      <c r="J1130" s="529">
        <f>J1158*2+J1132*2</f>
        <v>38</v>
      </c>
      <c r="K1130" s="1353">
        <f>(K1132+K1152+K1152)*(K1171*2)</f>
        <v>50.98292490664312</v>
      </c>
      <c r="L1130" s="1632">
        <f>J1197+J1199</f>
        <v>88.109726366465964</v>
      </c>
      <c r="M1130" s="1632"/>
      <c r="N1130" s="1632"/>
      <c r="O1130" s="1055">
        <f>O1133+O1133+O1142+O1142</f>
        <v>42.360679774997898</v>
      </c>
      <c r="P1130" s="1291">
        <f>O1130*$P$1129</f>
        <v>42.360679774997898</v>
      </c>
      <c r="S1130" s="1290"/>
      <c r="T1130" s="1290"/>
      <c r="U1130" s="1290"/>
      <c r="V1130" s="1290"/>
      <c r="W1130" s="1290"/>
      <c r="X1130" s="1290"/>
      <c r="Y1130" s="1290"/>
    </row>
    <row r="1131" spans="1:25" ht="15.75" hidden="1" customHeight="1" outlineLevel="1">
      <c r="A1131" s="529" t="s">
        <v>3440</v>
      </c>
      <c r="B1131" s="1631"/>
      <c r="C1131" s="1631"/>
      <c r="D1131" s="977"/>
      <c r="E1131" s="398"/>
      <c r="F1131" s="529"/>
      <c r="G1131" s="551"/>
      <c r="H1131" s="356"/>
      <c r="J1131" s="529"/>
      <c r="K1131" s="1353"/>
      <c r="L1131" s="1380"/>
      <c r="M1131" s="1380"/>
      <c r="N1131" s="1380"/>
      <c r="O1131" s="1055">
        <f>O1132+O1132+O1140+O1140</f>
        <v>42.360679774997898</v>
      </c>
      <c r="P1131" s="1291"/>
      <c r="Q1131" s="1197">
        <f>O1131*$Q$1129</f>
        <v>0</v>
      </c>
      <c r="S1131" s="1290"/>
      <c r="T1131" s="1290"/>
      <c r="U1131" s="1290"/>
      <c r="V1131" s="1290"/>
      <c r="W1131" s="1290"/>
      <c r="X1131" s="1290"/>
      <c r="Y1131" s="1290"/>
    </row>
    <row r="1132" spans="1:25" ht="15.75" hidden="1" customHeight="1" outlineLevel="1">
      <c r="A1132" s="1057" t="s">
        <v>2743</v>
      </c>
      <c r="B1132" s="1633" t="s">
        <v>156</v>
      </c>
      <c r="C1132" s="1633">
        <f>C17</f>
        <v>10</v>
      </c>
      <c r="D1132" s="977"/>
      <c r="E1132" s="398"/>
      <c r="F1132" s="551">
        <f>C17</f>
        <v>10</v>
      </c>
      <c r="G1132" s="551">
        <f>F1132</f>
        <v>10</v>
      </c>
      <c r="H1132" s="356"/>
      <c r="J1132" s="1634">
        <f>дома!AI3</f>
        <v>10</v>
      </c>
      <c r="K1132" s="1252">
        <f>J1132</f>
        <v>10</v>
      </c>
      <c r="L1132" s="1635"/>
      <c r="M1132" s="1635"/>
      <c r="N1132" s="1635"/>
      <c r="O1132" s="1055">
        <f t="shared" ref="O1132:O1137" si="120">C1132</f>
        <v>10</v>
      </c>
      <c r="P1132" s="1291">
        <f>O1132*$P$1129</f>
        <v>10</v>
      </c>
      <c r="S1132" s="1290"/>
      <c r="T1132" s="1290"/>
      <c r="U1132" s="1290"/>
      <c r="V1132" s="1290"/>
      <c r="W1132" s="1290"/>
      <c r="X1132" s="1290"/>
      <c r="Y1132" s="1290"/>
    </row>
    <row r="1133" spans="1:25" ht="15.75" hidden="1" customHeight="1" outlineLevel="1">
      <c r="A1133" s="1057" t="s">
        <v>1903</v>
      </c>
      <c r="B1133" s="1633"/>
      <c r="C1133" s="1636">
        <f>C16</f>
        <v>10</v>
      </c>
      <c r="D1133" s="977"/>
      <c r="E1133" s="398"/>
      <c r="F1133" s="551">
        <f>C16</f>
        <v>10</v>
      </c>
      <c r="G1133" s="1612">
        <f>F1133</f>
        <v>10</v>
      </c>
      <c r="H1133" s="1637"/>
      <c r="J1133" s="1634">
        <f>дома!AI4</f>
        <v>10</v>
      </c>
      <c r="K1133" s="1252">
        <f>J1133</f>
        <v>10</v>
      </c>
      <c r="L1133" s="1635"/>
      <c r="M1133" s="1635"/>
      <c r="N1133" s="1635"/>
      <c r="O1133" s="1055">
        <f t="shared" si="120"/>
        <v>10</v>
      </c>
      <c r="P1133" s="1291"/>
      <c r="Q1133" s="1197">
        <f>O1133*$Q$1129</f>
        <v>0</v>
      </c>
      <c r="S1133" s="1290"/>
      <c r="T1133" s="1290"/>
      <c r="U1133" s="1290"/>
      <c r="V1133" s="1290"/>
      <c r="W1133" s="1290"/>
      <c r="X1133" s="1290"/>
      <c r="Y1133" s="1290"/>
    </row>
    <row r="1134" spans="1:25" ht="15.75" hidden="1" customHeight="1" outlineLevel="1">
      <c r="A1134" s="1291" t="s">
        <v>2657</v>
      </c>
      <c r="B1134" s="1244"/>
      <c r="C1134" s="1638">
        <f>IF('Ввод данных'!A6=связи1!A94,'Ввод данных'!C14,0)+IF('Ввод данных'!A6=связи1!A95,связи1!K206,0)+IF('Ввод данных'!A6=связи1!A96,связи1!K206,0)+IF('Ввод данных'!A6=связи1!A97,'Ввод данных'!C14,0)+IF('Ввод данных'!A6=связи1!A98,связи1!K206,0)</f>
        <v>8</v>
      </c>
      <c r="D1134" s="1634">
        <f>D1122-C6</f>
        <v>4.8999999999999995</v>
      </c>
      <c r="E1134" s="505"/>
      <c r="F1134" s="1055">
        <f>C1134</f>
        <v>8</v>
      </c>
      <c r="G1134" s="1055"/>
      <c r="H1134" s="1262"/>
      <c r="J1134" s="551">
        <f>C1134</f>
        <v>8</v>
      </c>
      <c r="K1134" s="1291"/>
      <c r="L1134" s="481"/>
      <c r="M1134" s="481"/>
      <c r="N1134" s="481"/>
      <c r="O1134" s="1055">
        <f t="shared" si="120"/>
        <v>8</v>
      </c>
      <c r="P1134" s="1360"/>
      <c r="Q1134" s="1290"/>
      <c r="R1134" s="1290"/>
      <c r="S1134" s="1290"/>
      <c r="T1134" s="1290"/>
      <c r="U1134" s="1290"/>
      <c r="V1134" s="1290"/>
      <c r="W1134" s="1290"/>
      <c r="X1134" s="1290"/>
      <c r="Y1134" s="1290"/>
    </row>
    <row r="1135" spans="1:25" ht="15.75" hidden="1" customHeight="1" outlineLevel="1">
      <c r="A1135" s="1243" t="s">
        <v>3441</v>
      </c>
      <c r="B1135" s="1244"/>
      <c r="C1135" s="1244">
        <f>C1134-C1139</f>
        <v>5</v>
      </c>
      <c r="D1135" s="1291">
        <f>D1121-D1119</f>
        <v>2.5</v>
      </c>
      <c r="E1135" s="1262"/>
      <c r="F1135" s="1291">
        <f>C1135</f>
        <v>5</v>
      </c>
      <c r="G1135" s="1612">
        <f>G1122-G1119</f>
        <v>3.8</v>
      </c>
      <c r="H1135" s="1637"/>
      <c r="I1135" s="1605"/>
      <c r="J1135" s="529">
        <f>J1134-J1139</f>
        <v>5</v>
      </c>
      <c r="K1135" s="1055"/>
      <c r="L1135" s="1262"/>
      <c r="M1135" s="1262"/>
      <c r="N1135" s="1262"/>
      <c r="O1135" s="1055">
        <f t="shared" si="120"/>
        <v>5</v>
      </c>
      <c r="P1135" s="1360"/>
      <c r="Q1135" s="1290"/>
      <c r="R1135" s="1290"/>
      <c r="S1135" s="1290"/>
      <c r="T1135" s="1290"/>
      <c r="U1135" s="1290"/>
      <c r="V1135" s="1290"/>
      <c r="W1135" s="1290"/>
      <c r="X1135" s="1290"/>
      <c r="Y1135" s="1290"/>
    </row>
    <row r="1136" spans="1:25" ht="15.75" hidden="1" customHeight="1" outlineLevel="1">
      <c r="A1136" s="1243" t="s">
        <v>3442</v>
      </c>
      <c r="B1136" s="1244"/>
      <c r="C1136" s="1244">
        <f>F1136</f>
        <v>0</v>
      </c>
      <c r="D1136" s="1291"/>
      <c r="E1136" s="1262"/>
      <c r="F1136" s="1291">
        <f>C18-C20+C21-C23</f>
        <v>0</v>
      </c>
      <c r="G1136" s="1612"/>
      <c r="H1136" s="1637"/>
      <c r="I1136" s="1605"/>
      <c r="J1136" s="529">
        <f>F1136</f>
        <v>0</v>
      </c>
      <c r="K1136" s="1055"/>
      <c r="L1136" s="1262"/>
      <c r="M1136" s="1262"/>
      <c r="N1136" s="1262"/>
      <c r="O1136" s="1055">
        <f t="shared" si="120"/>
        <v>0</v>
      </c>
      <c r="P1136" s="1360"/>
      <c r="Q1136" s="1290"/>
      <c r="R1136" s="1290"/>
      <c r="S1136" s="1290"/>
      <c r="T1136" s="1290"/>
      <c r="U1136" s="1290"/>
      <c r="V1136" s="1290"/>
      <c r="W1136" s="1290"/>
      <c r="X1136" s="1290"/>
      <c r="Y1136" s="1290"/>
    </row>
    <row r="1137" spans="1:25" ht="15.75" hidden="1" customHeight="1" outlineLevel="1">
      <c r="A1137" s="1243" t="s">
        <v>3443</v>
      </c>
      <c r="B1137" s="1244"/>
      <c r="C1137" s="1244">
        <f>C22-C21+C19-C18</f>
        <v>5</v>
      </c>
      <c r="D1137" s="1291"/>
      <c r="E1137" s="1262"/>
      <c r="F1137" s="1291">
        <f>C1137</f>
        <v>5</v>
      </c>
      <c r="G1137" s="1612"/>
      <c r="H1137" s="1637"/>
      <c r="I1137" s="1605"/>
      <c r="J1137" s="529">
        <f>C1137</f>
        <v>5</v>
      </c>
      <c r="K1137" s="1055"/>
      <c r="L1137" s="1262"/>
      <c r="M1137" s="1262"/>
      <c r="N1137" s="1262"/>
      <c r="O1137" s="1055">
        <f t="shared" si="120"/>
        <v>5</v>
      </c>
      <c r="P1137" s="1360"/>
      <c r="Q1137" s="1290"/>
      <c r="R1137" s="1290"/>
      <c r="S1137" s="1290"/>
      <c r="T1137" s="1290"/>
      <c r="U1137" s="1290"/>
      <c r="V1137" s="1290"/>
      <c r="W1137" s="1290"/>
      <c r="X1137" s="1290"/>
      <c r="Y1137" s="1290"/>
    </row>
    <row r="1138" spans="1:25" ht="15.75" hidden="1" customHeight="1" outlineLevel="1">
      <c r="A1138" s="1243" t="s">
        <v>3444</v>
      </c>
      <c r="B1138" s="1244"/>
      <c r="C1138" s="1638"/>
      <c r="D1138" s="1291"/>
      <c r="E1138" s="505"/>
      <c r="F1138" s="1055"/>
      <c r="G1138" s="1612"/>
      <c r="H1138" s="1637"/>
      <c r="I1138" s="1605"/>
      <c r="J1138" s="1634">
        <f>'Ввод данных'!C285</f>
        <v>0.5</v>
      </c>
      <c r="K1138" s="1055"/>
      <c r="L1138" s="1262"/>
      <c r="M1138" s="1262"/>
      <c r="N1138" s="1262"/>
      <c r="O1138" s="1055"/>
      <c r="P1138" s="1360"/>
      <c r="Q1138" s="1290"/>
      <c r="R1138" s="1290"/>
      <c r="S1138" s="1290"/>
      <c r="T1138" s="1290"/>
      <c r="U1138" s="1290"/>
      <c r="V1138" s="1290"/>
      <c r="W1138" s="1290"/>
      <c r="X1138" s="1290"/>
      <c r="Y1138" s="1290"/>
    </row>
    <row r="1139" spans="1:25" ht="15.75" hidden="1" customHeight="1" outlineLevel="1">
      <c r="A1139" s="1243" t="s">
        <v>1931</v>
      </c>
      <c r="B1139" s="1244"/>
      <c r="C1139" s="1244">
        <f>IF('Ввод данных'!A6=связи1!A94,'Ввод данных'!C13,0)+IF('Ввод данных'!A6=связи1!A95,'Ввод данных'!C16,0)+IF('Ввод данных'!A6=связи1!A96,связи1!K207,0)+IF('Ввод данных'!A6=связи1!A97,'Ввод данных'!C15,0)+IF('Ввод данных'!A6=связи1!A98,связи1!K207,0)</f>
        <v>3</v>
      </c>
      <c r="D1139" s="529">
        <f>D23</f>
        <v>2.0999999999999996</v>
      </c>
      <c r="E1139" s="505"/>
      <c r="F1139" s="1055"/>
      <c r="G1139" s="1291"/>
      <c r="H1139" s="481"/>
      <c r="I1139" s="1605"/>
      <c r="J1139" s="1360">
        <f>C1139</f>
        <v>3</v>
      </c>
      <c r="K1139" s="1055"/>
      <c r="L1139" s="1262"/>
      <c r="M1139" s="1262"/>
      <c r="N1139" s="1262"/>
      <c r="O1139" s="1055">
        <f>C1139</f>
        <v>3</v>
      </c>
      <c r="P1139" s="1360"/>
      <c r="Q1139" s="1290"/>
      <c r="R1139" s="1290"/>
      <c r="S1139" s="1290"/>
      <c r="T1139" s="1290"/>
      <c r="U1139" s="1290"/>
      <c r="V1139" s="1290"/>
      <c r="W1139" s="1290"/>
      <c r="X1139" s="1290"/>
      <c r="Y1139" s="1290"/>
    </row>
    <row r="1140" spans="1:25" ht="15.75" hidden="1" customHeight="1" outlineLevel="1">
      <c r="A1140" s="1057" t="s">
        <v>3445</v>
      </c>
      <c r="B1140" s="1633" t="s">
        <v>156</v>
      </c>
      <c r="C1140" s="1633">
        <f>SQRT((C16/2)*(C16/2)+((C22-C23)*(C22-C23)+(C19-C20)*(C19-C20)))</f>
        <v>7.0710678118654755</v>
      </c>
      <c r="D1140" s="1055"/>
      <c r="F1140" s="1055"/>
      <c r="G1140" s="1291"/>
      <c r="H1140" s="481"/>
      <c r="I1140" s="1605"/>
      <c r="J1140" s="1353">
        <f>SQRT(J1135*J1135+J1138*J1138)</f>
        <v>5.024937810560445</v>
      </c>
      <c r="K1140" s="1055"/>
      <c r="L1140" s="1262"/>
      <c r="M1140" s="1262"/>
      <c r="N1140" s="1262"/>
      <c r="O1140" s="1452">
        <f>SQRT((C16)*(C16)+((C22-C23)*(C22-C23)+(C19-C20)*(C19-C20)))</f>
        <v>11.180339887498949</v>
      </c>
      <c r="P1140" s="1360">
        <f>O1135/O1140</f>
        <v>0.44721359549995793</v>
      </c>
      <c r="Q1140" s="1290"/>
      <c r="R1140" s="1290"/>
      <c r="S1140" s="1290"/>
      <c r="T1140" s="1290"/>
      <c r="U1140" s="1290"/>
      <c r="V1140" s="1290"/>
      <c r="W1140" s="1290"/>
      <c r="X1140" s="1290"/>
      <c r="Y1140" s="1290"/>
    </row>
    <row r="1141" spans="1:25" ht="15.75" hidden="1" customHeight="1" outlineLevel="1">
      <c r="A1141" s="1057" t="s">
        <v>3446</v>
      </c>
      <c r="B1141" s="1633"/>
      <c r="C1141" s="1633">
        <f>C1136/SIN(C1124)</f>
        <v>0</v>
      </c>
      <c r="D1141" s="1055"/>
      <c r="F1141" s="1055"/>
      <c r="G1141" s="1291"/>
      <c r="H1141" s="481"/>
      <c r="I1141" s="1605"/>
      <c r="J1141" s="1353"/>
      <c r="K1141" s="1055"/>
      <c r="L1141" s="1262"/>
      <c r="M1141" s="1262"/>
      <c r="N1141" s="1262"/>
      <c r="O1141" s="1452"/>
      <c r="P1141" s="1360"/>
      <c r="Q1141" s="1290"/>
      <c r="R1141" s="1290"/>
      <c r="S1141" s="1290"/>
      <c r="T1141" s="1290"/>
      <c r="U1141" s="1290"/>
      <c r="V1141" s="1290"/>
      <c r="W1141" s="1290"/>
      <c r="X1141" s="1290"/>
      <c r="Y1141" s="1290"/>
    </row>
    <row r="1142" spans="1:25" ht="15.75" hidden="1" customHeight="1" outlineLevel="1">
      <c r="A1142" s="1057" t="s">
        <v>3447</v>
      </c>
      <c r="B1142" s="1633"/>
      <c r="C1142" s="1633"/>
      <c r="D1142" s="1055"/>
      <c r="F1142" s="1055"/>
      <c r="G1142" s="1291"/>
      <c r="H1142" s="481"/>
      <c r="I1142" s="1605"/>
      <c r="J1142" s="1353"/>
      <c r="K1142" s="1055"/>
      <c r="L1142" s="1262"/>
      <c r="M1142" s="1262"/>
      <c r="N1142" s="1262"/>
      <c r="O1142" s="1452">
        <f>SQRT((C17)*(C17)+((C22-C23)*(C22-C23)+(C19-C20)*(C19-C20)))</f>
        <v>11.180339887498949</v>
      </c>
      <c r="P1142" s="1360"/>
      <c r="Q1142" s="1290"/>
      <c r="R1142" s="1290"/>
      <c r="S1142" s="1290"/>
      <c r="T1142" s="1290"/>
      <c r="U1142" s="1290"/>
      <c r="V1142" s="1290"/>
      <c r="W1142" s="1290"/>
      <c r="X1142" s="1290"/>
      <c r="Y1142" s="1290"/>
    </row>
    <row r="1143" spans="1:25" ht="15.75" hidden="1" customHeight="1" outlineLevel="1">
      <c r="A1143" s="1057" t="s">
        <v>3448</v>
      </c>
      <c r="B1143" s="1633"/>
      <c r="C1143" s="1633"/>
      <c r="D1143" s="1055"/>
      <c r="F1143" s="1055"/>
      <c r="G1143" s="1291"/>
      <c r="H1143" s="481"/>
      <c r="I1143" s="1605"/>
      <c r="J1143" s="1353">
        <f>J1136/J1140</f>
        <v>0</v>
      </c>
      <c r="K1143" s="1055"/>
      <c r="L1143" s="1262"/>
      <c r="M1143" s="1262"/>
      <c r="N1143" s="1262"/>
      <c r="O1143" s="1055"/>
      <c r="P1143" s="1360"/>
      <c r="Q1143" s="1290"/>
      <c r="R1143" s="1290"/>
      <c r="S1143" s="1290"/>
      <c r="T1143" s="1290"/>
      <c r="U1143" s="1290"/>
      <c r="V1143" s="1290"/>
      <c r="W1143" s="1290"/>
      <c r="X1143" s="1290"/>
      <c r="Y1143" s="1290"/>
    </row>
    <row r="1144" spans="1:25" ht="15.75" hidden="1" customHeight="1" outlineLevel="1">
      <c r="A1144" s="1057" t="s">
        <v>3449</v>
      </c>
      <c r="B1144" s="1633"/>
      <c r="C1144" s="1633"/>
      <c r="D1144" s="1055"/>
      <c r="F1144" s="1055"/>
      <c r="G1144" s="1291"/>
      <c r="H1144" s="481"/>
      <c r="I1144" s="1605"/>
      <c r="J1144" s="1353">
        <f>DEGREES(J1143)</f>
        <v>0</v>
      </c>
      <c r="K1144" s="1055"/>
      <c r="L1144" s="1262"/>
      <c r="M1144" s="1262"/>
      <c r="N1144" s="1262"/>
      <c r="O1144" s="1055"/>
      <c r="P1144" s="1360"/>
      <c r="Q1144" s="1290"/>
      <c r="R1144" s="1290"/>
      <c r="S1144" s="1290"/>
      <c r="T1144" s="1290"/>
      <c r="U1144" s="1290"/>
      <c r="V1144" s="1290"/>
      <c r="W1144" s="1290"/>
      <c r="X1144" s="1290"/>
      <c r="Y1144" s="1290"/>
    </row>
    <row r="1145" spans="1:25" ht="15.75" hidden="1" customHeight="1" outlineLevel="1">
      <c r="A1145" s="1057" t="s">
        <v>3450</v>
      </c>
      <c r="B1145" s="1633"/>
      <c r="C1145" s="1633"/>
      <c r="D1145" s="1055"/>
      <c r="F1145" s="1055"/>
      <c r="G1145" s="1291"/>
      <c r="H1145" s="481"/>
      <c r="I1145" s="1605"/>
      <c r="J1145" s="1353">
        <f>90-J1144</f>
        <v>90</v>
      </c>
      <c r="K1145" s="1055"/>
      <c r="L1145" s="1262"/>
      <c r="M1145" s="1262"/>
      <c r="N1145" s="1262"/>
      <c r="O1145" s="1055"/>
      <c r="P1145" s="1360"/>
      <c r="Q1145" s="1290"/>
      <c r="R1145" s="1290"/>
      <c r="S1145" s="1290"/>
      <c r="T1145" s="1290"/>
      <c r="U1145" s="1290"/>
      <c r="V1145" s="1290"/>
      <c r="W1145" s="1290"/>
      <c r="X1145" s="1290"/>
      <c r="Y1145" s="1290"/>
    </row>
    <row r="1146" spans="1:25" ht="15.75" hidden="1" customHeight="1" outlineLevel="1">
      <c r="A1146" s="1057" t="s">
        <v>3451</v>
      </c>
      <c r="B1146" s="1633"/>
      <c r="C1146" s="1633"/>
      <c r="D1146" s="1055"/>
      <c r="F1146" s="1055"/>
      <c r="G1146" s="1291"/>
      <c r="H1146" s="481"/>
      <c r="I1146" s="1605"/>
      <c r="J1146" s="1353">
        <f>RADIANS(J1145)</f>
        <v>1.5707963267948966</v>
      </c>
      <c r="K1146" s="1055"/>
      <c r="L1146" s="1262"/>
      <c r="M1146" s="1262"/>
      <c r="N1146" s="1262"/>
      <c r="O1146" s="1055"/>
      <c r="P1146" s="1360"/>
      <c r="S1146" s="1290"/>
      <c r="T1146" s="1290"/>
      <c r="U1146" s="1290"/>
      <c r="V1146" s="1290"/>
      <c r="W1146" s="1290"/>
      <c r="X1146" s="1290"/>
      <c r="Y1146" s="1290"/>
    </row>
    <row r="1147" spans="1:25" ht="15.75" hidden="1" customHeight="1" outlineLevel="1">
      <c r="A1147" s="1057" t="s">
        <v>3452</v>
      </c>
      <c r="B1147" s="1633"/>
      <c r="C1147" s="1633"/>
      <c r="D1147" s="1055"/>
      <c r="F1147" s="1055"/>
      <c r="G1147" s="1291"/>
      <c r="H1147" s="481"/>
      <c r="I1147" s="1605"/>
      <c r="J1147" s="1353">
        <f>J1148/COS(J1143)</f>
        <v>0.5</v>
      </c>
      <c r="K1147" s="1055"/>
      <c r="L1147" s="1262"/>
      <c r="M1147" s="1262"/>
      <c r="N1147" s="1262"/>
      <c r="O1147" s="1055"/>
      <c r="P1147" s="1360"/>
      <c r="S1147" s="1290"/>
      <c r="T1147" s="1290"/>
      <c r="U1147" s="1290"/>
      <c r="V1147" s="1290"/>
      <c r="W1147" s="1290"/>
      <c r="X1147" s="1290"/>
      <c r="Y1147" s="1290"/>
    </row>
    <row r="1148" spans="1:25" ht="15.75" hidden="1" customHeight="1" outlineLevel="1">
      <c r="A1148" s="1057" t="s">
        <v>1927</v>
      </c>
      <c r="B1148" s="1633" t="s">
        <v>156</v>
      </c>
      <c r="C1148" s="1261">
        <f>'Ввод данных'!C206</f>
        <v>0.5</v>
      </c>
      <c r="D1148" s="1055"/>
      <c r="F1148" s="946">
        <f>'Ввод данных'!C249</f>
        <v>0.5</v>
      </c>
      <c r="G1148" s="1291"/>
      <c r="H1148" s="481"/>
      <c r="I1148" s="1605"/>
      <c r="J1148" s="946">
        <f>'Ввод данных'!C288</f>
        <v>0.5</v>
      </c>
      <c r="K1148" s="946">
        <f>J1148</f>
        <v>0.5</v>
      </c>
      <c r="L1148" s="1264"/>
      <c r="M1148" s="1264"/>
      <c r="N1148" s="1264"/>
      <c r="O1148" s="1055">
        <f>'Ввод данных'!C160</f>
        <v>0.8</v>
      </c>
      <c r="P1148" s="1360"/>
      <c r="Q1148" s="1290"/>
      <c r="R1148" s="1290"/>
      <c r="S1148" s="1290"/>
      <c r="T1148" s="1290"/>
      <c r="U1148" s="1290"/>
      <c r="V1148" s="1290"/>
      <c r="W1148" s="1290"/>
      <c r="X1148" s="1290"/>
      <c r="Y1148" s="1290"/>
    </row>
    <row r="1149" spans="1:25" ht="15.75" hidden="1" customHeight="1" outlineLevel="1">
      <c r="A1149" s="1057" t="s">
        <v>3453</v>
      </c>
      <c r="B1149" s="1633"/>
      <c r="C1149" s="1261">
        <f>C1148/COS(C1124)</f>
        <v>0.65768306926916487</v>
      </c>
      <c r="D1149" s="1055"/>
      <c r="F1149" s="946"/>
      <c r="G1149" s="1291"/>
      <c r="H1149" s="481"/>
      <c r="I1149" s="1605"/>
      <c r="J1149" s="946">
        <f>J1147</f>
        <v>0.5</v>
      </c>
      <c r="K1149" s="946"/>
      <c r="L1149" s="1264"/>
      <c r="M1149" s="1264"/>
      <c r="N1149" s="1264"/>
      <c r="O1149" s="1261">
        <f>O1148</f>
        <v>0.8</v>
      </c>
      <c r="P1149" s="1360"/>
      <c r="Q1149" s="1290"/>
      <c r="R1149" s="1290"/>
      <c r="S1149" s="1290"/>
      <c r="T1149" s="1290"/>
      <c r="U1149" s="1290"/>
      <c r="V1149" s="1290"/>
      <c r="W1149" s="1290"/>
      <c r="X1149" s="1290"/>
      <c r="Y1149" s="1290"/>
    </row>
    <row r="1150" spans="1:25" ht="15.75" hidden="1" customHeight="1" outlineLevel="1">
      <c r="A1150" s="1057" t="s">
        <v>1927</v>
      </c>
      <c r="B1150" s="1633" t="s">
        <v>156</v>
      </c>
      <c r="C1150" s="1261">
        <f>'Ввод данных'!C207</f>
        <v>0.5</v>
      </c>
      <c r="D1150" s="1055"/>
      <c r="E1150" s="505"/>
      <c r="F1150" s="1055"/>
      <c r="G1150" s="1291"/>
      <c r="H1150" s="481"/>
      <c r="I1150" s="1605"/>
      <c r="J1150" s="1055"/>
      <c r="K1150" s="1055"/>
      <c r="L1150" s="1262"/>
      <c r="M1150" s="1262"/>
      <c r="N1150" s="1262"/>
      <c r="O1150" s="1055">
        <f>'Ввод данных'!C161</f>
        <v>1</v>
      </c>
      <c r="P1150" s="1360"/>
      <c r="S1150" s="1290"/>
      <c r="T1150" s="1290"/>
      <c r="U1150" s="1290"/>
      <c r="V1150" s="1290"/>
      <c r="W1150" s="1290"/>
      <c r="X1150" s="1290"/>
      <c r="Y1150" s="1290"/>
    </row>
    <row r="1151" spans="1:25" ht="15.75" hidden="1" customHeight="1" outlineLevel="1">
      <c r="A1151" s="1057" t="s">
        <v>3454</v>
      </c>
      <c r="B1151" s="1633"/>
      <c r="C1151" s="1261">
        <f>C1150/COS(C1124)</f>
        <v>0.65768306926916487</v>
      </c>
      <c r="D1151" s="1055"/>
      <c r="E1151" s="505"/>
      <c r="F1151" s="1055"/>
      <c r="G1151" s="1291"/>
      <c r="H1151" s="481"/>
      <c r="I1151" s="1605"/>
      <c r="J1151" s="1055"/>
      <c r="K1151" s="1055"/>
      <c r="L1151" s="1262"/>
      <c r="M1151" s="1262"/>
      <c r="N1151" s="1262"/>
      <c r="O1151" s="1055">
        <f>O1150</f>
        <v>1</v>
      </c>
      <c r="P1151" s="1360"/>
      <c r="Q1151" s="1290"/>
      <c r="R1151" s="1290"/>
      <c r="S1151" s="1290"/>
      <c r="T1151" s="1290"/>
      <c r="U1151" s="1290"/>
      <c r="V1151" s="1290"/>
      <c r="W1151" s="1290"/>
      <c r="X1151" s="1290"/>
      <c r="Y1151" s="1290"/>
    </row>
    <row r="1152" spans="1:25" ht="15.75" hidden="1" customHeight="1" outlineLevel="1">
      <c r="A1152" s="1057" t="s">
        <v>1896</v>
      </c>
      <c r="B1152" s="1633" t="s">
        <v>156</v>
      </c>
      <c r="C1152" s="1261">
        <f>'Ввод данных'!C208</f>
        <v>0.8</v>
      </c>
      <c r="D1152" s="1055"/>
      <c r="E1152" s="505"/>
      <c r="F1152" s="946">
        <f>'Ввод данных'!C250</f>
        <v>0.5</v>
      </c>
      <c r="G1152" s="1291"/>
      <c r="H1152" s="481"/>
      <c r="I1152" s="1605"/>
      <c r="J1152" s="1634">
        <f>'Ввод данных'!C287</f>
        <v>0.5</v>
      </c>
      <c r="K1152" s="1252">
        <f>J1152</f>
        <v>0.5</v>
      </c>
      <c r="L1152" s="360">
        <f>'Ввод данных'!C285</f>
        <v>0.5</v>
      </c>
      <c r="M1152" s="360"/>
      <c r="N1152" s="360"/>
      <c r="O1152" s="1055">
        <f>'Ввод данных'!C162</f>
        <v>0.7</v>
      </c>
      <c r="P1152" s="1360"/>
      <c r="Q1152" s="1290"/>
      <c r="R1152" s="1290"/>
      <c r="S1152" s="1290"/>
      <c r="T1152" s="1290"/>
      <c r="U1152" s="1290"/>
      <c r="V1152" s="1290"/>
      <c r="W1152" s="1290"/>
      <c r="X1152" s="1290"/>
      <c r="Y1152" s="1290"/>
    </row>
    <row r="1153" spans="1:25" ht="15.75" hidden="1" customHeight="1" outlineLevel="1">
      <c r="A1153" s="1057" t="s">
        <v>3455</v>
      </c>
      <c r="B1153" s="1633"/>
      <c r="C1153" s="1261"/>
      <c r="D1153" s="1055"/>
      <c r="E1153" s="505"/>
      <c r="F1153" s="946"/>
      <c r="G1153" s="1291"/>
      <c r="H1153" s="481"/>
      <c r="I1153" s="1605"/>
      <c r="J1153" s="1634"/>
      <c r="K1153" s="1252"/>
      <c r="L1153" s="360"/>
      <c r="M1153" s="360"/>
      <c r="N1153" s="360"/>
      <c r="O1153" s="995">
        <f>O1152/COS(O1124)</f>
        <v>0.79764574912718433</v>
      </c>
      <c r="P1153" s="1360"/>
      <c r="Q1153" s="1290"/>
      <c r="R1153" s="1290"/>
      <c r="S1153" s="1290"/>
      <c r="T1153" s="1290"/>
      <c r="U1153" s="1290"/>
      <c r="V1153" s="1290"/>
      <c r="W1153" s="1290"/>
      <c r="X1153" s="1290"/>
      <c r="Y1153" s="1290"/>
    </row>
    <row r="1154" spans="1:25" ht="15.75" hidden="1" customHeight="1" outlineLevel="1">
      <c r="A1154" s="1057" t="s">
        <v>3456</v>
      </c>
      <c r="B1154" s="1633"/>
      <c r="C1154" s="1261"/>
      <c r="D1154" s="1055"/>
      <c r="E1154" s="505"/>
      <c r="F1154" s="946"/>
      <c r="G1154" s="1291"/>
      <c r="H1154" s="481"/>
      <c r="I1154" s="1605"/>
      <c r="J1154" s="1634"/>
      <c r="K1154" s="1252"/>
      <c r="L1154" s="360"/>
      <c r="M1154" s="360"/>
      <c r="N1154" s="360"/>
      <c r="O1154" s="1055"/>
      <c r="P1154" s="1360"/>
      <c r="Q1154" s="1290"/>
      <c r="R1154" s="1290"/>
      <c r="S1154" s="1290"/>
      <c r="T1154" s="1290"/>
      <c r="U1154" s="1290"/>
      <c r="V1154" s="1290"/>
      <c r="W1154" s="1290"/>
      <c r="X1154" s="1290"/>
      <c r="Y1154" s="1290"/>
    </row>
    <row r="1155" spans="1:25" ht="15.75" hidden="1" customHeight="1" outlineLevel="1">
      <c r="A1155" s="1057" t="s">
        <v>1897</v>
      </c>
      <c r="B1155" s="1633"/>
      <c r="C1155" s="1261">
        <f>'Ввод данных'!C209</f>
        <v>0.8</v>
      </c>
      <c r="D1155" s="1055"/>
      <c r="E1155" s="1262"/>
      <c r="F1155" s="1055"/>
      <c r="G1155" s="1291"/>
      <c r="H1155" s="481"/>
      <c r="I1155" s="1605"/>
      <c r="J1155" s="1360"/>
      <c r="K1155" s="1055"/>
      <c r="L1155" s="1262"/>
      <c r="M1155" s="1262"/>
      <c r="N1155" s="1262"/>
      <c r="O1155" s="1055">
        <f>'Ввод данных'!C163</f>
        <v>1</v>
      </c>
      <c r="P1155" s="1360"/>
      <c r="Q1155" s="1290"/>
      <c r="R1155" s="1290"/>
      <c r="S1155" s="1290"/>
      <c r="T1155" s="1290"/>
      <c r="U1155" s="1290"/>
      <c r="V1155" s="1290"/>
      <c r="W1155" s="1290"/>
      <c r="X1155" s="1290"/>
      <c r="Y1155" s="1290"/>
    </row>
    <row r="1156" spans="1:25" ht="15.75" hidden="1" customHeight="1" outlineLevel="1">
      <c r="A1156" s="1057" t="s">
        <v>3455</v>
      </c>
      <c r="B1156" s="1633"/>
      <c r="C1156" s="1261"/>
      <c r="D1156" s="1055"/>
      <c r="E1156" s="1262"/>
      <c r="F1156" s="1055"/>
      <c r="G1156" s="1291"/>
      <c r="H1156" s="481"/>
      <c r="I1156" s="1605"/>
      <c r="J1156" s="1360"/>
      <c r="K1156" s="1055"/>
      <c r="L1156" s="1262"/>
      <c r="M1156" s="1262"/>
      <c r="N1156" s="1262"/>
      <c r="O1156" s="995">
        <f>O1155/COS(O1124)</f>
        <v>1.139493927324549</v>
      </c>
      <c r="P1156" s="1360"/>
      <c r="Q1156" s="1290"/>
      <c r="R1156" s="1290"/>
      <c r="S1156" s="1290"/>
      <c r="T1156" s="1290"/>
      <c r="U1156" s="1290"/>
      <c r="V1156" s="1290"/>
      <c r="W1156" s="1290"/>
      <c r="X1156" s="1290"/>
      <c r="Y1156" s="1290"/>
    </row>
    <row r="1157" spans="1:25" ht="15.75" hidden="1" customHeight="1" outlineLevel="1">
      <c r="A1157" s="1057" t="s">
        <v>3457</v>
      </c>
      <c r="B1157" s="1633"/>
      <c r="C1157" s="1261"/>
      <c r="D1157" s="1055"/>
      <c r="E1157" s="1262"/>
      <c r="F1157" s="1055"/>
      <c r="G1157" s="1291"/>
      <c r="H1157" s="481"/>
      <c r="I1157" s="1605"/>
      <c r="J1157" s="1360"/>
      <c r="K1157" s="1055"/>
      <c r="L1157" s="1262"/>
      <c r="M1157" s="1262"/>
      <c r="N1157" s="1262"/>
      <c r="O1157" s="1055"/>
      <c r="P1157" s="1360"/>
      <c r="Q1157" s="1290"/>
      <c r="R1157" s="1290"/>
      <c r="S1157" s="1290"/>
      <c r="T1157" s="1290"/>
      <c r="U1157" s="1290"/>
      <c r="V1157" s="1290"/>
      <c r="W1157" s="1290"/>
      <c r="X1157" s="1290"/>
      <c r="Y1157" s="1290"/>
    </row>
    <row r="1158" spans="1:25" ht="15.75" hidden="1" customHeight="1" outlineLevel="1">
      <c r="A1158" s="1057" t="s">
        <v>3458</v>
      </c>
      <c r="B1158" s="1633"/>
      <c r="C1158" s="1261"/>
      <c r="D1158" s="1055"/>
      <c r="E1158" s="1262"/>
      <c r="F1158" s="1055">
        <f>F1133+F1148+F1148</f>
        <v>11</v>
      </c>
      <c r="G1158" s="1291"/>
      <c r="H1158" s="481"/>
      <c r="I1158" s="1605"/>
      <c r="J1158" s="1360">
        <f>(J1133)-(J1138*2)</f>
        <v>9</v>
      </c>
      <c r="K1158" s="1055"/>
      <c r="L1158" s="1262"/>
      <c r="M1158" s="1262"/>
      <c r="N1158" s="1262"/>
      <c r="O1158" s="1055"/>
      <c r="P1158" s="1360"/>
      <c r="Q1158" s="1290"/>
      <c r="R1158" s="1290"/>
      <c r="S1158" s="1290"/>
      <c r="T1158" s="1290"/>
      <c r="U1158" s="1290"/>
      <c r="V1158" s="1290"/>
      <c r="W1158" s="1290"/>
      <c r="X1158" s="1290"/>
      <c r="Y1158" s="1290"/>
    </row>
    <row r="1159" spans="1:25" ht="15.75" hidden="1" customHeight="1" outlineLevel="1">
      <c r="A1159" s="1057" t="s">
        <v>3459</v>
      </c>
      <c r="B1159" s="1633"/>
      <c r="C1159" s="1261"/>
      <c r="D1159" s="1055"/>
      <c r="E1159" s="1262"/>
      <c r="F1159" s="529">
        <f>SQRT(F1172*F1172+F1137*F1137)</f>
        <v>5.8309518948453007</v>
      </c>
      <c r="G1159" s="1612">
        <f>(G1122-G1120)/SIN(G1124)</f>
        <v>4.711516702348729</v>
      </c>
      <c r="H1159" s="1637"/>
      <c r="I1159" s="560"/>
      <c r="J1159" s="529">
        <f>SQRT(J1172*J1172+J1137*J1137)</f>
        <v>5.3851648071345037</v>
      </c>
      <c r="K1159" s="551">
        <f>(K1122-K1119)/SIN(K1128)</f>
        <v>2.6565479147127613</v>
      </c>
      <c r="L1159" s="1639">
        <f>K1159*Q1112+J1159*Q1113</f>
        <v>5.3851648071345037</v>
      </c>
      <c r="M1159" s="1639"/>
      <c r="N1159" s="1639"/>
      <c r="O1159" s="1055"/>
      <c r="P1159" s="1055"/>
      <c r="Q1159" s="1290"/>
      <c r="S1159" s="1290"/>
      <c r="T1159" s="1290"/>
      <c r="U1159" s="1290"/>
      <c r="V1159" s="1290"/>
      <c r="W1159" s="1290"/>
      <c r="X1159" s="1290"/>
      <c r="Y1159" s="1290"/>
    </row>
    <row r="1160" spans="1:25" ht="15.75" hidden="1" customHeight="1" outlineLevel="1">
      <c r="A1160" s="1057" t="s">
        <v>3448</v>
      </c>
      <c r="B1160" s="1633"/>
      <c r="C1160" s="1261"/>
      <c r="D1160" s="1055"/>
      <c r="E1160" s="1262"/>
      <c r="F1160" s="529">
        <f>F1137/F1159</f>
        <v>0.8574929257125441</v>
      </c>
      <c r="G1160" s="1612"/>
      <c r="H1160" s="1637"/>
      <c r="I1160" s="560"/>
      <c r="J1160" s="529">
        <f>J1137/J1159</f>
        <v>0.92847669088525941</v>
      </c>
      <c r="K1160" s="551"/>
      <c r="L1160" s="1640">
        <f>(K1122-K1119)/SIN(K1128)</f>
        <v>2.6565479147127613</v>
      </c>
      <c r="M1160" s="1640"/>
      <c r="N1160" s="1640"/>
      <c r="O1160" s="1055"/>
      <c r="P1160" s="1641"/>
      <c r="Q1160" s="1290"/>
      <c r="S1160" s="1290"/>
      <c r="T1160" s="1290"/>
      <c r="U1160" s="1290"/>
      <c r="V1160" s="1290"/>
      <c r="W1160" s="1290"/>
      <c r="X1160" s="1290"/>
      <c r="Y1160" s="1290"/>
    </row>
    <row r="1161" spans="1:25" ht="15.75" hidden="1" customHeight="1" outlineLevel="1">
      <c r="A1161" s="1057" t="s">
        <v>3452</v>
      </c>
      <c r="B1161" s="1633"/>
      <c r="C1161" s="1261"/>
      <c r="D1161" s="1055"/>
      <c r="E1161" s="1262"/>
      <c r="F1161" s="529">
        <f>F1148/COS(F1160)</f>
        <v>0.76413413169807975</v>
      </c>
      <c r="G1161" s="1612"/>
      <c r="H1161" s="1637"/>
      <c r="I1161" s="560"/>
      <c r="J1161" s="529">
        <f>J1148/COS(J1160)</f>
        <v>0.83464873535895023</v>
      </c>
      <c r="K1161" s="551"/>
      <c r="L1161" s="1639"/>
      <c r="M1161" s="1639"/>
      <c r="N1161" s="1639"/>
      <c r="O1161" s="1055"/>
      <c r="P1161" s="1641"/>
      <c r="Q1161" s="1290"/>
      <c r="S1161" s="1290"/>
      <c r="T1161" s="1290"/>
      <c r="U1161" s="1290"/>
      <c r="V1161" s="1290"/>
      <c r="W1161" s="1290"/>
      <c r="X1161" s="1290"/>
      <c r="Y1161" s="1290"/>
    </row>
    <row r="1162" spans="1:25" ht="15.75" hidden="1" customHeight="1" outlineLevel="1">
      <c r="A1162" s="1291" t="s">
        <v>3460</v>
      </c>
      <c r="B1162" s="1633"/>
      <c r="C1162" s="1261"/>
      <c r="D1162" s="1055"/>
      <c r="E1162" s="1262"/>
      <c r="F1162" s="529"/>
      <c r="G1162" s="1612"/>
      <c r="H1162" s="1637"/>
      <c r="I1162" s="560"/>
      <c r="J1162" s="529"/>
      <c r="K1162" s="551"/>
      <c r="L1162" s="1639"/>
      <c r="M1162" s="1639"/>
      <c r="N1162" s="1639"/>
      <c r="O1162" s="995">
        <f>O1133</f>
        <v>10</v>
      </c>
      <c r="P1162" s="1641"/>
      <c r="Q1162" s="1290"/>
      <c r="S1162" s="1290"/>
      <c r="T1162" s="1290"/>
      <c r="U1162" s="1290"/>
      <c r="V1162" s="1290"/>
      <c r="W1162" s="1290"/>
      <c r="X1162" s="1290"/>
      <c r="Y1162" s="1290"/>
    </row>
    <row r="1163" spans="1:25" ht="15.75" hidden="1" customHeight="1" outlineLevel="1">
      <c r="A1163" s="1291" t="s">
        <v>3461</v>
      </c>
      <c r="B1163" s="1633"/>
      <c r="C1163" s="1261"/>
      <c r="D1163" s="1055"/>
      <c r="E1163" s="1262"/>
      <c r="F1163" s="529"/>
      <c r="G1163" s="1612"/>
      <c r="H1163" s="1637"/>
      <c r="I1163" s="560"/>
      <c r="J1163" s="529"/>
      <c r="K1163" s="551"/>
      <c r="L1163" s="1639"/>
      <c r="M1163" s="1639"/>
      <c r="N1163" s="1639"/>
      <c r="O1163" s="1055">
        <f>O1132</f>
        <v>10</v>
      </c>
      <c r="P1163" s="1641"/>
      <c r="Q1163" s="1290"/>
      <c r="S1163" s="1290"/>
      <c r="T1163" s="1290"/>
      <c r="U1163" s="1290"/>
      <c r="V1163" s="1290"/>
      <c r="W1163" s="1290"/>
      <c r="X1163" s="1290"/>
      <c r="Y1163" s="1290"/>
    </row>
    <row r="1164" spans="1:25" ht="15.75" hidden="1" customHeight="1" outlineLevel="1">
      <c r="A1164" s="1291" t="s">
        <v>3462</v>
      </c>
      <c r="B1164" s="1244" t="s">
        <v>156</v>
      </c>
      <c r="C1164" s="1244">
        <f>C1132+C1152+C1155</f>
        <v>11.600000000000001</v>
      </c>
      <c r="D1164" s="1291">
        <f>C1132+C1152+C1155</f>
        <v>11.600000000000001</v>
      </c>
      <c r="E1164" s="505">
        <f>C1164*G1113+D1164*G1112</f>
        <v>11.600000000000001</v>
      </c>
      <c r="F1164" s="946">
        <f>'Ввод данных'!C248</f>
        <v>5</v>
      </c>
      <c r="G1164" s="1353">
        <f>F1132+F1152+F1152-G1172*2</f>
        <v>4.6917864219698329</v>
      </c>
      <c r="H1164" s="1380"/>
      <c r="I1164" s="393">
        <f>F1164*J1113+G1164*J1112</f>
        <v>5</v>
      </c>
      <c r="J1164" s="1634">
        <f>'Ввод данных'!C286</f>
        <v>6</v>
      </c>
      <c r="K1164" s="551">
        <f>K1132+K1152+K1152-SQRT(L1160*L1160-(K1122-K1119)*(K1122-K1119))*2</f>
        <v>6.1457866453297623</v>
      </c>
      <c r="L1164" s="1639">
        <f>K1164*Q1112+J1164*Q1113</f>
        <v>6</v>
      </c>
      <c r="M1164" s="1639"/>
      <c r="N1164" s="1639"/>
      <c r="O1164" s="1055">
        <f>O1162+O1149+O1151</f>
        <v>11.8</v>
      </c>
      <c r="P1164" s="1291">
        <f>O1164*$P$1129</f>
        <v>11.8</v>
      </c>
      <c r="Q1164" s="1290"/>
      <c r="S1164" s="1290"/>
      <c r="T1164" s="1290"/>
      <c r="U1164" s="1290"/>
      <c r="V1164" s="1290"/>
      <c r="W1164" s="1290"/>
      <c r="X1164" s="1290"/>
      <c r="Y1164" s="1290"/>
    </row>
    <row r="1165" spans="1:25" ht="15.75" hidden="1" customHeight="1" outlineLevel="1">
      <c r="A1165" s="1291" t="s">
        <v>3463</v>
      </c>
      <c r="B1165" s="1244"/>
      <c r="C1165" s="1244"/>
      <c r="D1165" s="1291"/>
      <c r="E1165" s="505"/>
      <c r="F1165" s="946"/>
      <c r="G1165" s="1353"/>
      <c r="H1165" s="1380"/>
      <c r="I1165" s="393"/>
      <c r="J1165" s="1634"/>
      <c r="K1165" s="551"/>
      <c r="L1165" s="1639"/>
      <c r="M1165" s="1639"/>
      <c r="N1165" s="1639"/>
      <c r="O1165" s="1055">
        <f>O1163+O1149+O1151</f>
        <v>11.8</v>
      </c>
      <c r="P1165" s="1641"/>
      <c r="Q1165" s="1197">
        <f>O1165*$Q$1129</f>
        <v>0</v>
      </c>
      <c r="S1165" s="1290"/>
      <c r="T1165" s="1290"/>
      <c r="U1165" s="1290"/>
      <c r="V1165" s="1290"/>
      <c r="W1165" s="1290"/>
      <c r="X1165" s="1290"/>
      <c r="Y1165" s="1290"/>
    </row>
    <row r="1166" spans="1:25" ht="15.75" hidden="1" customHeight="1" outlineLevel="1">
      <c r="A1166" s="1057" t="s">
        <v>3464</v>
      </c>
      <c r="B1166" s="1633"/>
      <c r="C1166" s="1261"/>
      <c r="D1166" s="1055"/>
      <c r="E1166" s="1262"/>
      <c r="F1166" s="529">
        <f>F1159+F1161</f>
        <v>6.5950860265433802</v>
      </c>
      <c r="G1166" s="1612"/>
      <c r="H1166" s="1637"/>
      <c r="I1166" s="560"/>
      <c r="J1166" s="529">
        <f>J1159+J1161</f>
        <v>6.219813542493454</v>
      </c>
      <c r="K1166" s="551"/>
      <c r="L1166" s="1639"/>
      <c r="M1166" s="1639"/>
      <c r="N1166" s="1639"/>
      <c r="O1166" s="1055"/>
      <c r="P1166" s="1641"/>
      <c r="Q1166" s="1290"/>
      <c r="S1166" s="1290"/>
      <c r="T1166" s="1290"/>
      <c r="U1166" s="1290"/>
      <c r="V1166" s="1290"/>
      <c r="W1166" s="1290"/>
      <c r="X1166" s="1290"/>
      <c r="Y1166" s="1290"/>
    </row>
    <row r="1167" spans="1:25" ht="15.75" hidden="1" customHeight="1" outlineLevel="1">
      <c r="A1167" s="1291" t="s">
        <v>3465</v>
      </c>
      <c r="B1167" s="1244" t="s">
        <v>156</v>
      </c>
      <c r="C1167" s="1244">
        <f>C1140+C1149</f>
        <v>7.7287508811346406</v>
      </c>
      <c r="D1167" s="1291">
        <f>(D1122-D1118)/SIN(D1124)</f>
        <v>3.5806696714157433</v>
      </c>
      <c r="E1167" s="505">
        <f>C1167*G1113+D1167*G1112</f>
        <v>7.7287508811346406</v>
      </c>
      <c r="F1167" s="1057">
        <f>SQRT(F1137*F1137+(F1158/2)*(F1158/2))</f>
        <v>7.433034373659253</v>
      </c>
      <c r="G1167" s="1642">
        <f>(G1122-G1120)/SIN(G1126)</f>
        <v>5.3371134409659975</v>
      </c>
      <c r="H1167" s="1561"/>
      <c r="I1167" s="560"/>
      <c r="J1167" s="529">
        <f>SQRT(J1135*J1135+J1138*J1138)</f>
        <v>5.024937810560445</v>
      </c>
      <c r="K1167" s="551">
        <f>(K1122-K1119)/SIN(K1124)</f>
        <v>2.5567105965391148</v>
      </c>
      <c r="L1167" s="1639">
        <f>K1167*Q1112+J1167*Q1113</f>
        <v>5.024937810560445</v>
      </c>
      <c r="M1167" s="1639"/>
      <c r="N1167" s="1639"/>
      <c r="O1167" s="1055"/>
      <c r="P1167" s="1360"/>
      <c r="Q1167" s="1290"/>
      <c r="R1167" s="1290"/>
      <c r="S1167" s="1290"/>
      <c r="T1167" s="1290"/>
      <c r="U1167" s="1290"/>
      <c r="V1167" s="1290"/>
      <c r="W1167" s="1290"/>
      <c r="X1167" s="1290"/>
      <c r="Y1167" s="1290"/>
    </row>
    <row r="1168" spans="1:25" ht="15.75" hidden="1" customHeight="1" outlineLevel="1">
      <c r="A1168" s="1291" t="s">
        <v>3466</v>
      </c>
      <c r="B1168" s="1244" t="s">
        <v>156</v>
      </c>
      <c r="C1168" s="1244"/>
      <c r="D1168" s="1291"/>
      <c r="E1168" s="505"/>
      <c r="F1168" s="1057"/>
      <c r="G1168" s="1642"/>
      <c r="H1168" s="1561"/>
      <c r="I1168" s="560"/>
      <c r="J1168" s="529">
        <f>J1167+J1147</f>
        <v>5.524937810560445</v>
      </c>
      <c r="K1168" s="551"/>
      <c r="L1168" s="1639"/>
      <c r="M1168" s="1639"/>
      <c r="N1168" s="1639"/>
      <c r="O1168" s="1055">
        <f>O1142+O1153+O1156</f>
        <v>13.117479563950683</v>
      </c>
      <c r="P1168" s="1291">
        <f>O1168*$P$1129</f>
        <v>13.117479563950683</v>
      </c>
      <c r="Q1168" s="1290"/>
      <c r="R1168" s="1290"/>
      <c r="S1168" s="1290"/>
      <c r="T1168" s="1290"/>
      <c r="U1168" s="1290"/>
      <c r="V1168" s="1290"/>
      <c r="W1168" s="1290"/>
      <c r="X1168" s="1290"/>
      <c r="Y1168" s="1290"/>
    </row>
    <row r="1169" spans="1:25" ht="15.75" hidden="1" customHeight="1" outlineLevel="1">
      <c r="A1169" s="1291" t="s">
        <v>3467</v>
      </c>
      <c r="B1169" s="1244" t="s">
        <v>156</v>
      </c>
      <c r="C1169" s="1244">
        <f>C1140+C1151</f>
        <v>7.7287508811346406</v>
      </c>
      <c r="D1169" s="1055"/>
      <c r="E1169" s="1262"/>
      <c r="F1169" s="1055"/>
      <c r="G1169" s="1055"/>
      <c r="H1169" s="1262"/>
      <c r="I1169" s="1643"/>
      <c r="J1169" s="1055">
        <f>SQRT(J1171*J1171+J1137*J1137)</f>
        <v>6.7268120235368549</v>
      </c>
      <c r="K1169" s="1641">
        <f>(K1119-K1118)/SIN(K1126)</f>
        <v>2.5546030294046371</v>
      </c>
      <c r="L1169" s="1639">
        <f>K1169*Q1112+J1169*Q1113</f>
        <v>6.7268120235368549</v>
      </c>
      <c r="M1169" s="1639"/>
      <c r="N1169" s="1639"/>
      <c r="O1169" s="1055">
        <f>O1140+O1153+O1156</f>
        <v>13.117479563950683</v>
      </c>
      <c r="P1169" s="1291"/>
      <c r="Q1169" s="1197">
        <f>O1169*$Q$1129</f>
        <v>0</v>
      </c>
      <c r="R1169" s="1290"/>
      <c r="S1169" s="1290"/>
      <c r="T1169" s="1290"/>
      <c r="U1169" s="1290"/>
      <c r="V1169" s="1290"/>
      <c r="W1169" s="1290"/>
      <c r="X1169" s="1290"/>
      <c r="Y1169" s="1290"/>
    </row>
    <row r="1170" spans="1:25" ht="15.75" hidden="1" customHeight="1" outlineLevel="1">
      <c r="A1170" s="1291" t="s">
        <v>1063</v>
      </c>
      <c r="B1170" s="1244" t="s">
        <v>156</v>
      </c>
      <c r="C1170" s="1244"/>
      <c r="D1170" s="1055"/>
      <c r="E1170" s="1262"/>
      <c r="F1170" s="551">
        <f>SQRT(F1166*F1166+F1171*F1171)</f>
        <v>8.5875002007282504</v>
      </c>
      <c r="G1170" s="971">
        <f>SQRT(G1159*G1159+SQRT(G1167*G1167-(G1122-G1120)*(G1122-G1120)))</f>
        <v>5.1212918531440721</v>
      </c>
      <c r="H1170" s="1036"/>
      <c r="I1170" s="1644">
        <f>F1170*J1113+G1170*J1112</f>
        <v>8.5875002007282504</v>
      </c>
      <c r="J1170" s="529">
        <f>SQRT(J1171*J1171+J1166*J1166)</f>
        <v>7.6769838154958343</v>
      </c>
      <c r="K1170" s="1291">
        <f>SQRT(K1159*K1159+(K1133/2)*(K1133/2))</f>
        <v>5.6619119406049325</v>
      </c>
      <c r="L1170" s="1639">
        <f>K1170*Q1112+J1170*Q1113</f>
        <v>7.6769838154958343</v>
      </c>
      <c r="M1170" s="1639"/>
      <c r="N1170" s="1639"/>
      <c r="O1170" s="1055"/>
      <c r="P1170" s="1360"/>
      <c r="Q1170" s="1290"/>
      <c r="R1170" s="1290"/>
      <c r="S1170" s="1290"/>
      <c r="T1170" s="1290"/>
      <c r="U1170" s="1290"/>
      <c r="V1170" s="1290"/>
      <c r="W1170" s="1290"/>
      <c r="X1170" s="1290"/>
      <c r="Y1170" s="1290"/>
    </row>
    <row r="1171" spans="1:25" ht="15.75" hidden="1" customHeight="1" outlineLevel="1">
      <c r="A1171" s="551" t="s">
        <v>3468</v>
      </c>
      <c r="B1171" s="1244"/>
      <c r="C1171" s="1244"/>
      <c r="D1171" s="1055"/>
      <c r="E1171" s="1262"/>
      <c r="F1171" s="1055">
        <f>F1158/2</f>
        <v>5.5</v>
      </c>
      <c r="G1171" s="971">
        <f>SQRT(G1167*G1167-(G1122-G1120)*(G1122-G1120))</f>
        <v>4.0292406085688048</v>
      </c>
      <c r="H1171" s="1036"/>
      <c r="I1171" s="1276"/>
      <c r="J1171" s="1055">
        <f>J1158/2</f>
        <v>4.5</v>
      </c>
      <c r="K1171" s="1228">
        <f>SQRT(K1167*K1167-(K1122-K1119)*(K1122-K1119))</f>
        <v>2.3174056775746874</v>
      </c>
      <c r="L1171" s="360"/>
      <c r="M1171" s="360"/>
      <c r="N1171" s="360"/>
      <c r="O1171" s="1055"/>
      <c r="P1171" s="1360"/>
      <c r="Q1171" s="1290"/>
      <c r="R1171" s="1290"/>
      <c r="S1171" s="1290"/>
      <c r="T1171" s="1290"/>
      <c r="U1171" s="1290"/>
      <c r="V1171" s="1290"/>
      <c r="W1171" s="1290"/>
      <c r="X1171" s="1290"/>
      <c r="Y1171" s="1290"/>
    </row>
    <row r="1172" spans="1:25" ht="15.75" hidden="1" customHeight="1" outlineLevel="1">
      <c r="A1172" s="551" t="s">
        <v>3469</v>
      </c>
      <c r="B1172" s="1244"/>
      <c r="C1172" s="1244"/>
      <c r="D1172" s="1055"/>
      <c r="E1172" s="1262"/>
      <c r="F1172" s="1055">
        <f>(F1132+F1152+F1152-F1164)/2</f>
        <v>3</v>
      </c>
      <c r="G1172" s="971">
        <f>SQRT(G1159*G1159-(G1122-G1120)*(G1122-G1120))</f>
        <v>3.1541067890150836</v>
      </c>
      <c r="H1172" s="1036"/>
      <c r="I1172" s="1276"/>
      <c r="J1172" s="1055">
        <f>(J1132-J1164)/2</f>
        <v>2</v>
      </c>
      <c r="K1172" s="1291"/>
      <c r="L1172" s="481"/>
      <c r="M1172" s="481"/>
      <c r="N1172" s="481"/>
      <c r="O1172" s="1055"/>
      <c r="P1172" s="1641"/>
      <c r="Q1172" s="1290"/>
      <c r="R1172" s="1290"/>
      <c r="S1172" s="1290"/>
      <c r="T1172" s="1290"/>
      <c r="U1172" s="1290"/>
      <c r="V1172" s="1290"/>
      <c r="W1172" s="1290"/>
      <c r="X1172" s="1290"/>
      <c r="Y1172" s="1290"/>
    </row>
    <row r="1173" spans="1:25" ht="15.75" hidden="1" customHeight="1" outlineLevel="1">
      <c r="A1173" s="551" t="s">
        <v>3470</v>
      </c>
      <c r="B1173" s="1244"/>
      <c r="C1173" s="1244"/>
      <c r="D1173" s="1055"/>
      <c r="E1173" s="1262"/>
      <c r="F1173" s="1055">
        <f>F1166*F1171*2</f>
        <v>72.545946291977188</v>
      </c>
      <c r="G1173" s="971">
        <f>G1171*G1159*2</f>
        <v>37.967668850107366</v>
      </c>
      <c r="H1173" s="1036"/>
      <c r="I1173" s="1276"/>
      <c r="J1173" s="1055">
        <f>J1166*J1171*2</f>
        <v>55.978321882441087</v>
      </c>
      <c r="K1173" s="1055"/>
      <c r="L1173" s="1262"/>
      <c r="M1173" s="1262"/>
      <c r="N1173" s="1262"/>
      <c r="O1173" s="1055"/>
      <c r="P1173" s="1360"/>
      <c r="Q1173" s="1290"/>
      <c r="R1173" s="1290"/>
      <c r="S1173" s="1290"/>
      <c r="T1173" s="1290"/>
      <c r="U1173" s="1290"/>
      <c r="V1173" s="1290"/>
      <c r="W1173" s="1290"/>
      <c r="X1173" s="1290"/>
      <c r="Y1173" s="1290"/>
    </row>
    <row r="1174" spans="1:25" ht="15.75" hidden="1" customHeight="1" outlineLevel="1">
      <c r="A1174" s="551" t="s">
        <v>3471</v>
      </c>
      <c r="B1174" s="1244"/>
      <c r="C1174" s="1244"/>
      <c r="D1174" s="1055"/>
      <c r="E1174" s="1262"/>
      <c r="F1174" s="1055">
        <f>F1172*F1167*2+F1167*F1164*2</f>
        <v>118.92854997854803</v>
      </c>
      <c r="G1174" s="971">
        <f>G1172*G1167*2+G1167*(дома!X4+'Ввод данных'!C250+'Ввод данных'!C250-G1172*2)*2</f>
        <v>83.748844225462932</v>
      </c>
      <c r="H1174" s="1036"/>
      <c r="I1174" s="1276"/>
      <c r="J1174" s="1055">
        <f>J1169*(J1132+J1152+J1152)*2-J1169*J1172*2</f>
        <v>121.0826164236634</v>
      </c>
      <c r="K1174" s="1055"/>
      <c r="L1174" s="1262"/>
      <c r="M1174" s="1262"/>
      <c r="N1174" s="1262"/>
      <c r="O1174" s="1055"/>
      <c r="P1174" s="1360"/>
      <c r="Q1174" s="398"/>
      <c r="R1174" s="502"/>
      <c r="S1174" s="1290"/>
      <c r="T1174" s="1290"/>
      <c r="U1174" s="1290"/>
      <c r="V1174" s="1290"/>
      <c r="W1174" s="1290"/>
      <c r="X1174" s="1290"/>
      <c r="Y1174" s="1290"/>
    </row>
    <row r="1175" spans="1:25" ht="15.75" hidden="1" customHeight="1" outlineLevel="1">
      <c r="A1175" s="1291" t="s">
        <v>3472</v>
      </c>
      <c r="B1175" s="1244" t="s">
        <v>133</v>
      </c>
      <c r="C1175" s="1244"/>
      <c r="D1175" s="1291"/>
      <c r="E1175" s="505"/>
      <c r="F1175" s="946"/>
      <c r="G1175" s="1353"/>
      <c r="H1175" s="1380"/>
      <c r="I1175" s="393"/>
      <c r="J1175" s="1634">
        <f>J1168*(J1132+J1152+J1152)</f>
        <v>60.774315916164895</v>
      </c>
      <c r="K1175" s="551"/>
      <c r="L1175" s="356"/>
      <c r="M1175" s="356"/>
      <c r="N1175" s="356"/>
      <c r="O1175" s="1360"/>
      <c r="P1175" s="1228"/>
      <c r="Q1175" s="481"/>
      <c r="R1175" s="1290"/>
      <c r="S1175" s="1290"/>
      <c r="T1175" s="1290"/>
      <c r="U1175" s="1290"/>
      <c r="V1175" s="1290"/>
      <c r="W1175" s="1290"/>
      <c r="X1175" s="1290"/>
      <c r="Y1175" s="1290"/>
    </row>
    <row r="1176" spans="1:25" ht="15.75" hidden="1" customHeight="1" outlineLevel="1">
      <c r="A1176" s="1291" t="s">
        <v>3473</v>
      </c>
      <c r="B1176" s="1244"/>
      <c r="C1176" s="1244"/>
      <c r="D1176" s="1291"/>
      <c r="E1176" s="505"/>
      <c r="F1176" s="946"/>
      <c r="G1176" s="1353"/>
      <c r="H1176" s="1380"/>
      <c r="I1176" s="393"/>
      <c r="J1176" s="1634"/>
      <c r="K1176" s="551"/>
      <c r="L1176" s="356"/>
      <c r="M1176" s="356"/>
      <c r="N1176" s="356"/>
      <c r="O1176" s="1360"/>
      <c r="P1176" s="1228"/>
      <c r="Q1176" s="481"/>
      <c r="R1176" s="1290"/>
      <c r="S1176" s="1290"/>
      <c r="T1176" s="1290"/>
      <c r="U1176" s="1290"/>
      <c r="V1176" s="1290"/>
      <c r="W1176" s="1290"/>
      <c r="X1176" s="1290"/>
      <c r="Y1176" s="1290"/>
    </row>
    <row r="1177" spans="1:25" ht="15.75" hidden="1" customHeight="1" outlineLevel="1">
      <c r="A1177" s="1057" t="s">
        <v>3474</v>
      </c>
      <c r="B1177" s="1633" t="s">
        <v>133</v>
      </c>
      <c r="C1177" s="1633">
        <f>C1140*C1132*2</f>
        <v>141.42135623730951</v>
      </c>
      <c r="D1177" s="1645">
        <f>(D1167-D1125)*C1132*2</f>
        <v>57.752736635737804</v>
      </c>
      <c r="E1177" s="1262"/>
      <c r="F1177" s="1055">
        <f>F1181-F1179</f>
        <v>170.47449627052521</v>
      </c>
      <c r="G1177" s="1055"/>
      <c r="H1177" s="1262"/>
      <c r="I1177" s="1276"/>
      <c r="J1177" s="1055">
        <f>J1181-J1179</f>
        <v>207.78537860114849</v>
      </c>
      <c r="K1177" s="1055"/>
      <c r="L1177" s="1262"/>
      <c r="M1177" s="1262"/>
      <c r="N1177" s="1262"/>
      <c r="O1177" s="995">
        <f>O1162*O1142</f>
        <v>111.80339887498948</v>
      </c>
      <c r="P1177" s="1291">
        <f>O1177*$P$1129</f>
        <v>111.80339887498948</v>
      </c>
      <c r="Q1177" s="481"/>
      <c r="S1177" s="1290"/>
      <c r="T1177" s="1290"/>
      <c r="U1177" s="1290"/>
      <c r="V1177" s="1290"/>
      <c r="W1177" s="1290"/>
      <c r="X1177" s="1290"/>
      <c r="Y1177" s="1290"/>
    </row>
    <row r="1178" spans="1:25" ht="15.75" hidden="1" customHeight="1" outlineLevel="1">
      <c r="A1178" s="1057" t="s">
        <v>3475</v>
      </c>
      <c r="B1178" s="1633"/>
      <c r="C1178" s="1633"/>
      <c r="D1178" s="1645"/>
      <c r="E1178" s="1376">
        <f>D1177*D1115+I1115*F1177+J1177*L1115+Q1115*(P1177+Q1178)</f>
        <v>0</v>
      </c>
      <c r="F1178" s="1055"/>
      <c r="G1178" s="1055"/>
      <c r="H1178" s="1262"/>
      <c r="I1178" s="1276"/>
      <c r="J1178" s="1055"/>
      <c r="K1178" s="1055"/>
      <c r="L1178" s="1262"/>
      <c r="M1178" s="1262"/>
      <c r="N1178" s="1262"/>
      <c r="O1178" s="1055">
        <f>O1163*O1140</f>
        <v>111.80339887498948</v>
      </c>
      <c r="P1178" s="1291"/>
      <c r="Q1178" s="1197">
        <f>O1178*$Q$1129</f>
        <v>0</v>
      </c>
      <c r="S1178" s="1290"/>
      <c r="T1178" s="1290"/>
      <c r="U1178" s="1290"/>
      <c r="V1178" s="1290"/>
      <c r="W1178" s="1290"/>
      <c r="X1178" s="1290"/>
      <c r="Y1178" s="1290"/>
    </row>
    <row r="1179" spans="1:25" ht="15.75" hidden="1" customHeight="1" outlineLevel="1">
      <c r="A1179" s="1057" t="s">
        <v>3476</v>
      </c>
      <c r="B1179" s="1633" t="s">
        <v>133</v>
      </c>
      <c r="C1179" s="1633">
        <f>(C1140*C1152)*2+(C1140*C1155)*2+(C1132+C1152+C1155)*C1149+(C1132+C1155+C1152)*C1151</f>
        <v>37.885664205014152</v>
      </c>
      <c r="D1179" s="1645">
        <f>D1167*C1152*2+D1167*C1155*2+D1125*C1132*2</f>
        <v>25.318799741107444</v>
      </c>
      <c r="E1179" s="1262"/>
      <c r="F1179" s="1057">
        <f>(F1133+F1148+F1148)*F1152*2+F1132*2*F1148</f>
        <v>21</v>
      </c>
      <c r="G1179" s="1055"/>
      <c r="H1179" s="1262"/>
      <c r="I1179" s="1276"/>
      <c r="J1179" s="529">
        <f>J1158*2*J1152+J1168*4*J1152+J1132*2*J1147</f>
        <v>30.04987562112089</v>
      </c>
      <c r="K1179" s="1055"/>
      <c r="L1179" s="1262"/>
      <c r="M1179" s="1262"/>
      <c r="N1179" s="1262"/>
      <c r="O1179" s="995">
        <f>O1162*O1153+O1162*O1156+(O1142+O1153+O1156)*O1149+(O1142+O1153+O1156)*O1151</f>
        <v>42.982859979628564</v>
      </c>
      <c r="P1179" s="1291">
        <f>O1179*$P$1129</f>
        <v>42.982859979628564</v>
      </c>
      <c r="S1179" s="1290"/>
      <c r="T1179" s="1290"/>
      <c r="U1179" s="1290"/>
      <c r="V1179" s="1290"/>
      <c r="W1179" s="1290"/>
      <c r="X1179" s="1290"/>
      <c r="Y1179" s="1290"/>
    </row>
    <row r="1180" spans="1:25" ht="15.75" hidden="1" customHeight="1" outlineLevel="1">
      <c r="A1180" s="1057" t="s">
        <v>3477</v>
      </c>
      <c r="B1180" s="1633"/>
      <c r="C1180" s="1633"/>
      <c r="D1180" s="1645"/>
      <c r="E1180" s="1262"/>
      <c r="F1180" s="1057"/>
      <c r="G1180" s="1055"/>
      <c r="H1180" s="1262"/>
      <c r="I1180" s="1276"/>
      <c r="J1180" s="529"/>
      <c r="K1180" s="1055"/>
      <c r="L1180" s="1262"/>
      <c r="M1180" s="1262"/>
      <c r="N1180" s="1262"/>
      <c r="O1180" s="1055">
        <f>O1163*O1153+O1163*O1156+(O1140+O1153+O1156)*O1149+(O1140+O1153+O1156)*O1151</f>
        <v>42.982859979628564</v>
      </c>
      <c r="P1180" s="1645"/>
      <c r="Q1180" s="1197">
        <f>O1180*$Q$1129</f>
        <v>0</v>
      </c>
      <c r="S1180" s="1290"/>
      <c r="T1180" s="1290"/>
      <c r="U1180" s="1290"/>
      <c r="V1180" s="1290"/>
      <c r="W1180" s="1290"/>
      <c r="X1180" s="1290"/>
      <c r="Y1180" s="1290"/>
    </row>
    <row r="1181" spans="1:25" ht="15.75" hidden="1" customHeight="1" outlineLevel="1">
      <c r="A1181" s="1057" t="s">
        <v>3478</v>
      </c>
      <c r="B1181" s="1633" t="s">
        <v>133</v>
      </c>
      <c r="C1181" s="1633">
        <f>C1177+C1179</f>
        <v>179.30702044232368</v>
      </c>
      <c r="D1181" s="1057">
        <f>D1167*(C1132+C1152+C1152)*2</f>
        <v>83.071536376845259</v>
      </c>
      <c r="E1181" s="505">
        <f>(C1181*G1113+D1181*G1112)</f>
        <v>179.30702044232368</v>
      </c>
      <c r="F1181" s="551">
        <f>F1174+F1173</f>
        <v>191.47449627052521</v>
      </c>
      <c r="G1181" s="971">
        <f>G1173+G1174</f>
        <v>121.7165130755703</v>
      </c>
      <c r="H1181" s="1036"/>
      <c r="I1181" s="1644">
        <f>F1181*J1113+G1181*J1112</f>
        <v>191.47449627052521</v>
      </c>
      <c r="J1181" s="529">
        <f>J1174+J1173+J1175</f>
        <v>237.83525422226938</v>
      </c>
      <c r="K1181" s="1291">
        <f>K1169*(K1132+K1152*2)*2+K1133/2*K1159*2+K1167*K1164*2+K1167*((K1132+K1152*2-K1164)/2)*2</f>
        <v>126.60356019614305</v>
      </c>
      <c r="L1181" s="1639">
        <f>K1181*Q1112+J1181*Q1113</f>
        <v>237.83525422226938</v>
      </c>
      <c r="M1181" s="1639"/>
      <c r="N1181" s="1639"/>
      <c r="O1181" s="995">
        <f>O1177+O1179</f>
        <v>154.78625885461804</v>
      </c>
      <c r="P1181" s="1291">
        <f>O1181*$P$1129</f>
        <v>154.78625885461804</v>
      </c>
      <c r="S1181" s="1290"/>
      <c r="T1181" s="1290"/>
      <c r="U1181" s="1290"/>
      <c r="V1181" s="1290"/>
      <c r="W1181" s="1290"/>
      <c r="X1181" s="1290"/>
      <c r="Y1181" s="1290"/>
    </row>
    <row r="1182" spans="1:25" ht="15.75" hidden="1" customHeight="1" outlineLevel="1">
      <c r="A1182" s="1057" t="s">
        <v>3479</v>
      </c>
      <c r="B1182" s="1633"/>
      <c r="C1182" s="1633"/>
      <c r="D1182" s="1057"/>
      <c r="E1182" s="505"/>
      <c r="F1182" s="551"/>
      <c r="G1182" s="971"/>
      <c r="H1182" s="1036"/>
      <c r="I1182" s="1644"/>
      <c r="J1182" s="529"/>
      <c r="K1182" s="1291"/>
      <c r="L1182" s="1392"/>
      <c r="M1182" s="1392"/>
      <c r="N1182" s="1392"/>
      <c r="O1182" s="1055">
        <f>O1178+O1180</f>
        <v>154.78625885461804</v>
      </c>
      <c r="P1182" s="1291"/>
      <c r="Q1182" s="1197">
        <f>O1182*$Q$1129</f>
        <v>0</v>
      </c>
      <c r="S1182" s="1290"/>
      <c r="T1182" s="1290"/>
      <c r="U1182" s="1290"/>
      <c r="V1182" s="1290"/>
      <c r="W1182" s="1290"/>
      <c r="X1182" s="1290"/>
      <c r="Y1182" s="1290"/>
    </row>
    <row r="1183" spans="1:25" ht="15.75" hidden="1" customHeight="1" outlineLevel="1">
      <c r="A1183" s="1291" t="s">
        <v>3480</v>
      </c>
      <c r="B1183" s="1244" t="s">
        <v>133</v>
      </c>
      <c r="C1183" s="1244">
        <f>C1181*1.15</f>
        <v>206.20307350867222</v>
      </c>
      <c r="D1183" s="1291">
        <f>D1181*1.25</f>
        <v>103.83942047105657</v>
      </c>
      <c r="E1183" s="505">
        <f>E1181*1.2</f>
        <v>215.1684245307884</v>
      </c>
      <c r="F1183" s="1057">
        <f>F1181*1.5</f>
        <v>287.21174440578784</v>
      </c>
      <c r="G1183" s="1642">
        <f>G1181*1.4</f>
        <v>170.40311830579842</v>
      </c>
      <c r="H1183" s="1561"/>
      <c r="I1183" s="1644">
        <f>I1181*1.4</f>
        <v>268.0642947787353</v>
      </c>
      <c r="J1183" s="529">
        <f>J1181*1.4</f>
        <v>332.9693559111771</v>
      </c>
      <c r="K1183" s="1055"/>
      <c r="L1183" s="1262"/>
      <c r="M1183" s="1262"/>
      <c r="N1183" s="1262"/>
      <c r="O1183" s="995">
        <f>O1181*1.15</f>
        <v>178.00419768281074</v>
      </c>
      <c r="P1183" s="1291">
        <f>O1183*$P$1129</f>
        <v>178.00419768281074</v>
      </c>
      <c r="Q1183" s="481"/>
      <c r="R1183" s="1290"/>
      <c r="S1183" s="1290"/>
      <c r="T1183" s="1290"/>
      <c r="U1183" s="1290"/>
      <c r="V1183" s="1290"/>
      <c r="W1183" s="1290"/>
      <c r="X1183" s="1290"/>
      <c r="Y1183" s="1290"/>
    </row>
    <row r="1184" spans="1:25" ht="15.75" hidden="1" customHeight="1" outlineLevel="1">
      <c r="A1184" s="1291" t="s">
        <v>3481</v>
      </c>
      <c r="B1184" s="1244"/>
      <c r="C1184" s="1244"/>
      <c r="D1184" s="1291"/>
      <c r="E1184" s="505"/>
      <c r="F1184" s="1057"/>
      <c r="G1184" s="1642"/>
      <c r="H1184" s="1561"/>
      <c r="I1184" s="1644"/>
      <c r="J1184" s="529"/>
      <c r="K1184" s="1055"/>
      <c r="L1184" s="1262"/>
      <c r="M1184" s="1262"/>
      <c r="N1184" s="1262"/>
      <c r="O1184" s="1055">
        <f>O1182*1.15</f>
        <v>178.00419768281074</v>
      </c>
      <c r="P1184" s="1057"/>
      <c r="Q1184" s="1197">
        <f>O1184*$Q$1129</f>
        <v>0</v>
      </c>
      <c r="R1184" s="1290"/>
      <c r="S1184" s="1290"/>
      <c r="T1184" s="1290"/>
      <c r="U1184" s="1290"/>
      <c r="V1184" s="1290"/>
      <c r="W1184" s="1290"/>
      <c r="X1184" s="1290"/>
      <c r="Y1184" s="1290"/>
    </row>
    <row r="1185" spans="1:25" ht="15.75" hidden="1" customHeight="1" outlineLevel="1">
      <c r="A1185" s="1291" t="s">
        <v>3482</v>
      </c>
      <c r="B1185" s="1244"/>
      <c r="C1185" s="1600">
        <f>C1135*(C1133)/2*2</f>
        <v>50</v>
      </c>
      <c r="D1185" s="1057">
        <f>C16/2*D1135*2*B1</f>
        <v>0</v>
      </c>
      <c r="E1185" s="505">
        <f>C1185*G1113+D1185*G1112</f>
        <v>50</v>
      </c>
      <c r="F1185" s="1055"/>
      <c r="G1185" s="1055"/>
      <c r="H1185" s="1262"/>
      <c r="I1185" s="1276"/>
      <c r="J1185" s="1055">
        <f>(J1158*J1136+J1138*J1136)*2</f>
        <v>0</v>
      </c>
      <c r="K1185" s="1291">
        <f>(K1120-дома!K1117)*K1171*2*2+(K1120-K1117)*((K1133-K1171*2))</f>
        <v>35.123547252358492</v>
      </c>
      <c r="L1185" s="1639">
        <f>K1185*Q1112+J1185*Q1113</f>
        <v>0</v>
      </c>
      <c r="M1185" s="1639"/>
      <c r="N1185" s="1639"/>
      <c r="O1185" s="1055">
        <f>O1142+O1135+O1135*O1162</f>
        <v>66.180339887498945</v>
      </c>
      <c r="P1185" s="1291">
        <f>O1185*$P$1129</f>
        <v>66.180339887498945</v>
      </c>
      <c r="Q1185" s="481"/>
      <c r="R1185" s="1290"/>
      <c r="S1185" s="1290"/>
      <c r="T1185" s="1290"/>
      <c r="U1185" s="1290"/>
      <c r="V1185" s="1290"/>
      <c r="W1185" s="1290"/>
      <c r="X1185" s="1290"/>
      <c r="Y1185" s="1290"/>
    </row>
    <row r="1186" spans="1:25" ht="15.75" hidden="1" customHeight="1" outlineLevel="1">
      <c r="A1186" s="1291" t="s">
        <v>3483</v>
      </c>
      <c r="B1186" s="1244"/>
      <c r="C1186" s="1600"/>
      <c r="D1186" s="1057"/>
      <c r="E1186" s="505"/>
      <c r="F1186" s="1055"/>
      <c r="G1186" s="1055"/>
      <c r="H1186" s="1262"/>
      <c r="I1186" s="1276"/>
      <c r="J1186" s="1055"/>
      <c r="K1186" s="1291"/>
      <c r="L1186" s="1639"/>
      <c r="M1186" s="1392"/>
      <c r="N1186" s="1392"/>
      <c r="O1186" s="1197">
        <f>O1140*O1135+O1163*O1135</f>
        <v>105.90169943749474</v>
      </c>
      <c r="P1186" s="1291"/>
      <c r="Q1186" s="1197">
        <f>O1186*$Q$1129</f>
        <v>0</v>
      </c>
      <c r="R1186" s="1290"/>
      <c r="S1186" s="1290"/>
      <c r="T1186" s="1290"/>
      <c r="U1186" s="1290"/>
      <c r="V1186" s="1290"/>
      <c r="W1186" s="1290"/>
      <c r="X1186" s="1290"/>
      <c r="Y1186" s="1290"/>
    </row>
    <row r="1187" spans="1:25" ht="15.75" hidden="1" customHeight="1" outlineLevel="1">
      <c r="A1187" s="1291" t="s">
        <v>3484</v>
      </c>
      <c r="B1187" s="1244"/>
      <c r="C1187" s="1600">
        <f>C1137/SIN(C1124)</f>
        <v>7.6966066724598479</v>
      </c>
      <c r="D1187" s="1057"/>
      <c r="E1187" s="1646">
        <f>E1190*D1115+I1115*I1190+L1190*L1115+Q1115*(Q1190)</f>
        <v>0</v>
      </c>
      <c r="F1187" s="1055" t="s">
        <v>3485</v>
      </c>
      <c r="G1187" s="1055"/>
      <c r="H1187" s="1262"/>
      <c r="I1187" s="1276"/>
      <c r="J1187" s="1055"/>
      <c r="K1187" s="1291"/>
      <c r="L1187" s="1639"/>
      <c r="M1187" s="1639"/>
      <c r="N1187" s="1639"/>
      <c r="O1187" s="1055"/>
      <c r="P1187" s="1291"/>
      <c r="Q1187" s="481"/>
      <c r="R1187" s="1290"/>
      <c r="S1187" s="1290"/>
      <c r="T1187" s="1290"/>
      <c r="U1187" s="1290"/>
      <c r="V1187" s="1290"/>
      <c r="W1187" s="1290"/>
      <c r="X1187" s="1290"/>
      <c r="Y1187" s="1290"/>
    </row>
    <row r="1188" spans="1:25" ht="15.75" hidden="1" customHeight="1" outlineLevel="1">
      <c r="A1188" s="1291" t="s">
        <v>2697</v>
      </c>
      <c r="B1188" s="1244"/>
      <c r="C1188" s="1600">
        <f>SQRT(C1187*C1187-C1137*C1137)</f>
        <v>5.8513036385538442</v>
      </c>
      <c r="D1188" s="1057"/>
      <c r="E1188" s="505"/>
      <c r="F1188" s="1055"/>
      <c r="G1188" s="1055"/>
      <c r="H1188" s="1262"/>
      <c r="I1188" s="1276"/>
      <c r="J1188" s="1055"/>
      <c r="K1188" s="1291"/>
      <c r="L1188" s="1639"/>
      <c r="M1188" s="1639"/>
      <c r="N1188" s="1639"/>
      <c r="O1188" s="1055"/>
      <c r="P1188" s="1291"/>
      <c r="Q1188" s="481"/>
      <c r="R1188" s="1290"/>
      <c r="S1188" s="1290"/>
      <c r="T1188" s="1290"/>
      <c r="U1188" s="1290"/>
      <c r="V1188" s="1290"/>
      <c r="W1188" s="1290"/>
      <c r="X1188" s="1290"/>
      <c r="Y1188" s="1290"/>
    </row>
    <row r="1189" spans="1:25" ht="15.75" hidden="1" customHeight="1" outlineLevel="1">
      <c r="A1189" s="1647" t="s">
        <v>3486</v>
      </c>
      <c r="B1189" s="1648"/>
      <c r="C1189" s="1649">
        <f>((C1137/SIN(C1124))*COS(C1124))*2*C1132</f>
        <v>117.02607277107688</v>
      </c>
      <c r="D1189" s="1647"/>
      <c r="E1189" s="1650">
        <f>C1189</f>
        <v>117.02607277107688</v>
      </c>
      <c r="F1189" s="1312">
        <f>F1133*F1132</f>
        <v>100</v>
      </c>
      <c r="G1189" s="1312"/>
      <c r="H1189" s="1313"/>
      <c r="I1189" s="1651"/>
      <c r="J1189" s="1652">
        <f>(J1158)*J1132</f>
        <v>90</v>
      </c>
      <c r="K1189" s="1653">
        <f>(K1171+K1171)*K1132</f>
        <v>46.348113551493746</v>
      </c>
      <c r="L1189" s="1654">
        <f>K1189*Q1112+J1189*Q1113</f>
        <v>90</v>
      </c>
      <c r="M1189" s="1654"/>
      <c r="N1189" s="1654"/>
      <c r="O1189" s="1655">
        <f>O1191*O1133*P1129</f>
        <v>91.524386085622609</v>
      </c>
      <c r="P1189" s="1607">
        <f>P1191*O1132*Q1129</f>
        <v>0</v>
      </c>
      <c r="Q1189" s="481"/>
      <c r="R1189" s="1290"/>
      <c r="S1189" s="1290"/>
      <c r="T1189" s="1290"/>
      <c r="U1189" s="1290"/>
      <c r="V1189" s="1290"/>
      <c r="W1189" s="1290"/>
      <c r="X1189" s="1290"/>
      <c r="Y1189" s="1290"/>
    </row>
    <row r="1190" spans="1:25" s="1661" customFormat="1" ht="15.75" hidden="1" customHeight="1" outlineLevel="1">
      <c r="A1190" s="1656" t="s">
        <v>3487</v>
      </c>
      <c r="B1190" s="1283"/>
      <c r="C1190" s="1657">
        <f>C1141*C1132*2</f>
        <v>0</v>
      </c>
      <c r="D1190" s="1656"/>
      <c r="E1190" s="1376">
        <f>E1189+C1190</f>
        <v>117.02607277107688</v>
      </c>
      <c r="F1190" s="1280"/>
      <c r="G1190" s="1280"/>
      <c r="H1190" s="1376"/>
      <c r="I1190" s="1394">
        <f>G1132*G1133</f>
        <v>100</v>
      </c>
      <c r="J1190" s="1280">
        <f>J1167*J1132*2</f>
        <v>100.4987562112089</v>
      </c>
      <c r="K1190" s="1656"/>
      <c r="L1190" s="1658">
        <f>J1189+J1190</f>
        <v>190.4987562112089</v>
      </c>
      <c r="M1190" s="1658"/>
      <c r="N1190" s="1658"/>
      <c r="O1190" s="1659">
        <f>O1193*O1133*P1129</f>
        <v>8.4756139143773979</v>
      </c>
      <c r="P1190" s="1659">
        <f>P1193*O1133*Q1129</f>
        <v>0</v>
      </c>
      <c r="Q1190" s="1660">
        <f>(O1189+P1189+O1190+P1190)*Q1115</f>
        <v>0</v>
      </c>
      <c r="R1190" s="1365"/>
      <c r="S1190" s="1365"/>
      <c r="T1190" s="1365"/>
      <c r="U1190" s="1365"/>
      <c r="V1190" s="1365"/>
      <c r="W1190" s="1365"/>
      <c r="X1190" s="1365"/>
      <c r="Y1190" s="1365"/>
    </row>
    <row r="1191" spans="1:25" ht="15.75" hidden="1" customHeight="1" outlineLevel="1">
      <c r="A1191" s="1662" t="s">
        <v>3488</v>
      </c>
      <c r="B1191" s="1663" t="s">
        <v>156</v>
      </c>
      <c r="C1191" s="1664">
        <f>C1137/SIN(C1124)*COS(C1124)*2</f>
        <v>11.702607277107688</v>
      </c>
      <c r="D1191" s="1665"/>
      <c r="E1191" s="1666"/>
      <c r="F1191" s="1400"/>
      <c r="G1191" s="1400"/>
      <c r="H1191" s="1516"/>
      <c r="I1191" s="1667"/>
      <c r="J1191" s="1400">
        <f>J1189/J1132</f>
        <v>9</v>
      </c>
      <c r="K1191" s="1662"/>
      <c r="L1191" s="1668"/>
      <c r="M1191" s="1668"/>
      <c r="N1191" s="1668"/>
      <c r="O1191" s="1669">
        <f>O1137/SIN(O1124)*COS(O1124)</f>
        <v>9.1524386085622602</v>
      </c>
      <c r="P1191" s="1607">
        <f>O1137/SIN(P1124)*COS(P1124)</f>
        <v>9.1524386085622602</v>
      </c>
      <c r="Q1191" s="481"/>
      <c r="R1191" s="1290"/>
      <c r="S1191" s="1290"/>
      <c r="T1191" s="1290"/>
      <c r="U1191" s="1290"/>
      <c r="V1191" s="1290"/>
      <c r="W1191" s="1290"/>
      <c r="X1191" s="1290"/>
      <c r="Y1191" s="1290"/>
    </row>
    <row r="1192" spans="1:25" ht="15.75" hidden="1" customHeight="1" outlineLevel="1">
      <c r="A1192" s="1662" t="s">
        <v>3489</v>
      </c>
      <c r="B1192" s="1663"/>
      <c r="C1192" s="1664">
        <f>C1133/2-C1191/2</f>
        <v>-0.85130363855384417</v>
      </c>
      <c r="D1192" s="1665"/>
      <c r="E1192" s="1666"/>
      <c r="F1192" s="1400"/>
      <c r="G1192" s="1400"/>
      <c r="H1192" s="1516"/>
      <c r="I1192" s="1667"/>
      <c r="J1192" s="1664">
        <f>J1133/2-J1191/2</f>
        <v>0.5</v>
      </c>
      <c r="K1192" s="1662"/>
      <c r="L1192" s="1668"/>
      <c r="M1192" s="1668"/>
      <c r="N1192" s="1668"/>
      <c r="O1192" s="1669">
        <f>O1132-O1191</f>
        <v>0.84756139143773979</v>
      </c>
      <c r="P1192" s="1669">
        <f>P1132-P1191</f>
        <v>0.84756139143773979</v>
      </c>
      <c r="Q1192" s="481"/>
      <c r="R1192" s="1290"/>
      <c r="S1192" s="1290"/>
      <c r="T1192" s="1290"/>
      <c r="U1192" s="1290"/>
      <c r="V1192" s="1290"/>
      <c r="W1192" s="1290"/>
      <c r="X1192" s="1290"/>
      <c r="Y1192" s="1290"/>
    </row>
    <row r="1193" spans="1:25" ht="15.75" hidden="1" customHeight="1" outlineLevel="1">
      <c r="A1193" s="1662" t="s">
        <v>3490</v>
      </c>
      <c r="B1193" s="1663"/>
      <c r="C1193" s="1664">
        <f>SQRT((C1137-C1139)*(C1137-C1139)+C1192*C1192)</f>
        <v>2.1736416183481153</v>
      </c>
      <c r="D1193" s="1665"/>
      <c r="E1193" s="1666"/>
      <c r="F1193" s="1400"/>
      <c r="G1193" s="1400"/>
      <c r="H1193" s="1516"/>
      <c r="I1193" s="1667"/>
      <c r="J1193" s="1664"/>
      <c r="K1193" s="1662"/>
      <c r="L1193" s="1668"/>
      <c r="M1193" s="1668"/>
      <c r="N1193" s="1668"/>
      <c r="O1193" s="1669">
        <f>SQRT(O1192*O1192+O1136*O1136)</f>
        <v>0.84756139143773979</v>
      </c>
      <c r="P1193" s="1669">
        <f>SQRT(P1192*P1192+P1136*P1136)</f>
        <v>0.84756139143773979</v>
      </c>
      <c r="Q1193" s="481"/>
      <c r="R1193" s="1290"/>
      <c r="S1193" s="1290"/>
      <c r="T1193" s="1290"/>
      <c r="U1193" s="1290"/>
      <c r="V1193" s="1290"/>
      <c r="W1193" s="1290"/>
      <c r="X1193" s="1290"/>
      <c r="Y1193" s="1290"/>
    </row>
    <row r="1194" spans="1:25" ht="15.75" hidden="1" customHeight="1" outlineLevel="1">
      <c r="A1194" s="1662"/>
      <c r="B1194" s="1663"/>
      <c r="C1194" s="1664">
        <f>C1191/2</f>
        <v>5.8513036385538442</v>
      </c>
      <c r="D1194" s="1665"/>
      <c r="E1194" s="1666"/>
      <c r="F1194" s="1400"/>
      <c r="G1194" s="1400"/>
      <c r="H1194" s="1516"/>
      <c r="I1194" s="1670">
        <f>C1194*B1115+L1115*J1194+O1194*P1129*Q1115+Q1115*Q1129*P1194</f>
        <v>0</v>
      </c>
      <c r="J1194" s="1664">
        <f>J1191/2</f>
        <v>4.5</v>
      </c>
      <c r="K1194" s="1662"/>
      <c r="L1194" s="1668"/>
      <c r="M1194" s="1668"/>
      <c r="N1194" s="1668"/>
      <c r="O1194" s="1664">
        <f>O1191</f>
        <v>9.1524386085622602</v>
      </c>
      <c r="P1194" s="1664">
        <f>P1191</f>
        <v>9.1524386085622602</v>
      </c>
      <c r="Q1194" s="481"/>
      <c r="R1194" s="1290"/>
      <c r="S1194" s="1290"/>
      <c r="T1194" s="1290"/>
      <c r="U1194" s="1290"/>
      <c r="V1194" s="1290"/>
      <c r="W1194" s="1290"/>
      <c r="X1194" s="1290"/>
      <c r="Y1194" s="1290"/>
    </row>
    <row r="1195" spans="1:25" ht="15.75" hidden="1" customHeight="1" outlineLevel="1">
      <c r="A1195" s="1291" t="s">
        <v>3491</v>
      </c>
      <c r="B1195" s="1339"/>
      <c r="C1195" s="1244">
        <f>(C1132+C1132+C1152+C1152+C1155+C1155)</f>
        <v>23.200000000000003</v>
      </c>
      <c r="D1195" s="1291"/>
      <c r="E1195" s="505">
        <f>C1195</f>
        <v>23.200000000000003</v>
      </c>
      <c r="F1195" s="1055">
        <f>F1197/2</f>
        <v>42</v>
      </c>
      <c r="G1195" s="1055">
        <f>F1195</f>
        <v>42</v>
      </c>
      <c r="H1195" s="1262"/>
      <c r="I1195" s="393">
        <f>F1195</f>
        <v>42</v>
      </c>
      <c r="J1195" s="1353">
        <f>J1197/2</f>
        <v>22</v>
      </c>
      <c r="K1195" s="1353">
        <f>(K1132+K1152+K1152)*2+K1171*2*2</f>
        <v>31.269622710298748</v>
      </c>
      <c r="L1195" s="1639">
        <f>K1195*Q1112+J1195*Q1113</f>
        <v>22</v>
      </c>
      <c r="M1195" s="1639"/>
      <c r="N1195" s="1639"/>
      <c r="O1195" s="995">
        <f>O1164</f>
        <v>11.8</v>
      </c>
      <c r="P1195" s="1291">
        <f>O1195*$P$1129</f>
        <v>11.8</v>
      </c>
      <c r="Q1195" s="481"/>
      <c r="R1195" s="1290"/>
      <c r="S1195" s="1290"/>
      <c r="T1195" s="1290"/>
      <c r="U1195" s="1290"/>
      <c r="V1195" s="1290"/>
      <c r="W1195" s="1290"/>
      <c r="X1195" s="1290"/>
      <c r="Y1195" s="1290"/>
    </row>
    <row r="1196" spans="1:25" ht="15.75" hidden="1" customHeight="1" outlineLevel="1">
      <c r="A1196" s="1291" t="s">
        <v>3492</v>
      </c>
      <c r="B1196" s="1339"/>
      <c r="C1196" s="1244"/>
      <c r="D1196" s="1291"/>
      <c r="E1196" s="505"/>
      <c r="F1196" s="1055"/>
      <c r="G1196" s="1055"/>
      <c r="H1196" s="1262"/>
      <c r="I1196" s="393"/>
      <c r="J1196" s="1353"/>
      <c r="K1196" s="1353"/>
      <c r="L1196" s="1639"/>
      <c r="M1196" s="1639"/>
      <c r="N1196" s="1639"/>
      <c r="O1196" s="1055">
        <f>O1165</f>
        <v>11.8</v>
      </c>
      <c r="P1196" s="1291"/>
      <c r="Q1196" s="1197">
        <f>O1196*$Q$1129</f>
        <v>0</v>
      </c>
      <c r="R1196" s="1290"/>
      <c r="S1196" s="1290"/>
      <c r="T1196" s="1290"/>
      <c r="U1196" s="1290"/>
      <c r="V1196" s="1290"/>
      <c r="W1196" s="1290"/>
      <c r="X1196" s="1290"/>
      <c r="Y1196" s="1290"/>
    </row>
    <row r="1197" spans="1:25" ht="15.75" hidden="1" customHeight="1" outlineLevel="1">
      <c r="A1197" s="551" t="s">
        <v>3493</v>
      </c>
      <c r="B1197" s="1339"/>
      <c r="C1197" s="1244">
        <f>C1195*2</f>
        <v>46.400000000000006</v>
      </c>
      <c r="D1197" s="1291"/>
      <c r="E1197" s="505">
        <f>C1197</f>
        <v>46.400000000000006</v>
      </c>
      <c r="F1197" s="1057">
        <f>(F1132+F1152+F1152)*4+F1133*4</f>
        <v>84</v>
      </c>
      <c r="G1197" s="1057">
        <f>F1197</f>
        <v>84</v>
      </c>
      <c r="H1197" s="513"/>
      <c r="I1197" s="1644">
        <f>F1197*J1113+G1197*J1112</f>
        <v>84</v>
      </c>
      <c r="J1197" s="1353">
        <f>(J1132+J1152+J1152)*4</f>
        <v>44</v>
      </c>
      <c r="K1197" s="1353">
        <f>K1195</f>
        <v>31.269622710298748</v>
      </c>
      <c r="L1197" s="1639">
        <f>K1197*Q1112+J1197*Q1113</f>
        <v>44</v>
      </c>
      <c r="M1197" s="1639"/>
      <c r="N1197" s="1639"/>
      <c r="O1197" s="995">
        <f>O1195*1.1</f>
        <v>12.980000000000002</v>
      </c>
      <c r="P1197" s="1291">
        <f>O1197*$P$1129</f>
        <v>12.980000000000002</v>
      </c>
      <c r="Q1197" s="481"/>
      <c r="R1197" s="1290"/>
      <c r="S1197" s="1290"/>
      <c r="T1197" s="1290"/>
      <c r="U1197" s="1290"/>
      <c r="V1197" s="1290"/>
      <c r="W1197" s="1290"/>
      <c r="X1197" s="1290"/>
      <c r="Y1197" s="1290"/>
    </row>
    <row r="1198" spans="1:25" ht="15.75" hidden="1" customHeight="1" outlineLevel="1">
      <c r="A1198" s="551" t="s">
        <v>3494</v>
      </c>
      <c r="B1198" s="1339"/>
      <c r="C1198" s="1244"/>
      <c r="D1198" s="1291"/>
      <c r="E1198" s="505"/>
      <c r="F1198" s="1057"/>
      <c r="G1198" s="1057"/>
      <c r="H1198" s="513"/>
      <c r="I1198" s="1644"/>
      <c r="J1198" s="1353"/>
      <c r="K1198" s="1353"/>
      <c r="L1198" s="1639"/>
      <c r="M1198" s="1639"/>
      <c r="N1198" s="1639"/>
      <c r="O1198" s="1055">
        <f>O1196*1.1</f>
        <v>12.980000000000002</v>
      </c>
      <c r="P1198" s="1291"/>
      <c r="Q1198" s="1197">
        <f>O1198*$Q$1129</f>
        <v>0</v>
      </c>
      <c r="R1198" s="1290"/>
      <c r="S1198" s="1290"/>
      <c r="T1198" s="1290"/>
      <c r="U1198" s="1290"/>
      <c r="V1198" s="1290"/>
      <c r="W1198" s="1290"/>
      <c r="X1198" s="1290"/>
      <c r="Y1198" s="1290"/>
    </row>
    <row r="1199" spans="1:25" ht="15.75" hidden="1" customHeight="1" outlineLevel="1">
      <c r="A1199" s="551" t="s">
        <v>3495</v>
      </c>
      <c r="B1199" s="1339"/>
      <c r="C1199" s="1244">
        <f>C1167*2+C1169*2</f>
        <v>30.915003524538562</v>
      </c>
      <c r="D1199" s="1291"/>
      <c r="E1199" s="505">
        <f>C1199</f>
        <v>30.915003524538562</v>
      </c>
      <c r="F1199" s="1057"/>
      <c r="G1199" s="1057"/>
      <c r="H1199" s="513"/>
      <c r="I1199" s="1644"/>
      <c r="J1199" s="1291">
        <f>J1158*2*1.1+J1168*4*1.1</f>
        <v>44.109726366465964</v>
      </c>
      <c r="K1199" s="1291">
        <f>K1169*4</f>
        <v>10.218412117618549</v>
      </c>
      <c r="L1199" s="1639">
        <f>K1199*Q1112+J1199*Q1113</f>
        <v>44.109726366465964</v>
      </c>
      <c r="M1199" s="1639"/>
      <c r="N1199" s="1639"/>
      <c r="O1199" s="995">
        <f>дома!O1164+(дома!O1142+дома!O1153+дома!O1156)*2</f>
        <v>38.034959127901367</v>
      </c>
      <c r="P1199" s="1291">
        <f>O1199*$P$1129</f>
        <v>38.034959127901367</v>
      </c>
      <c r="Q1199" s="481"/>
      <c r="R1199" s="1290"/>
      <c r="S1199" s="1290"/>
      <c r="T1199" s="1290"/>
      <c r="U1199" s="1290"/>
      <c r="V1199" s="1290"/>
      <c r="W1199" s="1290"/>
      <c r="X1199" s="1290"/>
      <c r="Y1199" s="1290"/>
    </row>
    <row r="1200" spans="1:25" ht="15.75" hidden="1" customHeight="1" outlineLevel="1">
      <c r="A1200" s="551" t="s">
        <v>3496</v>
      </c>
      <c r="B1200" s="1339"/>
      <c r="C1200" s="1244"/>
      <c r="D1200" s="1291"/>
      <c r="E1200" s="505"/>
      <c r="F1200" s="1057"/>
      <c r="G1200" s="1057"/>
      <c r="H1200" s="513"/>
      <c r="I1200" s="1644"/>
      <c r="J1200" s="1291"/>
      <c r="K1200" s="1291"/>
      <c r="L1200" s="1392"/>
      <c r="M1200" s="1392"/>
      <c r="N1200" s="1392"/>
      <c r="O1200" s="1055">
        <f>O1165+(O1140+O1153+O1156)*2</f>
        <v>38.034959127901367</v>
      </c>
      <c r="P1200" s="1291"/>
      <c r="Q1200" s="1197">
        <f>O1200*$Q$1129</f>
        <v>0</v>
      </c>
      <c r="R1200" s="1290"/>
      <c r="S1200" s="1290"/>
      <c r="T1200" s="1290"/>
      <c r="U1200" s="1290"/>
      <c r="V1200" s="1290"/>
      <c r="W1200" s="1290"/>
      <c r="X1200" s="1290"/>
      <c r="Y1200" s="1290"/>
    </row>
    <row r="1201" spans="1:25" s="1355" customFormat="1" ht="15.75" customHeight="1">
      <c r="A1201" s="1671" t="s">
        <v>3497</v>
      </c>
      <c r="B1201" s="1672"/>
      <c r="C1201" s="1673"/>
      <c r="D1201" s="1674"/>
      <c r="E1201" s="1675"/>
      <c r="F1201" s="1676"/>
      <c r="G1201" s="1676"/>
      <c r="H1201" s="1676"/>
      <c r="I1201" s="1676"/>
      <c r="J1201" s="1677"/>
      <c r="K1201" s="1678"/>
      <c r="L1201" s="1678"/>
      <c r="M1201" s="1678"/>
      <c r="N1201" s="1678"/>
      <c r="O1201" s="1679"/>
      <c r="P1201" s="1679"/>
      <c r="Q1201" s="1679"/>
      <c r="R1201" s="1679"/>
      <c r="S1201" s="1679"/>
      <c r="T1201" s="1679"/>
      <c r="U1201" s="1679"/>
      <c r="V1201" s="1679"/>
      <c r="W1201" s="1354"/>
      <c r="X1201" s="1354"/>
      <c r="Y1201" s="1354"/>
    </row>
    <row r="1202" spans="1:25" s="1355" customFormat="1" ht="15.75" hidden="1" customHeight="1" outlineLevel="1">
      <c r="A1202" s="1680" t="s">
        <v>1965</v>
      </c>
      <c r="B1202" s="1608"/>
      <c r="C1202" s="1608"/>
      <c r="D1202" s="1681"/>
      <c r="E1202" s="1682"/>
      <c r="F1202" s="1683"/>
      <c r="G1202" s="551">
        <f>VLOOKUP('Ввод данных'!F353,связи1!A2:B3,2,0)</f>
        <v>0</v>
      </c>
      <c r="H1202" s="551"/>
      <c r="I1202" s="1641">
        <f>Q1112</f>
        <v>0</v>
      </c>
      <c r="J1202" s="1354" t="s">
        <v>3425</v>
      </c>
      <c r="K1202" s="460">
        <f>пристройка!H1</f>
        <v>0</v>
      </c>
      <c r="L1202" s="460"/>
      <c r="M1202" s="460"/>
      <c r="N1202" s="460"/>
      <c r="O1202" s="1354"/>
      <c r="P1202" s="1354"/>
      <c r="Q1202" s="1679"/>
      <c r="R1202" s="1679"/>
      <c r="S1202" s="1679"/>
      <c r="T1202" s="1679"/>
      <c r="U1202" s="1679"/>
      <c r="V1202" s="1679"/>
      <c r="W1202" s="1354"/>
      <c r="X1202" s="1354"/>
      <c r="Y1202" s="1354"/>
    </row>
    <row r="1203" spans="1:25" s="1355" customFormat="1" ht="15.75" hidden="1" customHeight="1" outlineLevel="1">
      <c r="A1203" s="1680" t="s">
        <v>1236</v>
      </c>
      <c r="B1203" s="1609" t="s">
        <v>120</v>
      </c>
      <c r="C1203" s="1609" t="s">
        <v>1802</v>
      </c>
      <c r="D1203" s="1609"/>
      <c r="G1203" s="356"/>
      <c r="H1203" s="356"/>
      <c r="I1203" s="1641">
        <f>Q1113</f>
        <v>1</v>
      </c>
      <c r="J1203" s="1354" t="s">
        <v>2546</v>
      </c>
      <c r="K1203" s="460">
        <f>пристройка!H2</f>
        <v>1</v>
      </c>
      <c r="L1203" s="460"/>
      <c r="M1203" s="460"/>
      <c r="N1203" s="460"/>
      <c r="O1203" s="1354"/>
      <c r="P1203" s="1354"/>
      <c r="Q1203" s="1679"/>
      <c r="R1203" s="1679"/>
      <c r="S1203" s="1679"/>
      <c r="T1203" s="1679"/>
      <c r="U1203" s="1679"/>
      <c r="V1203" s="1679"/>
      <c r="W1203" s="1354"/>
      <c r="X1203" s="1354"/>
      <c r="Y1203" s="1354"/>
    </row>
    <row r="1204" spans="1:25" s="1355" customFormat="1" ht="15.75" hidden="1" customHeight="1" outlineLevel="1">
      <c r="A1204" s="1684" t="s">
        <v>3498</v>
      </c>
      <c r="B1204" s="1685"/>
      <c r="C1204" s="1686">
        <f>VLOOKUP('Ввод данных'!C325,связи1!A2:B3,2,0)</f>
        <v>1</v>
      </c>
      <c r="D1204" s="1687">
        <f>VLOOKUP('Ввод данных'!D325,связи1!A2:B3,2,0)</f>
        <v>0</v>
      </c>
      <c r="E1204" s="971">
        <f>C1204</f>
        <v>1</v>
      </c>
      <c r="F1204" s="971">
        <f>D1204</f>
        <v>0</v>
      </c>
      <c r="G1204" s="1688"/>
      <c r="H1204" s="1688"/>
      <c r="I1204" s="1595"/>
      <c r="J1204" s="561"/>
      <c r="P1204" s="1380"/>
      <c r="Q1204" s="1679"/>
      <c r="R1204" s="1679"/>
      <c r="S1204" s="1679"/>
      <c r="T1204" s="1679"/>
      <c r="U1204" s="1679"/>
      <c r="V1204" s="1679"/>
      <c r="W1204" s="1354"/>
      <c r="X1204" s="1354"/>
      <c r="Y1204" s="1354"/>
    </row>
    <row r="1205" spans="1:25" s="1355" customFormat="1" ht="15.75" hidden="1" customHeight="1" outlineLevel="1">
      <c r="A1205" s="1684"/>
      <c r="B1205" s="1685"/>
      <c r="C1205" s="1633" t="s">
        <v>2640</v>
      </c>
      <c r="D1205" s="555" t="s">
        <v>2641</v>
      </c>
      <c r="E1205" s="1057" t="s">
        <v>2640</v>
      </c>
      <c r="F1205" s="555" t="s">
        <v>2641</v>
      </c>
      <c r="G1205" s="1688"/>
      <c r="H1205" s="1688"/>
      <c r="I1205" s="1595"/>
      <c r="J1205" s="561"/>
      <c r="K1205" s="356"/>
      <c r="L1205" s="356"/>
      <c r="M1205" s="356"/>
      <c r="N1205" s="356"/>
      <c r="O1205" s="1380"/>
      <c r="P1205" s="1380"/>
      <c r="Q1205" s="1679"/>
      <c r="R1205" s="1679"/>
      <c r="S1205" s="1679"/>
      <c r="T1205" s="1679"/>
      <c r="U1205" s="1679"/>
      <c r="V1205" s="1679"/>
      <c r="W1205" s="1354"/>
      <c r="X1205" s="1354"/>
      <c r="Y1205" s="1354"/>
    </row>
    <row r="1206" spans="1:25" s="1355" customFormat="1" ht="15.75" hidden="1" customHeight="1" outlineLevel="1">
      <c r="A1206" s="1684" t="s">
        <v>3499</v>
      </c>
      <c r="B1206" s="1685"/>
      <c r="C1206" s="1228">
        <f>'Ввод данных'!C326</f>
        <v>2</v>
      </c>
      <c r="D1206" s="1057">
        <f>'Ввод данных'!D326</f>
        <v>1</v>
      </c>
      <c r="E1206" s="971">
        <f>C1206</f>
        <v>2</v>
      </c>
      <c r="F1206" s="971">
        <f>D1206</f>
        <v>1</v>
      </c>
      <c r="I1206" s="1689"/>
      <c r="J1206" s="561"/>
      <c r="K1206" s="356"/>
      <c r="L1206" s="356"/>
      <c r="M1206" s="356"/>
      <c r="N1206" s="356"/>
      <c r="O1206" s="1380"/>
      <c r="P1206" s="1380"/>
      <c r="Q1206" s="1679"/>
      <c r="R1206" s="1679"/>
      <c r="S1206" s="1679"/>
      <c r="T1206" s="1679"/>
      <c r="U1206" s="1679"/>
      <c r="V1206" s="1679"/>
      <c r="W1206" s="1354"/>
      <c r="X1206" s="1354"/>
      <c r="Y1206" s="1354"/>
    </row>
    <row r="1207" spans="1:25" s="1355" customFormat="1" ht="15.75" hidden="1" customHeight="1" outlineLevel="1">
      <c r="A1207" s="551" t="s">
        <v>1978</v>
      </c>
      <c r="B1207" s="1690" t="s">
        <v>156</v>
      </c>
      <c r="C1207" s="920">
        <f>'Ввод данных'!C331</f>
        <v>1</v>
      </c>
      <c r="D1207" s="551">
        <v>0</v>
      </c>
      <c r="E1207" s="551">
        <f>'Ввод данных'!E340</f>
        <v>5.4</v>
      </c>
      <c r="F1207" s="551"/>
      <c r="I1207" s="502"/>
      <c r="J1207" s="1691" t="s">
        <v>2640</v>
      </c>
      <c r="K1207" s="555" t="s">
        <v>2641</v>
      </c>
      <c r="L1207" s="460"/>
      <c r="M1207" s="460"/>
      <c r="N1207" s="460"/>
      <c r="P1207" s="561"/>
      <c r="Q1207" s="1679"/>
      <c r="R1207" s="1679"/>
      <c r="S1207" s="1679"/>
      <c r="T1207" s="1679"/>
      <c r="U1207" s="1679"/>
      <c r="V1207" s="1679"/>
      <c r="W1207" s="1354"/>
      <c r="X1207" s="1354"/>
      <c r="Y1207" s="1354"/>
    </row>
    <row r="1208" spans="1:25" s="1355" customFormat="1" ht="15.75" hidden="1" customHeight="1" outlineLevel="1">
      <c r="A1208" s="551" t="s">
        <v>1979</v>
      </c>
      <c r="B1208" s="1690" t="s">
        <v>156</v>
      </c>
      <c r="C1208" s="920">
        <f>'Ввод данных'!C332</f>
        <v>2</v>
      </c>
      <c r="D1208" s="551">
        <v>2.5</v>
      </c>
      <c r="E1208" s="551">
        <f>'Ввод данных'!E330</f>
        <v>6.4</v>
      </c>
      <c r="F1208" s="551"/>
      <c r="I1208" s="502"/>
      <c r="J1208" s="1691"/>
      <c r="K1208" s="555"/>
      <c r="L1208" s="460"/>
      <c r="M1208" s="460"/>
      <c r="N1208" s="460"/>
      <c r="P1208" s="561"/>
      <c r="Q1208" s="1692"/>
      <c r="R1208" s="1692"/>
      <c r="S1208" s="1692"/>
      <c r="T1208" s="1692"/>
      <c r="U1208" s="1692"/>
      <c r="V1208" s="1692"/>
      <c r="W1208" s="1380"/>
      <c r="X1208" s="1380"/>
      <c r="Y1208" s="1380"/>
    </row>
    <row r="1209" spans="1:25" s="1355" customFormat="1" ht="15.75" hidden="1" customHeight="1" outlineLevel="1">
      <c r="A1209" s="551" t="s">
        <v>3500</v>
      </c>
      <c r="B1209" s="1690" t="s">
        <v>156</v>
      </c>
      <c r="C1209" s="920">
        <f>'Ввод данных'!C329</f>
        <v>2</v>
      </c>
      <c r="D1209" s="551">
        <v>2</v>
      </c>
      <c r="E1209" s="551">
        <f>'Ввод данных'!E326</f>
        <v>6.6</v>
      </c>
      <c r="F1209" s="551">
        <f>'Ввод данных'!R344</f>
        <v>6.6</v>
      </c>
      <c r="I1209" s="502"/>
      <c r="J1209" s="1691"/>
      <c r="K1209" s="555"/>
      <c r="L1209" s="460"/>
      <c r="M1209" s="460"/>
      <c r="N1209" s="460"/>
      <c r="O1209" s="561"/>
      <c r="P1209" s="561"/>
      <c r="Q1209" s="1692"/>
      <c r="R1209" s="1692"/>
      <c r="S1209" s="1692"/>
      <c r="T1209" s="1692"/>
      <c r="U1209" s="1692"/>
      <c r="V1209" s="1692"/>
      <c r="W1209" s="1380"/>
      <c r="X1209" s="1380"/>
      <c r="Y1209" s="1380"/>
    </row>
    <row r="1210" spans="1:25" s="1355" customFormat="1" ht="15.75" hidden="1" customHeight="1" outlineLevel="1">
      <c r="A1210" s="1057" t="s">
        <v>1943</v>
      </c>
      <c r="B1210" s="1685" t="s">
        <v>156</v>
      </c>
      <c r="C1210" s="920">
        <f>'Ввод данных'!C333</f>
        <v>2</v>
      </c>
      <c r="D1210" s="551">
        <v>3</v>
      </c>
      <c r="E1210" s="1057">
        <f>'Ввод данных'!E322</f>
        <v>7.6</v>
      </c>
      <c r="F1210" s="1057">
        <f>'Ввод данных'!W335</f>
        <v>7.6</v>
      </c>
      <c r="I1210" s="1319" t="s">
        <v>1546</v>
      </c>
      <c r="J1210" s="551">
        <f>C1210*I1203*C1206*C1204+E1215*I1202*C1206*C1204</f>
        <v>4</v>
      </c>
      <c r="K1210" s="551">
        <f>D1210*I1203*D1206*D1204+F1215*I1202*D1206*D1204</f>
        <v>0</v>
      </c>
      <c r="L1210" s="356"/>
      <c r="M1210" s="356"/>
      <c r="N1210" s="356"/>
      <c r="O1210" s="561"/>
      <c r="P1210" s="561"/>
      <c r="Q1210" s="1692"/>
      <c r="R1210" s="1692"/>
      <c r="S1210" s="1692"/>
      <c r="T1210" s="1692"/>
      <c r="U1210" s="1692"/>
      <c r="V1210" s="1692"/>
      <c r="W1210" s="1380"/>
      <c r="X1210" s="1380"/>
      <c r="Y1210" s="1380"/>
    </row>
    <row r="1211" spans="1:25" s="1355" customFormat="1" ht="15.75" hidden="1" customHeight="1" outlineLevel="1">
      <c r="A1211" s="1684" t="s">
        <v>1927</v>
      </c>
      <c r="B1211" s="1685" t="s">
        <v>156</v>
      </c>
      <c r="C1211" s="920">
        <f>'Ввод данных'!C327</f>
        <v>0.4</v>
      </c>
      <c r="D1211" s="551">
        <f>'Ввод данных'!D327</f>
        <v>0</v>
      </c>
      <c r="E1211" s="551">
        <f>'Ввод данных'!C330</f>
        <v>1</v>
      </c>
      <c r="F1211" s="1353" t="s">
        <v>3501</v>
      </c>
      <c r="I1211" s="1319" t="s">
        <v>1936</v>
      </c>
      <c r="J1211" s="551"/>
      <c r="K1211" s="551"/>
      <c r="L1211" s="356"/>
      <c r="M1211" s="356"/>
      <c r="N1211" s="356"/>
      <c r="O1211" s="561"/>
      <c r="P1211" s="561"/>
      <c r="Q1211" s="1692"/>
      <c r="R1211" s="1692"/>
      <c r="S1211" s="1692"/>
      <c r="T1211" s="1692"/>
      <c r="U1211" s="1692"/>
      <c r="V1211" s="1692"/>
      <c r="W1211" s="1380"/>
      <c r="X1211" s="1380"/>
      <c r="Y1211" s="1380"/>
    </row>
    <row r="1212" spans="1:25" s="1355" customFormat="1" ht="15.75" hidden="1" customHeight="1" outlineLevel="1">
      <c r="A1212" s="1684" t="s">
        <v>1896</v>
      </c>
      <c r="B1212" s="1685" t="s">
        <v>156</v>
      </c>
      <c r="C1212" s="920">
        <f>'Ввод данных'!C328</f>
        <v>0.4</v>
      </c>
      <c r="D1212" s="551">
        <f>'Ввод данных'!D328</f>
        <v>0.4</v>
      </c>
      <c r="E1212" s="1353">
        <f>'Ввод данных'!BD327</f>
        <v>60</v>
      </c>
      <c r="F1212" s="1353">
        <f>'Ввод данных'!BD328</f>
        <v>60</v>
      </c>
      <c r="G1212" s="1355" t="s">
        <v>2048</v>
      </c>
      <c r="I1212" s="1319" t="s">
        <v>3434</v>
      </c>
      <c r="J1212" s="551"/>
      <c r="K1212" s="551"/>
      <c r="L1212" s="356"/>
      <c r="M1212" s="356"/>
      <c r="N1212" s="356"/>
      <c r="P1212" s="561"/>
      <c r="Q1212" s="1692"/>
      <c r="R1212" s="1692"/>
      <c r="S1212" s="1692"/>
      <c r="T1212" s="1692"/>
      <c r="U1212" s="1692"/>
      <c r="V1212" s="1692"/>
      <c r="W1212" s="1380"/>
      <c r="X1212" s="1380"/>
      <c r="Y1212" s="1380"/>
    </row>
    <row r="1213" spans="1:25" s="1355" customFormat="1" ht="15.75" hidden="1" customHeight="1" outlineLevel="1">
      <c r="A1213" s="1684"/>
      <c r="B1213" s="1685"/>
      <c r="C1213" s="920"/>
      <c r="D1213" s="551"/>
      <c r="E1213" s="1353">
        <f>E1212*(3.14/180)</f>
        <v>1.0466666666666669</v>
      </c>
      <c r="F1213" s="1353">
        <f>F1212*(3.14/180)</f>
        <v>1.0466666666666669</v>
      </c>
      <c r="G1213" s="1355" t="s">
        <v>2997</v>
      </c>
      <c r="I1213" s="1319" t="s">
        <v>3502</v>
      </c>
      <c r="J1213" s="551">
        <f>C1215*C1204*C1206*I1203+E1214*C1204*C1206*I1202</f>
        <v>5.2721359549995794</v>
      </c>
      <c r="K1213" s="551">
        <f>D1215*D1204*D1206*I1203+F1214*I1202*D1204*D1206</f>
        <v>0</v>
      </c>
      <c r="L1213" s="356"/>
      <c r="M1213" s="356"/>
      <c r="N1213" s="356"/>
      <c r="P1213" s="561"/>
      <c r="Q1213" s="1692"/>
      <c r="R1213" s="1692"/>
      <c r="S1213" s="1692"/>
      <c r="T1213" s="1692"/>
      <c r="U1213" s="1692"/>
      <c r="V1213" s="1692"/>
      <c r="W1213" s="1380"/>
      <c r="X1213" s="1380"/>
      <c r="Y1213" s="1380"/>
    </row>
    <row r="1214" spans="1:25" s="1355" customFormat="1" ht="15.75" hidden="1" customHeight="1" outlineLevel="1">
      <c r="A1214" s="1684"/>
      <c r="B1214" s="1685"/>
      <c r="C1214" s="920"/>
      <c r="D1214" s="551"/>
      <c r="E1214" s="1353">
        <f>(E1210-E1209)/SIN(E1213)*C1206</f>
        <v>2.310109465429512</v>
      </c>
      <c r="F1214" s="1353">
        <f>(F1210-F1209)/SIN(F1213)*D1206</f>
        <v>1.155054732714756</v>
      </c>
      <c r="I1214" s="1319" t="s">
        <v>3503</v>
      </c>
      <c r="J1214" s="551">
        <f>C1216*C1204*C1206*I1203+E1216*C1206*C1204*I1202</f>
        <v>5.6387425484765066</v>
      </c>
      <c r="K1214" s="551">
        <f>D1216*D1204*D1206*I1203+F1216*I1202*D1204*D1206</f>
        <v>0</v>
      </c>
      <c r="L1214" s="356"/>
      <c r="M1214" s="356"/>
      <c r="N1214" s="356"/>
      <c r="P1214" s="561"/>
      <c r="Q1214" s="1692"/>
      <c r="R1214" s="1692"/>
      <c r="S1214" s="1692"/>
      <c r="T1214" s="1692"/>
      <c r="U1214" s="1692"/>
      <c r="V1214" s="1692"/>
      <c r="W1214" s="1380"/>
      <c r="X1214" s="1380"/>
      <c r="Y1214" s="1380"/>
    </row>
    <row r="1215" spans="1:25" s="1355" customFormat="1" ht="15.75" hidden="1" customHeight="1" outlineLevel="1">
      <c r="A1215" s="1057" t="s">
        <v>3504</v>
      </c>
      <c r="B1215" s="1685" t="s">
        <v>156</v>
      </c>
      <c r="C1215" s="1633">
        <f>SQRT((C1208/2)*(C1208/2)+C1209*C1209)+C1212</f>
        <v>2.6360679774997897</v>
      </c>
      <c r="D1215" s="551">
        <f>SQRT(D1208/2*D1208/2+D1209*D1209)+D1211</f>
        <v>2.3584952830141508</v>
      </c>
      <c r="E1215" s="1057">
        <f>'Ввод данных'!C333</f>
        <v>2</v>
      </c>
      <c r="F1215" s="1057">
        <f>D1210</f>
        <v>3</v>
      </c>
      <c r="I1215" s="1319" t="s">
        <v>2623</v>
      </c>
      <c r="J1215" s="551">
        <f>C1218*C1204*C1206*I1203+E1218*C1204*C1206*I1202</f>
        <v>20.034116628998401</v>
      </c>
      <c r="K1215" s="551">
        <f>D1218*D1204*D1206*I1203+F1218*D1204*D1206*I1202</f>
        <v>0</v>
      </c>
      <c r="L1215" s="356"/>
      <c r="M1215" s="356"/>
      <c r="N1215" s="356"/>
      <c r="P1215" s="561"/>
      <c r="Q1215" s="1692"/>
      <c r="R1215" s="1692"/>
      <c r="S1215" s="1692"/>
      <c r="T1215" s="1692"/>
      <c r="U1215" s="1692"/>
      <c r="V1215" s="1692"/>
      <c r="W1215" s="1380"/>
      <c r="X1215" s="1380"/>
      <c r="Y1215" s="1380"/>
    </row>
    <row r="1216" spans="1:25" s="1355" customFormat="1" ht="15.75" hidden="1" customHeight="1" outlineLevel="1">
      <c r="A1216" s="551" t="s">
        <v>3505</v>
      </c>
      <c r="B1216" s="1690" t="s">
        <v>156</v>
      </c>
      <c r="C1216" s="1228">
        <f>SQRT((C1210-C1207)*(C1210-C1207)+C1215*C1215)</f>
        <v>2.8193712742382533</v>
      </c>
      <c r="D1216" s="1353">
        <f>SQRT(D1210*D1210+D1215*D1215)</f>
        <v>3.8160843806184368</v>
      </c>
      <c r="E1216" s="551">
        <f>(SQRT(E1214*E1214+('Ввод данных'!C333-'Ввод данных'!C331)*('Ввод данных'!C333-'Ввод данных'!C331)))</f>
        <v>2.5172615561889922</v>
      </c>
      <c r="F1216" s="551">
        <f>SQRT(D1210*D1210+F1214*F1214)</f>
        <v>3.214677501020399</v>
      </c>
      <c r="I1216" s="1319" t="s">
        <v>3506</v>
      </c>
      <c r="J1216" s="551">
        <f>C1221*C1204*C1206*I1203+E1221*C1204*C1206*I1202</f>
        <v>4.8</v>
      </c>
      <c r="K1216" s="551">
        <f>D1221*D1204*D1206*I1203+F1221*D1204*D1206*I1202</f>
        <v>0</v>
      </c>
      <c r="L1216" s="356"/>
      <c r="M1216" s="356"/>
      <c r="N1216" s="356"/>
      <c r="P1216" s="561"/>
      <c r="Q1216" s="1692"/>
      <c r="R1216" s="1692"/>
      <c r="S1216" s="1692"/>
      <c r="T1216" s="1692"/>
      <c r="U1216" s="1692"/>
      <c r="V1216" s="1692"/>
      <c r="W1216" s="1380"/>
      <c r="X1216" s="1380"/>
      <c r="Y1216" s="1380"/>
    </row>
    <row r="1217" spans="1:25" s="1355" customFormat="1" ht="15.75" hidden="1" customHeight="1" outlineLevel="1">
      <c r="A1217" s="551" t="s">
        <v>3507</v>
      </c>
      <c r="B1217" s="1685" t="s">
        <v>156</v>
      </c>
      <c r="C1217" s="1633">
        <f>SQRT(C1210*C1210+C1215*C1215)</f>
        <v>3.3089053147528764</v>
      </c>
      <c r="D1217" s="551">
        <f>SQRT(D1210*D1210+D1215*D1215)</f>
        <v>3.8160843806184368</v>
      </c>
      <c r="I1217" s="1319" t="s">
        <v>2827</v>
      </c>
      <c r="J1217" s="551">
        <f>C1224*C1204</f>
        <v>10</v>
      </c>
      <c r="K1217" s="551">
        <f>D1224*D1204</f>
        <v>0</v>
      </c>
      <c r="L1217" s="1693">
        <f>(J1217+K1217)*G1202</f>
        <v>0</v>
      </c>
      <c r="M1217" s="356"/>
      <c r="N1217" s="356"/>
      <c r="P1217" s="561"/>
      <c r="Q1217" s="1692"/>
      <c r="R1217" s="1692"/>
      <c r="S1217" s="1692"/>
      <c r="T1217" s="1692"/>
      <c r="U1217" s="1692"/>
      <c r="V1217" s="1692"/>
      <c r="W1217" s="1380"/>
      <c r="X1217" s="1380"/>
      <c r="Y1217" s="1380"/>
    </row>
    <row r="1218" spans="1:25" s="1355" customFormat="1" ht="15.75" hidden="1" customHeight="1" outlineLevel="1">
      <c r="A1218" s="1057" t="s">
        <v>3508</v>
      </c>
      <c r="B1218" s="1685" t="s">
        <v>133</v>
      </c>
      <c r="C1218" s="1633">
        <f>(C1215*(C1210-C1207)+C1215*C1207*2+C1215*2*C1212)</f>
        <v>10.0170583144992</v>
      </c>
      <c r="D1218" s="551">
        <f>(D1210*D1215+D1215*2*D1212)</f>
        <v>8.9622820754537731</v>
      </c>
      <c r="E1218" s="551">
        <f>(E1214+('Ввод данных'!C333-'Ввод данных'!C331)+E1214*'Ввод данных'!C331*2+C1212*E1214*2)</f>
        <v>9.7784159686321459</v>
      </c>
      <c r="F1218" s="1353">
        <f>(F1214+D1212)*D1210</f>
        <v>4.665164198144268</v>
      </c>
      <c r="I1218" s="1319" t="s">
        <v>3509</v>
      </c>
      <c r="J1218" s="551">
        <f>C1223*C1204*C1206*I1203+E1223*C1204*C1206*I1202</f>
        <v>5.4</v>
      </c>
      <c r="K1218" s="551">
        <f>D1221*D1204*D1206*I1203+F1221*D1204*D1206*I1202</f>
        <v>0</v>
      </c>
      <c r="L1218" s="356"/>
      <c r="M1218" s="356"/>
      <c r="N1218" s="356"/>
      <c r="P1218" s="561"/>
      <c r="Q1218" s="1692"/>
      <c r="R1218" s="1692"/>
      <c r="S1218" s="1692"/>
      <c r="T1218" s="1692"/>
      <c r="U1218" s="1692"/>
      <c r="V1218" s="1692"/>
      <c r="W1218" s="1380"/>
      <c r="X1218" s="1380"/>
      <c r="Y1218" s="1380"/>
    </row>
    <row r="1219" spans="1:25" s="1355" customFormat="1" ht="15.75" hidden="1" customHeight="1" outlineLevel="1">
      <c r="A1219" s="551" t="s">
        <v>3510</v>
      </c>
      <c r="B1219" s="1690" t="s">
        <v>133</v>
      </c>
      <c r="C1219" s="1228">
        <f>(SQRT(C1215*C1215-(C1208/2*C1208/2))*C1208/2+C1208*SQRT(C1207*C1207+E1211*E1211))</f>
        <v>5.2674544681763189</v>
      </c>
      <c r="D1219" s="551">
        <f>SQRT(D1215*D1215-D1208/2*D1208/2)*D1206*D1208/2</f>
        <v>2.4999999999999996</v>
      </c>
      <c r="E1219" s="551">
        <f>(SQRT(E1216*E1216-C1208/2*C1208/2)*(C1208/2)+SQRT(C1207*C1207+E1211*E1211)*C1208)</f>
        <v>5.1385365901757023</v>
      </c>
      <c r="F1219" s="551">
        <f>SQRT(F1216*F1216-D1208/2*D1208/2)*D1208/2</f>
        <v>3.7021217386889176</v>
      </c>
      <c r="I1219" s="1694" t="s">
        <v>3511</v>
      </c>
      <c r="J1219" s="551">
        <f>C1220*C1204*C1206*I1203+E1220*C1204*C1206*I1202</f>
        <v>28.04776328059776</v>
      </c>
      <c r="K1219" s="551">
        <f>D1220*D1204*D1206*I1203+F1220*D1204*D1206*I1202</f>
        <v>0</v>
      </c>
      <c r="L1219" s="356"/>
      <c r="M1219" s="356"/>
      <c r="N1219" s="356"/>
      <c r="P1219" s="561"/>
      <c r="Q1219" s="1692"/>
      <c r="R1219" s="1692"/>
      <c r="S1219" s="1692"/>
      <c r="T1219" s="1692"/>
      <c r="U1219" s="1692"/>
      <c r="V1219" s="1692"/>
      <c r="W1219" s="1380"/>
      <c r="X1219" s="1380"/>
      <c r="Y1219" s="1380"/>
    </row>
    <row r="1220" spans="1:25" s="1355" customFormat="1" ht="15.75" hidden="1" customHeight="1" outlineLevel="1">
      <c r="A1220" s="1057" t="s">
        <v>3512</v>
      </c>
      <c r="B1220" s="1690" t="s">
        <v>133</v>
      </c>
      <c r="C1220" s="1228">
        <f>C1218*1.4</f>
        <v>14.02388164029888</v>
      </c>
      <c r="D1220" s="551">
        <f>D1218*1.4</f>
        <v>12.547194905635282</v>
      </c>
      <c r="E1220" s="1353">
        <f>E1218*1.4</f>
        <v>13.689782356085004</v>
      </c>
      <c r="F1220" s="1353">
        <f>F1218*1.4</f>
        <v>6.5312298774019748</v>
      </c>
      <c r="I1220" s="1319" t="s">
        <v>3513</v>
      </c>
      <c r="J1220" s="1353"/>
      <c r="K1220" s="1353"/>
      <c r="L1220" s="1380"/>
      <c r="M1220" s="1380"/>
      <c r="N1220" s="1380"/>
      <c r="P1220" s="561"/>
      <c r="Q1220" s="1692"/>
      <c r="R1220" s="1692"/>
      <c r="S1220" s="1692"/>
      <c r="T1220" s="1692"/>
      <c r="U1220" s="1692"/>
      <c r="V1220" s="1692"/>
      <c r="W1220" s="1380"/>
      <c r="X1220" s="1380"/>
      <c r="Y1220" s="1380"/>
    </row>
    <row r="1221" spans="1:25" s="1355" customFormat="1" ht="15.75" hidden="1" customHeight="1" outlineLevel="1">
      <c r="A1221" s="1684" t="s">
        <v>3514</v>
      </c>
      <c r="B1221" s="1690" t="s">
        <v>156</v>
      </c>
      <c r="C1221" s="1228">
        <f>C1210+C1212</f>
        <v>2.4</v>
      </c>
      <c r="D1221" s="551">
        <f>D1210+D1212</f>
        <v>3.4</v>
      </c>
      <c r="E1221" s="551">
        <f>E1215+C1212</f>
        <v>2.4</v>
      </c>
      <c r="F1221" s="1353">
        <f>F1215+D1212</f>
        <v>3.4</v>
      </c>
      <c r="I1221" s="1319" t="s">
        <v>3515</v>
      </c>
      <c r="J1221" s="551">
        <f>C1224*C1204*C1206*I1203+E1224*C1204*C1206*I1202</f>
        <v>20</v>
      </c>
      <c r="K1221" s="551">
        <f>D1224*D1204*D1206*I1203+F1224*D1204*D1206*I1202</f>
        <v>0</v>
      </c>
      <c r="L1221" s="356"/>
      <c r="M1221" s="356"/>
      <c r="N1221" s="356"/>
      <c r="P1221" s="561"/>
      <c r="Q1221" s="1692"/>
      <c r="R1221" s="1692"/>
      <c r="S1221" s="1692"/>
      <c r="T1221" s="1692"/>
      <c r="U1221" s="1692"/>
      <c r="V1221" s="1692"/>
      <c r="W1221" s="1380"/>
      <c r="X1221" s="1380"/>
      <c r="Y1221" s="1380"/>
    </row>
    <row r="1222" spans="1:25" s="1355" customFormat="1" ht="15.75" hidden="1" customHeight="1" outlineLevel="1">
      <c r="A1222" s="1684" t="s">
        <v>2766</v>
      </c>
      <c r="B1222" s="1690" t="s">
        <v>133</v>
      </c>
      <c r="C1222" s="1228">
        <f>C1215*2*C1212+C1207*2*C1211</f>
        <v>2.9088543819998316</v>
      </c>
      <c r="D1222" s="551">
        <f>D1215*2*D1212</f>
        <v>1.8867962264113207</v>
      </c>
      <c r="E1222" s="1380">
        <f>(C1207+C1212)</f>
        <v>1.4</v>
      </c>
      <c r="F1222" s="1353"/>
      <c r="I1222" s="1641" t="s">
        <v>3516</v>
      </c>
      <c r="J1222" s="551">
        <f>E1222*C1204*C1206*I1202+I1203*C1204*C1206*E1222</f>
        <v>2.8</v>
      </c>
      <c r="K1222" s="551"/>
      <c r="L1222" s="356"/>
      <c r="M1222" s="356"/>
      <c r="N1222" s="356"/>
      <c r="P1222" s="561"/>
      <c r="Q1222" s="1692"/>
      <c r="R1222" s="1692"/>
      <c r="S1222" s="1692"/>
      <c r="T1222" s="1692"/>
      <c r="U1222" s="1692"/>
      <c r="V1222" s="1692"/>
      <c r="W1222" s="1380"/>
      <c r="X1222" s="1380"/>
      <c r="Y1222" s="1380"/>
    </row>
    <row r="1223" spans="1:25" s="1355" customFormat="1" ht="15.75" hidden="1" customHeight="1" outlineLevel="1">
      <c r="A1223" s="1684" t="s">
        <v>3517</v>
      </c>
      <c r="B1223" s="1690" t="s">
        <v>156</v>
      </c>
      <c r="C1223" s="1228">
        <f>C1208*1.1+0.5</f>
        <v>2.7</v>
      </c>
      <c r="D1223" s="551">
        <f>D1208*1.1+0.5</f>
        <v>3.25</v>
      </c>
      <c r="E1223" s="551">
        <f>C1223</f>
        <v>2.7</v>
      </c>
      <c r="F1223" s="1353">
        <f>D1223</f>
        <v>3.25</v>
      </c>
      <c r="I1223" s="1689"/>
      <c r="Q1223" s="1695"/>
      <c r="R1223" s="1695"/>
      <c r="S1223" s="1692"/>
      <c r="T1223" s="1692"/>
      <c r="U1223" s="1692"/>
      <c r="V1223" s="1692"/>
      <c r="W1223" s="1380"/>
      <c r="X1223" s="1380"/>
      <c r="Y1223" s="1380"/>
    </row>
    <row r="1224" spans="1:25" s="1355" customFormat="1" ht="15.75" hidden="1" customHeight="1" outlineLevel="1">
      <c r="A1224" s="1353" t="s">
        <v>2827</v>
      </c>
      <c r="B1224" s="1690" t="s">
        <v>133</v>
      </c>
      <c r="C1224" s="1696">
        <f>(C1207*E1211+C1208*E1211+C1208/2*C1209)*C1206</f>
        <v>10</v>
      </c>
      <c r="D1224" s="551">
        <f>(D1209*D1208/2)*D1206</f>
        <v>2.5</v>
      </c>
      <c r="E1224" s="561">
        <f>(C1207*E1211+C1208*E1211+C1208/2*C1209)</f>
        <v>5</v>
      </c>
      <c r="F1224" s="1380">
        <f>(D1209*D1208/2)</f>
        <v>2.5</v>
      </c>
      <c r="I1224" s="1689"/>
      <c r="Q1224" s="1695"/>
      <c r="R1224" s="1695"/>
      <c r="S1224" s="1692"/>
      <c r="T1224" s="1692"/>
      <c r="U1224" s="1692"/>
      <c r="V1224" s="1692"/>
      <c r="W1224" s="1380"/>
      <c r="X1224" s="1380"/>
      <c r="Y1224" s="1380"/>
    </row>
    <row r="1225" spans="1:25" s="1355" customFormat="1" ht="15.75" hidden="1" customHeight="1" outlineLevel="1">
      <c r="A1225" s="1697" t="s">
        <v>3518</v>
      </c>
      <c r="B1225" s="1633" t="s">
        <v>156</v>
      </c>
      <c r="C1225" s="1633">
        <f>'Ввод данных'!C342</f>
        <v>0</v>
      </c>
      <c r="D1225" s="1063">
        <v>1</v>
      </c>
      <c r="F1225" s="460"/>
      <c r="I1225" s="1689"/>
      <c r="Q1225" s="1695"/>
      <c r="R1225" s="1695"/>
      <c r="S1225" s="1692"/>
      <c r="T1225" s="1692"/>
      <c r="U1225" s="1692"/>
      <c r="V1225" s="1692"/>
      <c r="W1225" s="1380"/>
      <c r="X1225" s="1380"/>
      <c r="Y1225" s="1380"/>
    </row>
    <row r="1226" spans="1:25" s="1355" customFormat="1" ht="15.75" hidden="1" customHeight="1" outlineLevel="1">
      <c r="A1226" s="1697" t="s">
        <v>2632</v>
      </c>
      <c r="B1226" s="1633" t="s">
        <v>156</v>
      </c>
      <c r="C1226" s="1633">
        <f>'Ввод данных'!C343</f>
        <v>0</v>
      </c>
      <c r="D1226" s="1063">
        <v>1</v>
      </c>
      <c r="I1226" s="1689"/>
      <c r="J1226" s="561"/>
      <c r="Q1226" s="1695"/>
      <c r="R1226" s="1695"/>
      <c r="S1226" s="1692"/>
      <c r="T1226" s="1692"/>
      <c r="U1226" s="1692"/>
      <c r="V1226" s="1692"/>
      <c r="W1226" s="1380"/>
      <c r="X1226" s="1380"/>
      <c r="Y1226" s="1380"/>
    </row>
    <row r="1227" spans="1:25" s="1705" customFormat="1" ht="15.75" customHeight="1">
      <c r="A1227" s="1698" t="s">
        <v>1965</v>
      </c>
      <c r="B1227" s="1699"/>
      <c r="C1227" s="1699"/>
      <c r="D1227" s="1698"/>
      <c r="E1227" s="1698"/>
      <c r="F1227" s="1700"/>
      <c r="G1227" s="1698"/>
      <c r="H1227" s="1698"/>
      <c r="I1227" s="1701"/>
      <c r="J1227" s="1698"/>
      <c r="K1227" s="1702"/>
      <c r="L1227" s="1702"/>
      <c r="M1227" s="1702"/>
      <c r="N1227" s="1702"/>
      <c r="O1227" s="1702"/>
      <c r="P1227" s="1702"/>
      <c r="Q1227" s="1703"/>
      <c r="R1227" s="1703"/>
      <c r="S1227" s="1703"/>
      <c r="T1227" s="1703"/>
      <c r="U1227" s="1703"/>
      <c r="V1227" s="1703"/>
      <c r="W1227" s="1704"/>
      <c r="X1227" s="1704"/>
      <c r="Y1227" s="1704"/>
    </row>
    <row r="1228" spans="1:25" s="1355" customFormat="1" ht="15.75" customHeight="1" outlineLevel="1">
      <c r="A1228" s="1706"/>
      <c r="B1228" s="1707"/>
      <c r="C1228" s="1707"/>
      <c r="D1228" s="1706"/>
      <c r="E1228" s="1706"/>
      <c r="F1228" s="1708"/>
      <c r="G1228" s="1709"/>
      <c r="H1228" s="1709"/>
      <c r="I1228" s="1710"/>
      <c r="J1228" s="1711"/>
      <c r="K1228" s="1711" t="s">
        <v>3519</v>
      </c>
      <c r="L1228" s="1711"/>
      <c r="M1228" s="1711"/>
      <c r="N1228" s="1711"/>
      <c r="O1228" s="1711"/>
      <c r="P1228" s="1711"/>
      <c r="Q1228" s="1712"/>
      <c r="R1228" s="1711"/>
      <c r="S1228" s="1692"/>
      <c r="T1228" s="1692"/>
      <c r="U1228" s="1692"/>
      <c r="V1228" s="1692"/>
      <c r="W1228" s="1380"/>
      <c r="X1228" s="1380"/>
      <c r="Y1228" s="1380"/>
    </row>
    <row r="1229" spans="1:25" s="1355" customFormat="1" ht="15.75" customHeight="1" outlineLevel="1">
      <c r="A1229" s="1713" t="s">
        <v>2030</v>
      </c>
      <c r="B1229" s="1714" t="s">
        <v>120</v>
      </c>
      <c r="C1229" s="1714" t="s">
        <v>1753</v>
      </c>
      <c r="D1229" s="1715">
        <f>VLOOKUP('Ввод данных'!F458,связи1!A2:B3,2,0)</f>
        <v>0</v>
      </c>
      <c r="E1229" s="1716" t="s">
        <v>3520</v>
      </c>
      <c r="F1229" s="1717"/>
      <c r="G1229" s="1718"/>
      <c r="H1229" s="1718"/>
      <c r="I1229" s="1719">
        <f>D1229</f>
        <v>0</v>
      </c>
      <c r="J1229" s="1677"/>
      <c r="K1229" s="1720" t="s">
        <v>1903</v>
      </c>
      <c r="L1229" s="1720"/>
      <c r="M1229" s="1720"/>
      <c r="N1229" s="1720"/>
      <c r="O1229" s="1675">
        <f>'Ввод данных'!BC422</f>
        <v>1</v>
      </c>
      <c r="P1229" s="1721">
        <f>'Ввод данных'!BD426</f>
        <v>4</v>
      </c>
      <c r="Q1229" s="1584"/>
      <c r="R1229" s="1677"/>
      <c r="S1229" s="1674"/>
      <c r="T1229" s="1674"/>
      <c r="U1229" s="1674"/>
      <c r="V1229" s="1674"/>
      <c r="W1229" s="1380"/>
      <c r="X1229" s="1380"/>
      <c r="Y1229" s="1380"/>
    </row>
    <row r="1230" spans="1:25" s="1355" customFormat="1" ht="15.75" customHeight="1" outlineLevel="1">
      <c r="A1230" s="1713"/>
      <c r="B1230" s="1714"/>
      <c r="C1230" s="1714"/>
      <c r="D1230" s="1721"/>
      <c r="E1230" s="1722"/>
      <c r="F1230" s="1717"/>
      <c r="G1230" s="1718"/>
      <c r="H1230" s="1718"/>
      <c r="I1230" s="1719"/>
      <c r="J1230" s="1677"/>
      <c r="K1230" s="1720"/>
      <c r="L1230" s="1720"/>
      <c r="M1230" s="1720"/>
      <c r="N1230" s="1720"/>
      <c r="O1230" s="1675"/>
      <c r="P1230" s="1721"/>
      <c r="Q1230" s="1584"/>
      <c r="R1230" s="1677"/>
      <c r="S1230" s="1674"/>
      <c r="T1230" s="1674"/>
      <c r="U1230" s="1674"/>
      <c r="V1230" s="1674"/>
      <c r="W1230" s="1380"/>
      <c r="X1230" s="1380"/>
      <c r="Y1230" s="1380"/>
    </row>
    <row r="1231" spans="1:25" s="1355" customFormat="1" ht="15.75" customHeight="1" outlineLevel="1">
      <c r="A1231" s="1713"/>
      <c r="B1231" s="1714"/>
      <c r="C1231" s="1714"/>
      <c r="D1231" s="1721"/>
      <c r="E1231" s="1722"/>
      <c r="F1231" s="1717"/>
      <c r="G1231" s="1718"/>
      <c r="H1231" s="1718"/>
      <c r="I1231" s="1719"/>
      <c r="J1231" s="1677"/>
      <c r="K1231" s="1720"/>
      <c r="L1231" s="1720"/>
      <c r="M1231" s="1720"/>
      <c r="N1231" s="1720"/>
      <c r="O1231" s="1675"/>
      <c r="P1231" s="1721"/>
      <c r="Q1231" s="1584"/>
      <c r="R1231" s="1677"/>
      <c r="S1231" s="1674"/>
      <c r="T1231" s="1674"/>
      <c r="U1231" s="1674"/>
      <c r="V1231" s="1674"/>
      <c r="W1231" s="1380"/>
      <c r="X1231" s="1380"/>
      <c r="Y1231" s="1380"/>
    </row>
    <row r="1232" spans="1:25" s="1355" customFormat="1" ht="15.75" customHeight="1" outlineLevel="1">
      <c r="A1232" s="1723" t="s">
        <v>2547</v>
      </c>
      <c r="B1232" s="1714" t="s">
        <v>159</v>
      </c>
      <c r="C1232" s="1714">
        <f>1</f>
        <v>1</v>
      </c>
      <c r="D1232" s="1678">
        <f>'Ввод данных'!C424</f>
        <v>2</v>
      </c>
      <c r="E1232" s="1678"/>
      <c r="F1232" s="1678"/>
      <c r="G1232" s="1678"/>
      <c r="H1232" s="1678"/>
      <c r="I1232" s="1719"/>
      <c r="J1232" s="1677"/>
      <c r="K1232" s="1720" t="s">
        <v>1906</v>
      </c>
      <c r="L1232" s="1720"/>
      <c r="M1232" s="1720"/>
      <c r="N1232" s="1720"/>
      <c r="O1232" s="1675">
        <f>'Ввод данных'!BC423</f>
        <v>2</v>
      </c>
      <c r="P1232" s="1721">
        <f>'Ввод данных'!BD427</f>
        <v>5</v>
      </c>
      <c r="Q1232" s="1584"/>
      <c r="R1232" s="1677"/>
      <c r="S1232" s="1674"/>
      <c r="T1232" s="1674"/>
      <c r="U1232" s="1674"/>
      <c r="V1232" s="1674"/>
      <c r="W1232" s="1380"/>
      <c r="X1232" s="1380"/>
      <c r="Y1232" s="1380"/>
    </row>
    <row r="1233" spans="1:25" s="1355" customFormat="1" ht="15.75" customHeight="1" outlineLevel="1">
      <c r="A1233" s="1723" t="s">
        <v>2552</v>
      </c>
      <c r="B1233" s="1714" t="s">
        <v>159</v>
      </c>
      <c r="C1233" s="1714">
        <f>IF('Ввод данных'!C424=2,1,0)</f>
        <v>1</v>
      </c>
      <c r="D1233" s="1720">
        <f>'Ввод данных'!C424</f>
        <v>2</v>
      </c>
      <c r="E1233" s="1678"/>
      <c r="F1233" s="1678"/>
      <c r="G1233" s="1678"/>
      <c r="H1233" s="1678"/>
      <c r="I1233" s="1724"/>
      <c r="J1233" s="1584"/>
      <c r="K1233" s="1720" t="s">
        <v>1992</v>
      </c>
      <c r="L1233" s="1720"/>
      <c r="M1233" s="1720"/>
      <c r="N1233" s="1720"/>
      <c r="O1233" s="1675">
        <f>'Ввод данных'!BC424</f>
        <v>3</v>
      </c>
      <c r="P1233" s="1721">
        <f>'Ввод данных'!BD428</f>
        <v>3.2</v>
      </c>
      <c r="Q1233" s="1584"/>
      <c r="R1233" s="1677"/>
      <c r="S1233" s="1674"/>
      <c r="T1233" s="1674"/>
      <c r="U1233" s="1674"/>
      <c r="V1233" s="1674"/>
      <c r="W1233" s="1380"/>
      <c r="X1233" s="1380"/>
      <c r="Y1233" s="1380"/>
    </row>
    <row r="1234" spans="1:25" s="1355" customFormat="1" ht="15.75" customHeight="1" outlineLevel="1">
      <c r="A1234" s="1717" t="s">
        <v>1236</v>
      </c>
      <c r="B1234" s="1717" t="s">
        <v>120</v>
      </c>
      <c r="C1234" s="1717" t="s">
        <v>2548</v>
      </c>
      <c r="D1234" s="1723" t="s">
        <v>2975</v>
      </c>
      <c r="E1234" s="1720"/>
      <c r="F1234" s="1720"/>
      <c r="G1234" s="1678"/>
      <c r="H1234" s="1678"/>
      <c r="I1234" s="1701"/>
      <c r="J1234" s="1585"/>
      <c r="K1234" s="1720" t="s">
        <v>1994</v>
      </c>
      <c r="L1234" s="1720"/>
      <c r="M1234" s="1720"/>
      <c r="N1234" s="1720"/>
      <c r="O1234" s="1675">
        <f>'Ввод данных'!BC425</f>
        <v>4</v>
      </c>
      <c r="P1234" s="1721">
        <f>'Ввод данных'!BD429</f>
        <v>2.2000000000000002</v>
      </c>
      <c r="Q1234" s="1725"/>
      <c r="R1234" s="1677"/>
      <c r="S1234" s="1674"/>
      <c r="T1234" s="1674"/>
      <c r="U1234" s="1674"/>
      <c r="V1234" s="1674"/>
      <c r="W1234" s="1380"/>
      <c r="X1234" s="1380"/>
      <c r="Y1234" s="1380"/>
    </row>
    <row r="1235" spans="1:25" s="1355" customFormat="1" ht="15.75" customHeight="1" outlineLevel="1">
      <c r="A1235" s="1723" t="s">
        <v>2001</v>
      </c>
      <c r="B1235" s="1714" t="s">
        <v>159</v>
      </c>
      <c r="C1235" s="1726">
        <f>(C1240*C1245+(C1244-C1240)*C1238+(C1244-C1240)*((C1245-C1238)/2))*E1235</f>
        <v>16.25</v>
      </c>
      <c r="D1235" s="1715">
        <v>0.2</v>
      </c>
      <c r="E1235" s="1727">
        <f>1</f>
        <v>1</v>
      </c>
      <c r="F1235" s="1677" t="s">
        <v>3521</v>
      </c>
      <c r="G1235" s="1678"/>
      <c r="H1235" s="1678"/>
      <c r="I1235" s="1701"/>
      <c r="J1235" s="1585"/>
      <c r="K1235" s="1720" t="s">
        <v>1995</v>
      </c>
      <c r="L1235" s="1720"/>
      <c r="M1235" s="1720"/>
      <c r="N1235" s="1720"/>
      <c r="O1235" s="1675">
        <f>'Ввод данных'!BC426</f>
        <v>5</v>
      </c>
      <c r="P1235" s="1721">
        <f>'Ввод данных'!BD430</f>
        <v>0</v>
      </c>
      <c r="Q1235" s="1725"/>
      <c r="R1235" s="1677"/>
      <c r="S1235" s="1674"/>
      <c r="T1235" s="1674"/>
      <c r="U1235" s="1674"/>
      <c r="V1235" s="1674"/>
      <c r="W1235" s="1380"/>
      <c r="X1235" s="1380"/>
      <c r="Y1235" s="1380"/>
    </row>
    <row r="1236" spans="1:25" s="1355" customFormat="1" ht="15.75" customHeight="1" outlineLevel="1">
      <c r="A1236" s="1723" t="s">
        <v>2557</v>
      </c>
      <c r="B1236" s="1714" t="s">
        <v>159</v>
      </c>
      <c r="C1236" s="1726">
        <f>(C1240*C1245+(C1244-C1240)*C1238+(C1244-C1240)*((C1245-C1238)/2))*E1236</f>
        <v>16.25</v>
      </c>
      <c r="D1236" s="1715">
        <v>0.2</v>
      </c>
      <c r="E1236" s="1727">
        <f>1</f>
        <v>1</v>
      </c>
      <c r="F1236" s="1677" t="s">
        <v>3522</v>
      </c>
      <c r="G1236" s="1718"/>
      <c r="H1236" s="1718"/>
      <c r="I1236" s="1701"/>
      <c r="J1236" s="1585"/>
      <c r="K1236" s="1720" t="s">
        <v>1997</v>
      </c>
      <c r="L1236" s="1720"/>
      <c r="M1236" s="1720"/>
      <c r="N1236" s="1720"/>
      <c r="O1236" s="1675">
        <f>'Ввод данных'!BC427</f>
        <v>6</v>
      </c>
      <c r="P1236" s="1721">
        <f>'Ввод данных'!BD431</f>
        <v>8</v>
      </c>
      <c r="Q1236" s="1725"/>
      <c r="R1236" s="1725"/>
      <c r="S1236" s="1674"/>
      <c r="T1236" s="1674"/>
      <c r="U1236" s="1674"/>
      <c r="V1236" s="1674"/>
      <c r="W1236" s="1380"/>
      <c r="X1236" s="1380"/>
      <c r="Y1236" s="1380"/>
    </row>
    <row r="1237" spans="1:25" s="1355" customFormat="1" ht="15.75" customHeight="1" outlineLevel="1">
      <c r="A1237" s="1723" t="s">
        <v>2558</v>
      </c>
      <c r="B1237" s="1714" t="s">
        <v>159</v>
      </c>
      <c r="C1237" s="1726">
        <f>(C1240*C1245+(C1244-C1240)*C1238+(C1244-C1240)*((C1245-C1238)/2))*E1237</f>
        <v>16.25</v>
      </c>
      <c r="D1237" s="1715">
        <v>0.2</v>
      </c>
      <c r="E1237" s="1727">
        <f>C1233</f>
        <v>1</v>
      </c>
      <c r="F1237" s="1677" t="s">
        <v>3523</v>
      </c>
      <c r="G1237" s="1583"/>
      <c r="H1237" s="1583"/>
      <c r="I1237" s="1728"/>
      <c r="J1237" s="1585"/>
      <c r="K1237" s="1720" t="s">
        <v>2039</v>
      </c>
      <c r="L1237" s="1720"/>
      <c r="M1237" s="1720"/>
      <c r="N1237" s="1720"/>
      <c r="O1237" s="1675">
        <f>'Ввод данных'!BC428</f>
        <v>7</v>
      </c>
      <c r="P1237" s="1721">
        <f>'Ввод данных'!BD432</f>
        <v>0</v>
      </c>
      <c r="Q1237" s="1725"/>
      <c r="R1237" s="1725"/>
      <c r="S1237" s="1674"/>
      <c r="T1237" s="1674"/>
      <c r="U1237" s="1674"/>
      <c r="V1237" s="1674"/>
      <c r="W1237" s="1380"/>
      <c r="X1237" s="1380"/>
      <c r="Y1237" s="1380"/>
    </row>
    <row r="1238" spans="1:25" s="1355" customFormat="1" ht="15.75" customHeight="1" outlineLevel="1">
      <c r="A1238" s="1729" t="s">
        <v>3524</v>
      </c>
      <c r="B1238" s="1714" t="s">
        <v>156</v>
      </c>
      <c r="C1238" s="1714">
        <f>P1238</f>
        <v>2</v>
      </c>
      <c r="D1238" s="1730">
        <f>CEILING(IF(C1238&lt;=2,2,IF(C1238&gt;2,C1238/2+1,0)),1)</f>
        <v>2</v>
      </c>
      <c r="E1238" s="1717"/>
      <c r="F1238" s="1717"/>
      <c r="G1238" s="1583"/>
      <c r="H1238" s="1583"/>
      <c r="I1238" s="1728"/>
      <c r="J1238" s="1585"/>
      <c r="K1238" s="1720" t="s">
        <v>2042</v>
      </c>
      <c r="L1238" s="1720"/>
      <c r="M1238" s="1720"/>
      <c r="N1238" s="1720"/>
      <c r="O1238" s="1675">
        <f>'Ввод данных'!BC429</f>
        <v>8</v>
      </c>
      <c r="P1238" s="1721">
        <f>'Ввод данных'!BD433</f>
        <v>2</v>
      </c>
      <c r="Q1238" s="1584"/>
      <c r="R1238" s="1584"/>
      <c r="S1238" s="1674"/>
      <c r="T1238" s="1674"/>
      <c r="U1238" s="1674"/>
      <c r="V1238" s="1674"/>
      <c r="W1238" s="1380"/>
      <c r="X1238" s="1380"/>
      <c r="Y1238" s="1380"/>
    </row>
    <row r="1239" spans="1:25" s="1355" customFormat="1" ht="15.75" customHeight="1" outlineLevel="1">
      <c r="A1239" s="1729" t="s">
        <v>3525</v>
      </c>
      <c r="B1239" s="1714" t="s">
        <v>156</v>
      </c>
      <c r="C1239" s="1714">
        <f>SQRT((C1245-C1238)/2*(C1245-C1238)/2+(C1244-C1240)*(C1244-C1240))</f>
        <v>2.9154759474226504</v>
      </c>
      <c r="D1239" s="1730">
        <f>CEILING(IF(C1239&lt;=2,1,IF(C1239&gt;2,C1239/2,0)),1)*2</f>
        <v>4</v>
      </c>
      <c r="E1239" s="1717"/>
      <c r="F1239" s="1717"/>
      <c r="G1239" s="1583"/>
      <c r="H1239" s="1583"/>
      <c r="I1239" s="1728"/>
      <c r="J1239" s="1585"/>
      <c r="K1239" s="1720" t="s">
        <v>2043</v>
      </c>
      <c r="L1239" s="1720"/>
      <c r="M1239" s="1720"/>
      <c r="N1239" s="1720"/>
      <c r="O1239" s="1675">
        <f>'Ввод данных'!BC430</f>
        <v>9</v>
      </c>
      <c r="P1239" s="1721">
        <f>'Ввод данных'!BD434</f>
        <v>1.5</v>
      </c>
      <c r="Q1239" s="1584"/>
      <c r="R1239" s="1584"/>
      <c r="S1239" s="1674"/>
      <c r="T1239" s="1674"/>
      <c r="U1239" s="1674"/>
      <c r="V1239" s="1674"/>
      <c r="W1239" s="1380"/>
      <c r="X1239" s="1380"/>
      <c r="Y1239" s="1380"/>
    </row>
    <row r="1240" spans="1:25" s="1355" customFormat="1" ht="15.75" customHeight="1" outlineLevel="1">
      <c r="A1240" s="1729" t="s">
        <v>3526</v>
      </c>
      <c r="B1240" s="1714" t="s">
        <v>156</v>
      </c>
      <c r="C1240" s="1714">
        <f>P1239</f>
        <v>1.5</v>
      </c>
      <c r="D1240" s="1715">
        <v>1</v>
      </c>
      <c r="E1240" s="1730">
        <f>CEILING(IF(C1240&lt;=2,1,IF(C1240&gt;2,C1240/2,0)),1)*2</f>
        <v>2</v>
      </c>
      <c r="F1240" s="1731" t="s">
        <v>2591</v>
      </c>
      <c r="G1240" s="1732">
        <f>D1238+D1239+E1240</f>
        <v>8</v>
      </c>
      <c r="H1240" s="1732"/>
      <c r="I1240" s="1728"/>
      <c r="J1240" s="1585"/>
      <c r="K1240" s="1721" t="s">
        <v>3527</v>
      </c>
      <c r="L1240" s="1721"/>
      <c r="M1240" s="1721"/>
      <c r="N1240" s="1721"/>
      <c r="O1240" s="1675" t="s">
        <v>2572</v>
      </c>
      <c r="P1240" s="1721">
        <f>SQRT(((P1232-P1238)/2)*((P1232-P1238)/2)+(P1229-P1239)*(P1229-P1239))</f>
        <v>2.9154759474226504</v>
      </c>
      <c r="Q1240" s="1584"/>
      <c r="R1240" s="1584"/>
      <c r="S1240" s="1674"/>
      <c r="T1240" s="1674"/>
      <c r="U1240" s="1674"/>
      <c r="V1240" s="1674"/>
      <c r="W1240" s="1380"/>
      <c r="X1240" s="1380"/>
      <c r="Y1240" s="1380"/>
    </row>
    <row r="1241" spans="1:25" s="1355" customFormat="1" ht="15.75" customHeight="1" outlineLevel="1">
      <c r="A1241" s="1729" t="s">
        <v>3528</v>
      </c>
      <c r="B1241" s="1714" t="s">
        <v>156</v>
      </c>
      <c r="C1241" s="1714">
        <f>P1233</f>
        <v>3.2</v>
      </c>
      <c r="D1241" s="1675"/>
      <c r="E1241" s="1717"/>
      <c r="F1241" s="1717"/>
      <c r="G1241" s="1583"/>
      <c r="H1241" s="1583"/>
      <c r="I1241" s="1728"/>
      <c r="J1241" s="1585"/>
      <c r="K1241" s="1733" t="s">
        <v>1999</v>
      </c>
      <c r="L1241" s="1733"/>
      <c r="M1241" s="1733"/>
      <c r="N1241" s="1733"/>
      <c r="O1241" s="1733">
        <f>P1240*2+P1239*2+P1238</f>
        <v>10.830951894845301</v>
      </c>
      <c r="P1241" s="1733">
        <f>'Ввод данных'!BD436</f>
        <v>0</v>
      </c>
      <c r="Q1241" s="1584"/>
      <c r="R1241" s="1584"/>
      <c r="S1241" s="1674"/>
      <c r="T1241" s="1674"/>
      <c r="U1241" s="1674"/>
      <c r="V1241" s="1674"/>
      <c r="W1241" s="1380"/>
      <c r="X1241" s="1380"/>
      <c r="Y1241" s="1380"/>
    </row>
    <row r="1242" spans="1:25" s="1355" customFormat="1" ht="15.75" customHeight="1" outlineLevel="1">
      <c r="A1242" s="1734" t="s">
        <v>2038</v>
      </c>
      <c r="B1242" s="1714"/>
      <c r="C1242" s="1714">
        <f>'Ввод данных'!C431</f>
        <v>8</v>
      </c>
      <c r="D1242" s="1675"/>
      <c r="E1242" s="1717"/>
      <c r="F1242" s="1717"/>
      <c r="G1242" s="1583"/>
      <c r="H1242" s="1583"/>
      <c r="I1242" s="1728"/>
      <c r="J1242" s="1585"/>
      <c r="K1242" s="1733"/>
      <c r="L1242" s="1733"/>
      <c r="M1242" s="1733"/>
      <c r="N1242" s="1733"/>
      <c r="O1242" s="1733"/>
      <c r="P1242" s="1733"/>
      <c r="Q1242" s="1584"/>
      <c r="R1242" s="1584"/>
      <c r="S1242" s="1674"/>
      <c r="T1242" s="1674"/>
      <c r="U1242" s="1674"/>
      <c r="V1242" s="1674"/>
      <c r="W1242" s="1380"/>
      <c r="X1242" s="1380"/>
      <c r="Y1242" s="1380"/>
    </row>
    <row r="1243" spans="1:25" s="1355" customFormat="1" ht="15.75" customHeight="1" outlineLevel="1">
      <c r="A1243" s="1729" t="s">
        <v>3529</v>
      </c>
      <c r="B1243" s="1714" t="s">
        <v>156</v>
      </c>
      <c r="C1243" s="1714">
        <f>C1242-C1241*C1232-D1236*E1236-C1246*C1233-D1237*E1237</f>
        <v>2.1999999999999993</v>
      </c>
      <c r="D1243" s="1675"/>
      <c r="E1243" s="1717"/>
      <c r="F1243" s="1717"/>
      <c r="G1243" s="1583"/>
      <c r="H1243" s="1583"/>
      <c r="I1243" s="1728"/>
      <c r="J1243" s="1585"/>
      <c r="K1243" s="1733" t="s">
        <v>2001</v>
      </c>
      <c r="L1243" s="1733"/>
      <c r="M1243" s="1733"/>
      <c r="N1243" s="1733"/>
      <c r="O1243" s="1733"/>
      <c r="P1243" s="1733">
        <f>'Ввод данных'!BD437</f>
        <v>0.2</v>
      </c>
      <c r="Q1243" s="1584"/>
      <c r="R1243" s="1584"/>
      <c r="S1243" s="1674"/>
      <c r="T1243" s="1674"/>
      <c r="U1243" s="1674"/>
      <c r="V1243" s="1674"/>
      <c r="W1243" s="1380"/>
      <c r="X1243" s="1380"/>
      <c r="Y1243" s="1380"/>
    </row>
    <row r="1244" spans="1:25" s="1355" customFormat="1" ht="15.75" customHeight="1" outlineLevel="1">
      <c r="A1244" s="1729" t="s">
        <v>3530</v>
      </c>
      <c r="B1244" s="1714" t="s">
        <v>156</v>
      </c>
      <c r="C1244" s="1714">
        <f>P1229</f>
        <v>4</v>
      </c>
      <c r="D1244" s="1717"/>
      <c r="E1244" s="1717"/>
      <c r="F1244" s="1717"/>
      <c r="G1244" s="1583"/>
      <c r="H1244" s="1583"/>
      <c r="I1244" s="1735"/>
      <c r="J1244" s="1585"/>
      <c r="K1244" s="1733" t="s">
        <v>2044</v>
      </c>
      <c r="L1244" s="1733"/>
      <c r="M1244" s="1733"/>
      <c r="N1244" s="1733"/>
      <c r="O1244" s="1733"/>
      <c r="P1244" s="1733">
        <f>'Ввод данных'!BD438</f>
        <v>3.2</v>
      </c>
      <c r="Q1244" s="1725"/>
      <c r="R1244" s="1725"/>
      <c r="S1244" s="1674"/>
      <c r="T1244" s="1674"/>
      <c r="U1244" s="1674"/>
      <c r="V1244" s="1674"/>
      <c r="W1244" s="1380"/>
      <c r="X1244" s="1380"/>
      <c r="Y1244" s="1380"/>
    </row>
    <row r="1245" spans="1:25" s="1355" customFormat="1" ht="15.75" customHeight="1" outlineLevel="1">
      <c r="A1245" s="1729" t="s">
        <v>3531</v>
      </c>
      <c r="B1245" s="1714" t="s">
        <v>156</v>
      </c>
      <c r="C1245" s="1714">
        <f>P1232</f>
        <v>5</v>
      </c>
      <c r="D1245" s="1717"/>
      <c r="E1245" s="1717"/>
      <c r="F1245" s="1717"/>
      <c r="G1245" s="1583"/>
      <c r="H1245" s="1583"/>
      <c r="I1245" s="1728"/>
      <c r="J1245" s="1585"/>
      <c r="K1245" s="1733" t="s">
        <v>2045</v>
      </c>
      <c r="L1245" s="1733"/>
      <c r="M1245" s="1733"/>
      <c r="N1245" s="1733"/>
      <c r="O1245" s="1733"/>
      <c r="P1245" s="1733">
        <f>'Ввод данных'!BD439</f>
        <v>3.4</v>
      </c>
      <c r="Q1245" s="1725"/>
      <c r="R1245" s="1725"/>
      <c r="S1245" s="1674"/>
      <c r="T1245" s="1674"/>
      <c r="U1245" s="1674"/>
      <c r="V1245" s="1674"/>
      <c r="W1245" s="1380"/>
      <c r="X1245" s="1380"/>
      <c r="Y1245" s="1380"/>
    </row>
    <row r="1246" spans="1:25" s="1355" customFormat="1" ht="15.75" customHeight="1" outlineLevel="1">
      <c r="A1246" s="1736" t="s">
        <v>3532</v>
      </c>
      <c r="B1246" s="1714" t="s">
        <v>156</v>
      </c>
      <c r="C1246" s="1737">
        <f>P1234</f>
        <v>2.2000000000000002</v>
      </c>
      <c r="D1246" s="1720"/>
      <c r="E1246" s="1720"/>
      <c r="F1246" s="1720"/>
      <c r="G1246" s="1720"/>
      <c r="H1246" s="1720"/>
      <c r="I1246" s="1728"/>
      <c r="J1246" s="1585"/>
      <c r="K1246" s="1733" t="s">
        <v>2046</v>
      </c>
      <c r="L1246" s="1733"/>
      <c r="M1246" s="1733"/>
      <c r="N1246" s="1733"/>
      <c r="O1246" s="1733"/>
      <c r="P1246" s="1733">
        <f>'Ввод данных'!BD440</f>
        <v>5.0999999999999996</v>
      </c>
      <c r="Q1246" s="1584"/>
      <c r="R1246" s="1725"/>
      <c r="S1246" s="1674"/>
      <c r="T1246" s="1674"/>
      <c r="U1246" s="1674"/>
      <c r="V1246" s="1674"/>
      <c r="W1246" s="1380"/>
      <c r="X1246" s="1380"/>
      <c r="Y1246" s="1380"/>
    </row>
    <row r="1247" spans="1:25" s="1355" customFormat="1" ht="15.75" customHeight="1" outlineLevel="1">
      <c r="A1247" s="1736" t="s">
        <v>3533</v>
      </c>
      <c r="B1247" s="1714"/>
      <c r="C1247" s="1737">
        <f>C1241*C1232*D1229</f>
        <v>0</v>
      </c>
      <c r="D1247" s="1720"/>
      <c r="E1247" s="1720"/>
      <c r="F1247" s="1720"/>
      <c r="G1247" s="1720"/>
      <c r="H1247" s="1720"/>
      <c r="I1247" s="1728"/>
      <c r="J1247" s="1585"/>
      <c r="K1247" s="1733"/>
      <c r="L1247" s="1733"/>
      <c r="M1247" s="1733"/>
      <c r="N1247" s="1733"/>
      <c r="O1247" s="1733"/>
      <c r="P1247" s="1733"/>
      <c r="Q1247" s="1584"/>
      <c r="R1247" s="1725"/>
      <c r="S1247" s="1674"/>
      <c r="T1247" s="1674"/>
      <c r="U1247" s="1674"/>
      <c r="V1247" s="1674"/>
      <c r="W1247" s="1380"/>
      <c r="X1247" s="1380"/>
      <c r="Y1247" s="1380"/>
    </row>
    <row r="1248" spans="1:25" s="1355" customFormat="1" ht="15.75" customHeight="1" outlineLevel="1">
      <c r="A1248" s="1736" t="s">
        <v>3534</v>
      </c>
      <c r="B1248" s="1714"/>
      <c r="C1248" s="1737">
        <f>C1246*C1233*D1229</f>
        <v>0</v>
      </c>
      <c r="D1248" s="1720"/>
      <c r="E1248" s="1720"/>
      <c r="F1248" s="1720"/>
      <c r="G1248" s="1720"/>
      <c r="H1248" s="1720"/>
      <c r="I1248" s="1728"/>
      <c r="J1248" s="1585"/>
      <c r="K1248" s="1733"/>
      <c r="L1248" s="1733"/>
      <c r="M1248" s="1733"/>
      <c r="N1248" s="1733"/>
      <c r="O1248" s="1733"/>
      <c r="P1248" s="1733"/>
      <c r="Q1248" s="1584"/>
      <c r="R1248" s="1725"/>
      <c r="S1248" s="1674"/>
      <c r="T1248" s="1674"/>
      <c r="U1248" s="1674"/>
      <c r="V1248" s="1674"/>
      <c r="W1248" s="1380"/>
      <c r="X1248" s="1380"/>
      <c r="Y1248" s="1380"/>
    </row>
    <row r="1249" spans="1:25" s="1355" customFormat="1" ht="15.75" customHeight="1" outlineLevel="1">
      <c r="A1249" s="1736" t="s">
        <v>3535</v>
      </c>
      <c r="B1249" s="1714"/>
      <c r="C1249" s="1737">
        <f>C1241*C1232*D1229</f>
        <v>0</v>
      </c>
      <c r="D1249" s="1720"/>
      <c r="E1249" s="1720"/>
      <c r="F1249" s="1720"/>
      <c r="G1249" s="1720"/>
      <c r="H1249" s="1720"/>
      <c r="I1249" s="1728"/>
      <c r="J1249" s="1585"/>
      <c r="K1249" s="1733"/>
      <c r="L1249" s="1733"/>
      <c r="M1249" s="1733"/>
      <c r="N1249" s="1733"/>
      <c r="O1249" s="1733"/>
      <c r="P1249" s="1733"/>
      <c r="Q1249" s="1584"/>
      <c r="R1249" s="1725"/>
      <c r="S1249" s="1674"/>
      <c r="T1249" s="1674"/>
      <c r="U1249" s="1674"/>
      <c r="V1249" s="1674"/>
      <c r="W1249" s="1380"/>
      <c r="X1249" s="1380"/>
      <c r="Y1249" s="1380"/>
    </row>
    <row r="1250" spans="1:25" s="1355" customFormat="1" ht="15.75" customHeight="1" outlineLevel="1">
      <c r="A1250" s="1736" t="s">
        <v>3536</v>
      </c>
      <c r="B1250" s="1714"/>
      <c r="C1250" s="1737">
        <f>C1246*C1233*D1229</f>
        <v>0</v>
      </c>
      <c r="D1250" s="1720"/>
      <c r="E1250" s="1720"/>
      <c r="F1250" s="1720"/>
      <c r="G1250" s="1720"/>
      <c r="H1250" s="1720"/>
      <c r="I1250" s="1728"/>
      <c r="J1250" s="1585"/>
      <c r="K1250" s="1733"/>
      <c r="L1250" s="1733"/>
      <c r="M1250" s="1733"/>
      <c r="N1250" s="1733"/>
      <c r="O1250" s="1733"/>
      <c r="P1250" s="1733"/>
      <c r="Q1250" s="1584"/>
      <c r="R1250" s="1725"/>
      <c r="S1250" s="1674"/>
      <c r="T1250" s="1674"/>
      <c r="U1250" s="1674"/>
      <c r="V1250" s="1674"/>
      <c r="W1250" s="1380"/>
      <c r="X1250" s="1380"/>
      <c r="Y1250" s="1380"/>
    </row>
    <row r="1251" spans="1:25" s="1355" customFormat="1" ht="15.75" customHeight="1" outlineLevel="1">
      <c r="A1251" s="1733" t="s">
        <v>2784</v>
      </c>
      <c r="B1251" s="1714"/>
      <c r="C1251" s="1714">
        <f>(C1240*2+C1239*2+C1238)*C1232*C1241</f>
        <v>34.659046063504967</v>
      </c>
      <c r="D1251" s="1720"/>
      <c r="E1251" s="1720"/>
      <c r="F1251" s="1720"/>
      <c r="G1251" s="1720"/>
      <c r="H1251" s="1720"/>
      <c r="I1251" s="1728"/>
      <c r="J1251" s="1585"/>
      <c r="K1251" s="1733"/>
      <c r="L1251" s="1733"/>
      <c r="M1251" s="1733"/>
      <c r="N1251" s="1733"/>
      <c r="O1251" s="1733"/>
      <c r="P1251" s="1733"/>
      <c r="Q1251" s="1584"/>
      <c r="R1251" s="1725"/>
      <c r="S1251" s="1674"/>
      <c r="T1251" s="1674"/>
      <c r="U1251" s="1674"/>
      <c r="V1251" s="1674"/>
      <c r="W1251" s="1380"/>
      <c r="X1251" s="1380"/>
      <c r="Y1251" s="1380"/>
    </row>
    <row r="1252" spans="1:25" s="1355" customFormat="1" ht="15.75" customHeight="1" outlineLevel="1">
      <c r="A1252" s="1733" t="s">
        <v>3537</v>
      </c>
      <c r="B1252" s="1714"/>
      <c r="C1252" s="1714">
        <f>C1245*C1241*C1232</f>
        <v>16</v>
      </c>
      <c r="D1252" s="1720"/>
      <c r="E1252" s="1720"/>
      <c r="F1252" s="1720"/>
      <c r="G1252" s="1720"/>
      <c r="H1252" s="1720"/>
      <c r="I1252" s="1728"/>
      <c r="J1252" s="1585"/>
      <c r="K1252" s="1733"/>
      <c r="L1252" s="1733"/>
      <c r="M1252" s="1733"/>
      <c r="N1252" s="1733"/>
      <c r="O1252" s="1733"/>
      <c r="P1252" s="1733"/>
      <c r="Q1252" s="1584"/>
      <c r="R1252" s="1725"/>
      <c r="S1252" s="1674"/>
      <c r="T1252" s="1674"/>
      <c r="U1252" s="1674"/>
      <c r="V1252" s="1674"/>
      <c r="W1252" s="1380"/>
      <c r="X1252" s="1380"/>
      <c r="Y1252" s="1380"/>
    </row>
    <row r="1253" spans="1:25" s="1355" customFormat="1" ht="15.75" customHeight="1" outlineLevel="1">
      <c r="A1253" s="1733" t="s">
        <v>2785</v>
      </c>
      <c r="B1253" s="1714"/>
      <c r="C1253" s="1714">
        <f>(C1240*2+C1239*2+C1238)*C1233*C1246</f>
        <v>23.828094168659664</v>
      </c>
      <c r="D1253" s="1720"/>
      <c r="E1253" s="1720"/>
      <c r="F1253" s="1720"/>
      <c r="G1253" s="1720"/>
      <c r="H1253" s="1720"/>
      <c r="I1253" s="1728"/>
      <c r="J1253" s="1585"/>
      <c r="K1253" s="1733"/>
      <c r="L1253" s="1733"/>
      <c r="M1253" s="1733"/>
      <c r="N1253" s="1733"/>
      <c r="O1253" s="1733"/>
      <c r="P1253" s="1733"/>
      <c r="Q1253" s="1584"/>
      <c r="R1253" s="1725"/>
      <c r="S1253" s="1674"/>
      <c r="T1253" s="1674"/>
      <c r="U1253" s="1674"/>
      <c r="V1253" s="1674"/>
      <c r="W1253" s="1380"/>
      <c r="X1253" s="1380"/>
      <c r="Y1253" s="1380"/>
    </row>
    <row r="1254" spans="1:25" s="1355" customFormat="1" ht="15.75" customHeight="1" outlineLevel="1">
      <c r="A1254" s="1733" t="s">
        <v>3538</v>
      </c>
      <c r="B1254" s="1714"/>
      <c r="C1254" s="1714">
        <f>C1245*C1246*C1233</f>
        <v>11</v>
      </c>
      <c r="D1254" s="1720"/>
      <c r="E1254" s="1720"/>
      <c r="F1254" s="1720"/>
      <c r="G1254" s="1720"/>
      <c r="H1254" s="1720"/>
      <c r="I1254" s="1728"/>
      <c r="J1254" s="1585"/>
      <c r="K1254" s="1733"/>
      <c r="L1254" s="1733"/>
      <c r="M1254" s="1733"/>
      <c r="N1254" s="1733"/>
      <c r="O1254" s="1733"/>
      <c r="P1254" s="1733"/>
      <c r="Q1254" s="1584"/>
      <c r="R1254" s="1725"/>
      <c r="S1254" s="1674"/>
      <c r="T1254" s="1674"/>
      <c r="U1254" s="1674"/>
      <c r="V1254" s="1674"/>
      <c r="W1254" s="1380"/>
      <c r="X1254" s="1380"/>
      <c r="Y1254" s="1380"/>
    </row>
    <row r="1255" spans="1:25" s="1355" customFormat="1" ht="15.75" customHeight="1" outlineLevel="1">
      <c r="A1255" s="1733" t="s">
        <v>3539</v>
      </c>
      <c r="B1255" s="1714"/>
      <c r="C1255" s="1714">
        <f>(C1240*2+C1239*2+C1238)*C1232*D1235*E1235</f>
        <v>2.1661903789690604</v>
      </c>
      <c r="D1255" s="1720"/>
      <c r="E1255" s="1720"/>
      <c r="F1255" s="1720"/>
      <c r="G1255" s="1720"/>
      <c r="H1255" s="1720"/>
      <c r="I1255" s="1728"/>
      <c r="J1255" s="1585"/>
      <c r="K1255" s="1733"/>
      <c r="L1255" s="1733"/>
      <c r="M1255" s="1733"/>
      <c r="N1255" s="1733"/>
      <c r="O1255" s="1733"/>
      <c r="P1255" s="1733"/>
      <c r="Q1255" s="1584"/>
      <c r="R1255" s="1725"/>
      <c r="S1255" s="1674"/>
      <c r="T1255" s="1674"/>
      <c r="U1255" s="1674"/>
      <c r="V1255" s="1674"/>
      <c r="W1255" s="1380"/>
      <c r="X1255" s="1380"/>
      <c r="Y1255" s="1380"/>
    </row>
    <row r="1256" spans="1:25" s="1355" customFormat="1" ht="15.75" customHeight="1" outlineLevel="1">
      <c r="A1256" s="1733" t="s">
        <v>3540</v>
      </c>
      <c r="B1256" s="1714"/>
      <c r="C1256" s="1714">
        <f>(C1240*2+C1239*2+C1238)*C1232*D1236*E1236</f>
        <v>2.1661903789690604</v>
      </c>
      <c r="D1256" s="1720"/>
      <c r="E1256" s="1720"/>
      <c r="F1256" s="1720"/>
      <c r="G1256" s="1720"/>
      <c r="H1256" s="1720"/>
      <c r="I1256" s="1728"/>
      <c r="J1256" s="1585"/>
      <c r="K1256" s="1733"/>
      <c r="L1256" s="1733"/>
      <c r="M1256" s="1733"/>
      <c r="N1256" s="1733"/>
      <c r="O1256" s="1733"/>
      <c r="P1256" s="1733"/>
      <c r="Q1256" s="1584"/>
      <c r="R1256" s="1725"/>
      <c r="S1256" s="1674"/>
      <c r="T1256" s="1674"/>
      <c r="U1256" s="1674"/>
      <c r="V1256" s="1674"/>
      <c r="W1256" s="1380"/>
      <c r="X1256" s="1380"/>
      <c r="Y1256" s="1380"/>
    </row>
    <row r="1257" spans="1:25" s="1355" customFormat="1" ht="15.75" customHeight="1" outlineLevel="1">
      <c r="A1257" s="1733" t="s">
        <v>2661</v>
      </c>
      <c r="B1257" s="1714"/>
      <c r="C1257" s="1714">
        <f>(C1240*2+C1239*2+C1238)*C1232*D1237*E1237</f>
        <v>2.1661903789690604</v>
      </c>
      <c r="D1257" s="1720"/>
      <c r="E1257" s="1720"/>
      <c r="F1257" s="1720"/>
      <c r="G1257" s="1720"/>
      <c r="H1257" s="1720"/>
      <c r="I1257" s="1728"/>
      <c r="J1257" s="1585"/>
      <c r="K1257" s="1733"/>
      <c r="L1257" s="1733"/>
      <c r="M1257" s="1733"/>
      <c r="N1257" s="1733"/>
      <c r="O1257" s="1733"/>
      <c r="P1257" s="1733"/>
      <c r="Q1257" s="1584"/>
      <c r="R1257" s="1725"/>
      <c r="S1257" s="1674"/>
      <c r="T1257" s="1674"/>
      <c r="U1257" s="1674"/>
      <c r="V1257" s="1674"/>
      <c r="W1257" s="1380"/>
      <c r="X1257" s="1380"/>
      <c r="Y1257" s="1380"/>
    </row>
    <row r="1258" spans="1:25" s="1355" customFormat="1" ht="15.75" customHeight="1" outlineLevel="1">
      <c r="A1258" s="1738" t="s">
        <v>3541</v>
      </c>
      <c r="B1258" s="1739" t="s">
        <v>133</v>
      </c>
      <c r="C1258" s="1739">
        <f>C1251+C1253+C1255+C1256+C1257</f>
        <v>64.985711369071822</v>
      </c>
      <c r="D1258" s="1720">
        <f>(P1238+P1239*2+P1240*2)*(P1244-P1243+C1233*(P1246-P1245))+D1275*(D1235*E1235+D1236*E1236+D1237*E1237)</f>
        <v>57.404045042680089</v>
      </c>
      <c r="E1258" s="1720"/>
      <c r="F1258" s="1582"/>
      <c r="G1258" s="1583"/>
      <c r="H1258" s="1583"/>
      <c r="I1258" s="1728"/>
      <c r="J1258" s="1585"/>
      <c r="K1258" s="1733" t="s">
        <v>2047</v>
      </c>
      <c r="L1258" s="1733"/>
      <c r="M1258" s="1733"/>
      <c r="N1258" s="1733"/>
      <c r="O1258" s="1733"/>
      <c r="P1258" s="1733">
        <f>'Ввод данных'!BD441</f>
        <v>5.0999999999999996</v>
      </c>
      <c r="Q1258" s="1740"/>
      <c r="R1258" s="1584"/>
      <c r="S1258" s="1584"/>
      <c r="T1258" s="1584"/>
      <c r="U1258" s="1584"/>
      <c r="V1258" s="1674"/>
      <c r="W1258" s="1380"/>
      <c r="X1258" s="1380"/>
      <c r="Y1258" s="1380"/>
    </row>
    <row r="1259" spans="1:25" s="1355" customFormat="1" ht="15.75" customHeight="1" outlineLevel="1">
      <c r="A1259" s="1733" t="s">
        <v>3542</v>
      </c>
      <c r="B1259" s="1726" t="s">
        <v>133</v>
      </c>
      <c r="C1259" s="1726">
        <f>C1258</f>
        <v>64.985711369071822</v>
      </c>
      <c r="D1259" s="1733">
        <f>D1258-F1259-F1260-F1261-F1265-F1266</f>
        <v>57.404045042680089</v>
      </c>
      <c r="E1259" s="1720"/>
      <c r="F1259" s="1719"/>
      <c r="G1259" s="1583"/>
      <c r="H1259" s="1583"/>
      <c r="I1259" s="1728"/>
      <c r="J1259" s="1585"/>
      <c r="K1259" s="1733" t="s">
        <v>1546</v>
      </c>
      <c r="L1259" s="1733"/>
      <c r="M1259" s="1733"/>
      <c r="N1259" s="1733"/>
      <c r="O1259" s="1733"/>
      <c r="P1259" s="1733">
        <f>'Ввод данных'!BD442</f>
        <v>6.2</v>
      </c>
      <c r="Q1259" s="1740"/>
      <c r="R1259" s="1584"/>
      <c r="S1259" s="1584"/>
      <c r="T1259" s="1584"/>
      <c r="U1259" s="1584"/>
      <c r="V1259" s="1674"/>
      <c r="W1259" s="1380"/>
      <c r="X1259" s="1380"/>
      <c r="Y1259" s="1380"/>
    </row>
    <row r="1260" spans="1:25" s="1355" customFormat="1" ht="15.75" customHeight="1" outlineLevel="1">
      <c r="A1260" s="1741" t="s">
        <v>3543</v>
      </c>
      <c r="B1260" s="1741"/>
      <c r="C1260" s="1742" t="s">
        <v>120</v>
      </c>
      <c r="D1260" s="1743" t="s">
        <v>853</v>
      </c>
      <c r="E1260" s="1727">
        <v>1</v>
      </c>
      <c r="F1260" s="1719"/>
      <c r="G1260" s="1583"/>
      <c r="H1260" s="1583"/>
      <c r="I1260" s="1728"/>
      <c r="J1260" s="1585"/>
      <c r="K1260" s="1727" t="s">
        <v>2048</v>
      </c>
      <c r="L1260" s="1727"/>
      <c r="M1260" s="1727"/>
      <c r="N1260" s="1727"/>
      <c r="O1260" s="1733"/>
      <c r="P1260" s="1733">
        <f>'Ввод данных'!BD443</f>
        <v>25</v>
      </c>
      <c r="Q1260" s="1740"/>
      <c r="R1260" s="1584"/>
      <c r="S1260" s="1584"/>
      <c r="T1260" s="1584"/>
      <c r="U1260" s="1584"/>
      <c r="V1260" s="1674"/>
      <c r="W1260" s="1380"/>
      <c r="X1260" s="1380"/>
      <c r="Y1260" s="1380"/>
    </row>
    <row r="1261" spans="1:25" s="1355" customFormat="1" ht="15.75" customHeight="1" outlineLevel="1">
      <c r="A1261" s="1744" t="s">
        <v>3544</v>
      </c>
      <c r="B1261" s="1745"/>
      <c r="C1261" s="1726" t="s">
        <v>156</v>
      </c>
      <c r="D1261" s="1733">
        <f>SQRT((C1245/2)*(C1245/2)+C1243*C1243)</f>
        <v>3.3301651610693419</v>
      </c>
      <c r="E1261" s="1746"/>
      <c r="F1261" s="1719"/>
      <c r="G1261" s="1674"/>
      <c r="H1261" s="1674"/>
      <c r="I1261" s="1728"/>
      <c r="J1261" s="1585"/>
      <c r="K1261" s="1727" t="s">
        <v>2048</v>
      </c>
      <c r="L1261" s="1727"/>
      <c r="M1261" s="1727"/>
      <c r="N1261" s="1727"/>
      <c r="O1261" s="1733"/>
      <c r="P1261" s="1733">
        <f>'Ввод данных'!BD444</f>
        <v>20</v>
      </c>
      <c r="Q1261" s="1740"/>
      <c r="R1261" s="1584"/>
      <c r="S1261" s="1584"/>
      <c r="T1261" s="1584"/>
      <c r="U1261" s="1584"/>
      <c r="V1261" s="1674"/>
      <c r="W1261" s="1380"/>
      <c r="X1261" s="1380"/>
      <c r="Y1261" s="1380"/>
    </row>
    <row r="1262" spans="1:25" s="1355" customFormat="1" ht="15.75" customHeight="1" outlineLevel="1">
      <c r="A1262" s="1747" t="s">
        <v>3545</v>
      </c>
      <c r="B1262" s="1748"/>
      <c r="C1262" s="1742" t="s">
        <v>156</v>
      </c>
      <c r="D1262" s="1715">
        <f>'Ввод данных'!C433</f>
        <v>0.8</v>
      </c>
      <c r="E1262" s="1746"/>
      <c r="F1262" s="1719"/>
      <c r="G1262" s="1674"/>
      <c r="H1262" s="1674"/>
      <c r="I1262" s="1728"/>
      <c r="J1262" s="1585"/>
      <c r="K1262" s="1721"/>
      <c r="L1262" s="1721"/>
      <c r="M1262" s="1721"/>
      <c r="N1262" s="1721"/>
      <c r="O1262" s="1584"/>
      <c r="P1262" s="1584"/>
      <c r="Q1262" s="1740"/>
      <c r="R1262" s="1584"/>
      <c r="S1262" s="1584"/>
      <c r="T1262" s="1584"/>
      <c r="U1262" s="1584"/>
      <c r="V1262" s="1674"/>
      <c r="W1262" s="1380"/>
      <c r="X1262" s="1380"/>
      <c r="Y1262" s="1380"/>
    </row>
    <row r="1263" spans="1:25" s="1355" customFormat="1" ht="15.75" customHeight="1" outlineLevel="1">
      <c r="A1263" s="1744" t="s">
        <v>3546</v>
      </c>
      <c r="B1263" s="1745"/>
      <c r="C1263" s="1726" t="s">
        <v>3434</v>
      </c>
      <c r="D1263" s="1733">
        <f>C1243/D1261</f>
        <v>0.66062789489202456</v>
      </c>
      <c r="E1263" s="1746"/>
      <c r="F1263" s="1719"/>
      <c r="G1263" s="1674"/>
      <c r="H1263" s="1674"/>
      <c r="I1263" s="1728"/>
      <c r="J1263" s="1585"/>
      <c r="K1263" s="1721"/>
      <c r="L1263" s="1721"/>
      <c r="M1263" s="1721"/>
      <c r="N1263" s="1721"/>
      <c r="O1263" s="1584"/>
      <c r="P1263" s="1584"/>
      <c r="Q1263" s="1740"/>
      <c r="R1263" s="1584"/>
      <c r="S1263" s="1584"/>
      <c r="T1263" s="1584"/>
      <c r="U1263" s="1584"/>
      <c r="V1263" s="1674"/>
      <c r="W1263" s="1380"/>
      <c r="X1263" s="1380"/>
      <c r="Y1263" s="1380"/>
    </row>
    <row r="1264" spans="1:25" s="1355" customFormat="1" ht="15.75" customHeight="1" outlineLevel="1">
      <c r="A1264" s="1744" t="s">
        <v>3547</v>
      </c>
      <c r="B1264" s="1749"/>
      <c r="C1264" s="1749"/>
      <c r="D1264" s="1676">
        <f>D1262/COS(D1263)</f>
        <v>1.013162112026766</v>
      </c>
      <c r="E1264" s="1746"/>
      <c r="F1264" s="1719"/>
      <c r="G1264" s="1674"/>
      <c r="H1264" s="1674"/>
      <c r="I1264" s="1728"/>
      <c r="J1264" s="1585"/>
      <c r="K1264" s="1721"/>
      <c r="L1264" s="1721"/>
      <c r="M1264" s="1721"/>
      <c r="N1264" s="1721"/>
      <c r="O1264" s="1584"/>
      <c r="P1264" s="1584"/>
      <c r="Q1264" s="1740"/>
      <c r="R1264" s="1584"/>
      <c r="S1264" s="1584"/>
      <c r="T1264" s="1584"/>
      <c r="U1264" s="1584"/>
      <c r="V1264" s="1674"/>
      <c r="W1264" s="1380"/>
      <c r="X1264" s="1380"/>
      <c r="Y1264" s="1380"/>
    </row>
    <row r="1265" spans="1:25" s="1355" customFormat="1" ht="15.75" customHeight="1" outlineLevel="1">
      <c r="A1265" s="1744" t="s">
        <v>3548</v>
      </c>
      <c r="B1265" s="1745"/>
      <c r="C1265" s="1726" t="s">
        <v>156</v>
      </c>
      <c r="D1265" s="1733">
        <f>SQRT(D1261*D1261+C1240*C1240)</f>
        <v>3.6523964735499344</v>
      </c>
      <c r="E1265" s="1746"/>
      <c r="F1265" s="1719"/>
      <c r="G1265" s="1674"/>
      <c r="H1265" s="1674"/>
      <c r="I1265" s="1728"/>
      <c r="J1265" s="1585"/>
      <c r="K1265" s="1721"/>
      <c r="L1265" s="1721"/>
      <c r="M1265" s="1721"/>
      <c r="N1265" s="1721"/>
      <c r="O1265" s="1584"/>
      <c r="P1265" s="1584"/>
      <c r="Q1265" s="1740"/>
      <c r="R1265" s="1584"/>
      <c r="S1265" s="1584"/>
      <c r="T1265" s="1584"/>
      <c r="U1265" s="1584"/>
      <c r="V1265" s="1674"/>
      <c r="W1265" s="1380"/>
      <c r="X1265" s="1380"/>
      <c r="Y1265" s="1380"/>
    </row>
    <row r="1266" spans="1:25" s="1355" customFormat="1" ht="15.75" customHeight="1" outlineLevel="1">
      <c r="A1266" s="1744" t="s">
        <v>3549</v>
      </c>
      <c r="B1266" s="1745"/>
      <c r="C1266" s="1726" t="s">
        <v>156</v>
      </c>
      <c r="D1266" s="1733">
        <f>SQRT(D1265*D1265+C1239*C1239)</f>
        <v>4.6733285782191683</v>
      </c>
      <c r="E1266" s="1746"/>
      <c r="F1266" s="1719"/>
      <c r="G1266" s="1583"/>
      <c r="H1266" s="1583"/>
      <c r="I1266" s="1728"/>
      <c r="J1266" s="1585"/>
      <c r="K1266" s="1721"/>
      <c r="L1266" s="1721"/>
      <c r="M1266" s="1721"/>
      <c r="N1266" s="1721"/>
      <c r="O1266" s="1584"/>
      <c r="P1266" s="1584"/>
      <c r="Q1266" s="1740"/>
      <c r="R1266" s="1584"/>
      <c r="S1266" s="1584"/>
      <c r="T1266" s="1584"/>
      <c r="U1266" s="1584"/>
      <c r="V1266" s="1674"/>
      <c r="W1266" s="1380"/>
      <c r="X1266" s="1380"/>
      <c r="Y1266" s="1380"/>
    </row>
    <row r="1267" spans="1:25" s="1355" customFormat="1" ht="15.75" customHeight="1" outlineLevel="1">
      <c r="A1267" s="1747" t="s">
        <v>2609</v>
      </c>
      <c r="B1267" s="1748"/>
      <c r="C1267" s="1742" t="s">
        <v>133</v>
      </c>
      <c r="D1267" s="1743">
        <f>D1261*C1240+D1265*C1239*1.1+(C1238/2)*SQRT(C1244*C1244+C1243*C1243)</f>
        <v>21.273654101804102</v>
      </c>
      <c r="E1267" s="1746"/>
      <c r="F1267" s="1584"/>
      <c r="G1267" s="1583"/>
      <c r="H1267" s="1583"/>
      <c r="I1267" s="1728"/>
      <c r="J1267" s="1585" t="s">
        <v>3236</v>
      </c>
      <c r="K1267" s="1721"/>
      <c r="L1267" s="1721"/>
      <c r="M1267" s="1721"/>
      <c r="N1267" s="1721"/>
      <c r="O1267" s="1584"/>
      <c r="P1267" s="1584"/>
      <c r="Q1267" s="1740"/>
      <c r="R1267" s="1584"/>
      <c r="S1267" s="1584"/>
      <c r="T1267" s="1584"/>
      <c r="U1267" s="1584"/>
      <c r="V1267" s="1674"/>
      <c r="W1267" s="1380"/>
      <c r="X1267" s="1380"/>
      <c r="Y1267" s="1380"/>
    </row>
    <row r="1268" spans="1:25" s="1355" customFormat="1" ht="15.75" customHeight="1" outlineLevel="1">
      <c r="A1268" s="1744" t="s">
        <v>3550</v>
      </c>
      <c r="B1268" s="1745"/>
      <c r="C1268" s="1726" t="s">
        <v>156</v>
      </c>
      <c r="D1268" s="1733">
        <f>D1261+D1264</f>
        <v>4.3433272730961079</v>
      </c>
      <c r="E1268" s="1746"/>
      <c r="F1268" s="1720" t="s">
        <v>3551</v>
      </c>
      <c r="G1268" s="1742">
        <f>(C1241+C1246*C1233+D1235*E1235+D1236*E1236+D1237*E1237)*C1245</f>
        <v>30.000000000000004</v>
      </c>
      <c r="H1268" s="1750"/>
      <c r="I1268" s="1751">
        <f>((P1244-P1243+C1233*(P1246-P1245))+D1275*(D1236*E1236+D1237*E1237))*P1232</f>
        <v>45.161903789690605</v>
      </c>
      <c r="J1268" s="1752">
        <f>I1268*пристройка!AF190+G1268*пристройка!AF191</f>
        <v>30.000000000000004</v>
      </c>
      <c r="K1268" s="1721"/>
      <c r="L1268" s="1721"/>
      <c r="M1268" s="1721"/>
      <c r="N1268" s="1721"/>
      <c r="O1268" s="1584"/>
      <c r="P1268" s="1584"/>
      <c r="Q1268" s="1584"/>
      <c r="R1268" s="1584"/>
      <c r="S1268" s="1584"/>
      <c r="T1268" s="1584"/>
      <c r="U1268" s="1584"/>
      <c r="V1268" s="1674"/>
      <c r="W1268" s="1380"/>
      <c r="X1268" s="1380"/>
      <c r="Y1268" s="1380"/>
    </row>
    <row r="1269" spans="1:25" s="1355" customFormat="1" ht="15.75" customHeight="1" outlineLevel="1">
      <c r="A1269" s="1744" t="s">
        <v>3552</v>
      </c>
      <c r="B1269" s="1745"/>
      <c r="C1269" s="1726" t="s">
        <v>156</v>
      </c>
      <c r="D1269" s="1733">
        <f>D1265+D1264</f>
        <v>4.6655585855767008</v>
      </c>
      <c r="E1269" s="1746"/>
      <c r="F1269" s="1720"/>
      <c r="G1269" s="1583"/>
      <c r="H1269" s="1583"/>
      <c r="I1269" s="1728" t="s">
        <v>3553</v>
      </c>
      <c r="J1269" s="1752">
        <f>C1259*пристройка!AF191+D1259*пристройка!AF190</f>
        <v>64.985711369071822</v>
      </c>
      <c r="K1269" s="1721"/>
      <c r="L1269" s="1721"/>
      <c r="M1269" s="1721"/>
      <c r="N1269" s="1721"/>
      <c r="O1269" s="1584"/>
      <c r="P1269" s="1584"/>
      <c r="Q1269" s="1584"/>
      <c r="R1269" s="1584"/>
      <c r="S1269" s="1584"/>
      <c r="T1269" s="1584"/>
      <c r="U1269" s="1584"/>
      <c r="V1269" s="1674"/>
      <c r="W1269" s="1380"/>
      <c r="X1269" s="1380"/>
      <c r="Y1269" s="1380"/>
    </row>
    <row r="1270" spans="1:25" s="1355" customFormat="1" ht="15.75" customHeight="1" outlineLevel="1">
      <c r="A1270" s="1744" t="s">
        <v>3554</v>
      </c>
      <c r="B1270" s="1745"/>
      <c r="C1270" s="1726" t="s">
        <v>156</v>
      </c>
      <c r="D1270" s="1733">
        <f>D1266+D1264</f>
        <v>5.6864906902459342</v>
      </c>
      <c r="E1270" s="1746"/>
      <c r="F1270" s="1753" t="s">
        <v>3555</v>
      </c>
      <c r="G1270" s="1583"/>
      <c r="H1270" s="1583"/>
      <c r="I1270" s="1728">
        <f>J1269</f>
        <v>64.985711369071822</v>
      </c>
      <c r="J1270" s="1585">
        <f>J1268</f>
        <v>30.000000000000004</v>
      </c>
      <c r="K1270" s="1721"/>
      <c r="L1270" s="1721"/>
      <c r="M1270" s="1721"/>
      <c r="N1270" s="1721"/>
      <c r="O1270" s="1584"/>
      <c r="P1270" s="1584"/>
      <c r="Q1270" s="1587"/>
      <c r="R1270" s="1587"/>
      <c r="S1270" s="1746"/>
      <c r="T1270" s="1746"/>
      <c r="U1270" s="1721"/>
      <c r="V1270" s="1674"/>
      <c r="W1270" s="1380"/>
      <c r="X1270" s="1380"/>
      <c r="Y1270" s="1380"/>
    </row>
    <row r="1271" spans="1:25" s="1355" customFormat="1" ht="15.75" customHeight="1" outlineLevel="1">
      <c r="A1271" s="1727" t="s">
        <v>3556</v>
      </c>
      <c r="B1271" s="1742"/>
      <c r="C1271" s="1742" t="s">
        <v>133</v>
      </c>
      <c r="D1271" s="1727">
        <f>D1268*C1240+D1269*C1239*1.2+SQRT(D1270*D1270-C1238/2*C1238/2)*C1238/2</f>
        <v>28.435652000758203</v>
      </c>
      <c r="E1271" s="1746"/>
      <c r="F1271" s="1746" t="s">
        <v>1873</v>
      </c>
      <c r="G1271" s="1583">
        <f>(P1259-P1258)/SIN(J1271)</f>
        <v>2.6040570890676178</v>
      </c>
      <c r="H1271" s="1583"/>
      <c r="I1271" s="1728" t="s">
        <v>2997</v>
      </c>
      <c r="J1271" s="1585">
        <f>P1260*(3.14/180)</f>
        <v>0.43611111111111117</v>
      </c>
      <c r="K1271" s="1721"/>
      <c r="L1271" s="1721"/>
      <c r="M1271" s="1721"/>
      <c r="N1271" s="1721"/>
      <c r="O1271" s="1584"/>
      <c r="P1271" s="1584"/>
      <c r="Q1271" s="1754"/>
      <c r="R1271" s="1754"/>
      <c r="S1271" s="1582"/>
      <c r="T1271" s="1584"/>
      <c r="U1271" s="1746"/>
      <c r="V1271" s="1674"/>
      <c r="W1271" s="1380"/>
      <c r="X1271" s="1380"/>
      <c r="Y1271" s="1380"/>
    </row>
    <row r="1272" spans="1:25" s="1355" customFormat="1" ht="15.75" customHeight="1" outlineLevel="1">
      <c r="A1272" s="1747" t="s">
        <v>2610</v>
      </c>
      <c r="B1272" s="1748"/>
      <c r="C1272" s="1742" t="s">
        <v>133</v>
      </c>
      <c r="D1272" s="1743">
        <f>D1271</f>
        <v>28.435652000758203</v>
      </c>
      <c r="E1272" s="1743">
        <f>D1267</f>
        <v>21.273654101804102</v>
      </c>
      <c r="F1272" s="1746"/>
      <c r="G1272" s="1583"/>
      <c r="H1272" s="1583"/>
      <c r="I1272" s="1728"/>
      <c r="J1272" s="1585"/>
      <c r="K1272" s="1721"/>
      <c r="L1272" s="1721"/>
      <c r="M1272" s="1721"/>
      <c r="N1272" s="1721"/>
      <c r="O1272" s="1584"/>
      <c r="P1272" s="1584"/>
      <c r="Q1272" s="1754"/>
      <c r="R1272" s="1754"/>
      <c r="S1272" s="1582"/>
      <c r="T1272" s="1584"/>
      <c r="U1272" s="1746"/>
      <c r="V1272" s="1674"/>
      <c r="W1272" s="1380"/>
      <c r="X1272" s="1380"/>
      <c r="Y1272" s="1380"/>
    </row>
    <row r="1273" spans="1:25" s="1355" customFormat="1" ht="15.75" customHeight="1" outlineLevel="1">
      <c r="A1273" s="1747" t="s">
        <v>3557</v>
      </c>
      <c r="B1273" s="1748"/>
      <c r="C1273" s="1742" t="s">
        <v>133</v>
      </c>
      <c r="D1273" s="1743">
        <f>D1272*1.55</f>
        <v>44.075260601175216</v>
      </c>
      <c r="E1273" s="1743"/>
      <c r="F1273" s="1746"/>
      <c r="G1273" s="1583"/>
      <c r="H1273" s="1583"/>
      <c r="I1273" s="1728"/>
      <c r="J1273" s="1585"/>
      <c r="K1273" s="1721"/>
      <c r="L1273" s="1721"/>
      <c r="M1273" s="1721"/>
      <c r="N1273" s="1721"/>
      <c r="O1273" s="1584"/>
      <c r="P1273" s="1584"/>
      <c r="Q1273" s="1754"/>
      <c r="R1273" s="1754"/>
      <c r="S1273" s="1582"/>
      <c r="T1273" s="1584"/>
      <c r="U1273" s="1746"/>
      <c r="V1273" s="1674"/>
      <c r="W1273" s="1380"/>
      <c r="X1273" s="1380"/>
      <c r="Y1273" s="1380"/>
    </row>
    <row r="1274" spans="1:25" s="1355" customFormat="1" ht="15.75" customHeight="1" outlineLevel="1">
      <c r="A1274" s="1755" t="s">
        <v>2635</v>
      </c>
      <c r="B1274" s="1756"/>
      <c r="C1274" s="1756"/>
      <c r="D1274" s="1755"/>
      <c r="E1274" s="1727">
        <v>1</v>
      </c>
      <c r="F1274" s="1746" t="s">
        <v>1874</v>
      </c>
      <c r="G1274" s="1583">
        <f>SQRT(G1271*G1271+P1239*1.1*P1239)</f>
        <v>3.0423861232794427</v>
      </c>
      <c r="H1274" s="1583"/>
      <c r="I1274" s="1728" t="s">
        <v>2997</v>
      </c>
      <c r="J1274" s="1585">
        <f>P1261*(3.14/180)</f>
        <v>0.34888888888888892</v>
      </c>
      <c r="K1274" s="1721"/>
      <c r="L1274" s="1721"/>
      <c r="M1274" s="1721"/>
      <c r="N1274" s="1721"/>
      <c r="O1274" s="1584"/>
      <c r="P1274" s="1584"/>
      <c r="Q1274" s="1753"/>
      <c r="R1274" s="1753"/>
      <c r="S1274" s="1583"/>
      <c r="T1274" s="1721"/>
      <c r="U1274" s="1746"/>
      <c r="V1274" s="1674"/>
      <c r="W1274" s="1380"/>
      <c r="X1274" s="1380"/>
      <c r="Y1274" s="1380"/>
    </row>
    <row r="1275" spans="1:25" s="1355" customFormat="1" ht="15.75" customHeight="1" outlineLevel="1">
      <c r="A1275" s="1738" t="s">
        <v>2572</v>
      </c>
      <c r="B1275" s="1739" t="s">
        <v>156</v>
      </c>
      <c r="C1275" s="1739">
        <f>C1240*2+C1239*2+C1238</f>
        <v>10.830951894845301</v>
      </c>
      <c r="D1275" s="1584">
        <f>P1238+P1239*2+P1240*2</f>
        <v>10.830951894845301</v>
      </c>
      <c r="E1275" s="1584" t="s">
        <v>2543</v>
      </c>
      <c r="F1275" s="1746" t="s">
        <v>2041</v>
      </c>
      <c r="G1275" s="1583">
        <f>(P1259-P1258)/SIN(J1274)*1.1</f>
        <v>3.5395242883640159</v>
      </c>
      <c r="H1275" s="1583"/>
      <c r="I1275" s="1728"/>
      <c r="J1275" s="1585"/>
      <c r="K1275" s="1584"/>
      <c r="L1275" s="1584"/>
      <c r="M1275" s="1584"/>
      <c r="N1275" s="1584"/>
      <c r="O1275" s="1584"/>
      <c r="P1275" s="1584"/>
      <c r="Q1275" s="1754"/>
      <c r="R1275" s="1754"/>
      <c r="S1275" s="1582"/>
      <c r="T1275" s="1584"/>
      <c r="U1275" s="1746"/>
      <c r="V1275" s="1674"/>
      <c r="W1275" s="1380"/>
      <c r="X1275" s="1380"/>
      <c r="Y1275" s="1380"/>
    </row>
    <row r="1276" spans="1:25" s="1355" customFormat="1" ht="15.75" customHeight="1" outlineLevel="1">
      <c r="A1276" s="1733" t="s">
        <v>3558</v>
      </c>
      <c r="B1276" s="1739"/>
      <c r="C1276" s="1739">
        <f>E1272*пристройка!AF191+G1280*пристройка!AF190</f>
        <v>21.273654101804102</v>
      </c>
      <c r="D1276" s="1584"/>
      <c r="E1276" s="1584"/>
      <c r="F1276" s="1746" t="s">
        <v>3559</v>
      </c>
      <c r="G1276" s="1583">
        <f>G1275*1.05</f>
        <v>3.7165005027822167</v>
      </c>
      <c r="H1276" s="1583"/>
      <c r="I1276" s="1728"/>
      <c r="J1276" s="1585"/>
      <c r="K1276" s="1584"/>
      <c r="L1276" s="1584"/>
      <c r="M1276" s="1584"/>
      <c r="N1276" s="1584"/>
      <c r="O1276" s="1675"/>
      <c r="P1276" s="1584"/>
      <c r="Q1276" s="1754"/>
      <c r="R1276" s="1754"/>
      <c r="S1276" s="1582"/>
      <c r="T1276" s="1584"/>
      <c r="U1276" s="1746"/>
      <c r="V1276" s="1674"/>
      <c r="W1276" s="1380"/>
      <c r="X1276" s="1380"/>
      <c r="Y1276" s="1380"/>
    </row>
    <row r="1277" spans="1:25" s="1355" customFormat="1" ht="15.75" customHeight="1" outlineLevel="1">
      <c r="A1277" s="1733" t="s">
        <v>3427</v>
      </c>
      <c r="B1277" s="1726" t="s">
        <v>133</v>
      </c>
      <c r="C1277" s="1726">
        <f>C1235*E1235+C1236*E1237</f>
        <v>32.5</v>
      </c>
      <c r="D1277" s="1584"/>
      <c r="E1277" s="1584"/>
      <c r="F1277" s="1746" t="s">
        <v>3560</v>
      </c>
      <c r="G1277" s="1583">
        <f>G1271*P1239</f>
        <v>3.9060856336014265</v>
      </c>
      <c r="H1277" s="1583"/>
      <c r="I1277" s="1728"/>
      <c r="J1277" s="1585"/>
      <c r="K1277" s="1584"/>
      <c r="L1277" s="1584"/>
      <c r="M1277" s="1584"/>
      <c r="N1277" s="1584"/>
      <c r="O1277" s="1719"/>
      <c r="P1277" s="1719"/>
      <c r="Q1277" s="1754"/>
      <c r="R1277" s="1754"/>
      <c r="S1277" s="1582"/>
      <c r="T1277" s="1584"/>
      <c r="U1277" s="1746"/>
      <c r="V1277" s="1674"/>
      <c r="W1277" s="1380"/>
      <c r="X1277" s="1380"/>
      <c r="Y1277" s="1380"/>
    </row>
    <row r="1278" spans="1:25" s="1355" customFormat="1" ht="15.75" customHeight="1" outlineLevel="1">
      <c r="A1278" s="1676"/>
      <c r="B1278" s="1757"/>
      <c r="C1278" s="1757"/>
      <c r="D1278" s="1676"/>
      <c r="E1278" s="1695"/>
      <c r="F1278" s="1746" t="s">
        <v>3561</v>
      </c>
      <c r="G1278" s="1583">
        <f>G1274*P1240</f>
        <v>8.8700035651936577</v>
      </c>
      <c r="H1278" s="1583"/>
      <c r="I1278" s="1728"/>
      <c r="J1278" s="1585"/>
      <c r="K1278" s="1584"/>
      <c r="L1278" s="1584"/>
      <c r="M1278" s="1584"/>
      <c r="N1278" s="1584"/>
      <c r="O1278" s="1719"/>
      <c r="P1278" s="1719"/>
      <c r="Q1278" s="1754"/>
      <c r="R1278" s="1754"/>
      <c r="S1278" s="1582"/>
      <c r="T1278" s="1584"/>
      <c r="U1278" s="1746"/>
      <c r="V1278" s="1674"/>
      <c r="W1278" s="1380"/>
      <c r="X1278" s="1380"/>
      <c r="Y1278" s="1380"/>
    </row>
    <row r="1279" spans="1:25" s="1355" customFormat="1" ht="15.75" customHeight="1" outlineLevel="1">
      <c r="A1279" s="1733" t="s">
        <v>3562</v>
      </c>
      <c r="B1279" s="1726"/>
      <c r="C1279" s="1726">
        <f>(C1240*C1245+(C1244-C1240)*C1238+(C1244-C1240)*((C1245-C1238)/2))*E1235</f>
        <v>16.25</v>
      </c>
      <c r="D1279" s="1584"/>
      <c r="E1279" s="1584"/>
      <c r="F1279" s="1746" t="s">
        <v>3563</v>
      </c>
      <c r="G1279" s="1583">
        <f>G1275*P1238*1.05/2</f>
        <v>3.7165005027822167</v>
      </c>
      <c r="H1279" s="1583"/>
      <c r="I1279" s="1728"/>
      <c r="J1279" s="1585"/>
      <c r="K1279" s="1584"/>
      <c r="L1279" s="1584"/>
      <c r="M1279" s="1584"/>
      <c r="N1279" s="1584"/>
      <c r="O1279" s="1719"/>
      <c r="P1279" s="1719"/>
      <c r="Q1279" s="1753"/>
      <c r="R1279" s="1753"/>
      <c r="S1279" s="1583"/>
      <c r="T1279" s="1746"/>
      <c r="U1279" s="1746"/>
      <c r="V1279" s="1674"/>
      <c r="W1279" s="1380"/>
      <c r="X1279" s="1380"/>
      <c r="Y1279" s="1380"/>
    </row>
    <row r="1280" spans="1:25" s="1355" customFormat="1" ht="15.75" customHeight="1" outlineLevel="1">
      <c r="A1280" s="1758" t="s">
        <v>3564</v>
      </c>
      <c r="B1280" s="1726" t="s">
        <v>156</v>
      </c>
      <c r="C1280" s="1726">
        <f>(D1268*2*1.1)*E1285+G1271*2*1.1*E1284</f>
        <v>9.5553200008114381</v>
      </c>
      <c r="D1280" s="1720"/>
      <c r="E1280" s="1720"/>
      <c r="F1280" s="1746"/>
      <c r="G1280" s="1583">
        <f>SUM(G1276:G1279)</f>
        <v>20.209090204359519</v>
      </c>
      <c r="H1280" s="1583"/>
      <c r="I1280" s="1728" t="s">
        <v>3565</v>
      </c>
      <c r="J1280" s="1585"/>
      <c r="K1280" s="1759"/>
      <c r="L1280" s="1759"/>
      <c r="M1280" s="1759"/>
      <c r="N1280" s="1759"/>
      <c r="O1280" s="1719"/>
      <c r="P1280" s="1719"/>
      <c r="Q1280" s="1754"/>
      <c r="R1280" s="1754"/>
      <c r="S1280" s="1582"/>
      <c r="T1280" s="1584"/>
      <c r="U1280" s="1746"/>
      <c r="V1280" s="1674"/>
      <c r="W1280" s="1380"/>
      <c r="X1280" s="1380"/>
      <c r="Y1280" s="1380"/>
    </row>
    <row r="1281" spans="1:25" s="1355" customFormat="1" ht="15.75" customHeight="1" outlineLevel="1">
      <c r="A1281" s="1758" t="s">
        <v>3566</v>
      </c>
      <c r="B1281" s="1726" t="s">
        <v>156</v>
      </c>
      <c r="C1281" s="1726">
        <f>(D1269*2*1.1+D1270*2*1.1)*E1285+(G1274*2*1.1+G1275*2*1.1)*E1284</f>
        <v>22.774508406809801</v>
      </c>
      <c r="D1281" s="1720"/>
      <c r="E1281" s="1720"/>
      <c r="F1281" s="1746"/>
      <c r="G1281" s="1742">
        <f>G1280*1.5</f>
        <v>30.313635306539279</v>
      </c>
      <c r="H1281" s="1742"/>
      <c r="I1281" s="1760" t="s">
        <v>3567</v>
      </c>
      <c r="J1281" s="1585"/>
      <c r="K1281" s="1759"/>
      <c r="L1281" s="1759"/>
      <c r="M1281" s="1759"/>
      <c r="N1281" s="1759"/>
      <c r="O1281" s="1719"/>
      <c r="P1281" s="1719"/>
      <c r="Q1281" s="1754"/>
      <c r="R1281" s="1754"/>
      <c r="S1281" s="1582"/>
      <c r="T1281" s="1584"/>
      <c r="U1281" s="1746"/>
      <c r="V1281" s="1674"/>
      <c r="W1281" s="1380"/>
      <c r="X1281" s="1380"/>
      <c r="Y1281" s="1380"/>
    </row>
    <row r="1282" spans="1:25" s="1355" customFormat="1" ht="15.75" customHeight="1" outlineLevel="1">
      <c r="A1282" s="1758" t="s">
        <v>3516</v>
      </c>
      <c r="B1282" s="1726" t="s">
        <v>156</v>
      </c>
      <c r="C1282" s="1726">
        <f>C1240*D1240*1.3*2+C1239*1.3*2+C1238*1.3</f>
        <v>14.080237463298891</v>
      </c>
      <c r="D1282" s="1720"/>
      <c r="E1282" s="1720"/>
      <c r="F1282" s="1584" t="s">
        <v>3568</v>
      </c>
      <c r="G1282" s="1583"/>
      <c r="H1282" s="1583"/>
      <c r="I1282" s="1728"/>
      <c r="J1282" s="1585"/>
      <c r="K1282" s="1759"/>
      <c r="L1282" s="1759"/>
      <c r="M1282" s="1759"/>
      <c r="N1282" s="1759"/>
      <c r="O1282" s="1584"/>
      <c r="P1282" s="1584"/>
      <c r="Q1282" s="1754"/>
      <c r="R1282" s="1754"/>
      <c r="S1282" s="1582"/>
      <c r="T1282" s="1584"/>
      <c r="U1282" s="1746"/>
      <c r="V1282" s="1674"/>
      <c r="W1282" s="1380"/>
      <c r="X1282" s="1380"/>
      <c r="Y1282" s="1380"/>
    </row>
    <row r="1283" spans="1:25" s="1355" customFormat="1" ht="15.75" customHeight="1" outlineLevel="1">
      <c r="A1283" s="1761" t="s">
        <v>1080</v>
      </c>
      <c r="B1283" s="1742" t="s">
        <v>156</v>
      </c>
      <c r="C1283" s="1742">
        <f>C1282</f>
        <v>14.080237463298891</v>
      </c>
      <c r="D1283" s="1720"/>
      <c r="E1283" s="1720"/>
      <c r="F1283" s="1746"/>
      <c r="G1283" s="1583"/>
      <c r="H1283" s="1583"/>
      <c r="I1283" s="1728"/>
      <c r="J1283" s="1585"/>
      <c r="K1283" s="1762"/>
      <c r="L1283" s="1762"/>
      <c r="M1283" s="1762"/>
      <c r="N1283" s="1762"/>
      <c r="O1283" s="1721"/>
      <c r="P1283" s="1583"/>
      <c r="Q1283" s="1740"/>
      <c r="R1283" s="1740"/>
      <c r="S1283" s="1740"/>
      <c r="T1283" s="1740"/>
      <c r="U1283" s="1746"/>
      <c r="V1283" s="1674"/>
      <c r="W1283" s="1380"/>
      <c r="X1283" s="1380"/>
      <c r="Y1283" s="1380"/>
    </row>
    <row r="1284" spans="1:25" s="1355" customFormat="1" ht="15.75" customHeight="1" outlineLevel="1">
      <c r="A1284" s="1758" t="s">
        <v>3569</v>
      </c>
      <c r="B1284" s="1726"/>
      <c r="C1284" s="1726">
        <f>(E1272-C1275*1.2*D1262)*E1285+(G1280-D1275*1.2*D1262)*E1284</f>
        <v>10.875940282752612</v>
      </c>
      <c r="D1284" s="1720" t="s">
        <v>2543</v>
      </c>
      <c r="E1284" s="1720">
        <f>пристройка!AF190</f>
        <v>0</v>
      </c>
      <c r="F1284" s="1746"/>
      <c r="G1284" s="1676"/>
      <c r="H1284" s="1676"/>
      <c r="I1284" s="1763"/>
      <c r="J1284" s="1585"/>
      <c r="K1284" s="1759"/>
      <c r="L1284" s="1759"/>
      <c r="M1284" s="1759"/>
      <c r="N1284" s="1759"/>
      <c r="O1284" s="1721"/>
      <c r="P1284" s="1583"/>
      <c r="Q1284" s="1753"/>
      <c r="R1284" s="1753"/>
      <c r="S1284" s="1583"/>
      <c r="T1284" s="1746"/>
      <c r="U1284" s="1746"/>
      <c r="V1284" s="1674"/>
      <c r="W1284" s="1380"/>
      <c r="X1284" s="1380"/>
      <c r="Y1284" s="1380"/>
    </row>
    <row r="1285" spans="1:25" s="1355" customFormat="1" ht="15.75" customHeight="1" outlineLevel="1">
      <c r="A1285" s="1761" t="s">
        <v>3565</v>
      </c>
      <c r="B1285" s="1726"/>
      <c r="C1285" s="1742">
        <f>D1272</f>
        <v>28.435652000758203</v>
      </c>
      <c r="D1285" s="1720" t="s">
        <v>2546</v>
      </c>
      <c r="E1285" s="1720">
        <f>пристройка!AF191</f>
        <v>1</v>
      </c>
      <c r="F1285" s="1746"/>
      <c r="G1285" s="1676"/>
      <c r="H1285" s="1676"/>
      <c r="I1285" s="1763"/>
      <c r="J1285" s="1585"/>
      <c r="K1285" s="1762"/>
      <c r="L1285" s="1762"/>
      <c r="M1285" s="1762"/>
      <c r="N1285" s="1762"/>
      <c r="O1285" s="1753"/>
      <c r="P1285" s="1583"/>
      <c r="Q1285" s="1740"/>
      <c r="R1285" s="1740"/>
      <c r="S1285" s="1740"/>
      <c r="T1285" s="1740"/>
      <c r="U1285" s="1740"/>
      <c r="V1285" s="1674"/>
      <c r="W1285" s="1380"/>
      <c r="X1285" s="1380"/>
      <c r="Y1285" s="1380"/>
    </row>
    <row r="1286" spans="1:25" s="1355" customFormat="1" ht="15.75" customHeight="1" outlineLevel="1">
      <c r="A1286" s="1761" t="s">
        <v>3567</v>
      </c>
      <c r="B1286" s="1726"/>
      <c r="C1286" s="1742">
        <f>D1273</f>
        <v>44.075260601175216</v>
      </c>
      <c r="D1286" s="1676"/>
      <c r="E1286" s="1677"/>
      <c r="F1286" s="1746"/>
      <c r="G1286" s="1583"/>
      <c r="H1286" s="1583"/>
      <c r="I1286" s="1728"/>
      <c r="J1286" s="1585"/>
      <c r="K1286" s="1762"/>
      <c r="L1286" s="1762"/>
      <c r="M1286" s="1762"/>
      <c r="N1286" s="1762"/>
      <c r="O1286" s="1753"/>
      <c r="P1286" s="1583"/>
      <c r="Q1286" s="1581"/>
      <c r="R1286" s="1581"/>
      <c r="S1286" s="1581"/>
      <c r="T1286" s="1581"/>
      <c r="U1286" s="1721"/>
      <c r="V1286" s="1674"/>
      <c r="W1286" s="1380"/>
      <c r="X1286" s="1380"/>
      <c r="Y1286" s="1380"/>
    </row>
    <row r="1287" spans="1:25" s="1705" customFormat="1" ht="15.75" customHeight="1">
      <c r="A1287" s="1764" t="s">
        <v>2852</v>
      </c>
      <c r="B1287" s="1765"/>
      <c r="C1287" s="1765"/>
      <c r="D1287" s="1764"/>
      <c r="E1287" s="1759"/>
      <c r="F1287" s="1759"/>
      <c r="G1287" s="1764"/>
      <c r="H1287" s="1764"/>
      <c r="I1287" s="1728"/>
      <c r="J1287" s="1585"/>
      <c r="K1287" s="1585"/>
      <c r="L1287" s="1585"/>
      <c r="M1287" s="1585"/>
      <c r="N1287" s="1585"/>
      <c r="O1287" s="1759"/>
      <c r="P1287" s="1759"/>
      <c r="Q1287" s="1759"/>
      <c r="R1287" s="1759"/>
      <c r="S1287" s="1703"/>
      <c r="T1287" s="1703"/>
      <c r="U1287" s="1703"/>
      <c r="V1287" s="1703"/>
      <c r="W1287" s="1704"/>
      <c r="X1287" s="1704"/>
      <c r="Y1287" s="1704"/>
    </row>
    <row r="1288" spans="1:25" ht="15.75" hidden="1" customHeight="1" outlineLevel="1">
      <c r="A1288" s="1766" t="s">
        <v>3570</v>
      </c>
      <c r="B1288" s="1767"/>
      <c r="C1288" s="1767"/>
      <c r="D1288" s="1768"/>
      <c r="E1288" s="1768"/>
      <c r="F1288" s="1769"/>
      <c r="G1288" s="1766" t="s">
        <v>3571</v>
      </c>
      <c r="H1288" s="1768"/>
      <c r="I1288" s="1770"/>
      <c r="J1288" s="1768"/>
      <c r="K1288" s="1768"/>
      <c r="L1288" s="1768"/>
      <c r="M1288" s="1768"/>
      <c r="N1288" s="1768"/>
      <c r="O1288" s="1768"/>
      <c r="P1288" s="1769"/>
      <c r="Q1288" s="1290"/>
      <c r="R1288" s="1290"/>
      <c r="S1288" s="1290"/>
      <c r="T1288" s="1290"/>
      <c r="U1288" s="1290"/>
      <c r="V1288" s="1290"/>
      <c r="W1288" s="1290"/>
      <c r="X1288" s="1290"/>
      <c r="Y1288" s="1290"/>
    </row>
    <row r="1289" spans="1:25" ht="15.75" hidden="1" customHeight="1" outlineLevel="1">
      <c r="A1289" s="1424" t="s">
        <v>1515</v>
      </c>
      <c r="B1289" s="1771" t="s">
        <v>1800</v>
      </c>
      <c r="C1289" s="1771" t="s">
        <v>293</v>
      </c>
      <c r="D1289" s="1424" t="s">
        <v>1802</v>
      </c>
      <c r="E1289" s="1424"/>
      <c r="F1289" s="1424" t="s">
        <v>3572</v>
      </c>
      <c r="G1289" s="1424" t="s">
        <v>2593</v>
      </c>
      <c r="H1289" s="1424"/>
      <c r="I1289" s="1772" t="s">
        <v>1800</v>
      </c>
      <c r="J1289" s="1424" t="s">
        <v>293</v>
      </c>
      <c r="K1289" s="1424" t="s">
        <v>1802</v>
      </c>
      <c r="L1289" s="1424" t="s">
        <v>209</v>
      </c>
      <c r="M1289" s="1424" t="s">
        <v>512</v>
      </c>
      <c r="N1289" s="1424"/>
      <c r="O1289" s="1424"/>
      <c r="P1289" s="1424" t="s">
        <v>3573</v>
      </c>
      <c r="Q1289" s="1392"/>
      <c r="R1289" s="1290"/>
      <c r="S1289" s="1290"/>
      <c r="T1289" s="1290"/>
      <c r="U1289" s="1290"/>
      <c r="V1289" s="1290"/>
      <c r="W1289" s="1290"/>
      <c r="X1289" s="1290"/>
      <c r="Y1289" s="1290"/>
    </row>
    <row r="1290" spans="1:25" ht="15.75" hidden="1" customHeight="1" outlineLevel="1">
      <c r="A1290" s="1353" t="str">
        <f>'Ввод данных'!A68</f>
        <v>Окна, Вариант 1, первый этаж</v>
      </c>
      <c r="B1290" s="1773">
        <f t="shared" ref="B1290:D1300" si="121">B47</f>
        <v>1</v>
      </c>
      <c r="C1290" s="1773">
        <f t="shared" si="121"/>
        <v>1.2</v>
      </c>
      <c r="D1290" s="1774">
        <f t="shared" si="121"/>
        <v>1</v>
      </c>
      <c r="E1290" s="1353"/>
      <c r="F1290" s="1353">
        <f t="shared" ref="F1290:F1302" si="122">B1290*C1290*D1290</f>
        <v>1.2</v>
      </c>
      <c r="G1290" s="1775" t="str">
        <f>'Ввод данных'!A91</f>
        <v>Дверь. Вариант 1, первый этаж</v>
      </c>
      <c r="H1290" s="1775" t="str">
        <f>'Ввод данных'!B91</f>
        <v>м.п.</v>
      </c>
      <c r="I1290" s="1775">
        <f>'Ввод данных'!C91</f>
        <v>0.8</v>
      </c>
      <c r="J1290" s="1775">
        <f>'Ввод данных'!D91</f>
        <v>2.1</v>
      </c>
      <c r="K1290" s="1775">
        <f>'Ввод данных'!E91</f>
        <v>0</v>
      </c>
      <c r="L1290" s="1775">
        <f t="shared" ref="L1290:L1301" si="123">(J1290+J1290+I1290)*K1290</f>
        <v>0</v>
      </c>
      <c r="M1290" s="1775">
        <f t="shared" ref="M1290:M1301" si="124">I1290*J1290*K1290</f>
        <v>0</v>
      </c>
      <c r="N1290" s="1774"/>
      <c r="O1290" s="1353"/>
      <c r="P1290" s="1353">
        <f t="shared" ref="P1290:P1296" si="125">I1290*J1290*K1290</f>
        <v>0</v>
      </c>
      <c r="Q1290" s="1392"/>
      <c r="R1290" s="1290"/>
      <c r="S1290" s="1290"/>
      <c r="T1290" s="1290"/>
      <c r="U1290" s="1290"/>
      <c r="V1290" s="1290"/>
      <c r="W1290" s="1290"/>
      <c r="X1290" s="1290"/>
      <c r="Y1290" s="1290"/>
    </row>
    <row r="1291" spans="1:25" ht="15.75" hidden="1" customHeight="1" outlineLevel="1">
      <c r="A1291" s="1353" t="str">
        <f>'Ввод данных'!A69</f>
        <v>Окна, Вариант 2, первый этаж</v>
      </c>
      <c r="B1291" s="1773">
        <f t="shared" si="121"/>
        <v>0.6</v>
      </c>
      <c r="C1291" s="1773">
        <f t="shared" si="121"/>
        <v>0.6</v>
      </c>
      <c r="D1291" s="1774">
        <f t="shared" si="121"/>
        <v>0</v>
      </c>
      <c r="E1291" s="1353"/>
      <c r="F1291" s="1353">
        <f t="shared" si="122"/>
        <v>0</v>
      </c>
      <c r="G1291" s="1775" t="str">
        <f>'Ввод данных'!A92</f>
        <v>Дверь. Вариант 2, первый этаж</v>
      </c>
      <c r="H1291" s="1775" t="str">
        <f>'Ввод данных'!B92</f>
        <v>м.п.</v>
      </c>
      <c r="I1291" s="1775">
        <f>'Ввод данных'!C92</f>
        <v>0.6</v>
      </c>
      <c r="J1291" s="1775">
        <f>'Ввод данных'!D92</f>
        <v>2</v>
      </c>
      <c r="K1291" s="1775">
        <f>'Ввод данных'!E92</f>
        <v>0</v>
      </c>
      <c r="L1291" s="1775">
        <f t="shared" si="123"/>
        <v>0</v>
      </c>
      <c r="M1291" s="1775">
        <f t="shared" si="124"/>
        <v>0</v>
      </c>
      <c r="N1291" s="1774"/>
      <c r="O1291" s="1353"/>
      <c r="P1291" s="1353">
        <f t="shared" si="125"/>
        <v>0</v>
      </c>
      <c r="Q1291" s="1392"/>
      <c r="R1291" s="1290"/>
      <c r="S1291" s="1290"/>
      <c r="T1291" s="1290"/>
      <c r="U1291" s="1290"/>
      <c r="V1291" s="1290"/>
      <c r="W1291" s="1290"/>
      <c r="X1291" s="1290"/>
      <c r="Y1291" s="1290"/>
    </row>
    <row r="1292" spans="1:25" ht="15.75" hidden="1" customHeight="1" outlineLevel="1">
      <c r="A1292" s="1353" t="str">
        <f>'Ввод данных'!A70</f>
        <v>Окна, Вариант 3, первый этаж</v>
      </c>
      <c r="B1292" s="1773">
        <f t="shared" si="121"/>
        <v>1</v>
      </c>
      <c r="C1292" s="1773">
        <f t="shared" si="121"/>
        <v>2</v>
      </c>
      <c r="D1292" s="1774">
        <f t="shared" si="121"/>
        <v>0</v>
      </c>
      <c r="E1292" s="1353"/>
      <c r="F1292" s="1353">
        <f t="shared" si="122"/>
        <v>0</v>
      </c>
      <c r="G1292" s="1775" t="str">
        <f>'Ввод данных'!A93</f>
        <v>Проем без дверей Вариант 1, 1 этаж</v>
      </c>
      <c r="H1292" s="1775" t="str">
        <f>'Ввод данных'!B93</f>
        <v>м.п.</v>
      </c>
      <c r="I1292" s="1775">
        <f>'Ввод данных'!C93</f>
        <v>2</v>
      </c>
      <c r="J1292" s="1775">
        <f>'Ввод данных'!D93</f>
        <v>2.2999999999999998</v>
      </c>
      <c r="K1292" s="1775">
        <f>'Ввод данных'!E93</f>
        <v>0</v>
      </c>
      <c r="L1292" s="1775">
        <f t="shared" si="123"/>
        <v>0</v>
      </c>
      <c r="M1292" s="1775">
        <f t="shared" si="124"/>
        <v>0</v>
      </c>
      <c r="N1292" s="1774"/>
      <c r="O1292" s="1353"/>
      <c r="P1292" s="1353">
        <f t="shared" si="125"/>
        <v>0</v>
      </c>
      <c r="Q1292" s="1392"/>
      <c r="R1292" s="1290"/>
      <c r="S1292" s="1290"/>
      <c r="T1292" s="1290"/>
      <c r="U1292" s="1290"/>
      <c r="V1292" s="1290"/>
      <c r="W1292" s="1290"/>
      <c r="X1292" s="1290"/>
      <c r="Y1292" s="1290"/>
    </row>
    <row r="1293" spans="1:25" ht="15.75" hidden="1" customHeight="1" outlineLevel="1">
      <c r="A1293" s="1353" t="str">
        <f>'Ввод данных'!A71</f>
        <v>Окна, Вариант 4, первый этаж</v>
      </c>
      <c r="B1293" s="1773">
        <f t="shared" si="121"/>
        <v>0.6</v>
      </c>
      <c r="C1293" s="1773">
        <f t="shared" si="121"/>
        <v>1.5</v>
      </c>
      <c r="D1293" s="1774">
        <f t="shared" si="121"/>
        <v>0</v>
      </c>
      <c r="E1293" s="1353"/>
      <c r="F1293" s="1353">
        <f t="shared" si="122"/>
        <v>0</v>
      </c>
      <c r="G1293" s="1353" t="str">
        <f>'Ввод данных'!A95</f>
        <v>Дверь. Вариант 3, первый этаж</v>
      </c>
      <c r="H1293" s="1353" t="str">
        <f>'Ввод данных'!B95</f>
        <v>м.п.</v>
      </c>
      <c r="I1293" s="1353">
        <f>'Ввод данных'!C95</f>
        <v>0.9</v>
      </c>
      <c r="J1293" s="1353">
        <f>'Ввод данных'!D95</f>
        <v>2.1</v>
      </c>
      <c r="K1293" s="1353">
        <f>'Ввод данных'!E95</f>
        <v>0</v>
      </c>
      <c r="L1293" s="1774">
        <f t="shared" si="123"/>
        <v>0</v>
      </c>
      <c r="M1293" s="1774">
        <f t="shared" si="124"/>
        <v>0</v>
      </c>
      <c r="N1293" s="1774"/>
      <c r="O1293" s="1353"/>
      <c r="P1293" s="1353">
        <f t="shared" si="125"/>
        <v>0</v>
      </c>
      <c r="Q1293" s="1392"/>
      <c r="R1293" s="1290"/>
      <c r="S1293" s="1290"/>
      <c r="T1293" s="1290"/>
      <c r="U1293" s="1290"/>
      <c r="V1293" s="1290"/>
      <c r="W1293" s="1290"/>
      <c r="X1293" s="1290"/>
      <c r="Y1293" s="1290"/>
    </row>
    <row r="1294" spans="1:25" ht="15.75" hidden="1" customHeight="1" outlineLevel="1">
      <c r="A1294" s="1353" t="str">
        <f>'Ввод данных'!A72</f>
        <v>Окна, Вариант 5, первый этаж</v>
      </c>
      <c r="B1294" s="1773">
        <f t="shared" si="121"/>
        <v>0.5</v>
      </c>
      <c r="C1294" s="1773">
        <f t="shared" si="121"/>
        <v>1.5</v>
      </c>
      <c r="D1294" s="1774">
        <f t="shared" si="121"/>
        <v>0</v>
      </c>
      <c r="E1294" s="1353"/>
      <c r="F1294" s="1353">
        <f t="shared" si="122"/>
        <v>0</v>
      </c>
      <c r="G1294" s="1353" t="str">
        <f>'Ввод данных'!A96</f>
        <v>Дверь. Вариант 4, первый этаж</v>
      </c>
      <c r="H1294" s="1353">
        <f>'Ввод данных'!B96</f>
        <v>0</v>
      </c>
      <c r="I1294" s="1353">
        <f>'Ввод данных'!C96</f>
        <v>1</v>
      </c>
      <c r="J1294" s="1353">
        <f>'Ввод данных'!D96</f>
        <v>2</v>
      </c>
      <c r="K1294" s="1353">
        <f>'Ввод данных'!E96</f>
        <v>0</v>
      </c>
      <c r="L1294" s="1774">
        <f t="shared" si="123"/>
        <v>0</v>
      </c>
      <c r="M1294" s="1774">
        <f t="shared" si="124"/>
        <v>0</v>
      </c>
      <c r="N1294" s="1774"/>
      <c r="O1294" s="1353"/>
      <c r="P1294" s="1353">
        <f t="shared" si="125"/>
        <v>0</v>
      </c>
      <c r="Q1294" s="1392"/>
      <c r="R1294" s="1290"/>
      <c r="S1294" s="1290"/>
      <c r="T1294" s="1290"/>
      <c r="U1294" s="1290"/>
      <c r="V1294" s="1290"/>
      <c r="W1294" s="1290"/>
      <c r="X1294" s="1290"/>
      <c r="Y1294" s="1290"/>
    </row>
    <row r="1295" spans="1:25" ht="15.75" hidden="1" customHeight="1" outlineLevel="1">
      <c r="A1295" s="1353" t="str">
        <f>'Ввод данных'!A77</f>
        <v>Окна, Вариант 6, второй этаж</v>
      </c>
      <c r="B1295" s="1773">
        <f t="shared" si="121"/>
        <v>0.6</v>
      </c>
      <c r="C1295" s="1773">
        <f t="shared" si="121"/>
        <v>0.6</v>
      </c>
      <c r="D1295" s="1774">
        <f t="shared" si="121"/>
        <v>0</v>
      </c>
      <c r="E1295" s="1353"/>
      <c r="F1295" s="1353">
        <f t="shared" si="122"/>
        <v>0</v>
      </c>
      <c r="G1295" s="1353" t="str">
        <f>'Ввод данных'!A97</f>
        <v>Проем без дверей Вариант 2, 1 этаж</v>
      </c>
      <c r="H1295" s="1353" t="str">
        <f>'Ввод данных'!B97</f>
        <v>м.п.</v>
      </c>
      <c r="I1295" s="1353">
        <f>'Ввод данных'!C97</f>
        <v>1.4</v>
      </c>
      <c r="J1295" s="1353">
        <f>'Ввод данных'!D97</f>
        <v>3</v>
      </c>
      <c r="K1295" s="1353">
        <f>'Ввод данных'!E97</f>
        <v>0</v>
      </c>
      <c r="L1295" s="1774">
        <f t="shared" si="123"/>
        <v>0</v>
      </c>
      <c r="M1295" s="1774">
        <f t="shared" si="124"/>
        <v>0</v>
      </c>
      <c r="N1295" s="1774"/>
      <c r="O1295" s="1353"/>
      <c r="P1295" s="1353">
        <f t="shared" si="125"/>
        <v>0</v>
      </c>
      <c r="Q1295" s="1392"/>
      <c r="R1295" s="1290"/>
      <c r="S1295" s="1290"/>
      <c r="T1295" s="1290"/>
      <c r="U1295" s="1290"/>
      <c r="V1295" s="1290"/>
      <c r="W1295" s="1290"/>
      <c r="X1295" s="1290"/>
      <c r="Y1295" s="1290"/>
    </row>
    <row r="1296" spans="1:25" ht="15.75" hidden="1" customHeight="1" outlineLevel="1">
      <c r="A1296" s="1353" t="str">
        <f>'Ввод данных'!A78</f>
        <v>Окна, Вариант 7, второй этаж</v>
      </c>
      <c r="B1296" s="1773">
        <f t="shared" si="121"/>
        <v>0.8</v>
      </c>
      <c r="C1296" s="1773">
        <f t="shared" si="121"/>
        <v>0.8</v>
      </c>
      <c r="D1296" s="1774">
        <f t="shared" si="121"/>
        <v>0</v>
      </c>
      <c r="E1296" s="1353"/>
      <c r="F1296" s="1353">
        <f t="shared" si="122"/>
        <v>0</v>
      </c>
      <c r="G1296" s="1775" t="str">
        <f>'Ввод данных'!A99</f>
        <v>Дверь. Вариант 5, второй этаж</v>
      </c>
      <c r="H1296" s="1775" t="str">
        <f>'Ввод данных'!B99</f>
        <v>м.п.</v>
      </c>
      <c r="I1296" s="1775">
        <f>'Ввод данных'!C99</f>
        <v>0.8</v>
      </c>
      <c r="J1296" s="1775">
        <f>'Ввод данных'!D99</f>
        <v>2.1</v>
      </c>
      <c r="K1296" s="1775">
        <f>'Ввод данных'!E99</f>
        <v>0</v>
      </c>
      <c r="L1296" s="1775">
        <f t="shared" si="123"/>
        <v>0</v>
      </c>
      <c r="M1296" s="1775">
        <f t="shared" si="124"/>
        <v>0</v>
      </c>
      <c r="N1296" s="1774"/>
      <c r="O1296" s="1353"/>
      <c r="P1296" s="1353">
        <f t="shared" si="125"/>
        <v>0</v>
      </c>
      <c r="Q1296" s="1392"/>
      <c r="R1296" s="1290"/>
      <c r="S1296" s="1290"/>
      <c r="T1296" s="1290"/>
      <c r="U1296" s="1290"/>
      <c r="V1296" s="1290"/>
      <c r="W1296" s="1290"/>
      <c r="X1296" s="1290"/>
      <c r="Y1296" s="1290"/>
    </row>
    <row r="1297" spans="1:25" ht="15.75" hidden="1" customHeight="1" outlineLevel="1">
      <c r="A1297" s="1353" t="str">
        <f>'Ввод данных'!A79</f>
        <v>Окна, Вариант 8, второй этаж</v>
      </c>
      <c r="B1297" s="1773">
        <f t="shared" si="121"/>
        <v>1</v>
      </c>
      <c r="C1297" s="1773">
        <f t="shared" si="121"/>
        <v>0.7</v>
      </c>
      <c r="D1297" s="1774">
        <f t="shared" si="121"/>
        <v>0</v>
      </c>
      <c r="E1297" s="1353"/>
      <c r="F1297" s="1353">
        <f t="shared" si="122"/>
        <v>0</v>
      </c>
      <c r="G1297" s="1775" t="str">
        <f>'Ввод данных'!A100</f>
        <v>Дверь. Вариант 6, второй этаж</v>
      </c>
      <c r="H1297" s="1775" t="str">
        <f>'Ввод данных'!B100</f>
        <v>м.п.</v>
      </c>
      <c r="I1297" s="1775">
        <f>'Ввод данных'!C100</f>
        <v>1</v>
      </c>
      <c r="J1297" s="1775">
        <f>'Ввод данных'!D100</f>
        <v>2</v>
      </c>
      <c r="K1297" s="1775">
        <f>'Ввод данных'!E100</f>
        <v>0</v>
      </c>
      <c r="L1297" s="1775">
        <f t="shared" si="123"/>
        <v>0</v>
      </c>
      <c r="M1297" s="1775">
        <f t="shared" si="124"/>
        <v>0</v>
      </c>
      <c r="N1297" s="1774"/>
      <c r="O1297" s="1353"/>
      <c r="P1297" s="1353"/>
      <c r="Q1297" s="1392"/>
      <c r="R1297" s="1290"/>
      <c r="S1297" s="1290"/>
      <c r="T1297" s="1290"/>
      <c r="U1297" s="1290"/>
      <c r="V1297" s="1290"/>
      <c r="W1297" s="1290"/>
      <c r="X1297" s="1290"/>
      <c r="Y1297" s="1290"/>
    </row>
    <row r="1298" spans="1:25" ht="15.75" hidden="1" customHeight="1" outlineLevel="1">
      <c r="A1298" s="1353" t="str">
        <f>'Ввод данных'!A80</f>
        <v>Окна, Вариант 9, второй этаж</v>
      </c>
      <c r="B1298" s="1773">
        <f t="shared" si="121"/>
        <v>5</v>
      </c>
      <c r="C1298" s="1773">
        <f t="shared" si="121"/>
        <v>3</v>
      </c>
      <c r="D1298" s="1774">
        <f t="shared" si="121"/>
        <v>0</v>
      </c>
      <c r="E1298" s="1353"/>
      <c r="F1298" s="1353">
        <f t="shared" si="122"/>
        <v>0</v>
      </c>
      <c r="G1298" s="1775" t="str">
        <f>'Ввод данных'!A101</f>
        <v>Проем без дверей Вариант 3, 2 этаж</v>
      </c>
      <c r="H1298" s="1775" t="str">
        <f>'Ввод данных'!B101</f>
        <v>м.п.</v>
      </c>
      <c r="I1298" s="1775">
        <f>'Ввод данных'!C101</f>
        <v>2</v>
      </c>
      <c r="J1298" s="1775">
        <f>'Ввод данных'!D101</f>
        <v>2.2000000000000002</v>
      </c>
      <c r="K1298" s="1775">
        <f>'Ввод данных'!E101</f>
        <v>0</v>
      </c>
      <c r="L1298" s="1775">
        <f t="shared" si="123"/>
        <v>0</v>
      </c>
      <c r="M1298" s="1775">
        <f t="shared" si="124"/>
        <v>0</v>
      </c>
      <c r="N1298" s="1774"/>
      <c r="O1298" s="1353"/>
      <c r="P1298" s="1353"/>
      <c r="Q1298" s="1392"/>
      <c r="R1298" s="1290"/>
      <c r="S1298" s="1290"/>
      <c r="T1298" s="1290"/>
      <c r="U1298" s="1290"/>
      <c r="V1298" s="1290"/>
      <c r="W1298" s="1290"/>
      <c r="X1298" s="1290"/>
      <c r="Y1298" s="1290"/>
    </row>
    <row r="1299" spans="1:25" ht="15.75" hidden="1" customHeight="1" outlineLevel="1">
      <c r="A1299" s="1353" t="str">
        <f>'Ввод данных'!A81</f>
        <v>Окна, Вариант 10, второй этаж</v>
      </c>
      <c r="B1299" s="1773">
        <f t="shared" si="121"/>
        <v>6</v>
      </c>
      <c r="C1299" s="1773">
        <f t="shared" si="121"/>
        <v>2</v>
      </c>
      <c r="D1299" s="1774">
        <f t="shared" si="121"/>
        <v>0</v>
      </c>
      <c r="E1299" s="1353"/>
      <c r="F1299" s="1353">
        <f t="shared" si="122"/>
        <v>0</v>
      </c>
      <c r="G1299" s="1353" t="str">
        <f>'Ввод данных'!A103</f>
        <v>Дверь. Вариант 7, второй этаж</v>
      </c>
      <c r="H1299" s="1353" t="str">
        <f>'Ввод данных'!B103</f>
        <v>м.п.</v>
      </c>
      <c r="I1299" s="1353">
        <f>'Ввод данных'!C103</f>
        <v>1</v>
      </c>
      <c r="J1299" s="1353">
        <f>'Ввод данных'!D103</f>
        <v>2</v>
      </c>
      <c r="K1299" s="1353">
        <f>'Ввод данных'!E103</f>
        <v>0</v>
      </c>
      <c r="L1299" s="1774">
        <f t="shared" si="123"/>
        <v>0</v>
      </c>
      <c r="M1299" s="1774">
        <f t="shared" si="124"/>
        <v>0</v>
      </c>
      <c r="N1299" s="1774"/>
      <c r="O1299" s="1353"/>
      <c r="P1299" s="1353"/>
      <c r="Q1299" s="1392"/>
      <c r="R1299" s="1290"/>
      <c r="S1299" s="1290"/>
      <c r="T1299" s="1290"/>
      <c r="U1299" s="1290"/>
      <c r="V1299" s="1290"/>
      <c r="W1299" s="1290"/>
      <c r="X1299" s="1290"/>
      <c r="Y1299" s="1290"/>
    </row>
    <row r="1300" spans="1:25" ht="15.75" hidden="1" customHeight="1" outlineLevel="1">
      <c r="A1300" s="1353" t="str">
        <f>'Ввод данных'!A73</f>
        <v>Дверь на балкон , первый этаж</v>
      </c>
      <c r="B1300" s="1773">
        <f t="shared" si="121"/>
        <v>0.8</v>
      </c>
      <c r="C1300" s="1773">
        <f t="shared" si="121"/>
        <v>2.1</v>
      </c>
      <c r="D1300" s="1774">
        <f t="shared" si="121"/>
        <v>0</v>
      </c>
      <c r="E1300" s="1353"/>
      <c r="F1300" s="1353">
        <f t="shared" si="122"/>
        <v>0</v>
      </c>
      <c r="G1300" s="1353" t="str">
        <f>'Ввод данных'!A104</f>
        <v>Дверь. Вариант 8, второй этаж</v>
      </c>
      <c r="H1300" s="1353" t="str">
        <f>'Ввод данных'!B104</f>
        <v>м.п.</v>
      </c>
      <c r="I1300" s="1353">
        <f>'Ввод данных'!C104</f>
        <v>1</v>
      </c>
      <c r="J1300" s="1353">
        <f>'Ввод данных'!D104</f>
        <v>2</v>
      </c>
      <c r="K1300" s="1353">
        <f>'Ввод данных'!E104</f>
        <v>0</v>
      </c>
      <c r="L1300" s="1774">
        <f t="shared" si="123"/>
        <v>0</v>
      </c>
      <c r="M1300" s="1774">
        <f t="shared" si="124"/>
        <v>0</v>
      </c>
      <c r="N1300" s="1774"/>
      <c r="O1300" s="1353"/>
      <c r="P1300" s="1353"/>
      <c r="Q1300" s="1392"/>
      <c r="R1300" s="1290"/>
      <c r="S1300" s="1290"/>
      <c r="T1300" s="1290"/>
      <c r="U1300" s="1290"/>
      <c r="V1300" s="1290"/>
      <c r="W1300" s="1290"/>
      <c r="X1300" s="1290"/>
      <c r="Y1300" s="1290"/>
    </row>
    <row r="1301" spans="1:25" ht="15.75" hidden="1" customHeight="1" outlineLevel="1">
      <c r="A1301" s="1353" t="str">
        <f>'Ввод данных'!A74</f>
        <v>Французское окно, Вариант 1</v>
      </c>
      <c r="B1301" s="1773">
        <f t="shared" ref="B1301:D1302" si="126">B59</f>
        <v>2</v>
      </c>
      <c r="C1301" s="1773">
        <f t="shared" si="126"/>
        <v>2</v>
      </c>
      <c r="D1301" s="1774">
        <f t="shared" si="126"/>
        <v>0</v>
      </c>
      <c r="E1301" s="1353"/>
      <c r="F1301" s="1353">
        <f t="shared" si="122"/>
        <v>0</v>
      </c>
      <c r="G1301" s="1353" t="str">
        <f>'Ввод данных'!A105</f>
        <v>Проем без дверей Вариант 4, 2 этаж</v>
      </c>
      <c r="H1301" s="1353" t="str">
        <f>'Ввод данных'!B105</f>
        <v>м.п.</v>
      </c>
      <c r="I1301" s="1353">
        <f>'Ввод данных'!C105</f>
        <v>2</v>
      </c>
      <c r="J1301" s="1353">
        <f>'Ввод данных'!D105</f>
        <v>2</v>
      </c>
      <c r="K1301" s="1353">
        <f>'Ввод данных'!E105</f>
        <v>0</v>
      </c>
      <c r="L1301" s="1774">
        <f t="shared" si="123"/>
        <v>0</v>
      </c>
      <c r="M1301" s="1774">
        <f t="shared" si="124"/>
        <v>0</v>
      </c>
      <c r="N1301" s="1774"/>
      <c r="O1301" s="1353"/>
      <c r="P1301" s="1353"/>
      <c r="Q1301" s="1392"/>
      <c r="R1301" s="1290"/>
      <c r="S1301" s="1290"/>
      <c r="T1301" s="1290"/>
      <c r="U1301" s="1290"/>
      <c r="V1301" s="1290"/>
      <c r="W1301" s="1290"/>
      <c r="X1301" s="1290"/>
      <c r="Y1301" s="1290"/>
    </row>
    <row r="1302" spans="1:25" ht="15.75" hidden="1" customHeight="1" outlineLevel="1">
      <c r="A1302" s="1353" t="str">
        <f>'Ввод данных'!A75</f>
        <v>Фрунцузское окно, Вариант 2</v>
      </c>
      <c r="B1302" s="1773">
        <f t="shared" si="126"/>
        <v>0</v>
      </c>
      <c r="C1302" s="1773">
        <f t="shared" si="126"/>
        <v>3</v>
      </c>
      <c r="D1302" s="1774">
        <f t="shared" si="126"/>
        <v>0</v>
      </c>
      <c r="E1302" s="1353"/>
      <c r="F1302" s="1353">
        <f t="shared" si="122"/>
        <v>0</v>
      </c>
      <c r="G1302" s="1353"/>
      <c r="H1302" s="1353"/>
      <c r="I1302" s="1776"/>
      <c r="J1302" s="1774"/>
      <c r="K1302" s="1774"/>
      <c r="L1302" s="1774"/>
      <c r="M1302" s="1774"/>
      <c r="N1302" s="1774"/>
      <c r="O1302" s="1353"/>
      <c r="P1302" s="1353"/>
      <c r="Q1302" s="1392"/>
      <c r="R1302" s="1290"/>
      <c r="S1302" s="1290"/>
      <c r="T1302" s="1290"/>
      <c r="U1302" s="1290"/>
      <c r="V1302" s="1290"/>
      <c r="W1302" s="1290"/>
      <c r="X1302" s="1290"/>
      <c r="Y1302" s="1290"/>
    </row>
    <row r="1303" spans="1:25" ht="15.75" hidden="1" customHeight="1" outlineLevel="1">
      <c r="A1303" s="1632" t="s">
        <v>3574</v>
      </c>
      <c r="B1303" s="1777"/>
      <c r="C1303" s="1777"/>
      <c r="D1303" s="1778"/>
      <c r="E1303" s="1779"/>
      <c r="F1303" s="1353">
        <f>SUM(F1290:F1302)</f>
        <v>1.2</v>
      </c>
      <c r="G1303" s="1353" t="s">
        <v>3575</v>
      </c>
      <c r="H1303" s="1353" t="s">
        <v>133</v>
      </c>
      <c r="I1303" s="1353">
        <f>M1290+M1291</f>
        <v>0</v>
      </c>
      <c r="J1303" s="1353"/>
      <c r="K1303" s="1353"/>
      <c r="L1303" s="1055"/>
      <c r="M1303" s="1778"/>
      <c r="N1303" s="1778"/>
      <c r="O1303" s="1779"/>
      <c r="P1303" s="1353">
        <f>SUM(P1290:P1296)</f>
        <v>0</v>
      </c>
      <c r="Q1303" s="1780"/>
      <c r="R1303" s="1290"/>
      <c r="S1303" s="1290"/>
      <c r="T1303" s="1290"/>
      <c r="U1303" s="1290"/>
      <c r="V1303" s="1290"/>
      <c r="W1303" s="1290"/>
      <c r="X1303" s="1290"/>
      <c r="Y1303" s="1290"/>
    </row>
    <row r="1304" spans="1:25" ht="15.75" hidden="1" customHeight="1" outlineLevel="1">
      <c r="A1304" s="1632"/>
      <c r="B1304" s="1777"/>
      <c r="C1304" s="1777"/>
      <c r="D1304" s="1778"/>
      <c r="E1304" s="1779"/>
      <c r="F1304" s="1353"/>
      <c r="G1304" s="1353" t="s">
        <v>3576</v>
      </c>
      <c r="H1304" s="1353" t="s">
        <v>133</v>
      </c>
      <c r="I1304" s="1353">
        <f>M1293+M1294</f>
        <v>0</v>
      </c>
      <c r="J1304" s="1353"/>
      <c r="K1304" s="1353"/>
      <c r="L1304" s="1055"/>
      <c r="M1304" s="1778"/>
      <c r="N1304" s="1778"/>
      <c r="O1304" s="1779"/>
      <c r="P1304" s="1353"/>
      <c r="Q1304" s="1780"/>
      <c r="R1304" s="1290"/>
      <c r="S1304" s="1290"/>
      <c r="T1304" s="1290"/>
      <c r="U1304" s="1290"/>
      <c r="V1304" s="1290"/>
      <c r="W1304" s="1290"/>
      <c r="X1304" s="1290"/>
      <c r="Y1304" s="1290"/>
    </row>
    <row r="1305" spans="1:25" ht="15.75" hidden="1" customHeight="1" outlineLevel="1">
      <c r="A1305" s="1632"/>
      <c r="B1305" s="1777"/>
      <c r="C1305" s="1777"/>
      <c r="D1305" s="1778"/>
      <c r="E1305" s="1779"/>
      <c r="F1305" s="1353"/>
      <c r="G1305" s="1353" t="s">
        <v>3577</v>
      </c>
      <c r="H1305" s="1353" t="s">
        <v>133</v>
      </c>
      <c r="I1305" s="1353">
        <f>M1296+M1297</f>
        <v>0</v>
      </c>
      <c r="J1305" s="1353"/>
      <c r="K1305" s="1353"/>
      <c r="L1305" s="1055"/>
      <c r="M1305" s="1778"/>
      <c r="N1305" s="1778"/>
      <c r="O1305" s="1779"/>
      <c r="P1305" s="1353"/>
      <c r="Q1305" s="1780"/>
      <c r="R1305" s="1290"/>
      <c r="S1305" s="1290"/>
      <c r="T1305" s="1290"/>
      <c r="U1305" s="1290"/>
      <c r="V1305" s="1290"/>
      <c r="W1305" s="1290"/>
      <c r="X1305" s="1290"/>
      <c r="Y1305" s="1290"/>
    </row>
    <row r="1306" spans="1:25" ht="15.75" hidden="1" customHeight="1" outlineLevel="1">
      <c r="A1306" s="1632"/>
      <c r="B1306" s="1777"/>
      <c r="C1306" s="1777"/>
      <c r="D1306" s="1778"/>
      <c r="E1306" s="1779"/>
      <c r="F1306" s="1353"/>
      <c r="G1306" s="1353" t="s">
        <v>3578</v>
      </c>
      <c r="H1306" s="1353" t="s">
        <v>133</v>
      </c>
      <c r="I1306" s="1353">
        <f>M1299+M1300</f>
        <v>0</v>
      </c>
      <c r="J1306" s="1353"/>
      <c r="K1306" s="1353"/>
      <c r="L1306" s="1055"/>
      <c r="M1306" s="1778"/>
      <c r="N1306" s="1778"/>
      <c r="O1306" s="1779"/>
      <c r="P1306" s="1353"/>
      <c r="Q1306" s="1780"/>
      <c r="R1306" s="1290"/>
      <c r="S1306" s="1290"/>
      <c r="T1306" s="1290"/>
      <c r="U1306" s="1290"/>
      <c r="V1306" s="1290"/>
      <c r="W1306" s="1290"/>
      <c r="X1306" s="1290"/>
      <c r="Y1306" s="1290"/>
    </row>
    <row r="1307" spans="1:25" ht="15.75" hidden="1" customHeight="1" outlineLevel="1">
      <c r="A1307" s="1632"/>
      <c r="B1307" s="1777"/>
      <c r="C1307" s="1777"/>
      <c r="D1307" s="1778"/>
      <c r="E1307" s="1779"/>
      <c r="F1307" s="1353"/>
      <c r="G1307" s="1353" t="s">
        <v>3579</v>
      </c>
      <c r="H1307" s="1353"/>
      <c r="I1307" s="1353">
        <f>L1290+L1291+L1292</f>
        <v>0</v>
      </c>
      <c r="J1307" s="1353"/>
      <c r="K1307" s="1353"/>
      <c r="L1307" s="1055"/>
      <c r="M1307" s="1778"/>
      <c r="N1307" s="1778"/>
      <c r="O1307" s="1779"/>
      <c r="P1307" s="1353"/>
      <c r="Q1307" s="1780"/>
      <c r="R1307" s="1290"/>
      <c r="S1307" s="1290"/>
      <c r="T1307" s="1290"/>
      <c r="U1307" s="1290"/>
      <c r="V1307" s="1290"/>
      <c r="W1307" s="1290"/>
      <c r="X1307" s="1290"/>
      <c r="Y1307" s="1290"/>
    </row>
    <row r="1308" spans="1:25" ht="15.75" hidden="1" customHeight="1" outlineLevel="1">
      <c r="A1308" s="1632"/>
      <c r="B1308" s="1777"/>
      <c r="C1308" s="1777"/>
      <c r="D1308" s="1778"/>
      <c r="E1308" s="1779"/>
      <c r="F1308" s="1353"/>
      <c r="G1308" s="1353" t="s">
        <v>3580</v>
      </c>
      <c r="H1308" s="1353"/>
      <c r="I1308" s="1353">
        <f>L1293+L1294+L1295</f>
        <v>0</v>
      </c>
      <c r="J1308" s="1353"/>
      <c r="K1308" s="1353"/>
      <c r="L1308" s="1055"/>
      <c r="M1308" s="1778"/>
      <c r="N1308" s="1778"/>
      <c r="O1308" s="1779"/>
      <c r="P1308" s="1353"/>
      <c r="Q1308" s="1780"/>
      <c r="R1308" s="1290"/>
      <c r="S1308" s="1290"/>
      <c r="T1308" s="1290"/>
      <c r="U1308" s="1290"/>
      <c r="V1308" s="1290"/>
      <c r="W1308" s="1290"/>
      <c r="X1308" s="1290"/>
      <c r="Y1308" s="1290"/>
    </row>
    <row r="1309" spans="1:25" ht="15.75" hidden="1" customHeight="1" outlineLevel="1">
      <c r="A1309" s="1632"/>
      <c r="B1309" s="1777"/>
      <c r="C1309" s="1777"/>
      <c r="D1309" s="1778"/>
      <c r="E1309" s="1779"/>
      <c r="F1309" s="1353"/>
      <c r="G1309" s="1353" t="s">
        <v>3579</v>
      </c>
      <c r="H1309" s="1353"/>
      <c r="I1309" s="1353">
        <f>L1296+L1297+L1298</f>
        <v>0</v>
      </c>
      <c r="J1309" s="1353"/>
      <c r="K1309" s="1353"/>
      <c r="L1309" s="1055"/>
      <c r="M1309" s="1778"/>
      <c r="N1309" s="1778"/>
      <c r="O1309" s="1779"/>
      <c r="P1309" s="1353"/>
      <c r="Q1309" s="1780"/>
      <c r="R1309" s="1290"/>
      <c r="S1309" s="1290"/>
      <c r="T1309" s="1290"/>
      <c r="U1309" s="1290"/>
      <c r="V1309" s="1290"/>
      <c r="W1309" s="1290"/>
      <c r="X1309" s="1290"/>
      <c r="Y1309" s="1290"/>
    </row>
    <row r="1310" spans="1:25" ht="15.75" hidden="1" customHeight="1" outlineLevel="1">
      <c r="A1310" s="1632"/>
      <c r="B1310" s="1777"/>
      <c r="C1310" s="1777"/>
      <c r="D1310" s="1778"/>
      <c r="E1310" s="1779"/>
      <c r="F1310" s="1353"/>
      <c r="G1310" s="1353" t="s">
        <v>3580</v>
      </c>
      <c r="H1310" s="1353"/>
      <c r="I1310" s="1353">
        <f>L1299+L1300+L1301</f>
        <v>0</v>
      </c>
      <c r="J1310" s="1353"/>
      <c r="K1310" s="1353"/>
      <c r="L1310" s="1055"/>
      <c r="M1310" s="1778"/>
      <c r="N1310" s="1778"/>
      <c r="O1310" s="1779"/>
      <c r="P1310" s="1353"/>
      <c r="Q1310" s="1780"/>
      <c r="R1310" s="1290"/>
      <c r="S1310" s="1290"/>
      <c r="T1310" s="1290"/>
      <c r="U1310" s="1290"/>
      <c r="V1310" s="1290"/>
      <c r="W1310" s="1290"/>
      <c r="X1310" s="1290"/>
      <c r="Y1310" s="1290"/>
    </row>
    <row r="1311" spans="1:25" ht="15.75" hidden="1" customHeight="1" outlineLevel="1">
      <c r="A1311" s="1424" t="s">
        <v>2069</v>
      </c>
      <c r="B1311" s="1771" t="s">
        <v>209</v>
      </c>
      <c r="C1311" s="1771" t="s">
        <v>273</v>
      </c>
      <c r="D1311" s="1424" t="s">
        <v>1802</v>
      </c>
      <c r="E1311" s="1424"/>
      <c r="F1311" s="1424" t="s">
        <v>3581</v>
      </c>
      <c r="G1311" s="1424" t="s">
        <v>1217</v>
      </c>
      <c r="H1311" s="1424"/>
      <c r="I1311" s="1772" t="s">
        <v>1800</v>
      </c>
      <c r="J1311" s="1424" t="s">
        <v>293</v>
      </c>
      <c r="K1311" s="1424" t="s">
        <v>1802</v>
      </c>
      <c r="L1311" s="1424"/>
      <c r="M1311" s="1424"/>
      <c r="N1311" s="1424"/>
      <c r="O1311" s="1424"/>
      <c r="P1311" s="1424" t="s">
        <v>3573</v>
      </c>
      <c r="Q1311" s="1392"/>
      <c r="R1311" s="1290"/>
      <c r="S1311" s="1290"/>
      <c r="T1311" s="1290"/>
      <c r="U1311" s="1290"/>
      <c r="V1311" s="1290"/>
      <c r="W1311" s="1290"/>
      <c r="X1311" s="1290"/>
      <c r="Y1311" s="1290"/>
    </row>
    <row r="1312" spans="1:25" ht="15.75" hidden="1" customHeight="1" outlineLevel="1">
      <c r="A1312" s="1360" t="s">
        <v>2069</v>
      </c>
      <c r="B1312" s="1773"/>
      <c r="C1312" s="1773"/>
      <c r="D1312" s="1774"/>
      <c r="E1312" s="1774"/>
      <c r="F1312" s="1353">
        <f>B1312*C1312*D1312</f>
        <v>0</v>
      </c>
      <c r="G1312" s="1353" t="s">
        <v>3582</v>
      </c>
      <c r="H1312" s="1353"/>
      <c r="I1312" s="1776">
        <f t="shared" ref="I1312:K1314" si="127">B74</f>
        <v>0.8</v>
      </c>
      <c r="J1312" s="1774">
        <f t="shared" si="127"/>
        <v>2</v>
      </c>
      <c r="K1312" s="1774">
        <f t="shared" si="127"/>
        <v>0</v>
      </c>
      <c r="L1312" s="1774"/>
      <c r="M1312" s="1774"/>
      <c r="N1312" s="1774"/>
      <c r="O1312" s="1353"/>
      <c r="P1312" s="1353">
        <f>I1312*J1312*K1312</f>
        <v>0</v>
      </c>
      <c r="Q1312" s="1780"/>
      <c r="R1312" s="1290"/>
      <c r="S1312" s="1290"/>
      <c r="T1312" s="1290"/>
      <c r="U1312" s="1290"/>
      <c r="V1312" s="1290"/>
      <c r="W1312" s="1290"/>
      <c r="X1312" s="1290"/>
      <c r="Y1312" s="1290"/>
    </row>
    <row r="1313" spans="1:25" ht="15.75" hidden="1" customHeight="1" outlineLevel="1">
      <c r="A1313" s="1360"/>
      <c r="B1313" s="1600"/>
      <c r="C1313" s="1600"/>
      <c r="D1313" s="1360"/>
      <c r="E1313" s="1360"/>
      <c r="F1313" s="1353"/>
      <c r="G1313" s="1353" t="s">
        <v>1184</v>
      </c>
      <c r="H1313" s="1353"/>
      <c r="I1313" s="1776">
        <f t="shared" si="127"/>
        <v>0.9</v>
      </c>
      <c r="J1313" s="1774">
        <f t="shared" si="127"/>
        <v>2.1</v>
      </c>
      <c r="K1313" s="1774">
        <f t="shared" si="127"/>
        <v>0</v>
      </c>
      <c r="L1313" s="1774"/>
      <c r="M1313" s="1774"/>
      <c r="N1313" s="1774"/>
      <c r="O1313" s="1353"/>
      <c r="P1313" s="1353">
        <f>I1313*J1313*K1313</f>
        <v>0</v>
      </c>
      <c r="Q1313" s="1780"/>
      <c r="R1313" s="1290"/>
      <c r="S1313" s="1290"/>
      <c r="T1313" s="1290"/>
      <c r="U1313" s="1290"/>
      <c r="V1313" s="1290"/>
      <c r="W1313" s="1290"/>
      <c r="X1313" s="1290"/>
      <c r="Y1313" s="1290"/>
    </row>
    <row r="1314" spans="1:25" ht="15.75" hidden="1" customHeight="1" outlineLevel="1">
      <c r="A1314" s="1360"/>
      <c r="B1314" s="1600"/>
      <c r="C1314" s="1600"/>
      <c r="D1314" s="1360"/>
      <c r="E1314" s="1360"/>
      <c r="F1314" s="1353"/>
      <c r="G1314" s="1353"/>
      <c r="H1314" s="1353"/>
      <c r="I1314" s="1776">
        <f t="shared" si="127"/>
        <v>1</v>
      </c>
      <c r="J1314" s="1774">
        <f t="shared" si="127"/>
        <v>2</v>
      </c>
      <c r="K1314" s="1774">
        <f t="shared" si="127"/>
        <v>0</v>
      </c>
      <c r="L1314" s="1774"/>
      <c r="M1314" s="1774"/>
      <c r="N1314" s="1774"/>
      <c r="O1314" s="1353"/>
      <c r="P1314" s="1353">
        <f>I1314*J1314*K1314</f>
        <v>0</v>
      </c>
      <c r="Q1314" s="1780"/>
      <c r="R1314" s="1290"/>
      <c r="S1314" s="1290"/>
      <c r="T1314" s="1290"/>
      <c r="U1314" s="1290"/>
      <c r="V1314" s="1290"/>
      <c r="W1314" s="1290"/>
      <c r="X1314" s="1290"/>
      <c r="Y1314" s="1290"/>
    </row>
    <row r="1315" spans="1:25" ht="15.75" hidden="1" customHeight="1" outlineLevel="1">
      <c r="A1315" s="1639" t="s">
        <v>3583</v>
      </c>
      <c r="B1315" s="1781"/>
      <c r="C1315" s="1781"/>
      <c r="D1315" s="1782"/>
      <c r="E1315" s="1783"/>
      <c r="F1315" s="1360">
        <f>F1312</f>
        <v>0</v>
      </c>
      <c r="G1315" s="1632" t="s">
        <v>3584</v>
      </c>
      <c r="H1315" s="1778"/>
      <c r="I1315" s="1784"/>
      <c r="J1315" s="1778"/>
      <c r="K1315" s="1778"/>
      <c r="L1315" s="1778"/>
      <c r="M1315" s="1778"/>
      <c r="N1315" s="1778"/>
      <c r="O1315" s="1779"/>
      <c r="P1315" s="1353">
        <f>SUM(P1312:P1313)</f>
        <v>0</v>
      </c>
      <c r="Q1315" s="1780"/>
      <c r="R1315" s="1380"/>
      <c r="S1315" s="1380"/>
      <c r="T1315" s="1380"/>
      <c r="U1315" s="1380"/>
      <c r="V1315" s="1380"/>
      <c r="W1315" s="1380"/>
      <c r="X1315" s="1380"/>
      <c r="Y1315" s="1290"/>
    </row>
    <row r="1316" spans="1:25" ht="15.75" customHeight="1">
      <c r="A1316" s="1785" t="s">
        <v>3585</v>
      </c>
      <c r="B1316" s="1786"/>
      <c r="C1316" s="1786"/>
      <c r="D1316" s="1787"/>
      <c r="E1316" s="1787"/>
      <c r="F1316" s="1703"/>
      <c r="G1316" s="1787"/>
      <c r="H1316" s="1787"/>
      <c r="I1316" s="1787"/>
      <c r="J1316" s="1787"/>
      <c r="K1316" s="1787"/>
      <c r="L1316" s="1787"/>
      <c r="M1316" s="1787"/>
      <c r="N1316" s="1787"/>
      <c r="O1316" s="1787"/>
      <c r="P1316" s="1703"/>
      <c r="Q1316" s="1788"/>
      <c r="R1316" s="1703"/>
      <c r="S1316" s="1703"/>
      <c r="T1316" s="1703"/>
      <c r="U1316" s="1703"/>
      <c r="V1316" s="1703"/>
      <c r="W1316" s="1789"/>
      <c r="X1316" s="1789"/>
      <c r="Y1316" s="1392"/>
    </row>
    <row r="1317" spans="1:25" ht="15.75" hidden="1" customHeight="1" outlineLevel="1">
      <c r="A1317" s="1766" t="s">
        <v>3586</v>
      </c>
      <c r="B1317" s="1767"/>
      <c r="C1317" s="1767"/>
      <c r="D1317" s="1768"/>
      <c r="E1317" s="1768"/>
      <c r="F1317" s="1768"/>
      <c r="G1317" s="1768"/>
      <c r="H1317" s="1768"/>
      <c r="I1317" s="1770"/>
      <c r="J1317" s="1769"/>
      <c r="K1317" s="1790"/>
      <c r="L1317" s="1790"/>
      <c r="M1317" s="1790"/>
      <c r="N1317" s="1790"/>
      <c r="O1317" s="1790"/>
      <c r="P1317" s="1789"/>
      <c r="Q1317" s="1780"/>
      <c r="R1317" s="1789"/>
      <c r="S1317" s="1789"/>
      <c r="T1317" s="1789"/>
      <c r="U1317" s="1789"/>
      <c r="V1317" s="1789"/>
      <c r="W1317" s="1789"/>
      <c r="X1317" s="1789"/>
      <c r="Y1317" s="1392"/>
    </row>
    <row r="1318" spans="1:25" ht="15.75" hidden="1" customHeight="1" outlineLevel="1">
      <c r="A1318" s="1424" t="s">
        <v>1093</v>
      </c>
      <c r="B1318" s="1771" t="s">
        <v>3587</v>
      </c>
      <c r="C1318" s="1771" t="s">
        <v>1800</v>
      </c>
      <c r="D1318" s="1424" t="s">
        <v>853</v>
      </c>
      <c r="E1318" s="1424" t="s">
        <v>1992</v>
      </c>
      <c r="F1318" s="1424" t="s">
        <v>1931</v>
      </c>
      <c r="G1318" s="1791" t="s">
        <v>2751</v>
      </c>
      <c r="H1318" s="1791"/>
      <c r="I1318" s="1792" t="s">
        <v>3588</v>
      </c>
      <c r="J1318" s="1793"/>
      <c r="K1318" s="1290"/>
      <c r="L1318" s="1290"/>
      <c r="M1318" s="1290"/>
      <c r="N1318" s="1290"/>
      <c r="O1318" s="1380"/>
      <c r="P1318" s="1380"/>
      <c r="Q1318" s="1392"/>
      <c r="R1318" s="1380"/>
      <c r="S1318" s="1380"/>
      <c r="T1318" s="1380"/>
      <c r="U1318" s="1380"/>
      <c r="V1318" s="1380"/>
      <c r="W1318" s="1789"/>
      <c r="X1318" s="1789"/>
      <c r="Y1318" s="1290"/>
    </row>
    <row r="1319" spans="1:25" ht="15.75" hidden="1" customHeight="1" outlineLevel="1">
      <c r="A1319" s="1353" t="s">
        <v>3589</v>
      </c>
      <c r="B1319" s="1794">
        <f>C15</f>
        <v>1</v>
      </c>
      <c r="C1319" s="1794">
        <f>C16</f>
        <v>10</v>
      </c>
      <c r="D1319" s="1795">
        <f>C17</f>
        <v>10</v>
      </c>
      <c r="E1319" s="1795">
        <f>C18</f>
        <v>3</v>
      </c>
      <c r="F1319" s="1795">
        <f>C23</f>
        <v>0</v>
      </c>
      <c r="G1319" s="1795">
        <f>C21</f>
        <v>0</v>
      </c>
      <c r="H1319" s="1795"/>
      <c r="I1319" s="1796">
        <f>C22</f>
        <v>0</v>
      </c>
      <c r="J1319" s="1797"/>
      <c r="K1319" s="1290"/>
      <c r="L1319" s="1290"/>
      <c r="M1319" s="1290"/>
      <c r="N1319" s="1290"/>
      <c r="O1319" s="1380"/>
      <c r="P1319" s="1380"/>
      <c r="Q1319" s="1392"/>
      <c r="R1319" s="1380"/>
      <c r="S1319" s="1380"/>
      <c r="T1319" s="1380"/>
      <c r="U1319" s="1380"/>
      <c r="V1319" s="1380"/>
      <c r="W1319" s="1789"/>
      <c r="X1319" s="1789"/>
      <c r="Y1319" s="1290"/>
    </row>
    <row r="1320" spans="1:25" ht="15.75" hidden="1" customHeight="1" outlineLevel="1">
      <c r="A1320" s="1798" t="s">
        <v>1236</v>
      </c>
      <c r="B1320" s="1799" t="s">
        <v>120</v>
      </c>
      <c r="C1320" s="1800" t="s">
        <v>3590</v>
      </c>
      <c r="D1320" s="1798" t="s">
        <v>1802</v>
      </c>
      <c r="E1320" s="1798" t="s">
        <v>3591</v>
      </c>
      <c r="F1320" s="1055" t="str">
        <f>'Ввод данных'!E111</f>
        <v>Высота L1</v>
      </c>
      <c r="G1320" s="1055" t="str">
        <f>'Ввод данных'!F111</f>
        <v>Высота L2</v>
      </c>
      <c r="H1320" s="1055"/>
      <c r="I1320" s="1055" t="s">
        <v>3592</v>
      </c>
      <c r="J1320" s="1055" t="s">
        <v>2860</v>
      </c>
      <c r="K1320" s="1801" t="s">
        <v>1236</v>
      </c>
      <c r="L1320" s="1055"/>
      <c r="M1320" s="1798" t="s">
        <v>3593</v>
      </c>
      <c r="N1320" s="1798" t="s">
        <v>3594</v>
      </c>
      <c r="O1320" s="1798" t="s">
        <v>1802</v>
      </c>
      <c r="P1320" s="1798" t="s">
        <v>3573</v>
      </c>
      <c r="Q1320" s="1055" t="str">
        <f>'Ввод данных'!E111</f>
        <v>Высота L1</v>
      </c>
      <c r="R1320" s="1055" t="str">
        <f>'Ввод данных'!F111</f>
        <v>Высота L2</v>
      </c>
      <c r="S1320" s="1798" t="s">
        <v>3595</v>
      </c>
      <c r="T1320" s="1055" t="s">
        <v>2860</v>
      </c>
      <c r="U1320" s="1262"/>
      <c r="V1320" s="1380"/>
      <c r="W1320" s="1789"/>
      <c r="X1320" s="1789"/>
      <c r="Y1320" s="1380"/>
    </row>
    <row r="1321" spans="1:25" ht="15.75" hidden="1" customHeight="1" outlineLevel="1">
      <c r="A1321" s="1691" t="s">
        <v>3596</v>
      </c>
      <c r="B1321" s="1696" t="s">
        <v>156</v>
      </c>
      <c r="C1321" s="1802">
        <f>'Ввод данных'!C112</f>
        <v>6</v>
      </c>
      <c r="D1321" s="1802">
        <f>'Ввод данных'!D112</f>
        <v>2</v>
      </c>
      <c r="E1321" s="1353">
        <f t="shared" ref="E1321:E1336" si="128">J1321</f>
        <v>36</v>
      </c>
      <c r="F1321" s="1055">
        <f>'Ввод данных'!E112</f>
        <v>0</v>
      </c>
      <c r="G1321" s="1055">
        <f>'Ввод данных'!F112</f>
        <v>0</v>
      </c>
      <c r="H1321" s="1055"/>
      <c r="I1321" s="1055">
        <f t="shared" ref="I1321:I1328" si="129">$I$1194</f>
        <v>0</v>
      </c>
      <c r="J1321" s="1055">
        <f>(IF('Ввод данных'!$A$6=связи1!$A$97,(C1321)*F1321+(C1321*(G1321-F1321)/2),0)+IF('Ввод данных'!$A$6=связи1!$A$94,'Ввод данных'!$C$13*дома!C1321,0)+IF('Ввод данных'!$A$6=связи1!$A$95,'Ввод данных'!$C$13*дома!C1321,0)+IF('Ввод данных'!$A$6=связи1!$A$96,'Ввод данных'!$C$13*дома!C1321,0)+IF('Ввод данных'!$A$6=связи1!$A$98,'Ввод данных'!$C$13*дома!C1321,0))*D1321</f>
        <v>36</v>
      </c>
      <c r="K1321" s="3164" t="s">
        <v>3597</v>
      </c>
      <c r="L1321" s="3164"/>
      <c r="M1321" s="1353" t="s">
        <v>156</v>
      </c>
      <c r="N1321" s="1774">
        <f>'Ввод данных'!C128</f>
        <v>3.5</v>
      </c>
      <c r="O1321" s="1774">
        <f>'Ввод данных'!D128</f>
        <v>1</v>
      </c>
      <c r="P1321" s="1353">
        <f t="shared" ref="P1321:P1336" si="130">T1321</f>
        <v>0</v>
      </c>
      <c r="Q1321" s="1055">
        <f>'Ввод данных'!E128</f>
        <v>1.1000000000000001</v>
      </c>
      <c r="R1321" s="1055">
        <f>'Ввод данных'!F128</f>
        <v>2.2000000000000002</v>
      </c>
      <c r="S1321" s="1774">
        <f t="shared" ref="S1321:S1328" si="131">$I$1194</f>
        <v>0</v>
      </c>
      <c r="T1321" s="1055">
        <f>(IF('Ввод данных'!$A$6=связи1!$A$96,(N1321)*Q1321+(N1321*(R1321-Q1321)/2),0)+IF('Ввод данных'!$A$6=связи1!$A$94,0,0)+IF('Ввод данных'!$A$6=связи1!$A$95,'Ввод данных'!$C$16*дома!N1321,0)+IF('Ввод данных'!$A$6=связи1!$A$97,0,0)+IF('Ввод данных'!$A$6=связи1!$A$98,(дома!N1321-дома!S1321)*(дома!R1321-дома!Q1321)+дома!N1321*дома!Q1321+дома!S1321*(дома!R1321-дома!Q1321)/2,0))*дома!O1321</f>
        <v>0</v>
      </c>
      <c r="U1321" s="1262"/>
      <c r="V1321" s="1380"/>
      <c r="W1321" s="1789"/>
      <c r="X1321" s="1789"/>
      <c r="Y1321" s="1380"/>
    </row>
    <row r="1322" spans="1:25" ht="15.75" hidden="1" customHeight="1" outlineLevel="1">
      <c r="A1322" s="1803"/>
      <c r="B1322" s="1696" t="s">
        <v>156</v>
      </c>
      <c r="C1322" s="1802">
        <f>'Ввод данных'!C113</f>
        <v>4</v>
      </c>
      <c r="D1322" s="1802">
        <f>'Ввод данных'!D113</f>
        <v>1</v>
      </c>
      <c r="E1322" s="1353">
        <f t="shared" si="128"/>
        <v>12</v>
      </c>
      <c r="F1322" s="1055">
        <f>'Ввод данных'!E113</f>
        <v>0</v>
      </c>
      <c r="G1322" s="1055">
        <f>'Ввод данных'!F113</f>
        <v>0</v>
      </c>
      <c r="H1322" s="1055"/>
      <c r="I1322" s="1055">
        <f t="shared" si="129"/>
        <v>0</v>
      </c>
      <c r="J1322" s="1055">
        <f>(IF('Ввод данных'!$A$6=связи1!$A$97,(C1322)*F1322+(C1322*(G1322-F1322)/2),0)+IF('Ввод данных'!$A$6=связи1!$A$94,'Ввод данных'!$C$13*дома!C1322,0)+IF('Ввод данных'!$A$6=связи1!$A$95,'Ввод данных'!$C$13*дома!C1322,0)+IF('Ввод данных'!$A$6=связи1!$A$96,'Ввод данных'!$C$13*дома!C1322,0)+IF('Ввод данных'!$A$6=связи1!$A$98,'Ввод данных'!$C$13*дома!C1322,0))*D1322</f>
        <v>12</v>
      </c>
      <c r="K1322" s="3164"/>
      <c r="L1322" s="3164"/>
      <c r="M1322" s="1353" t="s">
        <v>156</v>
      </c>
      <c r="N1322" s="1774">
        <f>'Ввод данных'!C129</f>
        <v>0</v>
      </c>
      <c r="O1322" s="1774">
        <f>'Ввод данных'!D129</f>
        <v>0</v>
      </c>
      <c r="P1322" s="1353">
        <f t="shared" si="130"/>
        <v>0</v>
      </c>
      <c r="Q1322" s="1055">
        <f>'Ввод данных'!E129</f>
        <v>0</v>
      </c>
      <c r="R1322" s="1055">
        <f>'Ввод данных'!F129</f>
        <v>0</v>
      </c>
      <c r="S1322" s="1774">
        <f t="shared" si="131"/>
        <v>0</v>
      </c>
      <c r="T1322" s="1055">
        <f>(IF('Ввод данных'!$A$6=связи1!$A$96,(N1322)*Q1322+(N1322*(R1322-Q1322)/2),0)+IF('Ввод данных'!$A$6=связи1!$A$94,0,0)+IF('Ввод данных'!$A$6=связи1!$A$95,'Ввод данных'!$C$16*дома!N1322,0)+IF('Ввод данных'!$A$6=связи1!$A$97,0,0)+IF('Ввод данных'!$A$6=связи1!$A$98,(дома!N1322-дома!S1322)*(дома!R1322-дома!Q1322)+дома!N1322*дома!Q1322+дома!S1322*(дома!R1322-дома!Q1322)/2,0))*дома!O1322</f>
        <v>0</v>
      </c>
      <c r="U1322" s="1262"/>
      <c r="V1322" s="1380"/>
      <c r="W1322" s="1789"/>
      <c r="X1322" s="1789"/>
      <c r="Y1322" s="1380"/>
    </row>
    <row r="1323" spans="1:25" ht="15.75" hidden="1" customHeight="1" outlineLevel="1">
      <c r="A1323" s="1803"/>
      <c r="B1323" s="1696" t="s">
        <v>156</v>
      </c>
      <c r="C1323" s="1802">
        <f>'Ввод данных'!C114</f>
        <v>0</v>
      </c>
      <c r="D1323" s="1802">
        <f>'Ввод данных'!D114</f>
        <v>0</v>
      </c>
      <c r="E1323" s="1353">
        <f t="shared" si="128"/>
        <v>0</v>
      </c>
      <c r="F1323" s="1055">
        <f>'Ввод данных'!E114</f>
        <v>0</v>
      </c>
      <c r="G1323" s="1055">
        <f>'Ввод данных'!F114</f>
        <v>0</v>
      </c>
      <c r="H1323" s="1055"/>
      <c r="I1323" s="1055">
        <f t="shared" si="129"/>
        <v>0</v>
      </c>
      <c r="J1323" s="1055">
        <f>(IF('Ввод данных'!$A$6=связи1!$A$97,(C1323)*F1323+(C1323*(G1323-F1323)/2),0)+IF('Ввод данных'!$A$6=связи1!$A$94,'Ввод данных'!$C$13*дома!C1323,0)+IF('Ввод данных'!$A$6=связи1!$A$95,'Ввод данных'!$C$13*дома!C1323,0)+IF('Ввод данных'!$A$6=связи1!$A$96,'Ввод данных'!$C$13*дома!C1323,0)+IF('Ввод данных'!$A$6=связи1!$A$98,'Ввод данных'!$C$13*дома!C1323,0))*D1323</f>
        <v>0</v>
      </c>
      <c r="K1323" s="3164"/>
      <c r="L1323" s="3164"/>
      <c r="M1323" s="1353" t="s">
        <v>156</v>
      </c>
      <c r="N1323" s="1774">
        <f>'Ввод данных'!C130</f>
        <v>0</v>
      </c>
      <c r="O1323" s="1774">
        <f>'Ввод данных'!D130</f>
        <v>0</v>
      </c>
      <c r="P1323" s="1353">
        <f t="shared" si="130"/>
        <v>0</v>
      </c>
      <c r="Q1323" s="1055">
        <f>'Ввод данных'!E130</f>
        <v>0</v>
      </c>
      <c r="R1323" s="1055">
        <f>'Ввод данных'!F130</f>
        <v>0</v>
      </c>
      <c r="S1323" s="1774">
        <f t="shared" si="131"/>
        <v>0</v>
      </c>
      <c r="T1323" s="1055">
        <f>(IF('Ввод данных'!$A$6=связи1!$A$96,(N1323)*Q1323+(N1323*(R1323-Q1323)/2),0)+IF('Ввод данных'!$A$6=связи1!$A$94,0,0)+IF('Ввод данных'!$A$6=связи1!$A$95,'Ввод данных'!$C$16*дома!N1323,0)+IF('Ввод данных'!$A$6=связи1!$A$97,0,0)+IF('Ввод данных'!$A$6=связи1!$A$98,(дома!N1323-дома!S1323)*(дома!R1323-дома!Q1323)+дома!N1323*дома!Q1323+дома!S1323*(дома!R1323-дома!Q1323)/2,0))*дома!O1323</f>
        <v>0</v>
      </c>
      <c r="U1323" s="1262"/>
      <c r="V1323" s="1380"/>
      <c r="W1323" s="1789"/>
      <c r="X1323" s="1789"/>
      <c r="Y1323" s="1380"/>
    </row>
    <row r="1324" spans="1:25" ht="15.75" hidden="1" customHeight="1" outlineLevel="1">
      <c r="A1324" s="1804"/>
      <c r="B1324" s="1696"/>
      <c r="C1324" s="1802">
        <f>'Ввод данных'!C115</f>
        <v>0</v>
      </c>
      <c r="D1324" s="1802">
        <f>'Ввод данных'!D115</f>
        <v>0</v>
      </c>
      <c r="E1324" s="1353">
        <f t="shared" si="128"/>
        <v>0</v>
      </c>
      <c r="F1324" s="1055">
        <f>'Ввод данных'!E115</f>
        <v>0</v>
      </c>
      <c r="G1324" s="1055">
        <f>'Ввод данных'!F115</f>
        <v>0</v>
      </c>
      <c r="H1324" s="1055"/>
      <c r="I1324" s="1055">
        <f t="shared" si="129"/>
        <v>0</v>
      </c>
      <c r="J1324" s="1055">
        <f>(IF('Ввод данных'!$A$6=связи1!$A$97,(C1324)*F1324+(C1324*(G1324-F1324)/2),0)+IF('Ввод данных'!$A$6=связи1!$A$94,'Ввод данных'!$C$13*дома!C1324,0)+IF('Ввод данных'!$A$6=связи1!$A$95,'Ввод данных'!$C$13*дома!C1324,0)+IF('Ввод данных'!$A$6=связи1!$A$96,'Ввод данных'!$C$13*дома!C1324,0)+IF('Ввод данных'!$A$6=связи1!$A$98,'Ввод данных'!$C$13*дома!C1324,0))*D1324</f>
        <v>0</v>
      </c>
      <c r="K1324" s="3164"/>
      <c r="L1324" s="3164"/>
      <c r="M1324" s="1353" t="s">
        <v>156</v>
      </c>
      <c r="N1324" s="1774">
        <f>'Ввод данных'!C131</f>
        <v>0</v>
      </c>
      <c r="O1324" s="1774">
        <f>'Ввод данных'!D131</f>
        <v>0</v>
      </c>
      <c r="P1324" s="1353">
        <f t="shared" si="130"/>
        <v>0</v>
      </c>
      <c r="Q1324" s="1055">
        <f>'Ввод данных'!E131</f>
        <v>0</v>
      </c>
      <c r="R1324" s="1055">
        <f>'Ввод данных'!F131</f>
        <v>0</v>
      </c>
      <c r="S1324" s="1774">
        <f t="shared" si="131"/>
        <v>0</v>
      </c>
      <c r="T1324" s="1055">
        <f>(IF('Ввод данных'!$A$6=связи1!$A$96,(N1324)*Q1324+(N1324*(R1324-Q1324)/2),0)+IF('Ввод данных'!$A$6=связи1!$A$94,0,0)+IF('Ввод данных'!$A$6=связи1!$A$95,'Ввод данных'!$C$16*дома!N1324,0)+IF('Ввод данных'!$A$6=связи1!$A$97,0,0)+IF('Ввод данных'!$A$6=связи1!$A$98,(дома!N1324-дома!S1324)*(дома!R1324-дома!Q1324)+дома!N1324*дома!Q1324+дома!S1324*(дома!R1324-дома!Q1324)/2,0))*дома!O1324</f>
        <v>0</v>
      </c>
      <c r="U1324" s="1262"/>
      <c r="V1324" s="1380"/>
      <c r="W1324" s="1789"/>
      <c r="X1324" s="1789"/>
      <c r="Y1324" s="1380"/>
    </row>
    <row r="1325" spans="1:25" ht="15.75" hidden="1" customHeight="1" outlineLevel="1">
      <c r="A1325" s="1691" t="s">
        <v>3598</v>
      </c>
      <c r="B1325" s="1696"/>
      <c r="C1325" s="1802">
        <f>'Ввод данных'!C116</f>
        <v>1.8</v>
      </c>
      <c r="D1325" s="1802">
        <f>'Ввод данных'!D116</f>
        <v>1</v>
      </c>
      <c r="E1325" s="1353">
        <f t="shared" si="128"/>
        <v>5.4</v>
      </c>
      <c r="F1325" s="1055">
        <f>'Ввод данных'!E116</f>
        <v>0</v>
      </c>
      <c r="G1325" s="1055">
        <f>'Ввод данных'!F116</f>
        <v>0</v>
      </c>
      <c r="H1325" s="1055"/>
      <c r="I1325" s="1055">
        <f t="shared" si="129"/>
        <v>0</v>
      </c>
      <c r="J1325" s="1055">
        <f>(IF('Ввод данных'!$A$6=связи1!$A$97,(C1325)*F1325+(C1325*(G1325-F1325)/2),0)+IF('Ввод данных'!$A$6=связи1!$A$94,'Ввод данных'!$C$13*дома!C1325,0)+IF('Ввод данных'!$A$6=связи1!$A$95,'Ввод данных'!$C$13*дома!C1325,0)+IF('Ввод данных'!$A$6=связи1!$A$96,'Ввод данных'!$C$13*дома!C1325,0)+IF('Ввод данных'!$A$6=связи1!$A$98,'Ввод данных'!$C$13*дома!C1325,0))*D1325</f>
        <v>5.4</v>
      </c>
      <c r="K1325" s="3164" t="s">
        <v>3599</v>
      </c>
      <c r="L1325" s="3164"/>
      <c r="M1325" s="1353" t="s">
        <v>156</v>
      </c>
      <c r="N1325" s="1774">
        <f>'Ввод данных'!C132</f>
        <v>0</v>
      </c>
      <c r="O1325" s="1774">
        <f>'Ввод данных'!D132</f>
        <v>0</v>
      </c>
      <c r="P1325" s="1353">
        <f t="shared" si="130"/>
        <v>0</v>
      </c>
      <c r="Q1325" s="1055">
        <f>'Ввод данных'!E132</f>
        <v>0</v>
      </c>
      <c r="R1325" s="1055">
        <f>'Ввод данных'!F132</f>
        <v>0</v>
      </c>
      <c r="S1325" s="1774">
        <f t="shared" si="131"/>
        <v>0</v>
      </c>
      <c r="T1325" s="1055">
        <f>(IF('Ввод данных'!$A$6=связи1!$A$96,(N1325)*Q1325+(N1325*(R1325-Q1325)/2),0)+IF('Ввод данных'!$A$6=связи1!$A$94,0,0)+IF('Ввод данных'!$A$6=связи1!$A$95,'Ввод данных'!$C$16*дома!N1325,0)+IF('Ввод данных'!$A$6=связи1!$A$97,0,0)+IF('Ввод данных'!$A$6=связи1!$A$98,(дома!N1325-дома!S1325)*(дома!R1325-дома!Q1325)+дома!N1325*дома!Q1325+дома!S1325*(дома!R1325-дома!Q1325)/2,0))*дома!O1325</f>
        <v>0</v>
      </c>
      <c r="U1325" s="1262"/>
      <c r="V1325" s="1380"/>
      <c r="W1325" s="1789"/>
      <c r="X1325" s="1789"/>
      <c r="Y1325" s="1380"/>
    </row>
    <row r="1326" spans="1:25" ht="15.75" hidden="1" customHeight="1" outlineLevel="1">
      <c r="A1326" s="1803"/>
      <c r="B1326" s="1696"/>
      <c r="C1326" s="1802">
        <f>'Ввод данных'!C117</f>
        <v>0</v>
      </c>
      <c r="D1326" s="1802">
        <f>'Ввод данных'!D117</f>
        <v>0</v>
      </c>
      <c r="E1326" s="1353">
        <f t="shared" si="128"/>
        <v>0</v>
      </c>
      <c r="F1326" s="1055">
        <f>'Ввод данных'!E117</f>
        <v>0</v>
      </c>
      <c r="G1326" s="1055">
        <f>'Ввод данных'!F117</f>
        <v>0</v>
      </c>
      <c r="H1326" s="1055"/>
      <c r="I1326" s="1055">
        <f t="shared" si="129"/>
        <v>0</v>
      </c>
      <c r="J1326" s="1055">
        <f>(IF('Ввод данных'!$A$6=связи1!$A$97,(C1326)*F1326+(C1326*(G1326-F1326)/2),0)+IF('Ввод данных'!$A$6=связи1!$A$94,'Ввод данных'!$C$13*дома!C1326,0)+IF('Ввод данных'!$A$6=связи1!$A$95,'Ввод данных'!$C$13*дома!C1326,0)+IF('Ввод данных'!$A$6=связи1!$A$96,'Ввод данных'!$C$13*дома!C1326,0)+IF('Ввод данных'!$A$6=связи1!$A$98,'Ввод данных'!$C$13*дома!C1326,0))*D1326</f>
        <v>0</v>
      </c>
      <c r="K1326" s="3164"/>
      <c r="L1326" s="3164"/>
      <c r="M1326" s="1353" t="s">
        <v>156</v>
      </c>
      <c r="N1326" s="1774">
        <f>'Ввод данных'!C133</f>
        <v>0</v>
      </c>
      <c r="O1326" s="1774">
        <f>'Ввод данных'!D133</f>
        <v>0</v>
      </c>
      <c r="P1326" s="1353">
        <f t="shared" si="130"/>
        <v>0</v>
      </c>
      <c r="Q1326" s="1055">
        <f>'Ввод данных'!E133</f>
        <v>0</v>
      </c>
      <c r="R1326" s="1055">
        <f>'Ввод данных'!F133</f>
        <v>0</v>
      </c>
      <c r="S1326" s="1774">
        <f t="shared" si="131"/>
        <v>0</v>
      </c>
      <c r="T1326" s="1055">
        <f>(IF('Ввод данных'!$A$6=связи1!$A$96,(N1326)*Q1326+(N1326*(R1326-Q1326)/2),0)+IF('Ввод данных'!$A$6=связи1!$A$94,0,0)+IF('Ввод данных'!$A$6=связи1!$A$95,'Ввод данных'!$C$16*дома!N1326,0)+IF('Ввод данных'!$A$6=связи1!$A$97,0,0)+IF('Ввод данных'!$A$6=связи1!$A$98,(дома!N1326-дома!S1326)*(дома!R1326-дома!Q1326)+дома!N1326*дома!Q1326+дома!S1326*(дома!R1326-дома!Q1326)/2,0))*дома!O1326</f>
        <v>0</v>
      </c>
      <c r="U1326" s="1262"/>
      <c r="V1326" s="1380"/>
      <c r="W1326" s="1789"/>
      <c r="X1326" s="1789"/>
      <c r="Y1326" s="1380"/>
    </row>
    <row r="1327" spans="1:25" ht="15.75" hidden="1" customHeight="1" outlineLevel="1">
      <c r="A1327" s="1803"/>
      <c r="B1327" s="1696"/>
      <c r="C1327" s="1802">
        <f>'Ввод данных'!C118</f>
        <v>0</v>
      </c>
      <c r="D1327" s="1802">
        <f>'Ввод данных'!D118</f>
        <v>0</v>
      </c>
      <c r="E1327" s="1353">
        <f t="shared" si="128"/>
        <v>0</v>
      </c>
      <c r="F1327" s="1055">
        <f>'Ввод данных'!E118</f>
        <v>0</v>
      </c>
      <c r="G1327" s="1055">
        <f>'Ввод данных'!F118</f>
        <v>0</v>
      </c>
      <c r="H1327" s="1055"/>
      <c r="I1327" s="1055">
        <f t="shared" si="129"/>
        <v>0</v>
      </c>
      <c r="J1327" s="1055">
        <f>(IF('Ввод данных'!$A$6=связи1!$A$97,(C1327)*F1327+(C1327*(G1327-F1327)/2),0)+IF('Ввод данных'!$A$6=связи1!$A$94,'Ввод данных'!$C$13*дома!C1327,0)+IF('Ввод данных'!$A$6=связи1!$A$95,'Ввод данных'!$C$13*дома!C1327,0)+IF('Ввод данных'!$A$6=связи1!$A$96,'Ввод данных'!$C$13*дома!C1327,0)+IF('Ввод данных'!$A$6=связи1!$A$98,'Ввод данных'!$C$13*дома!C1327,0))*D1327</f>
        <v>0</v>
      </c>
      <c r="K1327" s="3164"/>
      <c r="L1327" s="3164"/>
      <c r="M1327" s="1353" t="s">
        <v>156</v>
      </c>
      <c r="N1327" s="1774">
        <f>'Ввод данных'!C134</f>
        <v>0</v>
      </c>
      <c r="O1327" s="1774">
        <f>'Ввод данных'!D134</f>
        <v>0</v>
      </c>
      <c r="P1327" s="1353">
        <f t="shared" si="130"/>
        <v>0</v>
      </c>
      <c r="Q1327" s="1055">
        <f>'Ввод данных'!E134</f>
        <v>0</v>
      </c>
      <c r="R1327" s="1055">
        <f>'Ввод данных'!F134</f>
        <v>0</v>
      </c>
      <c r="S1327" s="1774">
        <f t="shared" si="131"/>
        <v>0</v>
      </c>
      <c r="T1327" s="1055">
        <f>(IF('Ввод данных'!$A$6=связи1!$A$96,(N1327)*Q1327+(N1327*(R1327-Q1327)/2),0)+IF('Ввод данных'!$A$6=связи1!$A$94,0,0)+IF('Ввод данных'!$A$6=связи1!$A$95,'Ввод данных'!$C$16*дома!N1327,0)+IF('Ввод данных'!$A$6=связи1!$A$97,0,0)+IF('Ввод данных'!$A$6=связи1!$A$98,(дома!N1327-дома!S1327)*(дома!R1327-дома!Q1327)+дома!N1327*дома!Q1327+дома!S1327*(дома!R1327-дома!Q1327)/2,0))*дома!O1327</f>
        <v>0</v>
      </c>
      <c r="U1327" s="1262"/>
      <c r="V1327" s="1380"/>
      <c r="W1327" s="1789"/>
      <c r="X1327" s="1789"/>
      <c r="Y1327" s="1380"/>
    </row>
    <row r="1328" spans="1:25" ht="15.75" hidden="1" customHeight="1" outlineLevel="1">
      <c r="A1328" s="1804"/>
      <c r="B1328" s="1696"/>
      <c r="C1328" s="1802">
        <f>'Ввод данных'!C119</f>
        <v>0</v>
      </c>
      <c r="D1328" s="1802">
        <f>'Ввод данных'!D119</f>
        <v>0</v>
      </c>
      <c r="E1328" s="1353">
        <f t="shared" si="128"/>
        <v>0</v>
      </c>
      <c r="F1328" s="1055">
        <f>'Ввод данных'!E119</f>
        <v>0</v>
      </c>
      <c r="G1328" s="1055">
        <f>'Ввод данных'!F119</f>
        <v>0</v>
      </c>
      <c r="H1328" s="1055"/>
      <c r="I1328" s="1055">
        <f t="shared" si="129"/>
        <v>0</v>
      </c>
      <c r="J1328" s="1055">
        <f>(IF('Ввод данных'!$A$6=связи1!$A$97,(C1328)*F1328+(C1328*(G1328-F1328)/2),0)+IF('Ввод данных'!$A$6=связи1!$A$94,'Ввод данных'!$C$13*дома!C1328,0)+IF('Ввод данных'!$A$6=связи1!$A$95,'Ввод данных'!$C$13*дома!C1328,0)+IF('Ввод данных'!$A$6=связи1!$A$96,'Ввод данных'!$C$13*дома!C1328,0)+IF('Ввод данных'!$A$6=связи1!$A$98,'Ввод данных'!$C$13*дома!C1328,0))*D1328</f>
        <v>0</v>
      </c>
      <c r="K1328" s="3164"/>
      <c r="L1328" s="3164"/>
      <c r="M1328" s="1353" t="s">
        <v>156</v>
      </c>
      <c r="N1328" s="1774">
        <f>'Ввод данных'!C135</f>
        <v>0</v>
      </c>
      <c r="O1328" s="1774">
        <f>'Ввод данных'!D135</f>
        <v>0</v>
      </c>
      <c r="P1328" s="1353">
        <f t="shared" si="130"/>
        <v>0</v>
      </c>
      <c r="Q1328" s="1055">
        <f>'Ввод данных'!E135</f>
        <v>0</v>
      </c>
      <c r="R1328" s="1055">
        <f>'Ввод данных'!F135</f>
        <v>0</v>
      </c>
      <c r="S1328" s="1774">
        <f t="shared" si="131"/>
        <v>0</v>
      </c>
      <c r="T1328" s="1055">
        <f>(IF('Ввод данных'!$A$6=связи1!$A$96,(N1328)*Q1328+(N1328*(R1328-Q1328)/2),0)+IF('Ввод данных'!$A$6=связи1!$A$94,0,0)+IF('Ввод данных'!$A$6=связи1!$A$95,'Ввод данных'!$C$16*дома!N1328,0)+IF('Ввод данных'!$A$6=связи1!$A$97,0,0)+IF('Ввод данных'!$A$6=связи1!$A$98,(дома!N1328-дома!S1328)*(дома!R1328-дома!Q1328)+дома!N1328*дома!Q1328+дома!S1328*(дома!R1328-дома!Q1328)/2,0))*дома!O1328</f>
        <v>0</v>
      </c>
      <c r="U1328" s="1262"/>
      <c r="V1328" s="1380"/>
      <c r="W1328" s="1789"/>
      <c r="X1328" s="1789"/>
      <c r="Y1328" s="1380"/>
    </row>
    <row r="1329" spans="1:25" ht="15.75" hidden="1" customHeight="1" outlineLevel="1">
      <c r="A1329" s="1691" t="s">
        <v>3600</v>
      </c>
      <c r="B1329" s="1696" t="s">
        <v>156</v>
      </c>
      <c r="C1329" s="1802">
        <f>'Ввод данных'!C120</f>
        <v>0</v>
      </c>
      <c r="D1329" s="1802">
        <f>'Ввод данных'!D120</f>
        <v>0</v>
      </c>
      <c r="E1329" s="1353">
        <f t="shared" si="128"/>
        <v>0</v>
      </c>
      <c r="F1329" s="1055">
        <f>'Ввод данных'!E120</f>
        <v>0</v>
      </c>
      <c r="G1329" s="1055">
        <f>'Ввод данных'!F120</f>
        <v>0</v>
      </c>
      <c r="H1329" s="1055"/>
      <c r="I1329" s="1055"/>
      <c r="J1329" s="1055">
        <f>(IF('Ввод данных'!$A$6=связи1!$A$97,(C1329)*G1329,0)+IF('Ввод данных'!$A$6=связи1!$A$94,'Ввод данных'!$C$13*дома!C1329,0)+IF('Ввод данных'!$A$6=связи1!$A$95,'Ввод данных'!$C$13*дома!C1329,0)+IF('Ввод данных'!$A$6=связи1!$A$96,'Ввод данных'!$C$13*дома!C1329,0)+IF('Ввод данных'!$A$6=связи1!$A$98,'Ввод данных'!$C$13*дома!C1329,0))*D1329</f>
        <v>0</v>
      </c>
      <c r="K1329" s="3164" t="s">
        <v>3601</v>
      </c>
      <c r="L1329" s="3164"/>
      <c r="M1329" s="1353" t="s">
        <v>156</v>
      </c>
      <c r="N1329" s="1774">
        <f>'Ввод данных'!C136</f>
        <v>4</v>
      </c>
      <c r="O1329" s="1774">
        <f>'Ввод данных'!D136</f>
        <v>1</v>
      </c>
      <c r="P1329" s="1353">
        <f t="shared" si="130"/>
        <v>0</v>
      </c>
      <c r="Q1329" s="1055">
        <f>'Ввод данных'!E136</f>
        <v>0</v>
      </c>
      <c r="R1329" s="1055">
        <f>'Ввод данных'!F136</f>
        <v>2.2000000000000002</v>
      </c>
      <c r="S1329" s="1774"/>
      <c r="T1329" s="1055">
        <f>(IF('Ввод данных'!$A$6=связи1!$A$96,N1329*R1329,0)+IF('Ввод данных'!$A$6=связи1!$A$94,0,0)+IF('Ввод данных'!$A$6=связи1!$A$95,'Ввод данных'!$C$16*дома!N1329,0)+IF('Ввод данных'!$A$6=связи1!$A$97,0,0)+IF('Ввод данных'!$A$6=связи1!$A$98,N1329*'Ввод данных'!$C$16,0))*дома!O1329</f>
        <v>0</v>
      </c>
      <c r="U1329" s="1262"/>
      <c r="V1329" s="1380"/>
      <c r="W1329" s="1789"/>
      <c r="X1329" s="1789"/>
      <c r="Y1329" s="1380"/>
    </row>
    <row r="1330" spans="1:25" ht="15.75" hidden="1" customHeight="1" outlineLevel="1">
      <c r="A1330" s="1803"/>
      <c r="B1330" s="1696" t="s">
        <v>156</v>
      </c>
      <c r="C1330" s="1802">
        <f>'Ввод данных'!C121</f>
        <v>0</v>
      </c>
      <c r="D1330" s="1802">
        <f>'Ввод данных'!D121</f>
        <v>0</v>
      </c>
      <c r="E1330" s="1353">
        <f t="shared" si="128"/>
        <v>0</v>
      </c>
      <c r="F1330" s="1055">
        <f>'Ввод данных'!E121</f>
        <v>0</v>
      </c>
      <c r="G1330" s="1055">
        <f>'Ввод данных'!F121</f>
        <v>0</v>
      </c>
      <c r="H1330" s="1055"/>
      <c r="I1330" s="1055"/>
      <c r="J1330" s="1055">
        <f>(IF('Ввод данных'!$A$6=связи1!$A$97,(C1330)*G1330,0)+IF('Ввод данных'!$A$6=связи1!$A$94,'Ввод данных'!$C$13*дома!C1330,0)+IF('Ввод данных'!$A$6=связи1!$A$95,'Ввод данных'!$C$13*дома!C1330,0)+IF('Ввод данных'!$A$6=связи1!$A$96,'Ввод данных'!$C$13*дома!C1330,0)+IF('Ввод данных'!$A$6=связи1!$A$98,'Ввод данных'!$C$13*дома!C1330,0))*D1330</f>
        <v>0</v>
      </c>
      <c r="K1330" s="3164"/>
      <c r="L1330" s="3164"/>
      <c r="M1330" s="1353" t="s">
        <v>156</v>
      </c>
      <c r="N1330" s="1774">
        <f>'Ввод данных'!C137</f>
        <v>2</v>
      </c>
      <c r="O1330" s="1774">
        <f>'Ввод данных'!D137</f>
        <v>1</v>
      </c>
      <c r="P1330" s="1353">
        <f t="shared" si="130"/>
        <v>0</v>
      </c>
      <c r="Q1330" s="1055">
        <f>'Ввод данных'!E137</f>
        <v>0</v>
      </c>
      <c r="R1330" s="1055">
        <f>'Ввод данных'!F137</f>
        <v>2.2000000000000002</v>
      </c>
      <c r="S1330" s="1774"/>
      <c r="T1330" s="1055">
        <f>(IF('Ввод данных'!$A$6=связи1!$A$96,N1330*R1330,0)+IF('Ввод данных'!$A$6=связи1!$A$94,0,0)+IF('Ввод данных'!$A$6=связи1!$A$95,'Ввод данных'!$C$16*дома!N1330,0)+IF('Ввод данных'!$A$6=связи1!$A$97,0,0)+IF('Ввод данных'!$A$6=связи1!$A$98,N1330*'Ввод данных'!$C$16,0))*дома!O1330</f>
        <v>0</v>
      </c>
      <c r="U1330" s="1262"/>
      <c r="V1330" s="1380"/>
      <c r="W1330" s="1380"/>
      <c r="X1330" s="1380"/>
      <c r="Y1330" s="1380"/>
    </row>
    <row r="1331" spans="1:25" ht="15.75" hidden="1" customHeight="1" outlineLevel="1">
      <c r="A1331" s="1803"/>
      <c r="B1331" s="1696" t="s">
        <v>156</v>
      </c>
      <c r="C1331" s="1802">
        <f>'Ввод данных'!C122</f>
        <v>0</v>
      </c>
      <c r="D1331" s="1802">
        <f>'Ввод данных'!D122</f>
        <v>0</v>
      </c>
      <c r="E1331" s="1353">
        <f t="shared" si="128"/>
        <v>0</v>
      </c>
      <c r="F1331" s="1055">
        <f>'Ввод данных'!E122</f>
        <v>0</v>
      </c>
      <c r="G1331" s="1055">
        <f>'Ввод данных'!F122</f>
        <v>0</v>
      </c>
      <c r="H1331" s="1055"/>
      <c r="I1331" s="1055"/>
      <c r="J1331" s="1055">
        <f>(IF('Ввод данных'!$A$6=связи1!$A$97,(C1331)*G1331,0)+IF('Ввод данных'!$A$6=связи1!$A$94,'Ввод данных'!$C$13*дома!C1331,0)+IF('Ввод данных'!$A$6=связи1!$A$95,'Ввод данных'!$C$13*дома!C1331,0)+IF('Ввод данных'!$A$6=связи1!$A$96,'Ввод данных'!$C$13*дома!C1331,0)+IF('Ввод данных'!$A$6=связи1!$A$98,'Ввод данных'!$C$13*дома!C1331,0))*D1331</f>
        <v>0</v>
      </c>
      <c r="K1331" s="3164"/>
      <c r="L1331" s="3164"/>
      <c r="M1331" s="1353" t="s">
        <v>156</v>
      </c>
      <c r="N1331" s="1774">
        <f>'Ввод данных'!C138</f>
        <v>3</v>
      </c>
      <c r="O1331" s="1774">
        <f>'Ввод данных'!D138</f>
        <v>1</v>
      </c>
      <c r="P1331" s="1353">
        <f t="shared" si="130"/>
        <v>0</v>
      </c>
      <c r="Q1331" s="1055">
        <f>'Ввод данных'!E138</f>
        <v>0</v>
      </c>
      <c r="R1331" s="1055">
        <f>'Ввод данных'!F138</f>
        <v>2.2000000000000002</v>
      </c>
      <c r="S1331" s="1774"/>
      <c r="T1331" s="1055">
        <f>(IF('Ввод данных'!$A$6=связи1!$A$96,N1331*R1331,0)+IF('Ввод данных'!$A$6=связи1!$A$94,0,0)+IF('Ввод данных'!$A$6=связи1!$A$95,'Ввод данных'!$C$16*дома!N1331,0)+IF('Ввод данных'!$A$6=связи1!$A$97,0,0)+IF('Ввод данных'!$A$6=связи1!$A$98,N1331*'Ввод данных'!$C$16,0))*дома!O1331</f>
        <v>0</v>
      </c>
      <c r="U1331" s="1262"/>
      <c r="V1331" s="1380"/>
      <c r="W1331" s="1380"/>
      <c r="X1331" s="1380"/>
      <c r="Y1331" s="1380"/>
    </row>
    <row r="1332" spans="1:25" ht="15.75" hidden="1" customHeight="1" outlineLevel="1">
      <c r="A1332" s="1804"/>
      <c r="B1332" s="1696"/>
      <c r="C1332" s="1802">
        <f>'Ввод данных'!C123</f>
        <v>0</v>
      </c>
      <c r="D1332" s="1802">
        <f>'Ввод данных'!D123</f>
        <v>0</v>
      </c>
      <c r="E1332" s="1353">
        <f t="shared" si="128"/>
        <v>0</v>
      </c>
      <c r="F1332" s="1055">
        <f>'Ввод данных'!E123</f>
        <v>0</v>
      </c>
      <c r="G1332" s="1055">
        <f>'Ввод данных'!F123</f>
        <v>0</v>
      </c>
      <c r="H1332" s="1055"/>
      <c r="I1332" s="1055"/>
      <c r="J1332" s="1055">
        <f>(IF('Ввод данных'!$A$6=связи1!$A$97,(C1332)*G1332,0)+IF('Ввод данных'!$A$6=связи1!$A$94,'Ввод данных'!$C$13*дома!C1332,0)+IF('Ввод данных'!$A$6=связи1!$A$95,'Ввод данных'!$C$13*дома!C1332,0)+IF('Ввод данных'!$A$6=связи1!$A$96,'Ввод данных'!$C$13*дома!C1332,0)+IF('Ввод данных'!$A$6=связи1!$A$98,'Ввод данных'!$C$13*дома!C1332,0))*D1332</f>
        <v>0</v>
      </c>
      <c r="K1332" s="3164"/>
      <c r="L1332" s="3164"/>
      <c r="M1332" s="1353" t="s">
        <v>156</v>
      </c>
      <c r="N1332" s="1774">
        <f>'Ввод данных'!C139</f>
        <v>0</v>
      </c>
      <c r="O1332" s="1774">
        <f>'Ввод данных'!D139</f>
        <v>0</v>
      </c>
      <c r="P1332" s="1353">
        <f t="shared" si="130"/>
        <v>0</v>
      </c>
      <c r="Q1332" s="1055">
        <f>'Ввод данных'!E139</f>
        <v>0</v>
      </c>
      <c r="R1332" s="1055">
        <f>'Ввод данных'!F139</f>
        <v>0</v>
      </c>
      <c r="S1332" s="1774"/>
      <c r="T1332" s="1055">
        <f>(IF('Ввод данных'!$A$6=связи1!$A$96,N1332*R1332,0)+IF('Ввод данных'!$A$6=связи1!$A$94,0,0)+IF('Ввод данных'!$A$6=связи1!$A$95,'Ввод данных'!$C$16*дома!N1332,0)+IF('Ввод данных'!$A$6=связи1!$A$97,0,0)+IF('Ввод данных'!$A$6=связи1!$A$98,N1332*'Ввод данных'!$C$16,0))*дома!O1332</f>
        <v>0</v>
      </c>
      <c r="U1332" s="1262"/>
      <c r="V1332" s="1380"/>
      <c r="W1332" s="1380"/>
      <c r="X1332" s="1380"/>
      <c r="Y1332" s="1380"/>
    </row>
    <row r="1333" spans="1:25" ht="15.75" hidden="1" customHeight="1" outlineLevel="1">
      <c r="A1333" s="1691" t="s">
        <v>3602</v>
      </c>
      <c r="B1333" s="1696"/>
      <c r="C1333" s="1802">
        <f>'Ввод данных'!C124</f>
        <v>3</v>
      </c>
      <c r="D1333" s="1802">
        <f>'Ввод данных'!D124</f>
        <v>2</v>
      </c>
      <c r="E1333" s="1353">
        <f t="shared" si="128"/>
        <v>18</v>
      </c>
      <c r="F1333" s="1055">
        <f>'Ввод данных'!E124</f>
        <v>0</v>
      </c>
      <c r="G1333" s="1055">
        <f>'Ввод данных'!F124</f>
        <v>0</v>
      </c>
      <c r="H1333" s="1055"/>
      <c r="I1333" s="1055"/>
      <c r="J1333" s="1055">
        <f>(IF('Ввод данных'!$A$6=связи1!$A$97,(C1333)*G1333,0)+IF('Ввод данных'!$A$6=связи1!$A$94,'Ввод данных'!$C$13*дома!C1333,0)+IF('Ввод данных'!$A$6=связи1!$A$95,'Ввод данных'!$C$13*дома!C1333,0)+IF('Ввод данных'!$A$6=связи1!$A$96,'Ввод данных'!$C$13*дома!C1333,0)+IF('Ввод данных'!$A$6=связи1!$A$98,'Ввод данных'!$C$13*дома!C1333,0))*D1333</f>
        <v>18</v>
      </c>
      <c r="K1333" s="3164" t="s">
        <v>3603</v>
      </c>
      <c r="L1333" s="3164"/>
      <c r="M1333" s="1353" t="s">
        <v>156</v>
      </c>
      <c r="N1333" s="1774">
        <f>'Ввод данных'!C140</f>
        <v>0</v>
      </c>
      <c r="O1333" s="1774">
        <f>'Ввод данных'!D140</f>
        <v>0</v>
      </c>
      <c r="P1333" s="1353">
        <f t="shared" si="130"/>
        <v>0</v>
      </c>
      <c r="Q1333" s="1055">
        <f>'Ввод данных'!E140</f>
        <v>0</v>
      </c>
      <c r="R1333" s="1055">
        <f>'Ввод данных'!F140</f>
        <v>0</v>
      </c>
      <c r="S1333" s="1774"/>
      <c r="T1333" s="1055">
        <f>(IF('Ввод данных'!$A$6=связи1!$A$96,N1333*R1333,0)+IF('Ввод данных'!$A$6=связи1!$A$94,0,0)+IF('Ввод данных'!$A$6=связи1!$A$95,'Ввод данных'!$C$16*дома!N1333,0)+IF('Ввод данных'!$A$6=связи1!$A$97,0,0)+IF('Ввод данных'!$A$6=связи1!$A$98,N1333*'Ввод данных'!$C$16,0))*дома!O1333</f>
        <v>0</v>
      </c>
      <c r="U1333" s="1262"/>
      <c r="V1333" s="1380"/>
      <c r="W1333" s="1380"/>
      <c r="X1333" s="1380"/>
      <c r="Y1333" s="1380"/>
    </row>
    <row r="1334" spans="1:25" ht="15.75" hidden="1" customHeight="1" outlineLevel="1">
      <c r="A1334" s="1803"/>
      <c r="B1334" s="1696"/>
      <c r="C1334" s="1802">
        <f>'Ввод данных'!C125</f>
        <v>0</v>
      </c>
      <c r="D1334" s="1802">
        <f>'Ввод данных'!D125</f>
        <v>0</v>
      </c>
      <c r="E1334" s="1353">
        <f t="shared" si="128"/>
        <v>0</v>
      </c>
      <c r="F1334" s="1055">
        <f>'Ввод данных'!E125</f>
        <v>0</v>
      </c>
      <c r="G1334" s="1055">
        <f>'Ввод данных'!F125</f>
        <v>0</v>
      </c>
      <c r="H1334" s="1055"/>
      <c r="I1334" s="1055"/>
      <c r="J1334" s="1055">
        <f>(IF('Ввод данных'!$A$6=связи1!$A$97,(C1334)*G1334,0)+IF('Ввод данных'!$A$6=связи1!$A$94,'Ввод данных'!$C$13*дома!C1334,0)+IF('Ввод данных'!$A$6=связи1!$A$95,'Ввод данных'!$C$13*дома!C1334,0)+IF('Ввод данных'!$A$6=связи1!$A$96,'Ввод данных'!$C$13*дома!C1334,0)+IF('Ввод данных'!$A$6=связи1!$A$98,'Ввод данных'!$C$13*дома!C1334,0))*D1334</f>
        <v>0</v>
      </c>
      <c r="K1334" s="3164"/>
      <c r="L1334" s="3164"/>
      <c r="M1334" s="1353" t="s">
        <v>156</v>
      </c>
      <c r="N1334" s="1774">
        <f>'Ввод данных'!C141</f>
        <v>0</v>
      </c>
      <c r="O1334" s="1774">
        <f>'Ввод данных'!D141</f>
        <v>0</v>
      </c>
      <c r="P1334" s="1353">
        <f t="shared" si="130"/>
        <v>0</v>
      </c>
      <c r="Q1334" s="1055">
        <f>'Ввод данных'!E141</f>
        <v>0</v>
      </c>
      <c r="R1334" s="1055">
        <f>'Ввод данных'!F141</f>
        <v>0</v>
      </c>
      <c r="S1334" s="1774"/>
      <c r="T1334" s="1055">
        <f>(IF('Ввод данных'!$A$6=связи1!$A$96,N1334*R1334,0)+IF('Ввод данных'!$A$6=связи1!$A$94,0,0)+IF('Ввод данных'!$A$6=связи1!$A$95,'Ввод данных'!$C$16*дома!N1334,0)+IF('Ввод данных'!$A$6=связи1!$A$97,0,0)+IF('Ввод данных'!$A$6=связи1!$A$98,N1334*'Ввод данных'!$C$16,0))*дома!O1334</f>
        <v>0</v>
      </c>
      <c r="U1334" s="1262"/>
      <c r="V1334" s="1380"/>
      <c r="W1334" s="1380"/>
      <c r="X1334" s="1380"/>
      <c r="Y1334" s="1380"/>
    </row>
    <row r="1335" spans="1:25" ht="15.75" hidden="1" customHeight="1" outlineLevel="1">
      <c r="A1335" s="1803"/>
      <c r="B1335" s="1696"/>
      <c r="C1335" s="1802">
        <f>'Ввод данных'!C126</f>
        <v>0</v>
      </c>
      <c r="D1335" s="1802">
        <f>'Ввод данных'!D126</f>
        <v>0</v>
      </c>
      <c r="E1335" s="1353">
        <f t="shared" si="128"/>
        <v>0</v>
      </c>
      <c r="F1335" s="1055">
        <f>'Ввод данных'!E126</f>
        <v>0</v>
      </c>
      <c r="G1335" s="1055">
        <f>'Ввод данных'!F126</f>
        <v>0</v>
      </c>
      <c r="H1335" s="1055"/>
      <c r="I1335" s="1055"/>
      <c r="J1335" s="1055">
        <f>(IF('Ввод данных'!$A$6=связи1!$A$97,(C1335)*G1335,0)+IF('Ввод данных'!$A$6=связи1!$A$94,'Ввод данных'!$C$13*дома!C1335,0)+IF('Ввод данных'!$A$6=связи1!$A$95,'Ввод данных'!$C$13*дома!C1335,0)+IF('Ввод данных'!$A$6=связи1!$A$96,'Ввод данных'!$C$13*дома!C1335,0)+IF('Ввод данных'!$A$6=связи1!$A$98,'Ввод данных'!$C$13*дома!C1335,0))*D1335</f>
        <v>0</v>
      </c>
      <c r="K1335" s="3164"/>
      <c r="L1335" s="3164"/>
      <c r="M1335" s="1353" t="s">
        <v>156</v>
      </c>
      <c r="N1335" s="1774">
        <f>'Ввод данных'!C142</f>
        <v>0</v>
      </c>
      <c r="O1335" s="1774">
        <f>'Ввод данных'!D142</f>
        <v>0</v>
      </c>
      <c r="P1335" s="1353">
        <f t="shared" si="130"/>
        <v>0</v>
      </c>
      <c r="Q1335" s="1055">
        <f>'Ввод данных'!E142</f>
        <v>0</v>
      </c>
      <c r="R1335" s="1055">
        <f>'Ввод данных'!F142</f>
        <v>0</v>
      </c>
      <c r="S1335" s="1774"/>
      <c r="T1335" s="1055">
        <f>(IF('Ввод данных'!$A$6=связи1!$A$96,N1335*R1335,0)+IF('Ввод данных'!$A$6=связи1!$A$94,0,0)+IF('Ввод данных'!$A$6=связи1!$A$95,'Ввод данных'!$C$16*дома!N1335,0)+IF('Ввод данных'!$A$6=связи1!$A$97,0,0)+IF('Ввод данных'!$A$6=связи1!$A$98,N1335*'Ввод данных'!$C$16,0))*дома!O1335</f>
        <v>0</v>
      </c>
      <c r="U1335" s="1262"/>
      <c r="V1335" s="1380"/>
      <c r="W1335" s="1380"/>
      <c r="X1335" s="1380"/>
      <c r="Y1335" s="1380"/>
    </row>
    <row r="1336" spans="1:25" ht="15.75" hidden="1" customHeight="1" outlineLevel="1">
      <c r="A1336" s="1804"/>
      <c r="B1336" s="1696"/>
      <c r="C1336" s="1802">
        <f>'Ввод данных'!C127</f>
        <v>0</v>
      </c>
      <c r="D1336" s="1802">
        <f>'Ввод данных'!D127</f>
        <v>0</v>
      </c>
      <c r="E1336" s="1353">
        <f t="shared" si="128"/>
        <v>0</v>
      </c>
      <c r="F1336" s="1055">
        <f>'Ввод данных'!E127</f>
        <v>0</v>
      </c>
      <c r="G1336" s="1055">
        <f>'Ввод данных'!F127</f>
        <v>0</v>
      </c>
      <c r="H1336" s="1055"/>
      <c r="I1336" s="1055"/>
      <c r="J1336" s="1055">
        <f>(IF('Ввод данных'!$A$6=связи1!$A$97,(C1336)*G1336,0)+IF('Ввод данных'!$A$6=связи1!$A$94,'Ввод данных'!$C$13*дома!C1336,0)+IF('Ввод данных'!$A$6=связи1!$A$95,'Ввод данных'!$C$13*дома!C1336,0)+IF('Ввод данных'!$A$6=связи1!$A$96,'Ввод данных'!$C$13*дома!C1336,0)+IF('Ввод данных'!$A$6=связи1!$A$98,'Ввод данных'!$C$13*дома!C1336,0))*D1336</f>
        <v>0</v>
      </c>
      <c r="K1336" s="3164"/>
      <c r="L1336" s="3164"/>
      <c r="M1336" s="1353" t="s">
        <v>156</v>
      </c>
      <c r="N1336" s="1774">
        <f>'Ввод данных'!C143</f>
        <v>0</v>
      </c>
      <c r="O1336" s="1774">
        <f>'Ввод данных'!D143</f>
        <v>0</v>
      </c>
      <c r="P1336" s="1353">
        <f t="shared" si="130"/>
        <v>0</v>
      </c>
      <c r="Q1336" s="1055">
        <f>'Ввод данных'!E143</f>
        <v>0</v>
      </c>
      <c r="R1336" s="1055">
        <f>'Ввод данных'!F143</f>
        <v>0</v>
      </c>
      <c r="S1336" s="1774"/>
      <c r="T1336" s="1055">
        <f>(IF('Ввод данных'!$A$6=связи1!$A$96,N1336*R1336,0)+IF('Ввод данных'!$A$6=связи1!$A$94,0,0)+IF('Ввод данных'!$A$6=связи1!$A$95,'Ввод данных'!$C$16*дома!N1336,0)+IF('Ввод данных'!$A$6=связи1!$A$97,0,0)+IF('Ввод данных'!$A$6=связи1!$A$98,N1336*'Ввод данных'!$C$16,0))*дома!O1336</f>
        <v>0</v>
      </c>
      <c r="U1336" s="1262"/>
      <c r="V1336" s="1380"/>
      <c r="W1336" s="1380"/>
      <c r="X1336" s="1380"/>
      <c r="Y1336" s="1380"/>
    </row>
    <row r="1337" spans="1:25" s="1197" customFormat="1" ht="15.75" hidden="1" customHeight="1" outlineLevel="1">
      <c r="A1337" s="513"/>
      <c r="B1337" s="1805"/>
      <c r="C1337" s="1806"/>
      <c r="D1337" s="1063" t="s">
        <v>3604</v>
      </c>
      <c r="E1337" s="1774"/>
      <c r="F1337" s="1353">
        <f>E1321+E1322+E1323+E1324+E1329+E1330+E1331+E1332</f>
        <v>48</v>
      </c>
      <c r="K1337" s="513"/>
      <c r="L1337" s="510"/>
      <c r="M1337" s="1380"/>
      <c r="N1337" s="1063" t="s">
        <v>3605</v>
      </c>
      <c r="O1337" s="1063"/>
      <c r="P1337" s="1063"/>
      <c r="Q1337" s="1063"/>
      <c r="R1337" s="1353">
        <f>P1321+P1322+P1323+P1324+P1329+P1330+P1331+P1332</f>
        <v>0</v>
      </c>
      <c r="T1337" s="1380"/>
      <c r="U1337" s="1380"/>
      <c r="V1337" s="1380"/>
      <c r="W1337" s="1380"/>
      <c r="X1337" s="1380"/>
      <c r="Y1337" s="1380"/>
    </row>
    <row r="1338" spans="1:25" s="1197" customFormat="1" ht="15.75" hidden="1" customHeight="1" outlineLevel="1">
      <c r="A1338" s="513"/>
      <c r="B1338" s="1805"/>
      <c r="C1338" s="1806"/>
      <c r="D1338" s="1063" t="s">
        <v>3606</v>
      </c>
      <c r="E1338" s="1774"/>
      <c r="F1338" s="1353">
        <f>E1325+E1326+E1327+E1328+E1333+E1334+E1335+E1336</f>
        <v>23.4</v>
      </c>
      <c r="K1338" s="513"/>
      <c r="L1338" s="510"/>
      <c r="M1338" s="1380"/>
      <c r="N1338" s="1063" t="s">
        <v>3607</v>
      </c>
      <c r="O1338" s="1063"/>
      <c r="P1338" s="1063"/>
      <c r="Q1338" s="1063"/>
      <c r="R1338" s="1353">
        <f>P1325+P1326+P1327+P1328+P1333+P1334+P1335+P1336</f>
        <v>0</v>
      </c>
      <c r="T1338" s="1380"/>
      <c r="U1338" s="1380"/>
      <c r="V1338" s="1380"/>
      <c r="W1338" s="1380"/>
      <c r="X1338" s="1380"/>
      <c r="Y1338" s="1380"/>
    </row>
    <row r="1339" spans="1:25" s="1197" customFormat="1" ht="15.75" hidden="1" customHeight="1" outlineLevel="1">
      <c r="A1339" s="512"/>
      <c r="B1339" s="1805"/>
      <c r="C1339" s="1807"/>
      <c r="D1339" s="1353" t="s">
        <v>3608</v>
      </c>
      <c r="E1339" s="1055"/>
      <c r="F1339" s="1353">
        <f>E1321+E1322+E1323+E1324+E1329+E1330+E1331+E1332</f>
        <v>48</v>
      </c>
      <c r="G1339" s="1197">
        <f>F1339+R1339</f>
        <v>48</v>
      </c>
      <c r="K1339" s="1808"/>
      <c r="L1339" s="1809"/>
      <c r="M1339" s="1789"/>
      <c r="N1339" s="1353" t="s">
        <v>3608</v>
      </c>
      <c r="O1339" s="1353"/>
      <c r="P1339" s="1353"/>
      <c r="Q1339" s="1353"/>
      <c r="R1339" s="1353">
        <f>(P1321+P1322+P1323+P1324+P1329+P1330+P1331+P1332)*(B1319-1)</f>
        <v>0</v>
      </c>
      <c r="T1339" s="1380"/>
      <c r="U1339" s="1380"/>
      <c r="V1339" s="1380"/>
      <c r="W1339" s="1380"/>
      <c r="X1339" s="1380"/>
      <c r="Y1339" s="1380"/>
    </row>
    <row r="1340" spans="1:25" s="1197" customFormat="1" ht="15.75" hidden="1" customHeight="1" outlineLevel="1">
      <c r="A1340" s="1380"/>
      <c r="B1340" s="1807"/>
      <c r="C1340" s="1807"/>
      <c r="D1340" s="1797" t="s">
        <v>3609</v>
      </c>
      <c r="E1340" s="1797" t="s">
        <v>3412</v>
      </c>
      <c r="F1340" s="1797">
        <f>E1325+E1326+E1327+E1328+E1333+E1334+E1335+E1336</f>
        <v>23.4</v>
      </c>
      <c r="G1340" s="1197">
        <f>R1340+F1340</f>
        <v>23.4</v>
      </c>
      <c r="K1340" s="1789"/>
      <c r="L1340" s="1790"/>
      <c r="M1340" s="1789"/>
      <c r="N1340" s="1797" t="s">
        <v>3609</v>
      </c>
      <c r="O1340" s="1797"/>
      <c r="P1340" s="1797"/>
      <c r="Q1340" s="1797"/>
      <c r="R1340" s="1353">
        <f>(P1325+P1326+P1327+P1328+P1333+P1334+P1335+P1336)*(B1319-1)</f>
        <v>0</v>
      </c>
      <c r="T1340" s="1380"/>
      <c r="U1340" s="1380"/>
      <c r="V1340" s="1380"/>
      <c r="W1340" s="1380"/>
      <c r="X1340" s="1380"/>
      <c r="Y1340" s="1380"/>
    </row>
    <row r="1341" spans="1:25" ht="15.75" hidden="1" customHeight="1" outlineLevel="1">
      <c r="A1341" s="1380"/>
      <c r="B1341" s="1807"/>
      <c r="C1341" s="1807"/>
      <c r="D1341" s="1789"/>
      <c r="E1341" s="1789"/>
      <c r="F1341" s="1789"/>
      <c r="G1341" s="1789"/>
      <c r="H1341" s="1789"/>
      <c r="I1341" s="1790"/>
      <c r="J1341" s="1789"/>
      <c r="K1341" s="1789"/>
      <c r="L1341" s="1789"/>
      <c r="M1341" s="1789"/>
      <c r="N1341" s="1789"/>
      <c r="O1341" s="1380"/>
      <c r="Q1341" s="1380"/>
      <c r="R1341" s="1380"/>
      <c r="S1341" s="1380"/>
      <c r="T1341" s="1380"/>
      <c r="U1341" s="1380"/>
      <c r="V1341" s="1380"/>
      <c r="W1341" s="1380"/>
      <c r="X1341" s="1380"/>
      <c r="Y1341" s="1380"/>
    </row>
    <row r="1342" spans="1:25" ht="15.75" customHeight="1">
      <c r="A1342" s="1703" t="s">
        <v>3610</v>
      </c>
      <c r="B1342" s="1786"/>
      <c r="C1342" s="1786"/>
      <c r="D1342" s="1703"/>
      <c r="E1342" s="1703"/>
      <c r="F1342" s="1703"/>
      <c r="G1342" s="1703"/>
      <c r="H1342" s="1703"/>
      <c r="I1342" s="1787"/>
      <c r="J1342" s="1703"/>
      <c r="K1342" s="1703"/>
      <c r="L1342" s="1703"/>
      <c r="M1342" s="1703"/>
      <c r="N1342" s="1703"/>
      <c r="O1342" s="1703"/>
      <c r="P1342" s="1703"/>
      <c r="Q1342" s="1703"/>
      <c r="R1342" s="1703"/>
      <c r="S1342" s="1703"/>
      <c r="T1342" s="1703"/>
      <c r="U1342" s="1703"/>
      <c r="V1342" s="1703"/>
      <c r="W1342" s="1380"/>
      <c r="X1342" s="1380"/>
      <c r="Y1342" s="1380"/>
    </row>
    <row r="1343" spans="1:25" ht="15.75" hidden="1" customHeight="1" outlineLevel="1">
      <c r="A1343" s="1810" t="s">
        <v>2364</v>
      </c>
      <c r="B1343" s="1811"/>
      <c r="C1343" s="1811"/>
      <c r="D1343" s="1812"/>
      <c r="E1343" s="1812"/>
      <c r="F1343" s="1812"/>
      <c r="G1343" s="1812"/>
      <c r="H1343" s="1812"/>
      <c r="I1343" s="1813"/>
      <c r="J1343" s="1814"/>
      <c r="K1343" s="1814"/>
      <c r="L1343" s="1814"/>
      <c r="M1343" s="1814"/>
      <c r="N1343" s="1814"/>
      <c r="O1343" s="1815">
        <f>CEILING((C1319/2+1)*2+(D1319/2-1)*2+(C1321/2-P1345)*D1321+(C1322/2-P1346)*D1322+(C1323/2-P1347)*D1323+(C1324/2-P1348)*D1324+(C1329/2-P1350)*D1329+(C1330/2-P1351)*D1330+(C1331/2-P1352)*D1331+(C1332/2-P1353)*D1332+пристройка!D2*(пристройка!R49)+D1229*(G1240)*E1274+D2019*(CEILING(IF('Ввод данных'!C522&lt;=2,2,IF('Ввод данных'!C522&gt;2,('Ввод данных'!C522/2+1)))+IF('Ввод данных'!C523&lt;=2,2,IF('Ввод данных'!C523&gt;2,('Ввод данных'!C523/2+1)*2)),1))*IF('Ввод данных'!A529=связи1!A480,1,0),1)</f>
        <v>25</v>
      </c>
      <c r="P1343" s="1816"/>
      <c r="Q1343" s="1353"/>
      <c r="R1343" s="1353"/>
      <c r="S1343" s="1380"/>
      <c r="T1343" s="1380"/>
      <c r="U1343" s="1380"/>
      <c r="V1343" s="1380"/>
      <c r="W1343" s="1380"/>
      <c r="X1343" s="1380"/>
      <c r="Y1343" s="1380"/>
    </row>
    <row r="1344" spans="1:25" ht="15.75" hidden="1" customHeight="1" outlineLevel="1">
      <c r="A1344" s="1817"/>
      <c r="B1344" s="1818"/>
      <c r="C1344" s="1818"/>
      <c r="D1344" s="1819"/>
      <c r="E1344" s="1819"/>
      <c r="F1344" s="1819"/>
      <c r="G1344" s="1819"/>
      <c r="H1344" s="1819"/>
      <c r="I1344" s="1820"/>
      <c r="J1344" s="1814"/>
      <c r="K1344" s="1814"/>
      <c r="L1344" s="1814"/>
      <c r="M1344" s="1814"/>
      <c r="N1344" s="1814"/>
      <c r="O1344" s="1353"/>
      <c r="P1344" s="1816"/>
      <c r="Q1344" s="1353"/>
      <c r="R1344" s="1353"/>
      <c r="S1344" s="1380"/>
      <c r="T1344" s="1380"/>
      <c r="U1344" s="1380"/>
      <c r="V1344" s="1380"/>
      <c r="W1344" s="1380"/>
      <c r="X1344" s="1380"/>
      <c r="Y1344" s="1380"/>
    </row>
    <row r="1345" spans="1:25" ht="15.75" hidden="1" customHeight="1" outlineLevel="1">
      <c r="A1345" s="1821" t="s">
        <v>1806</v>
      </c>
      <c r="B1345" s="1822"/>
      <c r="C1345" s="1822"/>
      <c r="D1345" s="1823"/>
      <c r="E1345" s="1823"/>
      <c r="F1345" s="1824"/>
      <c r="G1345" s="1825">
        <f>'Ввод данных'!D995</f>
        <v>1</v>
      </c>
      <c r="H1345" s="1825"/>
      <c r="I1345" s="1826">
        <f>'Ввод данных'!D996</f>
        <v>1</v>
      </c>
      <c r="J1345" s="1827"/>
      <c r="K1345" s="1828" t="s">
        <v>3611</v>
      </c>
      <c r="L1345" s="1828"/>
      <c r="M1345" s="1828"/>
      <c r="N1345" s="1828"/>
      <c r="O1345" s="1353">
        <f>C1321</f>
        <v>6</v>
      </c>
      <c r="P1345" s="1816">
        <f>IF(O1345&lt;=2,0,1)</f>
        <v>1</v>
      </c>
      <c r="Q1345" s="1353">
        <f>пристройка!C34</f>
        <v>6</v>
      </c>
      <c r="R1345" s="1353">
        <f t="shared" ref="R1345:R1368" si="132">IF(Q1345&lt;=2,0,1)</f>
        <v>1</v>
      </c>
      <c r="S1345" s="1380"/>
      <c r="T1345" s="1380"/>
      <c r="U1345" s="1380"/>
      <c r="V1345" s="1380"/>
      <c r="W1345" s="1380"/>
      <c r="X1345" s="1380"/>
      <c r="Y1345" s="1380"/>
    </row>
    <row r="1346" spans="1:25" ht="15.75" hidden="1" customHeight="1" outlineLevel="1">
      <c r="A1346" s="1353" t="s">
        <v>3612</v>
      </c>
      <c r="B1346" s="1696" t="s">
        <v>156</v>
      </c>
      <c r="C1346" s="1696">
        <f>'Ввод данных'!C998</f>
        <v>0</v>
      </c>
      <c r="D1346" s="1380"/>
      <c r="E1346" s="1814"/>
      <c r="F1346" s="1380"/>
      <c r="G1346" s="1380"/>
      <c r="H1346" s="1380"/>
      <c r="I1346" s="1829"/>
      <c r="J1346" s="1380"/>
      <c r="K1346" s="1814"/>
      <c r="L1346" s="1814"/>
      <c r="M1346" s="1814"/>
      <c r="N1346" s="1814"/>
      <c r="O1346" s="1353">
        <f>C1322</f>
        <v>4</v>
      </c>
      <c r="P1346" s="1816">
        <f>IF(O1346&lt;=2,0,1)</f>
        <v>1</v>
      </c>
      <c r="Q1346" s="1353">
        <f>пристройка!C33</f>
        <v>3</v>
      </c>
      <c r="R1346" s="1353">
        <f t="shared" si="132"/>
        <v>1</v>
      </c>
      <c r="S1346" s="1380"/>
      <c r="T1346" s="1380"/>
      <c r="U1346" s="1380"/>
      <c r="V1346" s="1380"/>
      <c r="W1346" s="1380"/>
      <c r="X1346" s="1380"/>
      <c r="Y1346" s="1380"/>
    </row>
    <row r="1347" spans="1:25" ht="15.75" hidden="1" customHeight="1" outlineLevel="1">
      <c r="A1347" s="1353" t="s">
        <v>3613</v>
      </c>
      <c r="B1347" s="1696" t="s">
        <v>156</v>
      </c>
      <c r="C1347" s="1696">
        <f>'Ввод данных'!C999</f>
        <v>0</v>
      </c>
      <c r="D1347" s="1380"/>
      <c r="E1347" s="1814"/>
      <c r="F1347" s="1380"/>
      <c r="G1347" s="1380"/>
      <c r="H1347" s="1380"/>
      <c r="I1347" s="1829"/>
      <c r="J1347" s="1380"/>
      <c r="K1347" s="1380"/>
      <c r="L1347" s="1380"/>
      <c r="M1347" s="1380"/>
      <c r="N1347" s="1380"/>
      <c r="O1347" s="1353">
        <f>C1323</f>
        <v>0</v>
      </c>
      <c r="P1347" s="1816">
        <f>IF(O1347&lt;=2,0,1)</f>
        <v>0</v>
      </c>
      <c r="Q1347" s="1353">
        <f>пристройка!C33</f>
        <v>3</v>
      </c>
      <c r="R1347" s="1353">
        <f t="shared" si="132"/>
        <v>1</v>
      </c>
      <c r="S1347" s="1380"/>
      <c r="T1347" s="1380"/>
      <c r="U1347" s="1380"/>
      <c r="V1347" s="1380"/>
      <c r="W1347" s="1380"/>
      <c r="X1347" s="1380"/>
      <c r="Y1347" s="1380"/>
    </row>
    <row r="1348" spans="1:25" ht="15.75" hidden="1" customHeight="1" outlineLevel="1">
      <c r="A1348" s="1353" t="s">
        <v>2560</v>
      </c>
      <c r="B1348" s="1696" t="s">
        <v>156</v>
      </c>
      <c r="C1348" s="1696"/>
      <c r="D1348" s="1380"/>
      <c r="E1348" s="1830" t="s">
        <v>3614</v>
      </c>
      <c r="F1348" s="1380"/>
      <c r="G1348" s="1380"/>
      <c r="H1348" s="1380"/>
      <c r="I1348" s="1829"/>
      <c r="J1348" s="1380"/>
      <c r="K1348" s="1380"/>
      <c r="L1348" s="1380"/>
      <c r="M1348" s="1380"/>
      <c r="N1348" s="1380"/>
      <c r="O1348" s="1353">
        <f>C1324</f>
        <v>0</v>
      </c>
      <c r="P1348" s="1816">
        <f>IF(O1348&lt;=2,0,1)</f>
        <v>0</v>
      </c>
      <c r="Q1348" s="1353">
        <f>пристройка!D34</f>
        <v>3</v>
      </c>
      <c r="R1348" s="1353">
        <f t="shared" si="132"/>
        <v>1</v>
      </c>
      <c r="S1348" s="1380"/>
      <c r="T1348" s="1380"/>
      <c r="U1348" s="1380"/>
      <c r="V1348" s="1380"/>
      <c r="W1348" s="1380"/>
      <c r="X1348" s="1380"/>
      <c r="Y1348" s="1380"/>
    </row>
    <row r="1349" spans="1:25" ht="15.75" hidden="1" customHeight="1" outlineLevel="1">
      <c r="A1349" s="1691" t="s">
        <v>3615</v>
      </c>
      <c r="B1349" s="1696" t="s">
        <v>156</v>
      </c>
      <c r="C1349" s="1831">
        <v>0</v>
      </c>
      <c r="D1349" s="1832">
        <v>0</v>
      </c>
      <c r="E1349" s="1353"/>
      <c r="O1349" s="1353"/>
      <c r="P1349" s="1816"/>
      <c r="Q1349" s="1353">
        <f>пристройка!D33</f>
        <v>3</v>
      </c>
      <c r="R1349" s="1353">
        <f t="shared" si="132"/>
        <v>1</v>
      </c>
      <c r="S1349" s="1380"/>
      <c r="T1349" s="1380"/>
      <c r="U1349" s="1380"/>
      <c r="V1349" s="1380"/>
      <c r="W1349" s="1380"/>
      <c r="X1349" s="1380"/>
      <c r="Y1349" s="1380"/>
    </row>
    <row r="1350" spans="1:25" ht="15.75" hidden="1" customHeight="1" outlineLevel="1">
      <c r="A1350" s="1804"/>
      <c r="B1350" s="1696" t="s">
        <v>156</v>
      </c>
      <c r="C1350" s="1831">
        <f>VLOOKUP(A1396,связи1!A297:D309,4,0)</f>
        <v>0.15</v>
      </c>
      <c r="D1350" s="1832">
        <v>1</v>
      </c>
      <c r="E1350" s="1353"/>
      <c r="F1350" s="1290"/>
      <c r="O1350" s="1353">
        <f>C1329</f>
        <v>0</v>
      </c>
      <c r="P1350" s="1816">
        <f>IF(O1350&lt;=2,0,1)</f>
        <v>0</v>
      </c>
      <c r="Q1350" s="1353">
        <f>пристройка!D33</f>
        <v>3</v>
      </c>
      <c r="R1350" s="1353">
        <f t="shared" si="132"/>
        <v>1</v>
      </c>
      <c r="S1350" s="1380"/>
      <c r="T1350" s="1380"/>
      <c r="U1350" s="1380"/>
      <c r="V1350" s="1380"/>
      <c r="W1350" s="1380"/>
      <c r="X1350" s="1380"/>
      <c r="Y1350" s="1380"/>
    </row>
    <row r="1351" spans="1:25" ht="15.75" hidden="1" customHeight="1" outlineLevel="1">
      <c r="A1351" s="1691" t="s">
        <v>3616</v>
      </c>
      <c r="B1351" s="1696" t="s">
        <v>156</v>
      </c>
      <c r="C1351" s="1696">
        <v>0</v>
      </c>
      <c r="D1351" s="1832">
        <v>0</v>
      </c>
      <c r="E1351" s="1353"/>
      <c r="F1351" s="1290"/>
      <c r="O1351" s="1353">
        <f>C1330</f>
        <v>0</v>
      </c>
      <c r="P1351" s="1816">
        <f>IF(O1351&lt;=2,0,1)</f>
        <v>0</v>
      </c>
      <c r="Q1351" s="1353">
        <f>пристройка!E34</f>
        <v>3</v>
      </c>
      <c r="R1351" s="1353">
        <f t="shared" si="132"/>
        <v>1</v>
      </c>
      <c r="S1351" s="1380"/>
      <c r="T1351" s="1380"/>
      <c r="U1351" s="1380"/>
      <c r="V1351" s="1380"/>
      <c r="W1351" s="1380"/>
      <c r="X1351" s="1380"/>
      <c r="Y1351" s="1380"/>
    </row>
    <row r="1352" spans="1:25" ht="15.75" hidden="1" customHeight="1" outlineLevel="1">
      <c r="A1352" s="1804"/>
      <c r="B1352" s="1696" t="s">
        <v>156</v>
      </c>
      <c r="C1352" s="1696">
        <f>VLOOKUP(A1397,связи1!A297:D309,4,0)</f>
        <v>0.15</v>
      </c>
      <c r="D1352" s="1832">
        <v>1</v>
      </c>
      <c r="E1352" s="1353"/>
      <c r="F1352" s="1290"/>
      <c r="O1352" s="1353">
        <f>C1331</f>
        <v>0</v>
      </c>
      <c r="P1352" s="1816">
        <f>IF(O1352&lt;=2,0,1)</f>
        <v>0</v>
      </c>
      <c r="Q1352" s="1353">
        <f>пристройка!E33</f>
        <v>3</v>
      </c>
      <c r="R1352" s="1353">
        <f t="shared" si="132"/>
        <v>1</v>
      </c>
      <c r="S1352" s="1380"/>
      <c r="T1352" s="1380"/>
      <c r="U1352" s="1380"/>
      <c r="V1352" s="1380"/>
      <c r="W1352" s="1380"/>
      <c r="X1352" s="1380"/>
      <c r="Y1352" s="1380"/>
    </row>
    <row r="1353" spans="1:25" ht="15.75" hidden="1" customHeight="1" outlineLevel="1">
      <c r="F1353" s="1290"/>
      <c r="O1353" s="1353">
        <f>C1332</f>
        <v>0</v>
      </c>
      <c r="P1353" s="1816">
        <f>IF(O1353&lt;=2,0,1)</f>
        <v>0</v>
      </c>
      <c r="Q1353" s="1353">
        <f>пристройка!E33</f>
        <v>3</v>
      </c>
      <c r="R1353" s="1353">
        <f t="shared" si="132"/>
        <v>1</v>
      </c>
      <c r="S1353" s="1380"/>
      <c r="T1353" s="1380"/>
      <c r="U1353" s="1380"/>
      <c r="V1353" s="1380"/>
      <c r="W1353" s="1380"/>
      <c r="X1353" s="1380"/>
      <c r="Y1353" s="1380"/>
    </row>
    <row r="1354" spans="1:25" ht="15.75" hidden="1" customHeight="1" outlineLevel="1">
      <c r="F1354" s="1290"/>
      <c r="O1354" s="1353"/>
      <c r="P1354" s="1816"/>
      <c r="Q1354" s="1353">
        <f>пристройка!F34</f>
        <v>5</v>
      </c>
      <c r="R1354" s="1353">
        <f t="shared" si="132"/>
        <v>1</v>
      </c>
      <c r="S1354" s="1380"/>
      <c r="T1354" s="1380"/>
      <c r="U1354" s="1380"/>
      <c r="V1354" s="1380"/>
      <c r="W1354" s="1380"/>
      <c r="X1354" s="1380"/>
      <c r="Y1354" s="1380"/>
    </row>
    <row r="1355" spans="1:25" ht="15.75" hidden="1" customHeight="1" outlineLevel="1">
      <c r="A1355" s="1353" t="s">
        <v>3617</v>
      </c>
      <c r="B1355" s="1696" t="s">
        <v>159</v>
      </c>
      <c r="C1355" s="1696">
        <v>0</v>
      </c>
      <c r="D1355" s="1832">
        <v>1</v>
      </c>
      <c r="E1355" s="1353"/>
      <c r="F1355" s="1290"/>
      <c r="O1355" s="1353">
        <f>C1238</f>
        <v>2</v>
      </c>
      <c r="P1355" s="1816">
        <f>IF(O1355&lt;=2,0,1)</f>
        <v>0</v>
      </c>
      <c r="Q1355" s="1353">
        <f>пристройка!F33</f>
        <v>3</v>
      </c>
      <c r="R1355" s="1353">
        <f t="shared" si="132"/>
        <v>1</v>
      </c>
      <c r="S1355" s="1380"/>
      <c r="T1355" s="1380"/>
      <c r="U1355" s="1380"/>
      <c r="V1355" s="1380"/>
      <c r="W1355" s="1380"/>
      <c r="X1355" s="1380"/>
      <c r="Y1355" s="1380"/>
    </row>
    <row r="1356" spans="1:25" ht="15.75" hidden="1" customHeight="1" outlineLevel="1">
      <c r="A1356" s="971" t="s">
        <v>3618</v>
      </c>
      <c r="B1356" s="1696" t="s">
        <v>133</v>
      </c>
      <c r="C1356" s="1696">
        <f>'Ввод данных'!C1007</f>
        <v>0</v>
      </c>
      <c r="D1356" s="1832">
        <v>1</v>
      </c>
      <c r="E1356" s="1353"/>
      <c r="F1356" s="1290"/>
      <c r="O1356" s="1353">
        <f>C1239</f>
        <v>2.9154759474226504</v>
      </c>
      <c r="P1356" s="1816">
        <f>IF(O1356&lt;=2,0,1)</f>
        <v>1</v>
      </c>
      <c r="Q1356" s="1353">
        <f>пристройка!F33</f>
        <v>3</v>
      </c>
      <c r="R1356" s="1353">
        <f t="shared" si="132"/>
        <v>1</v>
      </c>
      <c r="S1356" s="1380"/>
      <c r="T1356" s="1380"/>
      <c r="U1356" s="1380"/>
      <c r="V1356" s="1380"/>
      <c r="W1356" s="1380"/>
      <c r="X1356" s="1380"/>
      <c r="Y1356" s="1380"/>
    </row>
    <row r="1357" spans="1:25" ht="15.75" hidden="1" customHeight="1" outlineLevel="1">
      <c r="A1357" s="971" t="s">
        <v>3619</v>
      </c>
      <c r="B1357" s="1696" t="s">
        <v>133</v>
      </c>
      <c r="C1357" s="1696">
        <v>0</v>
      </c>
      <c r="D1357" s="1832">
        <v>1</v>
      </c>
      <c r="E1357" s="1353"/>
      <c r="F1357" s="1290"/>
      <c r="O1357" s="1353">
        <f>O1356</f>
        <v>2.9154759474226504</v>
      </c>
      <c r="P1357" s="1816">
        <f>IF(O1357&lt;=2,0,1)</f>
        <v>1</v>
      </c>
      <c r="Q1357" s="1353">
        <f>пристройка!H34</f>
        <v>6</v>
      </c>
      <c r="R1357" s="1353">
        <f t="shared" si="132"/>
        <v>1</v>
      </c>
      <c r="S1357" s="1380"/>
      <c r="T1357" s="1380"/>
      <c r="U1357" s="1380"/>
      <c r="V1357" s="1380"/>
      <c r="W1357" s="1380"/>
      <c r="X1357" s="1380"/>
      <c r="Y1357" s="1380"/>
    </row>
    <row r="1358" spans="1:25" ht="15.75" hidden="1" customHeight="1" outlineLevel="1">
      <c r="A1358" s="1353" t="s">
        <v>3620</v>
      </c>
      <c r="B1358" s="1696" t="s">
        <v>156</v>
      </c>
      <c r="C1358" s="1696">
        <v>1</v>
      </c>
      <c r="D1358" s="1832">
        <v>1</v>
      </c>
      <c r="E1358" s="1353"/>
      <c r="F1358" s="1290"/>
      <c r="O1358" s="1353">
        <f>C1240</f>
        <v>1.5</v>
      </c>
      <c r="P1358" s="1816">
        <f>IF(O1358&lt;=2,0,1)</f>
        <v>0</v>
      </c>
      <c r="Q1358" s="1353">
        <f>пристройка!H33</f>
        <v>3</v>
      </c>
      <c r="R1358" s="1353">
        <f t="shared" si="132"/>
        <v>1</v>
      </c>
      <c r="S1358" s="1380"/>
      <c r="T1358" s="1380"/>
      <c r="U1358" s="1380"/>
      <c r="V1358" s="1380"/>
      <c r="W1358" s="1380"/>
      <c r="X1358" s="1380"/>
      <c r="Y1358" s="1380"/>
    </row>
    <row r="1359" spans="1:25" ht="15.75" hidden="1" customHeight="1" outlineLevel="1">
      <c r="A1359" s="1691" t="s">
        <v>3621</v>
      </c>
      <c r="B1359" s="1696" t="s">
        <v>156</v>
      </c>
      <c r="C1359" s="1696">
        <v>0</v>
      </c>
      <c r="D1359" s="1832">
        <v>0</v>
      </c>
      <c r="E1359" s="1353">
        <v>0.2</v>
      </c>
      <c r="F1359" s="3165" t="s">
        <v>3622</v>
      </c>
      <c r="G1359" s="3165"/>
      <c r="H1359" s="3165"/>
      <c r="I1359" s="3165"/>
      <c r="O1359" s="1353">
        <f>C1241</f>
        <v>3.2</v>
      </c>
      <c r="P1359" s="1816">
        <f>IF(O1359&lt;=2,0,1)</f>
        <v>1</v>
      </c>
      <c r="Q1359" s="1353">
        <f>пристройка!H33</f>
        <v>3</v>
      </c>
      <c r="R1359" s="1353">
        <f t="shared" si="132"/>
        <v>1</v>
      </c>
      <c r="S1359" s="1380"/>
      <c r="T1359" s="1380"/>
      <c r="U1359" s="1380"/>
      <c r="V1359" s="1380"/>
      <c r="W1359" s="1380"/>
      <c r="X1359" s="1380"/>
      <c r="Y1359" s="1380"/>
    </row>
    <row r="1360" spans="1:25" ht="15.75" hidden="1" customHeight="1" outlineLevel="1">
      <c r="A1360" s="1804"/>
      <c r="B1360" s="1696" t="s">
        <v>156</v>
      </c>
      <c r="C1360" s="1833">
        <f>VLOOKUP(A1408,связи1!A297:D309,4,0)</f>
        <v>0</v>
      </c>
      <c r="D1360" s="1832">
        <v>1</v>
      </c>
      <c r="E1360" s="1353">
        <v>0.15</v>
      </c>
      <c r="F1360" s="3165"/>
      <c r="G1360" s="3165"/>
      <c r="H1360" s="3165"/>
      <c r="I1360" s="3165"/>
      <c r="O1360" s="1353"/>
      <c r="P1360" s="1816"/>
      <c r="Q1360" s="1353">
        <f>пристройка!I34</f>
        <v>3</v>
      </c>
      <c r="R1360" s="1353">
        <f t="shared" si="132"/>
        <v>1</v>
      </c>
      <c r="S1360" s="1380"/>
      <c r="T1360" s="1380"/>
      <c r="U1360" s="1380"/>
      <c r="V1360" s="1380"/>
      <c r="W1360" s="1380"/>
      <c r="X1360" s="1380"/>
      <c r="Y1360" s="1380"/>
    </row>
    <row r="1361" spans="1:25" ht="15.75" hidden="1" customHeight="1" outlineLevel="1">
      <c r="A1361" s="1834" t="s">
        <v>3623</v>
      </c>
      <c r="B1361" s="1696" t="s">
        <v>159</v>
      </c>
      <c r="C1361" s="1773" t="e">
        <f>VLOOKUP('Ввод данных'!C1011,связи1!A2:B3,2,0)</f>
        <v>#N/A</v>
      </c>
      <c r="D1361" s="1380"/>
      <c r="E1361" s="1380"/>
      <c r="F1361" s="1696" t="s">
        <v>2850</v>
      </c>
      <c r="G1361" s="1696" t="s">
        <v>3624</v>
      </c>
      <c r="H1361" s="1696"/>
      <c r="I1361" s="1696" t="s">
        <v>2852</v>
      </c>
      <c r="O1361" s="1353">
        <f>'Ввод данных'!C522</f>
        <v>3</v>
      </c>
      <c r="P1361" s="1816">
        <f>IF(O1361&lt;=2,0,1)</f>
        <v>1</v>
      </c>
      <c r="Q1361" s="1353">
        <f>пристройка!I33</f>
        <v>3</v>
      </c>
      <c r="R1361" s="1353">
        <f t="shared" si="132"/>
        <v>1</v>
      </c>
      <c r="S1361" s="1380"/>
      <c r="T1361" s="1380"/>
      <c r="U1361" s="1380"/>
      <c r="V1361" s="1380"/>
      <c r="W1361" s="1380"/>
      <c r="X1361" s="1380"/>
      <c r="Y1361" s="1380"/>
    </row>
    <row r="1362" spans="1:25" ht="15.75" hidden="1" customHeight="1" outlineLevel="1">
      <c r="A1362" s="1684" t="s">
        <v>3625</v>
      </c>
      <c r="B1362" s="1696" t="s">
        <v>159</v>
      </c>
      <c r="C1362" s="1773">
        <f>'Ввод данных'!C1009</f>
        <v>2</v>
      </c>
      <c r="D1362" s="1380"/>
      <c r="E1362" s="1380"/>
      <c r="F1362" s="1696">
        <f>(C16+C17+C16+C17)*D43*E43+(C16+C17+C16+C17)*D44*E44+(C16+C17+C16+C17)*D45*E45</f>
        <v>8</v>
      </c>
      <c r="G1362" s="1696">
        <f>пристройка!D2*(пристройка!C85*пристройка!C21*пристройка!C25+пристройка!C85*пристройка!C22*пристройка!C26+пристройка!C85*пристройка!C23*пристройка!C27)</f>
        <v>0</v>
      </c>
      <c r="H1362" s="1696"/>
      <c r="I1362" s="1696">
        <f>D1229*(C1275*D1235*E1235+D1236*E1236*C1275+C1275*D1237*E1237)</f>
        <v>0</v>
      </c>
      <c r="O1362" s="1353">
        <f>'Ввод данных'!C523</f>
        <v>3</v>
      </c>
      <c r="P1362" s="1816">
        <f>IF(O1362&lt;=2,0,1)</f>
        <v>1</v>
      </c>
      <c r="Q1362" s="1353">
        <f>пристройка!I33</f>
        <v>3</v>
      </c>
      <c r="R1362" s="1353">
        <f t="shared" si="132"/>
        <v>1</v>
      </c>
      <c r="S1362" s="1380"/>
      <c r="T1362" s="1380"/>
      <c r="U1362" s="1380"/>
      <c r="V1362" s="1380"/>
      <c r="W1362" s="1380"/>
      <c r="X1362" s="1380"/>
      <c r="Y1362" s="1380"/>
    </row>
    <row r="1363" spans="1:25" ht="15.75" hidden="1" customHeight="1" outlineLevel="1">
      <c r="A1363" s="1835" t="s">
        <v>3626</v>
      </c>
      <c r="B1363" s="1836"/>
      <c r="C1363" s="1837"/>
      <c r="D1363" s="1805"/>
      <c r="E1363" s="1805"/>
      <c r="F1363" s="1696">
        <f>E1367+E1368+E1369</f>
        <v>9.57</v>
      </c>
      <c r="G1363" s="1353">
        <f>F1362+G1362+I1362</f>
        <v>8</v>
      </c>
      <c r="H1363" s="1353"/>
      <c r="I1363" s="1055"/>
      <c r="J1363" s="1838">
        <f>F1363+G1363+I1363</f>
        <v>17.57</v>
      </c>
      <c r="O1363" s="1353">
        <f>'Ввод данных'!C523</f>
        <v>3</v>
      </c>
      <c r="P1363" s="1694">
        <f>IF(O1363&lt;=2,0,1)</f>
        <v>1</v>
      </c>
      <c r="Q1363" s="1353">
        <f>пристройка!J34</f>
        <v>3</v>
      </c>
      <c r="R1363" s="1353">
        <f t="shared" si="132"/>
        <v>1</v>
      </c>
      <c r="S1363" s="1380"/>
      <c r="T1363" s="1380"/>
      <c r="U1363" s="1380"/>
      <c r="V1363" s="1380"/>
      <c r="W1363" s="1380"/>
      <c r="X1363" s="1380"/>
      <c r="Y1363" s="1380"/>
    </row>
    <row r="1364" spans="1:25" ht="15.75" hidden="1" customHeight="1" outlineLevel="1">
      <c r="A1364" s="1839" t="s">
        <v>3627</v>
      </c>
      <c r="B1364" s="1600" t="s">
        <v>133</v>
      </c>
      <c r="C1364" s="1696">
        <f>B1319*C1319*D1319+пристройка!D2*(пристройка!C9*пристройка!C25*пристройка!C3+пристройка!C10*пристройка!C5*пристройка!C26)+D1229*C1235</f>
        <v>100</v>
      </c>
      <c r="D1364" s="1805"/>
      <c r="E1364" s="1805"/>
      <c r="F1364" s="1805"/>
      <c r="Q1364" s="1353">
        <f>пристройка!J33</f>
        <v>3</v>
      </c>
      <c r="R1364" s="1353">
        <f t="shared" si="132"/>
        <v>1</v>
      </c>
      <c r="S1364" s="1380"/>
      <c r="T1364" s="1380"/>
      <c r="U1364" s="1380"/>
      <c r="V1364" s="1380"/>
      <c r="W1364" s="1380"/>
      <c r="X1364" s="1380"/>
      <c r="Y1364" s="1380"/>
    </row>
    <row r="1365" spans="1:25" ht="15.75" hidden="1" customHeight="1" outlineLevel="1">
      <c r="A1365" s="1839" t="s">
        <v>3628</v>
      </c>
      <c r="B1365" s="1600" t="s">
        <v>133</v>
      </c>
      <c r="C1365" s="1696">
        <f>C1377</f>
        <v>0</v>
      </c>
      <c r="D1365" s="1805"/>
      <c r="E1365" s="1805"/>
      <c r="F1365" s="1805"/>
      <c r="Q1365" s="1353">
        <f>пристройка!J33</f>
        <v>3</v>
      </c>
      <c r="R1365" s="1353">
        <f t="shared" si="132"/>
        <v>1</v>
      </c>
      <c r="S1365" s="1380"/>
      <c r="T1365" s="1380"/>
      <c r="U1365" s="1380"/>
      <c r="V1365" s="1380"/>
      <c r="W1365" s="1380"/>
      <c r="X1365" s="1380"/>
      <c r="Y1365" s="1380"/>
    </row>
    <row r="1366" spans="1:25" ht="15.75" hidden="1" customHeight="1" outlineLevel="1">
      <c r="A1366" s="1839" t="s">
        <v>3629</v>
      </c>
      <c r="B1366" s="1600" t="s">
        <v>156</v>
      </c>
      <c r="C1366" s="1696">
        <f>C1319+D1319+C1319+D1319+(C1321*D1321)+(C1322*D1322)+(C1323*D1323)+C1324*D1324*C1329*D1329+C1330*D1330+C1331*D1331+C1332*D1332+пристройка!D2*пристройка!R85+D1229*C1275*E1274</f>
        <v>56</v>
      </c>
      <c r="D1366" s="1805"/>
      <c r="E1366" s="1805"/>
      <c r="F1366" s="1805"/>
      <c r="Q1366" s="1353">
        <f>пристройка!K34</f>
        <v>5</v>
      </c>
      <c r="R1366" s="1353">
        <f t="shared" si="132"/>
        <v>1</v>
      </c>
      <c r="S1366" s="1380"/>
      <c r="T1366" s="1380"/>
      <c r="U1366" s="1380"/>
      <c r="V1366" s="1380"/>
      <c r="W1366" s="1380"/>
      <c r="X1366" s="1380"/>
      <c r="Y1366" s="1380"/>
    </row>
    <row r="1367" spans="1:25" ht="15.75" hidden="1" customHeight="1" outlineLevel="1">
      <c r="A1367" s="1839" t="s">
        <v>3630</v>
      </c>
      <c r="B1367" s="1600" t="s">
        <v>156</v>
      </c>
      <c r="C1367" s="1696">
        <f>((C1319+D1319+C1319+D1319)*B1319+пристройка!D2*пристройка!C85*пристройка!D84*пристройка!C3+D1229*C1275*E1274*C1232+пристройка!D2*пристройка!C85*пристройка!C5*пристройка!D84+D1229*C1233*C1275*E1274)</f>
        <v>40</v>
      </c>
      <c r="D1367" s="1805">
        <f>C1349*D1349+C1350*D1350</f>
        <v>0.15</v>
      </c>
      <c r="E1367" s="1805">
        <f>C1367*D1367</f>
        <v>6</v>
      </c>
      <c r="F1367" s="1805"/>
      <c r="Q1367" s="1353">
        <f>пристройка!K33</f>
        <v>3</v>
      </c>
      <c r="R1367" s="1353">
        <f t="shared" si="132"/>
        <v>1</v>
      </c>
      <c r="S1367" s="1380"/>
      <c r="T1367" s="1380"/>
      <c r="U1367" s="1380"/>
      <c r="V1367" s="1380"/>
      <c r="W1367" s="1380"/>
      <c r="X1367" s="1380"/>
      <c r="Y1367" s="1380"/>
    </row>
    <row r="1368" spans="1:25" ht="15.75" hidden="1" customHeight="1" outlineLevel="1">
      <c r="A1368" s="1839" t="s">
        <v>3631</v>
      </c>
      <c r="B1368" s="1600" t="s">
        <v>156</v>
      </c>
      <c r="C1368" s="1696">
        <f>(C1321*D1321+C1322*D1322+C1323*D1323+C1329*D1329+C1330*D1330+C1331*D1331+C1332*D1332)+(N1321*O1321+N1322*O1322+N1323*O1323+N1329*O1329+N1330*O1330+N1331*O1331+C1324*D1324+N1324*O1324+N1332*O1332)*(B1319-1)</f>
        <v>16</v>
      </c>
      <c r="D1368" s="1805">
        <f>C1351*D1351+C1352*D1352</f>
        <v>0.15</v>
      </c>
      <c r="E1368" s="1805">
        <f>C1368*D1368</f>
        <v>2.4</v>
      </c>
      <c r="F1368" s="1805"/>
      <c r="O1368" s="1380"/>
      <c r="P1368" s="1829"/>
      <c r="Q1368" s="1353">
        <f>пристройка!K33</f>
        <v>3</v>
      </c>
      <c r="R1368" s="1353">
        <f t="shared" si="132"/>
        <v>1</v>
      </c>
      <c r="S1368" s="1380"/>
      <c r="T1368" s="1380"/>
      <c r="U1368" s="1380"/>
      <c r="V1368" s="1380"/>
      <c r="W1368" s="1380"/>
      <c r="X1368" s="1380"/>
      <c r="Y1368" s="1380"/>
    </row>
    <row r="1369" spans="1:25" ht="15.75" hidden="1" customHeight="1" outlineLevel="1">
      <c r="A1369" s="1839" t="s">
        <v>3632</v>
      </c>
      <c r="B1369" s="1600" t="s">
        <v>156</v>
      </c>
      <c r="C1369" s="1696">
        <f>(C1325*D1325+C1326*D1326+C1327*D1327+C1328*D1328+C1333*D1333+C1334*D1334+C1335*D1335)+(C1336*D1336+N1325*O1325+N1326*O1326+N1327*O1327+N1328*O1328+N1333*O1333+N1334*O1334+N1335*O1335+N1336*O1336)*(B1319-1)</f>
        <v>7.8</v>
      </c>
      <c r="D1369" s="1805">
        <f>C1351*D1351+C1352*D1352</f>
        <v>0.15</v>
      </c>
      <c r="E1369" s="1805">
        <f>C1369*D1369</f>
        <v>1.17</v>
      </c>
      <c r="F1369" s="1805"/>
      <c r="S1369" s="1380"/>
      <c r="T1369" s="1380"/>
      <c r="U1369" s="1380"/>
      <c r="V1369" s="1380"/>
      <c r="W1369" s="1380"/>
      <c r="X1369" s="1380"/>
      <c r="Y1369" s="1380"/>
    </row>
    <row r="1370" spans="1:25" ht="15.75" hidden="1" customHeight="1" outlineLevel="1">
      <c r="A1370" s="1840" t="s">
        <v>3633</v>
      </c>
      <c r="B1370" s="1841" t="s">
        <v>133</v>
      </c>
      <c r="C1370" s="1841">
        <f>связи1!C157</f>
        <v>0</v>
      </c>
      <c r="D1370" s="1805">
        <f>C1370*2.2*(D1351*E1351+D1352*E1352)*0.05*G1345</f>
        <v>0</v>
      </c>
      <c r="E1370" s="1805"/>
      <c r="F1370" s="1805"/>
      <c r="S1370" s="1380"/>
      <c r="T1370" s="1380"/>
      <c r="U1370" s="1380"/>
      <c r="V1370" s="1380"/>
      <c r="W1370" s="1380"/>
      <c r="X1370" s="1380"/>
      <c r="Y1370" s="1380"/>
    </row>
    <row r="1371" spans="1:25" ht="15.75" hidden="1" customHeight="1" outlineLevel="1">
      <c r="A1371" s="1839" t="s">
        <v>3634</v>
      </c>
      <c r="B1371" s="1600" t="s">
        <v>133</v>
      </c>
      <c r="C1371" s="1696">
        <f>(C1319*2+D1319*2)*E1319+(B1319-1)*(F1319*2*E1319+C1319/2*(G1319+F1319)/2*2-C1319/2*(I1319-G1319))*2+пристройка!R95*пристройка!D2</f>
        <v>120</v>
      </c>
      <c r="S1371" s="1380"/>
      <c r="T1371" s="1380"/>
      <c r="U1371" s="1380"/>
      <c r="V1371" s="1380"/>
      <c r="W1371" s="1380"/>
      <c r="X1371" s="1380"/>
      <c r="Y1371" s="1380"/>
    </row>
    <row r="1372" spans="1:25" ht="15.75" hidden="1" customHeight="1" outlineLevel="1">
      <c r="A1372" s="1840" t="s">
        <v>3635</v>
      </c>
      <c r="B1372" s="1841"/>
      <c r="C1372" s="1841">
        <f>связи1!D157</f>
        <v>0</v>
      </c>
      <c r="V1372" s="1380"/>
      <c r="W1372" s="1380"/>
      <c r="X1372" s="1380"/>
      <c r="Y1372" s="1380"/>
    </row>
    <row r="1373" spans="1:25" ht="15.75" hidden="1" customHeight="1" outlineLevel="1">
      <c r="A1373" s="1840" t="s">
        <v>3636</v>
      </c>
      <c r="B1373" s="1841" t="s">
        <v>133</v>
      </c>
      <c r="C1373" s="1841">
        <f>связи1!E157</f>
        <v>0</v>
      </c>
      <c r="V1373" s="1380"/>
      <c r="W1373" s="1380"/>
      <c r="X1373" s="1380"/>
      <c r="Y1373" s="1380"/>
    </row>
    <row r="1374" spans="1:25" ht="15.75" hidden="1" customHeight="1" outlineLevel="1">
      <c r="A1374" s="1839" t="s">
        <v>3637</v>
      </c>
      <c r="B1374" s="1600"/>
      <c r="C1374" s="1696">
        <f>(C1350*D1350)*E1319*4+(C1350*D1350)*F1319*4*(B1319-1)</f>
        <v>1.7999999999999998</v>
      </c>
      <c r="I1374" s="1829"/>
      <c r="J1374" s="1789"/>
      <c r="K1374" s="1380"/>
      <c r="L1374" s="1380"/>
      <c r="M1374" s="1380"/>
      <c r="N1374" s="1380"/>
      <c r="S1374" s="1380"/>
      <c r="T1374" s="1380"/>
      <c r="U1374" s="1380"/>
      <c r="V1374" s="1380"/>
      <c r="W1374" s="1380"/>
      <c r="X1374" s="1380"/>
      <c r="Y1374" s="1380"/>
    </row>
    <row r="1375" spans="1:25" ht="15.75" hidden="1" customHeight="1" outlineLevel="1">
      <c r="A1375" s="1839" t="s">
        <v>3638</v>
      </c>
      <c r="B1375" s="1600" t="s">
        <v>133</v>
      </c>
      <c r="C1375" s="1696">
        <f>C1373+C1372</f>
        <v>0</v>
      </c>
      <c r="G1375" s="1380"/>
      <c r="H1375" s="1380"/>
      <c r="I1375" s="1829"/>
      <c r="J1375" s="1789"/>
      <c r="K1375" s="1380"/>
      <c r="L1375" s="1380"/>
      <c r="M1375" s="1380"/>
      <c r="N1375" s="1380"/>
      <c r="S1375" s="1380"/>
      <c r="T1375" s="1380"/>
      <c r="U1375" s="1380"/>
      <c r="V1375" s="1380"/>
      <c r="W1375" s="1380"/>
      <c r="X1375" s="1380"/>
      <c r="Y1375" s="1380"/>
    </row>
    <row r="1376" spans="1:25" ht="15.75" hidden="1" customHeight="1" outlineLevel="1">
      <c r="A1376" s="1839" t="s">
        <v>3639</v>
      </c>
      <c r="B1376" s="1600" t="s">
        <v>133</v>
      </c>
      <c r="C1376" s="1696">
        <f>IF('Ввод данных'!A8=связи1!A157,дома!F1105+дома!F1108,0)+IF('Ввод данных'!A8=связи1!A168,дома!F1104+дома!F1108,0)+IF('Ввод данных'!A8=связи1!A176,дома!F1104+дома!F1108,0)+IF('Ввод данных'!A8=связи1!A183,дома!F1104+дома!F1108,0)</f>
        <v>0</v>
      </c>
      <c r="D1376" s="1805"/>
      <c r="E1376" s="1805"/>
      <c r="F1376" s="1805"/>
      <c r="I1376" s="1829"/>
      <c r="J1376" s="1789"/>
      <c r="K1376" s="1380"/>
      <c r="L1376" s="1380"/>
      <c r="M1376" s="1380"/>
      <c r="N1376" s="1380"/>
      <c r="S1376" s="1380"/>
      <c r="T1376" s="1380"/>
      <c r="U1376" s="1380"/>
      <c r="V1376" s="1380"/>
      <c r="W1376" s="1380"/>
      <c r="X1376" s="1380"/>
      <c r="Y1376" s="1380"/>
    </row>
    <row r="1377" spans="1:25" ht="15.75" hidden="1" customHeight="1" outlineLevel="1">
      <c r="A1377" s="1839" t="s">
        <v>3640</v>
      </c>
      <c r="B1377" s="1600" t="s">
        <v>133</v>
      </c>
      <c r="C1377" s="1696">
        <f>IF('Ввод данных'!A8=связи1!A157,дома!S93,0)+IF('Ввод данных'!A8=связи1!A168,дома!Q93,0)+IF('Ввод данных'!A8=связи1!A176,дома!Q93,0)+IF('Ввод данных'!A8=связи1!A183,дома!Q93,0)</f>
        <v>0</v>
      </c>
      <c r="D1377" s="1805"/>
      <c r="E1377" s="1805"/>
      <c r="F1377" s="1805"/>
      <c r="G1377" s="1380"/>
      <c r="H1377" s="1380"/>
      <c r="I1377" s="1829"/>
      <c r="J1377" s="1789"/>
      <c r="K1377" s="1380"/>
      <c r="L1377" s="1380"/>
      <c r="M1377" s="1380"/>
      <c r="N1377" s="1380"/>
      <c r="S1377" s="1380"/>
      <c r="T1377" s="1380"/>
      <c r="U1377" s="1380"/>
      <c r="V1377" s="1380"/>
      <c r="W1377" s="1380"/>
      <c r="X1377" s="1380"/>
      <c r="Y1377" s="1380"/>
    </row>
    <row r="1378" spans="1:25" ht="15.75" hidden="1" customHeight="1" outlineLevel="1">
      <c r="A1378" s="1839" t="s">
        <v>3641</v>
      </c>
      <c r="B1378" s="1600"/>
      <c r="C1378" s="1696"/>
      <c r="D1378" s="1805"/>
      <c r="E1378" s="1805"/>
      <c r="F1378" s="1805"/>
      <c r="G1378" s="1380"/>
      <c r="H1378" s="1380"/>
      <c r="I1378" s="1829"/>
      <c r="J1378" s="1789"/>
      <c r="K1378" s="1380"/>
      <c r="L1378" s="1380"/>
      <c r="M1378" s="1380"/>
      <c r="N1378" s="1380"/>
      <c r="S1378" s="1380"/>
      <c r="T1378" s="1380"/>
      <c r="U1378" s="1380"/>
      <c r="V1378" s="1380"/>
      <c r="W1378" s="1380"/>
      <c r="X1378" s="1380"/>
      <c r="Y1378" s="1380"/>
    </row>
    <row r="1379" spans="1:25" ht="15.75" hidden="1" customHeight="1" outlineLevel="1">
      <c r="A1379" s="1839" t="s">
        <v>3642</v>
      </c>
      <c r="B1379" s="1600" t="s">
        <v>133</v>
      </c>
      <c r="C1379" s="1696"/>
      <c r="D1379" s="1805"/>
      <c r="E1379" s="1805"/>
      <c r="F1379" s="1805"/>
      <c r="G1379" s="1380"/>
      <c r="H1379" s="1380"/>
      <c r="I1379" s="1829"/>
      <c r="J1379" s="1789"/>
      <c r="K1379" s="1380"/>
      <c r="L1379" s="1380"/>
      <c r="M1379" s="1380"/>
      <c r="N1379" s="1380"/>
      <c r="S1379" s="1380"/>
      <c r="T1379" s="1380"/>
      <c r="U1379" s="1380"/>
      <c r="V1379" s="1380"/>
      <c r="W1379" s="1380"/>
      <c r="X1379" s="1380"/>
      <c r="Y1379" s="1380"/>
    </row>
    <row r="1380" spans="1:25" ht="15.75" hidden="1" customHeight="1" outlineLevel="1">
      <c r="A1380" s="1839" t="s">
        <v>3643</v>
      </c>
      <c r="B1380" s="1600" t="s">
        <v>133</v>
      </c>
      <c r="C1380" s="1696"/>
      <c r="D1380" s="1805"/>
      <c r="E1380" s="1805"/>
      <c r="F1380" s="1805"/>
      <c r="G1380" s="1380"/>
      <c r="H1380" s="1380"/>
      <c r="I1380" s="1829"/>
      <c r="J1380" s="1789"/>
      <c r="K1380" s="1380"/>
      <c r="L1380" s="1380"/>
      <c r="M1380" s="1380"/>
      <c r="N1380" s="1380"/>
      <c r="S1380" s="1380"/>
      <c r="T1380" s="1380"/>
      <c r="U1380" s="1380"/>
      <c r="V1380" s="1380"/>
      <c r="W1380" s="1380"/>
      <c r="X1380" s="1380"/>
      <c r="Y1380" s="1380"/>
    </row>
    <row r="1381" spans="1:25" ht="15.75" hidden="1" customHeight="1" outlineLevel="1">
      <c r="A1381" s="1839" t="s">
        <v>3644</v>
      </c>
      <c r="B1381" s="1600" t="s">
        <v>133</v>
      </c>
      <c r="C1381" s="1696"/>
      <c r="D1381" s="1805"/>
      <c r="E1381" s="1805"/>
      <c r="F1381" s="1805"/>
      <c r="G1381" s="1380"/>
      <c r="H1381" s="1380"/>
      <c r="I1381" s="1829"/>
      <c r="J1381" s="1789"/>
      <c r="K1381" s="1380"/>
      <c r="L1381" s="1380"/>
      <c r="M1381" s="1380"/>
      <c r="N1381" s="1380"/>
      <c r="S1381" s="1380"/>
      <c r="T1381" s="1380"/>
      <c r="U1381" s="1380"/>
      <c r="V1381" s="1380"/>
      <c r="W1381" s="1380"/>
      <c r="X1381" s="1380"/>
      <c r="Y1381" s="1380"/>
    </row>
    <row r="1382" spans="1:25" ht="15.75" hidden="1" customHeight="1" outlineLevel="1">
      <c r="A1382" s="1839" t="s">
        <v>3645</v>
      </c>
      <c r="B1382" s="1600" t="s">
        <v>133</v>
      </c>
      <c r="C1382" s="1696"/>
      <c r="D1382" s="1805"/>
      <c r="E1382" s="1805"/>
      <c r="F1382" s="1805"/>
      <c r="G1382" s="1380"/>
      <c r="H1382" s="1380"/>
      <c r="I1382" s="1829"/>
      <c r="J1382" s="1789"/>
      <c r="K1382" s="1380"/>
      <c r="L1382" s="1380"/>
      <c r="M1382" s="1380"/>
      <c r="N1382" s="1380"/>
      <c r="S1382" s="1380"/>
      <c r="T1382" s="1380"/>
      <c r="U1382" s="1380"/>
      <c r="V1382" s="1380"/>
      <c r="W1382" s="1380"/>
      <c r="X1382" s="1380"/>
      <c r="Y1382" s="1380"/>
    </row>
    <row r="1383" spans="1:25" ht="15.75" hidden="1" customHeight="1" outlineLevel="1">
      <c r="A1383" s="1842" t="s">
        <v>3543</v>
      </c>
      <c r="B1383" s="1843"/>
      <c r="C1383" s="1844"/>
      <c r="D1383" s="1805"/>
      <c r="E1383" s="1805"/>
      <c r="F1383" s="1805"/>
      <c r="G1383" s="1380"/>
      <c r="H1383" s="1380"/>
      <c r="I1383" s="1829"/>
      <c r="J1383" s="1789"/>
      <c r="K1383" s="1380"/>
      <c r="L1383" s="1380"/>
      <c r="M1383" s="1380"/>
      <c r="N1383" s="1380"/>
      <c r="S1383" s="1380"/>
      <c r="T1383" s="1380"/>
      <c r="U1383" s="1380"/>
      <c r="V1383" s="1380"/>
      <c r="W1383" s="1380"/>
      <c r="X1383" s="1380"/>
      <c r="Y1383" s="1380"/>
    </row>
    <row r="1384" spans="1:25" ht="15.75" hidden="1" customHeight="1" outlineLevel="1">
      <c r="A1384" s="1353" t="s">
        <v>2623</v>
      </c>
      <c r="B1384" s="1696" t="s">
        <v>133</v>
      </c>
      <c r="C1384" s="1696">
        <f>B1115*E1181+I1115*I1181+L1115*L1181+D1229*G1281+G1202*(J1215+K1215)+пристройка!G196+пристройка!L196+Q1115*(P1181+Q1182)</f>
        <v>0</v>
      </c>
      <c r="D1384" s="1805"/>
      <c r="E1384" s="1805"/>
      <c r="F1384" s="1805"/>
      <c r="G1384" s="1380"/>
      <c r="H1384" s="1380"/>
      <c r="I1384" s="1829"/>
      <c r="J1384" s="1789"/>
      <c r="K1384" s="1380"/>
      <c r="L1384" s="1380"/>
      <c r="M1384" s="1380"/>
      <c r="N1384" s="1380"/>
      <c r="S1384" s="1380"/>
      <c r="T1384" s="1380"/>
      <c r="U1384" s="1380"/>
      <c r="V1384" s="1380"/>
      <c r="W1384" s="1380"/>
      <c r="X1384" s="1380"/>
      <c r="Y1384" s="1380"/>
    </row>
    <row r="1385" spans="1:25" ht="15.75" hidden="1" customHeight="1" outlineLevel="1">
      <c r="A1385" s="1353" t="s">
        <v>1546</v>
      </c>
      <c r="B1385" s="1696" t="s">
        <v>156</v>
      </c>
      <c r="C1385" s="1696">
        <f>B1115*E1164+I1115*I1164+L1115*L1164+G1202*(J1216+K1216)+Q1115*(P1164+Q1165)</f>
        <v>0</v>
      </c>
      <c r="D1385" s="1805"/>
      <c r="E1385" s="1805"/>
      <c r="F1385" s="1805"/>
      <c r="G1385" s="1380"/>
      <c r="H1385" s="1380"/>
      <c r="I1385" s="1829"/>
      <c r="J1385" s="1789"/>
      <c r="K1385" s="1380"/>
      <c r="L1385" s="1380"/>
      <c r="M1385" s="1380"/>
      <c r="N1385" s="1380"/>
      <c r="S1385" s="1380"/>
      <c r="T1385" s="1380"/>
      <c r="U1385" s="1380"/>
      <c r="V1385" s="1380"/>
      <c r="W1385" s="1380"/>
      <c r="X1385" s="1380"/>
      <c r="Y1385" s="1380"/>
    </row>
    <row r="1386" spans="1:25" ht="15.75" hidden="1" customHeight="1" outlineLevel="1">
      <c r="A1386" s="1353" t="s">
        <v>3646</v>
      </c>
      <c r="B1386" s="1696" t="s">
        <v>156</v>
      </c>
      <c r="C1386" s="1696">
        <f>I1115*I1170+L1115*L1170*4+D1229</f>
        <v>0</v>
      </c>
      <c r="D1386" s="1805"/>
      <c r="E1386" s="1805"/>
      <c r="F1386" s="1805"/>
      <c r="G1386" s="1380"/>
      <c r="H1386" s="1380"/>
      <c r="I1386" s="1829"/>
      <c r="J1386" s="1789"/>
      <c r="K1386" s="1380"/>
      <c r="L1386" s="1380"/>
      <c r="M1386" s="1380"/>
      <c r="N1386" s="1380"/>
      <c r="S1386" s="1380"/>
      <c r="T1386" s="1380"/>
      <c r="U1386" s="1380"/>
      <c r="V1386" s="1380"/>
      <c r="W1386" s="1380"/>
      <c r="X1386" s="1380"/>
      <c r="Y1386" s="1380"/>
    </row>
    <row r="1387" spans="1:25" ht="15.75" hidden="1" customHeight="1" outlineLevel="1">
      <c r="A1387" s="1353" t="s">
        <v>3647</v>
      </c>
      <c r="B1387" s="1696"/>
      <c r="C1387" s="1696">
        <f>B1115*(C1132*C1148+E1167*C1152*2+E1167*C1155*2)+I1115*((F1132+F1152+F1152)*F1148+F1133*F1152)+((K1132+K1152+K1152)*J1138+K1133*K1152)*L1115+G1202*(C1222*C1206*C1204+D1222*D1206*D1204)+G2093*D2019*(I2111*E2108*2+I2110*2*E2107)+пристройка!D2*пристройка!R78+Q1115*(P1179+Q1180)+(C1276-C1284)*D1229</f>
        <v>0</v>
      </c>
      <c r="D1387" s="1805"/>
      <c r="E1387" s="1805"/>
      <c r="F1387" s="1805"/>
      <c r="G1387" s="1380"/>
      <c r="H1387" s="1380"/>
      <c r="I1387" s="1829"/>
      <c r="J1387" s="1789"/>
      <c r="K1387" s="1380"/>
      <c r="L1387" s="1380"/>
      <c r="M1387" s="1380"/>
      <c r="N1387" s="1380"/>
      <c r="S1387" s="1380"/>
      <c r="T1387" s="1380"/>
      <c r="U1387" s="1380"/>
      <c r="V1387" s="1380"/>
      <c r="W1387" s="1380"/>
      <c r="X1387" s="1380"/>
      <c r="Y1387" s="1380"/>
    </row>
    <row r="1388" spans="1:25" ht="15.75" hidden="1" customHeight="1" outlineLevel="1">
      <c r="A1388" s="1353"/>
      <c r="B1388" s="1696"/>
      <c r="C1388" s="1696"/>
      <c r="D1388" s="1805"/>
      <c r="E1388" s="1805"/>
      <c r="F1388" s="1805"/>
      <c r="G1388" s="1380"/>
      <c r="H1388" s="1380"/>
      <c r="I1388" s="1829"/>
      <c r="J1388" s="1789"/>
      <c r="K1388" s="1380"/>
      <c r="L1388" s="1380"/>
      <c r="M1388" s="1380"/>
      <c r="N1388" s="1380"/>
      <c r="S1388" s="1380"/>
      <c r="T1388" s="1380"/>
      <c r="U1388" s="1380"/>
      <c r="V1388" s="1380"/>
      <c r="W1388" s="1380"/>
      <c r="X1388" s="1380"/>
      <c r="Y1388" s="1380"/>
    </row>
    <row r="1389" spans="1:25" ht="15.75" hidden="1" customHeight="1" outlineLevel="1">
      <c r="A1389" s="1353" t="s">
        <v>3502</v>
      </c>
      <c r="B1389" s="1696" t="s">
        <v>156</v>
      </c>
      <c r="C1389" s="1696">
        <f>(SQRT(((C1319/2)*(C1319/2))+((I1319/2)*(I1319/2))))+C1390</f>
        <v>5</v>
      </c>
      <c r="D1389" s="1805"/>
      <c r="E1389" s="1805"/>
      <c r="F1389" s="1805"/>
      <c r="G1389" s="1380"/>
      <c r="H1389" s="1380"/>
      <c r="I1389" s="1829"/>
      <c r="J1389" s="1789"/>
      <c r="K1389" s="1380"/>
      <c r="L1389" s="1380"/>
      <c r="M1389" s="1380"/>
      <c r="N1389" s="1380"/>
      <c r="S1389" s="1380"/>
      <c r="T1389" s="1380"/>
      <c r="U1389" s="1380"/>
      <c r="V1389" s="1380"/>
      <c r="W1389" s="1380"/>
      <c r="X1389" s="1380"/>
      <c r="Y1389" s="1380"/>
    </row>
    <row r="1390" spans="1:25" ht="15.75" hidden="1" customHeight="1" outlineLevel="1">
      <c r="A1390" s="1353" t="s">
        <v>1972</v>
      </c>
      <c r="B1390" s="1696" t="s">
        <v>156</v>
      </c>
      <c r="C1390" s="1845"/>
      <c r="D1390" s="1805"/>
      <c r="E1390" s="1805"/>
      <c r="F1390" s="1805"/>
      <c r="G1390" s="1380"/>
      <c r="H1390" s="1380"/>
      <c r="I1390" s="1829"/>
      <c r="J1390" s="1789"/>
      <c r="K1390" s="1380"/>
      <c r="L1390" s="1380"/>
      <c r="M1390" s="1380"/>
      <c r="N1390" s="1380"/>
      <c r="S1390" s="1380"/>
      <c r="T1390" s="1380"/>
      <c r="U1390" s="1380"/>
      <c r="V1390" s="1380"/>
      <c r="W1390" s="1380"/>
      <c r="X1390" s="1380"/>
      <c r="Y1390" s="1380"/>
    </row>
    <row r="1391" spans="1:25" ht="15.75" hidden="1" customHeight="1" outlineLevel="1">
      <c r="A1391" s="1846" t="s">
        <v>1975</v>
      </c>
      <c r="B1391" s="1833" t="s">
        <v>156</v>
      </c>
      <c r="C1391" s="1847"/>
      <c r="D1391" s="1805"/>
      <c r="E1391" s="1805"/>
      <c r="F1391" s="1805"/>
      <c r="G1391" s="1380"/>
      <c r="H1391" s="1380"/>
      <c r="I1391" s="1829"/>
      <c r="J1391" s="1789"/>
      <c r="K1391" s="1380"/>
      <c r="L1391" s="1380"/>
      <c r="M1391" s="1380"/>
      <c r="N1391" s="1380"/>
      <c r="O1391" s="1380"/>
      <c r="P1391" s="1380"/>
      <c r="Q1391" s="1380"/>
      <c r="R1391" s="1380"/>
      <c r="S1391" s="1380"/>
      <c r="T1391" s="1380"/>
      <c r="U1391" s="1380"/>
      <c r="V1391" s="1380"/>
      <c r="W1391" s="1380"/>
      <c r="X1391" s="1380"/>
      <c r="Y1391" s="1380"/>
    </row>
    <row r="1392" spans="1:25" ht="15.75" hidden="1" customHeight="1" outlineLevel="1">
      <c r="A1392" s="1848" t="s">
        <v>3648</v>
      </c>
      <c r="B1392" s="1849"/>
      <c r="C1392" s="1849"/>
      <c r="D1392" s="1850"/>
      <c r="E1392" s="1850"/>
      <c r="F1392" s="1850"/>
      <c r="G1392" s="1850"/>
      <c r="H1392" s="1850"/>
      <c r="I1392" s="1851"/>
      <c r="J1392" s="1850"/>
      <c r="K1392" s="1850"/>
      <c r="L1392" s="1850"/>
      <c r="M1392" s="1850"/>
      <c r="N1392" s="1850"/>
      <c r="O1392" s="1850"/>
      <c r="P1392" s="1852"/>
      <c r="Q1392" s="1789"/>
      <c r="R1392" s="1789"/>
      <c r="S1392" s="1380"/>
      <c r="T1392" s="1380"/>
      <c r="U1392" s="1380"/>
      <c r="V1392" s="1380"/>
      <c r="W1392" s="1380"/>
      <c r="X1392" s="1380"/>
      <c r="Y1392" s="1380"/>
    </row>
    <row r="1393" spans="1:25" ht="15.75" hidden="1" customHeight="1" outlineLevel="1">
      <c r="A1393" s="1839" t="s">
        <v>2720</v>
      </c>
      <c r="B1393" s="1696" t="s">
        <v>1094</v>
      </c>
      <c r="C1393" s="1696" t="s">
        <v>1802</v>
      </c>
      <c r="D1393" s="1696" t="s">
        <v>3649</v>
      </c>
      <c r="E1393" s="1353" t="s">
        <v>2722</v>
      </c>
      <c r="F1393" s="1380"/>
      <c r="G1393" s="1197" t="s">
        <v>3650</v>
      </c>
      <c r="I1393" s="1199" t="s">
        <v>3651</v>
      </c>
      <c r="K1393" s="1853"/>
      <c r="L1393" s="1632" t="s">
        <v>3652</v>
      </c>
      <c r="M1393" s="1696" t="s">
        <v>1094</v>
      </c>
      <c r="N1393" s="1353" t="s">
        <v>1802</v>
      </c>
      <c r="O1393" s="1353" t="s">
        <v>2721</v>
      </c>
      <c r="P1393" s="1353" t="s">
        <v>2722</v>
      </c>
      <c r="Q1393" s="1380"/>
      <c r="R1393" s="1380"/>
      <c r="S1393" s="1380"/>
      <c r="T1393" s="1380"/>
      <c r="U1393" s="1380"/>
      <c r="V1393" s="1380"/>
      <c r="W1393" s="1380"/>
      <c r="X1393" s="1380"/>
      <c r="Y1393" s="1380"/>
    </row>
    <row r="1394" spans="1:25" ht="15.75" hidden="1" customHeight="1" outlineLevel="1">
      <c r="A1394" s="1839" t="str">
        <f>'Ввод данных'!A1026</f>
        <v>Брус естественной влажности, 150*150мм</v>
      </c>
      <c r="B1394" s="1696" t="s">
        <v>135</v>
      </c>
      <c r="C1394" s="1696">
        <f>(C1367+C1368)*VLOOKUP(A1394,связи1!A204:E213,5,0)*G1345</f>
        <v>1.26</v>
      </c>
      <c r="D1394" s="1696">
        <f>VLOOKUP(A1394,связи1!A204:D213,4,0)</f>
        <v>6500</v>
      </c>
      <c r="E1394" s="1353">
        <f t="shared" ref="E1394:E1412" si="133">C1394*D1394</f>
        <v>8190</v>
      </c>
      <c r="F1394" s="1380"/>
      <c r="K1394" s="1278"/>
      <c r="L1394" s="1353" t="str">
        <f>'Прайс лист'!B1654</f>
        <v>монтаж обвязочного бруса</v>
      </c>
      <c r="M1394" s="1353" t="str">
        <f>'Прайс лист'!C1654</f>
        <v>м.п.</v>
      </c>
      <c r="N1394" s="1353">
        <f>C1366*I1345</f>
        <v>56</v>
      </c>
      <c r="O1394" s="1353">
        <f>'Прайс лист'!G1654</f>
        <v>200</v>
      </c>
      <c r="P1394" s="1353">
        <f>N1394*O1394</f>
        <v>11200</v>
      </c>
      <c r="Q1394" s="1380"/>
      <c r="R1394" s="1380"/>
      <c r="S1394" s="1380"/>
      <c r="T1394" s="1380"/>
      <c r="U1394" s="1380"/>
      <c r="V1394" s="1380"/>
      <c r="W1394" s="1380"/>
      <c r="X1394" s="1380"/>
      <c r="Y1394" s="1380"/>
    </row>
    <row r="1395" spans="1:25" ht="15.75" hidden="1" customHeight="1" outlineLevel="1">
      <c r="A1395" s="1839" t="s">
        <v>1465</v>
      </c>
      <c r="B1395" s="1696" t="s">
        <v>396</v>
      </c>
      <c r="C1395" s="1696">
        <f>C1394*7*G1345</f>
        <v>8.82</v>
      </c>
      <c r="D1395" s="1696">
        <f>'Прайс лист'!G789</f>
        <v>60</v>
      </c>
      <c r="E1395" s="1353">
        <f t="shared" si="133"/>
        <v>529.20000000000005</v>
      </c>
      <c r="F1395" s="1380"/>
      <c r="I1395" s="1199" t="s">
        <v>209</v>
      </c>
      <c r="J1395" s="1197" t="s">
        <v>1800</v>
      </c>
      <c r="K1395" s="1694" t="s">
        <v>2975</v>
      </c>
      <c r="L1395" s="1353" t="str">
        <f>'Прайс лист'!B1655</f>
        <v>обработка мастикой</v>
      </c>
      <c r="M1395" s="1353" t="str">
        <f>'Прайс лист'!C1655</f>
        <v>м.п.</v>
      </c>
      <c r="N1395" s="1353">
        <f>N1394*I1345</f>
        <v>56</v>
      </c>
      <c r="O1395" s="1353">
        <f>'Прайс лист'!G1655</f>
        <v>200</v>
      </c>
      <c r="P1395" s="1353">
        <f>N1395*O1395</f>
        <v>11200</v>
      </c>
      <c r="Q1395" s="1380"/>
      <c r="R1395" s="1380"/>
      <c r="S1395" s="1380"/>
      <c r="T1395" s="1380"/>
      <c r="U1395" s="1380"/>
      <c r="V1395" s="1380"/>
      <c r="W1395" s="1380"/>
      <c r="X1395" s="1380"/>
      <c r="Y1395" s="1380"/>
    </row>
    <row r="1396" spans="1:25" ht="15.75" hidden="1" customHeight="1" outlineLevel="1">
      <c r="A1396" s="1197" t="str">
        <f>'Ввод данных'!A1001</f>
        <v>Sip панель 2800*1250*174мм</v>
      </c>
      <c r="B1396" s="1696" t="s">
        <v>133</v>
      </c>
      <c r="C1396" s="1696">
        <f>(C1370-C1374)*G1345</f>
        <v>-1.7999999999999998</v>
      </c>
      <c r="D1396" s="1696">
        <f>VLOOKUP(A1396,связи1!A297:B309,2,0)</f>
        <v>1200</v>
      </c>
      <c r="E1396" s="1353">
        <f t="shared" si="133"/>
        <v>-2160</v>
      </c>
      <c r="F1396" s="1055">
        <f>VLOOKUP(A1396,связи1!A297:H309,8,0)</f>
        <v>3.5</v>
      </c>
      <c r="G1396" s="1278">
        <f>CEILING(C1396/F1396+1,1)</f>
        <v>1</v>
      </c>
      <c r="H1396" s="1643"/>
      <c r="I1396" s="1199">
        <f>VLOOKUP(A1396,связи1!A297:J309,9,0)</f>
        <v>2.8</v>
      </c>
      <c r="J1396" s="1197">
        <f>VLOOKUP(A1396,связи1!A297:J309,10,0)</f>
        <v>1.25</v>
      </c>
      <c r="K1396" s="1694">
        <f>VLOOKUP(A1396,связи1!A297:J309,6,0)</f>
        <v>0.17399999999999999</v>
      </c>
      <c r="L1396" s="1353" t="str">
        <f>'Прайс лист'!B1656</f>
        <v>монтаж наружних стен сиппанели</v>
      </c>
      <c r="M1396" s="1353" t="str">
        <f>'Прайс лист'!C1656</f>
        <v>м2</v>
      </c>
      <c r="N1396" s="1353">
        <f>(C1370)*I1345</f>
        <v>0</v>
      </c>
      <c r="O1396" s="1353">
        <f>'Прайс лист'!G1656</f>
        <v>400</v>
      </c>
      <c r="P1396" s="1353">
        <f>N1396*O1396</f>
        <v>0</v>
      </c>
      <c r="Q1396" s="1380"/>
      <c r="R1396" s="1380"/>
      <c r="S1396" s="1380"/>
      <c r="T1396" s="1380"/>
      <c r="U1396" s="1380"/>
      <c r="V1396" s="1380"/>
      <c r="W1396" s="1380"/>
      <c r="X1396" s="1380"/>
      <c r="Y1396" s="1380"/>
    </row>
    <row r="1397" spans="1:25" ht="15.75" hidden="1" customHeight="1" outlineLevel="1">
      <c r="A1397" s="1839" t="str">
        <f>'Ввод данных'!A1003</f>
        <v>Sip панель 2800*1250*174мм</v>
      </c>
      <c r="B1397" s="1696" t="s">
        <v>133</v>
      </c>
      <c r="C1397" s="1696">
        <f>C1372*G1345</f>
        <v>0</v>
      </c>
      <c r="D1397" s="1696">
        <f>VLOOKUP(A1397,связи1!A297:B309,2,0)</f>
        <v>1200</v>
      </c>
      <c r="E1397" s="1353">
        <f t="shared" si="133"/>
        <v>0</v>
      </c>
      <c r="F1397" s="1055">
        <f>VLOOKUP(A1397,связи1!A297:H309,8,0)</f>
        <v>3.5</v>
      </c>
      <c r="G1397" s="1278">
        <f>CEILING(C1397/F1397+1,1)</f>
        <v>1</v>
      </c>
      <c r="H1397" s="1643"/>
      <c r="I1397" s="1199">
        <f>VLOOKUP(A1397,связи1!A297:J309,9,0)</f>
        <v>2.8</v>
      </c>
      <c r="J1397" s="1197">
        <f>VLOOKUP(A1397,связи1!A297:J309,10,0)</f>
        <v>1.25</v>
      </c>
      <c r="K1397" s="1278">
        <f>VLOOKUP(A1397,связи1!A297:J309,6,0)</f>
        <v>0.17399999999999999</v>
      </c>
      <c r="L1397" s="1353" t="str">
        <f>'Прайс лист'!B1657</f>
        <v>Монтаж несущих перегородок сип панели</v>
      </c>
      <c r="M1397" s="1353" t="str">
        <f>'Прайс лист'!C1657</f>
        <v>м2</v>
      </c>
      <c r="N1397" s="1055">
        <f>C1372</f>
        <v>0</v>
      </c>
      <c r="O1397" s="1353">
        <f>'Прайс лист'!G1657</f>
        <v>400</v>
      </c>
      <c r="P1397" s="1353">
        <f>N1397*O1397</f>
        <v>0</v>
      </c>
      <c r="Q1397" s="1380"/>
      <c r="R1397" s="1380"/>
      <c r="S1397" s="1380"/>
      <c r="T1397" s="1380"/>
      <c r="U1397" s="1380"/>
      <c r="V1397" s="1380"/>
      <c r="W1397" s="1380"/>
      <c r="X1397" s="1380"/>
      <c r="Y1397" s="1380"/>
    </row>
    <row r="1398" spans="1:25" ht="15.75" hidden="1" customHeight="1" outlineLevel="1">
      <c r="A1398" s="1839" t="str">
        <f>'Ввод данных'!A1005</f>
        <v>Sip панель 2800*1250*124мм</v>
      </c>
      <c r="B1398" s="1696" t="s">
        <v>133</v>
      </c>
      <c r="C1398" s="1696">
        <f>C1373</f>
        <v>0</v>
      </c>
      <c r="D1398" s="1696">
        <f>VLOOKUP(A1398,связи1!A297:E309,2,0)</f>
        <v>800</v>
      </c>
      <c r="E1398" s="1353">
        <f t="shared" si="133"/>
        <v>0</v>
      </c>
      <c r="F1398" s="1055">
        <f>VLOOKUP(A1398,связи1!A297:H309,8,0)</f>
        <v>3.5</v>
      </c>
      <c r="G1398" s="1278">
        <f>CEILING(C1398/F1398+1,1)</f>
        <v>1</v>
      </c>
      <c r="H1398" s="1643"/>
      <c r="I1398" s="1199">
        <f>VLOOKUP(A1398,связи1!A297:J309,9,0)</f>
        <v>2.8</v>
      </c>
      <c r="J1398" s="1197">
        <f>VLOOKUP(A1398,связи1!A297:J309,10,0)</f>
        <v>1.25</v>
      </c>
      <c r="K1398" s="1278">
        <f>VLOOKUP(A1398,связи1!A297:J309,6,0)</f>
        <v>0.124</v>
      </c>
      <c r="L1398" s="1353"/>
      <c r="M1398" s="1353"/>
      <c r="N1398" s="1055"/>
      <c r="O1398" s="1353"/>
      <c r="P1398" s="1353"/>
      <c r="Q1398" s="1380"/>
      <c r="R1398" s="1380"/>
      <c r="S1398" s="1380"/>
      <c r="T1398" s="1380"/>
      <c r="U1398" s="1380"/>
      <c r="V1398" s="1380"/>
      <c r="W1398" s="1380"/>
      <c r="X1398" s="1380"/>
      <c r="Y1398" s="1380"/>
    </row>
    <row r="1399" spans="1:25" ht="15.75" hidden="1" customHeight="1" outlineLevel="1">
      <c r="A1399" s="1839" t="str">
        <f>'Прайс лист'!B864</f>
        <v xml:space="preserve">Болты анкерные с гайкой 12,0 х 280          </v>
      </c>
      <c r="B1399" s="1696" t="s">
        <v>159</v>
      </c>
      <c r="C1399" s="1696">
        <f>C1366*2*G1345</f>
        <v>112</v>
      </c>
      <c r="D1399" s="1696">
        <f>'Прайс лист'!G864</f>
        <v>27.1</v>
      </c>
      <c r="E1399" s="1353">
        <f t="shared" si="133"/>
        <v>3035.2000000000003</v>
      </c>
      <c r="G1399" s="1199"/>
      <c r="H1399" s="1199"/>
      <c r="K1399" s="1278"/>
      <c r="L1399" s="1353" t="str">
        <f>'Прайс лист'!B1658</f>
        <v>Монтаж перегородок сип панели</v>
      </c>
      <c r="M1399" s="1353" t="str">
        <f>'Прайс лист'!C1658</f>
        <v>м2</v>
      </c>
      <c r="N1399" s="1055">
        <f>C1373</f>
        <v>0</v>
      </c>
      <c r="O1399" s="1353">
        <f>'Прайс лист'!G1658</f>
        <v>300</v>
      </c>
      <c r="P1399" s="1353">
        <f>N1399*O1399</f>
        <v>0</v>
      </c>
      <c r="Q1399" s="1380"/>
      <c r="R1399" s="1380"/>
      <c r="S1399" s="1380"/>
      <c r="T1399" s="1380"/>
      <c r="U1399" s="1380"/>
      <c r="V1399" s="1380"/>
      <c r="W1399" s="1380"/>
      <c r="X1399" s="1380"/>
      <c r="Y1399" s="1380"/>
    </row>
    <row r="1400" spans="1:25" ht="15.75" hidden="1" customHeight="1" outlineLevel="1">
      <c r="A1400" s="1839" t="s">
        <v>3653</v>
      </c>
      <c r="B1400" s="1696" t="s">
        <v>135</v>
      </c>
      <c r="C1400" s="1696">
        <f>C1367*(C1350*D1350)*0.05*2*G1345</f>
        <v>0.60000000000000009</v>
      </c>
      <c r="D1400" s="1696">
        <f>VLOOKUP(A1396,связи1!A297:E309,5,0)</f>
        <v>9000</v>
      </c>
      <c r="E1400" s="1353">
        <f t="shared" si="133"/>
        <v>5400.0000000000009</v>
      </c>
      <c r="G1400" s="1199"/>
      <c r="H1400" s="1199"/>
      <c r="K1400" s="1694"/>
      <c r="L1400" s="1353" t="str">
        <f>'Прайс лист'!B1659</f>
        <v>монтаж покрытия кровли</v>
      </c>
      <c r="M1400" s="1353" t="str">
        <f>'Прайс лист'!C1659</f>
        <v>м2</v>
      </c>
      <c r="N1400" s="1353">
        <f>C1408*D1356*I1345*IF(дома!A1408=связи1!A297,0,1)</f>
        <v>0</v>
      </c>
      <c r="O1400" s="1353">
        <f>'Прайс лист'!G1659</f>
        <v>400</v>
      </c>
      <c r="P1400" s="1353">
        <f>N1400*O1400</f>
        <v>0</v>
      </c>
      <c r="Q1400" s="1380"/>
      <c r="R1400" s="1380"/>
      <c r="S1400" s="1380"/>
      <c r="T1400" s="1380"/>
      <c r="U1400" s="1380"/>
      <c r="V1400" s="1380"/>
      <c r="W1400" s="1380"/>
      <c r="X1400" s="1380"/>
      <c r="Y1400" s="1380"/>
    </row>
    <row r="1401" spans="1:25" ht="15.75" hidden="1" customHeight="1" outlineLevel="1">
      <c r="A1401" s="1839" t="s">
        <v>3654</v>
      </c>
      <c r="B1401" s="1696" t="s">
        <v>135</v>
      </c>
      <c r="C1401" s="1696">
        <f>C1368*(D1352*C1352)*0.05*2*G1345</f>
        <v>0.24</v>
      </c>
      <c r="D1401" s="1696">
        <f>VLOOKUP(A1397,связи1!A297:E309,5,0)</f>
        <v>9000</v>
      </c>
      <c r="E1401" s="1353">
        <f t="shared" si="133"/>
        <v>2160</v>
      </c>
      <c r="G1401" s="1199"/>
      <c r="H1401" s="1199"/>
      <c r="K1401" s="1853"/>
      <c r="L1401" s="1632"/>
      <c r="M1401" s="1353"/>
      <c r="N1401" s="1353"/>
      <c r="O1401" s="1353"/>
      <c r="P1401" s="1353">
        <f>N1401*O1401</f>
        <v>0</v>
      </c>
      <c r="Q1401" s="1380"/>
      <c r="R1401" s="1380"/>
      <c r="S1401" s="1380"/>
      <c r="T1401" s="1380"/>
      <c r="U1401" s="1380"/>
      <c r="V1401" s="1380"/>
      <c r="W1401" s="1380"/>
      <c r="X1401" s="1380"/>
      <c r="Y1401" s="1380"/>
    </row>
    <row r="1402" spans="1:25" ht="15.75" hidden="1" customHeight="1" outlineLevel="1">
      <c r="A1402" s="1839" t="s">
        <v>3654</v>
      </c>
      <c r="B1402" s="1696" t="s">
        <v>135</v>
      </c>
      <c r="C1402" s="1696">
        <f>C1369*(D1352*C1352)*0.05*2*G1345</f>
        <v>0.11699999999999999</v>
      </c>
      <c r="D1402" s="1696">
        <f>VLOOKUP(A1398,связи1!A297:E309,5,0)</f>
        <v>9000</v>
      </c>
      <c r="E1402" s="1353">
        <f t="shared" si="133"/>
        <v>1053</v>
      </c>
      <c r="G1402" s="1199"/>
      <c r="H1402" s="1199"/>
      <c r="K1402" s="1853"/>
      <c r="L1402" s="1632"/>
      <c r="M1402" s="1353"/>
      <c r="N1402" s="1353"/>
      <c r="O1402" s="1353"/>
      <c r="P1402" s="1353"/>
      <c r="Q1402" s="1380"/>
      <c r="R1402" s="1380"/>
      <c r="S1402" s="1380"/>
      <c r="T1402" s="1380"/>
      <c r="U1402" s="1380"/>
      <c r="V1402" s="1380"/>
      <c r="W1402" s="1380"/>
      <c r="X1402" s="1380"/>
      <c r="Y1402" s="1380"/>
    </row>
    <row r="1403" spans="1:25" ht="15.75" hidden="1" customHeight="1" outlineLevel="1">
      <c r="A1403" s="1839" t="s">
        <v>3655</v>
      </c>
      <c r="B1403" s="1696" t="s">
        <v>135</v>
      </c>
      <c r="C1403" s="1696">
        <f>C1370*2.2*(D1352*C1352)*0.05*G1345</f>
        <v>0</v>
      </c>
      <c r="D1403" s="1696">
        <f>VLOOKUP(A1396,связи1!A297:E309,5,0)</f>
        <v>9000</v>
      </c>
      <c r="E1403" s="1353">
        <f t="shared" si="133"/>
        <v>0</v>
      </c>
      <c r="G1403" s="1199"/>
      <c r="H1403" s="1199"/>
      <c r="K1403" s="1853"/>
      <c r="L1403" s="1632"/>
      <c r="M1403" s="1353"/>
      <c r="N1403" s="1353"/>
      <c r="O1403" s="1353"/>
      <c r="P1403" s="1353">
        <f>N1403*O1403</f>
        <v>0</v>
      </c>
      <c r="Q1403" s="1380"/>
      <c r="R1403" s="1380"/>
      <c r="S1403" s="1380"/>
      <c r="T1403" s="1380"/>
      <c r="U1403" s="1380"/>
      <c r="V1403" s="1380"/>
      <c r="W1403" s="1380"/>
      <c r="X1403" s="1380"/>
      <c r="Y1403" s="1380"/>
    </row>
    <row r="1404" spans="1:25" ht="15.75" hidden="1" customHeight="1" outlineLevel="1">
      <c r="A1404" s="1839" t="s">
        <v>3656</v>
      </c>
      <c r="B1404" s="1696" t="s">
        <v>135</v>
      </c>
      <c r="C1404" s="1696">
        <f>C1372*2.2*(D1352*C1352)*0.05*G1345</f>
        <v>0</v>
      </c>
      <c r="D1404" s="1696">
        <f>VLOOKUP(A1397,связи1!A297:E309,5,0)</f>
        <v>9000</v>
      </c>
      <c r="E1404" s="1353">
        <f t="shared" si="133"/>
        <v>0</v>
      </c>
      <c r="G1404" s="1199"/>
      <c r="H1404" s="1199"/>
      <c r="K1404" s="1853"/>
      <c r="L1404" s="1632"/>
      <c r="M1404" s="1353"/>
      <c r="N1404" s="1353"/>
      <c r="O1404" s="1353"/>
      <c r="P1404" s="1353">
        <f>N1404*O1404</f>
        <v>0</v>
      </c>
      <c r="Q1404" s="1380"/>
      <c r="R1404" s="1380"/>
      <c r="S1404" s="1380"/>
      <c r="T1404" s="1380"/>
      <c r="U1404" s="1380"/>
      <c r="V1404" s="1380"/>
      <c r="W1404" s="1380"/>
      <c r="X1404" s="1380"/>
      <c r="Y1404" s="1380"/>
    </row>
    <row r="1405" spans="1:25" ht="15.75" hidden="1" customHeight="1" outlineLevel="1">
      <c r="A1405" s="1839" t="s">
        <v>3657</v>
      </c>
      <c r="B1405" s="1696" t="s">
        <v>135</v>
      </c>
      <c r="C1405" s="1696">
        <f>C1373*2.2*(D1352*C1352)*0.05*G1345</f>
        <v>0</v>
      </c>
      <c r="D1405" s="1696">
        <f>VLOOKUP(A1398,связи1!A297:E309,5,0)</f>
        <v>9000</v>
      </c>
      <c r="E1405" s="1353">
        <f t="shared" si="133"/>
        <v>0</v>
      </c>
      <c r="G1405" s="1199"/>
      <c r="H1405" s="1199"/>
      <c r="K1405" s="1853"/>
      <c r="L1405" s="1632"/>
      <c r="M1405" s="1353"/>
      <c r="N1405" s="1353"/>
      <c r="O1405" s="1353"/>
      <c r="P1405" s="1353"/>
      <c r="Q1405" s="1380"/>
      <c r="R1405" s="1380"/>
      <c r="S1405" s="1380"/>
      <c r="T1405" s="1380"/>
      <c r="U1405" s="1380"/>
      <c r="V1405" s="1380"/>
      <c r="W1405" s="1380"/>
      <c r="X1405" s="1380"/>
      <c r="Y1405" s="1380"/>
    </row>
    <row r="1406" spans="1:25" ht="15.75" hidden="1" customHeight="1" outlineLevel="1">
      <c r="A1406" s="1839" t="s">
        <v>3658</v>
      </c>
      <c r="B1406" s="1696" t="s">
        <v>135</v>
      </c>
      <c r="C1406" s="1696">
        <f>C1384*2.8*(D1360*C1360)*0.05*2*G1345*D1356-C1407</f>
        <v>-0.15000000000000002</v>
      </c>
      <c r="D1406" s="1696">
        <f>VLOOKUP(A1408,связи1!A297:E309,5,0)</f>
        <v>0</v>
      </c>
      <c r="E1406" s="1353">
        <f t="shared" si="133"/>
        <v>0</v>
      </c>
      <c r="G1406" s="1199"/>
      <c r="H1406" s="1199"/>
      <c r="K1406" s="1853"/>
      <c r="L1406" s="1632"/>
      <c r="M1406" s="1353"/>
      <c r="N1406" s="1353"/>
      <c r="O1406" s="1353"/>
      <c r="P1406" s="1353">
        <f t="shared" ref="P1406:P1411" si="134">N1406*O1406</f>
        <v>0</v>
      </c>
      <c r="Q1406" s="1380"/>
      <c r="R1406" s="1380"/>
      <c r="S1406" s="1380"/>
      <c r="T1406" s="1380"/>
      <c r="U1406" s="1380"/>
      <c r="V1406" s="1380"/>
      <c r="W1406" s="1380"/>
      <c r="X1406" s="1380"/>
      <c r="Y1406" s="1380"/>
    </row>
    <row r="1407" spans="1:25" ht="15.75" hidden="1" customHeight="1" outlineLevel="1">
      <c r="A1407" s="1839" t="s">
        <v>3659</v>
      </c>
      <c r="B1407" s="1696" t="s">
        <v>135</v>
      </c>
      <c r="C1407" s="1696">
        <f>((C1385+C1385+(C1389*4))*(D1359*E1359+D1360*E1360))*G1345*0.05*D1356</f>
        <v>0.15000000000000002</v>
      </c>
      <c r="D1407" s="1696">
        <f>VLOOKUP(A1408,связи1!A297:E309,5,0)</f>
        <v>0</v>
      </c>
      <c r="E1407" s="1353">
        <f t="shared" si="133"/>
        <v>0</v>
      </c>
      <c r="G1407" s="1199"/>
      <c r="H1407" s="1199"/>
      <c r="K1407" s="1854"/>
      <c r="L1407" s="1632"/>
      <c r="M1407" s="1353"/>
      <c r="N1407" s="1353"/>
      <c r="O1407" s="1353"/>
      <c r="P1407" s="1353">
        <f t="shared" si="134"/>
        <v>0</v>
      </c>
      <c r="Q1407" s="1380"/>
      <c r="R1407" s="1380"/>
      <c r="S1407" s="1380"/>
      <c r="T1407" s="1380"/>
      <c r="U1407" s="1380"/>
      <c r="V1407" s="1380"/>
      <c r="W1407" s="1380"/>
      <c r="X1407" s="1380"/>
      <c r="Y1407" s="1380"/>
    </row>
    <row r="1408" spans="1:25" ht="15.75" hidden="1" customHeight="1" outlineLevel="1">
      <c r="A1408" s="1839" t="str">
        <f>'Ввод данных'!A1007</f>
        <v xml:space="preserve">Нет </v>
      </c>
      <c r="B1408" s="1696" t="s">
        <v>133</v>
      </c>
      <c r="C1408" s="1696">
        <f>C1384*D1356*G1345</f>
        <v>0</v>
      </c>
      <c r="D1408" s="1696">
        <f>VLOOKUP(A1408,связи1!A297:D309,2,0)</f>
        <v>0</v>
      </c>
      <c r="E1408" s="1353">
        <f t="shared" si="133"/>
        <v>0</v>
      </c>
      <c r="F1408" s="1055">
        <f>VLOOKUP(A1408,'Прайс лист'!B258:G270,3,0)</f>
        <v>0</v>
      </c>
      <c r="G1408" s="1278">
        <f>CEILING(C1408/IF(F1408=0,1,F1408)+1,1)*IF(F1408=0,0,1)</f>
        <v>0</v>
      </c>
      <c r="H1408" s="1278"/>
      <c r="I1408" s="1278">
        <f>VLOOKUP(A1408,связи1!A297:J309,9,0)</f>
        <v>0</v>
      </c>
      <c r="J1408" s="1055">
        <f>VLOOKUP(A1408,связи1!A297:J309,10,0)</f>
        <v>0</v>
      </c>
      <c r="K1408" s="1694">
        <f>VLOOKUP(A1408,связи1!A297:J309,6,0)</f>
        <v>0</v>
      </c>
      <c r="L1408" s="1632"/>
      <c r="M1408" s="1353"/>
      <c r="N1408" s="1353"/>
      <c r="O1408" s="1353"/>
      <c r="P1408" s="1353">
        <f t="shared" si="134"/>
        <v>0</v>
      </c>
      <c r="Q1408" s="1380"/>
      <c r="R1408" s="1380"/>
      <c r="S1408" s="1380"/>
      <c r="T1408" s="1380"/>
      <c r="U1408" s="1380"/>
      <c r="V1408" s="1380"/>
      <c r="W1408" s="1380"/>
      <c r="X1408" s="1380"/>
      <c r="Y1408" s="1380"/>
    </row>
    <row r="1409" spans="1:25" ht="15.75" hidden="1" customHeight="1" outlineLevel="1">
      <c r="A1409" s="1839" t="str">
        <f>'Прайс лист'!B903</f>
        <v>Пена монтажная, всесезонняя 800мл</v>
      </c>
      <c r="B1409" s="1696" t="s">
        <v>159</v>
      </c>
      <c r="C1409" s="1696">
        <f>(C1364+C1372+C1373+C1370+C1376+C1377)/10*G1345</f>
        <v>10</v>
      </c>
      <c r="D1409" s="1696">
        <f>'Прайс лист'!G903</f>
        <v>300</v>
      </c>
      <c r="E1409" s="1353">
        <f t="shared" si="133"/>
        <v>3000</v>
      </c>
      <c r="F1409" s="1380"/>
      <c r="J1409" s="1855"/>
      <c r="K1409" s="1856"/>
      <c r="M1409" s="1353"/>
      <c r="N1409" s="1353"/>
      <c r="O1409" s="1353"/>
      <c r="P1409" s="1353">
        <f t="shared" si="134"/>
        <v>0</v>
      </c>
      <c r="Q1409" s="1380"/>
      <c r="R1409" s="1380"/>
      <c r="S1409" s="1380"/>
      <c r="T1409" s="1380"/>
      <c r="U1409" s="1380"/>
      <c r="V1409" s="1380"/>
      <c r="W1409" s="1380"/>
      <c r="X1409" s="1380"/>
      <c r="Y1409" s="1380"/>
    </row>
    <row r="1410" spans="1:25" ht="15.75" hidden="1" customHeight="1" outlineLevel="1">
      <c r="A1410" s="1839" t="str">
        <f>'Прайс лист'!B878</f>
        <v xml:space="preserve">Саморезы 3,5 x 55            </v>
      </c>
      <c r="B1410" s="1696" t="s">
        <v>188</v>
      </c>
      <c r="C1410" s="1696">
        <f>(C1364+C1370+C1373+C1382+C1384+C1408)/30*G1345</f>
        <v>3.3333333333333335</v>
      </c>
      <c r="D1410" s="1696">
        <f>'Прайс лист'!G878</f>
        <v>105.62</v>
      </c>
      <c r="E1410" s="1353">
        <f t="shared" si="133"/>
        <v>352.06666666666672</v>
      </c>
      <c r="F1410" s="1380"/>
      <c r="J1410" s="1632"/>
      <c r="K1410" s="1853"/>
      <c r="M1410" s="1353"/>
      <c r="N1410" s="1353"/>
      <c r="O1410" s="1353"/>
      <c r="P1410" s="1353">
        <f t="shared" si="134"/>
        <v>0</v>
      </c>
      <c r="Q1410" s="1380"/>
      <c r="R1410" s="1380"/>
      <c r="S1410" s="1380"/>
      <c r="T1410" s="1380"/>
      <c r="U1410" s="1380"/>
      <c r="V1410" s="1380"/>
      <c r="W1410" s="1380"/>
      <c r="X1410" s="1380"/>
      <c r="Y1410" s="1380"/>
    </row>
    <row r="1411" spans="1:25" ht="15.75" hidden="1" customHeight="1" outlineLevel="1">
      <c r="A1411" s="1839" t="str">
        <f>'Прайс лист'!B880</f>
        <v xml:space="preserve">Саморезы 4,2 x 90            </v>
      </c>
      <c r="B1411" s="1696" t="s">
        <v>159</v>
      </c>
      <c r="C1411" s="1696">
        <f>(C1364+C1370+C1373+C1382+C1384+C1408)/30*G1345</f>
        <v>3.3333333333333335</v>
      </c>
      <c r="D1411" s="1696">
        <f>'Прайс лист'!G880</f>
        <v>107.62</v>
      </c>
      <c r="E1411" s="1353">
        <f t="shared" si="133"/>
        <v>358.73333333333335</v>
      </c>
      <c r="F1411" s="1380"/>
      <c r="J1411" s="1632"/>
      <c r="K1411" s="1853"/>
      <c r="M1411" s="1353"/>
      <c r="N1411" s="1353"/>
      <c r="O1411" s="1353"/>
      <c r="P1411" s="1353">
        <f t="shared" si="134"/>
        <v>0</v>
      </c>
      <c r="Q1411" s="1380"/>
      <c r="R1411" s="1380"/>
      <c r="S1411" s="1380"/>
      <c r="T1411" s="1380"/>
      <c r="U1411" s="1380"/>
      <c r="V1411" s="1380"/>
      <c r="W1411" s="1380"/>
      <c r="X1411" s="1380"/>
      <c r="Y1411" s="1380"/>
    </row>
    <row r="1412" spans="1:25" ht="15.75" hidden="1" customHeight="1" outlineLevel="1">
      <c r="A1412" s="1834" t="str">
        <f>'Ввод данных'!A1116</f>
        <v>Командировочные расходы</v>
      </c>
      <c r="B1412" s="1833" t="s">
        <v>1796</v>
      </c>
      <c r="C1412" s="1197">
        <f>1</f>
        <v>1</v>
      </c>
      <c r="D1412" s="1833">
        <f>'Ввод данных'!C1014*'Ввод данных'!C1015*'Ввод данных'!C1016*VLOOKUP('Ввод данных'!C1013,связи1!A2:B3,2,0)</f>
        <v>0</v>
      </c>
      <c r="E1412" s="1353">
        <f t="shared" si="133"/>
        <v>0</v>
      </c>
      <c r="F1412" s="1380"/>
      <c r="J1412" s="1632"/>
      <c r="K1412" s="1853"/>
      <c r="M1412" s="1353"/>
      <c r="N1412" s="1846"/>
      <c r="O1412" s="1846"/>
      <c r="P1412" s="1353"/>
      <c r="Q1412" s="1380"/>
      <c r="R1412" s="1380"/>
      <c r="S1412" s="1380"/>
      <c r="T1412" s="1380"/>
      <c r="U1412" s="1380"/>
      <c r="V1412" s="1380"/>
      <c r="W1412" s="1380"/>
      <c r="X1412" s="1380"/>
      <c r="Y1412" s="1380"/>
    </row>
    <row r="1413" spans="1:25" ht="15.75" hidden="1" customHeight="1" outlineLevel="1">
      <c r="A1413" s="1834"/>
      <c r="B1413" s="1833"/>
      <c r="C1413" s="1833"/>
      <c r="D1413" s="1696"/>
      <c r="E1413" s="1353"/>
      <c r="F1413" s="1380"/>
      <c r="J1413" s="1632"/>
      <c r="K1413" s="1853"/>
      <c r="M1413" s="1353"/>
      <c r="N1413" s="1846"/>
      <c r="O1413" s="1846"/>
      <c r="P1413" s="1353"/>
      <c r="Q1413" s="1380"/>
      <c r="R1413" s="1380"/>
      <c r="S1413" s="1380"/>
      <c r="T1413" s="1380"/>
      <c r="U1413" s="1380"/>
      <c r="V1413" s="1380"/>
      <c r="W1413" s="1380"/>
      <c r="X1413" s="1380"/>
      <c r="Y1413" s="1380"/>
    </row>
    <row r="1414" spans="1:25" ht="15.75" hidden="1" customHeight="1" outlineLevel="1">
      <c r="A1414" s="1834"/>
      <c r="B1414" s="1833"/>
      <c r="C1414" s="1833"/>
      <c r="D1414" s="1696"/>
      <c r="E1414" s="1353"/>
      <c r="F1414" s="1380"/>
      <c r="J1414" s="1632"/>
      <c r="K1414" s="1853"/>
      <c r="M1414" s="1353"/>
      <c r="N1414" s="1846"/>
      <c r="O1414" s="1846"/>
      <c r="P1414" s="1353"/>
      <c r="Q1414" s="1380"/>
      <c r="R1414" s="1380"/>
      <c r="S1414" s="1380"/>
      <c r="T1414" s="1380"/>
      <c r="U1414" s="1380"/>
      <c r="V1414" s="1380"/>
      <c r="W1414" s="1380"/>
      <c r="X1414" s="1380"/>
      <c r="Y1414" s="1380"/>
    </row>
    <row r="1415" spans="1:25" ht="15.75" hidden="1" customHeight="1" outlineLevel="1">
      <c r="A1415" s="1834" t="str">
        <f>'Ввод данных'!A1011</f>
        <v>расходные материалы сип панели</v>
      </c>
      <c r="B1415" s="1833" t="s">
        <v>159</v>
      </c>
      <c r="C1415" s="1833">
        <f>1</f>
        <v>1</v>
      </c>
      <c r="D1415" s="1696">
        <f>'Ввод данных'!C1011</f>
        <v>3000</v>
      </c>
      <c r="E1415" s="1353">
        <f>C1415*D1415</f>
        <v>3000</v>
      </c>
      <c r="F1415" s="1290"/>
      <c r="J1415" s="1632"/>
      <c r="K1415" s="1853"/>
      <c r="M1415" s="1360"/>
      <c r="N1415" s="1846"/>
      <c r="O1415" s="1846"/>
      <c r="P1415" s="1353">
        <f>N1415*O1415</f>
        <v>0</v>
      </c>
      <c r="Q1415" s="1290"/>
      <c r="R1415" s="1290"/>
      <c r="S1415" s="1290"/>
      <c r="T1415" s="1290"/>
      <c r="U1415" s="1290"/>
      <c r="V1415" s="1290"/>
      <c r="W1415" s="1290"/>
      <c r="X1415" s="1290"/>
      <c r="Y1415" s="1290"/>
    </row>
    <row r="1416" spans="1:25" ht="15.75" hidden="1" customHeight="1" outlineLevel="1">
      <c r="A1416" s="1839" t="str">
        <f>'Ввод данных'!A1009</f>
        <v>Нет техники</v>
      </c>
      <c r="B1416" s="1696" t="s">
        <v>159</v>
      </c>
      <c r="C1416" s="1696">
        <f>'Ввод данных'!C1009</f>
        <v>2</v>
      </c>
      <c r="D1416" s="1696">
        <f>VLOOKUP(A1416,'Прайс лист'!B180:G194,6,0)</f>
        <v>0</v>
      </c>
      <c r="E1416" s="1846">
        <f>C1416*D1416</f>
        <v>0</v>
      </c>
      <c r="F1416" s="1290"/>
      <c r="J1416" s="1632"/>
      <c r="K1416" s="1853"/>
      <c r="M1416" s="1360"/>
      <c r="N1416" s="1353"/>
      <c r="O1416" s="1353"/>
      <c r="P1416" s="1846">
        <f>N1416*O1416</f>
        <v>0</v>
      </c>
      <c r="Q1416" s="1290"/>
      <c r="R1416" s="1290"/>
      <c r="S1416" s="1290"/>
      <c r="T1416" s="1290"/>
      <c r="U1416" s="1290"/>
      <c r="V1416" s="1290"/>
      <c r="W1416" s="1290"/>
      <c r="X1416" s="1290"/>
      <c r="Y1416" s="1290"/>
    </row>
    <row r="1417" spans="1:25" ht="15.75" hidden="1" customHeight="1" outlineLevel="1">
      <c r="A1417" s="1857"/>
      <c r="B1417" s="1805"/>
      <c r="C1417" s="1805"/>
      <c r="D1417" s="1805"/>
      <c r="E1417" s="1694">
        <f>SUM(E1394:E1416)</f>
        <v>24918.2</v>
      </c>
      <c r="F1417" s="1354"/>
      <c r="G1417" s="1354"/>
      <c r="H1417" s="1354"/>
      <c r="I1417" s="1858"/>
      <c r="J1417" s="1354"/>
      <c r="K1417" s="1354"/>
      <c r="L1417" s="1354"/>
      <c r="M1417" s="1354"/>
      <c r="N1417" s="1354"/>
      <c r="O1417" s="1354"/>
      <c r="P1417" s="1353">
        <f>SUM(P1394:P1416)</f>
        <v>22400</v>
      </c>
      <c r="Q1417" s="1354"/>
      <c r="R1417" s="1354"/>
      <c r="S1417" s="1354"/>
      <c r="T1417" s="1354"/>
      <c r="U1417" s="1354"/>
      <c r="V1417" s="1354"/>
      <c r="W1417" s="1354"/>
      <c r="X1417" s="1354"/>
      <c r="Y1417" s="1354"/>
    </row>
    <row r="1418" spans="1:25" ht="15.75" hidden="1" customHeight="1" outlineLevel="1">
      <c r="A1418" s="1839" t="s">
        <v>3660</v>
      </c>
      <c r="B1418" s="1696">
        <f>E1417</f>
        <v>24918.2</v>
      </c>
      <c r="C1418" s="1859"/>
      <c r="D1418" s="1354"/>
      <c r="E1418" s="1354"/>
      <c r="F1418" s="1354"/>
      <c r="G1418" s="1354"/>
      <c r="H1418" s="1354"/>
      <c r="I1418" s="1858"/>
      <c r="J1418" s="1354"/>
      <c r="K1418" s="1354"/>
      <c r="L1418" s="1354"/>
      <c r="M1418" s="1354"/>
      <c r="N1418" s="1354"/>
      <c r="O1418" s="1354"/>
      <c r="P1418" s="1354"/>
      <c r="Q1418" s="1354"/>
      <c r="R1418" s="1354"/>
      <c r="S1418" s="1354"/>
      <c r="T1418" s="1354"/>
      <c r="U1418" s="1354"/>
      <c r="V1418" s="1354"/>
      <c r="W1418" s="1354"/>
      <c r="X1418" s="1354"/>
      <c r="Y1418" s="1354"/>
    </row>
    <row r="1419" spans="1:25" ht="15.75" hidden="1" customHeight="1" outlineLevel="1">
      <c r="A1419" s="1839" t="s">
        <v>3661</v>
      </c>
      <c r="B1419" s="1696">
        <f>P1417</f>
        <v>22400</v>
      </c>
      <c r="C1419" s="1859"/>
      <c r="D1419" s="1354"/>
      <c r="E1419" s="1354"/>
      <c r="F1419" s="1354"/>
      <c r="G1419" s="1354"/>
      <c r="H1419" s="1354"/>
      <c r="I1419" s="1858"/>
      <c r="J1419" s="1354"/>
      <c r="K1419" s="1354"/>
      <c r="L1419" s="1354"/>
      <c r="M1419" s="1354"/>
      <c r="N1419" s="1354"/>
      <c r="O1419" s="1354"/>
      <c r="P1419" s="1354"/>
      <c r="Q1419" s="1354"/>
      <c r="R1419" s="1354"/>
      <c r="S1419" s="1354"/>
      <c r="T1419" s="1354"/>
      <c r="U1419" s="1354"/>
      <c r="V1419" s="1354"/>
      <c r="W1419" s="1354"/>
      <c r="X1419" s="1354"/>
      <c r="Y1419" s="1354"/>
    </row>
    <row r="1420" spans="1:25" ht="15.75" hidden="1" customHeight="1" outlineLevel="1">
      <c r="A1420" s="1353" t="s">
        <v>2728</v>
      </c>
      <c r="B1420" s="1696"/>
      <c r="C1420" s="1859"/>
      <c r="D1420" s="1354"/>
      <c r="E1420" s="1354"/>
      <c r="F1420" s="1354"/>
      <c r="G1420" s="1354"/>
      <c r="H1420" s="1354"/>
      <c r="I1420" s="1858"/>
      <c r="J1420" s="1354"/>
      <c r="K1420" s="1354"/>
      <c r="L1420" s="1354"/>
      <c r="M1420" s="1354"/>
      <c r="N1420" s="1354"/>
      <c r="O1420" s="1354"/>
      <c r="P1420" s="1354"/>
      <c r="Q1420" s="1354"/>
      <c r="R1420" s="1354"/>
      <c r="S1420" s="1354"/>
      <c r="T1420" s="1354"/>
      <c r="U1420" s="1354"/>
      <c r="V1420" s="1354"/>
      <c r="W1420" s="1354"/>
      <c r="X1420" s="1354"/>
      <c r="Y1420" s="1354"/>
    </row>
    <row r="1421" spans="1:25" ht="15.75" customHeight="1">
      <c r="A1421" s="1860" t="s">
        <v>3662</v>
      </c>
      <c r="B1421" s="1773"/>
      <c r="C1421" s="1861" t="s">
        <v>3663</v>
      </c>
      <c r="D1421" s="1778"/>
      <c r="E1421" s="1778"/>
      <c r="F1421" s="1779"/>
      <c r="G1421" s="1354"/>
      <c r="H1421" s="1354"/>
      <c r="I1421" s="1858"/>
      <c r="J1421" s="1354"/>
      <c r="K1421" s="1354"/>
      <c r="L1421" s="1354"/>
      <c r="M1421" s="1354"/>
      <c r="N1421" s="1354"/>
      <c r="O1421" s="1354"/>
      <c r="P1421" s="1354"/>
      <c r="Q1421" s="1354"/>
      <c r="R1421" s="1354"/>
      <c r="S1421" s="1354"/>
      <c r="T1421" s="1354"/>
      <c r="U1421" s="1354"/>
      <c r="V1421" s="1354"/>
      <c r="W1421" s="1354"/>
      <c r="X1421" s="1354"/>
      <c r="Y1421" s="1354"/>
    </row>
    <row r="1422" spans="1:25" ht="15.75" customHeight="1">
      <c r="A1422" s="1354"/>
      <c r="B1422" s="1859"/>
      <c r="C1422" s="1859"/>
      <c r="D1422" s="1354"/>
      <c r="E1422" s="1354"/>
      <c r="F1422" s="1354"/>
      <c r="G1422" s="1354"/>
      <c r="H1422" s="1354"/>
      <c r="I1422" s="1858"/>
      <c r="J1422" s="1354"/>
      <c r="K1422" s="1354"/>
      <c r="L1422" s="1354"/>
      <c r="M1422" s="1354"/>
      <c r="N1422" s="1354"/>
      <c r="O1422" s="1354"/>
      <c r="P1422" s="1354"/>
      <c r="Q1422" s="1354"/>
      <c r="R1422" s="1354"/>
      <c r="S1422" s="1354"/>
      <c r="T1422" s="1354"/>
      <c r="U1422" s="1354"/>
      <c r="V1422" s="1354"/>
      <c r="W1422" s="1354"/>
      <c r="X1422" s="1354"/>
      <c r="Y1422" s="1354"/>
    </row>
    <row r="1423" spans="1:25" ht="15.75" customHeight="1" outlineLevel="1">
      <c r="A1423" s="1862" t="s">
        <v>3664</v>
      </c>
      <c r="B1423" s="1863"/>
      <c r="C1423" s="1863"/>
      <c r="D1423" s="1864"/>
      <c r="E1423" s="1864"/>
      <c r="F1423" s="1864"/>
      <c r="G1423" s="1864"/>
      <c r="H1423" s="1864"/>
      <c r="I1423" s="1865"/>
      <c r="J1423" s="1864"/>
      <c r="K1423" s="1864"/>
      <c r="L1423" s="1864"/>
      <c r="M1423" s="1864"/>
      <c r="N1423" s="1864"/>
      <c r="O1423" s="1864"/>
      <c r="P1423" s="1864"/>
      <c r="Q1423" s="1866"/>
      <c r="R1423" s="1354"/>
      <c r="S1423" s="1354"/>
      <c r="T1423" s="1354"/>
      <c r="U1423" s="1354"/>
      <c r="V1423" s="1354"/>
      <c r="W1423" s="1354"/>
      <c r="X1423" s="1354"/>
      <c r="Y1423" s="1354"/>
    </row>
    <row r="1424" spans="1:25" ht="15.75" customHeight="1" outlineLevel="1">
      <c r="A1424" s="1867"/>
      <c r="B1424" s="1868"/>
      <c r="C1424" s="1868"/>
      <c r="D1424" s="1869"/>
      <c r="E1424" s="1869"/>
      <c r="F1424" s="1869"/>
      <c r="G1424" s="1869"/>
      <c r="H1424" s="1869"/>
      <c r="I1424" s="1870"/>
      <c r="J1424" s="1869"/>
      <c r="K1424" s="1869"/>
      <c r="L1424" s="1869"/>
      <c r="M1424" s="1869"/>
      <c r="N1424" s="1869"/>
      <c r="O1424" s="1869"/>
      <c r="P1424" s="1869"/>
      <c r="Q1424" s="1871"/>
      <c r="R1424" s="1354"/>
      <c r="S1424" s="1354"/>
      <c r="T1424" s="1354"/>
      <c r="U1424" s="1354"/>
      <c r="V1424" s="1354"/>
      <c r="W1424" s="1354"/>
      <c r="X1424" s="1354"/>
      <c r="Y1424" s="1354"/>
    </row>
    <row r="1425" spans="1:47" ht="15.75" customHeight="1" outlineLevel="1">
      <c r="A1425" s="1821" t="s">
        <v>1806</v>
      </c>
      <c r="B1425" s="1822"/>
      <c r="C1425" s="1822"/>
      <c r="D1425" s="1823"/>
      <c r="E1425" s="1823"/>
      <c r="F1425" s="1824"/>
      <c r="G1425" s="1872">
        <f>'Ввод данных'!D1022</f>
        <v>1</v>
      </c>
      <c r="H1425" s="1873"/>
      <c r="I1425" s="1809">
        <f>'Ввод данных'!D1023</f>
        <v>1</v>
      </c>
      <c r="J1425" s="1808"/>
      <c r="K1425" s="1808"/>
      <c r="L1425" s="1808"/>
      <c r="M1425" s="1808"/>
      <c r="N1425" s="1808"/>
      <c r="O1425" s="1808"/>
      <c r="P1425" s="1808"/>
      <c r="Q1425" s="1808"/>
      <c r="R1425" s="1354"/>
      <c r="S1425" s="1354"/>
      <c r="T1425" s="1354"/>
      <c r="U1425" s="1354"/>
      <c r="V1425" s="1354"/>
      <c r="W1425" s="1354"/>
      <c r="X1425" s="1354"/>
      <c r="Y1425" s="1354"/>
    </row>
    <row r="1426" spans="1:47" ht="15.75" customHeight="1" outlineLevel="1">
      <c r="A1426" s="1846" t="s">
        <v>3665</v>
      </c>
      <c r="B1426" s="1696" t="s">
        <v>156</v>
      </c>
      <c r="C1426" s="1696"/>
      <c r="D1426" s="1380"/>
      <c r="E1426" s="1814"/>
      <c r="F1426" s="1380"/>
      <c r="G1426" s="1354"/>
      <c r="H1426" s="1354"/>
      <c r="I1426" s="1858"/>
      <c r="J1426" s="1354"/>
      <c r="K1426" s="1354"/>
      <c r="L1426" s="1354"/>
      <c r="M1426" s="1354"/>
      <c r="N1426" s="1354"/>
      <c r="O1426" s="1354"/>
      <c r="P1426" s="1354"/>
      <c r="Q1426" s="1354"/>
      <c r="R1426" s="1354"/>
      <c r="S1426" s="1354"/>
      <c r="T1426" s="1354"/>
      <c r="U1426" s="1354"/>
      <c r="V1426" s="1354"/>
      <c r="W1426" s="1354"/>
      <c r="X1426" s="1354"/>
      <c r="Y1426" s="1354"/>
    </row>
    <row r="1427" spans="1:47" ht="15.75" customHeight="1" outlineLevel="1">
      <c r="A1427" s="1691" t="s">
        <v>3666</v>
      </c>
      <c r="B1427" s="1696" t="s">
        <v>156</v>
      </c>
      <c r="C1427" s="1696"/>
      <c r="D1427" s="1774">
        <v>1</v>
      </c>
      <c r="E1427" s="1290"/>
      <c r="F1427" s="1354"/>
      <c r="G1427" s="1354"/>
      <c r="H1427" s="1354"/>
      <c r="I1427" s="1858"/>
      <c r="J1427" s="1354"/>
      <c r="K1427" s="1354"/>
      <c r="L1427" s="1354"/>
      <c r="M1427" s="1354"/>
      <c r="N1427" s="1354"/>
      <c r="O1427" s="1354"/>
      <c r="P1427" s="1354"/>
      <c r="Q1427" s="1354"/>
      <c r="R1427" s="1354"/>
      <c r="S1427" s="1354"/>
      <c r="T1427" s="1354"/>
      <c r="U1427" s="1354"/>
      <c r="V1427" s="1354"/>
      <c r="W1427" s="1354"/>
      <c r="X1427" s="1354"/>
      <c r="Y1427" s="1354"/>
    </row>
    <row r="1428" spans="1:47" ht="15.75" customHeight="1" outlineLevel="1">
      <c r="A1428" s="1804"/>
      <c r="B1428" s="1696" t="s">
        <v>156</v>
      </c>
      <c r="C1428" s="1696"/>
      <c r="D1428" s="1774">
        <v>0</v>
      </c>
      <c r="E1428" s="1290"/>
      <c r="F1428" s="1354"/>
      <c r="G1428" s="1354"/>
      <c r="H1428" s="1354"/>
      <c r="I1428" s="1858"/>
      <c r="J1428" s="1354"/>
      <c r="K1428" s="1354"/>
      <c r="L1428" s="1354"/>
      <c r="M1428" s="1354"/>
      <c r="N1428" s="1354"/>
      <c r="O1428" s="1354"/>
      <c r="P1428" s="1354"/>
      <c r="Q1428" s="1354"/>
      <c r="R1428" s="1354"/>
      <c r="S1428" s="1354"/>
      <c r="T1428" s="1354"/>
      <c r="U1428" s="1354"/>
      <c r="V1428" s="1354"/>
      <c r="W1428" s="1354"/>
      <c r="X1428" s="1354"/>
      <c r="Y1428" s="1354"/>
    </row>
    <row r="1429" spans="1:47" ht="15.75" customHeight="1" outlineLevel="1">
      <c r="A1429" s="1691" t="s">
        <v>3667</v>
      </c>
      <c r="B1429" s="1696" t="s">
        <v>156</v>
      </c>
      <c r="C1429" s="1696"/>
      <c r="D1429" s="1774">
        <v>1</v>
      </c>
      <c r="E1429" s="1290"/>
      <c r="F1429" s="1354"/>
      <c r="G1429" s="1354"/>
      <c r="H1429" s="1354"/>
      <c r="I1429" s="1858"/>
      <c r="J1429" s="1354"/>
      <c r="K1429" s="1354"/>
      <c r="L1429" s="1354"/>
      <c r="M1429" s="1354"/>
      <c r="N1429" s="1354"/>
      <c r="O1429" s="1354"/>
      <c r="P1429" s="1354"/>
      <c r="Q1429" s="1354"/>
      <c r="R1429" s="1354"/>
      <c r="S1429" s="1354"/>
      <c r="T1429" s="1354"/>
      <c r="U1429" s="1354"/>
      <c r="V1429" s="1354"/>
      <c r="W1429" s="1354"/>
      <c r="X1429" s="1354"/>
      <c r="Y1429" s="1354"/>
    </row>
    <row r="1430" spans="1:47" ht="15.75" customHeight="1" outlineLevel="1">
      <c r="A1430" s="1804"/>
      <c r="B1430" s="1696" t="s">
        <v>156</v>
      </c>
      <c r="C1430" s="1696"/>
      <c r="D1430" s="1774">
        <v>0</v>
      </c>
      <c r="E1430" s="1290"/>
      <c r="F1430" s="1354"/>
      <c r="G1430" s="1354"/>
      <c r="H1430" s="1354"/>
      <c r="I1430" s="1858"/>
      <c r="J1430" s="1354"/>
      <c r="K1430" s="1354"/>
      <c r="L1430" s="1354"/>
      <c r="M1430" s="1354"/>
      <c r="N1430" s="1354"/>
      <c r="O1430" s="1354"/>
      <c r="P1430" s="1354"/>
      <c r="Q1430" s="1354"/>
      <c r="R1430" s="1354"/>
      <c r="S1430" s="1354"/>
      <c r="T1430" s="1354"/>
      <c r="U1430" s="1354"/>
      <c r="V1430" s="1354"/>
      <c r="W1430" s="1354"/>
      <c r="X1430" s="1354"/>
      <c r="Y1430" s="1354"/>
    </row>
    <row r="1431" spans="1:47" ht="15.75" customHeight="1" outlineLevel="1">
      <c r="A1431" s="1874" t="s">
        <v>3668</v>
      </c>
      <c r="B1431" s="1696" t="s">
        <v>156</v>
      </c>
      <c r="C1431" s="1696"/>
      <c r="D1431" s="1774">
        <v>1</v>
      </c>
      <c r="E1431" s="1290"/>
      <c r="F1431" s="1354"/>
      <c r="G1431" s="1354"/>
      <c r="H1431" s="1354"/>
      <c r="I1431" s="1858"/>
      <c r="J1431" s="1354"/>
      <c r="K1431" s="1354"/>
      <c r="L1431" s="1354"/>
      <c r="M1431" s="1354"/>
      <c r="N1431" s="1354"/>
      <c r="O1431" s="1354"/>
      <c r="P1431" s="1354"/>
      <c r="Q1431" s="1354"/>
      <c r="R1431" s="1354"/>
      <c r="S1431" s="1354"/>
      <c r="T1431" s="1354"/>
      <c r="U1431" s="1354"/>
      <c r="V1431" s="1354"/>
      <c r="W1431" s="1354"/>
      <c r="X1431" s="1354"/>
      <c r="Y1431" s="1354"/>
    </row>
    <row r="1432" spans="1:47" ht="15.75" customHeight="1" outlineLevel="1">
      <c r="A1432" s="1874" t="s">
        <v>3669</v>
      </c>
      <c r="B1432" s="1696" t="s">
        <v>156</v>
      </c>
      <c r="C1432" s="1696"/>
      <c r="D1432" s="1774">
        <f>IF(C1432&gt;0,1,0)</f>
        <v>0</v>
      </c>
      <c r="E1432" s="1290"/>
      <c r="F1432" s="1354"/>
      <c r="G1432" s="1354"/>
      <c r="H1432" s="1354"/>
      <c r="I1432" s="1858"/>
      <c r="J1432" s="1354"/>
      <c r="K1432" s="1354"/>
      <c r="L1432" s="1354"/>
      <c r="M1432" s="1354"/>
      <c r="N1432" s="1354"/>
      <c r="O1432" s="1354"/>
      <c r="P1432" s="1354"/>
      <c r="Q1432" s="1354"/>
      <c r="R1432" s="1354"/>
      <c r="S1432" s="1354"/>
      <c r="T1432" s="1354"/>
      <c r="U1432" s="1354"/>
      <c r="V1432" s="1354"/>
      <c r="W1432" s="1354"/>
      <c r="X1432" s="1354"/>
      <c r="Y1432" s="1354"/>
      <c r="AQ1432" s="1055" t="s">
        <v>3670</v>
      </c>
      <c r="AR1432" s="1055"/>
      <c r="AS1432" s="1055"/>
      <c r="AT1432" s="1055"/>
      <c r="AU1432" s="1055"/>
    </row>
    <row r="1433" spans="1:47" ht="15.75" customHeight="1" outlineLevel="1">
      <c r="A1433" s="1874" t="s">
        <v>3671</v>
      </c>
      <c r="B1433" s="1696" t="s">
        <v>156</v>
      </c>
      <c r="C1433" s="1696"/>
      <c r="D1433" s="1774">
        <f>IF(C1433&gt;0,1,0)</f>
        <v>0</v>
      </c>
      <c r="E1433" s="1290"/>
      <c r="F1433" s="1354"/>
      <c r="G1433" s="1354"/>
      <c r="H1433" s="1354"/>
      <c r="I1433" s="1858"/>
      <c r="J1433" s="1354"/>
      <c r="K1433" s="1354"/>
      <c r="L1433" s="1354"/>
      <c r="M1433" s="1354"/>
      <c r="N1433" s="1354"/>
      <c r="O1433" s="1354"/>
      <c r="P1433" s="1354"/>
      <c r="Q1433" s="1354"/>
      <c r="R1433" s="1354"/>
      <c r="S1433" s="1354"/>
      <c r="T1433" s="1354"/>
      <c r="U1433" s="1354"/>
      <c r="V1433" s="1354"/>
      <c r="W1433" s="1354"/>
      <c r="X1433" s="1354"/>
      <c r="Y1433" s="1354"/>
      <c r="AQ1433" s="1055" t="str">
        <f t="shared" ref="AQ1433:AQ1447" si="135">AL1465</f>
        <v>Работа</v>
      </c>
      <c r="AR1433" s="1055" t="str">
        <f t="shared" ref="AR1433:AR1447" si="136">AM1465</f>
        <v>кол-во</v>
      </c>
      <c r="AS1433" s="1055" t="str">
        <f t="shared" ref="AS1433:AS1447" si="137">AN1465</f>
        <v>цена 1</v>
      </c>
      <c r="AT1433" s="1055" t="str">
        <f t="shared" ref="AT1433:AT1447" si="138">AO1465</f>
        <v>общ цена</v>
      </c>
      <c r="AU1433" s="1055"/>
    </row>
    <row r="1434" spans="1:47" ht="15.75" customHeight="1" outlineLevel="1">
      <c r="A1434" s="1874" t="s">
        <v>3672</v>
      </c>
      <c r="B1434" s="1696" t="s">
        <v>133</v>
      </c>
      <c r="C1434" s="1696">
        <f>C1454</f>
        <v>0</v>
      </c>
      <c r="D1434" s="1774">
        <f>IF('Ввод данных'!A1041='Прайс лист'!B1027,0,1)</f>
        <v>0</v>
      </c>
      <c r="E1434" s="1290"/>
      <c r="F1434" s="1354"/>
      <c r="G1434" s="1354"/>
      <c r="H1434" s="1354"/>
      <c r="I1434" s="1858"/>
      <c r="J1434" s="1354"/>
      <c r="K1434" s="1354"/>
      <c r="L1434" s="1354"/>
      <c r="M1434" s="1354"/>
      <c r="N1434" s="1354"/>
      <c r="O1434" s="1354"/>
      <c r="P1434" s="1354"/>
      <c r="Q1434" s="1354"/>
      <c r="R1434" s="1354"/>
      <c r="S1434" s="1354"/>
      <c r="T1434" s="1354"/>
      <c r="U1434" s="1354"/>
      <c r="V1434" s="1354"/>
      <c r="W1434" s="1354"/>
      <c r="X1434" s="1354"/>
      <c r="Y1434" s="1354"/>
      <c r="AQ1434" s="1055" t="str">
        <f t="shared" si="135"/>
        <v>монтаж обвязки</v>
      </c>
      <c r="AR1434" s="1055">
        <f t="shared" si="136"/>
        <v>0</v>
      </c>
      <c r="AS1434" s="1055">
        <f t="shared" si="137"/>
        <v>200</v>
      </c>
      <c r="AT1434" s="1055">
        <f t="shared" si="138"/>
        <v>0</v>
      </c>
    </row>
    <row r="1435" spans="1:47" ht="15.75" customHeight="1" outlineLevel="1">
      <c r="A1435" s="1874" t="s">
        <v>3673</v>
      </c>
      <c r="B1435" s="1696" t="s">
        <v>133</v>
      </c>
      <c r="C1435" s="1696">
        <f>C1457*2</f>
        <v>0</v>
      </c>
      <c r="D1435" s="1774">
        <f>IF('Ввод данных'!A1043='Прайс лист'!B1027,0,1)</f>
        <v>0</v>
      </c>
      <c r="E1435" s="1290"/>
      <c r="F1435" s="1354"/>
      <c r="G1435" s="1354"/>
      <c r="H1435" s="1354"/>
      <c r="I1435" s="1858"/>
      <c r="J1435" s="1354"/>
      <c r="K1435" s="1354"/>
      <c r="L1435" s="1354"/>
      <c r="M1435" s="1354"/>
      <c r="N1435" s="1354"/>
      <c r="O1435" s="1354"/>
      <c r="P1435" s="1354"/>
      <c r="Q1435" s="1354"/>
      <c r="R1435" s="1354"/>
      <c r="S1435" s="1354"/>
      <c r="T1435" s="1354"/>
      <c r="U1435" s="1354"/>
      <c r="V1435" s="1354"/>
      <c r="W1435" s="1354"/>
      <c r="X1435" s="1354"/>
      <c r="Y1435" s="1354"/>
      <c r="AQ1435" s="1055" t="str">
        <f t="shared" si="135"/>
        <v>монтаж стен каркаса</v>
      </c>
      <c r="AR1435" s="1055">
        <f t="shared" si="136"/>
        <v>0</v>
      </c>
      <c r="AS1435" s="1055">
        <f t="shared" si="137"/>
        <v>400</v>
      </c>
      <c r="AT1435" s="1055">
        <f t="shared" si="138"/>
        <v>0</v>
      </c>
    </row>
    <row r="1436" spans="1:47" ht="15.75" customHeight="1" outlineLevel="1">
      <c r="A1436" s="1874" t="s">
        <v>3674</v>
      </c>
      <c r="B1436" s="1696" t="s">
        <v>133</v>
      </c>
      <c r="C1436" s="1696">
        <f>C1458</f>
        <v>100</v>
      </c>
      <c r="D1436" s="1774">
        <f>IF('Ввод данных'!A1045='Прайс лист'!B1027,0,1)</f>
        <v>0</v>
      </c>
      <c r="E1436" s="1290"/>
      <c r="F1436" s="1354"/>
      <c r="G1436" s="1354"/>
      <c r="H1436" s="1354"/>
      <c r="I1436" s="1858"/>
      <c r="J1436" s="1354"/>
      <c r="K1436" s="1354"/>
      <c r="L1436" s="1354"/>
      <c r="M1436" s="1354"/>
      <c r="N1436" s="1354"/>
      <c r="O1436" s="1354"/>
      <c r="P1436" s="1354"/>
      <c r="Q1436" s="1354"/>
      <c r="R1436" s="1354"/>
      <c r="S1436" s="1354"/>
      <c r="T1436" s="1354"/>
      <c r="U1436" s="1354"/>
      <c r="V1436" s="1354"/>
      <c r="W1436" s="1354"/>
      <c r="X1436" s="1354"/>
      <c r="Y1436" s="1354"/>
      <c r="AQ1436" s="1055" t="str">
        <f t="shared" si="135"/>
        <v>Монтаж несущих перегородок</v>
      </c>
      <c r="AR1436" s="1055">
        <f t="shared" si="136"/>
        <v>0</v>
      </c>
      <c r="AS1436" s="1055">
        <f t="shared" si="137"/>
        <v>400</v>
      </c>
      <c r="AT1436" s="1055">
        <f t="shared" si="138"/>
        <v>0</v>
      </c>
    </row>
    <row r="1437" spans="1:47" ht="15.75" customHeight="1" outlineLevel="1">
      <c r="A1437" s="1691" t="s">
        <v>3675</v>
      </c>
      <c r="B1437" s="1696" t="s">
        <v>133</v>
      </c>
      <c r="C1437" s="1696">
        <f>C1459</f>
        <v>100</v>
      </c>
      <c r="D1437" s="1774">
        <f>IF('Ввод данных'!A1047='Прайс лист'!B1027,0,1)</f>
        <v>1</v>
      </c>
      <c r="E1437" s="1290"/>
      <c r="F1437" s="1354"/>
      <c r="G1437" s="1354"/>
      <c r="H1437" s="1354"/>
      <c r="I1437" s="1858"/>
      <c r="J1437" s="1354"/>
      <c r="K1437" s="1354"/>
      <c r="L1437" s="1354"/>
      <c r="M1437" s="1354"/>
      <c r="N1437" s="1354"/>
      <c r="O1437" s="1354"/>
      <c r="P1437" s="1354"/>
      <c r="Q1437" s="1354"/>
      <c r="R1437" s="1354"/>
      <c r="S1437" s="1354"/>
      <c r="T1437" s="1354"/>
      <c r="U1437" s="1354"/>
      <c r="V1437" s="1354"/>
      <c r="W1437" s="1354"/>
      <c r="X1437" s="1354"/>
      <c r="Y1437" s="1354"/>
      <c r="AQ1437" s="1055" t="str">
        <f t="shared" si="135"/>
        <v>Монтаж перегородок</v>
      </c>
      <c r="AR1437" s="1055">
        <f t="shared" si="136"/>
        <v>0</v>
      </c>
      <c r="AS1437" s="1055">
        <f t="shared" si="137"/>
        <v>400</v>
      </c>
      <c r="AT1437" s="1055">
        <f t="shared" si="138"/>
        <v>0</v>
      </c>
    </row>
    <row r="1438" spans="1:47" ht="15.75" customHeight="1" outlineLevel="1">
      <c r="A1438" s="1846" t="s">
        <v>2388</v>
      </c>
      <c r="B1438" s="1696" t="s">
        <v>159</v>
      </c>
      <c r="C1438" s="1696">
        <f>'Ввод данных'!C1048</f>
        <v>0</v>
      </c>
      <c r="D1438" s="1774">
        <f>IF('Ввод данных'!A1049=связи1!A418,0,1)</f>
        <v>0</v>
      </c>
      <c r="E1438" s="1290"/>
      <c r="F1438" s="1354"/>
      <c r="G1438" s="1354"/>
      <c r="H1438" s="1354"/>
      <c r="I1438" s="1858"/>
      <c r="J1438" s="1354"/>
      <c r="K1438" s="1354"/>
      <c r="L1438" s="1354"/>
      <c r="M1438" s="1354"/>
      <c r="N1438" s="1354"/>
      <c r="O1438" s="1354"/>
      <c r="P1438" s="1354"/>
      <c r="Q1438" s="1354"/>
      <c r="R1438" s="1354"/>
      <c r="S1438" s="1354"/>
      <c r="T1438" s="1354"/>
      <c r="U1438" s="1354"/>
      <c r="V1438" s="1354"/>
      <c r="W1438" s="1354"/>
      <c r="X1438" s="1354"/>
      <c r="Y1438" s="1354"/>
      <c r="AQ1438" s="1055" t="str">
        <f t="shared" si="135"/>
        <v>Монтаж вентиляционного зазора</v>
      </c>
      <c r="AR1438" s="1055">
        <f t="shared" si="136"/>
        <v>0</v>
      </c>
      <c r="AS1438" s="1055">
        <f t="shared" si="137"/>
        <v>80</v>
      </c>
      <c r="AT1438" s="1055">
        <f t="shared" si="138"/>
        <v>0</v>
      </c>
    </row>
    <row r="1439" spans="1:47" ht="15.75" customHeight="1" outlineLevel="1">
      <c r="A1439" s="1846" t="s">
        <v>2390</v>
      </c>
      <c r="B1439" s="1696" t="s">
        <v>159</v>
      </c>
      <c r="C1439" s="1696">
        <f>'Ввод данных'!C1050</f>
        <v>0</v>
      </c>
      <c r="D1439" s="1774">
        <f>IF('Ввод данных'!A1051=связи1!A418,0,1)</f>
        <v>0</v>
      </c>
      <c r="E1439" s="1290"/>
      <c r="U1439" s="1354"/>
      <c r="V1439" s="1354"/>
      <c r="W1439" s="1354"/>
      <c r="X1439" s="1354"/>
      <c r="Y1439" s="1354"/>
      <c r="AQ1439" s="1055" t="str">
        <f t="shared" si="135"/>
        <v>Монтаж технологического зазора</v>
      </c>
      <c r="AR1439" s="1055">
        <f t="shared" si="136"/>
        <v>0</v>
      </c>
      <c r="AS1439" s="1055">
        <f t="shared" si="137"/>
        <v>80</v>
      </c>
      <c r="AT1439" s="1055">
        <f t="shared" si="138"/>
        <v>0</v>
      </c>
    </row>
    <row r="1440" spans="1:47" ht="15.75" customHeight="1" outlineLevel="1">
      <c r="A1440" s="1846" t="s">
        <v>3676</v>
      </c>
      <c r="B1440" s="1696" t="s">
        <v>159</v>
      </c>
      <c r="C1440" s="1696"/>
      <c r="D1440" s="1774">
        <f>IF('Ввод данных'!A1053='Прайс лист'!B793,0,1)</f>
        <v>0</v>
      </c>
      <c r="E1440" s="1290"/>
      <c r="U1440" s="1354"/>
      <c r="V1440" s="1354"/>
      <c r="W1440" s="1354"/>
      <c r="X1440" s="1354"/>
      <c r="Y1440" s="1354"/>
      <c r="AQ1440" s="1055" t="str">
        <f t="shared" si="135"/>
        <v>монтаж ветроизоляции стен</v>
      </c>
      <c r="AR1440" s="1055">
        <f t="shared" si="136"/>
        <v>0</v>
      </c>
      <c r="AS1440" s="1055">
        <f t="shared" si="137"/>
        <v>100</v>
      </c>
      <c r="AT1440" s="1055">
        <f t="shared" si="138"/>
        <v>0</v>
      </c>
    </row>
    <row r="1441" spans="1:46" ht="15.75" customHeight="1" outlineLevel="1">
      <c r="A1441" s="1846" t="s">
        <v>3677</v>
      </c>
      <c r="B1441" s="1696" t="s">
        <v>159</v>
      </c>
      <c r="C1441" s="1696"/>
      <c r="D1441" s="1774">
        <f>IF('Ввод данных'!A1055='Прайс лист'!B820,0,1)</f>
        <v>0</v>
      </c>
      <c r="E1441" s="1290"/>
      <c r="U1441" s="1354"/>
      <c r="V1441" s="1354"/>
      <c r="W1441" s="1354"/>
      <c r="X1441" s="1354"/>
      <c r="Y1441" s="1354"/>
      <c r="AQ1441" s="1055" t="str">
        <f t="shared" si="135"/>
        <v>монтаж пароизоляции стен</v>
      </c>
      <c r="AR1441" s="1055">
        <f t="shared" si="136"/>
        <v>0</v>
      </c>
      <c r="AS1441" s="1055">
        <f t="shared" si="137"/>
        <v>100</v>
      </c>
      <c r="AT1441" s="1055">
        <f t="shared" si="138"/>
        <v>0</v>
      </c>
    </row>
    <row r="1442" spans="1:46" ht="15.75" customHeight="1" outlineLevel="1">
      <c r="A1442" s="1684" t="s">
        <v>3625</v>
      </c>
      <c r="B1442" s="1696" t="s">
        <v>159</v>
      </c>
      <c r="C1442" s="1773">
        <f>'Ввод данных'!C1057</f>
        <v>2</v>
      </c>
      <c r="D1442" s="1380"/>
      <c r="E1442" s="1380"/>
      <c r="F1442" s="1290"/>
      <c r="G1442" s="1354"/>
      <c r="H1442" s="1354"/>
      <c r="I1442" s="1858"/>
      <c r="J1442" s="1354"/>
      <c r="K1442" s="1354"/>
      <c r="L1442" s="1354"/>
      <c r="M1442" s="1354"/>
      <c r="N1442" s="1354"/>
      <c r="O1442" s="1354"/>
      <c r="P1442" s="1354"/>
      <c r="Q1442" s="1354"/>
      <c r="R1442" s="1354"/>
      <c r="S1442" s="1354"/>
      <c r="T1442" s="1354"/>
      <c r="U1442" s="1354"/>
      <c r="V1442" s="1354"/>
      <c r="W1442" s="1354"/>
      <c r="X1442" s="1354"/>
      <c r="Y1442" s="1354"/>
      <c r="AQ1442" s="1055" t="str">
        <f t="shared" si="135"/>
        <v>монтаж osb/фанера наруж стены</v>
      </c>
      <c r="AR1442" s="1055">
        <f t="shared" si="136"/>
        <v>0</v>
      </c>
      <c r="AS1442" s="1055">
        <f t="shared" si="137"/>
        <v>200</v>
      </c>
      <c r="AT1442" s="1055">
        <f t="shared" si="138"/>
        <v>0</v>
      </c>
    </row>
    <row r="1443" spans="1:46" ht="15.75" customHeight="1" outlineLevel="1">
      <c r="A1443" s="1875" t="s">
        <v>3626</v>
      </c>
      <c r="B1443" s="1876"/>
      <c r="C1443" s="1877"/>
      <c r="D1443" s="1805"/>
      <c r="E1443" s="1805"/>
      <c r="F1443" s="1805"/>
      <c r="G1443" s="1354"/>
      <c r="H1443" s="1354"/>
      <c r="I1443" s="1858"/>
      <c r="J1443" s="1354"/>
      <c r="K1443" s="1354"/>
      <c r="L1443" s="1354"/>
      <c r="M1443" s="1354"/>
      <c r="N1443" s="1354"/>
      <c r="O1443" s="1354"/>
      <c r="P1443" s="1354"/>
      <c r="Q1443" s="1354"/>
      <c r="R1443" s="1354"/>
      <c r="S1443" s="1354"/>
      <c r="T1443" s="1354"/>
      <c r="U1443" s="1354"/>
      <c r="V1443" s="1354"/>
      <c r="W1443" s="1354"/>
      <c r="X1443" s="1354"/>
      <c r="Y1443" s="1354"/>
      <c r="AQ1443" s="1055" t="str">
        <f t="shared" si="135"/>
        <v>монтаж osb/фанера потолок</v>
      </c>
      <c r="AR1443" s="1055">
        <f t="shared" si="136"/>
        <v>0</v>
      </c>
      <c r="AS1443" s="1055">
        <f t="shared" si="137"/>
        <v>200</v>
      </c>
      <c r="AT1443" s="1055">
        <f t="shared" si="138"/>
        <v>0</v>
      </c>
    </row>
    <row r="1444" spans="1:46" ht="15.75" customHeight="1" outlineLevel="1">
      <c r="A1444" s="1839" t="s">
        <v>3678</v>
      </c>
      <c r="B1444" s="1600" t="s">
        <v>133</v>
      </c>
      <c r="C1444" s="1696">
        <f>B1319*C1319*D1319+пристройка!D2*(пристройка!C9*пристройка!C25*пристройка!C3+пристройка!C10*пристройка!C5*пристройка!C26)+D1229*C1235</f>
        <v>100</v>
      </c>
      <c r="D1444" s="1805"/>
      <c r="E1444" s="1857"/>
      <c r="F1444" s="1392"/>
      <c r="G1444" s="1829"/>
      <c r="H1444" s="1829"/>
      <c r="I1444" s="1858"/>
      <c r="J1444" s="1354"/>
      <c r="K1444" s="1354"/>
      <c r="L1444" s="1354"/>
      <c r="M1444" s="1354"/>
      <c r="N1444" s="1354"/>
      <c r="O1444" s="1354"/>
      <c r="P1444" s="1354"/>
      <c r="Q1444" s="1354"/>
      <c r="R1444" s="1354"/>
      <c r="S1444" s="1354"/>
      <c r="T1444" s="1354"/>
      <c r="U1444" s="1354"/>
      <c r="V1444" s="1354"/>
      <c r="W1444" s="1354"/>
      <c r="X1444" s="1354"/>
      <c r="Y1444" s="1354"/>
      <c r="AQ1444" s="1055" t="str">
        <f t="shared" si="135"/>
        <v>монтаж osb/фанера перегородки</v>
      </c>
      <c r="AR1444" s="1055">
        <f t="shared" si="136"/>
        <v>0</v>
      </c>
      <c r="AS1444" s="1055">
        <f t="shared" si="137"/>
        <v>200</v>
      </c>
      <c r="AT1444" s="1055">
        <f t="shared" si="138"/>
        <v>0</v>
      </c>
    </row>
    <row r="1445" spans="1:46" ht="15.75" customHeight="1" outlineLevel="1">
      <c r="A1445" s="1839" t="s">
        <v>3679</v>
      </c>
      <c r="B1445" s="1600" t="s">
        <v>133</v>
      </c>
      <c r="C1445" s="1696">
        <f>C1459</f>
        <v>100</v>
      </c>
      <c r="D1445" s="1805"/>
      <c r="E1445" s="1857"/>
      <c r="F1445" s="1392"/>
      <c r="G1445" s="1829"/>
      <c r="H1445" s="1829"/>
      <c r="I1445" s="1858"/>
      <c r="J1445" s="1354"/>
      <c r="K1445" s="1354"/>
      <c r="L1445" s="1354"/>
      <c r="M1445" s="1354"/>
      <c r="N1445" s="1354"/>
      <c r="O1445" s="1354"/>
      <c r="P1445" s="1354"/>
      <c r="Q1445" s="1354"/>
      <c r="R1445" s="1354"/>
      <c r="S1445" s="1354"/>
      <c r="T1445" s="1354"/>
      <c r="U1445" s="1354"/>
      <c r="V1445" s="1354"/>
      <c r="W1445" s="1354"/>
      <c r="X1445" s="1354"/>
      <c r="Y1445" s="1354"/>
      <c r="AQ1445" s="1055" t="str">
        <f t="shared" si="135"/>
        <v>монтаж osb/фанера пол</v>
      </c>
      <c r="AR1445" s="1055">
        <f t="shared" si="136"/>
        <v>100</v>
      </c>
      <c r="AS1445" s="1055">
        <f t="shared" si="137"/>
        <v>200</v>
      </c>
      <c r="AT1445" s="1055">
        <f t="shared" si="138"/>
        <v>20000</v>
      </c>
    </row>
    <row r="1446" spans="1:46" ht="15.75" customHeight="1" outlineLevel="1">
      <c r="A1446" s="1839" t="s">
        <v>3680</v>
      </c>
      <c r="B1446" s="1600" t="s">
        <v>156</v>
      </c>
      <c r="C1446" s="1696">
        <f>C1367+C1368</f>
        <v>56</v>
      </c>
      <c r="D1446" s="1805"/>
      <c r="E1446" s="1857"/>
      <c r="F1446" s="1392"/>
      <c r="G1446" s="1829"/>
      <c r="H1446" s="1829"/>
      <c r="I1446" s="1858"/>
      <c r="J1446" s="1354"/>
      <c r="K1446" s="1354"/>
      <c r="L1446" s="1354"/>
      <c r="M1446" s="1354"/>
      <c r="N1446" s="1354"/>
      <c r="O1446" s="1354"/>
      <c r="P1446" s="1354"/>
      <c r="Q1446" s="1354"/>
      <c r="R1446" s="1354"/>
      <c r="S1446" s="1354"/>
      <c r="T1446" s="1354"/>
      <c r="U1446" s="1354"/>
      <c r="V1446" s="1354"/>
      <c r="W1446" s="1354"/>
      <c r="X1446" s="1354"/>
      <c r="Y1446" s="1354"/>
      <c r="AQ1446" s="1055" t="str">
        <f t="shared" si="135"/>
        <v>утепление наружних стен</v>
      </c>
      <c r="AR1446" s="1055">
        <f t="shared" si="136"/>
        <v>0</v>
      </c>
      <c r="AS1446" s="1055">
        <f t="shared" si="137"/>
        <v>200</v>
      </c>
      <c r="AT1446" s="1055">
        <f t="shared" si="138"/>
        <v>0</v>
      </c>
    </row>
    <row r="1447" spans="1:46" ht="15.75" customHeight="1" outlineLevel="1">
      <c r="A1447" s="1839" t="s">
        <v>3681</v>
      </c>
      <c r="B1447" s="1600" t="s">
        <v>156</v>
      </c>
      <c r="C1447" s="1664">
        <v>0</v>
      </c>
      <c r="D1447" s="1805">
        <f>(C1427*D1427+C1428*D1428)*C1447/3</f>
        <v>0</v>
      </c>
      <c r="E1447" s="1857">
        <f>D1447*(C1427*D1427+C1428*D1428)</f>
        <v>0</v>
      </c>
      <c r="F1447" s="1392"/>
      <c r="G1447" s="1829">
        <f>((C1319+D1319+C1319+D1319)*B1319+D1229*C1275*E1274*C1232+D1229*C1233*C1275*E1274)</f>
        <v>40</v>
      </c>
      <c r="H1447" s="1829"/>
      <c r="I1447" s="1858"/>
      <c r="J1447" s="1354"/>
      <c r="K1447" s="1354"/>
      <c r="L1447" s="1354"/>
      <c r="M1447" s="1354"/>
      <c r="N1447" s="1354"/>
      <c r="O1447" s="1354"/>
      <c r="P1447" s="1354"/>
      <c r="Q1447" s="1354"/>
      <c r="R1447" s="1354"/>
      <c r="S1447" s="1354"/>
      <c r="T1447" s="1354"/>
      <c r="U1447" s="1354"/>
      <c r="V1447" s="1354"/>
      <c r="W1447" s="1354"/>
      <c r="X1447" s="1354"/>
      <c r="Y1447" s="1354"/>
      <c r="AQ1447" s="1055" t="str">
        <f t="shared" si="135"/>
        <v>Утепление перегородок</v>
      </c>
      <c r="AR1447" s="1055">
        <f t="shared" si="136"/>
        <v>0</v>
      </c>
      <c r="AS1447" s="1055">
        <f t="shared" si="137"/>
        <v>200</v>
      </c>
      <c r="AT1447" s="1055">
        <f t="shared" si="138"/>
        <v>0</v>
      </c>
    </row>
    <row r="1448" spans="1:46" ht="15.75" customHeight="1" outlineLevel="1">
      <c r="A1448" s="1839" t="s">
        <v>3682</v>
      </c>
      <c r="B1448" s="1600" t="s">
        <v>156</v>
      </c>
      <c r="C1448" s="1664">
        <v>0</v>
      </c>
      <c r="D1448" s="1805">
        <f>C1448*(C1429*D1429+C1430*D1430)/3</f>
        <v>0</v>
      </c>
      <c r="E1448" s="1857">
        <f>D1448*(C1429*D1429+C1430*D1430)</f>
        <v>0</v>
      </c>
      <c r="F1448" s="1392">
        <f>(C1321*D1321+C1322*D1322+C1323*D1323+C1329*D1329+C1330*D1330+C1331*D1331+C1332*D1332)+(N1321*O1321+N1322*O1322+N1323*O1323+N1329*O1329+N1330*O1330+N1331*O1331+C1324*D1324+N1324*O1324+N1332*O1332)*(B1319-1)</f>
        <v>16</v>
      </c>
      <c r="G1448" s="1829"/>
      <c r="H1448" s="1829"/>
      <c r="I1448" s="1858"/>
      <c r="J1448" s="1354"/>
      <c r="K1448" s="1354"/>
      <c r="L1448" s="1354"/>
      <c r="M1448" s="1354"/>
      <c r="N1448" s="1354"/>
      <c r="O1448" s="1354"/>
      <c r="P1448" s="1354"/>
      <c r="Q1448" s="1354"/>
      <c r="R1448" s="1354"/>
      <c r="S1448" s="1354"/>
      <c r="T1448" s="1354"/>
      <c r="U1448" s="1354"/>
      <c r="V1448" s="1354"/>
      <c r="W1448" s="1354"/>
      <c r="X1448" s="1354"/>
      <c r="Y1448" s="1354"/>
      <c r="AQ1448" s="1055" t="str">
        <f t="shared" ref="AQ1448:AT1454" si="139">X1466</f>
        <v>Монтаж горизонтальной обрешетки</v>
      </c>
      <c r="AR1448" s="1055">
        <f t="shared" si="139"/>
        <v>0</v>
      </c>
      <c r="AS1448" s="1055">
        <f t="shared" si="139"/>
        <v>100</v>
      </c>
      <c r="AT1448" s="1055">
        <f t="shared" si="139"/>
        <v>0</v>
      </c>
    </row>
    <row r="1449" spans="1:46" ht="15.75" customHeight="1" outlineLevel="1">
      <c r="A1449" s="1839" t="s">
        <v>3683</v>
      </c>
      <c r="B1449" s="1600" t="s">
        <v>156</v>
      </c>
      <c r="C1449" s="1664">
        <v>0</v>
      </c>
      <c r="D1449" s="1805">
        <f>C1449*(C1431)</f>
        <v>0</v>
      </c>
      <c r="E1449" s="1857">
        <f>D1449*(C1431*D1431)</f>
        <v>0</v>
      </c>
      <c r="F1449" s="1392">
        <f>(C1325*D1325+C1326*D1326+C1327*D1327+C1328*D1328+C1333*D1333+C1334*D1334+C1335*D1335)+(C1336*D1336+N1325*O1325+N1326*O1326+N1327*O1327+N1328*O1328+N1333*O1333+N1334*O1334+N1335*O1335+N1336*O1336)*(B1319-1)</f>
        <v>7.8</v>
      </c>
      <c r="G1449" s="1829"/>
      <c r="H1449" s="1829"/>
      <c r="I1449" s="1858"/>
      <c r="J1449" s="1354"/>
      <c r="K1449" s="1354"/>
      <c r="L1449" s="1354"/>
      <c r="M1449" s="1354"/>
      <c r="N1449" s="1354"/>
      <c r="O1449" s="1354"/>
      <c r="P1449" s="1354"/>
      <c r="Q1449" s="1354"/>
      <c r="R1449" s="1354"/>
      <c r="S1449" s="1354"/>
      <c r="T1449" s="1354"/>
      <c r="U1449" s="1354"/>
      <c r="V1449" s="1354"/>
      <c r="W1449" s="1354"/>
      <c r="X1449" s="1354"/>
      <c r="Y1449" s="1354"/>
      <c r="AQ1449" s="1055" t="str">
        <f t="shared" si="139"/>
        <v>Монтаж вертикальной обрешетки</v>
      </c>
      <c r="AR1449" s="1055">
        <f t="shared" si="139"/>
        <v>0</v>
      </c>
      <c r="AS1449" s="1055">
        <f t="shared" si="139"/>
        <v>100</v>
      </c>
      <c r="AT1449" s="1055">
        <f t="shared" si="139"/>
        <v>0</v>
      </c>
    </row>
    <row r="1450" spans="1:46" ht="15.75" customHeight="1" outlineLevel="1">
      <c r="A1450" s="1839" t="s">
        <v>3684</v>
      </c>
      <c r="B1450" s="1600" t="s">
        <v>156</v>
      </c>
      <c r="C1450" s="1664">
        <f>Спецификация!F745</f>
        <v>0</v>
      </c>
      <c r="D1450" s="1805"/>
      <c r="E1450" s="1857"/>
      <c r="F1450" s="1392"/>
      <c r="G1450" s="1829"/>
      <c r="H1450" s="1829"/>
      <c r="I1450" s="1858"/>
      <c r="J1450" s="1354"/>
      <c r="K1450" s="1354"/>
      <c r="L1450" s="1354"/>
      <c r="M1450" s="1354"/>
      <c r="N1450" s="1354"/>
      <c r="O1450" s="1354"/>
      <c r="P1450" s="1354"/>
      <c r="Q1450" s="1354"/>
      <c r="R1450" s="1354"/>
      <c r="S1450" s="1354"/>
      <c r="T1450" s="1354"/>
      <c r="U1450" s="1354"/>
      <c r="V1450" s="1354"/>
      <c r="W1450" s="1354"/>
      <c r="X1450" s="1354"/>
      <c r="Y1450" s="1354"/>
      <c r="AQ1450" s="1055" t="str">
        <f t="shared" si="139"/>
        <v>Монтаж обрешетки потолок</v>
      </c>
      <c r="AR1450" s="1055">
        <f t="shared" si="139"/>
        <v>0</v>
      </c>
      <c r="AS1450" s="1055">
        <f t="shared" si="139"/>
        <v>100</v>
      </c>
      <c r="AT1450" s="1055">
        <f t="shared" si="139"/>
        <v>0</v>
      </c>
    </row>
    <row r="1451" spans="1:46" ht="15.75" customHeight="1" outlineLevel="1">
      <c r="A1451" s="1839" t="s">
        <v>3685</v>
      </c>
      <c r="B1451" s="1600"/>
      <c r="C1451" s="1664">
        <f>Спецификация!F746</f>
        <v>0</v>
      </c>
      <c r="D1451" s="1805"/>
      <c r="E1451" s="1857"/>
      <c r="F1451" s="1392"/>
      <c r="G1451" s="1829"/>
      <c r="H1451" s="1829"/>
      <c r="I1451" s="1858"/>
      <c r="J1451" s="1354"/>
      <c r="K1451" s="1354"/>
      <c r="L1451" s="1354"/>
      <c r="M1451" s="1354"/>
      <c r="N1451" s="1354"/>
      <c r="O1451" s="1354"/>
      <c r="P1451" s="1354"/>
      <c r="Q1451" s="1354"/>
      <c r="R1451" s="1354"/>
      <c r="S1451" s="1354"/>
      <c r="T1451" s="1354"/>
      <c r="U1451" s="1354"/>
      <c r="V1451" s="1354"/>
      <c r="W1451" s="1354"/>
      <c r="X1451" s="1354"/>
      <c r="Y1451" s="1354"/>
      <c r="AQ1451" s="1055" t="str">
        <f t="shared" si="139"/>
        <v>Монтаж профлист потолок</v>
      </c>
      <c r="AR1451" s="1055">
        <f t="shared" si="139"/>
        <v>0</v>
      </c>
      <c r="AS1451" s="1055">
        <f t="shared" si="139"/>
        <v>100</v>
      </c>
      <c r="AT1451" s="1055">
        <f t="shared" si="139"/>
        <v>0</v>
      </c>
    </row>
    <row r="1452" spans="1:46" ht="15.75" customHeight="1" outlineLevel="1">
      <c r="A1452" s="1839" t="s">
        <v>3686</v>
      </c>
      <c r="B1452" s="1600" t="s">
        <v>156</v>
      </c>
      <c r="C1452" s="1664">
        <f>Спецификация!F747</f>
        <v>0</v>
      </c>
      <c r="D1452" s="1805"/>
      <c r="E1452" s="1857"/>
      <c r="F1452" s="1392"/>
      <c r="G1452" s="1829"/>
      <c r="H1452" s="1829"/>
      <c r="I1452" s="1858"/>
      <c r="J1452" s="1354"/>
      <c r="K1452" s="1354"/>
      <c r="L1452" s="1354"/>
      <c r="M1452" s="1354"/>
      <c r="N1452" s="1354"/>
      <c r="O1452" s="1354"/>
      <c r="P1452" s="1354"/>
      <c r="Q1452" s="1354"/>
      <c r="R1452" s="1354"/>
      <c r="S1452" s="1354"/>
      <c r="T1452" s="1354"/>
      <c r="U1452" s="1354"/>
      <c r="V1452" s="1354"/>
      <c r="W1452" s="1354"/>
      <c r="X1452" s="1354"/>
      <c r="Y1452" s="1354"/>
      <c r="AQ1452" s="1055" t="str">
        <f t="shared" si="139"/>
        <v>Монтаж обрешетки пол</v>
      </c>
      <c r="AR1452" s="1055">
        <f t="shared" si="139"/>
        <v>0</v>
      </c>
      <c r="AS1452" s="1055">
        <f t="shared" si="139"/>
        <v>100</v>
      </c>
      <c r="AT1452" s="1055">
        <f t="shared" si="139"/>
        <v>0</v>
      </c>
    </row>
    <row r="1453" spans="1:46" ht="15.75" customHeight="1" outlineLevel="1">
      <c r="A1453" s="1839" t="s">
        <v>3633</v>
      </c>
      <c r="B1453" s="1600" t="s">
        <v>133</v>
      </c>
      <c r="C1453" s="1841">
        <f>связи1!C150</f>
        <v>0</v>
      </c>
      <c r="D1453" s="1805"/>
      <c r="E1453" s="1857"/>
      <c r="F1453" s="1392"/>
      <c r="G1453" s="1829"/>
      <c r="H1453" s="1829"/>
      <c r="I1453" s="1858"/>
      <c r="J1453" s="1354"/>
      <c r="K1453" s="1354"/>
      <c r="L1453" s="1354"/>
      <c r="M1453" s="1354"/>
      <c r="N1453" s="1354"/>
      <c r="O1453" s="1354"/>
      <c r="P1453" s="1354"/>
      <c r="Q1453" s="1354"/>
      <c r="R1453" s="1354"/>
      <c r="S1453" s="1354"/>
      <c r="T1453" s="1354"/>
      <c r="U1453" s="1354"/>
      <c r="V1453" s="1354"/>
      <c r="W1453" s="1354"/>
      <c r="X1453" s="1354"/>
      <c r="Y1453" s="1354"/>
      <c r="AQ1453" s="1055" t="str">
        <f t="shared" si="139"/>
        <v>Монтаж профлист пол</v>
      </c>
      <c r="AR1453" s="1055">
        <f t="shared" si="139"/>
        <v>0</v>
      </c>
      <c r="AS1453" s="1055">
        <f t="shared" si="139"/>
        <v>100</v>
      </c>
      <c r="AT1453" s="1055">
        <f t="shared" si="139"/>
        <v>0</v>
      </c>
    </row>
    <row r="1454" spans="1:46" ht="15.75" customHeight="1" outlineLevel="1">
      <c r="A1454" s="1839" t="s">
        <v>3687</v>
      </c>
      <c r="B1454" s="1600" t="s">
        <v>133</v>
      </c>
      <c r="C1454" s="1841">
        <f>C1453</f>
        <v>0</v>
      </c>
      <c r="D1454" s="1805"/>
      <c r="E1454" s="1857"/>
      <c r="F1454" s="1392"/>
      <c r="G1454" s="1829"/>
      <c r="H1454" s="1829"/>
      <c r="I1454" s="1858"/>
      <c r="J1454" s="1354"/>
      <c r="K1454" s="1354"/>
      <c r="L1454" s="1354"/>
      <c r="M1454" s="1354"/>
      <c r="N1454" s="1354"/>
      <c r="O1454" s="1354"/>
      <c r="P1454" s="1354"/>
      <c r="Q1454" s="1354"/>
      <c r="R1454" s="1354"/>
      <c r="S1454" s="1354"/>
      <c r="T1454" s="1354"/>
      <c r="U1454" s="1354"/>
      <c r="V1454" s="1354"/>
      <c r="W1454" s="1354"/>
      <c r="X1454" s="1354"/>
      <c r="Y1454" s="1354"/>
      <c r="AQ1454" s="1055" t="str">
        <f t="shared" si="139"/>
        <v>монтаж osb/фанера пол</v>
      </c>
      <c r="AR1454" s="1055">
        <f t="shared" si="139"/>
        <v>100</v>
      </c>
      <c r="AS1454" s="1055">
        <f t="shared" si="139"/>
        <v>200</v>
      </c>
      <c r="AT1454" s="1055">
        <f t="shared" si="139"/>
        <v>0</v>
      </c>
    </row>
    <row r="1455" spans="1:46" ht="15.75" customHeight="1" outlineLevel="1">
      <c r="A1455" s="1839" t="s">
        <v>3688</v>
      </c>
      <c r="B1455" s="1600" t="s">
        <v>133</v>
      </c>
      <c r="C1455" s="1841">
        <f>связи1!D150</f>
        <v>0</v>
      </c>
      <c r="D1455" s="1805"/>
      <c r="E1455" s="1857"/>
      <c r="F1455" s="1392"/>
      <c r="G1455" s="1829"/>
      <c r="H1455" s="1829"/>
      <c r="I1455" s="1858"/>
      <c r="J1455" s="1354"/>
      <c r="K1455" s="1354"/>
      <c r="L1455" s="1354"/>
      <c r="M1455" s="1354"/>
      <c r="N1455" s="1354"/>
      <c r="O1455" s="1354"/>
      <c r="P1455" s="1354"/>
      <c r="Q1455" s="1354"/>
      <c r="R1455" s="1354"/>
      <c r="S1455" s="1354"/>
      <c r="T1455" s="1354"/>
      <c r="U1455" s="1354"/>
      <c r="V1455" s="1354"/>
      <c r="W1455" s="1354"/>
      <c r="X1455" s="1354"/>
      <c r="Y1455" s="1354"/>
    </row>
    <row r="1456" spans="1:46" ht="15.75" customHeight="1" outlineLevel="1">
      <c r="A1456" s="1839" t="s">
        <v>3689</v>
      </c>
      <c r="B1456" s="1600"/>
      <c r="C1456" s="1841">
        <f>связи1!E150</f>
        <v>0</v>
      </c>
      <c r="D1456" s="1805"/>
      <c r="E1456" s="1857"/>
      <c r="F1456" s="1392"/>
      <c r="G1456" s="1829"/>
      <c r="H1456" s="1829"/>
      <c r="I1456" s="1858"/>
      <c r="J1456" s="1354"/>
      <c r="K1456" s="1354"/>
      <c r="L1456" s="1354"/>
      <c r="M1456" s="1354"/>
      <c r="N1456" s="1354"/>
      <c r="O1456" s="1354"/>
      <c r="P1456" s="1354"/>
      <c r="Q1456" s="1354"/>
      <c r="R1456" s="1354"/>
      <c r="S1456" s="1354"/>
      <c r="T1456" s="1354"/>
      <c r="U1456" s="1354"/>
      <c r="V1456" s="1354"/>
      <c r="W1456" s="1354"/>
      <c r="X1456" s="1354"/>
      <c r="Y1456" s="1354"/>
    </row>
    <row r="1457" spans="1:64" ht="15.75" customHeight="1" outlineLevel="1">
      <c r="A1457" s="1839" t="s">
        <v>3638</v>
      </c>
      <c r="B1457" s="1600" t="s">
        <v>133</v>
      </c>
      <c r="C1457" s="1841">
        <f>C1455+C1456</f>
        <v>0</v>
      </c>
      <c r="D1457" s="1805"/>
      <c r="E1457" s="1805"/>
      <c r="F1457" s="1805"/>
      <c r="G1457" s="1354"/>
      <c r="H1457" s="1354"/>
      <c r="I1457" s="1858"/>
      <c r="J1457" s="1354"/>
      <c r="K1457" s="1354"/>
      <c r="L1457" s="1354"/>
      <c r="M1457" s="1354"/>
      <c r="N1457" s="1354"/>
      <c r="O1457" s="1354"/>
      <c r="P1457" s="1354"/>
      <c r="Q1457" s="1354"/>
      <c r="R1457" s="1354"/>
      <c r="S1457" s="1354"/>
      <c r="T1457" s="1354"/>
      <c r="U1457" s="1354"/>
      <c r="V1457" s="1354"/>
      <c r="W1457" s="1354"/>
      <c r="X1457" s="1354"/>
      <c r="Y1457" s="1354"/>
    </row>
    <row r="1458" spans="1:64" ht="15.75" customHeight="1" outlineLevel="1">
      <c r="A1458" s="1840" t="s">
        <v>3639</v>
      </c>
      <c r="B1458" s="1841" t="s">
        <v>133</v>
      </c>
      <c r="C1458" s="1841">
        <f>J107</f>
        <v>100</v>
      </c>
      <c r="D1458" s="1805"/>
      <c r="E1458" s="1805"/>
      <c r="F1458" s="1805"/>
      <c r="G1458" s="1354"/>
      <c r="H1458" s="1354"/>
      <c r="I1458" s="1858"/>
      <c r="J1458" s="1354"/>
      <c r="K1458" s="1354"/>
      <c r="L1458" s="1354"/>
      <c r="M1458" s="1354"/>
      <c r="N1458" s="1354"/>
      <c r="O1458" s="1354"/>
      <c r="P1458" s="1354"/>
      <c r="Q1458" s="1354"/>
      <c r="R1458" s="1354"/>
      <c r="S1458" s="1354"/>
      <c r="T1458" s="1354"/>
      <c r="U1458" s="1354"/>
      <c r="V1458" s="1354"/>
      <c r="W1458" s="1354"/>
      <c r="X1458" s="1354"/>
      <c r="Y1458" s="1354"/>
    </row>
    <row r="1459" spans="1:64" ht="15.75" customHeight="1" outlineLevel="1">
      <c r="A1459" s="1840" t="s">
        <v>3690</v>
      </c>
      <c r="B1459" s="1841" t="s">
        <v>133</v>
      </c>
      <c r="C1459" s="1841">
        <f>J106</f>
        <v>100</v>
      </c>
      <c r="D1459" s="1805"/>
      <c r="E1459" s="1805"/>
      <c r="F1459" s="1805"/>
      <c r="G1459" s="1354"/>
      <c r="H1459" s="1354"/>
      <c r="I1459" s="1858"/>
      <c r="J1459" s="1354"/>
      <c r="K1459" s="1354"/>
      <c r="L1459" s="1354"/>
      <c r="M1459" s="1354"/>
      <c r="N1459" s="1354"/>
      <c r="O1459" s="1354"/>
      <c r="P1459" s="1354"/>
      <c r="Q1459" s="1354"/>
      <c r="R1459" s="1354"/>
      <c r="S1459" s="1354"/>
      <c r="T1459" s="1354"/>
      <c r="U1459" s="1354"/>
      <c r="V1459" s="1354"/>
      <c r="W1459" s="1354"/>
      <c r="X1459" s="1354"/>
      <c r="Y1459" s="1354"/>
    </row>
    <row r="1460" spans="1:64" ht="15.75" customHeight="1" outlineLevel="1">
      <c r="A1460" s="1840" t="s">
        <v>3642</v>
      </c>
      <c r="B1460" s="1841" t="s">
        <v>133</v>
      </c>
      <c r="C1460" s="1841">
        <f>J91+J96+J101</f>
        <v>100</v>
      </c>
      <c r="D1460" s="1805"/>
      <c r="E1460" s="1805"/>
      <c r="F1460" s="1805"/>
      <c r="G1460" s="1354"/>
      <c r="H1460" s="1354"/>
      <c r="I1460" s="1858"/>
      <c r="J1460" s="1354"/>
      <c r="K1460" s="1354"/>
      <c r="L1460" s="1354"/>
      <c r="M1460" s="1354"/>
      <c r="N1460" s="1354"/>
      <c r="O1460" s="1354"/>
      <c r="P1460" s="1354"/>
      <c r="Q1460" s="1354"/>
      <c r="R1460" s="1354"/>
      <c r="S1460" s="1354"/>
      <c r="T1460" s="1354"/>
      <c r="U1460" s="1354"/>
      <c r="V1460" s="1354"/>
      <c r="W1460" s="1354"/>
      <c r="X1460" s="1354"/>
      <c r="Y1460" s="1354"/>
    </row>
    <row r="1461" spans="1:64" ht="15.75" customHeight="1" outlineLevel="1">
      <c r="A1461" s="1840" t="s">
        <v>3643</v>
      </c>
      <c r="B1461" s="1841" t="s">
        <v>133</v>
      </c>
      <c r="C1461" s="1841">
        <f>J92+J97+J102</f>
        <v>100</v>
      </c>
      <c r="D1461" s="1805"/>
      <c r="E1461" s="1805"/>
      <c r="F1461" s="1805"/>
      <c r="G1461" s="1354"/>
      <c r="H1461" s="1354"/>
      <c r="I1461" s="1858"/>
      <c r="J1461" s="1354"/>
      <c r="K1461" s="1354"/>
      <c r="L1461" s="1354"/>
      <c r="M1461" s="1354"/>
      <c r="N1461" s="1354"/>
      <c r="O1461" s="1354"/>
      <c r="P1461" s="1354"/>
      <c r="Q1461" s="1354"/>
      <c r="R1461" s="1354"/>
      <c r="S1461" s="1354"/>
      <c r="T1461" s="1354"/>
      <c r="U1461" s="1354"/>
      <c r="V1461" s="1354"/>
      <c r="W1461" s="1354"/>
      <c r="X1461" s="1354"/>
      <c r="Y1461" s="1354"/>
    </row>
    <row r="1462" spans="1:64" ht="15.75" customHeight="1" outlineLevel="1">
      <c r="A1462" s="1840" t="s">
        <v>3644</v>
      </c>
      <c r="B1462" s="1841" t="s">
        <v>133</v>
      </c>
      <c r="C1462" s="1841">
        <f>J93+J98+J103</f>
        <v>0</v>
      </c>
      <c r="D1462" s="1805"/>
      <c r="E1462" s="1805"/>
      <c r="F1462" s="1805"/>
      <c r="G1462" s="1354"/>
      <c r="H1462" s="1354"/>
      <c r="I1462" s="1858"/>
      <c r="J1462" s="1354"/>
      <c r="K1462" s="1354"/>
      <c r="L1462" s="1354"/>
      <c r="M1462" s="1354"/>
      <c r="N1462" s="1354"/>
      <c r="O1462" s="1354"/>
      <c r="P1462" s="1354"/>
      <c r="Q1462" s="1354"/>
      <c r="R1462" s="1354"/>
      <c r="S1462" s="1354"/>
      <c r="T1462" s="1354"/>
      <c r="U1462" s="1354"/>
      <c r="V1462" s="1354"/>
      <c r="W1462" s="1354"/>
      <c r="X1462" s="1354"/>
      <c r="Y1462" s="1354"/>
    </row>
    <row r="1463" spans="1:64" ht="15.75" customHeight="1" outlineLevel="1">
      <c r="A1463" s="1840" t="s">
        <v>3645</v>
      </c>
      <c r="B1463" s="1841" t="s">
        <v>133</v>
      </c>
      <c r="C1463" s="1841">
        <f>SUM(C1460:C1462)</f>
        <v>200</v>
      </c>
      <c r="D1463" s="1805">
        <v>1</v>
      </c>
      <c r="E1463" s="1805">
        <v>0.4</v>
      </c>
      <c r="F1463" s="1805"/>
      <c r="G1463" s="1354"/>
      <c r="H1463" s="1354"/>
      <c r="I1463" s="1858"/>
      <c r="J1463" s="1354"/>
      <c r="K1463" s="1354"/>
      <c r="L1463" s="1354"/>
      <c r="M1463" s="1354"/>
      <c r="N1463" s="1354"/>
      <c r="O1463" s="1354"/>
      <c r="P1463" s="1354"/>
      <c r="Q1463" s="1354"/>
      <c r="R1463" s="1354"/>
      <c r="S1463" s="1354"/>
      <c r="T1463" s="1354"/>
      <c r="U1463" s="1354"/>
      <c r="V1463" s="1354"/>
      <c r="W1463" s="1354"/>
      <c r="X1463" s="1354"/>
      <c r="Y1463" s="1354"/>
    </row>
    <row r="1464" spans="1:64" ht="15.75" customHeight="1" outlineLevel="1">
      <c r="A1464" s="1875" t="s">
        <v>3691</v>
      </c>
      <c r="B1464" s="1876"/>
      <c r="C1464" s="1876"/>
      <c r="D1464" s="1878"/>
      <c r="E1464" s="1878"/>
      <c r="F1464" s="1878"/>
      <c r="G1464" s="1878"/>
      <c r="H1464" s="1878"/>
      <c r="I1464" s="1879"/>
      <c r="J1464" s="1878"/>
      <c r="K1464" s="1878"/>
      <c r="L1464" s="1878"/>
      <c r="M1464" s="1878"/>
      <c r="N1464" s="1878"/>
      <c r="O1464" s="1880"/>
      <c r="P1464" s="1380"/>
      <c r="Q1464" s="1380"/>
      <c r="R1464" s="1789"/>
      <c r="S1464" s="1354"/>
      <c r="T1464" s="1354"/>
      <c r="U1464" s="1354"/>
      <c r="V1464" s="1354"/>
      <c r="W1464" s="1354"/>
      <c r="X1464" s="1354"/>
      <c r="Y1464" s="1354"/>
      <c r="AC1464" s="1881" t="s">
        <v>3692</v>
      </c>
      <c r="AD1464" s="1055"/>
      <c r="AE1464" s="1055"/>
      <c r="AF1464" s="1055"/>
      <c r="AG1464" s="1055"/>
      <c r="AH1464" s="1055"/>
      <c r="AI1464" s="1055"/>
      <c r="AJ1464" s="1055"/>
      <c r="AK1464" s="1055"/>
      <c r="AL1464" s="1055"/>
      <c r="AM1464" s="1055"/>
      <c r="AN1464" s="1055"/>
      <c r="AO1464" s="1055"/>
      <c r="AQ1464" s="1881" t="s">
        <v>3693</v>
      </c>
      <c r="AR1464" s="1055"/>
      <c r="AS1464" s="1055"/>
      <c r="AT1464" s="1055"/>
      <c r="AU1464" s="1055"/>
      <c r="AV1464" s="1055"/>
      <c r="AW1464" s="1882"/>
      <c r="AX1464" s="1882"/>
      <c r="AY1464" s="1055"/>
      <c r="AZ1464" s="1055"/>
      <c r="BA1464" s="1055"/>
      <c r="BB1464" s="1055"/>
      <c r="BC1464" s="1055"/>
      <c r="BD1464" s="1055"/>
      <c r="BE1464" s="1882"/>
      <c r="BF1464" s="1882"/>
    </row>
    <row r="1465" spans="1:64" ht="15.75" customHeight="1" outlineLevel="1">
      <c r="A1465" s="1883" t="s">
        <v>2720</v>
      </c>
      <c r="B1465" s="1884" t="s">
        <v>1094</v>
      </c>
      <c r="C1465" s="1884" t="s">
        <v>1802</v>
      </c>
      <c r="D1465" s="1884" t="s">
        <v>3694</v>
      </c>
      <c r="E1465" s="1885" t="s">
        <v>2722</v>
      </c>
      <c r="F1465" s="1354"/>
      <c r="G1465" s="1632" t="s">
        <v>3652</v>
      </c>
      <c r="H1465" s="1886"/>
      <c r="I1465" s="1854"/>
      <c r="L1465" s="1887" t="s">
        <v>1802</v>
      </c>
      <c r="M1465" s="1887"/>
      <c r="N1465" s="1887"/>
      <c r="O1465" s="1887" t="s">
        <v>2721</v>
      </c>
      <c r="P1465" s="1885" t="s">
        <v>2722</v>
      </c>
      <c r="Q1465" s="1888"/>
      <c r="R1465" s="1889"/>
      <c r="S1465" s="1890" t="s">
        <v>120</v>
      </c>
      <c r="T1465" s="1891" t="s">
        <v>1802</v>
      </c>
      <c r="U1465" s="1891" t="s">
        <v>3695</v>
      </c>
      <c r="V1465" s="1892" t="s">
        <v>3696</v>
      </c>
      <c r="W1465" s="1354"/>
      <c r="X1465" s="1893" t="s">
        <v>3697</v>
      </c>
      <c r="Y1465" s="1894" t="s">
        <v>1802</v>
      </c>
      <c r="Z1465" s="1895" t="s">
        <v>854</v>
      </c>
      <c r="AA1465" s="1896" t="s">
        <v>3698</v>
      </c>
      <c r="AC1465" s="1055" t="str">
        <f t="shared" ref="AC1465:AC1483" si="140">A1465</f>
        <v>Материалы</v>
      </c>
      <c r="AD1465" s="1278" t="str">
        <f t="shared" ref="AD1465:AD1483" si="141">B1465</f>
        <v>ед изм</v>
      </c>
      <c r="AE1465" s="1278" t="str">
        <f t="shared" ref="AE1465:AE1483" si="142">C1465</f>
        <v>кол-во</v>
      </c>
      <c r="AF1465" s="1055" t="str">
        <f t="shared" ref="AF1465:AF1483" si="143">D1465</f>
        <v>цена 1 м3</v>
      </c>
      <c r="AG1465" s="1055" t="str">
        <f t="shared" ref="AG1465:AG1483" si="144">E1465</f>
        <v>общ цена</v>
      </c>
      <c r="AH1465" s="1055"/>
      <c r="AI1465" s="1055"/>
      <c r="AJ1465" s="1055"/>
      <c r="AK1465" s="1055"/>
      <c r="AL1465" s="1055" t="str">
        <f t="shared" ref="AL1465:AL1479" si="145">G1465</f>
        <v>Работа</v>
      </c>
      <c r="AM1465" s="1055" t="str">
        <f t="shared" ref="AM1465:AM1479" si="146">L1465</f>
        <v>кол-во</v>
      </c>
      <c r="AN1465" s="1055" t="str">
        <f t="shared" ref="AN1465:AN1479" si="147">O1465</f>
        <v>цена 1</v>
      </c>
      <c r="AO1465" s="1055" t="str">
        <f t="shared" ref="AO1465:AO1479" si="148">P1465</f>
        <v>общ цена</v>
      </c>
      <c r="AQ1465" s="1055" t="str">
        <f t="shared" ref="AQ1465:AV1471" si="149">AC1465</f>
        <v>Материалы</v>
      </c>
      <c r="AR1465" s="1278" t="str">
        <f t="shared" si="149"/>
        <v>ед изм</v>
      </c>
      <c r="AS1465" s="1055" t="str">
        <f t="shared" si="149"/>
        <v>кол-во</v>
      </c>
      <c r="AT1465" s="1055" t="str">
        <f t="shared" si="149"/>
        <v>цена 1 м3</v>
      </c>
      <c r="AU1465" s="1055" t="str">
        <f t="shared" si="149"/>
        <v>общ цена</v>
      </c>
      <c r="AV1465" s="1055">
        <f t="shared" si="149"/>
        <v>0</v>
      </c>
      <c r="AW1465" s="1882"/>
      <c r="AX1465" s="1882"/>
      <c r="AY1465" s="1055">
        <f t="shared" ref="AY1465:AY1476" si="150">G1480</f>
        <v>0</v>
      </c>
      <c r="AZ1465" s="1055">
        <f t="shared" ref="AZ1465:AZ1476" si="151">H1480</f>
        <v>0</v>
      </c>
      <c r="BA1465" s="1278" t="str">
        <f t="shared" ref="BA1465:BA1476" si="152">I1480</f>
        <v>ед.изм</v>
      </c>
      <c r="BB1465" s="1055" t="str">
        <f t="shared" ref="BB1465:BB1476" si="153">J1480</f>
        <v>кол-во</v>
      </c>
      <c r="BC1465" s="1055" t="str">
        <f t="shared" ref="BC1465:BC1476" si="154">K1480</f>
        <v xml:space="preserve">цена </v>
      </c>
      <c r="BD1465" s="1055" t="str">
        <f t="shared" ref="BD1465:BD1476" si="155">L1480</f>
        <v>цена общ</v>
      </c>
      <c r="BE1465" s="1882"/>
      <c r="BF1465" s="1882"/>
      <c r="BG1465" s="1197">
        <f t="shared" ref="BG1465:BG1488" si="156">Q1465</f>
        <v>0</v>
      </c>
      <c r="BH1465" s="1197">
        <f t="shared" ref="BH1465:BH1488" si="157">R1465</f>
        <v>0</v>
      </c>
      <c r="BI1465" s="1199" t="str">
        <f t="shared" ref="BI1465:BI1488" si="158">S1465</f>
        <v>ед.изм</v>
      </c>
      <c r="BJ1465" s="1197" t="str">
        <f t="shared" ref="BJ1465:BJ1488" si="159">T1465</f>
        <v>кол-во</v>
      </c>
      <c r="BK1465" s="1197" t="str">
        <f t="shared" ref="BK1465:BK1488" si="160">U1465</f>
        <v xml:space="preserve">цена </v>
      </c>
      <c r="BL1465" s="1197" t="str">
        <f t="shared" ref="BL1465:BL1488" si="161">V1465</f>
        <v>цена общ</v>
      </c>
    </row>
    <row r="1466" spans="1:64" ht="15.75" customHeight="1" outlineLevel="1">
      <c r="A1466" s="1839" t="str">
        <f>'Ввод данных'!A1026</f>
        <v>Брус естественной влажности, 150*150мм</v>
      </c>
      <c r="B1466" s="1696" t="s">
        <v>135</v>
      </c>
      <c r="C1466" s="1696">
        <f>C1446*G1425*VLOOKUP(A1466,связи1!A204:E213,5,0)</f>
        <v>1.26</v>
      </c>
      <c r="D1466" s="1696">
        <f>VLOOKUP(A1466,связи1!A204:D213,4,0)</f>
        <v>6500</v>
      </c>
      <c r="E1466" s="1353">
        <f>C1466*D1466</f>
        <v>8190</v>
      </c>
      <c r="F1466" s="1055" t="s">
        <v>3699</v>
      </c>
      <c r="G1466" s="1632" t="s">
        <v>3700</v>
      </c>
      <c r="H1466" s="1632"/>
      <c r="I1466" s="1694"/>
      <c r="J1466" s="1055"/>
      <c r="L1466" s="1353">
        <f>G43+I43+J43</f>
        <v>0</v>
      </c>
      <c r="M1466" s="1353"/>
      <c r="N1466" s="1353"/>
      <c r="O1466" s="1353">
        <f>'Прайс лист'!G1654</f>
        <v>200</v>
      </c>
      <c r="P1466" s="1353">
        <f t="shared" ref="P1466:P1479" si="162">L1466*O1466</f>
        <v>0</v>
      </c>
      <c r="Q1466" s="1260" t="s">
        <v>3701</v>
      </c>
      <c r="R1466" s="1260" t="str">
        <f>VLOOKUP(H1490,связи1!I458:Z488,17,0)</f>
        <v>L 50 x 50, 1,2мм</v>
      </c>
      <c r="S1466" s="1897" t="s">
        <v>156</v>
      </c>
      <c r="T1466" s="1260">
        <f>CEILING(SUM(H355:H359)+SUM(H361:H365)+SUM(H821:H825)*4,1)*VLOOKUP(H1490,связи1!I458:X488,6,0)</f>
        <v>8.1</v>
      </c>
      <c r="U1466" s="1260">
        <f>VLOOKUP(H1490,связи1!I458:Z488,18,0)</f>
        <v>77</v>
      </c>
      <c r="V1466" s="1260">
        <f t="shared" ref="V1466:V1488" si="163">T1466*U1466</f>
        <v>623.69999999999993</v>
      </c>
      <c r="W1466" s="1354"/>
      <c r="X1466" s="1898" t="str">
        <f>'Прайс лист'!B1660</f>
        <v>Монтаж горизонтальной обрешетки</v>
      </c>
      <c r="Y1466" s="1899">
        <f>C1453*IF(R1469=связи1!I389,0,1)</f>
        <v>0</v>
      </c>
      <c r="Z1466" s="1900">
        <f>'Прайс лист'!G1660</f>
        <v>100</v>
      </c>
      <c r="AA1466" s="1901">
        <f t="shared" ref="AA1466:AA1471" si="164">Y1466*Z1466</f>
        <v>0</v>
      </c>
      <c r="AC1466" s="1055" t="str">
        <f t="shared" si="140"/>
        <v>Брус естественной влажности, 150*150мм</v>
      </c>
      <c r="AD1466" s="1278" t="str">
        <f t="shared" si="141"/>
        <v>м3</v>
      </c>
      <c r="AE1466" s="1055">
        <f t="shared" si="142"/>
        <v>1.26</v>
      </c>
      <c r="AF1466" s="1055">
        <f t="shared" si="143"/>
        <v>6500</v>
      </c>
      <c r="AG1466" s="1055">
        <f t="shared" si="144"/>
        <v>8190</v>
      </c>
      <c r="AH1466" s="1055" t="str">
        <f t="shared" ref="AH1466:AH1471" si="165">F1466</f>
        <v>Нижняя обвязка</v>
      </c>
      <c r="AI1466" s="1055"/>
      <c r="AJ1466" s="1055"/>
      <c r="AK1466" s="1055"/>
      <c r="AL1466" s="1055" t="str">
        <f t="shared" si="145"/>
        <v>монтаж обвязки</v>
      </c>
      <c r="AM1466" s="1055">
        <f t="shared" si="146"/>
        <v>0</v>
      </c>
      <c r="AN1466" s="1055">
        <f t="shared" si="147"/>
        <v>200</v>
      </c>
      <c r="AO1466" s="1055">
        <f t="shared" si="148"/>
        <v>0</v>
      </c>
      <c r="AQ1466" s="1197" t="str">
        <f t="shared" si="149"/>
        <v>Брус естественной влажности, 150*150мм</v>
      </c>
      <c r="AR1466" s="1199" t="str">
        <f t="shared" si="149"/>
        <v>м3</v>
      </c>
      <c r="AS1466" s="1197">
        <f t="shared" si="149"/>
        <v>1.26</v>
      </c>
      <c r="AT1466" s="1197">
        <f t="shared" si="149"/>
        <v>6500</v>
      </c>
      <c r="AU1466" s="1197">
        <f t="shared" si="149"/>
        <v>8190</v>
      </c>
      <c r="AV1466" s="1197" t="str">
        <f t="shared" si="149"/>
        <v>Нижняя обвязка</v>
      </c>
      <c r="AY1466" s="1197" t="str">
        <f t="shared" si="150"/>
        <v>Верхняя/нижняя обвязка каркаса наружние стены</v>
      </c>
      <c r="AZ1466" s="1197" t="str">
        <f t="shared" si="151"/>
        <v>ГПН 152х35-1,2</v>
      </c>
      <c r="BA1466" s="1199" t="str">
        <f t="shared" si="152"/>
        <v>мп.</v>
      </c>
      <c r="BB1466" s="1197">
        <f t="shared" si="153"/>
        <v>0</v>
      </c>
      <c r="BC1466" s="1197">
        <f t="shared" si="154"/>
        <v>163</v>
      </c>
      <c r="BD1466" s="1197">
        <f t="shared" si="155"/>
        <v>0</v>
      </c>
      <c r="BG1466" s="1197" t="str">
        <f t="shared" si="156"/>
        <v>Уголок для крепления окон/дверей</v>
      </c>
      <c r="BH1466" s="1197" t="str">
        <f t="shared" si="157"/>
        <v>L 50 x 50, 1,2мм</v>
      </c>
      <c r="BI1466" s="1199" t="str">
        <f t="shared" si="158"/>
        <v>м.п.</v>
      </c>
      <c r="BJ1466" s="1197">
        <f t="shared" si="159"/>
        <v>8.1</v>
      </c>
      <c r="BK1466" s="1197">
        <f t="shared" si="160"/>
        <v>77</v>
      </c>
      <c r="BL1466" s="1197">
        <f t="shared" si="161"/>
        <v>623.69999999999993</v>
      </c>
    </row>
    <row r="1467" spans="1:64" ht="15.75" customHeight="1" outlineLevel="1">
      <c r="A1467" s="1839" t="str">
        <f>'Прайс лист'!B864</f>
        <v xml:space="preserve">Болты анкерные с гайкой 12,0 х 280          </v>
      </c>
      <c r="B1467" s="1696" t="s">
        <v>159</v>
      </c>
      <c r="C1467" s="1696">
        <f>C1446*G1425</f>
        <v>56</v>
      </c>
      <c r="D1467" s="1696">
        <f>'Прайс лист'!G864</f>
        <v>27.1</v>
      </c>
      <c r="E1467" s="1353">
        <f>C1467*D1467</f>
        <v>1517.6000000000001</v>
      </c>
      <c r="F1467" s="1055" t="s">
        <v>3702</v>
      </c>
      <c r="G1467" s="1632" t="str">
        <f>'Прайс лист'!B1662</f>
        <v>монтаж стен каркаса</v>
      </c>
      <c r="H1467" s="1632"/>
      <c r="I1467" s="1694"/>
      <c r="J1467" s="1055"/>
      <c r="L1467" s="1353">
        <f>C1453</f>
        <v>0</v>
      </c>
      <c r="M1467" s="1353"/>
      <c r="N1467" s="1353"/>
      <c r="O1467" s="1353">
        <f>'Прайс лист'!G1662</f>
        <v>400</v>
      </c>
      <c r="P1467" s="1353">
        <f t="shared" si="162"/>
        <v>0</v>
      </c>
      <c r="Q1467" s="1902" t="s">
        <v>3703</v>
      </c>
      <c r="R1467" s="1260" t="str">
        <f>A1469</f>
        <v>ГПС 120х50-1,5</v>
      </c>
      <c r="S1467" s="1897" t="s">
        <v>156</v>
      </c>
      <c r="T1467" s="1260">
        <f>SUM(H367:H370)+H372+H373+SUM(H827:H830)+H832+H833</f>
        <v>7.8</v>
      </c>
      <c r="U1467" s="1260">
        <f>VLOOKUP(R1467,связи1!I458:V488,4,0)</f>
        <v>65.882352941176478</v>
      </c>
      <c r="V1467" s="1260">
        <f t="shared" si="163"/>
        <v>513.88235294117646</v>
      </c>
      <c r="W1467" s="1354"/>
      <c r="X1467" s="1898" t="str">
        <f>'Прайс лист'!B1661</f>
        <v>Монтаж вертикальной обрешетки</v>
      </c>
      <c r="Y1467" s="1899">
        <f>C1453*IF(R1470=связи1!I389,0,1)</f>
        <v>0</v>
      </c>
      <c r="Z1467" s="1900">
        <f>'Прайс лист'!G1661</f>
        <v>100</v>
      </c>
      <c r="AA1467" s="1901">
        <f t="shared" si="164"/>
        <v>0</v>
      </c>
      <c r="AC1467" s="1055" t="str">
        <f t="shared" si="140"/>
        <v xml:space="preserve">Болты анкерные с гайкой 12,0 х 280          </v>
      </c>
      <c r="AD1467" s="1278" t="str">
        <f t="shared" si="141"/>
        <v>шт</v>
      </c>
      <c r="AE1467" s="1055">
        <f t="shared" si="142"/>
        <v>56</v>
      </c>
      <c r="AF1467" s="1055">
        <f t="shared" si="143"/>
        <v>27.1</v>
      </c>
      <c r="AG1467" s="1055">
        <f t="shared" si="144"/>
        <v>1517.6000000000001</v>
      </c>
      <c r="AH1467" s="1055" t="str">
        <f t="shared" si="165"/>
        <v>Крепеж для нижней обвязки</v>
      </c>
      <c r="AI1467" s="1055"/>
      <c r="AJ1467" s="1055"/>
      <c r="AK1467" s="1055"/>
      <c r="AL1467" s="1055" t="str">
        <f t="shared" si="145"/>
        <v>монтаж стен каркаса</v>
      </c>
      <c r="AM1467" s="1055">
        <f t="shared" si="146"/>
        <v>0</v>
      </c>
      <c r="AN1467" s="1055">
        <f t="shared" si="147"/>
        <v>400</v>
      </c>
      <c r="AO1467" s="1055">
        <f t="shared" si="148"/>
        <v>0</v>
      </c>
      <c r="AQ1467" s="1197" t="str">
        <f t="shared" si="149"/>
        <v xml:space="preserve">Болты анкерные с гайкой 12,0 х 280          </v>
      </c>
      <c r="AR1467" s="1199" t="str">
        <f t="shared" si="149"/>
        <v>шт</v>
      </c>
      <c r="AS1467" s="1197">
        <f t="shared" si="149"/>
        <v>56</v>
      </c>
      <c r="AT1467" s="1197">
        <f t="shared" si="149"/>
        <v>27.1</v>
      </c>
      <c r="AU1467" s="1197">
        <f t="shared" si="149"/>
        <v>1517.6000000000001</v>
      </c>
      <c r="AV1467" s="1197" t="str">
        <f t="shared" si="149"/>
        <v>Крепеж для нижней обвязки</v>
      </c>
      <c r="AY1467" s="1197" t="str">
        <f t="shared" si="150"/>
        <v>Крепеж нижней обвязки</v>
      </c>
      <c r="AZ1467" s="1197" t="str">
        <f t="shared" si="151"/>
        <v xml:space="preserve">Болты анкерные с гайкой 12,0 x 100          </v>
      </c>
      <c r="BA1467" s="1199" t="str">
        <f t="shared" si="152"/>
        <v>шт.</v>
      </c>
      <c r="BB1467" s="1197">
        <f t="shared" si="153"/>
        <v>0</v>
      </c>
      <c r="BC1467" s="1197">
        <f t="shared" si="154"/>
        <v>11.2</v>
      </c>
      <c r="BD1467" s="1197">
        <f t="shared" si="155"/>
        <v>0</v>
      </c>
      <c r="BG1467" s="1197" t="str">
        <f t="shared" si="156"/>
        <v>Перекладины для межк дверей, проемов горизонтальные</v>
      </c>
      <c r="BH1467" s="1197" t="str">
        <f t="shared" si="157"/>
        <v>ГПС 120х50-1,5</v>
      </c>
      <c r="BI1467" s="1199" t="str">
        <f t="shared" si="158"/>
        <v>м.п.</v>
      </c>
      <c r="BJ1467" s="1197">
        <f t="shared" si="159"/>
        <v>7.8</v>
      </c>
      <c r="BK1467" s="1197">
        <f t="shared" si="160"/>
        <v>65.882352941176478</v>
      </c>
      <c r="BL1467" s="1197">
        <f t="shared" si="161"/>
        <v>513.88235294117646</v>
      </c>
    </row>
    <row r="1468" spans="1:64" s="1197" customFormat="1" ht="15.75" customHeight="1" outlineLevel="1">
      <c r="A1468" s="1839" t="str">
        <f>'Ввод данных'!A1031</f>
        <v>ГПС 150х50-1,2</v>
      </c>
      <c r="B1468" s="1696" t="s">
        <v>135</v>
      </c>
      <c r="C1468" s="1339">
        <f>(C1450+C1447)*VLOOKUP(A1468,связи1!I459:M488,5,0)*1.1</f>
        <v>0</v>
      </c>
      <c r="D1468" s="1696">
        <f>VLOOKUP(A1468,связи1!I459:J488,2,0)</f>
        <v>201</v>
      </c>
      <c r="E1468" s="1353">
        <f>C1469*D1468</f>
        <v>0</v>
      </c>
      <c r="F1468" s="1055" t="s">
        <v>3704</v>
      </c>
      <c r="G1468" s="1632" t="str">
        <f>'Прайс лист'!B1663</f>
        <v>Монтаж несущих перегородок</v>
      </c>
      <c r="H1468" s="1380"/>
      <c r="L1468" s="1197">
        <f>C1455</f>
        <v>0</v>
      </c>
      <c r="O1468" s="1353">
        <f>'Прайс лист'!G1663</f>
        <v>400</v>
      </c>
      <c r="P1468" s="1353">
        <f t="shared" si="162"/>
        <v>0</v>
      </c>
      <c r="Q1468" s="1902" t="s">
        <v>3705</v>
      </c>
      <c r="R1468" s="1260" t="str">
        <f>VLOOKUP(R1467,связи1!I458:X488,13,0)</f>
        <v>Саморез 5,5 х 25</v>
      </c>
      <c r="S1468" s="1903" t="s">
        <v>799</v>
      </c>
      <c r="T1468" s="1260">
        <f>CEILING((SUM(F366:F373)+SUM(F827:F833))*6,1)</f>
        <v>48</v>
      </c>
      <c r="U1468" s="1260">
        <f>VLOOKUP(R1467,связи1!I458:X488,14,0)</f>
        <v>2.5</v>
      </c>
      <c r="V1468" s="1260">
        <f t="shared" si="163"/>
        <v>120</v>
      </c>
      <c r="W1468" s="1354"/>
      <c r="X1468" s="1898" t="str">
        <f>'Прайс лист'!B1884</f>
        <v>Монтаж обрешетки потолок</v>
      </c>
      <c r="Y1468" s="1899">
        <f>C1458*IF(R1479=связи1!I389,0,1)</f>
        <v>0</v>
      </c>
      <c r="Z1468" s="1900">
        <f>'Прайс лист'!G1884</f>
        <v>100</v>
      </c>
      <c r="AA1468" s="1901">
        <f t="shared" si="164"/>
        <v>0</v>
      </c>
      <c r="AC1468" s="1055" t="str">
        <f t="shared" si="140"/>
        <v>ГПС 150х50-1,2</v>
      </c>
      <c r="AD1468" s="1278" t="str">
        <f t="shared" si="141"/>
        <v>м3</v>
      </c>
      <c r="AE1468" s="1055">
        <f t="shared" si="142"/>
        <v>0</v>
      </c>
      <c r="AF1468" s="1055">
        <f t="shared" si="143"/>
        <v>201</v>
      </c>
      <c r="AG1468" s="1055">
        <f t="shared" si="144"/>
        <v>0</v>
      </c>
      <c r="AH1468" s="1055" t="str">
        <f t="shared" si="165"/>
        <v>Каркас наружние стены</v>
      </c>
      <c r="AI1468" s="1055"/>
      <c r="AJ1468" s="1055"/>
      <c r="AK1468" s="1055"/>
      <c r="AL1468" s="1055" t="str">
        <f t="shared" si="145"/>
        <v>Монтаж несущих перегородок</v>
      </c>
      <c r="AM1468" s="1055">
        <f t="shared" si="146"/>
        <v>0</v>
      </c>
      <c r="AN1468" s="1055">
        <f t="shared" si="147"/>
        <v>400</v>
      </c>
      <c r="AO1468" s="1055">
        <f t="shared" si="148"/>
        <v>0</v>
      </c>
      <c r="AQ1468" s="1197" t="str">
        <f t="shared" si="149"/>
        <v>ГПС 150х50-1,2</v>
      </c>
      <c r="AR1468" s="1199" t="str">
        <f t="shared" si="149"/>
        <v>м3</v>
      </c>
      <c r="AS1468" s="1197">
        <f t="shared" si="149"/>
        <v>0</v>
      </c>
      <c r="AT1468" s="1197">
        <f t="shared" si="149"/>
        <v>201</v>
      </c>
      <c r="AU1468" s="1197">
        <f t="shared" si="149"/>
        <v>0</v>
      </c>
      <c r="AV1468" s="1197" t="str">
        <f t="shared" si="149"/>
        <v>Каркас наружние стены</v>
      </c>
      <c r="AY1468" s="1197" t="str">
        <f t="shared" si="150"/>
        <v>Крепеж для монтажа стоек</v>
      </c>
      <c r="AZ1468" s="1197" t="str">
        <f t="shared" si="151"/>
        <v>Саморез 5,5 х 25</v>
      </c>
      <c r="BA1468" s="1199" t="str">
        <f t="shared" si="152"/>
        <v>шт.</v>
      </c>
      <c r="BB1468" s="1197">
        <f t="shared" si="153"/>
        <v>1644</v>
      </c>
      <c r="BC1468" s="1197">
        <f t="shared" si="154"/>
        <v>2.5</v>
      </c>
      <c r="BD1468" s="1197">
        <f t="shared" si="155"/>
        <v>4110</v>
      </c>
      <c r="BG1468" s="1197" t="str">
        <f t="shared" si="156"/>
        <v>Крепеж для монтажа перекладин межк. Дверей и проемов</v>
      </c>
      <c r="BH1468" s="1197" t="str">
        <f t="shared" si="157"/>
        <v>Саморез 5,5 х 25</v>
      </c>
      <c r="BI1468" s="1199" t="str">
        <f t="shared" si="158"/>
        <v>шт.</v>
      </c>
      <c r="BJ1468" s="1197">
        <f t="shared" si="159"/>
        <v>48</v>
      </c>
      <c r="BK1468" s="1197">
        <f t="shared" si="160"/>
        <v>2.5</v>
      </c>
      <c r="BL1468" s="1197">
        <f t="shared" si="161"/>
        <v>120</v>
      </c>
    </row>
    <row r="1469" spans="1:64" s="1197" customFormat="1" ht="15.75" customHeight="1" outlineLevel="1">
      <c r="A1469" s="1055" t="str">
        <f>'Ввод данных'!A1033</f>
        <v>ГПС 120х50-1,5</v>
      </c>
      <c r="B1469" s="1696" t="s">
        <v>135</v>
      </c>
      <c r="C1469" s="1696">
        <f>(C1451+C1448)*G1425*VLOOKUP(A1469,связи1!I459:M488,5,0)*1.1</f>
        <v>0</v>
      </c>
      <c r="D1469" s="1055">
        <f>VLOOKUP(A1469,связи1!I459:J488,2,0)</f>
        <v>224</v>
      </c>
      <c r="E1469" s="1353">
        <f>C1470*D1469</f>
        <v>0</v>
      </c>
      <c r="F1469" s="1354" t="s">
        <v>3706</v>
      </c>
      <c r="G1469" s="1632" t="str">
        <f>'Прайс лист'!B1664</f>
        <v>Монтаж перегородок</v>
      </c>
      <c r="H1469" s="1380"/>
      <c r="L1469" s="1197">
        <f>C1456</f>
        <v>0</v>
      </c>
      <c r="O1469" s="1353">
        <f>'Прайс лист'!G1664</f>
        <v>400</v>
      </c>
      <c r="P1469" s="1353">
        <f t="shared" si="162"/>
        <v>0</v>
      </c>
      <c r="Q1469" s="1904" t="s">
        <v>2378</v>
      </c>
      <c r="R1469" s="1260" t="str">
        <f>'Ввод данных'!D1032</f>
        <v>нет</v>
      </c>
      <c r="S1469" s="1897" t="s">
        <v>156</v>
      </c>
      <c r="T1469" s="1260">
        <f>CEILING((1/'Ввод данных'!P1032+0.1)*дома!C1453,1)</f>
        <v>0</v>
      </c>
      <c r="U1469" s="1260">
        <f>VLOOKUP(R1469,связи1!I389:P413,4,0)</f>
        <v>0</v>
      </c>
      <c r="V1469" s="1260">
        <f t="shared" si="163"/>
        <v>0</v>
      </c>
      <c r="W1469" s="1354"/>
      <c r="X1469" s="1898" t="str">
        <f>'Прайс лист'!B1885</f>
        <v>Монтаж профлист потолок</v>
      </c>
      <c r="Y1469" s="1899">
        <f>C1458*IF(R1480='Прайс лист'!B536,0,1)</f>
        <v>0</v>
      </c>
      <c r="Z1469" s="1900">
        <f>'Прайс лист'!G1885</f>
        <v>100</v>
      </c>
      <c r="AA1469" s="1901">
        <f t="shared" si="164"/>
        <v>0</v>
      </c>
      <c r="AC1469" s="1055" t="str">
        <f t="shared" si="140"/>
        <v>ГПС 120х50-1,5</v>
      </c>
      <c r="AD1469" s="1278" t="str">
        <f t="shared" si="141"/>
        <v>м3</v>
      </c>
      <c r="AE1469" s="1055">
        <f t="shared" si="142"/>
        <v>0</v>
      </c>
      <c r="AF1469" s="1055">
        <f t="shared" si="143"/>
        <v>224</v>
      </c>
      <c r="AG1469" s="1055">
        <f t="shared" si="144"/>
        <v>0</v>
      </c>
      <c r="AH1469" s="1055" t="str">
        <f t="shared" si="165"/>
        <v>Каркас несущие перегородки</v>
      </c>
      <c r="AI1469" s="1055"/>
      <c r="AJ1469" s="1055"/>
      <c r="AK1469" s="1055"/>
      <c r="AL1469" s="1055" t="str">
        <f t="shared" si="145"/>
        <v>Монтаж перегородок</v>
      </c>
      <c r="AM1469" s="1055">
        <f t="shared" si="146"/>
        <v>0</v>
      </c>
      <c r="AN1469" s="1055">
        <f t="shared" si="147"/>
        <v>400</v>
      </c>
      <c r="AO1469" s="1055">
        <f t="shared" si="148"/>
        <v>0</v>
      </c>
      <c r="AQ1469" s="1197" t="str">
        <f t="shared" si="149"/>
        <v>ГПС 120х50-1,5</v>
      </c>
      <c r="AR1469" s="1199" t="str">
        <f t="shared" si="149"/>
        <v>м3</v>
      </c>
      <c r="AS1469" s="1197">
        <f t="shared" si="149"/>
        <v>0</v>
      </c>
      <c r="AT1469" s="1197">
        <f t="shared" si="149"/>
        <v>224</v>
      </c>
      <c r="AU1469" s="1197">
        <f t="shared" si="149"/>
        <v>0</v>
      </c>
      <c r="AV1469" s="1197" t="str">
        <f t="shared" si="149"/>
        <v>Каркас несущие перегородки</v>
      </c>
      <c r="AY1469" s="1197" t="str">
        <f t="shared" si="150"/>
        <v>Верхняя/нижняя обвязка каркаса несущие перегородки</v>
      </c>
      <c r="AZ1469" s="1197" t="str">
        <f t="shared" si="151"/>
        <v>ГПН 122х35-1,5</v>
      </c>
      <c r="BA1469" s="1199" t="str">
        <f t="shared" si="152"/>
        <v>мп.</v>
      </c>
      <c r="BB1469" s="1197">
        <f t="shared" si="153"/>
        <v>0</v>
      </c>
      <c r="BC1469" s="1197">
        <f t="shared" si="154"/>
        <v>163</v>
      </c>
      <c r="BD1469" s="1197">
        <f t="shared" si="155"/>
        <v>0</v>
      </c>
      <c r="BG1469" s="1197" t="str">
        <f t="shared" si="156"/>
        <v>Обрешетка горизонтальная снаружи здания</v>
      </c>
      <c r="BH1469" s="1197" t="str">
        <f t="shared" si="157"/>
        <v>нет</v>
      </c>
      <c r="BI1469" s="1199" t="str">
        <f t="shared" si="158"/>
        <v>м.п.</v>
      </c>
      <c r="BJ1469" s="1197">
        <f t="shared" si="159"/>
        <v>0</v>
      </c>
      <c r="BK1469" s="1197">
        <f t="shared" si="160"/>
        <v>0</v>
      </c>
      <c r="BL1469" s="1197">
        <f t="shared" si="161"/>
        <v>0</v>
      </c>
    </row>
    <row r="1470" spans="1:64" ht="15.75" customHeight="1" outlineLevel="1">
      <c r="A1470" s="1055" t="str">
        <f>'Ввод данных'!A1035</f>
        <v>ГПС 170х50-2,0</v>
      </c>
      <c r="B1470" s="1696" t="s">
        <v>135</v>
      </c>
      <c r="C1470" s="1339">
        <f>(C1452+C1449)*VLOOKUP(A1470,связи1!I459:M488,5,0)*1.1</f>
        <v>0</v>
      </c>
      <c r="D1470" s="1055">
        <f>VLOOKUP(A1470,связи1!I459:J488,2,0)</f>
        <v>358</v>
      </c>
      <c r="E1470" s="1353">
        <f>C1471*D1470</f>
        <v>35800</v>
      </c>
      <c r="F1470" s="1354" t="s">
        <v>3707</v>
      </c>
      <c r="G1470" s="1632" t="str">
        <f>'Прайс лист'!B1669</f>
        <v>Монтаж вентиляционного зазора</v>
      </c>
      <c r="H1470" s="1632"/>
      <c r="I1470" s="1694"/>
      <c r="J1470" s="1055"/>
      <c r="L1470" s="1353">
        <f>C1453*D1438*I1425</f>
        <v>0</v>
      </c>
      <c r="M1470" s="1353"/>
      <c r="N1470" s="1353"/>
      <c r="O1470" s="1353">
        <f>'Прайс лист'!G1669</f>
        <v>80</v>
      </c>
      <c r="P1470" s="1353">
        <f t="shared" si="162"/>
        <v>0</v>
      </c>
      <c r="Q1470" s="1905" t="s">
        <v>2381</v>
      </c>
      <c r="R1470" s="1260" t="str">
        <f>'Ввод данных'!D1034</f>
        <v>нет</v>
      </c>
      <c r="S1470" s="1897" t="s">
        <v>156</v>
      </c>
      <c r="T1470" s="1260">
        <f>CEILING(1/'Ввод данных'!C1027*дома!C1453,1)</f>
        <v>0</v>
      </c>
      <c r="U1470" s="1260">
        <f>VLOOKUP(R1470,связи1!I389:P413,4,0)</f>
        <v>0</v>
      </c>
      <c r="V1470" s="1260">
        <f t="shared" si="163"/>
        <v>0</v>
      </c>
      <c r="W1470" s="1354"/>
      <c r="X1470" s="1898" t="str">
        <f>'Прайс лист'!B1886</f>
        <v>Монтаж обрешетки пол</v>
      </c>
      <c r="Y1470" s="1899">
        <f>IF(R1483=связи1!I389,0,1)*C1459</f>
        <v>0</v>
      </c>
      <c r="Z1470" s="1900">
        <f>'Прайс лист'!G1886</f>
        <v>100</v>
      </c>
      <c r="AA1470" s="1901">
        <f t="shared" si="164"/>
        <v>0</v>
      </c>
      <c r="AC1470" s="1055" t="str">
        <f t="shared" si="140"/>
        <v>ГПС 170х50-2,0</v>
      </c>
      <c r="AD1470" s="1278" t="str">
        <f t="shared" si="141"/>
        <v>м3</v>
      </c>
      <c r="AE1470" s="1055">
        <f t="shared" si="142"/>
        <v>0</v>
      </c>
      <c r="AF1470" s="1055">
        <f t="shared" si="143"/>
        <v>358</v>
      </c>
      <c r="AG1470" s="1055">
        <f t="shared" si="144"/>
        <v>35800</v>
      </c>
      <c r="AH1470" s="1055" t="str">
        <f t="shared" si="165"/>
        <v>Каркас простые перегородки</v>
      </c>
      <c r="AI1470" s="1055"/>
      <c r="AJ1470" s="1055"/>
      <c r="AK1470" s="1055"/>
      <c r="AL1470" s="1055" t="str">
        <f t="shared" si="145"/>
        <v>Монтаж вентиляционного зазора</v>
      </c>
      <c r="AM1470" s="1055">
        <f t="shared" si="146"/>
        <v>0</v>
      </c>
      <c r="AN1470" s="1055">
        <f t="shared" si="147"/>
        <v>80</v>
      </c>
      <c r="AO1470" s="1055">
        <f t="shared" si="148"/>
        <v>0</v>
      </c>
      <c r="AQ1470" s="1197" t="str">
        <f t="shared" si="149"/>
        <v>ГПС 170х50-2,0</v>
      </c>
      <c r="AR1470" s="1199" t="str">
        <f t="shared" si="149"/>
        <v>м3</v>
      </c>
      <c r="AS1470" s="1197">
        <f t="shared" si="149"/>
        <v>0</v>
      </c>
      <c r="AT1470" s="1197">
        <f t="shared" si="149"/>
        <v>358</v>
      </c>
      <c r="AU1470" s="1197">
        <f t="shared" si="149"/>
        <v>35800</v>
      </c>
      <c r="AV1470" s="1197" t="str">
        <f t="shared" si="149"/>
        <v>Каркас простые перегородки</v>
      </c>
      <c r="AY1470" s="1197" t="str">
        <f t="shared" si="150"/>
        <v>Крепеж нижней обвязки</v>
      </c>
      <c r="AZ1470" s="1197" t="str">
        <f t="shared" si="151"/>
        <v xml:space="preserve">Болты анкерные с гайкой 12,0 x 100          </v>
      </c>
      <c r="BA1470" s="1199" t="str">
        <f t="shared" si="152"/>
        <v>шт.</v>
      </c>
      <c r="BB1470" s="1197">
        <f t="shared" si="153"/>
        <v>0</v>
      </c>
      <c r="BC1470" s="1197">
        <f t="shared" si="154"/>
        <v>11.2</v>
      </c>
      <c r="BD1470" s="1197">
        <f t="shared" si="155"/>
        <v>0</v>
      </c>
      <c r="BG1470" s="1197" t="str">
        <f t="shared" si="156"/>
        <v>Обрешетка вертикальная снаружи здания</v>
      </c>
      <c r="BH1470" s="1197" t="str">
        <f t="shared" si="157"/>
        <v>нет</v>
      </c>
      <c r="BI1470" s="1199" t="str">
        <f t="shared" si="158"/>
        <v>м.п.</v>
      </c>
      <c r="BJ1470" s="1197">
        <f t="shared" si="159"/>
        <v>0</v>
      </c>
      <c r="BK1470" s="1197">
        <f t="shared" si="160"/>
        <v>0</v>
      </c>
      <c r="BL1470" s="1197">
        <f t="shared" si="161"/>
        <v>0</v>
      </c>
    </row>
    <row r="1471" spans="1:64" ht="15.75" customHeight="1" outlineLevel="1">
      <c r="A1471" s="1839" t="str">
        <f>'Ввод данных'!A1047</f>
        <v>Лист ГВЛВ 2500х1200х10 мм</v>
      </c>
      <c r="B1471" s="1696" t="s">
        <v>133</v>
      </c>
      <c r="C1471" s="1696">
        <f>C1459*G1425*D1437</f>
        <v>100</v>
      </c>
      <c r="D1471" s="1696">
        <f>VLOOKUP(A1471,'Прайс лист'!B1027:G1078,6,0)</f>
        <v>150</v>
      </c>
      <c r="E1471" s="1353">
        <f t="shared" ref="E1471:E1486" si="166">C1471*D1471</f>
        <v>15000</v>
      </c>
      <c r="F1471" s="1354" t="s">
        <v>2387</v>
      </c>
      <c r="G1471" s="1632" t="str">
        <f>'Прайс лист'!B1670</f>
        <v>Монтаж технологического зазора</v>
      </c>
      <c r="H1471" s="1632"/>
      <c r="I1471" s="1694"/>
      <c r="J1471" s="1055"/>
      <c r="L1471" s="1353">
        <f>C1453*D1439*I1425</f>
        <v>0</v>
      </c>
      <c r="M1471" s="1353"/>
      <c r="N1471" s="1353"/>
      <c r="O1471" s="1353">
        <f>'Прайс лист'!G1670</f>
        <v>80</v>
      </c>
      <c r="P1471" s="1353">
        <f t="shared" si="162"/>
        <v>0</v>
      </c>
      <c r="Q1471" s="1260" t="s">
        <v>3708</v>
      </c>
      <c r="R1471" s="1260">
        <f>VLOOKUP(R1469,связи1!I389:P413,7,0)</f>
        <v>0</v>
      </c>
      <c r="S1471" s="1903" t="s">
        <v>799</v>
      </c>
      <c r="T1471" s="1260">
        <f>CEILING(T1469*'Ввод данных'!C1027*2,1)</f>
        <v>0</v>
      </c>
      <c r="U1471" s="1260">
        <f>VLOOKUP(R1469,связи1!I389:P413,8,0)</f>
        <v>0</v>
      </c>
      <c r="V1471" s="1260">
        <f t="shared" si="163"/>
        <v>0</v>
      </c>
      <c r="W1471" s="1354"/>
      <c r="X1471" s="1898" t="str">
        <f>'Прайс лист'!B1887</f>
        <v>Монтаж профлист пол</v>
      </c>
      <c r="Y1471" s="1899">
        <f>C1459*IF(R1484='Прайс лист'!B536,0,1)</f>
        <v>0</v>
      </c>
      <c r="Z1471" s="1900">
        <f>'Прайс лист'!G1887</f>
        <v>100</v>
      </c>
      <c r="AA1471" s="1901">
        <f t="shared" si="164"/>
        <v>0</v>
      </c>
      <c r="AC1471" s="1055" t="str">
        <f t="shared" si="140"/>
        <v>Лист ГВЛВ 2500х1200х10 мм</v>
      </c>
      <c r="AD1471" s="1278" t="str">
        <f t="shared" si="141"/>
        <v>м2</v>
      </c>
      <c r="AE1471" s="1055">
        <f t="shared" si="142"/>
        <v>100</v>
      </c>
      <c r="AF1471" s="1055">
        <f t="shared" si="143"/>
        <v>150</v>
      </c>
      <c r="AG1471" s="1055">
        <f t="shared" si="144"/>
        <v>15000</v>
      </c>
      <c r="AH1471" s="1055" t="str">
        <f t="shared" si="165"/>
        <v>Половое покрытие</v>
      </c>
      <c r="AI1471" s="1055"/>
      <c r="AJ1471" s="1055"/>
      <c r="AK1471" s="1055"/>
      <c r="AL1471" s="1055" t="str">
        <f t="shared" si="145"/>
        <v>Монтаж технологического зазора</v>
      </c>
      <c r="AM1471" s="1055">
        <f t="shared" si="146"/>
        <v>0</v>
      </c>
      <c r="AN1471" s="1055">
        <f t="shared" si="147"/>
        <v>80</v>
      </c>
      <c r="AO1471" s="1055">
        <f t="shared" si="148"/>
        <v>0</v>
      </c>
      <c r="AQ1471" s="1197" t="str">
        <f t="shared" si="149"/>
        <v>Лист ГВЛВ 2500х1200х10 мм</v>
      </c>
      <c r="AR1471" s="1199" t="str">
        <f t="shared" si="149"/>
        <v>м2</v>
      </c>
      <c r="AS1471" s="1197">
        <f t="shared" si="149"/>
        <v>100</v>
      </c>
      <c r="AT1471" s="1197">
        <f t="shared" si="149"/>
        <v>150</v>
      </c>
      <c r="AU1471" s="1197">
        <f t="shared" si="149"/>
        <v>15000</v>
      </c>
      <c r="AV1471" s="1197" t="str">
        <f t="shared" si="149"/>
        <v>Половое покрытие</v>
      </c>
      <c r="AY1471" s="1197" t="str">
        <f t="shared" si="150"/>
        <v>Крепеж для монтажа стоек</v>
      </c>
      <c r="AZ1471" s="1197" t="str">
        <f t="shared" si="151"/>
        <v>Саморез 5,5 х 25</v>
      </c>
      <c r="BA1471" s="1199" t="str">
        <f t="shared" si="152"/>
        <v>шт.</v>
      </c>
      <c r="BB1471" s="1197">
        <f t="shared" si="153"/>
        <v>12</v>
      </c>
      <c r="BC1471" s="1197">
        <f t="shared" si="154"/>
        <v>2.5</v>
      </c>
      <c r="BD1471" s="1197">
        <f t="shared" si="155"/>
        <v>30</v>
      </c>
      <c r="BG1471" s="1197" t="str">
        <f t="shared" si="156"/>
        <v>Крепеж для горизонтальной обрешетки</v>
      </c>
      <c r="BH1471" s="1197">
        <f t="shared" si="157"/>
        <v>0</v>
      </c>
      <c r="BI1471" s="1199" t="str">
        <f t="shared" si="158"/>
        <v>шт.</v>
      </c>
      <c r="BJ1471" s="1197">
        <f t="shared" si="159"/>
        <v>0</v>
      </c>
      <c r="BK1471" s="1197">
        <f t="shared" si="160"/>
        <v>0</v>
      </c>
      <c r="BL1471" s="1197">
        <f t="shared" si="161"/>
        <v>0</v>
      </c>
    </row>
    <row r="1472" spans="1:64" ht="15.75" customHeight="1" outlineLevel="1">
      <c r="A1472" s="1839" t="str">
        <f>'Ввод данных'!A1051</f>
        <v>нет</v>
      </c>
      <c r="B1472" s="1696" t="s">
        <v>156</v>
      </c>
      <c r="C1472" s="1696">
        <f>C1450*G1425+C1450*G1425</f>
        <v>0</v>
      </c>
      <c r="D1472" s="1696">
        <f>VLOOKUP(A1472,связи1!A418:D421,4,0)</f>
        <v>0</v>
      </c>
      <c r="E1472" s="1353">
        <f t="shared" si="166"/>
        <v>0</v>
      </c>
      <c r="F1472" s="1354"/>
      <c r="G1472" s="1632" t="str">
        <f>'Прайс лист'!B1673</f>
        <v>монтаж ветроизоляции стен</v>
      </c>
      <c r="H1472" s="1632"/>
      <c r="I1472" s="1694"/>
      <c r="J1472" s="1055"/>
      <c r="L1472" s="1353">
        <f>C1453*D1440*I1425</f>
        <v>0</v>
      </c>
      <c r="M1472" s="1353"/>
      <c r="N1472" s="1353"/>
      <c r="O1472" s="1353">
        <f>'Прайс лист'!G1673</f>
        <v>100</v>
      </c>
      <c r="P1472" s="1353">
        <f t="shared" si="162"/>
        <v>0</v>
      </c>
      <c r="Q1472" s="1260" t="s">
        <v>3709</v>
      </c>
      <c r="R1472" s="1260">
        <f>VLOOKUP(R1470,связи1!I389:P413,7,0)</f>
        <v>0</v>
      </c>
      <c r="S1472" s="1903" t="s">
        <v>799</v>
      </c>
      <c r="T1472" s="1260">
        <f>CEILING(T1470/0.5,1)</f>
        <v>0</v>
      </c>
      <c r="U1472" s="1260">
        <f>VLOOKUP(R1470,связи1!I389:P413,8,0)</f>
        <v>0</v>
      </c>
      <c r="V1472" s="1260">
        <f t="shared" si="163"/>
        <v>0</v>
      </c>
      <c r="W1472" s="1354"/>
      <c r="X1472" s="1906" t="str">
        <f>'Прайс лист'!B1667</f>
        <v>монтаж osb/фанера пол</v>
      </c>
      <c r="Y1472" s="1907">
        <f>C1459*D1437*I1425*IF(A1471='Прайс лист'!B1027,0,1)</f>
        <v>100</v>
      </c>
      <c r="Z1472" s="1908">
        <f>'Прайс лист'!G1667</f>
        <v>200</v>
      </c>
      <c r="AA1472" s="1909">
        <f>Y1621*Z1621</f>
        <v>0</v>
      </c>
      <c r="AC1472" s="1055" t="str">
        <f t="shared" si="140"/>
        <v>нет</v>
      </c>
      <c r="AD1472" s="1278" t="str">
        <f t="shared" si="141"/>
        <v>м.п.</v>
      </c>
      <c r="AE1472" s="1055">
        <f t="shared" si="142"/>
        <v>0</v>
      </c>
      <c r="AF1472" s="1055">
        <f t="shared" si="143"/>
        <v>0</v>
      </c>
      <c r="AG1472" s="1055">
        <f t="shared" si="144"/>
        <v>0</v>
      </c>
      <c r="AH1472" s="1055"/>
      <c r="AI1472" s="1055"/>
      <c r="AJ1472" s="1055"/>
      <c r="AK1472" s="1055"/>
      <c r="AL1472" s="1055" t="str">
        <f t="shared" si="145"/>
        <v>монтаж ветроизоляции стен</v>
      </c>
      <c r="AM1472" s="1055">
        <f t="shared" si="146"/>
        <v>0</v>
      </c>
      <c r="AN1472" s="1055">
        <f t="shared" si="147"/>
        <v>100</v>
      </c>
      <c r="AO1472" s="1055">
        <f t="shared" si="148"/>
        <v>0</v>
      </c>
      <c r="AQ1472" s="1197" t="str">
        <f t="shared" ref="AQ1472:AQ1483" si="167">AC1472</f>
        <v>нет</v>
      </c>
      <c r="AR1472" s="1199" t="str">
        <f t="shared" ref="AR1472:AR1483" si="168">AD1472</f>
        <v>м.п.</v>
      </c>
      <c r="AS1472" s="1197">
        <f t="shared" ref="AS1472:AS1483" si="169">AE1472</f>
        <v>0</v>
      </c>
      <c r="AT1472" s="1197">
        <f t="shared" ref="AT1472:AT1483" si="170">AF1472</f>
        <v>0</v>
      </c>
      <c r="AU1472" s="1197">
        <f t="shared" ref="AU1472:AU1483" si="171">AG1472</f>
        <v>0</v>
      </c>
      <c r="AY1472" s="1197" t="str">
        <f t="shared" si="150"/>
        <v>Верхняя/нижняя обвязка каркаса простые перегородки</v>
      </c>
      <c r="AZ1472" s="1197" t="str">
        <f t="shared" si="151"/>
        <v>ГПН 172х35-2,0</v>
      </c>
      <c r="BA1472" s="1199" t="str">
        <f t="shared" si="152"/>
        <v>мп.</v>
      </c>
      <c r="BB1472" s="1197">
        <f t="shared" si="153"/>
        <v>0</v>
      </c>
      <c r="BC1472" s="1197">
        <f t="shared" si="154"/>
        <v>274</v>
      </c>
      <c r="BD1472" s="1197">
        <f t="shared" si="155"/>
        <v>0</v>
      </c>
      <c r="BG1472" s="1197" t="str">
        <f t="shared" si="156"/>
        <v>Крепеж для вертикальной обрешетки</v>
      </c>
      <c r="BH1472" s="1197">
        <f t="shared" si="157"/>
        <v>0</v>
      </c>
      <c r="BI1472" s="1199" t="str">
        <f t="shared" si="158"/>
        <v>шт.</v>
      </c>
      <c r="BJ1472" s="1197">
        <f t="shared" si="159"/>
        <v>0</v>
      </c>
      <c r="BK1472" s="1197">
        <f t="shared" si="160"/>
        <v>0</v>
      </c>
      <c r="BL1472" s="1197">
        <f t="shared" si="161"/>
        <v>0</v>
      </c>
    </row>
    <row r="1473" spans="1:64" ht="15.75" customHeight="1" outlineLevel="1">
      <c r="A1473" s="1839" t="str">
        <f>'Ввод данных'!A1037</f>
        <v>Нет</v>
      </c>
      <c r="B1473" s="1696" t="s">
        <v>135</v>
      </c>
      <c r="C1473" s="1696">
        <f>C1453*G1425*VLOOKUP(A1473,'Прайс лист'!B744:G783,3,0)</f>
        <v>0</v>
      </c>
      <c r="D1473" s="1696">
        <f>VLOOKUP(A1473,'Прайс лист'!B744:G783,6,0)</f>
        <v>0</v>
      </c>
      <c r="E1473" s="1353">
        <f t="shared" si="166"/>
        <v>0</v>
      </c>
      <c r="F1473" s="1354" t="s">
        <v>2234</v>
      </c>
      <c r="G1473" s="1632" t="str">
        <f>'Прайс лист'!B1674</f>
        <v>монтаж пароизоляции стен</v>
      </c>
      <c r="H1473" s="1632"/>
      <c r="I1473" s="1694"/>
      <c r="J1473" s="1055"/>
      <c r="L1473" s="1353">
        <f>C1453*D1441*I1425</f>
        <v>0</v>
      </c>
      <c r="M1473" s="1353"/>
      <c r="N1473" s="1353"/>
      <c r="O1473" s="1353">
        <f>'Прайс лист'!G1674</f>
        <v>100</v>
      </c>
      <c r="P1473" s="1353">
        <f t="shared" si="162"/>
        <v>0</v>
      </c>
      <c r="Q1473" s="1910" t="s">
        <v>2382</v>
      </c>
      <c r="R1473" s="1260" t="str">
        <f>'Ввод данных'!D1036</f>
        <v>нет</v>
      </c>
      <c r="S1473" s="1911" t="s">
        <v>133</v>
      </c>
      <c r="T1473" s="1260">
        <f>CEILING(C1454*G1425*D1434*1.1,1)</f>
        <v>0</v>
      </c>
      <c r="U1473" s="1260">
        <f>VLOOKUP(R1473,'Прайс лист'!B1027:G1078,6,0)</f>
        <v>0</v>
      </c>
      <c r="V1473" s="1260">
        <f t="shared" si="163"/>
        <v>0</v>
      </c>
      <c r="W1473" s="1354"/>
      <c r="X1473" s="1354"/>
      <c r="Y1473" s="1354"/>
      <c r="AC1473" s="1055" t="str">
        <f t="shared" si="140"/>
        <v>Нет</v>
      </c>
      <c r="AD1473" s="1278" t="str">
        <f t="shared" si="141"/>
        <v>м3</v>
      </c>
      <c r="AE1473" s="1055">
        <f t="shared" si="142"/>
        <v>0</v>
      </c>
      <c r="AF1473" s="1055">
        <f t="shared" si="143"/>
        <v>0</v>
      </c>
      <c r="AG1473" s="1055">
        <f t="shared" si="144"/>
        <v>0</v>
      </c>
      <c r="AH1473" s="1055" t="str">
        <f>F1473</f>
        <v>Утепление наружних стен</v>
      </c>
      <c r="AI1473" s="1055"/>
      <c r="AJ1473" s="1055"/>
      <c r="AK1473" s="1055"/>
      <c r="AL1473" s="1055" t="str">
        <f t="shared" si="145"/>
        <v>монтаж пароизоляции стен</v>
      </c>
      <c r="AM1473" s="1055">
        <f t="shared" si="146"/>
        <v>0</v>
      </c>
      <c r="AN1473" s="1055">
        <f t="shared" si="147"/>
        <v>100</v>
      </c>
      <c r="AO1473" s="1055">
        <f t="shared" si="148"/>
        <v>0</v>
      </c>
      <c r="AQ1473" s="1197" t="str">
        <f t="shared" si="167"/>
        <v>Нет</v>
      </c>
      <c r="AR1473" s="1199" t="str">
        <f t="shared" si="168"/>
        <v>м3</v>
      </c>
      <c r="AS1473" s="1197">
        <f t="shared" si="169"/>
        <v>0</v>
      </c>
      <c r="AT1473" s="1197">
        <f t="shared" si="170"/>
        <v>0</v>
      </c>
      <c r="AU1473" s="1197">
        <f t="shared" si="171"/>
        <v>0</v>
      </c>
      <c r="AV1473" s="1197" t="str">
        <f>AH1473</f>
        <v>Утепление наружних стен</v>
      </c>
      <c r="AY1473" s="1197" t="str">
        <f t="shared" si="150"/>
        <v>Крепеж нижней обвязки</v>
      </c>
      <c r="AZ1473" s="1197" t="str">
        <f t="shared" si="151"/>
        <v xml:space="preserve">Болты анкерные с гайкой 12,0 x 100          </v>
      </c>
      <c r="BA1473" s="1199" t="str">
        <f t="shared" si="152"/>
        <v>шт.</v>
      </c>
      <c r="BB1473" s="1197">
        <f t="shared" si="153"/>
        <v>0</v>
      </c>
      <c r="BC1473" s="1197">
        <f t="shared" si="154"/>
        <v>11.2</v>
      </c>
      <c r="BD1473" s="1197">
        <f t="shared" si="155"/>
        <v>0</v>
      </c>
      <c r="BG1473" s="1197" t="str">
        <f t="shared" si="156"/>
        <v>Отделка стен снаружи здания</v>
      </c>
      <c r="BH1473" s="1197" t="str">
        <f t="shared" si="157"/>
        <v>нет</v>
      </c>
      <c r="BI1473" s="1199" t="str">
        <f t="shared" si="158"/>
        <v>м2</v>
      </c>
      <c r="BJ1473" s="1197">
        <f t="shared" si="159"/>
        <v>0</v>
      </c>
      <c r="BK1473" s="1197">
        <f t="shared" si="160"/>
        <v>0</v>
      </c>
      <c r="BL1473" s="1197">
        <f t="shared" si="161"/>
        <v>0</v>
      </c>
    </row>
    <row r="1474" spans="1:64" ht="15.75" customHeight="1" outlineLevel="1">
      <c r="A1474" s="1839" t="str">
        <f>'Ввод данных'!A1039</f>
        <v>Нет</v>
      </c>
      <c r="B1474" s="1696" t="s">
        <v>135</v>
      </c>
      <c r="C1474" s="1696">
        <f>C1457*G1425*VLOOKUP(A1474,'Прайс лист'!B744:G783,3,0)</f>
        <v>0</v>
      </c>
      <c r="D1474" s="1696">
        <f>VLOOKUP(A1474,'Прайс лист'!B744:G783,6,0)</f>
        <v>0</v>
      </c>
      <c r="E1474" s="1353">
        <f t="shared" si="166"/>
        <v>0</v>
      </c>
      <c r="F1474" s="1354" t="s">
        <v>2384</v>
      </c>
      <c r="G1474" s="1279" t="str">
        <f>'Прайс лист'!B1665</f>
        <v>монтаж osb/фанера наруж стены</v>
      </c>
      <c r="H1474" s="1279"/>
      <c r="I1474" s="1055"/>
      <c r="J1474" s="1055"/>
      <c r="L1474" s="1055">
        <f>C1454*I1425*D1434</f>
        <v>0</v>
      </c>
      <c r="M1474" s="1055"/>
      <c r="N1474" s="1055"/>
      <c r="O1474" s="1353">
        <f>'Прайс лист'!G1665</f>
        <v>200</v>
      </c>
      <c r="P1474" s="1353">
        <f t="shared" si="162"/>
        <v>0</v>
      </c>
      <c r="Q1474" s="1902" t="s">
        <v>3710</v>
      </c>
      <c r="R1474" s="1260" t="str">
        <f>'Прайс лист'!B876</f>
        <v xml:space="preserve">Саморезы 3,5 x 25            </v>
      </c>
      <c r="S1474" s="1903" t="s">
        <v>799</v>
      </c>
      <c r="T1474" s="1260">
        <f>CEILING(C1453*10*IF(R1473='Прайс лист'!B1471,0,1),1)</f>
        <v>0</v>
      </c>
      <c r="U1474" s="1260">
        <f>'Прайс лист'!F876</f>
        <v>0.2</v>
      </c>
      <c r="V1474" s="1260">
        <f t="shared" si="163"/>
        <v>0</v>
      </c>
      <c r="W1474" s="1354"/>
      <c r="X1474" s="1354"/>
      <c r="Y1474" s="1354"/>
      <c r="AC1474" s="1055" t="str">
        <f t="shared" si="140"/>
        <v>Нет</v>
      </c>
      <c r="AD1474" s="1278" t="str">
        <f t="shared" si="141"/>
        <v>м3</v>
      </c>
      <c r="AE1474" s="1055">
        <f t="shared" si="142"/>
        <v>0</v>
      </c>
      <c r="AF1474" s="1055">
        <f t="shared" si="143"/>
        <v>0</v>
      </c>
      <c r="AG1474" s="1055">
        <f t="shared" si="144"/>
        <v>0</v>
      </c>
      <c r="AH1474" s="1055" t="str">
        <f>F1474</f>
        <v>Утепление перегородок</v>
      </c>
      <c r="AI1474" s="1055"/>
      <c r="AJ1474" s="1055"/>
      <c r="AK1474" s="1055"/>
      <c r="AL1474" s="1055" t="str">
        <f t="shared" si="145"/>
        <v>монтаж osb/фанера наруж стены</v>
      </c>
      <c r="AM1474" s="1055">
        <f t="shared" si="146"/>
        <v>0</v>
      </c>
      <c r="AN1474" s="1055">
        <f t="shared" si="147"/>
        <v>200</v>
      </c>
      <c r="AO1474" s="1055">
        <f t="shared" si="148"/>
        <v>0</v>
      </c>
      <c r="AQ1474" s="1197" t="str">
        <f t="shared" si="167"/>
        <v>Нет</v>
      </c>
      <c r="AR1474" s="1199" t="str">
        <f t="shared" si="168"/>
        <v>м3</v>
      </c>
      <c r="AS1474" s="1197">
        <f t="shared" si="169"/>
        <v>0</v>
      </c>
      <c r="AT1474" s="1197">
        <f t="shared" si="170"/>
        <v>0</v>
      </c>
      <c r="AU1474" s="1197">
        <f t="shared" si="171"/>
        <v>0</v>
      </c>
      <c r="AV1474" s="1197" t="str">
        <f>AH1474</f>
        <v>Утепление перегородок</v>
      </c>
      <c r="AY1474" s="1197" t="str">
        <f t="shared" si="150"/>
        <v>Крепеж для монтажа стоек</v>
      </c>
      <c r="AZ1474" s="1197" t="str">
        <f t="shared" si="151"/>
        <v>Саморез 5,5 х 25</v>
      </c>
      <c r="BA1474" s="1199" t="str">
        <f t="shared" si="152"/>
        <v>шт.</v>
      </c>
      <c r="BB1474" s="1197">
        <f t="shared" si="153"/>
        <v>0</v>
      </c>
      <c r="BC1474" s="1197">
        <f t="shared" si="154"/>
        <v>2.5</v>
      </c>
      <c r="BD1474" s="1197">
        <f t="shared" si="155"/>
        <v>0</v>
      </c>
      <c r="BG1474" s="1197" t="str">
        <f t="shared" si="156"/>
        <v>Крепеж для внешней отделки здания</v>
      </c>
      <c r="BH1474" s="1197" t="str">
        <f t="shared" si="157"/>
        <v xml:space="preserve">Саморезы 3,5 x 25            </v>
      </c>
      <c r="BI1474" s="1199" t="str">
        <f t="shared" si="158"/>
        <v>шт.</v>
      </c>
      <c r="BJ1474" s="1197">
        <f t="shared" si="159"/>
        <v>0</v>
      </c>
      <c r="BK1474" s="1197">
        <f t="shared" si="160"/>
        <v>0.2</v>
      </c>
      <c r="BL1474" s="1197">
        <f t="shared" si="161"/>
        <v>0</v>
      </c>
    </row>
    <row r="1475" spans="1:64" ht="15.75" customHeight="1" outlineLevel="1">
      <c r="A1475" s="1839" t="str">
        <f>'Ввод данных'!A1041</f>
        <v>нет</v>
      </c>
      <c r="B1475" s="1696" t="s">
        <v>133</v>
      </c>
      <c r="C1475" s="1696">
        <f>C1454*G1425*D1434</f>
        <v>0</v>
      </c>
      <c r="D1475" s="1696">
        <f>VLOOKUP(A1475,'Прайс лист'!B1027:G1078,6,0)</f>
        <v>0</v>
      </c>
      <c r="E1475" s="1353">
        <f t="shared" si="166"/>
        <v>0</v>
      </c>
      <c r="F1475" s="1354"/>
      <c r="G1475" s="1279" t="str">
        <f>'Прайс лист'!B1668</f>
        <v>монтаж osb/фанера потолок</v>
      </c>
      <c r="H1475" s="1279"/>
      <c r="I1475" s="1278"/>
      <c r="J1475" s="1055"/>
      <c r="L1475" s="1055">
        <f>C1458*I1425*D1436</f>
        <v>0</v>
      </c>
      <c r="M1475" s="1055"/>
      <c r="N1475" s="1055"/>
      <c r="O1475" s="1353">
        <f>'Прайс лист'!G1668</f>
        <v>200</v>
      </c>
      <c r="P1475" s="1353">
        <f t="shared" si="162"/>
        <v>0</v>
      </c>
      <c r="Q1475" s="1905" t="s">
        <v>2383</v>
      </c>
      <c r="R1475" s="1260" t="str">
        <f>'Ввод данных'!D1038</f>
        <v>нет</v>
      </c>
      <c r="S1475" s="1897" t="s">
        <v>156</v>
      </c>
      <c r="T1475" s="1260">
        <f>CEILING(C1450*G1425+C1450*G1425,1)</f>
        <v>0</v>
      </c>
      <c r="U1475" s="1260">
        <f>VLOOKUP(R1475,связи1!I389:P413,4,0)</f>
        <v>0</v>
      </c>
      <c r="V1475" s="1260">
        <f t="shared" si="163"/>
        <v>0</v>
      </c>
      <c r="W1475" s="1354"/>
      <c r="X1475" s="1354"/>
      <c r="Y1475" s="1354"/>
      <c r="AC1475" s="1055" t="str">
        <f t="shared" si="140"/>
        <v>нет</v>
      </c>
      <c r="AD1475" s="1278" t="str">
        <f t="shared" si="141"/>
        <v>м2</v>
      </c>
      <c r="AE1475" s="1055">
        <f t="shared" si="142"/>
        <v>0</v>
      </c>
      <c r="AF1475" s="1055">
        <f t="shared" si="143"/>
        <v>0</v>
      </c>
      <c r="AG1475" s="1055">
        <f t="shared" si="144"/>
        <v>0</v>
      </c>
      <c r="AH1475" s="1055"/>
      <c r="AI1475" s="1055"/>
      <c r="AJ1475" s="1055"/>
      <c r="AK1475" s="1055"/>
      <c r="AL1475" s="1055" t="str">
        <f t="shared" si="145"/>
        <v>монтаж osb/фанера потолок</v>
      </c>
      <c r="AM1475" s="1055">
        <f t="shared" si="146"/>
        <v>0</v>
      </c>
      <c r="AN1475" s="1055">
        <f t="shared" si="147"/>
        <v>200</v>
      </c>
      <c r="AO1475" s="1055">
        <f t="shared" si="148"/>
        <v>0</v>
      </c>
      <c r="AQ1475" s="1197" t="str">
        <f t="shared" si="167"/>
        <v>нет</v>
      </c>
      <c r="AR1475" s="1199" t="str">
        <f t="shared" si="168"/>
        <v>м2</v>
      </c>
      <c r="AS1475" s="1197">
        <f t="shared" si="169"/>
        <v>0</v>
      </c>
      <c r="AT1475" s="1197">
        <f t="shared" si="170"/>
        <v>0</v>
      </c>
      <c r="AU1475" s="1197">
        <f t="shared" si="171"/>
        <v>0</v>
      </c>
      <c r="AY1475" s="1197" t="str">
        <f t="shared" si="150"/>
        <v>Перекладины для окон/дверей горизонтальные</v>
      </c>
      <c r="AZ1475" s="1197" t="str">
        <f t="shared" si="151"/>
        <v>ГПС 150х50-1,2</v>
      </c>
      <c r="BA1475" s="1199" t="str">
        <f t="shared" si="152"/>
        <v>мп.</v>
      </c>
      <c r="BB1475" s="1197">
        <f t="shared" si="153"/>
        <v>14</v>
      </c>
      <c r="BC1475" s="1197">
        <f t="shared" si="154"/>
        <v>63.009404388714735</v>
      </c>
      <c r="BD1475" s="1197">
        <f t="shared" si="155"/>
        <v>882.13166144200625</v>
      </c>
      <c r="BG1475" s="1197" t="str">
        <f t="shared" si="156"/>
        <v>Обрешетка вертикальная внутри наружние стены</v>
      </c>
      <c r="BH1475" s="1197" t="str">
        <f t="shared" si="157"/>
        <v>нет</v>
      </c>
      <c r="BI1475" s="1199" t="str">
        <f t="shared" si="158"/>
        <v>м.п.</v>
      </c>
      <c r="BJ1475" s="1197">
        <f t="shared" si="159"/>
        <v>0</v>
      </c>
      <c r="BK1475" s="1197">
        <f t="shared" si="160"/>
        <v>0</v>
      </c>
      <c r="BL1475" s="1197">
        <f t="shared" si="161"/>
        <v>0</v>
      </c>
    </row>
    <row r="1476" spans="1:64" ht="15.75" customHeight="1" outlineLevel="1">
      <c r="A1476" s="1839" t="str">
        <f>'Ввод данных'!A1045</f>
        <v>нет</v>
      </c>
      <c r="B1476" s="1696" t="s">
        <v>133</v>
      </c>
      <c r="C1476" s="1696">
        <f>C1436*D1436*G1425</f>
        <v>0</v>
      </c>
      <c r="D1476" s="1696">
        <f>VLOOKUP(A1476,'Прайс лист'!B1027:G1078,6,0)</f>
        <v>0</v>
      </c>
      <c r="E1476" s="1353">
        <f t="shared" si="166"/>
        <v>0</v>
      </c>
      <c r="F1476" s="1354" t="s">
        <v>3711</v>
      </c>
      <c r="G1476" s="1353" t="str">
        <f>'Прайс лист'!B1666</f>
        <v>монтаж osb/фанера перегородки</v>
      </c>
      <c r="H1476" s="1353"/>
      <c r="I1476" s="1694"/>
      <c r="J1476" s="1055"/>
      <c r="L1476" s="1353">
        <f>C1457*2*I1425*D1435</f>
        <v>0</v>
      </c>
      <c r="M1476" s="1353"/>
      <c r="N1476" s="1353"/>
      <c r="O1476" s="1055">
        <f>'Прайс лист'!G1666</f>
        <v>200</v>
      </c>
      <c r="P1476" s="1353">
        <f t="shared" si="162"/>
        <v>0</v>
      </c>
      <c r="Q1476" s="1902" t="s">
        <v>3709</v>
      </c>
      <c r="R1476" s="1260">
        <f>VLOOKUP(R1475,связи1!I389:P413,7,0)</f>
        <v>0</v>
      </c>
      <c r="S1476" s="1903" t="s">
        <v>799</v>
      </c>
      <c r="T1476" s="1260">
        <f>CEILING(T1475/0.5,1)</f>
        <v>0</v>
      </c>
      <c r="U1476" s="1260">
        <f>VLOOKUP(R1475,связи1!I389:P413,8,0)</f>
        <v>0</v>
      </c>
      <c r="V1476" s="1260">
        <f t="shared" si="163"/>
        <v>0</v>
      </c>
      <c r="W1476" s="1354"/>
      <c r="X1476" s="1354"/>
      <c r="Y1476" s="1354"/>
      <c r="AC1476" s="1055" t="str">
        <f t="shared" si="140"/>
        <v>нет</v>
      </c>
      <c r="AD1476" s="1278" t="str">
        <f t="shared" si="141"/>
        <v>м2</v>
      </c>
      <c r="AE1476" s="1055">
        <f t="shared" si="142"/>
        <v>0</v>
      </c>
      <c r="AF1476" s="1055">
        <f t="shared" si="143"/>
        <v>0</v>
      </c>
      <c r="AG1476" s="1055">
        <f t="shared" si="144"/>
        <v>0</v>
      </c>
      <c r="AH1476" s="1055" t="str">
        <f>F1476</f>
        <v>Отделка потолок</v>
      </c>
      <c r="AI1476" s="1055"/>
      <c r="AJ1476" s="1055"/>
      <c r="AK1476" s="1055"/>
      <c r="AL1476" s="1055" t="str">
        <f t="shared" si="145"/>
        <v>монтаж osb/фанера перегородки</v>
      </c>
      <c r="AM1476" s="1055">
        <f t="shared" si="146"/>
        <v>0</v>
      </c>
      <c r="AN1476" s="1055">
        <f t="shared" si="147"/>
        <v>200</v>
      </c>
      <c r="AO1476" s="1055">
        <f t="shared" si="148"/>
        <v>0</v>
      </c>
      <c r="AQ1476" s="1197" t="str">
        <f t="shared" si="167"/>
        <v>нет</v>
      </c>
      <c r="AR1476" s="1199" t="str">
        <f t="shared" si="168"/>
        <v>м2</v>
      </c>
      <c r="AS1476" s="1197">
        <f t="shared" si="169"/>
        <v>0</v>
      </c>
      <c r="AT1476" s="1197">
        <f t="shared" si="170"/>
        <v>0</v>
      </c>
      <c r="AU1476" s="1197">
        <f t="shared" si="171"/>
        <v>0</v>
      </c>
      <c r="AV1476" s="1197" t="str">
        <f>AH1476</f>
        <v>Отделка потолок</v>
      </c>
      <c r="AY1476" s="1197" t="str">
        <f t="shared" si="150"/>
        <v>Крепеж для монтажа стоек окон/дверей</v>
      </c>
      <c r="AZ1476" s="1197" t="str">
        <f t="shared" si="151"/>
        <v>Саморез 5,5 х 25</v>
      </c>
      <c r="BA1476" s="1199" t="str">
        <f t="shared" si="152"/>
        <v>шт.</v>
      </c>
      <c r="BB1476" s="1197">
        <f t="shared" si="153"/>
        <v>81</v>
      </c>
      <c r="BC1476" s="1197">
        <f t="shared" si="154"/>
        <v>2.5</v>
      </c>
      <c r="BD1476" s="1197">
        <f t="shared" si="155"/>
        <v>202.5</v>
      </c>
      <c r="BG1476" s="1197" t="str">
        <f t="shared" si="156"/>
        <v>Крепеж для вертикальной обрешетки</v>
      </c>
      <c r="BH1476" s="1197">
        <f t="shared" si="157"/>
        <v>0</v>
      </c>
      <c r="BI1476" s="1199" t="str">
        <f t="shared" si="158"/>
        <v>шт.</v>
      </c>
      <c r="BJ1476" s="1197">
        <f t="shared" si="159"/>
        <v>0</v>
      </c>
      <c r="BK1476" s="1197">
        <f t="shared" si="160"/>
        <v>0</v>
      </c>
      <c r="BL1476" s="1197">
        <f t="shared" si="161"/>
        <v>0</v>
      </c>
    </row>
    <row r="1477" spans="1:64" ht="15.75" customHeight="1" outlineLevel="1">
      <c r="A1477" s="1839" t="str">
        <f>'Ввод данных'!A1043</f>
        <v>нет</v>
      </c>
      <c r="B1477" s="1696" t="s">
        <v>133</v>
      </c>
      <c r="C1477" s="1696">
        <f>C1435*G1425*D1435</f>
        <v>0</v>
      </c>
      <c r="D1477" s="1696">
        <f>VLOOKUP(A1477,'Прайс лист'!B1027:G1078,6,0)</f>
        <v>0</v>
      </c>
      <c r="E1477" s="1353">
        <f t="shared" si="166"/>
        <v>0</v>
      </c>
      <c r="F1477" s="1354" t="s">
        <v>3712</v>
      </c>
      <c r="G1477" s="1055" t="str">
        <f>'Прайс лист'!B1667</f>
        <v>монтаж osb/фанера пол</v>
      </c>
      <c r="H1477" s="1055"/>
      <c r="I1477" s="1278"/>
      <c r="J1477" s="1055"/>
      <c r="L1477" s="1055">
        <f>C1459*D1437*I1425</f>
        <v>100</v>
      </c>
      <c r="M1477" s="1055"/>
      <c r="N1477" s="1055"/>
      <c r="O1477" s="1055">
        <f>'Прайс лист'!G1667</f>
        <v>200</v>
      </c>
      <c r="P1477" s="1353">
        <f t="shared" si="162"/>
        <v>20000</v>
      </c>
      <c r="Q1477" s="1910" t="s">
        <v>2385</v>
      </c>
      <c r="R1477" s="1260" t="str">
        <f>'Ввод данных'!D1040</f>
        <v>нет</v>
      </c>
      <c r="S1477" s="1911" t="s">
        <v>133</v>
      </c>
      <c r="T1477" s="1260">
        <f>CEILING(C1453,1)</f>
        <v>0</v>
      </c>
      <c r="U1477" s="1260">
        <f>VLOOKUP(R1477,'Прайс лист'!B1027:G1078,6,0)</f>
        <v>0</v>
      </c>
      <c r="V1477" s="1260">
        <f t="shared" si="163"/>
        <v>0</v>
      </c>
      <c r="W1477" s="1354"/>
      <c r="X1477" s="1354"/>
      <c r="Y1477" s="1354"/>
      <c r="AC1477" s="1055" t="str">
        <f t="shared" si="140"/>
        <v>нет</v>
      </c>
      <c r="AD1477" s="1278" t="str">
        <f t="shared" si="141"/>
        <v>м2</v>
      </c>
      <c r="AE1477" s="1055">
        <f t="shared" si="142"/>
        <v>0</v>
      </c>
      <c r="AF1477" s="1055">
        <f t="shared" si="143"/>
        <v>0</v>
      </c>
      <c r="AG1477" s="1055">
        <f t="shared" si="144"/>
        <v>0</v>
      </c>
      <c r="AH1477" s="1055" t="str">
        <f>F1477</f>
        <v>Отделка перегородок</v>
      </c>
      <c r="AI1477" s="1055"/>
      <c r="AJ1477" s="1055"/>
      <c r="AK1477" s="1055"/>
      <c r="AL1477" s="1055" t="str">
        <f t="shared" si="145"/>
        <v>монтаж osb/фанера пол</v>
      </c>
      <c r="AM1477" s="1055">
        <f t="shared" si="146"/>
        <v>100</v>
      </c>
      <c r="AN1477" s="1055">
        <f t="shared" si="147"/>
        <v>200</v>
      </c>
      <c r="AO1477" s="1055">
        <f t="shared" si="148"/>
        <v>20000</v>
      </c>
      <c r="AQ1477" s="1197" t="str">
        <f t="shared" si="167"/>
        <v>нет</v>
      </c>
      <c r="AR1477" s="1199" t="str">
        <f t="shared" si="168"/>
        <v>м2</v>
      </c>
      <c r="AS1477" s="1197">
        <f t="shared" si="169"/>
        <v>0</v>
      </c>
      <c r="AT1477" s="1197">
        <f t="shared" si="170"/>
        <v>0</v>
      </c>
      <c r="AU1477" s="1197">
        <f t="shared" si="171"/>
        <v>0</v>
      </c>
      <c r="AV1477" s="1197" t="str">
        <f>AH1477</f>
        <v>Отделка перегородок</v>
      </c>
      <c r="BG1477" s="1197" t="str">
        <f t="shared" si="156"/>
        <v>Отделка стен наружних внутри здания</v>
      </c>
      <c r="BH1477" s="1197" t="str">
        <f t="shared" si="157"/>
        <v>нет</v>
      </c>
      <c r="BI1477" s="1199" t="str">
        <f t="shared" si="158"/>
        <v>м2</v>
      </c>
      <c r="BJ1477" s="1197">
        <f t="shared" si="159"/>
        <v>0</v>
      </c>
      <c r="BK1477" s="1197">
        <f t="shared" si="160"/>
        <v>0</v>
      </c>
      <c r="BL1477" s="1197">
        <f t="shared" si="161"/>
        <v>0</v>
      </c>
    </row>
    <row r="1478" spans="1:64" ht="15.75" customHeight="1" outlineLevel="1">
      <c r="A1478" s="1360" t="str">
        <f>'Прайс лист'!B876</f>
        <v xml:space="preserve">Саморезы 3,5 x 25            </v>
      </c>
      <c r="B1478" s="1600" t="s">
        <v>159</v>
      </c>
      <c r="C1478" s="1600">
        <f>(C1477+C1475+C1476)*10*G1425</f>
        <v>0</v>
      </c>
      <c r="D1478" s="1696">
        <f>'Прайс лист'!F876</f>
        <v>0.2</v>
      </c>
      <c r="E1478" s="1353">
        <f t="shared" si="166"/>
        <v>0</v>
      </c>
      <c r="F1478" s="1354" t="s">
        <v>3713</v>
      </c>
      <c r="G1478" s="1279" t="s">
        <v>3669</v>
      </c>
      <c r="H1478" s="1279"/>
      <c r="I1478" s="1278"/>
      <c r="J1478" s="1055"/>
      <c r="L1478" s="1055">
        <f>C1454*I1425*IF(A1473='Прайс лист'!B744,0,1)</f>
        <v>0</v>
      </c>
      <c r="M1478" s="1055"/>
      <c r="N1478" s="1055"/>
      <c r="O1478" s="1055">
        <f>'Прайс лист'!G1671</f>
        <v>200</v>
      </c>
      <c r="P1478" s="1353">
        <f t="shared" si="162"/>
        <v>0</v>
      </c>
      <c r="Q1478" s="1260" t="s">
        <v>3714</v>
      </c>
      <c r="R1478" s="1260" t="str">
        <f>'Прайс лист'!B877</f>
        <v xml:space="preserve">Саморезы 3,5 x 45            </v>
      </c>
      <c r="S1478" s="1903" t="s">
        <v>799</v>
      </c>
      <c r="T1478" s="1260">
        <f>CEILING(T1477*10*IF(дома!R1477='Прайс лист'!B1471,0,1),1)</f>
        <v>0</v>
      </c>
      <c r="U1478" s="1260">
        <f>'Прайс лист'!F877</f>
        <v>0.25</v>
      </c>
      <c r="V1478" s="1260">
        <f t="shared" si="163"/>
        <v>0</v>
      </c>
      <c r="W1478" s="1354"/>
      <c r="X1478" s="1354"/>
      <c r="Y1478" s="1354"/>
      <c r="AC1478" s="1055" t="str">
        <f t="shared" si="140"/>
        <v xml:space="preserve">Саморезы 3,5 x 25            </v>
      </c>
      <c r="AD1478" s="1278" t="str">
        <f t="shared" si="141"/>
        <v>шт</v>
      </c>
      <c r="AE1478" s="1055">
        <f t="shared" si="142"/>
        <v>0</v>
      </c>
      <c r="AF1478" s="1055">
        <f t="shared" si="143"/>
        <v>0.2</v>
      </c>
      <c r="AG1478" s="1055">
        <f t="shared" si="144"/>
        <v>0</v>
      </c>
      <c r="AH1478" s="1055" t="str">
        <f>F1478</f>
        <v>Крепеж для отделки потолок</v>
      </c>
      <c r="AI1478" s="1055"/>
      <c r="AJ1478" s="1055"/>
      <c r="AK1478" s="1055"/>
      <c r="AL1478" s="1055" t="str">
        <f t="shared" si="145"/>
        <v>утепление наружних стен</v>
      </c>
      <c r="AM1478" s="1055">
        <f t="shared" si="146"/>
        <v>0</v>
      </c>
      <c r="AN1478" s="1055">
        <f t="shared" si="147"/>
        <v>200</v>
      </c>
      <c r="AO1478" s="1055">
        <f t="shared" si="148"/>
        <v>0</v>
      </c>
      <c r="AQ1478" s="1197" t="str">
        <f t="shared" si="167"/>
        <v xml:space="preserve">Саморезы 3,5 x 25            </v>
      </c>
      <c r="AR1478" s="1199" t="str">
        <f t="shared" si="168"/>
        <v>шт</v>
      </c>
      <c r="AS1478" s="1197">
        <f t="shared" si="169"/>
        <v>0</v>
      </c>
      <c r="AT1478" s="1197">
        <f t="shared" si="170"/>
        <v>0.2</v>
      </c>
      <c r="AU1478" s="1197">
        <f t="shared" si="171"/>
        <v>0</v>
      </c>
      <c r="AV1478" s="1197" t="str">
        <f>AH1478</f>
        <v>Крепеж для отделки потолок</v>
      </c>
      <c r="BG1478" s="1197" t="str">
        <f t="shared" si="156"/>
        <v>Крепеж для внутренней отделки наружних стен</v>
      </c>
      <c r="BH1478" s="1197" t="str">
        <f t="shared" si="157"/>
        <v xml:space="preserve">Саморезы 3,5 x 45            </v>
      </c>
      <c r="BI1478" s="1199" t="str">
        <f t="shared" si="158"/>
        <v>шт.</v>
      </c>
      <c r="BJ1478" s="1197">
        <f t="shared" si="159"/>
        <v>0</v>
      </c>
      <c r="BK1478" s="1197">
        <f t="shared" si="160"/>
        <v>0.25</v>
      </c>
      <c r="BL1478" s="1197">
        <f t="shared" si="161"/>
        <v>0</v>
      </c>
    </row>
    <row r="1479" spans="1:64" ht="15.75" customHeight="1" outlineLevel="1">
      <c r="A1479" s="1839" t="str">
        <f>'Прайс лист'!B898</f>
        <v xml:space="preserve">Гвозди ершоные 2,8 х 90            </v>
      </c>
      <c r="B1479" s="1696" t="s">
        <v>188</v>
      </c>
      <c r="C1479" s="1696">
        <f>(C1469+C1468+C1470)*2*G1425</f>
        <v>0</v>
      </c>
      <c r="D1479" s="1696">
        <f>'Прайс лист'!G898</f>
        <v>76.489999999999995</v>
      </c>
      <c r="E1479" s="1353">
        <f t="shared" si="166"/>
        <v>0</v>
      </c>
      <c r="F1479" s="1354"/>
      <c r="G1479" s="1279" t="s">
        <v>2384</v>
      </c>
      <c r="H1479" s="1279"/>
      <c r="I1479" s="1278"/>
      <c r="J1479" s="1055"/>
      <c r="L1479" s="1055">
        <f>C1457*I1425*IF(A1474='Прайс лист'!B744,0,1)</f>
        <v>0</v>
      </c>
      <c r="M1479" s="1055"/>
      <c r="N1479" s="1055"/>
      <c r="O1479" s="1353">
        <f>'Прайс лист'!G1672</f>
        <v>200</v>
      </c>
      <c r="P1479" s="1353">
        <f t="shared" si="162"/>
        <v>0</v>
      </c>
      <c r="Q1479" s="1260" t="s">
        <v>3715</v>
      </c>
      <c r="R1479" s="1260" t="str">
        <f>'Ввод данных'!D1051</f>
        <v>нет</v>
      </c>
      <c r="S1479" s="1897" t="s">
        <v>156</v>
      </c>
      <c r="T1479" s="1260">
        <f>CEILING(1/0.6*C1458*1.15,1)</f>
        <v>192</v>
      </c>
      <c r="U1479" s="1260">
        <f>VLOOKUP(R1479,связи1!I389:P413,4,0)</f>
        <v>0</v>
      </c>
      <c r="V1479" s="1260">
        <f t="shared" si="163"/>
        <v>0</v>
      </c>
      <c r="W1479" s="1354"/>
      <c r="X1479" s="1354"/>
      <c r="Y1479" s="1354"/>
      <c r="AC1479" s="1055" t="str">
        <f t="shared" si="140"/>
        <v xml:space="preserve">Гвозди ершоные 2,8 х 90            </v>
      </c>
      <c r="AD1479" s="1278" t="str">
        <f t="shared" si="141"/>
        <v>кг</v>
      </c>
      <c r="AE1479" s="1055">
        <f t="shared" si="142"/>
        <v>0</v>
      </c>
      <c r="AF1479" s="1055">
        <f t="shared" si="143"/>
        <v>76.489999999999995</v>
      </c>
      <c r="AG1479" s="1055">
        <f t="shared" si="144"/>
        <v>0</v>
      </c>
      <c r="AH1479" s="1055"/>
      <c r="AI1479" s="1055"/>
      <c r="AJ1479" s="1055"/>
      <c r="AK1479" s="1055"/>
      <c r="AL1479" s="1055" t="str">
        <f t="shared" si="145"/>
        <v>Утепление перегородок</v>
      </c>
      <c r="AM1479" s="1055">
        <f t="shared" si="146"/>
        <v>0</v>
      </c>
      <c r="AN1479" s="1055">
        <f t="shared" si="147"/>
        <v>200</v>
      </c>
      <c r="AO1479" s="1055">
        <f t="shared" si="148"/>
        <v>0</v>
      </c>
      <c r="AQ1479" s="1197" t="str">
        <f t="shared" si="167"/>
        <v xml:space="preserve">Гвозди ершоные 2,8 х 90            </v>
      </c>
      <c r="AR1479" s="1199" t="str">
        <f t="shared" si="168"/>
        <v>кг</v>
      </c>
      <c r="AS1479" s="1197">
        <f t="shared" si="169"/>
        <v>0</v>
      </c>
      <c r="AT1479" s="1197">
        <f t="shared" si="170"/>
        <v>76.489999999999995</v>
      </c>
      <c r="AU1479" s="1197">
        <f t="shared" si="171"/>
        <v>0</v>
      </c>
      <c r="BG1479" s="1197" t="str">
        <f t="shared" si="156"/>
        <v>Обрешетка потолка</v>
      </c>
      <c r="BH1479" s="1197" t="str">
        <f t="shared" si="157"/>
        <v>нет</v>
      </c>
      <c r="BI1479" s="1199" t="str">
        <f t="shared" si="158"/>
        <v>м.п.</v>
      </c>
      <c r="BJ1479" s="1197">
        <f t="shared" si="159"/>
        <v>192</v>
      </c>
      <c r="BK1479" s="1197">
        <f t="shared" si="160"/>
        <v>0</v>
      </c>
      <c r="BL1479" s="1197">
        <f t="shared" si="161"/>
        <v>0</v>
      </c>
    </row>
    <row r="1480" spans="1:64" ht="15.75" customHeight="1" outlineLevel="1">
      <c r="A1480" s="1839" t="str">
        <f>'Прайс лист'!B897</f>
        <v xml:space="preserve">Гвозди ершоные 3,4 x 60            </v>
      </c>
      <c r="B1480" s="1696" t="s">
        <v>188</v>
      </c>
      <c r="C1480" s="1696">
        <f>(C1472)/150</f>
        <v>0</v>
      </c>
      <c r="D1480" s="1696">
        <f>'Прайс лист'!G897</f>
        <v>75.510000000000005</v>
      </c>
      <c r="E1480" s="1353">
        <f t="shared" si="166"/>
        <v>0</v>
      </c>
      <c r="F1480" s="1354"/>
      <c r="G1480" s="1888"/>
      <c r="H1480" s="1889"/>
      <c r="I1480" s="1890" t="s">
        <v>120</v>
      </c>
      <c r="J1480" s="1891" t="s">
        <v>1802</v>
      </c>
      <c r="K1480" s="1891" t="s">
        <v>3695</v>
      </c>
      <c r="L1480" s="1892" t="s">
        <v>3696</v>
      </c>
      <c r="M1480" s="1885"/>
      <c r="N1480" s="1885"/>
      <c r="O1480" s="1885"/>
      <c r="P1480" s="1885"/>
      <c r="Q1480" s="1260" t="s">
        <v>3716</v>
      </c>
      <c r="R1480" s="1260" t="str">
        <f>'Ввод данных'!D1053</f>
        <v>нет</v>
      </c>
      <c r="S1480" s="1897" t="s">
        <v>156</v>
      </c>
      <c r="T1480" s="1260">
        <f>T1479</f>
        <v>192</v>
      </c>
      <c r="U1480" s="1260">
        <f>VLOOKUP(R1480,'Прайс лист'!B536:G552,6,0)</f>
        <v>0</v>
      </c>
      <c r="V1480" s="1260">
        <f t="shared" si="163"/>
        <v>0</v>
      </c>
      <c r="W1480" s="1354"/>
      <c r="X1480" s="1354"/>
      <c r="Y1480" s="1354"/>
      <c r="AC1480" s="1055" t="str">
        <f t="shared" si="140"/>
        <v xml:space="preserve">Гвозди ершоные 3,4 x 60            </v>
      </c>
      <c r="AD1480" s="1278" t="str">
        <f t="shared" si="141"/>
        <v>кг</v>
      </c>
      <c r="AE1480" s="1055">
        <f t="shared" si="142"/>
        <v>0</v>
      </c>
      <c r="AF1480" s="1055">
        <f t="shared" si="143"/>
        <v>75.510000000000005</v>
      </c>
      <c r="AG1480" s="1055">
        <f t="shared" si="144"/>
        <v>0</v>
      </c>
      <c r="AH1480" s="1055"/>
      <c r="AI1480" s="1055"/>
      <c r="AJ1480" s="1055"/>
      <c r="AK1480" s="1055"/>
      <c r="AL1480" s="1055" t="str">
        <f>A1484</f>
        <v>Командировочные расходы</v>
      </c>
      <c r="AM1480" s="1055">
        <f t="shared" ref="AM1480:AO1482" si="172">C1484</f>
        <v>1</v>
      </c>
      <c r="AN1480" s="1055">
        <f t="shared" si="172"/>
        <v>0</v>
      </c>
      <c r="AO1480" s="1055">
        <f t="shared" si="172"/>
        <v>0</v>
      </c>
      <c r="AQ1480" s="1197" t="str">
        <f t="shared" si="167"/>
        <v xml:space="preserve">Гвозди ершоные 3,4 x 60            </v>
      </c>
      <c r="AR1480" s="1199" t="str">
        <f t="shared" si="168"/>
        <v>кг</v>
      </c>
      <c r="AS1480" s="1197">
        <f t="shared" si="169"/>
        <v>0</v>
      </c>
      <c r="AT1480" s="1197">
        <f t="shared" si="170"/>
        <v>75.510000000000005</v>
      </c>
      <c r="AU1480" s="1197">
        <f t="shared" si="171"/>
        <v>0</v>
      </c>
      <c r="BG1480" s="1197" t="str">
        <f t="shared" si="156"/>
        <v>Профлист потолок</v>
      </c>
      <c r="BH1480" s="1197" t="str">
        <f t="shared" si="157"/>
        <v>нет</v>
      </c>
      <c r="BI1480" s="1199" t="str">
        <f t="shared" si="158"/>
        <v>м.п.</v>
      </c>
      <c r="BJ1480" s="1197">
        <f t="shared" si="159"/>
        <v>192</v>
      </c>
      <c r="BK1480" s="1197">
        <f t="shared" si="160"/>
        <v>0</v>
      </c>
      <c r="BL1480" s="1197">
        <f t="shared" si="161"/>
        <v>0</v>
      </c>
    </row>
    <row r="1481" spans="1:64" ht="15.75" customHeight="1" outlineLevel="1">
      <c r="A1481" s="1839" t="str">
        <f>'Ввод данных'!A1053</f>
        <v>нет ветроизоляции</v>
      </c>
      <c r="B1481" s="1696" t="s">
        <v>133</v>
      </c>
      <c r="C1481" s="1696">
        <f>C1453*1.1*G1425*D1440</f>
        <v>0</v>
      </c>
      <c r="D1481" s="1696">
        <f>VLOOKUP(A1481,'Прайс лист'!B793:G819,6,0)</f>
        <v>0</v>
      </c>
      <c r="E1481" s="1353">
        <f t="shared" si="166"/>
        <v>0</v>
      </c>
      <c r="F1481" s="1354" t="s">
        <v>3717</v>
      </c>
      <c r="G1481" s="1055" t="s">
        <v>3718</v>
      </c>
      <c r="H1481" s="1912" t="str">
        <f>VLOOKUP(A1468,связи1!I458:P488,8,0)</f>
        <v>ГПН 152х35-1,2</v>
      </c>
      <c r="I1481" s="1856" t="s">
        <v>3719</v>
      </c>
      <c r="J1481" s="1197">
        <f>CEILING(D1447,1)</f>
        <v>0</v>
      </c>
      <c r="K1481" s="1197">
        <f>VLOOKUP(A1468,связи1!I458:Q488,9,0)</f>
        <v>163</v>
      </c>
      <c r="L1481" s="1885">
        <f t="shared" ref="L1481:L1491" si="173">J1481*K1481</f>
        <v>0</v>
      </c>
      <c r="M1481" s="1885"/>
      <c r="N1481" s="1885"/>
      <c r="O1481" s="1885"/>
      <c r="P1481" s="1885"/>
      <c r="Q1481" s="1260" t="s">
        <v>3720</v>
      </c>
      <c r="R1481" s="1260">
        <f>VLOOKUP(R1479,связи1!I389:P413,7,0)</f>
        <v>0</v>
      </c>
      <c r="S1481" s="1903" t="s">
        <v>799</v>
      </c>
      <c r="T1481" s="1260">
        <f>T1479/0.5</f>
        <v>384</v>
      </c>
      <c r="U1481" s="1260">
        <f>VLOOKUP(R1479,связи1!I389:P413,8,0)</f>
        <v>0</v>
      </c>
      <c r="V1481" s="1260">
        <f t="shared" si="163"/>
        <v>0</v>
      </c>
      <c r="W1481" s="1354"/>
      <c r="X1481" s="1354"/>
      <c r="Y1481" s="1354"/>
      <c r="AC1481" s="1055" t="str">
        <f t="shared" si="140"/>
        <v>нет ветроизоляции</v>
      </c>
      <c r="AD1481" s="1278" t="str">
        <f t="shared" si="141"/>
        <v>м2</v>
      </c>
      <c r="AE1481" s="1055">
        <f t="shared" si="142"/>
        <v>0</v>
      </c>
      <c r="AF1481" s="1055">
        <f t="shared" si="143"/>
        <v>0</v>
      </c>
      <c r="AG1481" s="1055">
        <f t="shared" si="144"/>
        <v>0</v>
      </c>
      <c r="AH1481" s="1055" t="str">
        <f>F1481</f>
        <v>Ветроизоляция</v>
      </c>
      <c r="AI1481" s="1055"/>
      <c r="AJ1481" s="1055"/>
      <c r="AK1481" s="1055"/>
      <c r="AL1481" s="1055" t="str">
        <f>A1485</f>
        <v>расходные материалы каркасный дом</v>
      </c>
      <c r="AM1481" s="1055">
        <f t="shared" si="172"/>
        <v>1</v>
      </c>
      <c r="AN1481" s="1055">
        <f t="shared" si="172"/>
        <v>12000</v>
      </c>
      <c r="AO1481" s="1055">
        <f t="shared" si="172"/>
        <v>12000</v>
      </c>
      <c r="AQ1481" s="1197" t="str">
        <f t="shared" si="167"/>
        <v>нет ветроизоляции</v>
      </c>
      <c r="AR1481" s="1199" t="str">
        <f t="shared" si="168"/>
        <v>м2</v>
      </c>
      <c r="AS1481" s="1197">
        <f t="shared" si="169"/>
        <v>0</v>
      </c>
      <c r="AT1481" s="1197">
        <f t="shared" si="170"/>
        <v>0</v>
      </c>
      <c r="AU1481" s="1197">
        <f t="shared" si="171"/>
        <v>0</v>
      </c>
      <c r="AV1481" s="1197" t="str">
        <f>AH1481</f>
        <v>Ветроизоляция</v>
      </c>
      <c r="BG1481" s="1197" t="str">
        <f t="shared" si="156"/>
        <v>Крепеж для обрешетки потолок</v>
      </c>
      <c r="BH1481" s="1197">
        <f t="shared" si="157"/>
        <v>0</v>
      </c>
      <c r="BI1481" s="1199" t="str">
        <f t="shared" si="158"/>
        <v>шт.</v>
      </c>
      <c r="BJ1481" s="1197">
        <f t="shared" si="159"/>
        <v>384</v>
      </c>
      <c r="BK1481" s="1197">
        <f t="shared" si="160"/>
        <v>0</v>
      </c>
      <c r="BL1481" s="1197">
        <f t="shared" si="161"/>
        <v>0</v>
      </c>
    </row>
    <row r="1482" spans="1:64" ht="15.75" customHeight="1" outlineLevel="1">
      <c r="A1482" s="1839" t="str">
        <f>'Ввод данных'!A1055</f>
        <v>нет пароизоляции</v>
      </c>
      <c r="B1482" s="1696" t="s">
        <v>133</v>
      </c>
      <c r="C1482" s="1696">
        <f>C1481*D1441*G1425</f>
        <v>0</v>
      </c>
      <c r="D1482" s="1696">
        <f>VLOOKUP(A1482,'Прайс лист'!B820:G831,6,0)</f>
        <v>0</v>
      </c>
      <c r="E1482" s="1353">
        <f t="shared" si="166"/>
        <v>0</v>
      </c>
      <c r="F1482" s="1354" t="s">
        <v>3721</v>
      </c>
      <c r="G1482" s="1055" t="s">
        <v>3722</v>
      </c>
      <c r="H1482" s="1778" t="str">
        <f>VLOOKUP(A1468,связи1!I458:X488,15,0)</f>
        <v xml:space="preserve">Болты анкерные с гайкой 12,0 x 100          </v>
      </c>
      <c r="I1482" s="1853" t="s">
        <v>799</v>
      </c>
      <c r="J1482" s="1197">
        <f>CEILING(J1481/7,1)</f>
        <v>0</v>
      </c>
      <c r="K1482" s="1353">
        <f>VLOOKUP(A1468,связи1!I458:X488,16,0)</f>
        <v>11.2</v>
      </c>
      <c r="L1482" s="1353">
        <f t="shared" si="173"/>
        <v>0</v>
      </c>
      <c r="M1482" s="1353"/>
      <c r="N1482" s="1353"/>
      <c r="O1482" s="1353"/>
      <c r="P1482" s="1353"/>
      <c r="Q1482" s="1260" t="s">
        <v>3723</v>
      </c>
      <c r="R1482" s="1260" t="str">
        <f>'Прайс лист'!B1138</f>
        <v>Кровельный саморез</v>
      </c>
      <c r="S1482" s="1903" t="s">
        <v>799</v>
      </c>
      <c r="T1482" s="1260">
        <f>T1480*9*IF(R1480='Прайс лист'!B536,0,1)</f>
        <v>0</v>
      </c>
      <c r="U1482" s="1260">
        <f>'Прайс лист'!G1138</f>
        <v>2</v>
      </c>
      <c r="V1482" s="1260">
        <f t="shared" si="163"/>
        <v>0</v>
      </c>
      <c r="W1482" s="1354"/>
      <c r="X1482" s="1354"/>
      <c r="Y1482" s="1354"/>
      <c r="AC1482" s="1055" t="str">
        <f t="shared" si="140"/>
        <v>нет пароизоляции</v>
      </c>
      <c r="AD1482" s="1278" t="str">
        <f t="shared" si="141"/>
        <v>м2</v>
      </c>
      <c r="AE1482" s="1055">
        <f t="shared" si="142"/>
        <v>0</v>
      </c>
      <c r="AF1482" s="1055">
        <f t="shared" si="143"/>
        <v>0</v>
      </c>
      <c r="AG1482" s="1055">
        <f t="shared" si="144"/>
        <v>0</v>
      </c>
      <c r="AH1482" s="1055" t="str">
        <f>F1482</f>
        <v>Пароизоляция</v>
      </c>
      <c r="AI1482" s="1055"/>
      <c r="AJ1482" s="1055"/>
      <c r="AK1482" s="1055"/>
      <c r="AL1482" s="1055" t="str">
        <f>A1486</f>
        <v>Нет техники</v>
      </c>
      <c r="AM1482" s="1055">
        <f t="shared" si="172"/>
        <v>2</v>
      </c>
      <c r="AN1482" s="1055">
        <f t="shared" si="172"/>
        <v>0</v>
      </c>
      <c r="AO1482" s="1055">
        <f t="shared" si="172"/>
        <v>0</v>
      </c>
      <c r="AQ1482" s="1197" t="str">
        <f t="shared" si="167"/>
        <v>нет пароизоляции</v>
      </c>
      <c r="AR1482" s="1199" t="str">
        <f t="shared" si="168"/>
        <v>м2</v>
      </c>
      <c r="AS1482" s="1197">
        <f t="shared" si="169"/>
        <v>0</v>
      </c>
      <c r="AT1482" s="1197">
        <f t="shared" si="170"/>
        <v>0</v>
      </c>
      <c r="AU1482" s="1197">
        <f t="shared" si="171"/>
        <v>0</v>
      </c>
      <c r="AV1482" s="1197" t="str">
        <f>AH1482</f>
        <v>Пароизоляция</v>
      </c>
      <c r="BG1482" s="1197" t="str">
        <f t="shared" si="156"/>
        <v>Крепеж для профлиста</v>
      </c>
      <c r="BH1482" s="1197" t="str">
        <f t="shared" si="157"/>
        <v>Кровельный саморез</v>
      </c>
      <c r="BI1482" s="1199" t="str">
        <f t="shared" si="158"/>
        <v>шт.</v>
      </c>
      <c r="BJ1482" s="1197">
        <f t="shared" si="159"/>
        <v>0</v>
      </c>
      <c r="BK1482" s="1197">
        <f t="shared" si="160"/>
        <v>2</v>
      </c>
      <c r="BL1482" s="1197">
        <f t="shared" si="161"/>
        <v>0</v>
      </c>
    </row>
    <row r="1483" spans="1:64" ht="15.75" customHeight="1" outlineLevel="1">
      <c r="A1483" s="1839" t="str">
        <f>'Прайс лист'!B832</f>
        <v>Скобы для степлера, 1000шт/уп</v>
      </c>
      <c r="B1483" s="1696" t="s">
        <v>3724</v>
      </c>
      <c r="C1483" s="1696">
        <f>5*G1425</f>
        <v>5</v>
      </c>
      <c r="D1483" s="1696">
        <f>'Прайс лист'!G832</f>
        <v>100</v>
      </c>
      <c r="E1483" s="1353">
        <f t="shared" si="166"/>
        <v>500</v>
      </c>
      <c r="F1483" s="1290"/>
      <c r="G1483" s="1055" t="s">
        <v>3725</v>
      </c>
      <c r="H1483" s="1778" t="str">
        <f>VLOOKUP(A1468,связи1!I458:X488,13,0)</f>
        <v>Саморез 5,5 х 25</v>
      </c>
      <c r="I1483" s="1853" t="s">
        <v>799</v>
      </c>
      <c r="J1483" s="1197">
        <f>(SUM(F143:F147)+SUM(F183:F213)+SUM(F217:F247)+SUM(F251:F254)+SUM(F261:F305)+SUM(F309:F354)+F360+F424+F425+F426+SUM(F430:F463)+SUM(F466:F468)+SUM(F472:F505)+F508+F509+F510+SUM(F514:F547)+F550+F551+F552+SUM(F556:F589)+F591+F594+SUM(F637:F641)+SUM(F652:F682)+SUM(F686:F720)+SUM(F727:F771)+SUM(F775:F819)+F886+F887+F888+SUM(F892:F925)+F928+F929+F930+SUM(F934:F967)+F970+F971+F972+SUM(F976:F1009)+F1012+F1013+F1014+SUM(F1018:F1051))*6</f>
        <v>1644</v>
      </c>
      <c r="K1483" s="1353">
        <f>VLOOKUP(A1468,связи1!I458:X488,14,0)</f>
        <v>2.5</v>
      </c>
      <c r="L1483" s="1353">
        <f t="shared" si="173"/>
        <v>4110</v>
      </c>
      <c r="M1483" s="1353"/>
      <c r="N1483" s="1353"/>
      <c r="O1483" s="1353"/>
      <c r="P1483" s="1353"/>
      <c r="Q1483" s="1904" t="s">
        <v>3726</v>
      </c>
      <c r="R1483" s="1260" t="str">
        <f>'Ввод данных'!E1058</f>
        <v>нет</v>
      </c>
      <c r="S1483" s="1897" t="s">
        <v>156</v>
      </c>
      <c r="T1483" s="1260">
        <f>CEILING(1/0.6*C1459*1.15,1)</f>
        <v>192</v>
      </c>
      <c r="U1483" s="1260">
        <f>VLOOKUP(R1483,связи1!I389:P413,4,0)</f>
        <v>0</v>
      </c>
      <c r="V1483" s="1260">
        <f t="shared" si="163"/>
        <v>0</v>
      </c>
      <c r="W1483" s="1290"/>
      <c r="X1483" s="1290"/>
      <c r="Y1483" s="1290"/>
      <c r="AC1483" s="1055" t="str">
        <f t="shared" si="140"/>
        <v>Скобы для степлера, 1000шт/уп</v>
      </c>
      <c r="AD1483" s="1278" t="str">
        <f t="shared" si="141"/>
        <v>уп</v>
      </c>
      <c r="AE1483" s="1055">
        <f t="shared" si="142"/>
        <v>5</v>
      </c>
      <c r="AF1483" s="1055">
        <f t="shared" si="143"/>
        <v>100</v>
      </c>
      <c r="AG1483" s="1055">
        <f t="shared" si="144"/>
        <v>500</v>
      </c>
      <c r="AH1483" s="1055"/>
      <c r="AI1483" s="1055"/>
      <c r="AJ1483" s="1055"/>
      <c r="AK1483" s="1055"/>
      <c r="AL1483" s="1055"/>
      <c r="AM1483" s="1055"/>
      <c r="AN1483" s="1055"/>
      <c r="AO1483" s="1055"/>
      <c r="AQ1483" s="1197" t="str">
        <f t="shared" si="167"/>
        <v>Скобы для степлера, 1000шт/уп</v>
      </c>
      <c r="AR1483" s="1199" t="str">
        <f t="shared" si="168"/>
        <v>уп</v>
      </c>
      <c r="AS1483" s="1197">
        <f t="shared" si="169"/>
        <v>5</v>
      </c>
      <c r="AT1483" s="1197">
        <f t="shared" si="170"/>
        <v>100</v>
      </c>
      <c r="AU1483" s="1197">
        <f t="shared" si="171"/>
        <v>500</v>
      </c>
      <c r="BG1483" s="1197" t="str">
        <f t="shared" si="156"/>
        <v>Обрешетка для пола</v>
      </c>
      <c r="BH1483" s="1197" t="str">
        <f t="shared" si="157"/>
        <v>нет</v>
      </c>
      <c r="BI1483" s="1199" t="str">
        <f t="shared" si="158"/>
        <v>м.п.</v>
      </c>
      <c r="BJ1483" s="1197">
        <f t="shared" si="159"/>
        <v>192</v>
      </c>
      <c r="BK1483" s="1197">
        <f t="shared" si="160"/>
        <v>0</v>
      </c>
      <c r="BL1483" s="1197">
        <f t="shared" si="161"/>
        <v>0</v>
      </c>
    </row>
    <row r="1484" spans="1:64" ht="15.75" customHeight="1" outlineLevel="1">
      <c r="A1484" s="1839" t="str">
        <f>'Ввод данных'!A1062</f>
        <v>Командировочные расходы</v>
      </c>
      <c r="B1484" s="1696" t="s">
        <v>1796</v>
      </c>
      <c r="C1484" s="1696">
        <f>1</f>
        <v>1</v>
      </c>
      <c r="D1484" s="1696">
        <f>'Ввод данных'!C1063*'Ввод данных'!C1064*'Ввод данных'!C1065*VLOOKUP('Ввод данных'!C1062,связи1!A2:B3,2,0)</f>
        <v>0</v>
      </c>
      <c r="E1484" s="1353">
        <f t="shared" si="166"/>
        <v>0</v>
      </c>
      <c r="F1484" s="1290"/>
      <c r="G1484" s="1055" t="s">
        <v>3727</v>
      </c>
      <c r="H1484" s="1778" t="str">
        <f>VLOOKUP(A1469,связи1!I458:P488,8,0)</f>
        <v>ГПН 122х35-1,5</v>
      </c>
      <c r="I1484" s="1853" t="s">
        <v>3719</v>
      </c>
      <c r="J1484" s="1197">
        <f>C1448</f>
        <v>0</v>
      </c>
      <c r="K1484" s="1353">
        <f>VLOOKUP(A1469,связи1!I458:Q488,9,0)</f>
        <v>163</v>
      </c>
      <c r="L1484" s="1353">
        <f t="shared" si="173"/>
        <v>0</v>
      </c>
      <c r="M1484" s="1353"/>
      <c r="N1484" s="1353"/>
      <c r="O1484" s="1353"/>
      <c r="P1484" s="1353"/>
      <c r="Q1484" s="1260" t="s">
        <v>3728</v>
      </c>
      <c r="R1484" s="1260" t="str">
        <f>'Ввод данных'!E1060</f>
        <v>нет</v>
      </c>
      <c r="S1484" s="1897" t="s">
        <v>156</v>
      </c>
      <c r="T1484" s="1260">
        <f>CEILING(C1459*1.1,1)</f>
        <v>110</v>
      </c>
      <c r="U1484" s="1260">
        <f>VLOOKUP(R1484,'Прайс лист'!B536:G552,6,0)</f>
        <v>0</v>
      </c>
      <c r="V1484" s="1260">
        <f t="shared" si="163"/>
        <v>0</v>
      </c>
      <c r="W1484" s="1290"/>
      <c r="X1484" s="1290"/>
      <c r="Y1484" s="1290"/>
      <c r="AC1484" s="1055"/>
      <c r="AD1484" s="1278"/>
      <c r="AE1484" s="1055"/>
      <c r="AF1484" s="1055"/>
      <c r="AG1484" s="1055"/>
      <c r="AH1484" s="1055"/>
      <c r="AI1484" s="1055"/>
      <c r="AJ1484" s="1055"/>
      <c r="AK1484" s="1055"/>
      <c r="AL1484" s="1055"/>
      <c r="AM1484" s="1055"/>
      <c r="AN1484" s="1055"/>
      <c r="AO1484" s="1055"/>
      <c r="AQ1484" s="1197" t="str">
        <f>AL1480</f>
        <v>Командировочные расходы</v>
      </c>
      <c r="AR1484" s="1199"/>
      <c r="AS1484" s="1197">
        <f t="shared" ref="AS1484:AU1486" si="174">AM1480</f>
        <v>1</v>
      </c>
      <c r="AT1484" s="1197">
        <f t="shared" si="174"/>
        <v>0</v>
      </c>
      <c r="AU1484" s="1197">
        <f t="shared" si="174"/>
        <v>0</v>
      </c>
      <c r="BG1484" s="1197" t="str">
        <f t="shared" si="156"/>
        <v>Профлист для чернового пола</v>
      </c>
      <c r="BH1484" s="1197" t="str">
        <f t="shared" si="157"/>
        <v>нет</v>
      </c>
      <c r="BI1484" s="1199" t="str">
        <f t="shared" si="158"/>
        <v>м.п.</v>
      </c>
      <c r="BJ1484" s="1197">
        <f t="shared" si="159"/>
        <v>110</v>
      </c>
      <c r="BK1484" s="1197">
        <f t="shared" si="160"/>
        <v>0</v>
      </c>
      <c r="BL1484" s="1197">
        <f t="shared" si="161"/>
        <v>0</v>
      </c>
    </row>
    <row r="1485" spans="1:64" ht="15.75" customHeight="1" outlineLevel="1">
      <c r="A1485" s="1839" t="str">
        <f>'Ввод данных'!A1060</f>
        <v>расходные материалы каркасный дом</v>
      </c>
      <c r="B1485" s="1696" t="s">
        <v>159</v>
      </c>
      <c r="C1485" s="1696">
        <f>1</f>
        <v>1</v>
      </c>
      <c r="D1485" s="1696">
        <f>'Ввод данных'!C1060</f>
        <v>12000</v>
      </c>
      <c r="E1485" s="1353">
        <f t="shared" si="166"/>
        <v>12000</v>
      </c>
      <c r="F1485" s="1354"/>
      <c r="G1485" s="1055" t="s">
        <v>3722</v>
      </c>
      <c r="H1485" s="1778" t="str">
        <f>VLOOKUP(A1469,связи1!I458:X488,15,0)</f>
        <v xml:space="preserve">Болты анкерные с гайкой 12,0 x 100          </v>
      </c>
      <c r="I1485" s="1853" t="s">
        <v>799</v>
      </c>
      <c r="J1485" s="1197">
        <f>CEILING(J1484/6,1)</f>
        <v>0</v>
      </c>
      <c r="K1485" s="1353">
        <f>VLOOKUP(A1469,связи1!I458:X488,16,0)</f>
        <v>11.2</v>
      </c>
      <c r="L1485" s="1353">
        <f t="shared" si="173"/>
        <v>0</v>
      </c>
      <c r="M1485" s="1353"/>
      <c r="N1485" s="1353"/>
      <c r="O1485" s="1353"/>
      <c r="P1485" s="1353"/>
      <c r="Q1485" s="1260" t="s">
        <v>3729</v>
      </c>
      <c r="R1485" s="1260">
        <f>VLOOKUP(R1483,связи1!I389:P413,7,0)</f>
        <v>0</v>
      </c>
      <c r="S1485" s="1903" t="s">
        <v>799</v>
      </c>
      <c r="T1485" s="1260">
        <f>T1483/0.5</f>
        <v>384</v>
      </c>
      <c r="U1485" s="1260">
        <f>VLOOKUP(R1483,связи1!I389:P413,8,0)</f>
        <v>0</v>
      </c>
      <c r="V1485" s="1260">
        <f t="shared" si="163"/>
        <v>0</v>
      </c>
      <c r="W1485" s="1354"/>
      <c r="X1485" s="1354"/>
      <c r="Y1485" s="1354"/>
      <c r="AC1485" s="1055"/>
      <c r="AD1485" s="1278"/>
      <c r="AE1485" s="1055"/>
      <c r="AF1485" s="1055"/>
      <c r="AG1485" s="1055"/>
      <c r="AH1485" s="1055"/>
      <c r="AI1485" s="1055"/>
      <c r="AJ1485" s="1055"/>
      <c r="AK1485" s="1055"/>
      <c r="AL1485" s="1055"/>
      <c r="AM1485" s="1055"/>
      <c r="AN1485" s="1055"/>
      <c r="AO1485" s="1055"/>
      <c r="AQ1485" s="1197" t="str">
        <f>AL1481</f>
        <v>расходные материалы каркасный дом</v>
      </c>
      <c r="AR1485" s="1199"/>
      <c r="AS1485" s="1197">
        <f t="shared" si="174"/>
        <v>1</v>
      </c>
      <c r="AT1485" s="1197">
        <f t="shared" si="174"/>
        <v>12000</v>
      </c>
      <c r="AU1485" s="1197">
        <f t="shared" si="174"/>
        <v>12000</v>
      </c>
      <c r="BG1485" s="1197" t="str">
        <f t="shared" si="156"/>
        <v>Крепеж для обрешетки пол</v>
      </c>
      <c r="BH1485" s="1197">
        <f t="shared" si="157"/>
        <v>0</v>
      </c>
      <c r="BI1485" s="1199" t="str">
        <f t="shared" si="158"/>
        <v>шт.</v>
      </c>
      <c r="BJ1485" s="1197">
        <f t="shared" si="159"/>
        <v>384</v>
      </c>
      <c r="BK1485" s="1197">
        <f t="shared" si="160"/>
        <v>0</v>
      </c>
      <c r="BL1485" s="1197">
        <f t="shared" si="161"/>
        <v>0</v>
      </c>
    </row>
    <row r="1486" spans="1:64" ht="15.75" customHeight="1" outlineLevel="1">
      <c r="A1486" s="1839" t="str">
        <f>'Ввод данных'!A1057</f>
        <v>Нет техники</v>
      </c>
      <c r="B1486" s="1696" t="s">
        <v>159</v>
      </c>
      <c r="C1486" s="1696">
        <f>C1442</f>
        <v>2</v>
      </c>
      <c r="D1486" s="1696">
        <f>VLOOKUP(A1486,'Прайс лист'!B180:G194,6,0)</f>
        <v>0</v>
      </c>
      <c r="E1486" s="1353">
        <f t="shared" si="166"/>
        <v>0</v>
      </c>
      <c r="F1486" s="1354"/>
      <c r="G1486" s="1055" t="s">
        <v>3725</v>
      </c>
      <c r="H1486" s="1778" t="str">
        <f>VLOOKUP(A1469,связи1!I458:X488,13,0)</f>
        <v>Саморез 5,5 х 25</v>
      </c>
      <c r="I1486" s="1853" t="s">
        <v>799</v>
      </c>
      <c r="J1486" s="1197">
        <f>(F151+F366+F371+F647+F826+F831)*6</f>
        <v>12</v>
      </c>
      <c r="K1486" s="1353">
        <f>VLOOKUP(A1469,связи1!I458:X488,14,0)</f>
        <v>2.5</v>
      </c>
      <c r="L1486" s="1353">
        <f t="shared" si="173"/>
        <v>30</v>
      </c>
      <c r="M1486" s="1353"/>
      <c r="N1486" s="1353"/>
      <c r="O1486" s="1353"/>
      <c r="P1486" s="1353"/>
      <c r="Q1486" s="1260" t="s">
        <v>3730</v>
      </c>
      <c r="R1486" s="1260" t="str">
        <f>R1482</f>
        <v>Кровельный саморез</v>
      </c>
      <c r="S1486" s="1903" t="s">
        <v>799</v>
      </c>
      <c r="T1486" s="1260">
        <f>T1484*9*IF(R1484='Прайс лист'!B536,0,1)</f>
        <v>0</v>
      </c>
      <c r="U1486" s="1260">
        <f>U1482</f>
        <v>2</v>
      </c>
      <c r="V1486" s="1260">
        <f t="shared" si="163"/>
        <v>0</v>
      </c>
      <c r="W1486" s="1354"/>
      <c r="X1486" s="1354"/>
      <c r="Y1486" s="1354"/>
      <c r="AC1486" s="1055"/>
      <c r="AD1486" s="1278"/>
      <c r="AE1486" s="1055"/>
      <c r="AF1486" s="1055"/>
      <c r="AG1486" s="1055"/>
      <c r="AH1486" s="1055"/>
      <c r="AI1486" s="1055"/>
      <c r="AJ1486" s="1055"/>
      <c r="AK1486" s="1055"/>
      <c r="AL1486" s="1055"/>
      <c r="AM1486" s="1055"/>
      <c r="AN1486" s="1055"/>
      <c r="AO1486" s="1055"/>
      <c r="AQ1486" s="1197" t="str">
        <f>AL1482</f>
        <v>Нет техники</v>
      </c>
      <c r="AR1486" s="1199"/>
      <c r="AS1486" s="1197">
        <f t="shared" si="174"/>
        <v>2</v>
      </c>
      <c r="AT1486" s="1197">
        <f t="shared" si="174"/>
        <v>0</v>
      </c>
      <c r="AU1486" s="1197">
        <f t="shared" si="174"/>
        <v>0</v>
      </c>
      <c r="BG1486" s="1197" t="str">
        <f t="shared" si="156"/>
        <v>Крепеж для профлист, пол</v>
      </c>
      <c r="BH1486" s="1197" t="str">
        <f t="shared" si="157"/>
        <v>Кровельный саморез</v>
      </c>
      <c r="BI1486" s="1199" t="str">
        <f t="shared" si="158"/>
        <v>шт.</v>
      </c>
      <c r="BJ1486" s="1197">
        <f t="shared" si="159"/>
        <v>0</v>
      </c>
      <c r="BK1486" s="1197">
        <f t="shared" si="160"/>
        <v>2</v>
      </c>
      <c r="BL1486" s="1197">
        <f t="shared" si="161"/>
        <v>0</v>
      </c>
    </row>
    <row r="1487" spans="1:64" ht="15.75" customHeight="1" outlineLevel="1">
      <c r="A1487" s="1857"/>
      <c r="B1487" s="1805"/>
      <c r="C1487" s="1805"/>
      <c r="D1487" s="1805"/>
      <c r="E1487" s="1694">
        <f>SUM(E1466:E1486)</f>
        <v>73007.600000000006</v>
      </c>
      <c r="F1487" s="1354"/>
      <c r="G1487" s="1275" t="s">
        <v>3731</v>
      </c>
      <c r="H1487" s="1380" t="str">
        <f>VLOOKUP(A1470,связи1!I458:P488,8,0)</f>
        <v>ГПН 172х35-2,0</v>
      </c>
      <c r="I1487" s="1854" t="s">
        <v>3719</v>
      </c>
      <c r="J1487" s="1197">
        <f>C1449</f>
        <v>0</v>
      </c>
      <c r="K1487" s="1846">
        <f>VLOOKUP(A1470,связи1!I458:Q488,9,0)</f>
        <v>274</v>
      </c>
      <c r="L1487" s="1846">
        <f t="shared" si="173"/>
        <v>0</v>
      </c>
      <c r="M1487" s="1353"/>
      <c r="N1487" s="1353"/>
      <c r="O1487" s="1353"/>
      <c r="P1487" s="1353"/>
      <c r="Q1487" s="1260" t="s">
        <v>3713</v>
      </c>
      <c r="R1487" s="1260" t="str">
        <f>R1474</f>
        <v xml:space="preserve">Саморезы 3,5 x 25            </v>
      </c>
      <c r="S1487" s="1903" t="s">
        <v>799</v>
      </c>
      <c r="T1487" s="1260">
        <f>C1476*10*IF(F1476='Прайс лист'!B1027,0,1)</f>
        <v>0</v>
      </c>
      <c r="U1487" s="1260">
        <f>U1474</f>
        <v>0.2</v>
      </c>
      <c r="V1487" s="1260">
        <f t="shared" si="163"/>
        <v>0</v>
      </c>
      <c r="W1487" s="1354"/>
      <c r="X1487" s="1354"/>
      <c r="Y1487" s="1354"/>
      <c r="AC1487" s="1055"/>
      <c r="AD1487" s="1055"/>
      <c r="AE1487" s="1055"/>
      <c r="AF1487" s="1055"/>
      <c r="AG1487" s="1055">
        <f>E1487</f>
        <v>73007.600000000006</v>
      </c>
      <c r="AH1487" s="1055"/>
      <c r="AI1487" s="1055"/>
      <c r="AJ1487" s="1055"/>
      <c r="AK1487" s="1055"/>
      <c r="AL1487" s="1055"/>
      <c r="AM1487" s="1055"/>
      <c r="AN1487" s="1055"/>
      <c r="AO1487" s="1055"/>
      <c r="AR1487" s="1199"/>
      <c r="BG1487" s="1197" t="str">
        <f t="shared" si="156"/>
        <v>Крепеж для отделки потолок</v>
      </c>
      <c r="BH1487" s="1197" t="str">
        <f t="shared" si="157"/>
        <v xml:space="preserve">Саморезы 3,5 x 25            </v>
      </c>
      <c r="BI1487" s="1199" t="str">
        <f t="shared" si="158"/>
        <v>шт.</v>
      </c>
      <c r="BJ1487" s="1197">
        <f t="shared" si="159"/>
        <v>0</v>
      </c>
      <c r="BK1487" s="1197">
        <f t="shared" si="160"/>
        <v>0.2</v>
      </c>
      <c r="BL1487" s="1197">
        <f t="shared" si="161"/>
        <v>0</v>
      </c>
    </row>
    <row r="1488" spans="1:64" ht="15.75" customHeight="1" outlineLevel="1">
      <c r="F1488" s="1354"/>
      <c r="G1488" s="1055" t="s">
        <v>3722</v>
      </c>
      <c r="H1488" s="1353" t="str">
        <f>VLOOKUP(A1470,связи1!I458:X488,15,0)</f>
        <v xml:space="preserve">Болты анкерные с гайкой 12,0 x 100          </v>
      </c>
      <c r="I1488" s="1694" t="s">
        <v>799</v>
      </c>
      <c r="J1488" s="1055">
        <f>CEILING(J1487/6,1)</f>
        <v>0</v>
      </c>
      <c r="K1488" s="1353">
        <f>VLOOKUP(A1470,связи1!I458:X488,16,0)</f>
        <v>11.2</v>
      </c>
      <c r="L1488" s="1353">
        <f t="shared" si="173"/>
        <v>0</v>
      </c>
      <c r="M1488" s="1354"/>
      <c r="N1488" s="1354"/>
      <c r="O1488" s="1354"/>
      <c r="P1488" s="1353">
        <f>SUM(P1466:P1487)</f>
        <v>20000</v>
      </c>
      <c r="Q1488" s="1260" t="s">
        <v>3732</v>
      </c>
      <c r="R1488" s="1260" t="str">
        <f>R1487</f>
        <v xml:space="preserve">Саморезы 3,5 x 25            </v>
      </c>
      <c r="S1488" s="1903" t="s">
        <v>799</v>
      </c>
      <c r="T1488" s="1260">
        <f>C1471*12*IF(A1471='Прайс лист'!B1027,0,1)</f>
        <v>1200</v>
      </c>
      <c r="U1488" s="1260">
        <f>U1487</f>
        <v>0.2</v>
      </c>
      <c r="V1488" s="1260">
        <f t="shared" si="163"/>
        <v>240</v>
      </c>
      <c r="W1488" s="1354"/>
      <c r="X1488" s="1354"/>
      <c r="Y1488" s="1354"/>
      <c r="AC1488" s="1055"/>
      <c r="AD1488" s="1055"/>
      <c r="AE1488" s="1055"/>
      <c r="AF1488" s="1055"/>
      <c r="AG1488" s="1055"/>
      <c r="AH1488" s="1055"/>
      <c r="AI1488" s="1055"/>
      <c r="AJ1488" s="1055"/>
      <c r="AK1488" s="1055"/>
      <c r="AL1488" s="1055"/>
      <c r="AM1488" s="1055"/>
      <c r="AN1488" s="1055"/>
      <c r="AO1488" s="1055"/>
      <c r="AR1488" s="1199"/>
      <c r="BG1488" s="1197" t="str">
        <f t="shared" si="156"/>
        <v>Крепеж для полового покрытия</v>
      </c>
      <c r="BH1488" s="1197" t="str">
        <f t="shared" si="157"/>
        <v xml:space="preserve">Саморезы 3,5 x 25            </v>
      </c>
      <c r="BI1488" s="1199" t="str">
        <f t="shared" si="158"/>
        <v>шт.</v>
      </c>
      <c r="BJ1488" s="1197">
        <f t="shared" si="159"/>
        <v>1200</v>
      </c>
      <c r="BK1488" s="1197">
        <f t="shared" si="160"/>
        <v>0.2</v>
      </c>
      <c r="BL1488" s="1197">
        <f t="shared" si="161"/>
        <v>240</v>
      </c>
    </row>
    <row r="1489" spans="1:44" ht="15.75" customHeight="1" outlineLevel="1">
      <c r="A1489" s="1839" t="s">
        <v>3660</v>
      </c>
      <c r="B1489" s="1179">
        <f>E1487</f>
        <v>73007.600000000006</v>
      </c>
      <c r="C1489" s="1859"/>
      <c r="D1489" s="1380"/>
      <c r="E1489" s="1354"/>
      <c r="F1489" s="1354"/>
      <c r="G1489" s="1055" t="s">
        <v>3725</v>
      </c>
      <c r="H1489" s="1353" t="str">
        <f>VLOOKUP(A1470,связи1!I458:X488,13,0)</f>
        <v>Саморез 5,5 х 25</v>
      </c>
      <c r="I1489" s="1694" t="s">
        <v>799</v>
      </c>
      <c r="J1489" s="1353">
        <f>CEILING((F180+F650)*6,1)</f>
        <v>0</v>
      </c>
      <c r="K1489" s="1353">
        <f>VLOOKUP(A1470,связи1!I458:X488,14,0)</f>
        <v>2.5</v>
      </c>
      <c r="L1489" s="1353">
        <f t="shared" si="173"/>
        <v>0</v>
      </c>
      <c r="M1489" s="1354"/>
      <c r="N1489" s="1354"/>
      <c r="O1489" s="1354"/>
      <c r="P1489" s="1354"/>
      <c r="Q1489" s="1354"/>
      <c r="R1489" s="1354"/>
      <c r="S1489" s="1354"/>
      <c r="T1489" s="1354"/>
      <c r="U1489" s="1354"/>
      <c r="V1489" s="1354"/>
      <c r="W1489" s="1354"/>
      <c r="X1489" s="1354"/>
      <c r="Y1489" s="1354"/>
      <c r="AC1489" s="1055" t="str">
        <f>A1489</f>
        <v>итого материалы для каркаса</v>
      </c>
      <c r="AD1489" s="1055">
        <f>B1489</f>
        <v>73007.600000000006</v>
      </c>
      <c r="AE1489" s="1055"/>
      <c r="AF1489" s="1055"/>
      <c r="AG1489" s="1055"/>
      <c r="AH1489" s="1055"/>
      <c r="AI1489" s="1055"/>
      <c r="AJ1489" s="1055"/>
      <c r="AK1489" s="1055"/>
      <c r="AL1489" s="1055"/>
      <c r="AM1489" s="1055"/>
      <c r="AN1489" s="1055"/>
      <c r="AO1489" s="1055"/>
      <c r="AQ1489" s="1197" t="str">
        <f>AC1489</f>
        <v>итого материалы для каркаса</v>
      </c>
      <c r="AR1489" s="1199">
        <f>AD1489</f>
        <v>73007.600000000006</v>
      </c>
    </row>
    <row r="1490" spans="1:44" ht="15.75" customHeight="1" outlineLevel="1">
      <c r="A1490" s="1839" t="s">
        <v>3661</v>
      </c>
      <c r="B1490" s="1179">
        <f>P1488</f>
        <v>20000</v>
      </c>
      <c r="C1490" s="1859"/>
      <c r="D1490" s="1354"/>
      <c r="E1490" s="1354"/>
      <c r="F1490" s="1354"/>
      <c r="G1490" s="1353" t="s">
        <v>3733</v>
      </c>
      <c r="H1490" s="1353" t="str">
        <f>A1468</f>
        <v>ГПС 150х50-1,2</v>
      </c>
      <c r="I1490" s="1694" t="s">
        <v>3719</v>
      </c>
      <c r="J1490" s="1353">
        <f>CEILING(SUM(H355:H359)+SUM(H361:H365)+SUM(H821:H825),1)</f>
        <v>14</v>
      </c>
      <c r="K1490" s="1353">
        <f>VLOOKUP(H1490,связи1!I458:V488,4,0)</f>
        <v>63.009404388714735</v>
      </c>
      <c r="L1490" s="1353">
        <f t="shared" si="173"/>
        <v>882.13166144200625</v>
      </c>
      <c r="M1490" s="1354"/>
      <c r="N1490" s="1354"/>
      <c r="O1490" s="1354"/>
      <c r="P1490" s="1354"/>
      <c r="Q1490" s="1354"/>
      <c r="R1490" s="1354"/>
      <c r="S1490" s="1354"/>
      <c r="T1490" s="1354"/>
      <c r="U1490" s="1354"/>
      <c r="V1490" s="1354"/>
      <c r="W1490" s="1354"/>
      <c r="X1490" s="1354"/>
      <c r="Y1490" s="1354"/>
      <c r="AC1490" s="1055" t="str">
        <f>A1490</f>
        <v>работа, изготовление каркаса</v>
      </c>
      <c r="AD1490" s="1055">
        <f>B1490</f>
        <v>20000</v>
      </c>
      <c r="AE1490" s="1055"/>
      <c r="AF1490" s="1055"/>
      <c r="AG1490" s="1055"/>
      <c r="AH1490" s="1055"/>
      <c r="AI1490" s="1055"/>
      <c r="AJ1490" s="1055"/>
      <c r="AK1490" s="1055"/>
      <c r="AL1490" s="1055"/>
      <c r="AM1490" s="1055"/>
      <c r="AN1490" s="1055"/>
      <c r="AO1490" s="1055"/>
      <c r="AQ1490" s="1197" t="str">
        <f>AC1490</f>
        <v>работа, изготовление каркаса</v>
      </c>
      <c r="AR1490" s="1199">
        <f>AD1490</f>
        <v>20000</v>
      </c>
    </row>
    <row r="1491" spans="1:44" ht="15.75" customHeight="1" outlineLevel="1">
      <c r="A1491" s="1353" t="s">
        <v>2728</v>
      </c>
      <c r="B1491" s="1179">
        <f>(B1489+B1490)*B1492</f>
        <v>0</v>
      </c>
      <c r="C1491" s="1859"/>
      <c r="D1491" s="1354"/>
      <c r="E1491" s="1354"/>
      <c r="F1491" s="1354"/>
      <c r="G1491" s="1055" t="s">
        <v>3734</v>
      </c>
      <c r="H1491" s="1353" t="str">
        <f>VLOOKUP(H1490,связи1!I458:X488,13,0)</f>
        <v>Саморез 5,5 х 25</v>
      </c>
      <c r="I1491" s="1694" t="s">
        <v>799</v>
      </c>
      <c r="J1491" s="1353">
        <f>CEILING(SUM(H355:H359)+SUM(H361:H365)+SUM(H821:H825)*6,1)</f>
        <v>81</v>
      </c>
      <c r="K1491" s="1353">
        <f>VLOOKUP(H1490,связи1!I458:X488,14,0)</f>
        <v>2.5</v>
      </c>
      <c r="L1491" s="1353">
        <f t="shared" si="173"/>
        <v>202.5</v>
      </c>
      <c r="M1491" s="1354"/>
      <c r="N1491" s="1354"/>
      <c r="O1491" s="1354"/>
      <c r="P1491" s="1354"/>
      <c r="Q1491" s="1354"/>
      <c r="R1491" s="1354"/>
      <c r="S1491" s="1354"/>
      <c r="T1491" s="1354"/>
      <c r="U1491" s="1354"/>
      <c r="V1491" s="1354"/>
      <c r="W1491" s="1354"/>
      <c r="X1491" s="1354"/>
      <c r="Y1491" s="1354"/>
      <c r="AC1491" s="1055" t="str">
        <f>A1491</f>
        <v>итого, рублей</v>
      </c>
      <c r="AD1491" s="1055">
        <f>(AD1489+AD1490)*B1492</f>
        <v>0</v>
      </c>
      <c r="AE1491" s="1055"/>
      <c r="AF1491" s="1055"/>
      <c r="AG1491" s="1055"/>
      <c r="AH1491" s="1055"/>
      <c r="AI1491" s="1055"/>
      <c r="AJ1491" s="1055"/>
      <c r="AK1491" s="1055"/>
      <c r="AL1491" s="1055"/>
      <c r="AM1491" s="1055"/>
      <c r="AN1491" s="1055"/>
      <c r="AO1491" s="1055"/>
      <c r="AQ1491" s="1197" t="str">
        <f>AC1491</f>
        <v>итого, рублей</v>
      </c>
      <c r="AR1491" s="1199">
        <f>(AR1489+AR1490)*B1492</f>
        <v>0</v>
      </c>
    </row>
    <row r="1492" spans="1:44" ht="15.75" customHeight="1">
      <c r="A1492" s="1913" t="s">
        <v>2396</v>
      </c>
      <c r="B1492" s="1773"/>
      <c r="C1492" s="1861" t="s">
        <v>3663</v>
      </c>
      <c r="D1492" s="1778"/>
      <c r="E1492" s="1778"/>
      <c r="F1492" s="1779"/>
      <c r="G1492" s="1354"/>
      <c r="H1492" s="1354"/>
      <c r="I1492" s="1858"/>
      <c r="J1492" s="1354"/>
      <c r="K1492" s="1354"/>
      <c r="L1492" s="1354"/>
      <c r="M1492" s="1354"/>
      <c r="N1492" s="1354"/>
      <c r="O1492" s="1354"/>
      <c r="P1492" s="1354"/>
      <c r="Q1492" s="1354"/>
      <c r="R1492" s="1354"/>
      <c r="S1492" s="1354"/>
      <c r="T1492" s="1354"/>
      <c r="U1492" s="1354"/>
      <c r="V1492" s="1354"/>
      <c r="W1492" s="1354"/>
      <c r="X1492" s="1354"/>
      <c r="Y1492" s="1354"/>
    </row>
    <row r="1493" spans="1:44" ht="15.75" customHeight="1">
      <c r="A1493" s="1354"/>
      <c r="B1493" s="1859"/>
      <c r="C1493" s="1859"/>
      <c r="D1493" s="1354"/>
      <c r="E1493" s="1354"/>
      <c r="F1493" s="1354"/>
      <c r="G1493" s="1354"/>
      <c r="H1493" s="1354"/>
      <c r="I1493" s="1858"/>
      <c r="J1493" s="1354"/>
      <c r="K1493" s="1354"/>
      <c r="L1493" s="1354"/>
      <c r="M1493" s="1354"/>
      <c r="N1493" s="1354"/>
      <c r="O1493" s="1354"/>
      <c r="P1493" s="1354"/>
      <c r="Q1493" s="1354"/>
      <c r="R1493" s="1354"/>
      <c r="S1493" s="1354"/>
      <c r="T1493" s="1354"/>
      <c r="U1493" s="1354"/>
      <c r="V1493" s="1354"/>
      <c r="W1493" s="1354"/>
      <c r="X1493" s="1354"/>
      <c r="Y1493" s="1354"/>
    </row>
    <row r="1494" spans="1:44" ht="15.75" hidden="1" customHeight="1" outlineLevel="1">
      <c r="A1494" s="1914" t="s">
        <v>3735</v>
      </c>
      <c r="B1494" s="1915"/>
      <c r="C1494" s="1915"/>
      <c r="D1494" s="1916"/>
      <c r="E1494" s="1916"/>
      <c r="F1494" s="1916"/>
      <c r="G1494" s="1916"/>
      <c r="H1494" s="1916"/>
      <c r="I1494" s="1917"/>
      <c r="J1494" s="1916"/>
      <c r="K1494" s="1916"/>
      <c r="L1494" s="1916"/>
      <c r="M1494" s="1916"/>
      <c r="N1494" s="1916"/>
      <c r="O1494" s="1916"/>
      <c r="P1494" s="1918"/>
      <c r="Q1494" s="1688"/>
      <c r="R1494" s="1354"/>
      <c r="S1494" s="1354"/>
      <c r="T1494" s="1354"/>
      <c r="U1494" s="1354"/>
      <c r="V1494" s="1354"/>
      <c r="W1494" s="1354"/>
      <c r="X1494" s="1354"/>
      <c r="Y1494" s="1354"/>
    </row>
    <row r="1495" spans="1:44" ht="15.75" hidden="1" customHeight="1" outlineLevel="1">
      <c r="A1495" s="1919"/>
      <c r="B1495" s="1920"/>
      <c r="C1495" s="1920"/>
      <c r="D1495" s="1921"/>
      <c r="E1495" s="1921"/>
      <c r="F1495" s="1921"/>
      <c r="G1495" s="1921"/>
      <c r="H1495" s="1921"/>
      <c r="I1495" s="1922"/>
      <c r="J1495" s="1921"/>
      <c r="K1495" s="1921"/>
      <c r="L1495" s="1921"/>
      <c r="M1495" s="1921"/>
      <c r="N1495" s="1921"/>
      <c r="O1495" s="1921"/>
      <c r="P1495" s="1923"/>
      <c r="Q1495" s="1688"/>
      <c r="R1495" s="1354"/>
      <c r="S1495" s="1354"/>
      <c r="T1495" s="1354"/>
      <c r="U1495" s="1354"/>
      <c r="V1495" s="1354"/>
      <c r="W1495" s="1354"/>
      <c r="X1495" s="1354"/>
      <c r="Y1495" s="1354"/>
    </row>
    <row r="1496" spans="1:44" ht="15.75" hidden="1" customHeight="1" outlineLevel="1">
      <c r="A1496" s="1821" t="s">
        <v>1806</v>
      </c>
      <c r="B1496" s="1822"/>
      <c r="C1496" s="1822"/>
      <c r="D1496" s="1823"/>
      <c r="E1496" s="1823"/>
      <c r="F1496" s="1824"/>
      <c r="G1496" s="1872">
        <f>'Ввод данных'!D1071</f>
        <v>1.1000000000000001</v>
      </c>
      <c r="H1496" s="1873"/>
      <c r="J1496" s="1808">
        <f>'Ввод данных'!D1072</f>
        <v>1</v>
      </c>
      <c r="K1496" s="1808"/>
      <c r="L1496" s="1808"/>
      <c r="M1496" s="1808"/>
      <c r="N1496" s="1808"/>
      <c r="O1496" s="1808"/>
      <c r="P1496" s="1808"/>
      <c r="Q1496" s="1688"/>
      <c r="R1496" s="1354"/>
      <c r="S1496" s="1354"/>
      <c r="T1496" s="1354"/>
      <c r="U1496" s="1354"/>
      <c r="V1496" s="1354"/>
      <c r="W1496" s="1354"/>
      <c r="X1496" s="1354"/>
      <c r="Y1496" s="1354"/>
    </row>
    <row r="1497" spans="1:44" ht="15.75" hidden="1" customHeight="1" outlineLevel="1">
      <c r="A1497" s="1684" t="s">
        <v>3736</v>
      </c>
      <c r="B1497" s="1633" t="s">
        <v>159</v>
      </c>
      <c r="C1497" s="1633"/>
      <c r="D1497" s="1924">
        <f>IF('Ввод данных'!A8=связи1!A153,1,0)+IF('Ввод данных'!A8=связи1!A171,1,0)+IF('Ввод данных'!A8=связи1!A172,1,0)+IF('Ввод данных'!A8=связи1!A173,1,0)+IF('Ввод данных'!A8=связи1!A174,1,0)+IF('Ввод данных'!A8=связи1!A175,1,0)+IF('Ввод данных'!A8=связи1!A176,1,0)+IF('Ввод данных'!A8=связи1!A177,1,0)+IF('Ввод данных'!A8=связи1!A178,1,0)+IF('Ввод данных'!A8=связи1!A179,1,0)+IF('Ввод данных'!A8=связи1!A170,1,0)</f>
        <v>0</v>
      </c>
      <c r="E1497" s="1808"/>
      <c r="F1497" s="1808"/>
      <c r="G1497" s="1808"/>
      <c r="H1497" s="1808"/>
      <c r="I1497" s="1809"/>
      <c r="J1497" s="1808"/>
      <c r="K1497" s="1808"/>
      <c r="L1497" s="1808"/>
      <c r="M1497" s="1808"/>
      <c r="N1497" s="1808"/>
      <c r="O1497" s="1808"/>
      <c r="P1497" s="1808"/>
      <c r="Q1497" s="1688"/>
      <c r="R1497" s="1354"/>
      <c r="S1497" s="1354"/>
      <c r="T1497" s="1354"/>
      <c r="U1497" s="1354"/>
      <c r="V1497" s="1354"/>
      <c r="W1497" s="1354"/>
      <c r="X1497" s="1354"/>
      <c r="Y1497" s="1354"/>
    </row>
    <row r="1498" spans="1:44" ht="15.75" hidden="1" customHeight="1" outlineLevel="1">
      <c r="A1498" s="1353" t="s">
        <v>3737</v>
      </c>
      <c r="B1498" s="1696" t="s">
        <v>156</v>
      </c>
      <c r="C1498" s="1773">
        <f>VLOOKUP('Ввод данных'!A1075,связи1!A255:F296,3,0)*0.001</f>
        <v>0.1</v>
      </c>
      <c r="D1498" s="1380"/>
      <c r="E1498" s="1814"/>
      <c r="F1498" s="1380"/>
      <c r="G1498" s="1354"/>
      <c r="H1498" s="1354"/>
      <c r="I1498" s="1858"/>
      <c r="J1498" s="1354"/>
      <c r="K1498" s="1354"/>
      <c r="L1498" s="1354"/>
      <c r="M1498" s="1354"/>
      <c r="N1498" s="1354"/>
      <c r="O1498" s="1354"/>
      <c r="P1498" s="1354"/>
      <c r="Q1498" s="1354"/>
      <c r="R1498" s="1354"/>
      <c r="S1498" s="1354"/>
      <c r="T1498" s="1354"/>
      <c r="U1498" s="1354"/>
      <c r="V1498" s="1354"/>
      <c r="W1498" s="1354"/>
      <c r="X1498" s="1354"/>
      <c r="Y1498" s="1354"/>
    </row>
    <row r="1499" spans="1:44" ht="15.75" hidden="1" customHeight="1" outlineLevel="1">
      <c r="A1499" s="1353" t="s">
        <v>3738</v>
      </c>
      <c r="B1499" s="1696" t="s">
        <v>156</v>
      </c>
      <c r="C1499" s="1773">
        <f>VLOOKUP('Ввод данных'!A1077,связи1!A255:F296,3,0)*0.001</f>
        <v>0.1</v>
      </c>
      <c r="D1499" s="1380"/>
      <c r="E1499" s="1814"/>
      <c r="F1499" s="1380"/>
      <c r="G1499" s="1354"/>
      <c r="H1499" s="1354"/>
      <c r="I1499" s="1858"/>
      <c r="J1499" s="1354"/>
      <c r="K1499" s="1354"/>
      <c r="L1499" s="1354"/>
      <c r="M1499" s="1354"/>
      <c r="N1499" s="1354"/>
      <c r="O1499" s="1354"/>
      <c r="P1499" s="1354"/>
      <c r="Q1499" s="1354"/>
      <c r="R1499" s="1354"/>
      <c r="S1499" s="1354"/>
      <c r="T1499" s="1354"/>
      <c r="U1499" s="1354"/>
      <c r="V1499" s="1354"/>
      <c r="W1499" s="1354"/>
      <c r="X1499" s="1354"/>
      <c r="Y1499" s="1354"/>
    </row>
    <row r="1500" spans="1:44" ht="15.75" hidden="1" customHeight="1" outlineLevel="1">
      <c r="A1500" s="1846" t="s">
        <v>3739</v>
      </c>
      <c r="B1500" s="1696" t="s">
        <v>156</v>
      </c>
      <c r="C1500" s="1773">
        <f>VLOOKUP('Ввод данных'!A1079,связи1!A255:F296,3,0)*0.001</f>
        <v>0.4</v>
      </c>
      <c r="D1500" s="1924">
        <v>1</v>
      </c>
      <c r="E1500" s="1814"/>
      <c r="F1500" s="1380"/>
      <c r="G1500" s="1354"/>
      <c r="H1500" s="1354"/>
      <c r="I1500" s="1858"/>
      <c r="J1500" s="1354"/>
      <c r="K1500" s="1354"/>
      <c r="L1500" s="1354"/>
      <c r="M1500" s="1354"/>
      <c r="N1500" s="1354"/>
      <c r="O1500" s="1354"/>
      <c r="P1500" s="1354"/>
      <c r="Q1500" s="1354"/>
      <c r="R1500" s="1354"/>
      <c r="S1500" s="1354"/>
      <c r="T1500" s="1354"/>
      <c r="U1500" s="1354"/>
      <c r="V1500" s="1354"/>
      <c r="W1500" s="1354"/>
      <c r="X1500" s="1354"/>
      <c r="Y1500" s="1354"/>
    </row>
    <row r="1501" spans="1:44" ht="15.75" hidden="1" customHeight="1" outlineLevel="1">
      <c r="A1501" s="1846" t="s">
        <v>3740</v>
      </c>
      <c r="B1501" s="1696" t="s">
        <v>156</v>
      </c>
      <c r="C1501" s="1831"/>
      <c r="D1501" s="1924"/>
      <c r="E1501" s="1814"/>
      <c r="F1501" s="1380"/>
      <c r="G1501" s="1354"/>
      <c r="H1501" s="1354"/>
      <c r="I1501" s="1858"/>
      <c r="J1501" s="1354"/>
      <c r="K1501" s="1354"/>
      <c r="L1501" s="1354"/>
      <c r="M1501" s="1354"/>
      <c r="N1501" s="1354"/>
      <c r="O1501" s="1354"/>
      <c r="P1501" s="1354"/>
      <c r="Q1501" s="1354"/>
      <c r="R1501" s="1354"/>
      <c r="S1501" s="1354"/>
      <c r="T1501" s="1354"/>
      <c r="U1501" s="1354"/>
      <c r="V1501" s="1354"/>
      <c r="W1501" s="1354"/>
      <c r="X1501" s="1354"/>
      <c r="Y1501" s="1354"/>
    </row>
    <row r="1502" spans="1:44" ht="15.75" hidden="1" customHeight="1" outlineLevel="1">
      <c r="A1502" s="1846" t="s">
        <v>3741</v>
      </c>
      <c r="B1502" s="1696" t="s">
        <v>156</v>
      </c>
      <c r="C1502" s="1831"/>
      <c r="D1502" s="1924"/>
      <c r="E1502" s="1814"/>
      <c r="F1502" s="1380"/>
      <c r="G1502" s="1354"/>
      <c r="H1502" s="1354"/>
      <c r="I1502" s="1858"/>
      <c r="J1502" s="1354"/>
      <c r="K1502" s="1354"/>
      <c r="L1502" s="1354"/>
      <c r="M1502" s="1354"/>
      <c r="N1502" s="1354"/>
      <c r="O1502" s="1354"/>
      <c r="P1502" s="1354"/>
      <c r="Q1502" s="1354"/>
      <c r="R1502" s="1354"/>
      <c r="S1502" s="1354"/>
      <c r="T1502" s="1354"/>
      <c r="U1502" s="1354"/>
      <c r="V1502" s="1354"/>
      <c r="W1502" s="1354"/>
      <c r="X1502" s="1354"/>
      <c r="Y1502" s="1354"/>
    </row>
    <row r="1503" spans="1:44" ht="15.75" hidden="1" customHeight="1" outlineLevel="1">
      <c r="A1503" s="1846" t="s">
        <v>3742</v>
      </c>
      <c r="B1503" s="1696" t="s">
        <v>159</v>
      </c>
      <c r="C1503" s="1773">
        <v>7</v>
      </c>
      <c r="D1503" s="1561"/>
      <c r="E1503" s="1925"/>
      <c r="F1503" s="1561"/>
      <c r="G1503" s="1926"/>
      <c r="H1503" s="1926"/>
      <c r="I1503" s="1927"/>
      <c r="J1503" s="1354"/>
      <c r="K1503" s="1354"/>
      <c r="L1503" s="1354"/>
      <c r="M1503" s="1354"/>
      <c r="N1503" s="1354"/>
      <c r="O1503" s="1354"/>
      <c r="P1503" s="1354"/>
      <c r="Q1503" s="1354"/>
      <c r="R1503" s="1354"/>
      <c r="S1503" s="1354"/>
      <c r="T1503" s="1354"/>
      <c r="U1503" s="1354"/>
      <c r="V1503" s="1354"/>
      <c r="W1503" s="1354"/>
      <c r="X1503" s="1354"/>
      <c r="Y1503" s="1354"/>
    </row>
    <row r="1504" spans="1:44" ht="15.75" hidden="1" customHeight="1" outlineLevel="1">
      <c r="A1504" s="1846" t="s">
        <v>3743</v>
      </c>
      <c r="B1504" s="1696" t="s">
        <v>156</v>
      </c>
      <c r="C1504" s="1831">
        <f>фундамент!C263</f>
        <v>56</v>
      </c>
      <c r="D1504" s="1928"/>
      <c r="E1504" s="1642"/>
      <c r="F1504" s="1561"/>
      <c r="G1504" s="1926"/>
      <c r="H1504" s="1926"/>
      <c r="I1504" s="1927"/>
      <c r="J1504" s="1354"/>
      <c r="K1504" s="1354"/>
      <c r="L1504" s="1354"/>
      <c r="M1504" s="1354"/>
      <c r="N1504" s="1354"/>
      <c r="O1504" s="1354"/>
      <c r="P1504" s="1354"/>
      <c r="Q1504" s="1354"/>
      <c r="R1504" s="1354"/>
      <c r="S1504" s="1354"/>
      <c r="T1504" s="1354"/>
      <c r="U1504" s="1354"/>
      <c r="V1504" s="1354"/>
      <c r="W1504" s="1354"/>
      <c r="X1504" s="1354"/>
      <c r="Y1504" s="1354"/>
    </row>
    <row r="1505" spans="1:25" ht="15.75" hidden="1" customHeight="1" outlineLevel="1">
      <c r="A1505" s="1846" t="s">
        <v>3744</v>
      </c>
      <c r="B1505" s="1696" t="s">
        <v>156</v>
      </c>
      <c r="C1505" s="1831" t="e">
        <f>(C15-1)*(C16+C16+C17+C17+#REF!+#REF!+#REF!+#REF!+#REF!+#REF!+#REF!+#REF!)+пристройка!D2*(пристройка!C5*пристройка!C85*пристройка!C27)+D1229*C1233*E1237*C1275</f>
        <v>#REF!</v>
      </c>
      <c r="D1505" s="1928"/>
      <c r="E1505" s="1929"/>
      <c r="F1505" s="1561"/>
      <c r="G1505" s="1926"/>
      <c r="H1505" s="1926"/>
      <c r="I1505" s="1927"/>
      <c r="J1505" s="1354"/>
      <c r="K1505" s="1354"/>
      <c r="L1505" s="1354"/>
      <c r="M1505" s="1354"/>
      <c r="N1505" s="1354"/>
      <c r="O1505" s="1354"/>
      <c r="P1505" s="1354"/>
      <c r="Q1505" s="1354"/>
      <c r="R1505" s="1354"/>
      <c r="S1505" s="1354"/>
      <c r="T1505" s="1354"/>
      <c r="U1505" s="1354"/>
      <c r="V1505" s="1354"/>
      <c r="W1505" s="1354"/>
      <c r="X1505" s="1354"/>
      <c r="Y1505" s="1354"/>
    </row>
    <row r="1506" spans="1:25" ht="15.75" hidden="1" customHeight="1" outlineLevel="1">
      <c r="A1506" s="1846"/>
      <c r="B1506" s="1696"/>
      <c r="C1506" s="1831"/>
      <c r="D1506" s="1928" t="s">
        <v>853</v>
      </c>
      <c r="E1506" s="1930" t="s">
        <v>3745</v>
      </c>
      <c r="F1506" s="1055" t="s">
        <v>3746</v>
      </c>
      <c r="G1506" s="1642" t="s">
        <v>3747</v>
      </c>
      <c r="H1506" s="1561"/>
      <c r="I1506" s="1927"/>
      <c r="J1506" s="1354"/>
      <c r="K1506" s="1354"/>
      <c r="L1506" s="1354"/>
      <c r="M1506" s="1354"/>
      <c r="N1506" s="1354"/>
      <c r="O1506" s="1354"/>
      <c r="P1506" s="1354"/>
      <c r="Q1506" s="1354"/>
      <c r="R1506" s="1354"/>
      <c r="S1506" s="1354"/>
      <c r="T1506" s="1354"/>
      <c r="U1506" s="1354"/>
      <c r="V1506" s="1354"/>
      <c r="W1506" s="1354"/>
      <c r="X1506" s="1354"/>
      <c r="Y1506" s="1354"/>
    </row>
    <row r="1507" spans="1:25" ht="15.75" hidden="1" customHeight="1" outlineLevel="1">
      <c r="A1507" s="1846" t="s">
        <v>3748</v>
      </c>
      <c r="B1507" s="1696" t="s">
        <v>156</v>
      </c>
      <c r="C1507" s="1696">
        <f>C1498</f>
        <v>0.1</v>
      </c>
      <c r="D1507" s="1642">
        <f>D1319+D1319+(C1319-C1498*2)*2</f>
        <v>39.6</v>
      </c>
      <c r="E1507" s="1930">
        <f>D1507*C1507*E1504</f>
        <v>0</v>
      </c>
      <c r="F1507" s="1055">
        <f>D1507*(B1319-1)</f>
        <v>0</v>
      </c>
      <c r="G1507" s="1642">
        <f>D1507*(B1319-1)*C1507*E1505</f>
        <v>0</v>
      </c>
      <c r="H1507" s="1561"/>
      <c r="I1507" s="1927"/>
      <c r="J1507" s="1354"/>
      <c r="K1507" s="1354"/>
      <c r="L1507" s="1354"/>
      <c r="M1507" s="1354"/>
      <c r="N1507" s="1354"/>
      <c r="O1507" s="1354"/>
      <c r="P1507" s="1354"/>
      <c r="Q1507" s="1354"/>
      <c r="R1507" s="1354"/>
      <c r="S1507" s="1354"/>
      <c r="T1507" s="1354"/>
      <c r="U1507" s="1354"/>
      <c r="V1507" s="1354"/>
      <c r="W1507" s="1354"/>
      <c r="X1507" s="1354"/>
      <c r="Y1507" s="1354"/>
    </row>
    <row r="1508" spans="1:25" ht="15.75" hidden="1" customHeight="1" outlineLevel="1">
      <c r="A1508" s="1846" t="s">
        <v>3749</v>
      </c>
      <c r="B1508" s="1696" t="s">
        <v>156</v>
      </c>
      <c r="C1508" s="1696">
        <f>C1499</f>
        <v>0.1</v>
      </c>
      <c r="D1508" s="1642">
        <f>C1321*D1321+C1322*D1322+C1323*D1323+C1324*D1324+C1329*D1329+C1330*D1330+C1331*D1331+C1332*D1332</f>
        <v>16</v>
      </c>
      <c r="E1508" s="1930">
        <f>D1508*C1508*E1504</f>
        <v>0</v>
      </c>
      <c r="F1508" s="1055">
        <f>(N1321*O1321+N1322*O1322+N1323*O1323+N1324*O1324+N1329*O1329+N1330*O1330+N1331*O1331+N1332*O1332)*(B1319-1)</f>
        <v>0</v>
      </c>
      <c r="G1508" s="1642">
        <f>(N1321*O1321+N1322*O1322+N1323*O1323+N1324*O1324+N1329*O1329+N1330*O1330+N1331*O1331+N1332*O1332)*(B1319-1)*C1508*E1505</f>
        <v>0</v>
      </c>
      <c r="H1508" s="1561"/>
      <c r="I1508" s="1927"/>
      <c r="J1508" s="1354"/>
      <c r="K1508" s="1354"/>
      <c r="L1508" s="1354"/>
      <c r="M1508" s="1354"/>
      <c r="N1508" s="1354"/>
      <c r="O1508" s="1354"/>
      <c r="P1508" s="1354"/>
      <c r="Q1508" s="1354"/>
      <c r="R1508" s="1354"/>
      <c r="S1508" s="1354"/>
      <c r="T1508" s="1354"/>
      <c r="U1508" s="1354"/>
      <c r="V1508" s="1354"/>
      <c r="W1508" s="1354"/>
      <c r="X1508" s="1354"/>
      <c r="Y1508" s="1354"/>
    </row>
    <row r="1509" spans="1:25" ht="15.75" hidden="1" customHeight="1" outlineLevel="1">
      <c r="A1509" s="1839" t="s">
        <v>3750</v>
      </c>
      <c r="B1509" s="1696" t="s">
        <v>154</v>
      </c>
      <c r="C1509" s="1773">
        <f>'Ввод данных'!C1110</f>
        <v>0</v>
      </c>
      <c r="D1509" s="1928">
        <v>1</v>
      </c>
      <c r="E1509" s="1925"/>
      <c r="F1509" s="1561"/>
      <c r="G1509" s="1926"/>
      <c r="H1509" s="1926"/>
      <c r="I1509" s="1927"/>
      <c r="J1509" s="1354"/>
      <c r="K1509" s="1354"/>
      <c r="L1509" s="1354"/>
      <c r="M1509" s="1354"/>
      <c r="N1509" s="1354"/>
      <c r="O1509" s="1354"/>
      <c r="P1509" s="1354"/>
      <c r="Q1509" s="1354"/>
      <c r="R1509" s="1354"/>
      <c r="S1509" s="1354"/>
      <c r="T1509" s="1354"/>
      <c r="U1509" s="1354"/>
      <c r="V1509" s="1354"/>
      <c r="W1509" s="1354"/>
      <c r="X1509" s="1354"/>
      <c r="Y1509" s="1354"/>
    </row>
    <row r="1510" spans="1:25" ht="15.75" hidden="1" customHeight="1" outlineLevel="1">
      <c r="A1510" s="1874" t="s">
        <v>3669</v>
      </c>
      <c r="B1510" s="1696" t="s">
        <v>156</v>
      </c>
      <c r="C1510" s="1773">
        <f>'Ввод данных'!C1106</f>
        <v>0</v>
      </c>
      <c r="D1510" s="1346">
        <f>IF(A1579='Прайс лист'!B744,0,1)</f>
        <v>0</v>
      </c>
      <c r="F1510" s="1354"/>
      <c r="G1510" s="1354"/>
      <c r="H1510" s="1354"/>
      <c r="I1510" s="1858"/>
      <c r="J1510" s="1354"/>
      <c r="K1510" s="1354"/>
      <c r="L1510" s="1354"/>
      <c r="M1510" s="1354"/>
      <c r="N1510" s="1354"/>
      <c r="O1510" s="1354"/>
      <c r="P1510" s="1354"/>
      <c r="Q1510" s="1354"/>
      <c r="R1510" s="1290"/>
      <c r="S1510" s="1290"/>
      <c r="T1510" s="1290"/>
      <c r="U1510" s="1290"/>
      <c r="V1510" s="1290"/>
      <c r="W1510" s="1290"/>
      <c r="X1510" s="1290"/>
      <c r="Y1510" s="1290"/>
    </row>
    <row r="1511" spans="1:25" s="1197" customFormat="1" ht="15.75" hidden="1" customHeight="1" outlineLevel="1">
      <c r="A1511" s="1691" t="s">
        <v>3751</v>
      </c>
      <c r="B1511" s="1696" t="s">
        <v>133</v>
      </c>
      <c r="C1511" s="1696">
        <f>C1519*1.15</f>
        <v>0</v>
      </c>
      <c r="D1511" s="1924">
        <f>IF(A1581='Прайс лист'!B793,0,1)</f>
        <v>0</v>
      </c>
      <c r="E1511" s="1290"/>
      <c r="F1511" s="1354"/>
      <c r="G1511" s="1354"/>
      <c r="H1511" s="1354"/>
      <c r="W1511" s="1290"/>
      <c r="X1511" s="1290"/>
      <c r="Y1511" s="1290"/>
    </row>
    <row r="1512" spans="1:25" s="1197" customFormat="1" ht="15.75" hidden="1" customHeight="1" outlineLevel="1">
      <c r="A1512" s="1931" t="s">
        <v>3626</v>
      </c>
      <c r="B1512" s="1932"/>
      <c r="C1512" s="1933"/>
      <c r="D1512" s="1805"/>
      <c r="E1512" s="1805"/>
      <c r="F1512" s="1805"/>
      <c r="G1512" s="1380"/>
      <c r="H1512" s="1380"/>
      <c r="W1512" s="1290"/>
      <c r="X1512" s="1290"/>
      <c r="Y1512" s="1290"/>
    </row>
    <row r="1513" spans="1:25" s="1197" customFormat="1" ht="15.75" hidden="1" customHeight="1" outlineLevel="1">
      <c r="A1513" s="1839" t="s">
        <v>3678</v>
      </c>
      <c r="B1513" s="1600" t="s">
        <v>133</v>
      </c>
      <c r="C1513" s="1696">
        <f>B1319*C1319*D1319+пристройка!D2*(пристройка!C9*пристройка!C25*пристройка!C3+пристройка!C10*пристройка!C5*пристройка!C26)+D1229*C1235</f>
        <v>100</v>
      </c>
      <c r="D1513" s="1805"/>
      <c r="E1513" s="1805"/>
      <c r="F1513" s="1805"/>
      <c r="G1513" s="1857"/>
      <c r="H1513" s="1857"/>
      <c r="W1513" s="1290"/>
      <c r="X1513" s="1290"/>
      <c r="Y1513" s="1290"/>
    </row>
    <row r="1514" spans="1:25" s="1197" customFormat="1" ht="15.75" hidden="1" customHeight="1" outlineLevel="1">
      <c r="A1514" s="1839" t="s">
        <v>3628</v>
      </c>
      <c r="B1514" s="1600" t="s">
        <v>133</v>
      </c>
      <c r="C1514" s="1696">
        <f>C1525</f>
        <v>100</v>
      </c>
      <c r="D1514" s="1805"/>
      <c r="E1514" s="1805"/>
      <c r="F1514" s="1805"/>
      <c r="G1514" s="1857"/>
      <c r="H1514" s="1857"/>
      <c r="W1514" s="1290"/>
      <c r="X1514" s="1290"/>
      <c r="Y1514" s="1290"/>
    </row>
    <row r="1515" spans="1:25" s="1197" customFormat="1" ht="15.75" hidden="1" customHeight="1" outlineLevel="1">
      <c r="A1515" s="1839" t="s">
        <v>3680</v>
      </c>
      <c r="B1515" s="1600" t="s">
        <v>156</v>
      </c>
      <c r="C1515" s="1696">
        <f>C1366</f>
        <v>56</v>
      </c>
      <c r="D1515" s="1857"/>
      <c r="E1515" s="1805"/>
      <c r="F1515" s="1805"/>
      <c r="G1515" s="1857"/>
      <c r="H1515" s="1857"/>
      <c r="W1515" s="1290"/>
      <c r="X1515" s="1290"/>
      <c r="Y1515" s="1290"/>
    </row>
    <row r="1516" spans="1:25" s="1197" customFormat="1" ht="15.75" hidden="1" customHeight="1" outlineLevel="1">
      <c r="A1516" s="1839" t="s">
        <v>3752</v>
      </c>
      <c r="B1516" s="1600" t="s">
        <v>156</v>
      </c>
      <c r="C1516" s="1696">
        <f>((C1319+D1319+C1319+D1319)*B1319+пристройка!D2*пристройка!C85*пристройка!D84*пристройка!C3+D1229*C1275*E1274*C1232+пристройка!D2*пристройка!C85*пристройка!C5*пристройка!D84+D1229*C1233*C1275*E1274)</f>
        <v>40</v>
      </c>
      <c r="D1516" s="1857">
        <f>C1516*C1498</f>
        <v>4</v>
      </c>
      <c r="E1516" s="1805"/>
      <c r="F1516" s="1805"/>
      <c r="G1516" s="1857"/>
      <c r="H1516" s="1857"/>
      <c r="W1516" s="1290"/>
      <c r="X1516" s="1290"/>
      <c r="Y1516" s="1290"/>
    </row>
    <row r="1517" spans="1:25" s="1197" customFormat="1" ht="15.75" hidden="1" customHeight="1" outlineLevel="1">
      <c r="A1517" s="1839" t="s">
        <v>3753</v>
      </c>
      <c r="B1517" s="1600" t="s">
        <v>156</v>
      </c>
      <c r="C1517" s="1696">
        <f>(C1321*D1321+C1322*D1322+C1323*D1323+C1329*D1329+C1330*D1330+C1331*D1331+C1332*D1332)+(N1321*O1321+N1322*O1322+N1323*O1323+N1329*O1329+N1330*O1330+N1331*O1331+C1324*D1324+N1324*O1324+N1332*O1332)*(B1319-1)</f>
        <v>16</v>
      </c>
      <c r="D1517" s="1857">
        <f>C1499*C1517</f>
        <v>1.6</v>
      </c>
      <c r="E1517" s="1805"/>
      <c r="F1517" s="1805" t="s">
        <v>3754</v>
      </c>
      <c r="G1517" s="1857">
        <f>C1498*C1498*2*E1319+(B1319-1)*F1319*2*C1498*C1498</f>
        <v>6.0000000000000012E-2</v>
      </c>
      <c r="H1517" s="1857"/>
      <c r="W1517" s="1290"/>
      <c r="X1517" s="1290"/>
      <c r="Y1517" s="1290"/>
    </row>
    <row r="1518" spans="1:25" s="1197" customFormat="1" ht="15.75" hidden="1" customHeight="1" outlineLevel="1">
      <c r="A1518" s="1839" t="s">
        <v>3755</v>
      </c>
      <c r="B1518" s="1600" t="s">
        <v>156</v>
      </c>
      <c r="C1518" s="1696">
        <f>(C1325*D1325+C1326*D1326+C1327*D1327+C1328*D1328+C1333*D1333+C1334*D1334+C1335*D1335)+(C1336*D1336+N1325*O1325+N1326*O1326+N1327*O1327+N1328*O1328+N1333*O1333+N1334*O1334+N1335*O1335+N1336*O1336)*(B1319-1)+пристройка!D2*(пристройка!AM38)</f>
        <v>7.8</v>
      </c>
      <c r="D1518" s="1857">
        <f>C1518*C1500</f>
        <v>3.12</v>
      </c>
      <c r="E1518" s="1805"/>
      <c r="F1518" s="1805"/>
      <c r="G1518" s="1857"/>
      <c r="H1518" s="1857"/>
      <c r="W1518" s="1290"/>
      <c r="X1518" s="1290"/>
      <c r="Y1518" s="1290"/>
    </row>
    <row r="1519" spans="1:25" s="1197" customFormat="1" ht="15.75" hidden="1" customHeight="1" outlineLevel="1">
      <c r="A1519" s="1839" t="s">
        <v>3633</v>
      </c>
      <c r="B1519" s="1600" t="s">
        <v>133</v>
      </c>
      <c r="C1519" s="1841">
        <f>связи1!C153*D1497</f>
        <v>0</v>
      </c>
      <c r="D1519" s="1857">
        <f>SUM(D1516:D1518)</f>
        <v>8.7199999999999989</v>
      </c>
      <c r="E1519" s="1805"/>
      <c r="F1519" s="1805"/>
      <c r="G1519" s="1857"/>
      <c r="H1519" s="1857"/>
      <c r="W1519" s="1290"/>
      <c r="X1519" s="1290"/>
      <c r="Y1519" s="1290"/>
    </row>
    <row r="1520" spans="1:25" s="1197" customFormat="1" ht="15.75" hidden="1" customHeight="1" outlineLevel="1">
      <c r="A1520" s="1839" t="s">
        <v>3687</v>
      </c>
      <c r="B1520" s="1600" t="s">
        <v>133</v>
      </c>
      <c r="C1520" s="1841">
        <f>C1519</f>
        <v>0</v>
      </c>
      <c r="D1520" s="1392"/>
      <c r="E1520" s="1805"/>
      <c r="F1520" s="1805"/>
      <c r="G1520" s="1857"/>
      <c r="H1520" s="1857"/>
      <c r="W1520" s="1290"/>
      <c r="X1520" s="1290"/>
      <c r="Y1520" s="1290"/>
    </row>
    <row r="1521" spans="1:25" s="1197" customFormat="1" ht="15.75" hidden="1" customHeight="1" outlineLevel="1">
      <c r="A1521" s="1839" t="s">
        <v>3635</v>
      </c>
      <c r="B1521" s="1600"/>
      <c r="C1521" s="1841">
        <f>связи1!D153*D1497</f>
        <v>0</v>
      </c>
      <c r="D1521" s="1857"/>
      <c r="E1521" s="1805"/>
      <c r="F1521" s="1805"/>
      <c r="G1521" s="1857"/>
      <c r="H1521" s="1857"/>
      <c r="W1521" s="1290"/>
      <c r="X1521" s="1290"/>
      <c r="Y1521" s="1290"/>
    </row>
    <row r="1522" spans="1:25" ht="15.75" hidden="1" customHeight="1" outlineLevel="1">
      <c r="A1522" s="1839" t="s">
        <v>3636</v>
      </c>
      <c r="B1522" s="1600" t="s">
        <v>133</v>
      </c>
      <c r="C1522" s="1841">
        <f>связи1!E153*D1497</f>
        <v>0</v>
      </c>
      <c r="D1522" s="1857"/>
      <c r="E1522" s="1805"/>
      <c r="F1522" s="1805"/>
      <c r="G1522" s="1857"/>
      <c r="H1522" s="1857"/>
      <c r="I1522" s="1829"/>
      <c r="J1522" s="1354"/>
      <c r="K1522" s="1354"/>
      <c r="L1522" s="1354"/>
      <c r="M1522" s="1354"/>
      <c r="N1522" s="1354"/>
      <c r="O1522" s="1354"/>
      <c r="P1522" s="1354"/>
      <c r="Q1522" s="1354"/>
      <c r="R1522" s="1290"/>
      <c r="S1522" s="1290"/>
      <c r="T1522" s="1290"/>
      <c r="U1522" s="1290"/>
      <c r="V1522" s="1290"/>
      <c r="W1522" s="1290"/>
      <c r="X1522" s="1290"/>
      <c r="Y1522" s="1290"/>
    </row>
    <row r="1523" spans="1:25" ht="15.75" hidden="1" customHeight="1" outlineLevel="1">
      <c r="A1523" s="1839" t="s">
        <v>3638</v>
      </c>
      <c r="B1523" s="1600" t="s">
        <v>133</v>
      </c>
      <c r="C1523" s="1841">
        <f>(C1521+C1522)</f>
        <v>0</v>
      </c>
      <c r="D1523" s="1857"/>
      <c r="E1523" s="1805"/>
      <c r="F1523" s="1805"/>
      <c r="G1523" s="1857"/>
      <c r="H1523" s="1857"/>
      <c r="I1523" s="1829"/>
      <c r="J1523" s="1354"/>
      <c r="K1523" s="1354"/>
      <c r="L1523" s="1354"/>
      <c r="M1523" s="1354"/>
      <c r="N1523" s="1354"/>
      <c r="O1523" s="1354"/>
      <c r="P1523" s="1354"/>
      <c r="Q1523" s="1354"/>
      <c r="R1523" s="1290"/>
      <c r="S1523" s="1290"/>
      <c r="T1523" s="1290"/>
      <c r="U1523" s="1290"/>
      <c r="V1523" s="1290"/>
      <c r="W1523" s="1290"/>
      <c r="X1523" s="1290"/>
      <c r="Y1523" s="1290"/>
    </row>
    <row r="1524" spans="1:25" ht="15.75" hidden="1" customHeight="1" outlineLevel="1">
      <c r="A1524" s="1839" t="s">
        <v>3639</v>
      </c>
      <c r="B1524" s="1600" t="s">
        <v>133</v>
      </c>
      <c r="C1524" s="1696">
        <f>C16*C17*E44+C16*C17*E45*(C15-1)+B1115*(1-E44)*(E1189+C1189)+I1115*(1-E44)*(F1132*F1133)+(1-E44)*L1115*L1189+(J1215+K1215)*G1202+D1229*(C1236*E1236+C1237*E1237)+(C15-1)*B1115*(C1189+E1189)*(1-E45)+(C15-1)*(F1132*F1133)*I1115*(1-E45)+(C15-1)*L1115*L1189*(1-E45)-F1363+пристройка!L14+пристройка!L15</f>
        <v>90.43</v>
      </c>
      <c r="D1524" s="1857"/>
      <c r="E1524" s="1805"/>
      <c r="F1524" s="1805"/>
      <c r="G1524" s="1857"/>
      <c r="H1524" s="1857"/>
      <c r="I1524" s="1829"/>
      <c r="J1524" s="1354"/>
      <c r="K1524" s="1354"/>
      <c r="L1524" s="1354"/>
      <c r="M1524" s="1354"/>
      <c r="N1524" s="1354"/>
      <c r="O1524" s="1354"/>
      <c r="P1524" s="1354"/>
      <c r="Q1524" s="1354"/>
      <c r="R1524" s="1290"/>
      <c r="S1524" s="1290"/>
      <c r="T1524" s="1290"/>
      <c r="U1524" s="1290"/>
      <c r="V1524" s="1290"/>
      <c r="W1524" s="1290"/>
      <c r="X1524" s="1290"/>
      <c r="Y1524" s="1290"/>
    </row>
    <row r="1525" spans="1:25" ht="15.75" hidden="1" customHeight="1" outlineLevel="1">
      <c r="A1525" s="1839" t="s">
        <v>3690</v>
      </c>
      <c r="B1525" s="1600" t="s">
        <v>133</v>
      </c>
      <c r="C1525" s="1696">
        <f>C15*C16*C17+D1229*C1235+(пристройка!L12+пристройка!L13)*пристройка!D2</f>
        <v>100</v>
      </c>
      <c r="D1525" s="1857"/>
      <c r="E1525" s="1805"/>
      <c r="F1525" s="1805"/>
      <c r="G1525" s="1857"/>
      <c r="H1525" s="1857"/>
      <c r="I1525" s="1829"/>
      <c r="J1525" s="1354"/>
      <c r="K1525" s="1354"/>
      <c r="L1525" s="1354"/>
      <c r="M1525" s="1354"/>
      <c r="N1525" s="1354"/>
      <c r="O1525" s="1354"/>
      <c r="P1525" s="1354"/>
      <c r="Q1525" s="1354"/>
      <c r="R1525" s="1290"/>
      <c r="S1525" s="1290"/>
      <c r="T1525" s="1290"/>
      <c r="U1525" s="1290"/>
      <c r="V1525" s="1290"/>
      <c r="W1525" s="1290"/>
      <c r="X1525" s="1290"/>
      <c r="Y1525" s="1290"/>
    </row>
    <row r="1526" spans="1:25" ht="15.75" hidden="1" customHeight="1" outlineLevel="1">
      <c r="A1526" s="1839" t="s">
        <v>3642</v>
      </c>
      <c r="B1526" s="1600" t="s">
        <v>133</v>
      </c>
      <c r="C1526" s="1696">
        <f>C1319*D1319+пристройка!D2*пристройка!C9+D1229*C1279</f>
        <v>100</v>
      </c>
      <c r="D1526" s="1857"/>
      <c r="E1526" s="1805"/>
      <c r="F1526" s="1805"/>
      <c r="G1526" s="1857"/>
      <c r="H1526" s="1857"/>
      <c r="I1526" s="1829"/>
      <c r="J1526" s="1354"/>
      <c r="K1526" s="1354"/>
      <c r="L1526" s="1354"/>
      <c r="M1526" s="1354"/>
      <c r="N1526" s="1354"/>
      <c r="O1526" s="1354"/>
      <c r="P1526" s="1354"/>
      <c r="Q1526" s="1354"/>
      <c r="R1526" s="1290"/>
      <c r="S1526" s="1290"/>
      <c r="T1526" s="1290"/>
      <c r="U1526" s="1290"/>
      <c r="V1526" s="1290"/>
      <c r="W1526" s="1290"/>
      <c r="X1526" s="1290"/>
      <c r="Y1526" s="1290"/>
    </row>
    <row r="1527" spans="1:25" ht="15.75" hidden="1" customHeight="1" outlineLevel="1">
      <c r="A1527" s="1839" t="s">
        <v>3643</v>
      </c>
      <c r="B1527" s="1600" t="s">
        <v>133</v>
      </c>
      <c r="C1527" s="1696">
        <f>C1319*D1319*E44+пристройка!D2*пристройка!C10+D1229*пристройка!C10*пристройка!C26-(B1319-1)*4</f>
        <v>100</v>
      </c>
      <c r="D1527" s="1857"/>
      <c r="E1527" s="1805"/>
      <c r="F1527" s="1805"/>
      <c r="G1527" s="1857"/>
      <c r="H1527" s="1857"/>
      <c r="I1527" s="1829"/>
      <c r="J1527" s="1354"/>
      <c r="K1527" s="1354"/>
      <c r="L1527" s="1354"/>
      <c r="M1527" s="1354"/>
      <c r="N1527" s="1354"/>
      <c r="O1527" s="1354"/>
      <c r="P1527" s="1354"/>
      <c r="Q1527" s="1354"/>
      <c r="R1527" s="1290"/>
      <c r="S1527" s="1290"/>
      <c r="T1527" s="1290"/>
      <c r="U1527" s="1290"/>
      <c r="V1527" s="1290"/>
      <c r="W1527" s="1290"/>
      <c r="X1527" s="1290"/>
      <c r="Y1527" s="1290"/>
    </row>
    <row r="1528" spans="1:25" ht="15.75" hidden="1" customHeight="1" outlineLevel="1">
      <c r="A1528" s="1839" t="s">
        <v>3644</v>
      </c>
      <c r="B1528" s="1600" t="s">
        <v>133</v>
      </c>
      <c r="C1528" s="1696">
        <f>C16*C17*E45+B1115*C1189*(C15-1)+I1115*F1132*F1133*(C15-1)*(I1115-E45)+L1115*L1189*(C15-1)*(L1115-E45)+пристройка!D2*пристройка!C11+D1229*C1279</f>
        <v>0</v>
      </c>
      <c r="D1528" s="1857"/>
      <c r="E1528" s="1805"/>
      <c r="F1528" s="1805"/>
      <c r="G1528" s="1857"/>
      <c r="H1528" s="1857"/>
      <c r="I1528" s="1829"/>
      <c r="J1528" s="1354"/>
      <c r="K1528" s="1354"/>
      <c r="L1528" s="1354"/>
      <c r="M1528" s="1354"/>
      <c r="N1528" s="1354"/>
      <c r="O1528" s="1354"/>
      <c r="P1528" s="1354"/>
      <c r="Q1528" s="1354"/>
      <c r="R1528" s="1290"/>
      <c r="S1528" s="1290"/>
      <c r="T1528" s="1290"/>
      <c r="U1528" s="1290"/>
      <c r="V1528" s="1290"/>
      <c r="W1528" s="1290"/>
      <c r="X1528" s="1290"/>
      <c r="Y1528" s="1290"/>
    </row>
    <row r="1529" spans="1:25" ht="15.75" hidden="1" customHeight="1" outlineLevel="1">
      <c r="A1529" s="1839" t="s">
        <v>3645</v>
      </c>
      <c r="B1529" s="1600" t="s">
        <v>133</v>
      </c>
      <c r="C1529" s="1696">
        <f>SUM(C1526:C1528)</f>
        <v>200</v>
      </c>
      <c r="D1529" s="1857"/>
      <c r="E1529" s="1805"/>
      <c r="F1529" s="1805"/>
      <c r="G1529" s="1857"/>
      <c r="H1529" s="1857"/>
      <c r="I1529" s="1829"/>
      <c r="J1529" s="1354"/>
      <c r="K1529" s="1354"/>
      <c r="L1529" s="1354"/>
      <c r="M1529" s="1354"/>
      <c r="N1529" s="1354"/>
      <c r="O1529" s="1354"/>
      <c r="P1529" s="1354"/>
      <c r="Q1529" s="1354"/>
      <c r="R1529" s="1290"/>
      <c r="S1529" s="1290"/>
      <c r="T1529" s="1290"/>
      <c r="U1529" s="1290"/>
      <c r="V1529" s="1290"/>
      <c r="W1529" s="1290"/>
      <c r="X1529" s="1290"/>
      <c r="Y1529" s="1290"/>
    </row>
    <row r="1530" spans="1:25" ht="15.75" hidden="1" customHeight="1" outlineLevel="1">
      <c r="A1530" s="1934" t="s">
        <v>2720</v>
      </c>
      <c r="B1530" s="1935" t="s">
        <v>1094</v>
      </c>
      <c r="C1530" s="1935" t="s">
        <v>1802</v>
      </c>
      <c r="D1530" s="1055" t="s">
        <v>293</v>
      </c>
      <c r="E1530" s="1055" t="s">
        <v>853</v>
      </c>
      <c r="F1530" s="1278" t="s">
        <v>1800</v>
      </c>
      <c r="G1530" s="1055" t="s">
        <v>3756</v>
      </c>
      <c r="H1530" s="1055"/>
      <c r="I1530" s="1935" t="s">
        <v>2721</v>
      </c>
      <c r="J1530" s="1936" t="s">
        <v>2722</v>
      </c>
      <c r="K1530" s="1055" t="s">
        <v>3757</v>
      </c>
      <c r="L1530" s="1055" t="s">
        <v>3758</v>
      </c>
      <c r="M1530" s="1055"/>
      <c r="N1530" s="1055"/>
      <c r="O1530" s="1055" t="s">
        <v>293</v>
      </c>
      <c r="P1530" s="1055" t="s">
        <v>853</v>
      </c>
      <c r="Q1530" s="1278" t="s">
        <v>1800</v>
      </c>
      <c r="R1530" s="1055" t="s">
        <v>3757</v>
      </c>
      <c r="S1530" s="1055" t="s">
        <v>3759</v>
      </c>
      <c r="T1530" s="1055" t="s">
        <v>2809</v>
      </c>
    </row>
    <row r="1531" spans="1:25" ht="15.75" hidden="1" customHeight="1" outlineLevel="1">
      <c r="A1531" s="1839" t="str">
        <f>'Ввод данных'!A1075</f>
        <v xml:space="preserve">Газоблок D400 200х100х390 </v>
      </c>
      <c r="B1531" s="1696" t="s">
        <v>135</v>
      </c>
      <c r="C1531" s="1339">
        <f>C1519*C1498-C1534-C1535-C1536</f>
        <v>-3.12</v>
      </c>
      <c r="D1531" s="1055">
        <f>VLOOKUP('Ввод данных'!A1075,связи1!A255:D296,2,0)</f>
        <v>200</v>
      </c>
      <c r="E1531" s="1055">
        <f>VLOOKUP('Ввод данных'!A1075,связи1!A255:D296,4,0)</f>
        <v>390</v>
      </c>
      <c r="F1531" s="1278">
        <f>VLOOKUP('Ввод данных'!A1075,связи1!A255:D296,3,0)</f>
        <v>100</v>
      </c>
      <c r="G1531" s="1055">
        <f>C1531/K1531+Q29-C1537-C1538</f>
        <v>-400.72000000000008</v>
      </c>
      <c r="H1531" s="1055"/>
      <c r="I1531" s="1937">
        <f>VLOOKUP('Ввод данных'!A1075,связи1!A255:F296,6,0)</f>
        <v>4200</v>
      </c>
      <c r="J1531" s="1186">
        <f t="shared" ref="J1531:J1539" si="175">C1531*I1531</f>
        <v>-13104</v>
      </c>
      <c r="K1531" s="1938">
        <f t="shared" ref="K1531:K1538" si="176">D1531*E1531*F1531/1000000000</f>
        <v>7.7999999999999996E-3</v>
      </c>
      <c r="L1531" s="1055">
        <f>SQRT(D1531/1000*D1531/1000+E1531/1000*E1531/1000)</f>
        <v>0.43829214001622252</v>
      </c>
      <c r="M1531" s="1055"/>
      <c r="N1531" s="1055"/>
      <c r="O1531" s="1055">
        <f t="shared" ref="O1531:P1533" si="177">D1531-20</f>
        <v>180</v>
      </c>
      <c r="P1531" s="1055">
        <f t="shared" si="177"/>
        <v>370</v>
      </c>
      <c r="Q1531" s="1278">
        <f>F1531</f>
        <v>100</v>
      </c>
      <c r="R1531" s="1938">
        <f>O1531*P1531*Q1531/1000000000</f>
        <v>6.6600000000000001E-3</v>
      </c>
      <c r="S1531" s="1055">
        <f>G1531*R1531</f>
        <v>-2.6687952000000008</v>
      </c>
      <c r="T1531" s="1055">
        <f>C1531-S1531</f>
        <v>-0.4512047999999993</v>
      </c>
    </row>
    <row r="1532" spans="1:25" ht="15.75" hidden="1" customHeight="1" outlineLevel="1">
      <c r="A1532" s="1839" t="str">
        <f>'Ввод данных'!A1077</f>
        <v xml:space="preserve">Газоблок D500 200х100х390 </v>
      </c>
      <c r="B1532" s="1696" t="s">
        <v>135</v>
      </c>
      <c r="C1532" s="1339">
        <f>C1521*C1499</f>
        <v>0</v>
      </c>
      <c r="D1532" s="1055">
        <f>VLOOKUP('Ввод данных'!A1077,связи1!A255:D296,2,0)</f>
        <v>200</v>
      </c>
      <c r="E1532" s="1055">
        <f>VLOOKUP('Ввод данных'!A1077,связи1!A255:D296,4,0)</f>
        <v>390</v>
      </c>
      <c r="F1532" s="1278">
        <f>VLOOKUP('Ввод данных'!A1077,связи1!A255:D296,2,0)</f>
        <v>200</v>
      </c>
      <c r="G1532" s="1055">
        <f>C1532/K1532</f>
        <v>0</v>
      </c>
      <c r="H1532" s="1055"/>
      <c r="I1532" s="1937">
        <f>VLOOKUP('Ввод данных'!A1077,связи1!A255:F296,6,0)</f>
        <v>4200</v>
      </c>
      <c r="J1532" s="1186">
        <f t="shared" si="175"/>
        <v>0</v>
      </c>
      <c r="K1532" s="1938">
        <f t="shared" si="176"/>
        <v>1.5599999999999999E-2</v>
      </c>
      <c r="L1532" s="1055"/>
      <c r="M1532" s="1055"/>
      <c r="N1532" s="1055"/>
      <c r="O1532" s="1055">
        <f t="shared" si="177"/>
        <v>180</v>
      </c>
      <c r="P1532" s="1055">
        <f t="shared" si="177"/>
        <v>370</v>
      </c>
      <c r="Q1532" s="1278">
        <f>F1532</f>
        <v>200</v>
      </c>
      <c r="R1532" s="1938">
        <f>O1532*P1532*Q1532/1000000000</f>
        <v>1.332E-2</v>
      </c>
      <c r="S1532" s="1055">
        <f>G1532*R1532</f>
        <v>0</v>
      </c>
      <c r="T1532" s="1055">
        <f>C1532-S1532</f>
        <v>0</v>
      </c>
    </row>
    <row r="1533" spans="1:25" ht="15.75" hidden="1" customHeight="1" outlineLevel="1">
      <c r="A1533" s="1839" t="str">
        <f>'Ввод данных'!A1079</f>
        <v xml:space="preserve">Газоблок D400 200х400х390 </v>
      </c>
      <c r="B1533" s="1696" t="s">
        <v>135</v>
      </c>
      <c r="C1533" s="1339">
        <f>C1522*C1500</f>
        <v>0</v>
      </c>
      <c r="D1533" s="1055">
        <f>VLOOKUP('Ввод данных'!A1079,связи1!A255:D296,2,0)</f>
        <v>200</v>
      </c>
      <c r="E1533" s="1055">
        <f>VLOOKUP('Ввод данных'!A1079,связи1!A255:D296,4,0)</f>
        <v>390</v>
      </c>
      <c r="F1533" s="1278">
        <f>VLOOKUP('Ввод данных'!A1079,связи1!A255:D296,3,0)</f>
        <v>400</v>
      </c>
      <c r="G1533" s="1055">
        <f>C1533/K1533</f>
        <v>0</v>
      </c>
      <c r="H1533" s="1055"/>
      <c r="I1533" s="1937">
        <f>VLOOKUP('Ввод данных'!A1079,связи1!A255:F296,6,0)</f>
        <v>4200</v>
      </c>
      <c r="J1533" s="1186">
        <f t="shared" si="175"/>
        <v>0</v>
      </c>
      <c r="K1533" s="1938">
        <f t="shared" si="176"/>
        <v>3.1199999999999999E-2</v>
      </c>
      <c r="L1533" s="1055"/>
      <c r="M1533" s="1055"/>
      <c r="N1533" s="1055"/>
      <c r="O1533" s="1055">
        <f t="shared" si="177"/>
        <v>180</v>
      </c>
      <c r="P1533" s="1055">
        <f t="shared" si="177"/>
        <v>370</v>
      </c>
      <c r="Q1533" s="1278">
        <f>F1533</f>
        <v>400</v>
      </c>
      <c r="R1533" s="1938">
        <f>O1533*P1533*Q1533/1000000000</f>
        <v>2.664E-2</v>
      </c>
      <c r="S1533" s="1055">
        <f>G1533*R1533</f>
        <v>0</v>
      </c>
      <c r="T1533" s="1055">
        <f>C1533-S1533</f>
        <v>0</v>
      </c>
    </row>
    <row r="1534" spans="1:25" ht="15.75" hidden="1" customHeight="1" outlineLevel="1">
      <c r="A1534" s="1839" t="str">
        <f>VLOOKUP('Ввод данных'!A1075,связи1!A255:W296,14,0)</f>
        <v xml:space="preserve">Газоблокпоясной  D400 200х100х390 </v>
      </c>
      <c r="B1534" s="1696" t="s">
        <v>135</v>
      </c>
      <c r="C1534" s="1339">
        <f>G1534*K1534</f>
        <v>3.0888</v>
      </c>
      <c r="D1534" s="1055">
        <f>VLOOKUP('Ввод данных'!A1075,связи1!A255:W296,17,0)</f>
        <v>200</v>
      </c>
      <c r="E1534" s="1055">
        <f>VLOOKUP('Ввод данных'!A1075,связи1!A255:W296,18,0)</f>
        <v>100</v>
      </c>
      <c r="F1534" s="1278">
        <f>VLOOKUP('Ввод данных'!A1075,связи1!A255:W296,19,0)</f>
        <v>390</v>
      </c>
      <c r="G1534" s="1055">
        <f>J47/E1534*1000-G1535-G1536</f>
        <v>396</v>
      </c>
      <c r="H1534" s="1055"/>
      <c r="I1534" s="1939">
        <f>VLOOKUP('Ввод данных'!A1075,связи1!A255:W296,21,0)</f>
        <v>4200</v>
      </c>
      <c r="J1534" s="1186">
        <f t="shared" si="175"/>
        <v>12972.96</v>
      </c>
      <c r="K1534" s="1938">
        <f t="shared" si="176"/>
        <v>7.7999999999999996E-3</v>
      </c>
      <c r="L1534" s="1055" t="s">
        <v>3760</v>
      </c>
      <c r="M1534" s="1055"/>
      <c r="N1534" s="1055"/>
      <c r="O1534" s="1055">
        <f>IF('Ввод данных'!A1096=связи1!A315,1,0)+IF('Ввод данных'!A1096=связи1!A316,1,0)</f>
        <v>1</v>
      </c>
      <c r="P1534" s="1262"/>
      <c r="Q1534" s="1643"/>
      <c r="R1534" s="1940"/>
      <c r="S1534" s="1262"/>
      <c r="T1534" s="1262"/>
      <c r="U1534" s="1941"/>
      <c r="V1534" s="1942"/>
    </row>
    <row r="1535" spans="1:25" ht="15.75" hidden="1" customHeight="1" outlineLevel="1">
      <c r="A1535" s="1839" t="str">
        <f>VLOOKUP('Ввод данных'!A1075,связи1!A255:W296,16,0)</f>
        <v>Поясной 200х100х600 угловой внешний</v>
      </c>
      <c r="B1535" s="1696" t="s">
        <v>135</v>
      </c>
      <c r="C1535" s="1339">
        <f>G1535*K1535</f>
        <v>3.1199999999999999E-2</v>
      </c>
      <c r="D1535" s="1055">
        <f>VLOOKUP('Ввод данных'!A1075,связи1!A255:W296,17,0)</f>
        <v>200</v>
      </c>
      <c r="E1535" s="1055">
        <f>VLOOKUP('Ввод данных'!A1075,связи1!A255:W296,18,0)</f>
        <v>100</v>
      </c>
      <c r="F1535" s="1278">
        <f>VLOOKUP('Ввод данных'!A1075,связи1!A255:W296,19,0)</f>
        <v>390</v>
      </c>
      <c r="G1535" s="1055">
        <f>L48</f>
        <v>4</v>
      </c>
      <c r="H1535" s="1055"/>
      <c r="I1535" s="1939">
        <f>VLOOKUP('Ввод данных'!A1075,связи1!A255:W296,21,0)</f>
        <v>4200</v>
      </c>
      <c r="J1535" s="1186">
        <f t="shared" si="175"/>
        <v>131.04</v>
      </c>
      <c r="K1535" s="1938">
        <f t="shared" si="176"/>
        <v>7.7999999999999996E-3</v>
      </c>
      <c r="L1535" s="1055" t="s">
        <v>3760</v>
      </c>
      <c r="M1535" s="1055"/>
      <c r="N1535" s="1055"/>
      <c r="O1535" s="1055">
        <f>IF('Ввод данных'!A1096=связи1!A317,1,0)</f>
        <v>0</v>
      </c>
      <c r="P1535" s="1262"/>
      <c r="Q1535" s="1643"/>
      <c r="R1535" s="1940"/>
      <c r="S1535" s="1262"/>
      <c r="T1535" s="1262"/>
      <c r="U1535" s="1941"/>
      <c r="V1535" s="1942"/>
    </row>
    <row r="1536" spans="1:25" ht="15.75" hidden="1" customHeight="1" outlineLevel="1">
      <c r="A1536" s="1839" t="str">
        <f>VLOOKUP('Ввод данных'!A1075,связи1!A255:W296,15,0)</f>
        <v>Поясной 200х100х600 угловой внутренний</v>
      </c>
      <c r="B1536" s="1696" t="s">
        <v>135</v>
      </c>
      <c r="C1536" s="1339">
        <f>G1536*K1536</f>
        <v>0</v>
      </c>
      <c r="D1536" s="1055">
        <f>VLOOKUP('Ввод данных'!A1075,связи1!A255:W296,17,0)</f>
        <v>200</v>
      </c>
      <c r="E1536" s="1055">
        <f>VLOOKUP('Ввод данных'!A1075,связи1!A255:W296,18,0)</f>
        <v>100</v>
      </c>
      <c r="F1536" s="1278">
        <f>VLOOKUP('Ввод данных'!A1075,связи1!A255:W296,19,0)</f>
        <v>390</v>
      </c>
      <c r="G1536" s="1055">
        <f>L49</f>
        <v>0</v>
      </c>
      <c r="H1536" s="1055"/>
      <c r="I1536" s="1939">
        <f>VLOOKUP('Ввод данных'!A1075,связи1!A255:W296,21,0)</f>
        <v>4200</v>
      </c>
      <c r="J1536" s="1186">
        <f t="shared" si="175"/>
        <v>0</v>
      </c>
      <c r="K1536" s="1938">
        <f t="shared" si="176"/>
        <v>7.7999999999999996E-3</v>
      </c>
      <c r="L1536" s="1055" t="s">
        <v>3760</v>
      </c>
      <c r="M1536" s="1055"/>
      <c r="N1536" s="1055"/>
      <c r="O1536" s="1055">
        <f>IF('Ввод данных'!A1096=связи1!A317,1,0)</f>
        <v>0</v>
      </c>
      <c r="P1536" s="1262"/>
      <c r="Q1536" s="1643"/>
      <c r="R1536" s="1940"/>
      <c r="S1536" s="1262"/>
      <c r="T1536" s="1262"/>
      <c r="U1536" s="1941"/>
      <c r="V1536" s="1942"/>
    </row>
    <row r="1537" spans="1:29" ht="15.75" hidden="1" customHeight="1" outlineLevel="1">
      <c r="A1537" s="1839" t="str">
        <f>VLOOKUP('Ввод данных'!A1075,связи1!A255:M296,10,0)</f>
        <v>200х100х600 угловой внешний</v>
      </c>
      <c r="B1537" s="1696" t="s">
        <v>135</v>
      </c>
      <c r="C1537" s="1339">
        <f>G1537*K1537</f>
        <v>0.72</v>
      </c>
      <c r="D1537" s="1055">
        <f>VLOOKUP('Ввод данных'!A1075,связи1!A255:AD296,11,0)</f>
        <v>200</v>
      </c>
      <c r="E1537" s="1055">
        <f>VLOOKUP('Ввод данных'!A1075,связи1!A255:AD296,12,0)</f>
        <v>100</v>
      </c>
      <c r="F1537" s="1278">
        <f>VLOOKUP('Ввод данных'!A1075,связи1!A255:AD296,13,0)</f>
        <v>600</v>
      </c>
      <c r="G1537" s="1055">
        <f>G39</f>
        <v>60</v>
      </c>
      <c r="H1537" s="1055"/>
      <c r="I1537" s="1939">
        <f>VLOOKUP('Ввод данных'!A1075,связи1!A255:W296,21,0)</f>
        <v>4200</v>
      </c>
      <c r="J1537" s="1186">
        <f t="shared" si="175"/>
        <v>3024</v>
      </c>
      <c r="K1537" s="1938">
        <f t="shared" si="176"/>
        <v>1.2E-2</v>
      </c>
      <c r="L1537" s="1055"/>
      <c r="M1537" s="1055"/>
      <c r="N1537" s="1055"/>
      <c r="O1537" s="1055">
        <f>O1536</f>
        <v>0</v>
      </c>
      <c r="U1537" s="1941"/>
      <c r="V1537" s="1942"/>
    </row>
    <row r="1538" spans="1:29" ht="15.75" hidden="1" customHeight="1" outlineLevel="1">
      <c r="A1538" s="1839" t="str">
        <f>VLOOKUP('Ввод данных'!A1075,связи1!A255:M296,9,0)</f>
        <v>200х100х600 угловой внутренний</v>
      </c>
      <c r="B1538" s="1696" t="s">
        <v>3761</v>
      </c>
      <c r="C1538" s="1339">
        <f>G1538*K1538</f>
        <v>0</v>
      </c>
      <c r="D1538" s="1055">
        <f>VLOOKUP('Ввод данных'!A1075,связи1!A255:AD296,11,0)</f>
        <v>200</v>
      </c>
      <c r="E1538" s="1055">
        <f>VLOOKUP('Ввод данных'!A1075,связи1!A255:AD296,12,0)</f>
        <v>100</v>
      </c>
      <c r="F1538" s="1278">
        <f>VLOOKUP('Ввод данных'!A1075,связи1!A255:AD296,13,0)</f>
        <v>600</v>
      </c>
      <c r="G1538" s="1055">
        <f>G38</f>
        <v>0</v>
      </c>
      <c r="H1538" s="1055"/>
      <c r="I1538" s="1939">
        <f>VLOOKUP('Ввод данных'!A1075,связи1!A255:W296,21,0)</f>
        <v>4200</v>
      </c>
      <c r="J1538" s="1186">
        <f t="shared" si="175"/>
        <v>0</v>
      </c>
      <c r="K1538" s="1938">
        <f t="shared" si="176"/>
        <v>1.2E-2</v>
      </c>
      <c r="L1538" s="1943" t="s">
        <v>3760</v>
      </c>
      <c r="M1538" s="1943"/>
      <c r="N1538" s="1943"/>
      <c r="O1538" s="1055">
        <f>IF('Ввод данных'!A1096=связи1!A318,1,0)+IF('Ввод данных'!A1096=связи1!A319,1,0)+IF('Ввод данных'!A1096=связи1!A320,1,0)+IF('Ввод данных'!A1096=связи1!A321,1,0)</f>
        <v>0</v>
      </c>
      <c r="U1538" s="1941"/>
      <c r="V1538" s="1942"/>
    </row>
    <row r="1539" spans="1:29" ht="15.75" hidden="1" customHeight="1" outlineLevel="1">
      <c r="A1539" s="1839" t="str">
        <f>VLOOKUP('Ввод данных'!A1096,связи1!A315:A316,1,0)</f>
        <v>Клей монтажный ВК-100</v>
      </c>
      <c r="B1539" s="1696" t="s">
        <v>126</v>
      </c>
      <c r="C1539" s="1937">
        <f>(C1531+C1532+C1533+C1534+C1535+C1536+C1537+C1538)*2*D1497*G1496*1.05</f>
        <v>0</v>
      </c>
      <c r="D1539" s="1055"/>
      <c r="E1539" s="1055"/>
      <c r="F1539" s="1055"/>
      <c r="G1539" s="1055"/>
      <c r="H1539" s="1055"/>
      <c r="I1539" s="1937">
        <f>IF('Ввод данных'!A1096=связи1!A315,связи1!D315,0)+IF('Ввод данных'!A1096=связи1!A316,связи1!D316,0)</f>
        <v>185</v>
      </c>
      <c r="J1539" s="1944">
        <f t="shared" si="175"/>
        <v>0</v>
      </c>
      <c r="K1539" s="1055"/>
    </row>
    <row r="1540" spans="1:29" ht="15.75" hidden="1" customHeight="1" outlineLevel="1">
      <c r="A1540" s="1839" t="e">
        <f>VLOOKUP('Ввод данных'!A1096,связи1!A317:B317,2,0)</f>
        <v>#N/A</v>
      </c>
      <c r="B1540" s="1696" t="s">
        <v>126</v>
      </c>
      <c r="C1540" s="1339">
        <f>C1541*4*1.05</f>
        <v>-2.2740721919999962</v>
      </c>
      <c r="D1540" s="1055"/>
      <c r="E1540" s="1055"/>
      <c r="F1540" s="1055"/>
      <c r="G1540" s="1055"/>
      <c r="H1540" s="1055"/>
      <c r="I1540" s="1937">
        <f>IF('Ввод данных'!A1096=связи1!A317,'Прайс лист'!G175,0)</f>
        <v>0</v>
      </c>
      <c r="J1540" s="1944">
        <f>C1540*O1535*I1540</f>
        <v>0</v>
      </c>
      <c r="K1540" s="1055"/>
      <c r="O1540" s="1931" t="s">
        <v>1409</v>
      </c>
      <c r="P1540" s="1945"/>
      <c r="Q1540" s="1055"/>
      <c r="R1540" s="1339" t="s">
        <v>208</v>
      </c>
      <c r="S1540" s="1936" t="s">
        <v>1802</v>
      </c>
      <c r="T1540" s="1936" t="s">
        <v>2721</v>
      </c>
      <c r="U1540" s="1936" t="s">
        <v>2722</v>
      </c>
      <c r="W1540" s="1942"/>
      <c r="X1540" s="1946"/>
      <c r="Y1540" s="1262"/>
      <c r="Z1540" s="1947"/>
      <c r="AA1540" s="1942"/>
      <c r="AB1540" s="1942"/>
      <c r="AC1540" s="1942"/>
    </row>
    <row r="1541" spans="1:29" ht="15.75" hidden="1" customHeight="1" outlineLevel="1">
      <c r="A1541" s="1839" t="e">
        <f>VLOOKUP('Ввод данных'!A1096,связи1!A317:C317,3,0)</f>
        <v>#N/A</v>
      </c>
      <c r="B1541" s="1696" t="s">
        <v>135</v>
      </c>
      <c r="C1541" s="1339">
        <f>(T1531+T1532+T1533)*1.2</f>
        <v>-0.54144575999999911</v>
      </c>
      <c r="D1541" s="1055"/>
      <c r="E1541" s="1055"/>
      <c r="F1541" s="1055"/>
      <c r="G1541" s="1055"/>
      <c r="H1541" s="1055"/>
      <c r="I1541" s="1937">
        <f>IF('Ввод данных'!A1096=связи1!A317,'Прайс лист'!G165,0)</f>
        <v>0</v>
      </c>
      <c r="J1541" s="1944">
        <f>C1541*O1536*I1541</f>
        <v>0</v>
      </c>
      <c r="K1541" s="1055"/>
      <c r="O1541" s="1948" t="str">
        <f>'Прайс лист'!B1676</f>
        <v>кладка газобетона несущие стены</v>
      </c>
      <c r="P1541" s="1949"/>
      <c r="Q1541" s="1055"/>
      <c r="R1541" s="1339" t="s">
        <v>135</v>
      </c>
      <c r="S1541" s="1944">
        <f>C1531</f>
        <v>-3.12</v>
      </c>
      <c r="T1541" s="1944">
        <f>'Прайс лист'!G1676</f>
        <v>3500</v>
      </c>
      <c r="U1541" s="1944">
        <f t="shared" ref="U1541:U1551" si="178">S1541*T1541</f>
        <v>-10920</v>
      </c>
      <c r="W1541" s="1942"/>
      <c r="X1541" s="1946"/>
      <c r="Y1541" s="1262"/>
      <c r="Z1541" s="1947"/>
      <c r="AA1541" s="1942"/>
      <c r="AB1541" s="1942"/>
      <c r="AC1541" s="1942"/>
    </row>
    <row r="1542" spans="1:29" ht="15.75" hidden="1" customHeight="1" outlineLevel="1">
      <c r="A1542" s="1839" t="s">
        <v>139</v>
      </c>
      <c r="B1542" s="1696" t="s">
        <v>140</v>
      </c>
      <c r="C1542" s="1339"/>
      <c r="D1542" s="1055"/>
      <c r="E1542" s="1055"/>
      <c r="F1542" s="1055"/>
      <c r="G1542" s="1055"/>
      <c r="H1542" s="1055"/>
      <c r="I1542" s="1937">
        <f>IF('Ввод данных'!A1096=связи1!A317,'Прайс лист'!G166,0)</f>
        <v>0</v>
      </c>
      <c r="J1542" s="1944">
        <f>O1537*I1542</f>
        <v>0</v>
      </c>
      <c r="K1542" s="1055"/>
      <c r="O1542" s="1948" t="str">
        <f>'Прайс лист'!B1677</f>
        <v>кладка газобетона несущие перегородки</v>
      </c>
      <c r="P1542" s="1950"/>
      <c r="Q1542" s="1055"/>
      <c r="R1542" s="1339" t="s">
        <v>135</v>
      </c>
      <c r="S1542" s="1951">
        <f>C1532</f>
        <v>0</v>
      </c>
      <c r="T1542" s="1944">
        <f>'Прайс лист'!G1677</f>
        <v>3500</v>
      </c>
      <c r="U1542" s="1944">
        <f t="shared" si="178"/>
        <v>0</v>
      </c>
      <c r="W1542" s="1942"/>
      <c r="X1542" s="1946"/>
      <c r="Y1542" s="1262"/>
      <c r="Z1542" s="1947"/>
      <c r="AA1542" s="1942"/>
      <c r="AB1542" s="1942"/>
      <c r="AC1542" s="1942"/>
    </row>
    <row r="1543" spans="1:29" ht="15.75" hidden="1" customHeight="1" outlineLevel="1">
      <c r="A1543" s="1839" t="e">
        <f>VLOOKUP('Ввод данных'!A1096,связи1!A318:A321,1,0)</f>
        <v>#N/A</v>
      </c>
      <c r="B1543" s="1696" t="s">
        <v>135</v>
      </c>
      <c r="C1543" s="1339">
        <f>C1541</f>
        <v>-0.54144575999999911</v>
      </c>
      <c r="D1543" s="1055"/>
      <c r="E1543" s="1055"/>
      <c r="F1543" s="1055"/>
      <c r="G1543" s="1055"/>
      <c r="H1543" s="1055"/>
      <c r="I1543" s="1937">
        <f>IF('Ввод данных'!A1096=связи1!A318,'Прайс лист'!G229,0)+IF('Ввод данных'!A1096=связи1!A319,'Прайс лист'!G230,0)+IF('Ввод данных'!A1096=связи1!A320,'Прайс лист'!G231,0)+IF('Ввод данных'!A1096=связи1!A321,'Прайс лист'!G232,0)</f>
        <v>0</v>
      </c>
      <c r="J1543" s="1944">
        <f>C1543*O1538*I1543</f>
        <v>0</v>
      </c>
      <c r="K1543" s="1055"/>
      <c r="O1543" s="1948" t="str">
        <f>'Прайс лист'!B1678</f>
        <v>кладка газобетона перегородки</v>
      </c>
      <c r="P1543" s="1055"/>
      <c r="Q1543" s="1055"/>
      <c r="R1543" s="1339" t="s">
        <v>133</v>
      </c>
      <c r="S1543" s="1055">
        <f>C1522</f>
        <v>0</v>
      </c>
      <c r="T1543" s="1944">
        <f>'Прайс лист'!G1678</f>
        <v>500</v>
      </c>
      <c r="U1543" s="1944">
        <f t="shared" si="178"/>
        <v>0</v>
      </c>
      <c r="W1543" s="1942"/>
      <c r="X1543" s="1946"/>
      <c r="Y1543" s="1262"/>
      <c r="Z1543" s="1947"/>
      <c r="AA1543" s="1942"/>
      <c r="AB1543" s="1942"/>
      <c r="AC1543" s="1942"/>
    </row>
    <row r="1544" spans="1:29" ht="15.75" hidden="1" customHeight="1" outlineLevel="1">
      <c r="A1544" s="1839" t="str">
        <f>'Ввод данных'!A1098</f>
        <v>Арматура М6 каждый 3-й ряд, 2 нити</v>
      </c>
      <c r="B1544" s="1696" t="s">
        <v>156</v>
      </c>
      <c r="C1544" s="1937">
        <f>W38</f>
        <v>480</v>
      </c>
      <c r="D1544" s="1055"/>
      <c r="E1544" s="1055"/>
      <c r="F1544" s="1055"/>
      <c r="G1544" s="1055"/>
      <c r="H1544" s="1055"/>
      <c r="I1544" s="1937">
        <f>VLOOKUP('Ввод данных'!A1098,связи1!A356:F363,6,0)</f>
        <v>0</v>
      </c>
      <c r="J1544" s="1944">
        <f>C1544*I1544</f>
        <v>0</v>
      </c>
      <c r="K1544" s="1055"/>
      <c r="O1544" s="1279" t="str">
        <f>'Прайс лист'!B1684</f>
        <v>изготовление и монтаж перемычек для окон и дверей</v>
      </c>
      <c r="P1544" s="1943"/>
      <c r="Q1544" s="1055"/>
      <c r="R1544" s="1339" t="s">
        <v>156</v>
      </c>
      <c r="S1544" s="1055">
        <f>L1574</f>
        <v>2.5199999999999996</v>
      </c>
      <c r="T1544" s="1944">
        <f>'Прайс лист'!G1684</f>
        <v>500</v>
      </c>
      <c r="U1544" s="1944">
        <f t="shared" si="178"/>
        <v>1259.9999999999998</v>
      </c>
      <c r="W1544" s="1942"/>
      <c r="X1544" s="1946"/>
      <c r="Y1544" s="1262"/>
      <c r="Z1544" s="1947"/>
      <c r="AA1544" s="1942"/>
      <c r="AB1544" s="1942"/>
      <c r="AC1544" s="1942"/>
    </row>
    <row r="1545" spans="1:29" ht="15.75" hidden="1" customHeight="1" outlineLevel="1">
      <c r="A1545" s="1839" t="str">
        <f>'Ввод данных'!A1100</f>
        <v>Арматура М6 каждый 3-й ряд, 2 нити</v>
      </c>
      <c r="B1545" s="1696" t="s">
        <v>156</v>
      </c>
      <c r="C1545" s="1937">
        <f>K1068+K616</f>
        <v>0</v>
      </c>
      <c r="D1545" s="1055"/>
      <c r="E1545" s="1055"/>
      <c r="F1545" s="1055"/>
      <c r="G1545" s="1055"/>
      <c r="H1545" s="1055"/>
      <c r="I1545" s="1055">
        <f>VLOOKUP('Ввод данных'!A1100,связи1!A356:F363,6,0)</f>
        <v>0</v>
      </c>
      <c r="J1545" s="1944">
        <f>C1545*I1545</f>
        <v>0</v>
      </c>
      <c r="K1545" s="1944"/>
      <c r="O1545" s="1279" t="str">
        <f>'Прайс лист'!B1685</f>
        <v>Замешивание раствора</v>
      </c>
      <c r="P1545" s="1943"/>
      <c r="Q1545" s="1055"/>
      <c r="R1545" s="1339" t="s">
        <v>135</v>
      </c>
      <c r="S1545" s="1055">
        <f>C1541</f>
        <v>-0.54144575999999911</v>
      </c>
      <c r="T1545" s="1944">
        <f>'Прайс лист'!G1685</f>
        <v>1500</v>
      </c>
      <c r="U1545" s="1944">
        <f t="shared" si="178"/>
        <v>-812.16863999999862</v>
      </c>
      <c r="W1545" s="1942"/>
      <c r="X1545" s="1946"/>
      <c r="Y1545" s="1262"/>
      <c r="Z1545" s="1947"/>
      <c r="AA1545" s="1942"/>
      <c r="AB1545" s="1942"/>
      <c r="AC1545" s="1942"/>
    </row>
    <row r="1546" spans="1:29" ht="15.75" hidden="1" customHeight="1" outlineLevel="1">
      <c r="A1546" s="1839" t="str">
        <f>связи1!A327</f>
        <v>Перемычка оконная, 1-ый эт. Вариант 1</v>
      </c>
      <c r="B1546" s="1696" t="s">
        <v>156</v>
      </c>
      <c r="C1546" s="1937">
        <f>связи1!E327</f>
        <v>1</v>
      </c>
      <c r="D1546" s="1055">
        <f t="shared" ref="D1546:D1559" si="179">$D$1531/1000</f>
        <v>0.2</v>
      </c>
      <c r="E1546" s="1055">
        <f>связи1!F327</f>
        <v>1.4</v>
      </c>
      <c r="F1546" s="1055">
        <f t="shared" ref="F1546:F1555" si="180">$F$1531</f>
        <v>100</v>
      </c>
      <c r="G1546" s="1055">
        <f t="shared" ref="G1546:G1572" si="181">C1546*(E1546+0.4)</f>
        <v>1.7999999999999998</v>
      </c>
      <c r="H1546" s="1055"/>
      <c r="I1546" s="1937">
        <f>связи1!J327</f>
        <v>1000</v>
      </c>
      <c r="J1546" s="1944">
        <f t="shared" ref="J1546:J1572" si="182">I1546*E1546*IF(K1546&gt;0,1,0)</f>
        <v>1400</v>
      </c>
      <c r="K1546" s="1055">
        <f>связи1!I327</f>
        <v>2.8000000000000001E-2</v>
      </c>
      <c r="L1546" s="1197">
        <f t="shared" ref="L1546:L1572" si="183">E1546*G1546</f>
        <v>2.5199999999999996</v>
      </c>
      <c r="O1546" s="1279" t="str">
        <f>'Прайс лист'!B1686</f>
        <v>Армирование стен наружних и перегородок</v>
      </c>
      <c r="P1546" s="1943"/>
      <c r="Q1546" s="1055"/>
      <c r="R1546" s="1339" t="s">
        <v>156</v>
      </c>
      <c r="S1546" s="1055">
        <f>(C1544+C1545)/2</f>
        <v>240</v>
      </c>
      <c r="T1546" s="1944">
        <f>'Прайс лист'!G1686</f>
        <v>70</v>
      </c>
      <c r="U1546" s="1944">
        <f t="shared" si="178"/>
        <v>16800</v>
      </c>
      <c r="W1546" s="1942"/>
      <c r="X1546" s="1946"/>
      <c r="Y1546" s="1262"/>
      <c r="Z1546" s="1947"/>
      <c r="AA1546" s="1942"/>
      <c r="AB1546" s="1942"/>
      <c r="AC1546" s="1942"/>
    </row>
    <row r="1547" spans="1:29" ht="15.75" hidden="1" customHeight="1" outlineLevel="1">
      <c r="A1547" s="1839" t="str">
        <f>связи1!A328</f>
        <v>Перемычка оконная, 1-ый эт. Вариант 2</v>
      </c>
      <c r="B1547" s="1696" t="s">
        <v>156</v>
      </c>
      <c r="C1547" s="1937">
        <f>связи1!E328</f>
        <v>0</v>
      </c>
      <c r="D1547" s="1055">
        <f t="shared" si="179"/>
        <v>0.2</v>
      </c>
      <c r="E1547" s="1055">
        <f>связи1!F328</f>
        <v>1</v>
      </c>
      <c r="F1547" s="1055">
        <f t="shared" si="180"/>
        <v>100</v>
      </c>
      <c r="G1547" s="1055">
        <f t="shared" si="181"/>
        <v>0</v>
      </c>
      <c r="H1547" s="1055"/>
      <c r="I1547" s="1937">
        <f>связи1!J328</f>
        <v>1000</v>
      </c>
      <c r="J1547" s="1944">
        <f t="shared" si="182"/>
        <v>0</v>
      </c>
      <c r="K1547" s="1055">
        <f>связи1!I328</f>
        <v>0</v>
      </c>
      <c r="L1547" s="1197">
        <f t="shared" si="183"/>
        <v>0</v>
      </c>
      <c r="O1547" s="1279" t="str">
        <f>'Прайс лист'!B1687</f>
        <v>Установка опалубки для сейсмопояса</v>
      </c>
      <c r="P1547" s="1943"/>
      <c r="Q1547" s="1055"/>
      <c r="R1547" s="1339" t="s">
        <v>156</v>
      </c>
      <c r="S1547" s="1055">
        <f>J47+J50+J51</f>
        <v>40</v>
      </c>
      <c r="T1547" s="1944">
        <f>'Прайс лист'!G1687</f>
        <v>300</v>
      </c>
      <c r="U1547" s="1944">
        <f t="shared" si="178"/>
        <v>12000</v>
      </c>
      <c r="W1547" s="1942"/>
      <c r="X1547" s="1946"/>
      <c r="Y1547" s="1262"/>
      <c r="Z1547" s="1947"/>
      <c r="AA1547" s="1942"/>
      <c r="AB1547" s="1942"/>
      <c r="AC1547" s="1942"/>
    </row>
    <row r="1548" spans="1:29" ht="15.75" hidden="1" customHeight="1" outlineLevel="1">
      <c r="A1548" s="1839" t="str">
        <f>связи1!A329</f>
        <v>Перемычка оконная, 1-ый эт. Вариант 3</v>
      </c>
      <c r="B1548" s="1884" t="s">
        <v>156</v>
      </c>
      <c r="C1548" s="1952">
        <f>связи1!E329</f>
        <v>0</v>
      </c>
      <c r="D1548" s="1197">
        <f t="shared" si="179"/>
        <v>0.2</v>
      </c>
      <c r="E1548" s="1953">
        <f>связи1!F329</f>
        <v>1.4</v>
      </c>
      <c r="F1548" s="1953">
        <f t="shared" si="180"/>
        <v>100</v>
      </c>
      <c r="G1548" s="1055">
        <f t="shared" si="181"/>
        <v>0</v>
      </c>
      <c r="H1548" s="1953"/>
      <c r="I1548" s="1952">
        <f>связи1!J329</f>
        <v>1000</v>
      </c>
      <c r="J1548" s="1954">
        <f t="shared" si="182"/>
        <v>0</v>
      </c>
      <c r="K1548" s="1953">
        <f>связи1!I329</f>
        <v>0</v>
      </c>
      <c r="L1548" s="1197">
        <f t="shared" si="183"/>
        <v>0</v>
      </c>
      <c r="O1548" s="1279" t="str">
        <f>'Прайс лист'!B1688</f>
        <v>Армирование сейсмопояса</v>
      </c>
      <c r="P1548" s="1943"/>
      <c r="Q1548" s="1055"/>
      <c r="R1548" s="1339" t="s">
        <v>156</v>
      </c>
      <c r="S1548" s="1055">
        <f>S1547</f>
        <v>40</v>
      </c>
      <c r="T1548" s="1944">
        <f>'Прайс лист'!G1688</f>
        <v>500</v>
      </c>
      <c r="U1548" s="1944">
        <f t="shared" si="178"/>
        <v>20000</v>
      </c>
      <c r="W1548" s="1942"/>
      <c r="X1548" s="1946"/>
      <c r="Y1548" s="1262"/>
      <c r="Z1548" s="1947"/>
      <c r="AA1548" s="1942"/>
      <c r="AB1548" s="1942"/>
      <c r="AC1548" s="1942"/>
    </row>
    <row r="1549" spans="1:29" ht="15.75" hidden="1" customHeight="1" outlineLevel="1">
      <c r="A1549" s="1839" t="str">
        <f>связи1!A330</f>
        <v>Перемычка оконная, 1-ый эт. Вариант 4</v>
      </c>
      <c r="B1549" s="1696" t="s">
        <v>156</v>
      </c>
      <c r="C1549" s="1937">
        <f>связи1!E330</f>
        <v>0</v>
      </c>
      <c r="D1549" s="1197">
        <f t="shared" si="179"/>
        <v>0.2</v>
      </c>
      <c r="E1549" s="1055">
        <f>связи1!F330</f>
        <v>1</v>
      </c>
      <c r="F1549" s="1055">
        <f t="shared" si="180"/>
        <v>100</v>
      </c>
      <c r="G1549" s="1055">
        <f t="shared" si="181"/>
        <v>0</v>
      </c>
      <c r="H1549" s="1055"/>
      <c r="I1549" s="1937">
        <f>связи1!J330</f>
        <v>1000</v>
      </c>
      <c r="J1549" s="1944">
        <f t="shared" si="182"/>
        <v>0</v>
      </c>
      <c r="K1549" s="1055">
        <f>связи1!I330</f>
        <v>0</v>
      </c>
      <c r="L1549" s="1197">
        <f t="shared" si="183"/>
        <v>0</v>
      </c>
      <c r="O1549" s="1948" t="str">
        <f>'Прайс лист'!B1689</f>
        <v>Заливка бетоном сейсмопояса</v>
      </c>
      <c r="P1549" s="1949"/>
      <c r="Q1549" s="1055"/>
      <c r="R1549" s="1339" t="s">
        <v>156</v>
      </c>
      <c r="S1549" s="1944">
        <f>S1547</f>
        <v>40</v>
      </c>
      <c r="T1549" s="1944">
        <f>'Прайс лист'!G1689</f>
        <v>700</v>
      </c>
      <c r="U1549" s="1944">
        <f t="shared" si="178"/>
        <v>28000</v>
      </c>
      <c r="W1549" s="1942"/>
      <c r="X1549" s="1946"/>
      <c r="Y1549" s="1262"/>
      <c r="Z1549" s="1947"/>
      <c r="AA1549" s="1942"/>
      <c r="AB1549" s="1942"/>
      <c r="AC1549" s="1942"/>
    </row>
    <row r="1550" spans="1:29" ht="15.75" hidden="1" customHeight="1" outlineLevel="1">
      <c r="A1550" s="1839" t="str">
        <f>связи1!A331</f>
        <v>Перемычка оконная, 1-ый эт. Вариант 5</v>
      </c>
      <c r="B1550" s="1696" t="s">
        <v>156</v>
      </c>
      <c r="C1550" s="1937">
        <f>связи1!E331</f>
        <v>0</v>
      </c>
      <c r="D1550" s="1197">
        <f t="shared" si="179"/>
        <v>0.2</v>
      </c>
      <c r="E1550" s="1055">
        <f>связи1!F331</f>
        <v>0.9</v>
      </c>
      <c r="F1550" s="1055">
        <f t="shared" si="180"/>
        <v>100</v>
      </c>
      <c r="G1550" s="1055">
        <f t="shared" si="181"/>
        <v>0</v>
      </c>
      <c r="H1550" s="1055"/>
      <c r="I1550" s="1937">
        <f>связи1!J331</f>
        <v>1000</v>
      </c>
      <c r="J1550" s="1944">
        <f t="shared" si="182"/>
        <v>0</v>
      </c>
      <c r="K1550" s="1055">
        <f>связи1!I331</f>
        <v>0</v>
      </c>
      <c r="L1550" s="1197">
        <f t="shared" si="183"/>
        <v>0</v>
      </c>
      <c r="O1550" s="1948" t="str">
        <f>'Прайс лист'!B1690</f>
        <v>утепление стен снаружи дома</v>
      </c>
      <c r="P1550" s="1949"/>
      <c r="Q1550" s="1055"/>
      <c r="R1550" s="1339" t="s">
        <v>133</v>
      </c>
      <c r="S1550" s="1944">
        <f>C1519*D1510*J1496</f>
        <v>0</v>
      </c>
      <c r="T1550" s="1944">
        <f>'Прайс лист'!G1690</f>
        <v>350</v>
      </c>
      <c r="U1550" s="1944">
        <f t="shared" si="178"/>
        <v>0</v>
      </c>
      <c r="W1550" s="1942"/>
      <c r="X1550" s="1946"/>
      <c r="Y1550" s="1262"/>
      <c r="Z1550" s="1947"/>
      <c r="AA1550" s="1942"/>
      <c r="AB1550" s="1942"/>
      <c r="AC1550" s="1942"/>
    </row>
    <row r="1551" spans="1:29" ht="15.75" hidden="1" customHeight="1" outlineLevel="1">
      <c r="A1551" s="1839" t="str">
        <f>связи1!A332</f>
        <v>Перемычка оконная, 2-ый эт. Вариант 6</v>
      </c>
      <c r="B1551" s="1696" t="s">
        <v>156</v>
      </c>
      <c r="C1551" s="1937">
        <f>связи1!E332</f>
        <v>0</v>
      </c>
      <c r="D1551" s="1197">
        <f t="shared" si="179"/>
        <v>0.2</v>
      </c>
      <c r="E1551" s="1055">
        <f>связи1!F332</f>
        <v>1</v>
      </c>
      <c r="F1551" s="1055">
        <f t="shared" si="180"/>
        <v>100</v>
      </c>
      <c r="G1551" s="1055">
        <f t="shared" si="181"/>
        <v>0</v>
      </c>
      <c r="H1551" s="1055"/>
      <c r="I1551" s="1937">
        <f>связи1!J332</f>
        <v>1000</v>
      </c>
      <c r="J1551" s="1944">
        <f t="shared" si="182"/>
        <v>0</v>
      </c>
      <c r="K1551" s="1055">
        <f>связи1!I332</f>
        <v>0</v>
      </c>
      <c r="L1551" s="1197">
        <f t="shared" si="183"/>
        <v>0</v>
      </c>
      <c r="O1551" s="1948" t="str">
        <f>'Прайс лист'!B1673</f>
        <v>монтаж ветроизоляции стен</v>
      </c>
      <c r="P1551" s="1949"/>
      <c r="Q1551" s="1055"/>
      <c r="R1551" s="1339" t="s">
        <v>133</v>
      </c>
      <c r="S1551" s="1944">
        <f>S1550*D1511</f>
        <v>0</v>
      </c>
      <c r="T1551" s="1944">
        <f>'Прайс лист'!G1673</f>
        <v>100</v>
      </c>
      <c r="U1551" s="1944">
        <f t="shared" si="178"/>
        <v>0</v>
      </c>
      <c r="W1551" s="1942"/>
      <c r="X1551" s="1946"/>
      <c r="Y1551" s="1262"/>
      <c r="Z1551" s="1947"/>
      <c r="AA1551" s="1942"/>
      <c r="AB1551" s="1942"/>
      <c r="AC1551" s="1942"/>
    </row>
    <row r="1552" spans="1:29" ht="15.75" hidden="1" customHeight="1" outlineLevel="1">
      <c r="A1552" s="1839" t="str">
        <f>связи1!A333</f>
        <v>Перемычка оконная, 2-ый эт. Вариант 7</v>
      </c>
      <c r="B1552" s="1696" t="s">
        <v>156</v>
      </c>
      <c r="C1552" s="1937">
        <f>связи1!E333</f>
        <v>0</v>
      </c>
      <c r="D1552" s="1197">
        <f t="shared" si="179"/>
        <v>0.2</v>
      </c>
      <c r="E1552" s="1055">
        <f>связи1!F333</f>
        <v>1.2000000000000002</v>
      </c>
      <c r="F1552" s="1055">
        <f t="shared" si="180"/>
        <v>100</v>
      </c>
      <c r="G1552" s="1055">
        <f t="shared" si="181"/>
        <v>0</v>
      </c>
      <c r="H1552" s="1055"/>
      <c r="I1552" s="1937">
        <f>связи1!J333</f>
        <v>1000</v>
      </c>
      <c r="J1552" s="1944">
        <f t="shared" si="182"/>
        <v>0</v>
      </c>
      <c r="K1552" s="1055">
        <f>связи1!I333</f>
        <v>0</v>
      </c>
      <c r="L1552" s="1197">
        <f t="shared" si="183"/>
        <v>0</v>
      </c>
      <c r="O1552" s="1948"/>
      <c r="P1552" s="1949"/>
      <c r="Q1552" s="1055"/>
      <c r="R1552" s="1339"/>
      <c r="S1552" s="1944"/>
      <c r="T1552" s="1944"/>
      <c r="U1552" s="1944"/>
      <c r="W1552" s="1942"/>
      <c r="X1552" s="1946"/>
      <c r="Y1552" s="1262"/>
      <c r="Z1552" s="1947"/>
      <c r="AA1552" s="1942"/>
      <c r="AB1552" s="1942"/>
      <c r="AC1552" s="1942"/>
    </row>
    <row r="1553" spans="1:29" ht="15.75" hidden="1" customHeight="1" outlineLevel="1">
      <c r="A1553" s="1839" t="str">
        <f>связи1!A334</f>
        <v>Перемычка оконная, 2-ый эт. Вариант 8</v>
      </c>
      <c r="B1553" s="1696" t="s">
        <v>156</v>
      </c>
      <c r="C1553" s="1937">
        <f>связи1!E334</f>
        <v>0</v>
      </c>
      <c r="D1553" s="1197">
        <f t="shared" si="179"/>
        <v>0.2</v>
      </c>
      <c r="E1553" s="1055">
        <f>связи1!F334</f>
        <v>1.4</v>
      </c>
      <c r="F1553" s="1055">
        <f t="shared" si="180"/>
        <v>100</v>
      </c>
      <c r="G1553" s="1055">
        <f t="shared" si="181"/>
        <v>0</v>
      </c>
      <c r="H1553" s="1055"/>
      <c r="I1553" s="1937">
        <f>связи1!J334</f>
        <v>1000</v>
      </c>
      <c r="J1553" s="1944">
        <f t="shared" si="182"/>
        <v>0</v>
      </c>
      <c r="K1553" s="1055">
        <f>связи1!I334</f>
        <v>0</v>
      </c>
      <c r="L1553" s="1197">
        <f t="shared" si="183"/>
        <v>0</v>
      </c>
      <c r="O1553" s="1948"/>
      <c r="P1553" s="1949"/>
      <c r="Q1553" s="1055"/>
      <c r="R1553" s="1339"/>
      <c r="S1553" s="1944"/>
      <c r="T1553" s="1944"/>
      <c r="U1553" s="1944"/>
      <c r="W1553" s="1942"/>
      <c r="X1553" s="1946"/>
      <c r="Y1553" s="1262"/>
      <c r="Z1553" s="1947"/>
      <c r="AA1553" s="1942"/>
      <c r="AB1553" s="1942"/>
      <c r="AC1553" s="1942"/>
    </row>
    <row r="1554" spans="1:29" ht="15.75" hidden="1" customHeight="1" outlineLevel="1">
      <c r="A1554" s="1839" t="str">
        <f>связи1!A335</f>
        <v>Перемычка оконная, 2-ый эт. Вариант 9</v>
      </c>
      <c r="B1554" s="1696" t="s">
        <v>156</v>
      </c>
      <c r="C1554" s="1937">
        <f>связи1!E335</f>
        <v>0</v>
      </c>
      <c r="D1554" s="1197">
        <f t="shared" si="179"/>
        <v>0.2</v>
      </c>
      <c r="E1554" s="1055">
        <f>связи1!F335</f>
        <v>5.4</v>
      </c>
      <c r="F1554" s="1055">
        <f t="shared" si="180"/>
        <v>100</v>
      </c>
      <c r="G1554" s="1055">
        <f t="shared" si="181"/>
        <v>0</v>
      </c>
      <c r="H1554" s="1055"/>
      <c r="I1554" s="1937">
        <f>связи1!J335</f>
        <v>1000</v>
      </c>
      <c r="J1554" s="1944">
        <f t="shared" si="182"/>
        <v>0</v>
      </c>
      <c r="K1554" s="1055">
        <f>связи1!I335</f>
        <v>0</v>
      </c>
      <c r="L1554" s="1197">
        <f t="shared" si="183"/>
        <v>0</v>
      </c>
      <c r="O1554" s="1948"/>
      <c r="P1554" s="1949"/>
      <c r="Q1554" s="1055"/>
      <c r="R1554" s="1339"/>
      <c r="S1554" s="1944"/>
      <c r="T1554" s="1944"/>
      <c r="U1554" s="1944"/>
      <c r="W1554" s="1942"/>
      <c r="X1554" s="1946"/>
      <c r="Y1554" s="1262"/>
      <c r="Z1554" s="1947"/>
      <c r="AA1554" s="1942"/>
      <c r="AB1554" s="1942"/>
      <c r="AC1554" s="1942"/>
    </row>
    <row r="1555" spans="1:29" ht="15.75" hidden="1" customHeight="1" outlineLevel="1">
      <c r="A1555" s="1839" t="str">
        <f>связи1!A336</f>
        <v>Перемычка оконная, 2-ый эт. Вариант 10</v>
      </c>
      <c r="B1555" s="1696" t="s">
        <v>156</v>
      </c>
      <c r="C1555" s="1937">
        <f>связи1!E336</f>
        <v>0</v>
      </c>
      <c r="D1555" s="1197">
        <f t="shared" si="179"/>
        <v>0.2</v>
      </c>
      <c r="E1555" s="1055">
        <f>связи1!F336</f>
        <v>6.4</v>
      </c>
      <c r="F1555" s="1055">
        <f t="shared" si="180"/>
        <v>100</v>
      </c>
      <c r="G1555" s="1055">
        <f t="shared" si="181"/>
        <v>0</v>
      </c>
      <c r="H1555" s="1055"/>
      <c r="I1555" s="1937">
        <f>связи1!J336</f>
        <v>1000</v>
      </c>
      <c r="J1555" s="1944">
        <f t="shared" si="182"/>
        <v>0</v>
      </c>
      <c r="K1555" s="1055">
        <f>связи1!I336</f>
        <v>0</v>
      </c>
      <c r="L1555" s="1197">
        <f t="shared" si="183"/>
        <v>0</v>
      </c>
      <c r="O1555" s="1948"/>
      <c r="P1555" s="1949"/>
      <c r="Q1555" s="1055"/>
      <c r="R1555" s="1339"/>
      <c r="S1555" s="1944"/>
      <c r="T1555" s="1944"/>
      <c r="U1555" s="1944"/>
      <c r="W1555" s="1942"/>
      <c r="X1555" s="1946"/>
      <c r="Y1555" s="1262"/>
      <c r="Z1555" s="1947"/>
      <c r="AA1555" s="1942"/>
      <c r="AB1555" s="1942"/>
      <c r="AC1555" s="1942"/>
    </row>
    <row r="1556" spans="1:29" ht="15.75" hidden="1" customHeight="1" outlineLevel="1">
      <c r="A1556" s="1839" t="str">
        <f>связи1!A337</f>
        <v>Перемычка дверная, 1-ый эт. Вариант 1</v>
      </c>
      <c r="B1556" s="1696" t="s">
        <v>156</v>
      </c>
      <c r="C1556" s="1937">
        <f>связи1!E337</f>
        <v>0</v>
      </c>
      <c r="D1556" s="1197">
        <f t="shared" si="179"/>
        <v>0.2</v>
      </c>
      <c r="E1556" s="1055">
        <f>связи1!F337</f>
        <v>1.2000000000000002</v>
      </c>
      <c r="F1556" s="1055">
        <f t="shared" ref="F1556:F1569" si="184">$F$1532</f>
        <v>200</v>
      </c>
      <c r="G1556" s="1055">
        <f t="shared" si="181"/>
        <v>0</v>
      </c>
      <c r="H1556" s="1055"/>
      <c r="I1556" s="1937">
        <f>связи1!J337</f>
        <v>1000</v>
      </c>
      <c r="J1556" s="1944">
        <f t="shared" si="182"/>
        <v>0</v>
      </c>
      <c r="K1556" s="1055">
        <f>связи1!I337</f>
        <v>0</v>
      </c>
      <c r="L1556" s="1197">
        <f t="shared" si="183"/>
        <v>0</v>
      </c>
      <c r="O1556" s="1948"/>
      <c r="P1556" s="1949"/>
      <c r="Q1556" s="1055"/>
      <c r="R1556" s="1339"/>
      <c r="S1556" s="1944"/>
      <c r="T1556" s="1944"/>
      <c r="U1556" s="1944"/>
      <c r="W1556" s="1942"/>
      <c r="X1556" s="1946"/>
      <c r="Y1556" s="1262"/>
      <c r="Z1556" s="1947"/>
      <c r="AA1556" s="1942"/>
      <c r="AB1556" s="1942"/>
      <c r="AC1556" s="1942"/>
    </row>
    <row r="1557" spans="1:29" ht="15.75" hidden="1" customHeight="1" outlineLevel="1">
      <c r="A1557" s="1839" t="str">
        <f>связи1!A338</f>
        <v>Перемычка дверная, 2-ый эт. Вариант 2</v>
      </c>
      <c r="B1557" s="1696" t="s">
        <v>156</v>
      </c>
      <c r="C1557" s="1937">
        <f>связи1!E338</f>
        <v>0</v>
      </c>
      <c r="D1557" s="1197">
        <f t="shared" si="179"/>
        <v>0.2</v>
      </c>
      <c r="E1557" s="1055">
        <f>связи1!F338</f>
        <v>1.2000000000000002</v>
      </c>
      <c r="F1557" s="1055">
        <f t="shared" si="184"/>
        <v>200</v>
      </c>
      <c r="G1557" s="1055">
        <f t="shared" si="181"/>
        <v>0</v>
      </c>
      <c r="H1557" s="1055"/>
      <c r="I1557" s="1937">
        <f>связи1!J338</f>
        <v>1000</v>
      </c>
      <c r="J1557" s="1944">
        <f t="shared" si="182"/>
        <v>0</v>
      </c>
      <c r="K1557" s="1055">
        <f>связи1!I338</f>
        <v>0</v>
      </c>
      <c r="L1557" s="1197">
        <f t="shared" si="183"/>
        <v>0</v>
      </c>
      <c r="O1557" s="1948"/>
      <c r="P1557" s="1949"/>
      <c r="Q1557" s="1055"/>
      <c r="R1557" s="1339"/>
      <c r="S1557" s="1944"/>
      <c r="T1557" s="1944"/>
      <c r="U1557" s="1944"/>
      <c r="W1557" s="1942"/>
      <c r="X1557" s="1946"/>
      <c r="Y1557" s="1262"/>
      <c r="Z1557" s="1947"/>
      <c r="AA1557" s="1942"/>
      <c r="AB1557" s="1942"/>
      <c r="AC1557" s="1942"/>
    </row>
    <row r="1558" spans="1:29" ht="15.75" hidden="1" customHeight="1" outlineLevel="1">
      <c r="A1558" s="1839" t="str">
        <f>связи1!A339</f>
        <v>Перемычка оконная 1-ый эт, Вариант 11</v>
      </c>
      <c r="B1558" s="1696" t="s">
        <v>156</v>
      </c>
      <c r="C1558" s="1937">
        <f>связи1!E339</f>
        <v>0</v>
      </c>
      <c r="D1558" s="1197">
        <f t="shared" si="179"/>
        <v>0.2</v>
      </c>
      <c r="E1558" s="1055">
        <f>связи1!F339</f>
        <v>2.4</v>
      </c>
      <c r="F1558" s="1055">
        <f t="shared" si="184"/>
        <v>200</v>
      </c>
      <c r="G1558" s="1055">
        <f t="shared" si="181"/>
        <v>0</v>
      </c>
      <c r="H1558" s="1055"/>
      <c r="I1558" s="1937">
        <f>связи1!J339</f>
        <v>1000</v>
      </c>
      <c r="J1558" s="1944">
        <f t="shared" si="182"/>
        <v>0</v>
      </c>
      <c r="K1558" s="1055">
        <f>связи1!I339</f>
        <v>0</v>
      </c>
      <c r="L1558" s="1197">
        <f t="shared" si="183"/>
        <v>0</v>
      </c>
      <c r="O1558" s="1948"/>
      <c r="P1558" s="1949"/>
      <c r="Q1558" s="1055"/>
      <c r="R1558" s="1339"/>
      <c r="S1558" s="1944"/>
      <c r="T1558" s="1944"/>
      <c r="U1558" s="1944"/>
      <c r="W1558" s="1942"/>
      <c r="X1558" s="1946"/>
      <c r="Y1558" s="1262"/>
      <c r="Z1558" s="1947"/>
      <c r="AA1558" s="1942"/>
      <c r="AB1558" s="1942"/>
      <c r="AC1558" s="1942"/>
    </row>
    <row r="1559" spans="1:29" ht="15.75" hidden="1" customHeight="1" outlineLevel="1">
      <c r="A1559" s="1839" t="str">
        <f>связи1!A340</f>
        <v>Перемычка оконная 1-ый эт, Вариант 12</v>
      </c>
      <c r="B1559" s="1696" t="s">
        <v>156</v>
      </c>
      <c r="C1559" s="1937">
        <f>связи1!E340</f>
        <v>0</v>
      </c>
      <c r="D1559" s="1197">
        <f t="shared" si="179"/>
        <v>0.2</v>
      </c>
      <c r="E1559" s="1055">
        <f>связи1!F340</f>
        <v>0.4</v>
      </c>
      <c r="F1559" s="1055">
        <f t="shared" si="184"/>
        <v>200</v>
      </c>
      <c r="G1559" s="1055">
        <f t="shared" si="181"/>
        <v>0</v>
      </c>
      <c r="H1559" s="1055"/>
      <c r="I1559" s="1937">
        <f>связи1!J340</f>
        <v>1000</v>
      </c>
      <c r="J1559" s="1944">
        <f t="shared" si="182"/>
        <v>0</v>
      </c>
      <c r="K1559" s="1055">
        <f>связи1!I340</f>
        <v>0</v>
      </c>
      <c r="L1559" s="1197">
        <f t="shared" si="183"/>
        <v>0</v>
      </c>
      <c r="W1559" s="1942"/>
      <c r="X1559" s="1946"/>
      <c r="Y1559" s="1262"/>
      <c r="Z1559" s="1947"/>
      <c r="AA1559" s="1942"/>
      <c r="AB1559" s="1942"/>
      <c r="AC1559" s="1942"/>
    </row>
    <row r="1560" spans="1:29" ht="15.75" hidden="1" customHeight="1" outlineLevel="1">
      <c r="A1560" s="1839" t="str">
        <f>связи1!A341</f>
        <v>Перемычка дверная, 1-ый эт. Вариант 4</v>
      </c>
      <c r="B1560" s="1696" t="s">
        <v>156</v>
      </c>
      <c r="C1560" s="1937">
        <f>связи1!E341</f>
        <v>0</v>
      </c>
      <c r="D1560" s="1197">
        <f t="shared" ref="D1560:D1569" si="185">$D$1532/1000</f>
        <v>0.2</v>
      </c>
      <c r="E1560" s="1055">
        <f>связи1!F341</f>
        <v>1.2000000000000002</v>
      </c>
      <c r="F1560" s="1055">
        <f t="shared" si="184"/>
        <v>200</v>
      </c>
      <c r="G1560" s="1055">
        <f t="shared" si="181"/>
        <v>0</v>
      </c>
      <c r="H1560" s="1055"/>
      <c r="I1560" s="1937">
        <f>связи1!J341</f>
        <v>1000</v>
      </c>
      <c r="J1560" s="1944">
        <f t="shared" si="182"/>
        <v>0</v>
      </c>
      <c r="K1560" s="1055">
        <f>связи1!I341</f>
        <v>0</v>
      </c>
      <c r="L1560" s="1197">
        <f t="shared" si="183"/>
        <v>0</v>
      </c>
      <c r="W1560" s="1942"/>
      <c r="X1560" s="1946"/>
      <c r="Y1560" s="1262"/>
      <c r="Z1560" s="1947"/>
      <c r="AA1560" s="1942"/>
      <c r="AB1560" s="1942"/>
      <c r="AC1560" s="1942"/>
    </row>
    <row r="1561" spans="1:29" ht="15.75" hidden="1" customHeight="1" outlineLevel="1">
      <c r="A1561" s="1839" t="str">
        <f>связи1!A342</f>
        <v>Перемычка дверная, 1-ый эт. Вариант 5</v>
      </c>
      <c r="B1561" s="1696" t="s">
        <v>156</v>
      </c>
      <c r="C1561" s="1937">
        <f>связи1!E342</f>
        <v>0</v>
      </c>
      <c r="D1561" s="1197">
        <f t="shared" si="185"/>
        <v>0.2</v>
      </c>
      <c r="E1561" s="1055">
        <f>связи1!F342</f>
        <v>1</v>
      </c>
      <c r="F1561" s="1055">
        <f t="shared" si="184"/>
        <v>200</v>
      </c>
      <c r="G1561" s="1055">
        <f t="shared" si="181"/>
        <v>0</v>
      </c>
      <c r="H1561" s="1055"/>
      <c r="I1561" s="1937">
        <f>связи1!J342</f>
        <v>1000</v>
      </c>
      <c r="J1561" s="1944">
        <f t="shared" si="182"/>
        <v>0</v>
      </c>
      <c r="K1561" s="1055">
        <f>связи1!I342</f>
        <v>0</v>
      </c>
      <c r="L1561" s="1197">
        <f t="shared" si="183"/>
        <v>0</v>
      </c>
      <c r="W1561" s="1942"/>
      <c r="X1561" s="1946"/>
      <c r="Y1561" s="1262"/>
      <c r="Z1561" s="1947"/>
      <c r="AA1561" s="1942"/>
      <c r="AB1561" s="1942"/>
      <c r="AC1561" s="1942"/>
    </row>
    <row r="1562" spans="1:29" ht="15.75" hidden="1" customHeight="1" outlineLevel="1">
      <c r="A1562" s="1839" t="str">
        <f>связи1!A343</f>
        <v>Перемычка дверная, 1-ый эт. Вариант 6</v>
      </c>
      <c r="B1562" s="1696" t="s">
        <v>156</v>
      </c>
      <c r="C1562" s="1937">
        <f>связи1!E343</f>
        <v>0</v>
      </c>
      <c r="D1562" s="1197">
        <f t="shared" si="185"/>
        <v>0.2</v>
      </c>
      <c r="E1562" s="1055">
        <f>связи1!F343</f>
        <v>1.3</v>
      </c>
      <c r="F1562" s="1055">
        <f t="shared" si="184"/>
        <v>200</v>
      </c>
      <c r="G1562" s="1055">
        <f t="shared" si="181"/>
        <v>0</v>
      </c>
      <c r="H1562" s="1055"/>
      <c r="I1562" s="1937">
        <f>связи1!J343</f>
        <v>1000</v>
      </c>
      <c r="J1562" s="1944">
        <f t="shared" si="182"/>
        <v>0</v>
      </c>
      <c r="K1562" s="1055">
        <f>связи1!I343</f>
        <v>0</v>
      </c>
      <c r="L1562" s="1197">
        <f t="shared" si="183"/>
        <v>0</v>
      </c>
      <c r="O1562" s="1942"/>
      <c r="P1562" s="1946"/>
      <c r="Q1562" s="1262"/>
      <c r="R1562" s="1947"/>
      <c r="S1562" s="1942"/>
      <c r="T1562" s="1942"/>
      <c r="U1562" s="1942"/>
      <c r="W1562" s="1942"/>
      <c r="X1562" s="1946"/>
      <c r="Y1562" s="1262"/>
      <c r="Z1562" s="1947"/>
      <c r="AA1562" s="1942"/>
      <c r="AB1562" s="1942"/>
      <c r="AC1562" s="1942"/>
    </row>
    <row r="1563" spans="1:29" ht="15.75" hidden="1" customHeight="1" outlineLevel="1">
      <c r="A1563" s="1839" t="str">
        <f>связи1!A344</f>
        <v>Перемычка дверная, 2-ый эт. Вариант 7</v>
      </c>
      <c r="B1563" s="1696" t="s">
        <v>156</v>
      </c>
      <c r="C1563" s="1937">
        <f>связи1!E344</f>
        <v>0</v>
      </c>
      <c r="D1563" s="1197">
        <f t="shared" si="185"/>
        <v>0.2</v>
      </c>
      <c r="E1563" s="1055">
        <f>связи1!F344</f>
        <v>1.2000000000000002</v>
      </c>
      <c r="F1563" s="1055">
        <f t="shared" si="184"/>
        <v>200</v>
      </c>
      <c r="G1563" s="1055">
        <f t="shared" si="181"/>
        <v>0</v>
      </c>
      <c r="H1563" s="1055"/>
      <c r="I1563" s="1937">
        <f>связи1!J344</f>
        <v>1000</v>
      </c>
      <c r="J1563" s="1944">
        <f t="shared" si="182"/>
        <v>0</v>
      </c>
      <c r="K1563" s="1055">
        <f>связи1!I344</f>
        <v>0</v>
      </c>
      <c r="L1563" s="1197">
        <f t="shared" si="183"/>
        <v>0</v>
      </c>
      <c r="O1563" s="1942"/>
      <c r="P1563" s="1946"/>
      <c r="Q1563" s="1262"/>
      <c r="R1563" s="1947"/>
      <c r="S1563" s="1942"/>
      <c r="T1563" s="1942"/>
      <c r="U1563" s="1942"/>
      <c r="W1563" s="1942"/>
      <c r="X1563" s="1946"/>
      <c r="Y1563" s="1262"/>
      <c r="Z1563" s="1947"/>
      <c r="AA1563" s="1942"/>
      <c r="AB1563" s="1942"/>
      <c r="AC1563" s="1942"/>
    </row>
    <row r="1564" spans="1:29" ht="15.75" hidden="1" customHeight="1" outlineLevel="1">
      <c r="A1564" s="1839" t="str">
        <f>связи1!A345</f>
        <v>Перемычка дверная, 2-ый эт. Вариант 8</v>
      </c>
      <c r="B1564" s="1696" t="s">
        <v>156</v>
      </c>
      <c r="C1564" s="1937">
        <f>связи1!E345</f>
        <v>0</v>
      </c>
      <c r="D1564" s="1197">
        <f t="shared" si="185"/>
        <v>0.2</v>
      </c>
      <c r="E1564" s="1055">
        <f>связи1!F345</f>
        <v>1.4</v>
      </c>
      <c r="F1564" s="1055">
        <f t="shared" si="184"/>
        <v>200</v>
      </c>
      <c r="G1564" s="1055">
        <f t="shared" si="181"/>
        <v>0</v>
      </c>
      <c r="H1564" s="1055"/>
      <c r="I1564" s="1937">
        <f>связи1!J345</f>
        <v>1000</v>
      </c>
      <c r="J1564" s="1944">
        <f t="shared" si="182"/>
        <v>0</v>
      </c>
      <c r="K1564" s="1055">
        <f>связи1!I345</f>
        <v>0</v>
      </c>
      <c r="L1564" s="1197">
        <f t="shared" si="183"/>
        <v>0</v>
      </c>
      <c r="O1564" s="1942"/>
      <c r="P1564" s="1946"/>
      <c r="Q1564" s="1262"/>
      <c r="R1564" s="1947"/>
      <c r="S1564" s="1942"/>
      <c r="T1564" s="1942"/>
      <c r="U1564" s="1942"/>
      <c r="W1564" s="1942"/>
      <c r="X1564" s="1946"/>
      <c r="Y1564" s="1262"/>
      <c r="Z1564" s="1947"/>
      <c r="AA1564" s="1942"/>
      <c r="AB1564" s="1942"/>
      <c r="AC1564" s="1942"/>
    </row>
    <row r="1565" spans="1:29" ht="15.75" hidden="1" customHeight="1" outlineLevel="1">
      <c r="A1565" s="1839" t="str">
        <f>связи1!A346</f>
        <v>Перемычка дверная, 2-ый эт. Вариант 9</v>
      </c>
      <c r="B1565" s="1696" t="s">
        <v>156</v>
      </c>
      <c r="C1565" s="1696">
        <f>связи1!E346</f>
        <v>0</v>
      </c>
      <c r="D1565" s="1197">
        <f t="shared" si="185"/>
        <v>0.2</v>
      </c>
      <c r="E1565" s="1055">
        <f>связи1!F346</f>
        <v>1.4</v>
      </c>
      <c r="F1565" s="1055">
        <f t="shared" si="184"/>
        <v>200</v>
      </c>
      <c r="G1565" s="1055">
        <f t="shared" si="181"/>
        <v>0</v>
      </c>
      <c r="H1565" s="1055"/>
      <c r="I1565" s="1937">
        <f>связи1!J346</f>
        <v>1000</v>
      </c>
      <c r="J1565" s="1944">
        <f t="shared" si="182"/>
        <v>0</v>
      </c>
      <c r="K1565" s="1055">
        <f>связи1!I346</f>
        <v>0</v>
      </c>
      <c r="L1565" s="1197">
        <f t="shared" si="183"/>
        <v>0</v>
      </c>
      <c r="O1565" s="1942"/>
      <c r="P1565" s="1946"/>
      <c r="Q1565" s="1262"/>
      <c r="R1565" s="1947"/>
      <c r="S1565" s="1942"/>
      <c r="T1565" s="1942"/>
      <c r="U1565" s="1942"/>
    </row>
    <row r="1566" spans="1:29" ht="15.75" hidden="1" customHeight="1" outlineLevel="1">
      <c r="A1566" s="1839" t="str">
        <f>связи1!A347</f>
        <v>Перемычка проема, 1-ый эт. Вариант 10</v>
      </c>
      <c r="B1566" s="1696" t="s">
        <v>156</v>
      </c>
      <c r="C1566" s="1696">
        <f>связи1!E347</f>
        <v>0</v>
      </c>
      <c r="D1566" s="1197">
        <f t="shared" si="185"/>
        <v>0.2</v>
      </c>
      <c r="E1566" s="1055">
        <f>связи1!F347</f>
        <v>2.4</v>
      </c>
      <c r="F1566" s="1055">
        <f t="shared" si="184"/>
        <v>200</v>
      </c>
      <c r="G1566" s="1055">
        <f t="shared" si="181"/>
        <v>0</v>
      </c>
      <c r="H1566" s="1055"/>
      <c r="I1566" s="1937">
        <f>связи1!J347</f>
        <v>1000</v>
      </c>
      <c r="J1566" s="1944">
        <f t="shared" si="182"/>
        <v>0</v>
      </c>
      <c r="K1566" s="1055">
        <f>связи1!I347</f>
        <v>0</v>
      </c>
      <c r="L1566" s="1197">
        <f t="shared" si="183"/>
        <v>0</v>
      </c>
      <c r="O1566" s="1942"/>
      <c r="P1566" s="1946"/>
      <c r="Q1566" s="1262"/>
      <c r="R1566" s="1947"/>
      <c r="S1566" s="1942"/>
      <c r="T1566" s="1942"/>
      <c r="U1566" s="1942"/>
    </row>
    <row r="1567" spans="1:29" ht="15.75" hidden="1" customHeight="1" outlineLevel="1">
      <c r="A1567" s="1839" t="str">
        <f>связи1!A348</f>
        <v>Перемычка проема, 1-ый эт. Вариант 11</v>
      </c>
      <c r="B1567" s="1696" t="s">
        <v>156</v>
      </c>
      <c r="C1567" s="1696">
        <f>связи1!E348</f>
        <v>0</v>
      </c>
      <c r="D1567" s="1197">
        <f t="shared" si="185"/>
        <v>0.2</v>
      </c>
      <c r="E1567" s="1055">
        <f>связи1!F348</f>
        <v>1.7999999999999998</v>
      </c>
      <c r="F1567" s="1055">
        <f t="shared" si="184"/>
        <v>200</v>
      </c>
      <c r="G1567" s="1055">
        <f t="shared" si="181"/>
        <v>0</v>
      </c>
      <c r="H1567" s="1055"/>
      <c r="I1567" s="1937">
        <f>связи1!J348</f>
        <v>1000</v>
      </c>
      <c r="J1567" s="1944">
        <f t="shared" si="182"/>
        <v>0</v>
      </c>
      <c r="K1567" s="1055">
        <f>связи1!I348</f>
        <v>0</v>
      </c>
      <c r="L1567" s="1197">
        <f t="shared" si="183"/>
        <v>0</v>
      </c>
      <c r="O1567" s="1942"/>
      <c r="P1567" s="1946"/>
      <c r="Q1567" s="1262"/>
      <c r="R1567" s="1947"/>
      <c r="S1567" s="1942"/>
      <c r="T1567" s="1942"/>
      <c r="U1567" s="1942"/>
    </row>
    <row r="1568" spans="1:29" ht="15.75" hidden="1" customHeight="1" outlineLevel="1">
      <c r="A1568" s="1839" t="str">
        <f>связи1!A349</f>
        <v>Перемычка проема, 2-ый эт. Вариант 12</v>
      </c>
      <c r="B1568" s="1696" t="s">
        <v>156</v>
      </c>
      <c r="C1568" s="1696">
        <f>связи1!E349</f>
        <v>0</v>
      </c>
      <c r="D1568" s="1197">
        <f t="shared" si="185"/>
        <v>0.2</v>
      </c>
      <c r="E1568" s="1055">
        <f>связи1!F349</f>
        <v>2.4</v>
      </c>
      <c r="F1568" s="1055">
        <f t="shared" si="184"/>
        <v>200</v>
      </c>
      <c r="G1568" s="1055">
        <f t="shared" si="181"/>
        <v>0</v>
      </c>
      <c r="H1568" s="1055"/>
      <c r="I1568" s="1937">
        <f>связи1!J349</f>
        <v>1000</v>
      </c>
      <c r="J1568" s="1944">
        <f t="shared" si="182"/>
        <v>0</v>
      </c>
      <c r="K1568" s="1055">
        <f>связи1!I349</f>
        <v>0</v>
      </c>
      <c r="L1568" s="1197">
        <f t="shared" si="183"/>
        <v>0</v>
      </c>
      <c r="O1568" s="1942"/>
      <c r="P1568" s="1946"/>
      <c r="Q1568" s="1262"/>
      <c r="R1568" s="1947"/>
      <c r="S1568" s="1942"/>
      <c r="T1568" s="1942"/>
      <c r="U1568" s="1942"/>
    </row>
    <row r="1569" spans="1:21" ht="15.75" hidden="1" customHeight="1" outlineLevel="1">
      <c r="A1569" s="1839" t="str">
        <f>связи1!A350</f>
        <v>Перемычка проема, 2-ый эт. Вариант 13</v>
      </c>
      <c r="B1569" s="1696" t="s">
        <v>156</v>
      </c>
      <c r="C1569" s="1696">
        <f>связи1!E350</f>
        <v>0</v>
      </c>
      <c r="D1569" s="1197">
        <f t="shared" si="185"/>
        <v>0.2</v>
      </c>
      <c r="E1569" s="1055">
        <f>связи1!F350</f>
        <v>2.4</v>
      </c>
      <c r="F1569" s="1055">
        <f t="shared" si="184"/>
        <v>200</v>
      </c>
      <c r="G1569" s="1055">
        <f t="shared" si="181"/>
        <v>0</v>
      </c>
      <c r="H1569" s="1055"/>
      <c r="I1569" s="1937">
        <f>связи1!J350</f>
        <v>1000</v>
      </c>
      <c r="J1569" s="1944">
        <f t="shared" si="182"/>
        <v>0</v>
      </c>
      <c r="K1569" s="1055">
        <f>связи1!I350</f>
        <v>0</v>
      </c>
      <c r="L1569" s="1197">
        <f t="shared" si="183"/>
        <v>0</v>
      </c>
      <c r="O1569" s="1942"/>
      <c r="P1569" s="1946"/>
      <c r="Q1569" s="1262"/>
      <c r="R1569" s="1947"/>
      <c r="S1569" s="1942"/>
      <c r="T1569" s="1942"/>
      <c r="U1569" s="1942"/>
    </row>
    <row r="1570" spans="1:21" ht="15.75" hidden="1" customHeight="1" outlineLevel="1">
      <c r="A1570" s="1839" t="str">
        <f>связи1!A351</f>
        <v>Перемычка дверная, 1-ый эт. Вариант 1</v>
      </c>
      <c r="B1570" s="1696" t="s">
        <v>156</v>
      </c>
      <c r="C1570" s="1696">
        <f>связи1!E351</f>
        <v>0</v>
      </c>
      <c r="D1570" s="1197">
        <f>$D$1531/1000</f>
        <v>0.2</v>
      </c>
      <c r="E1570" s="1055">
        <f>связи1!F351</f>
        <v>1.2000000000000002</v>
      </c>
      <c r="F1570" s="1055">
        <f>$F$1531</f>
        <v>100</v>
      </c>
      <c r="G1570" s="1055">
        <f t="shared" si="181"/>
        <v>0</v>
      </c>
      <c r="H1570" s="1055"/>
      <c r="I1570" s="1937">
        <f>связи1!J351</f>
        <v>1000</v>
      </c>
      <c r="J1570" s="1944">
        <f t="shared" si="182"/>
        <v>0</v>
      </c>
      <c r="K1570" s="1055">
        <f>связи1!I351</f>
        <v>0</v>
      </c>
      <c r="L1570" s="1197">
        <f t="shared" si="183"/>
        <v>0</v>
      </c>
      <c r="O1570" s="1942"/>
      <c r="P1570" s="1946"/>
      <c r="Q1570" s="1262"/>
      <c r="R1570" s="1262"/>
      <c r="S1570" s="1942"/>
      <c r="T1570" s="1942"/>
      <c r="U1570" s="1942"/>
    </row>
    <row r="1571" spans="1:21" ht="15.75" hidden="1" customHeight="1" outlineLevel="1">
      <c r="A1571" s="1839" t="str">
        <f>связи1!A352</f>
        <v>Перемычка дверная, 1-ый эт. Вариант 2</v>
      </c>
      <c r="B1571" s="1696" t="s">
        <v>156</v>
      </c>
      <c r="C1571" s="1696">
        <f>связи1!E352</f>
        <v>0</v>
      </c>
      <c r="D1571" s="1197">
        <f>$D$1531/1000</f>
        <v>0.2</v>
      </c>
      <c r="E1571" s="1055">
        <f>связи1!F352</f>
        <v>1.3</v>
      </c>
      <c r="F1571" s="1055">
        <f>$F$1531</f>
        <v>100</v>
      </c>
      <c r="G1571" s="1055">
        <f t="shared" si="181"/>
        <v>0</v>
      </c>
      <c r="H1571" s="1055"/>
      <c r="I1571" s="1937">
        <f>связи1!J352</f>
        <v>1000</v>
      </c>
      <c r="J1571" s="1944">
        <f t="shared" si="182"/>
        <v>0</v>
      </c>
      <c r="K1571" s="1055">
        <f>связи1!I352</f>
        <v>0</v>
      </c>
      <c r="L1571" s="1197">
        <f t="shared" si="183"/>
        <v>0</v>
      </c>
    </row>
    <row r="1572" spans="1:21" ht="15.75" hidden="1" customHeight="1" outlineLevel="1">
      <c r="A1572" s="1839" t="str">
        <f>связи1!A353</f>
        <v>Перемычка дверная, 1-ый эт. Вариант 3</v>
      </c>
      <c r="B1572" s="1696" t="s">
        <v>156</v>
      </c>
      <c r="C1572" s="1696">
        <f>связи1!E353</f>
        <v>0</v>
      </c>
      <c r="D1572" s="1197">
        <f>$D$1531/1000</f>
        <v>0.2</v>
      </c>
      <c r="E1572" s="1055">
        <f>связи1!F353</f>
        <v>1.4</v>
      </c>
      <c r="F1572" s="1055">
        <f>$F$1531</f>
        <v>100</v>
      </c>
      <c r="G1572" s="1055">
        <f t="shared" si="181"/>
        <v>0</v>
      </c>
      <c r="H1572" s="1055"/>
      <c r="I1572" s="1937">
        <f>связи1!J353</f>
        <v>1000</v>
      </c>
      <c r="J1572" s="1944">
        <f t="shared" si="182"/>
        <v>0</v>
      </c>
      <c r="K1572" s="1055">
        <f>связи1!I353</f>
        <v>0</v>
      </c>
      <c r="L1572" s="1197">
        <f t="shared" si="183"/>
        <v>0</v>
      </c>
    </row>
    <row r="1573" spans="1:21" ht="15.75" hidden="1" customHeight="1" outlineLevel="1">
      <c r="A1573" s="1839" t="str">
        <f>'Прайс лист'!B295</f>
        <v>Сосна влаж,200*40мм</v>
      </c>
      <c r="B1573" s="1696" t="s">
        <v>135</v>
      </c>
      <c r="C1573" s="1696">
        <f>(J47+J50*2+J51*2)*1.3*(D1531/1000+0.2)*0.04</f>
        <v>0.83200000000000007</v>
      </c>
      <c r="D1573" s="1055"/>
      <c r="E1573" s="1055"/>
      <c r="F1573" s="1055"/>
      <c r="G1573" s="1055"/>
      <c r="H1573" s="1055"/>
      <c r="I1573" s="1937">
        <f>'Прайс лист'!G295</f>
        <v>6500</v>
      </c>
      <c r="J1573" s="1944">
        <f t="shared" ref="J1573:J1584" si="186">C1573*I1573</f>
        <v>5408.0000000000009</v>
      </c>
      <c r="K1573" s="1055"/>
    </row>
    <row r="1574" spans="1:21" ht="15.75" hidden="1" customHeight="1" outlineLevel="1">
      <c r="A1574" s="1839" t="str">
        <f>'Ввод данных'!A1102</f>
        <v>Сейсмопояс Арматура М10 4 нити</v>
      </c>
      <c r="B1574" s="1696" t="s">
        <v>156</v>
      </c>
      <c r="C1574" s="1696">
        <f>J47*4*1.1</f>
        <v>176</v>
      </c>
      <c r="D1574" s="1055"/>
      <c r="E1574" s="1055"/>
      <c r="F1574" s="1055"/>
      <c r="G1574" s="1055"/>
      <c r="H1574" s="1055"/>
      <c r="I1574" s="1937">
        <f>VLOOKUP('Ввод данных'!A1102,связи1!A365:F372,6,0)</f>
        <v>21.0397</v>
      </c>
      <c r="J1574" s="1944">
        <f t="shared" si="186"/>
        <v>3702.9872</v>
      </c>
      <c r="K1574" s="1055"/>
      <c r="L1574" s="1280">
        <f>SUM(L1546:L1573)</f>
        <v>2.5199999999999996</v>
      </c>
      <c r="M1574" s="1376"/>
      <c r="N1574" s="1376"/>
    </row>
    <row r="1575" spans="1:21" ht="15.75" hidden="1" customHeight="1" outlineLevel="1">
      <c r="A1575" s="1839" t="str">
        <f>'Ввод данных'!A1104</f>
        <v>Хомут для сейсмопояса Арматура М6, шаг 400мм</v>
      </c>
      <c r="B1575" s="1696" t="s">
        <v>156</v>
      </c>
      <c r="C1575" s="1696">
        <f>J47/VLOOKUP('Ввод данных'!A1104,связи1!A374:F379,3,0)*0.9</f>
        <v>90</v>
      </c>
      <c r="D1575" s="1055"/>
      <c r="E1575" s="1055"/>
      <c r="F1575" s="1055"/>
      <c r="G1575" s="1055"/>
      <c r="H1575" s="1055"/>
      <c r="I1575" s="1937">
        <f>VLOOKUP('Ввод данных'!A1104,связи1!A374:F379,6,0)</f>
        <v>0</v>
      </c>
      <c r="J1575" s="1944">
        <f t="shared" si="186"/>
        <v>0</v>
      </c>
      <c r="K1575" s="1055"/>
    </row>
    <row r="1576" spans="1:21" ht="15.75" hidden="1" customHeight="1" outlineLevel="1">
      <c r="A1576" s="1839" t="str">
        <f>'Прайс лист'!B227</f>
        <v>Бетон, м300</v>
      </c>
      <c r="B1576" s="1696" t="s">
        <v>135</v>
      </c>
      <c r="C1576" s="1696">
        <f>((J47)*(D1531/1000)*E1531/2000+J50*D1532/1000*F1532/1000+J51*D1533/1000*F1533/1000)*1.05</f>
        <v>1.6380000000000001</v>
      </c>
      <c r="D1576" s="1055"/>
      <c r="E1576" s="1055"/>
      <c r="F1576" s="1055"/>
      <c r="G1576" s="1055"/>
      <c r="H1576" s="1055"/>
      <c r="I1576" s="1937">
        <f>'Прайс лист'!G227</f>
        <v>3000</v>
      </c>
      <c r="J1576" s="1944">
        <f t="shared" si="186"/>
        <v>4914</v>
      </c>
      <c r="K1576" s="1055"/>
    </row>
    <row r="1577" spans="1:21" ht="15.75" hidden="1" customHeight="1" outlineLevel="1">
      <c r="A1577" s="1839" t="str">
        <f>'Ввод данных'!A1110</f>
        <v>Нет техники</v>
      </c>
      <c r="B1577" s="1696" t="s">
        <v>154</v>
      </c>
      <c r="C1577" s="1696">
        <f>'Ввод данных'!C1110</f>
        <v>0</v>
      </c>
      <c r="D1577" s="1055"/>
      <c r="E1577" s="1055"/>
      <c r="F1577" s="1055"/>
      <c r="G1577" s="1055"/>
      <c r="H1577" s="1055"/>
      <c r="I1577" s="1937">
        <f>VLOOKUP(A1577,'Прайс лист'!B180:G194,6,0)</f>
        <v>0</v>
      </c>
      <c r="J1577" s="1944">
        <f t="shared" si="186"/>
        <v>0</v>
      </c>
      <c r="K1577" s="1055"/>
    </row>
    <row r="1578" spans="1:21" ht="15.75" hidden="1" customHeight="1" outlineLevel="1">
      <c r="A1578" s="1839" t="str">
        <f>'Ввод данных'!A1111</f>
        <v>Нет техники</v>
      </c>
      <c r="B1578" s="1696" t="s">
        <v>154</v>
      </c>
      <c r="C1578" s="1696">
        <f>'Ввод данных'!C1111</f>
        <v>0</v>
      </c>
      <c r="D1578" s="1055"/>
      <c r="E1578" s="1055"/>
      <c r="F1578" s="1055"/>
      <c r="G1578" s="1055"/>
      <c r="H1578" s="1055"/>
      <c r="I1578" s="1937">
        <f>VLOOKUP(A1578,'Прайс лист'!B180:G194,6,0)</f>
        <v>0</v>
      </c>
      <c r="J1578" s="1944">
        <f t="shared" si="186"/>
        <v>0</v>
      </c>
      <c r="K1578" s="1055"/>
    </row>
    <row r="1579" spans="1:21" ht="15.75" hidden="1" customHeight="1" outlineLevel="1">
      <c r="A1579" s="1839" t="str">
        <f>'Ввод данных'!A1106</f>
        <v>Нет</v>
      </c>
      <c r="B1579" s="1696" t="s">
        <v>135</v>
      </c>
      <c r="C1579" s="1696">
        <f>C1519*G1496*VLOOKUP(A1579,'Прайс лист'!B744:G783,3,0)</f>
        <v>0</v>
      </c>
      <c r="D1579" s="1055"/>
      <c r="E1579" s="1055"/>
      <c r="F1579" s="1055"/>
      <c r="G1579" s="1055"/>
      <c r="H1579" s="1055"/>
      <c r="I1579" s="1937">
        <f>VLOOKUP(A1579,'Прайс лист'!B744:G783,6,0)</f>
        <v>0</v>
      </c>
      <c r="J1579" s="1944">
        <f t="shared" si="186"/>
        <v>0</v>
      </c>
      <c r="K1579" s="1055"/>
    </row>
    <row r="1580" spans="1:21" ht="15.75" hidden="1" customHeight="1" outlineLevel="1">
      <c r="A1580" s="1839" t="str">
        <f>'Прайс лист'!B783</f>
        <v>Грибок для крепления утеплителя</v>
      </c>
      <c r="B1580" s="1696" t="s">
        <v>159</v>
      </c>
      <c r="C1580" s="1696">
        <f>C1519*6*G1496*D1510</f>
        <v>0</v>
      </c>
      <c r="D1580" s="1055"/>
      <c r="E1580" s="1055"/>
      <c r="F1580" s="1055"/>
      <c r="G1580" s="1055"/>
      <c r="H1580" s="1055"/>
      <c r="I1580" s="1937">
        <f>'Прайс лист'!G783</f>
        <v>15</v>
      </c>
      <c r="J1580" s="1944">
        <f t="shared" si="186"/>
        <v>0</v>
      </c>
      <c r="K1580" s="1055"/>
    </row>
    <row r="1581" spans="1:21" ht="15.75" hidden="1" customHeight="1" outlineLevel="1">
      <c r="A1581" s="1839" t="str">
        <f>'Ввод данных'!A1108</f>
        <v>нет ветроизоляции</v>
      </c>
      <c r="B1581" s="1696" t="s">
        <v>133</v>
      </c>
      <c r="C1581" s="1696">
        <f>C1511*G1496*D1511</f>
        <v>0</v>
      </c>
      <c r="D1581" s="1055"/>
      <c r="E1581" s="1055"/>
      <c r="F1581" s="1055"/>
      <c r="G1581" s="1055"/>
      <c r="H1581" s="1055"/>
      <c r="I1581" s="1937">
        <f>VLOOKUP(A1581,'Прайс лист'!B793:G819,6,0)</f>
        <v>0</v>
      </c>
      <c r="J1581" s="1944">
        <f t="shared" si="186"/>
        <v>0</v>
      </c>
      <c r="K1581" s="1055"/>
    </row>
    <row r="1582" spans="1:21" ht="15.75" hidden="1" customHeight="1" outlineLevel="1">
      <c r="A1582" s="1839" t="str">
        <f>A1658</f>
        <v>Командировочные расходы</v>
      </c>
      <c r="B1582" s="1696" t="str">
        <f>B1658</f>
        <v>рублей</v>
      </c>
      <c r="C1582" s="1839">
        <f>C1658</f>
        <v>1</v>
      </c>
      <c r="D1582" s="1055"/>
      <c r="E1582" s="1055"/>
      <c r="F1582" s="1055"/>
      <c r="G1582" s="1055"/>
      <c r="H1582" s="1055"/>
      <c r="I1582" s="1937">
        <f>'Ввод данных'!C1117*'Ввод данных'!C1118*'Ввод данных'!C1119*VLOOKUP('Ввод данных'!C1116,связи1!A2:B3,2,0)</f>
        <v>0</v>
      </c>
      <c r="J1582" s="1944">
        <f t="shared" si="186"/>
        <v>0</v>
      </c>
      <c r="K1582" s="1055"/>
    </row>
    <row r="1583" spans="1:21" ht="15.75" hidden="1" customHeight="1" outlineLevel="1">
      <c r="A1583" s="1839" t="str">
        <f>'Ввод данных'!A1114</f>
        <v>расходные материалы каменные дома</v>
      </c>
      <c r="B1583" s="1696" t="s">
        <v>159</v>
      </c>
      <c r="C1583" s="1696">
        <f>1</f>
        <v>1</v>
      </c>
      <c r="D1583" s="1055"/>
      <c r="E1583" s="1055"/>
      <c r="F1583" s="1055"/>
      <c r="G1583" s="1055"/>
      <c r="H1583" s="1055"/>
      <c r="I1583" s="1937">
        <f>'Ввод данных'!C1114</f>
        <v>15000</v>
      </c>
      <c r="J1583" s="1944">
        <f t="shared" si="186"/>
        <v>15000</v>
      </c>
      <c r="K1583" s="1055"/>
    </row>
    <row r="1584" spans="1:21" ht="15.75" hidden="1" customHeight="1" outlineLevel="1">
      <c r="A1584" s="1839" t="str">
        <f>'Ввод данных'!A1112</f>
        <v>Нет техники</v>
      </c>
      <c r="B1584" s="1696" t="s">
        <v>159</v>
      </c>
      <c r="C1584" s="1696">
        <f>'Ввод данных'!C1112</f>
        <v>0</v>
      </c>
      <c r="D1584" s="1055"/>
      <c r="E1584" s="1055"/>
      <c r="F1584" s="1055"/>
      <c r="G1584" s="1055"/>
      <c r="H1584" s="1055"/>
      <c r="I1584" s="1937">
        <f>VLOOKUP(A1584,'Прайс лист'!B180:G194,6,0)</f>
        <v>0</v>
      </c>
      <c r="J1584" s="1944">
        <f t="shared" si="186"/>
        <v>0</v>
      </c>
      <c r="K1584" s="1055"/>
    </row>
    <row r="1585" spans="1:25" ht="15.75" hidden="1" customHeight="1" outlineLevel="1">
      <c r="A1585" s="1857"/>
      <c r="B1585" s="1805"/>
      <c r="C1585" s="1941"/>
      <c r="I1585" s="1941"/>
      <c r="J1585" s="1955">
        <f>SUM(V1531:V1586)</f>
        <v>0</v>
      </c>
    </row>
    <row r="1586" spans="1:25" ht="15.75" hidden="1" customHeight="1" outlineLevel="1"/>
    <row r="1587" spans="1:25" ht="15.75" hidden="1" customHeight="1" outlineLevel="1"/>
    <row r="1588" spans="1:25" ht="15.75" hidden="1" customHeight="1" outlineLevel="1">
      <c r="A1588" s="1956" t="s">
        <v>3762</v>
      </c>
      <c r="B1588" s="1805"/>
      <c r="C1588" s="1859"/>
      <c r="D1588" s="1354"/>
      <c r="E1588" s="1354"/>
      <c r="F1588" s="1354"/>
      <c r="G1588" s="1354"/>
      <c r="H1588" s="1354"/>
      <c r="I1588" s="1858"/>
      <c r="J1588" s="1354"/>
      <c r="K1588" s="1354"/>
      <c r="L1588" s="1354"/>
      <c r="M1588" s="1354"/>
      <c r="N1588" s="1354"/>
      <c r="O1588" s="1354"/>
      <c r="P1588" s="1354"/>
      <c r="Q1588" s="1354"/>
      <c r="R1588" s="1354"/>
      <c r="S1588" s="1354"/>
      <c r="T1588" s="1354"/>
      <c r="U1588" s="1354"/>
      <c r="V1588" s="1354"/>
      <c r="W1588" s="1354"/>
      <c r="X1588" s="1354"/>
      <c r="Y1588" s="1354"/>
    </row>
    <row r="1589" spans="1:25" ht="15.75" hidden="1" customHeight="1" outlineLevel="1">
      <c r="A1589" s="1821" t="s">
        <v>1806</v>
      </c>
      <c r="B1589" s="1822"/>
      <c r="C1589" s="1822"/>
      <c r="D1589" s="1823"/>
      <c r="E1589" s="1823"/>
      <c r="F1589" s="1824"/>
      <c r="G1589" s="1872">
        <f>'Ввод данных'!D1071</f>
        <v>1.1000000000000001</v>
      </c>
      <c r="H1589" s="1873"/>
      <c r="J1589" s="1808">
        <f>'Ввод данных'!D1072</f>
        <v>1</v>
      </c>
      <c r="K1589" s="1808"/>
      <c r="L1589" s="1808"/>
      <c r="M1589" s="1808"/>
      <c r="N1589" s="1808"/>
      <c r="O1589" s="1808"/>
      <c r="P1589" s="1354"/>
      <c r="Q1589" s="1354"/>
      <c r="R1589" s="1354"/>
      <c r="S1589" s="1354"/>
      <c r="T1589" s="1354"/>
      <c r="U1589" s="1354"/>
      <c r="V1589" s="1354"/>
      <c r="W1589" s="1354"/>
      <c r="X1589" s="1354"/>
      <c r="Y1589" s="1354"/>
    </row>
    <row r="1590" spans="1:25" ht="15.75" hidden="1" customHeight="1" outlineLevel="1">
      <c r="A1590" s="1684" t="s">
        <v>3763</v>
      </c>
      <c r="B1590" s="1633" t="s">
        <v>159</v>
      </c>
      <c r="C1590" s="1633"/>
      <c r="D1590" s="1924">
        <f>IF('Ввод данных'!A8=связи1!A154,1,0)+IF('Ввод данных'!A8=связи1!A162,1,0)+IF('Ввод данных'!A8=связи1!A178,1,0)+IF('Ввод данных'!A8=связи1!A179,1,0)+IF('Ввод данных'!A8=связи1!A180,1,0)+IF('Ввод данных'!A8=связи1!A181,1,0)+IF('Ввод данных'!A8=связи1!A182,1,0)+IF('Ввод данных'!A8=связи1!A183,1,0)+IF('Ввод данных'!A8=связи1!A184,1,0)</f>
        <v>0</v>
      </c>
      <c r="E1590" s="1808"/>
      <c r="F1590" s="1808"/>
      <c r="G1590" s="1808"/>
      <c r="H1590" s="1808"/>
      <c r="I1590" s="1809"/>
      <c r="J1590" s="1808"/>
      <c r="K1590" s="1808"/>
      <c r="L1590" s="1808"/>
      <c r="M1590" s="1808"/>
      <c r="N1590" s="1808"/>
      <c r="O1590" s="1808"/>
      <c r="P1590" s="1354"/>
      <c r="Q1590" s="1354"/>
      <c r="R1590" s="1354"/>
      <c r="S1590" s="1354"/>
      <c r="T1590" s="1354"/>
      <c r="U1590" s="1354"/>
      <c r="V1590" s="1354"/>
      <c r="W1590" s="1354"/>
      <c r="X1590" s="1354"/>
      <c r="Y1590" s="1354"/>
    </row>
    <row r="1591" spans="1:25" ht="15.75" hidden="1" customHeight="1" outlineLevel="1">
      <c r="A1591" s="1353" t="s">
        <v>3737</v>
      </c>
      <c r="B1591" s="1696" t="s">
        <v>156</v>
      </c>
      <c r="C1591" s="1773">
        <f>C1498</f>
        <v>0.1</v>
      </c>
      <c r="D1591" s="1380"/>
      <c r="E1591" s="1814"/>
      <c r="F1591" s="1380"/>
      <c r="G1591" s="1354"/>
      <c r="H1591" s="1354"/>
      <c r="I1591" s="1858"/>
      <c r="J1591" s="1354"/>
      <c r="K1591" s="1354"/>
      <c r="L1591" s="1354"/>
      <c r="M1591" s="1354"/>
      <c r="N1591" s="1354"/>
      <c r="O1591" s="1354"/>
      <c r="P1591" s="1354"/>
      <c r="Q1591" s="1354"/>
      <c r="R1591" s="1354"/>
      <c r="S1591" s="1354"/>
      <c r="T1591" s="1354"/>
      <c r="U1591" s="1354"/>
      <c r="V1591" s="1354"/>
      <c r="W1591" s="1354"/>
      <c r="X1591" s="1354"/>
      <c r="Y1591" s="1354"/>
    </row>
    <row r="1592" spans="1:25" ht="15.75" hidden="1" customHeight="1" outlineLevel="1">
      <c r="A1592" s="1353" t="s">
        <v>3738</v>
      </c>
      <c r="B1592" s="1696" t="s">
        <v>156</v>
      </c>
      <c r="C1592" s="1773">
        <f>C1499</f>
        <v>0.1</v>
      </c>
      <c r="D1592" s="1380"/>
      <c r="E1592" s="1814"/>
      <c r="F1592" s="1380"/>
      <c r="G1592" s="1354"/>
      <c r="H1592" s="1354"/>
      <c r="I1592" s="1858"/>
      <c r="J1592" s="1354"/>
      <c r="K1592" s="1354"/>
      <c r="L1592" s="1354"/>
      <c r="M1592" s="1354"/>
      <c r="N1592" s="1354"/>
      <c r="O1592" s="1354"/>
      <c r="P1592" s="1354"/>
      <c r="Q1592" s="1354"/>
      <c r="R1592" s="1354"/>
      <c r="S1592" s="1354"/>
      <c r="T1592" s="1354"/>
      <c r="U1592" s="1354"/>
      <c r="V1592" s="1354"/>
      <c r="W1592" s="1354"/>
      <c r="X1592" s="1354"/>
      <c r="Y1592" s="1354"/>
    </row>
    <row r="1593" spans="1:25" ht="15.75" hidden="1" customHeight="1" outlineLevel="1">
      <c r="A1593" s="1846" t="s">
        <v>3739</v>
      </c>
      <c r="B1593" s="1696" t="s">
        <v>156</v>
      </c>
      <c r="C1593" s="1773">
        <f>C1500</f>
        <v>0.4</v>
      </c>
      <c r="D1593" s="1924">
        <f>D1500</f>
        <v>1</v>
      </c>
      <c r="E1593" s="1814"/>
      <c r="F1593" s="1380"/>
      <c r="G1593" s="1354"/>
      <c r="H1593" s="1354"/>
      <c r="I1593" s="1858"/>
      <c r="J1593" s="1354"/>
      <c r="K1593" s="1354"/>
      <c r="L1593" s="1354"/>
      <c r="M1593" s="1354"/>
      <c r="N1593" s="1354"/>
      <c r="O1593" s="1354"/>
      <c r="P1593" s="1354"/>
      <c r="Q1593" s="1354"/>
      <c r="R1593" s="1354"/>
      <c r="S1593" s="1354"/>
      <c r="T1593" s="1354"/>
      <c r="U1593" s="1354"/>
      <c r="V1593" s="1354"/>
      <c r="W1593" s="1354"/>
      <c r="X1593" s="1354"/>
      <c r="Y1593" s="1354"/>
    </row>
    <row r="1594" spans="1:25" ht="15.75" hidden="1" customHeight="1" outlineLevel="1">
      <c r="A1594" s="1846" t="s">
        <v>3742</v>
      </c>
      <c r="B1594" s="1696" t="s">
        <v>159</v>
      </c>
      <c r="C1594" s="1773">
        <f>C1503</f>
        <v>7</v>
      </c>
      <c r="D1594" s="1924">
        <f>D1503</f>
        <v>0</v>
      </c>
      <c r="E1594" s="1925" t="s">
        <v>2975</v>
      </c>
      <c r="F1594" s="1561"/>
      <c r="G1594" s="1926"/>
      <c r="H1594" s="1926"/>
      <c r="I1594" s="1927"/>
      <c r="J1594" s="1354"/>
      <c r="K1594" s="1354"/>
      <c r="L1594" s="1354"/>
      <c r="M1594" s="1354"/>
      <c r="N1594" s="1354"/>
      <c r="O1594" s="1354"/>
      <c r="P1594" s="1354"/>
      <c r="Q1594" s="1354"/>
      <c r="R1594" s="1354"/>
      <c r="S1594" s="1354"/>
      <c r="T1594" s="1354"/>
      <c r="U1594" s="1354"/>
      <c r="V1594" s="1354"/>
      <c r="W1594" s="1354"/>
      <c r="X1594" s="1354"/>
      <c r="Y1594" s="1354"/>
    </row>
    <row r="1595" spans="1:25" ht="15.75" hidden="1" customHeight="1" outlineLevel="1">
      <c r="A1595" s="1839" t="s">
        <v>3750</v>
      </c>
      <c r="B1595" s="1696" t="s">
        <v>154</v>
      </c>
      <c r="C1595" s="1773">
        <f t="shared" ref="C1595:D1597" si="187">C1509</f>
        <v>0</v>
      </c>
      <c r="D1595" s="1924">
        <f t="shared" si="187"/>
        <v>1</v>
      </c>
      <c r="E1595" s="1925"/>
      <c r="F1595" s="1561"/>
      <c r="G1595" s="1926"/>
      <c r="H1595" s="1926"/>
      <c r="I1595" s="1927"/>
      <c r="J1595" s="1354"/>
      <c r="K1595" s="1354"/>
      <c r="L1595" s="1354"/>
      <c r="M1595" s="1354"/>
      <c r="N1595" s="1354"/>
      <c r="O1595" s="1354"/>
      <c r="P1595" s="1354"/>
      <c r="Q1595" s="1354"/>
      <c r="R1595" s="1354"/>
      <c r="S1595" s="1354"/>
      <c r="T1595" s="1354"/>
      <c r="U1595" s="1354"/>
      <c r="V1595" s="1354"/>
      <c r="W1595" s="1354"/>
      <c r="X1595" s="1354"/>
      <c r="Y1595" s="1354"/>
    </row>
    <row r="1596" spans="1:25" ht="15.75" hidden="1" customHeight="1" outlineLevel="1">
      <c r="A1596" s="1874" t="s">
        <v>3669</v>
      </c>
      <c r="B1596" s="1696" t="s">
        <v>156</v>
      </c>
      <c r="C1596" s="1773">
        <f t="shared" si="187"/>
        <v>0</v>
      </c>
      <c r="D1596" s="1924">
        <f t="shared" si="187"/>
        <v>0</v>
      </c>
      <c r="E1596" s="1346">
        <f>IF(C1596=0,0,1)</f>
        <v>0</v>
      </c>
      <c r="F1596" s="1354"/>
      <c r="G1596" s="1354"/>
      <c r="H1596" s="1354"/>
      <c r="I1596" s="1858"/>
      <c r="J1596" s="1354"/>
      <c r="K1596" s="1354"/>
      <c r="L1596" s="1354"/>
      <c r="M1596" s="1354"/>
      <c r="N1596" s="1354"/>
      <c r="O1596" s="1354"/>
      <c r="P1596" s="1354"/>
      <c r="Q1596" s="1354"/>
      <c r="R1596" s="1354"/>
      <c r="S1596" s="1354"/>
      <c r="T1596" s="1354"/>
      <c r="U1596" s="1354"/>
      <c r="V1596" s="1354"/>
      <c r="W1596" s="1354"/>
      <c r="X1596" s="1354"/>
      <c r="Y1596" s="1354"/>
    </row>
    <row r="1597" spans="1:25" s="1197" customFormat="1" ht="15.75" hidden="1" customHeight="1" outlineLevel="1">
      <c r="A1597" s="1691" t="s">
        <v>3751</v>
      </c>
      <c r="B1597" s="1696" t="s">
        <v>133</v>
      </c>
      <c r="C1597" s="1773">
        <f t="shared" si="187"/>
        <v>0</v>
      </c>
      <c r="D1597" s="1924">
        <f t="shared" si="187"/>
        <v>0</v>
      </c>
      <c r="E1597" s="1290"/>
      <c r="F1597" s="1354"/>
      <c r="G1597" s="1354"/>
      <c r="H1597" s="1354"/>
      <c r="P1597" s="1354"/>
      <c r="Q1597" s="1354"/>
      <c r="R1597" s="1354"/>
      <c r="S1597" s="1354"/>
      <c r="T1597" s="1354"/>
      <c r="U1597" s="1354"/>
      <c r="V1597" s="1354"/>
      <c r="W1597" s="1354"/>
      <c r="X1597" s="1354"/>
      <c r="Y1597" s="1354"/>
    </row>
    <row r="1598" spans="1:25" s="1197" customFormat="1" ht="15.75" hidden="1" customHeight="1" outlineLevel="1">
      <c r="A1598" s="1931" t="s">
        <v>3626</v>
      </c>
      <c r="B1598" s="1932"/>
      <c r="C1598" s="1933"/>
      <c r="D1598" s="1805"/>
      <c r="E1598" s="1805"/>
      <c r="F1598" s="1805"/>
      <c r="G1598" s="1380"/>
      <c r="H1598" s="1380"/>
      <c r="P1598" s="1354"/>
      <c r="Q1598" s="1354"/>
      <c r="R1598" s="1354"/>
      <c r="S1598" s="1354"/>
      <c r="T1598" s="1354"/>
      <c r="U1598" s="1354"/>
      <c r="V1598" s="1354"/>
      <c r="W1598" s="1354"/>
      <c r="X1598" s="1354"/>
      <c r="Y1598" s="1354"/>
    </row>
    <row r="1599" spans="1:25" s="1197" customFormat="1" ht="15.75" hidden="1" customHeight="1" outlineLevel="1">
      <c r="A1599" s="1839" t="s">
        <v>3678</v>
      </c>
      <c r="B1599" s="1600" t="s">
        <v>133</v>
      </c>
      <c r="C1599" s="1696">
        <f t="shared" ref="C1599:C1604" si="188">C1513</f>
        <v>100</v>
      </c>
      <c r="D1599" s="1805"/>
      <c r="E1599" s="1805"/>
      <c r="F1599" s="1805"/>
      <c r="G1599" s="1857"/>
      <c r="H1599" s="1857"/>
      <c r="P1599" s="1354"/>
      <c r="Q1599" s="1354"/>
      <c r="R1599" s="1354"/>
      <c r="S1599" s="1354"/>
      <c r="T1599" s="1354"/>
      <c r="U1599" s="1354"/>
      <c r="V1599" s="1354"/>
      <c r="W1599" s="1354"/>
      <c r="X1599" s="1354"/>
      <c r="Y1599" s="1354"/>
    </row>
    <row r="1600" spans="1:25" s="1197" customFormat="1" ht="15.75" hidden="1" customHeight="1" outlineLevel="1">
      <c r="A1600" s="1839" t="s">
        <v>3628</v>
      </c>
      <c r="B1600" s="1600" t="s">
        <v>133</v>
      </c>
      <c r="C1600" s="1696">
        <f t="shared" si="188"/>
        <v>100</v>
      </c>
      <c r="D1600" s="1805"/>
      <c r="E1600" s="1805"/>
      <c r="F1600" s="1805"/>
      <c r="G1600" s="1857"/>
      <c r="H1600" s="1857"/>
      <c r="P1600" s="1354"/>
      <c r="Q1600" s="1354"/>
      <c r="R1600" s="1354"/>
      <c r="S1600" s="1354"/>
      <c r="T1600" s="1354"/>
      <c r="U1600" s="1354"/>
      <c r="V1600" s="1354"/>
      <c r="W1600" s="1354"/>
      <c r="X1600" s="1354"/>
      <c r="Y1600" s="1354"/>
    </row>
    <row r="1601" spans="1:25" s="1197" customFormat="1" ht="15.75" hidden="1" customHeight="1" outlineLevel="1">
      <c r="A1601" s="1839" t="s">
        <v>3680</v>
      </c>
      <c r="B1601" s="1600" t="s">
        <v>156</v>
      </c>
      <c r="C1601" s="1696">
        <f t="shared" si="188"/>
        <v>56</v>
      </c>
      <c r="D1601" s="1857"/>
      <c r="E1601" s="1805"/>
      <c r="F1601" s="1805"/>
      <c r="G1601" s="1857"/>
      <c r="H1601" s="1857"/>
      <c r="P1601" s="1354"/>
      <c r="Q1601" s="1354"/>
      <c r="R1601" s="1354"/>
      <c r="S1601" s="1354"/>
      <c r="T1601" s="1354"/>
      <c r="U1601" s="1354"/>
      <c r="V1601" s="1354"/>
      <c r="W1601" s="1354"/>
      <c r="X1601" s="1354"/>
      <c r="Y1601" s="1354"/>
    </row>
    <row r="1602" spans="1:25" s="1197" customFormat="1" ht="15.75" hidden="1" customHeight="1" outlineLevel="1">
      <c r="A1602" s="1839" t="s">
        <v>3752</v>
      </c>
      <c r="B1602" s="1600" t="s">
        <v>156</v>
      </c>
      <c r="C1602" s="1696">
        <f t="shared" si="188"/>
        <v>40</v>
      </c>
      <c r="E1602" s="1857">
        <f>C1602*C1591</f>
        <v>4</v>
      </c>
      <c r="F1602" s="1805"/>
      <c r="G1602" s="1857"/>
      <c r="H1602" s="1857"/>
      <c r="P1602" s="1354"/>
      <c r="Q1602" s="1354"/>
      <c r="R1602" s="1354"/>
      <c r="S1602" s="1354"/>
      <c r="T1602" s="1354"/>
      <c r="U1602" s="1354"/>
      <c r="V1602" s="1354"/>
      <c r="W1602" s="1354"/>
      <c r="X1602" s="1354"/>
      <c r="Y1602" s="1354"/>
    </row>
    <row r="1603" spans="1:25" s="1197" customFormat="1" ht="15.75" hidden="1" customHeight="1" outlineLevel="1">
      <c r="A1603" s="1839" t="s">
        <v>3753</v>
      </c>
      <c r="B1603" s="1600" t="s">
        <v>156</v>
      </c>
      <c r="C1603" s="1696">
        <f t="shared" si="188"/>
        <v>16</v>
      </c>
      <c r="E1603" s="1857">
        <f>C1592*C1603</f>
        <v>1.6</v>
      </c>
      <c r="F1603" s="1805" t="s">
        <v>3754</v>
      </c>
      <c r="G1603" s="1857">
        <f>G1517</f>
        <v>6.0000000000000012E-2</v>
      </c>
      <c r="H1603" s="1857"/>
      <c r="P1603" s="1354"/>
      <c r="Q1603" s="1354"/>
      <c r="R1603" s="1354"/>
      <c r="S1603" s="1354"/>
      <c r="T1603" s="1354"/>
      <c r="U1603" s="1354"/>
      <c r="V1603" s="1354"/>
      <c r="W1603" s="1354"/>
      <c r="X1603" s="1354"/>
      <c r="Y1603" s="1354"/>
    </row>
    <row r="1604" spans="1:25" s="1197" customFormat="1" ht="15.75" hidden="1" customHeight="1" outlineLevel="1">
      <c r="A1604" s="1839" t="s">
        <v>3755</v>
      </c>
      <c r="B1604" s="1600" t="s">
        <v>156</v>
      </c>
      <c r="C1604" s="1696">
        <f t="shared" si="188"/>
        <v>7.8</v>
      </c>
      <c r="E1604" s="1857">
        <f>C1604*C1593</f>
        <v>3.12</v>
      </c>
      <c r="F1604" s="1805"/>
      <c r="G1604" s="1857"/>
      <c r="H1604" s="1857"/>
      <c r="P1604" s="1354"/>
      <c r="Q1604" s="1354"/>
      <c r="R1604" s="1354"/>
      <c r="S1604" s="1354"/>
      <c r="T1604" s="1354"/>
      <c r="U1604" s="1354"/>
      <c r="V1604" s="1354"/>
      <c r="W1604" s="1354"/>
      <c r="X1604" s="1354"/>
      <c r="Y1604" s="1354"/>
    </row>
    <row r="1605" spans="1:25" s="1197" customFormat="1" ht="15.75" hidden="1" customHeight="1" outlineLevel="1">
      <c r="A1605" s="1839" t="s">
        <v>3633</v>
      </c>
      <c r="B1605" s="1600" t="s">
        <v>133</v>
      </c>
      <c r="C1605" s="1841">
        <f>связи1!C154</f>
        <v>0</v>
      </c>
      <c r="D1605" s="1957">
        <f>VLOOKUP('Ввод данных'!A1082,'Прайс лист'!B236:G253,4,0)/1000</f>
        <v>0.19</v>
      </c>
      <c r="E1605" s="1857">
        <f>SUM(E1602:E1604)</f>
        <v>8.7199999999999989</v>
      </c>
      <c r="F1605" s="1805"/>
      <c r="G1605" s="1857"/>
      <c r="H1605" s="1857"/>
      <c r="P1605" s="1354"/>
      <c r="Q1605" s="1354"/>
      <c r="R1605" s="1354"/>
      <c r="S1605" s="1354"/>
      <c r="T1605" s="1354"/>
      <c r="U1605" s="1354"/>
      <c r="V1605" s="1354"/>
      <c r="W1605" s="1354"/>
      <c r="X1605" s="1354"/>
      <c r="Y1605" s="1354"/>
    </row>
    <row r="1606" spans="1:25" s="1197" customFormat="1" ht="15.75" hidden="1" customHeight="1" outlineLevel="1">
      <c r="A1606" s="1839" t="s">
        <v>3687</v>
      </c>
      <c r="B1606" s="1600" t="s">
        <v>133</v>
      </c>
      <c r="C1606" s="1841">
        <f>C1605</f>
        <v>0</v>
      </c>
      <c r="D1606" s="1958"/>
      <c r="E1606" s="1805"/>
      <c r="F1606" s="1805"/>
      <c r="G1606" s="1857"/>
      <c r="H1606" s="1857"/>
      <c r="P1606" s="1354"/>
      <c r="Q1606" s="1354"/>
      <c r="R1606" s="1354"/>
      <c r="S1606" s="1354"/>
      <c r="T1606" s="1354"/>
      <c r="U1606" s="1354"/>
      <c r="V1606" s="1354"/>
      <c r="W1606" s="1354"/>
      <c r="X1606" s="1354"/>
      <c r="Y1606" s="1354"/>
    </row>
    <row r="1607" spans="1:25" s="1197" customFormat="1" ht="15.75" hidden="1" customHeight="1" outlineLevel="1">
      <c r="A1607" s="1839" t="s">
        <v>3635</v>
      </c>
      <c r="B1607" s="1600"/>
      <c r="C1607" s="1841">
        <f>связи1!D154</f>
        <v>0</v>
      </c>
      <c r="D1607" s="1857">
        <f>VLOOKUP('Ввод данных'!A1084,'Прайс лист'!B236:G253,4,0)/1000</f>
        <v>0.19</v>
      </c>
      <c r="E1607" s="1805"/>
      <c r="F1607" s="1805"/>
      <c r="G1607" s="1857"/>
      <c r="H1607" s="1857"/>
      <c r="P1607" s="1354"/>
      <c r="Q1607" s="1354"/>
      <c r="R1607" s="1354"/>
      <c r="S1607" s="1354"/>
      <c r="T1607" s="1354"/>
      <c r="U1607" s="1354"/>
      <c r="V1607" s="1354"/>
      <c r="W1607" s="1354"/>
      <c r="X1607" s="1354"/>
      <c r="Y1607" s="1354"/>
    </row>
    <row r="1608" spans="1:25" ht="15.75" hidden="1" customHeight="1" outlineLevel="1">
      <c r="A1608" s="1839" t="s">
        <v>3636</v>
      </c>
      <c r="B1608" s="1600" t="s">
        <v>133</v>
      </c>
      <c r="C1608" s="1841">
        <f>связи1!E154</f>
        <v>0</v>
      </c>
      <c r="D1608" s="1857">
        <f>VLOOKUP('Ввод данных'!A1086,'Прайс лист'!B236:G253,4,0)/1000</f>
        <v>0.09</v>
      </c>
      <c r="E1608" s="1805"/>
      <c r="F1608" s="1805"/>
      <c r="G1608" s="1857"/>
      <c r="H1608" s="1857"/>
      <c r="I1608" s="1829"/>
      <c r="J1608" s="1354"/>
      <c r="K1608" s="1354"/>
      <c r="L1608" s="1354"/>
      <c r="M1608" s="1354"/>
      <c r="N1608" s="1354"/>
      <c r="O1608" s="1354"/>
      <c r="P1608" s="1354"/>
      <c r="Q1608" s="1354"/>
      <c r="R1608" s="1354"/>
      <c r="S1608" s="1354"/>
      <c r="T1608" s="1354"/>
      <c r="U1608" s="1354"/>
      <c r="V1608" s="1354"/>
      <c r="W1608" s="1354"/>
      <c r="X1608" s="1354"/>
      <c r="Y1608" s="1354"/>
    </row>
    <row r="1609" spans="1:25" ht="15.75" hidden="1" customHeight="1" outlineLevel="1">
      <c r="A1609" s="1839" t="s">
        <v>3638</v>
      </c>
      <c r="B1609" s="1600" t="s">
        <v>133</v>
      </c>
      <c r="C1609" s="1841">
        <f>(C1607+C1608)</f>
        <v>0</v>
      </c>
      <c r="D1609" s="1857"/>
      <c r="E1609" s="1805"/>
      <c r="F1609" s="1805"/>
      <c r="G1609" s="1857"/>
      <c r="H1609" s="1857"/>
      <c r="I1609" s="1829"/>
      <c r="J1609" s="1354"/>
      <c r="K1609" s="1354"/>
      <c r="L1609" s="1354"/>
      <c r="M1609" s="1354"/>
      <c r="N1609" s="1354"/>
      <c r="O1609" s="1354"/>
      <c r="P1609" s="1354"/>
      <c r="Q1609" s="1354"/>
      <c r="R1609" s="1354"/>
      <c r="S1609" s="1354"/>
      <c r="T1609" s="1354"/>
      <c r="U1609" s="1354"/>
      <c r="V1609" s="1354"/>
      <c r="W1609" s="1354"/>
      <c r="X1609" s="1354"/>
      <c r="Y1609" s="1354"/>
    </row>
    <row r="1610" spans="1:25" ht="15.75" hidden="1" customHeight="1" outlineLevel="1">
      <c r="A1610" s="1839" t="s">
        <v>3639</v>
      </c>
      <c r="B1610" s="1600" t="s">
        <v>133</v>
      </c>
      <c r="C1610" s="1696">
        <f>C1524</f>
        <v>90.43</v>
      </c>
      <c r="D1610" s="1857"/>
      <c r="E1610" s="1805"/>
      <c r="F1610" s="1805"/>
      <c r="G1610" s="1857"/>
      <c r="H1610" s="1857"/>
      <c r="I1610" s="1829"/>
      <c r="J1610" s="1354"/>
      <c r="K1610" s="1354"/>
      <c r="L1610" s="1354"/>
      <c r="M1610" s="1354"/>
      <c r="N1610" s="1354"/>
      <c r="O1610" s="1354"/>
      <c r="P1610" s="1354"/>
      <c r="Q1610" s="1354"/>
      <c r="R1610" s="1354"/>
      <c r="S1610" s="1354"/>
      <c r="T1610" s="1354"/>
      <c r="U1610" s="1354"/>
      <c r="V1610" s="1354"/>
      <c r="W1610" s="1354"/>
      <c r="X1610" s="1354"/>
      <c r="Y1610" s="1354"/>
    </row>
    <row r="1611" spans="1:25" ht="15.75" hidden="1" customHeight="1" outlineLevel="1">
      <c r="A1611" s="1934" t="s">
        <v>2720</v>
      </c>
      <c r="B1611" s="1935" t="s">
        <v>1094</v>
      </c>
      <c r="C1611" s="1935" t="s">
        <v>1802</v>
      </c>
      <c r="D1611" s="1055" t="s">
        <v>293</v>
      </c>
      <c r="E1611" s="1055" t="s">
        <v>1800</v>
      </c>
      <c r="F1611" s="1055" t="s">
        <v>853</v>
      </c>
      <c r="G1611" s="1055" t="s">
        <v>1802</v>
      </c>
      <c r="H1611" s="1959"/>
      <c r="I1611" s="1960" t="s">
        <v>3764</v>
      </c>
      <c r="J1611" s="1961" t="s">
        <v>2722</v>
      </c>
      <c r="K1611" s="1354"/>
      <c r="L1611" s="1931" t="s">
        <v>1409</v>
      </c>
      <c r="M1611" s="1962"/>
      <c r="N1611" s="1055"/>
      <c r="O1611" s="1936" t="s">
        <v>1802</v>
      </c>
      <c r="P1611" s="1936" t="s">
        <v>2721</v>
      </c>
      <c r="Q1611" s="1936"/>
      <c r="R1611" s="1936"/>
      <c r="S1611" s="1936" t="s">
        <v>2722</v>
      </c>
      <c r="T1611" s="1354"/>
      <c r="U1611" s="1354"/>
      <c r="V1611" s="1354"/>
      <c r="W1611" s="1354"/>
      <c r="X1611" s="1354"/>
      <c r="Y1611" s="1354"/>
    </row>
    <row r="1612" spans="1:25" ht="15.75" hidden="1" customHeight="1" outlineLevel="1">
      <c r="A1612" s="1839" t="str">
        <f>'Ввод данных'!A1082</f>
        <v>Керамзитобетонный блок - 390х190х188</v>
      </c>
      <c r="B1612" s="1696" t="str">
        <f>B1531</f>
        <v>м3</v>
      </c>
      <c r="C1612" s="1339">
        <f>C1605*D1605</f>
        <v>0</v>
      </c>
      <c r="D1612" s="1055">
        <f>VLOOKUP(A1612,'Прайс лист'!B236:G253,3,0)</f>
        <v>188</v>
      </c>
      <c r="E1612" s="1055">
        <f>VLOOKUP(A1612,'Прайс лист'!B236:G253,4,0)</f>
        <v>190</v>
      </c>
      <c r="F1612" s="1055">
        <f>VLOOKUP(A1612,'Прайс лист'!B236:G253,5,0)</f>
        <v>390</v>
      </c>
      <c r="G1612" s="1055">
        <f>C1612/(D1612*E1612*F1612/1000000000)</f>
        <v>0</v>
      </c>
      <c r="H1612" s="1055"/>
      <c r="I1612" s="1839">
        <f>VLOOKUP('Ввод данных'!A1082,'Прайс лист'!B236:G253,6,0)</f>
        <v>3200</v>
      </c>
      <c r="J1612" s="1696">
        <f t="shared" ref="J1612:J1643" si="189">C1612*I1612</f>
        <v>0</v>
      </c>
      <c r="K1612" s="1805"/>
      <c r="L1612" s="1948" t="str">
        <f>'Прайс лист'!B1679</f>
        <v>кладка пенобетона несущие стены</v>
      </c>
      <c r="M1612" s="1829"/>
      <c r="N1612" s="1353"/>
      <c r="O1612" s="1944">
        <f>C1612</f>
        <v>0</v>
      </c>
      <c r="P1612" s="1944">
        <f>'Прайс лист'!G1679</f>
        <v>3500</v>
      </c>
      <c r="Q1612" s="1944"/>
      <c r="R1612" s="1944"/>
      <c r="S1612" s="1944">
        <f t="shared" ref="S1612:S1622" si="190">O1612*P1612</f>
        <v>0</v>
      </c>
      <c r="T1612" s="1354"/>
      <c r="U1612" s="1354"/>
      <c r="V1612" s="1354"/>
      <c r="W1612" s="1354"/>
      <c r="X1612" s="1354"/>
      <c r="Y1612" s="1354"/>
    </row>
    <row r="1613" spans="1:25" ht="15.75" hidden="1" customHeight="1" outlineLevel="1">
      <c r="A1613" s="1839" t="str">
        <f>'Ввод данных'!A1084</f>
        <v>Керамзитобетонный блок - 390х190х188</v>
      </c>
      <c r="B1613" s="1696" t="str">
        <f>B1532</f>
        <v>м3</v>
      </c>
      <c r="C1613" s="1339">
        <f>C1607*D1607</f>
        <v>0</v>
      </c>
      <c r="D1613" s="1055">
        <f>VLOOKUP(A1613,'Прайс лист'!B236:G253,3,0)</f>
        <v>188</v>
      </c>
      <c r="E1613" s="1055">
        <f>VLOOKUP(A1613,'Прайс лист'!B236:G253,4,0)</f>
        <v>190</v>
      </c>
      <c r="F1613" s="1055">
        <f>VLOOKUP(A1613,'Прайс лист'!B236:G253,5,0)</f>
        <v>390</v>
      </c>
      <c r="G1613" s="1055">
        <f>C1613/(D1613*E1613*F1613/1000000000)</f>
        <v>0</v>
      </c>
      <c r="H1613" s="1055"/>
      <c r="I1613" s="1839">
        <f>VLOOKUP('Ввод данных'!A1084,'Прайс лист'!B236:G253,6,0)</f>
        <v>3200</v>
      </c>
      <c r="J1613" s="1696">
        <f t="shared" si="189"/>
        <v>0</v>
      </c>
      <c r="K1613" s="1805"/>
      <c r="L1613" s="1948" t="str">
        <f>'Прайс лист'!B1680</f>
        <v>кладка пенобетона несущие перегородки</v>
      </c>
      <c r="M1613" s="1829"/>
      <c r="N1613" s="1353"/>
      <c r="O1613" s="1944">
        <f>C1613</f>
        <v>0</v>
      </c>
      <c r="P1613" s="1944">
        <f>'Прайс лист'!G1680</f>
        <v>3500</v>
      </c>
      <c r="Q1613" s="1944"/>
      <c r="R1613" s="1944"/>
      <c r="S1613" s="1944">
        <f t="shared" si="190"/>
        <v>0</v>
      </c>
      <c r="T1613" s="1354"/>
      <c r="U1613" s="1354"/>
      <c r="V1613" s="1354"/>
      <c r="W1613" s="1354"/>
      <c r="X1613" s="1354"/>
      <c r="Y1613" s="1354"/>
    </row>
    <row r="1614" spans="1:25" ht="15.75" hidden="1" customHeight="1" outlineLevel="1">
      <c r="A1614" s="1839" t="str">
        <f>'Ввод данных'!A1086</f>
        <v>Керамзитобетонный блок - 390х90х188</v>
      </c>
      <c r="B1614" s="1696" t="str">
        <f>B1533</f>
        <v>м3</v>
      </c>
      <c r="C1614" s="1339">
        <f>C1608*D1608</f>
        <v>0</v>
      </c>
      <c r="D1614" s="1055">
        <f>VLOOKUP(A1614,'Прайс лист'!B236:G253,3,0)</f>
        <v>188</v>
      </c>
      <c r="E1614" s="1055">
        <f>VLOOKUP(A1614,'Прайс лист'!B236:G253,4,0)</f>
        <v>90</v>
      </c>
      <c r="F1614" s="1055">
        <f>VLOOKUP(A1614,'Прайс лист'!B236:G253,5,0)</f>
        <v>390</v>
      </c>
      <c r="G1614" s="1055">
        <f>C1614/(D1614*E1614*F1614/1000000000)</f>
        <v>0</v>
      </c>
      <c r="H1614" s="1055"/>
      <c r="I1614" s="1839">
        <f>VLOOKUP('Ввод данных'!A1086,'Прайс лист'!B236:G253,6,0)</f>
        <v>3200</v>
      </c>
      <c r="J1614" s="1696">
        <f t="shared" si="189"/>
        <v>0</v>
      </c>
      <c r="K1614" s="1805"/>
      <c r="L1614" s="1948" t="str">
        <f>'Прайс лист'!B1681</f>
        <v>кладка пенобетона перегородки</v>
      </c>
      <c r="M1614" s="1829"/>
      <c r="N1614" s="1353"/>
      <c r="O1614" s="1944">
        <f>C1614</f>
        <v>0</v>
      </c>
      <c r="P1614" s="1944">
        <f>'Прайс лист'!G1681</f>
        <v>450</v>
      </c>
      <c r="Q1614" s="1944"/>
      <c r="R1614" s="1944"/>
      <c r="S1614" s="1944">
        <f t="shared" si="190"/>
        <v>0</v>
      </c>
      <c r="T1614" s="1354"/>
      <c r="U1614" s="1354"/>
      <c r="V1614" s="1354"/>
      <c r="W1614" s="1354"/>
      <c r="X1614" s="1354"/>
      <c r="Y1614" s="1354"/>
    </row>
    <row r="1615" spans="1:25" ht="15.75" hidden="1" customHeight="1" outlineLevel="1">
      <c r="A1615" s="1839" t="str">
        <f t="shared" ref="A1615:B1634" si="191">A1539</f>
        <v>Клей монтажный ВК-100</v>
      </c>
      <c r="B1615" s="1696" t="str">
        <f t="shared" si="191"/>
        <v>меш</v>
      </c>
      <c r="C1615" s="1339">
        <f>(C1612+C1613+C1614)*2*D1590*G1589</f>
        <v>0</v>
      </c>
      <c r="D1615" s="1055"/>
      <c r="E1615" s="1055"/>
      <c r="F1615" s="1055"/>
      <c r="G1615" s="1055"/>
      <c r="H1615" s="1055"/>
      <c r="I1615" s="1839">
        <f>I1539</f>
        <v>185</v>
      </c>
      <c r="J1615" s="1696">
        <f t="shared" si="189"/>
        <v>0</v>
      </c>
      <c r="K1615" s="1805"/>
      <c r="L1615" s="1279" t="str">
        <f>'Прайс лист'!B1684</f>
        <v>изготовление и монтаж перемычек для окон и дверей</v>
      </c>
      <c r="M1615" s="1829"/>
      <c r="N1615" s="1353"/>
      <c r="O1615" s="1944">
        <f>S1544</f>
        <v>2.5199999999999996</v>
      </c>
      <c r="P1615" s="1944">
        <f>'Прайс лист'!G1684</f>
        <v>500</v>
      </c>
      <c r="Q1615" s="1944"/>
      <c r="R1615" s="1944"/>
      <c r="S1615" s="1944">
        <f t="shared" si="190"/>
        <v>1259.9999999999998</v>
      </c>
      <c r="T1615" s="1354"/>
      <c r="U1615" s="1354"/>
      <c r="V1615" s="1354"/>
      <c r="W1615" s="1354"/>
      <c r="X1615" s="1354"/>
      <c r="Y1615" s="1354"/>
    </row>
    <row r="1616" spans="1:25" ht="15.75" hidden="1" customHeight="1" outlineLevel="1">
      <c r="A1616" s="1839" t="e">
        <f t="shared" si="191"/>
        <v>#N/A</v>
      </c>
      <c r="B1616" s="1696" t="str">
        <f t="shared" si="191"/>
        <v>меш</v>
      </c>
      <c r="C1616" s="1339">
        <f>C1617*4</f>
        <v>0</v>
      </c>
      <c r="D1616" s="1055"/>
      <c r="E1616" s="1055"/>
      <c r="F1616" s="1055"/>
      <c r="G1616" s="1055"/>
      <c r="H1616" s="1055"/>
      <c r="I1616" s="1839">
        <f>I1540</f>
        <v>0</v>
      </c>
      <c r="J1616" s="1696">
        <f t="shared" si="189"/>
        <v>0</v>
      </c>
      <c r="L1616" s="1279" t="str">
        <f>'Прайс лист'!B1685</f>
        <v>Замешивание раствора</v>
      </c>
      <c r="N1616" s="1055"/>
      <c r="O1616" s="1944">
        <f>C1617</f>
        <v>0</v>
      </c>
      <c r="P1616" s="1944">
        <f>'Прайс лист'!G1685</f>
        <v>1500</v>
      </c>
      <c r="Q1616" s="1944"/>
      <c r="R1616" s="1944"/>
      <c r="S1616" s="1944">
        <f t="shared" si="190"/>
        <v>0</v>
      </c>
      <c r="T1616" s="1354"/>
      <c r="U1616" s="1354"/>
      <c r="V1616" s="1354"/>
      <c r="W1616" s="1354"/>
      <c r="X1616" s="1354"/>
      <c r="Y1616" s="1354"/>
    </row>
    <row r="1617" spans="1:25" s="1355" customFormat="1" ht="15.75" hidden="1" customHeight="1" outlineLevel="1">
      <c r="A1617" s="1839" t="e">
        <f t="shared" si="191"/>
        <v>#N/A</v>
      </c>
      <c r="B1617" s="1696" t="str">
        <f t="shared" si="191"/>
        <v>м3</v>
      </c>
      <c r="C1617" s="1339">
        <f>(C1612+C1613+C1614)*0.2</f>
        <v>0</v>
      </c>
      <c r="D1617" s="971"/>
      <c r="E1617" s="971"/>
      <c r="F1617" s="971"/>
      <c r="G1617" s="971"/>
      <c r="H1617" s="971"/>
      <c r="I1617" s="1839">
        <f>I1541</f>
        <v>0</v>
      </c>
      <c r="J1617" s="1696">
        <f t="shared" si="189"/>
        <v>0</v>
      </c>
      <c r="K1617" s="1354"/>
      <c r="L1617" s="1279" t="str">
        <f>'Прайс лист'!B1686</f>
        <v>Армирование стен наружних и перегородок</v>
      </c>
      <c r="M1617" s="1784"/>
      <c r="N1617" s="1353"/>
      <c r="O1617" s="1944">
        <f>S1546</f>
        <v>240</v>
      </c>
      <c r="P1617" s="1944">
        <f>'Прайс лист'!G1686</f>
        <v>70</v>
      </c>
      <c r="Q1617" s="1944"/>
      <c r="R1617" s="1944"/>
      <c r="S1617" s="1944">
        <f t="shared" si="190"/>
        <v>16800</v>
      </c>
      <c r="T1617" s="1354"/>
      <c r="U1617" s="1354"/>
      <c r="V1617" s="1354"/>
      <c r="W1617" s="1354"/>
      <c r="X1617" s="1354"/>
      <c r="Y1617" s="1354"/>
    </row>
    <row r="1618" spans="1:25" s="1355" customFormat="1" ht="15.75" hidden="1" customHeight="1" outlineLevel="1">
      <c r="A1618" s="1839" t="str">
        <f t="shared" si="191"/>
        <v>Доставка песка</v>
      </c>
      <c r="B1618" s="1696" t="str">
        <f t="shared" si="191"/>
        <v>маш</v>
      </c>
      <c r="C1618" s="1339"/>
      <c r="D1618" s="971"/>
      <c r="E1618" s="971"/>
      <c r="F1618" s="971"/>
      <c r="G1618" s="971"/>
      <c r="H1618" s="971"/>
      <c r="I1618" s="1839">
        <f>I1542</f>
        <v>0</v>
      </c>
      <c r="J1618" s="1696">
        <f t="shared" si="189"/>
        <v>0</v>
      </c>
      <c r="K1618" s="1354"/>
      <c r="L1618" s="1279" t="str">
        <f>'Прайс лист'!B1687</f>
        <v>Установка опалубки для сейсмопояса</v>
      </c>
      <c r="M1618" s="1784"/>
      <c r="N1618" s="1353"/>
      <c r="O1618" s="1944">
        <f>S1547</f>
        <v>40</v>
      </c>
      <c r="P1618" s="1944">
        <f>'Прайс лист'!G1687</f>
        <v>300</v>
      </c>
      <c r="Q1618" s="1944"/>
      <c r="R1618" s="1944"/>
      <c r="S1618" s="1944">
        <f t="shared" si="190"/>
        <v>12000</v>
      </c>
      <c r="T1618" s="1354"/>
      <c r="U1618" s="1354"/>
      <c r="V1618" s="1354"/>
      <c r="W1618" s="1354"/>
      <c r="X1618" s="1354"/>
      <c r="Y1618" s="1354"/>
    </row>
    <row r="1619" spans="1:25" s="1355" customFormat="1" ht="15.75" hidden="1" customHeight="1" outlineLevel="1">
      <c r="A1619" s="1839" t="e">
        <f t="shared" si="191"/>
        <v>#N/A</v>
      </c>
      <c r="B1619" s="1696" t="str">
        <f t="shared" si="191"/>
        <v>м3</v>
      </c>
      <c r="C1619" s="1339">
        <f>C1617</f>
        <v>0</v>
      </c>
      <c r="D1619" s="971"/>
      <c r="E1619" s="971"/>
      <c r="F1619" s="971"/>
      <c r="G1619" s="971"/>
      <c r="H1619" s="971"/>
      <c r="I1619" s="1839">
        <f>IF('Ввод данных'!A1096=связи1!A318,'Прайс лист'!G229,0)+IF('Ввод данных'!A1096=связи1!A319,'Прайс лист'!G230,0)+IF('Ввод данных'!A1096=связи1!A320,'Прайс лист'!G231,0)+IF('Ввод данных'!A1096=связи1!A321,'Прайс лист'!G232,0)</f>
        <v>0</v>
      </c>
      <c r="J1619" s="1696">
        <f t="shared" si="189"/>
        <v>0</v>
      </c>
      <c r="K1619" s="1354"/>
      <c r="L1619" s="1279" t="str">
        <f>'Прайс лист'!B1688</f>
        <v>Армирование сейсмопояса</v>
      </c>
      <c r="M1619" s="1784"/>
      <c r="N1619" s="1353"/>
      <c r="O1619" s="1944">
        <f>S1548</f>
        <v>40</v>
      </c>
      <c r="P1619" s="1944">
        <f>'Прайс лист'!G1688</f>
        <v>500</v>
      </c>
      <c r="Q1619" s="1944"/>
      <c r="R1619" s="1944"/>
      <c r="S1619" s="1944">
        <f t="shared" si="190"/>
        <v>20000</v>
      </c>
      <c r="T1619" s="1354"/>
      <c r="U1619" s="1354"/>
      <c r="V1619" s="1354"/>
      <c r="W1619" s="1354"/>
      <c r="X1619" s="1354"/>
      <c r="Y1619" s="1354"/>
    </row>
    <row r="1620" spans="1:25" s="1355" customFormat="1" ht="15.75" hidden="1" customHeight="1" outlineLevel="1">
      <c r="A1620" s="1839" t="str">
        <f t="shared" si="191"/>
        <v>Арматура М6 каждый 3-й ряд, 2 нити</v>
      </c>
      <c r="B1620" s="1696" t="str">
        <f t="shared" si="191"/>
        <v>м.п.</v>
      </c>
      <c r="C1620" s="1339">
        <f t="shared" ref="C1620:C1657" si="192">C1544</f>
        <v>480</v>
      </c>
      <c r="D1620" s="971"/>
      <c r="E1620" s="971"/>
      <c r="F1620" s="971"/>
      <c r="G1620" s="971"/>
      <c r="H1620" s="971"/>
      <c r="I1620" s="1839">
        <f t="shared" ref="I1620:I1657" si="193">I1544</f>
        <v>0</v>
      </c>
      <c r="J1620" s="1696">
        <f t="shared" si="189"/>
        <v>0</v>
      </c>
      <c r="K1620" s="1354"/>
      <c r="L1620" s="1279" t="str">
        <f>'Прайс лист'!B1689</f>
        <v>Заливка бетоном сейсмопояса</v>
      </c>
      <c r="M1620" s="1784"/>
      <c r="N1620" s="1353"/>
      <c r="O1620" s="1944">
        <f>S1549</f>
        <v>40</v>
      </c>
      <c r="P1620" s="1944">
        <f>'Прайс лист'!G1689</f>
        <v>700</v>
      </c>
      <c r="Q1620" s="1944"/>
      <c r="R1620" s="1944"/>
      <c r="S1620" s="1944">
        <f t="shared" si="190"/>
        <v>28000</v>
      </c>
      <c r="T1620" s="1354"/>
      <c r="U1620" s="1354"/>
      <c r="V1620" s="1354"/>
      <c r="W1620" s="1354"/>
      <c r="X1620" s="1354"/>
      <c r="Y1620" s="1354"/>
    </row>
    <row r="1621" spans="1:25" s="1355" customFormat="1" ht="15.75" hidden="1" customHeight="1" outlineLevel="1">
      <c r="A1621" s="1839" t="str">
        <f t="shared" si="191"/>
        <v>Арматура М6 каждый 3-й ряд, 2 нити</v>
      </c>
      <c r="B1621" s="1696" t="str">
        <f t="shared" si="191"/>
        <v>м.п.</v>
      </c>
      <c r="C1621" s="1339">
        <f t="shared" si="192"/>
        <v>0</v>
      </c>
      <c r="D1621" s="971"/>
      <c r="E1621" s="971"/>
      <c r="F1621" s="971"/>
      <c r="G1621" s="971"/>
      <c r="H1621" s="971"/>
      <c r="I1621" s="1839">
        <f t="shared" si="193"/>
        <v>0</v>
      </c>
      <c r="J1621" s="1696">
        <f t="shared" si="189"/>
        <v>0</v>
      </c>
      <c r="K1621" s="1354"/>
      <c r="L1621" s="1279" t="str">
        <f>'Прайс лист'!B1690</f>
        <v>утепление стен снаружи дома</v>
      </c>
      <c r="M1621" s="1784"/>
      <c r="N1621" s="1353"/>
      <c r="O1621" s="1944">
        <f>C1605*D1596</f>
        <v>0</v>
      </c>
      <c r="P1621" s="1944">
        <f>'Прайс лист'!G1690</f>
        <v>350</v>
      </c>
      <c r="Q1621" s="1944"/>
      <c r="R1621" s="1944"/>
      <c r="S1621" s="1944">
        <f t="shared" si="190"/>
        <v>0</v>
      </c>
      <c r="T1621" s="1354"/>
      <c r="U1621" s="1354"/>
      <c r="V1621" s="1354"/>
      <c r="W1621" s="1354"/>
      <c r="X1621" s="1354"/>
      <c r="Y1621" s="1354"/>
    </row>
    <row r="1622" spans="1:25" s="1355" customFormat="1" ht="15.75" hidden="1" customHeight="1" outlineLevel="1">
      <c r="A1622" s="1839" t="str">
        <f t="shared" si="191"/>
        <v>Перемычка оконная, 1-ый эт. Вариант 1</v>
      </c>
      <c r="B1622" s="1696" t="str">
        <f t="shared" si="191"/>
        <v>м.п.</v>
      </c>
      <c r="C1622" s="1339">
        <f t="shared" si="192"/>
        <v>1</v>
      </c>
      <c r="D1622" s="971">
        <f>D1612/1000</f>
        <v>0.188</v>
      </c>
      <c r="E1622" s="971">
        <f t="shared" ref="E1622:G1648" si="194">E1546</f>
        <v>1.4</v>
      </c>
      <c r="F1622" s="971">
        <f t="shared" si="194"/>
        <v>100</v>
      </c>
      <c r="G1622" s="971">
        <f t="shared" si="194"/>
        <v>1.7999999999999998</v>
      </c>
      <c r="H1622" s="971"/>
      <c r="I1622" s="1839">
        <f t="shared" si="193"/>
        <v>1000</v>
      </c>
      <c r="J1622" s="1696">
        <f t="shared" si="189"/>
        <v>1000</v>
      </c>
      <c r="K1622" s="1354"/>
      <c r="L1622" s="1948" t="str">
        <f>'Прайс лист'!B1673</f>
        <v>монтаж ветроизоляции стен</v>
      </c>
      <c r="M1622" s="1784"/>
      <c r="N1622" s="1353"/>
      <c r="O1622" s="1944">
        <f>C1605*D1597</f>
        <v>0</v>
      </c>
      <c r="P1622" s="1944">
        <f>'Прайс лист'!G1673</f>
        <v>100</v>
      </c>
      <c r="Q1622" s="1944"/>
      <c r="R1622" s="1944"/>
      <c r="S1622" s="1944">
        <f t="shared" si="190"/>
        <v>0</v>
      </c>
      <c r="T1622" s="1354"/>
      <c r="U1622" s="1354"/>
      <c r="V1622" s="1354"/>
      <c r="W1622" s="1354"/>
      <c r="X1622" s="1354"/>
      <c r="Y1622" s="1354"/>
    </row>
    <row r="1623" spans="1:25" s="1355" customFormat="1" ht="15.75" hidden="1" customHeight="1" outlineLevel="1">
      <c r="A1623" s="1839" t="str">
        <f t="shared" si="191"/>
        <v>Перемычка оконная, 1-ый эт. Вариант 2</v>
      </c>
      <c r="B1623" s="1696" t="str">
        <f t="shared" si="191"/>
        <v>м.п.</v>
      </c>
      <c r="C1623" s="1339">
        <f t="shared" si="192"/>
        <v>0</v>
      </c>
      <c r="D1623" s="971">
        <f t="shared" ref="D1623:D1635" si="195">$D$1612/1000</f>
        <v>0.188</v>
      </c>
      <c r="E1623" s="971">
        <f t="shared" si="194"/>
        <v>1</v>
      </c>
      <c r="F1623" s="971">
        <f t="shared" si="194"/>
        <v>100</v>
      </c>
      <c r="G1623" s="971">
        <f t="shared" si="194"/>
        <v>0</v>
      </c>
      <c r="H1623" s="971"/>
      <c r="I1623" s="1839">
        <f t="shared" si="193"/>
        <v>1000</v>
      </c>
      <c r="J1623" s="1696">
        <f t="shared" si="189"/>
        <v>0</v>
      </c>
      <c r="K1623" s="1354"/>
      <c r="L1623" s="1632"/>
      <c r="M1623" s="1853"/>
      <c r="N1623" s="1885"/>
      <c r="O1623" s="1885"/>
      <c r="P1623" s="1885"/>
      <c r="Q1623" s="1885"/>
      <c r="R1623" s="1885"/>
      <c r="S1623" s="1885"/>
      <c r="T1623" s="1354"/>
      <c r="U1623" s="1354"/>
      <c r="V1623" s="1354"/>
      <c r="W1623" s="1354"/>
      <c r="X1623" s="1354"/>
      <c r="Y1623" s="1354"/>
    </row>
    <row r="1624" spans="1:25" s="1355" customFormat="1" ht="15.75" hidden="1" customHeight="1" outlineLevel="1">
      <c r="A1624" s="1839" t="str">
        <f t="shared" si="191"/>
        <v>Перемычка оконная, 1-ый эт. Вариант 3</v>
      </c>
      <c r="B1624" s="1696" t="str">
        <f t="shared" si="191"/>
        <v>м.п.</v>
      </c>
      <c r="C1624" s="1339">
        <f t="shared" si="192"/>
        <v>0</v>
      </c>
      <c r="D1624" s="971">
        <f t="shared" si="195"/>
        <v>0.188</v>
      </c>
      <c r="E1624" s="971">
        <f t="shared" si="194"/>
        <v>1.4</v>
      </c>
      <c r="F1624" s="971">
        <f t="shared" si="194"/>
        <v>100</v>
      </c>
      <c r="G1624" s="971">
        <f t="shared" si="194"/>
        <v>0</v>
      </c>
      <c r="H1624" s="971"/>
      <c r="I1624" s="1839">
        <f t="shared" si="193"/>
        <v>1000</v>
      </c>
      <c r="J1624" s="1696">
        <f t="shared" si="189"/>
        <v>0</v>
      </c>
      <c r="K1624" s="1354"/>
      <c r="L1624" s="1632"/>
      <c r="M1624" s="1853"/>
      <c r="N1624" s="1353"/>
      <c r="O1624" s="1353"/>
      <c r="P1624" s="1353"/>
      <c r="Q1624" s="1353"/>
      <c r="R1624" s="1353"/>
      <c r="S1624" s="1353"/>
      <c r="T1624" s="1354"/>
      <c r="U1624" s="1354"/>
      <c r="V1624" s="1354"/>
      <c r="W1624" s="1354"/>
      <c r="X1624" s="1354"/>
      <c r="Y1624" s="1354"/>
    </row>
    <row r="1625" spans="1:25" s="1355" customFormat="1" ht="15.75" hidden="1" customHeight="1" outlineLevel="1">
      <c r="A1625" s="1839" t="str">
        <f t="shared" si="191"/>
        <v>Перемычка оконная, 1-ый эт. Вариант 4</v>
      </c>
      <c r="B1625" s="1696" t="str">
        <f t="shared" si="191"/>
        <v>м.п.</v>
      </c>
      <c r="C1625" s="1339">
        <f t="shared" si="192"/>
        <v>0</v>
      </c>
      <c r="D1625" s="971">
        <f t="shared" si="195"/>
        <v>0.188</v>
      </c>
      <c r="E1625" s="971">
        <f t="shared" si="194"/>
        <v>1</v>
      </c>
      <c r="F1625" s="971">
        <f t="shared" si="194"/>
        <v>100</v>
      </c>
      <c r="G1625" s="971">
        <f t="shared" si="194"/>
        <v>0</v>
      </c>
      <c r="H1625" s="971"/>
      <c r="I1625" s="1839">
        <f t="shared" si="193"/>
        <v>1000</v>
      </c>
      <c r="J1625" s="1696">
        <f t="shared" si="189"/>
        <v>0</v>
      </c>
      <c r="K1625" s="1354"/>
      <c r="L1625" s="1632"/>
      <c r="M1625" s="1853"/>
      <c r="N1625" s="1353"/>
      <c r="O1625" s="1353"/>
      <c r="P1625" s="1353"/>
      <c r="Q1625" s="1353"/>
      <c r="R1625" s="1353"/>
      <c r="S1625" s="1353"/>
      <c r="T1625" s="1354"/>
      <c r="U1625" s="1354"/>
      <c r="V1625" s="1354"/>
      <c r="W1625" s="1354"/>
      <c r="X1625" s="1354"/>
      <c r="Y1625" s="1354"/>
    </row>
    <row r="1626" spans="1:25" s="1355" customFormat="1" ht="15.75" hidden="1" customHeight="1" outlineLevel="1">
      <c r="A1626" s="1839" t="str">
        <f t="shared" si="191"/>
        <v>Перемычка оконная, 1-ый эт. Вариант 5</v>
      </c>
      <c r="B1626" s="1696" t="str">
        <f t="shared" si="191"/>
        <v>м.п.</v>
      </c>
      <c r="C1626" s="1339">
        <f t="shared" si="192"/>
        <v>0</v>
      </c>
      <c r="D1626" s="971">
        <f t="shared" si="195"/>
        <v>0.188</v>
      </c>
      <c r="E1626" s="971">
        <f t="shared" si="194"/>
        <v>0.9</v>
      </c>
      <c r="F1626" s="971">
        <f t="shared" si="194"/>
        <v>100</v>
      </c>
      <c r="G1626" s="971">
        <f t="shared" si="194"/>
        <v>0</v>
      </c>
      <c r="H1626" s="971"/>
      <c r="I1626" s="1839">
        <f t="shared" si="193"/>
        <v>1000</v>
      </c>
      <c r="J1626" s="1696">
        <f t="shared" si="189"/>
        <v>0</v>
      </c>
      <c r="K1626" s="1354"/>
      <c r="L1626" s="1632"/>
      <c r="M1626" s="1853"/>
      <c r="N1626" s="1353"/>
      <c r="O1626" s="1353"/>
      <c r="P1626" s="1353"/>
      <c r="Q1626" s="1353"/>
      <c r="R1626" s="1353"/>
      <c r="S1626" s="1353"/>
      <c r="T1626" s="1354"/>
      <c r="U1626" s="1354"/>
      <c r="V1626" s="1354"/>
      <c r="W1626" s="1354"/>
      <c r="X1626" s="1354"/>
      <c r="Y1626" s="1354"/>
    </row>
    <row r="1627" spans="1:25" s="1355" customFormat="1" ht="15.75" hidden="1" customHeight="1" outlineLevel="1">
      <c r="A1627" s="1839" t="str">
        <f t="shared" si="191"/>
        <v>Перемычка оконная, 2-ый эт. Вариант 6</v>
      </c>
      <c r="B1627" s="1696" t="str">
        <f t="shared" si="191"/>
        <v>м.п.</v>
      </c>
      <c r="C1627" s="1339">
        <f t="shared" si="192"/>
        <v>0</v>
      </c>
      <c r="D1627" s="971">
        <f t="shared" si="195"/>
        <v>0.188</v>
      </c>
      <c r="E1627" s="971">
        <f t="shared" si="194"/>
        <v>1</v>
      </c>
      <c r="F1627" s="971">
        <f t="shared" si="194"/>
        <v>100</v>
      </c>
      <c r="G1627" s="971">
        <f t="shared" si="194"/>
        <v>0</v>
      </c>
      <c r="H1627" s="971"/>
      <c r="I1627" s="1839">
        <f t="shared" si="193"/>
        <v>1000</v>
      </c>
      <c r="J1627" s="1696">
        <f t="shared" si="189"/>
        <v>0</v>
      </c>
      <c r="K1627" s="1354"/>
      <c r="L1627" s="1632"/>
      <c r="M1627" s="1853"/>
      <c r="N1627" s="1353"/>
      <c r="O1627" s="1353"/>
      <c r="P1627" s="1353"/>
      <c r="Q1627" s="1353"/>
      <c r="R1627" s="1353"/>
      <c r="S1627" s="1353"/>
      <c r="T1627" s="1354"/>
      <c r="U1627" s="1354"/>
      <c r="V1627" s="1354"/>
      <c r="W1627" s="1354"/>
      <c r="X1627" s="1354"/>
      <c r="Y1627" s="1354"/>
    </row>
    <row r="1628" spans="1:25" s="1355" customFormat="1" ht="15.75" hidden="1" customHeight="1" outlineLevel="1">
      <c r="A1628" s="1839" t="str">
        <f t="shared" si="191"/>
        <v>Перемычка оконная, 2-ый эт. Вариант 7</v>
      </c>
      <c r="B1628" s="1696" t="str">
        <f t="shared" si="191"/>
        <v>м.п.</v>
      </c>
      <c r="C1628" s="1339">
        <f t="shared" si="192"/>
        <v>0</v>
      </c>
      <c r="D1628" s="971">
        <f t="shared" si="195"/>
        <v>0.188</v>
      </c>
      <c r="E1628" s="971">
        <f t="shared" si="194"/>
        <v>1.2000000000000002</v>
      </c>
      <c r="F1628" s="971">
        <f t="shared" si="194"/>
        <v>100</v>
      </c>
      <c r="G1628" s="971">
        <f t="shared" si="194"/>
        <v>0</v>
      </c>
      <c r="H1628" s="971"/>
      <c r="I1628" s="1839">
        <f t="shared" si="193"/>
        <v>1000</v>
      </c>
      <c r="J1628" s="1696">
        <f t="shared" si="189"/>
        <v>0</v>
      </c>
      <c r="K1628" s="1354"/>
      <c r="L1628" s="1632"/>
      <c r="M1628" s="1853"/>
      <c r="N1628" s="1353"/>
      <c r="O1628" s="1353"/>
      <c r="P1628" s="1353"/>
      <c r="Q1628" s="1353"/>
      <c r="R1628" s="1353"/>
      <c r="S1628" s="1353"/>
      <c r="T1628" s="1354"/>
      <c r="U1628" s="1354"/>
      <c r="V1628" s="1354"/>
      <c r="W1628" s="1354"/>
      <c r="X1628" s="1354"/>
      <c r="Y1628" s="1354"/>
    </row>
    <row r="1629" spans="1:25" s="1355" customFormat="1" ht="15.75" hidden="1" customHeight="1" outlineLevel="1">
      <c r="A1629" s="1839" t="str">
        <f t="shared" si="191"/>
        <v>Перемычка оконная, 2-ый эт. Вариант 8</v>
      </c>
      <c r="B1629" s="1696" t="str">
        <f t="shared" si="191"/>
        <v>м.п.</v>
      </c>
      <c r="C1629" s="1339">
        <f t="shared" si="192"/>
        <v>0</v>
      </c>
      <c r="D1629" s="971">
        <f t="shared" si="195"/>
        <v>0.188</v>
      </c>
      <c r="E1629" s="971">
        <f t="shared" si="194"/>
        <v>1.4</v>
      </c>
      <c r="F1629" s="971">
        <f t="shared" si="194"/>
        <v>100</v>
      </c>
      <c r="G1629" s="971">
        <f t="shared" si="194"/>
        <v>0</v>
      </c>
      <c r="H1629" s="971"/>
      <c r="I1629" s="1839">
        <f t="shared" si="193"/>
        <v>1000</v>
      </c>
      <c r="J1629" s="1696">
        <f t="shared" si="189"/>
        <v>0</v>
      </c>
      <c r="K1629" s="1354"/>
      <c r="L1629" s="1632"/>
      <c r="M1629" s="1853"/>
      <c r="N1629" s="1353"/>
      <c r="O1629" s="1353"/>
      <c r="P1629" s="1353"/>
      <c r="Q1629" s="1353"/>
      <c r="R1629" s="1353"/>
      <c r="S1629" s="1353"/>
      <c r="T1629" s="1354"/>
      <c r="U1629" s="1354"/>
      <c r="V1629" s="1354"/>
      <c r="W1629" s="1354"/>
      <c r="X1629" s="1354"/>
      <c r="Y1629" s="1354"/>
    </row>
    <row r="1630" spans="1:25" s="1355" customFormat="1" ht="15.75" hidden="1" customHeight="1" outlineLevel="1">
      <c r="A1630" s="1839" t="str">
        <f t="shared" si="191"/>
        <v>Перемычка оконная, 2-ый эт. Вариант 9</v>
      </c>
      <c r="B1630" s="1696" t="str">
        <f t="shared" si="191"/>
        <v>м.п.</v>
      </c>
      <c r="C1630" s="1339">
        <f t="shared" si="192"/>
        <v>0</v>
      </c>
      <c r="D1630" s="971">
        <f t="shared" si="195"/>
        <v>0.188</v>
      </c>
      <c r="E1630" s="971">
        <f t="shared" si="194"/>
        <v>5.4</v>
      </c>
      <c r="F1630" s="971">
        <f t="shared" si="194"/>
        <v>100</v>
      </c>
      <c r="G1630" s="971">
        <f t="shared" si="194"/>
        <v>0</v>
      </c>
      <c r="H1630" s="971"/>
      <c r="I1630" s="1839">
        <f t="shared" si="193"/>
        <v>1000</v>
      </c>
      <c r="J1630" s="1696">
        <f t="shared" si="189"/>
        <v>0</v>
      </c>
      <c r="K1630" s="1354"/>
      <c r="L1630" s="1632"/>
      <c r="M1630" s="1853"/>
      <c r="N1630" s="1353"/>
      <c r="O1630" s="1353"/>
      <c r="P1630" s="1353"/>
      <c r="Q1630" s="1353"/>
      <c r="R1630" s="1353"/>
      <c r="S1630" s="1353"/>
      <c r="T1630" s="1354"/>
      <c r="U1630" s="1354"/>
      <c r="V1630" s="1354"/>
      <c r="W1630" s="1354"/>
      <c r="X1630" s="1354"/>
      <c r="Y1630" s="1354"/>
    </row>
    <row r="1631" spans="1:25" s="1355" customFormat="1" ht="15.75" hidden="1" customHeight="1" outlineLevel="1">
      <c r="A1631" s="1839" t="str">
        <f t="shared" si="191"/>
        <v>Перемычка оконная, 2-ый эт. Вариант 10</v>
      </c>
      <c r="B1631" s="1696" t="str">
        <f t="shared" si="191"/>
        <v>м.п.</v>
      </c>
      <c r="C1631" s="1339">
        <f t="shared" si="192"/>
        <v>0</v>
      </c>
      <c r="D1631" s="971">
        <f t="shared" si="195"/>
        <v>0.188</v>
      </c>
      <c r="E1631" s="971">
        <f t="shared" si="194"/>
        <v>6.4</v>
      </c>
      <c r="F1631" s="971">
        <f t="shared" si="194"/>
        <v>100</v>
      </c>
      <c r="G1631" s="971">
        <f t="shared" si="194"/>
        <v>0</v>
      </c>
      <c r="H1631" s="971"/>
      <c r="I1631" s="1839">
        <f t="shared" si="193"/>
        <v>1000</v>
      </c>
      <c r="J1631" s="1696">
        <f t="shared" si="189"/>
        <v>0</v>
      </c>
      <c r="K1631" s="1354"/>
      <c r="L1631" s="1632"/>
      <c r="M1631" s="1853"/>
      <c r="N1631" s="1353"/>
      <c r="O1631" s="1353"/>
      <c r="P1631" s="1353"/>
      <c r="Q1631" s="1353"/>
      <c r="R1631" s="1353"/>
      <c r="S1631" s="1353"/>
      <c r="T1631" s="1354"/>
      <c r="U1631" s="1354"/>
      <c r="V1631" s="1354"/>
      <c r="W1631" s="1354"/>
      <c r="X1631" s="1354"/>
      <c r="Y1631" s="1354"/>
    </row>
    <row r="1632" spans="1:25" s="1355" customFormat="1" ht="15.75" hidden="1" customHeight="1" outlineLevel="1">
      <c r="A1632" s="1839" t="str">
        <f t="shared" si="191"/>
        <v>Перемычка дверная, 1-ый эт. Вариант 1</v>
      </c>
      <c r="B1632" s="1696" t="str">
        <f t="shared" si="191"/>
        <v>м.п.</v>
      </c>
      <c r="C1632" s="1339">
        <f t="shared" si="192"/>
        <v>0</v>
      </c>
      <c r="D1632" s="971">
        <f t="shared" si="195"/>
        <v>0.188</v>
      </c>
      <c r="E1632" s="971">
        <f t="shared" si="194"/>
        <v>1.2000000000000002</v>
      </c>
      <c r="F1632" s="971">
        <f t="shared" si="194"/>
        <v>200</v>
      </c>
      <c r="G1632" s="971">
        <f t="shared" si="194"/>
        <v>0</v>
      </c>
      <c r="H1632" s="971"/>
      <c r="I1632" s="1839">
        <f t="shared" si="193"/>
        <v>1000</v>
      </c>
      <c r="J1632" s="1696">
        <f t="shared" si="189"/>
        <v>0</v>
      </c>
      <c r="K1632" s="1354"/>
      <c r="L1632" s="1632"/>
      <c r="M1632" s="1853"/>
      <c r="N1632" s="1353"/>
      <c r="O1632" s="1353"/>
      <c r="P1632" s="1353"/>
      <c r="Q1632" s="1353"/>
      <c r="R1632" s="1353"/>
      <c r="S1632" s="1353"/>
      <c r="T1632" s="1354"/>
      <c r="U1632" s="1354"/>
      <c r="V1632" s="1354"/>
      <c r="W1632" s="1354"/>
      <c r="X1632" s="1354"/>
      <c r="Y1632" s="1354"/>
    </row>
    <row r="1633" spans="1:25" s="1355" customFormat="1" ht="15.75" hidden="1" customHeight="1" outlineLevel="1">
      <c r="A1633" s="1839" t="str">
        <f t="shared" si="191"/>
        <v>Перемычка дверная, 2-ый эт. Вариант 2</v>
      </c>
      <c r="B1633" s="1696" t="str">
        <f t="shared" si="191"/>
        <v>м.п.</v>
      </c>
      <c r="C1633" s="1339">
        <f t="shared" si="192"/>
        <v>0</v>
      </c>
      <c r="D1633" s="971">
        <f t="shared" si="195"/>
        <v>0.188</v>
      </c>
      <c r="E1633" s="971">
        <f t="shared" si="194"/>
        <v>1.2000000000000002</v>
      </c>
      <c r="F1633" s="971">
        <f t="shared" si="194"/>
        <v>200</v>
      </c>
      <c r="G1633" s="971">
        <f t="shared" si="194"/>
        <v>0</v>
      </c>
      <c r="H1633" s="971"/>
      <c r="I1633" s="1839">
        <f t="shared" si="193"/>
        <v>1000</v>
      </c>
      <c r="J1633" s="1696">
        <f t="shared" si="189"/>
        <v>0</v>
      </c>
      <c r="K1633" s="1354"/>
      <c r="L1633" s="1632"/>
      <c r="M1633" s="1853"/>
      <c r="N1633" s="1353"/>
      <c r="O1633" s="1353"/>
      <c r="P1633" s="1353"/>
      <c r="Q1633" s="1353"/>
      <c r="R1633" s="1353"/>
      <c r="S1633" s="1353"/>
      <c r="T1633" s="1354"/>
      <c r="U1633" s="1354"/>
      <c r="V1633" s="1354"/>
      <c r="W1633" s="1354"/>
      <c r="X1633" s="1354"/>
      <c r="Y1633" s="1354"/>
    </row>
    <row r="1634" spans="1:25" s="1355" customFormat="1" ht="15.75" hidden="1" customHeight="1" outlineLevel="1">
      <c r="A1634" s="1839" t="str">
        <f t="shared" si="191"/>
        <v>Перемычка оконная 1-ый эт, Вариант 11</v>
      </c>
      <c r="B1634" s="1696" t="str">
        <f t="shared" si="191"/>
        <v>м.п.</v>
      </c>
      <c r="C1634" s="1339">
        <f t="shared" si="192"/>
        <v>0</v>
      </c>
      <c r="D1634" s="971">
        <f t="shared" si="195"/>
        <v>0.188</v>
      </c>
      <c r="E1634" s="971">
        <f t="shared" si="194"/>
        <v>2.4</v>
      </c>
      <c r="F1634" s="971">
        <f t="shared" si="194"/>
        <v>200</v>
      </c>
      <c r="G1634" s="971">
        <f t="shared" si="194"/>
        <v>0</v>
      </c>
      <c r="H1634" s="971"/>
      <c r="I1634" s="1839">
        <f t="shared" si="193"/>
        <v>1000</v>
      </c>
      <c r="J1634" s="1696">
        <f t="shared" si="189"/>
        <v>0</v>
      </c>
      <c r="K1634" s="1354"/>
      <c r="L1634" s="1632"/>
      <c r="M1634" s="1853"/>
      <c r="N1634" s="1353"/>
      <c r="O1634" s="1353"/>
      <c r="P1634" s="1353"/>
      <c r="Q1634" s="1353"/>
      <c r="R1634" s="1353"/>
      <c r="S1634" s="1353"/>
      <c r="T1634" s="1354"/>
      <c r="U1634" s="1354"/>
      <c r="V1634" s="1354"/>
      <c r="W1634" s="1354"/>
      <c r="X1634" s="1354"/>
      <c r="Y1634" s="1354"/>
    </row>
    <row r="1635" spans="1:25" s="1355" customFormat="1" ht="15.75" hidden="1" customHeight="1" outlineLevel="1">
      <c r="A1635" s="1839" t="str">
        <f t="shared" ref="A1635:B1654" si="196">A1559</f>
        <v>Перемычка оконная 1-ый эт, Вариант 12</v>
      </c>
      <c r="B1635" s="1696" t="str">
        <f t="shared" si="196"/>
        <v>м.п.</v>
      </c>
      <c r="C1635" s="1339">
        <f t="shared" si="192"/>
        <v>0</v>
      </c>
      <c r="D1635" s="971">
        <f t="shared" si="195"/>
        <v>0.188</v>
      </c>
      <c r="E1635" s="971">
        <f t="shared" si="194"/>
        <v>0.4</v>
      </c>
      <c r="F1635" s="971">
        <f t="shared" si="194"/>
        <v>200</v>
      </c>
      <c r="G1635" s="971">
        <f t="shared" si="194"/>
        <v>0</v>
      </c>
      <c r="H1635" s="971"/>
      <c r="I1635" s="1839">
        <f t="shared" si="193"/>
        <v>1000</v>
      </c>
      <c r="J1635" s="1696">
        <f t="shared" si="189"/>
        <v>0</v>
      </c>
      <c r="K1635" s="1354"/>
      <c r="L1635" s="1632"/>
      <c r="M1635" s="1853"/>
      <c r="N1635" s="1353"/>
      <c r="O1635" s="1353"/>
      <c r="P1635" s="1353"/>
      <c r="Q1635" s="1353"/>
      <c r="R1635" s="1353"/>
      <c r="S1635" s="1353"/>
      <c r="T1635" s="1354"/>
      <c r="U1635" s="1354"/>
      <c r="V1635" s="1354"/>
      <c r="W1635" s="1354"/>
      <c r="X1635" s="1354"/>
      <c r="Y1635" s="1354"/>
    </row>
    <row r="1636" spans="1:25" s="1355" customFormat="1" ht="15.75" hidden="1" customHeight="1" outlineLevel="1">
      <c r="A1636" s="1839" t="str">
        <f t="shared" si="196"/>
        <v>Перемычка дверная, 1-ый эт. Вариант 4</v>
      </c>
      <c r="B1636" s="1696" t="str">
        <f t="shared" si="196"/>
        <v>м.п.</v>
      </c>
      <c r="C1636" s="1339">
        <f t="shared" si="192"/>
        <v>0</v>
      </c>
      <c r="D1636" s="971">
        <f t="shared" ref="D1636:D1645" si="197">$D$1613/1000</f>
        <v>0.188</v>
      </c>
      <c r="E1636" s="971">
        <f t="shared" si="194"/>
        <v>1.2000000000000002</v>
      </c>
      <c r="F1636" s="971">
        <f t="shared" si="194"/>
        <v>200</v>
      </c>
      <c r="G1636" s="971">
        <f t="shared" si="194"/>
        <v>0</v>
      </c>
      <c r="H1636" s="971"/>
      <c r="I1636" s="1839">
        <f t="shared" si="193"/>
        <v>1000</v>
      </c>
      <c r="J1636" s="1696">
        <f t="shared" si="189"/>
        <v>0</v>
      </c>
      <c r="K1636" s="1354"/>
      <c r="L1636" s="1632"/>
      <c r="M1636" s="1853"/>
      <c r="N1636" s="1353"/>
      <c r="O1636" s="1353"/>
      <c r="P1636" s="1353"/>
      <c r="Q1636" s="1353"/>
      <c r="R1636" s="1353"/>
      <c r="S1636" s="1353"/>
      <c r="T1636" s="1354"/>
      <c r="U1636" s="1354"/>
      <c r="V1636" s="1354"/>
      <c r="W1636" s="1354"/>
      <c r="X1636" s="1354"/>
      <c r="Y1636" s="1354"/>
    </row>
    <row r="1637" spans="1:25" s="1355" customFormat="1" ht="15.75" hidden="1" customHeight="1" outlineLevel="1">
      <c r="A1637" s="1839" t="str">
        <f t="shared" si="196"/>
        <v>Перемычка дверная, 1-ый эт. Вариант 5</v>
      </c>
      <c r="B1637" s="1696" t="str">
        <f t="shared" si="196"/>
        <v>м.п.</v>
      </c>
      <c r="C1637" s="1339">
        <f t="shared" si="192"/>
        <v>0</v>
      </c>
      <c r="D1637" s="971">
        <f t="shared" si="197"/>
        <v>0.188</v>
      </c>
      <c r="E1637" s="971">
        <f t="shared" si="194"/>
        <v>1</v>
      </c>
      <c r="F1637" s="971">
        <f t="shared" si="194"/>
        <v>200</v>
      </c>
      <c r="G1637" s="971">
        <f t="shared" si="194"/>
        <v>0</v>
      </c>
      <c r="H1637" s="971"/>
      <c r="I1637" s="1839">
        <f t="shared" si="193"/>
        <v>1000</v>
      </c>
      <c r="J1637" s="1696">
        <f t="shared" si="189"/>
        <v>0</v>
      </c>
      <c r="K1637" s="1354"/>
      <c r="L1637" s="1632"/>
      <c r="M1637" s="1853"/>
      <c r="N1637" s="1353"/>
      <c r="O1637" s="1353"/>
      <c r="P1637" s="1353"/>
      <c r="Q1637" s="1353"/>
      <c r="R1637" s="1353"/>
      <c r="S1637" s="1353"/>
      <c r="T1637" s="1354"/>
      <c r="U1637" s="1354"/>
      <c r="V1637" s="1354"/>
      <c r="W1637" s="1354"/>
      <c r="X1637" s="1354"/>
      <c r="Y1637" s="1354"/>
    </row>
    <row r="1638" spans="1:25" s="1355" customFormat="1" ht="15.75" hidden="1" customHeight="1" outlineLevel="1">
      <c r="A1638" s="1839" t="str">
        <f t="shared" si="196"/>
        <v>Перемычка дверная, 1-ый эт. Вариант 6</v>
      </c>
      <c r="B1638" s="1696" t="str">
        <f t="shared" si="196"/>
        <v>м.п.</v>
      </c>
      <c r="C1638" s="1339">
        <f t="shared" si="192"/>
        <v>0</v>
      </c>
      <c r="D1638" s="971">
        <f t="shared" si="197"/>
        <v>0.188</v>
      </c>
      <c r="E1638" s="971">
        <f t="shared" si="194"/>
        <v>1.3</v>
      </c>
      <c r="F1638" s="971">
        <f t="shared" si="194"/>
        <v>200</v>
      </c>
      <c r="G1638" s="971">
        <f t="shared" si="194"/>
        <v>0</v>
      </c>
      <c r="H1638" s="971"/>
      <c r="I1638" s="1839">
        <f t="shared" si="193"/>
        <v>1000</v>
      </c>
      <c r="J1638" s="1696">
        <f t="shared" si="189"/>
        <v>0</v>
      </c>
      <c r="K1638" s="1354"/>
      <c r="L1638" s="1632"/>
      <c r="M1638" s="1853"/>
      <c r="N1638" s="1353"/>
      <c r="O1638" s="1353"/>
      <c r="P1638" s="1353"/>
      <c r="Q1638" s="1353"/>
      <c r="R1638" s="1353"/>
      <c r="S1638" s="1353"/>
      <c r="T1638" s="1354"/>
      <c r="U1638" s="1354"/>
      <c r="V1638" s="1354"/>
      <c r="W1638" s="1354"/>
      <c r="X1638" s="1354"/>
      <c r="Y1638" s="1354"/>
    </row>
    <row r="1639" spans="1:25" s="1355" customFormat="1" ht="15.75" hidden="1" customHeight="1" outlineLevel="1">
      <c r="A1639" s="1839" t="str">
        <f t="shared" si="196"/>
        <v>Перемычка дверная, 2-ый эт. Вариант 7</v>
      </c>
      <c r="B1639" s="1696" t="str">
        <f t="shared" si="196"/>
        <v>м.п.</v>
      </c>
      <c r="C1639" s="1339">
        <f t="shared" si="192"/>
        <v>0</v>
      </c>
      <c r="D1639" s="971">
        <f t="shared" si="197"/>
        <v>0.188</v>
      </c>
      <c r="E1639" s="971">
        <f t="shared" si="194"/>
        <v>1.2000000000000002</v>
      </c>
      <c r="F1639" s="971">
        <f t="shared" si="194"/>
        <v>200</v>
      </c>
      <c r="G1639" s="971">
        <f t="shared" si="194"/>
        <v>0</v>
      </c>
      <c r="H1639" s="971"/>
      <c r="I1639" s="1839">
        <f t="shared" si="193"/>
        <v>1000</v>
      </c>
      <c r="J1639" s="1696">
        <f t="shared" si="189"/>
        <v>0</v>
      </c>
      <c r="K1639" s="1354"/>
      <c r="L1639" s="1632"/>
      <c r="M1639" s="1853"/>
      <c r="N1639" s="1353"/>
      <c r="O1639" s="1353"/>
      <c r="P1639" s="1353"/>
      <c r="Q1639" s="1353"/>
      <c r="R1639" s="1353"/>
      <c r="S1639" s="1353"/>
      <c r="T1639" s="1354"/>
      <c r="U1639" s="1354"/>
      <c r="V1639" s="1354"/>
      <c r="W1639" s="1354"/>
      <c r="X1639" s="1354"/>
      <c r="Y1639" s="1354"/>
    </row>
    <row r="1640" spans="1:25" s="1355" customFormat="1" ht="15.75" hidden="1" customHeight="1" outlineLevel="1">
      <c r="A1640" s="1839" t="str">
        <f t="shared" si="196"/>
        <v>Перемычка дверная, 2-ый эт. Вариант 8</v>
      </c>
      <c r="B1640" s="1696" t="str">
        <f t="shared" si="196"/>
        <v>м.п.</v>
      </c>
      <c r="C1640" s="1339">
        <f t="shared" si="192"/>
        <v>0</v>
      </c>
      <c r="D1640" s="971">
        <f t="shared" si="197"/>
        <v>0.188</v>
      </c>
      <c r="E1640" s="971">
        <f t="shared" si="194"/>
        <v>1.4</v>
      </c>
      <c r="F1640" s="971">
        <f t="shared" si="194"/>
        <v>200</v>
      </c>
      <c r="G1640" s="971">
        <f t="shared" si="194"/>
        <v>0</v>
      </c>
      <c r="H1640" s="971"/>
      <c r="I1640" s="1839">
        <f t="shared" si="193"/>
        <v>1000</v>
      </c>
      <c r="J1640" s="1696">
        <f t="shared" si="189"/>
        <v>0</v>
      </c>
      <c r="K1640" s="1354"/>
      <c r="L1640" s="1632"/>
      <c r="M1640" s="1853"/>
      <c r="N1640" s="1353"/>
      <c r="O1640" s="1353"/>
      <c r="P1640" s="1353"/>
      <c r="Q1640" s="1353"/>
      <c r="R1640" s="1353"/>
      <c r="S1640" s="1353"/>
      <c r="T1640" s="1354"/>
      <c r="U1640" s="1354"/>
      <c r="V1640" s="1354"/>
      <c r="W1640" s="1354"/>
      <c r="X1640" s="1354"/>
      <c r="Y1640" s="1354"/>
    </row>
    <row r="1641" spans="1:25" s="1355" customFormat="1" ht="15.75" hidden="1" customHeight="1" outlineLevel="1">
      <c r="A1641" s="1839" t="str">
        <f t="shared" si="196"/>
        <v>Перемычка дверная, 2-ый эт. Вариант 9</v>
      </c>
      <c r="B1641" s="1696" t="str">
        <f t="shared" si="196"/>
        <v>м.п.</v>
      </c>
      <c r="C1641" s="1339">
        <f t="shared" si="192"/>
        <v>0</v>
      </c>
      <c r="D1641" s="971">
        <f t="shared" si="197"/>
        <v>0.188</v>
      </c>
      <c r="E1641" s="971">
        <f t="shared" si="194"/>
        <v>1.4</v>
      </c>
      <c r="F1641" s="971">
        <f t="shared" si="194"/>
        <v>200</v>
      </c>
      <c r="G1641" s="971">
        <f t="shared" si="194"/>
        <v>0</v>
      </c>
      <c r="H1641" s="971"/>
      <c r="I1641" s="1839">
        <f t="shared" si="193"/>
        <v>1000</v>
      </c>
      <c r="J1641" s="1696">
        <f t="shared" si="189"/>
        <v>0</v>
      </c>
      <c r="K1641" s="1354"/>
      <c r="L1641" s="1632"/>
      <c r="M1641" s="1853"/>
      <c r="N1641" s="1353"/>
      <c r="O1641" s="1353"/>
      <c r="P1641" s="1353"/>
      <c r="Q1641" s="1353"/>
      <c r="R1641" s="1353"/>
      <c r="S1641" s="1353"/>
      <c r="T1641" s="1354"/>
      <c r="U1641" s="1354"/>
      <c r="V1641" s="1354"/>
      <c r="W1641" s="1354"/>
      <c r="X1641" s="1354"/>
      <c r="Y1641" s="1354"/>
    </row>
    <row r="1642" spans="1:25" s="1355" customFormat="1" ht="15.75" hidden="1" customHeight="1" outlineLevel="1">
      <c r="A1642" s="1839" t="str">
        <f t="shared" si="196"/>
        <v>Перемычка проема, 1-ый эт. Вариант 10</v>
      </c>
      <c r="B1642" s="1696" t="str">
        <f t="shared" si="196"/>
        <v>м.п.</v>
      </c>
      <c r="C1642" s="1339">
        <f t="shared" si="192"/>
        <v>0</v>
      </c>
      <c r="D1642" s="971">
        <f t="shared" si="197"/>
        <v>0.188</v>
      </c>
      <c r="E1642" s="971">
        <f t="shared" si="194"/>
        <v>2.4</v>
      </c>
      <c r="F1642" s="971">
        <f t="shared" si="194"/>
        <v>200</v>
      </c>
      <c r="G1642" s="971">
        <f t="shared" si="194"/>
        <v>0</v>
      </c>
      <c r="H1642" s="971"/>
      <c r="I1642" s="1839">
        <f t="shared" si="193"/>
        <v>1000</v>
      </c>
      <c r="J1642" s="1696">
        <f t="shared" si="189"/>
        <v>0</v>
      </c>
      <c r="K1642" s="1354"/>
      <c r="L1642" s="1632"/>
      <c r="M1642" s="1853"/>
      <c r="N1642" s="1353"/>
      <c r="O1642" s="1353"/>
      <c r="P1642" s="1353"/>
      <c r="Q1642" s="1353"/>
      <c r="R1642" s="1353"/>
      <c r="S1642" s="1353"/>
      <c r="T1642" s="1354"/>
      <c r="U1642" s="1354"/>
      <c r="V1642" s="1354"/>
      <c r="W1642" s="1354"/>
      <c r="X1642" s="1354"/>
      <c r="Y1642" s="1354"/>
    </row>
    <row r="1643" spans="1:25" s="1355" customFormat="1" ht="15.75" hidden="1" customHeight="1" outlineLevel="1">
      <c r="A1643" s="1839" t="str">
        <f t="shared" si="196"/>
        <v>Перемычка проема, 1-ый эт. Вариант 11</v>
      </c>
      <c r="B1643" s="1696" t="str">
        <f t="shared" si="196"/>
        <v>м.п.</v>
      </c>
      <c r="C1643" s="1339">
        <f t="shared" si="192"/>
        <v>0</v>
      </c>
      <c r="D1643" s="971">
        <f t="shared" si="197"/>
        <v>0.188</v>
      </c>
      <c r="E1643" s="971">
        <f t="shared" si="194"/>
        <v>1.7999999999999998</v>
      </c>
      <c r="F1643" s="971">
        <f t="shared" si="194"/>
        <v>200</v>
      </c>
      <c r="G1643" s="971">
        <f t="shared" si="194"/>
        <v>0</v>
      </c>
      <c r="H1643" s="971"/>
      <c r="I1643" s="1839">
        <f t="shared" si="193"/>
        <v>1000</v>
      </c>
      <c r="J1643" s="1696">
        <f t="shared" si="189"/>
        <v>0</v>
      </c>
      <c r="K1643" s="1354"/>
      <c r="L1643" s="1632"/>
      <c r="M1643" s="1853"/>
      <c r="N1643" s="1353"/>
      <c r="O1643" s="1353"/>
      <c r="P1643" s="1353"/>
      <c r="Q1643" s="1353"/>
      <c r="R1643" s="1353"/>
      <c r="S1643" s="1353"/>
      <c r="T1643" s="1354"/>
      <c r="U1643" s="1354"/>
      <c r="V1643" s="1354"/>
      <c r="W1643" s="1354"/>
      <c r="X1643" s="1354"/>
      <c r="Y1643" s="1354"/>
    </row>
    <row r="1644" spans="1:25" s="1355" customFormat="1" ht="15.75" hidden="1" customHeight="1" outlineLevel="1">
      <c r="A1644" s="1839" t="str">
        <f t="shared" si="196"/>
        <v>Перемычка проема, 2-ый эт. Вариант 12</v>
      </c>
      <c r="B1644" s="1696" t="str">
        <f t="shared" si="196"/>
        <v>м.п.</v>
      </c>
      <c r="C1644" s="1339">
        <f t="shared" si="192"/>
        <v>0</v>
      </c>
      <c r="D1644" s="971">
        <f t="shared" si="197"/>
        <v>0.188</v>
      </c>
      <c r="E1644" s="971">
        <f t="shared" si="194"/>
        <v>2.4</v>
      </c>
      <c r="F1644" s="971">
        <f t="shared" si="194"/>
        <v>200</v>
      </c>
      <c r="G1644" s="971">
        <f t="shared" si="194"/>
        <v>0</v>
      </c>
      <c r="H1644" s="971"/>
      <c r="I1644" s="1839">
        <f t="shared" si="193"/>
        <v>1000</v>
      </c>
      <c r="J1644" s="1696">
        <f t="shared" ref="J1644:J1675" si="198">C1644*I1644</f>
        <v>0</v>
      </c>
      <c r="K1644" s="1354"/>
      <c r="L1644" s="1632"/>
      <c r="M1644" s="1853"/>
      <c r="N1644" s="1353"/>
      <c r="O1644" s="1353"/>
      <c r="P1644" s="1353"/>
      <c r="Q1644" s="1353"/>
      <c r="R1644" s="1353"/>
      <c r="S1644" s="1353"/>
      <c r="T1644" s="1354"/>
      <c r="U1644" s="1354"/>
      <c r="V1644" s="1354"/>
      <c r="W1644" s="1354"/>
      <c r="X1644" s="1354"/>
      <c r="Y1644" s="1354"/>
    </row>
    <row r="1645" spans="1:25" s="1355" customFormat="1" ht="15.75" hidden="1" customHeight="1" outlineLevel="1">
      <c r="A1645" s="1839" t="str">
        <f t="shared" si="196"/>
        <v>Перемычка проема, 2-ый эт. Вариант 13</v>
      </c>
      <c r="B1645" s="1696" t="str">
        <f t="shared" si="196"/>
        <v>м.п.</v>
      </c>
      <c r="C1645" s="1339">
        <f t="shared" si="192"/>
        <v>0</v>
      </c>
      <c r="D1645" s="971">
        <f t="shared" si="197"/>
        <v>0.188</v>
      </c>
      <c r="E1645" s="971">
        <f t="shared" si="194"/>
        <v>2.4</v>
      </c>
      <c r="F1645" s="971">
        <f t="shared" si="194"/>
        <v>200</v>
      </c>
      <c r="G1645" s="971">
        <f t="shared" si="194"/>
        <v>0</v>
      </c>
      <c r="H1645" s="971"/>
      <c r="I1645" s="1839">
        <f t="shared" si="193"/>
        <v>1000</v>
      </c>
      <c r="J1645" s="1696">
        <f t="shared" si="198"/>
        <v>0</v>
      </c>
      <c r="K1645" s="1354"/>
      <c r="L1645" s="1632"/>
      <c r="M1645" s="1853"/>
      <c r="N1645" s="1353"/>
      <c r="O1645" s="1353"/>
      <c r="P1645" s="1353"/>
      <c r="Q1645" s="1353"/>
      <c r="R1645" s="1353"/>
      <c r="S1645" s="1353"/>
      <c r="T1645" s="1354"/>
      <c r="U1645" s="1354"/>
      <c r="V1645" s="1354"/>
      <c r="W1645" s="1354"/>
      <c r="X1645" s="1354"/>
      <c r="Y1645" s="1354"/>
    </row>
    <row r="1646" spans="1:25" s="1355" customFormat="1" ht="15.75" hidden="1" customHeight="1" outlineLevel="1">
      <c r="A1646" s="1839" t="str">
        <f t="shared" si="196"/>
        <v>Перемычка дверная, 1-ый эт. Вариант 1</v>
      </c>
      <c r="B1646" s="1696" t="str">
        <f t="shared" si="196"/>
        <v>м.п.</v>
      </c>
      <c r="C1646" s="1339">
        <f t="shared" si="192"/>
        <v>0</v>
      </c>
      <c r="D1646" s="971">
        <f>D1612/1000</f>
        <v>0.188</v>
      </c>
      <c r="E1646" s="971">
        <f t="shared" si="194"/>
        <v>1.2000000000000002</v>
      </c>
      <c r="F1646" s="971">
        <f t="shared" si="194"/>
        <v>100</v>
      </c>
      <c r="G1646" s="971">
        <f t="shared" si="194"/>
        <v>0</v>
      </c>
      <c r="H1646" s="971"/>
      <c r="I1646" s="1839">
        <f t="shared" si="193"/>
        <v>1000</v>
      </c>
      <c r="J1646" s="1696">
        <f t="shared" si="198"/>
        <v>0</v>
      </c>
      <c r="K1646" s="1354"/>
      <c r="L1646" s="1632"/>
      <c r="M1646" s="1853"/>
      <c r="N1646" s="1353"/>
      <c r="O1646" s="1353"/>
      <c r="P1646" s="1353"/>
      <c r="Q1646" s="1353"/>
      <c r="R1646" s="1353"/>
      <c r="S1646" s="1353"/>
      <c r="T1646" s="1354"/>
      <c r="U1646" s="1354"/>
      <c r="V1646" s="1354"/>
      <c r="W1646" s="1354"/>
      <c r="X1646" s="1354"/>
      <c r="Y1646" s="1354"/>
    </row>
    <row r="1647" spans="1:25" s="1355" customFormat="1" ht="15.75" hidden="1" customHeight="1" outlineLevel="1">
      <c r="A1647" s="1839" t="str">
        <f t="shared" si="196"/>
        <v>Перемычка дверная, 1-ый эт. Вариант 2</v>
      </c>
      <c r="B1647" s="1696" t="str">
        <f t="shared" si="196"/>
        <v>м.п.</v>
      </c>
      <c r="C1647" s="1339">
        <f t="shared" si="192"/>
        <v>0</v>
      </c>
      <c r="D1647" s="971">
        <f>D1612/1000</f>
        <v>0.188</v>
      </c>
      <c r="E1647" s="971">
        <f t="shared" si="194"/>
        <v>1.3</v>
      </c>
      <c r="F1647" s="971">
        <f t="shared" si="194"/>
        <v>100</v>
      </c>
      <c r="G1647" s="971">
        <f t="shared" si="194"/>
        <v>0</v>
      </c>
      <c r="H1647" s="971"/>
      <c r="I1647" s="1839">
        <f t="shared" si="193"/>
        <v>1000</v>
      </c>
      <c r="J1647" s="1696">
        <f t="shared" si="198"/>
        <v>0</v>
      </c>
      <c r="K1647" s="1354"/>
      <c r="L1647" s="1632"/>
      <c r="M1647" s="1853"/>
      <c r="N1647" s="1353"/>
      <c r="O1647" s="1353"/>
      <c r="P1647" s="1353"/>
      <c r="Q1647" s="1353"/>
      <c r="R1647" s="1353"/>
      <c r="S1647" s="1353"/>
      <c r="T1647" s="1354"/>
      <c r="U1647" s="1354"/>
      <c r="V1647" s="1354"/>
      <c r="W1647" s="1354"/>
      <c r="X1647" s="1354"/>
      <c r="Y1647" s="1354"/>
    </row>
    <row r="1648" spans="1:25" s="1355" customFormat="1" ht="15.75" hidden="1" customHeight="1" outlineLevel="1">
      <c r="A1648" s="1839" t="str">
        <f t="shared" si="196"/>
        <v>Перемычка дверная, 1-ый эт. Вариант 3</v>
      </c>
      <c r="B1648" s="1696" t="str">
        <f t="shared" si="196"/>
        <v>м.п.</v>
      </c>
      <c r="C1648" s="1339">
        <f t="shared" si="192"/>
        <v>0</v>
      </c>
      <c r="D1648" s="971">
        <f>D1612/1000</f>
        <v>0.188</v>
      </c>
      <c r="E1648" s="971">
        <f t="shared" si="194"/>
        <v>1.4</v>
      </c>
      <c r="F1648" s="971">
        <f t="shared" si="194"/>
        <v>100</v>
      </c>
      <c r="G1648" s="971">
        <f t="shared" si="194"/>
        <v>0</v>
      </c>
      <c r="H1648" s="971"/>
      <c r="I1648" s="1839">
        <f t="shared" si="193"/>
        <v>1000</v>
      </c>
      <c r="J1648" s="1696">
        <f t="shared" si="198"/>
        <v>0</v>
      </c>
      <c r="K1648" s="1354"/>
      <c r="L1648" s="1632"/>
      <c r="M1648" s="1853"/>
      <c r="N1648" s="1353"/>
      <c r="O1648" s="1353"/>
      <c r="P1648" s="1353"/>
      <c r="Q1648" s="1353"/>
      <c r="R1648" s="1353"/>
      <c r="S1648" s="1353"/>
      <c r="T1648" s="1354"/>
      <c r="U1648" s="1354"/>
      <c r="V1648" s="1354"/>
      <c r="W1648" s="1354"/>
      <c r="X1648" s="1354"/>
      <c r="Y1648" s="1354"/>
    </row>
    <row r="1649" spans="1:25" s="1355" customFormat="1" ht="15.75" hidden="1" customHeight="1" outlineLevel="1">
      <c r="A1649" s="1839" t="str">
        <f t="shared" si="196"/>
        <v>Сосна влаж,200*40мм</v>
      </c>
      <c r="B1649" s="1696" t="str">
        <f t="shared" si="196"/>
        <v>м3</v>
      </c>
      <c r="C1649" s="1339">
        <f t="shared" si="192"/>
        <v>0.83200000000000007</v>
      </c>
      <c r="I1649" s="1839">
        <f t="shared" si="193"/>
        <v>6500</v>
      </c>
      <c r="J1649" s="1696">
        <f t="shared" si="198"/>
        <v>5408.0000000000009</v>
      </c>
      <c r="K1649" s="1354"/>
      <c r="L1649" s="1632"/>
      <c r="M1649" s="1853"/>
      <c r="N1649" s="1353"/>
      <c r="O1649" s="1353"/>
      <c r="P1649" s="1353"/>
      <c r="Q1649" s="1353"/>
      <c r="R1649" s="1353"/>
      <c r="S1649" s="1353"/>
      <c r="T1649" s="1354"/>
      <c r="U1649" s="1354"/>
      <c r="V1649" s="1354"/>
      <c r="W1649" s="1354"/>
      <c r="X1649" s="1354"/>
      <c r="Y1649" s="1354"/>
    </row>
    <row r="1650" spans="1:25" s="1355" customFormat="1" ht="15.75" hidden="1" customHeight="1" outlineLevel="1">
      <c r="A1650" s="1839" t="str">
        <f t="shared" si="196"/>
        <v>Сейсмопояс Арматура М10 4 нити</v>
      </c>
      <c r="B1650" s="1696" t="str">
        <f t="shared" si="196"/>
        <v>м.п.</v>
      </c>
      <c r="C1650" s="1339">
        <f t="shared" si="192"/>
        <v>176</v>
      </c>
      <c r="I1650" s="1839">
        <f t="shared" si="193"/>
        <v>21.0397</v>
      </c>
      <c r="J1650" s="1696">
        <f t="shared" si="198"/>
        <v>3702.9872</v>
      </c>
      <c r="K1650" s="1354"/>
      <c r="L1650" s="1632"/>
      <c r="M1650" s="1853"/>
      <c r="N1650" s="1353"/>
      <c r="O1650" s="1353"/>
      <c r="P1650" s="1353"/>
      <c r="Q1650" s="1353"/>
      <c r="R1650" s="1353"/>
      <c r="S1650" s="1353"/>
      <c r="T1650" s="1354"/>
      <c r="U1650" s="1354"/>
      <c r="V1650" s="1354"/>
      <c r="W1650" s="1354"/>
      <c r="X1650" s="1354"/>
      <c r="Y1650" s="1354"/>
    </row>
    <row r="1651" spans="1:25" s="1355" customFormat="1" ht="15.75" hidden="1" customHeight="1" outlineLevel="1">
      <c r="A1651" s="1839" t="str">
        <f t="shared" si="196"/>
        <v>Хомут для сейсмопояса Арматура М6, шаг 400мм</v>
      </c>
      <c r="B1651" s="1696" t="str">
        <f t="shared" si="196"/>
        <v>м.п.</v>
      </c>
      <c r="C1651" s="1339">
        <f t="shared" si="192"/>
        <v>90</v>
      </c>
      <c r="I1651" s="1839">
        <f t="shared" si="193"/>
        <v>0</v>
      </c>
      <c r="J1651" s="1696">
        <f t="shared" si="198"/>
        <v>0</v>
      </c>
      <c r="K1651" s="1354"/>
      <c r="L1651" s="1632"/>
      <c r="M1651" s="1853"/>
      <c r="N1651" s="1353"/>
      <c r="O1651" s="1353"/>
      <c r="P1651" s="1353"/>
      <c r="Q1651" s="1353"/>
      <c r="R1651" s="1353"/>
      <c r="S1651" s="1353"/>
      <c r="T1651" s="1354"/>
      <c r="U1651" s="1354"/>
      <c r="V1651" s="1354"/>
      <c r="W1651" s="1354"/>
      <c r="X1651" s="1354"/>
      <c r="Y1651" s="1354"/>
    </row>
    <row r="1652" spans="1:25" s="1355" customFormat="1" ht="15.75" hidden="1" customHeight="1" outlineLevel="1">
      <c r="A1652" s="1839" t="str">
        <f t="shared" si="196"/>
        <v>Бетон, м300</v>
      </c>
      <c r="B1652" s="1696" t="str">
        <f t="shared" si="196"/>
        <v>м3</v>
      </c>
      <c r="C1652" s="1339">
        <f t="shared" si="192"/>
        <v>1.6380000000000001</v>
      </c>
      <c r="I1652" s="1839">
        <f t="shared" si="193"/>
        <v>3000</v>
      </c>
      <c r="J1652" s="1696">
        <f t="shared" si="198"/>
        <v>4914</v>
      </c>
      <c r="K1652" s="1354"/>
      <c r="L1652" s="1632"/>
      <c r="M1652" s="1853"/>
      <c r="N1652" s="1353"/>
      <c r="O1652" s="1353"/>
      <c r="P1652" s="1353"/>
      <c r="Q1652" s="1353"/>
      <c r="R1652" s="1353"/>
      <c r="S1652" s="1353"/>
      <c r="T1652" s="1354"/>
      <c r="U1652" s="1354"/>
      <c r="V1652" s="1354"/>
      <c r="W1652" s="1354"/>
      <c r="X1652" s="1354"/>
      <c r="Y1652" s="1354"/>
    </row>
    <row r="1653" spans="1:25" s="1355" customFormat="1" ht="15.75" hidden="1" customHeight="1" outlineLevel="1">
      <c r="A1653" s="1839" t="str">
        <f t="shared" si="196"/>
        <v>Нет техники</v>
      </c>
      <c r="B1653" s="1696" t="str">
        <f t="shared" si="196"/>
        <v>час</v>
      </c>
      <c r="C1653" s="1339">
        <f t="shared" si="192"/>
        <v>0</v>
      </c>
      <c r="I1653" s="1839">
        <f t="shared" si="193"/>
        <v>0</v>
      </c>
      <c r="J1653" s="1696">
        <f t="shared" si="198"/>
        <v>0</v>
      </c>
      <c r="K1653" s="1354"/>
      <c r="L1653" s="1632"/>
      <c r="M1653" s="1853"/>
      <c r="N1653" s="1353"/>
      <c r="O1653" s="1353"/>
      <c r="P1653" s="1353"/>
      <c r="Q1653" s="1353"/>
      <c r="R1653" s="1353"/>
      <c r="S1653" s="1353"/>
      <c r="T1653" s="1354"/>
      <c r="U1653" s="1354"/>
      <c r="V1653" s="1354"/>
      <c r="W1653" s="1354"/>
      <c r="X1653" s="1354"/>
      <c r="Y1653" s="1354"/>
    </row>
    <row r="1654" spans="1:25" s="1355" customFormat="1" ht="15.75" hidden="1" customHeight="1" outlineLevel="1">
      <c r="A1654" s="1839" t="str">
        <f t="shared" si="196"/>
        <v>Нет техники</v>
      </c>
      <c r="B1654" s="1696" t="str">
        <f t="shared" si="196"/>
        <v>час</v>
      </c>
      <c r="C1654" s="1339">
        <f t="shared" si="192"/>
        <v>0</v>
      </c>
      <c r="I1654" s="1839">
        <f t="shared" si="193"/>
        <v>0</v>
      </c>
      <c r="J1654" s="1696">
        <f t="shared" si="198"/>
        <v>0</v>
      </c>
      <c r="K1654" s="1354"/>
      <c r="L1654" s="1632"/>
      <c r="M1654" s="1853"/>
      <c r="N1654" s="1353"/>
      <c r="O1654" s="1353"/>
      <c r="P1654" s="1353"/>
      <c r="Q1654" s="1353"/>
      <c r="R1654" s="1353"/>
      <c r="S1654" s="1353"/>
      <c r="T1654" s="1354"/>
      <c r="U1654" s="1354"/>
      <c r="V1654" s="1354"/>
      <c r="W1654" s="1354"/>
      <c r="X1654" s="1354"/>
      <c r="Y1654" s="1354"/>
    </row>
    <row r="1655" spans="1:25" s="1355" customFormat="1" ht="15.75" hidden="1" customHeight="1" outlineLevel="1">
      <c r="A1655" s="1839" t="str">
        <f t="shared" ref="A1655:B1674" si="199">A1579</f>
        <v>Нет</v>
      </c>
      <c r="B1655" s="1696" t="str">
        <f t="shared" si="199"/>
        <v>м3</v>
      </c>
      <c r="C1655" s="1339">
        <f t="shared" si="192"/>
        <v>0</v>
      </c>
      <c r="I1655" s="1839">
        <f t="shared" si="193"/>
        <v>0</v>
      </c>
      <c r="J1655" s="1696">
        <f t="shared" si="198"/>
        <v>0</v>
      </c>
      <c r="K1655" s="1354"/>
      <c r="L1655" s="1632"/>
      <c r="M1655" s="1853"/>
      <c r="N1655" s="1353"/>
      <c r="O1655" s="1353"/>
      <c r="P1655" s="1353"/>
      <c r="Q1655" s="1353"/>
      <c r="R1655" s="1353"/>
      <c r="S1655" s="1353"/>
      <c r="T1655" s="1354"/>
      <c r="U1655" s="1354"/>
      <c r="V1655" s="1354"/>
      <c r="W1655" s="1354"/>
      <c r="X1655" s="1354"/>
      <c r="Y1655" s="1354"/>
    </row>
    <row r="1656" spans="1:25" ht="15.75" hidden="1" customHeight="1" outlineLevel="1">
      <c r="A1656" s="1839" t="str">
        <f t="shared" si="199"/>
        <v>Грибок для крепления утеплителя</v>
      </c>
      <c r="B1656" s="1696" t="str">
        <f t="shared" si="199"/>
        <v>шт</v>
      </c>
      <c r="C1656" s="1339">
        <f t="shared" si="192"/>
        <v>0</v>
      </c>
      <c r="I1656" s="1839">
        <f t="shared" si="193"/>
        <v>15</v>
      </c>
      <c r="J1656" s="1696">
        <f t="shared" si="198"/>
        <v>0</v>
      </c>
      <c r="K1656" s="1963"/>
      <c r="L1656" s="1948"/>
      <c r="M1656" s="1949"/>
      <c r="N1656" s="1944"/>
      <c r="O1656" s="1944"/>
      <c r="P1656" s="1944"/>
      <c r="Q1656" s="1944"/>
      <c r="R1656" s="1944"/>
      <c r="S1656" s="1944"/>
      <c r="T1656" s="1354"/>
      <c r="U1656" s="1354"/>
      <c r="V1656" s="1354"/>
      <c r="W1656" s="1354"/>
      <c r="X1656" s="1354"/>
      <c r="Y1656" s="1354"/>
    </row>
    <row r="1657" spans="1:25" ht="15.75" hidden="1" customHeight="1" outlineLevel="1">
      <c r="A1657" s="1839" t="str">
        <f t="shared" si="199"/>
        <v>нет ветроизоляции</v>
      </c>
      <c r="B1657" s="1696" t="str">
        <f t="shared" si="199"/>
        <v>м2</v>
      </c>
      <c r="C1657" s="1339">
        <f t="shared" si="192"/>
        <v>0</v>
      </c>
      <c r="I1657" s="1839">
        <f t="shared" si="193"/>
        <v>0</v>
      </c>
      <c r="J1657" s="1696">
        <f t="shared" si="198"/>
        <v>0</v>
      </c>
      <c r="K1657" s="1963"/>
      <c r="L1657" s="1951"/>
      <c r="M1657" s="1950"/>
      <c r="N1657" s="1951"/>
      <c r="O1657" s="1944"/>
      <c r="P1657" s="1944"/>
      <c r="Q1657" s="1944"/>
      <c r="R1657" s="1944"/>
      <c r="S1657" s="1944"/>
      <c r="T1657" s="1354"/>
      <c r="U1657" s="1354"/>
      <c r="V1657" s="1354"/>
      <c r="W1657" s="1354"/>
      <c r="X1657" s="1354"/>
      <c r="Y1657" s="1354"/>
    </row>
    <row r="1658" spans="1:25" ht="15.75" hidden="1" customHeight="1" outlineLevel="1">
      <c r="A1658" s="1839" t="str">
        <f>'Ввод данных'!A1116</f>
        <v>Командировочные расходы</v>
      </c>
      <c r="B1658" s="1696" t="s">
        <v>1796</v>
      </c>
      <c r="C1658" s="1339">
        <f>1</f>
        <v>1</v>
      </c>
      <c r="I1658" s="1839">
        <f>'Ввод данных'!C1117*'Ввод данных'!C1118*'Ввод данных'!C1119*VLOOKUP('Ввод данных'!C1116,связи1!A2:B3,2,0)</f>
        <v>0</v>
      </c>
      <c r="J1658" s="1696">
        <f t="shared" si="198"/>
        <v>0</v>
      </c>
      <c r="K1658" s="1963"/>
      <c r="L1658" s="1964"/>
      <c r="M1658" s="1965"/>
      <c r="N1658" s="1951"/>
      <c r="O1658" s="1944"/>
      <c r="P1658" s="1944"/>
      <c r="Q1658" s="1944"/>
      <c r="R1658" s="1944"/>
      <c r="S1658" s="1944"/>
      <c r="T1658" s="1354"/>
      <c r="U1658" s="1354"/>
      <c r="V1658" s="1354"/>
      <c r="W1658" s="1354"/>
      <c r="X1658" s="1354"/>
      <c r="Y1658" s="1354"/>
    </row>
    <row r="1659" spans="1:25" ht="15.75" hidden="1" customHeight="1" outlineLevel="1">
      <c r="A1659" s="1839" t="str">
        <f>'Ввод данных'!A1114</f>
        <v>расходные материалы каменные дома</v>
      </c>
      <c r="B1659" s="1696" t="str">
        <f>B1583</f>
        <v>шт</v>
      </c>
      <c r="C1659" s="1339">
        <f>C1583</f>
        <v>1</v>
      </c>
      <c r="I1659" s="1839">
        <f>I1583</f>
        <v>15000</v>
      </c>
      <c r="J1659" s="1696">
        <f t="shared" si="198"/>
        <v>15000</v>
      </c>
      <c r="K1659" s="1963"/>
      <c r="L1659" s="1948"/>
      <c r="M1659" s="1949"/>
      <c r="N1659" s="1944"/>
      <c r="O1659" s="1944"/>
      <c r="P1659" s="1944"/>
      <c r="Q1659" s="1944"/>
      <c r="R1659" s="1944"/>
      <c r="S1659" s="1944"/>
      <c r="T1659" s="1354"/>
      <c r="U1659" s="1354"/>
      <c r="V1659" s="1354"/>
      <c r="W1659" s="1354"/>
      <c r="X1659" s="1354"/>
      <c r="Y1659" s="1354"/>
    </row>
    <row r="1660" spans="1:25" ht="15.75" hidden="1" customHeight="1" outlineLevel="1">
      <c r="A1660" s="1839" t="str">
        <f>A1584</f>
        <v>Нет техники</v>
      </c>
      <c r="B1660" s="1696" t="str">
        <f>B1584</f>
        <v>шт</v>
      </c>
      <c r="C1660" s="1339">
        <f>C1584</f>
        <v>0</v>
      </c>
      <c r="I1660" s="1839">
        <f>I1584</f>
        <v>0</v>
      </c>
      <c r="J1660" s="1696">
        <f t="shared" si="198"/>
        <v>0</v>
      </c>
      <c r="K1660" s="1963"/>
      <c r="L1660" s="1966"/>
      <c r="M1660" s="1967"/>
      <c r="N1660" s="1968"/>
      <c r="O1660" s="1968"/>
      <c r="P1660" s="1968"/>
      <c r="Q1660" s="1968"/>
      <c r="R1660" s="1968"/>
      <c r="S1660" s="1968"/>
      <c r="T1660" s="1354"/>
      <c r="U1660" s="1354"/>
      <c r="V1660" s="1354"/>
      <c r="W1660" s="1354"/>
      <c r="X1660" s="1354"/>
      <c r="Y1660" s="1354"/>
    </row>
    <row r="1661" spans="1:25" ht="15.75" hidden="1" customHeight="1" outlineLevel="1">
      <c r="C1661" s="1969"/>
      <c r="I1661" s="1970"/>
      <c r="J1661" s="1970">
        <f>SUM(J1612:J1660)</f>
        <v>30024.987200000003</v>
      </c>
      <c r="K1661" s="1963"/>
      <c r="L1661" s="1942"/>
      <c r="M1661" s="1946"/>
      <c r="N1661" s="1942"/>
      <c r="O1661" s="1942"/>
      <c r="P1661" s="1942"/>
      <c r="Q1661" s="1942"/>
      <c r="R1661" s="1942"/>
      <c r="S1661" s="1942">
        <f>SUM(S1612:S1660)</f>
        <v>78060</v>
      </c>
      <c r="T1661" s="1354"/>
      <c r="U1661" s="1354"/>
      <c r="V1661" s="1354"/>
      <c r="W1661" s="1354"/>
      <c r="X1661" s="1354"/>
      <c r="Y1661" s="1354"/>
    </row>
    <row r="1662" spans="1:25" ht="15.75" hidden="1" customHeight="1" outlineLevel="1">
      <c r="F1662" s="1354"/>
      <c r="G1662" s="1380"/>
      <c r="H1662" s="1380"/>
      <c r="I1662" s="1829"/>
      <c r="J1662" s="1380"/>
      <c r="K1662" s="1380"/>
      <c r="L1662" s="1380"/>
      <c r="M1662" s="1380"/>
      <c r="N1662" s="1380"/>
      <c r="O1662" s="1380"/>
      <c r="P1662" s="1354"/>
      <c r="Q1662" s="1354"/>
      <c r="R1662" s="1354"/>
      <c r="S1662" s="1354"/>
      <c r="T1662" s="1354"/>
      <c r="U1662" s="1354"/>
      <c r="V1662" s="1354"/>
      <c r="W1662" s="1354"/>
      <c r="X1662" s="1354"/>
      <c r="Y1662" s="1354"/>
    </row>
    <row r="1663" spans="1:25" ht="15.75" customHeight="1">
      <c r="A1663" s="1971" t="s">
        <v>3765</v>
      </c>
      <c r="B1663" s="1773"/>
      <c r="C1663" s="1861" t="s">
        <v>3663</v>
      </c>
      <c r="D1663" s="1778"/>
      <c r="E1663" s="1778"/>
      <c r="F1663" s="1779"/>
      <c r="G1663" s="1354"/>
      <c r="H1663" s="1354"/>
      <c r="I1663" s="1858"/>
      <c r="J1663" s="1354"/>
      <c r="K1663" s="1354"/>
      <c r="L1663" s="1354"/>
      <c r="M1663" s="1354"/>
      <c r="N1663" s="1354"/>
      <c r="O1663" s="1354"/>
      <c r="P1663" s="1354"/>
      <c r="Q1663" s="1354"/>
      <c r="R1663" s="1290"/>
      <c r="S1663" s="1290"/>
      <c r="T1663" s="1290"/>
      <c r="U1663" s="1290"/>
      <c r="V1663" s="1290"/>
      <c r="W1663" s="1290"/>
      <c r="X1663" s="1290"/>
      <c r="Y1663" s="1290"/>
    </row>
    <row r="1664" spans="1:25" ht="15.75" customHeight="1">
      <c r="A1664" s="1290"/>
      <c r="B1664" s="1972"/>
      <c r="C1664" s="1972"/>
      <c r="D1664" s="1290"/>
      <c r="E1664" s="1290"/>
      <c r="F1664" s="1290"/>
      <c r="G1664" s="1290"/>
      <c r="H1664" s="1290"/>
      <c r="I1664" s="1973"/>
      <c r="J1664" s="1290"/>
      <c r="K1664" s="1290"/>
      <c r="L1664" s="1290"/>
      <c r="M1664" s="1290"/>
      <c r="N1664" s="1290"/>
      <c r="O1664" s="1290"/>
      <c r="P1664" s="1290"/>
      <c r="Q1664" s="1290"/>
      <c r="R1664" s="1290"/>
      <c r="S1664" s="1290"/>
      <c r="T1664" s="1290"/>
      <c r="U1664" s="1290"/>
      <c r="V1664" s="1290"/>
      <c r="W1664" s="1290"/>
      <c r="X1664" s="1290"/>
      <c r="Y1664" s="1290"/>
    </row>
    <row r="1665" spans="1:25" ht="15.75" customHeight="1" outlineLevel="1">
      <c r="A1665" s="1974" t="s">
        <v>3766</v>
      </c>
      <c r="B1665" s="1975"/>
      <c r="C1665" s="1975"/>
      <c r="D1665" s="1976"/>
      <c r="E1665" s="1976"/>
      <c r="F1665" s="1976"/>
      <c r="G1665" s="1976"/>
      <c r="H1665" s="1976"/>
      <c r="I1665" s="1977"/>
      <c r="J1665" s="1976"/>
      <c r="K1665" s="1976"/>
      <c r="L1665" s="1976"/>
      <c r="M1665" s="1976"/>
      <c r="N1665" s="1976"/>
      <c r="O1665" s="1976"/>
      <c r="P1665" s="1978"/>
      <c r="Q1665" s="1688"/>
      <c r="R1665" s="1354"/>
      <c r="S1665" s="1354"/>
      <c r="T1665" s="1354"/>
      <c r="U1665" s="1354"/>
      <c r="V1665" s="1354"/>
      <c r="W1665" s="1354"/>
      <c r="X1665" s="1354"/>
      <c r="Y1665" s="1354"/>
    </row>
    <row r="1666" spans="1:25" ht="15.75" customHeight="1" outlineLevel="1">
      <c r="A1666" s="1979"/>
      <c r="B1666" s="1980"/>
      <c r="C1666" s="1980"/>
      <c r="D1666" s="1981"/>
      <c r="E1666" s="1981"/>
      <c r="F1666" s="1981"/>
      <c r="G1666" s="1981"/>
      <c r="H1666" s="1981"/>
      <c r="I1666" s="1982"/>
      <c r="J1666" s="1981"/>
      <c r="K1666" s="1981"/>
      <c r="L1666" s="1981"/>
      <c r="M1666" s="1981"/>
      <c r="N1666" s="1981"/>
      <c r="O1666" s="1981"/>
      <c r="P1666" s="1983"/>
      <c r="Q1666" s="1688"/>
      <c r="R1666" s="1354"/>
      <c r="S1666" s="1354"/>
      <c r="T1666" s="1354"/>
      <c r="U1666" s="1354"/>
      <c r="V1666" s="1354"/>
      <c r="W1666" s="1354"/>
      <c r="X1666" s="1354"/>
      <c r="Y1666" s="1354"/>
    </row>
    <row r="1667" spans="1:25" ht="15.75" customHeight="1" outlineLevel="1">
      <c r="A1667" s="1821" t="s">
        <v>1806</v>
      </c>
      <c r="B1667" s="1822"/>
      <c r="C1667" s="1822"/>
      <c r="D1667" s="1823"/>
      <c r="E1667" s="1823"/>
      <c r="F1667" s="1824"/>
      <c r="G1667" s="1872">
        <f>'Ввод данных'!D1071</f>
        <v>1.1000000000000001</v>
      </c>
      <c r="H1667" s="1873"/>
      <c r="J1667" s="1808">
        <f>'Ввод данных'!D1072</f>
        <v>1</v>
      </c>
      <c r="K1667" s="1808"/>
      <c r="L1667" s="1808"/>
      <c r="M1667" s="1808"/>
      <c r="N1667" s="1808"/>
      <c r="O1667" s="1808"/>
      <c r="P1667" s="1808"/>
      <c r="Q1667" s="1688"/>
      <c r="R1667" s="1354"/>
      <c r="S1667" s="1354"/>
      <c r="T1667" s="1354"/>
      <c r="U1667" s="1354"/>
      <c r="V1667" s="1354"/>
      <c r="W1667" s="1354"/>
      <c r="X1667" s="1354"/>
      <c r="Y1667" s="1354"/>
    </row>
    <row r="1668" spans="1:25" ht="15.75" customHeight="1" outlineLevel="1">
      <c r="A1668" s="637"/>
      <c r="B1668" s="1984"/>
      <c r="C1668" s="1984"/>
      <c r="D1668" s="1985"/>
      <c r="E1668" s="1985"/>
      <c r="F1668" s="1986"/>
      <c r="G1668" s="1987"/>
      <c r="H1668" s="1873"/>
      <c r="I1668" s="1809"/>
      <c r="J1668" s="1808"/>
      <c r="K1668" s="1808"/>
      <c r="L1668" s="1808"/>
      <c r="M1668" s="1808"/>
      <c r="N1668" s="1808"/>
      <c r="O1668" s="1808"/>
      <c r="P1668" s="1808"/>
      <c r="Q1668" s="1688"/>
      <c r="R1668" s="1354"/>
      <c r="S1668" s="1354"/>
      <c r="T1668" s="1354"/>
      <c r="U1668" s="1354"/>
      <c r="V1668" s="1354"/>
      <c r="W1668" s="1354"/>
      <c r="X1668" s="1354"/>
      <c r="Y1668" s="1354"/>
    </row>
    <row r="1669" spans="1:25" ht="15.75" customHeight="1" outlineLevel="1">
      <c r="A1669" s="1353" t="s">
        <v>3737</v>
      </c>
      <c r="B1669" s="1696" t="s">
        <v>156</v>
      </c>
      <c r="C1669" s="1773">
        <f>'Ввод данных'!C1089</f>
        <v>0.4</v>
      </c>
      <c r="D1669" s="1380"/>
      <c r="E1669" s="1814"/>
      <c r="F1669" s="1380"/>
      <c r="G1669" s="1354"/>
      <c r="H1669" s="1354"/>
      <c r="I1669" s="1858"/>
      <c r="J1669" s="1354"/>
      <c r="K1669" s="1354"/>
      <c r="L1669" s="1354"/>
      <c r="M1669" s="1354"/>
      <c r="N1669" s="1354"/>
      <c r="O1669" s="1354"/>
      <c r="P1669" s="1354"/>
      <c r="Q1669" s="1354"/>
      <c r="R1669" s="1354"/>
      <c r="S1669" s="1354"/>
      <c r="T1669" s="1354"/>
      <c r="U1669" s="1354"/>
      <c r="V1669" s="1354"/>
      <c r="W1669" s="1354"/>
      <c r="X1669" s="1354"/>
      <c r="Y1669" s="1354"/>
    </row>
    <row r="1670" spans="1:25" ht="15.75" customHeight="1" outlineLevel="1">
      <c r="A1670" s="1353" t="s">
        <v>3738</v>
      </c>
      <c r="B1670" s="1696" t="s">
        <v>156</v>
      </c>
      <c r="C1670" s="1773">
        <f>'Ввод данных'!C1091</f>
        <v>0.3</v>
      </c>
      <c r="D1670" s="1380"/>
      <c r="E1670" s="1814"/>
      <c r="F1670" s="1380"/>
      <c r="G1670" s="1354"/>
      <c r="H1670" s="1354"/>
      <c r="I1670" s="1858"/>
      <c r="J1670" s="1354"/>
      <c r="K1670" s="1354"/>
      <c r="L1670" s="1354"/>
      <c r="M1670" s="1354"/>
      <c r="N1670" s="1354"/>
      <c r="O1670" s="1354"/>
      <c r="P1670" s="1354"/>
      <c r="Q1670" s="1354"/>
      <c r="R1670" s="1354"/>
      <c r="S1670" s="1354"/>
      <c r="T1670" s="1354"/>
      <c r="U1670" s="1354"/>
      <c r="V1670" s="1354"/>
      <c r="W1670" s="1354"/>
      <c r="X1670" s="1354"/>
      <c r="Y1670" s="1354"/>
    </row>
    <row r="1671" spans="1:25" ht="15.75" customHeight="1" outlineLevel="1">
      <c r="A1671" s="1846" t="s">
        <v>3739</v>
      </c>
      <c r="B1671" s="1696" t="s">
        <v>156</v>
      </c>
      <c r="C1671" s="1773">
        <f>'Ввод данных'!C1093</f>
        <v>0.2</v>
      </c>
      <c r="D1671" s="1774">
        <f>D1500</f>
        <v>1</v>
      </c>
      <c r="E1671" s="1814"/>
      <c r="F1671" s="1380"/>
      <c r="G1671" s="1354"/>
      <c r="H1671" s="1354"/>
      <c r="I1671" s="1858"/>
      <c r="J1671" s="1354"/>
      <c r="K1671" s="1354"/>
      <c r="L1671" s="1354"/>
      <c r="M1671" s="1354"/>
      <c r="N1671" s="1354"/>
      <c r="O1671" s="1354"/>
      <c r="P1671" s="1354"/>
      <c r="Q1671" s="1354"/>
      <c r="R1671" s="1354"/>
      <c r="S1671" s="1354"/>
      <c r="T1671" s="1354"/>
      <c r="U1671" s="1354"/>
      <c r="V1671" s="1354"/>
      <c r="W1671" s="1354"/>
      <c r="X1671" s="1354"/>
      <c r="Y1671" s="1354"/>
    </row>
    <row r="1672" spans="1:25" ht="15.75" customHeight="1" outlineLevel="1">
      <c r="A1672" s="1846" t="s">
        <v>3767</v>
      </c>
      <c r="B1672" s="1696" t="s">
        <v>3768</v>
      </c>
      <c r="C1672" s="1773">
        <f>C1503</f>
        <v>7</v>
      </c>
      <c r="D1672" s="1380"/>
      <c r="E1672" s="1814"/>
      <c r="F1672" s="1380"/>
      <c r="G1672" s="1354"/>
      <c r="H1672" s="1354"/>
      <c r="I1672" s="1858"/>
      <c r="J1672" s="1354"/>
      <c r="K1672" s="1354"/>
      <c r="L1672" s="1354"/>
      <c r="M1672" s="1354"/>
      <c r="N1672" s="1354"/>
      <c r="O1672" s="1354"/>
      <c r="P1672" s="1354"/>
      <c r="Q1672" s="1354"/>
      <c r="R1672" s="1354"/>
      <c r="S1672" s="1354"/>
      <c r="T1672" s="1354"/>
      <c r="U1672" s="1354"/>
      <c r="V1672" s="1354"/>
      <c r="W1672" s="1354"/>
      <c r="X1672" s="1354"/>
      <c r="Y1672" s="1354"/>
    </row>
    <row r="1673" spans="1:25" ht="15.75" customHeight="1" outlineLevel="1">
      <c r="A1673" s="1846" t="s">
        <v>3769</v>
      </c>
      <c r="B1673" s="1696" t="s">
        <v>156</v>
      </c>
      <c r="C1673" s="1773">
        <f>C1507</f>
        <v>0.1</v>
      </c>
      <c r="D1673" s="1380"/>
      <c r="E1673" s="1814"/>
      <c r="F1673" s="1380"/>
      <c r="G1673" s="1354"/>
      <c r="H1673" s="1354"/>
      <c r="I1673" s="1858"/>
      <c r="J1673" s="1354"/>
      <c r="K1673" s="1354"/>
      <c r="L1673" s="1354"/>
      <c r="M1673" s="1354"/>
      <c r="N1673" s="1354"/>
      <c r="O1673" s="1354"/>
      <c r="P1673" s="1354"/>
      <c r="Q1673" s="1354"/>
      <c r="R1673" s="1354"/>
      <c r="S1673" s="1354"/>
      <c r="T1673" s="1354"/>
      <c r="U1673" s="1354"/>
      <c r="V1673" s="1354"/>
      <c r="W1673" s="1354"/>
      <c r="X1673" s="1354"/>
      <c r="Y1673" s="1354"/>
    </row>
    <row r="1674" spans="1:25" ht="15.75" customHeight="1" outlineLevel="1">
      <c r="A1674" s="1846" t="s">
        <v>3770</v>
      </c>
      <c r="B1674" s="1696" t="s">
        <v>156</v>
      </c>
      <c r="C1674" s="1773">
        <f>C1508</f>
        <v>0.1</v>
      </c>
      <c r="D1674" s="1380"/>
      <c r="E1674" s="1814"/>
      <c r="F1674" s="1380"/>
      <c r="G1674" s="1354"/>
      <c r="H1674" s="1354"/>
      <c r="I1674" s="1858"/>
      <c r="J1674" s="1354"/>
      <c r="K1674" s="1354"/>
      <c r="L1674" s="1354"/>
      <c r="M1674" s="1354"/>
      <c r="N1674" s="1354"/>
      <c r="O1674" s="1354"/>
      <c r="P1674" s="1354"/>
      <c r="Q1674" s="1354"/>
      <c r="R1674" s="1354"/>
      <c r="S1674" s="1354"/>
      <c r="T1674" s="1354"/>
      <c r="U1674" s="1354"/>
      <c r="V1674" s="1354"/>
      <c r="W1674" s="1354"/>
      <c r="X1674" s="1354"/>
      <c r="Y1674" s="1354"/>
    </row>
    <row r="1675" spans="1:25" ht="15.75" customHeight="1" outlineLevel="1">
      <c r="A1675" s="1839" t="s">
        <v>3750</v>
      </c>
      <c r="B1675" s="1696" t="s">
        <v>154</v>
      </c>
      <c r="C1675" s="1773">
        <f>C1509</f>
        <v>0</v>
      </c>
      <c r="D1675" s="1774">
        <f>D1509</f>
        <v>1</v>
      </c>
      <c r="E1675" s="1814"/>
      <c r="F1675" s="1380"/>
      <c r="G1675" s="1354"/>
      <c r="H1675" s="1354"/>
      <c r="I1675" s="1858"/>
      <c r="J1675" s="1354"/>
      <c r="K1675" s="1354"/>
      <c r="L1675" s="1354"/>
      <c r="M1675" s="1354"/>
      <c r="N1675" s="1354"/>
      <c r="O1675" s="1354"/>
      <c r="P1675" s="1354"/>
      <c r="Q1675" s="1354"/>
      <c r="R1675" s="1354"/>
      <c r="S1675" s="1354"/>
      <c r="T1675" s="1354"/>
      <c r="U1675" s="1354"/>
      <c r="V1675" s="1354"/>
      <c r="W1675" s="1354"/>
      <c r="X1675" s="1354"/>
      <c r="Y1675" s="1354"/>
    </row>
    <row r="1676" spans="1:25" ht="15.75" customHeight="1" outlineLevel="1">
      <c r="A1676" s="1874" t="s">
        <v>3669</v>
      </c>
      <c r="B1676" s="1696" t="s">
        <v>156</v>
      </c>
      <c r="C1676" s="1773">
        <f>C1510</f>
        <v>0</v>
      </c>
      <c r="D1676" s="1774">
        <f>IF(A1733='Прайс лист'!B744,0,1)</f>
        <v>0</v>
      </c>
      <c r="E1676" s="1290"/>
      <c r="F1676" s="1857"/>
      <c r="G1676" s="1805"/>
      <c r="H1676" s="1805"/>
      <c r="I1676" s="1805"/>
      <c r="J1676" s="1805"/>
      <c r="K1676" s="1380"/>
      <c r="L1676" s="1380"/>
      <c r="M1676" s="1380"/>
      <c r="N1676" s="1380"/>
      <c r="O1676" s="1380"/>
      <c r="P1676" s="1380"/>
      <c r="Q1676" s="1829"/>
      <c r="R1676" s="1380"/>
      <c r="S1676" s="1380"/>
      <c r="T1676" s="1380"/>
      <c r="U1676" s="1290"/>
      <c r="V1676" s="1290"/>
      <c r="W1676" s="1290"/>
      <c r="X1676" s="1290"/>
      <c r="Y1676" s="1290"/>
    </row>
    <row r="1677" spans="1:25" ht="15.75" customHeight="1" outlineLevel="1">
      <c r="A1677" s="1874" t="s">
        <v>3751</v>
      </c>
      <c r="B1677" s="1696" t="s">
        <v>133</v>
      </c>
      <c r="C1677" s="1773">
        <f>C1511</f>
        <v>0</v>
      </c>
      <c r="D1677" s="1774">
        <f>D1511</f>
        <v>0</v>
      </c>
      <c r="E1677" s="1290"/>
      <c r="F1677" s="1857"/>
      <c r="G1677" s="1805"/>
      <c r="H1677" s="1805"/>
      <c r="I1677" s="1805"/>
      <c r="J1677" s="1805"/>
      <c r="K1677" s="1380"/>
      <c r="L1677" s="1380"/>
      <c r="M1677" s="1380"/>
      <c r="N1677" s="1380"/>
      <c r="O1677" s="1380"/>
      <c r="P1677" s="1380"/>
      <c r="Q1677" s="1380"/>
      <c r="R1677" s="1392"/>
      <c r="S1677" s="1392"/>
      <c r="T1677" s="1392"/>
      <c r="U1677" s="1290"/>
      <c r="V1677" s="1290"/>
      <c r="W1677" s="1290"/>
      <c r="X1677" s="1290"/>
      <c r="Y1677" s="1290"/>
    </row>
    <row r="1678" spans="1:25" ht="15.75" customHeight="1" outlineLevel="1">
      <c r="A1678" s="1988" t="s">
        <v>3626</v>
      </c>
      <c r="B1678" s="1989"/>
      <c r="C1678" s="1990"/>
      <c r="D1678" s="1805"/>
      <c r="E1678" s="1805"/>
      <c r="F1678" s="1857"/>
      <c r="G1678" s="1805"/>
      <c r="H1678" s="1805"/>
      <c r="I1678" s="1805"/>
      <c r="J1678" s="1805"/>
      <c r="K1678" s="1380"/>
      <c r="L1678" s="1380"/>
      <c r="M1678" s="1380"/>
      <c r="N1678" s="1380"/>
      <c r="O1678" s="1380"/>
      <c r="P1678" s="1380"/>
      <c r="Q1678" s="1380"/>
      <c r="R1678" s="1392"/>
      <c r="S1678" s="1392"/>
      <c r="T1678" s="1392"/>
      <c r="U1678" s="1290"/>
      <c r="V1678" s="1290"/>
      <c r="W1678" s="1290"/>
      <c r="X1678" s="1290"/>
      <c r="Y1678" s="1290"/>
    </row>
    <row r="1679" spans="1:25" ht="15.75" customHeight="1" outlineLevel="1">
      <c r="A1679" s="1839" t="s">
        <v>3678</v>
      </c>
      <c r="B1679" s="1600" t="s">
        <v>133</v>
      </c>
      <c r="C1679" s="1696">
        <f>B1319*C1319*D1319+пристройка!D2*(пристройка!C9*пристройка!C25*пристройка!C3+пристройка!C10*пристройка!C5*пристройка!C26)+D1229*C1235</f>
        <v>100</v>
      </c>
      <c r="D1679" s="1805"/>
      <c r="E1679" s="1805"/>
      <c r="F1679" s="1857"/>
      <c r="G1679" s="1805"/>
      <c r="H1679" s="1805"/>
      <c r="I1679" s="1805"/>
      <c r="J1679" s="1805"/>
      <c r="K1679" s="1380"/>
      <c r="L1679" s="1380"/>
      <c r="M1679" s="1380"/>
      <c r="N1679" s="1380"/>
      <c r="O1679" s="1380"/>
      <c r="P1679" s="1380"/>
      <c r="Q1679" s="1380"/>
      <c r="R1679" s="1392"/>
      <c r="S1679" s="1392"/>
      <c r="T1679" s="1392"/>
      <c r="U1679" s="1290"/>
      <c r="V1679" s="1290"/>
      <c r="W1679" s="1290"/>
      <c r="X1679" s="1290"/>
      <c r="Y1679" s="1290"/>
    </row>
    <row r="1680" spans="1:25" ht="15.75" customHeight="1" outlineLevel="1">
      <c r="A1680" s="1839" t="s">
        <v>3628</v>
      </c>
      <c r="B1680" s="1600" t="s">
        <v>133</v>
      </c>
      <c r="C1680" s="1696">
        <f>C1691</f>
        <v>100</v>
      </c>
      <c r="D1680" s="1805"/>
      <c r="E1680" s="1805"/>
      <c r="F1680" s="1857"/>
      <c r="G1680" s="1805"/>
      <c r="H1680" s="1805"/>
      <c r="I1680" s="1805"/>
      <c r="J1680" s="1805"/>
      <c r="K1680" s="1380"/>
      <c r="L1680" s="1380"/>
      <c r="M1680" s="1380"/>
      <c r="N1680" s="1380"/>
      <c r="O1680" s="1380"/>
      <c r="P1680" s="1380"/>
      <c r="Q1680" s="1380"/>
      <c r="R1680" s="1392"/>
      <c r="S1680" s="1392"/>
      <c r="T1680" s="1392"/>
      <c r="U1680" s="1290"/>
      <c r="V1680" s="1290"/>
      <c r="W1680" s="1290"/>
      <c r="X1680" s="1290"/>
      <c r="Y1680" s="1290"/>
    </row>
    <row r="1681" spans="1:25" ht="15.75" customHeight="1" outlineLevel="1">
      <c r="A1681" s="1839" t="s">
        <v>3680</v>
      </c>
      <c r="B1681" s="1600" t="s">
        <v>156</v>
      </c>
      <c r="C1681" s="1696">
        <f>C1515</f>
        <v>56</v>
      </c>
      <c r="D1681" s="1805"/>
      <c r="E1681" s="1805"/>
      <c r="F1681" s="1857"/>
      <c r="G1681" s="1805"/>
      <c r="H1681" s="1805"/>
      <c r="I1681" s="1805"/>
      <c r="J1681" s="1805"/>
      <c r="K1681" s="1380"/>
      <c r="L1681" s="1380"/>
      <c r="M1681" s="1380"/>
      <c r="N1681" s="1380"/>
      <c r="O1681" s="1380"/>
      <c r="P1681" s="1380"/>
      <c r="Q1681" s="1380"/>
      <c r="R1681" s="1392"/>
      <c r="S1681" s="1392"/>
      <c r="T1681" s="1392"/>
      <c r="U1681" s="1290"/>
      <c r="V1681" s="1290"/>
      <c r="W1681" s="1290"/>
      <c r="X1681" s="1290"/>
      <c r="Y1681" s="1290"/>
    </row>
    <row r="1682" spans="1:25" ht="15.75" customHeight="1" outlineLevel="1">
      <c r="A1682" s="1839" t="s">
        <v>3752</v>
      </c>
      <c r="B1682" s="1600" t="s">
        <v>156</v>
      </c>
      <c r="C1682" s="1696">
        <f>((C1319+D1319+C1319+D1319)*B1319+пристройка!D2*пристройка!C85*пристройка!D84*пристройка!C3+D1229*C1275*E1274*C1232+пристройка!D2*пристройка!C85*пристройка!C5*пристройка!D84+D1229*C1233*C1275*E1274)</f>
        <v>40</v>
      </c>
      <c r="D1682" s="1805">
        <f>D1516</f>
        <v>4</v>
      </c>
      <c r="E1682" s="1805"/>
      <c r="F1682" s="1857"/>
      <c r="G1682" s="1805"/>
      <c r="H1682" s="1805"/>
      <c r="I1682" s="1805"/>
      <c r="J1682" s="1805"/>
      <c r="K1682" s="1380"/>
      <c r="L1682" s="1380"/>
      <c r="M1682" s="1380"/>
      <c r="N1682" s="1380"/>
      <c r="O1682" s="1380"/>
      <c r="P1682" s="1380"/>
      <c r="Q1682" s="1380"/>
      <c r="R1682" s="1392"/>
      <c r="S1682" s="1392"/>
      <c r="T1682" s="1392"/>
      <c r="U1682" s="1290"/>
      <c r="V1682" s="1290"/>
      <c r="W1682" s="1290"/>
      <c r="X1682" s="1290"/>
      <c r="Y1682" s="1290"/>
    </row>
    <row r="1683" spans="1:25" ht="15.75" customHeight="1" outlineLevel="1">
      <c r="A1683" s="1839" t="s">
        <v>3753</v>
      </c>
      <c r="B1683" s="1600" t="s">
        <v>156</v>
      </c>
      <c r="C1683" s="1696">
        <f>(C1321*D1321+C1322*D1322+C1323*D1323+C1329*D1329+C1330*D1330+C1331*D1331+C1332*D1332)+(N1321*O1321+N1322*O1322+N1323*O1323+N1329*O1329+N1330*O1330+N1331*O1331+C1324*D1324+N1324*O1324+N1332*O1332)*(B1319-1)</f>
        <v>16</v>
      </c>
      <c r="D1683" s="1805">
        <f>D1517</f>
        <v>1.6</v>
      </c>
      <c r="E1683" s="1805"/>
      <c r="F1683" s="1805"/>
      <c r="G1683" s="1354"/>
      <c r="H1683" s="1354"/>
      <c r="I1683" s="1858"/>
      <c r="J1683" s="1354"/>
      <c r="K1683" s="1354"/>
      <c r="L1683" s="1354"/>
      <c r="M1683" s="1354"/>
      <c r="N1683" s="1354"/>
      <c r="O1683" s="1354"/>
      <c r="P1683" s="1354"/>
      <c r="Q1683" s="1354"/>
      <c r="R1683" s="1290"/>
      <c r="S1683" s="1290"/>
      <c r="T1683" s="1290"/>
      <c r="U1683" s="1290"/>
      <c r="V1683" s="1290"/>
      <c r="W1683" s="1290"/>
      <c r="X1683" s="1290"/>
      <c r="Y1683" s="1290"/>
    </row>
    <row r="1684" spans="1:25" ht="15.75" customHeight="1" outlineLevel="1">
      <c r="A1684" s="1839" t="s">
        <v>3755</v>
      </c>
      <c r="B1684" s="1600" t="s">
        <v>156</v>
      </c>
      <c r="C1684" s="1696">
        <f>(C1325*D1325+C1326*D1326+C1327*D1327+C1328*D1328+C1333*D1333+C1334*D1334+C1335*D1335)+(C1336*D1336+N1325*O1325+N1326*O1326+N1327*O1327+N1328*O1328+N1333*O1333+N1334*O1334+N1335*O1335+N1336*O1336)*(B1319-1)+пристройка!D2*(пристройка!AM38)</f>
        <v>7.8</v>
      </c>
      <c r="D1684" s="1805">
        <f>D1518</f>
        <v>3.12</v>
      </c>
      <c r="E1684" s="1805"/>
      <c r="F1684" s="1805"/>
      <c r="G1684" s="1354"/>
      <c r="H1684" s="1354"/>
      <c r="I1684" s="1858"/>
      <c r="J1684" s="1354"/>
      <c r="K1684" s="1354"/>
      <c r="L1684" s="1354"/>
      <c r="M1684" s="1354"/>
      <c r="N1684" s="1354"/>
      <c r="O1684" s="1354"/>
      <c r="P1684" s="1354"/>
      <c r="Q1684" s="1354"/>
      <c r="R1684" s="1290"/>
      <c r="S1684" s="1290"/>
      <c r="T1684" s="1290"/>
      <c r="U1684" s="1290"/>
      <c r="V1684" s="1290"/>
      <c r="W1684" s="1290"/>
      <c r="X1684" s="1290"/>
      <c r="Y1684" s="1290"/>
    </row>
    <row r="1685" spans="1:25" ht="15.75" customHeight="1" outlineLevel="1">
      <c r="A1685" s="1839" t="s">
        <v>3633</v>
      </c>
      <c r="B1685" s="1600" t="s">
        <v>133</v>
      </c>
      <c r="C1685" s="1841">
        <f>связи1!C155</f>
        <v>118.8</v>
      </c>
      <c r="D1685" s="1805">
        <f>SUM(D1682:D1684)</f>
        <v>8.7199999999999989</v>
      </c>
      <c r="E1685" s="1805"/>
      <c r="F1685" s="1805"/>
      <c r="G1685" s="1354"/>
      <c r="H1685" s="1354"/>
      <c r="I1685" s="1858"/>
      <c r="J1685" s="1354"/>
      <c r="K1685" s="1354"/>
      <c r="L1685" s="1354"/>
      <c r="M1685" s="1354"/>
      <c r="N1685" s="1354"/>
      <c r="O1685" s="1354"/>
      <c r="P1685" s="1354"/>
      <c r="Q1685" s="1354"/>
      <c r="R1685" s="1290"/>
      <c r="S1685" s="1290"/>
      <c r="T1685" s="1290"/>
      <c r="U1685" s="1290"/>
      <c r="V1685" s="1290"/>
      <c r="W1685" s="1290"/>
      <c r="X1685" s="1290"/>
      <c r="Y1685" s="1290"/>
    </row>
    <row r="1686" spans="1:25" ht="15.75" customHeight="1" outlineLevel="1">
      <c r="A1686" s="1839" t="s">
        <v>3687</v>
      </c>
      <c r="B1686" s="1600" t="s">
        <v>133</v>
      </c>
      <c r="C1686" s="1841">
        <f>C1685</f>
        <v>118.8</v>
      </c>
      <c r="D1686" s="1805"/>
      <c r="E1686" s="1805"/>
      <c r="F1686" s="1805"/>
      <c r="G1686" s="1354"/>
      <c r="H1686" s="1354"/>
      <c r="I1686" s="1858"/>
      <c r="J1686" s="1354"/>
      <c r="K1686" s="1354"/>
      <c r="L1686" s="1354"/>
      <c r="M1686" s="1354"/>
      <c r="N1686" s="1354"/>
      <c r="O1686" s="1354"/>
      <c r="P1686" s="1354"/>
      <c r="Q1686" s="1354"/>
      <c r="R1686" s="1290"/>
      <c r="S1686" s="1290"/>
      <c r="T1686" s="1290"/>
      <c r="U1686" s="1290"/>
      <c r="V1686" s="1290"/>
      <c r="W1686" s="1290"/>
      <c r="X1686" s="1290"/>
      <c r="Y1686" s="1290"/>
    </row>
    <row r="1687" spans="1:25" ht="15.75" customHeight="1" outlineLevel="1">
      <c r="A1687" s="1839" t="s">
        <v>3635</v>
      </c>
      <c r="B1687" s="1600"/>
      <c r="C1687" s="1841">
        <f>связи1!D155</f>
        <v>48</v>
      </c>
      <c r="D1687" s="1805"/>
      <c r="E1687" s="1805"/>
      <c r="F1687" s="1805"/>
      <c r="G1687" s="1354"/>
      <c r="H1687" s="1354"/>
      <c r="I1687" s="1858"/>
      <c r="J1687" s="1354"/>
      <c r="K1687" s="1354"/>
      <c r="L1687" s="1354"/>
      <c r="M1687" s="1354"/>
      <c r="N1687" s="1354"/>
      <c r="O1687" s="1354"/>
      <c r="P1687" s="1354"/>
      <c r="Q1687" s="1354"/>
      <c r="R1687" s="1290"/>
      <c r="S1687" s="1290"/>
      <c r="T1687" s="1290"/>
      <c r="U1687" s="1290"/>
      <c r="V1687" s="1290"/>
      <c r="W1687" s="1290"/>
      <c r="X1687" s="1290"/>
      <c r="Y1687" s="1290"/>
    </row>
    <row r="1688" spans="1:25" ht="15.75" customHeight="1" outlineLevel="1">
      <c r="A1688" s="1839" t="s">
        <v>3636</v>
      </c>
      <c r="B1688" s="1600" t="s">
        <v>133</v>
      </c>
      <c r="C1688" s="1841">
        <f>связи1!E155</f>
        <v>23.4</v>
      </c>
      <c r="D1688" s="1805"/>
      <c r="E1688" s="1805"/>
      <c r="F1688" s="1805"/>
      <c r="G1688" s="1354"/>
      <c r="H1688" s="1354"/>
      <c r="I1688" s="1858"/>
      <c r="J1688" s="1354"/>
      <c r="K1688" s="1354"/>
      <c r="L1688" s="1354"/>
      <c r="M1688" s="1354"/>
      <c r="N1688" s="1354"/>
      <c r="O1688" s="1354"/>
      <c r="P1688" s="1354"/>
      <c r="Q1688" s="1354"/>
      <c r="R1688" s="1290"/>
      <c r="S1688" s="1290"/>
      <c r="T1688" s="1290"/>
      <c r="U1688" s="1290"/>
      <c r="V1688" s="1290"/>
      <c r="W1688" s="1290"/>
      <c r="X1688" s="1290"/>
      <c r="Y1688" s="1290"/>
    </row>
    <row r="1689" spans="1:25" ht="15.75" customHeight="1" outlineLevel="1">
      <c r="A1689" s="1839" t="s">
        <v>3638</v>
      </c>
      <c r="B1689" s="1600" t="s">
        <v>133</v>
      </c>
      <c r="C1689" s="1841">
        <f>C1687+C1688</f>
        <v>71.400000000000006</v>
      </c>
      <c r="D1689" s="1805"/>
      <c r="E1689" s="1805"/>
      <c r="F1689" s="1805"/>
      <c r="G1689" s="1354"/>
      <c r="H1689" s="1354"/>
      <c r="I1689" s="1858"/>
      <c r="J1689" s="1354"/>
      <c r="K1689" s="1354"/>
      <c r="L1689" s="1354"/>
      <c r="M1689" s="1354"/>
      <c r="N1689" s="1354"/>
      <c r="O1689" s="1354"/>
      <c r="P1689" s="1354"/>
      <c r="Q1689" s="1354"/>
      <c r="R1689" s="1290"/>
      <c r="S1689" s="1290"/>
      <c r="T1689" s="1290"/>
      <c r="U1689" s="1290"/>
      <c r="V1689" s="1290"/>
      <c r="W1689" s="1290"/>
      <c r="X1689" s="1290"/>
      <c r="Y1689" s="1290"/>
    </row>
    <row r="1690" spans="1:25" ht="15.75" customHeight="1" outlineLevel="1">
      <c r="A1690" s="1839" t="s">
        <v>3639</v>
      </c>
      <c r="B1690" s="1600" t="s">
        <v>133</v>
      </c>
      <c r="C1690" s="1696">
        <f>C16*C17*E44+C16*C17*E45*(C15-1)+B1115*(1-E44)*(E1189+C1189)+I1115*(1-E44)*(F1132*F1133)+(1-E44)*L1115*L1189+(J1215+K1215)*G1202+D1229*(C1236*E1236+C1237*E1237)+(C15-1)*B1115*(C1189+E1189)*(1-E45)+(C15-1)*(F1132*F1133)*I1115*(1-E45)+(C15-1)*L1115*L1189*(1-E45)-F1363+пристройка!L14+пристройка!L15</f>
        <v>90.43</v>
      </c>
      <c r="D1690" s="1805"/>
      <c r="E1690" s="1805"/>
      <c r="F1690" s="1805"/>
      <c r="G1690" s="1354"/>
      <c r="H1690" s="1354"/>
      <c r="I1690" s="1858"/>
      <c r="J1690" s="1354"/>
      <c r="K1690" s="1354"/>
      <c r="L1690" s="1354"/>
      <c r="M1690" s="1354"/>
      <c r="N1690" s="1354"/>
      <c r="O1690" s="1354"/>
      <c r="P1690" s="1354"/>
      <c r="Q1690" s="1354"/>
      <c r="R1690" s="1290"/>
      <c r="S1690" s="1290"/>
      <c r="T1690" s="1290"/>
      <c r="U1690" s="1290"/>
      <c r="V1690" s="1290"/>
      <c r="W1690" s="1290"/>
      <c r="X1690" s="1290"/>
      <c r="Y1690" s="1290"/>
    </row>
    <row r="1691" spans="1:25" ht="15.75" customHeight="1" outlineLevel="1">
      <c r="A1691" s="1839" t="s">
        <v>3690</v>
      </c>
      <c r="B1691" s="1600" t="s">
        <v>133</v>
      </c>
      <c r="C1691" s="1696">
        <f>C15*C16*C17+D1229*C1235+(пристройка!L12+пристройка!L13)*пристройка!D2</f>
        <v>100</v>
      </c>
      <c r="D1691" s="1805"/>
      <c r="E1691" s="1805"/>
      <c r="F1691" s="1805"/>
      <c r="G1691" s="1354"/>
      <c r="H1691" s="1354"/>
      <c r="I1691" s="1858"/>
      <c r="J1691" s="1354"/>
      <c r="K1691" s="1354"/>
      <c r="L1691" s="1354"/>
      <c r="M1691" s="1354"/>
      <c r="N1691" s="1354"/>
      <c r="O1691" s="1354"/>
      <c r="P1691" s="1354"/>
      <c r="Q1691" s="1354"/>
      <c r="R1691" s="1290"/>
      <c r="S1691" s="1290"/>
      <c r="T1691" s="1290"/>
      <c r="U1691" s="1290"/>
      <c r="V1691" s="1290"/>
      <c r="W1691" s="1290"/>
      <c r="X1691" s="1290"/>
      <c r="Y1691" s="1290"/>
    </row>
    <row r="1692" spans="1:25" ht="15.75" customHeight="1" outlineLevel="1">
      <c r="A1692" s="1839" t="s">
        <v>3642</v>
      </c>
      <c r="B1692" s="1600" t="s">
        <v>133</v>
      </c>
      <c r="C1692" s="1696">
        <f>C1319*D1319+пристройка!D2*пристройка!C9+D1229*C1279</f>
        <v>100</v>
      </c>
      <c r="D1692" s="1805"/>
      <c r="E1692" s="1805"/>
      <c r="F1692" s="1805"/>
      <c r="G1692" s="1354"/>
      <c r="H1692" s="1354"/>
      <c r="I1692" s="1858"/>
      <c r="J1692" s="1354"/>
      <c r="K1692" s="1354"/>
      <c r="L1692" s="1354"/>
      <c r="M1692" s="1354"/>
      <c r="N1692" s="1354"/>
      <c r="O1692" s="1354"/>
      <c r="P1692" s="1354"/>
      <c r="Q1692" s="1354"/>
      <c r="R1692" s="1290"/>
      <c r="S1692" s="1290"/>
      <c r="T1692" s="1290"/>
      <c r="U1692" s="1290"/>
      <c r="V1692" s="1290"/>
      <c r="W1692" s="1290"/>
      <c r="X1692" s="1290"/>
      <c r="Y1692" s="1290"/>
    </row>
    <row r="1693" spans="1:25" ht="15.75" customHeight="1" outlineLevel="1">
      <c r="A1693" s="1839" t="s">
        <v>3643</v>
      </c>
      <c r="B1693" s="1600" t="s">
        <v>133</v>
      </c>
      <c r="C1693" s="1696">
        <f>C1319*D1319*E44+пристройка!D2*пристройка!C10+D1229*пристройка!C10*пристройка!C26-(B1319-1)*4</f>
        <v>100</v>
      </c>
      <c r="D1693" s="1805"/>
      <c r="E1693" s="1805"/>
      <c r="F1693" s="1805"/>
      <c r="G1693" s="1354"/>
      <c r="H1693" s="1354"/>
      <c r="I1693" s="1858"/>
      <c r="J1693" s="1354"/>
      <c r="K1693" s="1354"/>
      <c r="L1693" s="1354"/>
      <c r="M1693" s="1354"/>
      <c r="N1693" s="1354"/>
      <c r="O1693" s="1354"/>
      <c r="P1693" s="1354"/>
      <c r="Q1693" s="1354"/>
      <c r="R1693" s="1290"/>
      <c r="S1693" s="1290"/>
      <c r="T1693" s="1290"/>
      <c r="U1693" s="1290"/>
      <c r="V1693" s="1290"/>
      <c r="W1693" s="1290"/>
      <c r="X1693" s="1290"/>
      <c r="Y1693" s="1290"/>
    </row>
    <row r="1694" spans="1:25" ht="15.75" customHeight="1" outlineLevel="1">
      <c r="A1694" s="1839" t="s">
        <v>3644</v>
      </c>
      <c r="B1694" s="1600" t="s">
        <v>133</v>
      </c>
      <c r="C1694" s="1696">
        <f>C16*C17*E45+B1115*C1189*(C15-1)+I1115*F1132*F1133*(C15-1)*(I1115-E45)+L1115*L1189*(C15-1)*(L1115-E45)+пристройка!D2*пристройка!C11+D1229*C1279</f>
        <v>0</v>
      </c>
      <c r="D1694" s="1805"/>
      <c r="E1694" s="1805"/>
      <c r="F1694" s="1805"/>
      <c r="G1694" s="1354"/>
      <c r="H1694" s="1354"/>
      <c r="I1694" s="1858"/>
      <c r="J1694" s="1354"/>
      <c r="K1694" s="1354"/>
      <c r="L1694" s="1354"/>
      <c r="M1694" s="1354"/>
      <c r="N1694" s="1354"/>
      <c r="O1694" s="1354"/>
      <c r="P1694" s="1354"/>
      <c r="Q1694" s="1354"/>
      <c r="R1694" s="1290"/>
      <c r="S1694" s="1290"/>
      <c r="T1694" s="1290"/>
      <c r="U1694" s="1290"/>
      <c r="V1694" s="1290"/>
      <c r="W1694" s="1290"/>
      <c r="X1694" s="1290"/>
      <c r="Y1694" s="1290"/>
    </row>
    <row r="1695" spans="1:25" ht="15.75" customHeight="1" outlineLevel="1">
      <c r="A1695" s="1839" t="s">
        <v>3645</v>
      </c>
      <c r="B1695" s="1600" t="s">
        <v>133</v>
      </c>
      <c r="C1695" s="1696">
        <f>SUM(C1692:C1694)</f>
        <v>200</v>
      </c>
      <c r="D1695" s="1805"/>
      <c r="E1695" s="1805"/>
      <c r="F1695" s="1805"/>
      <c r="G1695" s="1380"/>
      <c r="H1695" s="1380"/>
      <c r="I1695" s="1829"/>
      <c r="J1695" s="1354"/>
      <c r="K1695" s="1354"/>
      <c r="L1695" s="1354"/>
      <c r="M1695" s="1354"/>
      <c r="N1695" s="1354"/>
      <c r="O1695" s="1354"/>
      <c r="P1695" s="1354"/>
      <c r="Q1695" s="1354"/>
      <c r="R1695" s="1290"/>
      <c r="S1695" s="1290"/>
      <c r="T1695" s="1290"/>
      <c r="U1695" s="1290"/>
      <c r="V1695" s="1290"/>
      <c r="W1695" s="1290"/>
      <c r="X1695" s="1290"/>
      <c r="Y1695" s="1290"/>
    </row>
    <row r="1696" spans="1:25" ht="15.75" customHeight="1" outlineLevel="1">
      <c r="A1696" s="1991" t="s">
        <v>2720</v>
      </c>
      <c r="B1696" s="1992" t="s">
        <v>1094</v>
      </c>
      <c r="C1696" s="1992" t="s">
        <v>1802</v>
      </c>
      <c r="D1696" s="1055" t="s">
        <v>293</v>
      </c>
      <c r="E1696" s="1055" t="s">
        <v>1800</v>
      </c>
      <c r="F1696" s="1055" t="s">
        <v>853</v>
      </c>
      <c r="G1696" s="1055" t="s">
        <v>1802</v>
      </c>
      <c r="H1696" s="1055"/>
      <c r="I1696" s="1992" t="s">
        <v>3764</v>
      </c>
      <c r="J1696" s="1593" t="s">
        <v>2722</v>
      </c>
      <c r="K1696" s="1354"/>
      <c r="L1696" s="1988" t="s">
        <v>1409</v>
      </c>
      <c r="M1696" s="1993"/>
      <c r="N1696" s="1593" t="s">
        <v>1802</v>
      </c>
      <c r="O1696" s="1593" t="s">
        <v>2721</v>
      </c>
      <c r="P1696" s="1593"/>
      <c r="Q1696" s="1593"/>
      <c r="R1696" s="1593"/>
      <c r="S1696" s="1593" t="s">
        <v>2722</v>
      </c>
      <c r="T1696" s="1354"/>
      <c r="U1696" s="1354"/>
      <c r="V1696" s="1354"/>
      <c r="W1696" s="1354"/>
      <c r="X1696" s="1354"/>
      <c r="Y1696" s="1354"/>
    </row>
    <row r="1697" spans="1:25" ht="15.75" customHeight="1" outlineLevel="1">
      <c r="A1697" s="1839" t="str">
        <f>'Ввод данных'!A1089</f>
        <v>Керамоблок 510х250х219 мм -    14,3 НФ</v>
      </c>
      <c r="B1697" s="1696" t="s">
        <v>135</v>
      </c>
      <c r="C1697" s="1696">
        <f>(C1685*C1669*0.8-G1517)*G1667</f>
        <v>41.751600000000003</v>
      </c>
      <c r="D1697" s="1055">
        <f>VLOOKUP(A1697,'Прайс лист'!B978:G1025,2,0)</f>
        <v>219</v>
      </c>
      <c r="E1697" s="1055">
        <f>VLOOKUP(A1697,'Прайс лист'!B978:G1025,3,0)</f>
        <v>250</v>
      </c>
      <c r="F1697" s="1055">
        <f>VLOOKUP(A1697,'Прайс лист'!B978:G1025,4,0)</f>
        <v>510</v>
      </c>
      <c r="G1697" s="1055">
        <f>C1697/((D1697*E1697*F1697/1000000000))</f>
        <v>1495.2672575879669</v>
      </c>
      <c r="H1697" s="1055"/>
      <c r="I1697" s="1696">
        <f>VLOOKUP(A1697,'Прайс лист'!B978:G1025,6,0)</f>
        <v>10000</v>
      </c>
      <c r="J1697" s="1353">
        <f t="shared" ref="J1697:J1738" si="200">C1697*I1697</f>
        <v>417516.00000000006</v>
      </c>
      <c r="K1697" s="1354"/>
      <c r="L1697" s="1632" t="str">
        <f>'Прайс лист'!B1682</f>
        <v>кладка кирпича</v>
      </c>
      <c r="M1697" s="1853"/>
      <c r="N1697" s="1353">
        <f>(C1697+C1698+C1699)*J1667</f>
        <v>58.542000000000009</v>
      </c>
      <c r="O1697" s="1353">
        <f>'Прайс лист'!G1682</f>
        <v>3500</v>
      </c>
      <c r="P1697" s="1353"/>
      <c r="Q1697" s="1353"/>
      <c r="R1697" s="1353"/>
      <c r="S1697" s="1353">
        <f t="shared" ref="S1697:S1707" si="201">N1697*O1697</f>
        <v>204897.00000000003</v>
      </c>
      <c r="T1697" s="1354"/>
      <c r="U1697" s="1354"/>
      <c r="V1697" s="1354"/>
      <c r="W1697" s="1354"/>
      <c r="X1697" s="1354"/>
      <c r="Y1697" s="1354"/>
    </row>
    <row r="1698" spans="1:25" ht="15.75" customHeight="1" outlineLevel="1">
      <c r="A1698" s="1839" t="str">
        <f>'Ввод данных'!A1091</f>
        <v>Керамоблок 510х250х219 мм -    14,3 НФ</v>
      </c>
      <c r="B1698" s="1696" t="s">
        <v>135</v>
      </c>
      <c r="C1698" s="1696">
        <f>C1670*C1687*0.8*G1667</f>
        <v>12.672000000000001</v>
      </c>
      <c r="D1698" s="1055">
        <f>VLOOKUP(A1698,'Прайс лист'!B978:G1025,2,0)</f>
        <v>219</v>
      </c>
      <c r="E1698" s="1055">
        <f>VLOOKUP(A1698,'Прайс лист'!B978:G1025,3,0)</f>
        <v>250</v>
      </c>
      <c r="F1698" s="1055">
        <f>VLOOKUP(A1698,'Прайс лист'!B978:G1025,4,0)</f>
        <v>510</v>
      </c>
      <c r="G1698" s="1055">
        <f>C1698/((D1698*E1698*F1698/1000000000))</f>
        <v>453.82755842062858</v>
      </c>
      <c r="H1698" s="1055"/>
      <c r="I1698" s="1696">
        <f>VLOOKUP(A1698,'Прайс лист'!B978:G1025,6,0)</f>
        <v>10000</v>
      </c>
      <c r="J1698" s="1353">
        <f t="shared" si="200"/>
        <v>126720</v>
      </c>
      <c r="K1698" s="1354"/>
      <c r="L1698" s="1632" t="str">
        <f>'Прайс лист'!B1683</f>
        <v>кладка перегородок из кирпича</v>
      </c>
      <c r="M1698" s="1278"/>
      <c r="N1698" s="1055">
        <f>C1688</f>
        <v>23.4</v>
      </c>
      <c r="O1698" s="1353">
        <f>'Прайс лист'!G1683</f>
        <v>550</v>
      </c>
      <c r="P1698" s="1055"/>
      <c r="Q1698" s="1055"/>
      <c r="R1698" s="1055"/>
      <c r="S1698" s="1353">
        <f t="shared" si="201"/>
        <v>12870</v>
      </c>
      <c r="T1698" s="1354">
        <f>40*3*0.4</f>
        <v>48</v>
      </c>
      <c r="U1698" s="1354"/>
      <c r="V1698" s="1354"/>
      <c r="W1698" s="1354"/>
      <c r="X1698" s="1354"/>
      <c r="Y1698" s="1354"/>
    </row>
    <row r="1699" spans="1:25" ht="15.75" customHeight="1" outlineLevel="1">
      <c r="A1699" s="1839" t="str">
        <f>'Ввод данных'!A1093</f>
        <v>Керамоблок 510х250х219 мм -    14,3 НФ</v>
      </c>
      <c r="B1699" s="1696" t="s">
        <v>135</v>
      </c>
      <c r="C1699" s="1696">
        <f>C1688*0.8*C1671*D1671*G1667</f>
        <v>4.1184000000000003</v>
      </c>
      <c r="D1699" s="1055">
        <f>VLOOKUP(A1699,'Прайс лист'!B978:G1025,2,0)</f>
        <v>219</v>
      </c>
      <c r="E1699" s="1055">
        <f>VLOOKUP(A1699,'Прайс лист'!B978:G1025,3,0)</f>
        <v>250</v>
      </c>
      <c r="F1699" s="1055">
        <f>VLOOKUP(A1699,'Прайс лист'!B978:G1025,4,0)</f>
        <v>510</v>
      </c>
      <c r="G1699" s="1055">
        <f>C1699/((D1699*E1699*F1699/1000000000))</f>
        <v>147.49395648670429</v>
      </c>
      <c r="H1699" s="1055"/>
      <c r="I1699" s="1696">
        <f>VLOOKUP(A1699,'Прайс лист'!B978:G1025,6,0)</f>
        <v>10000</v>
      </c>
      <c r="J1699" s="1353">
        <f t="shared" si="200"/>
        <v>41184</v>
      </c>
      <c r="K1699" s="1354"/>
      <c r="L1699" s="1632" t="str">
        <f>'Прайс лист'!B1688</f>
        <v>Армирование сейсмопояса</v>
      </c>
      <c r="M1699" s="1853"/>
      <c r="N1699" s="1353">
        <f>C1736/2*J1667</f>
        <v>55.440000000000005</v>
      </c>
      <c r="O1699" s="1353">
        <f>'Прайс лист'!G1688</f>
        <v>500</v>
      </c>
      <c r="P1699" s="1353"/>
      <c r="Q1699" s="1353"/>
      <c r="R1699" s="1353"/>
      <c r="S1699" s="1353">
        <f t="shared" si="201"/>
        <v>27720.000000000004</v>
      </c>
      <c r="T1699" s="1354"/>
      <c r="U1699" s="1354"/>
      <c r="V1699" s="1354"/>
      <c r="W1699" s="1354"/>
      <c r="X1699" s="1354"/>
      <c r="Y1699" s="1354"/>
    </row>
    <row r="1700" spans="1:25" ht="15.75" customHeight="1" outlineLevel="1">
      <c r="A1700" s="1839" t="str">
        <f t="shared" ref="A1700:C1730" si="202">A1622</f>
        <v>Перемычка оконная, 1-ый эт. Вариант 1</v>
      </c>
      <c r="B1700" s="1696" t="str">
        <f t="shared" si="202"/>
        <v>м.п.</v>
      </c>
      <c r="C1700" s="1839">
        <f t="shared" si="202"/>
        <v>1</v>
      </c>
      <c r="D1700" s="1055">
        <f>'Ввод данных'!$C$1089</f>
        <v>0.4</v>
      </c>
      <c r="E1700" s="1055">
        <f t="shared" ref="E1700:G1726" si="203">E1622</f>
        <v>1.4</v>
      </c>
      <c r="F1700" s="1055">
        <f t="shared" si="203"/>
        <v>100</v>
      </c>
      <c r="G1700" s="1055">
        <f t="shared" si="203"/>
        <v>1.7999999999999998</v>
      </c>
      <c r="H1700" s="1055"/>
      <c r="I1700" s="1839">
        <f t="shared" ref="I1700:I1735" si="204">I1622</f>
        <v>1000</v>
      </c>
      <c r="J1700" s="1353">
        <f t="shared" si="200"/>
        <v>1000</v>
      </c>
      <c r="K1700" s="1354"/>
      <c r="L1700" s="1632" t="str">
        <f>'Прайс лист'!B1689</f>
        <v>Заливка бетоном сейсмопояса</v>
      </c>
      <c r="M1700" s="1853"/>
      <c r="N1700" s="1353">
        <f>C1730</f>
        <v>1.6380000000000001</v>
      </c>
      <c r="O1700" s="1353">
        <f>'Прайс лист'!G1689</f>
        <v>700</v>
      </c>
      <c r="P1700" s="1353"/>
      <c r="Q1700" s="1353"/>
      <c r="R1700" s="1353"/>
      <c r="S1700" s="1353">
        <f t="shared" si="201"/>
        <v>1146.6000000000001</v>
      </c>
      <c r="T1700" s="1354"/>
      <c r="U1700" s="1354"/>
      <c r="V1700" s="1354"/>
      <c r="W1700" s="1354"/>
      <c r="X1700" s="1354"/>
      <c r="Y1700" s="1354"/>
    </row>
    <row r="1701" spans="1:25" ht="15.75" customHeight="1" outlineLevel="1">
      <c r="A1701" s="1839" t="str">
        <f t="shared" si="202"/>
        <v>Перемычка оконная, 1-ый эт. Вариант 2</v>
      </c>
      <c r="B1701" s="1696" t="str">
        <f t="shared" si="202"/>
        <v>м.п.</v>
      </c>
      <c r="C1701" s="1839">
        <f t="shared" si="202"/>
        <v>0</v>
      </c>
      <c r="D1701" s="1055">
        <f>'Ввод данных'!$C$1089</f>
        <v>0.4</v>
      </c>
      <c r="E1701" s="1055">
        <f t="shared" si="203"/>
        <v>1</v>
      </c>
      <c r="F1701" s="1055">
        <f t="shared" si="203"/>
        <v>100</v>
      </c>
      <c r="G1701" s="1055">
        <f t="shared" si="203"/>
        <v>0</v>
      </c>
      <c r="H1701" s="1055"/>
      <c r="I1701" s="1839">
        <f t="shared" si="204"/>
        <v>1000</v>
      </c>
      <c r="J1701" s="1353">
        <f t="shared" si="200"/>
        <v>0</v>
      </c>
      <c r="K1701" s="1354"/>
      <c r="L1701" s="1994" t="str">
        <f>'Прайс лист'!B1690</f>
        <v>утепление стен снаружи дома</v>
      </c>
      <c r="M1701" s="1853"/>
      <c r="N1701" s="1353">
        <f>C1685*D1676</f>
        <v>0</v>
      </c>
      <c r="O1701" s="1353">
        <f>'Прайс лист'!G1690</f>
        <v>350</v>
      </c>
      <c r="P1701" s="1353"/>
      <c r="Q1701" s="1353"/>
      <c r="R1701" s="1353"/>
      <c r="S1701" s="1353">
        <f t="shared" si="201"/>
        <v>0</v>
      </c>
      <c r="T1701" s="1354"/>
      <c r="U1701" s="1354"/>
      <c r="V1701" s="1354"/>
      <c r="W1701" s="1354"/>
      <c r="X1701" s="1354"/>
      <c r="Y1701" s="1354"/>
    </row>
    <row r="1702" spans="1:25" ht="15.75" customHeight="1" outlineLevel="1">
      <c r="A1702" s="1839" t="str">
        <f t="shared" si="202"/>
        <v>Перемычка оконная, 1-ый эт. Вариант 3</v>
      </c>
      <c r="B1702" s="1696" t="str">
        <f t="shared" si="202"/>
        <v>м.п.</v>
      </c>
      <c r="C1702" s="1839">
        <f t="shared" si="202"/>
        <v>0</v>
      </c>
      <c r="D1702" s="1055">
        <f>'Ввод данных'!$C$1089</f>
        <v>0.4</v>
      </c>
      <c r="E1702" s="1055">
        <f t="shared" si="203"/>
        <v>1.4</v>
      </c>
      <c r="F1702" s="1055">
        <f t="shared" si="203"/>
        <v>100</v>
      </c>
      <c r="G1702" s="1055">
        <f t="shared" si="203"/>
        <v>0</v>
      </c>
      <c r="H1702" s="1055"/>
      <c r="I1702" s="1839">
        <f t="shared" si="204"/>
        <v>1000</v>
      </c>
      <c r="J1702" s="1353">
        <f t="shared" si="200"/>
        <v>0</v>
      </c>
      <c r="K1702" s="1354"/>
      <c r="L1702" s="1994" t="str">
        <f>'Прайс лист'!B1673</f>
        <v>монтаж ветроизоляции стен</v>
      </c>
      <c r="M1702" s="1853"/>
      <c r="N1702" s="1353">
        <f>C1685*D1677</f>
        <v>0</v>
      </c>
      <c r="O1702" s="1353">
        <f>'Прайс лист'!G1673</f>
        <v>100</v>
      </c>
      <c r="P1702" s="1353"/>
      <c r="Q1702" s="1353"/>
      <c r="R1702" s="1353"/>
      <c r="S1702" s="1353">
        <f t="shared" si="201"/>
        <v>0</v>
      </c>
      <c r="T1702" s="1354"/>
      <c r="U1702" s="1354"/>
      <c r="V1702" s="1354"/>
      <c r="W1702" s="1354"/>
      <c r="X1702" s="1354"/>
      <c r="Y1702" s="1354"/>
    </row>
    <row r="1703" spans="1:25" ht="15.75" customHeight="1" outlineLevel="1">
      <c r="A1703" s="1839" t="str">
        <f t="shared" si="202"/>
        <v>Перемычка оконная, 1-ый эт. Вариант 4</v>
      </c>
      <c r="B1703" s="1696" t="str">
        <f t="shared" si="202"/>
        <v>м.п.</v>
      </c>
      <c r="C1703" s="1839">
        <f t="shared" si="202"/>
        <v>0</v>
      </c>
      <c r="D1703" s="1055">
        <f>'Ввод данных'!$C$1089</f>
        <v>0.4</v>
      </c>
      <c r="E1703" s="1055">
        <f t="shared" si="203"/>
        <v>1</v>
      </c>
      <c r="F1703" s="1055">
        <f t="shared" si="203"/>
        <v>100</v>
      </c>
      <c r="G1703" s="1055">
        <f t="shared" si="203"/>
        <v>0</v>
      </c>
      <c r="H1703" s="1055"/>
      <c r="I1703" s="1839">
        <f t="shared" si="204"/>
        <v>1000</v>
      </c>
      <c r="J1703" s="1353">
        <f t="shared" si="200"/>
        <v>0</v>
      </c>
      <c r="K1703" s="1354"/>
      <c r="L1703" s="1632" t="str">
        <f>'Прайс лист'!B1684</f>
        <v>изготовление и монтаж перемычек для окон и дверей</v>
      </c>
      <c r="M1703" s="1853"/>
      <c r="N1703" s="1353">
        <f>SUM(C1700:C1726)</f>
        <v>1</v>
      </c>
      <c r="O1703" s="1353">
        <f>'Прайс лист'!G1684</f>
        <v>500</v>
      </c>
      <c r="P1703" s="1353"/>
      <c r="Q1703" s="1353"/>
      <c r="R1703" s="1353"/>
      <c r="S1703" s="1353">
        <f t="shared" si="201"/>
        <v>500</v>
      </c>
      <c r="T1703" s="1354"/>
      <c r="U1703" s="1354"/>
      <c r="V1703" s="1354"/>
      <c r="W1703" s="1354"/>
      <c r="X1703" s="1354"/>
      <c r="Y1703" s="1354"/>
    </row>
    <row r="1704" spans="1:25" ht="15.75" customHeight="1" outlineLevel="1">
      <c r="A1704" s="1839" t="str">
        <f t="shared" si="202"/>
        <v>Перемычка оконная, 1-ый эт. Вариант 5</v>
      </c>
      <c r="B1704" s="1696" t="str">
        <f t="shared" si="202"/>
        <v>м.п.</v>
      </c>
      <c r="C1704" s="1839">
        <f t="shared" si="202"/>
        <v>0</v>
      </c>
      <c r="D1704" s="1055">
        <f>'Ввод данных'!$C$1089</f>
        <v>0.4</v>
      </c>
      <c r="E1704" s="1055">
        <f t="shared" si="203"/>
        <v>0.9</v>
      </c>
      <c r="F1704" s="1055">
        <f t="shared" si="203"/>
        <v>100</v>
      </c>
      <c r="G1704" s="1055">
        <f t="shared" si="203"/>
        <v>0</v>
      </c>
      <c r="H1704" s="1055"/>
      <c r="I1704" s="1839">
        <f t="shared" si="204"/>
        <v>1000</v>
      </c>
      <c r="J1704" s="1353">
        <f t="shared" si="200"/>
        <v>0</v>
      </c>
      <c r="K1704" s="1354"/>
      <c r="L1704" s="1055" t="str">
        <f>'Прайс лист'!B1635</f>
        <v>кладка сетки</v>
      </c>
      <c r="M1704" s="1853"/>
      <c r="N1704" s="1353">
        <f>C1736</f>
        <v>110.88000000000001</v>
      </c>
      <c r="O1704" s="1632">
        <f>'Прайс лист'!G1635</f>
        <v>100</v>
      </c>
      <c r="P1704" s="1353"/>
      <c r="Q1704" s="1353"/>
      <c r="R1704" s="1353"/>
      <c r="S1704" s="1353">
        <f t="shared" si="201"/>
        <v>11088.000000000002</v>
      </c>
      <c r="T1704" s="1354"/>
      <c r="U1704" s="1354"/>
      <c r="V1704" s="1354"/>
      <c r="W1704" s="1354"/>
      <c r="X1704" s="1354"/>
      <c r="Y1704" s="1354"/>
    </row>
    <row r="1705" spans="1:25" ht="15.75" customHeight="1" outlineLevel="1">
      <c r="A1705" s="1839" t="str">
        <f t="shared" si="202"/>
        <v>Перемычка оконная, 2-ый эт. Вариант 6</v>
      </c>
      <c r="B1705" s="1696" t="str">
        <f t="shared" si="202"/>
        <v>м.п.</v>
      </c>
      <c r="C1705" s="1839">
        <f t="shared" si="202"/>
        <v>0</v>
      </c>
      <c r="D1705" s="1055">
        <f>'Ввод данных'!$C$1089</f>
        <v>0.4</v>
      </c>
      <c r="E1705" s="1055">
        <f t="shared" si="203"/>
        <v>1</v>
      </c>
      <c r="F1705" s="1055">
        <f t="shared" si="203"/>
        <v>100</v>
      </c>
      <c r="G1705" s="1055">
        <f t="shared" si="203"/>
        <v>0</v>
      </c>
      <c r="H1705" s="1055"/>
      <c r="I1705" s="1839">
        <f t="shared" si="204"/>
        <v>1000</v>
      </c>
      <c r="J1705" s="1353">
        <f t="shared" si="200"/>
        <v>0</v>
      </c>
      <c r="K1705" s="1354"/>
      <c r="L1705" s="1279" t="str">
        <f>'Прайс лист'!B1685</f>
        <v>Замешивание раствора</v>
      </c>
      <c r="M1705" s="1199"/>
      <c r="N1705" s="1197">
        <f>(C1697+C1698+C1699)*0.3*0.7</f>
        <v>12.293820000000002</v>
      </c>
      <c r="O1705" s="1197">
        <f>'Прайс лист'!G1685</f>
        <v>1500</v>
      </c>
      <c r="S1705" s="1353">
        <f t="shared" si="201"/>
        <v>18440.730000000003</v>
      </c>
      <c r="T1705" s="1354"/>
      <c r="U1705" s="1354"/>
      <c r="V1705" s="1354"/>
      <c r="W1705" s="1354"/>
      <c r="X1705" s="1354"/>
      <c r="Y1705" s="1354"/>
    </row>
    <row r="1706" spans="1:25" ht="15.75" customHeight="1" outlineLevel="1">
      <c r="A1706" s="1839" t="str">
        <f t="shared" si="202"/>
        <v>Перемычка оконная, 2-ый эт. Вариант 7</v>
      </c>
      <c r="B1706" s="1696" t="str">
        <f t="shared" si="202"/>
        <v>м.п.</v>
      </c>
      <c r="C1706" s="1839">
        <f t="shared" si="202"/>
        <v>0</v>
      </c>
      <c r="D1706" s="1055">
        <f>'Ввод данных'!$C$1089</f>
        <v>0.4</v>
      </c>
      <c r="E1706" s="1055">
        <f t="shared" si="203"/>
        <v>1.2000000000000002</v>
      </c>
      <c r="F1706" s="1055">
        <f t="shared" si="203"/>
        <v>100</v>
      </c>
      <c r="G1706" s="1055">
        <f t="shared" si="203"/>
        <v>0</v>
      </c>
      <c r="H1706" s="1055"/>
      <c r="I1706" s="1839">
        <f t="shared" si="204"/>
        <v>1000</v>
      </c>
      <c r="J1706" s="1353">
        <f t="shared" si="200"/>
        <v>0</v>
      </c>
      <c r="K1706" s="1354"/>
      <c r="L1706" s="1279" t="str">
        <f>'Прайс лист'!B1687</f>
        <v>Установка опалубки для сейсмопояса</v>
      </c>
      <c r="M1706" s="1853"/>
      <c r="N1706" s="1353">
        <f>J47</f>
        <v>40</v>
      </c>
      <c r="O1706" s="1353">
        <f>'Прайс лист'!G1687</f>
        <v>300</v>
      </c>
      <c r="P1706" s="1353"/>
      <c r="Q1706" s="1353"/>
      <c r="R1706" s="1353"/>
      <c r="S1706" s="1353">
        <f t="shared" si="201"/>
        <v>12000</v>
      </c>
      <c r="T1706" s="1354"/>
      <c r="U1706" s="1354"/>
      <c r="V1706" s="1354"/>
      <c r="W1706" s="1354"/>
      <c r="X1706" s="1354"/>
      <c r="Y1706" s="1354"/>
    </row>
    <row r="1707" spans="1:25" ht="15.75" customHeight="1" outlineLevel="1">
      <c r="A1707" s="1839" t="str">
        <f t="shared" si="202"/>
        <v>Перемычка оконная, 2-ый эт. Вариант 8</v>
      </c>
      <c r="B1707" s="1696" t="str">
        <f t="shared" si="202"/>
        <v>м.п.</v>
      </c>
      <c r="C1707" s="1839">
        <f t="shared" si="202"/>
        <v>0</v>
      </c>
      <c r="D1707" s="1055">
        <f>'Ввод данных'!$C$1089</f>
        <v>0.4</v>
      </c>
      <c r="E1707" s="1055">
        <f t="shared" si="203"/>
        <v>1.4</v>
      </c>
      <c r="F1707" s="1055">
        <f t="shared" si="203"/>
        <v>100</v>
      </c>
      <c r="G1707" s="1055">
        <f t="shared" si="203"/>
        <v>0</v>
      </c>
      <c r="H1707" s="1055"/>
      <c r="I1707" s="1839">
        <f t="shared" si="204"/>
        <v>1000</v>
      </c>
      <c r="J1707" s="1353">
        <f t="shared" si="200"/>
        <v>0</v>
      </c>
      <c r="K1707" s="1354"/>
      <c r="L1707" s="1948" t="str">
        <f>'Прайс лист'!B1690</f>
        <v>утепление стен снаружи дома</v>
      </c>
      <c r="M1707" s="1853"/>
      <c r="N1707" s="1353">
        <f>C1685</f>
        <v>118.8</v>
      </c>
      <c r="O1707" s="1353">
        <f>P1621</f>
        <v>350</v>
      </c>
      <c r="P1707" s="1353"/>
      <c r="Q1707" s="1353"/>
      <c r="R1707" s="1353"/>
      <c r="S1707" s="1353">
        <f t="shared" si="201"/>
        <v>41580</v>
      </c>
      <c r="T1707" s="1354"/>
      <c r="U1707" s="1354"/>
      <c r="V1707" s="1354"/>
      <c r="W1707" s="1354"/>
      <c r="X1707" s="1354"/>
      <c r="Y1707" s="1354"/>
    </row>
    <row r="1708" spans="1:25" ht="15.75" customHeight="1" outlineLevel="1">
      <c r="A1708" s="1839" t="str">
        <f t="shared" si="202"/>
        <v>Перемычка оконная, 2-ый эт. Вариант 9</v>
      </c>
      <c r="B1708" s="1696" t="str">
        <f t="shared" si="202"/>
        <v>м.п.</v>
      </c>
      <c r="C1708" s="1839">
        <f t="shared" si="202"/>
        <v>0</v>
      </c>
      <c r="D1708" s="1055">
        <f>'Ввод данных'!$C$1089</f>
        <v>0.4</v>
      </c>
      <c r="E1708" s="1055">
        <f t="shared" si="203"/>
        <v>5.4</v>
      </c>
      <c r="F1708" s="1055">
        <f t="shared" si="203"/>
        <v>100</v>
      </c>
      <c r="G1708" s="1055">
        <f t="shared" si="203"/>
        <v>0</v>
      </c>
      <c r="H1708" s="1055"/>
      <c r="I1708" s="1839">
        <f t="shared" si="204"/>
        <v>1000</v>
      </c>
      <c r="J1708" s="1353">
        <f t="shared" si="200"/>
        <v>0</v>
      </c>
      <c r="K1708" s="1354"/>
      <c r="L1708" s="1948"/>
      <c r="M1708" s="1853"/>
      <c r="N1708" s="1353"/>
      <c r="O1708" s="1353"/>
      <c r="P1708" s="1353"/>
      <c r="Q1708" s="1353"/>
      <c r="R1708" s="1353"/>
      <c r="S1708" s="1353"/>
      <c r="T1708" s="1354"/>
      <c r="U1708" s="1354"/>
      <c r="V1708" s="1354"/>
      <c r="W1708" s="1354"/>
      <c r="X1708" s="1354"/>
      <c r="Y1708" s="1354"/>
    </row>
    <row r="1709" spans="1:25" ht="15.75" customHeight="1" outlineLevel="1">
      <c r="A1709" s="1839" t="str">
        <f t="shared" si="202"/>
        <v>Перемычка оконная, 2-ый эт. Вариант 10</v>
      </c>
      <c r="B1709" s="1696" t="str">
        <f t="shared" si="202"/>
        <v>м.п.</v>
      </c>
      <c r="C1709" s="1839">
        <f t="shared" si="202"/>
        <v>0</v>
      </c>
      <c r="D1709" s="1055">
        <f>'Ввод данных'!$C$1089</f>
        <v>0.4</v>
      </c>
      <c r="E1709" s="1055">
        <f t="shared" si="203"/>
        <v>6.4</v>
      </c>
      <c r="F1709" s="1055">
        <f t="shared" si="203"/>
        <v>100</v>
      </c>
      <c r="G1709" s="1055">
        <f t="shared" si="203"/>
        <v>0</v>
      </c>
      <c r="H1709" s="1055"/>
      <c r="I1709" s="1839">
        <f t="shared" si="204"/>
        <v>1000</v>
      </c>
      <c r="J1709" s="1353">
        <f t="shared" si="200"/>
        <v>0</v>
      </c>
      <c r="K1709" s="1354"/>
      <c r="L1709" s="1279"/>
      <c r="M1709" s="1853"/>
      <c r="N1709" s="1353"/>
      <c r="O1709" s="1353"/>
      <c r="P1709" s="1353"/>
      <c r="Q1709" s="1353"/>
      <c r="R1709" s="1353"/>
      <c r="S1709" s="1353"/>
      <c r="T1709" s="1354"/>
      <c r="U1709" s="1354"/>
      <c r="V1709" s="1354"/>
      <c r="W1709" s="1354"/>
      <c r="X1709" s="1354"/>
      <c r="Y1709" s="1354"/>
    </row>
    <row r="1710" spans="1:25" ht="15.75" customHeight="1" outlineLevel="1">
      <c r="A1710" s="1839" t="str">
        <f t="shared" si="202"/>
        <v>Перемычка дверная, 1-ый эт. Вариант 1</v>
      </c>
      <c r="B1710" s="1696" t="str">
        <f t="shared" si="202"/>
        <v>м.п.</v>
      </c>
      <c r="C1710" s="1839">
        <f t="shared" si="202"/>
        <v>0</v>
      </c>
      <c r="D1710" s="1055">
        <f>'Ввод данных'!$C$1089</f>
        <v>0.4</v>
      </c>
      <c r="E1710" s="1055">
        <f t="shared" si="203"/>
        <v>1.2000000000000002</v>
      </c>
      <c r="F1710" s="1055">
        <f t="shared" si="203"/>
        <v>200</v>
      </c>
      <c r="G1710" s="1055">
        <f t="shared" si="203"/>
        <v>0</v>
      </c>
      <c r="H1710" s="1055"/>
      <c r="I1710" s="1839">
        <f t="shared" si="204"/>
        <v>1000</v>
      </c>
      <c r="J1710" s="1353">
        <f t="shared" si="200"/>
        <v>0</v>
      </c>
      <c r="K1710" s="1354"/>
      <c r="L1710" s="1944"/>
      <c r="M1710" s="1853"/>
      <c r="N1710" s="1353"/>
      <c r="O1710" s="1353"/>
      <c r="P1710" s="1353"/>
      <c r="Q1710" s="1353"/>
      <c r="R1710" s="1353"/>
      <c r="S1710" s="1353"/>
      <c r="T1710" s="1354"/>
      <c r="U1710" s="1354"/>
      <c r="V1710" s="1354"/>
      <c r="W1710" s="1354"/>
      <c r="X1710" s="1354"/>
      <c r="Y1710" s="1354"/>
    </row>
    <row r="1711" spans="1:25" ht="15.75" customHeight="1" outlineLevel="1">
      <c r="A1711" s="1839" t="str">
        <f t="shared" si="202"/>
        <v>Перемычка дверная, 2-ый эт. Вариант 2</v>
      </c>
      <c r="B1711" s="1696" t="str">
        <f t="shared" si="202"/>
        <v>м.п.</v>
      </c>
      <c r="C1711" s="1839">
        <f t="shared" si="202"/>
        <v>0</v>
      </c>
      <c r="D1711" s="1055">
        <f>'Ввод данных'!$C$1089</f>
        <v>0.4</v>
      </c>
      <c r="E1711" s="1055">
        <f t="shared" si="203"/>
        <v>1.2000000000000002</v>
      </c>
      <c r="F1711" s="1055">
        <f t="shared" si="203"/>
        <v>200</v>
      </c>
      <c r="G1711" s="1055">
        <f t="shared" si="203"/>
        <v>0</v>
      </c>
      <c r="H1711" s="1055"/>
      <c r="I1711" s="1839">
        <f t="shared" si="204"/>
        <v>1000</v>
      </c>
      <c r="J1711" s="1353">
        <f t="shared" si="200"/>
        <v>0</v>
      </c>
      <c r="K1711" s="1354"/>
      <c r="L1711" s="1055"/>
      <c r="M1711" s="1853"/>
      <c r="N1711" s="1353"/>
      <c r="O1711" s="1353"/>
      <c r="P1711" s="1353"/>
      <c r="Q1711" s="1353"/>
      <c r="R1711" s="1353"/>
      <c r="S1711" s="1353"/>
      <c r="T1711" s="1354"/>
      <c r="U1711" s="1354"/>
      <c r="V1711" s="1354"/>
      <c r="W1711" s="1354"/>
      <c r="X1711" s="1354"/>
      <c r="Y1711" s="1354"/>
    </row>
    <row r="1712" spans="1:25" ht="15.75" customHeight="1" outlineLevel="1">
      <c r="A1712" s="1839" t="str">
        <f t="shared" si="202"/>
        <v>Перемычка оконная 1-ый эт, Вариант 11</v>
      </c>
      <c r="B1712" s="1696" t="str">
        <f t="shared" si="202"/>
        <v>м.п.</v>
      </c>
      <c r="C1712" s="1839">
        <f t="shared" si="202"/>
        <v>0</v>
      </c>
      <c r="D1712" s="1055">
        <f>'Ввод данных'!$C$1089</f>
        <v>0.4</v>
      </c>
      <c r="E1712" s="1055">
        <f t="shared" si="203"/>
        <v>2.4</v>
      </c>
      <c r="F1712" s="1055">
        <f t="shared" si="203"/>
        <v>200</v>
      </c>
      <c r="G1712" s="1055">
        <f t="shared" si="203"/>
        <v>0</v>
      </c>
      <c r="H1712" s="1055"/>
      <c r="I1712" s="1839">
        <f t="shared" si="204"/>
        <v>1000</v>
      </c>
      <c r="J1712" s="1353">
        <f t="shared" si="200"/>
        <v>0</v>
      </c>
      <c r="K1712" s="1354"/>
      <c r="L1712" s="1055"/>
      <c r="M1712" s="1853"/>
      <c r="N1712" s="1353"/>
      <c r="O1712" s="1353"/>
      <c r="P1712" s="1353"/>
      <c r="Q1712" s="1353"/>
      <c r="R1712" s="1353"/>
      <c r="S1712" s="1353"/>
      <c r="T1712" s="1354"/>
      <c r="U1712" s="1354"/>
      <c r="V1712" s="1354"/>
      <c r="W1712" s="1354"/>
      <c r="X1712" s="1354"/>
      <c r="Y1712" s="1354"/>
    </row>
    <row r="1713" spans="1:25" ht="15.75" customHeight="1" outlineLevel="1">
      <c r="A1713" s="1839" t="str">
        <f t="shared" si="202"/>
        <v>Перемычка оконная 1-ый эт, Вариант 12</v>
      </c>
      <c r="B1713" s="1696" t="str">
        <f t="shared" si="202"/>
        <v>м.п.</v>
      </c>
      <c r="C1713" s="1839">
        <f t="shared" si="202"/>
        <v>0</v>
      </c>
      <c r="D1713" s="1055">
        <f>'Ввод данных'!$C$1089</f>
        <v>0.4</v>
      </c>
      <c r="E1713" s="1055">
        <f t="shared" si="203"/>
        <v>0.4</v>
      </c>
      <c r="F1713" s="1055">
        <f t="shared" si="203"/>
        <v>200</v>
      </c>
      <c r="G1713" s="1055">
        <f t="shared" si="203"/>
        <v>0</v>
      </c>
      <c r="H1713" s="1055"/>
      <c r="I1713" s="1839">
        <f t="shared" si="204"/>
        <v>1000</v>
      </c>
      <c r="J1713" s="1353">
        <f t="shared" si="200"/>
        <v>0</v>
      </c>
      <c r="K1713" s="1354"/>
      <c r="L1713" s="1353"/>
      <c r="M1713" s="1853"/>
      <c r="N1713" s="1353"/>
      <c r="O1713" s="1353"/>
      <c r="P1713" s="1353"/>
      <c r="Q1713" s="1353"/>
      <c r="R1713" s="1353"/>
      <c r="S1713" s="1353"/>
      <c r="T1713" s="1354"/>
      <c r="U1713" s="1354"/>
      <c r="V1713" s="1354"/>
      <c r="W1713" s="1354"/>
      <c r="X1713" s="1354"/>
      <c r="Y1713" s="1354"/>
    </row>
    <row r="1714" spans="1:25" ht="15.75" customHeight="1" outlineLevel="1">
      <c r="A1714" s="1839" t="str">
        <f t="shared" si="202"/>
        <v>Перемычка дверная, 1-ый эт. Вариант 4</v>
      </c>
      <c r="B1714" s="1696" t="str">
        <f t="shared" si="202"/>
        <v>м.п.</v>
      </c>
      <c r="C1714" s="1839">
        <f t="shared" si="202"/>
        <v>0</v>
      </c>
      <c r="D1714" s="1055">
        <f>'Ввод данных'!$C$1091</f>
        <v>0.3</v>
      </c>
      <c r="E1714" s="1055">
        <f t="shared" si="203"/>
        <v>1.2000000000000002</v>
      </c>
      <c r="F1714" s="1055">
        <f t="shared" si="203"/>
        <v>200</v>
      </c>
      <c r="G1714" s="1055">
        <f t="shared" si="203"/>
        <v>0</v>
      </c>
      <c r="H1714" s="1055"/>
      <c r="I1714" s="1839">
        <f t="shared" si="204"/>
        <v>1000</v>
      </c>
      <c r="J1714" s="1353">
        <f t="shared" si="200"/>
        <v>0</v>
      </c>
      <c r="K1714" s="1354"/>
      <c r="L1714" s="1353"/>
      <c r="M1714" s="1853"/>
      <c r="N1714" s="1353"/>
      <c r="O1714" s="1353"/>
      <c r="P1714" s="1353"/>
      <c r="Q1714" s="1353"/>
      <c r="R1714" s="1353"/>
      <c r="S1714" s="1353"/>
      <c r="T1714" s="1354"/>
      <c r="U1714" s="1354"/>
      <c r="V1714" s="1354"/>
      <c r="W1714" s="1354"/>
      <c r="X1714" s="1354"/>
      <c r="Y1714" s="1354"/>
    </row>
    <row r="1715" spans="1:25" ht="15.75" customHeight="1" outlineLevel="1">
      <c r="A1715" s="1839" t="str">
        <f t="shared" si="202"/>
        <v>Перемычка дверная, 1-ый эт. Вариант 5</v>
      </c>
      <c r="B1715" s="1696" t="str">
        <f t="shared" si="202"/>
        <v>м.п.</v>
      </c>
      <c r="C1715" s="1839">
        <f t="shared" si="202"/>
        <v>0</v>
      </c>
      <c r="D1715" s="1055">
        <f>'Ввод данных'!$C$1091</f>
        <v>0.3</v>
      </c>
      <c r="E1715" s="1055">
        <f t="shared" si="203"/>
        <v>1</v>
      </c>
      <c r="F1715" s="1055">
        <f t="shared" si="203"/>
        <v>200</v>
      </c>
      <c r="G1715" s="1055">
        <f t="shared" si="203"/>
        <v>0</v>
      </c>
      <c r="H1715" s="1055"/>
      <c r="I1715" s="1839">
        <f t="shared" si="204"/>
        <v>1000</v>
      </c>
      <c r="J1715" s="1353">
        <f t="shared" si="200"/>
        <v>0</v>
      </c>
      <c r="K1715" s="1354"/>
      <c r="L1715" s="1353"/>
      <c r="M1715" s="1853"/>
      <c r="N1715" s="1353"/>
      <c r="O1715" s="1353"/>
      <c r="P1715" s="1353"/>
      <c r="Q1715" s="1353"/>
      <c r="R1715" s="1353"/>
      <c r="S1715" s="1353"/>
      <c r="T1715" s="1354"/>
      <c r="U1715" s="1354"/>
      <c r="V1715" s="1354"/>
      <c r="W1715" s="1354"/>
      <c r="X1715" s="1354"/>
      <c r="Y1715" s="1354"/>
    </row>
    <row r="1716" spans="1:25" ht="15.75" customHeight="1" outlineLevel="1">
      <c r="A1716" s="1839" t="str">
        <f t="shared" si="202"/>
        <v>Перемычка дверная, 1-ый эт. Вариант 6</v>
      </c>
      <c r="B1716" s="1696" t="str">
        <f t="shared" si="202"/>
        <v>м.п.</v>
      </c>
      <c r="C1716" s="1839">
        <f t="shared" si="202"/>
        <v>0</v>
      </c>
      <c r="D1716" s="1055">
        <f>'Ввод данных'!$C$1091</f>
        <v>0.3</v>
      </c>
      <c r="E1716" s="1055">
        <f t="shared" si="203"/>
        <v>1.3</v>
      </c>
      <c r="F1716" s="1055">
        <f t="shared" si="203"/>
        <v>200</v>
      </c>
      <c r="G1716" s="1055">
        <f t="shared" si="203"/>
        <v>0</v>
      </c>
      <c r="H1716" s="1055"/>
      <c r="I1716" s="1839">
        <f t="shared" si="204"/>
        <v>1000</v>
      </c>
      <c r="J1716" s="1353">
        <f t="shared" si="200"/>
        <v>0</v>
      </c>
      <c r="K1716" s="1354"/>
      <c r="L1716" s="1353"/>
      <c r="M1716" s="1853"/>
      <c r="N1716" s="1353"/>
      <c r="O1716" s="1353"/>
      <c r="P1716" s="1353"/>
      <c r="Q1716" s="1353"/>
      <c r="R1716" s="1353"/>
      <c r="S1716" s="1353"/>
      <c r="T1716" s="1354"/>
      <c r="U1716" s="1354"/>
      <c r="V1716" s="1354"/>
      <c r="W1716" s="1354"/>
      <c r="X1716" s="1354"/>
      <c r="Y1716" s="1354"/>
    </row>
    <row r="1717" spans="1:25" ht="15.75" customHeight="1" outlineLevel="1">
      <c r="A1717" s="1839" t="str">
        <f t="shared" si="202"/>
        <v>Перемычка дверная, 2-ый эт. Вариант 7</v>
      </c>
      <c r="B1717" s="1696" t="str">
        <f t="shared" si="202"/>
        <v>м.п.</v>
      </c>
      <c r="C1717" s="1839">
        <f t="shared" si="202"/>
        <v>0</v>
      </c>
      <c r="D1717" s="1055">
        <f>'Ввод данных'!$C$1091</f>
        <v>0.3</v>
      </c>
      <c r="E1717" s="1055">
        <f t="shared" si="203"/>
        <v>1.2000000000000002</v>
      </c>
      <c r="F1717" s="1055">
        <f t="shared" si="203"/>
        <v>200</v>
      </c>
      <c r="G1717" s="1055">
        <f t="shared" si="203"/>
        <v>0</v>
      </c>
      <c r="H1717" s="1055"/>
      <c r="I1717" s="1839">
        <f t="shared" si="204"/>
        <v>1000</v>
      </c>
      <c r="J1717" s="1353">
        <f t="shared" si="200"/>
        <v>0</v>
      </c>
      <c r="K1717" s="1354"/>
      <c r="L1717" s="1353"/>
      <c r="M1717" s="1853"/>
      <c r="N1717" s="1353"/>
      <c r="O1717" s="1353"/>
      <c r="P1717" s="1353"/>
      <c r="Q1717" s="1353"/>
      <c r="R1717" s="1353"/>
      <c r="S1717" s="1353"/>
      <c r="T1717" s="1354"/>
      <c r="U1717" s="1354"/>
      <c r="V1717" s="1354"/>
      <c r="W1717" s="1354"/>
      <c r="X1717" s="1354"/>
      <c r="Y1717" s="1354"/>
    </row>
    <row r="1718" spans="1:25" ht="15.75" customHeight="1" outlineLevel="1">
      <c r="A1718" s="1839" t="str">
        <f t="shared" si="202"/>
        <v>Перемычка дверная, 2-ый эт. Вариант 8</v>
      </c>
      <c r="B1718" s="1696" t="str">
        <f t="shared" si="202"/>
        <v>м.п.</v>
      </c>
      <c r="C1718" s="1839">
        <f t="shared" si="202"/>
        <v>0</v>
      </c>
      <c r="D1718" s="1055">
        <f>'Ввод данных'!$C$1091</f>
        <v>0.3</v>
      </c>
      <c r="E1718" s="1055">
        <f t="shared" si="203"/>
        <v>1.4</v>
      </c>
      <c r="F1718" s="1055">
        <f t="shared" si="203"/>
        <v>200</v>
      </c>
      <c r="G1718" s="1055">
        <f t="shared" si="203"/>
        <v>0</v>
      </c>
      <c r="H1718" s="1055"/>
      <c r="I1718" s="1839">
        <f t="shared" si="204"/>
        <v>1000</v>
      </c>
      <c r="J1718" s="1353">
        <f t="shared" si="200"/>
        <v>0</v>
      </c>
      <c r="K1718" s="1354"/>
      <c r="L1718" s="1353"/>
      <c r="M1718" s="1853"/>
      <c r="N1718" s="1353"/>
      <c r="O1718" s="1353"/>
      <c r="P1718" s="1353"/>
      <c r="Q1718" s="1353"/>
      <c r="R1718" s="1353"/>
      <c r="S1718" s="1353"/>
      <c r="T1718" s="1354"/>
      <c r="U1718" s="1354"/>
      <c r="V1718" s="1354"/>
      <c r="W1718" s="1354"/>
      <c r="X1718" s="1354"/>
      <c r="Y1718" s="1354"/>
    </row>
    <row r="1719" spans="1:25" ht="15.75" customHeight="1" outlineLevel="1">
      <c r="A1719" s="1839" t="str">
        <f t="shared" si="202"/>
        <v>Перемычка дверная, 2-ый эт. Вариант 9</v>
      </c>
      <c r="B1719" s="1696" t="str">
        <f t="shared" si="202"/>
        <v>м.п.</v>
      </c>
      <c r="C1719" s="1839">
        <f t="shared" si="202"/>
        <v>0</v>
      </c>
      <c r="D1719" s="1055">
        <f>'Ввод данных'!$C$1091</f>
        <v>0.3</v>
      </c>
      <c r="E1719" s="1055">
        <f t="shared" si="203"/>
        <v>1.4</v>
      </c>
      <c r="F1719" s="1055">
        <f t="shared" si="203"/>
        <v>200</v>
      </c>
      <c r="G1719" s="1055">
        <f t="shared" si="203"/>
        <v>0</v>
      </c>
      <c r="H1719" s="1055"/>
      <c r="I1719" s="1839">
        <f t="shared" si="204"/>
        <v>1000</v>
      </c>
      <c r="J1719" s="1353">
        <f t="shared" si="200"/>
        <v>0</v>
      </c>
      <c r="K1719" s="1354"/>
      <c r="L1719" s="1353"/>
      <c r="M1719" s="1853"/>
      <c r="N1719" s="1353"/>
      <c r="O1719" s="1353"/>
      <c r="P1719" s="1353"/>
      <c r="Q1719" s="1353"/>
      <c r="R1719" s="1353"/>
      <c r="S1719" s="1353"/>
      <c r="T1719" s="1354"/>
      <c r="U1719" s="1354"/>
      <c r="V1719" s="1354"/>
      <c r="W1719" s="1354"/>
      <c r="X1719" s="1354"/>
      <c r="Y1719" s="1354"/>
    </row>
    <row r="1720" spans="1:25" ht="15.75" customHeight="1" outlineLevel="1">
      <c r="A1720" s="1839" t="str">
        <f t="shared" si="202"/>
        <v>Перемычка проема, 1-ый эт. Вариант 10</v>
      </c>
      <c r="B1720" s="1696" t="str">
        <f t="shared" si="202"/>
        <v>м.п.</v>
      </c>
      <c r="C1720" s="1839">
        <f t="shared" si="202"/>
        <v>0</v>
      </c>
      <c r="D1720" s="1055">
        <f>'Ввод данных'!$C$1091</f>
        <v>0.3</v>
      </c>
      <c r="E1720" s="1055">
        <f t="shared" si="203"/>
        <v>2.4</v>
      </c>
      <c r="F1720" s="1055">
        <f t="shared" si="203"/>
        <v>200</v>
      </c>
      <c r="G1720" s="1055">
        <f t="shared" si="203"/>
        <v>0</v>
      </c>
      <c r="H1720" s="1055"/>
      <c r="I1720" s="1839">
        <f t="shared" si="204"/>
        <v>1000</v>
      </c>
      <c r="J1720" s="1353">
        <f t="shared" si="200"/>
        <v>0</v>
      </c>
      <c r="K1720" s="1354"/>
      <c r="L1720" s="1353"/>
      <c r="M1720" s="1853"/>
      <c r="N1720" s="1353"/>
      <c r="O1720" s="1353"/>
      <c r="P1720" s="1353"/>
      <c r="Q1720" s="1353"/>
      <c r="R1720" s="1353"/>
      <c r="S1720" s="1353"/>
      <c r="T1720" s="1354"/>
      <c r="U1720" s="1354"/>
      <c r="V1720" s="1354"/>
      <c r="W1720" s="1354"/>
      <c r="X1720" s="1354"/>
      <c r="Y1720" s="1354"/>
    </row>
    <row r="1721" spans="1:25" ht="15.75" customHeight="1" outlineLevel="1">
      <c r="A1721" s="1839" t="str">
        <f t="shared" si="202"/>
        <v>Перемычка проема, 1-ый эт. Вариант 11</v>
      </c>
      <c r="B1721" s="1696" t="str">
        <f t="shared" si="202"/>
        <v>м.п.</v>
      </c>
      <c r="C1721" s="1839">
        <f t="shared" si="202"/>
        <v>0</v>
      </c>
      <c r="D1721" s="1055">
        <f>'Ввод данных'!$C$1091</f>
        <v>0.3</v>
      </c>
      <c r="E1721" s="1055">
        <f t="shared" si="203"/>
        <v>1.7999999999999998</v>
      </c>
      <c r="F1721" s="1055">
        <f t="shared" si="203"/>
        <v>200</v>
      </c>
      <c r="G1721" s="1055">
        <f t="shared" si="203"/>
        <v>0</v>
      </c>
      <c r="H1721" s="1055"/>
      <c r="I1721" s="1839">
        <f t="shared" si="204"/>
        <v>1000</v>
      </c>
      <c r="J1721" s="1353">
        <f t="shared" si="200"/>
        <v>0</v>
      </c>
      <c r="K1721" s="1354"/>
      <c r="L1721" s="1353"/>
      <c r="M1721" s="1853"/>
      <c r="N1721" s="1353"/>
      <c r="O1721" s="1353"/>
      <c r="P1721" s="1353"/>
      <c r="Q1721" s="1353"/>
      <c r="R1721" s="1353"/>
      <c r="S1721" s="1353"/>
      <c r="T1721" s="1354"/>
      <c r="U1721" s="1354"/>
      <c r="V1721" s="1354"/>
      <c r="W1721" s="1354"/>
      <c r="X1721" s="1354"/>
      <c r="Y1721" s="1354"/>
    </row>
    <row r="1722" spans="1:25" ht="15.75" customHeight="1" outlineLevel="1">
      <c r="A1722" s="1839" t="str">
        <f t="shared" si="202"/>
        <v>Перемычка проема, 2-ый эт. Вариант 12</v>
      </c>
      <c r="B1722" s="1696" t="str">
        <f t="shared" si="202"/>
        <v>м.п.</v>
      </c>
      <c r="C1722" s="1839">
        <f t="shared" si="202"/>
        <v>0</v>
      </c>
      <c r="D1722" s="1055">
        <f>'Ввод данных'!$C$1091</f>
        <v>0.3</v>
      </c>
      <c r="E1722" s="1055">
        <f t="shared" si="203"/>
        <v>2.4</v>
      </c>
      <c r="F1722" s="1055">
        <f t="shared" si="203"/>
        <v>200</v>
      </c>
      <c r="G1722" s="1055">
        <f t="shared" si="203"/>
        <v>0</v>
      </c>
      <c r="H1722" s="1055"/>
      <c r="I1722" s="1839">
        <f t="shared" si="204"/>
        <v>1000</v>
      </c>
      <c r="J1722" s="1353">
        <f t="shared" si="200"/>
        <v>0</v>
      </c>
      <c r="K1722" s="1354"/>
      <c r="L1722" s="1353"/>
      <c r="M1722" s="1853"/>
      <c r="N1722" s="1353"/>
      <c r="O1722" s="1353"/>
      <c r="P1722" s="1353"/>
      <c r="Q1722" s="1353"/>
      <c r="R1722" s="1353"/>
      <c r="S1722" s="1353"/>
      <c r="T1722" s="1354"/>
      <c r="U1722" s="1354"/>
      <c r="V1722" s="1354"/>
      <c r="W1722" s="1354"/>
      <c r="X1722" s="1354"/>
      <c r="Y1722" s="1354"/>
    </row>
    <row r="1723" spans="1:25" ht="15.75" customHeight="1" outlineLevel="1">
      <c r="A1723" s="1839" t="str">
        <f t="shared" si="202"/>
        <v>Перемычка проема, 2-ый эт. Вариант 13</v>
      </c>
      <c r="B1723" s="1696" t="str">
        <f t="shared" si="202"/>
        <v>м.п.</v>
      </c>
      <c r="C1723" s="1839">
        <f t="shared" si="202"/>
        <v>0</v>
      </c>
      <c r="D1723" s="1055">
        <f>'Ввод данных'!$C$1091</f>
        <v>0.3</v>
      </c>
      <c r="E1723" s="1055">
        <f t="shared" si="203"/>
        <v>2.4</v>
      </c>
      <c r="F1723" s="1055">
        <f t="shared" si="203"/>
        <v>200</v>
      </c>
      <c r="G1723" s="1055">
        <f t="shared" si="203"/>
        <v>0</v>
      </c>
      <c r="H1723" s="1055"/>
      <c r="I1723" s="1839">
        <f t="shared" si="204"/>
        <v>1000</v>
      </c>
      <c r="J1723" s="1353">
        <f t="shared" si="200"/>
        <v>0</v>
      </c>
      <c r="K1723" s="1354"/>
      <c r="L1723" s="1353"/>
      <c r="M1723" s="1853"/>
      <c r="N1723" s="1353"/>
      <c r="O1723" s="1353"/>
      <c r="P1723" s="1353"/>
      <c r="Q1723" s="1353"/>
      <c r="R1723" s="1353"/>
      <c r="S1723" s="1353"/>
      <c r="T1723" s="1354"/>
      <c r="U1723" s="1354"/>
      <c r="V1723" s="1354"/>
      <c r="W1723" s="1354"/>
      <c r="X1723" s="1354"/>
      <c r="Y1723" s="1354"/>
    </row>
    <row r="1724" spans="1:25" ht="15.75" customHeight="1" outlineLevel="1">
      <c r="A1724" s="1839" t="str">
        <f t="shared" si="202"/>
        <v>Перемычка дверная, 1-ый эт. Вариант 1</v>
      </c>
      <c r="B1724" s="1696" t="str">
        <f t="shared" si="202"/>
        <v>м.п.</v>
      </c>
      <c r="C1724" s="1839">
        <f t="shared" si="202"/>
        <v>0</v>
      </c>
      <c r="D1724" s="1055">
        <f>D1700</f>
        <v>0.4</v>
      </c>
      <c r="E1724" s="1055">
        <f t="shared" si="203"/>
        <v>1.2000000000000002</v>
      </c>
      <c r="F1724" s="1055">
        <f t="shared" si="203"/>
        <v>100</v>
      </c>
      <c r="G1724" s="1055">
        <f t="shared" si="203"/>
        <v>0</v>
      </c>
      <c r="H1724" s="1055"/>
      <c r="I1724" s="1839">
        <f t="shared" si="204"/>
        <v>1000</v>
      </c>
      <c r="J1724" s="1353">
        <f t="shared" si="200"/>
        <v>0</v>
      </c>
      <c r="K1724" s="1354"/>
      <c r="L1724" s="1353"/>
      <c r="M1724" s="1853"/>
      <c r="N1724" s="1353"/>
      <c r="O1724" s="1353"/>
      <c r="P1724" s="1353"/>
      <c r="Q1724" s="1353"/>
      <c r="R1724" s="1353"/>
      <c r="S1724" s="1353"/>
      <c r="T1724" s="1354"/>
      <c r="U1724" s="1354"/>
      <c r="V1724" s="1354"/>
      <c r="W1724" s="1354"/>
      <c r="X1724" s="1354"/>
      <c r="Y1724" s="1354"/>
    </row>
    <row r="1725" spans="1:25" ht="15.75" customHeight="1" outlineLevel="1">
      <c r="A1725" s="1839" t="str">
        <f t="shared" si="202"/>
        <v>Перемычка дверная, 1-ый эт. Вариант 2</v>
      </c>
      <c r="B1725" s="1696" t="str">
        <f t="shared" si="202"/>
        <v>м.п.</v>
      </c>
      <c r="C1725" s="1839">
        <f t="shared" si="202"/>
        <v>0</v>
      </c>
      <c r="D1725" s="1055">
        <f>D1701</f>
        <v>0.4</v>
      </c>
      <c r="E1725" s="1055">
        <f t="shared" si="203"/>
        <v>1.3</v>
      </c>
      <c r="F1725" s="1055">
        <f t="shared" si="203"/>
        <v>100</v>
      </c>
      <c r="G1725" s="1055">
        <f t="shared" si="203"/>
        <v>0</v>
      </c>
      <c r="H1725" s="1055"/>
      <c r="I1725" s="1839">
        <f t="shared" si="204"/>
        <v>1000</v>
      </c>
      <c r="J1725" s="1353">
        <f t="shared" si="200"/>
        <v>0</v>
      </c>
      <c r="K1725" s="1354"/>
      <c r="L1725" s="1353"/>
      <c r="M1725" s="1853"/>
      <c r="N1725" s="1353"/>
      <c r="O1725" s="1353"/>
      <c r="P1725" s="1353"/>
      <c r="Q1725" s="1353"/>
      <c r="R1725" s="1353"/>
      <c r="S1725" s="1353"/>
      <c r="T1725" s="1354"/>
      <c r="U1725" s="1354"/>
      <c r="V1725" s="1354"/>
      <c r="W1725" s="1354"/>
      <c r="X1725" s="1354"/>
      <c r="Y1725" s="1354"/>
    </row>
    <row r="1726" spans="1:25" ht="15.75" customHeight="1" outlineLevel="1">
      <c r="A1726" s="1839" t="str">
        <f t="shared" si="202"/>
        <v>Перемычка дверная, 1-ый эт. Вариант 3</v>
      </c>
      <c r="B1726" s="1696" t="str">
        <f t="shared" si="202"/>
        <v>м.п.</v>
      </c>
      <c r="C1726" s="1839">
        <f t="shared" si="202"/>
        <v>0</v>
      </c>
      <c r="D1726" s="1055">
        <f>D1702</f>
        <v>0.4</v>
      </c>
      <c r="E1726" s="1055">
        <f t="shared" si="203"/>
        <v>1.4</v>
      </c>
      <c r="F1726" s="1055">
        <f t="shared" si="203"/>
        <v>100</v>
      </c>
      <c r="G1726" s="1055">
        <f t="shared" si="203"/>
        <v>0</v>
      </c>
      <c r="H1726" s="1055"/>
      <c r="I1726" s="1839">
        <f t="shared" si="204"/>
        <v>1000</v>
      </c>
      <c r="J1726" s="1353">
        <f t="shared" si="200"/>
        <v>0</v>
      </c>
      <c r="K1726" s="1354"/>
      <c r="L1726" s="1353"/>
      <c r="M1726" s="1853"/>
      <c r="N1726" s="1353"/>
      <c r="O1726" s="1353"/>
      <c r="P1726" s="1353"/>
      <c r="Q1726" s="1353"/>
      <c r="R1726" s="1353"/>
      <c r="S1726" s="1353"/>
      <c r="T1726" s="1354"/>
      <c r="U1726" s="1354"/>
      <c r="V1726" s="1354"/>
      <c r="W1726" s="1354"/>
      <c r="X1726" s="1354"/>
      <c r="Y1726" s="1354"/>
    </row>
    <row r="1727" spans="1:25" ht="15.75" customHeight="1" outlineLevel="1">
      <c r="A1727" s="1839" t="str">
        <f t="shared" si="202"/>
        <v>Сосна влаж,200*40мм</v>
      </c>
      <c r="B1727" s="1696" t="str">
        <f t="shared" si="202"/>
        <v>м3</v>
      </c>
      <c r="C1727" s="1839">
        <f t="shared" si="202"/>
        <v>0.83200000000000007</v>
      </c>
      <c r="I1727" s="1839">
        <f t="shared" si="204"/>
        <v>6500</v>
      </c>
      <c r="J1727" s="1353">
        <f t="shared" si="200"/>
        <v>5408.0000000000009</v>
      </c>
      <c r="K1727" s="1354"/>
      <c r="L1727" s="1353"/>
      <c r="M1727" s="1853"/>
      <c r="N1727" s="1353"/>
      <c r="O1727" s="1353"/>
      <c r="P1727" s="1353"/>
      <c r="Q1727" s="1353"/>
      <c r="R1727" s="1353"/>
      <c r="S1727" s="1353"/>
      <c r="T1727" s="1354"/>
      <c r="U1727" s="1354"/>
      <c r="V1727" s="1354"/>
      <c r="W1727" s="1354"/>
      <c r="X1727" s="1354"/>
      <c r="Y1727" s="1354"/>
    </row>
    <row r="1728" spans="1:25" ht="15.75" customHeight="1" outlineLevel="1">
      <c r="A1728" s="1839" t="str">
        <f t="shared" si="202"/>
        <v>Сейсмопояс Арматура М10 4 нити</v>
      </c>
      <c r="B1728" s="1696" t="str">
        <f t="shared" si="202"/>
        <v>м.п.</v>
      </c>
      <c r="C1728" s="1839">
        <f t="shared" si="202"/>
        <v>176</v>
      </c>
      <c r="I1728" s="1839">
        <f t="shared" si="204"/>
        <v>21.0397</v>
      </c>
      <c r="J1728" s="1353">
        <f t="shared" si="200"/>
        <v>3702.9872</v>
      </c>
      <c r="K1728" s="1354"/>
      <c r="L1728" s="1353"/>
      <c r="M1728" s="1853"/>
      <c r="N1728" s="1353"/>
      <c r="O1728" s="1353"/>
      <c r="P1728" s="1353"/>
      <c r="Q1728" s="1353"/>
      <c r="R1728" s="1353"/>
      <c r="S1728" s="1353"/>
      <c r="T1728" s="1354"/>
      <c r="U1728" s="1354"/>
      <c r="V1728" s="1354"/>
      <c r="W1728" s="1354"/>
      <c r="X1728" s="1354"/>
      <c r="Y1728" s="1354"/>
    </row>
    <row r="1729" spans="1:25" ht="15.75" customHeight="1" outlineLevel="1">
      <c r="A1729" s="1839" t="str">
        <f t="shared" si="202"/>
        <v>Хомут для сейсмопояса Арматура М6, шаг 400мм</v>
      </c>
      <c r="B1729" s="1696" t="str">
        <f t="shared" si="202"/>
        <v>м.п.</v>
      </c>
      <c r="C1729" s="1839">
        <f t="shared" si="202"/>
        <v>90</v>
      </c>
      <c r="I1729" s="1839">
        <f t="shared" si="204"/>
        <v>0</v>
      </c>
      <c r="J1729" s="1353">
        <f t="shared" si="200"/>
        <v>0</v>
      </c>
      <c r="K1729" s="1354"/>
      <c r="L1729" s="1353"/>
      <c r="M1729" s="1853"/>
      <c r="N1729" s="1353"/>
      <c r="O1729" s="1353"/>
      <c r="P1729" s="1353"/>
      <c r="Q1729" s="1353"/>
      <c r="R1729" s="1353"/>
      <c r="S1729" s="1353"/>
      <c r="T1729" s="1354"/>
      <c r="U1729" s="1354"/>
      <c r="V1729" s="1354"/>
      <c r="W1729" s="1354"/>
      <c r="X1729" s="1354"/>
      <c r="Y1729" s="1354"/>
    </row>
    <row r="1730" spans="1:25" ht="15.75" customHeight="1" outlineLevel="1">
      <c r="A1730" s="1839" t="str">
        <f t="shared" si="202"/>
        <v>Бетон, м300</v>
      </c>
      <c r="B1730" s="1696" t="str">
        <f t="shared" si="202"/>
        <v>м3</v>
      </c>
      <c r="C1730" s="1839">
        <f t="shared" si="202"/>
        <v>1.6380000000000001</v>
      </c>
      <c r="I1730" s="1839">
        <f t="shared" si="204"/>
        <v>3000</v>
      </c>
      <c r="J1730" s="1353">
        <f t="shared" si="200"/>
        <v>4914</v>
      </c>
      <c r="K1730" s="1354"/>
      <c r="L1730" s="1353"/>
      <c r="M1730" s="1853"/>
      <c r="N1730" s="1353"/>
      <c r="O1730" s="1353"/>
      <c r="P1730" s="1353"/>
      <c r="Q1730" s="1353"/>
      <c r="R1730" s="1353"/>
      <c r="S1730" s="1353"/>
      <c r="T1730" s="1354"/>
      <c r="U1730" s="1354"/>
      <c r="V1730" s="1354"/>
      <c r="W1730" s="1354"/>
      <c r="X1730" s="1354"/>
      <c r="Y1730" s="1354"/>
    </row>
    <row r="1731" spans="1:25" ht="15.75" customHeight="1" outlineLevel="1">
      <c r="A1731" s="1839" t="str">
        <f t="shared" ref="A1731:B1735" si="205">A1653</f>
        <v>Нет техники</v>
      </c>
      <c r="B1731" s="1696" t="str">
        <f t="shared" si="205"/>
        <v>час</v>
      </c>
      <c r="C1731" s="1839">
        <f>'Ввод данных'!C1110</f>
        <v>0</v>
      </c>
      <c r="I1731" s="1839">
        <f t="shared" si="204"/>
        <v>0</v>
      </c>
      <c r="J1731" s="1353">
        <f t="shared" si="200"/>
        <v>0</v>
      </c>
      <c r="K1731" s="1354"/>
      <c r="L1731" s="1353"/>
      <c r="M1731" s="1853"/>
      <c r="N1731" s="1353"/>
      <c r="O1731" s="1353"/>
      <c r="P1731" s="1353"/>
      <c r="Q1731" s="1353"/>
      <c r="R1731" s="1353"/>
      <c r="S1731" s="1353"/>
      <c r="T1731" s="1354"/>
      <c r="U1731" s="1354"/>
      <c r="V1731" s="1354"/>
      <c r="W1731" s="1354"/>
      <c r="X1731" s="1354"/>
      <c r="Y1731" s="1354"/>
    </row>
    <row r="1732" spans="1:25" ht="15.75" customHeight="1" outlineLevel="1">
      <c r="A1732" s="1839" t="str">
        <f t="shared" si="205"/>
        <v>Нет техники</v>
      </c>
      <c r="B1732" s="1696" t="str">
        <f t="shared" si="205"/>
        <v>час</v>
      </c>
      <c r="C1732" s="1839">
        <f>'Ввод данных'!C1111</f>
        <v>0</v>
      </c>
      <c r="I1732" s="1839">
        <f t="shared" si="204"/>
        <v>0</v>
      </c>
      <c r="J1732" s="1353">
        <f t="shared" si="200"/>
        <v>0</v>
      </c>
      <c r="K1732" s="1354"/>
      <c r="L1732" s="1353"/>
      <c r="M1732" s="1853"/>
      <c r="N1732" s="1353"/>
      <c r="O1732" s="1353"/>
      <c r="P1732" s="1353"/>
      <c r="Q1732" s="1353"/>
      <c r="R1732" s="1353"/>
      <c r="S1732" s="1353"/>
      <c r="T1732" s="1354"/>
      <c r="U1732" s="1354"/>
      <c r="V1732" s="1354"/>
      <c r="W1732" s="1354"/>
      <c r="X1732" s="1354"/>
      <c r="Y1732" s="1354"/>
    </row>
    <row r="1733" spans="1:25" ht="15.75" customHeight="1" outlineLevel="1">
      <c r="A1733" s="1839" t="str">
        <f t="shared" si="205"/>
        <v>Нет</v>
      </c>
      <c r="B1733" s="1696" t="str">
        <f t="shared" si="205"/>
        <v>м3</v>
      </c>
      <c r="C1733" s="1839">
        <f>C1655</f>
        <v>0</v>
      </c>
      <c r="I1733" s="1839">
        <f t="shared" si="204"/>
        <v>0</v>
      </c>
      <c r="J1733" s="1353">
        <f t="shared" si="200"/>
        <v>0</v>
      </c>
      <c r="K1733" s="1354"/>
      <c r="L1733" s="1353"/>
      <c r="M1733" s="1853"/>
      <c r="N1733" s="1353"/>
      <c r="O1733" s="1353"/>
      <c r="P1733" s="1353"/>
      <c r="Q1733" s="1353"/>
      <c r="R1733" s="1353"/>
      <c r="S1733" s="1353"/>
      <c r="T1733" s="1354"/>
      <c r="U1733" s="1354"/>
      <c r="V1733" s="1354"/>
      <c r="W1733" s="1354"/>
      <c r="X1733" s="1354"/>
      <c r="Y1733" s="1354"/>
    </row>
    <row r="1734" spans="1:25" ht="15.75" customHeight="1" outlineLevel="1">
      <c r="A1734" s="1839" t="str">
        <f t="shared" si="205"/>
        <v>Грибок для крепления утеплителя</v>
      </c>
      <c r="B1734" s="1696" t="str">
        <f t="shared" si="205"/>
        <v>шт</v>
      </c>
      <c r="C1734" s="1839">
        <f>C1656</f>
        <v>0</v>
      </c>
      <c r="I1734" s="1839">
        <f t="shared" si="204"/>
        <v>15</v>
      </c>
      <c r="J1734" s="1353">
        <f t="shared" si="200"/>
        <v>0</v>
      </c>
      <c r="K1734" s="1354"/>
      <c r="L1734" s="1353"/>
      <c r="M1734" s="1853"/>
      <c r="N1734" s="1353"/>
      <c r="O1734" s="1353"/>
      <c r="P1734" s="1353"/>
      <c r="Q1734" s="1353"/>
      <c r="R1734" s="1353"/>
      <c r="S1734" s="1353"/>
      <c r="T1734" s="1354"/>
      <c r="U1734" s="1354"/>
      <c r="V1734" s="1354"/>
      <c r="W1734" s="1354"/>
      <c r="X1734" s="1354"/>
      <c r="Y1734" s="1354"/>
    </row>
    <row r="1735" spans="1:25" ht="15.75" customHeight="1" outlineLevel="1">
      <c r="A1735" s="1839" t="str">
        <f t="shared" si="205"/>
        <v>нет ветроизоляции</v>
      </c>
      <c r="B1735" s="1696" t="str">
        <f t="shared" si="205"/>
        <v>м2</v>
      </c>
      <c r="C1735" s="1839">
        <f>C1657</f>
        <v>0</v>
      </c>
      <c r="I1735" s="1839">
        <f t="shared" si="204"/>
        <v>0</v>
      </c>
      <c r="J1735" s="1353">
        <f t="shared" si="200"/>
        <v>0</v>
      </c>
      <c r="K1735" s="1354"/>
      <c r="L1735" s="1353"/>
      <c r="M1735" s="1853"/>
      <c r="N1735" s="1353"/>
      <c r="O1735" s="1353"/>
      <c r="P1735" s="1353"/>
      <c r="Q1735" s="1353"/>
      <c r="R1735" s="1353"/>
      <c r="S1735" s="1353"/>
      <c r="T1735" s="1354"/>
      <c r="U1735" s="1354"/>
      <c r="V1735" s="1354"/>
      <c r="W1735" s="1354"/>
      <c r="X1735" s="1354"/>
      <c r="Y1735" s="1354"/>
    </row>
    <row r="1736" spans="1:25" ht="15.75" customHeight="1" outlineLevel="1">
      <c r="A1736" s="1839" t="str">
        <f>'Прайс лист'!B211</f>
        <v>Кладочная сетка, 100*100/150*150/200*200мм</v>
      </c>
      <c r="B1736" s="1696" t="s">
        <v>133</v>
      </c>
      <c r="C1736" s="1696">
        <f>(((C1319+D1319+D1319+C1319+C1321*D1321+C1322*D1322+C1323*D1323)*E1319+(C1319+D1319+D1319+C1319+C1321+N1321*O1321+N1322*O1322+N1323*O1323+C1329*D1329+C1330*D1330+C1331*D1331+N1329*O1329+N1330*O1330+N1331*O1331)*G1319)/0.5)*0.3*G1667</f>
        <v>110.88000000000001</v>
      </c>
      <c r="I1736" s="1696">
        <f>'Прайс лист'!G211</f>
        <v>70</v>
      </c>
      <c r="J1736" s="1353">
        <f t="shared" si="200"/>
        <v>7761.6</v>
      </c>
      <c r="K1736" s="1354"/>
      <c r="L1736" s="1055"/>
      <c r="M1736" s="1943"/>
      <c r="N1736" s="1055"/>
      <c r="O1736" s="1055"/>
      <c r="P1736" s="1055"/>
      <c r="Q1736" s="1055"/>
      <c r="R1736" s="1055"/>
      <c r="S1736" s="1055"/>
      <c r="T1736" s="1354"/>
      <c r="U1736" s="1354"/>
      <c r="V1736" s="1354"/>
      <c r="W1736" s="1354"/>
      <c r="X1736" s="1354"/>
      <c r="Y1736" s="1354"/>
    </row>
    <row r="1737" spans="1:25" ht="15.75" customHeight="1" outlineLevel="1">
      <c r="A1737" s="1839" t="str">
        <f>'Прайс лист'!B171</f>
        <v>Песок, машина 13м3</v>
      </c>
      <c r="B1737" s="1696" t="s">
        <v>159</v>
      </c>
      <c r="C1737" s="1696">
        <f>((C1697+C1698+C1699)*0.3*0.7)/12*G1667</f>
        <v>1.1269335000000003</v>
      </c>
      <c r="I1737" s="1696">
        <f>'Прайс лист'!G171</f>
        <v>12000</v>
      </c>
      <c r="J1737" s="1353">
        <f t="shared" si="200"/>
        <v>13523.202000000003</v>
      </c>
      <c r="K1737" s="1354"/>
      <c r="L1737" s="1055"/>
      <c r="M1737" s="1943"/>
      <c r="N1737" s="1055"/>
      <c r="O1737" s="1055"/>
      <c r="P1737" s="1055"/>
      <c r="Q1737" s="1055"/>
      <c r="R1737" s="1055"/>
      <c r="S1737" s="1055"/>
      <c r="T1737" s="1354"/>
      <c r="U1737" s="1354"/>
      <c r="V1737" s="1354"/>
      <c r="W1737" s="1354"/>
      <c r="X1737" s="1354"/>
      <c r="Y1737" s="1354"/>
    </row>
    <row r="1738" spans="1:25" ht="15.75" customHeight="1" outlineLevel="1">
      <c r="A1738" s="1839" t="str">
        <f>'Прайс лист'!B175</f>
        <v>Цемент, мешок, 50кг</v>
      </c>
      <c r="B1738" s="1696" t="s">
        <v>126</v>
      </c>
      <c r="C1738" s="1696">
        <f>((C1697+C1698+C1699)*0.3*0.3)*6*G1667</f>
        <v>34.773948000000004</v>
      </c>
      <c r="I1738" s="1696">
        <f>'Прайс лист'!G175</f>
        <v>250</v>
      </c>
      <c r="J1738" s="1353">
        <f t="shared" si="200"/>
        <v>8693.487000000001</v>
      </c>
      <c r="K1738" s="1354"/>
      <c r="L1738" s="1055"/>
      <c r="M1738" s="1943"/>
      <c r="N1738" s="1055"/>
      <c r="O1738" s="1055"/>
      <c r="P1738" s="1055"/>
      <c r="Q1738" s="1055"/>
      <c r="R1738" s="1055"/>
      <c r="S1738" s="1055"/>
      <c r="T1738" s="1354"/>
      <c r="U1738" s="1354"/>
      <c r="V1738" s="1354"/>
      <c r="W1738" s="1354"/>
      <c r="X1738" s="1354"/>
      <c r="Y1738" s="1354"/>
    </row>
    <row r="1739" spans="1:25" ht="15.75" customHeight="1" outlineLevel="1">
      <c r="A1739" s="1839" t="str">
        <f>A1658</f>
        <v>Командировочные расходы</v>
      </c>
      <c r="B1739" s="1696" t="str">
        <f>B1658</f>
        <v>рублей</v>
      </c>
      <c r="C1739" s="1839">
        <f>C1658</f>
        <v>1</v>
      </c>
      <c r="I1739" s="1839">
        <f>I1658</f>
        <v>0</v>
      </c>
      <c r="J1739" s="1839">
        <f>J1658</f>
        <v>0</v>
      </c>
      <c r="K1739" s="1354"/>
      <c r="L1739" s="1279"/>
      <c r="M1739" s="1943"/>
      <c r="N1739" s="1055"/>
      <c r="O1739" s="1055"/>
      <c r="P1739" s="1055"/>
      <c r="Q1739" s="1055"/>
      <c r="R1739" s="1055"/>
      <c r="S1739" s="1055"/>
      <c r="T1739" s="1354"/>
      <c r="U1739" s="1354"/>
      <c r="V1739" s="1354"/>
      <c r="W1739" s="1354"/>
      <c r="X1739" s="1354"/>
      <c r="Y1739" s="1354"/>
    </row>
    <row r="1740" spans="1:25" ht="15.75" customHeight="1" outlineLevel="1">
      <c r="A1740" s="1839" t="str">
        <f>'Ввод данных'!A1114</f>
        <v>расходные материалы каменные дома</v>
      </c>
      <c r="B1740" s="1696" t="s">
        <v>159</v>
      </c>
      <c r="C1740" s="1696">
        <f>1</f>
        <v>1</v>
      </c>
      <c r="I1740" s="1696">
        <f>'Ввод данных'!C1114</f>
        <v>15000</v>
      </c>
      <c r="J1740" s="1353">
        <f>C1740*I1740</f>
        <v>15000</v>
      </c>
      <c r="K1740" s="1354"/>
      <c r="L1740" s="1632"/>
      <c r="M1740" s="1853"/>
      <c r="N1740" s="1353"/>
      <c r="O1740" s="1353"/>
      <c r="P1740" s="1353"/>
      <c r="Q1740" s="1353"/>
      <c r="R1740" s="1353"/>
      <c r="S1740" s="1353"/>
      <c r="T1740" s="1354"/>
      <c r="U1740" s="1354"/>
      <c r="V1740" s="1354"/>
      <c r="W1740" s="1354"/>
      <c r="X1740" s="1354"/>
      <c r="Y1740" s="1354"/>
    </row>
    <row r="1741" spans="1:25" ht="15.75" customHeight="1" outlineLevel="1">
      <c r="A1741" s="1839" t="str">
        <f>A1660</f>
        <v>Нет техники</v>
      </c>
      <c r="B1741" s="1696" t="s">
        <v>159</v>
      </c>
      <c r="C1741" s="1696">
        <f>C1584</f>
        <v>0</v>
      </c>
      <c r="I1741" s="1696">
        <f>I1660</f>
        <v>0</v>
      </c>
      <c r="J1741" s="1353">
        <f>C1741*I1741</f>
        <v>0</v>
      </c>
      <c r="K1741" s="1354"/>
      <c r="L1741" s="1632"/>
      <c r="M1741" s="1853"/>
      <c r="N1741" s="1353"/>
      <c r="O1741" s="1353"/>
      <c r="P1741" s="1353"/>
      <c r="Q1741" s="1353"/>
      <c r="R1741" s="1353"/>
      <c r="S1741" s="1353"/>
      <c r="T1741" s="1354"/>
      <c r="U1741" s="1354"/>
      <c r="V1741" s="1354"/>
      <c r="W1741" s="1354"/>
      <c r="X1741" s="1354"/>
      <c r="Y1741" s="1354"/>
    </row>
    <row r="1742" spans="1:25" ht="15.75" customHeight="1" outlineLevel="1">
      <c r="A1742" s="1857"/>
      <c r="B1742" s="1805"/>
      <c r="C1742" s="1805"/>
      <c r="I1742" s="1805"/>
      <c r="J1742" s="1694">
        <f>SUM(J1697:J1741)</f>
        <v>645423.27619999996</v>
      </c>
      <c r="K1742" s="1354"/>
      <c r="L1742" s="1354"/>
      <c r="M1742" s="1858"/>
      <c r="N1742" s="1354"/>
      <c r="O1742" s="1354"/>
      <c r="P1742" s="1354"/>
      <c r="Q1742" s="1354"/>
      <c r="R1742" s="1354"/>
      <c r="S1742" s="1353">
        <f>SUM(S1697:S1741)</f>
        <v>330242.33</v>
      </c>
      <c r="T1742" s="1354"/>
      <c r="U1742" s="1354"/>
      <c r="V1742" s="1354"/>
      <c r="W1742" s="1354"/>
      <c r="X1742" s="1354"/>
      <c r="Y1742" s="1354"/>
    </row>
    <row r="1743" spans="1:25" s="1197" customFormat="1" ht="15.75" customHeight="1" outlineLevel="1">
      <c r="A1743" s="1839" t="s">
        <v>3771</v>
      </c>
      <c r="B1743" s="1696">
        <f>J1742</f>
        <v>645423.27619999996</v>
      </c>
      <c r="C1743" s="1859"/>
      <c r="D1743" s="1354"/>
      <c r="E1743" s="1354"/>
      <c r="F1743" s="1354"/>
      <c r="P1743" s="1354"/>
      <c r="Q1743" s="1354"/>
      <c r="R1743" s="1354"/>
      <c r="S1743" s="1354"/>
      <c r="T1743" s="1354"/>
      <c r="U1743" s="1354"/>
      <c r="V1743" s="1354"/>
      <c r="W1743" s="1354"/>
      <c r="X1743" s="1354"/>
      <c r="Y1743" s="1354"/>
    </row>
    <row r="1744" spans="1:25" s="1197" customFormat="1" ht="15.75" customHeight="1" outlineLevel="1">
      <c r="A1744" s="1839" t="s">
        <v>3772</v>
      </c>
      <c r="B1744" s="1696">
        <f>S1742</f>
        <v>330242.33</v>
      </c>
      <c r="C1744" s="1859"/>
      <c r="D1744" s="1354"/>
      <c r="E1744" s="1354"/>
      <c r="F1744" s="1354"/>
      <c r="P1744" s="1354"/>
      <c r="Q1744" s="1354"/>
      <c r="R1744" s="1354"/>
      <c r="S1744" s="1354"/>
      <c r="T1744" s="1354"/>
      <c r="U1744" s="1354"/>
      <c r="V1744" s="1354"/>
      <c r="W1744" s="1354"/>
      <c r="X1744" s="1354"/>
      <c r="Y1744" s="1354"/>
    </row>
    <row r="1745" spans="1:25" s="1197" customFormat="1" ht="15.75" customHeight="1" outlineLevel="1">
      <c r="A1745" s="1353" t="s">
        <v>2728</v>
      </c>
      <c r="B1745" s="1696">
        <f>SUM(B1743:B1744)</f>
        <v>975665.60620000004</v>
      </c>
      <c r="C1745" s="1859"/>
      <c r="D1745" s="1354"/>
      <c r="E1745" s="1354"/>
      <c r="F1745" s="1354"/>
      <c r="P1745" s="1354"/>
      <c r="Q1745" s="1354"/>
      <c r="R1745" s="1354"/>
      <c r="S1745" s="1354"/>
      <c r="T1745" s="1354"/>
      <c r="U1745" s="1354"/>
      <c r="V1745" s="1354"/>
      <c r="W1745" s="1354"/>
      <c r="X1745" s="1354"/>
      <c r="Y1745" s="1354"/>
    </row>
    <row r="1746" spans="1:25" ht="15.75" customHeight="1" outlineLevel="1">
      <c r="F1746" s="1354"/>
      <c r="G1746" s="1354"/>
      <c r="H1746" s="1354"/>
      <c r="I1746" s="1858"/>
      <c r="J1746" s="1354"/>
      <c r="K1746" s="1354"/>
      <c r="L1746" s="1354"/>
      <c r="M1746" s="1354"/>
      <c r="N1746" s="1354"/>
      <c r="O1746" s="1354"/>
      <c r="P1746" s="1354"/>
      <c r="Q1746" s="1354"/>
      <c r="R1746" s="1354"/>
      <c r="S1746" s="1354"/>
      <c r="T1746" s="1354"/>
      <c r="U1746" s="1354"/>
      <c r="V1746" s="1354"/>
      <c r="W1746" s="1354"/>
      <c r="X1746" s="1354"/>
      <c r="Y1746" s="1354"/>
    </row>
    <row r="1747" spans="1:25" ht="15.75" customHeight="1">
      <c r="A1747" s="1995" t="s">
        <v>3773</v>
      </c>
      <c r="B1747" s="1773"/>
      <c r="C1747" s="1861" t="s">
        <v>3663</v>
      </c>
      <c r="D1747" s="1778"/>
      <c r="E1747" s="1778"/>
      <c r="F1747" s="1779"/>
      <c r="G1747" s="1354"/>
      <c r="H1747" s="1354"/>
      <c r="I1747" s="1858"/>
      <c r="J1747" s="1354"/>
      <c r="K1747" s="1354"/>
      <c r="L1747" s="1354"/>
      <c r="M1747" s="1354"/>
      <c r="N1747" s="1354"/>
      <c r="O1747" s="1354"/>
      <c r="P1747" s="1354"/>
      <c r="Q1747" s="1354"/>
      <c r="R1747" s="1290"/>
      <c r="S1747" s="1290"/>
      <c r="T1747" s="1290"/>
      <c r="U1747" s="1290"/>
      <c r="V1747" s="1290"/>
      <c r="W1747" s="1290"/>
      <c r="X1747" s="1290"/>
      <c r="Y1747" s="1290"/>
    </row>
    <row r="1748" spans="1:25" ht="15.75" customHeight="1">
      <c r="A1748" s="1290"/>
      <c r="B1748" s="1972"/>
      <c r="C1748" s="1972"/>
      <c r="D1748" s="1290"/>
      <c r="E1748" s="1290"/>
      <c r="F1748" s="1290"/>
      <c r="G1748" s="1290"/>
      <c r="H1748" s="1290"/>
      <c r="I1748" s="1973"/>
      <c r="J1748" s="1290"/>
      <c r="K1748" s="1290"/>
      <c r="L1748" s="1290"/>
      <c r="M1748" s="1290"/>
      <c r="N1748" s="1290"/>
      <c r="O1748" s="1290"/>
      <c r="P1748" s="1290"/>
      <c r="Q1748" s="1290"/>
      <c r="R1748" s="1290"/>
      <c r="S1748" s="1290"/>
      <c r="T1748" s="1290"/>
      <c r="U1748" s="1290"/>
      <c r="V1748" s="1290"/>
      <c r="W1748" s="1290"/>
      <c r="X1748" s="1290"/>
      <c r="Y1748" s="1290"/>
    </row>
    <row r="1749" spans="1:25" ht="15.75" hidden="1" customHeight="1" outlineLevel="1">
      <c r="A1749" s="1996" t="s">
        <v>3774</v>
      </c>
      <c r="B1749" s="1997"/>
      <c r="C1749" s="1997"/>
      <c r="D1749" s="1998"/>
      <c r="E1749" s="1998"/>
      <c r="F1749" s="1998"/>
      <c r="G1749" s="1998"/>
      <c r="H1749" s="1998"/>
      <c r="I1749" s="1999"/>
      <c r="J1749" s="1998"/>
      <c r="K1749" s="1998"/>
      <c r="L1749" s="1998"/>
      <c r="M1749" s="1998"/>
      <c r="N1749" s="1998"/>
      <c r="O1749" s="2000"/>
      <c r="P1749" s="1290"/>
      <c r="Q1749" s="1290"/>
      <c r="R1749" s="1290"/>
      <c r="S1749" s="1290"/>
      <c r="T1749" s="1290"/>
      <c r="U1749" s="1290"/>
      <c r="V1749" s="1290"/>
      <c r="W1749" s="1290"/>
      <c r="X1749" s="1290"/>
      <c r="Y1749" s="1290"/>
    </row>
    <row r="1750" spans="1:25" ht="15.75" hidden="1" customHeight="1" outlineLevel="1">
      <c r="A1750" s="1821" t="s">
        <v>1806</v>
      </c>
      <c r="B1750" s="1822"/>
      <c r="C1750" s="1822"/>
      <c r="D1750" s="1823"/>
      <c r="E1750" s="1823"/>
      <c r="F1750" s="1824"/>
      <c r="G1750" s="1872">
        <f>'Ввод данных'!D894</f>
        <v>1.1000000000000001</v>
      </c>
      <c r="H1750" s="1873"/>
      <c r="I1750" s="1809">
        <f>'Ввод данных'!D895</f>
        <v>1</v>
      </c>
      <c r="J1750" s="1808"/>
      <c r="K1750" s="1808"/>
      <c r="L1750" s="1808"/>
      <c r="M1750" s="1808"/>
      <c r="N1750" s="1808"/>
      <c r="O1750" s="1808"/>
      <c r="P1750" s="1354"/>
      <c r="Q1750" s="1354"/>
      <c r="R1750" s="1354"/>
      <c r="S1750" s="1354"/>
      <c r="T1750" s="1354"/>
      <c r="U1750" s="1354"/>
      <c r="V1750" s="1354"/>
      <c r="W1750" s="1354"/>
      <c r="X1750" s="1354"/>
      <c r="Y1750" s="1354"/>
    </row>
    <row r="1751" spans="1:25" ht="15.75" hidden="1" customHeight="1" outlineLevel="1">
      <c r="A1751" s="1360" t="s">
        <v>3775</v>
      </c>
      <c r="B1751" s="1600" t="s">
        <v>2807</v>
      </c>
      <c r="C1751" s="1773">
        <f>фундамент!C330</f>
        <v>56</v>
      </c>
      <c r="D1751" s="1290"/>
      <c r="E1751" s="1290"/>
      <c r="F1751" s="1290"/>
      <c r="G1751" s="1290"/>
      <c r="H1751" s="1290"/>
      <c r="I1751" s="1973"/>
      <c r="J1751" s="1290"/>
      <c r="K1751" s="1290"/>
      <c r="L1751" s="1290"/>
      <c r="M1751" s="1290"/>
      <c r="N1751" s="1290"/>
      <c r="O1751" s="1290"/>
      <c r="P1751" s="1290"/>
      <c r="Q1751" s="1290"/>
      <c r="R1751" s="1290"/>
      <c r="S1751" s="1290"/>
      <c r="T1751" s="1290"/>
      <c r="U1751" s="1290"/>
      <c r="V1751" s="1290"/>
      <c r="W1751" s="1290"/>
      <c r="X1751" s="1290"/>
      <c r="Y1751" s="1290"/>
    </row>
    <row r="1752" spans="1:25" ht="15.75" hidden="1" customHeight="1" outlineLevel="1">
      <c r="A1752" s="1360" t="s">
        <v>3776</v>
      </c>
      <c r="B1752" s="1600" t="s">
        <v>156</v>
      </c>
      <c r="C1752" s="1773">
        <f>VLOOKUP(A1787,'Прайс лист'!B333:G419,3,0)</f>
        <v>0.2</v>
      </c>
      <c r="D1752" s="1290"/>
      <c r="E1752" s="1290" t="s">
        <v>1203</v>
      </c>
      <c r="F1752" s="1290">
        <f>(B1290)*D1290+(B1291)*D1291+(B1292)*D1292+(B1293)*D1293+(B1294)*D1294+(B1295)*D1295+(B1296)*D1296+(B1297)*D1297+(B1298)*D1298+(B1299)*D1299+(B1300)*D1300+(B1301)*D1301+(B1302)*D1302</f>
        <v>1</v>
      </c>
      <c r="G1752" s="1290"/>
      <c r="H1752" s="1290"/>
      <c r="I1752" s="1973"/>
      <c r="J1752" s="1290"/>
      <c r="K1752" s="1290"/>
      <c r="L1752" s="1290"/>
      <c r="M1752" s="1290"/>
      <c r="N1752" s="1290"/>
      <c r="O1752" s="1290"/>
      <c r="P1752" s="1290"/>
      <c r="Q1752" s="1290"/>
      <c r="R1752" s="1290"/>
      <c r="S1752" s="1290"/>
      <c r="T1752" s="1290"/>
      <c r="U1752" s="1290"/>
      <c r="V1752" s="1290"/>
      <c r="W1752" s="1290"/>
      <c r="X1752" s="1290"/>
      <c r="Y1752" s="1290"/>
    </row>
    <row r="1753" spans="1:25" ht="15.75" hidden="1" customHeight="1" outlineLevel="1">
      <c r="A1753" s="1360" t="s">
        <v>3777</v>
      </c>
      <c r="B1753" s="1600" t="s">
        <v>156</v>
      </c>
      <c r="C1753" s="1773">
        <f>VLOOKUP(A1787,'Прайс лист'!B333:G419,4,0)</f>
        <v>0.2</v>
      </c>
      <c r="D1753" s="1290"/>
      <c r="E1753" s="1290" t="s">
        <v>3778</v>
      </c>
      <c r="F1753" s="1290">
        <f>(B1290+C1290+C1290)*D1290+(B1291+C1291+C1291)*D1291+(B1292+C1292+C1292)*D1292+(B1293+C1293+C1293)*D1293+(B1294+C1294+C1294)*D1294+(B1295+C1295+C1295)*D1295+(B1296+C1296+C1296)*D1296+(B1297+C1297+C1297)*D1297+(B1298+C1298+C1298)*D1298+(B1299+C1299+C1299)*D1299+(B1300+C1300+C1300)*D1300+(B1301+C1301+C1301)*D1301+(B1302+C1302+C1302)*D1302</f>
        <v>3.4000000000000004</v>
      </c>
      <c r="G1753" s="1290"/>
      <c r="H1753" s="1290"/>
      <c r="I1753" s="1973"/>
      <c r="J1753" s="1290"/>
      <c r="K1753" s="1290"/>
      <c r="L1753" s="1290"/>
      <c r="M1753" s="1290"/>
      <c r="N1753" s="1290"/>
      <c r="O1753" s="1290"/>
      <c r="P1753" s="1290"/>
      <c r="Q1753" s="1290"/>
      <c r="R1753" s="1290"/>
      <c r="S1753" s="1290"/>
      <c r="T1753" s="1290"/>
      <c r="U1753" s="1290"/>
      <c r="V1753" s="1290"/>
      <c r="W1753" s="1290"/>
      <c r="X1753" s="1290"/>
      <c r="Y1753" s="1290"/>
    </row>
    <row r="1754" spans="1:25" ht="15.75" hidden="1" customHeight="1" outlineLevel="1">
      <c r="A1754" s="1360" t="s">
        <v>3779</v>
      </c>
      <c r="B1754" s="1600" t="s">
        <v>156</v>
      </c>
      <c r="C1754" s="1696">
        <f>VLOOKUP(A1788,'Прайс лист'!B333:G419,3,0)</f>
        <v>0.2</v>
      </c>
      <c r="D1754" s="1290"/>
      <c r="E1754" s="1290" t="s">
        <v>3780</v>
      </c>
      <c r="F1754" s="1290">
        <f>(I1290+J1290+J1290)*K1290+(I1291+J1291+J1291)*K1291+(I1292+J1292+J1292)*K1292+(I1293+J1293+J1293)*K1293</f>
        <v>0</v>
      </c>
      <c r="G1754" s="1290"/>
      <c r="H1754" s="1290"/>
      <c r="I1754" s="1973"/>
      <c r="J1754" s="1290"/>
      <c r="K1754" s="1290"/>
      <c r="L1754" s="1290"/>
      <c r="M1754" s="1290"/>
      <c r="N1754" s="1290"/>
      <c r="O1754" s="1290"/>
      <c r="P1754" s="1290"/>
      <c r="Q1754" s="1290"/>
      <c r="R1754" s="1290"/>
      <c r="S1754" s="1290"/>
      <c r="T1754" s="1290"/>
      <c r="U1754" s="1290"/>
      <c r="V1754" s="1290"/>
      <c r="W1754" s="1290"/>
      <c r="X1754" s="1290"/>
      <c r="Y1754" s="1290"/>
    </row>
    <row r="1755" spans="1:25" ht="15.75" hidden="1" customHeight="1" outlineLevel="1">
      <c r="A1755" s="1360" t="s">
        <v>3781</v>
      </c>
      <c r="B1755" s="1600" t="s">
        <v>156</v>
      </c>
      <c r="C1755" s="1773">
        <f>VLOOKUP(A1788,'Прайс лист'!B333:G419,4,0)</f>
        <v>0.15</v>
      </c>
      <c r="D1755" s="1290"/>
      <c r="E1755" s="1290" t="s">
        <v>3782</v>
      </c>
      <c r="F1755" s="1290">
        <f>(I1294+J1294+J1294)*K1294+(I1295+J1295+J1295)*K1295+(I1296+J1296+J1296)*K1296</f>
        <v>0</v>
      </c>
      <c r="G1755" s="1290"/>
      <c r="H1755" s="1290"/>
      <c r="I1755" s="1973"/>
      <c r="J1755" s="1290"/>
      <c r="K1755" s="1290"/>
      <c r="L1755" s="1290"/>
      <c r="M1755" s="1290"/>
      <c r="N1755" s="1290"/>
      <c r="O1755" s="1290"/>
      <c r="P1755" s="1290"/>
      <c r="Q1755" s="1290"/>
      <c r="R1755" s="1290"/>
      <c r="S1755" s="1290"/>
      <c r="T1755" s="1290"/>
      <c r="U1755" s="1290"/>
      <c r="V1755" s="1290"/>
      <c r="W1755" s="1290"/>
      <c r="X1755" s="1290"/>
      <c r="Y1755" s="1290"/>
    </row>
    <row r="1756" spans="1:25" ht="15.75" hidden="1" customHeight="1" outlineLevel="1">
      <c r="A1756" s="1360" t="s">
        <v>3783</v>
      </c>
      <c r="B1756" s="1600" t="s">
        <v>156</v>
      </c>
      <c r="C1756" s="1696">
        <f>VLOOKUP(A1789,'Прайс лист'!B333:G419,3,0)</f>
        <v>0.2</v>
      </c>
      <c r="D1756" s="1290"/>
      <c r="E1756" s="1290"/>
      <c r="F1756" s="1290"/>
      <c r="G1756" s="1290"/>
      <c r="H1756" s="1290"/>
      <c r="I1756" s="1973"/>
      <c r="J1756" s="1290"/>
      <c r="K1756" s="1290"/>
      <c r="L1756" s="1290"/>
      <c r="M1756" s="1290"/>
      <c r="N1756" s="1290"/>
      <c r="O1756" s="1290"/>
      <c r="P1756" s="1290"/>
      <c r="Q1756" s="1290"/>
      <c r="R1756" s="1290"/>
      <c r="S1756" s="1290"/>
      <c r="T1756" s="1290"/>
      <c r="U1756" s="1290"/>
      <c r="V1756" s="1290"/>
      <c r="W1756" s="1290"/>
      <c r="X1756" s="1290"/>
      <c r="Y1756" s="1290"/>
    </row>
    <row r="1757" spans="1:25" ht="15.75" hidden="1" customHeight="1" outlineLevel="1">
      <c r="A1757" s="1360" t="s">
        <v>3784</v>
      </c>
      <c r="B1757" s="1600" t="s">
        <v>156</v>
      </c>
      <c r="C1757" s="1773">
        <f>VLOOKUP(A1789,'Прайс лист'!B333:G419,4,0)</f>
        <v>0.1</v>
      </c>
      <c r="D1757" s="1360" t="s">
        <v>3785</v>
      </c>
      <c r="E1757" s="1360" t="s">
        <v>3786</v>
      </c>
      <c r="F1757" s="1360" t="s">
        <v>3787</v>
      </c>
      <c r="G1757" s="1360" t="s">
        <v>3788</v>
      </c>
      <c r="H1757" s="1360" t="s">
        <v>3789</v>
      </c>
      <c r="I1757" s="1973"/>
      <c r="J1757" s="1290"/>
      <c r="K1757" s="1290"/>
      <c r="L1757" s="1290"/>
      <c r="M1757" s="1290"/>
      <c r="N1757" s="1290"/>
      <c r="O1757" s="1290"/>
      <c r="P1757" s="1290"/>
      <c r="Q1757" s="1290"/>
      <c r="R1757" s="1290"/>
      <c r="S1757" s="1290"/>
      <c r="T1757" s="1290"/>
      <c r="U1757" s="1290"/>
      <c r="V1757" s="1290"/>
      <c r="W1757" s="1290"/>
      <c r="X1757" s="1290"/>
      <c r="Y1757" s="1290"/>
    </row>
    <row r="1758" spans="1:25" ht="15.75" hidden="1" customHeight="1" outlineLevel="1">
      <c r="A1758" s="1360" t="s">
        <v>3790</v>
      </c>
      <c r="B1758" s="1600" t="s">
        <v>156</v>
      </c>
      <c r="C1758" s="1600">
        <f>(B1290+C1290+C1290)*D1290+(B1291+C1291+C1291)*D1291+(B1292+C1292+C1292)*D1292+(B1293+C1293+C1293)*D1293+(I1312+J1312+J1312)*K1312+(I1313+J1313+J1313)*K1313+(I1314+J1314+J1314)*K1314+(B1294+C1294+C1294)*D1294+(B1300+C1300+C1300)*D1300+(B1301+C1301+C1301)*D1301+(B1302+C1302+C1302)*D1302</f>
        <v>3.4000000000000004</v>
      </c>
      <c r="D1758" s="1774">
        <f>IF('Ввод данных'!A931=связи1!A407,0,1)*(IF('Ввод данных'!A8=связи1!A156,1,0)+IF('Ввод данных'!A8=связи1!A185,1,0))</f>
        <v>0</v>
      </c>
      <c r="E1758" s="1055">
        <f>IF('Ввод данных'!A931=связи1!A407,0,1)*(IF('Ввод данных'!A8=связи1!A159,1,0))</f>
        <v>0</v>
      </c>
      <c r="F1758" s="1055">
        <f>IF('Ввод данных'!A931=связи1!A407,0,1)*(IF('Ввод данных'!A8=связи1!A158,1,0))</f>
        <v>0</v>
      </c>
      <c r="G1758" s="1360">
        <f>IF('Ввод данных'!A931=связи1!A407,0,1)*(IF('Ввод данных'!A8=связи1!A161,1,0))</f>
        <v>0</v>
      </c>
      <c r="H1758" s="1360">
        <f>IF('Ввод данных'!A931=связи1!A407,0,1)*(IF('Ввод данных'!A8=связи1!A160,1,0))</f>
        <v>0</v>
      </c>
      <c r="I1758" s="1973"/>
      <c r="J1758" s="1290"/>
      <c r="K1758" s="1290"/>
      <c r="L1758" s="1290"/>
      <c r="M1758" s="1290"/>
      <c r="N1758" s="1290"/>
      <c r="O1758" s="1290"/>
      <c r="P1758" s="1789"/>
      <c r="Q1758" s="1789"/>
      <c r="R1758" s="1789"/>
      <c r="S1758" s="1290"/>
      <c r="T1758" s="1290"/>
      <c r="U1758" s="1290"/>
      <c r="V1758" s="1290"/>
      <c r="W1758" s="1290"/>
      <c r="X1758" s="1290"/>
      <c r="Y1758" s="1290"/>
    </row>
    <row r="1759" spans="1:25" ht="15.75" hidden="1" customHeight="1" outlineLevel="1">
      <c r="A1759" s="1360" t="s">
        <v>3791</v>
      </c>
      <c r="B1759" s="1600" t="s">
        <v>156</v>
      </c>
      <c r="C1759" s="1600">
        <f>(B1295+C1295+C1295)*D1295+(B1296+C1296+C1296)*D1296+(B1297+C1297+C1297)*D1297+(B1298+C1298+C1298)*D1298+(B1299+C1299+C1299)*D1299</f>
        <v>0</v>
      </c>
      <c r="D1759" s="1774">
        <f>IF('Ввод данных'!A931=связи1!A407,0,1)*(IF('Ввод данных'!A8=связи1!A156,1,0)+IF('Ввод данных'!A8=связи1!A163,1,0)+IF('Ввод данных'!A8=связи1!A171,1,0)+IF('Ввод данных'!A8=связи1!A180,1,0))</f>
        <v>0</v>
      </c>
      <c r="E1759" s="1055">
        <f>IF('Ввод данных'!A931=связи1!A407,0,1)*(IF('Ввод данных'!A8=связи1!A159,1,0)+IF('Ввод данных'!A8=связи1!A165,1,0)+IF('Ввод данных'!A8=связи1!A173,1,0)+IF('Ввод данных'!A8=связи1!A181,1,0))</f>
        <v>0</v>
      </c>
      <c r="F1759" s="1055">
        <f>IF('Ввод данных'!A931=связи1!A407,0,1)*(IF('Ввод данных'!A8=связи1!A158,1,0)+IF('Ввод данных'!A8=связи1!A164,1,0)+IF('Ввод данных'!A8=связи1!A172,1,0))</f>
        <v>0</v>
      </c>
      <c r="G1759" s="1360">
        <f>IF('Ввод данных'!A931=связи1!A407,0,1)*(IF('Ввод данных'!A8=связи1!A161,1,0)+IF('Ввод данных'!A8=связи1!A167,1,0)+IF('Ввод данных'!A8=связи1!A175,1,0)+IF('Ввод данных'!A8=связи1!A182,1,0))</f>
        <v>0</v>
      </c>
      <c r="H1759" s="1360">
        <f>IF('Ввод данных'!A931=связи1!A407,0,1)*(IF('Ввод данных'!A8=связи1!A160,1,0)+IF('Ввод данных'!A8=связи1!A166,1,0)+IF('Ввод данных'!A8=связи1!A174,1,0))</f>
        <v>0</v>
      </c>
      <c r="I1759" s="1973"/>
      <c r="J1759" s="1290"/>
      <c r="K1759" s="1290"/>
      <c r="L1759" s="1290"/>
      <c r="M1759" s="1290"/>
      <c r="N1759" s="1290"/>
      <c r="O1759" s="1290"/>
      <c r="P1759" s="1789"/>
      <c r="Q1759" s="1789"/>
      <c r="R1759" s="1789"/>
      <c r="S1759" s="1290"/>
      <c r="T1759" s="1290"/>
      <c r="U1759" s="1290"/>
      <c r="V1759" s="1290"/>
      <c r="W1759" s="1290"/>
      <c r="X1759" s="1290"/>
      <c r="Y1759" s="1290"/>
    </row>
    <row r="1760" spans="1:25" ht="15.75" hidden="1" customHeight="1" outlineLevel="1">
      <c r="A1760" s="1360" t="s">
        <v>3792</v>
      </c>
      <c r="B1760" s="1600" t="s">
        <v>156</v>
      </c>
      <c r="C1760" s="1600">
        <f>I1307</f>
        <v>0</v>
      </c>
      <c r="D1760" s="1774">
        <f>IF('Ввод данных'!A933=связи1!A407,0,1)*(IF('Ввод данных'!A8=связи1!A156,1,0)+IF('Ввод данных'!A8=связи1!A185,1,0))</f>
        <v>0</v>
      </c>
      <c r="E1760" s="1055">
        <f>IF('Ввод данных'!A933=связи1!A407,0,1)*(IF('Ввод данных'!A8=связи1!A159,1,0))</f>
        <v>0</v>
      </c>
      <c r="F1760" s="1055">
        <f>IF('Ввод данных'!A933=связи1!A407,0,1)*(IF('Ввод данных'!A8=связи1!A158,1,0))</f>
        <v>0</v>
      </c>
      <c r="G1760" s="1360">
        <f>IF('Ввод данных'!A933=связи1!A407,0,1)*(IF('Ввод данных'!A8=связи1!A161,1,0))</f>
        <v>0</v>
      </c>
      <c r="H1760" s="1360">
        <f>IF('Ввод данных'!A933=связи1!A407,0,1)*(IF('Ввод данных'!A8=связи1!A160,1,0))</f>
        <v>0</v>
      </c>
      <c r="I1760" s="1973"/>
      <c r="J1760" s="1290"/>
      <c r="K1760" s="1290"/>
      <c r="L1760" s="1290"/>
      <c r="M1760" s="1290"/>
      <c r="N1760" s="1290"/>
      <c r="O1760" s="1290"/>
      <c r="P1760" s="1789"/>
      <c r="Q1760" s="1789"/>
      <c r="R1760" s="1789"/>
      <c r="S1760" s="1290"/>
      <c r="T1760" s="1290"/>
      <c r="U1760" s="1290"/>
      <c r="V1760" s="1290"/>
      <c r="W1760" s="1290"/>
      <c r="X1760" s="1290"/>
      <c r="Y1760" s="1290"/>
    </row>
    <row r="1761" spans="1:25" ht="15.75" hidden="1" customHeight="1" outlineLevel="1">
      <c r="A1761" s="1360" t="s">
        <v>3793</v>
      </c>
      <c r="B1761" s="1600" t="s">
        <v>156</v>
      </c>
      <c r="C1761" s="2001">
        <f>I1308</f>
        <v>0</v>
      </c>
      <c r="D1761" s="1774">
        <f>(IF('Ввод данных'!A8=связи1!A156,1,0)+IF('Ввод данных'!A8=связи1!A185,1,0))*IF('Ввод данных'!A935=связи1!A407,0,1)</f>
        <v>0</v>
      </c>
      <c r="E1761" s="1055">
        <f>IF('Ввод данных'!A935=связи1!A407,0,1)*(IF('Ввод данных'!A8=связи1!A159,1,0))</f>
        <v>0</v>
      </c>
      <c r="F1761" s="1055">
        <f>IF('Ввод данных'!A935=связи1!A407,0,1)*(IF('Ввод данных'!A8=связи1!A158,1,0))</f>
        <v>0</v>
      </c>
      <c r="G1761" s="1360">
        <f>IF('Ввод данных'!A935=связи1!A407,0,1)*(IF('Ввод данных'!A8=связи1!A161,1,0))</f>
        <v>0</v>
      </c>
      <c r="H1761" s="1360">
        <f>IF('Ввод данных'!A935=связи1!A407,0,1)*(IF('Ввод данных'!A8=связи1!A160,1,0))</f>
        <v>0</v>
      </c>
      <c r="I1761" s="1973"/>
      <c r="J1761" s="1290"/>
      <c r="K1761" s="1290"/>
      <c r="L1761" s="1290"/>
      <c r="M1761" s="1290"/>
      <c r="N1761" s="1290"/>
      <c r="O1761" s="1290"/>
      <c r="P1761" s="1789"/>
      <c r="Q1761" s="1789"/>
      <c r="R1761" s="1789"/>
      <c r="S1761" s="1290"/>
      <c r="T1761" s="1290"/>
      <c r="U1761" s="1290"/>
      <c r="V1761" s="1290"/>
      <c r="W1761" s="1290"/>
      <c r="X1761" s="1290"/>
      <c r="Y1761" s="1290"/>
    </row>
    <row r="1762" spans="1:25" ht="15.75" hidden="1" customHeight="1" outlineLevel="1">
      <c r="A1762" s="1360" t="s">
        <v>3794</v>
      </c>
      <c r="B1762" s="1600" t="s">
        <v>156</v>
      </c>
      <c r="C1762" s="2001">
        <f>I1309</f>
        <v>0</v>
      </c>
      <c r="D1762" s="1774">
        <f>IF('Ввод данных'!A933=связи1!A407,0,1)*(IF('Ввод данных'!A8=связи1!A156,1,0)+IF('Ввод данных'!A8=связи1!A163,1,0)+IF('Ввод данных'!A8=связи1!A171,1,0)+IF('Ввод данных'!A8=связи1!A180,1,0))</f>
        <v>0</v>
      </c>
      <c r="E1762" s="1055">
        <f>IF('Ввод данных'!A933=связи1!A407,0,1)*(IF('Ввод данных'!A8=связи1!A159,1,0)+IF('Ввод данных'!A8=связи1!A165,1,0)+IF('Ввод данных'!A8=связи1!A173,1,0)+IF('Ввод данных'!A8=связи1!A181,1,0))</f>
        <v>0</v>
      </c>
      <c r="F1762" s="1055">
        <f>IF('Ввод данных'!A933=связи1!A407,0,1)*(IF('Ввод данных'!A8=связи1!A158,1,0)+IF('Ввод данных'!A8=связи1!A164,1,0)+IF('Ввод данных'!A8=связи1!A172,1,0))</f>
        <v>0</v>
      </c>
      <c r="G1762" s="1360">
        <f>IF('Ввод данных'!A933=связи1!A407,0,1)*(IF('Ввод данных'!A8=связи1!A161,1,0)+IF('Ввод данных'!A8=связи1!A167,1,0)+IF('Ввод данных'!A8=связи1!A175,1,0)+IF('Ввод данных'!A8=связи1!A182,1,0))</f>
        <v>0</v>
      </c>
      <c r="H1762" s="1360">
        <f>IF('Ввод данных'!A933=связи1!A407,0,1)*(IF('Ввод данных'!A8=связи1!A160,1,0)+IF('Ввод данных'!A8=связи1!A166,1,0)+IF('Ввод данных'!A8=связи1!A174,1,0))</f>
        <v>0</v>
      </c>
      <c r="I1762" s="1973"/>
      <c r="J1762" s="1290"/>
      <c r="K1762" s="1290"/>
      <c r="L1762" s="1290"/>
      <c r="M1762" s="1290"/>
      <c r="N1762" s="1290"/>
      <c r="O1762" s="1290"/>
      <c r="P1762" s="1789"/>
      <c r="Q1762" s="1789"/>
      <c r="R1762" s="1789"/>
      <c r="S1762" s="1290"/>
      <c r="T1762" s="1290"/>
      <c r="U1762" s="1290"/>
      <c r="V1762" s="1290"/>
      <c r="W1762" s="1290"/>
      <c r="X1762" s="1290"/>
      <c r="Y1762" s="1290"/>
    </row>
    <row r="1763" spans="1:25" ht="15.75" hidden="1" customHeight="1" outlineLevel="1">
      <c r="A1763" s="1360" t="s">
        <v>3795</v>
      </c>
      <c r="B1763" s="1600" t="s">
        <v>156</v>
      </c>
      <c r="C1763" s="2001">
        <f>I1310</f>
        <v>0</v>
      </c>
      <c r="D1763" s="1774">
        <f>IF('Ввод данных'!A935=связи1!A407,0,1)*(IF('Ввод данных'!A8=связи1!A156,1,0)+IF('Ввод данных'!A8=связи1!A163,1,0)+IF('Ввод данных'!A8=связи1!A171,1,0)+IF('Ввод данных'!A8=связи1!A180,1,0))</f>
        <v>0</v>
      </c>
      <c r="E1763" s="1055">
        <f>IF('Ввод данных'!A933=связи1!A407,0,1)*(IF('Ввод данных'!A8=связи1!A159,1,0)+IF('Ввод данных'!A8=связи1!A165,1,0)+IF('Ввод данных'!A8=связи1!A173,1,0)+IF('Ввод данных'!A8=связи1!A181,1,0))</f>
        <v>0</v>
      </c>
      <c r="F1763" s="1055">
        <f>IF('Ввод данных'!A933=связи1!A407,0,1)*(IF('Ввод данных'!A8=связи1!A158,1,0)+IF('Ввод данных'!A8=связи1!A164,1,0)+IF('Ввод данных'!A8=связи1!A172,1,0))</f>
        <v>0</v>
      </c>
      <c r="G1763" s="1360">
        <f>IF('Ввод данных'!A933=связи1!A407,0,1)*(IF('Ввод данных'!A8=связи1!A161,1,0)+IF('Ввод данных'!A8=связи1!A167,1,0)+IF('Ввод данных'!A8=связи1!A175,1,0)+IF('Ввод данных'!A8=связи1!A182,1,0))</f>
        <v>0</v>
      </c>
      <c r="H1763" s="1360">
        <f>IF('Ввод данных'!A933=связи1!A407,0,1)*(IF('Ввод данных'!A8=связи1!A160,1,0)+IF('Ввод данных'!A8=связи1!A166,1,0)+IF('Ввод данных'!A8=связи1!A174,1,0))</f>
        <v>0</v>
      </c>
      <c r="I1763" s="1973"/>
      <c r="J1763" s="1290"/>
      <c r="K1763" s="1290"/>
      <c r="L1763" s="1290"/>
      <c r="M1763" s="1290"/>
      <c r="N1763" s="1290"/>
      <c r="O1763" s="1290"/>
      <c r="P1763" s="1789"/>
      <c r="Q1763" s="1789"/>
      <c r="R1763" s="1789"/>
      <c r="S1763" s="1290"/>
      <c r="T1763" s="1290"/>
      <c r="U1763" s="1290"/>
      <c r="V1763" s="1290"/>
      <c r="W1763" s="1290"/>
      <c r="X1763" s="1290"/>
      <c r="Y1763" s="1290"/>
    </row>
    <row r="1764" spans="1:25" ht="15.75" hidden="1" customHeight="1" outlineLevel="1">
      <c r="A1764" s="2002" t="s">
        <v>3626</v>
      </c>
      <c r="B1764" s="2003"/>
      <c r="C1764" s="2004"/>
      <c r="D1764" s="1290"/>
      <c r="E1764" s="1290"/>
      <c r="F1764" s="1290"/>
      <c r="G1764" s="1290"/>
      <c r="H1764" s="1290"/>
      <c r="I1764" s="1973"/>
      <c r="J1764" s="1290"/>
      <c r="K1764" s="1290"/>
      <c r="L1764" s="1290"/>
      <c r="M1764" s="1290"/>
      <c r="N1764" s="1290"/>
      <c r="O1764" s="1290"/>
      <c r="P1764" s="1789"/>
      <c r="Q1764" s="1789"/>
      <c r="R1764" s="1789"/>
      <c r="S1764" s="1290"/>
      <c r="T1764" s="1290"/>
      <c r="U1764" s="1290"/>
      <c r="V1764" s="1290"/>
      <c r="W1764" s="1290"/>
      <c r="X1764" s="1290"/>
      <c r="Y1764" s="1290"/>
    </row>
    <row r="1765" spans="1:25" ht="15.75" hidden="1" customHeight="1" outlineLevel="1">
      <c r="A1765" s="1839" t="s">
        <v>3796</v>
      </c>
      <c r="B1765" s="1696" t="s">
        <v>133</v>
      </c>
      <c r="C1765" s="1696">
        <f>(SUM('Ввод данных'!H913:H945)*2+SUM('Ввод данных'!R913:R945)*2+SUM('Ввод данных'!U913:U945)*2+SUM('Ввод данных'!AH913:AH945)*2+'Ввод данных'!U895*2+'Ввод данных'!U896*2+'Ввод данных'!U897*2+'Ввод данных'!AH897*2+'Ввод данных'!AH896*2+'Ввод данных'!AH895*2)*D1765</f>
        <v>110.40000000000003</v>
      </c>
      <c r="D1765" s="1354">
        <f>IF('Ввод данных'!A920=связи1!A101,1,0)</f>
        <v>1</v>
      </c>
      <c r="E1765" s="1354"/>
      <c r="F1765" s="1354"/>
      <c r="G1765" s="1354"/>
      <c r="H1765" s="1354"/>
      <c r="I1765" s="1858"/>
      <c r="J1765" s="1354"/>
      <c r="K1765" s="1354"/>
      <c r="L1765" s="1354"/>
      <c r="M1765" s="1354"/>
      <c r="N1765" s="1354"/>
      <c r="O1765" s="1354"/>
      <c r="P1765" s="1789"/>
      <c r="Q1765" s="1789"/>
      <c r="R1765" s="1789"/>
      <c r="S1765" s="1354"/>
      <c r="T1765" s="1354"/>
      <c r="U1765" s="1354"/>
      <c r="V1765" s="1354"/>
      <c r="W1765" s="1354"/>
      <c r="X1765" s="1354"/>
      <c r="Y1765" s="1354"/>
    </row>
    <row r="1766" spans="1:25" ht="15.75" hidden="1" customHeight="1" outlineLevel="1">
      <c r="A1766" s="1839" t="s">
        <v>3797</v>
      </c>
      <c r="B1766" s="1696" t="s">
        <v>133</v>
      </c>
      <c r="C1766" s="1696">
        <f>I38*'Ввод данных'!C921*D1766</f>
        <v>0</v>
      </c>
      <c r="D1766" s="1354">
        <f>IF('Ввод данных'!A920=связи1!A102,1,0)</f>
        <v>0</v>
      </c>
      <c r="E1766" s="1354"/>
      <c r="F1766" s="1354"/>
      <c r="G1766" s="1354"/>
      <c r="H1766" s="1354"/>
      <c r="I1766" s="1858"/>
      <c r="J1766" s="1354"/>
      <c r="K1766" s="1354"/>
      <c r="L1766" s="1354"/>
      <c r="M1766" s="1354"/>
      <c r="N1766" s="1354"/>
      <c r="O1766" s="1354"/>
      <c r="P1766" s="1789"/>
      <c r="Q1766" s="1789"/>
      <c r="R1766" s="1789"/>
      <c r="S1766" s="1354"/>
      <c r="T1766" s="1354"/>
      <c r="U1766" s="1354"/>
      <c r="V1766" s="1354"/>
      <c r="W1766" s="1354"/>
      <c r="X1766" s="1354"/>
      <c r="Y1766" s="1354"/>
    </row>
    <row r="1767" spans="1:25" ht="15.75" hidden="1" customHeight="1" outlineLevel="1">
      <c r="A1767" s="1839" t="s">
        <v>2591</v>
      </c>
      <c r="B1767" s="1696"/>
      <c r="C1767" s="1339">
        <f>VLOOKUP('Ввод данных'!A920,связи1!A100:B102,2,0)</f>
        <v>110.40000000000003</v>
      </c>
      <c r="D1767" s="1354"/>
      <c r="E1767" s="1354"/>
      <c r="F1767" s="1354"/>
      <c r="G1767" s="1354"/>
      <c r="H1767" s="1354"/>
      <c r="I1767" s="1858"/>
      <c r="J1767" s="1354"/>
      <c r="K1767" s="1354"/>
      <c r="L1767" s="1354"/>
      <c r="M1767" s="1354"/>
      <c r="N1767" s="1354"/>
      <c r="O1767" s="1354"/>
      <c r="P1767" s="1789"/>
      <c r="Q1767" s="1789"/>
      <c r="R1767" s="1789"/>
      <c r="S1767" s="1354"/>
      <c r="T1767" s="1354"/>
      <c r="U1767" s="1354"/>
      <c r="V1767" s="1354"/>
      <c r="W1767" s="1354"/>
      <c r="X1767" s="1354"/>
      <c r="Y1767" s="1354"/>
    </row>
    <row r="1768" spans="1:25" ht="15.75" hidden="1" customHeight="1" outlineLevel="1">
      <c r="A1768" s="1839" t="s">
        <v>3678</v>
      </c>
      <c r="B1768" s="1600" t="s">
        <v>133</v>
      </c>
      <c r="C1768" s="1696">
        <f>B1319*C1319*D1319+пристройка!D2*(пристройка!C9*пристройка!C25*пристройка!C3+пристройка!C10*пристройка!C5*пристройка!C26)+D1229*C1235</f>
        <v>100</v>
      </c>
      <c r="D1768" s="1290"/>
      <c r="E1768" s="1290">
        <f>SUM('Ввод данных'!H913:H945)</f>
        <v>12.900000000000002</v>
      </c>
      <c r="F1768" s="1290"/>
      <c r="G1768" s="1290"/>
      <c r="H1768" s="1290"/>
      <c r="I1768" s="1973"/>
      <c r="J1768" s="1290"/>
      <c r="K1768" s="1290"/>
      <c r="L1768" s="1290"/>
      <c r="M1768" s="1290"/>
      <c r="N1768" s="1290"/>
      <c r="O1768" s="1290"/>
      <c r="P1768" s="1789"/>
      <c r="Q1768" s="1789"/>
      <c r="R1768" s="1789"/>
      <c r="S1768" s="1290"/>
      <c r="T1768" s="1290"/>
      <c r="U1768" s="1290"/>
      <c r="V1768" s="1290"/>
      <c r="W1768" s="1290"/>
      <c r="X1768" s="1290"/>
      <c r="Y1768" s="1290"/>
    </row>
    <row r="1769" spans="1:25" ht="15.75" hidden="1" customHeight="1" outlineLevel="1">
      <c r="A1769" s="1839" t="s">
        <v>3628</v>
      </c>
      <c r="B1769" s="1600" t="s">
        <v>133</v>
      </c>
      <c r="C1769" s="1696">
        <f>C1780</f>
        <v>100</v>
      </c>
      <c r="D1769" s="1290" t="s">
        <v>135</v>
      </c>
      <c r="E1769" s="1290"/>
      <c r="F1769" s="1290"/>
      <c r="G1769" s="1290"/>
      <c r="H1769" s="1290"/>
      <c r="I1769" s="1973"/>
      <c r="J1769" s="1290"/>
      <c r="K1769" s="1290"/>
      <c r="L1769" s="1290"/>
      <c r="M1769" s="1290"/>
      <c r="N1769" s="1290"/>
      <c r="O1769" s="1290"/>
      <c r="P1769" s="1789"/>
      <c r="Q1769" s="1789"/>
      <c r="R1769" s="1789"/>
      <c r="S1769" s="1290"/>
      <c r="T1769" s="1290"/>
      <c r="U1769" s="1290"/>
      <c r="V1769" s="1290"/>
      <c r="W1769" s="1290"/>
      <c r="X1769" s="1290"/>
      <c r="Y1769" s="1290"/>
    </row>
    <row r="1770" spans="1:25" ht="15.75" hidden="1" customHeight="1" outlineLevel="1">
      <c r="A1770" s="1839" t="s">
        <v>3680</v>
      </c>
      <c r="B1770" s="1600" t="s">
        <v>156</v>
      </c>
      <c r="C1770" s="1696">
        <f>C1515</f>
        <v>56</v>
      </c>
      <c r="D1770" s="1290">
        <f>C1770*C1753</f>
        <v>11.200000000000001</v>
      </c>
      <c r="E1770" s="1290"/>
      <c r="F1770" s="1290"/>
      <c r="G1770" s="1290"/>
      <c r="H1770" s="1290"/>
      <c r="I1770" s="1973"/>
      <c r="J1770" s="1290"/>
      <c r="K1770" s="1290"/>
      <c r="L1770" s="1290"/>
      <c r="M1770" s="1290"/>
      <c r="N1770" s="1290"/>
      <c r="O1770" s="1290"/>
      <c r="P1770" s="1789"/>
      <c r="Q1770" s="1789"/>
      <c r="R1770" s="1789"/>
      <c r="S1770" s="1290"/>
      <c r="T1770" s="1290"/>
      <c r="U1770" s="1290"/>
      <c r="V1770" s="1290"/>
      <c r="W1770" s="1290"/>
      <c r="X1770" s="1290"/>
      <c r="Y1770" s="1290"/>
    </row>
    <row r="1771" spans="1:25" ht="15.75" hidden="1" customHeight="1" outlineLevel="1">
      <c r="A1771" s="1839" t="s">
        <v>3752</v>
      </c>
      <c r="B1771" s="1600" t="s">
        <v>156</v>
      </c>
      <c r="C1771" s="1696">
        <f>((C1319+D1319+C1319+D1319)*B1319+пристройка!D2*пристройка!C85*пристройка!D84*пристройка!C3+D1229*C1275*E1274*C1232+пристройка!D2*пристройка!C85*пристройка!C5*пристройка!D84+D1229*C1233*C1275*E1274)</f>
        <v>40</v>
      </c>
      <c r="D1771" s="1290">
        <f>C1753</f>
        <v>0.2</v>
      </c>
      <c r="E1771" s="1290">
        <f>C1771*D1771</f>
        <v>8</v>
      </c>
      <c r="F1771" s="1290"/>
      <c r="G1771" s="1290"/>
      <c r="H1771" s="1290"/>
      <c r="I1771" s="1973"/>
      <c r="J1771" s="1290"/>
      <c r="K1771" s="1290"/>
      <c r="L1771" s="1290"/>
      <c r="M1771" s="1290"/>
      <c r="N1771" s="1290"/>
      <c r="O1771" s="1290"/>
      <c r="P1771" s="1789"/>
      <c r="Q1771" s="1789"/>
      <c r="R1771" s="1789"/>
      <c r="S1771" s="1290"/>
      <c r="T1771" s="1290"/>
      <c r="U1771" s="1290"/>
      <c r="V1771" s="1290"/>
      <c r="W1771" s="1290"/>
      <c r="X1771" s="1290"/>
      <c r="Y1771" s="1290"/>
    </row>
    <row r="1772" spans="1:25" ht="15.75" hidden="1" customHeight="1" outlineLevel="1">
      <c r="A1772" s="1839" t="s">
        <v>3753</v>
      </c>
      <c r="B1772" s="1600" t="s">
        <v>156</v>
      </c>
      <c r="C1772" s="1696">
        <f>(C1321*D1321+C1322*D1322+C1323*D1323+C1329*D1329+C1330*D1330+C1331*D1331+C1332*D1332)+(N1321*O1321+N1322*O1322+N1323*O1323+N1329*O1329+N1330*O1330+N1331*O1331+C1324*D1324+N1324*O1324+N1332*O1332)*(B1319-1)</f>
        <v>16</v>
      </c>
      <c r="D1772" s="1290">
        <f>C1755</f>
        <v>0.15</v>
      </c>
      <c r="E1772" s="1290">
        <f>C1772*D1772</f>
        <v>2.4</v>
      </c>
      <c r="F1772" s="1290"/>
      <c r="G1772" s="1290"/>
      <c r="H1772" s="1290"/>
      <c r="I1772" s="1973"/>
      <c r="J1772" s="1290"/>
      <c r="K1772" s="1290"/>
      <c r="L1772" s="1290"/>
      <c r="M1772" s="1290"/>
      <c r="N1772" s="1290"/>
      <c r="O1772" s="1290"/>
      <c r="P1772" s="1789"/>
      <c r="Q1772" s="1789"/>
      <c r="R1772" s="1789"/>
      <c r="S1772" s="1290"/>
      <c r="T1772" s="1290"/>
      <c r="U1772" s="1290"/>
      <c r="V1772" s="1290"/>
      <c r="W1772" s="1290"/>
      <c r="X1772" s="1290"/>
      <c r="Y1772" s="1290"/>
    </row>
    <row r="1773" spans="1:25" ht="15.75" hidden="1" customHeight="1" outlineLevel="1">
      <c r="A1773" s="1839" t="s">
        <v>3755</v>
      </c>
      <c r="B1773" s="1600" t="s">
        <v>156</v>
      </c>
      <c r="C1773" s="1696">
        <f>(C1325*D1325+C1326*D1326+C1327*D1327+C1328*D1328+C1333*D1333+C1334*D1334+C1335*D1335)+(C1336*D1336+N1325*O1325+N1326*O1326+N1327*O1327+N1328*O1328+N1333*O1333+N1334*O1334+N1335*O1335+N1336*O1336)*(B1319-1)+пристройка!D2*(пристройка!AM38)</f>
        <v>7.8</v>
      </c>
      <c r="D1773" s="1290">
        <f>C1757</f>
        <v>0.1</v>
      </c>
      <c r="E1773" s="1290">
        <f>C1773*D1773</f>
        <v>0.78</v>
      </c>
      <c r="F1773" s="3166" t="s">
        <v>3798</v>
      </c>
      <c r="G1773" s="3166"/>
      <c r="H1773" s="3166"/>
      <c r="I1773" s="3166"/>
      <c r="J1773" s="1290"/>
      <c r="K1773" s="1290"/>
      <c r="L1773" s="1290"/>
      <c r="M1773" s="1290"/>
      <c r="N1773" s="1290"/>
      <c r="O1773" s="1290"/>
      <c r="P1773" s="1789"/>
      <c r="Q1773" s="1789"/>
      <c r="R1773" s="1789"/>
      <c r="S1773" s="1290"/>
      <c r="T1773" s="1290"/>
      <c r="U1773" s="1290"/>
      <c r="V1773" s="1290"/>
      <c r="W1773" s="1290"/>
      <c r="X1773" s="1290"/>
      <c r="Y1773" s="1290"/>
    </row>
    <row r="1774" spans="1:25" ht="15.75" hidden="1" customHeight="1" outlineLevel="1">
      <c r="A1774" s="1839" t="s">
        <v>3633</v>
      </c>
      <c r="B1774" s="1600" t="s">
        <v>133</v>
      </c>
      <c r="C1774" s="1841">
        <f>связи1!C156</f>
        <v>0</v>
      </c>
      <c r="D1774" s="1290"/>
      <c r="E1774" s="1290">
        <f>SUM(E1771:E1773)</f>
        <v>11.18</v>
      </c>
      <c r="F1774" s="1290"/>
      <c r="G1774" s="1055">
        <f>C1774*I1774+C1774*2</f>
        <v>0</v>
      </c>
      <c r="H1774" s="1055"/>
      <c r="I1774" s="2006">
        <f>(1/C1752)*C1753*2</f>
        <v>2</v>
      </c>
      <c r="J1774" s="1290"/>
      <c r="K1774" s="1290"/>
      <c r="L1774" s="1290"/>
      <c r="M1774" s="1290"/>
      <c r="N1774" s="1290"/>
      <c r="O1774" s="1290"/>
      <c r="P1774" s="1789"/>
      <c r="Q1774" s="1789"/>
      <c r="R1774" s="1789"/>
      <c r="S1774" s="1290"/>
      <c r="T1774" s="1290"/>
      <c r="U1774" s="1290"/>
      <c r="V1774" s="1290"/>
      <c r="W1774" s="1290"/>
      <c r="X1774" s="1290"/>
      <c r="Y1774" s="1290"/>
    </row>
    <row r="1775" spans="1:25" ht="15.75" hidden="1" customHeight="1" outlineLevel="1">
      <c r="A1775" s="1839" t="s">
        <v>3687</v>
      </c>
      <c r="B1775" s="1600" t="s">
        <v>133</v>
      </c>
      <c r="C1775" s="1841">
        <f>C1774</f>
        <v>0</v>
      </c>
      <c r="D1775" s="1290"/>
      <c r="E1775" s="1290"/>
      <c r="F1775" s="1290"/>
      <c r="G1775" s="1360"/>
      <c r="H1775" s="1360"/>
      <c r="I1775" s="2006"/>
      <c r="J1775" s="1290"/>
      <c r="K1775" s="1290"/>
      <c r="L1775" s="1290"/>
      <c r="M1775" s="1290"/>
      <c r="N1775" s="1290"/>
      <c r="O1775" s="1290"/>
      <c r="P1775" s="1789"/>
      <c r="Q1775" s="1789"/>
      <c r="R1775" s="1789"/>
      <c r="S1775" s="1290"/>
      <c r="T1775" s="1290"/>
      <c r="U1775" s="1290"/>
      <c r="V1775" s="1290"/>
      <c r="W1775" s="1290"/>
      <c r="X1775" s="1290"/>
      <c r="Y1775" s="1290"/>
    </row>
    <row r="1776" spans="1:25" ht="15.75" hidden="1" customHeight="1" outlineLevel="1">
      <c r="A1776" s="1839" t="s">
        <v>3635</v>
      </c>
      <c r="B1776" s="1600"/>
      <c r="C1776" s="1841">
        <f>связи1!D156</f>
        <v>0</v>
      </c>
      <c r="D1776" s="1290"/>
      <c r="E1776" s="1290"/>
      <c r="F1776" s="1290"/>
      <c r="G1776" s="1055">
        <f>C1776*I1776+C1776*2</f>
        <v>0</v>
      </c>
      <c r="H1776" s="1055"/>
      <c r="I1776" s="2006">
        <f>1/C1754*C1755*2</f>
        <v>1.5</v>
      </c>
      <c r="J1776" s="1290"/>
      <c r="K1776" s="1290"/>
      <c r="L1776" s="1290"/>
      <c r="M1776" s="1290"/>
      <c r="N1776" s="1290"/>
      <c r="O1776" s="1290"/>
      <c r="P1776" s="1789"/>
      <c r="Q1776" s="1789"/>
      <c r="R1776" s="1789"/>
      <c r="S1776" s="1290"/>
      <c r="T1776" s="1290"/>
      <c r="U1776" s="1290"/>
      <c r="V1776" s="1290"/>
      <c r="W1776" s="1290"/>
      <c r="X1776" s="1290"/>
      <c r="Y1776" s="1290"/>
    </row>
    <row r="1777" spans="1:25" ht="15.75" hidden="1" customHeight="1" outlineLevel="1">
      <c r="A1777" s="1839" t="s">
        <v>3636</v>
      </c>
      <c r="B1777" s="1600" t="s">
        <v>133</v>
      </c>
      <c r="C1777" s="1841">
        <f>связи1!E156</f>
        <v>0</v>
      </c>
      <c r="D1777" s="1290"/>
      <c r="E1777" s="1290"/>
      <c r="F1777" s="1290"/>
      <c r="G1777" s="1055">
        <f>C1777*I1777+C1777*2</f>
        <v>0</v>
      </c>
      <c r="H1777" s="1055"/>
      <c r="I1777" s="2006">
        <f>1/C1756*C1757*2</f>
        <v>1</v>
      </c>
      <c r="J1777" s="1290"/>
      <c r="K1777" s="1290"/>
      <c r="L1777" s="1290"/>
      <c r="M1777" s="1290"/>
      <c r="N1777" s="1290"/>
      <c r="O1777" s="1290"/>
      <c r="P1777" s="1789"/>
      <c r="Q1777" s="1789"/>
      <c r="R1777" s="1789"/>
      <c r="S1777" s="1290"/>
      <c r="T1777" s="1290"/>
      <c r="U1777" s="1290"/>
      <c r="V1777" s="1290"/>
      <c r="W1777" s="1290"/>
      <c r="X1777" s="1290"/>
      <c r="Y1777" s="1290"/>
    </row>
    <row r="1778" spans="1:25" ht="15.75" hidden="1" customHeight="1" outlineLevel="1">
      <c r="A1778" s="1839" t="s">
        <v>3638</v>
      </c>
      <c r="B1778" s="1600" t="s">
        <v>133</v>
      </c>
      <c r="C1778" s="1841">
        <f>C1776+C1777</f>
        <v>0</v>
      </c>
      <c r="D1778" s="1290"/>
      <c r="E1778" s="1290"/>
      <c r="F1778" s="1290"/>
      <c r="G1778" s="1392"/>
      <c r="H1778" s="1392"/>
      <c r="I1778" s="1780"/>
      <c r="J1778" s="1392"/>
      <c r="K1778" s="1392"/>
      <c r="L1778" s="1392"/>
      <c r="M1778" s="1392"/>
      <c r="N1778" s="1392"/>
      <c r="O1778" s="1392"/>
      <c r="P1778" s="1789"/>
      <c r="Q1778" s="1789"/>
      <c r="R1778" s="1789"/>
      <c r="S1778" s="1290"/>
      <c r="T1778" s="1290"/>
      <c r="U1778" s="1290"/>
      <c r="V1778" s="1290"/>
      <c r="W1778" s="1290"/>
      <c r="X1778" s="1290"/>
      <c r="Y1778" s="1290"/>
    </row>
    <row r="1779" spans="1:25" ht="15.75" hidden="1" customHeight="1" outlineLevel="1">
      <c r="A1779" s="1839" t="s">
        <v>3639</v>
      </c>
      <c r="B1779" s="1600" t="s">
        <v>133</v>
      </c>
      <c r="C1779" s="1696">
        <f>C16*C17*E44+C16*C17*E45*(C15-1)+B1115*(1-E44)*(E1189+C1189)+I1115*(1-E44)*(F1132*F1133)+(1-E44)*L1115*L1189+(J1215+K1215)*G1202+D1229*(C1236*E1236+C1237*E1237)+(C15-1)*B1115*(C1189+E1189)*(1-E45)+(C15-1)*(F1132*F1133)*I1115*(1-E45)+(C15-1)*L1115*L1189*(1-E45)-F1363+пристройка!L14+пристройка!L15</f>
        <v>90.43</v>
      </c>
      <c r="D1779" s="1290"/>
      <c r="E1779" s="1290"/>
      <c r="F1779" s="1290"/>
      <c r="G1779" s="1360">
        <f>SUM(G1774:G1778)</f>
        <v>0</v>
      </c>
      <c r="H1779" s="1392"/>
      <c r="I1779" s="1392"/>
      <c r="J1779" s="1805"/>
      <c r="K1779" s="1805"/>
      <c r="L1779" s="1805"/>
      <c r="M1779" s="1805"/>
      <c r="N1779" s="1805"/>
      <c r="O1779" s="1380"/>
      <c r="P1779" s="1789"/>
      <c r="Q1779" s="1789"/>
      <c r="R1779" s="1789"/>
      <c r="S1779" s="1290"/>
      <c r="T1779" s="1290"/>
      <c r="U1779" s="1290"/>
      <c r="V1779" s="1290"/>
      <c r="W1779" s="1290"/>
      <c r="X1779" s="1290"/>
      <c r="Y1779" s="1290"/>
    </row>
    <row r="1780" spans="1:25" ht="15.75" hidden="1" customHeight="1" outlineLevel="1">
      <c r="A1780" s="1839" t="s">
        <v>3690</v>
      </c>
      <c r="B1780" s="1600" t="s">
        <v>133</v>
      </c>
      <c r="C1780" s="1696">
        <f>C15*C16*C17+D1229*C1235+(пристройка!L12+пристройка!L13)*пристройка!D2</f>
        <v>100</v>
      </c>
      <c r="D1780" s="1290"/>
      <c r="E1780" s="1290"/>
      <c r="F1780" s="1290"/>
      <c r="G1780" s="1392"/>
      <c r="H1780" s="1392"/>
      <c r="I1780" s="1392"/>
      <c r="J1780" s="1805"/>
      <c r="K1780" s="1805"/>
      <c r="L1780" s="1805"/>
      <c r="M1780" s="1805"/>
      <c r="N1780" s="1805"/>
      <c r="O1780" s="1380"/>
      <c r="P1780" s="1789"/>
      <c r="Q1780" s="1789"/>
      <c r="R1780" s="1789"/>
      <c r="S1780" s="1290"/>
      <c r="T1780" s="1290"/>
      <c r="U1780" s="1290"/>
      <c r="V1780" s="1290"/>
      <c r="W1780" s="1290"/>
      <c r="X1780" s="1290"/>
      <c r="Y1780" s="1290"/>
    </row>
    <row r="1781" spans="1:25" ht="15.75" hidden="1" customHeight="1" outlineLevel="1">
      <c r="A1781" s="1839" t="s">
        <v>3642</v>
      </c>
      <c r="B1781" s="1600" t="s">
        <v>133</v>
      </c>
      <c r="C1781" s="1696">
        <f>C1319*D1319+пристройка!D2*пристройка!C9+D1229*C1279</f>
        <v>100</v>
      </c>
      <c r="D1781" s="1290"/>
      <c r="E1781" s="1290"/>
      <c r="F1781" s="1290"/>
      <c r="G1781" s="1392"/>
      <c r="H1781" s="1392"/>
      <c r="I1781" s="1857"/>
      <c r="J1781" s="1805"/>
      <c r="K1781" s="1805"/>
      <c r="L1781" s="1805"/>
      <c r="M1781" s="1805"/>
      <c r="N1781" s="1805"/>
      <c r="O1781" s="1380"/>
      <c r="P1781" s="1789"/>
      <c r="Q1781" s="1789"/>
      <c r="R1781" s="1789"/>
      <c r="S1781" s="1290"/>
      <c r="T1781" s="1290"/>
      <c r="U1781" s="1290"/>
      <c r="V1781" s="1290"/>
      <c r="W1781" s="1290"/>
      <c r="X1781" s="1290"/>
      <c r="Y1781" s="1290"/>
    </row>
    <row r="1782" spans="1:25" ht="15.75" hidden="1" customHeight="1" outlineLevel="1">
      <c r="A1782" s="1839" t="s">
        <v>3643</v>
      </c>
      <c r="B1782" s="1600" t="s">
        <v>133</v>
      </c>
      <c r="C1782" s="1696">
        <f>C1319*D1319*E44+пристройка!D2*пристройка!C10+D1229*пристройка!C10*пристройка!C26-(B1319-1)*4</f>
        <v>100</v>
      </c>
      <c r="D1782" s="1290"/>
      <c r="E1782" s="1290"/>
      <c r="F1782" s="1290"/>
      <c r="G1782" s="1392"/>
      <c r="H1782" s="1392"/>
      <c r="I1782" s="1857"/>
      <c r="J1782" s="1805"/>
      <c r="K1782" s="1805"/>
      <c r="L1782" s="1805"/>
      <c r="M1782" s="1805"/>
      <c r="N1782" s="1805"/>
      <c r="O1782" s="1380"/>
      <c r="P1782" s="1789"/>
      <c r="Q1782" s="1789"/>
      <c r="R1782" s="1789"/>
      <c r="S1782" s="1290"/>
      <c r="T1782" s="1290"/>
      <c r="U1782" s="1290"/>
      <c r="V1782" s="1290"/>
      <c r="W1782" s="1290"/>
      <c r="X1782" s="1290"/>
      <c r="Y1782" s="1290"/>
    </row>
    <row r="1783" spans="1:25" ht="15.75" hidden="1" customHeight="1" outlineLevel="1">
      <c r="A1783" s="1839" t="s">
        <v>3644</v>
      </c>
      <c r="B1783" s="1600" t="s">
        <v>133</v>
      </c>
      <c r="C1783" s="1696">
        <f>C16*C17*E45+B1115*C1189*(C15-1)+I1115*F1132*F1133*(C15-1)*(I1115-E45)+L1115*L1189*(C15-1)*(L1115-E45)+пристройка!D2*пристройка!C11+D1229*C1279</f>
        <v>0</v>
      </c>
      <c r="D1783" s="1290"/>
      <c r="E1783" s="1290"/>
      <c r="F1783" s="1290"/>
      <c r="G1783" s="1392"/>
      <c r="H1783" s="1392"/>
      <c r="I1783" s="1857"/>
      <c r="J1783" s="1805"/>
      <c r="K1783" s="1805"/>
      <c r="L1783" s="1805"/>
      <c r="M1783" s="1805"/>
      <c r="N1783" s="1805"/>
      <c r="O1783" s="1380"/>
      <c r="P1783" s="1789"/>
      <c r="Q1783" s="1789"/>
      <c r="R1783" s="1789"/>
      <c r="S1783" s="1290"/>
      <c r="T1783" s="1290"/>
      <c r="U1783" s="1290"/>
      <c r="V1783" s="1290"/>
      <c r="W1783" s="1290"/>
      <c r="X1783" s="1290"/>
      <c r="Y1783" s="1290"/>
    </row>
    <row r="1784" spans="1:25" ht="15.75" hidden="1" customHeight="1" outlineLevel="1">
      <c r="A1784" s="1839" t="s">
        <v>3645</v>
      </c>
      <c r="B1784" s="1600" t="s">
        <v>133</v>
      </c>
      <c r="C1784" s="1696">
        <f>SUM(C1781:C1783)</f>
        <v>200</v>
      </c>
      <c r="D1784" s="1290"/>
      <c r="E1784" s="1290"/>
      <c r="F1784" s="1290"/>
      <c r="G1784" s="1290"/>
      <c r="H1784" s="1290"/>
      <c r="I1784" s="1973"/>
      <c r="J1784" s="1290"/>
      <c r="K1784" s="1290"/>
      <c r="L1784" s="1290"/>
      <c r="M1784" s="1290"/>
      <c r="N1784" s="1290"/>
      <c r="O1784" s="1290"/>
      <c r="P1784" s="1789"/>
      <c r="Q1784" s="1789"/>
      <c r="R1784" s="1789"/>
      <c r="S1784" s="1290"/>
      <c r="T1784" s="1290"/>
      <c r="U1784" s="1290"/>
      <c r="V1784" s="1290"/>
      <c r="W1784" s="1290"/>
      <c r="X1784" s="1290"/>
      <c r="Y1784" s="1290"/>
    </row>
    <row r="1785" spans="1:25" ht="15.75" hidden="1" customHeight="1" outlineLevel="1">
      <c r="A1785" s="2007" t="s">
        <v>2720</v>
      </c>
      <c r="B1785" s="2008" t="s">
        <v>1094</v>
      </c>
      <c r="C1785" s="2008" t="s">
        <v>120</v>
      </c>
      <c r="D1785" s="2008" t="s">
        <v>3764</v>
      </c>
      <c r="E1785" s="2009" t="s">
        <v>2722</v>
      </c>
      <c r="F1785" s="1290"/>
      <c r="G1785" s="2002" t="s">
        <v>1409</v>
      </c>
      <c r="H1785" s="2010"/>
      <c r="I1785" s="2011"/>
      <c r="J1785" s="2009" t="s">
        <v>1802</v>
      </c>
      <c r="K1785" s="2009" t="s">
        <v>2721</v>
      </c>
      <c r="L1785" s="2009"/>
      <c r="M1785" s="2009"/>
      <c r="N1785" s="2009"/>
      <c r="O1785" s="2009" t="s">
        <v>2722</v>
      </c>
      <c r="P1785" s="1290"/>
      <c r="Q1785" s="1290"/>
      <c r="R1785" s="1290"/>
      <c r="S1785" s="1290"/>
      <c r="T1785" s="1290"/>
      <c r="U1785" s="1290"/>
      <c r="V1785" s="1290"/>
      <c r="W1785" s="1290"/>
      <c r="X1785" s="1290"/>
      <c r="Y1785" s="1290"/>
    </row>
    <row r="1786" spans="1:25" ht="15.75" hidden="1" customHeight="1" outlineLevel="1">
      <c r="A1786" s="1839" t="str">
        <f>'Ввод данных'!A905</f>
        <v>Листв. влаж, 200*200мм</v>
      </c>
      <c r="B1786" s="1696" t="s">
        <v>135</v>
      </c>
      <c r="C1786" s="1696">
        <f>(C1771+C1772+C1773)*VLOOKUP(A1786,'Прайс лист'!B333:G419,5,0)</f>
        <v>2.5520000000000005</v>
      </c>
      <c r="D1786" s="1696">
        <f>VLOOKUP(A1786,'Прайс лист'!B333:G419,6,0)</f>
        <v>9000</v>
      </c>
      <c r="E1786" s="1353">
        <f t="shared" ref="E1786:E1812" si="206">C1786*D1786</f>
        <v>22968.000000000004</v>
      </c>
      <c r="F1786" s="1290"/>
      <c r="G1786" s="1632" t="s">
        <v>1502</v>
      </c>
      <c r="H1786" s="1778"/>
      <c r="I1786" s="1853"/>
      <c r="J1786" s="1353">
        <f>(C1786+C1787+C1788+C1789)*I1750</f>
        <v>25.502400000000016</v>
      </c>
      <c r="K1786" s="1353">
        <f>'Прайс лист'!G1693</f>
        <v>4000</v>
      </c>
      <c r="L1786" s="1353"/>
      <c r="M1786" s="1353"/>
      <c r="N1786" s="1353"/>
      <c r="O1786" s="1353">
        <f t="shared" ref="O1786:O1794" si="207">J1786*K1786</f>
        <v>102009.60000000006</v>
      </c>
      <c r="P1786" s="1290"/>
      <c r="Q1786" s="1290"/>
      <c r="R1786" s="1290"/>
      <c r="S1786" s="1290"/>
      <c r="T1786" s="1290"/>
      <c r="U1786" s="1290"/>
      <c r="V1786" s="1290"/>
      <c r="W1786" s="1290"/>
      <c r="X1786" s="1290"/>
      <c r="Y1786" s="1290"/>
    </row>
    <row r="1787" spans="1:25" ht="15.75" hidden="1" customHeight="1" outlineLevel="1">
      <c r="A1787" s="1839" t="str">
        <f>'Ввод данных'!A899</f>
        <v>Сосна влаж, 200*200мм</v>
      </c>
      <c r="B1787" s="1696" t="s">
        <v>135</v>
      </c>
      <c r="C1787" s="1696">
        <f>((C1775+C1767)*C1753)*1.05*G1750-C1786</f>
        <v>22.950400000000016</v>
      </c>
      <c r="D1787" s="1696">
        <f>VLOOKUP(A1787,'Прайс лист'!B333:G419,6,0)</f>
        <v>6500</v>
      </c>
      <c r="E1787" s="1353">
        <f t="shared" si="206"/>
        <v>149177.60000000009</v>
      </c>
      <c r="F1787" s="1290"/>
      <c r="G1787" s="1632" t="s">
        <v>1504</v>
      </c>
      <c r="H1787" s="1778"/>
      <c r="I1787" s="1853"/>
      <c r="J1787" s="1353">
        <f>(C1758*D1758+C1760*D1760+C1759*D1759+C1761*D1761+C1762*D1762+C1763*D1763)*I1750</f>
        <v>0</v>
      </c>
      <c r="K1787" s="1353">
        <f>'Прайс лист'!G1695</f>
        <v>150</v>
      </c>
      <c r="L1787" s="1353"/>
      <c r="M1787" s="1353"/>
      <c r="N1787" s="1353"/>
      <c r="O1787" s="1353">
        <f t="shared" si="207"/>
        <v>0</v>
      </c>
      <c r="P1787" s="1290"/>
      <c r="Q1787" s="1290"/>
      <c r="R1787" s="1290"/>
      <c r="S1787" s="1290"/>
      <c r="T1787" s="1290"/>
      <c r="U1787" s="1290"/>
      <c r="V1787" s="1290"/>
      <c r="W1787" s="1290"/>
      <c r="X1787" s="1290"/>
      <c r="Y1787" s="1290"/>
    </row>
    <row r="1788" spans="1:25" ht="15.75" hidden="1" customHeight="1" outlineLevel="1">
      <c r="A1788" s="1839" t="str">
        <f>'Ввод данных'!A901</f>
        <v>Сосна влаж, 200*150мм</v>
      </c>
      <c r="B1788" s="1696" t="s">
        <v>135</v>
      </c>
      <c r="C1788" s="1696">
        <f>C1776*C1755*G1750</f>
        <v>0</v>
      </c>
      <c r="D1788" s="1696">
        <f>VLOOKUP(A1788,'Прайс лист'!B333:G419,6,0)</f>
        <v>6500</v>
      </c>
      <c r="E1788" s="1353">
        <f t="shared" si="206"/>
        <v>0</v>
      </c>
      <c r="F1788" s="1290"/>
      <c r="G1788" s="1055" t="str">
        <f>'Прайс лист'!B1700</f>
        <v>обработка торцов на брусе</v>
      </c>
      <c r="H1788" s="1055"/>
      <c r="I1788" s="1055"/>
      <c r="J1788" s="1055">
        <f>I38*I1750</f>
        <v>14.400000000000002</v>
      </c>
      <c r="K1788" s="1055">
        <f>'Прайс лист'!G1700</f>
        <v>250</v>
      </c>
      <c r="L1788" s="1055"/>
      <c r="M1788" s="1055"/>
      <c r="N1788" s="1055"/>
      <c r="O1788" s="1353">
        <f t="shared" si="207"/>
        <v>3600.0000000000005</v>
      </c>
      <c r="P1788" s="1290"/>
      <c r="Q1788" s="1290"/>
      <c r="R1788" s="1290"/>
      <c r="S1788" s="1290"/>
      <c r="T1788" s="1290"/>
      <c r="U1788" s="1290"/>
      <c r="V1788" s="1290"/>
      <c r="W1788" s="1290"/>
      <c r="X1788" s="1290"/>
      <c r="Y1788" s="1290"/>
    </row>
    <row r="1789" spans="1:25" ht="15.75" hidden="1" customHeight="1" outlineLevel="1">
      <c r="A1789" s="1839" t="str">
        <f>'Ввод данных'!A903</f>
        <v>Сосна влаж, 200*100мм</v>
      </c>
      <c r="B1789" s="1696" t="s">
        <v>133</v>
      </c>
      <c r="C1789" s="1696">
        <f>C1777*C1757*G1750</f>
        <v>0</v>
      </c>
      <c r="D1789" s="1696">
        <f>VLOOKUP(A1789,'Прайс лист'!B333:G419,6,0)</f>
        <v>6500</v>
      </c>
      <c r="E1789" s="1353">
        <f t="shared" si="206"/>
        <v>0</v>
      </c>
      <c r="F1789" s="1290"/>
      <c r="G1789" s="1353" t="str">
        <f>'Прайс лист'!B1702</f>
        <v>Обаботка огнебиозащитой</v>
      </c>
      <c r="H1789" s="1353"/>
      <c r="I1789" s="1694"/>
      <c r="J1789" s="1353">
        <f>SUM(C1786:C1789)*IF('Ввод данных'!A950='Прайс лист'!B728,0,1)</f>
        <v>25.502400000000016</v>
      </c>
      <c r="K1789" s="1353">
        <f>'Прайс лист'!G1702</f>
        <v>300</v>
      </c>
      <c r="L1789" s="1353"/>
      <c r="M1789" s="1353"/>
      <c r="N1789" s="1353"/>
      <c r="O1789" s="1353">
        <f t="shared" si="207"/>
        <v>7650.7200000000048</v>
      </c>
      <c r="P1789" s="1290"/>
      <c r="Q1789" s="1290"/>
      <c r="R1789" s="1290"/>
      <c r="S1789" s="1290"/>
      <c r="T1789" s="1290"/>
      <c r="U1789" s="1290"/>
      <c r="V1789" s="1290"/>
      <c r="W1789" s="1290"/>
      <c r="X1789" s="1290"/>
      <c r="Y1789" s="1290"/>
    </row>
    <row r="1790" spans="1:25" ht="15.75" hidden="1" customHeight="1" outlineLevel="1">
      <c r="A1790" s="1839" t="str">
        <f>'Ввод данных'!A943</f>
        <v>Шкант</v>
      </c>
      <c r="B1790" s="1696" t="s">
        <v>159</v>
      </c>
      <c r="C1790" s="1696">
        <f>CEILING((C1786+C1787+C1788+C1789)*20*G1750,1)</f>
        <v>562</v>
      </c>
      <c r="D1790" s="1696">
        <f>VLOOKUP('Ввод данных'!A943,связи1!A459:B461,2,0)</f>
        <v>6</v>
      </c>
      <c r="E1790" s="1353">
        <f t="shared" si="206"/>
        <v>3372</v>
      </c>
      <c r="F1790" s="1290"/>
      <c r="G1790" s="1353" t="str">
        <f>'Прайс лист'!B1703</f>
        <v>Пропитка стен внешних</v>
      </c>
      <c r="H1790" s="1353"/>
      <c r="I1790" s="1694"/>
      <c r="J1790" s="1353">
        <f>C1774*IF('Ввод данных'!A955='Прайс лист'!B1534,0,1)</f>
        <v>0</v>
      </c>
      <c r="K1790" s="1353">
        <f>'Прайс лист'!G1703</f>
        <v>100</v>
      </c>
      <c r="L1790" s="1353"/>
      <c r="M1790" s="1353"/>
      <c r="N1790" s="1353"/>
      <c r="O1790" s="1353">
        <f t="shared" si="207"/>
        <v>0</v>
      </c>
      <c r="P1790" s="1290"/>
      <c r="Q1790" s="1290"/>
      <c r="R1790" s="1290"/>
      <c r="S1790" s="1290"/>
      <c r="T1790" s="1290"/>
      <c r="U1790" s="1290"/>
      <c r="V1790" s="1290"/>
      <c r="W1790" s="1290"/>
      <c r="X1790" s="1290"/>
      <c r="Y1790" s="1290"/>
    </row>
    <row r="1791" spans="1:25" ht="15.75" hidden="1" customHeight="1" outlineLevel="1">
      <c r="A1791" s="1839" t="str">
        <f>'Ввод данных'!A940</f>
        <v>Лен-джут 200х5х20000 мм</v>
      </c>
      <c r="B1791" s="1696" t="s">
        <v>159</v>
      </c>
      <c r="C1791" s="1696">
        <f>CEILING((C1774+C1776+C1777)/VLOOKUP(A1787,'Прайс лист'!B333:G419,3,0)/20*G1750*1.3,1)</f>
        <v>0</v>
      </c>
      <c r="D1791" s="1696">
        <f>VLOOKUP(A1791,связи1!A488:B493,2,0)</f>
        <v>175</v>
      </c>
      <c r="E1791" s="1353">
        <f t="shared" si="206"/>
        <v>0</v>
      </c>
      <c r="F1791" s="1290"/>
      <c r="G1791" s="1353" t="str">
        <f>'Прайс лист'!B1704</f>
        <v>Пропитка внутенних стен</v>
      </c>
      <c r="H1791" s="1353"/>
      <c r="I1791" s="1278"/>
      <c r="J1791" s="1055">
        <f>(C1774+C1778*2)*IF('Ввод данных'!A960='Прайс лист'!B1534,0,1)</f>
        <v>0</v>
      </c>
      <c r="K1791" s="1353">
        <f>'Прайс лист'!G1704</f>
        <v>100</v>
      </c>
      <c r="L1791" s="1055"/>
      <c r="M1791" s="1055"/>
      <c r="N1791" s="1055"/>
      <c r="O1791" s="1353">
        <f t="shared" si="207"/>
        <v>0</v>
      </c>
      <c r="P1791" s="1290"/>
      <c r="Q1791" s="1290"/>
      <c r="R1791" s="1290"/>
      <c r="S1791" s="1290"/>
      <c r="T1791" s="1290"/>
      <c r="U1791" s="1290"/>
      <c r="V1791" s="1290"/>
      <c r="W1791" s="1290"/>
      <c r="X1791" s="1290"/>
      <c r="Y1791" s="1290"/>
    </row>
    <row r="1792" spans="1:25" ht="15.75" hidden="1" customHeight="1" outlineLevel="1">
      <c r="A1792" s="1839" t="str">
        <f>'Прайс лист'!B890</f>
        <v xml:space="preserve">Гвозди строительные 3,5 x 90            </v>
      </c>
      <c r="B1792" s="1696" t="s">
        <v>159</v>
      </c>
      <c r="C1792" s="1696">
        <f>4*G1750</f>
        <v>4.4000000000000004</v>
      </c>
      <c r="D1792" s="1696">
        <f>'Прайс лист'!G890</f>
        <v>70</v>
      </c>
      <c r="E1792" s="1353">
        <f t="shared" si="206"/>
        <v>308</v>
      </c>
      <c r="F1792" s="1290"/>
      <c r="G1792" s="1360" t="str">
        <f>'Ввод данных'!A965</f>
        <v>Сверление стен для скрытой проводки</v>
      </c>
      <c r="H1792" s="1360"/>
      <c r="I1792" s="1278"/>
      <c r="J1792" s="1696">
        <f>('Ввод данных'!C1285*3+'Ввод данных'!C1287*3)*IF('Ввод данных'!A965=связи1!A540,0,1)</f>
        <v>180</v>
      </c>
      <c r="K1792" s="1696">
        <f>'Прайс лист'!G1847</f>
        <v>300</v>
      </c>
      <c r="L1792" s="1055"/>
      <c r="M1792" s="1055"/>
      <c r="N1792" s="1055"/>
      <c r="O1792" s="1353">
        <f t="shared" si="207"/>
        <v>54000</v>
      </c>
      <c r="P1792" s="1290"/>
      <c r="Q1792" s="1290"/>
      <c r="R1792" s="1290"/>
      <c r="S1792" s="1290"/>
      <c r="T1792" s="1290"/>
      <c r="U1792" s="1290"/>
      <c r="V1792" s="1290"/>
      <c r="W1792" s="1290"/>
      <c r="X1792" s="1290"/>
      <c r="Y1792" s="1290"/>
    </row>
    <row r="1793" spans="1:25" ht="15.75" hidden="1" customHeight="1" outlineLevel="1">
      <c r="A1793" s="1360" t="str">
        <f>'Ввод данных'!A931</f>
        <v>нет</v>
      </c>
      <c r="B1793" s="1696" t="s">
        <v>135</v>
      </c>
      <c r="C1793" s="1696">
        <f>((C1758*D1758+C1759*D1759)*G1750*VLOOKUP(A1793,связи1!A407:E416,5,0))</f>
        <v>0</v>
      </c>
      <c r="D1793" s="1696">
        <f>VLOOKUP(A1793,связи1!A407:E416,2,0)</f>
        <v>0</v>
      </c>
      <c r="E1793" s="1353">
        <f t="shared" si="206"/>
        <v>0</v>
      </c>
      <c r="F1793" s="1290"/>
      <c r="G1793" s="1353" t="str">
        <f>'Прайс лист'!B1720</f>
        <v>Монтаж наличника</v>
      </c>
      <c r="H1793" s="1353"/>
      <c r="I1793" s="1694"/>
      <c r="J1793" s="1353">
        <f>C1803*IF('Ввод данных'!A968='Прайс лист'!B717,0,1)+дома!C1804*IF('Ввод данных'!A970='Прайс лист'!B717,0,1)</f>
        <v>0</v>
      </c>
      <c r="K1793" s="1353">
        <f>'Прайс лист'!G1720</f>
        <v>80</v>
      </c>
      <c r="L1793" s="1353"/>
      <c r="M1793" s="1353"/>
      <c r="N1793" s="1353"/>
      <c r="O1793" s="1353">
        <f t="shared" si="207"/>
        <v>0</v>
      </c>
      <c r="P1793" s="1290"/>
      <c r="Q1793" s="1290"/>
      <c r="R1793" s="1290"/>
      <c r="S1793" s="1290"/>
      <c r="T1793" s="1290"/>
      <c r="U1793" s="1290"/>
      <c r="V1793" s="1290"/>
      <c r="W1793" s="1290"/>
      <c r="X1793" s="1290"/>
      <c r="Y1793" s="1290"/>
    </row>
    <row r="1794" spans="1:25" ht="15.75" hidden="1" customHeight="1" outlineLevel="1">
      <c r="A1794" s="1360" t="str">
        <f>'Ввод данных'!A933</f>
        <v>Доска сухая, 100*50мм</v>
      </c>
      <c r="B1794" s="1696" t="s">
        <v>135</v>
      </c>
      <c r="C1794" s="1696">
        <f>((C1760*D1760+C1762*D1762)*G1750*VLOOKUP(A1794,связи1!A407:E416,5,0))</f>
        <v>0</v>
      </c>
      <c r="D1794" s="1696">
        <f>VLOOKUP(A1794,связи1!A407:E416,2,0)</f>
        <v>9000</v>
      </c>
      <c r="E1794" s="1353">
        <f t="shared" si="206"/>
        <v>0</v>
      </c>
      <c r="F1794" s="1290"/>
      <c r="G1794" s="1353" t="str">
        <f>'Прайс лист'!B1705</f>
        <v>Шлифовка стен дома</v>
      </c>
      <c r="H1794" s="1353"/>
      <c r="I1794" s="1694"/>
      <c r="J1794" s="1353">
        <f>C1774*IF('Ввод данных'!A973=связи1!A542,1,0)+(C1774+C1778*2)*IF('Ввод данных'!A976=связи1!A545,1,0)</f>
        <v>0</v>
      </c>
      <c r="K1794" s="1353">
        <f>'Прайс лист'!G1705</f>
        <v>250</v>
      </c>
      <c r="L1794" s="1353"/>
      <c r="M1794" s="1353"/>
      <c r="N1794" s="1353"/>
      <c r="O1794" s="1353">
        <f t="shared" si="207"/>
        <v>0</v>
      </c>
      <c r="P1794" s="1290"/>
      <c r="Q1794" s="1290"/>
      <c r="R1794" s="1290"/>
      <c r="S1794" s="1290"/>
      <c r="T1794" s="1290"/>
      <c r="U1794" s="1290"/>
      <c r="V1794" s="1290"/>
      <c r="W1794" s="1290"/>
      <c r="X1794" s="1290"/>
      <c r="Y1794" s="1290"/>
    </row>
    <row r="1795" spans="1:25" ht="15.75" hidden="1" customHeight="1" outlineLevel="1">
      <c r="A1795" s="1360" t="str">
        <f>'Ввод данных'!A935</f>
        <v>Доска сухая калиброванная, 100*45мм</v>
      </c>
      <c r="B1795" s="1696" t="s">
        <v>135</v>
      </c>
      <c r="C1795" s="1696">
        <f>VLOOKUP(A1795,связи1!A407:E416,5,0)*(C1761*D1761+C1763*D1763)*G1750</f>
        <v>0</v>
      </c>
      <c r="D1795" s="1696">
        <f>VLOOKUP(A1795,связи1!A407:E416,2,0)</f>
        <v>12500</v>
      </c>
      <c r="E1795" s="1353">
        <f t="shared" si="206"/>
        <v>0</v>
      </c>
      <c r="F1795" s="1290"/>
      <c r="G1795" s="1353"/>
      <c r="H1795" s="1353"/>
      <c r="I1795" s="1694"/>
      <c r="J1795" s="1353"/>
      <c r="K1795" s="1353"/>
      <c r="L1795" s="1353"/>
      <c r="M1795" s="1353"/>
      <c r="N1795" s="1353"/>
      <c r="O1795" s="1353"/>
      <c r="P1795" s="1290"/>
      <c r="Q1795" s="1290"/>
      <c r="R1795" s="1290"/>
      <c r="S1795" s="1290"/>
      <c r="T1795" s="1290"/>
      <c r="U1795" s="1290"/>
      <c r="V1795" s="1290"/>
      <c r="W1795" s="1290"/>
      <c r="X1795" s="1290"/>
      <c r="Y1795" s="1290"/>
    </row>
    <row r="1796" spans="1:25" ht="15.75" hidden="1" customHeight="1" outlineLevel="1">
      <c r="A1796" s="1360" t="str">
        <f>'Ввод данных'!A937</f>
        <v>Сосна влаж, 50*50мм</v>
      </c>
      <c r="B1796" s="1696" t="s">
        <v>156</v>
      </c>
      <c r="C1796" s="1696">
        <f>(C1758*D1758+C1760*D1760+C1759*D1759+C1761*D1761+C1762*D1762+C1763*D1763)*G1750*1.2</f>
        <v>0</v>
      </c>
      <c r="D1796" s="1696">
        <f>VLOOKUP(A1796,связи1!A418:D421,4,0)</f>
        <v>16.25</v>
      </c>
      <c r="E1796" s="1353">
        <f t="shared" si="206"/>
        <v>0</v>
      </c>
      <c r="F1796" s="1290"/>
      <c r="G1796" s="1353"/>
      <c r="H1796" s="1353"/>
      <c r="I1796" s="1694"/>
      <c r="J1796" s="1353"/>
      <c r="K1796" s="1353"/>
      <c r="L1796" s="1353"/>
      <c r="M1796" s="1353"/>
      <c r="N1796" s="1353"/>
      <c r="O1796" s="1353"/>
      <c r="P1796" s="1290"/>
      <c r="Q1796" s="1290"/>
      <c r="R1796" s="1290"/>
      <c r="S1796" s="1290"/>
      <c r="T1796" s="1290"/>
      <c r="U1796" s="1290"/>
      <c r="V1796" s="1290"/>
      <c r="W1796" s="1290"/>
      <c r="X1796" s="1290"/>
      <c r="Y1796" s="1290"/>
    </row>
    <row r="1797" spans="1:25" ht="15.75" hidden="1" customHeight="1" outlineLevel="1">
      <c r="A1797" s="1360" t="str">
        <f>'Прайс лист'!B433</f>
        <v>Бензин для пилы</v>
      </c>
      <c r="B1797" s="1696" t="s">
        <v>396</v>
      </c>
      <c r="C1797" s="1696">
        <f>(C1786+C1787+C1788+C1789)/6*G1750</f>
        <v>4.6754400000000036</v>
      </c>
      <c r="D1797" s="1696">
        <f>'Прайс лист'!G433</f>
        <v>40</v>
      </c>
      <c r="E1797" s="1353">
        <f t="shared" si="206"/>
        <v>187.01760000000013</v>
      </c>
      <c r="F1797" s="1290"/>
      <c r="G1797" s="1353"/>
      <c r="H1797" s="1353"/>
      <c r="I1797" s="1694"/>
      <c r="J1797" s="1353"/>
      <c r="K1797" s="1353"/>
      <c r="L1797" s="1353"/>
      <c r="M1797" s="1353"/>
      <c r="N1797" s="1353"/>
      <c r="O1797" s="1353"/>
      <c r="P1797" s="1290"/>
      <c r="Q1797" s="1290"/>
      <c r="R1797" s="1290"/>
      <c r="S1797" s="1290"/>
      <c r="T1797" s="1290"/>
      <c r="U1797" s="1290"/>
      <c r="V1797" s="1290"/>
      <c r="W1797" s="1290"/>
      <c r="X1797" s="1290"/>
      <c r="Y1797" s="1290"/>
    </row>
    <row r="1798" spans="1:25" ht="15.75" hidden="1" customHeight="1" outlineLevel="1">
      <c r="A1798" s="1360" t="str">
        <f>'Прайс лист'!B434</f>
        <v>Масло для пилы</v>
      </c>
      <c r="B1798" s="1696" t="s">
        <v>396</v>
      </c>
      <c r="C1798" s="1696">
        <f>C1797*0.1*G1750</f>
        <v>0.51429840000000049</v>
      </c>
      <c r="D1798" s="1696">
        <f>'Прайс лист'!G434</f>
        <v>250</v>
      </c>
      <c r="E1798" s="1353">
        <f t="shared" si="206"/>
        <v>128.57460000000012</v>
      </c>
      <c r="F1798" s="1290"/>
      <c r="G1798" s="1839"/>
      <c r="H1798" s="1839"/>
      <c r="I1798" s="1694"/>
      <c r="J1798" s="1353"/>
      <c r="K1798" s="1353"/>
      <c r="L1798" s="1353"/>
      <c r="M1798" s="1353"/>
      <c r="N1798" s="1353"/>
      <c r="O1798" s="1353"/>
      <c r="P1798" s="1290"/>
      <c r="Q1798" s="1290"/>
      <c r="R1798" s="1290"/>
      <c r="S1798" s="1290"/>
      <c r="T1798" s="1290"/>
      <c r="U1798" s="1290"/>
      <c r="V1798" s="1290"/>
      <c r="W1798" s="1290"/>
      <c r="X1798" s="1290"/>
      <c r="Y1798" s="1290"/>
    </row>
    <row r="1799" spans="1:25" ht="15.75" hidden="1" customHeight="1" outlineLevel="1">
      <c r="A1799" s="1360" t="str">
        <f>'Прайс лист'!B435</f>
        <v>Цепь для пилы</v>
      </c>
      <c r="B1799" s="1696" t="s">
        <v>396</v>
      </c>
      <c r="C1799" s="1696">
        <f>CEILING((SUM(C1786:C1789)/20),1)*G1750</f>
        <v>2.2000000000000002</v>
      </c>
      <c r="D1799" s="1696">
        <f>'Прайс лист'!G435</f>
        <v>800</v>
      </c>
      <c r="E1799" s="1353">
        <f t="shared" si="206"/>
        <v>1760.0000000000002</v>
      </c>
      <c r="F1799" s="1290"/>
      <c r="G1799" s="1839"/>
      <c r="H1799" s="1839"/>
      <c r="I1799" s="1694"/>
      <c r="J1799" s="1353"/>
      <c r="K1799" s="1353"/>
      <c r="L1799" s="1353"/>
      <c r="M1799" s="1353"/>
      <c r="N1799" s="1353"/>
      <c r="O1799" s="1353"/>
      <c r="P1799" s="1290"/>
      <c r="Q1799" s="1290"/>
      <c r="R1799" s="1290"/>
      <c r="S1799" s="1290"/>
      <c r="T1799" s="1290"/>
      <c r="U1799" s="1290"/>
      <c r="V1799" s="1290"/>
      <c r="W1799" s="1290"/>
      <c r="X1799" s="1290"/>
      <c r="Y1799" s="1290"/>
    </row>
    <row r="1800" spans="1:25" ht="15.75" hidden="1" customHeight="1" outlineLevel="1">
      <c r="A1800" s="1360" t="str">
        <f>'Ввод данных'!A950</f>
        <v>"Профилюкс" Антисептик АНТИПЛЕСЕНЬ</v>
      </c>
      <c r="B1800" s="1696" t="s">
        <v>396</v>
      </c>
      <c r="C1800" s="1696">
        <f>G1779*'Ввод данных'!C951</f>
        <v>0</v>
      </c>
      <c r="D1800" s="1696">
        <f>VLOOKUP(A1800,'Прайс лист'!B728:G737,6,0)</f>
        <v>108</v>
      </c>
      <c r="E1800" s="1353">
        <f t="shared" si="206"/>
        <v>0</v>
      </c>
      <c r="F1800" s="1290"/>
      <c r="G1800" s="1839"/>
      <c r="H1800" s="1839"/>
      <c r="I1800" s="1694"/>
      <c r="J1800" s="1353"/>
      <c r="K1800" s="1353"/>
      <c r="L1800" s="1353"/>
      <c r="M1800" s="1353"/>
      <c r="N1800" s="1353"/>
      <c r="O1800" s="1353"/>
      <c r="P1800" s="1290"/>
      <c r="Q1800" s="1290"/>
      <c r="R1800" s="1290"/>
      <c r="S1800" s="1290"/>
      <c r="T1800" s="1290"/>
      <c r="U1800" s="1290"/>
      <c r="V1800" s="1290"/>
      <c r="W1800" s="1290"/>
      <c r="X1800" s="1290"/>
      <c r="Y1800" s="1290"/>
    </row>
    <row r="1801" spans="1:25" ht="15.75" hidden="1" customHeight="1" outlineLevel="1">
      <c r="A1801" s="1360" t="str">
        <f>'Ввод данных'!A955</f>
        <v>"Тонерол" Антисептик  бесцветный  1л</v>
      </c>
      <c r="B1801" s="1696" t="s">
        <v>396</v>
      </c>
      <c r="C1801" s="1696">
        <f>C1774*'Ввод данных'!C956*'Ввод данных'!C957</f>
        <v>0</v>
      </c>
      <c r="D1801" s="1696">
        <f>VLOOKUP(A1801,'Прайс лист'!B1534:G1561,6,0)</f>
        <v>305</v>
      </c>
      <c r="E1801" s="1353">
        <f t="shared" si="206"/>
        <v>0</v>
      </c>
      <c r="F1801" s="1290"/>
      <c r="G1801" s="1839"/>
      <c r="H1801" s="1839"/>
      <c r="I1801" s="1694"/>
      <c r="J1801" s="1353"/>
      <c r="K1801" s="1353"/>
      <c r="L1801" s="1353"/>
      <c r="M1801" s="1353"/>
      <c r="N1801" s="1353"/>
      <c r="O1801" s="1353"/>
      <c r="P1801" s="1290"/>
      <c r="Q1801" s="1290"/>
      <c r="R1801" s="1290"/>
      <c r="S1801" s="1290"/>
      <c r="T1801" s="1290"/>
      <c r="U1801" s="1290"/>
      <c r="V1801" s="1290"/>
      <c r="W1801" s="1290"/>
      <c r="X1801" s="1290"/>
      <c r="Y1801" s="1290"/>
    </row>
    <row r="1802" spans="1:25" ht="15.75" hidden="1" customHeight="1" outlineLevel="1">
      <c r="A1802" s="1360" t="str">
        <f>'Ввод данных'!A960</f>
        <v>"Тонерол" Антисептик  махагон  1л</v>
      </c>
      <c r="B1802" s="1696" t="s">
        <v>396</v>
      </c>
      <c r="C1802" s="1696">
        <f>(C1774+C1776*2+C1777*2)*'Ввод данных'!C961*'Ввод данных'!C962</f>
        <v>0</v>
      </c>
      <c r="D1802" s="1696">
        <f>VLOOKUP(A1802,'Прайс лист'!B1534:G1561,6,0)</f>
        <v>305</v>
      </c>
      <c r="E1802" s="1353">
        <f t="shared" si="206"/>
        <v>0</v>
      </c>
      <c r="F1802" s="1290"/>
      <c r="G1802" s="1839"/>
      <c r="H1802" s="1839"/>
      <c r="I1802" s="1694"/>
      <c r="J1802" s="1353"/>
      <c r="K1802" s="1353"/>
      <c r="L1802" s="1353"/>
      <c r="M1802" s="1353"/>
      <c r="N1802" s="1353"/>
      <c r="O1802" s="1353"/>
      <c r="P1802" s="1290"/>
      <c r="Q1802" s="1290"/>
      <c r="R1802" s="1290"/>
      <c r="S1802" s="1290"/>
      <c r="T1802" s="1290"/>
      <c r="U1802" s="1290"/>
      <c r="V1802" s="1290"/>
      <c r="W1802" s="1290"/>
      <c r="X1802" s="1290"/>
      <c r="Y1802" s="1290"/>
    </row>
    <row r="1803" spans="1:25" ht="15.75" hidden="1" customHeight="1" outlineLevel="1">
      <c r="A1803" s="1360" t="str">
        <f>'Ввод данных'!A968</f>
        <v>Нет наличника</v>
      </c>
      <c r="B1803" s="1696" t="s">
        <v>156</v>
      </c>
      <c r="C1803" s="1696">
        <f>отделка!C387*1.05</f>
        <v>3.5700000000000007</v>
      </c>
      <c r="D1803" s="1696">
        <f>VLOOKUP(A1803,'Прайс лист'!B717:G723,6,0)</f>
        <v>0</v>
      </c>
      <c r="E1803" s="1353">
        <f t="shared" si="206"/>
        <v>0</v>
      </c>
      <c r="F1803" s="1290"/>
      <c r="G1803" s="1839"/>
      <c r="H1803" s="1839"/>
      <c r="I1803" s="1694"/>
      <c r="J1803" s="1353"/>
      <c r="K1803" s="1353"/>
      <c r="L1803" s="1353"/>
      <c r="M1803" s="1353"/>
      <c r="N1803" s="1353"/>
      <c r="O1803" s="1353"/>
      <c r="P1803" s="1290"/>
      <c r="Q1803" s="1290"/>
      <c r="R1803" s="1290"/>
      <c r="S1803" s="1290"/>
      <c r="T1803" s="1290"/>
      <c r="U1803" s="1290"/>
      <c r="V1803" s="1290"/>
      <c r="W1803" s="1290"/>
      <c r="X1803" s="1290"/>
      <c r="Y1803" s="1290"/>
    </row>
    <row r="1804" spans="1:25" ht="15.75" hidden="1" customHeight="1" outlineLevel="1">
      <c r="A1804" s="1360" t="str">
        <f>'Ввод данных'!A970</f>
        <v>Нет наличника</v>
      </c>
      <c r="B1804" s="1696" t="s">
        <v>156</v>
      </c>
      <c r="C1804" s="1696">
        <f>C1803</f>
        <v>3.5700000000000007</v>
      </c>
      <c r="D1804" s="1696">
        <f>VLOOKUP(A1804,'Прайс лист'!B717:G723,6,0)</f>
        <v>0</v>
      </c>
      <c r="E1804" s="1353">
        <f t="shared" si="206"/>
        <v>0</v>
      </c>
      <c r="F1804" s="1290"/>
      <c r="G1804" s="1839"/>
      <c r="H1804" s="1839"/>
      <c r="I1804" s="1694"/>
      <c r="J1804" s="1353"/>
      <c r="K1804" s="1353"/>
      <c r="L1804" s="1353"/>
      <c r="M1804" s="1353"/>
      <c r="N1804" s="1353"/>
      <c r="O1804" s="1353"/>
      <c r="P1804" s="1290"/>
      <c r="Q1804" s="1290"/>
      <c r="R1804" s="1290"/>
      <c r="S1804" s="1290"/>
      <c r="T1804" s="1290"/>
      <c r="U1804" s="1290"/>
      <c r="V1804" s="1290"/>
      <c r="W1804" s="1290"/>
      <c r="X1804" s="1290"/>
      <c r="Y1804" s="1290"/>
    </row>
    <row r="1805" spans="1:25" ht="15.75" hidden="1" customHeight="1" outlineLevel="1">
      <c r="A1805" s="1360" t="str">
        <f>'Ввод данных'!A974</f>
        <v>Бумага наждачная № 63 F(30)</v>
      </c>
      <c r="B1805" s="1600" t="str">
        <f>'Ввод данных'!B974</f>
        <v>м</v>
      </c>
      <c r="C1805" s="1360">
        <f>'Ввод данных'!C974</f>
        <v>5</v>
      </c>
      <c r="D1805" s="1696">
        <f>VLOOKUP(A1805,'Прайс лист'!B1478:G1486,6,0)</f>
        <v>291</v>
      </c>
      <c r="E1805" s="1353">
        <f t="shared" si="206"/>
        <v>1455</v>
      </c>
      <c r="F1805" s="1290"/>
      <c r="G1805" s="1839"/>
      <c r="H1805" s="1839"/>
      <c r="I1805" s="1694"/>
      <c r="J1805" s="1353"/>
      <c r="K1805" s="1353"/>
      <c r="L1805" s="1353"/>
      <c r="M1805" s="1353"/>
      <c r="N1805" s="1353"/>
      <c r="O1805" s="1353"/>
      <c r="P1805" s="1290"/>
      <c r="Q1805" s="1290"/>
      <c r="R1805" s="1290"/>
      <c r="S1805" s="1290"/>
      <c r="T1805" s="1290"/>
      <c r="U1805" s="1290"/>
      <c r="V1805" s="1290"/>
      <c r="W1805" s="1290"/>
      <c r="X1805" s="1290"/>
      <c r="Y1805" s="1290"/>
    </row>
    <row r="1806" spans="1:25" ht="15.75" hidden="1" customHeight="1" outlineLevel="1">
      <c r="A1806" s="1360" t="str">
        <f>'Ввод данных'!A975</f>
        <v>Нет наждачной бумаги</v>
      </c>
      <c r="B1806" s="1600" t="str">
        <f>'Ввод данных'!B975</f>
        <v>м</v>
      </c>
      <c r="C1806" s="1360">
        <f>'Ввод данных'!C975</f>
        <v>0</v>
      </c>
      <c r="D1806" s="1696">
        <f>VLOOKUP(A1806,'Прайс лист'!B1478:G1486,6,0)</f>
        <v>0</v>
      </c>
      <c r="E1806" s="1353">
        <f t="shared" si="206"/>
        <v>0</v>
      </c>
      <c r="F1806" s="1290"/>
      <c r="G1806" s="1839"/>
      <c r="H1806" s="1839"/>
      <c r="I1806" s="1694"/>
      <c r="J1806" s="1353"/>
      <c r="K1806" s="1353"/>
      <c r="L1806" s="1353"/>
      <c r="M1806" s="1353"/>
      <c r="N1806" s="1353"/>
      <c r="O1806" s="1353"/>
      <c r="P1806" s="1290"/>
      <c r="Q1806" s="1290"/>
      <c r="R1806" s="1290"/>
      <c r="S1806" s="1290"/>
      <c r="T1806" s="1290"/>
      <c r="U1806" s="1290"/>
      <c r="V1806" s="1290"/>
      <c r="W1806" s="1290"/>
      <c r="X1806" s="1290"/>
      <c r="Y1806" s="1290"/>
    </row>
    <row r="1807" spans="1:25" ht="15.75" hidden="1" customHeight="1" outlineLevel="1">
      <c r="A1807" s="1360" t="str">
        <f>'Ввод данных'!A977</f>
        <v>Бумага наждачная № 63 F(30)</v>
      </c>
      <c r="B1807" s="1600" t="str">
        <f>'Ввод данных'!B977</f>
        <v>м</v>
      </c>
      <c r="C1807" s="1360">
        <f>'Ввод данных'!C977</f>
        <v>0</v>
      </c>
      <c r="D1807" s="1696">
        <f>VLOOKUP(A1807,'Прайс лист'!B1478:G1486,6,0)</f>
        <v>291</v>
      </c>
      <c r="E1807" s="1353">
        <f t="shared" si="206"/>
        <v>0</v>
      </c>
      <c r="F1807" s="1290"/>
      <c r="G1807" s="1839"/>
      <c r="H1807" s="1839"/>
      <c r="I1807" s="1694"/>
      <c r="J1807" s="1353"/>
      <c r="K1807" s="1353"/>
      <c r="L1807" s="1353"/>
      <c r="M1807" s="1353"/>
      <c r="N1807" s="1353"/>
      <c r="O1807" s="1353"/>
      <c r="P1807" s="1290"/>
      <c r="Q1807" s="1290"/>
      <c r="R1807" s="1290"/>
      <c r="S1807" s="1290"/>
      <c r="T1807" s="1290"/>
      <c r="U1807" s="1290"/>
      <c r="V1807" s="1290"/>
      <c r="W1807" s="1290"/>
      <c r="X1807" s="1290"/>
      <c r="Y1807" s="1290"/>
    </row>
    <row r="1808" spans="1:25" ht="15.75" hidden="1" customHeight="1" outlineLevel="1">
      <c r="A1808" s="1360" t="str">
        <f>'Ввод данных'!A978</f>
        <v>Бумага наждачная № 40</v>
      </c>
      <c r="B1808" s="1600" t="str">
        <f>'Ввод данных'!B978</f>
        <v>м</v>
      </c>
      <c r="C1808" s="1360">
        <f>'Ввод данных'!C978</f>
        <v>0</v>
      </c>
      <c r="D1808" s="1696">
        <f>VLOOKUP(A1808,'Прайс лист'!B1478:G1486,6,0)</f>
        <v>240</v>
      </c>
      <c r="E1808" s="1353">
        <f t="shared" si="206"/>
        <v>0</v>
      </c>
      <c r="F1808" s="1290"/>
      <c r="G1808" s="1839"/>
      <c r="H1808" s="1839"/>
      <c r="I1808" s="1694"/>
      <c r="J1808" s="1353"/>
      <c r="K1808" s="1353"/>
      <c r="L1808" s="1353"/>
      <c r="M1808" s="1353"/>
      <c r="N1808" s="1353"/>
      <c r="O1808" s="1353"/>
      <c r="P1808" s="1290"/>
      <c r="Q1808" s="1290"/>
      <c r="R1808" s="1290"/>
      <c r="S1808" s="1290"/>
      <c r="T1808" s="1290"/>
      <c r="U1808" s="1290"/>
      <c r="V1808" s="1290"/>
      <c r="W1808" s="1290"/>
      <c r="X1808" s="1290"/>
      <c r="Y1808" s="1290"/>
    </row>
    <row r="1809" spans="1:25" ht="15.75" hidden="1" customHeight="1" outlineLevel="1">
      <c r="A1809" s="1360" t="str">
        <f>'Ввод данных'!A985</f>
        <v>Командировочные расходы</v>
      </c>
      <c r="B1809" s="1696" t="s">
        <v>1796</v>
      </c>
      <c r="C1809" s="1696">
        <f>1</f>
        <v>1</v>
      </c>
      <c r="D1809" s="1696">
        <f>'Ввод данных'!C986*'Ввод данных'!C987*'Ввод данных'!C988*VLOOKUP('Ввод данных'!C985,связи1!A2:B3,2,0)</f>
        <v>0</v>
      </c>
      <c r="E1809" s="1353">
        <f t="shared" si="206"/>
        <v>0</v>
      </c>
      <c r="F1809" s="1290"/>
      <c r="G1809" s="1839"/>
      <c r="H1809" s="1839"/>
      <c r="I1809" s="1694"/>
      <c r="J1809" s="1353"/>
      <c r="K1809" s="1353"/>
      <c r="L1809" s="1353"/>
      <c r="M1809" s="1353"/>
      <c r="N1809" s="1353"/>
      <c r="O1809" s="1353"/>
      <c r="P1809" s="1290"/>
      <c r="Q1809" s="1290"/>
      <c r="R1809" s="1290"/>
      <c r="S1809" s="1290"/>
      <c r="T1809" s="1290"/>
      <c r="U1809" s="1290"/>
      <c r="V1809" s="1290"/>
      <c r="W1809" s="1290"/>
      <c r="X1809" s="1290"/>
      <c r="Y1809" s="1290"/>
    </row>
    <row r="1810" spans="1:25" ht="15.75" hidden="1" customHeight="1" outlineLevel="1">
      <c r="A1810" s="1839" t="str">
        <f>'Ввод данных'!A983</f>
        <v>расходные материалы дома из леса</v>
      </c>
      <c r="B1810" s="1696" t="s">
        <v>159</v>
      </c>
      <c r="C1810" s="1696">
        <f>1</f>
        <v>1</v>
      </c>
      <c r="D1810" s="1696">
        <f>'Ввод данных'!C983</f>
        <v>3000</v>
      </c>
      <c r="E1810" s="1353">
        <f t="shared" si="206"/>
        <v>3000</v>
      </c>
      <c r="F1810" s="1290"/>
      <c r="G1810" s="1353"/>
      <c r="H1810" s="1353"/>
      <c r="I1810" s="1694"/>
      <c r="J1810" s="1353"/>
      <c r="K1810" s="1353"/>
      <c r="L1810" s="1353"/>
      <c r="M1810" s="1353"/>
      <c r="N1810" s="1353"/>
      <c r="O1810" s="1353"/>
      <c r="P1810" s="1290"/>
      <c r="Q1810" s="1290"/>
      <c r="R1810" s="1290"/>
      <c r="S1810" s="1290"/>
      <c r="T1810" s="1290"/>
      <c r="U1810" s="1290"/>
      <c r="V1810" s="1290"/>
      <c r="W1810" s="1290"/>
      <c r="X1810" s="1290"/>
      <c r="Y1810" s="1290"/>
    </row>
    <row r="1811" spans="1:25" ht="15.75" hidden="1" customHeight="1" outlineLevel="1">
      <c r="A1811" s="1839" t="str">
        <f>'Ввод данных'!A981</f>
        <v>Нет техники</v>
      </c>
      <c r="B1811" s="1696" t="s">
        <v>159</v>
      </c>
      <c r="C1811" s="1696">
        <f>'Ввод данных'!C981</f>
        <v>6</v>
      </c>
      <c r="D1811" s="1696">
        <f>VLOOKUP(A1811,'Прайс лист'!B180:G194,6,0)</f>
        <v>0</v>
      </c>
      <c r="E1811" s="1353">
        <f t="shared" si="206"/>
        <v>0</v>
      </c>
      <c r="F1811" s="1290"/>
      <c r="G1811" s="1353"/>
      <c r="H1811" s="1353"/>
      <c r="I1811" s="1694"/>
      <c r="J1811" s="1353"/>
      <c r="K1811" s="1353"/>
      <c r="L1811" s="1353"/>
      <c r="M1811" s="1353"/>
      <c r="N1811" s="1353"/>
      <c r="O1811" s="1353"/>
      <c r="P1811" s="1290"/>
      <c r="Q1811" s="1290"/>
      <c r="R1811" s="1290"/>
      <c r="S1811" s="1290"/>
      <c r="T1811" s="1290"/>
      <c r="U1811" s="1290"/>
      <c r="V1811" s="1290"/>
      <c r="W1811" s="1290"/>
      <c r="X1811" s="1290"/>
      <c r="Y1811" s="1290"/>
    </row>
    <row r="1812" spans="1:25" ht="15.75" hidden="1" customHeight="1" outlineLevel="1">
      <c r="A1812" s="1839" t="str">
        <f>'Ввод данных'!A982</f>
        <v>Нет техники</v>
      </c>
      <c r="B1812" s="1696"/>
      <c r="C1812" s="1696">
        <f>'Ввод данных'!C982</f>
        <v>0</v>
      </c>
      <c r="D1812" s="1696">
        <f>VLOOKUP(A1812,'Прайс лист'!B180:G194,6,0)</f>
        <v>0</v>
      </c>
      <c r="E1812" s="1353">
        <f t="shared" si="206"/>
        <v>0</v>
      </c>
      <c r="F1812" s="1290"/>
      <c r="G1812" s="1380"/>
      <c r="H1812" s="1380"/>
      <c r="I1812" s="1829"/>
      <c r="J1812" s="1380"/>
      <c r="K1812" s="1380"/>
      <c r="L1812" s="1380"/>
      <c r="M1812" s="1380"/>
      <c r="N1812" s="1380"/>
      <c r="O1812" s="1353"/>
      <c r="P1812" s="1290"/>
      <c r="Q1812" s="1290"/>
      <c r="R1812" s="1290"/>
      <c r="S1812" s="1290"/>
      <c r="T1812" s="1290"/>
      <c r="U1812" s="1290"/>
      <c r="V1812" s="1290"/>
      <c r="W1812" s="1290"/>
      <c r="X1812" s="1290"/>
      <c r="Y1812" s="1290"/>
    </row>
    <row r="1813" spans="1:25" ht="15.75" hidden="1" customHeight="1" outlineLevel="1">
      <c r="A1813" s="1857"/>
      <c r="B1813" s="1805"/>
      <c r="C1813" s="1805"/>
      <c r="D1813" s="1805"/>
      <c r="E1813" s="1694">
        <f>SUM(E1786:E1811)</f>
        <v>182356.19220000008</v>
      </c>
      <c r="F1813" s="1290"/>
      <c r="G1813" s="1354"/>
      <c r="H1813" s="1354"/>
      <c r="I1813" s="1858"/>
      <c r="J1813" s="1354"/>
      <c r="K1813" s="1354"/>
      <c r="L1813" s="1354"/>
      <c r="M1813" s="1354"/>
      <c r="N1813" s="1354"/>
      <c r="O1813" s="1353">
        <f>SUM(O1786:O1811)</f>
        <v>167260.32000000007</v>
      </c>
      <c r="P1813" s="1290"/>
      <c r="Q1813" s="1290"/>
      <c r="R1813" s="1290"/>
      <c r="S1813" s="1290"/>
      <c r="T1813" s="1290"/>
      <c r="U1813" s="1290"/>
      <c r="V1813" s="1290"/>
      <c r="W1813" s="1290"/>
      <c r="X1813" s="1290"/>
      <c r="Y1813" s="1290"/>
    </row>
    <row r="1814" spans="1:25" ht="15.75" customHeight="1">
      <c r="A1814" s="2012" t="s">
        <v>3799</v>
      </c>
      <c r="B1814" s="1773"/>
      <c r="C1814" s="1861" t="s">
        <v>3663</v>
      </c>
      <c r="D1814" s="1778"/>
      <c r="E1814" s="1778"/>
      <c r="F1814" s="1779"/>
      <c r="G1814" s="1290"/>
      <c r="H1814" s="1290"/>
      <c r="I1814" s="1973"/>
      <c r="J1814" s="1290"/>
      <c r="K1814" s="1290"/>
      <c r="L1814" s="1290"/>
      <c r="M1814" s="1290"/>
      <c r="N1814" s="1290"/>
      <c r="O1814" s="1290"/>
      <c r="P1814" s="1290"/>
      <c r="Q1814" s="1290"/>
      <c r="R1814" s="1290"/>
      <c r="S1814" s="1290"/>
      <c r="T1814" s="1290"/>
      <c r="U1814" s="1290"/>
      <c r="V1814" s="1290"/>
      <c r="W1814" s="1290"/>
      <c r="X1814" s="1290"/>
      <c r="Y1814" s="1290"/>
    </row>
    <row r="1815" spans="1:25" ht="15.75" customHeight="1">
      <c r="A1815" s="1290"/>
      <c r="B1815" s="1972"/>
      <c r="C1815" s="1972"/>
      <c r="D1815" s="1290"/>
      <c r="E1815" s="1290"/>
      <c r="F1815" s="1290"/>
      <c r="G1815" s="1290"/>
      <c r="H1815" s="1290"/>
      <c r="I1815" s="1973"/>
      <c r="J1815" s="1290"/>
      <c r="K1815" s="1290"/>
      <c r="L1815" s="1290"/>
      <c r="M1815" s="1290"/>
      <c r="N1815" s="1290"/>
      <c r="O1815" s="1290"/>
      <c r="P1815" s="1290"/>
      <c r="Q1815" s="1290"/>
      <c r="R1815" s="1290"/>
      <c r="S1815" s="1290"/>
      <c r="T1815" s="1290"/>
      <c r="U1815" s="1290"/>
      <c r="V1815" s="1290"/>
      <c r="W1815" s="1290"/>
      <c r="X1815" s="1290"/>
      <c r="Y1815" s="1290"/>
    </row>
    <row r="1816" spans="1:25" ht="15.75" hidden="1" customHeight="1" outlineLevel="1">
      <c r="A1816" s="1996" t="s">
        <v>3800</v>
      </c>
      <c r="B1816" s="1997"/>
      <c r="C1816" s="1997"/>
      <c r="D1816" s="1998"/>
      <c r="E1816" s="1998"/>
      <c r="F1816" s="1998"/>
      <c r="G1816" s="1998"/>
      <c r="H1816" s="1998"/>
      <c r="I1816" s="1999"/>
      <c r="J1816" s="1998"/>
      <c r="K1816" s="1998"/>
      <c r="L1816" s="1998"/>
      <c r="M1816" s="1998"/>
      <c r="N1816" s="1998"/>
      <c r="O1816" s="2000"/>
      <c r="P1816" s="1290"/>
      <c r="Q1816" s="1290"/>
      <c r="R1816" s="1290"/>
      <c r="S1816" s="1290"/>
      <c r="T1816" s="1290"/>
      <c r="U1816" s="1290"/>
      <c r="V1816" s="1290"/>
      <c r="W1816" s="1290"/>
      <c r="X1816" s="1290"/>
      <c r="Y1816" s="1290"/>
    </row>
    <row r="1817" spans="1:25" ht="15.75" hidden="1" customHeight="1" outlineLevel="1">
      <c r="A1817" s="1821" t="s">
        <v>1806</v>
      </c>
      <c r="B1817" s="1822"/>
      <c r="C1817" s="1822"/>
      <c r="D1817" s="1823"/>
      <c r="E1817" s="1823"/>
      <c r="F1817" s="1824"/>
      <c r="G1817" s="1872">
        <f>G1750</f>
        <v>1.1000000000000001</v>
      </c>
      <c r="H1817" s="1873"/>
      <c r="I1817" s="1809">
        <f>I1750</f>
        <v>1</v>
      </c>
      <c r="J1817" s="1808"/>
      <c r="K1817" s="1808"/>
      <c r="L1817" s="1808"/>
      <c r="M1817" s="1808"/>
      <c r="N1817" s="1808"/>
      <c r="O1817" s="1808"/>
      <c r="P1817" s="1354"/>
      <c r="Q1817" s="1354"/>
      <c r="R1817" s="1354"/>
      <c r="S1817" s="1354"/>
      <c r="T1817" s="1354"/>
      <c r="U1817" s="1354"/>
      <c r="V1817" s="1354"/>
      <c r="W1817" s="1354"/>
      <c r="X1817" s="1354"/>
      <c r="Y1817" s="1354"/>
    </row>
    <row r="1818" spans="1:25" ht="15.75" hidden="1" customHeight="1" outlineLevel="1">
      <c r="A1818" s="1696" t="s">
        <v>2624</v>
      </c>
      <c r="B1818" s="1696"/>
      <c r="C1818" s="1696">
        <f>C1767</f>
        <v>110.40000000000003</v>
      </c>
      <c r="D1818" s="1290"/>
      <c r="E1818" s="1290"/>
      <c r="F1818" s="1290"/>
      <c r="G1818" s="1290"/>
      <c r="H1818" s="1290"/>
      <c r="I1818" s="1973"/>
      <c r="J1818" s="1290"/>
      <c r="K1818" s="1290"/>
      <c r="L1818" s="1290"/>
      <c r="M1818" s="1290"/>
      <c r="N1818" s="1290"/>
      <c r="O1818" s="1290"/>
      <c r="P1818" s="1290"/>
      <c r="Q1818" s="1290"/>
      <c r="R1818" s="1290"/>
      <c r="S1818" s="1290"/>
      <c r="T1818" s="1290"/>
      <c r="U1818" s="1290"/>
      <c r="V1818" s="1290"/>
      <c r="W1818" s="1290"/>
      <c r="X1818" s="1290"/>
      <c r="Y1818" s="1290"/>
    </row>
    <row r="1819" spans="1:25" ht="15.75" hidden="1" customHeight="1" outlineLevel="1">
      <c r="A1819" s="1696" t="s">
        <v>3801</v>
      </c>
      <c r="B1819" s="1696"/>
      <c r="C1819" s="1696">
        <f>C1766</f>
        <v>0</v>
      </c>
      <c r="D1819" s="1290"/>
      <c r="E1819" s="1290"/>
      <c r="F1819" s="1290"/>
      <c r="G1819" s="1290"/>
      <c r="H1819" s="1290"/>
      <c r="I1819" s="1973"/>
      <c r="J1819" s="1290"/>
      <c r="K1819" s="1290"/>
      <c r="L1819" s="1290"/>
      <c r="M1819" s="1290"/>
      <c r="N1819" s="1290"/>
      <c r="O1819" s="1290"/>
      <c r="P1819" s="1290"/>
      <c r="Q1819" s="1290"/>
      <c r="R1819" s="1290"/>
      <c r="S1819" s="1290"/>
      <c r="T1819" s="1290"/>
      <c r="U1819" s="1290"/>
      <c r="V1819" s="1290"/>
      <c r="W1819" s="1290"/>
      <c r="X1819" s="1290"/>
      <c r="Y1819" s="1290"/>
    </row>
    <row r="1820" spans="1:25" ht="15.75" hidden="1" customHeight="1" outlineLevel="1">
      <c r="A1820" s="1839" t="s">
        <v>3678</v>
      </c>
      <c r="B1820" s="1600" t="s">
        <v>133</v>
      </c>
      <c r="C1820" s="1773">
        <f>C1768</f>
        <v>100</v>
      </c>
      <c r="D1820" s="1290"/>
      <c r="E1820" s="1290"/>
      <c r="F1820" s="1290"/>
      <c r="G1820" s="1290"/>
      <c r="H1820" s="1290"/>
      <c r="I1820" s="1973"/>
      <c r="J1820" s="1290"/>
      <c r="K1820" s="1290"/>
      <c r="L1820" s="1290"/>
      <c r="M1820" s="1290"/>
      <c r="N1820" s="1290"/>
      <c r="O1820" s="1290"/>
      <c r="P1820" s="1290"/>
      <c r="Q1820" s="1290"/>
      <c r="R1820" s="1290"/>
      <c r="S1820" s="1290"/>
      <c r="T1820" s="1290"/>
      <c r="U1820" s="1290"/>
      <c r="V1820" s="1290"/>
      <c r="W1820" s="1290"/>
      <c r="X1820" s="1290"/>
      <c r="Y1820" s="1290"/>
    </row>
    <row r="1821" spans="1:25" ht="15.75" hidden="1" customHeight="1" outlineLevel="1">
      <c r="A1821" s="1839" t="s">
        <v>3679</v>
      </c>
      <c r="B1821" s="1600" t="s">
        <v>133</v>
      </c>
      <c r="C1821" s="1773">
        <f>C1769</f>
        <v>100</v>
      </c>
      <c r="D1821" s="1290"/>
      <c r="E1821" s="1290"/>
      <c r="F1821" s="1290"/>
      <c r="G1821" s="1290"/>
      <c r="H1821" s="1290"/>
      <c r="I1821" s="1973"/>
      <c r="J1821" s="1290"/>
      <c r="K1821" s="1290"/>
      <c r="L1821" s="1290"/>
      <c r="M1821" s="1290"/>
      <c r="N1821" s="1290"/>
      <c r="O1821" s="1290"/>
      <c r="P1821" s="1290"/>
      <c r="Q1821" s="1290"/>
      <c r="R1821" s="1290"/>
      <c r="S1821" s="1290"/>
      <c r="T1821" s="1290"/>
      <c r="U1821" s="1290"/>
      <c r="V1821" s="1290"/>
      <c r="W1821" s="1290"/>
      <c r="X1821" s="1290"/>
      <c r="Y1821" s="1290"/>
    </row>
    <row r="1822" spans="1:25" ht="15.75" hidden="1" customHeight="1" outlineLevel="1">
      <c r="A1822" s="1839" t="s">
        <v>3633</v>
      </c>
      <c r="B1822" s="1600" t="s">
        <v>133</v>
      </c>
      <c r="C1822" s="1841">
        <f>связи1!C159</f>
        <v>0</v>
      </c>
      <c r="D1822" s="1290"/>
      <c r="E1822" s="1290"/>
      <c r="F1822" s="1290"/>
      <c r="G1822" s="1055">
        <f>C1822*I1822+C1822*2</f>
        <v>0</v>
      </c>
      <c r="H1822" s="1055"/>
      <c r="I1822" s="2006">
        <f>(1/C1752)*C1753*2</f>
        <v>2</v>
      </c>
      <c r="J1822" s="1290"/>
      <c r="K1822" s="1290"/>
      <c r="L1822" s="1290"/>
      <c r="M1822" s="1290"/>
      <c r="N1822" s="1290"/>
      <c r="O1822" s="1290"/>
      <c r="P1822" s="1290"/>
      <c r="Q1822" s="1290"/>
      <c r="R1822" s="1290"/>
      <c r="S1822" s="1290"/>
      <c r="T1822" s="1290"/>
      <c r="U1822" s="1290"/>
      <c r="V1822" s="1290"/>
      <c r="W1822" s="1290"/>
      <c r="X1822" s="1290"/>
      <c r="Y1822" s="1290"/>
    </row>
    <row r="1823" spans="1:25" ht="15.75" hidden="1" customHeight="1" outlineLevel="1">
      <c r="A1823" s="1839" t="s">
        <v>3687</v>
      </c>
      <c r="B1823" s="1600" t="s">
        <v>133</v>
      </c>
      <c r="C1823" s="1841">
        <f>C1822</f>
        <v>0</v>
      </c>
      <c r="D1823" s="1290"/>
      <c r="E1823" s="1290"/>
      <c r="F1823" s="1290"/>
      <c r="G1823" s="1360"/>
      <c r="H1823" s="1360"/>
      <c r="I1823" s="2006"/>
      <c r="J1823" s="1290"/>
      <c r="K1823" s="1290"/>
      <c r="L1823" s="1290"/>
      <c r="M1823" s="1290"/>
      <c r="N1823" s="1290"/>
      <c r="O1823" s="1290"/>
      <c r="P1823" s="1290"/>
      <c r="Q1823" s="1290"/>
      <c r="R1823" s="1290"/>
      <c r="S1823" s="1290"/>
      <c r="T1823" s="1290"/>
      <c r="U1823" s="1290"/>
      <c r="V1823" s="1290"/>
      <c r="W1823" s="1290"/>
      <c r="X1823" s="1290"/>
      <c r="Y1823" s="1290"/>
    </row>
    <row r="1824" spans="1:25" ht="15.75" hidden="1" customHeight="1" outlineLevel="1">
      <c r="A1824" s="1839" t="s">
        <v>3802</v>
      </c>
      <c r="B1824" s="1600" t="s">
        <v>133</v>
      </c>
      <c r="C1824" s="1841">
        <f>C1825+C1826</f>
        <v>0</v>
      </c>
      <c r="D1824" s="1290"/>
      <c r="E1824" s="1290"/>
      <c r="F1824" s="1290"/>
      <c r="G1824" s="1055">
        <f>C1824*I1824+C1824*2</f>
        <v>0</v>
      </c>
      <c r="H1824" s="1055"/>
      <c r="I1824" s="2006">
        <f>1/C1754*C1755*2</f>
        <v>1.5</v>
      </c>
      <c r="J1824" s="1290"/>
      <c r="K1824" s="1290"/>
      <c r="L1824" s="1290"/>
      <c r="M1824" s="1290"/>
      <c r="N1824" s="1290"/>
      <c r="O1824" s="1290"/>
      <c r="P1824" s="1290"/>
      <c r="Q1824" s="1290"/>
      <c r="R1824" s="1290"/>
      <c r="S1824" s="1290"/>
      <c r="T1824" s="1290"/>
      <c r="U1824" s="1290"/>
      <c r="V1824" s="1290"/>
      <c r="W1824" s="1290"/>
      <c r="X1824" s="1290"/>
      <c r="Y1824" s="1290"/>
    </row>
    <row r="1825" spans="1:25" ht="15.75" hidden="1" customHeight="1" outlineLevel="1">
      <c r="A1825" s="1839" t="s">
        <v>3803</v>
      </c>
      <c r="B1825" s="1600" t="s">
        <v>133</v>
      </c>
      <c r="C1825" s="1841">
        <f>связи1!D159</f>
        <v>0</v>
      </c>
      <c r="D1825" s="1290"/>
      <c r="E1825" s="1290"/>
      <c r="F1825" s="1290"/>
      <c r="G1825" s="1055"/>
      <c r="H1825" s="1055"/>
      <c r="I1825" s="2006">
        <f>1/C1756*C1757*2</f>
        <v>1</v>
      </c>
      <c r="J1825" s="1290"/>
      <c r="K1825" s="1290"/>
      <c r="L1825" s="1290"/>
      <c r="M1825" s="1290"/>
      <c r="N1825" s="1290"/>
      <c r="O1825" s="1290"/>
      <c r="P1825" s="1290"/>
      <c r="Q1825" s="1290"/>
      <c r="R1825" s="1290"/>
      <c r="S1825" s="1290"/>
      <c r="T1825" s="1290"/>
      <c r="U1825" s="1290"/>
      <c r="V1825" s="1290"/>
      <c r="W1825" s="1290"/>
      <c r="X1825" s="1290"/>
      <c r="Y1825" s="1290"/>
    </row>
    <row r="1826" spans="1:25" ht="15.75" hidden="1" customHeight="1" outlineLevel="1">
      <c r="A1826" s="1839" t="s">
        <v>2860</v>
      </c>
      <c r="B1826" s="1600" t="s">
        <v>133</v>
      </c>
      <c r="C1826" s="1841">
        <f>связи1!E159</f>
        <v>0</v>
      </c>
      <c r="D1826" s="1290"/>
      <c r="E1826" s="1290"/>
      <c r="F1826" s="1290"/>
      <c r="G1826" s="1055">
        <f>C1826*I1826+C1826*2</f>
        <v>0</v>
      </c>
      <c r="H1826" s="1262"/>
      <c r="I1826" s="1780"/>
      <c r="J1826" s="1290"/>
      <c r="K1826" s="1290"/>
      <c r="L1826" s="1290"/>
      <c r="M1826" s="1290"/>
      <c r="N1826" s="1290"/>
      <c r="O1826" s="1290"/>
      <c r="P1826" s="1290"/>
      <c r="Q1826" s="1290"/>
      <c r="R1826" s="1290"/>
      <c r="S1826" s="1290"/>
      <c r="T1826" s="1290"/>
      <c r="U1826" s="1290"/>
      <c r="V1826" s="1290"/>
      <c r="W1826" s="1290"/>
      <c r="X1826" s="1290"/>
      <c r="Y1826" s="1290"/>
    </row>
    <row r="1827" spans="1:25" ht="15.75" hidden="1" customHeight="1" outlineLevel="1">
      <c r="A1827" s="1839" t="s">
        <v>3638</v>
      </c>
      <c r="B1827" s="1600" t="s">
        <v>133</v>
      </c>
      <c r="C1827" s="1841">
        <f>C1824</f>
        <v>0</v>
      </c>
      <c r="D1827" s="1290"/>
      <c r="E1827" s="1290"/>
      <c r="F1827" s="1290"/>
      <c r="G1827" s="1360">
        <f>SUM(G1822:G1826)</f>
        <v>0</v>
      </c>
      <c r="H1827" s="1392"/>
      <c r="I1827" s="1392"/>
      <c r="J1827" s="1290"/>
      <c r="K1827" s="1290"/>
      <c r="L1827" s="1290"/>
      <c r="M1827" s="1290"/>
      <c r="N1827" s="1290"/>
      <c r="O1827" s="1290"/>
      <c r="P1827" s="1290"/>
      <c r="Q1827" s="1290"/>
      <c r="R1827" s="1290"/>
      <c r="S1827" s="1290"/>
      <c r="T1827" s="1290"/>
      <c r="U1827" s="1290"/>
      <c r="V1827" s="1290"/>
      <c r="W1827" s="1290"/>
      <c r="X1827" s="1290"/>
      <c r="Y1827" s="1290"/>
    </row>
    <row r="1828" spans="1:25" ht="15.75" hidden="1" customHeight="1" outlineLevel="1">
      <c r="A1828" s="1839" t="s">
        <v>3804</v>
      </c>
      <c r="B1828" s="1600" t="s">
        <v>133</v>
      </c>
      <c r="C1828" s="1773">
        <f>C1777</f>
        <v>0</v>
      </c>
      <c r="D1828" s="1290"/>
      <c r="E1828" s="1290"/>
      <c r="F1828" s="1290"/>
      <c r="G1828" s="1290"/>
      <c r="H1828" s="1290"/>
      <c r="I1828" s="1973"/>
      <c r="J1828" s="1290"/>
      <c r="K1828" s="1290"/>
      <c r="L1828" s="1290"/>
      <c r="M1828" s="1290"/>
      <c r="N1828" s="1290"/>
      <c r="O1828" s="1290"/>
      <c r="P1828" s="1290"/>
      <c r="Q1828" s="1290"/>
      <c r="R1828" s="1290"/>
      <c r="S1828" s="1290"/>
      <c r="T1828" s="1290"/>
      <c r="U1828" s="1290"/>
      <c r="V1828" s="1290"/>
      <c r="W1828" s="1290"/>
      <c r="X1828" s="1290"/>
      <c r="Y1828" s="1290"/>
    </row>
    <row r="1829" spans="1:25" ht="15.75" hidden="1" customHeight="1" outlineLevel="1">
      <c r="A1829" s="2007" t="s">
        <v>2720</v>
      </c>
      <c r="B1829" s="2008" t="s">
        <v>1094</v>
      </c>
      <c r="C1829" s="2008" t="s">
        <v>120</v>
      </c>
      <c r="D1829" s="2008" t="s">
        <v>3764</v>
      </c>
      <c r="E1829" s="2009" t="s">
        <v>2722</v>
      </c>
      <c r="F1829" s="1290"/>
      <c r="G1829" s="2002" t="s">
        <v>1409</v>
      </c>
      <c r="H1829" s="2010"/>
      <c r="I1829" s="2011"/>
      <c r="J1829" s="2009" t="s">
        <v>1802</v>
      </c>
      <c r="K1829" s="2009" t="s">
        <v>2721</v>
      </c>
      <c r="L1829" s="2009"/>
      <c r="M1829" s="2009"/>
      <c r="N1829" s="2009"/>
      <c r="O1829" s="2009" t="s">
        <v>2722</v>
      </c>
      <c r="P1829" s="1290"/>
      <c r="Q1829" s="1290"/>
      <c r="R1829" s="1290"/>
      <c r="S1829" s="1290"/>
      <c r="T1829" s="1290"/>
      <c r="U1829" s="1290"/>
      <c r="V1829" s="1290"/>
      <c r="W1829" s="1290"/>
      <c r="X1829" s="1290"/>
      <c r="Y1829" s="1290"/>
    </row>
    <row r="1830" spans="1:25" ht="15.75" hidden="1" customHeight="1" outlineLevel="1">
      <c r="A1830" s="1839" t="str">
        <f>A1786</f>
        <v>Листв. влаж, 200*200мм</v>
      </c>
      <c r="B1830" s="1696" t="str">
        <f>B1786</f>
        <v>м3</v>
      </c>
      <c r="C1830" s="1839">
        <f>C1786</f>
        <v>2.5520000000000005</v>
      </c>
      <c r="D1830" s="1839">
        <f>D1786</f>
        <v>9000</v>
      </c>
      <c r="E1830" s="1353">
        <f t="shared" ref="E1830:E1857" si="208">C1830*D1830</f>
        <v>22968.000000000004</v>
      </c>
      <c r="F1830" s="1290"/>
      <c r="G1830" s="1632" t="str">
        <f>'Прайс лист'!B1698</f>
        <v>кладка Профилированного бруса</v>
      </c>
      <c r="H1830" s="1778"/>
      <c r="I1830" s="1853"/>
      <c r="J1830" s="1353">
        <f>(C1830+C1831+C1832+C1833)*I1817</f>
        <v>24.288000000000011</v>
      </c>
      <c r="K1830" s="1353">
        <f>'Прайс лист'!G1698</f>
        <v>6000</v>
      </c>
      <c r="L1830" s="1353"/>
      <c r="M1830" s="1353"/>
      <c r="N1830" s="1353"/>
      <c r="O1830" s="1353">
        <f>J1830*K1830</f>
        <v>145728.00000000006</v>
      </c>
      <c r="P1830" s="1290"/>
      <c r="Q1830" s="1290"/>
      <c r="R1830" s="1290"/>
      <c r="S1830" s="1290"/>
      <c r="T1830" s="1290"/>
      <c r="U1830" s="1290"/>
      <c r="V1830" s="1290"/>
      <c r="W1830" s="1290"/>
      <c r="X1830" s="1290"/>
      <c r="Y1830" s="1290"/>
    </row>
    <row r="1831" spans="1:25" ht="15.75" hidden="1" customHeight="1" outlineLevel="1">
      <c r="A1831" s="1839" t="str">
        <f t="shared" ref="A1831:B1834" si="209">A1787</f>
        <v>Сосна влаж, 200*200мм</v>
      </c>
      <c r="B1831" s="1696" t="str">
        <f t="shared" si="209"/>
        <v>м3</v>
      </c>
      <c r="C1831" s="1839">
        <f>(C1822+C1818)*C1753*G1750-C1830</f>
        <v>21.736000000000011</v>
      </c>
      <c r="D1831" s="1839">
        <f>D1787</f>
        <v>6500</v>
      </c>
      <c r="E1831" s="1353">
        <f t="shared" si="208"/>
        <v>141284.00000000009</v>
      </c>
      <c r="F1831" s="1290"/>
      <c r="G1831" s="1632" t="str">
        <f>'Прайс лист'!B1695</f>
        <v>окосячка проемов, м.п.</v>
      </c>
      <c r="H1831" s="1778"/>
      <c r="I1831" s="1853"/>
      <c r="J1831" s="1353">
        <f>(C1758*E1758+C1759*E1759+C1760*E1760+C1761*E1761+C1762*E1762+C1763*E1763)*I1817</f>
        <v>0</v>
      </c>
      <c r="K1831" s="1353">
        <f>'Прайс лист'!G1695</f>
        <v>150</v>
      </c>
      <c r="L1831" s="1353"/>
      <c r="M1831" s="1353"/>
      <c r="N1831" s="1353"/>
      <c r="O1831" s="1353">
        <f>J1831*K1831</f>
        <v>0</v>
      </c>
      <c r="P1831" s="1290"/>
      <c r="Q1831" s="1290"/>
      <c r="R1831" s="1290"/>
      <c r="S1831" s="1290"/>
      <c r="T1831" s="1290"/>
      <c r="U1831" s="1290"/>
      <c r="V1831" s="1290"/>
      <c r="W1831" s="1290"/>
      <c r="X1831" s="1290"/>
      <c r="Y1831" s="1290"/>
    </row>
    <row r="1832" spans="1:25" ht="15.75" hidden="1" customHeight="1" outlineLevel="1">
      <c r="A1832" s="1839" t="str">
        <f t="shared" si="209"/>
        <v>Сосна влаж, 200*150мм</v>
      </c>
      <c r="B1832" s="1696" t="str">
        <f t="shared" si="209"/>
        <v>м3</v>
      </c>
      <c r="C1832" s="1839">
        <f>C1825*C1755*G1750</f>
        <v>0</v>
      </c>
      <c r="D1832" s="1839">
        <f>D1788</f>
        <v>6500</v>
      </c>
      <c r="E1832" s="1353">
        <f t="shared" si="208"/>
        <v>0</v>
      </c>
      <c r="F1832" s="1290"/>
      <c r="G1832" s="1055" t="str">
        <f t="shared" ref="G1832:G1838" si="210">G1788</f>
        <v>обработка торцов на брусе</v>
      </c>
      <c r="H1832" s="1055"/>
      <c r="I1832" s="1055">
        <f>I1788</f>
        <v>0</v>
      </c>
      <c r="J1832" s="1055">
        <f>J1788</f>
        <v>14.400000000000002</v>
      </c>
      <c r="K1832" s="1055">
        <f>K1788</f>
        <v>250</v>
      </c>
      <c r="L1832" s="1055">
        <f>L1788</f>
        <v>0</v>
      </c>
      <c r="M1832" s="1055"/>
      <c r="N1832" s="1055"/>
      <c r="O1832" s="1055">
        <f>O1788</f>
        <v>3600.0000000000005</v>
      </c>
      <c r="P1832" s="1290"/>
      <c r="Q1832" s="1290"/>
      <c r="R1832" s="1290"/>
      <c r="S1832" s="1290"/>
      <c r="T1832" s="1290"/>
      <c r="U1832" s="1290"/>
      <c r="V1832" s="1290"/>
      <c r="W1832" s="1290"/>
      <c r="X1832" s="1290"/>
      <c r="Y1832" s="1290"/>
    </row>
    <row r="1833" spans="1:25" ht="15.75" hidden="1" customHeight="1" outlineLevel="1">
      <c r="A1833" s="1839" t="str">
        <f t="shared" si="209"/>
        <v>Сосна влаж, 200*100мм</v>
      </c>
      <c r="B1833" s="1696" t="str">
        <f t="shared" si="209"/>
        <v>м2</v>
      </c>
      <c r="C1833" s="1839">
        <f>C1826*C1757*G1750</f>
        <v>0</v>
      </c>
      <c r="D1833" s="1839">
        <f>D1789</f>
        <v>6500</v>
      </c>
      <c r="E1833" s="1353">
        <f t="shared" si="208"/>
        <v>0</v>
      </c>
      <c r="F1833" s="1290"/>
      <c r="G1833" s="1353" t="str">
        <f t="shared" si="210"/>
        <v>Обаботка огнебиозащитой</v>
      </c>
      <c r="H1833" s="1353"/>
      <c r="I1833" s="1694"/>
      <c r="J1833" s="1353">
        <f>SUM(C1830:C1833)*IF(A1844='Прайс лист'!B728,0,1)</f>
        <v>24.288000000000011</v>
      </c>
      <c r="K1833" s="1353">
        <f t="shared" ref="K1833:K1838" si="211">K1789</f>
        <v>300</v>
      </c>
      <c r="L1833" s="1353"/>
      <c r="M1833" s="1353"/>
      <c r="N1833" s="1353"/>
      <c r="O1833" s="1055">
        <f>O1789</f>
        <v>7650.7200000000048</v>
      </c>
      <c r="P1833" s="1290"/>
      <c r="Q1833" s="1290"/>
      <c r="R1833" s="1290"/>
      <c r="S1833" s="1290"/>
      <c r="T1833" s="1290"/>
      <c r="U1833" s="1290"/>
      <c r="V1833" s="1290"/>
      <c r="W1833" s="1290"/>
      <c r="X1833" s="1290"/>
      <c r="Y1833" s="1290"/>
    </row>
    <row r="1834" spans="1:25" ht="15.75" hidden="1" customHeight="1" outlineLevel="1">
      <c r="A1834" s="1839" t="str">
        <f t="shared" si="209"/>
        <v>Шкант</v>
      </c>
      <c r="B1834" s="1696" t="str">
        <f t="shared" si="209"/>
        <v>шт</v>
      </c>
      <c r="C1834" s="1839">
        <f>CEILING((C1830+C1831+C1832+C1833)*20*G1750,1)</f>
        <v>535</v>
      </c>
      <c r="D1834" s="1839">
        <f>VLOOKUP('Ввод данных'!A943,связи1!A459:B461,2,0)</f>
        <v>6</v>
      </c>
      <c r="E1834" s="1353">
        <f t="shared" si="208"/>
        <v>3210</v>
      </c>
      <c r="F1834" s="1290"/>
      <c r="G1834" s="1353" t="str">
        <f t="shared" si="210"/>
        <v>Пропитка стен внешних</v>
      </c>
      <c r="H1834" s="1353"/>
      <c r="I1834" s="1694"/>
      <c r="J1834" s="1353">
        <f>C1822*IF(A1845='Прайс лист'!B1534,0,1)</f>
        <v>0</v>
      </c>
      <c r="K1834" s="1353">
        <f t="shared" si="211"/>
        <v>100</v>
      </c>
      <c r="L1834" s="1353"/>
      <c r="M1834" s="1353"/>
      <c r="N1834" s="1353"/>
      <c r="O1834" s="1055">
        <f>O1790</f>
        <v>0</v>
      </c>
      <c r="P1834" s="1290"/>
      <c r="Q1834" s="1290"/>
      <c r="R1834" s="1290"/>
      <c r="S1834" s="1290"/>
      <c r="T1834" s="1290"/>
      <c r="U1834" s="1290"/>
      <c r="V1834" s="1290"/>
      <c r="W1834" s="1290"/>
      <c r="X1834" s="1290"/>
      <c r="Y1834" s="1290"/>
    </row>
    <row r="1835" spans="1:25" ht="15.75" hidden="1" customHeight="1" outlineLevel="1">
      <c r="A1835" s="1839" t="str">
        <f>'Прайс лист'!B426</f>
        <v>Лента уплотнения</v>
      </c>
      <c r="B1835" s="1696" t="str">
        <f t="shared" ref="B1835:B1853" si="212">B1791</f>
        <v>шт</v>
      </c>
      <c r="C1835" s="1839">
        <f>CEILING((C1822+C1825+C1826)/VLOOKUP(A1831,'Прайс лист'!B333:G419,3,0)/20*G1750*1.3,1)</f>
        <v>0</v>
      </c>
      <c r="D1835" s="1839">
        <f>'Прайс лист'!G426</f>
        <v>130</v>
      </c>
      <c r="E1835" s="1353">
        <f t="shared" si="208"/>
        <v>0</v>
      </c>
      <c r="F1835" s="1290"/>
      <c r="G1835" s="1353" t="str">
        <f t="shared" si="210"/>
        <v>Пропитка внутенних стен</v>
      </c>
      <c r="H1835" s="1353"/>
      <c r="I1835" s="1278"/>
      <c r="J1835" s="1055">
        <f>(C1822+C1827*2)*IF(A1846='Прайс лист'!B1534,0,1)</f>
        <v>0</v>
      </c>
      <c r="K1835" s="1353">
        <f t="shared" si="211"/>
        <v>100</v>
      </c>
      <c r="L1835" s="1055"/>
      <c r="M1835" s="1055"/>
      <c r="N1835" s="1055"/>
      <c r="O1835" s="1055">
        <f>O1791</f>
        <v>0</v>
      </c>
      <c r="P1835" s="1290"/>
      <c r="Q1835" s="1290"/>
      <c r="R1835" s="1290"/>
      <c r="S1835" s="1290"/>
      <c r="T1835" s="1290"/>
      <c r="U1835" s="1290"/>
      <c r="V1835" s="1290"/>
      <c r="W1835" s="1290"/>
      <c r="X1835" s="1290"/>
      <c r="Y1835" s="1290"/>
    </row>
    <row r="1836" spans="1:25" ht="15.75" hidden="1" customHeight="1" outlineLevel="1">
      <c r="A1836" s="1839" t="str">
        <f t="shared" ref="A1836:A1853" si="213">A1792</f>
        <v xml:space="preserve">Гвозди строительные 3,5 x 90            </v>
      </c>
      <c r="B1836" s="1696" t="str">
        <f t="shared" si="212"/>
        <v>шт</v>
      </c>
      <c r="C1836" s="1839">
        <f>C1792</f>
        <v>4.4000000000000004</v>
      </c>
      <c r="D1836" s="1839">
        <f>D1792</f>
        <v>70</v>
      </c>
      <c r="E1836" s="1353">
        <f t="shared" si="208"/>
        <v>308</v>
      </c>
      <c r="F1836" s="1290"/>
      <c r="G1836" s="1353" t="str">
        <f t="shared" si="210"/>
        <v>Сверление стен для скрытой проводки</v>
      </c>
      <c r="H1836" s="1353"/>
      <c r="I1836" s="1353">
        <f>I1792</f>
        <v>0</v>
      </c>
      <c r="J1836" s="1353">
        <f>J1792</f>
        <v>180</v>
      </c>
      <c r="K1836" s="1353">
        <f t="shared" si="211"/>
        <v>300</v>
      </c>
      <c r="L1836" s="1353"/>
      <c r="M1836" s="1353"/>
      <c r="N1836" s="1353"/>
      <c r="O1836" s="1353"/>
      <c r="P1836" s="1290"/>
      <c r="Q1836" s="1290"/>
      <c r="R1836" s="1290"/>
      <c r="S1836" s="1290"/>
      <c r="T1836" s="1290"/>
      <c r="U1836" s="1290"/>
      <c r="V1836" s="1290"/>
      <c r="W1836" s="1290"/>
      <c r="X1836" s="1290"/>
      <c r="Y1836" s="1290"/>
    </row>
    <row r="1837" spans="1:25" ht="15.75" hidden="1" customHeight="1" outlineLevel="1">
      <c r="A1837" s="1839" t="str">
        <f t="shared" si="213"/>
        <v>нет</v>
      </c>
      <c r="B1837" s="1696" t="str">
        <f t="shared" si="212"/>
        <v>м3</v>
      </c>
      <c r="C1837" s="1839">
        <f>((C1758*E1758+C1759*E1759)*G1750*VLOOKUP(A1793,связи1!A407:E416,5,0))</f>
        <v>0</v>
      </c>
      <c r="D1837" s="1839">
        <f t="shared" ref="D1837:D1853" si="214">D1793</f>
        <v>0</v>
      </c>
      <c r="E1837" s="1353">
        <f t="shared" si="208"/>
        <v>0</v>
      </c>
      <c r="F1837" s="1290"/>
      <c r="G1837" s="1353" t="str">
        <f t="shared" si="210"/>
        <v>Монтаж наличника</v>
      </c>
      <c r="H1837" s="1779"/>
      <c r="I1837" s="1853"/>
      <c r="J1837" s="1353">
        <f>J1793</f>
        <v>0</v>
      </c>
      <c r="K1837" s="1353">
        <f t="shared" si="211"/>
        <v>80</v>
      </c>
      <c r="L1837" s="1353"/>
      <c r="M1837" s="1353"/>
      <c r="N1837" s="1353"/>
      <c r="O1837" s="1353"/>
      <c r="P1837" s="1290"/>
      <c r="Q1837" s="1290"/>
      <c r="R1837" s="1290"/>
      <c r="S1837" s="1290"/>
      <c r="T1837" s="1290"/>
      <c r="U1837" s="1290"/>
      <c r="V1837" s="1290"/>
      <c r="W1837" s="1290"/>
      <c r="X1837" s="1290"/>
      <c r="Y1837" s="1290"/>
    </row>
    <row r="1838" spans="1:25" ht="15.75" hidden="1" customHeight="1" outlineLevel="1">
      <c r="A1838" s="1839" t="str">
        <f t="shared" si="213"/>
        <v>Доска сухая, 100*50мм</v>
      </c>
      <c r="B1838" s="1696" t="str">
        <f t="shared" si="212"/>
        <v>м3</v>
      </c>
      <c r="C1838" s="1839">
        <f>((C1760*E1760+C1762*E1762)*G1750*VLOOKUP(A1794,связи1!A407:E416,5,0))</f>
        <v>0</v>
      </c>
      <c r="D1838" s="1839">
        <f t="shared" si="214"/>
        <v>9000</v>
      </c>
      <c r="E1838" s="1353">
        <f t="shared" si="208"/>
        <v>0</v>
      </c>
      <c r="F1838" s="1290"/>
      <c r="G1838" s="1632" t="str">
        <f t="shared" si="210"/>
        <v>Шлифовка стен дома</v>
      </c>
      <c r="H1838" s="1632"/>
      <c r="I1838" s="1632">
        <f>I1794</f>
        <v>0</v>
      </c>
      <c r="J1838" s="1632">
        <f>C1822*IF('Ввод данных'!A973=связи1!A542,1,0)+(C1822+C1827*2)*IF('Ввод данных'!A976=связи1!A545,1,0)</f>
        <v>0</v>
      </c>
      <c r="K1838" s="1632">
        <f t="shared" si="211"/>
        <v>250</v>
      </c>
      <c r="L1838" s="1353"/>
      <c r="M1838" s="1353"/>
      <c r="N1838" s="1353"/>
      <c r="O1838" s="1353"/>
      <c r="P1838" s="1290"/>
      <c r="Q1838" s="1290"/>
      <c r="R1838" s="1290"/>
      <c r="S1838" s="1290"/>
      <c r="T1838" s="1290"/>
      <c r="U1838" s="1290"/>
      <c r="V1838" s="1290"/>
      <c r="W1838" s="1290"/>
      <c r="X1838" s="1290"/>
      <c r="Y1838" s="1290"/>
    </row>
    <row r="1839" spans="1:25" ht="15.75" hidden="1" customHeight="1" outlineLevel="1">
      <c r="A1839" s="1839" t="str">
        <f t="shared" si="213"/>
        <v>Доска сухая калиброванная, 100*45мм</v>
      </c>
      <c r="B1839" s="1696" t="str">
        <f t="shared" si="212"/>
        <v>м3</v>
      </c>
      <c r="C1839" s="1839">
        <f>VLOOKUP(A1795,связи1!A407:E416,5,0)*(C1761*E1761+C1763*E1763)*G1750</f>
        <v>0</v>
      </c>
      <c r="D1839" s="1839">
        <f t="shared" si="214"/>
        <v>12500</v>
      </c>
      <c r="E1839" s="1353">
        <f t="shared" si="208"/>
        <v>0</v>
      </c>
      <c r="F1839" s="1290"/>
      <c r="G1839" s="1632"/>
      <c r="H1839" s="1778"/>
      <c r="I1839" s="1778"/>
      <c r="J1839" s="1632"/>
      <c r="K1839" s="1632"/>
      <c r="L1839" s="1353"/>
      <c r="M1839" s="1353"/>
      <c r="N1839" s="1353"/>
      <c r="O1839" s="1353"/>
      <c r="P1839" s="1290"/>
      <c r="Q1839" s="1290"/>
      <c r="R1839" s="1290"/>
      <c r="S1839" s="1290"/>
      <c r="T1839" s="1290"/>
      <c r="U1839" s="1290"/>
      <c r="V1839" s="1290"/>
      <c r="W1839" s="1290"/>
      <c r="X1839" s="1290"/>
      <c r="Y1839" s="1290"/>
    </row>
    <row r="1840" spans="1:25" ht="15.75" hidden="1" customHeight="1" outlineLevel="1">
      <c r="A1840" s="1839" t="str">
        <f t="shared" si="213"/>
        <v>Сосна влаж, 50*50мм</v>
      </c>
      <c r="B1840" s="1696" t="str">
        <f t="shared" si="212"/>
        <v>м.п.</v>
      </c>
      <c r="C1840" s="1839">
        <f>C1796</f>
        <v>0</v>
      </c>
      <c r="D1840" s="1839">
        <f t="shared" si="214"/>
        <v>16.25</v>
      </c>
      <c r="E1840" s="1353">
        <f t="shared" si="208"/>
        <v>0</v>
      </c>
      <c r="F1840" s="1290"/>
      <c r="G1840" s="1632"/>
      <c r="H1840" s="1778"/>
      <c r="I1840" s="1853"/>
      <c r="J1840" s="1353"/>
      <c r="K1840" s="1353"/>
      <c r="L1840" s="1353"/>
      <c r="M1840" s="1353"/>
      <c r="N1840" s="1353"/>
      <c r="O1840" s="1353"/>
      <c r="P1840" s="1290"/>
      <c r="Q1840" s="1290"/>
      <c r="R1840" s="1290"/>
      <c r="S1840" s="1290"/>
      <c r="T1840" s="1290"/>
      <c r="U1840" s="1290"/>
      <c r="V1840" s="1290"/>
      <c r="W1840" s="1290"/>
      <c r="X1840" s="1290"/>
      <c r="Y1840" s="1290"/>
    </row>
    <row r="1841" spans="1:25" ht="15.75" hidden="1" customHeight="1" outlineLevel="1">
      <c r="A1841" s="1839" t="str">
        <f t="shared" si="213"/>
        <v>Бензин для пилы</v>
      </c>
      <c r="B1841" s="1696" t="str">
        <f t="shared" si="212"/>
        <v>л</v>
      </c>
      <c r="C1841" s="1839">
        <f>SUM(C1830:C1833)/5</f>
        <v>4.8576000000000024</v>
      </c>
      <c r="D1841" s="1839">
        <f t="shared" si="214"/>
        <v>40</v>
      </c>
      <c r="E1841" s="1353">
        <f t="shared" si="208"/>
        <v>194.30400000000009</v>
      </c>
      <c r="F1841" s="1290"/>
      <c r="G1841" s="1632"/>
      <c r="H1841" s="1778"/>
      <c r="I1841" s="1853"/>
      <c r="J1841" s="1353"/>
      <c r="K1841" s="1353"/>
      <c r="L1841" s="1353"/>
      <c r="M1841" s="1353"/>
      <c r="N1841" s="1353"/>
      <c r="O1841" s="1353"/>
      <c r="P1841" s="1290"/>
      <c r="Q1841" s="1290"/>
      <c r="R1841" s="1290"/>
      <c r="S1841" s="1290"/>
      <c r="T1841" s="1290"/>
      <c r="U1841" s="1290"/>
      <c r="V1841" s="1290"/>
      <c r="W1841" s="1290"/>
      <c r="X1841" s="1290"/>
      <c r="Y1841" s="1290"/>
    </row>
    <row r="1842" spans="1:25" ht="15.75" hidden="1" customHeight="1" outlineLevel="1">
      <c r="A1842" s="1839" t="str">
        <f t="shared" si="213"/>
        <v>Масло для пилы</v>
      </c>
      <c r="B1842" s="1696" t="str">
        <f t="shared" si="212"/>
        <v>л</v>
      </c>
      <c r="C1842" s="1839">
        <f>C1841/20</f>
        <v>0.24288000000000012</v>
      </c>
      <c r="D1842" s="1839">
        <f t="shared" si="214"/>
        <v>250</v>
      </c>
      <c r="E1842" s="1353">
        <f t="shared" si="208"/>
        <v>60.720000000000034</v>
      </c>
      <c r="F1842" s="1290"/>
      <c r="G1842" s="1632"/>
      <c r="H1842" s="1778"/>
      <c r="I1842" s="1853"/>
      <c r="J1842" s="1353"/>
      <c r="K1842" s="1353"/>
      <c r="L1842" s="1353"/>
      <c r="M1842" s="1353"/>
      <c r="N1842" s="1353"/>
      <c r="O1842" s="1353"/>
      <c r="P1842" s="1290"/>
      <c r="Q1842" s="1290"/>
      <c r="R1842" s="1290"/>
      <c r="S1842" s="1290"/>
      <c r="T1842" s="1290"/>
      <c r="U1842" s="1290"/>
      <c r="V1842" s="1290"/>
      <c r="W1842" s="1290"/>
      <c r="X1842" s="1290"/>
      <c r="Y1842" s="1290"/>
    </row>
    <row r="1843" spans="1:25" ht="15.75" hidden="1" customHeight="1" outlineLevel="1">
      <c r="A1843" s="1839" t="str">
        <f t="shared" si="213"/>
        <v>Цепь для пилы</v>
      </c>
      <c r="B1843" s="1696" t="str">
        <f t="shared" si="212"/>
        <v>л</v>
      </c>
      <c r="C1843" s="1839">
        <f>CEILING((SUM(C1830:C1833)/10),1)</f>
        <v>3</v>
      </c>
      <c r="D1843" s="1839">
        <f t="shared" si="214"/>
        <v>800</v>
      </c>
      <c r="E1843" s="1353">
        <f t="shared" si="208"/>
        <v>2400</v>
      </c>
      <c r="F1843" s="1290"/>
      <c r="G1843" s="1994"/>
      <c r="H1843" s="2013"/>
      <c r="I1843" s="1853"/>
      <c r="J1843" s="1353"/>
      <c r="K1843" s="1353"/>
      <c r="L1843" s="1353"/>
      <c r="M1843" s="1353"/>
      <c r="N1843" s="1353"/>
      <c r="O1843" s="1353"/>
      <c r="P1843" s="1290"/>
      <c r="Q1843" s="1290"/>
      <c r="R1843" s="1290"/>
      <c r="S1843" s="1290"/>
      <c r="T1843" s="1290"/>
      <c r="U1843" s="1290"/>
      <c r="V1843" s="1290"/>
      <c r="W1843" s="1290"/>
      <c r="X1843" s="1290"/>
      <c r="Y1843" s="1290"/>
    </row>
    <row r="1844" spans="1:25" ht="15.75" hidden="1" customHeight="1" outlineLevel="1">
      <c r="A1844" s="1839" t="str">
        <f t="shared" si="213"/>
        <v>"Профилюкс" Антисептик АНТИПЛЕСЕНЬ</v>
      </c>
      <c r="B1844" s="1696" t="str">
        <f t="shared" si="212"/>
        <v>л</v>
      </c>
      <c r="C1844" s="1839">
        <f>G1827*'Ввод данных'!C951*'Ввод данных'!C952</f>
        <v>0</v>
      </c>
      <c r="D1844" s="1839">
        <f t="shared" si="214"/>
        <v>108</v>
      </c>
      <c r="E1844" s="1353">
        <f t="shared" si="208"/>
        <v>0</v>
      </c>
      <c r="F1844" s="1290"/>
      <c r="G1844" s="1994"/>
      <c r="H1844" s="2013"/>
      <c r="I1844" s="1853"/>
      <c r="J1844" s="1353"/>
      <c r="K1844" s="1353"/>
      <c r="L1844" s="1353"/>
      <c r="M1844" s="1353"/>
      <c r="N1844" s="1353"/>
      <c r="O1844" s="1353"/>
      <c r="P1844" s="1290"/>
      <c r="Q1844" s="1290"/>
      <c r="R1844" s="1290"/>
      <c r="S1844" s="1290"/>
      <c r="T1844" s="1290"/>
      <c r="U1844" s="1290"/>
      <c r="V1844" s="1290"/>
      <c r="W1844" s="1290"/>
      <c r="X1844" s="1290"/>
      <c r="Y1844" s="1290"/>
    </row>
    <row r="1845" spans="1:25" ht="15.75" hidden="1" customHeight="1" outlineLevel="1">
      <c r="A1845" s="1839" t="str">
        <f t="shared" si="213"/>
        <v>"Тонерол" Антисептик  бесцветный  1л</v>
      </c>
      <c r="B1845" s="1696" t="str">
        <f t="shared" si="212"/>
        <v>л</v>
      </c>
      <c r="C1845" s="1839">
        <f>C1822*'Ввод данных'!C956*'Ввод данных'!C957</f>
        <v>0</v>
      </c>
      <c r="D1845" s="1839">
        <f t="shared" si="214"/>
        <v>305</v>
      </c>
      <c r="E1845" s="1353">
        <f t="shared" si="208"/>
        <v>0</v>
      </c>
      <c r="F1845" s="1290"/>
      <c r="G1845" s="1994"/>
      <c r="H1845" s="2013"/>
      <c r="I1845" s="1853"/>
      <c r="J1845" s="1353"/>
      <c r="K1845" s="1353"/>
      <c r="L1845" s="1353"/>
      <c r="M1845" s="1353"/>
      <c r="N1845" s="1353"/>
      <c r="O1845" s="1353"/>
      <c r="P1845" s="1290"/>
      <c r="Q1845" s="1290"/>
      <c r="R1845" s="1290"/>
      <c r="S1845" s="1290"/>
      <c r="T1845" s="1290"/>
      <c r="U1845" s="1290"/>
      <c r="V1845" s="1290"/>
      <c r="W1845" s="1290"/>
      <c r="X1845" s="1290"/>
      <c r="Y1845" s="1290"/>
    </row>
    <row r="1846" spans="1:25" ht="15.75" hidden="1" customHeight="1" outlineLevel="1">
      <c r="A1846" s="1839" t="str">
        <f t="shared" si="213"/>
        <v>"Тонерол" Антисептик  махагон  1л</v>
      </c>
      <c r="B1846" s="1696" t="str">
        <f t="shared" si="212"/>
        <v>л</v>
      </c>
      <c r="C1846" s="1839">
        <f>(C1822+C1827*2)*'Ввод данных'!C961*'Ввод данных'!C962</f>
        <v>0</v>
      </c>
      <c r="D1846" s="1839">
        <f t="shared" si="214"/>
        <v>305</v>
      </c>
      <c r="E1846" s="1353">
        <f t="shared" si="208"/>
        <v>0</v>
      </c>
      <c r="F1846" s="1290"/>
      <c r="G1846" s="1994"/>
      <c r="H1846" s="2013"/>
      <c r="I1846" s="1853"/>
      <c r="J1846" s="1353"/>
      <c r="K1846" s="1353"/>
      <c r="L1846" s="1353"/>
      <c r="M1846" s="1353"/>
      <c r="N1846" s="1353"/>
      <c r="O1846" s="1353"/>
      <c r="P1846" s="1290"/>
      <c r="Q1846" s="1290"/>
      <c r="R1846" s="1290"/>
      <c r="S1846" s="1290"/>
      <c r="T1846" s="1290"/>
      <c r="U1846" s="1290"/>
      <c r="V1846" s="1290"/>
      <c r="W1846" s="1290"/>
      <c r="X1846" s="1290"/>
      <c r="Y1846" s="1290"/>
    </row>
    <row r="1847" spans="1:25" ht="15.75" hidden="1" customHeight="1" outlineLevel="1">
      <c r="A1847" s="1839" t="str">
        <f t="shared" si="213"/>
        <v>Нет наличника</v>
      </c>
      <c r="B1847" s="1696" t="str">
        <f t="shared" si="212"/>
        <v>м.п.</v>
      </c>
      <c r="C1847" s="1839">
        <f t="shared" ref="C1847:C1853" si="215">C1803</f>
        <v>3.5700000000000007</v>
      </c>
      <c r="D1847" s="1839">
        <f t="shared" si="214"/>
        <v>0</v>
      </c>
      <c r="E1847" s="1353">
        <f t="shared" si="208"/>
        <v>0</v>
      </c>
      <c r="F1847" s="1290"/>
      <c r="G1847" s="1994"/>
      <c r="H1847" s="2013"/>
      <c r="I1847" s="1853"/>
      <c r="J1847" s="1353"/>
      <c r="K1847" s="1353"/>
      <c r="L1847" s="1353"/>
      <c r="M1847" s="1353"/>
      <c r="N1847" s="1353"/>
      <c r="O1847" s="1353"/>
      <c r="P1847" s="1290"/>
      <c r="Q1847" s="1290"/>
      <c r="R1847" s="1290"/>
      <c r="S1847" s="1290"/>
      <c r="T1847" s="1290"/>
      <c r="U1847" s="1290"/>
      <c r="V1847" s="1290"/>
      <c r="W1847" s="1290"/>
      <c r="X1847" s="1290"/>
      <c r="Y1847" s="1290"/>
    </row>
    <row r="1848" spans="1:25" ht="15.75" hidden="1" customHeight="1" outlineLevel="1">
      <c r="A1848" s="1839" t="str">
        <f t="shared" si="213"/>
        <v>Нет наличника</v>
      </c>
      <c r="B1848" s="1696" t="str">
        <f t="shared" si="212"/>
        <v>м.п.</v>
      </c>
      <c r="C1848" s="1839">
        <f t="shared" si="215"/>
        <v>3.5700000000000007</v>
      </c>
      <c r="D1848" s="1839">
        <f t="shared" si="214"/>
        <v>0</v>
      </c>
      <c r="E1848" s="1353">
        <f t="shared" si="208"/>
        <v>0</v>
      </c>
      <c r="F1848" s="1290"/>
      <c r="G1848" s="1994"/>
      <c r="H1848" s="2013"/>
      <c r="I1848" s="1853"/>
      <c r="J1848" s="1353"/>
      <c r="K1848" s="1353"/>
      <c r="L1848" s="1353"/>
      <c r="M1848" s="1353"/>
      <c r="N1848" s="1353"/>
      <c r="O1848" s="1353"/>
      <c r="P1848" s="1290"/>
      <c r="Q1848" s="1290"/>
      <c r="R1848" s="1290"/>
      <c r="S1848" s="1290"/>
      <c r="T1848" s="1290"/>
      <c r="U1848" s="1290"/>
      <c r="V1848" s="1290"/>
      <c r="W1848" s="1290"/>
      <c r="X1848" s="1290"/>
      <c r="Y1848" s="1290"/>
    </row>
    <row r="1849" spans="1:25" ht="15.75" hidden="1" customHeight="1" outlineLevel="1">
      <c r="A1849" s="1197" t="str">
        <f t="shared" si="213"/>
        <v>Бумага наждачная № 63 F(30)</v>
      </c>
      <c r="B1849" s="1197" t="str">
        <f t="shared" si="212"/>
        <v>м</v>
      </c>
      <c r="C1849" s="1197">
        <f t="shared" si="215"/>
        <v>5</v>
      </c>
      <c r="D1849" s="1197">
        <f t="shared" si="214"/>
        <v>291</v>
      </c>
      <c r="E1849" s="1353">
        <f t="shared" si="208"/>
        <v>1455</v>
      </c>
      <c r="F1849" s="1290"/>
      <c r="G1849" s="1994"/>
      <c r="H1849" s="2013"/>
      <c r="I1849" s="1853"/>
      <c r="J1849" s="1353"/>
      <c r="K1849" s="1353"/>
      <c r="L1849" s="1353"/>
      <c r="M1849" s="1353"/>
      <c r="N1849" s="1353"/>
      <c r="O1849" s="1353"/>
      <c r="P1849" s="1290"/>
      <c r="Q1849" s="1290"/>
      <c r="R1849" s="1290"/>
      <c r="S1849" s="1290"/>
      <c r="T1849" s="1290"/>
      <c r="U1849" s="1290"/>
      <c r="V1849" s="1290"/>
      <c r="W1849" s="1290"/>
      <c r="X1849" s="1290"/>
      <c r="Y1849" s="1290"/>
    </row>
    <row r="1850" spans="1:25" ht="15.75" hidden="1" customHeight="1" outlineLevel="1">
      <c r="A1850" s="1197" t="str">
        <f t="shared" si="213"/>
        <v>Нет наждачной бумаги</v>
      </c>
      <c r="B1850" s="1197" t="str">
        <f t="shared" si="212"/>
        <v>м</v>
      </c>
      <c r="C1850" s="1197">
        <f t="shared" si="215"/>
        <v>0</v>
      </c>
      <c r="D1850" s="1197">
        <f t="shared" si="214"/>
        <v>0</v>
      </c>
      <c r="E1850" s="1353">
        <f t="shared" si="208"/>
        <v>0</v>
      </c>
      <c r="F1850" s="1290"/>
      <c r="G1850" s="1994"/>
      <c r="H1850" s="2013"/>
      <c r="I1850" s="1853"/>
      <c r="J1850" s="1353"/>
      <c r="K1850" s="1353"/>
      <c r="L1850" s="1353"/>
      <c r="M1850" s="1353"/>
      <c r="N1850" s="1353"/>
      <c r="O1850" s="1353"/>
      <c r="P1850" s="1290"/>
      <c r="Q1850" s="1290"/>
      <c r="R1850" s="1290"/>
      <c r="S1850" s="1290"/>
      <c r="T1850" s="1290"/>
      <c r="U1850" s="1290"/>
      <c r="V1850" s="1290"/>
      <c r="W1850" s="1290"/>
      <c r="X1850" s="1290"/>
      <c r="Y1850" s="1290"/>
    </row>
    <row r="1851" spans="1:25" ht="15.75" hidden="1" customHeight="1" outlineLevel="1">
      <c r="A1851" s="1197" t="str">
        <f t="shared" si="213"/>
        <v>Бумага наждачная № 63 F(30)</v>
      </c>
      <c r="B1851" s="1197" t="str">
        <f t="shared" si="212"/>
        <v>м</v>
      </c>
      <c r="C1851" s="1197">
        <f t="shared" si="215"/>
        <v>0</v>
      </c>
      <c r="D1851" s="1197">
        <f t="shared" si="214"/>
        <v>291</v>
      </c>
      <c r="E1851" s="1353">
        <f t="shared" si="208"/>
        <v>0</v>
      </c>
      <c r="F1851" s="1290"/>
      <c r="G1851" s="1994"/>
      <c r="H1851" s="2013"/>
      <c r="I1851" s="1853"/>
      <c r="J1851" s="1353"/>
      <c r="K1851" s="1353"/>
      <c r="L1851" s="1353"/>
      <c r="M1851" s="1353"/>
      <c r="N1851" s="1353"/>
      <c r="O1851" s="1353"/>
      <c r="P1851" s="1290"/>
      <c r="Q1851" s="1290"/>
      <c r="R1851" s="1290"/>
      <c r="S1851" s="1290"/>
      <c r="T1851" s="1290"/>
      <c r="U1851" s="1290"/>
      <c r="V1851" s="1290"/>
      <c r="W1851" s="1290"/>
      <c r="X1851" s="1290"/>
      <c r="Y1851" s="1290"/>
    </row>
    <row r="1852" spans="1:25" ht="15.75" hidden="1" customHeight="1" outlineLevel="1">
      <c r="A1852" s="1197" t="str">
        <f t="shared" si="213"/>
        <v>Бумага наждачная № 40</v>
      </c>
      <c r="B1852" s="1197" t="str">
        <f t="shared" si="212"/>
        <v>м</v>
      </c>
      <c r="C1852" s="1197">
        <f t="shared" si="215"/>
        <v>0</v>
      </c>
      <c r="D1852" s="1197">
        <f t="shared" si="214"/>
        <v>240</v>
      </c>
      <c r="E1852" s="1353">
        <f t="shared" si="208"/>
        <v>0</v>
      </c>
      <c r="F1852" s="1290"/>
      <c r="G1852" s="1994"/>
      <c r="H1852" s="2013"/>
      <c r="I1852" s="1853"/>
      <c r="J1852" s="1353"/>
      <c r="K1852" s="1353"/>
      <c r="L1852" s="1353"/>
      <c r="M1852" s="1353"/>
      <c r="N1852" s="1353"/>
      <c r="O1852" s="1353"/>
      <c r="P1852" s="1290"/>
      <c r="Q1852" s="1290"/>
      <c r="R1852" s="1290"/>
      <c r="S1852" s="1290"/>
      <c r="T1852" s="1290"/>
      <c r="U1852" s="1290"/>
      <c r="V1852" s="1290"/>
      <c r="W1852" s="1290"/>
      <c r="X1852" s="1290"/>
      <c r="Y1852" s="1290"/>
    </row>
    <row r="1853" spans="1:25" ht="15.75" hidden="1" customHeight="1" outlineLevel="1">
      <c r="A1853" s="1197" t="str">
        <f t="shared" si="213"/>
        <v>Командировочные расходы</v>
      </c>
      <c r="B1853" s="1197" t="str">
        <f t="shared" si="212"/>
        <v>рублей</v>
      </c>
      <c r="C1853" s="1197">
        <f t="shared" si="215"/>
        <v>1</v>
      </c>
      <c r="D1853" s="1197">
        <f t="shared" si="214"/>
        <v>0</v>
      </c>
      <c r="E1853" s="1353">
        <f t="shared" si="208"/>
        <v>0</v>
      </c>
      <c r="F1853" s="1290"/>
      <c r="G1853" s="1994"/>
      <c r="H1853" s="2013"/>
      <c r="I1853" s="1853"/>
      <c r="J1853" s="1353"/>
      <c r="K1853" s="1353"/>
      <c r="L1853" s="1353"/>
      <c r="M1853" s="1353"/>
      <c r="N1853" s="1353"/>
      <c r="O1853" s="1353"/>
      <c r="P1853" s="1290"/>
      <c r="Q1853" s="1290"/>
      <c r="R1853" s="1290"/>
      <c r="S1853" s="1290"/>
      <c r="T1853" s="1290"/>
      <c r="U1853" s="1290"/>
      <c r="V1853" s="1290"/>
      <c r="W1853" s="1290"/>
      <c r="X1853" s="1290"/>
      <c r="Y1853" s="1290"/>
    </row>
    <row r="1854" spans="1:25" ht="15.75" hidden="1" customHeight="1" outlineLevel="1">
      <c r="A1854" s="1839" t="str">
        <f t="shared" ref="A1854:D1857" si="216">A1809</f>
        <v>Командировочные расходы</v>
      </c>
      <c r="B1854" s="1696" t="str">
        <f t="shared" si="216"/>
        <v>рублей</v>
      </c>
      <c r="C1854" s="1839">
        <f t="shared" si="216"/>
        <v>1</v>
      </c>
      <c r="D1854" s="1839">
        <f t="shared" si="216"/>
        <v>0</v>
      </c>
      <c r="E1854" s="1353">
        <f t="shared" si="208"/>
        <v>0</v>
      </c>
      <c r="F1854" s="1290"/>
      <c r="G1854" s="1994"/>
      <c r="H1854" s="2013"/>
      <c r="I1854" s="1853"/>
      <c r="J1854" s="1353"/>
      <c r="K1854" s="1353"/>
      <c r="L1854" s="1353"/>
      <c r="M1854" s="1353"/>
      <c r="N1854" s="1353"/>
      <c r="O1854" s="1353"/>
      <c r="P1854" s="1290"/>
      <c r="Q1854" s="1290"/>
      <c r="R1854" s="1290"/>
      <c r="S1854" s="1290"/>
      <c r="T1854" s="1290"/>
      <c r="U1854" s="1290"/>
      <c r="V1854" s="1290"/>
      <c r="W1854" s="1290"/>
      <c r="X1854" s="1290"/>
      <c r="Y1854" s="1290"/>
    </row>
    <row r="1855" spans="1:25" ht="15.75" hidden="1" customHeight="1" outlineLevel="1">
      <c r="A1855" s="1839" t="str">
        <f t="shared" si="216"/>
        <v>расходные материалы дома из леса</v>
      </c>
      <c r="B1855" s="1696" t="str">
        <f t="shared" si="216"/>
        <v>шт</v>
      </c>
      <c r="C1855" s="1839">
        <f t="shared" si="216"/>
        <v>1</v>
      </c>
      <c r="D1855" s="1839">
        <f t="shared" si="216"/>
        <v>3000</v>
      </c>
      <c r="E1855" s="1353">
        <f t="shared" si="208"/>
        <v>3000</v>
      </c>
      <c r="F1855" s="1290"/>
      <c r="G1855" s="1994"/>
      <c r="H1855" s="2013"/>
      <c r="I1855" s="1853"/>
      <c r="J1855" s="1353"/>
      <c r="K1855" s="1353"/>
      <c r="L1855" s="1353"/>
      <c r="M1855" s="1353"/>
      <c r="N1855" s="1353"/>
      <c r="O1855" s="1353"/>
      <c r="P1855" s="1290"/>
      <c r="Q1855" s="1290"/>
      <c r="R1855" s="1290"/>
      <c r="S1855" s="1290"/>
      <c r="T1855" s="1290"/>
      <c r="U1855" s="1290"/>
      <c r="V1855" s="1290"/>
      <c r="W1855" s="1290"/>
      <c r="X1855" s="1290"/>
      <c r="Y1855" s="1290"/>
    </row>
    <row r="1856" spans="1:25" ht="15.75" hidden="1" customHeight="1" outlineLevel="1">
      <c r="A1856" s="1839" t="str">
        <f t="shared" si="216"/>
        <v>Нет техники</v>
      </c>
      <c r="B1856" s="1696" t="str">
        <f t="shared" si="216"/>
        <v>шт</v>
      </c>
      <c r="C1856" s="1839">
        <f t="shared" si="216"/>
        <v>6</v>
      </c>
      <c r="D1856" s="1839">
        <f t="shared" si="216"/>
        <v>0</v>
      </c>
      <c r="E1856" s="1353">
        <f t="shared" si="208"/>
        <v>0</v>
      </c>
      <c r="F1856" s="1290"/>
      <c r="G1856" s="1994"/>
      <c r="H1856" s="2013"/>
      <c r="I1856" s="1853"/>
      <c r="J1856" s="1353"/>
      <c r="K1856" s="1353"/>
      <c r="L1856" s="1353"/>
      <c r="M1856" s="1353"/>
      <c r="N1856" s="1353"/>
      <c r="O1856" s="1353"/>
      <c r="P1856" s="1290"/>
      <c r="Q1856" s="1290"/>
      <c r="R1856" s="1290"/>
      <c r="S1856" s="1290"/>
      <c r="T1856" s="1290"/>
      <c r="U1856" s="1290"/>
      <c r="V1856" s="1290"/>
      <c r="W1856" s="1290"/>
      <c r="X1856" s="1290"/>
      <c r="Y1856" s="1290"/>
    </row>
    <row r="1857" spans="1:25" ht="15.75" hidden="1" customHeight="1" outlineLevel="1">
      <c r="A1857" s="1839" t="str">
        <f t="shared" si="216"/>
        <v>Нет техники</v>
      </c>
      <c r="B1857" s="1696">
        <f t="shared" si="216"/>
        <v>0</v>
      </c>
      <c r="C1857" s="1839">
        <f t="shared" si="216"/>
        <v>0</v>
      </c>
      <c r="D1857" s="1839">
        <f t="shared" si="216"/>
        <v>0</v>
      </c>
      <c r="E1857" s="1353">
        <f t="shared" si="208"/>
        <v>0</v>
      </c>
      <c r="F1857" s="1290"/>
      <c r="G1857" s="1632"/>
      <c r="H1857" s="1778"/>
      <c r="I1857" s="1853"/>
      <c r="J1857" s="1353"/>
      <c r="K1857" s="1353"/>
      <c r="L1857" s="1353"/>
      <c r="M1857" s="1353"/>
      <c r="N1857" s="1353"/>
      <c r="O1857" s="1353"/>
      <c r="P1857" s="1290"/>
      <c r="Q1857" s="1290"/>
      <c r="R1857" s="1290"/>
      <c r="S1857" s="1290"/>
      <c r="T1857" s="1290"/>
      <c r="U1857" s="1290"/>
      <c r="V1857" s="1290"/>
      <c r="W1857" s="1290"/>
      <c r="X1857" s="1290"/>
      <c r="Y1857" s="1290"/>
    </row>
    <row r="1858" spans="1:25" ht="15.75" hidden="1" customHeight="1" outlineLevel="1">
      <c r="A1858" s="1839"/>
      <c r="B1858" s="1696"/>
      <c r="C1858" s="1696"/>
      <c r="D1858" s="1696"/>
      <c r="E1858" s="1353"/>
      <c r="F1858" s="1290"/>
      <c r="G1858" s="1632"/>
      <c r="H1858" s="1778"/>
      <c r="I1858" s="1853"/>
      <c r="J1858" s="1353"/>
      <c r="K1858" s="1353"/>
      <c r="L1858" s="1353"/>
      <c r="M1858" s="1353"/>
      <c r="N1858" s="1353"/>
      <c r="O1858" s="1353"/>
      <c r="P1858" s="1290"/>
      <c r="Q1858" s="1290"/>
      <c r="R1858" s="1290"/>
      <c r="S1858" s="1290"/>
      <c r="T1858" s="1290"/>
      <c r="U1858" s="1290"/>
      <c r="V1858" s="1290"/>
      <c r="W1858" s="1290"/>
      <c r="X1858" s="1290"/>
      <c r="Y1858" s="1290"/>
    </row>
    <row r="1859" spans="1:25" ht="15.75" hidden="1" customHeight="1" outlineLevel="1">
      <c r="A1859" s="1290"/>
      <c r="B1859" s="1183"/>
      <c r="C1859" s="1183"/>
      <c r="D1859" s="1183"/>
      <c r="E1859" s="2014">
        <f>SUM(E1830:E1858)</f>
        <v>174880.02400000009</v>
      </c>
      <c r="F1859" s="2015"/>
      <c r="G1859" s="2016"/>
      <c r="H1859" s="2016"/>
      <c r="I1859" s="2017"/>
      <c r="J1859" s="2016"/>
      <c r="K1859" s="2016"/>
      <c r="L1859" s="2016"/>
      <c r="M1859" s="2016"/>
      <c r="N1859" s="2016"/>
      <c r="O1859" s="1186">
        <f>SUM(O1830:O1858)</f>
        <v>156978.72000000006</v>
      </c>
      <c r="P1859" s="1290"/>
      <c r="Q1859" s="1290"/>
      <c r="R1859" s="1290"/>
      <c r="S1859" s="1290"/>
      <c r="T1859" s="1290"/>
      <c r="U1859" s="1290"/>
      <c r="V1859" s="1290"/>
      <c r="W1859" s="1290"/>
      <c r="X1859" s="1290"/>
      <c r="Y1859" s="1290"/>
    </row>
    <row r="1860" spans="1:25" ht="15.75" hidden="1" customHeight="1" outlineLevel="1">
      <c r="A1860" s="1839" t="s">
        <v>3660</v>
      </c>
      <c r="B1860" s="1179">
        <f>E1859</f>
        <v>174880.02400000009</v>
      </c>
      <c r="C1860" s="1190"/>
      <c r="D1860" s="2016"/>
      <c r="E1860" s="2016"/>
      <c r="F1860" s="2016"/>
      <c r="G1860" s="2016"/>
      <c r="H1860" s="2016"/>
      <c r="I1860" s="2017"/>
      <c r="J1860" s="2016"/>
      <c r="K1860" s="2016"/>
      <c r="L1860" s="2016"/>
      <c r="M1860" s="2016"/>
      <c r="N1860" s="2016"/>
      <c r="O1860" s="2016"/>
      <c r="P1860" s="1290"/>
      <c r="Q1860" s="1290"/>
      <c r="R1860" s="1290"/>
      <c r="S1860" s="1290"/>
      <c r="T1860" s="1290"/>
      <c r="U1860" s="1290"/>
      <c r="V1860" s="1290"/>
      <c r="W1860" s="1290"/>
      <c r="X1860" s="1290"/>
      <c r="Y1860" s="1290"/>
    </row>
    <row r="1861" spans="1:25" ht="15.75" hidden="1" customHeight="1" outlineLevel="1">
      <c r="A1861" s="1839" t="s">
        <v>3661</v>
      </c>
      <c r="B1861" s="1179">
        <f>O1859</f>
        <v>156978.72000000006</v>
      </c>
      <c r="C1861" s="1190"/>
      <c r="D1861" s="2016"/>
      <c r="E1861" s="2016"/>
      <c r="F1861" s="2016"/>
      <c r="G1861" s="2016"/>
      <c r="H1861" s="2016"/>
      <c r="I1861" s="2017"/>
      <c r="J1861" s="2016"/>
      <c r="K1861" s="2016"/>
      <c r="L1861" s="2016"/>
      <c r="M1861" s="2016"/>
      <c r="N1861" s="2016"/>
      <c r="O1861" s="2016"/>
      <c r="P1861" s="1290"/>
      <c r="Q1861" s="1290"/>
      <c r="R1861" s="1290"/>
      <c r="S1861" s="1290"/>
      <c r="T1861" s="1290"/>
      <c r="U1861" s="1290"/>
      <c r="V1861" s="1290"/>
      <c r="W1861" s="1290"/>
      <c r="X1861" s="1290"/>
      <c r="Y1861" s="1290"/>
    </row>
    <row r="1862" spans="1:25" ht="15.75" hidden="1" customHeight="1" outlineLevel="1">
      <c r="A1862" s="1353" t="s">
        <v>2728</v>
      </c>
      <c r="B1862" s="1179">
        <f>SUM(B1860:B1861)</f>
        <v>331858.74400000018</v>
      </c>
      <c r="C1862" s="1190"/>
      <c r="D1862" s="2016"/>
      <c r="E1862" s="2016"/>
      <c r="F1862" s="2016"/>
      <c r="G1862" s="2016"/>
      <c r="H1862" s="2016"/>
      <c r="I1862" s="2017"/>
      <c r="J1862" s="2016"/>
      <c r="K1862" s="2016"/>
      <c r="L1862" s="2016"/>
      <c r="M1862" s="2016"/>
      <c r="N1862" s="2016"/>
      <c r="O1862" s="2016"/>
      <c r="P1862" s="1290"/>
      <c r="Q1862" s="1290"/>
      <c r="R1862" s="1290"/>
      <c r="S1862" s="1290"/>
      <c r="T1862" s="1290"/>
      <c r="U1862" s="1290"/>
      <c r="V1862" s="1290"/>
      <c r="W1862" s="1290"/>
      <c r="X1862" s="1290"/>
      <c r="Y1862" s="1290"/>
    </row>
    <row r="1863" spans="1:25" ht="15.75" customHeight="1">
      <c r="A1863" s="1544" t="s">
        <v>3805</v>
      </c>
      <c r="B1863" s="1340"/>
      <c r="C1863" s="1340"/>
      <c r="D1863" s="1544"/>
      <c r="E1863" s="1544"/>
      <c r="F1863" s="1544"/>
      <c r="G1863" s="1340"/>
      <c r="H1863" s="1340"/>
      <c r="I1863" s="1973"/>
      <c r="J1863" s="1290"/>
      <c r="K1863" s="1290"/>
      <c r="L1863" s="1290"/>
      <c r="M1863" s="1290"/>
      <c r="N1863" s="1290"/>
      <c r="O1863" s="1290"/>
      <c r="P1863" s="1290"/>
      <c r="Q1863" s="1290"/>
      <c r="R1863" s="1290"/>
      <c r="S1863" s="1290"/>
      <c r="T1863" s="1290"/>
      <c r="U1863" s="1290"/>
      <c r="V1863" s="1290"/>
      <c r="W1863" s="1290"/>
      <c r="X1863" s="1290"/>
      <c r="Y1863" s="1290"/>
    </row>
    <row r="1864" spans="1:25" ht="15.75" customHeight="1">
      <c r="A1864" s="1544"/>
      <c r="B1864" s="1340"/>
      <c r="C1864" s="1340"/>
      <c r="D1864" s="1544"/>
      <c r="E1864" s="1544"/>
      <c r="F1864" s="1544"/>
      <c r="G1864" s="1340"/>
      <c r="H1864" s="1340"/>
      <c r="I1864" s="1973"/>
      <c r="J1864" s="1290"/>
      <c r="K1864" s="1290"/>
      <c r="L1864" s="1290"/>
      <c r="M1864" s="1290"/>
      <c r="N1864" s="1290"/>
      <c r="O1864" s="1290"/>
      <c r="P1864" s="1290"/>
      <c r="Q1864" s="1290"/>
      <c r="R1864" s="1290"/>
      <c r="S1864" s="1290"/>
      <c r="T1864" s="1290"/>
      <c r="U1864" s="1290"/>
      <c r="V1864" s="1290"/>
      <c r="W1864" s="1290"/>
      <c r="X1864" s="1290"/>
      <c r="Y1864" s="1290"/>
    </row>
    <row r="1865" spans="1:25" ht="15.75" hidden="1" customHeight="1" outlineLevel="1">
      <c r="A1865" s="1996" t="s">
        <v>3806</v>
      </c>
      <c r="B1865" s="1997"/>
      <c r="C1865" s="1997"/>
      <c r="D1865" s="1998"/>
      <c r="E1865" s="1998"/>
      <c r="F1865" s="1998"/>
      <c r="G1865" s="1998"/>
      <c r="H1865" s="1998"/>
      <c r="I1865" s="1999"/>
      <c r="J1865" s="1998"/>
      <c r="K1865" s="1998"/>
      <c r="L1865" s="1998"/>
      <c r="M1865" s="1998"/>
      <c r="N1865" s="1998"/>
      <c r="O1865" s="2000"/>
      <c r="P1865" s="1290"/>
      <c r="Q1865" s="1290"/>
      <c r="R1865" s="1290"/>
      <c r="S1865" s="1290"/>
      <c r="T1865" s="1290"/>
      <c r="U1865" s="1290"/>
      <c r="V1865" s="1290"/>
      <c r="W1865" s="1290"/>
      <c r="X1865" s="1290"/>
      <c r="Y1865" s="1290"/>
    </row>
    <row r="1866" spans="1:25" ht="15.75" hidden="1" customHeight="1" outlineLevel="1">
      <c r="A1866" s="1821" t="s">
        <v>1806</v>
      </c>
      <c r="B1866" s="1822"/>
      <c r="C1866" s="1822"/>
      <c r="D1866" s="1823"/>
      <c r="E1866" s="1823"/>
      <c r="F1866" s="1824"/>
      <c r="G1866" s="1872">
        <f>G1750</f>
        <v>1.1000000000000001</v>
      </c>
      <c r="H1866" s="1873"/>
      <c r="I1866" s="1809">
        <f>I1750</f>
        <v>1</v>
      </c>
      <c r="J1866" s="1808"/>
      <c r="K1866" s="1808"/>
      <c r="L1866" s="1808"/>
      <c r="M1866" s="1808"/>
      <c r="N1866" s="1808"/>
      <c r="O1866" s="1808"/>
      <c r="P1866" s="1290"/>
      <c r="Q1866" s="1290"/>
      <c r="R1866" s="1290"/>
      <c r="S1866" s="1290"/>
      <c r="T1866" s="1290"/>
      <c r="U1866" s="1290"/>
      <c r="V1866" s="1290"/>
      <c r="W1866" s="1290"/>
      <c r="X1866" s="1290"/>
      <c r="Y1866" s="1290"/>
    </row>
    <row r="1867" spans="1:25" ht="15.75" hidden="1" customHeight="1" outlineLevel="1">
      <c r="A1867" s="2002"/>
      <c r="B1867" s="2003"/>
      <c r="C1867" s="2004">
        <f>C1818</f>
        <v>110.40000000000003</v>
      </c>
      <c r="D1867" s="1290"/>
      <c r="E1867" s="1290"/>
      <c r="F1867" s="1290"/>
      <c r="G1867" s="1290"/>
      <c r="H1867" s="1290"/>
      <c r="I1867" s="1973"/>
      <c r="J1867" s="1290"/>
      <c r="K1867" s="1290"/>
      <c r="L1867" s="1290"/>
      <c r="M1867" s="1290"/>
      <c r="N1867" s="1290"/>
      <c r="O1867" s="1290"/>
      <c r="P1867" s="1290"/>
      <c r="Q1867" s="1290"/>
      <c r="R1867" s="1290"/>
      <c r="S1867" s="1290"/>
      <c r="T1867" s="1290"/>
      <c r="U1867" s="1290"/>
      <c r="V1867" s="1290"/>
      <c r="W1867" s="1290"/>
      <c r="X1867" s="1290"/>
      <c r="Y1867" s="1290"/>
    </row>
    <row r="1868" spans="1:25" ht="15.75" hidden="1" customHeight="1" outlineLevel="1">
      <c r="A1868" s="1839" t="s">
        <v>3678</v>
      </c>
      <c r="B1868" s="1600" t="s">
        <v>133</v>
      </c>
      <c r="C1868" s="1773">
        <f>C1768</f>
        <v>100</v>
      </c>
      <c r="D1868" s="1290"/>
      <c r="E1868" s="1290"/>
      <c r="F1868" s="1290"/>
      <c r="G1868" s="1290"/>
      <c r="H1868" s="1290"/>
      <c r="I1868" s="1973"/>
      <c r="J1868" s="1290"/>
      <c r="K1868" s="1290"/>
      <c r="L1868" s="1290"/>
      <c r="M1868" s="1290"/>
      <c r="N1868" s="1290"/>
      <c r="O1868" s="1290"/>
      <c r="P1868" s="1290"/>
      <c r="Q1868" s="1290"/>
      <c r="R1868" s="1290"/>
      <c r="S1868" s="1290"/>
      <c r="T1868" s="1290"/>
      <c r="U1868" s="1290"/>
      <c r="V1868" s="1290"/>
      <c r="W1868" s="1290"/>
      <c r="X1868" s="1290"/>
      <c r="Y1868" s="1290"/>
    </row>
    <row r="1869" spans="1:25" ht="15.75" hidden="1" customHeight="1" outlineLevel="1">
      <c r="A1869" s="1839" t="s">
        <v>3679</v>
      </c>
      <c r="B1869" s="1600" t="s">
        <v>133</v>
      </c>
      <c r="C1869" s="1773">
        <f>C1769</f>
        <v>100</v>
      </c>
      <c r="D1869" s="1290"/>
      <c r="E1869" s="1290"/>
      <c r="F1869" s="1290"/>
      <c r="G1869" s="1290"/>
      <c r="H1869" s="1290"/>
      <c r="I1869" s="1973"/>
      <c r="J1869" s="1290"/>
      <c r="K1869" s="1290"/>
      <c r="L1869" s="1290"/>
      <c r="M1869" s="1290"/>
      <c r="N1869" s="1290"/>
      <c r="O1869" s="1290"/>
      <c r="P1869" s="1290"/>
      <c r="Q1869" s="1290"/>
      <c r="R1869" s="1290"/>
      <c r="S1869" s="1290"/>
      <c r="T1869" s="1290"/>
      <c r="U1869" s="1290"/>
      <c r="V1869" s="1290"/>
      <c r="W1869" s="1290"/>
      <c r="X1869" s="1290"/>
      <c r="Y1869" s="1290"/>
    </row>
    <row r="1870" spans="1:25" ht="15.75" hidden="1" customHeight="1" outlineLevel="1">
      <c r="A1870" s="1839" t="s">
        <v>3633</v>
      </c>
      <c r="B1870" s="1600" t="s">
        <v>133</v>
      </c>
      <c r="C1870" s="1841">
        <f>связи1!C158</f>
        <v>0</v>
      </c>
      <c r="D1870" s="1290"/>
      <c r="E1870" s="1290"/>
      <c r="F1870" s="1290"/>
      <c r="G1870" s="1055">
        <f>C1870*I1870+C1870*2</f>
        <v>0</v>
      </c>
      <c r="H1870" s="1262"/>
      <c r="I1870" s="1973">
        <f>(1/C1752)*C1753*2</f>
        <v>2</v>
      </c>
      <c r="J1870" s="1290"/>
      <c r="K1870" s="1290"/>
      <c r="L1870" s="1290"/>
      <c r="M1870" s="1290"/>
      <c r="N1870" s="1290"/>
      <c r="O1870" s="1290"/>
      <c r="P1870" s="1290"/>
      <c r="Q1870" s="1290"/>
      <c r="R1870" s="1290"/>
      <c r="S1870" s="1290"/>
      <c r="T1870" s="1290"/>
      <c r="U1870" s="1290"/>
      <c r="V1870" s="1290"/>
      <c r="W1870" s="1290"/>
      <c r="X1870" s="1290"/>
      <c r="Y1870" s="1290"/>
    </row>
    <row r="1871" spans="1:25" ht="15.75" hidden="1" customHeight="1" outlineLevel="1">
      <c r="A1871" s="1839" t="s">
        <v>3687</v>
      </c>
      <c r="B1871" s="1600" t="s">
        <v>133</v>
      </c>
      <c r="C1871" s="1841">
        <f>C1870</f>
        <v>0</v>
      </c>
      <c r="D1871" s="1290"/>
      <c r="E1871" s="1290"/>
      <c r="F1871" s="1290"/>
      <c r="G1871" s="1290"/>
      <c r="H1871" s="1290"/>
      <c r="I1871" s="1973"/>
      <c r="J1871" s="1290"/>
      <c r="K1871" s="1290"/>
      <c r="L1871" s="1290"/>
      <c r="M1871" s="1290"/>
      <c r="N1871" s="1290"/>
      <c r="O1871" s="1290"/>
      <c r="P1871" s="1290"/>
      <c r="Q1871" s="1290"/>
      <c r="R1871" s="1290"/>
      <c r="S1871" s="1290"/>
      <c r="T1871" s="1290"/>
      <c r="U1871" s="1290"/>
      <c r="V1871" s="1290"/>
      <c r="W1871" s="1290"/>
      <c r="X1871" s="1290"/>
      <c r="Y1871" s="1290"/>
    </row>
    <row r="1872" spans="1:25" ht="15.75" hidden="1" customHeight="1" outlineLevel="1">
      <c r="A1872" s="1839" t="s">
        <v>3802</v>
      </c>
      <c r="B1872" s="1600" t="s">
        <v>133</v>
      </c>
      <c r="C1872" s="1841">
        <f>связи1!D158</f>
        <v>0</v>
      </c>
      <c r="D1872" s="1290"/>
      <c r="E1872" s="1290"/>
      <c r="F1872" s="1290"/>
      <c r="G1872" s="1055">
        <f>C1872*I1872+C1872*2</f>
        <v>0</v>
      </c>
      <c r="H1872" s="1262"/>
      <c r="I1872" s="1973">
        <f>1/C1754*C1755*2</f>
        <v>1.5</v>
      </c>
      <c r="J1872" s="1290"/>
      <c r="K1872" s="1290"/>
      <c r="L1872" s="1290"/>
      <c r="M1872" s="1290"/>
      <c r="N1872" s="1290"/>
      <c r="O1872" s="1290"/>
      <c r="P1872" s="1290"/>
      <c r="Q1872" s="1290"/>
      <c r="R1872" s="1290"/>
      <c r="S1872" s="1290"/>
      <c r="T1872" s="1290"/>
      <c r="U1872" s="1290"/>
      <c r="V1872" s="1290"/>
      <c r="W1872" s="1290"/>
      <c r="X1872" s="1290"/>
      <c r="Y1872" s="1290"/>
    </row>
    <row r="1873" spans="1:25" ht="15.75" hidden="1" customHeight="1" outlineLevel="1">
      <c r="A1873" s="1839" t="s">
        <v>3803</v>
      </c>
      <c r="B1873" s="1600" t="s">
        <v>133</v>
      </c>
      <c r="C1873" s="1841">
        <f>связи1!D158</f>
        <v>0</v>
      </c>
      <c r="D1873" s="1290"/>
      <c r="E1873" s="1290"/>
      <c r="F1873" s="1290"/>
      <c r="G1873" s="1290"/>
      <c r="H1873" s="1290"/>
      <c r="I1873" s="1973"/>
      <c r="J1873" s="1290"/>
      <c r="K1873" s="1290"/>
      <c r="L1873" s="1290"/>
      <c r="M1873" s="1290"/>
      <c r="N1873" s="1290"/>
      <c r="O1873" s="1290"/>
      <c r="P1873" s="1290"/>
      <c r="Q1873" s="1290"/>
      <c r="R1873" s="1290"/>
      <c r="S1873" s="1290"/>
      <c r="T1873" s="1290"/>
      <c r="U1873" s="1290"/>
      <c r="V1873" s="1290"/>
      <c r="W1873" s="1290"/>
      <c r="X1873" s="1290"/>
      <c r="Y1873" s="1290"/>
    </row>
    <row r="1874" spans="1:25" ht="15.75" hidden="1" customHeight="1" outlineLevel="1">
      <c r="A1874" s="1839" t="s">
        <v>2860</v>
      </c>
      <c r="B1874" s="1600" t="s">
        <v>133</v>
      </c>
      <c r="C1874" s="1841">
        <f>связи1!E158</f>
        <v>0</v>
      </c>
      <c r="D1874" s="1290"/>
      <c r="E1874" s="1290"/>
      <c r="F1874" s="1290"/>
      <c r="G1874" s="1055">
        <f>C1874*I1874+C1874*2</f>
        <v>0</v>
      </c>
      <c r="H1874" s="1262"/>
      <c r="I1874" s="1973">
        <f>1/C1756*C1757*2</f>
        <v>1</v>
      </c>
      <c r="J1874" s="1290"/>
      <c r="K1874" s="1290"/>
      <c r="L1874" s="1290"/>
      <c r="M1874" s="1290"/>
      <c r="N1874" s="1290"/>
      <c r="O1874" s="1290"/>
      <c r="P1874" s="1290"/>
      <c r="Q1874" s="1290"/>
      <c r="R1874" s="1290"/>
      <c r="S1874" s="1290"/>
      <c r="T1874" s="1290"/>
      <c r="U1874" s="1290"/>
      <c r="V1874" s="1290"/>
      <c r="W1874" s="1290"/>
      <c r="X1874" s="1290"/>
      <c r="Y1874" s="1290"/>
    </row>
    <row r="1875" spans="1:25" ht="15.75" hidden="1" customHeight="1" outlineLevel="1">
      <c r="A1875" s="1839" t="s">
        <v>3638</v>
      </c>
      <c r="B1875" s="1600" t="s">
        <v>133</v>
      </c>
      <c r="C1875" s="1841">
        <f>C1873+C1874</f>
        <v>0</v>
      </c>
      <c r="D1875" s="1290"/>
      <c r="E1875" s="1290"/>
      <c r="F1875" s="1290"/>
      <c r="G1875" s="1290">
        <f>SUM(G1870:G1874)</f>
        <v>0</v>
      </c>
      <c r="H1875" s="1290"/>
      <c r="I1875" s="1973"/>
      <c r="J1875" s="1290"/>
      <c r="K1875" s="1290"/>
      <c r="L1875" s="1290"/>
      <c r="M1875" s="1290"/>
      <c r="N1875" s="1290"/>
      <c r="O1875" s="1290"/>
      <c r="P1875" s="1290"/>
      <c r="Q1875" s="1290"/>
      <c r="R1875" s="1290"/>
      <c r="S1875" s="1290"/>
      <c r="T1875" s="1290"/>
      <c r="U1875" s="1290"/>
      <c r="V1875" s="1290"/>
      <c r="W1875" s="1290"/>
      <c r="X1875" s="1290"/>
      <c r="Y1875" s="1290"/>
    </row>
    <row r="1876" spans="1:25" ht="15.75" hidden="1" customHeight="1" outlineLevel="1">
      <c r="A1876" s="1839" t="s">
        <v>3804</v>
      </c>
      <c r="B1876" s="1600" t="s">
        <v>133</v>
      </c>
      <c r="C1876" s="1773">
        <f>C1777</f>
        <v>0</v>
      </c>
      <c r="D1876" s="1290"/>
      <c r="E1876" s="1290"/>
      <c r="F1876" s="1290"/>
      <c r="G1876" s="1290"/>
      <c r="H1876" s="1290"/>
      <c r="I1876" s="1973"/>
      <c r="J1876" s="1290"/>
      <c r="K1876" s="1290"/>
      <c r="L1876" s="1290"/>
      <c r="M1876" s="1290"/>
      <c r="N1876" s="1290"/>
      <c r="O1876" s="1290"/>
      <c r="P1876" s="1290"/>
      <c r="Q1876" s="1290"/>
      <c r="R1876" s="1290"/>
      <c r="S1876" s="1290"/>
      <c r="T1876" s="1290"/>
      <c r="U1876" s="1290"/>
      <c r="V1876" s="1290"/>
      <c r="W1876" s="1290"/>
      <c r="X1876" s="1290"/>
      <c r="Y1876" s="1290"/>
    </row>
    <row r="1877" spans="1:25" ht="15.75" hidden="1" customHeight="1" outlineLevel="1">
      <c r="A1877" s="2007" t="s">
        <v>2720</v>
      </c>
      <c r="B1877" s="2008" t="s">
        <v>1094</v>
      </c>
      <c r="C1877" s="2008" t="s">
        <v>120</v>
      </c>
      <c r="D1877" s="2008" t="s">
        <v>3764</v>
      </c>
      <c r="E1877" s="2009" t="s">
        <v>2722</v>
      </c>
      <c r="F1877" s="1290"/>
      <c r="G1877" s="2002" t="s">
        <v>1409</v>
      </c>
      <c r="H1877" s="2010"/>
      <c r="I1877" s="2011"/>
      <c r="J1877" s="2009" t="s">
        <v>1802</v>
      </c>
      <c r="K1877" s="2009" t="s">
        <v>2721</v>
      </c>
      <c r="L1877" s="2009"/>
      <c r="M1877" s="2009"/>
      <c r="N1877" s="2009"/>
      <c r="O1877" s="2009" t="s">
        <v>2722</v>
      </c>
      <c r="P1877" s="1290"/>
      <c r="Q1877" s="1290"/>
      <c r="R1877" s="1290"/>
      <c r="S1877" s="1290"/>
      <c r="T1877" s="1290"/>
      <c r="U1877" s="1290"/>
      <c r="V1877" s="1290"/>
      <c r="W1877" s="1290"/>
      <c r="X1877" s="1290"/>
      <c r="Y1877" s="1290"/>
    </row>
    <row r="1878" spans="1:25" ht="15.75" hidden="1" customHeight="1" outlineLevel="1">
      <c r="A1878" s="1839" t="str">
        <f>A1830</f>
        <v>Листв. влаж, 200*200мм</v>
      </c>
      <c r="B1878" s="1696" t="str">
        <f>B1830</f>
        <v>м3</v>
      </c>
      <c r="C1878" s="1694">
        <f>C1830</f>
        <v>2.5520000000000005</v>
      </c>
      <c r="D1878" s="1694">
        <f>D1830</f>
        <v>9000</v>
      </c>
      <c r="E1878" s="1694">
        <f t="shared" ref="E1878:E1904" si="217">C1878*D1878</f>
        <v>22968.000000000004</v>
      </c>
      <c r="F1878" s="1290"/>
      <c r="G1878" s="1632" t="s">
        <v>1502</v>
      </c>
      <c r="H1878" s="1778"/>
      <c r="I1878" s="1853"/>
      <c r="J1878" s="1353">
        <f>(C1878+C1879+C1880+C1881)*I1866</f>
        <v>24.288000000000011</v>
      </c>
      <c r="K1878" s="1353">
        <f>'Прайс лист'!G1699</f>
        <v>6000</v>
      </c>
      <c r="L1878" s="1353"/>
      <c r="M1878" s="1353"/>
      <c r="N1878" s="1353"/>
      <c r="O1878" s="1353">
        <f>J1878*K1878</f>
        <v>145728.00000000006</v>
      </c>
      <c r="P1878" s="1290"/>
      <c r="Q1878" s="1290"/>
      <c r="R1878" s="1290"/>
      <c r="S1878" s="1290"/>
      <c r="T1878" s="1290"/>
      <c r="U1878" s="1290"/>
      <c r="V1878" s="1290"/>
      <c r="W1878" s="1290"/>
      <c r="X1878" s="1290"/>
      <c r="Y1878" s="1290"/>
    </row>
    <row r="1879" spans="1:25" ht="15.75" hidden="1" customHeight="1" outlineLevel="1">
      <c r="A1879" s="1839" t="str">
        <f t="shared" ref="A1879:B1881" si="218">A1831</f>
        <v>Сосна влаж, 200*200мм</v>
      </c>
      <c r="B1879" s="1696" t="str">
        <f t="shared" si="218"/>
        <v>м3</v>
      </c>
      <c r="C1879" s="1694">
        <f>(C1867+C1870)*C1753*G1750-C1878</f>
        <v>21.736000000000011</v>
      </c>
      <c r="D1879" s="1694">
        <f>D1831</f>
        <v>6500</v>
      </c>
      <c r="E1879" s="1694">
        <f t="shared" si="217"/>
        <v>141284.00000000009</v>
      </c>
      <c r="F1879" s="1290"/>
      <c r="G1879" s="1632"/>
      <c r="H1879" s="1778"/>
      <c r="I1879" s="1853"/>
      <c r="J1879" s="1353"/>
      <c r="K1879" s="1353"/>
      <c r="L1879" s="1353"/>
      <c r="M1879" s="1353"/>
      <c r="N1879" s="1353"/>
      <c r="O1879" s="1353"/>
      <c r="P1879" s="1290"/>
      <c r="Q1879" s="1290"/>
      <c r="R1879" s="1290"/>
      <c r="S1879" s="1290"/>
      <c r="T1879" s="1290"/>
      <c r="U1879" s="1290"/>
      <c r="V1879" s="1290"/>
      <c r="W1879" s="1290"/>
      <c r="X1879" s="1290"/>
      <c r="Y1879" s="1290"/>
    </row>
    <row r="1880" spans="1:25" ht="15.75" hidden="1" customHeight="1" outlineLevel="1">
      <c r="A1880" s="1839" t="str">
        <f t="shared" si="218"/>
        <v>Сосна влаж, 200*150мм</v>
      </c>
      <c r="B1880" s="1696" t="str">
        <f t="shared" si="218"/>
        <v>м3</v>
      </c>
      <c r="C1880" s="1694">
        <f>C1873*C1755*G1750</f>
        <v>0</v>
      </c>
      <c r="D1880" s="1694">
        <f>D1832</f>
        <v>6500</v>
      </c>
      <c r="E1880" s="1694">
        <f t="shared" si="217"/>
        <v>0</v>
      </c>
      <c r="F1880" s="1290"/>
      <c r="G1880" s="1632" t="s">
        <v>1504</v>
      </c>
      <c r="H1880" s="1778"/>
      <c r="I1880" s="1853"/>
      <c r="J1880" s="1353">
        <f>(C1758*F1758+C1759*F1759+C1760*F1760+C1761*F1761+C1762*F1762+C1763*F1763)*I1750</f>
        <v>0</v>
      </c>
      <c r="K1880" s="1353">
        <f>'Прайс лист'!G1695</f>
        <v>150</v>
      </c>
      <c r="L1880" s="1353"/>
      <c r="M1880" s="1353"/>
      <c r="N1880" s="1353"/>
      <c r="O1880" s="1353">
        <f>J1880*K1880</f>
        <v>0</v>
      </c>
      <c r="P1880" s="1290"/>
      <c r="Q1880" s="1290"/>
      <c r="R1880" s="1290"/>
      <c r="S1880" s="1290"/>
      <c r="T1880" s="1290"/>
      <c r="U1880" s="1290"/>
      <c r="V1880" s="1290"/>
      <c r="W1880" s="1290"/>
      <c r="X1880" s="1290"/>
      <c r="Y1880" s="1290"/>
    </row>
    <row r="1881" spans="1:25" ht="15.75" hidden="1" customHeight="1" outlineLevel="1">
      <c r="A1881" s="1839" t="str">
        <f t="shared" si="218"/>
        <v>Сосна влаж, 200*100мм</v>
      </c>
      <c r="B1881" s="1696" t="str">
        <f t="shared" si="218"/>
        <v>м2</v>
      </c>
      <c r="C1881" s="1694">
        <f>C1874*C1757*G1750</f>
        <v>0</v>
      </c>
      <c r="D1881" s="1694">
        <f>D1833</f>
        <v>6500</v>
      </c>
      <c r="E1881" s="1694">
        <f t="shared" si="217"/>
        <v>0</v>
      </c>
      <c r="F1881" s="1290"/>
      <c r="G1881" s="1632" t="str">
        <f>G1832</f>
        <v>обработка торцов на брусе</v>
      </c>
      <c r="H1881" s="1632"/>
      <c r="I1881" s="1632">
        <f>I1832</f>
        <v>0</v>
      </c>
      <c r="J1881" s="1632">
        <f>J1832</f>
        <v>14.400000000000002</v>
      </c>
      <c r="K1881" s="1632">
        <f>K1832</f>
        <v>250</v>
      </c>
      <c r="L1881" s="1632">
        <f>L1832</f>
        <v>0</v>
      </c>
      <c r="M1881" s="1632"/>
      <c r="N1881" s="1632"/>
      <c r="O1881" s="1632">
        <f>O1832</f>
        <v>3600.0000000000005</v>
      </c>
      <c r="P1881" s="1290"/>
      <c r="Q1881" s="1290"/>
      <c r="R1881" s="1290"/>
      <c r="S1881" s="1290"/>
      <c r="T1881" s="1290"/>
      <c r="U1881" s="1290"/>
      <c r="V1881" s="1290"/>
      <c r="W1881" s="1290"/>
      <c r="X1881" s="1290"/>
      <c r="Y1881" s="1290"/>
    </row>
    <row r="1882" spans="1:25" ht="15.75" hidden="1" customHeight="1" outlineLevel="1">
      <c r="A1882" s="1839" t="str">
        <f>'Ввод данных'!A943</f>
        <v>Шкант</v>
      </c>
      <c r="B1882" s="1696" t="str">
        <f t="shared" ref="B1882:B1900" si="219">B1834</f>
        <v>шт</v>
      </c>
      <c r="C1882" s="1694">
        <f>CEILING((C1878+C1879+C1880+C1881)*20*G1750,1)</f>
        <v>535</v>
      </c>
      <c r="D1882" s="1694">
        <f>VLOOKUP('Ввод данных'!A943,связи1!A459:B461,2,0)</f>
        <v>6</v>
      </c>
      <c r="E1882" s="1694">
        <f t="shared" si="217"/>
        <v>3210</v>
      </c>
      <c r="F1882" s="1290"/>
      <c r="G1882" s="1632" t="str">
        <f>G1833</f>
        <v>Обаботка огнебиозащитой</v>
      </c>
      <c r="H1882" s="1778"/>
      <c r="I1882" s="1853"/>
      <c r="J1882" s="1353">
        <f>SUM(C1878:C1881)*IF('Ввод данных'!A950='Прайс лист'!B728,0,1)</f>
        <v>24.288000000000011</v>
      </c>
      <c r="K1882" s="1353">
        <f>K1833</f>
        <v>300</v>
      </c>
      <c r="L1882" s="1353"/>
      <c r="M1882" s="1353"/>
      <c r="N1882" s="1353"/>
      <c r="O1882" s="1632">
        <f>O1833</f>
        <v>7650.7200000000048</v>
      </c>
      <c r="P1882" s="1290"/>
      <c r="Q1882" s="1290"/>
      <c r="R1882" s="1290"/>
      <c r="S1882" s="1290"/>
      <c r="T1882" s="1290"/>
      <c r="U1882" s="1290"/>
      <c r="V1882" s="1290"/>
      <c r="W1882" s="1290"/>
      <c r="X1882" s="1290"/>
      <c r="Y1882" s="1290"/>
    </row>
    <row r="1883" spans="1:25" ht="15.75" hidden="1" customHeight="1" outlineLevel="1">
      <c r="A1883" s="1839" t="str">
        <f>'Прайс лист'!B426</f>
        <v>Лента уплотнения</v>
      </c>
      <c r="B1883" s="1696" t="str">
        <f t="shared" si="219"/>
        <v>шт</v>
      </c>
      <c r="C1883" s="1694">
        <f>CEILING((C1870+C1873+C1874)/VLOOKUP(A1879,'Прайс лист'!B333:G419,3,0)/20*G1750*1.3,1)</f>
        <v>0</v>
      </c>
      <c r="D1883" s="1694">
        <f>'Прайс лист'!G426</f>
        <v>130</v>
      </c>
      <c r="E1883" s="1694">
        <f t="shared" si="217"/>
        <v>0</v>
      </c>
      <c r="F1883" s="1290"/>
      <c r="G1883" s="1632" t="str">
        <f>G1834</f>
        <v>Пропитка стен внешних</v>
      </c>
      <c r="H1883" s="1632"/>
      <c r="I1883" s="1278"/>
      <c r="J1883" s="1055">
        <f>C1870*IF('Ввод данных'!A955='Прайс лист'!B1534,0,1)</f>
        <v>0</v>
      </c>
      <c r="K1883" s="1353">
        <f>K1834</f>
        <v>100</v>
      </c>
      <c r="L1883" s="1055"/>
      <c r="M1883" s="1055"/>
      <c r="N1883" s="1055"/>
      <c r="O1883" s="1632">
        <f>O1834</f>
        <v>0</v>
      </c>
      <c r="P1883" s="1290"/>
      <c r="Q1883" s="1290"/>
      <c r="R1883" s="1290"/>
      <c r="S1883" s="1290"/>
      <c r="T1883" s="1290"/>
      <c r="U1883" s="1290"/>
      <c r="V1883" s="1290"/>
      <c r="W1883" s="1290"/>
      <c r="X1883" s="1290"/>
      <c r="Y1883" s="1290"/>
    </row>
    <row r="1884" spans="1:25" ht="15.75" hidden="1" customHeight="1" outlineLevel="1">
      <c r="A1884" s="1839" t="str">
        <f t="shared" ref="A1884:A1900" si="220">A1836</f>
        <v xml:space="preserve">Гвозди строительные 3,5 x 90            </v>
      </c>
      <c r="B1884" s="1696" t="str">
        <f t="shared" si="219"/>
        <v>шт</v>
      </c>
      <c r="C1884" s="1694">
        <f>C1836</f>
        <v>4.4000000000000004</v>
      </c>
      <c r="D1884" s="1694">
        <f>D1836</f>
        <v>70</v>
      </c>
      <c r="E1884" s="1694">
        <f t="shared" si="217"/>
        <v>308</v>
      </c>
      <c r="F1884" s="1290"/>
      <c r="G1884" s="1632" t="str">
        <f>G1835</f>
        <v>Пропитка внутенних стен</v>
      </c>
      <c r="H1884" s="1778"/>
      <c r="I1884" s="1853"/>
      <c r="J1884" s="1353">
        <f>(C1870+C1875*2)*IF('Ввод данных'!A960='Прайс лист'!B1534,0,1)</f>
        <v>0</v>
      </c>
      <c r="K1884" s="1353">
        <f>K1835</f>
        <v>100</v>
      </c>
      <c r="L1884" s="1353"/>
      <c r="M1884" s="1353"/>
      <c r="N1884" s="1353"/>
      <c r="O1884" s="1632">
        <f>O1835</f>
        <v>0</v>
      </c>
      <c r="P1884" s="1290"/>
      <c r="Q1884" s="1290"/>
      <c r="R1884" s="1290"/>
      <c r="S1884" s="1290"/>
      <c r="T1884" s="1290"/>
      <c r="U1884" s="1290"/>
      <c r="V1884" s="1290"/>
      <c r="W1884" s="1290"/>
      <c r="X1884" s="1290"/>
      <c r="Y1884" s="1290"/>
    </row>
    <row r="1885" spans="1:25" ht="15.75" hidden="1" customHeight="1" outlineLevel="1">
      <c r="A1885" s="1839" t="str">
        <f t="shared" si="220"/>
        <v>нет</v>
      </c>
      <c r="B1885" s="1696" t="str">
        <f t="shared" si="219"/>
        <v>м3</v>
      </c>
      <c r="C1885" s="1694">
        <f>((C1758*F1758+C1759*F1759)*G1750*VLOOKUP(A1793,связи1!A407:E416,5,0))</f>
        <v>0</v>
      </c>
      <c r="D1885" s="1694">
        <f t="shared" ref="D1885:D1900" si="221">D1837</f>
        <v>0</v>
      </c>
      <c r="E1885" s="1694">
        <f t="shared" si="217"/>
        <v>0</v>
      </c>
      <c r="F1885" s="1290"/>
      <c r="G1885" s="1632" t="str">
        <f>G1792</f>
        <v>Сверление стен для скрытой проводки</v>
      </c>
      <c r="H1885" s="1632"/>
      <c r="I1885" s="1632">
        <f>I1792</f>
        <v>0</v>
      </c>
      <c r="J1885" s="1632">
        <f>J1792</f>
        <v>180</v>
      </c>
      <c r="K1885" s="1632">
        <f>K1792</f>
        <v>300</v>
      </c>
      <c r="L1885" s="1353"/>
      <c r="M1885" s="1353"/>
      <c r="N1885" s="1353"/>
      <c r="O1885" s="1353"/>
      <c r="P1885" s="1290"/>
      <c r="Q1885" s="1290"/>
      <c r="R1885" s="1290"/>
      <c r="S1885" s="1290"/>
      <c r="T1885" s="1290"/>
      <c r="U1885" s="1290"/>
      <c r="V1885" s="1290"/>
      <c r="W1885" s="1290"/>
      <c r="X1885" s="1290"/>
      <c r="Y1885" s="1290"/>
    </row>
    <row r="1886" spans="1:25" ht="15.75" hidden="1" customHeight="1" outlineLevel="1">
      <c r="A1886" s="1839" t="str">
        <f t="shared" si="220"/>
        <v>Доска сухая, 100*50мм</v>
      </c>
      <c r="B1886" s="1696" t="str">
        <f t="shared" si="219"/>
        <v>м3</v>
      </c>
      <c r="C1886" s="1694">
        <f>((C1760*F1760+C1762*F1762)*G1750*VLOOKUP(A1794,связи1!A407:E416,5,0))</f>
        <v>0</v>
      </c>
      <c r="D1886" s="1694">
        <f t="shared" si="221"/>
        <v>9000</v>
      </c>
      <c r="E1886" s="1694">
        <f t="shared" si="217"/>
        <v>0</v>
      </c>
      <c r="F1886" s="1290"/>
      <c r="G1886" s="1632" t="str">
        <f>G1793</f>
        <v>Монтаж наличника</v>
      </c>
      <c r="H1886" s="1778"/>
      <c r="I1886" s="1853"/>
      <c r="J1886" s="1632">
        <f>J1793</f>
        <v>0</v>
      </c>
      <c r="K1886" s="1632">
        <f>K1793</f>
        <v>80</v>
      </c>
      <c r="L1886" s="1353"/>
      <c r="M1886" s="1353"/>
      <c r="N1886" s="1353"/>
      <c r="O1886" s="1353"/>
      <c r="P1886" s="1290"/>
      <c r="Q1886" s="1290"/>
      <c r="R1886" s="1290"/>
      <c r="S1886" s="1290"/>
      <c r="T1886" s="1290"/>
      <c r="U1886" s="1290"/>
      <c r="V1886" s="1290"/>
      <c r="W1886" s="1290"/>
      <c r="X1886" s="1290"/>
      <c r="Y1886" s="1290"/>
    </row>
    <row r="1887" spans="1:25" ht="15.75" hidden="1" customHeight="1" outlineLevel="1">
      <c r="A1887" s="1839" t="str">
        <f t="shared" si="220"/>
        <v>Доска сухая калиброванная, 100*45мм</v>
      </c>
      <c r="B1887" s="1696" t="str">
        <f t="shared" si="219"/>
        <v>м3</v>
      </c>
      <c r="C1887" s="1694">
        <f>VLOOKUP(A1795,связи1!A407:E416,5,0)*(C1761*F1761+C1763*F1763)*G1750</f>
        <v>0</v>
      </c>
      <c r="D1887" s="1694">
        <f t="shared" si="221"/>
        <v>12500</v>
      </c>
      <c r="E1887" s="1694">
        <f t="shared" si="217"/>
        <v>0</v>
      </c>
      <c r="F1887" s="1290"/>
      <c r="G1887" s="1632"/>
      <c r="H1887" s="1778"/>
      <c r="I1887" s="1784"/>
      <c r="J1887" s="1632"/>
      <c r="K1887" s="1632"/>
      <c r="L1887" s="1353"/>
      <c r="M1887" s="1353"/>
      <c r="N1887" s="1353"/>
      <c r="O1887" s="1353"/>
      <c r="P1887" s="1290"/>
      <c r="Q1887" s="1290"/>
      <c r="R1887" s="1290"/>
      <c r="S1887" s="1290"/>
      <c r="T1887" s="1290"/>
      <c r="U1887" s="1290"/>
      <c r="V1887" s="1290"/>
      <c r="W1887" s="1290"/>
      <c r="X1887" s="1290"/>
      <c r="Y1887" s="1290"/>
    </row>
    <row r="1888" spans="1:25" ht="15.75" hidden="1" customHeight="1" outlineLevel="1">
      <c r="A1888" s="1839" t="str">
        <f t="shared" si="220"/>
        <v>Сосна влаж, 50*50мм</v>
      </c>
      <c r="B1888" s="1696" t="str">
        <f t="shared" si="219"/>
        <v>м.п.</v>
      </c>
      <c r="C1888" s="1694">
        <f>C1840</f>
        <v>0</v>
      </c>
      <c r="D1888" s="1694">
        <f t="shared" si="221"/>
        <v>16.25</v>
      </c>
      <c r="E1888" s="1694">
        <f t="shared" si="217"/>
        <v>0</v>
      </c>
      <c r="F1888" s="1290"/>
      <c r="G1888" s="1632" t="str">
        <f>G1838</f>
        <v>Шлифовка стен дома</v>
      </c>
      <c r="H1888" s="1632"/>
      <c r="I1888" s="1632">
        <f>I1838</f>
        <v>0</v>
      </c>
      <c r="J1888" s="1632">
        <f>C1870*IF('Ввод данных'!A973=связи1!A542,1,0)+(C1870+C1875*2)*IF('Ввод данных'!A976=связи1!A545,1,0)</f>
        <v>0</v>
      </c>
      <c r="K1888" s="1632">
        <f>K1838</f>
        <v>250</v>
      </c>
      <c r="L1888" s="1353"/>
      <c r="M1888" s="1353"/>
      <c r="N1888" s="1353"/>
      <c r="O1888" s="1353"/>
      <c r="P1888" s="1290"/>
      <c r="Q1888" s="1290"/>
      <c r="R1888" s="1290"/>
      <c r="S1888" s="1290"/>
      <c r="T1888" s="1290"/>
      <c r="U1888" s="1290"/>
      <c r="V1888" s="1290"/>
      <c r="W1888" s="1290"/>
      <c r="X1888" s="1290"/>
      <c r="Y1888" s="1290"/>
    </row>
    <row r="1889" spans="1:25" ht="15.75" hidden="1" customHeight="1" outlineLevel="1">
      <c r="A1889" s="1839" t="str">
        <f t="shared" si="220"/>
        <v>Бензин для пилы</v>
      </c>
      <c r="B1889" s="1696" t="str">
        <f t="shared" si="219"/>
        <v>л</v>
      </c>
      <c r="C1889" s="1694">
        <f>SUM(C1878:C1881)/5</f>
        <v>4.8576000000000024</v>
      </c>
      <c r="D1889" s="1694">
        <f t="shared" si="221"/>
        <v>40</v>
      </c>
      <c r="E1889" s="1694">
        <f t="shared" si="217"/>
        <v>194.30400000000009</v>
      </c>
      <c r="F1889" s="1290"/>
      <c r="G1889" s="1632"/>
      <c r="H1889" s="1778"/>
      <c r="I1889" s="1853"/>
      <c r="J1889" s="1353"/>
      <c r="K1889" s="1353"/>
      <c r="L1889" s="1353"/>
      <c r="M1889" s="1353"/>
      <c r="N1889" s="1353"/>
      <c r="O1889" s="1353"/>
      <c r="P1889" s="1290"/>
      <c r="Q1889" s="1290"/>
      <c r="R1889" s="1290"/>
      <c r="S1889" s="1290"/>
      <c r="T1889" s="1290"/>
      <c r="U1889" s="1290"/>
      <c r="V1889" s="1290"/>
      <c r="W1889" s="1290"/>
      <c r="X1889" s="1290"/>
      <c r="Y1889" s="1290"/>
    </row>
    <row r="1890" spans="1:25" ht="15.75" hidden="1" customHeight="1" outlineLevel="1">
      <c r="A1890" s="1839" t="str">
        <f t="shared" si="220"/>
        <v>Масло для пилы</v>
      </c>
      <c r="B1890" s="1696" t="str">
        <f t="shared" si="219"/>
        <v>л</v>
      </c>
      <c r="C1890" s="1694">
        <f>C1889/20</f>
        <v>0.24288000000000012</v>
      </c>
      <c r="D1890" s="1694">
        <f t="shared" si="221"/>
        <v>250</v>
      </c>
      <c r="E1890" s="1694">
        <f t="shared" si="217"/>
        <v>60.720000000000034</v>
      </c>
      <c r="F1890" s="1290"/>
      <c r="G1890" s="1632"/>
      <c r="H1890" s="1778"/>
      <c r="I1890" s="1853"/>
      <c r="J1890" s="1353"/>
      <c r="K1890" s="1353"/>
      <c r="L1890" s="1353"/>
      <c r="M1890" s="1353"/>
      <c r="N1890" s="1353"/>
      <c r="O1890" s="1353"/>
      <c r="P1890" s="1290"/>
      <c r="Q1890" s="1290"/>
      <c r="R1890" s="1290"/>
      <c r="S1890" s="1290"/>
      <c r="T1890" s="1290"/>
      <c r="U1890" s="1290"/>
      <c r="V1890" s="1290"/>
      <c r="W1890" s="1290"/>
      <c r="X1890" s="1290"/>
      <c r="Y1890" s="1290"/>
    </row>
    <row r="1891" spans="1:25" ht="15.75" hidden="1" customHeight="1" outlineLevel="1">
      <c r="A1891" s="1839" t="str">
        <f t="shared" si="220"/>
        <v>Цепь для пилы</v>
      </c>
      <c r="B1891" s="1696" t="str">
        <f t="shared" si="219"/>
        <v>л</v>
      </c>
      <c r="C1891" s="1694">
        <f>CEILING((SUM(C1878:C1881)/10),1)</f>
        <v>3</v>
      </c>
      <c r="D1891" s="1694">
        <f t="shared" si="221"/>
        <v>800</v>
      </c>
      <c r="E1891" s="1694">
        <f t="shared" si="217"/>
        <v>2400</v>
      </c>
      <c r="F1891" s="1290"/>
      <c r="G1891" s="1632"/>
      <c r="H1891" s="1778"/>
      <c r="I1891" s="1853"/>
      <c r="J1891" s="1353"/>
      <c r="K1891" s="1353"/>
      <c r="L1891" s="1353"/>
      <c r="M1891" s="1353"/>
      <c r="N1891" s="1353"/>
      <c r="O1891" s="1353"/>
      <c r="P1891" s="1290"/>
      <c r="Q1891" s="1290"/>
      <c r="R1891" s="1290"/>
      <c r="S1891" s="1290"/>
      <c r="T1891" s="1290"/>
      <c r="U1891" s="1290"/>
      <c r="V1891" s="1290"/>
      <c r="W1891" s="1290"/>
      <c r="X1891" s="1290"/>
      <c r="Y1891" s="1290"/>
    </row>
    <row r="1892" spans="1:25" ht="15.75" hidden="1" customHeight="1" outlineLevel="1">
      <c r="A1892" s="1839" t="str">
        <f t="shared" si="220"/>
        <v>"Профилюкс" Антисептик АНТИПЛЕСЕНЬ</v>
      </c>
      <c r="B1892" s="1696" t="str">
        <f t="shared" si="219"/>
        <v>л</v>
      </c>
      <c r="C1892" s="1694">
        <f>G1875*'Ввод данных'!C951*'Ввод данных'!C952</f>
        <v>0</v>
      </c>
      <c r="D1892" s="1694">
        <f t="shared" si="221"/>
        <v>108</v>
      </c>
      <c r="E1892" s="1694">
        <f t="shared" si="217"/>
        <v>0</v>
      </c>
      <c r="F1892" s="1290"/>
      <c r="G1892" s="1632"/>
      <c r="H1892" s="1778"/>
      <c r="I1892" s="1853"/>
      <c r="J1892" s="1353"/>
      <c r="K1892" s="1353"/>
      <c r="L1892" s="1353"/>
      <c r="M1892" s="1353"/>
      <c r="N1892" s="1353"/>
      <c r="O1892" s="1353"/>
      <c r="P1892" s="1290"/>
      <c r="Q1892" s="1290"/>
      <c r="R1892" s="1290"/>
      <c r="S1892" s="1290"/>
      <c r="T1892" s="1290"/>
      <c r="U1892" s="1290"/>
      <c r="V1892" s="1290"/>
      <c r="W1892" s="1290"/>
      <c r="X1892" s="1290"/>
      <c r="Y1892" s="1290"/>
    </row>
    <row r="1893" spans="1:25" ht="15.75" hidden="1" customHeight="1" outlineLevel="1">
      <c r="A1893" s="1839" t="str">
        <f t="shared" si="220"/>
        <v>"Тонерол" Антисептик  бесцветный  1л</v>
      </c>
      <c r="B1893" s="1696" t="str">
        <f t="shared" si="219"/>
        <v>л</v>
      </c>
      <c r="C1893" s="1694">
        <f>C1870*'Ввод данных'!C956*'Ввод данных'!C957</f>
        <v>0</v>
      </c>
      <c r="D1893" s="1694">
        <f t="shared" si="221"/>
        <v>305</v>
      </c>
      <c r="E1893" s="1694">
        <f t="shared" si="217"/>
        <v>0</v>
      </c>
      <c r="F1893" s="1290"/>
      <c r="G1893" s="1632"/>
      <c r="H1893" s="1778"/>
      <c r="I1893" s="1853"/>
      <c r="J1893" s="1353"/>
      <c r="K1893" s="1353"/>
      <c r="L1893" s="1353"/>
      <c r="M1893" s="1353"/>
      <c r="N1893" s="1353"/>
      <c r="O1893" s="1353"/>
      <c r="P1893" s="1290"/>
      <c r="Q1893" s="1290"/>
      <c r="R1893" s="1290"/>
      <c r="S1893" s="1290"/>
      <c r="T1893" s="1290"/>
      <c r="U1893" s="1290"/>
      <c r="V1893" s="1290"/>
      <c r="W1893" s="1290"/>
      <c r="X1893" s="1290"/>
      <c r="Y1893" s="1290"/>
    </row>
    <row r="1894" spans="1:25" ht="15.75" hidden="1" customHeight="1" outlineLevel="1">
      <c r="A1894" s="1839" t="str">
        <f t="shared" si="220"/>
        <v>"Тонерол" Антисептик  махагон  1л</v>
      </c>
      <c r="B1894" s="1696" t="str">
        <f t="shared" si="219"/>
        <v>л</v>
      </c>
      <c r="C1894" s="1694">
        <f>(C1870+C1875*2)*'Ввод данных'!C961*'Ввод данных'!C962</f>
        <v>0</v>
      </c>
      <c r="D1894" s="1694">
        <f t="shared" si="221"/>
        <v>305</v>
      </c>
      <c r="E1894" s="1694">
        <f t="shared" si="217"/>
        <v>0</v>
      </c>
      <c r="F1894" s="1290"/>
      <c r="G1894" s="1632"/>
      <c r="H1894" s="1778"/>
      <c r="I1894" s="1853"/>
      <c r="J1894" s="1353"/>
      <c r="K1894" s="1353"/>
      <c r="L1894" s="1353"/>
      <c r="M1894" s="1353"/>
      <c r="N1894" s="1353"/>
      <c r="O1894" s="1353"/>
      <c r="P1894" s="1290"/>
      <c r="Q1894" s="1290"/>
      <c r="R1894" s="1290"/>
      <c r="S1894" s="1290"/>
      <c r="T1894" s="1290"/>
      <c r="U1894" s="1290"/>
      <c r="V1894" s="1290"/>
      <c r="W1894" s="1290"/>
      <c r="X1894" s="1290"/>
      <c r="Y1894" s="1290"/>
    </row>
    <row r="1895" spans="1:25" ht="15.75" hidden="1" customHeight="1" outlineLevel="1">
      <c r="A1895" s="1839" t="str">
        <f t="shared" si="220"/>
        <v>Нет наличника</v>
      </c>
      <c r="B1895" s="1696" t="str">
        <f t="shared" si="219"/>
        <v>м.п.</v>
      </c>
      <c r="C1895" s="1839">
        <f t="shared" ref="C1895:C1900" si="222">C1847</f>
        <v>3.5700000000000007</v>
      </c>
      <c r="D1895" s="1839">
        <f t="shared" si="221"/>
        <v>0</v>
      </c>
      <c r="E1895" s="1694">
        <f t="shared" si="217"/>
        <v>0</v>
      </c>
      <c r="F1895" s="1290"/>
      <c r="G1895" s="1632"/>
      <c r="H1895" s="1778"/>
      <c r="I1895" s="1853"/>
      <c r="J1895" s="1353"/>
      <c r="K1895" s="1353"/>
      <c r="L1895" s="1353"/>
      <c r="M1895" s="1353"/>
      <c r="N1895" s="1353"/>
      <c r="O1895" s="1353"/>
      <c r="P1895" s="1290"/>
      <c r="Q1895" s="1290"/>
      <c r="R1895" s="1290"/>
      <c r="S1895" s="1290"/>
      <c r="T1895" s="1290"/>
      <c r="U1895" s="1290"/>
      <c r="V1895" s="1290"/>
      <c r="W1895" s="1290"/>
      <c r="X1895" s="1290"/>
      <c r="Y1895" s="1290"/>
    </row>
    <row r="1896" spans="1:25" ht="15.75" hidden="1" customHeight="1" outlineLevel="1">
      <c r="A1896" s="1839" t="str">
        <f t="shared" si="220"/>
        <v>Нет наличника</v>
      </c>
      <c r="B1896" s="1696" t="str">
        <f t="shared" si="219"/>
        <v>м.п.</v>
      </c>
      <c r="C1896" s="1839">
        <f t="shared" si="222"/>
        <v>3.5700000000000007</v>
      </c>
      <c r="D1896" s="1839">
        <f t="shared" si="221"/>
        <v>0</v>
      </c>
      <c r="E1896" s="1694">
        <f t="shared" si="217"/>
        <v>0</v>
      </c>
      <c r="F1896" s="1290"/>
      <c r="G1896" s="1632"/>
      <c r="H1896" s="1778"/>
      <c r="I1896" s="1853"/>
      <c r="J1896" s="1353"/>
      <c r="K1896" s="1353"/>
      <c r="L1896" s="1353"/>
      <c r="M1896" s="1353"/>
      <c r="N1896" s="1353"/>
      <c r="O1896" s="1353"/>
      <c r="P1896" s="1290"/>
      <c r="Q1896" s="1290"/>
      <c r="R1896" s="1290"/>
      <c r="S1896" s="1290"/>
      <c r="T1896" s="1290"/>
      <c r="U1896" s="1290"/>
      <c r="V1896" s="1290"/>
      <c r="W1896" s="1290"/>
      <c r="X1896" s="1290"/>
      <c r="Y1896" s="1290"/>
    </row>
    <row r="1897" spans="1:25" ht="15.75" hidden="1" customHeight="1" outlineLevel="1">
      <c r="A1897" s="1839" t="str">
        <f t="shared" si="220"/>
        <v>Бумага наждачная № 63 F(30)</v>
      </c>
      <c r="B1897" s="1839" t="str">
        <f t="shared" si="219"/>
        <v>м</v>
      </c>
      <c r="C1897" s="1839">
        <f t="shared" si="222"/>
        <v>5</v>
      </c>
      <c r="D1897" s="1839">
        <f t="shared" si="221"/>
        <v>291</v>
      </c>
      <c r="E1897" s="1694">
        <f t="shared" si="217"/>
        <v>1455</v>
      </c>
      <c r="F1897" s="1290"/>
      <c r="G1897" s="1632"/>
      <c r="H1897" s="1778"/>
      <c r="I1897" s="1853"/>
      <c r="J1897" s="1353"/>
      <c r="K1897" s="1353"/>
      <c r="L1897" s="1353"/>
      <c r="M1897" s="1353"/>
      <c r="N1897" s="1353"/>
      <c r="O1897" s="1353"/>
      <c r="P1897" s="1290"/>
      <c r="Q1897" s="1290"/>
      <c r="R1897" s="1290"/>
      <c r="S1897" s="1290"/>
      <c r="T1897" s="1290"/>
      <c r="U1897" s="1290"/>
      <c r="V1897" s="1290"/>
      <c r="W1897" s="1290"/>
      <c r="X1897" s="1290"/>
      <c r="Y1897" s="1290"/>
    </row>
    <row r="1898" spans="1:25" ht="15.75" hidden="1" customHeight="1" outlineLevel="1">
      <c r="A1898" s="1839" t="str">
        <f t="shared" si="220"/>
        <v>Нет наждачной бумаги</v>
      </c>
      <c r="B1898" s="1839" t="str">
        <f t="shared" si="219"/>
        <v>м</v>
      </c>
      <c r="C1898" s="1839">
        <f t="shared" si="222"/>
        <v>0</v>
      </c>
      <c r="D1898" s="1839">
        <f t="shared" si="221"/>
        <v>0</v>
      </c>
      <c r="E1898" s="1694">
        <f t="shared" si="217"/>
        <v>0</v>
      </c>
      <c r="F1898" s="1290"/>
      <c r="G1898" s="1632"/>
      <c r="H1898" s="1778"/>
      <c r="I1898" s="1853"/>
      <c r="J1898" s="1353"/>
      <c r="K1898" s="1353"/>
      <c r="L1898" s="1353"/>
      <c r="M1898" s="1353"/>
      <c r="N1898" s="1353"/>
      <c r="O1898" s="1353"/>
      <c r="P1898" s="1290"/>
      <c r="Q1898" s="1290"/>
      <c r="R1898" s="1290"/>
      <c r="S1898" s="1290"/>
      <c r="T1898" s="1290"/>
      <c r="U1898" s="1290"/>
      <c r="V1898" s="1290"/>
      <c r="W1898" s="1290"/>
      <c r="X1898" s="1290"/>
      <c r="Y1898" s="1290"/>
    </row>
    <row r="1899" spans="1:25" ht="15.75" hidden="1" customHeight="1" outlineLevel="1">
      <c r="A1899" s="1839" t="str">
        <f t="shared" si="220"/>
        <v>Бумага наждачная № 63 F(30)</v>
      </c>
      <c r="B1899" s="1839" t="str">
        <f t="shared" si="219"/>
        <v>м</v>
      </c>
      <c r="C1899" s="1839">
        <f t="shared" si="222"/>
        <v>0</v>
      </c>
      <c r="D1899" s="1839">
        <f t="shared" si="221"/>
        <v>291</v>
      </c>
      <c r="E1899" s="1694">
        <f t="shared" si="217"/>
        <v>0</v>
      </c>
      <c r="F1899" s="1290"/>
      <c r="G1899" s="1632"/>
      <c r="H1899" s="1778"/>
      <c r="I1899" s="1853"/>
      <c r="J1899" s="1353"/>
      <c r="K1899" s="1353"/>
      <c r="L1899" s="1353"/>
      <c r="M1899" s="1353"/>
      <c r="N1899" s="1353"/>
      <c r="O1899" s="1353"/>
      <c r="P1899" s="1290"/>
      <c r="Q1899" s="1290"/>
      <c r="R1899" s="1290"/>
      <c r="S1899" s="1290"/>
      <c r="T1899" s="1290"/>
      <c r="U1899" s="1290"/>
      <c r="V1899" s="1290"/>
      <c r="W1899" s="1290"/>
      <c r="X1899" s="1290"/>
      <c r="Y1899" s="1290"/>
    </row>
    <row r="1900" spans="1:25" ht="15.75" hidden="1" customHeight="1" outlineLevel="1">
      <c r="A1900" s="1839" t="str">
        <f t="shared" si="220"/>
        <v>Бумага наждачная № 40</v>
      </c>
      <c r="B1900" s="1839" t="str">
        <f t="shared" si="219"/>
        <v>м</v>
      </c>
      <c r="C1900" s="1839">
        <f t="shared" si="222"/>
        <v>0</v>
      </c>
      <c r="D1900" s="1839">
        <f t="shared" si="221"/>
        <v>240</v>
      </c>
      <c r="E1900" s="1694">
        <f t="shared" si="217"/>
        <v>0</v>
      </c>
      <c r="F1900" s="1290"/>
      <c r="G1900" s="1632"/>
      <c r="H1900" s="1778"/>
      <c r="I1900" s="1853"/>
      <c r="J1900" s="1353"/>
      <c r="K1900" s="1353"/>
      <c r="L1900" s="1353"/>
      <c r="M1900" s="1353"/>
      <c r="N1900" s="1353"/>
      <c r="O1900" s="1353"/>
      <c r="P1900" s="1290"/>
      <c r="Q1900" s="1290"/>
      <c r="R1900" s="1290"/>
      <c r="S1900" s="1290"/>
      <c r="T1900" s="1290"/>
      <c r="U1900" s="1290"/>
      <c r="V1900" s="1290"/>
      <c r="W1900" s="1290"/>
      <c r="X1900" s="1290"/>
      <c r="Y1900" s="1290"/>
    </row>
    <row r="1901" spans="1:25" ht="15.75" hidden="1" customHeight="1" outlineLevel="1">
      <c r="A1901" s="1839" t="str">
        <f>A1809</f>
        <v>Командировочные расходы</v>
      </c>
      <c r="B1901" s="1696" t="str">
        <f>B1809</f>
        <v>рублей</v>
      </c>
      <c r="C1901" s="1839">
        <f>C1809</f>
        <v>1</v>
      </c>
      <c r="D1901" s="1839">
        <f>D1809</f>
        <v>0</v>
      </c>
      <c r="E1901" s="1694">
        <f t="shared" si="217"/>
        <v>0</v>
      </c>
      <c r="F1901" s="1290"/>
      <c r="G1901" s="1632"/>
      <c r="H1901" s="1778"/>
      <c r="I1901" s="1853"/>
      <c r="J1901" s="1353"/>
      <c r="K1901" s="1353"/>
      <c r="L1901" s="1353"/>
      <c r="M1901" s="1353"/>
      <c r="N1901" s="1353"/>
      <c r="O1901" s="1353"/>
      <c r="P1901" s="1290"/>
      <c r="Q1901" s="1290"/>
      <c r="R1901" s="1290"/>
      <c r="S1901" s="1290"/>
      <c r="T1901" s="1290"/>
      <c r="U1901" s="1290"/>
      <c r="V1901" s="1290"/>
      <c r="W1901" s="1290"/>
      <c r="X1901" s="1290"/>
      <c r="Y1901" s="1290"/>
    </row>
    <row r="1902" spans="1:25" ht="15.75" hidden="1" customHeight="1" outlineLevel="1">
      <c r="A1902" s="1839" t="str">
        <f t="shared" ref="A1902:D1904" si="223">A1855</f>
        <v>расходные материалы дома из леса</v>
      </c>
      <c r="B1902" s="1696" t="str">
        <f t="shared" si="223"/>
        <v>шт</v>
      </c>
      <c r="C1902" s="1694">
        <f t="shared" si="223"/>
        <v>1</v>
      </c>
      <c r="D1902" s="1694">
        <f t="shared" si="223"/>
        <v>3000</v>
      </c>
      <c r="E1902" s="1694">
        <f t="shared" si="217"/>
        <v>3000</v>
      </c>
      <c r="F1902" s="1290"/>
      <c r="G1902" s="1632"/>
      <c r="H1902" s="1778"/>
      <c r="I1902" s="1853"/>
      <c r="J1902" s="1353"/>
      <c r="K1902" s="1353"/>
      <c r="L1902" s="1353"/>
      <c r="M1902" s="1353"/>
      <c r="N1902" s="1353"/>
      <c r="O1902" s="1353"/>
      <c r="P1902" s="1290"/>
      <c r="Q1902" s="1290"/>
      <c r="R1902" s="1290"/>
      <c r="S1902" s="1290"/>
      <c r="T1902" s="1290"/>
      <c r="U1902" s="1290"/>
      <c r="V1902" s="1290"/>
      <c r="W1902" s="1290"/>
      <c r="X1902" s="1290"/>
      <c r="Y1902" s="1290"/>
    </row>
    <row r="1903" spans="1:25" ht="15.75" hidden="1" customHeight="1" outlineLevel="1">
      <c r="A1903" s="1839" t="str">
        <f t="shared" si="223"/>
        <v>Нет техники</v>
      </c>
      <c r="B1903" s="1696" t="str">
        <f t="shared" si="223"/>
        <v>шт</v>
      </c>
      <c r="C1903" s="1694">
        <f t="shared" si="223"/>
        <v>6</v>
      </c>
      <c r="D1903" s="1694">
        <f t="shared" si="223"/>
        <v>0</v>
      </c>
      <c r="E1903" s="1694">
        <f t="shared" si="217"/>
        <v>0</v>
      </c>
      <c r="F1903" s="1290"/>
      <c r="G1903" s="1994"/>
      <c r="H1903" s="2013"/>
      <c r="I1903" s="1853"/>
      <c r="J1903" s="1353"/>
      <c r="K1903" s="1353"/>
      <c r="L1903" s="1353"/>
      <c r="M1903" s="1353"/>
      <c r="N1903" s="1353"/>
      <c r="O1903" s="1353"/>
      <c r="P1903" s="1290"/>
      <c r="Q1903" s="1290"/>
      <c r="R1903" s="1290"/>
      <c r="S1903" s="1290"/>
      <c r="T1903" s="1290"/>
      <c r="U1903" s="1290"/>
      <c r="V1903" s="1290"/>
      <c r="W1903" s="1290"/>
      <c r="X1903" s="1290"/>
      <c r="Y1903" s="1290"/>
    </row>
    <row r="1904" spans="1:25" ht="15.75" hidden="1" customHeight="1" outlineLevel="1">
      <c r="A1904" s="1839" t="str">
        <f t="shared" si="223"/>
        <v>Нет техники</v>
      </c>
      <c r="B1904" s="1696">
        <f t="shared" si="223"/>
        <v>0</v>
      </c>
      <c r="C1904" s="1694">
        <f t="shared" si="223"/>
        <v>0</v>
      </c>
      <c r="D1904" s="1694">
        <f t="shared" si="223"/>
        <v>0</v>
      </c>
      <c r="E1904" s="1694">
        <f t="shared" si="217"/>
        <v>0</v>
      </c>
      <c r="F1904" s="1290"/>
      <c r="G1904" s="1994"/>
      <c r="H1904" s="2013"/>
      <c r="I1904" s="1853"/>
      <c r="J1904" s="1353"/>
      <c r="K1904" s="1353"/>
      <c r="L1904" s="1353"/>
      <c r="M1904" s="1353"/>
      <c r="N1904" s="1353"/>
      <c r="O1904" s="1353"/>
      <c r="P1904" s="1290"/>
      <c r="Q1904" s="1290"/>
      <c r="R1904" s="1290"/>
      <c r="S1904" s="1290"/>
      <c r="T1904" s="1290"/>
      <c r="U1904" s="1290"/>
      <c r="V1904" s="1290"/>
      <c r="W1904" s="1290"/>
      <c r="X1904" s="1290"/>
      <c r="Y1904" s="1290"/>
    </row>
    <row r="1905" spans="1:25" ht="15.75" hidden="1" customHeight="1" outlineLevel="1">
      <c r="A1905" s="1290"/>
      <c r="B1905" s="1183"/>
      <c r="C1905" s="1183"/>
      <c r="D1905" s="1183"/>
      <c r="E1905" s="2014">
        <f>SUM(E1878:E1904)</f>
        <v>174880.02400000009</v>
      </c>
      <c r="F1905" s="2015"/>
      <c r="G1905" s="2016"/>
      <c r="H1905" s="2016"/>
      <c r="I1905" s="2017"/>
      <c r="J1905" s="2016"/>
      <c r="K1905" s="2016"/>
      <c r="L1905" s="2016"/>
      <c r="M1905" s="2016"/>
      <c r="N1905" s="2016"/>
      <c r="O1905" s="1186">
        <f>SUM(O1878:O1904)</f>
        <v>156978.72000000006</v>
      </c>
      <c r="P1905" s="1290"/>
      <c r="Q1905" s="1290"/>
      <c r="R1905" s="1290"/>
      <c r="S1905" s="1290"/>
      <c r="T1905" s="1290"/>
      <c r="U1905" s="1290"/>
      <c r="V1905" s="1290"/>
      <c r="W1905" s="1290"/>
      <c r="X1905" s="1290"/>
      <c r="Y1905" s="1290"/>
    </row>
    <row r="1906" spans="1:25" ht="15.75" hidden="1" customHeight="1" outlineLevel="1">
      <c r="A1906" s="1839" t="s">
        <v>3660</v>
      </c>
      <c r="B1906" s="1179">
        <f>E1905</f>
        <v>174880.02400000009</v>
      </c>
      <c r="C1906" s="1190"/>
      <c r="D1906" s="2016"/>
      <c r="E1906" s="2016"/>
      <c r="F1906" s="2016"/>
      <c r="G1906" s="2016"/>
      <c r="H1906" s="2016"/>
      <c r="I1906" s="2017"/>
      <c r="J1906" s="2016"/>
      <c r="K1906" s="2016"/>
      <c r="L1906" s="2016"/>
      <c r="M1906" s="2016"/>
      <c r="N1906" s="2016"/>
      <c r="O1906" s="2016"/>
      <c r="P1906" s="1290"/>
      <c r="Q1906" s="1290"/>
      <c r="R1906" s="1290"/>
      <c r="S1906" s="1290"/>
      <c r="T1906" s="1290"/>
      <c r="U1906" s="1290"/>
      <c r="V1906" s="1290"/>
      <c r="W1906" s="1290"/>
      <c r="X1906" s="1290"/>
      <c r="Y1906" s="1290"/>
    </row>
    <row r="1907" spans="1:25" ht="15.75" hidden="1" customHeight="1" outlineLevel="1">
      <c r="A1907" s="1839" t="s">
        <v>3661</v>
      </c>
      <c r="B1907" s="1179">
        <f>O1905</f>
        <v>156978.72000000006</v>
      </c>
      <c r="C1907" s="1190"/>
      <c r="D1907" s="2016"/>
      <c r="E1907" s="2016"/>
      <c r="F1907" s="2016"/>
      <c r="G1907" s="2016"/>
      <c r="H1907" s="2016"/>
      <c r="I1907" s="2017"/>
      <c r="J1907" s="2016"/>
      <c r="K1907" s="2016"/>
      <c r="L1907" s="2016"/>
      <c r="M1907" s="2016"/>
      <c r="N1907" s="2016"/>
      <c r="O1907" s="2016"/>
      <c r="P1907" s="1290"/>
      <c r="Q1907" s="1290"/>
      <c r="R1907" s="1290"/>
      <c r="S1907" s="1290"/>
      <c r="T1907" s="1290"/>
      <c r="U1907" s="1290"/>
      <c r="V1907" s="1290"/>
      <c r="W1907" s="1290"/>
      <c r="X1907" s="1290"/>
      <c r="Y1907" s="1290"/>
    </row>
    <row r="1908" spans="1:25" ht="15.75" hidden="1" customHeight="1" outlineLevel="1">
      <c r="A1908" s="1353" t="s">
        <v>2728</v>
      </c>
      <c r="B1908" s="1179">
        <f>SUM(B1906:B1907)</f>
        <v>331858.74400000018</v>
      </c>
      <c r="C1908" s="1190"/>
      <c r="D1908" s="2016"/>
      <c r="E1908" s="2016"/>
      <c r="F1908" s="2016"/>
      <c r="G1908" s="2016"/>
      <c r="H1908" s="2016"/>
      <c r="I1908" s="2017"/>
      <c r="J1908" s="2016"/>
      <c r="K1908" s="2016"/>
      <c r="L1908" s="2016"/>
      <c r="M1908" s="2016"/>
      <c r="N1908" s="2016"/>
      <c r="O1908" s="2016"/>
      <c r="P1908" s="1290"/>
      <c r="Q1908" s="1290"/>
      <c r="R1908" s="1290"/>
      <c r="S1908" s="1290"/>
      <c r="T1908" s="1290"/>
      <c r="U1908" s="1290"/>
      <c r="V1908" s="1290"/>
      <c r="W1908" s="1290"/>
      <c r="X1908" s="1290"/>
      <c r="Y1908" s="1290"/>
    </row>
    <row r="1909" spans="1:25" ht="15.75" customHeight="1">
      <c r="A1909" s="356" t="s">
        <v>3807</v>
      </c>
      <c r="B1909" s="360"/>
      <c r="C1909" s="360"/>
      <c r="D1909" s="393"/>
      <c r="E1909" s="393"/>
      <c r="F1909" s="393"/>
      <c r="G1909" s="1544"/>
      <c r="H1909" s="1544"/>
      <c r="I1909" s="1973"/>
      <c r="J1909" s="1290"/>
      <c r="K1909" s="1290"/>
      <c r="L1909" s="1290"/>
      <c r="M1909" s="1290"/>
      <c r="N1909" s="1290"/>
      <c r="O1909" s="1290"/>
      <c r="P1909" s="1290"/>
      <c r="Q1909" s="1290"/>
      <c r="R1909" s="1290"/>
      <c r="S1909" s="1290"/>
      <c r="T1909" s="1290"/>
      <c r="U1909" s="1290"/>
      <c r="V1909" s="1290"/>
      <c r="W1909" s="1290"/>
      <c r="X1909" s="1290"/>
      <c r="Y1909" s="1290"/>
    </row>
    <row r="1910" spans="1:25" ht="15.75" customHeight="1">
      <c r="A1910" s="356"/>
      <c r="B1910" s="360"/>
      <c r="C1910" s="360"/>
      <c r="D1910" s="393"/>
      <c r="E1910" s="393"/>
      <c r="F1910" s="393"/>
      <c r="G1910" s="1544"/>
      <c r="H1910" s="1544"/>
      <c r="I1910" s="1973"/>
      <c r="J1910" s="1290"/>
      <c r="K1910" s="1290"/>
      <c r="L1910" s="1290"/>
      <c r="M1910" s="1290"/>
      <c r="N1910" s="1290"/>
      <c r="O1910" s="1290"/>
      <c r="P1910" s="1290"/>
      <c r="Q1910" s="1290"/>
      <c r="R1910" s="1290"/>
      <c r="S1910" s="1290"/>
      <c r="T1910" s="1290"/>
      <c r="U1910" s="1290"/>
      <c r="V1910" s="1290"/>
      <c r="W1910" s="1290"/>
      <c r="X1910" s="1290"/>
      <c r="Y1910" s="1290"/>
    </row>
    <row r="1911" spans="1:25" ht="15.75" hidden="1" customHeight="1" outlineLevel="1">
      <c r="A1911" s="1996" t="s">
        <v>3808</v>
      </c>
      <c r="B1911" s="1997"/>
      <c r="C1911" s="1997"/>
      <c r="D1911" s="1998"/>
      <c r="E1911" s="1998"/>
      <c r="F1911" s="1998"/>
      <c r="G1911" s="1998"/>
      <c r="H1911" s="1998"/>
      <c r="I1911" s="1999"/>
      <c r="J1911" s="1998"/>
      <c r="K1911" s="1998"/>
      <c r="L1911" s="1998"/>
      <c r="M1911" s="1998"/>
      <c r="N1911" s="1998"/>
      <c r="O1911" s="2000"/>
      <c r="P1911" s="1290"/>
      <c r="Q1911" s="1290"/>
      <c r="R1911" s="1290"/>
      <c r="S1911" s="1290"/>
      <c r="T1911" s="1290"/>
      <c r="U1911" s="1290"/>
      <c r="V1911" s="1290"/>
      <c r="W1911" s="1290"/>
      <c r="X1911" s="1290"/>
      <c r="Y1911" s="1290"/>
    </row>
    <row r="1912" spans="1:25" ht="15.75" hidden="1" customHeight="1" outlineLevel="1">
      <c r="A1912" s="1821" t="s">
        <v>1806</v>
      </c>
      <c r="B1912" s="1822"/>
      <c r="C1912" s="1822"/>
      <c r="D1912" s="1823"/>
      <c r="E1912" s="1823"/>
      <c r="F1912" s="1824"/>
      <c r="G1912" s="1872">
        <f>G1750</f>
        <v>1.1000000000000001</v>
      </c>
      <c r="H1912" s="1873"/>
      <c r="I1912" s="1809">
        <f>I1750</f>
        <v>1</v>
      </c>
      <c r="J1912" s="1808"/>
      <c r="K1912" s="1808"/>
      <c r="L1912" s="1808"/>
      <c r="M1912" s="1808"/>
      <c r="N1912" s="1808"/>
      <c r="O1912" s="1808"/>
      <c r="P1912" s="1290"/>
      <c r="Q1912" s="1290"/>
      <c r="R1912" s="1290"/>
      <c r="S1912" s="1290"/>
      <c r="T1912" s="1290"/>
      <c r="U1912" s="1290"/>
      <c r="V1912" s="1290"/>
      <c r="W1912" s="1290"/>
      <c r="X1912" s="1290"/>
      <c r="Y1912" s="1290"/>
    </row>
    <row r="1913" spans="1:25" ht="15.75" hidden="1" customHeight="1" outlineLevel="1">
      <c r="A1913" s="1360" t="s">
        <v>3775</v>
      </c>
      <c r="B1913" s="1600" t="s">
        <v>2807</v>
      </c>
      <c r="C1913" s="1773">
        <f>C1771+C1772+C1773</f>
        <v>63.8</v>
      </c>
      <c r="D1913" s="1290"/>
      <c r="E1913" s="1290"/>
      <c r="F1913" s="1290"/>
      <c r="G1913" s="1290"/>
      <c r="H1913" s="1290"/>
      <c r="I1913" s="1973"/>
      <c r="J1913" s="1290"/>
      <c r="K1913" s="1290"/>
      <c r="L1913" s="1290"/>
      <c r="M1913" s="1290"/>
      <c r="N1913" s="1290"/>
      <c r="O1913" s="1290"/>
      <c r="P1913" s="1290"/>
      <c r="Q1913" s="1290"/>
      <c r="R1913" s="1290"/>
      <c r="S1913" s="1290"/>
      <c r="T1913" s="1290"/>
      <c r="U1913" s="1290"/>
      <c r="V1913" s="1290"/>
      <c r="W1913" s="1290"/>
      <c r="X1913" s="1290"/>
      <c r="Y1913" s="1290"/>
    </row>
    <row r="1914" spans="1:25" ht="15.75" hidden="1" customHeight="1" outlineLevel="1">
      <c r="A1914" s="1360" t="s">
        <v>3776</v>
      </c>
      <c r="B1914" s="1600" t="s">
        <v>156</v>
      </c>
      <c r="C1914" s="1773">
        <f>'Ввод данных'!C907</f>
        <v>0</v>
      </c>
      <c r="D1914" s="1290"/>
      <c r="E1914" s="1290"/>
      <c r="F1914" s="1290"/>
      <c r="G1914" s="1290"/>
      <c r="H1914" s="1290"/>
      <c r="I1914" s="1973"/>
      <c r="J1914" s="1290"/>
      <c r="K1914" s="1290"/>
      <c r="L1914" s="1290"/>
      <c r="M1914" s="1290"/>
      <c r="N1914" s="1290"/>
      <c r="O1914" s="1290"/>
      <c r="P1914" s="1290"/>
      <c r="Q1914" s="1290"/>
      <c r="R1914" s="1290"/>
      <c r="S1914" s="1290"/>
      <c r="T1914" s="1290"/>
      <c r="U1914" s="1290"/>
      <c r="V1914" s="1290"/>
      <c r="W1914" s="1290"/>
      <c r="X1914" s="1290"/>
      <c r="Y1914" s="1290"/>
    </row>
    <row r="1915" spans="1:25" ht="15.75" hidden="1" customHeight="1" outlineLevel="1">
      <c r="A1915" s="1360" t="s">
        <v>3777</v>
      </c>
      <c r="B1915" s="1600" t="s">
        <v>156</v>
      </c>
      <c r="C1915" s="1773">
        <f>'Ввод данных'!C908</f>
        <v>0</v>
      </c>
      <c r="D1915" s="1290"/>
      <c r="E1915" s="1290"/>
      <c r="F1915" s="1290"/>
      <c r="G1915" s="1290"/>
      <c r="H1915" s="1290"/>
      <c r="I1915" s="1973"/>
      <c r="J1915" s="1290"/>
      <c r="K1915" s="1290"/>
      <c r="L1915" s="1290"/>
      <c r="M1915" s="1290"/>
      <c r="N1915" s="1290"/>
      <c r="O1915" s="1290"/>
      <c r="P1915" s="1290"/>
      <c r="Q1915" s="1290"/>
      <c r="R1915" s="1290"/>
      <c r="S1915" s="1290"/>
      <c r="T1915" s="1290"/>
      <c r="U1915" s="1290"/>
      <c r="V1915" s="1290"/>
      <c r="W1915" s="1290"/>
      <c r="X1915" s="1290"/>
      <c r="Y1915" s="1290"/>
    </row>
    <row r="1916" spans="1:25" ht="15.75" hidden="1" customHeight="1" outlineLevel="1">
      <c r="A1916" s="1360" t="s">
        <v>3779</v>
      </c>
      <c r="B1916" s="1600" t="s">
        <v>156</v>
      </c>
      <c r="C1916" s="1773">
        <f>C1914</f>
        <v>0</v>
      </c>
      <c r="D1916" s="1290"/>
      <c r="E1916" s="1290"/>
      <c r="F1916" s="1290"/>
      <c r="G1916" s="1290"/>
      <c r="H1916" s="1290"/>
      <c r="I1916" s="1973"/>
      <c r="J1916" s="1290"/>
      <c r="K1916" s="1290"/>
      <c r="L1916" s="1290"/>
      <c r="M1916" s="1290"/>
      <c r="N1916" s="1290"/>
      <c r="O1916" s="1290"/>
      <c r="P1916" s="1290"/>
      <c r="Q1916" s="1290"/>
      <c r="R1916" s="1290"/>
      <c r="S1916" s="1290"/>
      <c r="T1916" s="1290"/>
      <c r="U1916" s="1290"/>
      <c r="V1916" s="1290"/>
      <c r="W1916" s="1290"/>
      <c r="X1916" s="1290"/>
      <c r="Y1916" s="1290"/>
    </row>
    <row r="1917" spans="1:25" ht="15.75" hidden="1" customHeight="1" outlineLevel="1">
      <c r="A1917" s="2002" t="s">
        <v>3626</v>
      </c>
      <c r="B1917" s="2003"/>
      <c r="C1917" s="2004"/>
      <c r="D1917" s="1290"/>
      <c r="E1917" s="1290"/>
      <c r="F1917" s="1380"/>
      <c r="G1917" s="1805"/>
      <c r="H1917" s="1805"/>
      <c r="I1917" s="1829"/>
      <c r="J1917" s="1380"/>
      <c r="K1917" s="1857"/>
      <c r="L1917" s="1857"/>
      <c r="M1917" s="1857"/>
      <c r="N1917" s="1857"/>
      <c r="O1917" s="1380"/>
      <c r="P1917" s="1829"/>
      <c r="Q1917" s="1380"/>
      <c r="R1917" s="1290"/>
      <c r="S1917" s="1290"/>
      <c r="T1917" s="1290"/>
      <c r="U1917" s="1290"/>
      <c r="V1917" s="1290"/>
      <c r="W1917" s="1290"/>
      <c r="X1917" s="1290"/>
      <c r="Y1917" s="1290"/>
    </row>
    <row r="1918" spans="1:25" ht="15.75" hidden="1" customHeight="1" outlineLevel="1">
      <c r="A1918" s="1696" t="s">
        <v>2624</v>
      </c>
      <c r="B1918" s="1696"/>
      <c r="C1918" s="1696">
        <f>C1867</f>
        <v>110.40000000000003</v>
      </c>
      <c r="D1918" s="1290"/>
      <c r="E1918" s="1290"/>
      <c r="F1918" s="1380"/>
      <c r="G1918" s="1805"/>
      <c r="H1918" s="1805"/>
      <c r="I1918" s="1829"/>
      <c r="J1918" s="1380"/>
      <c r="K1918" s="1857"/>
      <c r="L1918" s="1857"/>
      <c r="M1918" s="1857"/>
      <c r="N1918" s="1857"/>
      <c r="O1918" s="1380"/>
      <c r="P1918" s="1829"/>
      <c r="Q1918" s="1380"/>
      <c r="R1918" s="1290"/>
      <c r="S1918" s="1290"/>
      <c r="T1918" s="1290"/>
      <c r="U1918" s="1290"/>
      <c r="V1918" s="1290"/>
      <c r="W1918" s="1290"/>
      <c r="X1918" s="1290"/>
      <c r="Y1918" s="1290"/>
    </row>
    <row r="1919" spans="1:25" ht="15.75" hidden="1" customHeight="1" outlineLevel="1">
      <c r="A1919" s="1696" t="s">
        <v>3801</v>
      </c>
      <c r="B1919" s="1696"/>
      <c r="C1919" s="1696">
        <f>C1766</f>
        <v>0</v>
      </c>
      <c r="D1919" s="1290"/>
      <c r="E1919" s="1290"/>
      <c r="F1919" s="1380"/>
      <c r="G1919" s="1805"/>
      <c r="H1919" s="1805"/>
      <c r="I1919" s="1829"/>
      <c r="J1919" s="1380"/>
      <c r="K1919" s="1380"/>
      <c r="L1919" s="1380"/>
      <c r="M1919" s="1380"/>
      <c r="N1919" s="1380"/>
      <c r="O1919" s="1380"/>
      <c r="P1919" s="1380"/>
      <c r="Q1919" s="1380"/>
      <c r="R1919" s="1290"/>
      <c r="S1919" s="1290"/>
      <c r="T1919" s="1290"/>
      <c r="U1919" s="1290"/>
      <c r="V1919" s="1290"/>
      <c r="W1919" s="1290"/>
      <c r="X1919" s="1290"/>
      <c r="Y1919" s="1290"/>
    </row>
    <row r="1920" spans="1:25" ht="15.75" hidden="1" customHeight="1" outlineLevel="1">
      <c r="A1920" s="1839" t="s">
        <v>3678</v>
      </c>
      <c r="B1920" s="1600" t="s">
        <v>133</v>
      </c>
      <c r="C1920" s="1696">
        <f t="shared" ref="C1920:C1925" si="224">C1768</f>
        <v>100</v>
      </c>
      <c r="D1920" s="1290"/>
      <c r="E1920" s="1290"/>
      <c r="F1920" s="1857"/>
      <c r="G1920" s="1805"/>
      <c r="H1920" s="1805"/>
      <c r="I1920" s="1829"/>
      <c r="J1920" s="1380"/>
      <c r="K1920" s="1380"/>
      <c r="L1920" s="1380"/>
      <c r="M1920" s="1380"/>
      <c r="N1920" s="1380"/>
      <c r="O1920" s="1380"/>
      <c r="P1920" s="1380"/>
      <c r="Q1920" s="1380"/>
      <c r="R1920" s="1290"/>
      <c r="S1920" s="1290"/>
      <c r="T1920" s="1290"/>
      <c r="U1920" s="1290"/>
      <c r="V1920" s="1290"/>
      <c r="W1920" s="1290"/>
      <c r="X1920" s="1290"/>
      <c r="Y1920" s="1290"/>
    </row>
    <row r="1921" spans="1:25" ht="15.75" hidden="1" customHeight="1" outlineLevel="1">
      <c r="A1921" s="1839" t="s">
        <v>3628</v>
      </c>
      <c r="B1921" s="1600" t="s">
        <v>133</v>
      </c>
      <c r="C1921" s="1696">
        <f t="shared" si="224"/>
        <v>100</v>
      </c>
      <c r="D1921" s="1290"/>
      <c r="E1921" s="1290"/>
      <c r="F1921" s="1857"/>
      <c r="G1921" s="1805"/>
      <c r="H1921" s="1805"/>
      <c r="I1921" s="1829"/>
      <c r="J1921" s="1380"/>
      <c r="K1921" s="1380"/>
      <c r="L1921" s="1380"/>
      <c r="M1921" s="1380"/>
      <c r="N1921" s="1380"/>
      <c r="O1921" s="1380"/>
      <c r="P1921" s="1380"/>
      <c r="Q1921" s="1380"/>
      <c r="R1921" s="1290"/>
      <c r="S1921" s="1290"/>
      <c r="T1921" s="1290"/>
      <c r="U1921" s="1290"/>
      <c r="V1921" s="1290"/>
      <c r="W1921" s="1290"/>
      <c r="X1921" s="1290"/>
      <c r="Y1921" s="1290"/>
    </row>
    <row r="1922" spans="1:25" ht="15.75" hidden="1" customHeight="1" outlineLevel="1">
      <c r="A1922" s="1839" t="s">
        <v>3680</v>
      </c>
      <c r="B1922" s="1600" t="s">
        <v>156</v>
      </c>
      <c r="C1922" s="1696">
        <f t="shared" si="224"/>
        <v>56</v>
      </c>
      <c r="D1922" s="1290">
        <f>C1927+C1929+C1918</f>
        <v>135.87168000000003</v>
      </c>
      <c r="E1922" s="1290"/>
      <c r="F1922" s="1290"/>
      <c r="G1922" s="1290"/>
      <c r="H1922" s="1290"/>
      <c r="I1922" s="1973"/>
      <c r="J1922" s="1290"/>
      <c r="K1922" s="1290"/>
      <c r="L1922" s="1290"/>
      <c r="M1922" s="1290"/>
      <c r="N1922" s="1290"/>
      <c r="O1922" s="1290"/>
      <c r="P1922" s="1290"/>
      <c r="Q1922" s="1290"/>
      <c r="R1922" s="1290"/>
      <c r="S1922" s="1290"/>
      <c r="T1922" s="1290"/>
      <c r="U1922" s="1290"/>
      <c r="V1922" s="1290"/>
      <c r="W1922" s="1290"/>
      <c r="X1922" s="1290"/>
      <c r="Y1922" s="1290"/>
    </row>
    <row r="1923" spans="1:25" s="1197" customFormat="1" ht="15.75" hidden="1" customHeight="1" outlineLevel="1">
      <c r="A1923" s="1839" t="s">
        <v>3752</v>
      </c>
      <c r="B1923" s="1600" t="s">
        <v>156</v>
      </c>
      <c r="C1923" s="1696">
        <f t="shared" si="224"/>
        <v>40</v>
      </c>
      <c r="D1923" s="1290"/>
      <c r="E1923" s="1290"/>
      <c r="J1923" s="1290"/>
      <c r="K1923" s="1290"/>
      <c r="L1923" s="1290"/>
      <c r="M1923" s="1290"/>
      <c r="N1923" s="1290"/>
      <c r="O1923" s="1290"/>
      <c r="P1923" s="1290"/>
      <c r="Q1923" s="1290"/>
      <c r="R1923" s="1290"/>
      <c r="S1923" s="1290"/>
      <c r="T1923" s="1290"/>
      <c r="U1923" s="1290"/>
      <c r="V1923" s="1290"/>
      <c r="W1923" s="1290"/>
      <c r="X1923" s="1290"/>
      <c r="Y1923" s="1290"/>
    </row>
    <row r="1924" spans="1:25" s="1197" customFormat="1" ht="15.75" hidden="1" customHeight="1" outlineLevel="1">
      <c r="A1924" s="1839" t="s">
        <v>3753</v>
      </c>
      <c r="B1924" s="1600" t="s">
        <v>156</v>
      </c>
      <c r="C1924" s="1696">
        <f t="shared" si="224"/>
        <v>16</v>
      </c>
      <c r="D1924" s="1290"/>
      <c r="E1924" s="1290"/>
      <c r="J1924" s="1290"/>
      <c r="K1924" s="1290"/>
      <c r="L1924" s="1290"/>
      <c r="M1924" s="1290"/>
      <c r="N1924" s="1290"/>
      <c r="O1924" s="1290"/>
      <c r="P1924" s="1290"/>
      <c r="Q1924" s="1290"/>
      <c r="R1924" s="1290"/>
      <c r="S1924" s="1290"/>
      <c r="T1924" s="1290"/>
      <c r="U1924" s="1290"/>
      <c r="V1924" s="1290"/>
      <c r="W1924" s="1290"/>
      <c r="X1924" s="1290"/>
      <c r="Y1924" s="1290"/>
    </row>
    <row r="1925" spans="1:25" ht="15.75" hidden="1" customHeight="1" outlineLevel="1">
      <c r="A1925" s="1839" t="s">
        <v>3755</v>
      </c>
      <c r="B1925" s="1600" t="s">
        <v>156</v>
      </c>
      <c r="C1925" s="1696">
        <f t="shared" si="224"/>
        <v>7.8</v>
      </c>
      <c r="D1925" s="1290">
        <f>VLOOKUP(A1940,'Прайс лист'!B441:G528,3,0)</f>
        <v>0.26</v>
      </c>
      <c r="E1925" s="1197">
        <f>1/(D1925-'Ввод данных'!C918)</f>
        <v>4.3478260869565215</v>
      </c>
      <c r="F1925" s="1197" t="s">
        <v>853</v>
      </c>
      <c r="G1925" s="1197">
        <f>3.14*D1925*E1925*(связи1!C161+C1918)</f>
        <v>391.87200000000013</v>
      </c>
      <c r="I1925" s="1197">
        <f>3.14*D1925</f>
        <v>0.81640000000000001</v>
      </c>
      <c r="J1925" s="1290"/>
      <c r="K1925" s="1290"/>
      <c r="L1925" s="1290"/>
      <c r="M1925" s="1290"/>
      <c r="N1925" s="1290"/>
      <c r="O1925" s="1290"/>
      <c r="P1925" s="1290"/>
      <c r="Q1925" s="1290"/>
      <c r="R1925" s="1290"/>
      <c r="S1925" s="1290"/>
      <c r="T1925" s="1290"/>
      <c r="U1925" s="1290"/>
      <c r="V1925" s="1290"/>
      <c r="W1925" s="1290"/>
      <c r="X1925" s="1290"/>
      <c r="Y1925" s="1290"/>
    </row>
    <row r="1926" spans="1:25" s="1197" customFormat="1" ht="15.75" hidden="1" customHeight="1" outlineLevel="1">
      <c r="A1926" s="1839" t="s">
        <v>3633</v>
      </c>
      <c r="B1926" s="1600" t="s">
        <v>133</v>
      </c>
      <c r="C1926" s="1841">
        <f>(связи1!C161+C1918)*D1926</f>
        <v>25.471680000000006</v>
      </c>
      <c r="D1926" s="1360">
        <f>3.14*D1925/2*D1925/2*E1925</f>
        <v>0.23072173913043478</v>
      </c>
      <c r="E1926" s="1290"/>
      <c r="J1926" s="1290">
        <f>C1926/D1926</f>
        <v>110.40000000000003</v>
      </c>
      <c r="K1926" s="1290"/>
      <c r="L1926" s="1290"/>
      <c r="M1926" s="1290"/>
      <c r="N1926" s="1290"/>
      <c r="O1926" s="1290"/>
      <c r="P1926" s="1290"/>
      <c r="Q1926" s="1290"/>
      <c r="R1926" s="1290"/>
      <c r="S1926" s="1290"/>
      <c r="T1926" s="1290"/>
      <c r="U1926" s="1290"/>
      <c r="V1926" s="1290"/>
      <c r="W1926" s="1290"/>
      <c r="X1926" s="1290"/>
      <c r="Y1926" s="1290"/>
    </row>
    <row r="1927" spans="1:25" s="1197" customFormat="1" ht="15.75" hidden="1" customHeight="1" outlineLevel="1">
      <c r="A1927" s="1839" t="s">
        <v>3687</v>
      </c>
      <c r="B1927" s="1600" t="s">
        <v>133</v>
      </c>
      <c r="C1927" s="1841">
        <f>C1926</f>
        <v>25.471680000000006</v>
      </c>
      <c r="D1927" s="1290">
        <f>VLOOKUP(A1941,'Прайс лист'!B441:G528,3,0)</f>
        <v>0.2</v>
      </c>
      <c r="E1927" s="1197">
        <f>1/(D1927-'Ввод данных'!C918)</f>
        <v>5.8823529411764701</v>
      </c>
      <c r="G1927" s="1197">
        <f>3.14*D1927*E1927*связи1!D161</f>
        <v>0</v>
      </c>
      <c r="J1927" s="1290">
        <f>C1927/D1927</f>
        <v>127.35840000000003</v>
      </c>
      <c r="K1927" s="1290"/>
      <c r="L1927" s="1290"/>
      <c r="M1927" s="1290"/>
      <c r="N1927" s="1290"/>
      <c r="O1927" s="1290"/>
      <c r="P1927" s="1290"/>
      <c r="Q1927" s="1290"/>
      <c r="R1927" s="1290"/>
      <c r="S1927" s="1290"/>
      <c r="T1927" s="1290"/>
      <c r="U1927" s="1290"/>
      <c r="V1927" s="1290"/>
      <c r="W1927" s="1290"/>
      <c r="X1927" s="1290"/>
      <c r="Y1927" s="1290"/>
    </row>
    <row r="1928" spans="1:25" s="1197" customFormat="1" ht="15.75" hidden="1" customHeight="1" outlineLevel="1">
      <c r="A1928" s="1839" t="s">
        <v>3635</v>
      </c>
      <c r="B1928" s="1600"/>
      <c r="C1928" s="1841">
        <f>связи1!D161*D1928</f>
        <v>0</v>
      </c>
      <c r="D1928" s="1360">
        <f>3.14*D1927/2*D1927/2*E1927</f>
        <v>0.18470588235294119</v>
      </c>
      <c r="E1928" s="1290"/>
      <c r="J1928" s="1290">
        <f>C1928/D1928</f>
        <v>0</v>
      </c>
      <c r="K1928" s="1290"/>
      <c r="L1928" s="1290"/>
      <c r="M1928" s="1290"/>
      <c r="N1928" s="1290"/>
      <c r="O1928" s="1290"/>
      <c r="P1928" s="1290"/>
      <c r="Q1928" s="1290"/>
      <c r="R1928" s="1290"/>
      <c r="S1928" s="1290"/>
      <c r="T1928" s="1290"/>
      <c r="U1928" s="1290"/>
      <c r="V1928" s="1290"/>
      <c r="W1928" s="1290"/>
      <c r="X1928" s="1290"/>
      <c r="Y1928" s="1290"/>
    </row>
    <row r="1929" spans="1:25" s="1197" customFormat="1" ht="15.75" hidden="1" customHeight="1" outlineLevel="1">
      <c r="A1929" s="1839" t="s">
        <v>3638</v>
      </c>
      <c r="B1929" s="1600" t="s">
        <v>133</v>
      </c>
      <c r="C1929" s="1841">
        <f>C1928+C1930</f>
        <v>0</v>
      </c>
      <c r="D1929" s="1360">
        <f>3.14*D1930/2*D1930/2*E1930</f>
        <v>0.18470588235294119</v>
      </c>
      <c r="E1929" s="1290"/>
      <c r="J1929" s="1290">
        <f>C1929/D1929</f>
        <v>0</v>
      </c>
      <c r="K1929" s="1290"/>
      <c r="L1929" s="1290"/>
      <c r="M1929" s="1290"/>
      <c r="N1929" s="1290"/>
      <c r="O1929" s="1290"/>
      <c r="P1929" s="1290"/>
      <c r="Q1929" s="1290"/>
      <c r="R1929" s="1290"/>
      <c r="S1929" s="1290"/>
      <c r="T1929" s="1290"/>
      <c r="U1929" s="1290"/>
      <c r="V1929" s="1290"/>
      <c r="W1929" s="1290"/>
      <c r="X1929" s="1290"/>
      <c r="Y1929" s="1290"/>
    </row>
    <row r="1930" spans="1:25" s="1197" customFormat="1" ht="15.75" hidden="1" customHeight="1" outlineLevel="1">
      <c r="A1930" s="1839" t="s">
        <v>3636</v>
      </c>
      <c r="B1930" s="1600" t="s">
        <v>133</v>
      </c>
      <c r="C1930" s="1841">
        <f>связи1!E161*D1929</f>
        <v>0</v>
      </c>
      <c r="D1930" s="1290">
        <f>VLOOKUP(A1942,'Прайс лист'!B441:G528,3,0)</f>
        <v>0.2</v>
      </c>
      <c r="E1930" s="1197">
        <f>1/(D1930-'Ввод данных'!C918)</f>
        <v>5.8823529411764701</v>
      </c>
      <c r="G1930" s="1197">
        <f>3.14*D1930*E1930*связи1!E161</f>
        <v>0</v>
      </c>
      <c r="J1930" s="1290">
        <f>C1930/D1930</f>
        <v>0</v>
      </c>
      <c r="K1930" s="1290"/>
      <c r="L1930" s="1290"/>
      <c r="M1930" s="1290"/>
      <c r="N1930" s="1290"/>
      <c r="O1930" s="1290"/>
      <c r="P1930" s="1290"/>
      <c r="Q1930" s="1290"/>
      <c r="R1930" s="1290"/>
      <c r="S1930" s="1290"/>
      <c r="T1930" s="1290"/>
      <c r="U1930" s="1290"/>
      <c r="V1930" s="1290"/>
      <c r="W1930" s="1290"/>
      <c r="X1930" s="1290"/>
      <c r="Y1930" s="1290"/>
    </row>
    <row r="1931" spans="1:25" s="1197" customFormat="1" ht="15.75" hidden="1" customHeight="1" outlineLevel="1">
      <c r="B1931" s="1198"/>
      <c r="E1931" s="1290"/>
      <c r="J1931" s="1290"/>
      <c r="K1931" s="1290"/>
      <c r="L1931" s="1290"/>
      <c r="M1931" s="1290"/>
      <c r="N1931" s="1290"/>
      <c r="O1931" s="1290"/>
      <c r="P1931" s="1290"/>
      <c r="Q1931" s="1290"/>
      <c r="R1931" s="1290"/>
      <c r="S1931" s="1290"/>
      <c r="T1931" s="1290"/>
      <c r="U1931" s="1290"/>
      <c r="V1931" s="1290"/>
      <c r="W1931" s="1290"/>
      <c r="X1931" s="1290"/>
      <c r="Y1931" s="1290"/>
    </row>
    <row r="1932" spans="1:25" s="1197" customFormat="1" ht="15.75" hidden="1" customHeight="1" outlineLevel="1">
      <c r="A1932" s="1839" t="s">
        <v>3639</v>
      </c>
      <c r="B1932" s="1600" t="s">
        <v>133</v>
      </c>
      <c r="C1932" s="1696">
        <f t="shared" ref="C1932:C1937" si="225">C1779</f>
        <v>90.43</v>
      </c>
      <c r="D1932" s="1290"/>
      <c r="E1932" s="1290"/>
      <c r="G1932" s="1197">
        <f>SUM(G1925:G1931)</f>
        <v>391.87200000000013</v>
      </c>
      <c r="J1932" s="1290"/>
      <c r="K1932" s="1290"/>
      <c r="L1932" s="1290"/>
      <c r="M1932" s="1290"/>
      <c r="N1932" s="1290"/>
      <c r="O1932" s="1290"/>
      <c r="P1932" s="1290"/>
      <c r="Q1932" s="1290"/>
      <c r="R1932" s="1290"/>
      <c r="S1932" s="1290"/>
      <c r="T1932" s="1290"/>
      <c r="U1932" s="1290"/>
      <c r="V1932" s="1290"/>
      <c r="W1932" s="1290"/>
      <c r="X1932" s="1290"/>
      <c r="Y1932" s="1290"/>
    </row>
    <row r="1933" spans="1:25" s="1197" customFormat="1" ht="15.75" hidden="1" customHeight="1" outlineLevel="1">
      <c r="A1933" s="1839" t="s">
        <v>3690</v>
      </c>
      <c r="B1933" s="1600" t="s">
        <v>133</v>
      </c>
      <c r="C1933" s="1696">
        <f t="shared" si="225"/>
        <v>100</v>
      </c>
      <c r="D1933" s="1290"/>
      <c r="E1933" s="1290"/>
      <c r="J1933" s="1290"/>
      <c r="K1933" s="1290"/>
      <c r="L1933" s="1290"/>
      <c r="M1933" s="1290"/>
      <c r="N1933" s="1290"/>
      <c r="O1933" s="1290"/>
      <c r="P1933" s="1290"/>
      <c r="Q1933" s="1290"/>
      <c r="R1933" s="1290"/>
      <c r="S1933" s="1290"/>
      <c r="T1933" s="1290"/>
      <c r="U1933" s="1290"/>
      <c r="V1933" s="1290"/>
      <c r="W1933" s="1290"/>
      <c r="X1933" s="1290"/>
      <c r="Y1933" s="1290"/>
    </row>
    <row r="1934" spans="1:25" s="1197" customFormat="1" ht="15.75" hidden="1" customHeight="1" outlineLevel="1">
      <c r="A1934" s="1839" t="s">
        <v>3642</v>
      </c>
      <c r="B1934" s="1600" t="s">
        <v>133</v>
      </c>
      <c r="C1934" s="1696">
        <f t="shared" si="225"/>
        <v>100</v>
      </c>
      <c r="D1934" s="1290"/>
      <c r="E1934" s="1290"/>
      <c r="J1934" s="1290"/>
      <c r="K1934" s="1290"/>
      <c r="L1934" s="1290"/>
      <c r="M1934" s="1290"/>
      <c r="N1934" s="1290"/>
      <c r="O1934" s="1290"/>
      <c r="P1934" s="1290"/>
      <c r="Q1934" s="1290"/>
      <c r="R1934" s="1290"/>
      <c r="S1934" s="1290"/>
      <c r="T1934" s="1290"/>
      <c r="U1934" s="1290"/>
      <c r="V1934" s="1290"/>
      <c r="W1934" s="1290"/>
      <c r="X1934" s="1290"/>
      <c r="Y1934" s="1290"/>
    </row>
    <row r="1935" spans="1:25" ht="15.75" hidden="1" customHeight="1" outlineLevel="1">
      <c r="A1935" s="1839" t="s">
        <v>3643</v>
      </c>
      <c r="B1935" s="1600" t="s">
        <v>133</v>
      </c>
      <c r="C1935" s="1696">
        <f t="shared" si="225"/>
        <v>100</v>
      </c>
      <c r="D1935" s="1290"/>
      <c r="E1935" s="1290"/>
      <c r="F1935" s="1290"/>
      <c r="G1935" s="1290"/>
      <c r="H1935" s="1290"/>
      <c r="I1935" s="1973"/>
      <c r="J1935" s="1290"/>
      <c r="K1935" s="1290"/>
      <c r="L1935" s="1290"/>
      <c r="M1935" s="1290"/>
      <c r="N1935" s="1290"/>
      <c r="O1935" s="1290"/>
      <c r="P1935" s="1290"/>
      <c r="Q1935" s="1290"/>
      <c r="R1935" s="1290"/>
      <c r="S1935" s="1290"/>
      <c r="T1935" s="1290"/>
      <c r="U1935" s="1290"/>
      <c r="V1935" s="1290"/>
      <c r="W1935" s="1290"/>
      <c r="X1935" s="1290"/>
      <c r="Y1935" s="1290"/>
    </row>
    <row r="1936" spans="1:25" ht="15.75" hidden="1" customHeight="1" outlineLevel="1">
      <c r="A1936" s="1839" t="s">
        <v>3644</v>
      </c>
      <c r="B1936" s="1600" t="s">
        <v>133</v>
      </c>
      <c r="C1936" s="1696">
        <f t="shared" si="225"/>
        <v>0</v>
      </c>
      <c r="D1936" s="1290"/>
      <c r="E1936" s="1290"/>
      <c r="F1936" s="1290"/>
      <c r="G1936" s="1290"/>
      <c r="H1936" s="1290"/>
      <c r="I1936" s="1973"/>
      <c r="J1936" s="1290"/>
      <c r="K1936" s="1290"/>
      <c r="L1936" s="1290"/>
      <c r="M1936" s="1290"/>
      <c r="N1936" s="1290"/>
      <c r="O1936" s="1290"/>
      <c r="P1936" s="1290"/>
      <c r="Q1936" s="1290"/>
      <c r="R1936" s="1290"/>
      <c r="S1936" s="1290"/>
      <c r="T1936" s="1290"/>
      <c r="U1936" s="1290"/>
      <c r="V1936" s="1290"/>
      <c r="W1936" s="1290"/>
      <c r="X1936" s="1290"/>
      <c r="Y1936" s="1290"/>
    </row>
    <row r="1937" spans="1:25" ht="15.75" hidden="1" customHeight="1" outlineLevel="1">
      <c r="A1937" s="1839" t="s">
        <v>3645</v>
      </c>
      <c r="B1937" s="1600" t="s">
        <v>133</v>
      </c>
      <c r="C1937" s="1696">
        <f t="shared" si="225"/>
        <v>200</v>
      </c>
      <c r="D1937" s="1290"/>
      <c r="E1937" s="1290"/>
      <c r="F1937" s="1290"/>
      <c r="G1937" s="1290"/>
      <c r="H1937" s="1290"/>
      <c r="I1937" s="1973"/>
      <c r="J1937" s="1290"/>
      <c r="K1937" s="1290"/>
      <c r="L1937" s="1290"/>
      <c r="M1937" s="1290"/>
      <c r="N1937" s="1290"/>
      <c r="O1937" s="1290"/>
      <c r="P1937" s="1290"/>
      <c r="Q1937" s="1290"/>
      <c r="R1937" s="1290"/>
      <c r="S1937" s="1290"/>
      <c r="T1937" s="1290"/>
      <c r="U1937" s="1290"/>
      <c r="V1937" s="1290"/>
      <c r="W1937" s="1290"/>
      <c r="X1937" s="1290"/>
      <c r="Y1937" s="1290"/>
    </row>
    <row r="1938" spans="1:25" ht="15.75" hidden="1" customHeight="1" outlineLevel="1">
      <c r="A1938" s="2007" t="s">
        <v>2720</v>
      </c>
      <c r="B1938" s="2008" t="s">
        <v>1094</v>
      </c>
      <c r="C1938" s="2008" t="s">
        <v>120</v>
      </c>
      <c r="D1938" s="2008" t="s">
        <v>3764</v>
      </c>
      <c r="E1938" s="2009" t="s">
        <v>2722</v>
      </c>
      <c r="F1938" s="1290"/>
      <c r="G1938" s="2002" t="s">
        <v>1409</v>
      </c>
      <c r="H1938" s="2010"/>
      <c r="I1938" s="2011"/>
      <c r="J1938" s="2009" t="s">
        <v>1802</v>
      </c>
      <c r="K1938" s="2009" t="s">
        <v>2721</v>
      </c>
      <c r="L1938" s="2009"/>
      <c r="M1938" s="2009"/>
      <c r="N1938" s="2009"/>
      <c r="O1938" s="2009" t="s">
        <v>2722</v>
      </c>
      <c r="P1938" s="1290"/>
      <c r="Q1938" s="1290"/>
      <c r="R1938" s="1290"/>
      <c r="S1938" s="1290"/>
      <c r="T1938" s="1290"/>
      <c r="U1938" s="1290"/>
      <c r="V1938" s="1290"/>
      <c r="W1938" s="1290"/>
      <c r="X1938" s="1290"/>
      <c r="Y1938" s="1290"/>
    </row>
    <row r="1939" spans="1:25" ht="15.75" hidden="1" customHeight="1" outlineLevel="1">
      <c r="A1939" s="1839" t="str">
        <f>'Ввод данных'!A915</f>
        <v>Оцилиндрованное бревно сосна 260мм</v>
      </c>
      <c r="B1939" s="1696" t="s">
        <v>135</v>
      </c>
      <c r="C1939" s="1776">
        <f>C1913*3.14*VLOOKUP(A1939,'Прайс лист'!B441:G528,3,0)/2*VLOOKUP(A1939,'Прайс лист'!B441:G528,3,0)/2*G1912</f>
        <v>3.7241718800000005</v>
      </c>
      <c r="D1939" s="1694">
        <f>'Прайс лист'!G473</f>
        <v>10000</v>
      </c>
      <c r="E1939" s="1353">
        <f t="shared" ref="E1939:E1961" si="226">C1939*D1939</f>
        <v>37241.718800000002</v>
      </c>
      <c r="F1939" s="1290"/>
      <c r="G1939" s="1632" t="str">
        <f>'Прайс лист'!B1697</f>
        <v>кладка Оцилиндрованного вревна</v>
      </c>
      <c r="H1939" s="1778"/>
      <c r="I1939" s="1853"/>
      <c r="J1939" s="1353">
        <f>(C1940+C1939+C1941+C1942)*I1912</f>
        <v>28.018848000000009</v>
      </c>
      <c r="K1939" s="1353">
        <f>'Прайс лист'!G1697</f>
        <v>6000</v>
      </c>
      <c r="L1939" s="1353"/>
      <c r="M1939" s="1353"/>
      <c r="N1939" s="1353"/>
      <c r="O1939" s="1353">
        <f>J1939*K1939</f>
        <v>168113.08800000005</v>
      </c>
      <c r="P1939" s="1290"/>
      <c r="Q1939" s="1290"/>
      <c r="R1939" s="1290"/>
      <c r="S1939" s="1290"/>
      <c r="T1939" s="1290"/>
      <c r="U1939" s="1290"/>
      <c r="V1939" s="1290"/>
      <c r="W1939" s="1290"/>
      <c r="X1939" s="1290"/>
      <c r="Y1939" s="1290"/>
    </row>
    <row r="1940" spans="1:25" ht="15.75" hidden="1" customHeight="1" outlineLevel="1">
      <c r="A1940" s="1839" t="str">
        <f>'Ввод данных'!A909</f>
        <v>Оцилиндрованное бревно сосна 260мм</v>
      </c>
      <c r="B1940" s="1696" t="s">
        <v>135</v>
      </c>
      <c r="C1940" s="1776">
        <f>(C1926)*G1912-C1939</f>
        <v>24.294676120000009</v>
      </c>
      <c r="D1940" s="1694">
        <f>VLOOKUP(A1940,'Прайс лист'!B441:G528,6,0)</f>
        <v>8500</v>
      </c>
      <c r="E1940" s="1353">
        <f t="shared" si="226"/>
        <v>206504.74702000007</v>
      </c>
      <c r="F1940" s="1290"/>
      <c r="G1940" s="1632" t="s">
        <v>1504</v>
      </c>
      <c r="H1940" s="1778"/>
      <c r="I1940" s="1853"/>
      <c r="J1940" s="1353">
        <f>C1758*G1758+C1759*G1759+C1760*G1760+C1761*G1761+C1762*G1762+C1763*G1763</f>
        <v>0</v>
      </c>
      <c r="K1940" s="1353">
        <f>'Прайс лист'!G1695</f>
        <v>150</v>
      </c>
      <c r="L1940" s="1353"/>
      <c r="M1940" s="1353"/>
      <c r="N1940" s="1353"/>
      <c r="O1940" s="1353">
        <f>J1940*K1940</f>
        <v>0</v>
      </c>
      <c r="P1940" s="1290"/>
      <c r="Q1940" s="1290"/>
      <c r="R1940" s="1290"/>
      <c r="S1940" s="1290"/>
      <c r="T1940" s="1290"/>
      <c r="U1940" s="1290"/>
      <c r="V1940" s="1290"/>
      <c r="W1940" s="1290"/>
      <c r="X1940" s="1290"/>
      <c r="Y1940" s="1290"/>
    </row>
    <row r="1941" spans="1:25" ht="15.75" hidden="1" customHeight="1" outlineLevel="1">
      <c r="A1941" s="1839" t="str">
        <f>'Ввод данных'!A911</f>
        <v>Оцилиндрованное бревно сосна 200мм</v>
      </c>
      <c r="B1941" s="1696" t="s">
        <v>135</v>
      </c>
      <c r="C1941" s="1776">
        <f>C1928*G1912</f>
        <v>0</v>
      </c>
      <c r="D1941" s="1694">
        <f>VLOOKUP(A1941,'Прайс лист'!B441:G528,6,0)</f>
        <v>8000</v>
      </c>
      <c r="E1941" s="1353">
        <f t="shared" si="226"/>
        <v>0</v>
      </c>
      <c r="F1941" s="1290"/>
      <c r="G1941" s="1197" t="str">
        <f>G1788</f>
        <v>обработка торцов на брусе</v>
      </c>
      <c r="I1941" s="1197">
        <f>I1788</f>
        <v>0</v>
      </c>
      <c r="J1941" s="1197">
        <f>J1788</f>
        <v>14.400000000000002</v>
      </c>
      <c r="K1941" s="1197">
        <f>K1788</f>
        <v>250</v>
      </c>
      <c r="L1941" s="1197">
        <f>L1788</f>
        <v>0</v>
      </c>
      <c r="O1941" s="1197">
        <f>O1788</f>
        <v>3600.0000000000005</v>
      </c>
      <c r="P1941" s="1290"/>
      <c r="Q1941" s="1290"/>
      <c r="R1941" s="1290"/>
      <c r="S1941" s="1290"/>
      <c r="T1941" s="1290"/>
      <c r="U1941" s="1290"/>
      <c r="V1941" s="1290"/>
      <c r="W1941" s="1290"/>
      <c r="X1941" s="1290"/>
      <c r="Y1941" s="1290"/>
    </row>
    <row r="1942" spans="1:25" ht="15.75" hidden="1" customHeight="1" outlineLevel="1">
      <c r="A1942" s="1839" t="str">
        <f>'Ввод данных'!A913</f>
        <v>Оцилиндрованное бревно сосна 200мм</v>
      </c>
      <c r="B1942" s="1696" t="s">
        <v>133</v>
      </c>
      <c r="C1942" s="1973">
        <f>C1930*G1912</f>
        <v>0</v>
      </c>
      <c r="D1942" s="1694">
        <f>VLOOKUP(A1942,'Прайс лист'!B441:G528,6,0)</f>
        <v>8000</v>
      </c>
      <c r="E1942" s="1353">
        <f t="shared" si="226"/>
        <v>0</v>
      </c>
      <c r="F1942" s="1290"/>
      <c r="G1942" s="1632" t="str">
        <f>G1882</f>
        <v>Обаботка огнебиозащитой</v>
      </c>
      <c r="H1942" s="1778"/>
      <c r="I1942" s="1853"/>
      <c r="J1942" s="1353">
        <f>SUM(C1939:C1942)*IF('Ввод данных'!A950='Прайс лист'!B728,0,1)</f>
        <v>28.018848000000009</v>
      </c>
      <c r="K1942" s="1353">
        <f>K1882</f>
        <v>300</v>
      </c>
      <c r="L1942" s="1353"/>
      <c r="M1942" s="1353"/>
      <c r="N1942" s="1353"/>
      <c r="P1942" s="1290"/>
      <c r="Q1942" s="1290"/>
      <c r="R1942" s="1290"/>
      <c r="S1942" s="1290"/>
      <c r="T1942" s="1290"/>
      <c r="U1942" s="1290"/>
      <c r="V1942" s="1290"/>
      <c r="W1942" s="1290"/>
      <c r="X1942" s="1290"/>
      <c r="Y1942" s="1290"/>
    </row>
    <row r="1943" spans="1:25" ht="15.75" hidden="1" customHeight="1" outlineLevel="1">
      <c r="A1943" s="1839" t="str">
        <f>'Ввод данных'!A943</f>
        <v>Шкант</v>
      </c>
      <c r="B1943" s="1696" t="s">
        <v>159</v>
      </c>
      <c r="C1943" s="1776">
        <f>CEILING((C1940+C1941+C1942+C1939)*20*G1912,1)</f>
        <v>617</v>
      </c>
      <c r="D1943" s="1694">
        <f>VLOOKUP('Ввод данных'!A943,связи1!A459:B461,2,0)</f>
        <v>6</v>
      </c>
      <c r="E1943" s="1353">
        <f t="shared" si="226"/>
        <v>3702</v>
      </c>
      <c r="F1943" s="1290"/>
      <c r="G1943" s="1632" t="str">
        <f>G1883</f>
        <v>Пропитка стен внешних</v>
      </c>
      <c r="H1943" s="1778"/>
      <c r="I1943" s="1853"/>
      <c r="J1943" s="1353">
        <f>G1925*0.3*IF('Ввод данных'!A955='Прайс лист'!B1534,0,1)</f>
        <v>117.56160000000003</v>
      </c>
      <c r="K1943" s="1353">
        <f>K1883</f>
        <v>100</v>
      </c>
      <c r="L1943" s="1353"/>
      <c r="M1943" s="1353"/>
      <c r="N1943" s="1353"/>
      <c r="P1943" s="1290"/>
      <c r="Q1943" s="1290"/>
      <c r="R1943" s="1290"/>
      <c r="S1943" s="1290"/>
      <c r="T1943" s="1290"/>
      <c r="U1943" s="1290"/>
      <c r="V1943" s="1290"/>
      <c r="W1943" s="1290"/>
      <c r="X1943" s="1290"/>
      <c r="Y1943" s="1290"/>
    </row>
    <row r="1944" spans="1:25" ht="15.75" hidden="1" customHeight="1" outlineLevel="1">
      <c r="A1944" s="1839" t="str">
        <f>'Ввод данных'!A940</f>
        <v>Лен-джут 200х5х20000 мм</v>
      </c>
      <c r="B1944" s="1696" t="s">
        <v>159</v>
      </c>
      <c r="C1944" s="1776">
        <f>CEILING(((C1926/D1926+C1928/D1928+C1930/D1929)/VLOOKUP(A1940,'Прайс лист'!B441:G528,3,0)/20*G1912)*1.4,1)</f>
        <v>33</v>
      </c>
      <c r="D1944" s="1694">
        <f>VLOOKUP(A1944,'Прайс лист'!B428:G432,6,0)</f>
        <v>175</v>
      </c>
      <c r="E1944" s="1353">
        <f t="shared" si="226"/>
        <v>5775</v>
      </c>
      <c r="F1944" s="1290"/>
      <c r="G1944" s="1632" t="str">
        <f>G1884</f>
        <v>Пропитка внутенних стен</v>
      </c>
      <c r="H1944" s="1632"/>
      <c r="I1944" s="1278"/>
      <c r="J1944" s="1055">
        <f>(G1925+G1927*2+G1930*2)*0.3*IF('Ввод данных'!A960='Прайс лист'!B1534,0,1)</f>
        <v>117.56160000000003</v>
      </c>
      <c r="K1944" s="1353">
        <f>K1884</f>
        <v>100</v>
      </c>
      <c r="L1944" s="1055"/>
      <c r="M1944" s="1055"/>
      <c r="N1944" s="1055"/>
      <c r="P1944" s="1290"/>
      <c r="Q1944" s="1290"/>
      <c r="R1944" s="1290"/>
      <c r="S1944" s="1290"/>
      <c r="T1944" s="1290"/>
      <c r="U1944" s="1290"/>
      <c r="V1944" s="1290"/>
      <c r="W1944" s="1290"/>
      <c r="X1944" s="1290"/>
      <c r="Y1944" s="1290"/>
    </row>
    <row r="1945" spans="1:25" ht="15.75" hidden="1" customHeight="1" outlineLevel="1">
      <c r="A1945" s="1839" t="str">
        <f>'Прайс лист'!B898</f>
        <v xml:space="preserve">Гвозди ершоные 2,8 х 90            </v>
      </c>
      <c r="B1945" s="1696" t="s">
        <v>159</v>
      </c>
      <c r="C1945" s="1776">
        <f>C1836*G1912</f>
        <v>4.8400000000000007</v>
      </c>
      <c r="D1945" s="1694">
        <f>'Прайс лист'!G898</f>
        <v>76.489999999999995</v>
      </c>
      <c r="E1945" s="1353">
        <f t="shared" si="226"/>
        <v>370.21160000000003</v>
      </c>
      <c r="F1945" s="1290"/>
      <c r="G1945" s="1632" t="str">
        <f>G1792</f>
        <v>Сверление стен для скрытой проводки</v>
      </c>
      <c r="H1945" s="1632"/>
      <c r="I1945" s="1632">
        <f>I1792</f>
        <v>0</v>
      </c>
      <c r="J1945" s="1632">
        <f>J1792</f>
        <v>180</v>
      </c>
      <c r="K1945" s="1632">
        <f>K1792</f>
        <v>300</v>
      </c>
      <c r="L1945" s="1353"/>
      <c r="M1945" s="1353"/>
      <c r="N1945" s="1353"/>
      <c r="O1945" s="1353"/>
      <c r="P1945" s="1290"/>
      <c r="Q1945" s="1290"/>
      <c r="R1945" s="1290"/>
      <c r="S1945" s="1290"/>
      <c r="T1945" s="1290"/>
      <c r="U1945" s="1290"/>
      <c r="V1945" s="1290"/>
      <c r="W1945" s="1290"/>
      <c r="X1945" s="1290"/>
      <c r="Y1945" s="1290"/>
    </row>
    <row r="1946" spans="1:25" ht="15.75" hidden="1" customHeight="1" outlineLevel="1">
      <c r="A1946" s="1360" t="str">
        <f t="shared" ref="A1946:B1961" si="227">A1885</f>
        <v>нет</v>
      </c>
      <c r="B1946" s="1600" t="str">
        <f t="shared" si="227"/>
        <v>м3</v>
      </c>
      <c r="C1946" s="2006">
        <f>((C1758*G1758+C1759*G1759)*G1750*VLOOKUP(A1793,связи1!A407:E416,5,0))</f>
        <v>0</v>
      </c>
      <c r="D1946" s="2006">
        <f t="shared" ref="D1946:D1961" si="228">D1885</f>
        <v>0</v>
      </c>
      <c r="E1946" s="1353">
        <f t="shared" si="226"/>
        <v>0</v>
      </c>
      <c r="F1946" s="1290"/>
      <c r="G1946" s="1632" t="str">
        <f>G1793</f>
        <v>Монтаж наличника</v>
      </c>
      <c r="H1946" s="1778"/>
      <c r="I1946" s="1853"/>
      <c r="J1946" s="1632">
        <f>J1793</f>
        <v>0</v>
      </c>
      <c r="K1946" s="1632">
        <f>K1793</f>
        <v>80</v>
      </c>
      <c r="L1946" s="1353"/>
      <c r="M1946" s="1353"/>
      <c r="N1946" s="1353"/>
      <c r="O1946" s="1353"/>
      <c r="P1946" s="1290"/>
      <c r="Q1946" s="1290"/>
      <c r="R1946" s="1290"/>
      <c r="S1946" s="1290"/>
      <c r="T1946" s="1290"/>
      <c r="U1946" s="1290"/>
      <c r="V1946" s="1290"/>
      <c r="W1946" s="1290"/>
      <c r="X1946" s="1290"/>
      <c r="Y1946" s="1290"/>
    </row>
    <row r="1947" spans="1:25" ht="15.75" hidden="1" customHeight="1" outlineLevel="1">
      <c r="A1947" s="1360" t="str">
        <f t="shared" si="227"/>
        <v>Доска сухая, 100*50мм</v>
      </c>
      <c r="B1947" s="1600" t="str">
        <f t="shared" si="227"/>
        <v>м3</v>
      </c>
      <c r="C1947" s="2006">
        <f>((C1760*G1760+C1762*G1762)*G1750*VLOOKUP(A1794,связи1!A407:E416,5,0))</f>
        <v>0</v>
      </c>
      <c r="D1947" s="2006">
        <f t="shared" si="228"/>
        <v>9000</v>
      </c>
      <c r="E1947" s="1353">
        <f t="shared" si="226"/>
        <v>0</v>
      </c>
      <c r="F1947" s="1290"/>
      <c r="G1947" s="1632" t="str">
        <f>G1888</f>
        <v>Шлифовка стен дома</v>
      </c>
      <c r="H1947" s="1632"/>
      <c r="I1947" s="1632">
        <f>I1888</f>
        <v>0</v>
      </c>
      <c r="J1947" s="1632">
        <f>J1926*1.1*IF('Ввод данных'!A973=связи1!A542,1,0)+(J1926+J1929*2)*1.1*IF('Ввод данных'!A976=связи1!A545,1,0)</f>
        <v>121.44000000000004</v>
      </c>
      <c r="K1947" s="1632">
        <f>K1888</f>
        <v>250</v>
      </c>
      <c r="L1947" s="1353"/>
      <c r="M1947" s="1353"/>
      <c r="N1947" s="1353"/>
      <c r="O1947" s="1353"/>
      <c r="P1947" s="1290"/>
      <c r="Q1947" s="1290"/>
      <c r="R1947" s="1290"/>
      <c r="S1947" s="1290"/>
      <c r="T1947" s="1290"/>
      <c r="U1947" s="1290"/>
      <c r="V1947" s="1290"/>
      <c r="W1947" s="1290"/>
      <c r="X1947" s="1290"/>
      <c r="Y1947" s="1290"/>
    </row>
    <row r="1948" spans="1:25" ht="15.75" hidden="1" customHeight="1" outlineLevel="1">
      <c r="A1948" s="1360" t="str">
        <f t="shared" si="227"/>
        <v>Доска сухая калиброванная, 100*45мм</v>
      </c>
      <c r="B1948" s="1600" t="str">
        <f t="shared" si="227"/>
        <v>м3</v>
      </c>
      <c r="C1948" s="2006">
        <f>VLOOKUP(A1795,связи1!A407:E416,5,0)*(C1761*G1761+C1763*G1763)*G1750</f>
        <v>0</v>
      </c>
      <c r="D1948" s="2006">
        <f t="shared" si="228"/>
        <v>12500</v>
      </c>
      <c r="E1948" s="1353">
        <f t="shared" si="226"/>
        <v>0</v>
      </c>
      <c r="F1948" s="1290"/>
      <c r="G1948" s="1632"/>
      <c r="H1948" s="1778"/>
      <c r="I1948" s="1778"/>
      <c r="J1948" s="1632"/>
      <c r="K1948" s="1632"/>
      <c r="L1948" s="1353"/>
      <c r="M1948" s="1353"/>
      <c r="N1948" s="1353"/>
      <c r="O1948" s="1353"/>
      <c r="P1948" s="1290"/>
      <c r="Q1948" s="1290"/>
      <c r="R1948" s="1290"/>
      <c r="S1948" s="1290"/>
      <c r="T1948" s="1290"/>
      <c r="U1948" s="1290"/>
      <c r="V1948" s="1290"/>
      <c r="W1948" s="1290"/>
      <c r="X1948" s="1290"/>
      <c r="Y1948" s="1290"/>
    </row>
    <row r="1949" spans="1:25" ht="15.75" hidden="1" customHeight="1" outlineLevel="1">
      <c r="A1949" s="1360" t="str">
        <f t="shared" si="227"/>
        <v>Сосна влаж, 50*50мм</v>
      </c>
      <c r="B1949" s="1600" t="str">
        <f t="shared" si="227"/>
        <v>м.п.</v>
      </c>
      <c r="C1949" s="2006">
        <f>C1888</f>
        <v>0</v>
      </c>
      <c r="D1949" s="2006">
        <f t="shared" si="228"/>
        <v>16.25</v>
      </c>
      <c r="E1949" s="1353">
        <f t="shared" si="226"/>
        <v>0</v>
      </c>
      <c r="F1949" s="1290"/>
      <c r="G1949" s="1632"/>
      <c r="H1949" s="1778"/>
      <c r="I1949" s="1853"/>
      <c r="J1949" s="1353"/>
      <c r="K1949" s="1353"/>
      <c r="L1949" s="1353"/>
      <c r="M1949" s="1353"/>
      <c r="N1949" s="1353"/>
      <c r="O1949" s="1353"/>
      <c r="P1949" s="1290"/>
      <c r="Q1949" s="1290"/>
      <c r="R1949" s="1290"/>
      <c r="S1949" s="1290"/>
      <c r="T1949" s="1290"/>
      <c r="U1949" s="1290"/>
      <c r="V1949" s="1290"/>
      <c r="W1949" s="1290"/>
      <c r="X1949" s="1290"/>
      <c r="Y1949" s="1290"/>
    </row>
    <row r="1950" spans="1:25" ht="15.75" hidden="1" customHeight="1" outlineLevel="1">
      <c r="A1950" s="1360" t="str">
        <f t="shared" si="227"/>
        <v>Бензин для пилы</v>
      </c>
      <c r="B1950" s="1600" t="str">
        <f t="shared" si="227"/>
        <v>л</v>
      </c>
      <c r="C1950" s="2006">
        <f>(C1939+C1940+C1941+C1942)/4</f>
        <v>7.0047120000000023</v>
      </c>
      <c r="D1950" s="2006">
        <f t="shared" si="228"/>
        <v>40</v>
      </c>
      <c r="E1950" s="1353">
        <f t="shared" si="226"/>
        <v>280.18848000000008</v>
      </c>
      <c r="F1950" s="1290"/>
      <c r="G1950" s="1994"/>
      <c r="H1950" s="2013"/>
      <c r="I1950" s="1853"/>
      <c r="J1950" s="1353"/>
      <c r="K1950" s="1353"/>
      <c r="L1950" s="1353"/>
      <c r="M1950" s="1353"/>
      <c r="N1950" s="1353"/>
      <c r="O1950" s="1353"/>
      <c r="P1950" s="1290"/>
      <c r="Q1950" s="1290"/>
      <c r="R1950" s="1290"/>
      <c r="S1950" s="1290"/>
      <c r="T1950" s="1290"/>
      <c r="U1950" s="1290"/>
      <c r="V1950" s="1290"/>
      <c r="W1950" s="1290"/>
      <c r="X1950" s="1290"/>
      <c r="Y1950" s="1290"/>
    </row>
    <row r="1951" spans="1:25" ht="15.75" hidden="1" customHeight="1" outlineLevel="1">
      <c r="A1951" s="1360" t="str">
        <f t="shared" si="227"/>
        <v>Масло для пилы</v>
      </c>
      <c r="B1951" s="1600" t="str">
        <f t="shared" si="227"/>
        <v>л</v>
      </c>
      <c r="C1951" s="2006">
        <f>C1950/20</f>
        <v>0.35023560000000009</v>
      </c>
      <c r="D1951" s="2006">
        <f t="shared" si="228"/>
        <v>250</v>
      </c>
      <c r="E1951" s="1353">
        <f t="shared" si="226"/>
        <v>87.558900000000023</v>
      </c>
      <c r="F1951" s="1290"/>
      <c r="G1951" s="1994"/>
      <c r="H1951" s="2013"/>
      <c r="I1951" s="1853"/>
      <c r="J1951" s="1353"/>
      <c r="K1951" s="1353"/>
      <c r="L1951" s="1353"/>
      <c r="M1951" s="1353"/>
      <c r="N1951" s="1353"/>
      <c r="O1951" s="1353"/>
      <c r="P1951" s="1290"/>
      <c r="Q1951" s="1290"/>
      <c r="R1951" s="1290"/>
      <c r="S1951" s="1290"/>
      <c r="T1951" s="1290"/>
      <c r="U1951" s="1290"/>
      <c r="V1951" s="1290"/>
      <c r="W1951" s="1290"/>
      <c r="X1951" s="1290"/>
      <c r="Y1951" s="1290"/>
    </row>
    <row r="1952" spans="1:25" ht="15.75" hidden="1" customHeight="1" outlineLevel="1">
      <c r="A1952" s="1360" t="str">
        <f t="shared" si="227"/>
        <v>Цепь для пилы</v>
      </c>
      <c r="B1952" s="1600" t="str">
        <f t="shared" si="227"/>
        <v>л</v>
      </c>
      <c r="C1952" s="2006">
        <f>CEILING((C1939+C1940+C1941+C1942)/10,1)</f>
        <v>3</v>
      </c>
      <c r="D1952" s="2006">
        <f t="shared" si="228"/>
        <v>800</v>
      </c>
      <c r="E1952" s="1353">
        <f t="shared" si="226"/>
        <v>2400</v>
      </c>
      <c r="F1952" s="1290"/>
      <c r="G1952" s="1994"/>
      <c r="H1952" s="2013"/>
      <c r="I1952" s="1853"/>
      <c r="J1952" s="1353"/>
      <c r="K1952" s="1353"/>
      <c r="L1952" s="1353"/>
      <c r="M1952" s="1353"/>
      <c r="N1952" s="1353"/>
      <c r="O1952" s="1353"/>
      <c r="P1952" s="1290"/>
      <c r="Q1952" s="1290"/>
      <c r="R1952" s="1290"/>
      <c r="S1952" s="1290"/>
      <c r="T1952" s="1290"/>
      <c r="U1952" s="1290"/>
      <c r="V1952" s="1290"/>
      <c r="W1952" s="1290"/>
      <c r="X1952" s="1290"/>
      <c r="Y1952" s="1290"/>
    </row>
    <row r="1953" spans="1:25" ht="15.75" hidden="1" customHeight="1" outlineLevel="1">
      <c r="A1953" s="1360" t="str">
        <f t="shared" si="227"/>
        <v>"Профилюкс" Антисептик АНТИПЛЕСЕНЬ</v>
      </c>
      <c r="B1953" s="1600" t="str">
        <f t="shared" si="227"/>
        <v>л</v>
      </c>
      <c r="C1953" s="2006">
        <f>G1932*'Ввод данных'!C951*'Ввод данных'!C952</f>
        <v>39.187200000000018</v>
      </c>
      <c r="D1953" s="2006">
        <f t="shared" si="228"/>
        <v>108</v>
      </c>
      <c r="E1953" s="1353">
        <f t="shared" si="226"/>
        <v>4232.2176000000018</v>
      </c>
      <c r="F1953" s="1290"/>
      <c r="G1953" s="1994"/>
      <c r="H1953" s="2013"/>
      <c r="I1953" s="1853"/>
      <c r="J1953" s="1353"/>
      <c r="K1953" s="1353"/>
      <c r="L1953" s="1353"/>
      <c r="M1953" s="1353"/>
      <c r="N1953" s="1353"/>
      <c r="O1953" s="1353"/>
      <c r="P1953" s="1290"/>
      <c r="Q1953" s="1290"/>
      <c r="R1953" s="1290"/>
      <c r="S1953" s="1290"/>
      <c r="T1953" s="1290"/>
      <c r="U1953" s="1290"/>
      <c r="V1953" s="1290"/>
      <c r="W1953" s="1290"/>
      <c r="X1953" s="1290"/>
      <c r="Y1953" s="1290"/>
    </row>
    <row r="1954" spans="1:25" ht="15.75" hidden="1" customHeight="1" outlineLevel="1">
      <c r="A1954" s="1360" t="str">
        <f t="shared" si="227"/>
        <v>"Тонерол" Антисептик  бесцветный  1л</v>
      </c>
      <c r="B1954" s="1600" t="str">
        <f t="shared" si="227"/>
        <v>л</v>
      </c>
      <c r="C1954" s="2006">
        <f>G1925*0.3*'Ввод данных'!C956*'Ввод данных'!C957</f>
        <v>23.512320000000006</v>
      </c>
      <c r="D1954" s="2006">
        <f t="shared" si="228"/>
        <v>305</v>
      </c>
      <c r="E1954" s="1353">
        <f t="shared" si="226"/>
        <v>7171.2576000000017</v>
      </c>
      <c r="F1954" s="1290"/>
      <c r="G1954" s="1994"/>
      <c r="H1954" s="2013"/>
      <c r="I1954" s="1853"/>
      <c r="J1954" s="1353"/>
      <c r="K1954" s="1353"/>
      <c r="L1954" s="1353"/>
      <c r="M1954" s="1353"/>
      <c r="N1954" s="1353"/>
      <c r="O1954" s="1353"/>
      <c r="P1954" s="1290"/>
      <c r="Q1954" s="1290"/>
      <c r="R1954" s="1290"/>
      <c r="S1954" s="1290"/>
      <c r="T1954" s="1290"/>
      <c r="U1954" s="1290"/>
      <c r="V1954" s="1290"/>
      <c r="W1954" s="1290"/>
      <c r="X1954" s="1290"/>
      <c r="Y1954" s="1290"/>
    </row>
    <row r="1955" spans="1:25" ht="15.75" hidden="1" customHeight="1" outlineLevel="1">
      <c r="A1955" s="1360" t="str">
        <f t="shared" si="227"/>
        <v>"Тонерол" Антисептик  махагон  1л</v>
      </c>
      <c r="B1955" s="1600" t="str">
        <f t="shared" si="227"/>
        <v>л</v>
      </c>
      <c r="C1955" s="2006">
        <f>(G1925+G1927*2+G1930*2)*0.3*'Ввод данных'!C961*'Ввод данных'!C962</f>
        <v>23.512320000000006</v>
      </c>
      <c r="D1955" s="2006">
        <f t="shared" si="228"/>
        <v>305</v>
      </c>
      <c r="E1955" s="1353">
        <f t="shared" si="226"/>
        <v>7171.2576000000017</v>
      </c>
      <c r="F1955" s="1290"/>
      <c r="G1955" s="1994"/>
      <c r="H1955" s="2013"/>
      <c r="I1955" s="1853"/>
      <c r="J1955" s="1353"/>
      <c r="K1955" s="1353"/>
      <c r="L1955" s="1353"/>
      <c r="M1955" s="1353"/>
      <c r="N1955" s="1353"/>
      <c r="O1955" s="1353"/>
      <c r="P1955" s="1290"/>
      <c r="Q1955" s="1290"/>
      <c r="R1955" s="1290"/>
      <c r="S1955" s="1290"/>
      <c r="T1955" s="1290"/>
      <c r="U1955" s="1290"/>
      <c r="V1955" s="1290"/>
      <c r="W1955" s="1290"/>
      <c r="X1955" s="1290"/>
      <c r="Y1955" s="1290"/>
    </row>
    <row r="1956" spans="1:25" ht="15.75" hidden="1" customHeight="1" outlineLevel="1">
      <c r="A1956" s="1360" t="str">
        <f t="shared" si="227"/>
        <v>Нет наличника</v>
      </c>
      <c r="B1956" s="1600" t="str">
        <f t="shared" si="227"/>
        <v>м.п.</v>
      </c>
      <c r="C1956" s="1360">
        <f t="shared" ref="C1956:C1961" si="229">C1895</f>
        <v>3.5700000000000007</v>
      </c>
      <c r="D1956" s="1360">
        <f t="shared" si="228"/>
        <v>0</v>
      </c>
      <c r="E1956" s="1353">
        <f t="shared" si="226"/>
        <v>0</v>
      </c>
      <c r="F1956" s="1290"/>
      <c r="G1956" s="1994"/>
      <c r="H1956" s="2013"/>
      <c r="I1956" s="1853"/>
      <c r="J1956" s="1353"/>
      <c r="K1956" s="1353"/>
      <c r="L1956" s="1353"/>
      <c r="M1956" s="1353"/>
      <c r="N1956" s="1353"/>
      <c r="O1956" s="1353"/>
      <c r="P1956" s="1290"/>
      <c r="Q1956" s="1290"/>
      <c r="R1956" s="1290"/>
      <c r="S1956" s="1290"/>
      <c r="T1956" s="1290"/>
      <c r="U1956" s="1290"/>
      <c r="V1956" s="1290"/>
      <c r="W1956" s="1290"/>
      <c r="X1956" s="1290"/>
      <c r="Y1956" s="1290"/>
    </row>
    <row r="1957" spans="1:25" ht="15.75" hidden="1" customHeight="1" outlineLevel="1">
      <c r="A1957" s="1360" t="str">
        <f t="shared" si="227"/>
        <v>Нет наличника</v>
      </c>
      <c r="B1957" s="1600" t="str">
        <f t="shared" si="227"/>
        <v>м.п.</v>
      </c>
      <c r="C1957" s="1360">
        <f t="shared" si="229"/>
        <v>3.5700000000000007</v>
      </c>
      <c r="D1957" s="1360">
        <f t="shared" si="228"/>
        <v>0</v>
      </c>
      <c r="E1957" s="1353">
        <f t="shared" si="226"/>
        <v>0</v>
      </c>
      <c r="F1957" s="1290"/>
      <c r="G1957" s="1994"/>
      <c r="H1957" s="2013"/>
      <c r="I1957" s="1853"/>
      <c r="J1957" s="1353"/>
      <c r="K1957" s="1353"/>
      <c r="L1957" s="1353"/>
      <c r="M1957" s="1353"/>
      <c r="N1957" s="1353"/>
      <c r="O1957" s="1353"/>
      <c r="P1957" s="1290"/>
      <c r="Q1957" s="1290"/>
      <c r="R1957" s="1290"/>
      <c r="S1957" s="1290"/>
      <c r="T1957" s="1290"/>
      <c r="U1957" s="1290"/>
      <c r="V1957" s="1290"/>
      <c r="W1957" s="1290"/>
      <c r="X1957" s="1290"/>
      <c r="Y1957" s="1290"/>
    </row>
    <row r="1958" spans="1:25" ht="15.75" hidden="1" customHeight="1" outlineLevel="1">
      <c r="A1958" s="1360" t="str">
        <f t="shared" si="227"/>
        <v>Бумага наждачная № 63 F(30)</v>
      </c>
      <c r="B1958" s="1360" t="str">
        <f t="shared" si="227"/>
        <v>м</v>
      </c>
      <c r="C1958" s="1360">
        <f t="shared" si="229"/>
        <v>5</v>
      </c>
      <c r="D1958" s="1360">
        <f t="shared" si="228"/>
        <v>291</v>
      </c>
      <c r="E1958" s="1353">
        <f t="shared" si="226"/>
        <v>1455</v>
      </c>
      <c r="F1958" s="1290"/>
      <c r="G1958" s="1994"/>
      <c r="H1958" s="2013"/>
      <c r="I1958" s="1853"/>
      <c r="J1958" s="1353"/>
      <c r="K1958" s="1353"/>
      <c r="L1958" s="1353"/>
      <c r="M1958" s="1353"/>
      <c r="N1958" s="1353"/>
      <c r="O1958" s="1353"/>
      <c r="P1958" s="1290"/>
      <c r="Q1958" s="1290"/>
      <c r="R1958" s="1290"/>
      <c r="S1958" s="1290"/>
      <c r="T1958" s="1290"/>
      <c r="U1958" s="1290"/>
      <c r="V1958" s="1290"/>
      <c r="W1958" s="1290"/>
      <c r="X1958" s="1290"/>
      <c r="Y1958" s="1290"/>
    </row>
    <row r="1959" spans="1:25" ht="15.75" hidden="1" customHeight="1" outlineLevel="1">
      <c r="A1959" s="1360" t="str">
        <f t="shared" si="227"/>
        <v>Нет наждачной бумаги</v>
      </c>
      <c r="B1959" s="1360" t="str">
        <f t="shared" si="227"/>
        <v>м</v>
      </c>
      <c r="C1959" s="1360">
        <f t="shared" si="229"/>
        <v>0</v>
      </c>
      <c r="D1959" s="1360">
        <f t="shared" si="228"/>
        <v>0</v>
      </c>
      <c r="E1959" s="1353">
        <f t="shared" si="226"/>
        <v>0</v>
      </c>
      <c r="F1959" s="1290"/>
      <c r="G1959" s="1994"/>
      <c r="H1959" s="2013"/>
      <c r="I1959" s="1853"/>
      <c r="J1959" s="1353"/>
      <c r="K1959" s="1353"/>
      <c r="L1959" s="1353"/>
      <c r="M1959" s="1353"/>
      <c r="N1959" s="1353"/>
      <c r="O1959" s="1353"/>
      <c r="P1959" s="1290"/>
      <c r="Q1959" s="1290"/>
      <c r="R1959" s="1290"/>
      <c r="S1959" s="1290"/>
      <c r="T1959" s="1290"/>
      <c r="U1959" s="1290"/>
      <c r="V1959" s="1290"/>
      <c r="W1959" s="1290"/>
      <c r="X1959" s="1290"/>
      <c r="Y1959" s="1290"/>
    </row>
    <row r="1960" spans="1:25" ht="15.75" hidden="1" customHeight="1" outlineLevel="1">
      <c r="A1960" s="1360" t="str">
        <f t="shared" si="227"/>
        <v>Бумага наждачная № 63 F(30)</v>
      </c>
      <c r="B1960" s="1360" t="str">
        <f t="shared" si="227"/>
        <v>м</v>
      </c>
      <c r="C1960" s="1360">
        <f t="shared" si="229"/>
        <v>0</v>
      </c>
      <c r="D1960" s="1360">
        <f t="shared" si="228"/>
        <v>291</v>
      </c>
      <c r="E1960" s="1353">
        <f t="shared" si="226"/>
        <v>0</v>
      </c>
      <c r="F1960" s="1290"/>
      <c r="G1960" s="1994"/>
      <c r="H1960" s="2013"/>
      <c r="I1960" s="1853"/>
      <c r="J1960" s="1353"/>
      <c r="K1960" s="1353"/>
      <c r="L1960" s="1353"/>
      <c r="M1960" s="1353"/>
      <c r="N1960" s="1353"/>
      <c r="O1960" s="1353"/>
      <c r="P1960" s="1290"/>
      <c r="Q1960" s="1290"/>
      <c r="R1960" s="1290"/>
      <c r="S1960" s="1290"/>
      <c r="T1960" s="1290"/>
      <c r="U1960" s="1290"/>
      <c r="V1960" s="1290"/>
      <c r="W1960" s="1290"/>
      <c r="X1960" s="1290"/>
      <c r="Y1960" s="1290"/>
    </row>
    <row r="1961" spans="1:25" ht="15.75" hidden="1" customHeight="1" outlineLevel="1">
      <c r="A1961" s="1360" t="str">
        <f t="shared" si="227"/>
        <v>Бумага наждачная № 40</v>
      </c>
      <c r="B1961" s="1360" t="str">
        <f t="shared" si="227"/>
        <v>м</v>
      </c>
      <c r="C1961" s="1360">
        <f t="shared" si="229"/>
        <v>0</v>
      </c>
      <c r="D1961" s="1360">
        <f t="shared" si="228"/>
        <v>240</v>
      </c>
      <c r="E1961" s="1353">
        <f t="shared" si="226"/>
        <v>0</v>
      </c>
      <c r="F1961" s="1290"/>
      <c r="G1961" s="1994"/>
      <c r="H1961" s="2013"/>
      <c r="I1961" s="1853"/>
      <c r="J1961" s="1353"/>
      <c r="K1961" s="1353"/>
      <c r="L1961" s="1353"/>
      <c r="M1961" s="1353"/>
      <c r="N1961" s="1353"/>
      <c r="O1961" s="1353"/>
      <c r="P1961" s="1290"/>
      <c r="Q1961" s="1290"/>
      <c r="R1961" s="1290"/>
      <c r="S1961" s="1290"/>
      <c r="T1961" s="1290"/>
      <c r="U1961" s="1290"/>
      <c r="V1961" s="1290"/>
      <c r="W1961" s="1290"/>
      <c r="X1961" s="1290"/>
      <c r="Y1961" s="1290"/>
    </row>
    <row r="1962" spans="1:25" ht="15.75" hidden="1" customHeight="1" outlineLevel="1">
      <c r="A1962" s="1360" t="str">
        <f>A1809</f>
        <v>Командировочные расходы</v>
      </c>
      <c r="B1962" s="1600" t="str">
        <f>B1809</f>
        <v>рублей</v>
      </c>
      <c r="C1962" s="1360">
        <f>C1809</f>
        <v>1</v>
      </c>
      <c r="D1962" s="1360">
        <f>D1809</f>
        <v>0</v>
      </c>
      <c r="E1962" s="1360">
        <f>E1809</f>
        <v>0</v>
      </c>
      <c r="F1962" s="1290"/>
      <c r="G1962" s="1994"/>
      <c r="H1962" s="2013"/>
      <c r="I1962" s="1853"/>
      <c r="J1962" s="1353"/>
      <c r="K1962" s="1353"/>
      <c r="L1962" s="1353"/>
      <c r="M1962" s="1353"/>
      <c r="N1962" s="1353"/>
      <c r="O1962" s="1353"/>
      <c r="P1962" s="1290"/>
      <c r="Q1962" s="1290"/>
      <c r="R1962" s="1290"/>
      <c r="S1962" s="1290"/>
      <c r="T1962" s="1290"/>
      <c r="U1962" s="1290"/>
      <c r="V1962" s="1290"/>
      <c r="W1962" s="1290"/>
      <c r="X1962" s="1290"/>
      <c r="Y1962" s="1290"/>
    </row>
    <row r="1963" spans="1:25" ht="15.75" hidden="1" customHeight="1" outlineLevel="1">
      <c r="A1963" s="1360" t="str">
        <f t="shared" ref="A1963:D1964" si="230">A1902</f>
        <v>расходные материалы дома из леса</v>
      </c>
      <c r="B1963" s="1600" t="str">
        <f t="shared" si="230"/>
        <v>шт</v>
      </c>
      <c r="C1963" s="2006">
        <f t="shared" si="230"/>
        <v>1</v>
      </c>
      <c r="D1963" s="2006">
        <f t="shared" si="230"/>
        <v>3000</v>
      </c>
      <c r="E1963" s="1353">
        <f>C1963*D1963</f>
        <v>3000</v>
      </c>
      <c r="F1963" s="1290"/>
      <c r="G1963" s="1632"/>
      <c r="H1963" s="1778"/>
      <c r="I1963" s="1853"/>
      <c r="J1963" s="1353"/>
      <c r="K1963" s="1353"/>
      <c r="L1963" s="1353"/>
      <c r="M1963" s="1353"/>
      <c r="N1963" s="1353"/>
      <c r="O1963" s="1353"/>
      <c r="P1963" s="1290"/>
      <c r="Q1963" s="1290"/>
      <c r="R1963" s="1290"/>
      <c r="S1963" s="1290"/>
      <c r="T1963" s="1290"/>
      <c r="U1963" s="1290"/>
      <c r="V1963" s="1290"/>
      <c r="W1963" s="1290"/>
      <c r="X1963" s="1290"/>
      <c r="Y1963" s="1290"/>
    </row>
    <row r="1964" spans="1:25" ht="15.75" hidden="1" customHeight="1" outlineLevel="1">
      <c r="A1964" s="1360" t="str">
        <f t="shared" si="230"/>
        <v>Нет техники</v>
      </c>
      <c r="B1964" s="1600" t="str">
        <f t="shared" si="230"/>
        <v>шт</v>
      </c>
      <c r="C1964" s="2006">
        <f t="shared" si="230"/>
        <v>6</v>
      </c>
      <c r="D1964" s="2006">
        <f t="shared" si="230"/>
        <v>0</v>
      </c>
      <c r="E1964" s="1353">
        <f>C1964*D1964</f>
        <v>0</v>
      </c>
      <c r="F1964" s="2015"/>
      <c r="G1964" s="2018"/>
      <c r="H1964" s="2018"/>
      <c r="I1964" s="2019"/>
      <c r="J1964" s="2020"/>
      <c r="K1964" s="2020"/>
      <c r="L1964" s="2020"/>
      <c r="M1964" s="2020"/>
      <c r="N1964" s="2020"/>
      <c r="O1964" s="1186"/>
      <c r="P1964" s="1290"/>
      <c r="Q1964" s="1290"/>
      <c r="R1964" s="1290"/>
      <c r="S1964" s="1290"/>
      <c r="T1964" s="1290"/>
      <c r="U1964" s="1290"/>
      <c r="V1964" s="1290"/>
      <c r="W1964" s="1290"/>
      <c r="X1964" s="1290"/>
      <c r="Y1964" s="1290"/>
    </row>
    <row r="1965" spans="1:25" ht="15.75" hidden="1" customHeight="1" outlineLevel="1">
      <c r="A1965" s="1360" t="str">
        <f>A1904</f>
        <v>Нет техники</v>
      </c>
      <c r="B1965" s="1600" t="s">
        <v>159</v>
      </c>
      <c r="C1965" s="2006">
        <f>C1904</f>
        <v>0</v>
      </c>
      <c r="D1965" s="2006">
        <f>D1904</f>
        <v>0</v>
      </c>
      <c r="E1965" s="1353">
        <f>C1965*D1965</f>
        <v>0</v>
      </c>
      <c r="F1965" s="2015"/>
      <c r="G1965" s="2018"/>
      <c r="H1965" s="2018"/>
      <c r="I1965" s="2019"/>
      <c r="J1965" s="2020"/>
      <c r="K1965" s="2020"/>
      <c r="L1965" s="2020"/>
      <c r="M1965" s="2020"/>
      <c r="N1965" s="2020"/>
      <c r="O1965" s="1186"/>
      <c r="P1965" s="1290"/>
      <c r="Q1965" s="1290"/>
      <c r="R1965" s="1290"/>
      <c r="S1965" s="1290"/>
      <c r="T1965" s="1290"/>
      <c r="U1965" s="1290"/>
      <c r="V1965" s="1290"/>
      <c r="W1965" s="1290"/>
      <c r="X1965" s="1290"/>
      <c r="Y1965" s="1290"/>
    </row>
    <row r="1966" spans="1:25" ht="15.75" hidden="1" customHeight="1" outlineLevel="1">
      <c r="A1966" s="1839"/>
      <c r="B1966" s="1183"/>
      <c r="C1966" s="1183"/>
      <c r="D1966" s="1183"/>
      <c r="E1966" s="2014">
        <f>SUM(E1939:E1963)</f>
        <v>279391.15760000009</v>
      </c>
      <c r="F1966" s="2015"/>
      <c r="G1966" s="2016"/>
      <c r="H1966" s="2016"/>
      <c r="I1966" s="2017"/>
      <c r="J1966" s="2016"/>
      <c r="K1966" s="2016"/>
      <c r="L1966" s="2016"/>
      <c r="M1966" s="2016"/>
      <c r="N1966" s="2016"/>
      <c r="O1966" s="1186">
        <f>SUM(O1939:O1963)</f>
        <v>171713.08800000005</v>
      </c>
      <c r="P1966" s="1290"/>
      <c r="Q1966" s="1290"/>
      <c r="R1966" s="1290"/>
      <c r="S1966" s="1290"/>
      <c r="T1966" s="1290"/>
      <c r="U1966" s="1290"/>
      <c r="V1966" s="1290"/>
      <c r="W1966" s="1290"/>
      <c r="X1966" s="1290"/>
      <c r="Y1966" s="1290"/>
    </row>
    <row r="1967" spans="1:25" ht="15.75" hidden="1" customHeight="1" outlineLevel="1">
      <c r="A1967" s="1839" t="s">
        <v>3660</v>
      </c>
      <c r="B1967" s="1179">
        <f>E1966</f>
        <v>279391.15760000009</v>
      </c>
      <c r="C1967" s="1190"/>
      <c r="D1967" s="2016"/>
      <c r="E1967" s="2016"/>
      <c r="F1967" s="2016"/>
      <c r="G1967" s="2016"/>
      <c r="H1967" s="2016"/>
      <c r="I1967" s="2017"/>
      <c r="J1967" s="2016"/>
      <c r="K1967" s="2016"/>
      <c r="L1967" s="2016"/>
      <c r="M1967" s="2016"/>
      <c r="N1967" s="2016"/>
      <c r="O1967" s="2016"/>
      <c r="P1967" s="1290"/>
      <c r="Q1967" s="1290"/>
      <c r="R1967" s="1290"/>
      <c r="S1967" s="1290"/>
      <c r="T1967" s="1290"/>
      <c r="U1967" s="1290"/>
      <c r="V1967" s="1290"/>
      <c r="W1967" s="1290"/>
      <c r="X1967" s="1290"/>
      <c r="Y1967" s="1290"/>
    </row>
    <row r="1968" spans="1:25" ht="15.75" hidden="1" customHeight="1" outlineLevel="1">
      <c r="A1968" s="1839" t="s">
        <v>3661</v>
      </c>
      <c r="B1968" s="1179">
        <f>O1966</f>
        <v>171713.08800000005</v>
      </c>
      <c r="C1968" s="1190"/>
      <c r="D1968" s="2016"/>
      <c r="E1968" s="2016"/>
      <c r="F1968" s="2016"/>
      <c r="G1968" s="2016"/>
      <c r="H1968" s="2016"/>
      <c r="I1968" s="2017"/>
      <c r="J1968" s="2016"/>
      <c r="K1968" s="2016"/>
      <c r="L1968" s="2016"/>
      <c r="M1968" s="2016"/>
      <c r="N1968" s="2016"/>
      <c r="O1968" s="2016"/>
      <c r="P1968" s="1290"/>
      <c r="Q1968" s="1290"/>
      <c r="R1968" s="1290"/>
      <c r="S1968" s="1290"/>
      <c r="T1968" s="1290"/>
      <c r="U1968" s="1290"/>
      <c r="V1968" s="1290"/>
      <c r="W1968" s="1290"/>
      <c r="X1968" s="1290"/>
      <c r="Y1968" s="1290"/>
    </row>
    <row r="1969" spans="1:25" ht="15.75" hidden="1" customHeight="1" outlineLevel="1">
      <c r="A1969" s="1353" t="s">
        <v>2728</v>
      </c>
      <c r="B1969" s="1179">
        <f>SUM(B1967:B1968)</f>
        <v>451104.24560000014</v>
      </c>
      <c r="C1969" s="1190"/>
      <c r="D1969" s="2016"/>
      <c r="E1969" s="2016"/>
      <c r="F1969" s="2016"/>
      <c r="G1969" s="2016"/>
      <c r="H1969" s="2016"/>
      <c r="I1969" s="2017"/>
      <c r="J1969" s="2016"/>
      <c r="K1969" s="2016"/>
      <c r="L1969" s="2016"/>
      <c r="M1969" s="2016"/>
      <c r="N1969" s="2016"/>
      <c r="O1969" s="2016"/>
      <c r="P1969" s="1290"/>
      <c r="Q1969" s="1290"/>
      <c r="R1969" s="1290"/>
      <c r="S1969" s="1290"/>
      <c r="T1969" s="1290"/>
      <c r="U1969" s="1290"/>
      <c r="V1969" s="1290"/>
      <c r="W1969" s="1290"/>
      <c r="X1969" s="1290"/>
      <c r="Y1969" s="1290"/>
    </row>
    <row r="1970" spans="1:25" ht="15.75" customHeight="1">
      <c r="A1970" s="1544" t="s">
        <v>3809</v>
      </c>
      <c r="B1970" s="1340"/>
      <c r="C1970" s="1340"/>
      <c r="D1970" s="1544"/>
      <c r="E1970" s="1544"/>
      <c r="F1970" s="1544"/>
      <c r="G1970" s="1544"/>
      <c r="H1970" s="1544"/>
      <c r="I1970" s="1973"/>
      <c r="J1970" s="1290"/>
      <c r="K1970" s="1290"/>
      <c r="L1970" s="1290"/>
      <c r="M1970" s="1290"/>
      <c r="N1970" s="1290"/>
      <c r="O1970" s="1290"/>
      <c r="P1970" s="1290"/>
      <c r="Q1970" s="1290"/>
      <c r="R1970" s="1290"/>
      <c r="S1970" s="1290"/>
      <c r="T1970" s="1290"/>
      <c r="U1970" s="1290"/>
      <c r="V1970" s="1290"/>
      <c r="W1970" s="1290"/>
      <c r="X1970" s="1290"/>
      <c r="Y1970" s="1290"/>
    </row>
    <row r="1971" spans="1:25" ht="15.75" customHeight="1">
      <c r="A1971" s="1544"/>
      <c r="B1971" s="1340"/>
      <c r="C1971" s="1340"/>
      <c r="D1971" s="1544"/>
      <c r="E1971" s="1544"/>
      <c r="F1971" s="1544"/>
      <c r="G1971" s="1544"/>
      <c r="H1971" s="1544"/>
      <c r="I1971" s="1973"/>
      <c r="J1971" s="1290"/>
      <c r="K1971" s="1290"/>
      <c r="L1971" s="1290"/>
      <c r="M1971" s="1290"/>
      <c r="N1971" s="1290"/>
      <c r="O1971" s="1290"/>
      <c r="P1971" s="1290"/>
      <c r="Q1971" s="1290"/>
      <c r="R1971" s="1290"/>
      <c r="S1971" s="1290"/>
      <c r="T1971" s="1290"/>
      <c r="U1971" s="1290"/>
      <c r="V1971" s="1290"/>
      <c r="W1971" s="1290"/>
      <c r="X1971" s="1290"/>
      <c r="Y1971" s="1290"/>
    </row>
    <row r="1972" spans="1:25" ht="15.75" hidden="1" customHeight="1" outlineLevel="1">
      <c r="A1972" s="1996" t="s">
        <v>3810</v>
      </c>
      <c r="B1972" s="1997"/>
      <c r="C1972" s="1997"/>
      <c r="D1972" s="1998"/>
      <c r="E1972" s="1998"/>
      <c r="F1972" s="1998"/>
      <c r="G1972" s="1998"/>
      <c r="H1972" s="1998"/>
      <c r="I1972" s="1999"/>
      <c r="J1972" s="1998"/>
      <c r="K1972" s="1998"/>
      <c r="L1972" s="1998"/>
      <c r="M1972" s="1998"/>
      <c r="N1972" s="1998"/>
      <c r="O1972" s="2000"/>
      <c r="P1972" s="1290"/>
      <c r="Q1972" s="1290"/>
      <c r="R1972" s="1290"/>
      <c r="S1972" s="1290"/>
      <c r="T1972" s="1290"/>
      <c r="U1972" s="1290"/>
      <c r="V1972" s="1290"/>
      <c r="W1972" s="1290"/>
      <c r="X1972" s="1290"/>
      <c r="Y1972" s="1290"/>
    </row>
    <row r="1973" spans="1:25" ht="15.75" hidden="1" customHeight="1" outlineLevel="1">
      <c r="A1973" s="1821" t="s">
        <v>1806</v>
      </c>
      <c r="B1973" s="1822"/>
      <c r="C1973" s="1822"/>
      <c r="D1973" s="1823"/>
      <c r="E1973" s="1823"/>
      <c r="F1973" s="1824"/>
      <c r="G1973" s="1872">
        <f>G1750</f>
        <v>1.1000000000000001</v>
      </c>
      <c r="H1973" s="1873"/>
      <c r="I1973" s="1809">
        <f>I1750</f>
        <v>1</v>
      </c>
      <c r="J1973" s="1808"/>
      <c r="K1973" s="1808"/>
      <c r="L1973" s="1808"/>
      <c r="M1973" s="1808"/>
      <c r="N1973" s="1808"/>
      <c r="O1973" s="1808"/>
      <c r="P1973" s="1290"/>
      <c r="Q1973" s="1290"/>
      <c r="R1973" s="1290"/>
      <c r="S1973" s="1290"/>
      <c r="T1973" s="1290"/>
      <c r="U1973" s="1290"/>
      <c r="V1973" s="1290"/>
      <c r="W1973" s="1290"/>
      <c r="X1973" s="1290"/>
      <c r="Y1973" s="1290"/>
    </row>
    <row r="1974" spans="1:25" ht="15.75" hidden="1" customHeight="1" outlineLevel="1">
      <c r="A1974" s="2002"/>
      <c r="B1974" s="2003"/>
      <c r="C1974" s="2004">
        <f>C1918</f>
        <v>110.40000000000003</v>
      </c>
      <c r="D1974" s="1290"/>
      <c r="E1974" s="1290"/>
      <c r="F1974" s="1290"/>
      <c r="I1974" s="1973"/>
      <c r="J1974" s="1290"/>
      <c r="K1974" s="1290"/>
      <c r="L1974" s="1290"/>
      <c r="M1974" s="1290"/>
      <c r="N1974" s="1290"/>
      <c r="O1974" s="1290"/>
      <c r="P1974" s="1290"/>
      <c r="Q1974" s="1290"/>
      <c r="R1974" s="1290"/>
      <c r="S1974" s="1290"/>
      <c r="T1974" s="1290"/>
      <c r="U1974" s="1290"/>
      <c r="V1974" s="1290"/>
      <c r="W1974" s="1290"/>
      <c r="X1974" s="1290"/>
      <c r="Y1974" s="1290"/>
    </row>
    <row r="1975" spans="1:25" ht="15.75" hidden="1" customHeight="1" outlineLevel="1">
      <c r="A1975" s="1839" t="s">
        <v>3678</v>
      </c>
      <c r="B1975" s="1600" t="s">
        <v>133</v>
      </c>
      <c r="C1975" s="1773"/>
      <c r="D1975" s="1290"/>
      <c r="E1975" s="1290">
        <f>VLOOKUP(A1986,'Прайс лист'!B441:G528,3,0)</f>
        <v>0.26</v>
      </c>
      <c r="F1975" s="1197">
        <f>1/(E1975-'Ввод данных'!C918)</f>
        <v>4.3478260869565215</v>
      </c>
      <c r="G1975" s="1197">
        <f>3.14*E1975*F1975*(связи1!C160+C1974)</f>
        <v>391.87200000000013</v>
      </c>
      <c r="I1975" s="1973"/>
      <c r="J1975" s="1290"/>
      <c r="K1975" s="1290"/>
      <c r="L1975" s="1290"/>
      <c r="M1975" s="1290"/>
      <c r="N1975" s="1290"/>
      <c r="O1975" s="1290"/>
      <c r="P1975" s="1290"/>
      <c r="Q1975" s="1290"/>
      <c r="R1975" s="1290"/>
      <c r="S1975" s="1290"/>
      <c r="T1975" s="1290"/>
      <c r="U1975" s="1290"/>
      <c r="V1975" s="1290"/>
      <c r="W1975" s="1290"/>
      <c r="X1975" s="1290"/>
      <c r="Y1975" s="1290"/>
    </row>
    <row r="1976" spans="1:25" ht="15.75" hidden="1" customHeight="1" outlineLevel="1">
      <c r="A1976" s="1839" t="s">
        <v>3679</v>
      </c>
      <c r="B1976" s="1600" t="s">
        <v>133</v>
      </c>
      <c r="C1976" s="1773">
        <f>C1868</f>
        <v>100</v>
      </c>
      <c r="D1976" s="1290"/>
      <c r="E1976" s="1360">
        <f>3.14*E1975/2*E1975/2*F1975</f>
        <v>0.23072173913043478</v>
      </c>
      <c r="F1976" s="1290"/>
      <c r="I1976" s="1973"/>
      <c r="J1976" s="1290"/>
      <c r="K1976" s="1290"/>
      <c r="L1976" s="1290"/>
      <c r="M1976" s="1290"/>
      <c r="N1976" s="1290"/>
      <c r="O1976" s="1290"/>
      <c r="P1976" s="1290"/>
      <c r="Q1976" s="1290"/>
      <c r="R1976" s="1290"/>
      <c r="S1976" s="1290"/>
      <c r="T1976" s="1290"/>
      <c r="U1976" s="1290"/>
      <c r="V1976" s="1290"/>
      <c r="W1976" s="1290"/>
      <c r="X1976" s="1290"/>
      <c r="Y1976" s="1290"/>
    </row>
    <row r="1977" spans="1:25" ht="15.75" hidden="1" customHeight="1" outlineLevel="1">
      <c r="A1977" s="1839" t="s">
        <v>3633</v>
      </c>
      <c r="B1977" s="1600" t="s">
        <v>133</v>
      </c>
      <c r="C1977" s="1841">
        <f>(связи1!C160+C1974)*E1976</f>
        <v>25.471680000000006</v>
      </c>
      <c r="D1977" s="1290"/>
      <c r="E1977" s="1290">
        <f>VLOOKUP(A1987,'Прайс лист'!B441:G528,3,0)</f>
        <v>0.2</v>
      </c>
      <c r="F1977" s="1197">
        <f>1/(E1977-'Ввод данных'!C918)</f>
        <v>5.8823529411764701</v>
      </c>
      <c r="G1977" s="1197">
        <f>3.14*E1977*F1977*(связи1!D160)</f>
        <v>0</v>
      </c>
      <c r="I1977" s="1973"/>
      <c r="J1977" s="1290">
        <f>C1977/E1976</f>
        <v>110.40000000000003</v>
      </c>
      <c r="K1977" s="1290"/>
      <c r="L1977" s="1290"/>
      <c r="M1977" s="1290"/>
      <c r="N1977" s="1290"/>
      <c r="O1977" s="1290"/>
      <c r="P1977" s="1290"/>
      <c r="Q1977" s="1290"/>
      <c r="R1977" s="1290"/>
      <c r="S1977" s="1290"/>
      <c r="T1977" s="1290"/>
      <c r="U1977" s="1290"/>
      <c r="V1977" s="1290"/>
      <c r="W1977" s="1290"/>
      <c r="X1977" s="1290"/>
      <c r="Y1977" s="1290"/>
    </row>
    <row r="1978" spans="1:25" ht="15.75" hidden="1" customHeight="1" outlineLevel="1">
      <c r="A1978" s="1839" t="s">
        <v>3687</v>
      </c>
      <c r="B1978" s="1600" t="s">
        <v>133</v>
      </c>
      <c r="C1978" s="1841">
        <f>C1977</f>
        <v>25.471680000000006</v>
      </c>
      <c r="D1978" s="1290"/>
      <c r="E1978" s="1360">
        <f>3.14*E1977/2*E1977/2*F1977</f>
        <v>0.18470588235294119</v>
      </c>
      <c r="F1978" s="1290"/>
      <c r="I1978" s="1973"/>
      <c r="J1978" s="1290"/>
      <c r="K1978" s="1290"/>
      <c r="L1978" s="1290"/>
      <c r="M1978" s="1290"/>
      <c r="N1978" s="1290"/>
      <c r="O1978" s="1290"/>
      <c r="P1978" s="1290"/>
      <c r="Q1978" s="1290"/>
      <c r="R1978" s="1290"/>
      <c r="S1978" s="1290"/>
      <c r="T1978" s="1290"/>
      <c r="U1978" s="1290"/>
      <c r="V1978" s="1290"/>
      <c r="W1978" s="1290"/>
      <c r="X1978" s="1290"/>
      <c r="Y1978" s="1290"/>
    </row>
    <row r="1979" spans="1:25" ht="15.75" hidden="1" customHeight="1" outlineLevel="1">
      <c r="A1979" s="1839" t="s">
        <v>3802</v>
      </c>
      <c r="B1979" s="1600" t="s">
        <v>133</v>
      </c>
      <c r="C1979" s="1841">
        <f>связи1!D160+связи1!E160</f>
        <v>0</v>
      </c>
      <c r="D1979" s="1392"/>
      <c r="E1979" s="1290">
        <f>VLOOKUP(A1988,'Прайс лист'!B441:G528,3,0)</f>
        <v>0.2</v>
      </c>
      <c r="F1979" s="1197">
        <f>1/(E1979-'Ввод данных'!C918)</f>
        <v>5.8823529411764701</v>
      </c>
      <c r="G1979" s="1197">
        <f>3.14*E1979*F1979*связи1!E160</f>
        <v>0</v>
      </c>
      <c r="I1979" s="1973"/>
      <c r="J1979" s="1290">
        <f>J1980+J1981</f>
        <v>0</v>
      </c>
      <c r="K1979" s="1290"/>
      <c r="L1979" s="1290"/>
      <c r="M1979" s="1290"/>
      <c r="N1979" s="1290"/>
      <c r="O1979" s="1290"/>
      <c r="P1979" s="1290"/>
      <c r="Q1979" s="1290"/>
      <c r="R1979" s="1290"/>
      <c r="S1979" s="1290"/>
      <c r="T1979" s="1290"/>
      <c r="U1979" s="1290"/>
      <c r="V1979" s="1290"/>
      <c r="W1979" s="1290"/>
      <c r="X1979" s="1290"/>
      <c r="Y1979" s="1290"/>
    </row>
    <row r="1980" spans="1:25" ht="15.75" hidden="1" customHeight="1" outlineLevel="1">
      <c r="A1980" s="1839" t="s">
        <v>3803</v>
      </c>
      <c r="B1980" s="1600" t="s">
        <v>133</v>
      </c>
      <c r="C1980" s="1841">
        <f>связи1!D160*E1978</f>
        <v>0</v>
      </c>
      <c r="D1980" s="1392"/>
      <c r="E1980" s="1360">
        <f>3.14*E1979/2*E1979/2*F1979</f>
        <v>0.18470588235294119</v>
      </c>
      <c r="F1980" s="1290"/>
      <c r="I1980" s="1973"/>
      <c r="J1980" s="1290">
        <f>C1980/E1978</f>
        <v>0</v>
      </c>
      <c r="K1980" s="1290"/>
      <c r="L1980" s="1290"/>
      <c r="M1980" s="1290"/>
      <c r="N1980" s="1290"/>
      <c r="O1980" s="1290"/>
      <c r="P1980" s="1290"/>
      <c r="Q1980" s="1290"/>
      <c r="R1980" s="1290"/>
      <c r="S1980" s="1290"/>
      <c r="T1980" s="1290"/>
      <c r="U1980" s="1290"/>
      <c r="V1980" s="1290"/>
      <c r="W1980" s="1290"/>
      <c r="X1980" s="1290"/>
      <c r="Y1980" s="1290"/>
    </row>
    <row r="1981" spans="1:25" ht="15.75" hidden="1" customHeight="1" outlineLevel="1">
      <c r="A1981" s="1839" t="s">
        <v>2860</v>
      </c>
      <c r="B1981" s="1600" t="s">
        <v>133</v>
      </c>
      <c r="C1981" s="1841">
        <f>связи1!E160*E1980</f>
        <v>0</v>
      </c>
      <c r="D1981" s="1392"/>
      <c r="E1981" s="1290"/>
      <c r="G1981" s="1290"/>
      <c r="H1981" s="1290"/>
      <c r="I1981" s="1973"/>
      <c r="J1981" s="1290">
        <f>C1981/E1980</f>
        <v>0</v>
      </c>
      <c r="K1981" s="1290"/>
      <c r="L1981" s="1290"/>
      <c r="M1981" s="1290"/>
      <c r="N1981" s="1290"/>
      <c r="O1981" s="1290"/>
      <c r="P1981" s="1290"/>
      <c r="Q1981" s="1290"/>
      <c r="R1981" s="1290"/>
      <c r="S1981" s="1290"/>
      <c r="T1981" s="1290"/>
      <c r="U1981" s="1290"/>
      <c r="V1981" s="1290"/>
      <c r="W1981" s="1290"/>
      <c r="X1981" s="1290"/>
      <c r="Y1981" s="1290"/>
    </row>
    <row r="1982" spans="1:25" ht="15.75" hidden="1" customHeight="1" outlineLevel="1">
      <c r="A1982" s="1839" t="s">
        <v>3638</v>
      </c>
      <c r="B1982" s="1600" t="s">
        <v>133</v>
      </c>
      <c r="C1982" s="1773">
        <f>C1980+C1981</f>
        <v>0</v>
      </c>
      <c r="D1982" s="1392"/>
      <c r="E1982" s="1290"/>
      <c r="G1982" s="1290">
        <f>SUM(G1975:G1981)</f>
        <v>391.87200000000013</v>
      </c>
      <c r="H1982" s="1290"/>
      <c r="I1982" s="1973"/>
      <c r="J1982" s="1290"/>
      <c r="K1982" s="1290"/>
      <c r="L1982" s="1290"/>
      <c r="M1982" s="1290"/>
      <c r="N1982" s="1290"/>
      <c r="O1982" s="1290"/>
      <c r="P1982" s="1290"/>
      <c r="Q1982" s="1290"/>
      <c r="R1982" s="1290"/>
      <c r="S1982" s="1290"/>
      <c r="T1982" s="1290"/>
      <c r="U1982" s="1290"/>
      <c r="V1982" s="1290"/>
      <c r="W1982" s="1290"/>
      <c r="X1982" s="1290"/>
      <c r="Y1982" s="1290"/>
    </row>
    <row r="1983" spans="1:25" ht="15.75" hidden="1" customHeight="1" outlineLevel="1">
      <c r="A1983" s="1839" t="s">
        <v>3804</v>
      </c>
      <c r="B1983" s="1600" t="s">
        <v>133</v>
      </c>
      <c r="C1983" s="1773">
        <f>C1875</f>
        <v>0</v>
      </c>
      <c r="D1983" s="1392"/>
      <c r="E1983" s="1290"/>
      <c r="G1983" s="1290"/>
      <c r="H1983" s="1290"/>
      <c r="I1983" s="1973"/>
      <c r="J1983" s="1290"/>
      <c r="K1983" s="1290"/>
      <c r="L1983" s="1290"/>
      <c r="M1983" s="1290"/>
      <c r="N1983" s="1290"/>
      <c r="O1983" s="1290"/>
      <c r="P1983" s="1290"/>
      <c r="Q1983" s="1290"/>
      <c r="R1983" s="1290"/>
      <c r="S1983" s="1290"/>
      <c r="T1983" s="1290"/>
      <c r="U1983" s="1290"/>
      <c r="V1983" s="1290"/>
      <c r="W1983" s="1290"/>
      <c r="X1983" s="1290"/>
      <c r="Y1983" s="1290"/>
    </row>
    <row r="1984" spans="1:25" ht="15.75" hidden="1" customHeight="1" outlineLevel="1">
      <c r="A1984" s="2007" t="s">
        <v>2720</v>
      </c>
      <c r="B1984" s="2008" t="s">
        <v>1094</v>
      </c>
      <c r="C1984" s="2008" t="s">
        <v>120</v>
      </c>
      <c r="D1984" s="2008" t="s">
        <v>3764</v>
      </c>
      <c r="E1984" s="2009" t="s">
        <v>2722</v>
      </c>
      <c r="F1984" s="1290"/>
      <c r="G1984" s="2002" t="s">
        <v>1409</v>
      </c>
      <c r="H1984" s="2010"/>
      <c r="I1984" s="2011"/>
      <c r="J1984" s="2009" t="s">
        <v>1802</v>
      </c>
      <c r="K1984" s="2009" t="s">
        <v>2721</v>
      </c>
      <c r="L1984" s="2009"/>
      <c r="M1984" s="2009"/>
      <c r="N1984" s="2009"/>
      <c r="O1984" s="2009" t="s">
        <v>2722</v>
      </c>
      <c r="P1984" s="1290"/>
      <c r="Q1984" s="1290"/>
      <c r="R1984" s="1290"/>
      <c r="S1984" s="1290"/>
      <c r="T1984" s="1290"/>
      <c r="U1984" s="1290"/>
      <c r="V1984" s="1290"/>
      <c r="W1984" s="1290"/>
      <c r="X1984" s="1290"/>
      <c r="Y1984" s="1290"/>
    </row>
    <row r="1985" spans="1:25" ht="15.75" hidden="1" customHeight="1" outlineLevel="1">
      <c r="A1985" s="1839" t="str">
        <f t="shared" ref="A1985:B1988" si="231">A1939</f>
        <v>Оцилиндрованное бревно сосна 260мм</v>
      </c>
      <c r="B1985" s="1696" t="str">
        <f t="shared" si="231"/>
        <v>м3</v>
      </c>
      <c r="C1985" s="1694">
        <f>C1913*3.14*E1975/2*E1975/2*G1912</f>
        <v>3.7241718800000005</v>
      </c>
      <c r="D1985" s="1694">
        <f>D1939</f>
        <v>10000</v>
      </c>
      <c r="E1985" s="1694">
        <f t="shared" ref="E1985:E2007" si="232">C1985*D1985</f>
        <v>37241.718800000002</v>
      </c>
      <c r="F1985" s="1290"/>
      <c r="G1985" s="1632" t="str">
        <f>'Прайс лист'!B1696</f>
        <v>кладка Дикого леса</v>
      </c>
      <c r="H1985" s="1778"/>
      <c r="I1985" s="1853"/>
      <c r="J1985" s="1353">
        <f>(C1985+C1986+C1987)*I1973</f>
        <v>28.018848000000009</v>
      </c>
      <c r="K1985" s="1353">
        <f>'Прайс лист'!G1696</f>
        <v>6000</v>
      </c>
      <c r="L1985" s="1353"/>
      <c r="M1985" s="1353"/>
      <c r="N1985" s="1353"/>
      <c r="O1985" s="1353">
        <f>J1985*K1985</f>
        <v>168113.08800000005</v>
      </c>
      <c r="P1985" s="1290"/>
      <c r="Q1985" s="1290"/>
      <c r="R1985" s="1290"/>
      <c r="S1985" s="1290"/>
      <c r="T1985" s="1290"/>
      <c r="U1985" s="1290"/>
      <c r="V1985" s="1290"/>
      <c r="W1985" s="1290"/>
      <c r="X1985" s="1290"/>
      <c r="Y1985" s="1290"/>
    </row>
    <row r="1986" spans="1:25" ht="15.75" hidden="1" customHeight="1" outlineLevel="1">
      <c r="A1986" s="1839" t="str">
        <f t="shared" si="231"/>
        <v>Оцилиндрованное бревно сосна 260мм</v>
      </c>
      <c r="B1986" s="1696" t="str">
        <f t="shared" si="231"/>
        <v>м3</v>
      </c>
      <c r="C1986" s="1694">
        <f>C1977*G1973-C1985</f>
        <v>24.294676120000009</v>
      </c>
      <c r="D1986" s="1694">
        <f>D1940</f>
        <v>8500</v>
      </c>
      <c r="E1986" s="1694">
        <f t="shared" si="232"/>
        <v>206504.74702000007</v>
      </c>
      <c r="F1986" s="1290"/>
      <c r="G1986" s="1632" t="s">
        <v>1504</v>
      </c>
      <c r="H1986" s="1778"/>
      <c r="I1986" s="1853"/>
      <c r="J1986" s="1353">
        <f>C1758*H1758+C1759*H1759+C1760*H1760+C1761*H1761+C1762*H1762+C1763*H1763</f>
        <v>0</v>
      </c>
      <c r="K1986" s="1353">
        <f>'Прайс лист'!G1695</f>
        <v>150</v>
      </c>
      <c r="L1986" s="1353"/>
      <c r="M1986" s="1353"/>
      <c r="N1986" s="1353"/>
      <c r="O1986" s="1353">
        <f>J1986*K1986</f>
        <v>0</v>
      </c>
      <c r="P1986" s="1290"/>
      <c r="Q1986" s="1290"/>
      <c r="R1986" s="1290"/>
      <c r="S1986" s="1290"/>
      <c r="T1986" s="1290"/>
      <c r="U1986" s="1290"/>
      <c r="V1986" s="1290"/>
      <c r="W1986" s="1290"/>
      <c r="X1986" s="1290"/>
      <c r="Y1986" s="1290"/>
    </row>
    <row r="1987" spans="1:25" ht="15.75" hidden="1" customHeight="1" outlineLevel="1">
      <c r="A1987" s="1839" t="str">
        <f t="shared" si="231"/>
        <v>Оцилиндрованное бревно сосна 200мм</v>
      </c>
      <c r="B1987" s="1696" t="str">
        <f t="shared" si="231"/>
        <v>м3</v>
      </c>
      <c r="C1987" s="1694">
        <f>C1980</f>
        <v>0</v>
      </c>
      <c r="D1987" s="1694">
        <f>D1941</f>
        <v>8000</v>
      </c>
      <c r="E1987" s="1694">
        <f t="shared" si="232"/>
        <v>0</v>
      </c>
      <c r="F1987" s="1290"/>
      <c r="G1987" s="1055" t="str">
        <f>G1788</f>
        <v>обработка торцов на брусе</v>
      </c>
      <c r="H1987" s="1055"/>
      <c r="I1987" s="1055">
        <f>I1788</f>
        <v>0</v>
      </c>
      <c r="J1987" s="1055">
        <f>J1788</f>
        <v>14.400000000000002</v>
      </c>
      <c r="K1987" s="1055">
        <f>K1788</f>
        <v>250</v>
      </c>
      <c r="L1987" s="1055">
        <f>L1788</f>
        <v>0</v>
      </c>
      <c r="M1987" s="1055"/>
      <c r="N1987" s="1055"/>
      <c r="O1987" s="1055">
        <f>O1788</f>
        <v>3600.0000000000005</v>
      </c>
      <c r="P1987" s="1290"/>
      <c r="Q1987" s="1290"/>
      <c r="R1987" s="1290"/>
      <c r="S1987" s="1290"/>
      <c r="T1987" s="1290"/>
      <c r="U1987" s="1290"/>
      <c r="V1987" s="1290"/>
      <c r="W1987" s="1290"/>
      <c r="X1987" s="1290"/>
      <c r="Y1987" s="1290"/>
    </row>
    <row r="1988" spans="1:25" ht="15.75" hidden="1" customHeight="1" outlineLevel="1">
      <c r="A1988" s="1839" t="str">
        <f t="shared" si="231"/>
        <v>Оцилиндрованное бревно сосна 200мм</v>
      </c>
      <c r="B1988" s="1696" t="str">
        <f t="shared" si="231"/>
        <v>м2</v>
      </c>
      <c r="C1988" s="1694">
        <f>C1981</f>
        <v>0</v>
      </c>
      <c r="D1988" s="1694">
        <f>D1942</f>
        <v>8000</v>
      </c>
      <c r="E1988" s="1694">
        <f t="shared" si="232"/>
        <v>0</v>
      </c>
      <c r="F1988" s="1290"/>
      <c r="G1988" s="1353" t="str">
        <f>G1942</f>
        <v>Обаботка огнебиозащитой</v>
      </c>
      <c r="H1988" s="1353"/>
      <c r="I1988" s="1694"/>
      <c r="J1988" s="1353">
        <f>IF('Ввод данных'!A950='Прайс лист'!B728,0,1)*SUM(C1985:C1988)</f>
        <v>28.018848000000009</v>
      </c>
      <c r="K1988" s="1353">
        <f>K1942</f>
        <v>300</v>
      </c>
      <c r="L1988" s="1353"/>
      <c r="M1988" s="1353"/>
      <c r="N1988" s="1353"/>
      <c r="O1988" s="1353"/>
      <c r="P1988" s="1290"/>
      <c r="Q1988" s="1290"/>
      <c r="R1988" s="1290"/>
      <c r="S1988" s="1290"/>
      <c r="T1988" s="1290"/>
      <c r="U1988" s="1290"/>
      <c r="V1988" s="1290"/>
      <c r="W1988" s="1290"/>
      <c r="X1988" s="1290"/>
      <c r="Y1988" s="1290"/>
    </row>
    <row r="1989" spans="1:25" ht="15.75" hidden="1" customHeight="1" outlineLevel="1">
      <c r="A1989" s="1839" t="str">
        <f>'Ввод данных'!A943</f>
        <v>Шкант</v>
      </c>
      <c r="B1989" s="1696" t="str">
        <f t="shared" ref="B1989:B2007" si="233">B1943</f>
        <v>шт</v>
      </c>
      <c r="C1989" s="1694">
        <f>(C1977+C1979+C1980)/VLOOKUP(A1986,'Прайс лист'!B441:G528,3,0)/20*G1973*1.4</f>
        <v>7.5435360000000005</v>
      </c>
      <c r="D1989" s="1694">
        <f>VLOOKUP('Ввод данных'!A943,связи1!A459:B461,2,0)</f>
        <v>6</v>
      </c>
      <c r="E1989" s="1694">
        <f t="shared" si="232"/>
        <v>45.261216000000005</v>
      </c>
      <c r="F1989" s="1290"/>
      <c r="G1989" s="1353" t="str">
        <f>G1943</f>
        <v>Пропитка стен внешних</v>
      </c>
      <c r="H1989" s="1353"/>
      <c r="I1989" s="1694"/>
      <c r="J1989" s="1353">
        <f>IF('Ввод данных'!A955='Прайс лист'!B1534,0,1)*G1975*0.3</f>
        <v>117.56160000000003</v>
      </c>
      <c r="K1989" s="1353">
        <f>K1943</f>
        <v>100</v>
      </c>
      <c r="L1989" s="1353"/>
      <c r="M1989" s="1353"/>
      <c r="N1989" s="1353"/>
      <c r="O1989" s="1353"/>
      <c r="P1989" s="1290"/>
      <c r="Q1989" s="1290"/>
      <c r="R1989" s="1290"/>
      <c r="S1989" s="1290"/>
      <c r="T1989" s="1290"/>
      <c r="U1989" s="1290"/>
      <c r="V1989" s="1290"/>
      <c r="W1989" s="1290"/>
      <c r="X1989" s="1290"/>
      <c r="Y1989" s="1290"/>
    </row>
    <row r="1990" spans="1:25" ht="15.75" hidden="1" customHeight="1" outlineLevel="1">
      <c r="A1990" s="1839" t="str">
        <f t="shared" ref="A1990:A2007" si="234">A1944</f>
        <v>Лен-джут 200х5х20000 мм</v>
      </c>
      <c r="B1990" s="1696" t="str">
        <f t="shared" si="233"/>
        <v>шт</v>
      </c>
      <c r="C1990" s="1694">
        <f>CEILING(((C1977/E1976+C1980/E1978+C1981/E1980)/VLOOKUP(A1986,'Прайс лист'!B441:G528,3,0)/20*G1973)*1.4,1)</f>
        <v>33</v>
      </c>
      <c r="D1990" s="1694">
        <f t="shared" ref="D1990:D2007" si="235">D1944</f>
        <v>175</v>
      </c>
      <c r="E1990" s="1694">
        <f t="shared" si="232"/>
        <v>5775</v>
      </c>
      <c r="F1990" s="1290"/>
      <c r="G1990" s="1353" t="str">
        <f>G1944</f>
        <v>Пропитка внутенних стен</v>
      </c>
      <c r="H1990" s="1353"/>
      <c r="I1990" s="1055"/>
      <c r="J1990" s="1055">
        <f>IF('Ввод данных'!A960='Прайс лист'!B1534,0,1)*(G1982*0.3)</f>
        <v>117.56160000000003</v>
      </c>
      <c r="K1990" s="1353">
        <f>K1944</f>
        <v>100</v>
      </c>
      <c r="L1990" s="1055"/>
      <c r="M1990" s="1055"/>
      <c r="N1990" s="1055"/>
      <c r="O1990" s="1055"/>
      <c r="P1990" s="1290"/>
      <c r="Q1990" s="1290"/>
      <c r="R1990" s="1290"/>
      <c r="S1990" s="1290"/>
      <c r="T1990" s="1290"/>
      <c r="U1990" s="1290"/>
      <c r="V1990" s="1290"/>
      <c r="W1990" s="1290"/>
      <c r="X1990" s="1290"/>
      <c r="Y1990" s="1290"/>
    </row>
    <row r="1991" spans="1:25" ht="15.75" hidden="1" customHeight="1" outlineLevel="1">
      <c r="A1991" s="1839" t="str">
        <f t="shared" si="234"/>
        <v xml:space="preserve">Гвозди ершоные 2,8 х 90            </v>
      </c>
      <c r="B1991" s="1696" t="str">
        <f t="shared" si="233"/>
        <v>шт</v>
      </c>
      <c r="C1991" s="1694">
        <f>C1945</f>
        <v>4.8400000000000007</v>
      </c>
      <c r="D1991" s="1694">
        <f t="shared" si="235"/>
        <v>76.489999999999995</v>
      </c>
      <c r="E1991" s="1694">
        <f t="shared" si="232"/>
        <v>370.21160000000003</v>
      </c>
      <c r="F1991" s="1290"/>
      <c r="G1991" s="1055" t="str">
        <f>G1792</f>
        <v>Сверление стен для скрытой проводки</v>
      </c>
      <c r="H1991" s="1055"/>
      <c r="I1991" s="1055">
        <f>I1792</f>
        <v>0</v>
      </c>
      <c r="J1991" s="1055">
        <f>J1792</f>
        <v>180</v>
      </c>
      <c r="K1991" s="1055">
        <f>K1792</f>
        <v>300</v>
      </c>
      <c r="L1991" s="1055"/>
      <c r="M1991" s="1055"/>
      <c r="N1991" s="1055"/>
      <c r="O1991" s="1055"/>
      <c r="P1991" s="1290"/>
      <c r="Q1991" s="1290"/>
      <c r="R1991" s="1290"/>
      <c r="S1991" s="1290"/>
      <c r="T1991" s="1290"/>
      <c r="U1991" s="1290"/>
      <c r="V1991" s="1290"/>
      <c r="W1991" s="1290"/>
      <c r="X1991" s="1290"/>
      <c r="Y1991" s="1290"/>
    </row>
    <row r="1992" spans="1:25" ht="15.75" hidden="1" customHeight="1" outlineLevel="1">
      <c r="A1992" s="1839" t="str">
        <f t="shared" si="234"/>
        <v>нет</v>
      </c>
      <c r="B1992" s="1696" t="str">
        <f t="shared" si="233"/>
        <v>м3</v>
      </c>
      <c r="C1992" s="1694">
        <f>((C1758*H1758+C1759*H1759)*G1750*VLOOKUP(A1793,связи1!A407:E416,5,0))</f>
        <v>0</v>
      </c>
      <c r="D1992" s="1694">
        <f t="shared" si="235"/>
        <v>0</v>
      </c>
      <c r="E1992" s="1694">
        <f t="shared" si="232"/>
        <v>0</v>
      </c>
      <c r="F1992" s="1290"/>
      <c r="G1992" s="1055" t="str">
        <f>G1793</f>
        <v>Монтаж наличника</v>
      </c>
      <c r="H1992" s="1055"/>
      <c r="I1992" s="2006"/>
      <c r="J1992" s="1055">
        <f>J1793</f>
        <v>0</v>
      </c>
      <c r="K1992" s="1055">
        <f>K1793</f>
        <v>80</v>
      </c>
      <c r="L1992" s="1360"/>
      <c r="M1992" s="1360"/>
      <c r="N1992" s="1360"/>
      <c r="O1992" s="1360"/>
      <c r="P1992" s="1290"/>
      <c r="Q1992" s="1290"/>
      <c r="R1992" s="1290"/>
      <c r="S1992" s="1290"/>
      <c r="T1992" s="1290"/>
      <c r="U1992" s="1290"/>
      <c r="V1992" s="1290"/>
      <c r="W1992" s="1290"/>
      <c r="X1992" s="1290"/>
      <c r="Y1992" s="1290"/>
    </row>
    <row r="1993" spans="1:25" ht="15.75" hidden="1" customHeight="1" outlineLevel="1">
      <c r="A1993" s="1839" t="str">
        <f t="shared" si="234"/>
        <v>Доска сухая, 100*50мм</v>
      </c>
      <c r="B1993" s="1696" t="str">
        <f t="shared" si="233"/>
        <v>м3</v>
      </c>
      <c r="C1993" s="1694">
        <f>((C1760*H1760+C1762*H1762)*G1750*VLOOKUP(A1794,связи1!A407:E416,5,0))</f>
        <v>0</v>
      </c>
      <c r="D1993" s="1694">
        <f t="shared" si="235"/>
        <v>9000</v>
      </c>
      <c r="E1993" s="1694">
        <f t="shared" si="232"/>
        <v>0</v>
      </c>
      <c r="F1993" s="1290"/>
      <c r="G1993" s="1360" t="str">
        <f>G1947</f>
        <v>Шлифовка стен дома</v>
      </c>
      <c r="H1993" s="1360"/>
      <c r="I1993" s="1360">
        <f>I1947</f>
        <v>0</v>
      </c>
      <c r="J1993" s="1360">
        <f>J1977*1.1*IF('Ввод данных'!A973=связи1!A542,1,0)+(J1977+J1979*2)*1.1*IF('Ввод данных'!A976=связи1!A545,1,0)</f>
        <v>121.44000000000004</v>
      </c>
      <c r="K1993" s="1360">
        <f>K1947</f>
        <v>250</v>
      </c>
      <c r="L1993" s="1360"/>
      <c r="M1993" s="1360"/>
      <c r="N1993" s="1360"/>
      <c r="O1993" s="1360"/>
      <c r="P1993" s="1290"/>
      <c r="Q1993" s="1290"/>
      <c r="R1993" s="1290"/>
      <c r="S1993" s="1290"/>
      <c r="T1993" s="1290"/>
      <c r="U1993" s="1290"/>
      <c r="V1993" s="1290"/>
      <c r="W1993" s="1290"/>
      <c r="X1993" s="1290"/>
      <c r="Y1993" s="1290"/>
    </row>
    <row r="1994" spans="1:25" ht="15.75" hidden="1" customHeight="1" outlineLevel="1">
      <c r="A1994" s="1839" t="str">
        <f t="shared" si="234"/>
        <v>Доска сухая калиброванная, 100*45мм</v>
      </c>
      <c r="B1994" s="1696" t="str">
        <f t="shared" si="233"/>
        <v>м3</v>
      </c>
      <c r="C1994" s="1694">
        <f>VLOOKUP(A1795,связи1!A407:E416,5,0)*(C1761*H1761+C1763*H1763)*G1750</f>
        <v>0</v>
      </c>
      <c r="D1994" s="1694">
        <f t="shared" si="235"/>
        <v>12500</v>
      </c>
      <c r="E1994" s="1694">
        <f t="shared" si="232"/>
        <v>0</v>
      </c>
      <c r="F1994" s="1290"/>
      <c r="G1994" s="1360"/>
      <c r="H1994" s="1360"/>
      <c r="I1994" s="1360"/>
      <c r="J1994" s="1360"/>
      <c r="K1994" s="1360"/>
      <c r="L1994" s="1360"/>
      <c r="M1994" s="1360"/>
      <c r="N1994" s="1360"/>
      <c r="O1994" s="1360"/>
      <c r="P1994" s="1290"/>
      <c r="Q1994" s="1290"/>
      <c r="R1994" s="1290"/>
      <c r="S1994" s="1290"/>
      <c r="T1994" s="1290"/>
      <c r="U1994" s="1290"/>
      <c r="V1994" s="1290"/>
      <c r="W1994" s="1290"/>
      <c r="X1994" s="1290"/>
      <c r="Y1994" s="1290"/>
    </row>
    <row r="1995" spans="1:25" ht="15.75" hidden="1" customHeight="1" outlineLevel="1">
      <c r="A1995" s="1839" t="str">
        <f t="shared" si="234"/>
        <v>Сосна влаж, 50*50мм</v>
      </c>
      <c r="B1995" s="1696" t="str">
        <f t="shared" si="233"/>
        <v>м.п.</v>
      </c>
      <c r="C1995" s="1694">
        <f>C1949</f>
        <v>0</v>
      </c>
      <c r="D1995" s="1694">
        <f t="shared" si="235"/>
        <v>16.25</v>
      </c>
      <c r="E1995" s="1694">
        <f t="shared" si="232"/>
        <v>0</v>
      </c>
      <c r="F1995" s="1290"/>
      <c r="G1995" s="1360"/>
      <c r="H1995" s="1360"/>
      <c r="I1995" s="2006"/>
      <c r="J1995" s="1360"/>
      <c r="K1995" s="1360"/>
      <c r="L1995" s="1360"/>
      <c r="M1995" s="1360"/>
      <c r="N1995" s="1360"/>
      <c r="O1995" s="1360"/>
      <c r="P1995" s="1290"/>
      <c r="Q1995" s="1290"/>
      <c r="R1995" s="1290"/>
      <c r="S1995" s="1290"/>
      <c r="T1995" s="1290"/>
      <c r="U1995" s="1290"/>
      <c r="V1995" s="1290"/>
      <c r="W1995" s="1290"/>
      <c r="X1995" s="1290"/>
      <c r="Y1995" s="1290"/>
    </row>
    <row r="1996" spans="1:25" ht="15.75" hidden="1" customHeight="1" outlineLevel="1">
      <c r="A1996" s="1839" t="str">
        <f t="shared" si="234"/>
        <v>Бензин для пилы</v>
      </c>
      <c r="B1996" s="1696" t="str">
        <f t="shared" si="233"/>
        <v>л</v>
      </c>
      <c r="C1996" s="1694">
        <f>SUM(C1985:C1988)/5</f>
        <v>5.6037696000000015</v>
      </c>
      <c r="D1996" s="1694">
        <f t="shared" si="235"/>
        <v>40</v>
      </c>
      <c r="E1996" s="1694">
        <f t="shared" si="232"/>
        <v>224.15078400000004</v>
      </c>
      <c r="F1996" s="1290"/>
      <c r="G1996" s="1360"/>
      <c r="H1996" s="1360"/>
      <c r="I1996" s="2006"/>
      <c r="J1996" s="1360"/>
      <c r="K1996" s="1360"/>
      <c r="L1996" s="1360"/>
      <c r="M1996" s="1360"/>
      <c r="N1996" s="1360"/>
      <c r="O1996" s="1360"/>
      <c r="P1996" s="1290"/>
      <c r="Q1996" s="1290"/>
      <c r="R1996" s="1290"/>
      <c r="S1996" s="1290"/>
      <c r="T1996" s="1290"/>
      <c r="U1996" s="1290"/>
      <c r="V1996" s="1290"/>
      <c r="W1996" s="1290"/>
      <c r="X1996" s="1290"/>
      <c r="Y1996" s="1290"/>
    </row>
    <row r="1997" spans="1:25" ht="15.75" hidden="1" customHeight="1" outlineLevel="1">
      <c r="A1997" s="1839" t="str">
        <f t="shared" si="234"/>
        <v>Масло для пилы</v>
      </c>
      <c r="B1997" s="1696" t="str">
        <f t="shared" si="233"/>
        <v>л</v>
      </c>
      <c r="C1997" s="1694">
        <f>C1996/20</f>
        <v>0.28018848000000007</v>
      </c>
      <c r="D1997" s="1694">
        <f t="shared" si="235"/>
        <v>250</v>
      </c>
      <c r="E1997" s="1694">
        <f t="shared" si="232"/>
        <v>70.047120000000021</v>
      </c>
      <c r="F1997" s="1290"/>
      <c r="G1997" s="1360"/>
      <c r="H1997" s="1360"/>
      <c r="I1997" s="2006"/>
      <c r="J1997" s="1360"/>
      <c r="K1997" s="1360"/>
      <c r="L1997" s="1360"/>
      <c r="M1997" s="1360"/>
      <c r="N1997" s="1360"/>
      <c r="O1997" s="1360"/>
      <c r="P1997" s="1290"/>
      <c r="Q1997" s="1290"/>
      <c r="R1997" s="1290"/>
      <c r="S1997" s="1290"/>
      <c r="T1997" s="1290"/>
      <c r="U1997" s="1290"/>
      <c r="V1997" s="1290"/>
      <c r="W1997" s="1290"/>
      <c r="X1997" s="1290"/>
      <c r="Y1997" s="1290"/>
    </row>
    <row r="1998" spans="1:25" ht="15.75" hidden="1" customHeight="1" outlineLevel="1">
      <c r="A1998" s="1839" t="str">
        <f t="shared" si="234"/>
        <v>Цепь для пилы</v>
      </c>
      <c r="B1998" s="1696" t="str">
        <f t="shared" si="233"/>
        <v>л</v>
      </c>
      <c r="C1998" s="1694">
        <f>CEILING((SUM(C1985:C1988)/10),1)</f>
        <v>3</v>
      </c>
      <c r="D1998" s="1694">
        <f t="shared" si="235"/>
        <v>800</v>
      </c>
      <c r="E1998" s="1694">
        <f t="shared" si="232"/>
        <v>2400</v>
      </c>
      <c r="F1998" s="1290"/>
      <c r="G1998" s="1360"/>
      <c r="H1998" s="1360"/>
      <c r="I1998" s="2006"/>
      <c r="J1998" s="1360"/>
      <c r="K1998" s="1360"/>
      <c r="L1998" s="1360"/>
      <c r="M1998" s="1360"/>
      <c r="N1998" s="1360"/>
      <c r="O1998" s="1360"/>
      <c r="P1998" s="1290"/>
      <c r="Q1998" s="1290"/>
      <c r="R1998" s="1290"/>
      <c r="S1998" s="1290"/>
      <c r="T1998" s="1290"/>
      <c r="U1998" s="1290"/>
      <c r="V1998" s="1290"/>
      <c r="W1998" s="1290"/>
      <c r="X1998" s="1290"/>
      <c r="Y1998" s="1290"/>
    </row>
    <row r="1999" spans="1:25" ht="15.75" hidden="1" customHeight="1" outlineLevel="1">
      <c r="A1999" s="1839" t="str">
        <f t="shared" si="234"/>
        <v>"Профилюкс" Антисептик АНТИПЛЕСЕНЬ</v>
      </c>
      <c r="B1999" s="1696" t="str">
        <f t="shared" si="233"/>
        <v>л</v>
      </c>
      <c r="C1999" s="1694">
        <f>G1982*'Ввод данных'!C951*'Ввод данных'!C952</f>
        <v>39.187200000000018</v>
      </c>
      <c r="D1999" s="1694">
        <f t="shared" si="235"/>
        <v>108</v>
      </c>
      <c r="E1999" s="1694">
        <f t="shared" si="232"/>
        <v>4232.2176000000018</v>
      </c>
      <c r="F1999" s="1290"/>
      <c r="G1999" s="1360"/>
      <c r="H1999" s="1360"/>
      <c r="I1999" s="2006"/>
      <c r="J1999" s="1360"/>
      <c r="K1999" s="1360"/>
      <c r="L1999" s="1360"/>
      <c r="M1999" s="1360"/>
      <c r="N1999" s="1360"/>
      <c r="O1999" s="1360"/>
      <c r="P1999" s="1290"/>
      <c r="Q1999" s="1290"/>
      <c r="R1999" s="1290"/>
      <c r="S1999" s="1290"/>
      <c r="T1999" s="1290"/>
      <c r="U1999" s="1290"/>
      <c r="V1999" s="1290"/>
      <c r="W1999" s="1290"/>
      <c r="X1999" s="1290"/>
      <c r="Y1999" s="1290"/>
    </row>
    <row r="2000" spans="1:25" ht="15.75" hidden="1" customHeight="1" outlineLevel="1">
      <c r="A2000" s="1839" t="str">
        <f t="shared" si="234"/>
        <v>"Тонерол" Антисептик  бесцветный  1л</v>
      </c>
      <c r="B2000" s="1696" t="str">
        <f t="shared" si="233"/>
        <v>л</v>
      </c>
      <c r="C2000" s="1694">
        <f>G1975*0.3*'Ввод данных'!C956*'Ввод данных'!C957</f>
        <v>23.512320000000006</v>
      </c>
      <c r="D2000" s="1694">
        <f t="shared" si="235"/>
        <v>305</v>
      </c>
      <c r="E2000" s="1694">
        <f t="shared" si="232"/>
        <v>7171.2576000000017</v>
      </c>
      <c r="F2000" s="1290"/>
      <c r="G2000" s="1360"/>
      <c r="H2000" s="1360"/>
      <c r="I2000" s="2006"/>
      <c r="J2000" s="1360"/>
      <c r="K2000" s="1360"/>
      <c r="L2000" s="1360"/>
      <c r="M2000" s="1360"/>
      <c r="N2000" s="1360"/>
      <c r="O2000" s="1360"/>
      <c r="P2000" s="1290"/>
      <c r="Q2000" s="1290"/>
      <c r="R2000" s="1290"/>
      <c r="S2000" s="1290"/>
      <c r="T2000" s="1290"/>
      <c r="U2000" s="1290"/>
      <c r="V2000" s="1290"/>
      <c r="W2000" s="1290"/>
      <c r="X2000" s="1290"/>
      <c r="Y2000" s="1290"/>
    </row>
    <row r="2001" spans="1:25" ht="15.75" hidden="1" customHeight="1" outlineLevel="1">
      <c r="A2001" s="1839" t="str">
        <f t="shared" si="234"/>
        <v>"Тонерол" Антисептик  махагон  1л</v>
      </c>
      <c r="B2001" s="1696" t="str">
        <f t="shared" si="233"/>
        <v>л</v>
      </c>
      <c r="C2001" s="1694">
        <f>(G1982*0.3)*'Ввод данных'!C961*'Ввод данных'!C962</f>
        <v>23.512320000000006</v>
      </c>
      <c r="D2001" s="1694">
        <f t="shared" si="235"/>
        <v>305</v>
      </c>
      <c r="E2001" s="1694">
        <f t="shared" si="232"/>
        <v>7171.2576000000017</v>
      </c>
      <c r="F2001" s="1290"/>
      <c r="G2001" s="1360"/>
      <c r="H2001" s="1360"/>
      <c r="I2001" s="2006"/>
      <c r="J2001" s="1360"/>
      <c r="K2001" s="1360"/>
      <c r="L2001" s="1360"/>
      <c r="M2001" s="1360"/>
      <c r="N2001" s="1360"/>
      <c r="O2001" s="1360"/>
      <c r="P2001" s="1290"/>
      <c r="Q2001" s="1290"/>
      <c r="R2001" s="1290"/>
      <c r="S2001" s="1290"/>
      <c r="T2001" s="1290"/>
      <c r="U2001" s="1290"/>
      <c r="V2001" s="1290"/>
      <c r="W2001" s="1290"/>
      <c r="X2001" s="1290"/>
      <c r="Y2001" s="1290"/>
    </row>
    <row r="2002" spans="1:25" ht="15.75" hidden="1" customHeight="1" outlineLevel="1">
      <c r="A2002" s="1839" t="str">
        <f t="shared" si="234"/>
        <v>Нет наличника</v>
      </c>
      <c r="B2002" s="1696" t="str">
        <f t="shared" si="233"/>
        <v>м.п.</v>
      </c>
      <c r="C2002" s="1839">
        <f t="shared" ref="C2002:C2007" si="236">C1956</f>
        <v>3.5700000000000007</v>
      </c>
      <c r="D2002" s="1839">
        <f t="shared" si="235"/>
        <v>0</v>
      </c>
      <c r="E2002" s="1694">
        <f t="shared" si="232"/>
        <v>0</v>
      </c>
      <c r="F2002" s="1290"/>
      <c r="G2002" s="1360"/>
      <c r="H2002" s="1360"/>
      <c r="I2002" s="2006"/>
      <c r="J2002" s="1360"/>
      <c r="K2002" s="1360"/>
      <c r="L2002" s="1360"/>
      <c r="M2002" s="1360"/>
      <c r="N2002" s="1360"/>
      <c r="O2002" s="1360"/>
      <c r="P2002" s="1290"/>
      <c r="Q2002" s="1290"/>
      <c r="R2002" s="1290"/>
      <c r="S2002" s="1290"/>
      <c r="T2002" s="1290"/>
      <c r="U2002" s="1290"/>
      <c r="V2002" s="1290"/>
      <c r="W2002" s="1290"/>
      <c r="X2002" s="1290"/>
      <c r="Y2002" s="1290"/>
    </row>
    <row r="2003" spans="1:25" ht="15.75" hidden="1" customHeight="1" outlineLevel="1">
      <c r="A2003" s="1839" t="str">
        <f t="shared" si="234"/>
        <v>Нет наличника</v>
      </c>
      <c r="B2003" s="1696" t="str">
        <f t="shared" si="233"/>
        <v>м.п.</v>
      </c>
      <c r="C2003" s="1839">
        <f t="shared" si="236"/>
        <v>3.5700000000000007</v>
      </c>
      <c r="D2003" s="1839">
        <f t="shared" si="235"/>
        <v>0</v>
      </c>
      <c r="E2003" s="1694">
        <f t="shared" si="232"/>
        <v>0</v>
      </c>
      <c r="F2003" s="1290"/>
      <c r="G2003" s="1360"/>
      <c r="H2003" s="1360"/>
      <c r="I2003" s="2006"/>
      <c r="J2003" s="1360"/>
      <c r="K2003" s="1360"/>
      <c r="L2003" s="1360"/>
      <c r="M2003" s="1360"/>
      <c r="N2003" s="1360"/>
      <c r="O2003" s="1360"/>
      <c r="P2003" s="1290"/>
      <c r="Q2003" s="1290"/>
      <c r="R2003" s="1290"/>
      <c r="S2003" s="1290"/>
      <c r="T2003" s="1290"/>
      <c r="U2003" s="1290"/>
      <c r="V2003" s="1290"/>
      <c r="W2003" s="1290"/>
      <c r="X2003" s="1290"/>
      <c r="Y2003" s="1290"/>
    </row>
    <row r="2004" spans="1:25" ht="15.75" hidden="1" customHeight="1" outlineLevel="1">
      <c r="A2004" s="1839" t="str">
        <f t="shared" si="234"/>
        <v>Бумага наждачная № 63 F(30)</v>
      </c>
      <c r="B2004" s="1839" t="str">
        <f t="shared" si="233"/>
        <v>м</v>
      </c>
      <c r="C2004" s="1839">
        <f t="shared" si="236"/>
        <v>5</v>
      </c>
      <c r="D2004" s="1839">
        <f t="shared" si="235"/>
        <v>291</v>
      </c>
      <c r="E2004" s="1694">
        <f t="shared" si="232"/>
        <v>1455</v>
      </c>
      <c r="F2004" s="1290"/>
      <c r="G2004" s="1360"/>
      <c r="H2004" s="1360"/>
      <c r="I2004" s="2006"/>
      <c r="J2004" s="1360"/>
      <c r="K2004" s="1360"/>
      <c r="L2004" s="1360"/>
      <c r="M2004" s="1360"/>
      <c r="N2004" s="1360"/>
      <c r="O2004" s="1360"/>
      <c r="P2004" s="1290"/>
      <c r="Q2004" s="1290"/>
      <c r="R2004" s="1290"/>
      <c r="S2004" s="1290"/>
      <c r="T2004" s="1290"/>
      <c r="U2004" s="1290"/>
      <c r="V2004" s="1290"/>
      <c r="W2004" s="1290"/>
      <c r="X2004" s="1290"/>
      <c r="Y2004" s="1290"/>
    </row>
    <row r="2005" spans="1:25" ht="15.75" hidden="1" customHeight="1" outlineLevel="1">
      <c r="A2005" s="1839" t="str">
        <f t="shared" si="234"/>
        <v>Нет наждачной бумаги</v>
      </c>
      <c r="B2005" s="1839" t="str">
        <f t="shared" si="233"/>
        <v>м</v>
      </c>
      <c r="C2005" s="1839">
        <f t="shared" si="236"/>
        <v>0</v>
      </c>
      <c r="D2005" s="1839">
        <f t="shared" si="235"/>
        <v>0</v>
      </c>
      <c r="E2005" s="1694">
        <f t="shared" si="232"/>
        <v>0</v>
      </c>
      <c r="F2005" s="1290"/>
      <c r="G2005" s="1360"/>
      <c r="H2005" s="1360"/>
      <c r="I2005" s="2006"/>
      <c r="J2005" s="1360"/>
      <c r="K2005" s="1360"/>
      <c r="L2005" s="1360"/>
      <c r="M2005" s="1360"/>
      <c r="N2005" s="1360"/>
      <c r="O2005" s="1360"/>
      <c r="P2005" s="1290"/>
      <c r="Q2005" s="1290"/>
      <c r="R2005" s="1290"/>
      <c r="S2005" s="1290"/>
      <c r="T2005" s="1290"/>
      <c r="U2005" s="1290"/>
      <c r="V2005" s="1290"/>
      <c r="W2005" s="1290"/>
      <c r="X2005" s="1290"/>
      <c r="Y2005" s="1290"/>
    </row>
    <row r="2006" spans="1:25" ht="15.75" hidden="1" customHeight="1" outlineLevel="1">
      <c r="A2006" s="1839" t="str">
        <f t="shared" si="234"/>
        <v>Бумага наждачная № 63 F(30)</v>
      </c>
      <c r="B2006" s="1839" t="str">
        <f t="shared" si="233"/>
        <v>м</v>
      </c>
      <c r="C2006" s="1839">
        <f t="shared" si="236"/>
        <v>0</v>
      </c>
      <c r="D2006" s="1839">
        <f t="shared" si="235"/>
        <v>291</v>
      </c>
      <c r="E2006" s="1694">
        <f t="shared" si="232"/>
        <v>0</v>
      </c>
      <c r="F2006" s="1290"/>
      <c r="G2006" s="1360"/>
      <c r="H2006" s="1360"/>
      <c r="I2006" s="2006"/>
      <c r="J2006" s="1360"/>
      <c r="K2006" s="1360"/>
      <c r="L2006" s="1360"/>
      <c r="M2006" s="1360"/>
      <c r="N2006" s="1360"/>
      <c r="O2006" s="1360"/>
      <c r="P2006" s="1290"/>
      <c r="Q2006" s="1290"/>
      <c r="R2006" s="1290"/>
      <c r="S2006" s="1290"/>
      <c r="T2006" s="1290"/>
      <c r="U2006" s="1290"/>
      <c r="V2006" s="1290"/>
      <c r="W2006" s="1290"/>
      <c r="X2006" s="1290"/>
      <c r="Y2006" s="1290"/>
    </row>
    <row r="2007" spans="1:25" ht="15.75" hidden="1" customHeight="1" outlineLevel="1">
      <c r="A2007" s="1839" t="str">
        <f t="shared" si="234"/>
        <v>Бумага наждачная № 40</v>
      </c>
      <c r="B2007" s="1839" t="str">
        <f t="shared" si="233"/>
        <v>м</v>
      </c>
      <c r="C2007" s="1839">
        <f t="shared" si="236"/>
        <v>0</v>
      </c>
      <c r="D2007" s="1839">
        <f t="shared" si="235"/>
        <v>240</v>
      </c>
      <c r="E2007" s="1694">
        <f t="shared" si="232"/>
        <v>0</v>
      </c>
      <c r="F2007" s="1290"/>
      <c r="G2007" s="1360"/>
      <c r="H2007" s="1360"/>
      <c r="I2007" s="2006"/>
      <c r="J2007" s="1360"/>
      <c r="K2007" s="1360"/>
      <c r="L2007" s="1360"/>
      <c r="M2007" s="1360"/>
      <c r="N2007" s="1360"/>
      <c r="O2007" s="1360"/>
      <c r="P2007" s="1290"/>
      <c r="Q2007" s="1290"/>
      <c r="R2007" s="1290"/>
      <c r="S2007" s="1290"/>
      <c r="T2007" s="1290"/>
      <c r="U2007" s="1290"/>
      <c r="V2007" s="1290"/>
      <c r="W2007" s="1290"/>
      <c r="X2007" s="1290"/>
      <c r="Y2007" s="1290"/>
    </row>
    <row r="2008" spans="1:25" ht="15.75" hidden="1" customHeight="1" outlineLevel="1">
      <c r="A2008" s="1839" t="str">
        <f>A1809</f>
        <v>Командировочные расходы</v>
      </c>
      <c r="B2008" s="1696" t="str">
        <f>B1809</f>
        <v>рублей</v>
      </c>
      <c r="C2008" s="1839">
        <f>C1809</f>
        <v>1</v>
      </c>
      <c r="D2008" s="1839">
        <f>D1809</f>
        <v>0</v>
      </c>
      <c r="E2008" s="1839">
        <f>E1809</f>
        <v>0</v>
      </c>
      <c r="F2008" s="1290"/>
      <c r="G2008" s="1360"/>
      <c r="H2008" s="1360"/>
      <c r="I2008" s="2006"/>
      <c r="J2008" s="1360"/>
      <c r="K2008" s="1360"/>
      <c r="L2008" s="1360"/>
      <c r="M2008" s="1360"/>
      <c r="N2008" s="1360"/>
      <c r="O2008" s="1360"/>
      <c r="P2008" s="1290"/>
      <c r="Q2008" s="1290"/>
      <c r="R2008" s="1290"/>
      <c r="S2008" s="1290"/>
      <c r="T2008" s="1290"/>
      <c r="U2008" s="1290"/>
      <c r="V2008" s="1290"/>
      <c r="W2008" s="1290"/>
      <c r="X2008" s="1290"/>
      <c r="Y2008" s="1290"/>
    </row>
    <row r="2009" spans="1:25" ht="15.75" hidden="1" customHeight="1" outlineLevel="1">
      <c r="A2009" s="1839" t="str">
        <f t="shared" ref="A2009:D2011" si="237">A1963</f>
        <v>расходные материалы дома из леса</v>
      </c>
      <c r="B2009" s="1696" t="str">
        <f t="shared" si="237"/>
        <v>шт</v>
      </c>
      <c r="C2009" s="1694">
        <f t="shared" si="237"/>
        <v>1</v>
      </c>
      <c r="D2009" s="1694">
        <f t="shared" si="237"/>
        <v>3000</v>
      </c>
      <c r="E2009" s="1694">
        <f>C2009*D2009</f>
        <v>3000</v>
      </c>
      <c r="F2009" s="1290"/>
      <c r="G2009" s="1839"/>
      <c r="H2009" s="1839"/>
      <c r="I2009" s="1694"/>
      <c r="J2009" s="1353"/>
      <c r="K2009" s="1353"/>
      <c r="L2009" s="1353"/>
      <c r="M2009" s="1353"/>
      <c r="N2009" s="1353"/>
      <c r="O2009" s="1353"/>
      <c r="P2009" s="1290"/>
      <c r="Q2009" s="1290"/>
      <c r="R2009" s="1290"/>
      <c r="S2009" s="1290"/>
      <c r="T2009" s="1290"/>
      <c r="U2009" s="1290"/>
      <c r="V2009" s="1290"/>
      <c r="W2009" s="1290"/>
      <c r="X2009" s="1290"/>
      <c r="Y2009" s="1290"/>
    </row>
    <row r="2010" spans="1:25" ht="15.75" hidden="1" customHeight="1" outlineLevel="1">
      <c r="A2010" s="1839" t="str">
        <f t="shared" si="237"/>
        <v>Нет техники</v>
      </c>
      <c r="B2010" s="1696" t="str">
        <f t="shared" si="237"/>
        <v>шт</v>
      </c>
      <c r="C2010" s="1694">
        <f t="shared" si="237"/>
        <v>6</v>
      </c>
      <c r="D2010" s="1694">
        <f t="shared" si="237"/>
        <v>0</v>
      </c>
      <c r="E2010" s="1694">
        <f>C2010*D2010</f>
        <v>0</v>
      </c>
      <c r="F2010" s="1290"/>
      <c r="G2010" s="1839"/>
      <c r="H2010" s="1839"/>
      <c r="I2010" s="1694"/>
      <c r="J2010" s="1353"/>
      <c r="K2010" s="1353"/>
      <c r="L2010" s="1353"/>
      <c r="M2010" s="1353"/>
      <c r="N2010" s="1353"/>
      <c r="O2010" s="1353"/>
      <c r="P2010" s="1290"/>
      <c r="Q2010" s="1290"/>
      <c r="R2010" s="1290"/>
      <c r="S2010" s="1290"/>
      <c r="T2010" s="1290"/>
      <c r="U2010" s="1290"/>
      <c r="V2010" s="1290"/>
      <c r="W2010" s="1290"/>
      <c r="X2010" s="1290"/>
      <c r="Y2010" s="1290"/>
    </row>
    <row r="2011" spans="1:25" ht="15.75" hidden="1" customHeight="1" outlineLevel="1">
      <c r="A2011" s="1839" t="str">
        <f t="shared" si="237"/>
        <v>Нет техники</v>
      </c>
      <c r="B2011" s="1696" t="str">
        <f t="shared" si="237"/>
        <v>шт</v>
      </c>
      <c r="C2011" s="1694">
        <f t="shared" si="237"/>
        <v>0</v>
      </c>
      <c r="D2011" s="1694">
        <f t="shared" si="237"/>
        <v>0</v>
      </c>
      <c r="E2011" s="1694">
        <f>C2011*D2011</f>
        <v>0</v>
      </c>
      <c r="F2011" s="1290"/>
      <c r="G2011" s="1839"/>
      <c r="H2011" s="1839"/>
      <c r="I2011" s="1694"/>
      <c r="J2011" s="1353"/>
      <c r="K2011" s="1353"/>
      <c r="L2011" s="1353"/>
      <c r="M2011" s="1353"/>
      <c r="N2011" s="1353"/>
      <c r="O2011" s="1353"/>
      <c r="P2011" s="1290"/>
      <c r="Q2011" s="1290"/>
      <c r="R2011" s="1290"/>
      <c r="S2011" s="1290"/>
      <c r="T2011" s="1290"/>
      <c r="U2011" s="1290"/>
      <c r="V2011" s="1290"/>
      <c r="W2011" s="1290"/>
      <c r="X2011" s="1290"/>
      <c r="Y2011" s="1290"/>
    </row>
    <row r="2012" spans="1:25" ht="15.75" hidden="1" customHeight="1" outlineLevel="1">
      <c r="A2012" s="1857"/>
      <c r="B2012" s="1805"/>
      <c r="C2012" s="1805"/>
      <c r="D2012" s="1805"/>
      <c r="E2012" s="1694">
        <f>SUM(E1985:E2011)</f>
        <v>275660.86934000009</v>
      </c>
      <c r="F2012" s="1290"/>
      <c r="G2012" s="1354"/>
      <c r="H2012" s="1354"/>
      <c r="I2012" s="1858"/>
      <c r="J2012" s="1354"/>
      <c r="K2012" s="1354"/>
      <c r="L2012" s="1354"/>
      <c r="M2012" s="1354"/>
      <c r="N2012" s="1354"/>
      <c r="O2012" s="1353">
        <f>SUM(O1985:O2011)</f>
        <v>171713.08800000005</v>
      </c>
      <c r="P2012" s="1290"/>
      <c r="Q2012" s="1290"/>
      <c r="R2012" s="1290"/>
      <c r="S2012" s="1290"/>
      <c r="T2012" s="1290"/>
      <c r="U2012" s="1290"/>
      <c r="V2012" s="1290"/>
      <c r="W2012" s="1290"/>
      <c r="X2012" s="1290"/>
      <c r="Y2012" s="1290"/>
    </row>
    <row r="2013" spans="1:25" ht="15.75" hidden="1" customHeight="1" outlineLevel="1">
      <c r="A2013" s="1839" t="s">
        <v>3660</v>
      </c>
      <c r="B2013" s="1696">
        <f>E2012</f>
        <v>275660.86934000009</v>
      </c>
      <c r="C2013" s="1859"/>
      <c r="D2013" s="1354"/>
      <c r="E2013" s="1354"/>
      <c r="F2013" s="1354"/>
      <c r="G2013" s="1354"/>
      <c r="H2013" s="1354"/>
      <c r="I2013" s="1858"/>
      <c r="J2013" s="1354"/>
      <c r="K2013" s="1354"/>
      <c r="L2013" s="1354"/>
      <c r="M2013" s="1354"/>
      <c r="N2013" s="1354"/>
      <c r="O2013" s="1354"/>
      <c r="P2013" s="1290"/>
      <c r="Q2013" s="1290"/>
      <c r="R2013" s="1290"/>
      <c r="S2013" s="1290"/>
      <c r="T2013" s="1290"/>
      <c r="U2013" s="1290"/>
      <c r="V2013" s="1290"/>
      <c r="W2013" s="1290"/>
      <c r="X2013" s="1290"/>
      <c r="Y2013" s="1290"/>
    </row>
    <row r="2014" spans="1:25" ht="15.75" hidden="1" customHeight="1" outlineLevel="1">
      <c r="A2014" s="1839" t="s">
        <v>3661</v>
      </c>
      <c r="B2014" s="1696">
        <f>O2012</f>
        <v>171713.08800000005</v>
      </c>
      <c r="C2014" s="1859"/>
      <c r="D2014" s="1354"/>
      <c r="E2014" s="1354"/>
      <c r="F2014" s="1354"/>
      <c r="G2014" s="1354"/>
      <c r="H2014" s="1354"/>
      <c r="I2014" s="1858"/>
      <c r="J2014" s="1354"/>
      <c r="K2014" s="1354"/>
      <c r="L2014" s="1354"/>
      <c r="M2014" s="1354"/>
      <c r="N2014" s="1354"/>
      <c r="O2014" s="1354"/>
      <c r="P2014" s="1290"/>
      <c r="Q2014" s="1290"/>
      <c r="R2014" s="1290"/>
      <c r="S2014" s="1290"/>
      <c r="T2014" s="1290"/>
      <c r="U2014" s="1290"/>
      <c r="V2014" s="1290"/>
      <c r="W2014" s="1290"/>
      <c r="X2014" s="1290"/>
      <c r="Y2014" s="1290"/>
    </row>
    <row r="2015" spans="1:25" ht="15.75" hidden="1" customHeight="1" outlineLevel="1">
      <c r="A2015" s="1353" t="s">
        <v>2728</v>
      </c>
      <c r="B2015" s="1696">
        <f>SUM(B2013:B2014)</f>
        <v>447373.95734000014</v>
      </c>
      <c r="C2015" s="1859"/>
      <c r="D2015" s="1354"/>
      <c r="E2015" s="1354"/>
      <c r="F2015" s="1354"/>
      <c r="G2015" s="1354"/>
      <c r="H2015" s="1354"/>
      <c r="I2015" s="1858"/>
      <c r="J2015" s="1354"/>
      <c r="K2015" s="1354"/>
      <c r="L2015" s="1354"/>
      <c r="M2015" s="1354"/>
      <c r="N2015" s="1354"/>
      <c r="O2015" s="1354"/>
      <c r="P2015" s="1290"/>
      <c r="Q2015" s="1290"/>
      <c r="R2015" s="1290"/>
      <c r="S2015" s="1290"/>
      <c r="T2015" s="1290"/>
      <c r="U2015" s="1290"/>
      <c r="V2015" s="1290"/>
      <c r="W2015" s="1290"/>
      <c r="X2015" s="1290"/>
      <c r="Y2015" s="1290"/>
    </row>
    <row r="2016" spans="1:25" ht="15.75" customHeight="1">
      <c r="A2016" s="1290" t="s">
        <v>3811</v>
      </c>
      <c r="B2016" s="1972"/>
      <c r="C2016" s="1972"/>
      <c r="D2016" s="1290"/>
      <c r="E2016" s="1290"/>
      <c r="F2016" s="1290"/>
      <c r="G2016" s="1290"/>
      <c r="H2016" s="1290"/>
      <c r="I2016" s="1973"/>
      <c r="J2016" s="1290"/>
      <c r="K2016" s="1290"/>
      <c r="L2016" s="1290"/>
      <c r="M2016" s="1290"/>
      <c r="N2016" s="1290"/>
      <c r="O2016" s="1290"/>
      <c r="P2016" s="1290"/>
      <c r="Q2016" s="1290"/>
      <c r="R2016" s="1290"/>
      <c r="S2016" s="1290"/>
      <c r="T2016" s="1290"/>
      <c r="U2016" s="1290"/>
      <c r="V2016" s="1290"/>
      <c r="W2016" s="1290"/>
      <c r="X2016" s="1290"/>
      <c r="Y2016" s="1290"/>
    </row>
    <row r="2017" spans="1:25" ht="15.75" customHeight="1">
      <c r="A2017" s="1380"/>
      <c r="B2017" s="1972"/>
      <c r="C2017" s="1972"/>
      <c r="D2017" s="1290"/>
      <c r="E2017" s="1290"/>
      <c r="F2017" s="1290"/>
      <c r="G2017" s="1290"/>
      <c r="H2017" s="1290"/>
      <c r="I2017" s="1973"/>
      <c r="J2017" s="1290"/>
      <c r="K2017" s="1290"/>
      <c r="L2017" s="1290"/>
      <c r="M2017" s="1290"/>
      <c r="N2017" s="1290"/>
      <c r="O2017" s="1290"/>
      <c r="P2017" s="1290"/>
      <c r="Q2017" s="1290"/>
      <c r="R2017" s="1290"/>
      <c r="S2017" s="1290"/>
      <c r="T2017" s="1290"/>
      <c r="U2017" s="1290"/>
      <c r="V2017" s="1290"/>
      <c r="W2017" s="1290"/>
      <c r="X2017" s="1290"/>
      <c r="Y2017" s="1290"/>
    </row>
    <row r="2018" spans="1:25" ht="15.75" customHeight="1">
      <c r="A2018" s="1290"/>
      <c r="B2018" s="1972"/>
      <c r="C2018" s="1972"/>
      <c r="D2018" s="1290"/>
      <c r="E2018" s="1290"/>
      <c r="F2018" s="1290"/>
      <c r="G2018" s="1290"/>
      <c r="H2018" s="1290"/>
      <c r="I2018" s="1973"/>
      <c r="J2018" s="1290"/>
      <c r="K2018" s="1290"/>
      <c r="L2018" s="1290"/>
      <c r="M2018" s="1290"/>
      <c r="N2018" s="1290"/>
      <c r="O2018" s="1290"/>
      <c r="P2018" s="1290"/>
      <c r="Q2018" s="1290"/>
      <c r="R2018" s="1290"/>
      <c r="S2018" s="1290"/>
      <c r="T2018" s="1290"/>
      <c r="U2018" s="1290"/>
      <c r="V2018" s="1290"/>
      <c r="W2018" s="1290"/>
      <c r="X2018" s="1290"/>
      <c r="Y2018" s="1290"/>
    </row>
    <row r="2019" spans="1:25" ht="15.75" customHeight="1" outlineLevel="1">
      <c r="A2019" s="2021" t="s">
        <v>3812</v>
      </c>
      <c r="B2019" s="2022" t="s">
        <v>120</v>
      </c>
      <c r="C2019" s="1630" t="s">
        <v>1753</v>
      </c>
      <c r="D2019" s="977">
        <f>VLOOKUP('Ввод данных'!F617,связи1!A2:B3,2,0)</f>
        <v>0</v>
      </c>
      <c r="E2019" s="1544" t="s">
        <v>3813</v>
      </c>
      <c r="F2019" s="1544"/>
      <c r="G2019" s="1290"/>
      <c r="H2019" s="1290"/>
      <c r="I2019" s="1973"/>
      <c r="J2019" s="1290"/>
      <c r="K2019" s="1290"/>
      <c r="L2019" s="1290"/>
      <c r="M2019" s="1290"/>
      <c r="N2019" s="1290"/>
      <c r="O2019" s="1290"/>
      <c r="P2019" s="1290"/>
      <c r="Q2019" s="1290"/>
      <c r="R2019" s="1290"/>
      <c r="S2019" s="1290"/>
      <c r="T2019" s="1290"/>
      <c r="U2019" s="1290"/>
      <c r="V2019" s="1290"/>
      <c r="W2019" s="1290"/>
      <c r="X2019" s="1290"/>
      <c r="Y2019" s="1290"/>
    </row>
    <row r="2020" spans="1:25" ht="15.75" customHeight="1" outlineLevel="1">
      <c r="A2020" s="1246" t="s">
        <v>2002</v>
      </c>
      <c r="B2020" s="1247" t="s">
        <v>159</v>
      </c>
      <c r="C2020" s="2023">
        <v>1</v>
      </c>
      <c r="D2020" s="398"/>
      <c r="E2020" s="1544"/>
      <c r="F2020" s="1544"/>
      <c r="G2020" s="1290"/>
      <c r="H2020" s="1290"/>
      <c r="I2020" s="1973"/>
      <c r="J2020" s="1290"/>
      <c r="K2020" s="1290"/>
      <c r="L2020" s="1290"/>
      <c r="M2020" s="1290"/>
      <c r="N2020" s="1290"/>
      <c r="O2020" s="1290"/>
      <c r="P2020" s="1290"/>
      <c r="Q2020" s="1290"/>
      <c r="R2020" s="1290"/>
      <c r="S2020" s="1290"/>
      <c r="T2020" s="1290"/>
      <c r="U2020" s="1290"/>
      <c r="V2020" s="1290"/>
      <c r="W2020" s="1290"/>
      <c r="X2020" s="1290"/>
      <c r="Y2020" s="1290"/>
    </row>
    <row r="2021" spans="1:25" ht="15.75" customHeight="1" outlineLevel="1">
      <c r="A2021" s="1246" t="s">
        <v>3814</v>
      </c>
      <c r="B2021" s="1247" t="s">
        <v>159</v>
      </c>
      <c r="C2021" s="2023">
        <f>IF('Ввод данных'!C521=2,1,0)</f>
        <v>0</v>
      </c>
      <c r="D2021" s="398"/>
      <c r="E2021" s="1544"/>
      <c r="F2021" s="1544"/>
      <c r="G2021" s="1290"/>
      <c r="H2021" s="1290"/>
      <c r="I2021" s="1973"/>
      <c r="J2021" s="1290"/>
      <c r="K2021" s="1290"/>
      <c r="L2021" s="1290"/>
      <c r="M2021" s="1290"/>
      <c r="N2021" s="1290"/>
      <c r="O2021" s="1290"/>
      <c r="P2021" s="1290"/>
      <c r="Q2021" s="1290"/>
      <c r="R2021" s="1290"/>
      <c r="S2021" s="1290"/>
      <c r="T2021" s="1290"/>
      <c r="U2021" s="1290"/>
      <c r="V2021" s="1290"/>
      <c r="W2021" s="1290"/>
      <c r="X2021" s="1290"/>
      <c r="Y2021" s="1290"/>
    </row>
    <row r="2022" spans="1:25" ht="15.75" customHeight="1" outlineLevel="1">
      <c r="A2022" s="1309" t="s">
        <v>1236</v>
      </c>
      <c r="B2022" s="1308" t="s">
        <v>120</v>
      </c>
      <c r="C2022" s="1308" t="s">
        <v>1800</v>
      </c>
      <c r="D2022" s="1309" t="s">
        <v>293</v>
      </c>
      <c r="E2022" s="1242"/>
      <c r="F2022" s="1242"/>
      <c r="G2022" s="1290"/>
      <c r="H2022" s="1290"/>
      <c r="I2022" s="1973"/>
      <c r="J2022" s="1290"/>
      <c r="K2022" s="1290"/>
      <c r="L2022" s="1290"/>
      <c r="M2022" s="1290"/>
      <c r="N2022" s="1290"/>
      <c r="O2022" s="1290"/>
      <c r="P2022" s="1290"/>
      <c r="Q2022" s="1290"/>
      <c r="R2022" s="1290"/>
      <c r="S2022" s="1290"/>
      <c r="T2022" s="1290"/>
      <c r="U2022" s="1290"/>
      <c r="V2022" s="1290"/>
      <c r="W2022" s="1290"/>
      <c r="X2022" s="1290"/>
      <c r="Y2022" s="1290"/>
    </row>
    <row r="2023" spans="1:25" ht="15.75" customHeight="1" outlineLevel="1">
      <c r="A2023" s="1246" t="s">
        <v>2001</v>
      </c>
      <c r="B2023" s="1247" t="s">
        <v>159</v>
      </c>
      <c r="C2023" s="1247"/>
      <c r="D2023" s="977"/>
      <c r="E2023" s="2023">
        <f>C2020</f>
        <v>1</v>
      </c>
      <c r="F2023" s="1544" t="s">
        <v>3521</v>
      </c>
      <c r="G2023" s="1290"/>
      <c r="H2023" s="1290"/>
      <c r="I2023" s="1973"/>
      <c r="J2023" s="1290"/>
      <c r="K2023" s="1290"/>
      <c r="L2023" s="1290"/>
      <c r="M2023" s="1290"/>
      <c r="N2023" s="1290"/>
      <c r="O2023" s="1290"/>
      <c r="P2023" s="1290"/>
      <c r="Q2023" s="1290"/>
      <c r="R2023" s="1290"/>
      <c r="S2023" s="1290"/>
      <c r="T2023" s="1290"/>
      <c r="U2023" s="1290"/>
      <c r="V2023" s="1290"/>
      <c r="W2023" s="1290"/>
      <c r="X2023" s="1290"/>
      <c r="Y2023" s="1290"/>
    </row>
    <row r="2024" spans="1:25" ht="15.75" customHeight="1" outlineLevel="1">
      <c r="A2024" s="1246" t="s">
        <v>2557</v>
      </c>
      <c r="B2024" s="1247" t="s">
        <v>159</v>
      </c>
      <c r="C2024" s="1247"/>
      <c r="D2024" s="977"/>
      <c r="E2024" s="2023">
        <f>C2020</f>
        <v>1</v>
      </c>
      <c r="F2024" s="1544" t="s">
        <v>3522</v>
      </c>
      <c r="G2024" s="1290"/>
      <c r="H2024" s="1290"/>
      <c r="I2024" s="1973"/>
      <c r="J2024" s="1290"/>
      <c r="K2024" s="1290"/>
      <c r="L2024" s="1290"/>
      <c r="M2024" s="1290"/>
      <c r="N2024" s="1290"/>
      <c r="O2024" s="1290"/>
      <c r="P2024" s="1290"/>
      <c r="Q2024" s="1290"/>
      <c r="R2024" s="1290"/>
      <c r="S2024" s="1290"/>
      <c r="T2024" s="1290"/>
      <c r="U2024" s="1290"/>
      <c r="V2024" s="1290"/>
      <c r="W2024" s="1290"/>
      <c r="X2024" s="1290"/>
      <c r="Y2024" s="1290"/>
    </row>
    <row r="2025" spans="1:25" ht="15.75" customHeight="1" outlineLevel="1">
      <c r="A2025" s="1246" t="s">
        <v>2558</v>
      </c>
      <c r="B2025" s="1247" t="s">
        <v>159</v>
      </c>
      <c r="C2025" s="1247"/>
      <c r="D2025" s="977"/>
      <c r="E2025" s="1282">
        <f>C2021</f>
        <v>0</v>
      </c>
      <c r="F2025" s="1544" t="s">
        <v>3523</v>
      </c>
      <c r="G2025" s="1290"/>
      <c r="H2025" s="1290"/>
      <c r="I2025" s="1973"/>
      <c r="J2025" s="1290"/>
      <c r="K2025" s="1290"/>
      <c r="L2025" s="1290"/>
      <c r="M2025" s="1290"/>
      <c r="N2025" s="1290"/>
      <c r="O2025" s="1290"/>
      <c r="P2025" s="1290"/>
      <c r="Q2025" s="1290"/>
      <c r="R2025" s="1290"/>
      <c r="S2025" s="1290"/>
      <c r="T2025" s="1290"/>
      <c r="U2025" s="1290"/>
      <c r="V2025" s="1290"/>
      <c r="W2025" s="1290"/>
      <c r="X2025" s="1290"/>
      <c r="Y2025" s="1290"/>
    </row>
    <row r="2026" spans="1:25" ht="15.75" customHeight="1" outlineLevel="1">
      <c r="A2026" s="1243" t="s">
        <v>2091</v>
      </c>
      <c r="B2026" s="1244" t="s">
        <v>156</v>
      </c>
      <c r="C2026" s="1599">
        <f>'Ввод данных'!C522</f>
        <v>3</v>
      </c>
      <c r="D2026" s="1636"/>
      <c r="E2026" s="1544"/>
      <c r="F2026" s="1544"/>
      <c r="G2026" s="1290"/>
      <c r="H2026" s="1290"/>
      <c r="I2026" s="1973"/>
      <c r="J2026" s="1290"/>
      <c r="K2026" s="1290"/>
      <c r="L2026" s="1290"/>
      <c r="M2026" s="1290"/>
      <c r="N2026" s="1290"/>
      <c r="O2026" s="1290"/>
      <c r="P2026" s="1290"/>
      <c r="Q2026" s="1290"/>
      <c r="R2026" s="1290"/>
      <c r="S2026" s="1290"/>
      <c r="T2026" s="1290"/>
      <c r="U2026" s="1290"/>
      <c r="V2026" s="1290"/>
      <c r="W2026" s="1290"/>
      <c r="X2026" s="1290"/>
      <c r="Y2026" s="1290"/>
    </row>
    <row r="2027" spans="1:25" ht="15.75" customHeight="1" outlineLevel="1">
      <c r="A2027" s="1243" t="s">
        <v>2092</v>
      </c>
      <c r="B2027" s="1244" t="s">
        <v>156</v>
      </c>
      <c r="C2027" s="1599">
        <f>'Ввод данных'!C523</f>
        <v>3</v>
      </c>
      <c r="D2027" s="1636">
        <f>C2026+C2027+C2027</f>
        <v>9</v>
      </c>
      <c r="E2027" s="1544" t="s">
        <v>2572</v>
      </c>
      <c r="F2027" s="1544"/>
      <c r="G2027" s="1290"/>
      <c r="H2027" s="1290"/>
      <c r="I2027" s="1973"/>
      <c r="J2027" s="1290"/>
      <c r="K2027" s="1290"/>
      <c r="L2027" s="1290"/>
      <c r="M2027" s="1290"/>
      <c r="N2027" s="1290"/>
      <c r="O2027" s="1290"/>
      <c r="P2027" s="1290"/>
      <c r="Q2027" s="1290"/>
      <c r="R2027" s="1290"/>
      <c r="S2027" s="1290"/>
      <c r="T2027" s="1290"/>
      <c r="U2027" s="1290"/>
      <c r="V2027" s="1290"/>
      <c r="W2027" s="1290"/>
      <c r="X2027" s="1290"/>
      <c r="Y2027" s="1290"/>
    </row>
    <row r="2028" spans="1:25" ht="15.75" customHeight="1" outlineLevel="1">
      <c r="A2028" s="1243" t="s">
        <v>3815</v>
      </c>
      <c r="B2028" s="1244" t="s">
        <v>156</v>
      </c>
      <c r="C2028" s="1599">
        <f>'Ввод данных'!C524</f>
        <v>2.7</v>
      </c>
      <c r="D2028" s="360"/>
      <c r="E2028" s="1544"/>
      <c r="F2028" s="1544"/>
      <c r="G2028" s="1290"/>
      <c r="H2028" s="1290"/>
      <c r="I2028" s="1973"/>
      <c r="J2028" s="1290"/>
      <c r="K2028" s="1290"/>
      <c r="L2028" s="1290"/>
      <c r="M2028" s="1290"/>
      <c r="N2028" s="1290"/>
      <c r="O2028" s="1290"/>
      <c r="P2028" s="1290"/>
      <c r="Q2028" s="1290"/>
      <c r="R2028" s="1290"/>
      <c r="S2028" s="1290"/>
      <c r="T2028" s="1290"/>
      <c r="U2028" s="1290"/>
      <c r="V2028" s="1290"/>
      <c r="W2028" s="1290"/>
      <c r="X2028" s="1290"/>
      <c r="Y2028" s="1290"/>
    </row>
    <row r="2029" spans="1:25" ht="15.75" customHeight="1" outlineLevel="1">
      <c r="A2029" s="2024" t="s">
        <v>3816</v>
      </c>
      <c r="B2029" s="2025" t="s">
        <v>156</v>
      </c>
      <c r="C2029" s="2026">
        <f>'Ввод данных'!C525</f>
        <v>2.7</v>
      </c>
      <c r="D2029" s="360"/>
      <c r="E2029" s="1544"/>
      <c r="F2029" s="1544"/>
      <c r="G2029" s="1290"/>
      <c r="H2029" s="1290"/>
      <c r="I2029" s="1973"/>
      <c r="J2029" s="1290"/>
      <c r="K2029" s="1290"/>
      <c r="L2029" s="1290"/>
      <c r="M2029" s="1290"/>
      <c r="N2029" s="1290"/>
      <c r="O2029" s="1290"/>
      <c r="P2029" s="1290"/>
      <c r="Q2029" s="1290"/>
      <c r="R2029" s="1290"/>
      <c r="S2029" s="1290"/>
      <c r="T2029" s="1290"/>
      <c r="U2029" s="1290"/>
      <c r="V2029" s="1290"/>
      <c r="W2029" s="1290"/>
      <c r="X2029" s="1290"/>
      <c r="Y2029" s="1290"/>
    </row>
    <row r="2030" spans="1:25" ht="15.75" customHeight="1" outlineLevel="1">
      <c r="A2030" s="2024" t="str">
        <f>'Ввод данных'!A526</f>
        <v>высота от перекрытия 0 этажа до конька, Е</v>
      </c>
      <c r="B2030" s="2025" t="str">
        <f>'Ввод данных'!B526</f>
        <v>м.п.</v>
      </c>
      <c r="C2030" s="2024">
        <f>'Ввод данных'!C526</f>
        <v>4.5</v>
      </c>
      <c r="D2030" s="360"/>
      <c r="E2030" s="1544"/>
      <c r="F2030" s="1544"/>
      <c r="G2030" s="1290"/>
      <c r="H2030" s="1290"/>
      <c r="I2030" s="1973"/>
      <c r="J2030" s="1290"/>
      <c r="K2030" s="1290"/>
      <c r="L2030" s="1290"/>
      <c r="M2030" s="1290"/>
      <c r="N2030" s="1290"/>
      <c r="O2030" s="1290"/>
      <c r="P2030" s="1290"/>
      <c r="Q2030" s="1290"/>
      <c r="R2030" s="1290"/>
      <c r="S2030" s="1290"/>
      <c r="T2030" s="1290"/>
      <c r="U2030" s="1290"/>
      <c r="V2030" s="1290"/>
      <c r="W2030" s="1290"/>
      <c r="X2030" s="1290"/>
      <c r="Y2030" s="1290"/>
    </row>
    <row r="2031" spans="1:25" ht="15.75" customHeight="1" outlineLevel="1">
      <c r="A2031" s="2024" t="str">
        <f>'Ввод данных'!A557</f>
        <v>Выпуск кровли карниз</v>
      </c>
      <c r="B2031" s="2025" t="str">
        <f>'Ввод данных'!B557</f>
        <v>м.п.</v>
      </c>
      <c r="C2031" s="2024">
        <f>'Ввод данных'!C557</f>
        <v>0.5</v>
      </c>
      <c r="D2031" s="360"/>
      <c r="E2031" s="1544"/>
      <c r="F2031" s="1544"/>
      <c r="G2031" s="1290"/>
      <c r="H2031" s="1290"/>
      <c r="I2031" s="1973"/>
      <c r="J2031" s="1290"/>
      <c r="K2031" s="1290"/>
      <c r="L2031" s="1290"/>
      <c r="M2031" s="1290"/>
      <c r="N2031" s="1290"/>
      <c r="O2031" s="1290"/>
      <c r="P2031" s="1290"/>
      <c r="Q2031" s="1290"/>
      <c r="R2031" s="1290"/>
      <c r="S2031" s="1290"/>
      <c r="T2031" s="1290"/>
      <c r="U2031" s="1290"/>
      <c r="V2031" s="1290"/>
      <c r="W2031" s="1290"/>
      <c r="X2031" s="1290"/>
      <c r="Y2031" s="1290"/>
    </row>
    <row r="2032" spans="1:25" ht="15.75" customHeight="1" outlineLevel="1">
      <c r="A2032" s="2024" t="str">
        <f>'Ввод данных'!A558</f>
        <v>Выпуск кровли фронтон</v>
      </c>
      <c r="B2032" s="2025" t="str">
        <f>'Ввод данных'!B558</f>
        <v>м.п.</v>
      </c>
      <c r="C2032" s="2024">
        <f>'Ввод данных'!C558</f>
        <v>0.8</v>
      </c>
      <c r="D2032" s="360"/>
      <c r="E2032" s="1544"/>
      <c r="F2032" s="1544"/>
      <c r="G2032" s="1290"/>
      <c r="H2032" s="1290"/>
      <c r="I2032" s="1973"/>
      <c r="J2032" s="1290"/>
      <c r="K2032" s="1290"/>
      <c r="L2032" s="1290"/>
      <c r="M2032" s="1290"/>
      <c r="N2032" s="1290"/>
      <c r="O2032" s="1290"/>
      <c r="P2032" s="1290"/>
      <c r="Q2032" s="1290"/>
      <c r="R2032" s="1290"/>
      <c r="S2032" s="1290"/>
      <c r="T2032" s="1290"/>
      <c r="U2032" s="1290"/>
      <c r="V2032" s="1290"/>
      <c r="W2032" s="1290"/>
      <c r="X2032" s="1290"/>
      <c r="Y2032" s="1290"/>
    </row>
    <row r="2033" spans="1:25" ht="15.75" customHeight="1" outlineLevel="1">
      <c r="A2033" s="2024" t="s">
        <v>1988</v>
      </c>
      <c r="B2033" s="2025"/>
      <c r="C2033" s="2024"/>
      <c r="D2033" s="360"/>
      <c r="E2033" s="1544"/>
      <c r="F2033" s="1544"/>
      <c r="G2033" s="1290"/>
      <c r="H2033" s="1290"/>
      <c r="I2033" s="1973"/>
      <c r="J2033" s="1290"/>
      <c r="K2033" s="1290"/>
      <c r="L2033" s="1290"/>
      <c r="M2033" s="1290"/>
      <c r="N2033" s="1290"/>
      <c r="O2033" s="1290"/>
      <c r="P2033" s="1290"/>
      <c r="Q2033" s="1290"/>
      <c r="R2033" s="1290"/>
      <c r="S2033" s="1290"/>
      <c r="T2033" s="1290"/>
      <c r="U2033" s="1290"/>
      <c r="V2033" s="1290"/>
      <c r="W2033" s="1290"/>
      <c r="X2033" s="1290"/>
      <c r="Y2033" s="1290"/>
    </row>
    <row r="2034" spans="1:25" ht="15.75" customHeight="1" outlineLevel="1">
      <c r="A2034" s="2024" t="s">
        <v>2133</v>
      </c>
      <c r="B2034" s="2025"/>
      <c r="C2034" s="2024"/>
      <c r="D2034" s="360"/>
      <c r="E2034" s="1544"/>
      <c r="F2034" s="1544"/>
      <c r="G2034" s="1290"/>
      <c r="H2034" s="1290"/>
      <c r="I2034" s="1973"/>
      <c r="J2034" s="1290"/>
      <c r="K2034" s="1290"/>
      <c r="L2034" s="1290"/>
      <c r="M2034" s="1290"/>
      <c r="N2034" s="1290"/>
      <c r="O2034" s="1290"/>
      <c r="P2034" s="1290"/>
      <c r="Q2034" s="1290"/>
      <c r="R2034" s="1290"/>
      <c r="S2034" s="1290"/>
      <c r="T2034" s="1290"/>
      <c r="U2034" s="1290"/>
      <c r="V2034" s="1290"/>
      <c r="W2034" s="1290"/>
      <c r="X2034" s="1290"/>
      <c r="Y2034" s="1290"/>
    </row>
    <row r="2035" spans="1:25" ht="15.75" customHeight="1" outlineLevel="1">
      <c r="A2035" s="2024"/>
      <c r="B2035" s="2025"/>
      <c r="C2035" s="2024"/>
      <c r="D2035" s="360"/>
      <c r="E2035" s="1544"/>
      <c r="F2035" s="1544"/>
      <c r="G2035" s="1290"/>
      <c r="H2035" s="1290"/>
      <c r="I2035" s="1973"/>
      <c r="J2035" s="1290"/>
      <c r="K2035" s="1290"/>
      <c r="L2035" s="1290"/>
      <c r="M2035" s="1290"/>
      <c r="N2035" s="1290"/>
      <c r="O2035" s="1290"/>
      <c r="P2035" s="1290"/>
      <c r="Q2035" s="1290"/>
      <c r="R2035" s="1290"/>
      <c r="S2035" s="1290"/>
      <c r="T2035" s="1290"/>
      <c r="U2035" s="1290"/>
      <c r="V2035" s="1290"/>
      <c r="W2035" s="1290"/>
      <c r="X2035" s="1290"/>
      <c r="Y2035" s="1290"/>
    </row>
    <row r="2036" spans="1:25" ht="15.75" customHeight="1" outlineLevel="1">
      <c r="A2036" s="1353" t="s">
        <v>2623</v>
      </c>
      <c r="B2036" s="2025"/>
      <c r="C2036" s="2024"/>
      <c r="D2036" s="360"/>
      <c r="E2036" s="1544"/>
      <c r="F2036" s="1544"/>
      <c r="G2036" s="1290"/>
      <c r="H2036" s="1290"/>
      <c r="I2036" s="1973"/>
      <c r="J2036" s="1290"/>
      <c r="K2036" s="1290"/>
      <c r="L2036" s="1290"/>
      <c r="M2036" s="1290"/>
      <c r="N2036" s="1290"/>
      <c r="O2036" s="1290"/>
      <c r="P2036" s="1290"/>
      <c r="Q2036" s="1290"/>
      <c r="R2036" s="1290"/>
      <c r="S2036" s="1290"/>
      <c r="T2036" s="1290"/>
      <c r="U2036" s="1290"/>
      <c r="V2036" s="1290"/>
      <c r="W2036" s="1290"/>
      <c r="X2036" s="1290"/>
      <c r="Y2036" s="1290"/>
    </row>
    <row r="2037" spans="1:25" ht="15.75" customHeight="1" outlineLevel="1">
      <c r="A2037" s="1353" t="s">
        <v>1546</v>
      </c>
      <c r="B2037" s="2025"/>
      <c r="C2037" s="2024"/>
      <c r="D2037" s="360"/>
      <c r="E2037" s="1544"/>
      <c r="F2037" s="1544"/>
      <c r="G2037" s="1290"/>
      <c r="H2037" s="1290"/>
      <c r="I2037" s="1973"/>
      <c r="J2037" s="1290"/>
      <c r="K2037" s="1290"/>
      <c r="L2037" s="1290"/>
      <c r="M2037" s="1290"/>
      <c r="N2037" s="1290"/>
      <c r="O2037" s="1290"/>
      <c r="P2037" s="1290"/>
      <c r="Q2037" s="1290"/>
      <c r="R2037" s="1290"/>
      <c r="S2037" s="1290"/>
      <c r="T2037" s="1290"/>
      <c r="U2037" s="1290"/>
      <c r="V2037" s="1290"/>
      <c r="W2037" s="1290"/>
      <c r="X2037" s="1290"/>
      <c r="Y2037" s="1290"/>
    </row>
    <row r="2038" spans="1:25" ht="15.75" customHeight="1" outlineLevel="1">
      <c r="A2038" s="1353" t="s">
        <v>3502</v>
      </c>
      <c r="B2038" s="2025"/>
      <c r="C2038" s="2024"/>
      <c r="D2038" s="360"/>
      <c r="E2038" s="1544"/>
      <c r="F2038" s="1544"/>
      <c r="G2038" s="1290"/>
      <c r="H2038" s="1290"/>
      <c r="I2038" s="1973"/>
      <c r="J2038" s="1290"/>
      <c r="K2038" s="1290"/>
      <c r="L2038" s="1290"/>
      <c r="M2038" s="1290"/>
      <c r="N2038" s="1290"/>
      <c r="O2038" s="1290"/>
      <c r="P2038" s="1290"/>
      <c r="Q2038" s="1290"/>
      <c r="R2038" s="1290"/>
      <c r="S2038" s="1290"/>
      <c r="T2038" s="1290"/>
      <c r="U2038" s="1290"/>
      <c r="V2038" s="1290"/>
      <c r="W2038" s="1290"/>
      <c r="X2038" s="1290"/>
      <c r="Y2038" s="1290"/>
    </row>
    <row r="2039" spans="1:25" ht="15.75" customHeight="1" outlineLevel="1">
      <c r="A2039" s="1309" t="s">
        <v>1236</v>
      </c>
      <c r="B2039" s="1630" t="s">
        <v>120</v>
      </c>
      <c r="C2039" s="1600" t="s">
        <v>1800</v>
      </c>
      <c r="D2039" s="1360" t="s">
        <v>1800</v>
      </c>
      <c r="E2039" s="1290"/>
      <c r="F2039" s="1290"/>
      <c r="G2039" s="1290"/>
      <c r="H2039" s="1290"/>
      <c r="I2039" s="1973"/>
      <c r="J2039" s="1290"/>
      <c r="K2039" s="1290"/>
      <c r="L2039" s="1290"/>
      <c r="M2039" s="1290"/>
      <c r="N2039" s="1290"/>
      <c r="O2039" s="1290"/>
      <c r="P2039" s="1290"/>
      <c r="Q2039" s="1290"/>
      <c r="R2039" s="1290"/>
      <c r="S2039" s="1290"/>
      <c r="T2039" s="1290"/>
      <c r="U2039" s="1290"/>
      <c r="V2039" s="1290"/>
      <c r="W2039" s="1290"/>
      <c r="X2039" s="1290"/>
      <c r="Y2039" s="1290"/>
    </row>
    <row r="2040" spans="1:25" ht="15.75" customHeight="1" outlineLevel="1">
      <c r="A2040" s="1290"/>
      <c r="B2040" s="1972"/>
      <c r="C2040" s="1972"/>
      <c r="D2040" s="1290" t="s">
        <v>1820</v>
      </c>
      <c r="E2040" s="1290">
        <f>VLOOKUP('Ввод данных'!D519,связи1!A2:B3,2,0)</f>
        <v>1</v>
      </c>
      <c r="F2040" s="1544"/>
      <c r="G2040" s="1290"/>
      <c r="H2040" s="1290"/>
      <c r="I2040" s="1973"/>
      <c r="J2040" s="1290"/>
      <c r="K2040" s="1290"/>
      <c r="L2040" s="1290"/>
      <c r="M2040" s="1290"/>
      <c r="N2040" s="1290"/>
      <c r="O2040" s="1290"/>
      <c r="P2040" s="1290"/>
      <c r="Q2040" s="1290"/>
      <c r="R2040" s="1290"/>
      <c r="S2040" s="1290"/>
      <c r="T2040" s="1290"/>
      <c r="U2040" s="1290"/>
      <c r="V2040" s="1290"/>
      <c r="W2040" s="1290"/>
      <c r="X2040" s="1290"/>
      <c r="Y2040" s="1290"/>
    </row>
    <row r="2041" spans="1:25" ht="15.75" customHeight="1" outlineLevel="1">
      <c r="A2041" s="2007" t="s">
        <v>2720</v>
      </c>
      <c r="B2041" s="2008" t="s">
        <v>1094</v>
      </c>
      <c r="C2041" s="2008" t="s">
        <v>1802</v>
      </c>
      <c r="D2041" s="2008" t="s">
        <v>3764</v>
      </c>
      <c r="E2041" s="2009" t="s">
        <v>2722</v>
      </c>
      <c r="F2041" s="1290"/>
      <c r="G2041" s="2002" t="s">
        <v>1409</v>
      </c>
      <c r="H2041" s="2010"/>
      <c r="I2041" s="2011"/>
      <c r="J2041" s="2009" t="s">
        <v>1802</v>
      </c>
      <c r="K2041" s="2009" t="s">
        <v>2721</v>
      </c>
      <c r="L2041" s="2009" t="s">
        <v>2722</v>
      </c>
      <c r="M2041" s="2009"/>
      <c r="N2041" s="2009"/>
      <c r="P2041" s="1354"/>
      <c r="Q2041" s="1354"/>
      <c r="R2041" s="1354"/>
      <c r="S2041" s="1354"/>
      <c r="T2041" s="1354"/>
      <c r="U2041" s="1354"/>
      <c r="V2041" s="1354"/>
      <c r="W2041" s="1354"/>
      <c r="X2041" s="1354"/>
      <c r="Y2041" s="1354"/>
    </row>
    <row r="2042" spans="1:25" ht="15.75" customHeight="1" outlineLevel="1">
      <c r="A2042" s="2027" t="str">
        <f>'Ввод данных'!A542</f>
        <v>Листв. влаж, 200*200мм</v>
      </c>
      <c r="B2042" s="1228" t="s">
        <v>135</v>
      </c>
      <c r="C2042" s="1228">
        <f>(C2026+C2027+C2027)*D2019*VLOOKUP(A2042,'Прайс лист'!B333:G419,5,0)</f>
        <v>0</v>
      </c>
      <c r="D2042" s="1228">
        <f>VLOOKUP(A2042,'Прайс лист'!B333:G419,6,0)</f>
        <v>9000</v>
      </c>
      <c r="E2042" s="1063">
        <f t="shared" ref="E2042:E2061" si="238">C2042*D2042*$E$2040</f>
        <v>0</v>
      </c>
      <c r="F2042" s="1544"/>
      <c r="G2042" s="1353" t="s">
        <v>3817</v>
      </c>
      <c r="H2042" s="1353"/>
      <c r="I2042" s="1694"/>
      <c r="J2042" s="1353">
        <f>C2026*C2027*C2020+C2027*C2026*C2021</f>
        <v>9</v>
      </c>
      <c r="K2042" s="1353">
        <f>'Прайс лист'!G1879</f>
        <v>1500</v>
      </c>
      <c r="L2042" s="1353">
        <f>J2042*K2042*$E$2040</f>
        <v>13500</v>
      </c>
      <c r="M2042" s="1353"/>
      <c r="N2042" s="1353"/>
      <c r="P2042" s="1354"/>
      <c r="Q2042" s="1354"/>
      <c r="R2042" s="1354"/>
      <c r="S2042" s="1354"/>
      <c r="T2042" s="1354"/>
      <c r="U2042" s="1354"/>
      <c r="V2042" s="1354"/>
      <c r="W2042" s="1354"/>
      <c r="X2042" s="1354"/>
      <c r="Y2042" s="1354"/>
    </row>
    <row r="2043" spans="1:25" ht="15.75" customHeight="1" outlineLevel="1">
      <c r="A2043" s="1197" t="str">
        <f>'Ввод данных'!A544</f>
        <v>Листв. влаж, 200*150мм</v>
      </c>
      <c r="B2043" s="1339" t="s">
        <v>135</v>
      </c>
      <c r="C2043" s="1055">
        <f>((C2026+C2027+C2027)*2*C2020+(C2026+C2027+C2027)*2*C2021)*VLOOKUP(A2043,'Прайс лист'!B333:G419,5,0)</f>
        <v>0.54</v>
      </c>
      <c r="D2043" s="1055">
        <f>VLOOKUP(A2043,'Прайс лист'!B333:G419,6,0)</f>
        <v>8500</v>
      </c>
      <c r="E2043" s="1063">
        <f t="shared" si="238"/>
        <v>4590</v>
      </c>
      <c r="F2043" s="1544"/>
      <c r="G2043" s="1353" t="s">
        <v>3818</v>
      </c>
      <c r="H2043" s="1353"/>
      <c r="I2043" s="1694"/>
      <c r="J2043" s="1353">
        <f>J2042</f>
        <v>9</v>
      </c>
      <c r="K2043" s="1353">
        <f>'Прайс лист'!G1880</f>
        <v>300</v>
      </c>
      <c r="L2043" s="1353">
        <f>J2043*K2043*$E$2040</f>
        <v>2700</v>
      </c>
      <c r="M2043" s="1353"/>
      <c r="N2043" s="1353"/>
      <c r="P2043" s="1354"/>
      <c r="Q2043" s="1354"/>
      <c r="R2043" s="1354"/>
      <c r="S2043" s="1354"/>
      <c r="T2043" s="1354"/>
      <c r="U2043" s="1354"/>
      <c r="V2043" s="1354"/>
      <c r="W2043" s="1354"/>
      <c r="X2043" s="1354"/>
      <c r="Y2043" s="1354"/>
    </row>
    <row r="2044" spans="1:25" ht="15.75" customHeight="1" outlineLevel="1">
      <c r="A2044" s="1063" t="str">
        <f>'Прайс лист'!B790</f>
        <v>Рубероид</v>
      </c>
      <c r="B2044" s="1510" t="s">
        <v>156</v>
      </c>
      <c r="C2044" s="1510">
        <f>D2027*1.2*D2019</f>
        <v>0</v>
      </c>
      <c r="D2044" s="1228">
        <f>'Прайс лист'!G790</f>
        <v>30</v>
      </c>
      <c r="E2044" s="1063">
        <f t="shared" si="238"/>
        <v>0</v>
      </c>
      <c r="F2044" s="1544"/>
      <c r="G2044" s="1360" t="str">
        <f>'Прайс лист'!B1701</f>
        <v>Монтаж накладки на перила</v>
      </c>
      <c r="H2044" s="1360"/>
      <c r="I2044" s="2006"/>
      <c r="J2044" s="1360">
        <f>C2050</f>
        <v>9</v>
      </c>
      <c r="K2044" s="1360">
        <f>'Прайс лист'!G1701*IF('Ввод данных'!A552='Прайс лист'!B420,0,1)</f>
        <v>0</v>
      </c>
      <c r="L2044" s="1353">
        <f>J2044*K2044*$E$2040</f>
        <v>0</v>
      </c>
      <c r="M2044" s="1360"/>
      <c r="N2044" s="1360"/>
      <c r="P2044" s="1290"/>
      <c r="Q2044" s="1290"/>
      <c r="R2044" s="1290"/>
      <c r="S2044" s="1290"/>
      <c r="T2044" s="1290"/>
      <c r="U2044" s="1290"/>
      <c r="V2044" s="1290"/>
      <c r="W2044" s="1290"/>
      <c r="X2044" s="1290"/>
      <c r="Y2044" s="1290"/>
    </row>
    <row r="2045" spans="1:25" ht="15.75" customHeight="1" outlineLevel="1">
      <c r="A2045" s="1063" t="str">
        <f>'Ввод данных'!A540</f>
        <v>Листв. влаж, 200*150мм</v>
      </c>
      <c r="B2045" s="1510" t="s">
        <v>135</v>
      </c>
      <c r="C2045" s="1510">
        <f>(C2026/0.6*VLOOKUP(A2045,'Прайс лист'!B333:G419,5,0)*E2023*C2027+VLOOKUP(A2045,'Прайс лист'!B333:G419,5,0)*E2024*C2027+VLOOKUP(A2045,'Прайс лист'!B333:G419,5,0)*E2025*C2027)*D2019</f>
        <v>0</v>
      </c>
      <c r="D2045" s="1228">
        <f>VLOOKUP(A2045,'Прайс лист'!B333:G419,6,0)</f>
        <v>8500</v>
      </c>
      <c r="E2045" s="1063">
        <f t="shared" si="238"/>
        <v>0</v>
      </c>
      <c r="F2045" s="1544"/>
      <c r="G2045" s="1360" t="str">
        <f>'Прайс лист'!B1882</f>
        <v>Монтаж перил</v>
      </c>
      <c r="H2045" s="1360"/>
      <c r="I2045" s="2006"/>
      <c r="J2045" s="1360">
        <f>J2044</f>
        <v>9</v>
      </c>
      <c r="K2045" s="1360">
        <f>'Прайс лист'!G1882</f>
        <v>500</v>
      </c>
      <c r="L2045" s="1353">
        <f>J2045*K2045*$E$2040</f>
        <v>4500</v>
      </c>
      <c r="M2045" s="1360"/>
      <c r="N2045" s="1360"/>
      <c r="P2045" s="1290"/>
      <c r="Q2045" s="1290"/>
      <c r="R2045" s="1290"/>
      <c r="S2045" s="1290"/>
      <c r="T2045" s="1290"/>
      <c r="U2045" s="1290"/>
      <c r="V2045" s="1290"/>
      <c r="W2045" s="1290"/>
      <c r="X2045" s="1290"/>
      <c r="Y2045" s="1290"/>
    </row>
    <row r="2046" spans="1:25" ht="15.75" customHeight="1" outlineLevel="1">
      <c r="A2046" s="1063" t="str">
        <f>'Ввод данных'!A546</f>
        <v>Проф.брус вл. 200*150мм</v>
      </c>
      <c r="B2046" s="1510" t="s">
        <v>135</v>
      </c>
      <c r="C2046" s="1510">
        <f>((C2026/2+1+C2027/2*2+1)*C2028*C2020+(C2026/2+1+C2027/2*2+1)*C2029*C2021)*VLOOKUP(A2046,'Прайс лист'!B333:G419,5,0)</f>
        <v>0.52649999999999997</v>
      </c>
      <c r="D2046" s="1228">
        <f>VLOOKUP(A2046,'Прайс лист'!B333:G419,6,0)</f>
        <v>9300</v>
      </c>
      <c r="E2046" s="1063">
        <f t="shared" si="238"/>
        <v>4896.45</v>
      </c>
      <c r="F2046" s="1544"/>
      <c r="G2046" s="1360"/>
      <c r="H2046" s="1360"/>
      <c r="I2046" s="2006"/>
      <c r="J2046" s="1360"/>
      <c r="K2046" s="1360"/>
      <c r="L2046" s="1353"/>
      <c r="M2046" s="1360"/>
      <c r="N2046" s="1360"/>
      <c r="P2046" s="1290"/>
      <c r="Q2046" s="1290"/>
      <c r="R2046" s="1290"/>
      <c r="S2046" s="1290"/>
      <c r="T2046" s="1290"/>
      <c r="U2046" s="1290"/>
      <c r="V2046" s="1290"/>
      <c r="W2046" s="1290"/>
      <c r="X2046" s="1290"/>
      <c r="Y2046" s="1290"/>
    </row>
    <row r="2047" spans="1:25" ht="15.75" customHeight="1" outlineLevel="1">
      <c r="A2047" s="1063" t="str">
        <f>'Ввод данных'!A548</f>
        <v>Брус клееный проф 2 ламель кедр Шир. 240 выс. 140</v>
      </c>
      <c r="B2047" s="1510" t="s">
        <v>135</v>
      </c>
      <c r="C2047" s="1510">
        <f>((C2026+C2027+C2027)*C2020+(C2026+C2027+C2027)*C2021)*VLOOKUP(A2047,'Прайс лист'!B333:G419,5,0)</f>
        <v>0.30240000000000006</v>
      </c>
      <c r="D2047" s="1228">
        <f>VLOOKUP(A2047,'Прайс лист'!B333:G419,6,0)</f>
        <v>24000</v>
      </c>
      <c r="E2047" s="1063">
        <f t="shared" si="238"/>
        <v>7257.6000000000013</v>
      </c>
      <c r="F2047" s="1290"/>
      <c r="G2047" s="1360"/>
      <c r="H2047" s="1360"/>
      <c r="I2047" s="2006"/>
      <c r="J2047" s="1360"/>
      <c r="K2047" s="1360"/>
      <c r="L2047" s="1353"/>
      <c r="M2047" s="1360"/>
      <c r="N2047" s="1360"/>
      <c r="P2047" s="1290"/>
      <c r="Q2047" s="1290"/>
      <c r="R2047" s="1290"/>
      <c r="S2047" s="1290"/>
      <c r="T2047" s="1290"/>
      <c r="U2047" s="1290"/>
      <c r="V2047" s="1290"/>
      <c r="W2047" s="1290"/>
      <c r="X2047" s="1290"/>
      <c r="Y2047" s="1290"/>
    </row>
    <row r="2048" spans="1:25" ht="15.75" customHeight="1" outlineLevel="1">
      <c r="A2048" s="1063" t="str">
        <f>'Ввод данных'!A550</f>
        <v>Брус клееный проф 1 ламель кедр Шир. 240 выс. 140</v>
      </c>
      <c r="B2048" s="1510" t="s">
        <v>135</v>
      </c>
      <c r="C2048" s="1510">
        <f>((C2026/0.3+C2027/0.3+C2027/0.3)*C2020+(C2026/0.3+C2027/0.3+C2027/0.3)*C2021)*VLOOKUP(A2048,'Прайс лист'!B333:G419,5,0)</f>
        <v>1.0080000000000002</v>
      </c>
      <c r="D2048" s="1228">
        <f>VLOOKUP(A2048,'Прайс лист'!B333:G419,6,0)</f>
        <v>24000</v>
      </c>
      <c r="E2048" s="1063">
        <f t="shared" si="238"/>
        <v>24192.000000000007</v>
      </c>
      <c r="F2048" s="1290"/>
      <c r="G2048" s="1360"/>
      <c r="H2048" s="1360"/>
      <c r="I2048" s="2006"/>
      <c r="J2048" s="1360"/>
      <c r="K2048" s="1360"/>
      <c r="L2048" s="1353"/>
      <c r="M2048" s="1360"/>
      <c r="N2048" s="1360"/>
      <c r="P2048" s="1290"/>
      <c r="Q2048" s="1290"/>
      <c r="R2048" s="1290"/>
      <c r="S2048" s="1290"/>
      <c r="T2048" s="1290"/>
      <c r="U2048" s="1290"/>
      <c r="V2048" s="1290"/>
      <c r="W2048" s="1290"/>
      <c r="X2048" s="1290"/>
      <c r="Y2048" s="1290"/>
    </row>
    <row r="2049" spans="1:25" ht="15.75" customHeight="1" outlineLevel="1">
      <c r="A2049" s="1360" t="str">
        <f>'Ввод данных'!A554</f>
        <v>Проф.брус вл. 200*180мм</v>
      </c>
      <c r="B2049" s="1600" t="s">
        <v>135</v>
      </c>
      <c r="C2049" s="1600">
        <f>VLOOKUP(A2049,'Прайс лист'!B333:G419,5,0)*('Ввод данных'!C554*'Ввод данных'!D554+'Ввод данных'!C555*'Ввод данных'!D555)</f>
        <v>0.504</v>
      </c>
      <c r="D2049" s="1228">
        <f>VLOOKUP(A2049,'Прайс лист'!B333:G419,6,0)</f>
        <v>9300</v>
      </c>
      <c r="E2049" s="1063">
        <f t="shared" si="238"/>
        <v>4687.2</v>
      </c>
      <c r="F2049" s="1290"/>
      <c r="G2049" s="1360"/>
      <c r="H2049" s="1360"/>
      <c r="I2049" s="2006"/>
      <c r="J2049" s="1360"/>
      <c r="K2049" s="1360"/>
      <c r="L2049" s="1353"/>
      <c r="M2049" s="1360"/>
      <c r="N2049" s="1360"/>
      <c r="P2049" s="1290"/>
      <c r="Q2049" s="1290"/>
      <c r="R2049" s="1290"/>
      <c r="S2049" s="1290"/>
      <c r="T2049" s="1290"/>
      <c r="U2049" s="1290"/>
      <c r="V2049" s="1290"/>
      <c r="W2049" s="1290"/>
      <c r="X2049" s="1290"/>
      <c r="Y2049" s="1290"/>
    </row>
    <row r="2050" spans="1:25" ht="15.75" customHeight="1" outlineLevel="1">
      <c r="A2050" s="1360" t="str">
        <f>'Ввод данных'!A552</f>
        <v>Нет накладки</v>
      </c>
      <c r="B2050" s="1600" t="s">
        <v>156</v>
      </c>
      <c r="C2050" s="1600">
        <f>((C2026+C2027+C2027)*C2020+(C2026+C2027+C2027)*C2021)</f>
        <v>9</v>
      </c>
      <c r="D2050" s="1228">
        <f>VLOOKUP(A2050,'Прайс лист'!B420:G424,6,0)</f>
        <v>0</v>
      </c>
      <c r="E2050" s="1063">
        <f t="shared" si="238"/>
        <v>0</v>
      </c>
      <c r="F2050" s="1290"/>
      <c r="G2050" s="1360"/>
      <c r="H2050" s="1360"/>
      <c r="I2050" s="2006"/>
      <c r="J2050" s="1360"/>
      <c r="K2050" s="1360"/>
      <c r="L2050" s="1353"/>
      <c r="M2050" s="1360"/>
      <c r="N2050" s="1360"/>
      <c r="P2050" s="1290"/>
      <c r="Q2050" s="1290"/>
      <c r="R2050" s="1290"/>
      <c r="S2050" s="1290"/>
      <c r="T2050" s="1290"/>
      <c r="U2050" s="1290"/>
      <c r="V2050" s="1290"/>
      <c r="W2050" s="1290"/>
      <c r="X2050" s="1290"/>
      <c r="Y2050" s="1290"/>
    </row>
    <row r="2051" spans="1:25" ht="15.75" customHeight="1" outlineLevel="1">
      <c r="A2051" s="1360" t="str">
        <f>'Прайс лист'!B530</f>
        <v>Гидрокомпенсатор</v>
      </c>
      <c r="B2051" s="1600" t="s">
        <v>159</v>
      </c>
      <c r="C2051" s="1600">
        <f>CEILING(((C2026/2+1+C2027/2*2+1)*C2028*C2020+(C2026/2+1+C2027/2*2+1)*C2029*C2021)/2,1)</f>
        <v>9</v>
      </c>
      <c r="D2051" s="1228">
        <f>'Прайс лист'!G530</f>
        <v>450</v>
      </c>
      <c r="E2051" s="1063">
        <f t="shared" si="238"/>
        <v>4050</v>
      </c>
      <c r="F2051" s="1290"/>
      <c r="G2051" s="1360"/>
      <c r="H2051" s="1360"/>
      <c r="I2051" s="2006"/>
      <c r="J2051" s="1360"/>
      <c r="K2051" s="1360"/>
      <c r="L2051" s="1353"/>
      <c r="M2051" s="1360"/>
      <c r="N2051" s="1360"/>
      <c r="P2051" s="1290"/>
      <c r="Q2051" s="1290"/>
      <c r="R2051" s="1290"/>
      <c r="S2051" s="1290"/>
      <c r="T2051" s="1290"/>
      <c r="U2051" s="1290"/>
      <c r="V2051" s="1290"/>
      <c r="W2051" s="1290"/>
      <c r="X2051" s="1290"/>
      <c r="Y2051" s="1290"/>
    </row>
    <row r="2052" spans="1:25" ht="15.75" customHeight="1" outlineLevel="1">
      <c r="A2052" s="1360" t="str">
        <f>'Ввод данных'!A601</f>
        <v xml:space="preserve">Уголок усиленный 90х70х55х2,5        </v>
      </c>
      <c r="B2052" s="1600" t="str">
        <f>'Ввод данных'!B601</f>
        <v>шт</v>
      </c>
      <c r="C2052" s="1360">
        <f>'Ввод данных'!C601</f>
        <v>0</v>
      </c>
      <c r="D2052" s="1228">
        <f>VLOOKUP(A2052,'Прайс лист'!B837:G840,6,0)</f>
        <v>30</v>
      </c>
      <c r="E2052" s="1063">
        <f t="shared" si="238"/>
        <v>0</v>
      </c>
      <c r="F2052" s="1290"/>
      <c r="G2052" s="1360"/>
      <c r="H2052" s="1360"/>
      <c r="I2052" s="2006"/>
      <c r="J2052" s="1360"/>
      <c r="K2052" s="1360"/>
      <c r="L2052" s="1353"/>
      <c r="M2052" s="1360"/>
      <c r="N2052" s="1360"/>
      <c r="P2052" s="1290"/>
      <c r="Q2052" s="1290"/>
      <c r="R2052" s="1290"/>
      <c r="S2052" s="1290"/>
      <c r="T2052" s="1290"/>
      <c r="U2052" s="1290"/>
      <c r="V2052" s="1290"/>
      <c r="W2052" s="1290"/>
      <c r="X2052" s="1290"/>
      <c r="Y2052" s="1290"/>
    </row>
    <row r="2053" spans="1:25" ht="15.75" customHeight="1" outlineLevel="1">
      <c r="A2053" s="1360" t="str">
        <f>'Ввод данных'!A602</f>
        <v>Нет уголков</v>
      </c>
      <c r="B2053" s="1600" t="str">
        <f>'Ввод данных'!B602</f>
        <v>шт</v>
      </c>
      <c r="C2053" s="1360">
        <f>'Ввод данных'!C602</f>
        <v>0</v>
      </c>
      <c r="D2053" s="1228">
        <f>VLOOKUP(A2053,'Прайс лист'!B837:G840,6,0)</f>
        <v>0</v>
      </c>
      <c r="E2053" s="1063">
        <f t="shared" si="238"/>
        <v>0</v>
      </c>
      <c r="F2053" s="1290"/>
      <c r="G2053" s="1360"/>
      <c r="H2053" s="1360"/>
      <c r="I2053" s="2006"/>
      <c r="J2053" s="1360"/>
      <c r="K2053" s="1360"/>
      <c r="L2053" s="1353"/>
      <c r="M2053" s="1360"/>
      <c r="N2053" s="1360"/>
      <c r="P2053" s="1290"/>
      <c r="Q2053" s="1290"/>
      <c r="R2053" s="1290"/>
      <c r="S2053" s="1290"/>
      <c r="T2053" s="1290"/>
      <c r="U2053" s="1290"/>
      <c r="V2053" s="1290"/>
      <c r="W2053" s="1290"/>
      <c r="X2053" s="1290"/>
      <c r="Y2053" s="1290"/>
    </row>
    <row r="2054" spans="1:25" ht="15.75" customHeight="1" outlineLevel="1">
      <c r="A2054" s="1360" t="str">
        <f>'Ввод данных'!A603</f>
        <v xml:space="preserve">Пластина соеденительная 100х240х2           </v>
      </c>
      <c r="B2054" s="1600" t="str">
        <f>'Ввод данных'!B603</f>
        <v>шт</v>
      </c>
      <c r="C2054" s="1360">
        <f>'Ввод данных'!C603</f>
        <v>0</v>
      </c>
      <c r="D2054" s="1228">
        <f>VLOOKUP(A2054,'Прайс лист'!B845:G848,6,0)</f>
        <v>31.54</v>
      </c>
      <c r="E2054" s="1063">
        <f t="shared" si="238"/>
        <v>0</v>
      </c>
      <c r="F2054" s="1290"/>
      <c r="G2054" s="1360"/>
      <c r="H2054" s="1360"/>
      <c r="I2054" s="2006"/>
      <c r="J2054" s="1360"/>
      <c r="K2054" s="1360"/>
      <c r="L2054" s="1353"/>
      <c r="M2054" s="1360"/>
      <c r="N2054" s="1360"/>
      <c r="P2054" s="1290"/>
      <c r="Q2054" s="1290"/>
      <c r="R2054" s="1290"/>
      <c r="S2054" s="1290"/>
      <c r="T2054" s="1290"/>
      <c r="U2054" s="1290"/>
      <c r="V2054" s="1290"/>
      <c r="W2054" s="1290"/>
      <c r="X2054" s="1290"/>
      <c r="Y2054" s="1290"/>
    </row>
    <row r="2055" spans="1:25" ht="15.75" customHeight="1" outlineLevel="1">
      <c r="A2055" s="1360" t="str">
        <f>'Ввод данных'!A604</f>
        <v>Нет пластин</v>
      </c>
      <c r="B2055" s="1600" t="str">
        <f>'Ввод данных'!B604</f>
        <v>шт</v>
      </c>
      <c r="C2055" s="1360">
        <f>'Ввод данных'!C604</f>
        <v>0</v>
      </c>
      <c r="D2055" s="1228">
        <f>VLOOKUP(A2055,'Прайс лист'!B845:G848,6,0)</f>
        <v>0</v>
      </c>
      <c r="E2055" s="1063">
        <f t="shared" si="238"/>
        <v>0</v>
      </c>
      <c r="F2055" s="1290"/>
      <c r="G2055" s="1360"/>
      <c r="H2055" s="1360"/>
      <c r="I2055" s="2006"/>
      <c r="J2055" s="1360"/>
      <c r="K2055" s="1360"/>
      <c r="L2055" s="1353"/>
      <c r="M2055" s="1360"/>
      <c r="N2055" s="1360"/>
      <c r="P2055" s="1290"/>
      <c r="Q2055" s="1290"/>
      <c r="R2055" s="1290"/>
      <c r="S2055" s="1290"/>
      <c r="T2055" s="1290"/>
      <c r="U2055" s="1290"/>
      <c r="V2055" s="1290"/>
      <c r="W2055" s="1290"/>
      <c r="X2055" s="1290"/>
      <c r="Y2055" s="1290"/>
    </row>
    <row r="2056" spans="1:25" ht="15.75" customHeight="1" outlineLevel="1">
      <c r="A2056" s="1360" t="str">
        <f>'Ввод данных'!A605</f>
        <v xml:space="preserve">Болты анкерные с гайкой 12,0 x 100          </v>
      </c>
      <c r="B2056" s="1600" t="str">
        <f>'Ввод данных'!B605</f>
        <v>шт</v>
      </c>
      <c r="C2056" s="1360">
        <f>'Ввод данных'!C605</f>
        <v>0</v>
      </c>
      <c r="D2056" s="1228">
        <f>VLOOKUP(A2056,'Прайс лист'!B858:G870,6,0)</f>
        <v>11.2</v>
      </c>
      <c r="E2056" s="1063">
        <f t="shared" si="238"/>
        <v>0</v>
      </c>
      <c r="F2056" s="1290"/>
      <c r="G2056" s="1360"/>
      <c r="H2056" s="1360"/>
      <c r="I2056" s="2006"/>
      <c r="J2056" s="1360"/>
      <c r="K2056" s="1360"/>
      <c r="L2056" s="1353"/>
      <c r="M2056" s="1360"/>
      <c r="N2056" s="1360"/>
      <c r="P2056" s="1290"/>
      <c r="Q2056" s="1290"/>
      <c r="R2056" s="1290"/>
      <c r="S2056" s="1290"/>
      <c r="T2056" s="1290"/>
      <c r="U2056" s="1290"/>
      <c r="V2056" s="1290"/>
      <c r="W2056" s="1290"/>
      <c r="X2056" s="1290"/>
      <c r="Y2056" s="1290"/>
    </row>
    <row r="2057" spans="1:25" ht="15.75" customHeight="1" outlineLevel="1">
      <c r="A2057" s="1360" t="str">
        <f>'Ввод данных'!A606</f>
        <v>Нет анкерных болтов</v>
      </c>
      <c r="B2057" s="1600" t="str">
        <f>'Ввод данных'!B606</f>
        <v>шт</v>
      </c>
      <c r="C2057" s="1360">
        <f>'Ввод данных'!C606</f>
        <v>0</v>
      </c>
      <c r="D2057" s="1228">
        <f>VLOOKUP(A2057,'Прайс лист'!B858:G870,6,0)</f>
        <v>0</v>
      </c>
      <c r="E2057" s="1063">
        <f t="shared" si="238"/>
        <v>0</v>
      </c>
      <c r="F2057" s="1290"/>
      <c r="G2057" s="1360"/>
      <c r="H2057" s="1360"/>
      <c r="I2057" s="2006"/>
      <c r="J2057" s="1360"/>
      <c r="K2057" s="1360"/>
      <c r="L2057" s="1353"/>
      <c r="M2057" s="1360"/>
      <c r="N2057" s="1360"/>
      <c r="P2057" s="1290"/>
      <c r="Q2057" s="1290"/>
      <c r="R2057" s="1290"/>
      <c r="S2057" s="1290"/>
      <c r="T2057" s="1290"/>
      <c r="U2057" s="1290"/>
      <c r="V2057" s="1290"/>
      <c r="W2057" s="1290"/>
      <c r="X2057" s="1290"/>
      <c r="Y2057" s="1290"/>
    </row>
    <row r="2058" spans="1:25" ht="15.75" customHeight="1" outlineLevel="1">
      <c r="A2058" s="1360" t="str">
        <f>'Ввод данных'!A607</f>
        <v xml:space="preserve">Саморезы 3,5 x 45            </v>
      </c>
      <c r="B2058" s="1600" t="str">
        <f>'Ввод данных'!B607</f>
        <v>кг</v>
      </c>
      <c r="C2058" s="1360">
        <f>'Ввод данных'!C607</f>
        <v>0</v>
      </c>
      <c r="D2058" s="1228">
        <f>VLOOKUP(A2058,'Прайс лист'!B875:G881,6,0)</f>
        <v>105.62</v>
      </c>
      <c r="E2058" s="1063">
        <f t="shared" si="238"/>
        <v>0</v>
      </c>
      <c r="F2058" s="1290"/>
      <c r="G2058" s="1360"/>
      <c r="H2058" s="1360"/>
      <c r="I2058" s="2006"/>
      <c r="J2058" s="1360"/>
      <c r="K2058" s="1360"/>
      <c r="L2058" s="1353"/>
      <c r="M2058" s="1360"/>
      <c r="N2058" s="1360"/>
      <c r="P2058" s="1290"/>
      <c r="Q2058" s="1290"/>
      <c r="R2058" s="1290"/>
      <c r="S2058" s="1290"/>
      <c r="T2058" s="1290"/>
      <c r="U2058" s="1290"/>
      <c r="V2058" s="1290"/>
      <c r="W2058" s="1290"/>
      <c r="X2058" s="1290"/>
      <c r="Y2058" s="1290"/>
    </row>
    <row r="2059" spans="1:25" ht="15.75" customHeight="1" outlineLevel="1">
      <c r="A2059" s="1360" t="str">
        <f>'Ввод данных'!A608</f>
        <v>Нет саморезов</v>
      </c>
      <c r="B2059" s="1600" t="str">
        <f>'Ввод данных'!B608</f>
        <v>кг</v>
      </c>
      <c r="C2059" s="1360">
        <f>'Ввод данных'!C608</f>
        <v>0</v>
      </c>
      <c r="D2059" s="1228">
        <f>VLOOKUP(A2059,'Прайс лист'!B875:G881,6,0)</f>
        <v>0</v>
      </c>
      <c r="E2059" s="1063">
        <f t="shared" si="238"/>
        <v>0</v>
      </c>
      <c r="F2059" s="1290"/>
      <c r="G2059" s="1360"/>
      <c r="H2059" s="1360"/>
      <c r="I2059" s="2006"/>
      <c r="J2059" s="1360"/>
      <c r="K2059" s="1360"/>
      <c r="L2059" s="1353"/>
      <c r="M2059" s="1360"/>
      <c r="N2059" s="1360"/>
      <c r="P2059" s="1290"/>
      <c r="Q2059" s="1290"/>
      <c r="R2059" s="1290"/>
      <c r="S2059" s="1290"/>
      <c r="T2059" s="1290"/>
      <c r="U2059" s="1290"/>
      <c r="V2059" s="1290"/>
      <c r="W2059" s="1290"/>
      <c r="X2059" s="1290"/>
      <c r="Y2059" s="1290"/>
    </row>
    <row r="2060" spans="1:25" ht="15.75" customHeight="1" outlineLevel="1">
      <c r="A2060" s="1360" t="str">
        <f>'Ввод данных'!A609</f>
        <v xml:space="preserve">Гвозди строительные 2,5 x 60            </v>
      </c>
      <c r="B2060" s="1600" t="str">
        <f>'Ввод данных'!B609</f>
        <v>кг</v>
      </c>
      <c r="C2060" s="1360">
        <f>'Ввод данных'!C609</f>
        <v>0</v>
      </c>
      <c r="D2060" s="1228">
        <f>VLOOKUP(A2060,'Прайс лист'!B888:G891,6,0)</f>
        <v>70</v>
      </c>
      <c r="E2060" s="1063">
        <f t="shared" si="238"/>
        <v>0</v>
      </c>
      <c r="F2060" s="1290"/>
      <c r="G2060" s="1360"/>
      <c r="H2060" s="1360"/>
      <c r="I2060" s="2006"/>
      <c r="J2060" s="1360"/>
      <c r="K2060" s="1360"/>
      <c r="L2060" s="1353"/>
      <c r="M2060" s="1360"/>
      <c r="N2060" s="1360"/>
      <c r="P2060" s="1290"/>
      <c r="Q2060" s="1290"/>
      <c r="R2060" s="1290"/>
      <c r="S2060" s="1290"/>
      <c r="T2060" s="1290"/>
      <c r="U2060" s="1290"/>
      <c r="V2060" s="1290"/>
      <c r="W2060" s="1290"/>
      <c r="X2060" s="1290"/>
      <c r="Y2060" s="1290"/>
    </row>
    <row r="2061" spans="1:25" ht="15.75" customHeight="1" outlineLevel="1">
      <c r="A2061" s="1360" t="str">
        <f>'Ввод данных'!A610</f>
        <v xml:space="preserve">Гвозди ершоные 3,4 x 60            </v>
      </c>
      <c r="B2061" s="1600" t="str">
        <f>'Ввод данных'!B610</f>
        <v>кг</v>
      </c>
      <c r="C2061" s="1360">
        <f>'Ввод данных'!C610</f>
        <v>0</v>
      </c>
      <c r="D2061" s="1228">
        <f>VLOOKUP(A2061,'Прайс лист'!B896:G898,6,0)</f>
        <v>75.510000000000005</v>
      </c>
      <c r="E2061" s="1063">
        <f t="shared" si="238"/>
        <v>0</v>
      </c>
      <c r="F2061" s="1290"/>
      <c r="G2061" s="1360"/>
      <c r="H2061" s="1360"/>
      <c r="I2061" s="2006"/>
      <c r="J2061" s="1360"/>
      <c r="K2061" s="1360"/>
      <c r="L2061" s="1353"/>
      <c r="M2061" s="1360"/>
      <c r="N2061" s="1360"/>
      <c r="P2061" s="1290"/>
      <c r="Q2061" s="1290"/>
      <c r="R2061" s="1290"/>
      <c r="S2061" s="1290"/>
      <c r="T2061" s="1290"/>
      <c r="U2061" s="1290"/>
      <c r="V2061" s="1290"/>
      <c r="W2061" s="1290"/>
      <c r="X2061" s="1290"/>
      <c r="Y2061" s="1290"/>
    </row>
    <row r="2062" spans="1:25" ht="15.75" customHeight="1" outlineLevel="1">
      <c r="A2062" s="1360" t="str">
        <f>'Ввод данных'!A613</f>
        <v>Нет техники</v>
      </c>
      <c r="B2062" s="1600" t="str">
        <f>'Ввод данных'!B613</f>
        <v>ед.</v>
      </c>
      <c r="C2062" s="1360">
        <f>'Ввод данных'!C613</f>
        <v>1</v>
      </c>
      <c r="D2062" s="1228">
        <f>VLOOKUP(A2062,'Прайс лист'!B180:G194,6,0)</f>
        <v>0</v>
      </c>
      <c r="E2062" s="1063">
        <f>C2062*D2062</f>
        <v>0</v>
      </c>
      <c r="F2062" s="1290"/>
      <c r="G2062" s="1360"/>
      <c r="H2062" s="1360"/>
      <c r="I2062" s="2006"/>
      <c r="J2062" s="1360"/>
      <c r="K2062" s="1360"/>
      <c r="L2062" s="1353"/>
      <c r="M2062" s="1360"/>
      <c r="N2062" s="1360"/>
      <c r="P2062" s="1290"/>
      <c r="Q2062" s="1290"/>
      <c r="R2062" s="1290"/>
      <c r="S2062" s="1290"/>
      <c r="T2062" s="1290"/>
      <c r="U2062" s="1290"/>
      <c r="V2062" s="1290"/>
      <c r="W2062" s="1290"/>
      <c r="X2062" s="1290"/>
      <c r="Y2062" s="1290"/>
    </row>
    <row r="2063" spans="1:25" ht="15.75" customHeight="1" outlineLevel="1">
      <c r="A2063" s="1360" t="str">
        <f>'Ввод данных'!A614</f>
        <v>Нет техники</v>
      </c>
      <c r="B2063" s="1600" t="str">
        <f>'Ввод данных'!B614</f>
        <v>ед.</v>
      </c>
      <c r="C2063" s="1360">
        <f>'Ввод данных'!C614</f>
        <v>0</v>
      </c>
      <c r="D2063" s="1228">
        <f>VLOOKUP(A2063,'Прайс лист'!B180:G194,6,0)</f>
        <v>0</v>
      </c>
      <c r="E2063" s="1063">
        <f>C2063*D2063</f>
        <v>0</v>
      </c>
      <c r="F2063" s="1290"/>
      <c r="G2063" s="1360"/>
      <c r="H2063" s="1360"/>
      <c r="I2063" s="2006"/>
      <c r="J2063" s="1360"/>
      <c r="K2063" s="1360"/>
      <c r="L2063" s="1353"/>
      <c r="M2063" s="1360"/>
      <c r="N2063" s="1360"/>
      <c r="P2063" s="1290"/>
      <c r="Q2063" s="1290"/>
      <c r="R2063" s="1290"/>
      <c r="S2063" s="1290"/>
      <c r="T2063" s="1290"/>
      <c r="U2063" s="1290"/>
      <c r="V2063" s="1290"/>
      <c r="W2063" s="1290"/>
      <c r="X2063" s="1290"/>
      <c r="Y2063" s="1290"/>
    </row>
    <row r="2064" spans="1:25" ht="15.75" customHeight="1" outlineLevel="1">
      <c r="A2064" s="1360" t="str">
        <f>'Ввод данных'!A616</f>
        <v>расходные материалы веранда</v>
      </c>
      <c r="B2064" s="1600" t="str">
        <f>'Ввод данных'!B616</f>
        <v>рублей</v>
      </c>
      <c r="C2064" s="1360">
        <f>1</f>
        <v>1</v>
      </c>
      <c r="D2064" s="1228">
        <f>'Ввод данных'!C616</f>
        <v>0</v>
      </c>
      <c r="E2064" s="1063">
        <f>C2064*D2064</f>
        <v>0</v>
      </c>
      <c r="F2064" s="1290"/>
      <c r="G2064" s="1360"/>
      <c r="H2064" s="1360"/>
      <c r="I2064" s="2006"/>
      <c r="J2064" s="1360"/>
      <c r="K2064" s="1360"/>
      <c r="L2064" s="1353"/>
      <c r="M2064" s="1360"/>
      <c r="N2064" s="1360"/>
      <c r="P2064" s="1290"/>
      <c r="Q2064" s="1290"/>
      <c r="R2064" s="1290"/>
      <c r="S2064" s="1290"/>
      <c r="T2064" s="1290"/>
      <c r="U2064" s="1290"/>
      <c r="V2064" s="1290"/>
      <c r="W2064" s="1290"/>
      <c r="X2064" s="1290"/>
      <c r="Y2064" s="1290"/>
    </row>
    <row r="2065" spans="1:25" s="1197" customFormat="1" ht="15.75" customHeight="1" outlineLevel="1">
      <c r="F2065" s="1290"/>
      <c r="G2065" s="1392"/>
      <c r="H2065" s="1392"/>
      <c r="I2065" s="1780"/>
      <c r="J2065" s="1392"/>
      <c r="K2065" s="1392"/>
      <c r="L2065" s="1380"/>
      <c r="M2065" s="1392"/>
      <c r="N2065" s="1392"/>
      <c r="P2065" s="1290"/>
      <c r="Q2065" s="1290"/>
      <c r="R2065" s="1290"/>
      <c r="S2065" s="1290"/>
      <c r="T2065" s="1290"/>
      <c r="U2065" s="1290"/>
      <c r="V2065" s="1290"/>
      <c r="W2065" s="1290"/>
      <c r="X2065" s="1290"/>
      <c r="Y2065" s="1290"/>
    </row>
    <row r="2066" spans="1:25" ht="15.75" customHeight="1" outlineLevel="1">
      <c r="A2066" s="1392"/>
      <c r="B2066" s="2005"/>
      <c r="C2066" s="2005"/>
      <c r="D2066" s="360"/>
      <c r="E2066" s="1544"/>
      <c r="F2066" s="1290"/>
      <c r="G2066" s="1392"/>
      <c r="H2066" s="1392"/>
      <c r="I2066" s="1780"/>
      <c r="J2066" s="1392"/>
      <c r="K2066" s="1392"/>
      <c r="L2066" s="1380"/>
      <c r="M2066" s="1392"/>
      <c r="N2066" s="1392"/>
      <c r="P2066" s="1290"/>
      <c r="Q2066" s="1290"/>
      <c r="R2066" s="1290"/>
      <c r="S2066" s="1290"/>
      <c r="T2066" s="1290"/>
      <c r="U2066" s="1290"/>
      <c r="V2066" s="1290"/>
      <c r="W2066" s="1290"/>
      <c r="X2066" s="1290"/>
      <c r="Y2066" s="1290"/>
    </row>
    <row r="2067" spans="1:25" ht="15.75" customHeight="1" outlineLevel="1">
      <c r="A2067" s="1290" t="str">
        <f>'Ввод данных'!A582</f>
        <v>Длина Н14</v>
      </c>
      <c r="B2067" s="1972" t="str">
        <f>'Ввод данных'!B582</f>
        <v>м.п.</v>
      </c>
      <c r="C2067" s="1290">
        <f>'Ввод данных'!C582</f>
        <v>2</v>
      </c>
      <c r="D2067" s="1290"/>
      <c r="E2067" s="1290"/>
      <c r="F2067" s="1290"/>
      <c r="G2067" s="1290"/>
      <c r="H2067" s="1290"/>
      <c r="I2067" s="1973"/>
      <c r="J2067" s="1290"/>
      <c r="K2067" s="1290"/>
      <c r="L2067" s="1290"/>
      <c r="M2067" s="1290"/>
      <c r="N2067" s="1290"/>
      <c r="P2067" s="1290"/>
      <c r="Q2067" s="1290"/>
      <c r="R2067" s="1290"/>
      <c r="S2067" s="1290"/>
      <c r="T2067" s="1290"/>
      <c r="U2067" s="1290"/>
      <c r="V2067" s="1290"/>
      <c r="W2067" s="1290"/>
      <c r="X2067" s="1290"/>
      <c r="Y2067" s="1290"/>
    </row>
    <row r="2068" spans="1:25" ht="15.75" customHeight="1" outlineLevel="1">
      <c r="A2068" s="1290" t="str">
        <f>'Ввод данных'!A583</f>
        <v>Ширина Н15</v>
      </c>
      <c r="B2068" s="1972" t="str">
        <f>'Ввод данных'!B583</f>
        <v>м.п.</v>
      </c>
      <c r="C2068" s="1290">
        <f>'Ввод данных'!C583</f>
        <v>1.6</v>
      </c>
      <c r="D2068" s="1290"/>
      <c r="E2068" s="1290"/>
      <c r="F2068" s="1290"/>
      <c r="G2068" s="1290"/>
      <c r="H2068" s="1290"/>
      <c r="I2068" s="1973"/>
      <c r="J2068" s="1290"/>
      <c r="K2068" s="1290"/>
      <c r="L2068" s="1290"/>
      <c r="M2068" s="1290"/>
      <c r="N2068" s="1290"/>
      <c r="O2068" s="1290"/>
      <c r="P2068" s="1290"/>
      <c r="Q2068" s="1290"/>
      <c r="R2068" s="1290"/>
      <c r="S2068" s="1290"/>
      <c r="T2068" s="1290"/>
      <c r="U2068" s="1290"/>
      <c r="V2068" s="1290"/>
      <c r="W2068" s="1290"/>
      <c r="X2068" s="1290"/>
      <c r="Y2068" s="1290"/>
    </row>
    <row r="2069" spans="1:25" ht="15.75" customHeight="1" outlineLevel="1">
      <c r="A2069" s="1290" t="str">
        <f>'Ввод данных'!A584</f>
        <v xml:space="preserve">Высота перил </v>
      </c>
      <c r="B2069" s="1972" t="str">
        <f>'Ввод данных'!B584</f>
        <v>м.п.</v>
      </c>
      <c r="C2069" s="1290">
        <f>'Ввод данных'!C584</f>
        <v>0.9</v>
      </c>
      <c r="D2069" s="1290"/>
      <c r="E2069" s="1290"/>
      <c r="F2069" s="1290"/>
      <c r="G2069" s="1290"/>
      <c r="H2069" s="1290"/>
      <c r="I2069" s="1973"/>
      <c r="J2069" s="1290"/>
      <c r="K2069" s="1290"/>
      <c r="L2069" s="1290"/>
      <c r="M2069" s="1290"/>
      <c r="N2069" s="1290"/>
      <c r="O2069" s="1290"/>
      <c r="P2069" s="1290"/>
      <c r="Q2069" s="1290"/>
      <c r="R2069" s="1290"/>
      <c r="S2069" s="1290"/>
      <c r="T2069" s="1290"/>
      <c r="U2069" s="1290"/>
      <c r="V2069" s="1290"/>
      <c r="W2069" s="1290"/>
      <c r="X2069" s="1290"/>
      <c r="Y2069" s="1290"/>
    </row>
    <row r="2070" spans="1:25" ht="15.75" customHeight="1" outlineLevel="1">
      <c r="A2070" s="1380"/>
      <c r="B2070" s="1805"/>
      <c r="C2070" s="1972"/>
      <c r="D2070" s="1290"/>
      <c r="E2070" s="1290"/>
      <c r="F2070" s="1290"/>
      <c r="G2070" s="1290"/>
      <c r="H2070" s="1290"/>
      <c r="I2070" s="1973"/>
      <c r="J2070" s="1290"/>
      <c r="K2070" s="1290"/>
      <c r="L2070" s="1290"/>
      <c r="M2070" s="1290"/>
      <c r="N2070" s="1290"/>
      <c r="O2070" s="1290"/>
      <c r="P2070" s="1290"/>
      <c r="Q2070" s="1290"/>
      <c r="R2070" s="1290"/>
      <c r="S2070" s="1290"/>
      <c r="T2070" s="1290"/>
      <c r="U2070" s="1290"/>
      <c r="V2070" s="1290"/>
      <c r="W2070" s="1290"/>
      <c r="X2070" s="1290"/>
      <c r="Y2070" s="1290"/>
    </row>
    <row r="2071" spans="1:25" ht="15.75" customHeight="1" outlineLevel="1">
      <c r="A2071" s="1290" t="s">
        <v>3819</v>
      </c>
      <c r="B2071" s="1972" t="s">
        <v>156</v>
      </c>
      <c r="C2071" s="1972">
        <f>'Ввод данных'!C13</f>
        <v>3</v>
      </c>
      <c r="D2071" s="1290"/>
      <c r="E2071" s="1290"/>
      <c r="F2071" s="1290"/>
      <c r="G2071" s="1290"/>
      <c r="H2071" s="1290"/>
      <c r="I2071" s="1973"/>
      <c r="J2071" s="1290"/>
      <c r="K2071" s="1290"/>
      <c r="L2071" s="1290"/>
      <c r="M2071" s="1290"/>
      <c r="N2071" s="1290"/>
      <c r="O2071" s="1290"/>
      <c r="P2071" s="1290"/>
      <c r="Q2071" s="1290"/>
      <c r="R2071" s="1290"/>
      <c r="S2071" s="1290"/>
      <c r="T2071" s="1290"/>
      <c r="U2071" s="1290"/>
      <c r="V2071" s="1290"/>
      <c r="W2071" s="1290"/>
      <c r="X2071" s="1290"/>
      <c r="Y2071" s="1290"/>
    </row>
    <row r="2072" spans="1:25" ht="15.75" customHeight="1" outlineLevel="1">
      <c r="A2072" s="1290" t="s">
        <v>3820</v>
      </c>
      <c r="B2072" s="1972"/>
      <c r="C2072" s="2028">
        <f>C2067*C2068*E2075</f>
        <v>0</v>
      </c>
      <c r="D2072" s="1290"/>
      <c r="E2072" s="1290"/>
      <c r="F2072" s="1290"/>
      <c r="G2072" s="1290"/>
      <c r="H2072" s="1290"/>
      <c r="I2072" s="1973"/>
      <c r="J2072" s="1290"/>
      <c r="K2072" s="1290"/>
      <c r="L2072" s="1290"/>
      <c r="M2072" s="1290"/>
      <c r="N2072" s="1290"/>
      <c r="O2072" s="1290"/>
      <c r="P2072" s="1290"/>
      <c r="Q2072" s="1290"/>
      <c r="R2072" s="1290"/>
      <c r="S2072" s="1290"/>
      <c r="T2072" s="1290"/>
      <c r="U2072" s="1290"/>
      <c r="V2072" s="1290"/>
      <c r="W2072" s="1290"/>
      <c r="X2072" s="1290"/>
      <c r="Y2072" s="1290"/>
    </row>
    <row r="2073" spans="1:25" ht="15.75" customHeight="1" outlineLevel="1">
      <c r="A2073" s="1290" t="s">
        <v>3821</v>
      </c>
      <c r="B2073" s="1972"/>
      <c r="C2073" s="1972">
        <f>C2067+C2068</f>
        <v>3.6</v>
      </c>
      <c r="D2073" s="1290"/>
      <c r="E2073" s="1290"/>
      <c r="F2073" s="1290"/>
      <c r="G2073" s="1290"/>
      <c r="H2073" s="1290"/>
      <c r="I2073" s="1973"/>
      <c r="J2073" s="1290"/>
      <c r="K2073" s="1290"/>
      <c r="L2073" s="1290"/>
      <c r="M2073" s="1290"/>
      <c r="N2073" s="1290"/>
      <c r="O2073" s="1290"/>
      <c r="P2073" s="1290"/>
      <c r="Q2073" s="1290"/>
      <c r="R2073" s="1290"/>
      <c r="S2073" s="1290"/>
      <c r="T2073" s="1290"/>
      <c r="U2073" s="1290"/>
      <c r="V2073" s="1290"/>
      <c r="W2073" s="1290"/>
      <c r="X2073" s="1290"/>
      <c r="Y2073" s="1290"/>
    </row>
    <row r="2074" spans="1:25" ht="15.75" customHeight="1" outlineLevel="1">
      <c r="A2074" s="1290" t="s">
        <v>3822</v>
      </c>
      <c r="B2074" s="1972"/>
      <c r="C2074" s="1972">
        <f>'Ввод данных'!C585</f>
        <v>3</v>
      </c>
      <c r="D2074" s="1290"/>
      <c r="E2074" s="1290"/>
      <c r="F2074" s="1290"/>
      <c r="G2074" s="1290"/>
      <c r="H2074" s="1290"/>
      <c r="I2074" s="1973"/>
      <c r="J2074" s="1290"/>
      <c r="K2074" s="1290"/>
      <c r="L2074" s="1290"/>
      <c r="M2074" s="1290"/>
      <c r="N2074" s="1290"/>
      <c r="O2074" s="1290"/>
      <c r="P2074" s="1290"/>
      <c r="Q2074" s="1290"/>
      <c r="R2074" s="1290"/>
      <c r="S2074" s="1290"/>
      <c r="T2074" s="1290"/>
      <c r="U2074" s="1290"/>
      <c r="V2074" s="1290"/>
      <c r="W2074" s="1290"/>
      <c r="X2074" s="1290"/>
      <c r="Y2074" s="1290"/>
    </row>
    <row r="2075" spans="1:25" ht="15.75" customHeight="1" outlineLevel="1">
      <c r="A2075" s="1290"/>
      <c r="B2075" s="1972"/>
      <c r="C2075" s="1972"/>
      <c r="D2075" s="1290"/>
      <c r="E2075" s="1290">
        <f>VLOOKUP('Ввод данных'!D578,связи1!A2:B3,2,0)</f>
        <v>0</v>
      </c>
      <c r="F2075" s="1290"/>
      <c r="G2075" s="1290"/>
      <c r="H2075" s="1290"/>
      <c r="I2075" s="1973"/>
      <c r="J2075" s="1290"/>
      <c r="K2075" s="1290"/>
      <c r="L2075" s="1290"/>
      <c r="M2075" s="1290"/>
      <c r="N2075" s="1290"/>
      <c r="O2075" s="1290"/>
      <c r="P2075" s="1290"/>
      <c r="Q2075" s="1290"/>
      <c r="R2075" s="1290"/>
      <c r="S2075" s="1290"/>
      <c r="T2075" s="1290"/>
      <c r="U2075" s="1290"/>
      <c r="V2075" s="1290"/>
      <c r="W2075" s="1290"/>
      <c r="X2075" s="1290"/>
      <c r="Y2075" s="1290"/>
    </row>
    <row r="2076" spans="1:25" ht="15.75" customHeight="1" outlineLevel="1">
      <c r="A2076" s="1360" t="str">
        <f>'Ввод данных'!A588</f>
        <v>Гидроизоляция жидкая резина 1</v>
      </c>
      <c r="B2076" s="1600" t="s">
        <v>188</v>
      </c>
      <c r="C2076" s="1600">
        <f>C2072</f>
        <v>0</v>
      </c>
      <c r="D2076" s="1360">
        <f>VLOOKUP(A2076,'Прайс лист'!B1389:G1392,6,0)</f>
        <v>150</v>
      </c>
      <c r="E2076" s="1360">
        <f t="shared" ref="E2076:E2081" si="239">C2076*D2076*$E$2075</f>
        <v>0</v>
      </c>
      <c r="F2076" s="1290"/>
      <c r="G2076" s="1360" t="str">
        <f>G2203</f>
        <v>Гидроизоляция рулонная</v>
      </c>
      <c r="H2076" s="1360"/>
      <c r="I2076" s="1360">
        <f>C2072*IF(A2076='Прайс лист'!B1389,0,1)</f>
        <v>0</v>
      </c>
      <c r="J2076" s="1360">
        <f>J2203</f>
        <v>250</v>
      </c>
      <c r="K2076" s="1360">
        <f>I2076*J2076*$E$2075</f>
        <v>0</v>
      </c>
      <c r="L2076" s="1360"/>
      <c r="M2076" s="1360"/>
      <c r="N2076" s="1290"/>
      <c r="O2076" s="1290"/>
      <c r="P2076" s="1290"/>
      <c r="Q2076" s="1290"/>
      <c r="R2076" s="1290"/>
      <c r="S2076" s="1290"/>
      <c r="T2076" s="1290"/>
      <c r="U2076" s="1290"/>
      <c r="V2076" s="1290"/>
      <c r="W2076" s="1290"/>
      <c r="X2076" s="1290"/>
      <c r="Y2076" s="1290"/>
    </row>
    <row r="2077" spans="1:25" ht="15.75" customHeight="1" outlineLevel="1">
      <c r="A2077" s="1360" t="str">
        <f>'Ввод данных'!A590</f>
        <v>Kronospan - OSB-3, 22мм</v>
      </c>
      <c r="B2077" s="1600" t="s">
        <v>133</v>
      </c>
      <c r="C2077" s="1600">
        <f>C2072*1.1</f>
        <v>0</v>
      </c>
      <c r="D2077" s="1360">
        <f>VLOOKUP(A2077,'Прайс лист'!B1027:G1078,6,0)</f>
        <v>526.66666666666663</v>
      </c>
      <c r="E2077" s="1360">
        <f t="shared" si="239"/>
        <v>0</v>
      </c>
      <c r="F2077" s="1290"/>
      <c r="G2077" s="1360" t="str">
        <f>G2204</f>
        <v>монтаж OSB пол</v>
      </c>
      <c r="H2077" s="1360"/>
      <c r="I2077" s="1360">
        <f>C2072*IF(A2077='Прайс лист'!B1027,0,1)</f>
        <v>0</v>
      </c>
      <c r="J2077" s="1360">
        <f>J2204</f>
        <v>250</v>
      </c>
      <c r="K2077" s="1360">
        <f>I2077*J2077*$E$2075</f>
        <v>0</v>
      </c>
      <c r="L2077" s="1360"/>
      <c r="M2077" s="1360"/>
      <c r="N2077" s="1290"/>
      <c r="O2077" s="1290"/>
      <c r="P2077" s="1290"/>
      <c r="Q2077" s="1290"/>
      <c r="R2077" s="1290"/>
      <c r="S2077" s="1290"/>
      <c r="T2077" s="1290"/>
      <c r="U2077" s="1290"/>
      <c r="V2077" s="1290"/>
      <c r="W2077" s="1290"/>
      <c r="X2077" s="1290"/>
      <c r="Y2077" s="1290"/>
    </row>
    <row r="2078" spans="1:25" ht="15.75" customHeight="1" outlineLevel="1">
      <c r="A2078" s="1360" t="str">
        <f>'Ввод данных'!A592</f>
        <v>Проф.брус вл. 200*150мм</v>
      </c>
      <c r="B2078" s="1600" t="s">
        <v>135</v>
      </c>
      <c r="C2078" s="1600">
        <f>C2074*VLOOKUP(A2078,'Прайс лист'!B333:G419,5,0)</f>
        <v>0.09</v>
      </c>
      <c r="D2078" s="1360">
        <f>VLOOKUP(A2078,'Прайс лист'!B333:G419,6,0)</f>
        <v>9300</v>
      </c>
      <c r="E2078" s="1360">
        <f t="shared" si="239"/>
        <v>0</v>
      </c>
      <c r="F2078" s="1290"/>
      <c r="G2078" s="1360" t="str">
        <f>G2205</f>
        <v>Монтаж перил</v>
      </c>
      <c r="H2078" s="1360"/>
      <c r="I2078" s="1360">
        <f>C2073</f>
        <v>3.6</v>
      </c>
      <c r="J2078" s="1360">
        <f>J2205</f>
        <v>500</v>
      </c>
      <c r="K2078" s="1360">
        <f>I2078*J2078*$E$2075</f>
        <v>0</v>
      </c>
      <c r="L2078" s="1360"/>
      <c r="M2078" s="1360"/>
      <c r="N2078" s="1290"/>
      <c r="O2078" s="1290"/>
      <c r="P2078" s="1290"/>
      <c r="Q2078" s="1290"/>
      <c r="R2078" s="1290"/>
      <c r="S2078" s="1290"/>
      <c r="T2078" s="1290"/>
      <c r="U2078" s="1290"/>
      <c r="V2078" s="1290"/>
      <c r="W2078" s="1290"/>
      <c r="X2078" s="1290"/>
      <c r="Y2078" s="1290"/>
    </row>
    <row r="2079" spans="1:25" ht="15.75" customHeight="1" outlineLevel="1">
      <c r="A2079" s="1360" t="str">
        <f>'Ввод данных'!A594</f>
        <v>Брус клееный проф 2 ламель кедр Шир. 240 выс. 140</v>
      </c>
      <c r="B2079" s="1600" t="s">
        <v>135</v>
      </c>
      <c r="C2079" s="1600">
        <f>C2073*VLOOKUP(A2079,'Прайс лист'!B333:G419,5,0)</f>
        <v>0.12096000000000003</v>
      </c>
      <c r="D2079" s="1360">
        <f>VLOOKUP(A2079,'Прайс лист'!B333:G419,6,0)</f>
        <v>24000</v>
      </c>
      <c r="E2079" s="1360">
        <f t="shared" si="239"/>
        <v>0</v>
      </c>
      <c r="F2079" s="1290"/>
      <c r="G2079" s="1360" t="str">
        <f>G2206</f>
        <v>Монтаж накладки на перила</v>
      </c>
      <c r="H2079" s="1360"/>
      <c r="I2079" s="1360">
        <f>C2073</f>
        <v>3.6</v>
      </c>
      <c r="J2079" s="1360">
        <f>J2206</f>
        <v>0</v>
      </c>
      <c r="K2079" s="1360">
        <f>I2079*J2079*$E$2075</f>
        <v>0</v>
      </c>
      <c r="L2079" s="1360"/>
      <c r="M2079" s="1360"/>
      <c r="N2079" s="1290"/>
      <c r="O2079" s="1290"/>
      <c r="P2079" s="1290"/>
      <c r="Q2079" s="1290"/>
      <c r="R2079" s="1290"/>
      <c r="S2079" s="1290"/>
      <c r="T2079" s="1290"/>
      <c r="U2079" s="1290"/>
      <c r="V2079" s="1290"/>
      <c r="W2079" s="1290"/>
      <c r="X2079" s="1290"/>
      <c r="Y2079" s="1290"/>
    </row>
    <row r="2080" spans="1:25" ht="15.75" customHeight="1" outlineLevel="1">
      <c r="A2080" s="1360" t="str">
        <f>'Ввод данных'!A596</f>
        <v>Брус клееный проф 1 ламель кедр Шир. 240 выс. 140</v>
      </c>
      <c r="B2080" s="1600" t="s">
        <v>135</v>
      </c>
      <c r="C2080" s="1600">
        <f>(C2073/0.3+1)*VLOOKUP(A2080,'Прайс лист'!B333:G419,5,0)</f>
        <v>0.43680000000000008</v>
      </c>
      <c r="D2080" s="1360">
        <f>VLOOKUP(A2080,'Прайс лист'!B333:G419,6,0)</f>
        <v>24000</v>
      </c>
      <c r="E2080" s="1360">
        <f t="shared" si="239"/>
        <v>0</v>
      </c>
      <c r="F2080" s="1290"/>
      <c r="G2080" s="1360" t="str">
        <f>'Прайс лист'!B1879</f>
        <v>монтаж веранды/крыльцо</v>
      </c>
      <c r="H2080" s="1360"/>
      <c r="I2080" s="2006">
        <f>C2072</f>
        <v>0</v>
      </c>
      <c r="J2080" s="1360">
        <f>'Прайс лист'!G1879</f>
        <v>1500</v>
      </c>
      <c r="K2080" s="1360">
        <f>I2080*J2080*$E$2075</f>
        <v>0</v>
      </c>
      <c r="L2080" s="1360"/>
      <c r="M2080" s="1360"/>
      <c r="N2080" s="1290"/>
      <c r="O2080" s="1290"/>
      <c r="P2080" s="1290"/>
      <c r="Q2080" s="1290"/>
      <c r="R2080" s="1290"/>
      <c r="S2080" s="1290"/>
      <c r="T2080" s="1290"/>
      <c r="U2080" s="1290"/>
      <c r="V2080" s="1290"/>
      <c r="W2080" s="1290"/>
      <c r="X2080" s="1290"/>
      <c r="Y2080" s="1290"/>
    </row>
    <row r="2081" spans="1:25" ht="15.75" customHeight="1" outlineLevel="1">
      <c r="A2081" s="1360" t="str">
        <f>'Ввод данных'!A598</f>
        <v>Клееная накладка на перила шир 240мм</v>
      </c>
      <c r="B2081" s="1600" t="s">
        <v>156</v>
      </c>
      <c r="C2081" s="1600">
        <f>C2073</f>
        <v>3.6</v>
      </c>
      <c r="D2081" s="1360">
        <f>VLOOKUP(A2081,'Прайс лист'!B420:G424,6,0)</f>
        <v>400</v>
      </c>
      <c r="E2081" s="1360">
        <f t="shared" si="239"/>
        <v>0</v>
      </c>
      <c r="F2081" s="1290"/>
      <c r="G2081" s="1360"/>
      <c r="H2081" s="1360"/>
      <c r="I2081" s="2006"/>
      <c r="K2081" s="1360"/>
      <c r="L2081" s="1360"/>
      <c r="M2081" s="1360"/>
      <c r="N2081" s="1290"/>
      <c r="O2081" s="1290"/>
      <c r="P2081" s="1290"/>
      <c r="Q2081" s="1290"/>
      <c r="R2081" s="1290"/>
      <c r="S2081" s="1290"/>
      <c r="T2081" s="1290"/>
      <c r="U2081" s="1290"/>
      <c r="V2081" s="1290"/>
      <c r="W2081" s="1290"/>
      <c r="X2081" s="1290"/>
      <c r="Y2081" s="1290"/>
    </row>
    <row r="2082" spans="1:25" ht="15.75" customHeight="1" outlineLevel="1">
      <c r="A2082" s="1290"/>
      <c r="B2082" s="1972"/>
      <c r="C2082" s="1972"/>
      <c r="D2082" s="1290"/>
      <c r="E2082" s="1290"/>
      <c r="F2082" s="1290"/>
      <c r="G2082" s="1290"/>
      <c r="H2082" s="1290"/>
      <c r="I2082" s="1973"/>
      <c r="J2082" s="1290"/>
      <c r="K2082" s="1290"/>
      <c r="L2082" s="1290"/>
      <c r="M2082" s="1290"/>
      <c r="N2082" s="1290"/>
      <c r="O2082" s="1290"/>
      <c r="P2082" s="1290"/>
      <c r="Q2082" s="1290"/>
      <c r="R2082" s="1290"/>
      <c r="S2082" s="1290"/>
      <c r="T2082" s="1290"/>
      <c r="U2082" s="1290"/>
      <c r="V2082" s="1290"/>
      <c r="W2082" s="1290"/>
      <c r="X2082" s="1290"/>
      <c r="Y2082" s="1290"/>
    </row>
    <row r="2083" spans="1:25" ht="15.75" customHeight="1" outlineLevel="1">
      <c r="A2083" s="1290"/>
      <c r="B2083" s="1972"/>
      <c r="C2083" s="1972"/>
      <c r="D2083" s="1290"/>
      <c r="E2083" s="1290"/>
      <c r="F2083" s="1290"/>
      <c r="G2083" s="1290"/>
      <c r="H2083" s="1290"/>
      <c r="I2083" s="1973"/>
      <c r="J2083" s="1290"/>
      <c r="K2083" s="1290"/>
      <c r="L2083" s="1290"/>
      <c r="M2083" s="1290"/>
      <c r="N2083" s="1290"/>
      <c r="O2083" s="1290"/>
      <c r="P2083" s="1290"/>
      <c r="Q2083" s="1290"/>
      <c r="R2083" s="1290"/>
      <c r="S2083" s="1290"/>
      <c r="T2083" s="1290"/>
      <c r="U2083" s="1290"/>
      <c r="V2083" s="1290"/>
      <c r="W2083" s="1290"/>
      <c r="X2083" s="1290"/>
      <c r="Y2083" s="1290"/>
    </row>
    <row r="2084" spans="1:25" ht="15.75" customHeight="1" outlineLevel="1">
      <c r="A2084" s="1290"/>
      <c r="B2084" s="1972"/>
      <c r="C2084" s="1972"/>
      <c r="D2084" s="1290"/>
      <c r="E2084" s="1290"/>
      <c r="F2084" s="1290"/>
      <c r="G2084" s="1290"/>
      <c r="H2084" s="1290"/>
      <c r="I2084" s="1973"/>
      <c r="J2084" s="1290"/>
      <c r="K2084" s="1290"/>
      <c r="L2084" s="1290"/>
      <c r="M2084" s="1290"/>
      <c r="N2084" s="1290"/>
      <c r="O2084" s="1290"/>
      <c r="P2084" s="1290"/>
      <c r="Q2084" s="1290"/>
      <c r="R2084" s="1290"/>
      <c r="S2084" s="1290"/>
      <c r="T2084" s="1290"/>
      <c r="U2084" s="1290"/>
      <c r="V2084" s="1290"/>
      <c r="W2084" s="1290"/>
      <c r="X2084" s="1290"/>
      <c r="Y2084" s="1290"/>
    </row>
    <row r="2085" spans="1:25" ht="15.75" customHeight="1" outlineLevel="1">
      <c r="A2085" s="1290"/>
      <c r="B2085" s="1972"/>
      <c r="C2085" s="1972"/>
      <c r="D2085" s="1290"/>
      <c r="E2085" s="1290"/>
      <c r="F2085" s="1290"/>
      <c r="G2085" s="1290"/>
      <c r="H2085" s="1290"/>
      <c r="I2085" s="1973"/>
      <c r="J2085" s="1290"/>
      <c r="K2085" s="1290"/>
      <c r="L2085" s="1290"/>
      <c r="M2085" s="1290"/>
      <c r="N2085" s="1290"/>
      <c r="O2085" s="1290"/>
      <c r="P2085" s="1290"/>
      <c r="Q2085" s="1290"/>
      <c r="R2085" s="1290"/>
      <c r="S2085" s="1290"/>
      <c r="T2085" s="1290"/>
      <c r="U2085" s="1290"/>
      <c r="V2085" s="1290"/>
      <c r="W2085" s="1290"/>
      <c r="X2085" s="1290"/>
      <c r="Y2085" s="1290"/>
    </row>
    <row r="2086" spans="1:25" ht="15.75" customHeight="1" outlineLevel="1">
      <c r="A2086" s="1290"/>
      <c r="B2086" s="1972"/>
      <c r="C2086" s="1972"/>
      <c r="D2086" s="1290"/>
      <c r="E2086" s="1290"/>
      <c r="F2086" s="1290"/>
      <c r="G2086" s="1290"/>
      <c r="H2086" s="1290"/>
      <c r="I2086" s="1973"/>
      <c r="J2086" s="1290"/>
      <c r="K2086" s="1290"/>
      <c r="L2086" s="1290"/>
      <c r="M2086" s="1290"/>
      <c r="N2086" s="1290"/>
      <c r="O2086" s="1290"/>
      <c r="P2086" s="1290"/>
      <c r="Q2086" s="1290"/>
      <c r="R2086" s="1290"/>
      <c r="S2086" s="1290"/>
      <c r="T2086" s="1290"/>
      <c r="U2086" s="1290"/>
      <c r="V2086" s="1290"/>
      <c r="W2086" s="1290"/>
      <c r="X2086" s="1290"/>
      <c r="Y2086" s="1290"/>
    </row>
    <row r="2087" spans="1:25" ht="15.75" customHeight="1" outlineLevel="1">
      <c r="A2087" s="1290"/>
      <c r="B2087" s="1972"/>
      <c r="C2087" s="1972"/>
      <c r="D2087" s="1290"/>
      <c r="E2087" s="1290"/>
      <c r="F2087" s="1290"/>
      <c r="G2087" s="1290"/>
      <c r="H2087" s="1290"/>
      <c r="I2087" s="1973"/>
      <c r="J2087" s="1290"/>
      <c r="K2087" s="1290"/>
      <c r="L2087" s="1290"/>
      <c r="M2087" s="1290"/>
      <c r="N2087" s="1290"/>
      <c r="O2087" s="1290"/>
      <c r="P2087" s="1290"/>
      <c r="Q2087" s="1290"/>
      <c r="R2087" s="1290"/>
      <c r="S2087" s="1290"/>
      <c r="T2087" s="1290"/>
      <c r="U2087" s="1290"/>
      <c r="V2087" s="1290"/>
      <c r="W2087" s="1290"/>
      <c r="X2087" s="1290"/>
      <c r="Y2087" s="1290"/>
    </row>
    <row r="2088" spans="1:25" ht="15.75" customHeight="1" outlineLevel="1">
      <c r="A2088" s="1290"/>
      <c r="B2088" s="1972"/>
      <c r="C2088" s="1972"/>
      <c r="D2088" s="1290"/>
      <c r="E2088" s="1290"/>
      <c r="F2088" s="1290"/>
      <c r="G2088" s="1290"/>
      <c r="H2088" s="1290"/>
      <c r="I2088" s="1973"/>
      <c r="J2088" s="1290"/>
      <c r="K2088" s="1290"/>
      <c r="L2088" s="1290"/>
      <c r="M2088" s="1290"/>
      <c r="N2088" s="1290"/>
      <c r="O2088" s="1290"/>
      <c r="P2088" s="1290"/>
      <c r="Q2088" s="1290"/>
      <c r="R2088" s="1290"/>
      <c r="S2088" s="1290"/>
      <c r="T2088" s="1290"/>
      <c r="U2088" s="1290"/>
      <c r="V2088" s="1290"/>
      <c r="W2088" s="1290"/>
      <c r="X2088" s="1290"/>
      <c r="Y2088" s="1290"/>
    </row>
    <row r="2089" spans="1:25" ht="15.75" customHeight="1" outlineLevel="1">
      <c r="A2089" s="1290"/>
      <c r="B2089" s="1972"/>
      <c r="C2089" s="1972"/>
      <c r="D2089" s="1290"/>
      <c r="E2089" s="1290"/>
      <c r="F2089" s="1290"/>
      <c r="G2089" s="1290"/>
      <c r="H2089" s="1290"/>
      <c r="I2089" s="1973"/>
      <c r="J2089" s="1290"/>
      <c r="K2089" s="1290"/>
      <c r="L2089" s="1290"/>
      <c r="M2089" s="1290"/>
      <c r="N2089" s="1290"/>
      <c r="O2089" s="1290"/>
      <c r="P2089" s="1290"/>
      <c r="Q2089" s="1290"/>
      <c r="R2089" s="1290"/>
      <c r="S2089" s="1290"/>
      <c r="T2089" s="1290"/>
      <c r="U2089" s="1290"/>
      <c r="V2089" s="1290"/>
      <c r="W2089" s="1290"/>
      <c r="X2089" s="1290"/>
      <c r="Y2089" s="1290"/>
    </row>
    <row r="2090" spans="1:25" ht="15.75" customHeight="1" outlineLevel="1">
      <c r="A2090" s="1290"/>
      <c r="B2090" s="1972"/>
      <c r="C2090" s="1972"/>
      <c r="D2090" s="1290"/>
      <c r="E2090" s="1290"/>
      <c r="F2090" s="1290"/>
      <c r="G2090" s="1290"/>
      <c r="H2090" s="1290"/>
      <c r="I2090" s="1973"/>
      <c r="J2090" s="1290"/>
      <c r="K2090" s="1290"/>
      <c r="L2090" s="1290"/>
      <c r="M2090" s="1290"/>
      <c r="N2090" s="1290"/>
      <c r="O2090" s="1290"/>
      <c r="P2090" s="1290"/>
      <c r="Q2090" s="1290"/>
      <c r="R2090" s="1290"/>
      <c r="S2090" s="1290"/>
      <c r="T2090" s="1290"/>
      <c r="U2090" s="1290"/>
      <c r="V2090" s="1290"/>
      <c r="W2090" s="1290"/>
      <c r="X2090" s="1290"/>
      <c r="Y2090" s="1290"/>
    </row>
    <row r="2091" spans="1:25" ht="15.75" customHeight="1" outlineLevel="1">
      <c r="A2091" s="1290"/>
      <c r="B2091" s="1972"/>
      <c r="C2091" s="1972"/>
      <c r="D2091" s="1290"/>
      <c r="E2091" s="1290"/>
      <c r="F2091" s="1290"/>
      <c r="G2091" s="1290"/>
      <c r="H2091" s="1290"/>
      <c r="I2091" s="1973"/>
      <c r="J2091" s="1290"/>
      <c r="K2091" s="1290"/>
      <c r="L2091" s="1290"/>
      <c r="M2091" s="1290"/>
      <c r="N2091" s="1290"/>
      <c r="O2091" s="1290"/>
      <c r="P2091" s="1290"/>
      <c r="Q2091" s="1290"/>
      <c r="R2091" s="1290"/>
      <c r="S2091" s="1290"/>
      <c r="T2091" s="1290"/>
      <c r="U2091" s="1290"/>
      <c r="V2091" s="1290"/>
      <c r="W2091" s="1290"/>
      <c r="X2091" s="1290"/>
      <c r="Y2091" s="1290"/>
    </row>
    <row r="2092" spans="1:25" ht="15.75" customHeight="1" outlineLevel="1">
      <c r="A2092" s="1290"/>
      <c r="B2092" s="1972"/>
      <c r="C2092" s="1972"/>
      <c r="D2092" s="1290"/>
      <c r="E2092" s="1290"/>
      <c r="F2092" s="1290"/>
      <c r="G2092" s="1290"/>
      <c r="H2092" s="1290"/>
      <c r="I2092" s="1973"/>
      <c r="J2092" s="1290"/>
      <c r="K2092" s="1290"/>
      <c r="L2092" s="1290"/>
      <c r="M2092" s="1290"/>
      <c r="N2092" s="1290"/>
      <c r="O2092" s="1290"/>
      <c r="P2092" s="1290"/>
      <c r="Q2092" s="1290"/>
      <c r="R2092" s="1290"/>
      <c r="S2092" s="1290"/>
      <c r="T2092" s="1290"/>
      <c r="U2092" s="1290"/>
      <c r="V2092" s="1290"/>
      <c r="W2092" s="1290"/>
      <c r="X2092" s="1290"/>
      <c r="Y2092" s="1290"/>
    </row>
    <row r="2093" spans="1:25" ht="15.75" customHeight="1" outlineLevel="1">
      <c r="A2093" s="1598" t="s">
        <v>1925</v>
      </c>
      <c r="B2093" s="2029"/>
      <c r="C2093" s="2029"/>
      <c r="D2093" s="2030"/>
      <c r="E2093" s="2030"/>
      <c r="F2093" s="2031"/>
      <c r="G2093" s="1252">
        <v>1</v>
      </c>
      <c r="H2093" s="1635"/>
      <c r="I2093" s="1605" t="s">
        <v>3823</v>
      </c>
      <c r="J2093" s="398"/>
      <c r="K2093" s="398"/>
      <c r="L2093" s="398"/>
      <c r="M2093" s="398"/>
      <c r="N2093" s="398"/>
      <c r="O2093" s="1290"/>
      <c r="P2093" s="1290"/>
      <c r="Q2093" s="1290"/>
      <c r="R2093" s="1290"/>
      <c r="S2093" s="1290"/>
      <c r="T2093" s="1290"/>
      <c r="U2093" s="1290"/>
      <c r="V2093" s="1290"/>
      <c r="W2093" s="1290"/>
      <c r="X2093" s="1290"/>
      <c r="Y2093" s="1290"/>
    </row>
    <row r="2094" spans="1:25" ht="15.75" customHeight="1" outlineLevel="1">
      <c r="A2094" s="1200" t="s">
        <v>2734</v>
      </c>
      <c r="B2094" s="2032"/>
      <c r="C2094" s="2032"/>
      <c r="D2094" s="1203"/>
      <c r="E2094" s="1204"/>
      <c r="F2094" s="1201">
        <v>1</v>
      </c>
      <c r="G2094" s="356"/>
      <c r="H2094" s="356"/>
      <c r="I2094" s="1605"/>
      <c r="J2094" s="398"/>
      <c r="K2094" s="398"/>
      <c r="L2094" s="398"/>
      <c r="M2094" s="398"/>
      <c r="N2094" s="398"/>
      <c r="O2094" s="1290"/>
      <c r="P2094" s="1290"/>
      <c r="Q2094" s="1290"/>
      <c r="R2094" s="1290"/>
      <c r="S2094" s="1290"/>
      <c r="T2094" s="1290"/>
      <c r="U2094" s="1290"/>
      <c r="V2094" s="1290"/>
      <c r="W2094" s="1290"/>
      <c r="X2094" s="1290"/>
      <c r="Y2094" s="1290"/>
    </row>
    <row r="2095" spans="1:25" ht="15.75" customHeight="1" outlineLevel="1">
      <c r="A2095" s="2033" t="s">
        <v>2750</v>
      </c>
      <c r="B2095" s="1608"/>
      <c r="C2095" s="2034"/>
      <c r="D2095" s="2035"/>
      <c r="E2095" s="1609">
        <f>J2095</f>
        <v>4</v>
      </c>
      <c r="F2095" s="2036"/>
      <c r="G2095" s="356" t="s">
        <v>1903</v>
      </c>
      <c r="H2095" s="356"/>
      <c r="I2095" s="1605">
        <f>'Ввод данных'!C523</f>
        <v>3</v>
      </c>
      <c r="J2095" s="398">
        <f>'Ввод данных'!AY526</f>
        <v>4</v>
      </c>
      <c r="K2095" s="2037" t="s">
        <v>1929</v>
      </c>
      <c r="L2095" s="2037"/>
      <c r="M2095" s="2037"/>
      <c r="N2095" s="2037"/>
      <c r="O2095" s="1290"/>
      <c r="P2095" s="1290"/>
      <c r="Q2095" s="1290"/>
      <c r="R2095" s="1290"/>
      <c r="S2095" s="1290"/>
      <c r="T2095" s="1290"/>
      <c r="U2095" s="1290"/>
      <c r="V2095" s="1290"/>
      <c r="W2095" s="1290"/>
      <c r="X2095" s="1290"/>
      <c r="Y2095" s="1290"/>
    </row>
    <row r="2096" spans="1:25" ht="15.75" customHeight="1" outlineLevel="1">
      <c r="A2096" s="2033" t="s">
        <v>2753</v>
      </c>
      <c r="B2096" s="1608"/>
      <c r="C2096" s="2034"/>
      <c r="D2096" s="2035"/>
      <c r="E2096" s="1609">
        <f>J2097</f>
        <v>4.2</v>
      </c>
      <c r="F2096" s="2036"/>
      <c r="G2096" s="356"/>
      <c r="H2096" s="356"/>
      <c r="I2096" s="1605"/>
      <c r="J2096" s="398">
        <f>'Ввод данных'!AY524</f>
        <v>4.5</v>
      </c>
      <c r="K2096" s="2037" t="s">
        <v>1931</v>
      </c>
      <c r="L2096" s="2037"/>
      <c r="M2096" s="2037"/>
      <c r="N2096" s="2037"/>
      <c r="O2096" s="1290"/>
      <c r="P2096" s="1290"/>
      <c r="Q2096" s="1290"/>
      <c r="R2096" s="1290"/>
      <c r="S2096" s="1290"/>
      <c r="T2096" s="1290"/>
      <c r="U2096" s="1290"/>
      <c r="V2096" s="1290"/>
      <c r="W2096" s="1290"/>
      <c r="X2096" s="1290"/>
      <c r="Y2096" s="1290"/>
    </row>
    <row r="2097" spans="1:25" ht="15.75" customHeight="1" outlineLevel="1">
      <c r="A2097" s="2033" t="s">
        <v>3824</v>
      </c>
      <c r="B2097" s="1608"/>
      <c r="C2097" s="2034"/>
      <c r="D2097" s="2035"/>
      <c r="E2097" s="1609">
        <f>J2099</f>
        <v>7</v>
      </c>
      <c r="F2097" s="2036"/>
      <c r="G2097" s="356"/>
      <c r="H2097" s="356"/>
      <c r="I2097" s="1605"/>
      <c r="J2097" s="398">
        <f>'Ввод данных'!AY527</f>
        <v>4.2</v>
      </c>
      <c r="K2097" s="2037" t="s">
        <v>1933</v>
      </c>
      <c r="L2097" s="2037"/>
      <c r="M2097" s="2037"/>
      <c r="N2097" s="2037"/>
      <c r="O2097" s="1290"/>
      <c r="P2097" s="1290"/>
      <c r="Q2097" s="1290"/>
      <c r="R2097" s="1290"/>
      <c r="S2097" s="1290"/>
      <c r="T2097" s="1290"/>
      <c r="U2097" s="1290"/>
      <c r="V2097" s="1290"/>
      <c r="W2097" s="1290"/>
      <c r="X2097" s="1290"/>
      <c r="Y2097" s="1290"/>
    </row>
    <row r="2098" spans="1:25" ht="15.75" customHeight="1" outlineLevel="1">
      <c r="A2098" s="1218" t="s">
        <v>2767</v>
      </c>
      <c r="B2098" s="2038"/>
      <c r="C2098" s="2039"/>
      <c r="D2098" s="1219" t="s">
        <v>1937</v>
      </c>
      <c r="E2098" s="1609">
        <f>J2101</f>
        <v>60</v>
      </c>
      <c r="F2098" s="2036" t="s">
        <v>3434</v>
      </c>
      <c r="G2098" s="356">
        <f>E2098*(3.14/180)</f>
        <v>1.0466666666666669</v>
      </c>
      <c r="H2098" s="356"/>
      <c r="I2098" s="1605"/>
      <c r="J2098" s="398">
        <f>J2099-J2096</f>
        <v>2.5</v>
      </c>
      <c r="K2098" s="398" t="s">
        <v>1934</v>
      </c>
      <c r="L2098" s="398"/>
      <c r="M2098" s="398"/>
      <c r="N2098" s="398"/>
      <c r="O2098" s="1290"/>
      <c r="P2098" s="1290"/>
      <c r="Q2098" s="1290"/>
      <c r="R2098" s="1290"/>
      <c r="S2098" s="1290"/>
      <c r="T2098" s="1290"/>
      <c r="U2098" s="1290"/>
      <c r="V2098" s="1290"/>
      <c r="W2098" s="1290"/>
      <c r="X2098" s="1290"/>
      <c r="Y2098" s="1290"/>
    </row>
    <row r="2099" spans="1:25" ht="15.75" customHeight="1" outlineLevel="1">
      <c r="A2099" s="2040" t="s">
        <v>1236</v>
      </c>
      <c r="B2099" s="2041"/>
      <c r="C2099" s="2042"/>
      <c r="D2099" s="2043" t="s">
        <v>3438</v>
      </c>
      <c r="E2099" s="2043" t="s">
        <v>1753</v>
      </c>
      <c r="F2099" s="1290"/>
      <c r="G2099" s="1290"/>
      <c r="H2099" s="1290"/>
      <c r="I2099" s="1605"/>
      <c r="J2099" s="398">
        <f>'Ввод данных'!AY528</f>
        <v>7</v>
      </c>
      <c r="K2099" s="2037" t="s">
        <v>1935</v>
      </c>
      <c r="L2099" s="2037"/>
      <c r="M2099" s="2037"/>
      <c r="N2099" s="2037"/>
      <c r="O2099" s="1290"/>
      <c r="P2099" s="1290"/>
      <c r="Q2099" s="1290"/>
      <c r="R2099" s="1290"/>
      <c r="S2099" s="1290"/>
      <c r="T2099" s="1290"/>
      <c r="U2099" s="1290"/>
      <c r="V2099" s="1290"/>
      <c r="W2099" s="1290"/>
      <c r="X2099" s="1290"/>
      <c r="Y2099" s="1290"/>
    </row>
    <row r="2100" spans="1:25" ht="15.75" customHeight="1" outlineLevel="1">
      <c r="A2100" s="2044" t="s">
        <v>1820</v>
      </c>
      <c r="B2100" s="2045"/>
      <c r="C2100" s="2045"/>
      <c r="D2100" s="2046"/>
      <c r="E2100" s="2047">
        <f>IF('Ввод данных'!A560=связи1!A107,1,0)</f>
        <v>1</v>
      </c>
      <c r="F2100" s="2048"/>
      <c r="G2100" s="1291">
        <f>IF('Ввод данных'!A560=связи1!A106,1,0)</f>
        <v>0</v>
      </c>
      <c r="H2100" s="481"/>
      <c r="I2100" s="1605"/>
      <c r="J2100" s="398"/>
      <c r="K2100" s="2037"/>
      <c r="L2100" s="2037"/>
      <c r="M2100" s="2037"/>
      <c r="N2100" s="2037"/>
      <c r="O2100" s="1290"/>
      <c r="P2100" s="1290"/>
      <c r="Q2100" s="1290"/>
      <c r="R2100" s="1290"/>
      <c r="S2100" s="1290"/>
      <c r="T2100" s="1290"/>
      <c r="U2100" s="1290"/>
      <c r="V2100" s="1290"/>
      <c r="W2100" s="1290"/>
      <c r="X2100" s="1290"/>
      <c r="Y2100" s="1290"/>
    </row>
    <row r="2101" spans="1:25" ht="15.75" customHeight="1" outlineLevel="1">
      <c r="A2101" s="1611" t="s">
        <v>2555</v>
      </c>
      <c r="B2101" s="2045"/>
      <c r="C2101" s="2049"/>
      <c r="D2101" s="2047" t="s">
        <v>156</v>
      </c>
      <c r="E2101" s="529">
        <f>'Ввод данных'!C524*IF('Ввод данных'!C521=1,1,1)</f>
        <v>2.7</v>
      </c>
      <c r="F2101" s="1544"/>
      <c r="G2101" s="551">
        <f>E2101</f>
        <v>2.7</v>
      </c>
      <c r="H2101" s="356"/>
      <c r="I2101" s="1595"/>
      <c r="J2101" s="398">
        <f>'Ввод данных'!AY529</f>
        <v>60</v>
      </c>
      <c r="K2101" s="2037" t="s">
        <v>1936</v>
      </c>
      <c r="L2101" s="2037"/>
      <c r="M2101" s="2037"/>
      <c r="N2101" s="2037"/>
      <c r="O2101" s="1290"/>
      <c r="P2101" s="1290"/>
      <c r="Q2101" s="1290"/>
      <c r="R2101" s="1290"/>
      <c r="S2101" s="1290"/>
      <c r="T2101" s="1290"/>
      <c r="U2101" s="1290"/>
      <c r="V2101" s="1290"/>
      <c r="W2101" s="1290"/>
      <c r="X2101" s="1290"/>
      <c r="Y2101" s="1290"/>
    </row>
    <row r="2102" spans="1:25" ht="15.75" customHeight="1" outlineLevel="1">
      <c r="A2102" s="2044" t="s">
        <v>3825</v>
      </c>
      <c r="B2102" s="2045"/>
      <c r="C2102" s="2045"/>
      <c r="D2102" s="2047" t="s">
        <v>156</v>
      </c>
      <c r="E2102" s="529">
        <f>'Ввод данных'!C525*IF('Ввод данных'!C521=2,1,0)</f>
        <v>0</v>
      </c>
      <c r="F2102" s="1544"/>
      <c r="G2102" s="551">
        <f>E2102</f>
        <v>0</v>
      </c>
      <c r="H2102" s="356"/>
      <c r="I2102" s="1595"/>
      <c r="J2102" s="398"/>
      <c r="K2102" s="2037"/>
      <c r="L2102" s="2037"/>
      <c r="M2102" s="2037"/>
      <c r="N2102" s="2037"/>
      <c r="O2102" s="1290"/>
      <c r="P2102" s="1290"/>
      <c r="Q2102" s="1290"/>
      <c r="R2102" s="1290"/>
      <c r="S2102" s="1290"/>
      <c r="T2102" s="1290"/>
      <c r="U2102" s="1290"/>
      <c r="V2102" s="1290"/>
      <c r="W2102" s="1290"/>
      <c r="X2102" s="1290"/>
      <c r="Y2102" s="1290"/>
    </row>
    <row r="2103" spans="1:25" ht="15.75" customHeight="1" outlineLevel="1">
      <c r="A2103" s="2050" t="str">
        <f>'Ввод данных'!A526</f>
        <v>высота от перекрытия 0 этажа до конька, Е</v>
      </c>
      <c r="B2103" s="2051"/>
      <c r="C2103" s="2051"/>
      <c r="D2103" s="2052"/>
      <c r="E2103" s="1291">
        <f>'Ввод данных'!C526</f>
        <v>4.5</v>
      </c>
      <c r="F2103" s="356"/>
      <c r="G2103" s="529">
        <f>E2103</f>
        <v>4.5</v>
      </c>
      <c r="H2103" s="2053"/>
      <c r="I2103" s="1595"/>
      <c r="J2103" s="398"/>
      <c r="K2103" s="398"/>
      <c r="L2103" s="398"/>
      <c r="M2103" s="398"/>
      <c r="N2103" s="398"/>
      <c r="O2103" s="1290"/>
      <c r="P2103" s="1290"/>
      <c r="Q2103" s="1290"/>
      <c r="R2103" s="1290"/>
      <c r="S2103" s="1290"/>
      <c r="T2103" s="1290"/>
      <c r="U2103" s="1290"/>
      <c r="V2103" s="1290"/>
      <c r="W2103" s="1290"/>
      <c r="X2103" s="1290"/>
      <c r="Y2103" s="1290"/>
    </row>
    <row r="2104" spans="1:25" ht="15.75" customHeight="1" outlineLevel="1">
      <c r="A2104" s="2054" t="s">
        <v>2743</v>
      </c>
      <c r="B2104" s="2055"/>
      <c r="C2104" s="1685"/>
      <c r="D2104" s="1057" t="s">
        <v>156</v>
      </c>
      <c r="E2104" s="1057">
        <f>'Ввод данных'!C522</f>
        <v>3</v>
      </c>
      <c r="F2104" s="2053"/>
      <c r="G2104" s="1291">
        <f>E2104</f>
        <v>3</v>
      </c>
      <c r="H2104" s="481"/>
      <c r="I2104" s="1595"/>
      <c r="J2104" s="398"/>
      <c r="K2104" s="398"/>
      <c r="L2104" s="398"/>
      <c r="M2104" s="398"/>
      <c r="N2104" s="398"/>
      <c r="O2104" s="1290"/>
      <c r="P2104" s="1290"/>
      <c r="Q2104" s="1290"/>
      <c r="R2104" s="1290"/>
      <c r="S2104" s="1290"/>
      <c r="T2104" s="1290"/>
      <c r="U2104" s="1290"/>
      <c r="V2104" s="1290"/>
      <c r="W2104" s="1290"/>
      <c r="X2104" s="1290"/>
      <c r="Y2104" s="1290"/>
    </row>
    <row r="2105" spans="1:25" ht="15.75" customHeight="1" outlineLevel="1">
      <c r="A2105" s="2054" t="s">
        <v>1903</v>
      </c>
      <c r="B2105" s="2055"/>
      <c r="C2105" s="1685"/>
      <c r="D2105" s="1057"/>
      <c r="E2105" s="1057">
        <f>'Ввод данных'!C523</f>
        <v>3</v>
      </c>
      <c r="F2105" s="2053"/>
      <c r="G2105" s="1291">
        <f>E2105</f>
        <v>3</v>
      </c>
      <c r="H2105" s="481"/>
      <c r="I2105" s="1595"/>
      <c r="J2105" s="398"/>
      <c r="K2105" s="398"/>
      <c r="L2105" s="398"/>
      <c r="M2105" s="398"/>
      <c r="N2105" s="398"/>
      <c r="O2105" s="1290"/>
      <c r="P2105" s="1290"/>
      <c r="Q2105" s="1290"/>
      <c r="R2105" s="1290"/>
      <c r="S2105" s="1290"/>
      <c r="T2105" s="1290"/>
      <c r="U2105" s="1290"/>
      <c r="V2105" s="1290"/>
      <c r="W2105" s="1290"/>
      <c r="X2105" s="1290"/>
      <c r="Y2105" s="1290"/>
    </row>
    <row r="2106" spans="1:25" ht="15.75" customHeight="1" outlineLevel="1">
      <c r="A2106" s="2054" t="s">
        <v>2600</v>
      </c>
      <c r="B2106" s="2055"/>
      <c r="C2106" s="1685"/>
      <c r="D2106" s="1057" t="s">
        <v>156</v>
      </c>
      <c r="E2106" s="1057">
        <f>SQRT((E2104+E2107*2)/2*(E2104+E2107*2)/2+(E2103-(E2101+E2102+0.2))*(E2103-(E2101+E2102+0.2)))</f>
        <v>2.5612496949731391</v>
      </c>
      <c r="F2106" s="2053"/>
      <c r="G2106" s="529">
        <f>SQRT((E2105+E2107*2)/2*(E2105+E2107*2)/2+(E2103-(E2101+E2102+0.2))*(E2103-(E2101+E2102+0.2)))</f>
        <v>2.5612496949731391</v>
      </c>
      <c r="H2106" s="2053"/>
      <c r="I2106" s="1595"/>
      <c r="J2106" s="2056"/>
      <c r="K2106" s="398"/>
      <c r="L2106" s="398"/>
      <c r="M2106" s="398"/>
      <c r="N2106" s="398"/>
      <c r="O2106" s="1290"/>
      <c r="P2106" s="1290"/>
      <c r="Q2106" s="1290"/>
      <c r="R2106" s="1290"/>
      <c r="S2106" s="1290"/>
      <c r="T2106" s="1290"/>
      <c r="U2106" s="1290"/>
      <c r="V2106" s="1290"/>
      <c r="W2106" s="1290"/>
      <c r="X2106" s="1290"/>
      <c r="Y2106" s="1290"/>
    </row>
    <row r="2107" spans="1:25" ht="15.75" customHeight="1" outlineLevel="1">
      <c r="A2107" s="2054" t="s">
        <v>1927</v>
      </c>
      <c r="B2107" s="2055"/>
      <c r="C2107" s="1685"/>
      <c r="D2107" s="1057" t="s">
        <v>156</v>
      </c>
      <c r="E2107" s="946">
        <f>'Ввод данных'!C557</f>
        <v>0.5</v>
      </c>
      <c r="F2107" s="2057"/>
      <c r="G2107" s="529"/>
      <c r="H2107" s="2053"/>
      <c r="I2107" s="1595"/>
      <c r="J2107" s="2056"/>
      <c r="K2107" s="398"/>
      <c r="L2107" s="398"/>
      <c r="M2107" s="398"/>
      <c r="N2107" s="398"/>
      <c r="O2107" s="1290"/>
      <c r="P2107" s="1290"/>
      <c r="Q2107" s="1290"/>
      <c r="R2107" s="1290"/>
      <c r="S2107" s="1290"/>
      <c r="T2107" s="1290"/>
      <c r="U2107" s="1290"/>
      <c r="V2107" s="1290"/>
      <c r="W2107" s="1290"/>
      <c r="X2107" s="1290"/>
      <c r="Y2107" s="1290"/>
    </row>
    <row r="2108" spans="1:25" ht="15.75" customHeight="1" outlineLevel="1">
      <c r="A2108" s="2054" t="s">
        <v>1896</v>
      </c>
      <c r="B2108" s="2055"/>
      <c r="C2108" s="1685"/>
      <c r="D2108" s="1057" t="s">
        <v>156</v>
      </c>
      <c r="E2108" s="946">
        <f>'Ввод данных'!C558</f>
        <v>0.8</v>
      </c>
      <c r="F2108" s="2057"/>
      <c r="G2108" s="1645"/>
      <c r="H2108" s="2058"/>
      <c r="I2108" s="1595"/>
      <c r="J2108" s="398"/>
      <c r="K2108" s="398"/>
      <c r="L2108" s="398"/>
      <c r="M2108" s="398"/>
      <c r="N2108" s="398"/>
      <c r="O2108" s="1290"/>
      <c r="P2108" s="1290"/>
      <c r="Q2108" s="1290"/>
      <c r="R2108" s="1290"/>
      <c r="S2108" s="1290"/>
      <c r="T2108" s="1290"/>
      <c r="U2108" s="1290"/>
      <c r="V2108" s="1290"/>
      <c r="W2108" s="1290"/>
      <c r="X2108" s="1290"/>
      <c r="Y2108" s="1290"/>
    </row>
    <row r="2109" spans="1:25" ht="15.75" customHeight="1" outlineLevel="1">
      <c r="A2109" s="2059" t="s">
        <v>2765</v>
      </c>
      <c r="B2109" s="2051"/>
      <c r="C2109" s="2060"/>
      <c r="D2109" s="1291" t="s">
        <v>156</v>
      </c>
      <c r="E2109" s="1291"/>
      <c r="F2109" s="398"/>
      <c r="G2109" s="1645"/>
      <c r="H2109" s="2058"/>
      <c r="I2109" s="1595"/>
      <c r="J2109" s="398"/>
      <c r="K2109" s="398"/>
      <c r="L2109" s="398"/>
      <c r="M2109" s="398"/>
      <c r="N2109" s="398"/>
      <c r="O2109" s="1290"/>
      <c r="P2109" s="1290"/>
      <c r="Q2109" s="1290"/>
      <c r="R2109" s="1290"/>
      <c r="S2109" s="1290"/>
      <c r="T2109" s="1290"/>
      <c r="U2109" s="1290"/>
      <c r="V2109" s="1290"/>
      <c r="W2109" s="1290"/>
      <c r="X2109" s="1290"/>
      <c r="Y2109" s="1290"/>
    </row>
    <row r="2110" spans="1:25" ht="15.75" customHeight="1" outlineLevel="1">
      <c r="A2110" s="2059" t="s">
        <v>2768</v>
      </c>
      <c r="B2110" s="2051"/>
      <c r="C2110" s="2060"/>
      <c r="D2110" s="1291" t="s">
        <v>156</v>
      </c>
      <c r="E2110" s="1291">
        <f>E2105+E2108</f>
        <v>3.8</v>
      </c>
      <c r="F2110" s="1290"/>
      <c r="G2110" s="1291">
        <f>E2104+E2108+E2108</f>
        <v>4.5999999999999996</v>
      </c>
      <c r="H2110" s="481"/>
      <c r="I2110" s="1595">
        <f>E2110*E2100</f>
        <v>3.8</v>
      </c>
      <c r="J2110" s="398"/>
      <c r="K2110" s="398"/>
      <c r="L2110" s="398"/>
      <c r="M2110" s="398"/>
      <c r="N2110" s="398"/>
      <c r="O2110" s="1290"/>
      <c r="P2110" s="1290"/>
      <c r="Q2110" s="1290"/>
      <c r="R2110" s="1290"/>
      <c r="S2110" s="1290"/>
      <c r="T2110" s="1290"/>
      <c r="U2110" s="1290"/>
      <c r="V2110" s="1290"/>
      <c r="W2110" s="1290"/>
      <c r="X2110" s="1290"/>
      <c r="Y2110" s="1290"/>
    </row>
    <row r="2111" spans="1:25" ht="15.75" customHeight="1" outlineLevel="1">
      <c r="A2111" s="2054" t="s">
        <v>2773</v>
      </c>
      <c r="B2111" s="2055"/>
      <c r="C2111" s="1685"/>
      <c r="D2111" s="1057" t="s">
        <v>133</v>
      </c>
      <c r="E2111" s="1057">
        <f>E2106*E2110*2</f>
        <v>19.465497681795856</v>
      </c>
      <c r="F2111" s="1290"/>
      <c r="G2111" s="1291">
        <f>G2110*G2106</f>
        <v>11.781748596876438</v>
      </c>
      <c r="H2111" s="481"/>
      <c r="I2111" s="1595"/>
      <c r="J2111" s="2057"/>
      <c r="K2111" s="398"/>
      <c r="L2111" s="398"/>
      <c r="M2111" s="398"/>
      <c r="N2111" s="398"/>
      <c r="O2111" s="1290"/>
      <c r="P2111" s="1290"/>
      <c r="Q2111" s="1290"/>
      <c r="R2111" s="1290"/>
      <c r="S2111" s="1290"/>
      <c r="T2111" s="1290"/>
      <c r="U2111" s="1290"/>
      <c r="V2111" s="1290"/>
      <c r="W2111" s="1290"/>
      <c r="X2111" s="1290"/>
      <c r="Y2111" s="1290"/>
    </row>
    <row r="2112" spans="1:25" ht="15.75" customHeight="1" outlineLevel="1">
      <c r="A2112" s="2054" t="s">
        <v>2766</v>
      </c>
      <c r="B2112" s="2055"/>
      <c r="C2112" s="1685"/>
      <c r="D2112" s="1057" t="s">
        <v>133</v>
      </c>
      <c r="E2112" s="1057"/>
      <c r="F2112" s="513"/>
      <c r="G2112" s="1645"/>
      <c r="H2112" s="2058"/>
      <c r="I2112" s="1595"/>
      <c r="J2112" s="398"/>
      <c r="K2112" s="398"/>
      <c r="L2112" s="398"/>
      <c r="M2112" s="398"/>
      <c r="N2112" s="398"/>
      <c r="O2112" s="1290"/>
      <c r="P2112" s="1290"/>
      <c r="Q2112" s="1290"/>
      <c r="R2112" s="1290"/>
      <c r="S2112" s="1290"/>
      <c r="T2112" s="1290"/>
      <c r="U2112" s="1290"/>
      <c r="V2112" s="1290"/>
      <c r="W2112" s="1290"/>
      <c r="X2112" s="1290"/>
      <c r="Y2112" s="1290"/>
    </row>
    <row r="2113" spans="1:25" ht="15.75" customHeight="1" outlineLevel="1">
      <c r="A2113" s="2054" t="s">
        <v>2781</v>
      </c>
      <c r="B2113" s="2055"/>
      <c r="C2113" s="1685"/>
      <c r="D2113" s="1057" t="s">
        <v>133</v>
      </c>
      <c r="E2113" s="1057">
        <f>E2111</f>
        <v>19.465497681795856</v>
      </c>
      <c r="F2113" s="1290"/>
      <c r="G2113" s="1057">
        <f>G2111</f>
        <v>11.781748596876438</v>
      </c>
      <c r="H2113" s="513"/>
      <c r="I2113" s="1595"/>
      <c r="J2113" s="513"/>
      <c r="K2113" s="398"/>
      <c r="L2113" s="398"/>
      <c r="M2113" s="398"/>
      <c r="N2113" s="398"/>
      <c r="O2113" s="1290"/>
      <c r="P2113" s="1290"/>
      <c r="Q2113" s="1290"/>
      <c r="R2113" s="1290"/>
      <c r="S2113" s="1290"/>
      <c r="T2113" s="1290"/>
      <c r="U2113" s="1290"/>
      <c r="V2113" s="1290"/>
      <c r="W2113" s="1290"/>
      <c r="X2113" s="1290"/>
      <c r="Y2113" s="1290"/>
    </row>
    <row r="2114" spans="1:25" ht="15.75" customHeight="1" outlineLevel="1">
      <c r="A2114" s="1291" t="s">
        <v>2774</v>
      </c>
      <c r="B2114" s="1244"/>
      <c r="C2114" s="1244"/>
      <c r="D2114" s="1291" t="s">
        <v>133</v>
      </c>
      <c r="E2114" s="1291"/>
      <c r="F2114" s="398"/>
      <c r="G2114" s="1057"/>
      <c r="H2114" s="513"/>
      <c r="I2114" s="1595">
        <f>E2113*E2100+G2113*G2100</f>
        <v>19.465497681795856</v>
      </c>
      <c r="J2114" s="398" t="s">
        <v>2623</v>
      </c>
      <c r="K2114" s="398"/>
      <c r="L2114" s="398"/>
      <c r="M2114" s="398"/>
      <c r="N2114" s="398"/>
      <c r="O2114" s="1290"/>
      <c r="P2114" s="1290"/>
      <c r="Q2114" s="1290"/>
      <c r="R2114" s="1290"/>
      <c r="S2114" s="1290"/>
      <c r="T2114" s="1290"/>
      <c r="U2114" s="1290"/>
      <c r="V2114" s="1290"/>
      <c r="W2114" s="1290"/>
      <c r="X2114" s="1290"/>
      <c r="Y2114" s="1290"/>
    </row>
    <row r="2115" spans="1:25" ht="15.75" customHeight="1" outlineLevel="1">
      <c r="A2115" s="2059" t="s">
        <v>2628</v>
      </c>
      <c r="B2115" s="2051"/>
      <c r="C2115" s="2060"/>
      <c r="D2115" s="1291" t="s">
        <v>1820</v>
      </c>
      <c r="E2115" s="1291"/>
      <c r="F2115" s="977"/>
      <c r="G2115" s="1291"/>
      <c r="H2115" s="481"/>
      <c r="I2115" s="1595">
        <f>I2114*1.2</f>
        <v>23.358597218155026</v>
      </c>
      <c r="J2115" s="398" t="s">
        <v>3826</v>
      </c>
      <c r="K2115" s="398"/>
      <c r="L2115" s="398"/>
      <c r="M2115" s="398"/>
      <c r="N2115" s="398"/>
      <c r="O2115" s="1290"/>
      <c r="P2115" s="1290"/>
      <c r="Q2115" s="1290"/>
      <c r="R2115" s="1290"/>
      <c r="S2115" s="1290"/>
      <c r="T2115" s="1290"/>
      <c r="U2115" s="1290"/>
      <c r="V2115" s="1290"/>
      <c r="W2115" s="1290"/>
      <c r="X2115" s="1290"/>
      <c r="Y2115" s="1290"/>
    </row>
    <row r="2116" spans="1:25" ht="15.75" customHeight="1" outlineLevel="1">
      <c r="A2116" s="1697" t="s">
        <v>3518</v>
      </c>
      <c r="B2116" s="2061"/>
      <c r="C2116" s="2062"/>
      <c r="D2116" s="1057" t="s">
        <v>156</v>
      </c>
      <c r="E2116" s="1057">
        <v>0.15</v>
      </c>
      <c r="F2116" s="977"/>
      <c r="G2116" s="398"/>
      <c r="H2116" s="398"/>
      <c r="I2116" s="1595">
        <f>E2110*2*E2100+G2110*G2100</f>
        <v>7.6</v>
      </c>
      <c r="J2116" s="398" t="s">
        <v>3827</v>
      </c>
      <c r="K2116" s="398"/>
      <c r="L2116" s="398"/>
      <c r="M2116" s="398"/>
      <c r="N2116" s="398"/>
      <c r="O2116" s="1290"/>
      <c r="P2116" s="1290"/>
      <c r="Q2116" s="1290"/>
      <c r="R2116" s="1290"/>
      <c r="S2116" s="1290"/>
      <c r="T2116" s="1290"/>
      <c r="U2116" s="1290"/>
      <c r="V2116" s="1290"/>
      <c r="W2116" s="1290"/>
      <c r="X2116" s="1290"/>
      <c r="Y2116" s="1290"/>
    </row>
    <row r="2117" spans="1:25" ht="15.75" customHeight="1" outlineLevel="1">
      <c r="A2117" s="2063"/>
      <c r="B2117" s="2064"/>
      <c r="C2117" s="2065"/>
      <c r="D2117" s="1057" t="s">
        <v>156</v>
      </c>
      <c r="E2117" s="1057">
        <v>0.2</v>
      </c>
      <c r="F2117" s="977"/>
      <c r="G2117" s="561"/>
      <c r="H2117" s="561"/>
      <c r="I2117" s="1595">
        <f>E2110*2*E2100*2+G2110*G2100*2</f>
        <v>15.2</v>
      </c>
      <c r="J2117" s="561" t="s">
        <v>3516</v>
      </c>
      <c r="K2117" s="561"/>
      <c r="L2117" s="561"/>
      <c r="M2117" s="561"/>
      <c r="N2117" s="561"/>
      <c r="O2117" s="1290"/>
      <c r="P2117" s="1290"/>
      <c r="Q2117" s="1290"/>
      <c r="R2117" s="1290"/>
      <c r="S2117" s="1290"/>
      <c r="T2117" s="1290"/>
      <c r="U2117" s="1290"/>
      <c r="V2117" s="1290"/>
      <c r="W2117" s="1290"/>
      <c r="X2117" s="1290"/>
      <c r="Y2117" s="1290"/>
    </row>
    <row r="2118" spans="1:25" ht="15.75" customHeight="1" outlineLevel="1">
      <c r="A2118" s="1697" t="s">
        <v>2632</v>
      </c>
      <c r="B2118" s="2061"/>
      <c r="C2118" s="2062"/>
      <c r="D2118" s="1057" t="s">
        <v>156</v>
      </c>
      <c r="E2118" s="1057">
        <v>0.15</v>
      </c>
      <c r="F2118" s="977"/>
      <c r="G2118" s="561"/>
      <c r="H2118" s="561"/>
      <c r="I2118" s="1595">
        <f>E2106*4*1.1*E2100+G2106*1.1*2*G2100</f>
        <v>11.269498657881813</v>
      </c>
      <c r="J2118" s="561" t="s">
        <v>1542</v>
      </c>
      <c r="K2118" s="561"/>
      <c r="L2118" s="561"/>
      <c r="M2118" s="561"/>
      <c r="N2118" s="561"/>
      <c r="O2118" s="1290"/>
      <c r="P2118" s="1290"/>
      <c r="Q2118" s="1290"/>
      <c r="R2118" s="1290"/>
      <c r="S2118" s="1290"/>
      <c r="T2118" s="1290"/>
      <c r="U2118" s="1290"/>
      <c r="V2118" s="1290"/>
      <c r="W2118" s="1290"/>
      <c r="X2118" s="1290"/>
      <c r="Y2118" s="1290"/>
    </row>
    <row r="2119" spans="1:25" ht="15.75" customHeight="1" outlineLevel="1">
      <c r="A2119" s="2063"/>
      <c r="B2119" s="2064"/>
      <c r="C2119" s="2065"/>
      <c r="D2119" s="1057" t="s">
        <v>156</v>
      </c>
      <c r="E2119" s="1057">
        <v>0.2</v>
      </c>
      <c r="F2119" s="977"/>
      <c r="G2119" s="561"/>
      <c r="H2119" s="561"/>
      <c r="I2119" s="1595">
        <f>E2101+E2102+1</f>
        <v>3.7</v>
      </c>
      <c r="J2119" s="561" t="s">
        <v>1082</v>
      </c>
      <c r="K2119" s="561"/>
      <c r="L2119" s="561"/>
      <c r="M2119" s="561"/>
      <c r="N2119" s="561"/>
      <c r="O2119" s="1290"/>
      <c r="P2119" s="1290"/>
      <c r="Q2119" s="1290"/>
      <c r="R2119" s="1290"/>
      <c r="S2119" s="1290"/>
      <c r="T2119" s="1290"/>
      <c r="U2119" s="1290"/>
      <c r="V2119" s="1290"/>
      <c r="W2119" s="1290"/>
      <c r="X2119" s="1290"/>
      <c r="Y2119" s="1290"/>
    </row>
    <row r="2120" spans="1:25" ht="15.75" customHeight="1" outlineLevel="1">
      <c r="A2120" s="561"/>
      <c r="B2120" s="2066"/>
      <c r="C2120" s="2066"/>
      <c r="D2120" s="561"/>
      <c r="E2120" s="561"/>
      <c r="F2120" s="561"/>
      <c r="G2120" s="2056"/>
      <c r="H2120" s="2056"/>
      <c r="I2120" s="2067"/>
      <c r="J2120" s="561"/>
      <c r="K2120" s="561"/>
      <c r="L2120" s="561"/>
      <c r="M2120" s="561"/>
      <c r="N2120" s="561"/>
      <c r="O2120" s="1290"/>
      <c r="P2120" s="1290"/>
      <c r="Q2120" s="1290"/>
      <c r="R2120" s="1290"/>
      <c r="S2120" s="1290"/>
      <c r="T2120" s="1290"/>
      <c r="U2120" s="1290"/>
      <c r="V2120" s="1290"/>
      <c r="W2120" s="1290"/>
      <c r="X2120" s="1290"/>
      <c r="Y2120" s="1290"/>
    </row>
    <row r="2121" spans="1:25" ht="15.75" customHeight="1" outlineLevel="1">
      <c r="A2121" s="561"/>
      <c r="B2121" s="2066"/>
      <c r="C2121" s="2066"/>
      <c r="D2121" s="561"/>
      <c r="E2121" s="561"/>
      <c r="F2121" s="561"/>
      <c r="G2121" s="561"/>
      <c r="H2121" s="561"/>
      <c r="I2121" s="1595"/>
      <c r="J2121" s="561"/>
      <c r="K2121" s="561"/>
      <c r="L2121" s="561"/>
      <c r="M2121" s="561"/>
      <c r="N2121" s="561"/>
      <c r="O2121" s="1290"/>
      <c r="P2121" s="1290"/>
      <c r="Q2121" s="1290"/>
      <c r="R2121" s="1290"/>
      <c r="S2121" s="1290"/>
      <c r="T2121" s="1290"/>
      <c r="U2121" s="1290"/>
      <c r="V2121" s="1290"/>
      <c r="W2121" s="1290"/>
      <c r="X2121" s="1290"/>
      <c r="Y2121" s="1290"/>
    </row>
    <row r="2122" spans="1:25" ht="15.75" customHeight="1" outlineLevel="1">
      <c r="A2122" s="2068" t="s">
        <v>3828</v>
      </c>
      <c r="B2122" s="2069"/>
      <c r="C2122" s="2069"/>
      <c r="D2122" s="2070"/>
      <c r="E2122" s="2070"/>
      <c r="F2122" s="2070"/>
      <c r="G2122" s="2070"/>
      <c r="H2122" s="2070"/>
      <c r="I2122" s="2071"/>
      <c r="J2122" s="2070"/>
      <c r="K2122" s="2070"/>
      <c r="L2122" s="2070"/>
      <c r="M2122" s="2070"/>
      <c r="N2122" s="2070"/>
      <c r="O2122" s="2070"/>
      <c r="P2122" s="2072"/>
      <c r="Q2122" s="1290"/>
      <c r="R2122" s="1290"/>
      <c r="S2122" s="1290"/>
      <c r="T2122" s="1290"/>
      <c r="U2122" s="1290"/>
      <c r="V2122" s="1290"/>
      <c r="W2122" s="1290"/>
      <c r="X2122" s="1290"/>
      <c r="Y2122" s="1290"/>
    </row>
    <row r="2123" spans="1:25" ht="15.75" customHeight="1" outlineLevel="1">
      <c r="A2123" s="1821" t="s">
        <v>1806</v>
      </c>
      <c r="B2123" s="1822"/>
      <c r="C2123" s="1822"/>
      <c r="D2123" s="1823"/>
      <c r="E2123" s="1823"/>
      <c r="F2123" s="1824"/>
      <c r="G2123" s="1872">
        <f>'Ввод данных'!E516</f>
        <v>1</v>
      </c>
      <c r="H2123" s="1873"/>
      <c r="I2123" s="2073">
        <f>'Ввод данных'!E517</f>
        <v>1.1000000000000001</v>
      </c>
      <c r="J2123" s="2074"/>
      <c r="K2123" s="2074"/>
      <c r="L2123" s="2074"/>
      <c r="M2123" s="2074"/>
      <c r="N2123" s="2074"/>
      <c r="O2123" s="2074"/>
      <c r="P2123" s="2074"/>
      <c r="Q2123" s="1290"/>
      <c r="R2123" s="1290"/>
      <c r="S2123" s="1290"/>
      <c r="T2123" s="1290"/>
      <c r="U2123" s="1290"/>
      <c r="V2123" s="1290"/>
      <c r="W2123" s="1290"/>
      <c r="X2123" s="1290"/>
      <c r="Y2123" s="1290"/>
    </row>
    <row r="2124" spans="1:25" ht="15.75" customHeight="1" outlineLevel="1">
      <c r="A2124" s="2075" t="s">
        <v>2705</v>
      </c>
      <c r="B2124" s="2076" t="s">
        <v>156</v>
      </c>
      <c r="C2124" s="2076">
        <f>E2101</f>
        <v>2.7</v>
      </c>
      <c r="D2124" s="2077">
        <v>1</v>
      </c>
      <c r="E2124" s="2078"/>
      <c r="F2124" s="2078"/>
      <c r="G2124" s="2078"/>
      <c r="H2124" s="2078"/>
      <c r="I2124" s="2073"/>
      <c r="J2124" s="2074"/>
      <c r="K2124" s="2074"/>
      <c r="L2124" s="2074"/>
      <c r="M2124" s="2074"/>
      <c r="N2124" s="2074"/>
      <c r="O2124" s="2074"/>
      <c r="P2124" s="2074"/>
      <c r="Q2124" s="1290"/>
      <c r="R2124" s="1290"/>
      <c r="S2124" s="1290"/>
      <c r="T2124" s="1290"/>
      <c r="U2124" s="1290"/>
      <c r="V2124" s="1290"/>
      <c r="W2124" s="1290"/>
      <c r="X2124" s="1290"/>
      <c r="Y2124" s="1290"/>
    </row>
    <row r="2125" spans="1:25" ht="15.75" customHeight="1" outlineLevel="1">
      <c r="A2125" s="2075" t="s">
        <v>3829</v>
      </c>
      <c r="B2125" s="2076" t="s">
        <v>156</v>
      </c>
      <c r="C2125" s="2076">
        <v>0.1</v>
      </c>
      <c r="D2125" s="2079"/>
      <c r="E2125" s="2078"/>
      <c r="F2125" s="2078"/>
      <c r="G2125" s="2078"/>
      <c r="H2125" s="2078"/>
      <c r="I2125" s="2073"/>
      <c r="J2125" s="2074"/>
      <c r="K2125" s="2074"/>
      <c r="L2125" s="2074"/>
      <c r="M2125" s="2074"/>
      <c r="N2125" s="2074"/>
      <c r="O2125" s="2074"/>
      <c r="P2125" s="2074"/>
      <c r="Q2125" s="1290"/>
      <c r="R2125" s="1290"/>
      <c r="S2125" s="1290"/>
      <c r="T2125" s="1290"/>
      <c r="U2125" s="1290"/>
      <c r="V2125" s="1290"/>
      <c r="W2125" s="1290"/>
      <c r="X2125" s="1290"/>
      <c r="Y2125" s="1290"/>
    </row>
    <row r="2126" spans="1:25" ht="15.75" customHeight="1" outlineLevel="1">
      <c r="A2126" s="2075" t="s">
        <v>3830</v>
      </c>
      <c r="B2126" s="2076" t="s">
        <v>156</v>
      </c>
      <c r="C2126" s="2076">
        <v>0.15</v>
      </c>
      <c r="D2126" s="2079"/>
      <c r="E2126" s="2078"/>
      <c r="F2126" s="2078"/>
      <c r="G2126" s="2078"/>
      <c r="H2126" s="2078"/>
      <c r="I2126" s="2073"/>
      <c r="J2126" s="2074"/>
      <c r="K2126" s="2074"/>
      <c r="L2126" s="2074"/>
      <c r="M2126" s="2074"/>
      <c r="N2126" s="2074"/>
      <c r="O2126" s="2074"/>
      <c r="P2126" s="2074"/>
      <c r="Q2126" s="1290"/>
      <c r="R2126" s="1290"/>
      <c r="S2126" s="1290"/>
      <c r="T2126" s="1290"/>
      <c r="U2126" s="1290"/>
      <c r="V2126" s="1290"/>
      <c r="W2126" s="1290"/>
      <c r="X2126" s="1290"/>
      <c r="Y2126" s="1290"/>
    </row>
    <row r="2127" spans="1:25" ht="15.75" customHeight="1" outlineLevel="1">
      <c r="A2127" s="1057" t="s">
        <v>3831</v>
      </c>
      <c r="B2127" s="1884" t="s">
        <v>159</v>
      </c>
      <c r="C2127" s="1841">
        <f>IF('Ввод данных'!A562=связи1!A6,1,0)</f>
        <v>1</v>
      </c>
      <c r="D2127" s="1290"/>
      <c r="E2127" s="1805"/>
      <c r="F2127" s="1805"/>
      <c r="G2127" s="1380"/>
      <c r="H2127" s="1380"/>
      <c r="I2127" s="1829"/>
      <c r="J2127" s="1789"/>
      <c r="K2127" s="1380"/>
      <c r="L2127" s="1380"/>
      <c r="M2127" s="1380"/>
      <c r="N2127" s="1380"/>
      <c r="O2127" s="1380"/>
      <c r="P2127" s="1380"/>
      <c r="Q2127" s="1290"/>
      <c r="R2127" s="1290"/>
      <c r="S2127" s="1290"/>
      <c r="T2127" s="1290"/>
      <c r="U2127" s="1290"/>
      <c r="V2127" s="1290"/>
      <c r="W2127" s="1290"/>
      <c r="X2127" s="1290"/>
      <c r="Y2127" s="1290"/>
    </row>
    <row r="2128" spans="1:25" ht="15.75" customHeight="1" outlineLevel="1">
      <c r="A2128" s="1691" t="s">
        <v>3832</v>
      </c>
      <c r="B2128" s="1696" t="s">
        <v>159</v>
      </c>
      <c r="C2128" s="1841">
        <f>IF('Ввод данных'!A562=связи1!A7,1,0)</f>
        <v>0</v>
      </c>
      <c r="D2128" s="1290"/>
      <c r="E2128" s="1805"/>
      <c r="F2128" s="1805"/>
      <c r="G2128" s="1380"/>
      <c r="H2128" s="1380"/>
      <c r="I2128" s="1829"/>
      <c r="J2128" s="1789"/>
      <c r="K2128" s="1380"/>
      <c r="L2128" s="1380"/>
      <c r="M2128" s="1380"/>
      <c r="N2128" s="1380"/>
      <c r="O2128" s="1380"/>
      <c r="P2128" s="1380"/>
      <c r="Q2128" s="1290"/>
      <c r="R2128" s="1290"/>
      <c r="S2128" s="1290"/>
      <c r="T2128" s="1290"/>
      <c r="U2128" s="1290"/>
      <c r="V2128" s="1290"/>
      <c r="W2128" s="1290"/>
      <c r="X2128" s="1290"/>
      <c r="Y2128" s="1290"/>
    </row>
    <row r="2129" spans="1:25" ht="15.75" customHeight="1" outlineLevel="1">
      <c r="A2129" s="1691" t="s">
        <v>3833</v>
      </c>
      <c r="B2129" s="1696" t="s">
        <v>159</v>
      </c>
      <c r="C2129" s="1841">
        <f>IF('Ввод данных'!A562=связи1!A8,1,0)</f>
        <v>0</v>
      </c>
      <c r="D2129" s="1290"/>
      <c r="E2129" s="1805"/>
      <c r="F2129" s="2080"/>
      <c r="G2129" s="1380"/>
      <c r="H2129" s="1380"/>
      <c r="I2129" s="1829"/>
      <c r="J2129" s="1789"/>
      <c r="K2129" s="1380"/>
      <c r="L2129" s="1380"/>
      <c r="M2129" s="1380"/>
      <c r="N2129" s="1380"/>
      <c r="O2129" s="1380"/>
      <c r="P2129" s="1380"/>
      <c r="Q2129" s="1290"/>
      <c r="R2129" s="1290"/>
      <c r="S2129" s="1290"/>
      <c r="T2129" s="1290"/>
      <c r="U2129" s="1290"/>
      <c r="V2129" s="1290"/>
      <c r="W2129" s="1290"/>
      <c r="X2129" s="1290"/>
      <c r="Y2129" s="1290"/>
    </row>
    <row r="2130" spans="1:25" ht="15.75" customHeight="1" outlineLevel="1">
      <c r="A2130" s="1353" t="s">
        <v>2623</v>
      </c>
      <c r="B2130" s="1696" t="s">
        <v>133</v>
      </c>
      <c r="C2130" s="1696">
        <f>I2114</f>
        <v>19.465497681795856</v>
      </c>
      <c r="D2130" s="1805"/>
      <c r="E2130" s="1805"/>
      <c r="F2130" s="1805"/>
      <c r="G2130" s="1380"/>
      <c r="H2130" s="1380"/>
      <c r="I2130" s="1829"/>
      <c r="J2130" s="1789"/>
      <c r="K2130" s="1380"/>
      <c r="L2130" s="1380"/>
      <c r="M2130" s="1380"/>
      <c r="N2130" s="1380"/>
      <c r="O2130" s="1380"/>
      <c r="P2130" s="1380"/>
      <c r="Q2130" s="1290"/>
      <c r="R2130" s="1290"/>
      <c r="S2130" s="1290"/>
      <c r="T2130" s="1290"/>
      <c r="U2130" s="1290"/>
      <c r="V2130" s="1290"/>
      <c r="W2130" s="1290"/>
      <c r="X2130" s="1290"/>
      <c r="Y2130" s="1290"/>
    </row>
    <row r="2131" spans="1:25" ht="15.75" customHeight="1" outlineLevel="1">
      <c r="A2131" s="1353" t="s">
        <v>1546</v>
      </c>
      <c r="B2131" s="1696" t="s">
        <v>156</v>
      </c>
      <c r="C2131" s="1696">
        <f>I2110</f>
        <v>3.8</v>
      </c>
      <c r="D2131" s="1805"/>
      <c r="E2131" s="1805"/>
      <c r="F2131" s="1805"/>
      <c r="G2131" s="1380"/>
      <c r="H2131" s="1380"/>
      <c r="I2131" s="1829"/>
      <c r="J2131" s="1789"/>
      <c r="K2131" s="1380"/>
      <c r="L2131" s="1380"/>
      <c r="M2131" s="1380"/>
      <c r="N2131" s="1380"/>
      <c r="O2131" s="1380"/>
      <c r="P2131" s="1380"/>
      <c r="Q2131" s="1290"/>
      <c r="R2131" s="1290"/>
      <c r="S2131" s="1290"/>
      <c r="T2131" s="1290"/>
      <c r="U2131" s="1290"/>
      <c r="V2131" s="1290"/>
      <c r="W2131" s="1290"/>
      <c r="X2131" s="1290"/>
      <c r="Y2131" s="1290"/>
    </row>
    <row r="2132" spans="1:25" ht="15.75" customHeight="1" outlineLevel="1">
      <c r="A2132" s="1353" t="s">
        <v>3502</v>
      </c>
      <c r="B2132" s="1696" t="s">
        <v>156</v>
      </c>
      <c r="C2132" s="1696">
        <f>E2106*E2100+G2106*G2100</f>
        <v>2.5612496949731391</v>
      </c>
      <c r="D2132" s="1805"/>
      <c r="E2132" s="1805"/>
      <c r="F2132" s="1805"/>
      <c r="G2132" s="1380"/>
      <c r="H2132" s="1380"/>
      <c r="I2132" s="1829"/>
      <c r="J2132" s="1789"/>
      <c r="K2132" s="1380"/>
      <c r="L2132" s="1380"/>
      <c r="M2132" s="1380"/>
      <c r="N2132" s="1380"/>
      <c r="O2132" s="1380"/>
      <c r="P2132" s="1380"/>
      <c r="Q2132" s="1290"/>
      <c r="R2132" s="1290"/>
      <c r="S2132" s="1290"/>
      <c r="T2132" s="1290"/>
      <c r="U2132" s="1290"/>
      <c r="V2132" s="1290"/>
      <c r="W2132" s="1290"/>
      <c r="X2132" s="1290"/>
      <c r="Y2132" s="1290"/>
    </row>
    <row r="2133" spans="1:25" ht="15.75" customHeight="1" outlineLevel="1">
      <c r="A2133" s="1353" t="s">
        <v>1972</v>
      </c>
      <c r="B2133" s="1696" t="s">
        <v>156</v>
      </c>
      <c r="C2133" s="1773">
        <f>E2107</f>
        <v>0.5</v>
      </c>
      <c r="D2133" s="1805"/>
      <c r="E2133" s="1805"/>
      <c r="F2133" s="1805"/>
      <c r="G2133" s="1380"/>
      <c r="H2133" s="1380"/>
      <c r="I2133" s="1829"/>
      <c r="J2133" s="1789"/>
      <c r="K2133" s="1380"/>
      <c r="L2133" s="1380"/>
      <c r="M2133" s="1380"/>
      <c r="N2133" s="1380"/>
      <c r="O2133" s="1380"/>
      <c r="P2133" s="1380"/>
      <c r="Q2133" s="1290"/>
      <c r="R2133" s="1290"/>
      <c r="S2133" s="1290"/>
      <c r="T2133" s="1290"/>
      <c r="U2133" s="1290"/>
      <c r="V2133" s="1290"/>
      <c r="W2133" s="1290"/>
      <c r="X2133" s="1290"/>
      <c r="Y2133" s="1290"/>
    </row>
    <row r="2134" spans="1:25" ht="15.75" customHeight="1" outlineLevel="1">
      <c r="A2134" s="1846" t="s">
        <v>1975</v>
      </c>
      <c r="B2134" s="1833" t="s">
        <v>156</v>
      </c>
      <c r="C2134" s="1773">
        <f>E2108</f>
        <v>0.8</v>
      </c>
      <c r="D2134" s="1805"/>
      <c r="E2134" s="1805"/>
      <c r="F2134" s="1805"/>
      <c r="G2134" s="1380"/>
      <c r="H2134" s="1380"/>
      <c r="I2134" s="1829"/>
      <c r="J2134" s="1789"/>
      <c r="K2134" s="1380"/>
      <c r="L2134" s="1380"/>
      <c r="M2134" s="1380"/>
      <c r="N2134" s="1380"/>
      <c r="O2134" s="1380"/>
      <c r="P2134" s="1380"/>
      <c r="Q2134" s="1290"/>
      <c r="R2134" s="1290"/>
      <c r="S2134" s="1290"/>
      <c r="T2134" s="1290"/>
      <c r="U2134" s="1290"/>
      <c r="V2134" s="1290"/>
      <c r="W2134" s="1290"/>
      <c r="X2134" s="1290"/>
      <c r="Y2134" s="1290"/>
    </row>
    <row r="2135" spans="1:25" ht="15.75" customHeight="1" outlineLevel="1">
      <c r="A2135" s="2009" t="s">
        <v>2720</v>
      </c>
      <c r="B2135" s="2008" t="s">
        <v>1094</v>
      </c>
      <c r="C2135" s="2008" t="s">
        <v>1802</v>
      </c>
      <c r="D2135" s="2009" t="s">
        <v>2721</v>
      </c>
      <c r="E2135" s="2009" t="s">
        <v>2722</v>
      </c>
      <c r="F2135" s="1354"/>
      <c r="G2135" s="2002" t="s">
        <v>1409</v>
      </c>
      <c r="H2135" s="2010"/>
      <c r="I2135" s="2011"/>
      <c r="J2135" s="2009" t="s">
        <v>1094</v>
      </c>
      <c r="K2135" s="2009" t="s">
        <v>1802</v>
      </c>
      <c r="L2135" s="2009" t="s">
        <v>1601</v>
      </c>
      <c r="M2135" s="2009"/>
      <c r="N2135" s="2009"/>
      <c r="O2135" s="2009" t="s">
        <v>2722</v>
      </c>
      <c r="Q2135" s="1290"/>
      <c r="R2135" s="1290"/>
      <c r="S2135" s="1290"/>
      <c r="T2135" s="1290"/>
      <c r="U2135" s="1290"/>
      <c r="V2135" s="1290"/>
      <c r="W2135" s="1290"/>
      <c r="X2135" s="1290"/>
      <c r="Y2135" s="1290"/>
    </row>
    <row r="2136" spans="1:25" ht="15.75" customHeight="1" outlineLevel="1">
      <c r="A2136" s="1353" t="str">
        <f>'Ввод данных'!A564</f>
        <v>Доска сухая, 200*50мм</v>
      </c>
      <c r="B2136" s="1696" t="s">
        <v>135</v>
      </c>
      <c r="C2136" s="1696">
        <f>((E2110/0.6+2)*2*E2106+E2110*2)*VLOOKUP(A2136,связи1!A407:E416,5,0)*D2019*E2100+G2100*((G2110/0.6+2)*G2106+G2110)*VLOOKUP(A2136,связи1!A407:E416,5,0)*D2019</f>
        <v>0</v>
      </c>
      <c r="D2136" s="1353">
        <f>VLOOKUP(A2136,связи1!A407:E416,2,0)</f>
        <v>9000</v>
      </c>
      <c r="E2136" s="1353">
        <f t="shared" ref="E2136:E2179" si="240">C2136*D2136</f>
        <v>0</v>
      </c>
      <c r="F2136" s="1354"/>
      <c r="G2136" s="1632" t="str">
        <f>'Прайс лист'!B1736</f>
        <v>монтаж стропил</v>
      </c>
      <c r="H2136" s="1778"/>
      <c r="I2136" s="1853"/>
      <c r="J2136" s="1353" t="s">
        <v>133</v>
      </c>
      <c r="K2136" s="1353">
        <f>C2130*(C2127+C2128+C2129)*D2019*I2123*IF(A2136=связи1!A407,0,1)</f>
        <v>0</v>
      </c>
      <c r="L2136" s="1353">
        <f>'Прайс лист'!G1736</f>
        <v>450</v>
      </c>
      <c r="M2136" s="1353"/>
      <c r="N2136" s="1353"/>
      <c r="O2136" s="1353">
        <f t="shared" ref="O2136:O2148" si="241">K2136*L2136</f>
        <v>0</v>
      </c>
      <c r="Q2136" s="1290"/>
      <c r="R2136" s="1290"/>
      <c r="S2136" s="1290"/>
      <c r="T2136" s="1290"/>
      <c r="U2136" s="1290"/>
      <c r="V2136" s="1290"/>
      <c r="W2136" s="1290"/>
      <c r="X2136" s="1290"/>
      <c r="Y2136" s="1290"/>
    </row>
    <row r="2137" spans="1:25" ht="15.75" customHeight="1" outlineLevel="1">
      <c r="A2137" s="1353" t="str">
        <f>'Ввод данных'!A566</f>
        <v>Сосна влаж,100*25мм</v>
      </c>
      <c r="B2137" s="1696" t="s">
        <v>135</v>
      </c>
      <c r="C2137" s="1696">
        <f>I2114*3.5*D2019*VLOOKUP(A2137,связи1!A432:F440,5,0)</f>
        <v>0</v>
      </c>
      <c r="D2137" s="1353">
        <f>VLOOKUP(A2137,связи1!A432:F440,6,0)</f>
        <v>6500</v>
      </c>
      <c r="E2137" s="1353">
        <f t="shared" si="240"/>
        <v>0</v>
      </c>
      <c r="F2137" s="1354"/>
      <c r="G2137" s="1632" t="str">
        <f>'Прайс лист'!B1737</f>
        <v>обрешетка</v>
      </c>
      <c r="H2137" s="1778"/>
      <c r="I2137" s="1853"/>
      <c r="J2137" s="1353" t="s">
        <v>133</v>
      </c>
      <c r="K2137" s="1353">
        <f>C2130*(C2127+C2128+C2129)*D2019*I2123*IF(A2137=связи1!A432,0,1)</f>
        <v>0</v>
      </c>
      <c r="L2137" s="1353">
        <f>'Прайс лист'!G1737</f>
        <v>100</v>
      </c>
      <c r="M2137" s="1353"/>
      <c r="N2137" s="1353"/>
      <c r="O2137" s="1353">
        <f t="shared" si="241"/>
        <v>0</v>
      </c>
      <c r="Q2137" s="1290"/>
      <c r="R2137" s="1290"/>
      <c r="S2137" s="1290"/>
      <c r="T2137" s="1290"/>
      <c r="U2137" s="1290"/>
      <c r="V2137" s="1290"/>
      <c r="W2137" s="1290"/>
      <c r="X2137" s="1290"/>
      <c r="Y2137" s="1290"/>
    </row>
    <row r="2138" spans="1:25" ht="15.75" customHeight="1" outlineLevel="1">
      <c r="A2138" s="1353" t="str">
        <f>'Ввод данных'!A568</f>
        <v>Доска сухая, калибр., 35*45мм</v>
      </c>
      <c r="B2138" s="1696" t="s">
        <v>159</v>
      </c>
      <c r="C2138" s="1696">
        <f>I2114*3*D2019*VLOOKUP(A2138,связи1!A418:E421,5,0)</f>
        <v>0</v>
      </c>
      <c r="D2138" s="1353">
        <f>VLOOKUP(A2138,связи1!A418:D421,2,0)</f>
        <v>12500</v>
      </c>
      <c r="E2138" s="1353">
        <f t="shared" si="240"/>
        <v>0</v>
      </c>
      <c r="F2138" s="1354"/>
      <c r="G2138" s="1632" t="str">
        <f>'Прайс лист'!B1738</f>
        <v>контробеш</v>
      </c>
      <c r="H2138" s="1778"/>
      <c r="I2138" s="1853"/>
      <c r="J2138" s="1353" t="s">
        <v>133</v>
      </c>
      <c r="K2138" s="1353">
        <f>C2130*(C2127+C2128+C2129)*D2019*I2123*IF(A2138=связи1!A418,0,1)</f>
        <v>0</v>
      </c>
      <c r="L2138" s="1353">
        <f>'Прайс лист'!G1738</f>
        <v>100</v>
      </c>
      <c r="M2138" s="1353"/>
      <c r="N2138" s="1353"/>
      <c r="O2138" s="1353">
        <f t="shared" si="241"/>
        <v>0</v>
      </c>
      <c r="Q2138" s="1290"/>
      <c r="R2138" s="1290"/>
      <c r="S2138" s="1290"/>
      <c r="T2138" s="1290"/>
      <c r="U2138" s="1290"/>
      <c r="V2138" s="1290"/>
      <c r="W2138" s="1290"/>
      <c r="X2138" s="1290"/>
      <c r="Y2138" s="1290"/>
    </row>
    <row r="2139" spans="1:25" ht="15.75" customHeight="1" outlineLevel="1">
      <c r="A2139" s="1353" t="str">
        <f>'Ввод данных'!A574</f>
        <v>нет ветроизоляции</v>
      </c>
      <c r="B2139" s="1696" t="s">
        <v>133</v>
      </c>
      <c r="C2139" s="1696">
        <f>I2114*1.2*D2019</f>
        <v>0</v>
      </c>
      <c r="D2139" s="1353">
        <f>VLOOKUP(A2139,'Прайс лист'!B793:G819,6,0)</f>
        <v>0</v>
      </c>
      <c r="E2139" s="1353">
        <f t="shared" si="240"/>
        <v>0</v>
      </c>
      <c r="F2139" s="1354"/>
      <c r="G2139" s="1632" t="str">
        <f>'Прайс лист'!B1739</f>
        <v>мембрана</v>
      </c>
      <c r="H2139" s="1778"/>
      <c r="I2139" s="1853"/>
      <c r="J2139" s="1353" t="s">
        <v>133</v>
      </c>
      <c r="K2139" s="1353">
        <f>C2130*(C2127+C2128+C2129)*D2019*I2123*IF(A2139='Прайс лист'!B793,0,1)</f>
        <v>0</v>
      </c>
      <c r="L2139" s="1353">
        <f>'Прайс лист'!G1739</f>
        <v>100</v>
      </c>
      <c r="M2139" s="1353"/>
      <c r="N2139" s="1353"/>
      <c r="O2139" s="1353">
        <f t="shared" si="241"/>
        <v>0</v>
      </c>
      <c r="Q2139" s="1290"/>
      <c r="R2139" s="1290"/>
      <c r="S2139" s="1290"/>
      <c r="T2139" s="1290"/>
      <c r="U2139" s="1290"/>
      <c r="V2139" s="1290"/>
      <c r="W2139" s="1290"/>
      <c r="X2139" s="1290"/>
      <c r="Y2139" s="1290"/>
    </row>
    <row r="2140" spans="1:25" ht="15.75" customHeight="1" outlineLevel="1">
      <c r="A2140" s="1353" t="s">
        <v>2724</v>
      </c>
      <c r="B2140" s="1696" t="s">
        <v>133</v>
      </c>
      <c r="C2140" s="1696">
        <f>C2130*1.1*G2123*C2127*D2019</f>
        <v>0</v>
      </c>
      <c r="D2140" s="1353">
        <f>'Прайс лист'!G1131</f>
        <v>250</v>
      </c>
      <c r="E2140" s="1353">
        <f t="shared" si="240"/>
        <v>0</v>
      </c>
      <c r="F2140" s="1354"/>
      <c r="G2140" s="1632" t="str">
        <f>'Прайс лист'!B1742</f>
        <v>Монтаж металлочерепицы</v>
      </c>
      <c r="H2140" s="1778"/>
      <c r="I2140" s="1853"/>
      <c r="J2140" s="1353" t="s">
        <v>133</v>
      </c>
      <c r="K2140" s="1353">
        <f>C2130*(C2127+C2128+C2129)*D2019*I2123</f>
        <v>0</v>
      </c>
      <c r="L2140" s="1353">
        <f>'Прайс лист'!G1742</f>
        <v>300</v>
      </c>
      <c r="M2140" s="1353"/>
      <c r="N2140" s="1353"/>
      <c r="O2140" s="1353">
        <f t="shared" si="241"/>
        <v>0</v>
      </c>
      <c r="Q2140" s="1290"/>
      <c r="R2140" s="1290"/>
      <c r="S2140" s="1290"/>
      <c r="T2140" s="1290"/>
      <c r="U2140" s="1290"/>
      <c r="V2140" s="1290"/>
      <c r="W2140" s="1290"/>
      <c r="X2140" s="1290"/>
      <c r="Y2140" s="1290"/>
    </row>
    <row r="2141" spans="1:25" ht="15.75" customHeight="1" outlineLevel="1">
      <c r="A2141" s="1353" t="s">
        <v>1541</v>
      </c>
      <c r="B2141" s="1696" t="s">
        <v>156</v>
      </c>
      <c r="C2141" s="1696">
        <f>I2117*G2123*(C2127+C2129)*D2019</f>
        <v>0</v>
      </c>
      <c r="D2141" s="1353">
        <f>'Прайс лист'!G1132</f>
        <v>200</v>
      </c>
      <c r="E2141" s="1353">
        <f t="shared" si="240"/>
        <v>0</v>
      </c>
      <c r="F2141" s="1354"/>
      <c r="G2141" s="1632" t="str">
        <f>'Прайс лист'!B1744</f>
        <v>карнизная планка</v>
      </c>
      <c r="H2141" s="1778"/>
      <c r="I2141" s="1853"/>
      <c r="J2141" s="1353" t="s">
        <v>133</v>
      </c>
      <c r="K2141" s="1353">
        <f>C2141*D2019*I2123</f>
        <v>0</v>
      </c>
      <c r="L2141" s="1353">
        <f>'Прайс лист'!G1744</f>
        <v>100</v>
      </c>
      <c r="M2141" s="1353"/>
      <c r="N2141" s="1353"/>
      <c r="O2141" s="1353">
        <f t="shared" si="241"/>
        <v>0</v>
      </c>
      <c r="Q2141" s="1290"/>
      <c r="R2141" s="1290"/>
      <c r="S2141" s="1290"/>
      <c r="T2141" s="1290"/>
      <c r="U2141" s="1290"/>
      <c r="V2141" s="1290"/>
      <c r="W2141" s="1290"/>
      <c r="X2141" s="1290"/>
      <c r="Y2141" s="1290"/>
    </row>
    <row r="2142" spans="1:25" ht="15.75" customHeight="1" outlineLevel="1">
      <c r="A2142" s="1353" t="s">
        <v>1542</v>
      </c>
      <c r="B2142" s="1696" t="s">
        <v>156</v>
      </c>
      <c r="C2142" s="1696">
        <f>I2118*G2123*(C2127+C2129)*D2019</f>
        <v>0</v>
      </c>
      <c r="D2142" s="1353">
        <f>'Прайс лист'!G1133</f>
        <v>200</v>
      </c>
      <c r="E2142" s="1353">
        <f t="shared" si="240"/>
        <v>0</v>
      </c>
      <c r="F2142" s="1354"/>
      <c r="G2142" s="1632" t="str">
        <f>'Прайс лист'!B1745</f>
        <v>торцевая планка</v>
      </c>
      <c r="H2142" s="1778"/>
      <c r="I2142" s="1853"/>
      <c r="J2142" s="1353" t="s">
        <v>133</v>
      </c>
      <c r="K2142" s="1353">
        <f>C2142*D2019*I2123</f>
        <v>0</v>
      </c>
      <c r="L2142" s="1353">
        <f>'Прайс лист'!G1745</f>
        <v>100</v>
      </c>
      <c r="M2142" s="1353"/>
      <c r="N2142" s="1353"/>
      <c r="O2142" s="1353">
        <f t="shared" si="241"/>
        <v>0</v>
      </c>
      <c r="Q2142" s="1290"/>
      <c r="R2142" s="1290"/>
      <c r="S2142" s="1290"/>
      <c r="T2142" s="1290"/>
      <c r="U2142" s="1290"/>
      <c r="V2142" s="1290"/>
      <c r="W2142" s="1290"/>
      <c r="X2142" s="1290"/>
      <c r="Y2142" s="1290"/>
    </row>
    <row r="2143" spans="1:25" ht="15.75" customHeight="1" outlineLevel="1">
      <c r="A2143" s="1353" t="s">
        <v>1546</v>
      </c>
      <c r="B2143" s="1696" t="s">
        <v>156</v>
      </c>
      <c r="C2143" s="1696">
        <f>C2131*G2123*(C2127)*D2019</f>
        <v>0</v>
      </c>
      <c r="D2143" s="1353">
        <f>'Прайс лист'!G1134</f>
        <v>230</v>
      </c>
      <c r="E2143" s="1353">
        <f t="shared" si="240"/>
        <v>0</v>
      </c>
      <c r="F2143" s="1354"/>
      <c r="G2143" s="1632" t="str">
        <f>'Прайс лист'!B1747</f>
        <v>желоб водосточный</v>
      </c>
      <c r="H2143" s="1778"/>
      <c r="I2143" s="1853"/>
      <c r="J2143" s="1353" t="s">
        <v>156</v>
      </c>
      <c r="K2143" s="1353">
        <f>C2163*D2019*I2123</f>
        <v>0</v>
      </c>
      <c r="L2143" s="1353">
        <f>'Прайс лист'!G1747</f>
        <v>300</v>
      </c>
      <c r="M2143" s="1353"/>
      <c r="N2143" s="1353"/>
      <c r="O2143" s="1353">
        <f t="shared" si="241"/>
        <v>0</v>
      </c>
      <c r="Q2143" s="1290"/>
      <c r="R2143" s="1290"/>
      <c r="S2143" s="1290"/>
      <c r="T2143" s="1290"/>
      <c r="U2143" s="1290"/>
      <c r="V2143" s="1290"/>
      <c r="W2143" s="1290"/>
      <c r="X2143" s="1290"/>
      <c r="Y2143" s="1290"/>
    </row>
    <row r="2144" spans="1:25" ht="15.75" customHeight="1" outlineLevel="1">
      <c r="A2144" s="1353" t="s">
        <v>2725</v>
      </c>
      <c r="B2144" s="1696" t="s">
        <v>133</v>
      </c>
      <c r="C2144" s="1696">
        <f>C2130*1.1*G2123*C2128*D2019</f>
        <v>0</v>
      </c>
      <c r="D2144" s="1353">
        <f>'Прайс лист'!G1143</f>
        <v>180</v>
      </c>
      <c r="E2144" s="1353">
        <f t="shared" si="240"/>
        <v>0</v>
      </c>
      <c r="F2144" s="1354"/>
      <c r="G2144" s="1632" t="str">
        <f>'Прайс лист'!B1748</f>
        <v>труба водосточная</v>
      </c>
      <c r="H2144" s="1778"/>
      <c r="I2144" s="1853"/>
      <c r="J2144" s="1353" t="s">
        <v>156</v>
      </c>
      <c r="K2144" s="1353">
        <f>C2165*D2019*I2123</f>
        <v>0</v>
      </c>
      <c r="L2144" s="1353">
        <f>'Прайс лист'!G1748</f>
        <v>300</v>
      </c>
      <c r="M2144" s="1353"/>
      <c r="N2144" s="1353"/>
      <c r="O2144" s="1353">
        <f t="shared" si="241"/>
        <v>0</v>
      </c>
      <c r="Q2144" s="1290"/>
      <c r="R2144" s="1290"/>
      <c r="S2144" s="1290"/>
      <c r="T2144" s="1290"/>
      <c r="U2144" s="1290"/>
      <c r="V2144" s="1290"/>
      <c r="W2144" s="1290"/>
      <c r="X2144" s="1290"/>
      <c r="Y2144" s="1290"/>
    </row>
    <row r="2145" spans="1:25" ht="15.75" customHeight="1" outlineLevel="1">
      <c r="A2145" s="1055" t="str">
        <f>'Прайс лист'!B1144</f>
        <v>Карнизная планка</v>
      </c>
      <c r="B2145" s="1339" t="str">
        <f>'Прайс лист'!C1144</f>
        <v>м.п.</v>
      </c>
      <c r="C2145" s="1055">
        <f>I2117*G2123*(C2128)*D2019</f>
        <v>0</v>
      </c>
      <c r="D2145" s="1353">
        <f>'Прайс лист'!G1144</f>
        <v>190</v>
      </c>
      <c r="E2145" s="1353">
        <f t="shared" si="240"/>
        <v>0</v>
      </c>
      <c r="F2145" s="1354"/>
      <c r="G2145" s="1055" t="str">
        <f>'Прайс лист'!B1743</f>
        <v>Монтаж ондулина</v>
      </c>
      <c r="H2145" s="1055"/>
      <c r="I2145" s="1055"/>
      <c r="J2145" s="1055" t="s">
        <v>133</v>
      </c>
      <c r="K2145" s="1055">
        <f>C2130*C2128</f>
        <v>0</v>
      </c>
      <c r="L2145" s="1055">
        <f>'Прайс лист'!G1743</f>
        <v>300</v>
      </c>
      <c r="M2145" s="1055"/>
      <c r="N2145" s="1055"/>
      <c r="O2145" s="1353">
        <f t="shared" si="241"/>
        <v>0</v>
      </c>
      <c r="Q2145" s="1290"/>
      <c r="R2145" s="1290"/>
      <c r="S2145" s="1290"/>
      <c r="T2145" s="1290"/>
      <c r="U2145" s="1290"/>
      <c r="V2145" s="1290"/>
      <c r="W2145" s="1290"/>
      <c r="X2145" s="1290"/>
      <c r="Y2145" s="1290"/>
    </row>
    <row r="2146" spans="1:25" ht="15.75" customHeight="1" outlineLevel="1">
      <c r="A2146" s="1055" t="str">
        <f>'Прайс лист'!B1145</f>
        <v>Торцевая планка</v>
      </c>
      <c r="B2146" s="1339" t="str">
        <f>'Прайс лист'!C1145</f>
        <v>м.п.</v>
      </c>
      <c r="C2146" s="1696">
        <f>I2118*G2123*(C2128)*D2019</f>
        <v>0</v>
      </c>
      <c r="D2146" s="1353">
        <f>'Прайс лист'!G1145</f>
        <v>190</v>
      </c>
      <c r="E2146" s="1353">
        <f t="shared" si="240"/>
        <v>0</v>
      </c>
      <c r="F2146" s="1354"/>
      <c r="G2146" s="1839" t="str">
        <f>'Прайс лист'!B1751</f>
        <v>Монтаж фанеры/osb</v>
      </c>
      <c r="H2146" s="1839"/>
      <c r="I2146" s="1694"/>
      <c r="J2146" s="1353" t="s">
        <v>133</v>
      </c>
      <c r="K2146" s="1353">
        <f>C2130*IF(A2152='Прайс лист'!B1027,0,1)</f>
        <v>0</v>
      </c>
      <c r="L2146" s="1353">
        <f>'Прайс лист'!G1751</f>
        <v>200</v>
      </c>
      <c r="M2146" s="1353"/>
      <c r="N2146" s="1353"/>
      <c r="O2146" s="1353">
        <f t="shared" si="241"/>
        <v>0</v>
      </c>
      <c r="Q2146" s="1290"/>
      <c r="R2146" s="1290"/>
      <c r="S2146" s="1290"/>
      <c r="T2146" s="1290"/>
      <c r="U2146" s="1290"/>
      <c r="V2146" s="1290"/>
      <c r="W2146" s="1290"/>
      <c r="X2146" s="1290"/>
      <c r="Y2146" s="1290"/>
    </row>
    <row r="2147" spans="1:25" ht="15.75" customHeight="1" outlineLevel="1">
      <c r="A2147" s="1055" t="str">
        <f>'Прайс лист'!B1146</f>
        <v>Конек</v>
      </c>
      <c r="B2147" s="1339" t="str">
        <f>'Прайс лист'!C1146</f>
        <v>м.п.</v>
      </c>
      <c r="C2147" s="1696">
        <f>C2131*G2123*(C2128)*D2019</f>
        <v>0</v>
      </c>
      <c r="D2147" s="1353">
        <f>'Прайс лист'!G1146</f>
        <v>200</v>
      </c>
      <c r="E2147" s="1353">
        <f t="shared" si="240"/>
        <v>0</v>
      </c>
      <c r="F2147" s="1354"/>
      <c r="G2147" s="1839" t="str">
        <f>'Прайс лист'!B1752</f>
        <v>монтаж подкладочного ковра</v>
      </c>
      <c r="H2147" s="2081"/>
      <c r="I2147" s="1853"/>
      <c r="J2147" s="1353" t="s">
        <v>133</v>
      </c>
      <c r="K2147" s="1353">
        <f>C2130*C2129</f>
        <v>0</v>
      </c>
      <c r="L2147" s="1353">
        <f>'Прайс лист'!G1752</f>
        <v>150</v>
      </c>
      <c r="M2147" s="1353"/>
      <c r="N2147" s="1353"/>
      <c r="O2147" s="1353">
        <f t="shared" si="241"/>
        <v>0</v>
      </c>
      <c r="Q2147" s="1290"/>
      <c r="R2147" s="1290"/>
      <c r="S2147" s="1290"/>
      <c r="T2147" s="1290"/>
      <c r="U2147" s="1290"/>
      <c r="V2147" s="1290"/>
      <c r="W2147" s="1290"/>
      <c r="X2147" s="1290"/>
      <c r="Y2147" s="1290"/>
    </row>
    <row r="2148" spans="1:25" ht="15.75" customHeight="1" outlineLevel="1">
      <c r="A2148" s="1055" t="str">
        <f>'Прайс лист'!B1147</f>
        <v>Ендова нижняя</v>
      </c>
      <c r="B2148" s="1339" t="str">
        <f>'Прайс лист'!C1147</f>
        <v>м.п.</v>
      </c>
      <c r="C2148" s="1696">
        <f>(E2106*E2100*2+G2110*G2100)*1.1*(C2127*C2128*C2129)</f>
        <v>0</v>
      </c>
      <c r="D2148" s="1353">
        <f>'Прайс лист'!G1147</f>
        <v>160</v>
      </c>
      <c r="E2148" s="1353">
        <f t="shared" si="240"/>
        <v>0</v>
      </c>
      <c r="F2148" s="1354"/>
      <c r="G2148" s="1839" t="str">
        <f>'Прайс лист'!B1753</f>
        <v>Монтаж мягкой кровли</v>
      </c>
      <c r="H2148" s="2081"/>
      <c r="I2148" s="1853"/>
      <c r="J2148" s="1353" t="s">
        <v>133</v>
      </c>
      <c r="K2148" s="1353">
        <f>C2130*C2129</f>
        <v>0</v>
      </c>
      <c r="L2148" s="1353">
        <f>'Прайс лист'!G1753</f>
        <v>350</v>
      </c>
      <c r="M2148" s="1353"/>
      <c r="N2148" s="1353"/>
      <c r="O2148" s="1353">
        <f t="shared" si="241"/>
        <v>0</v>
      </c>
      <c r="Q2148" s="1290"/>
      <c r="R2148" s="1290"/>
      <c r="S2148" s="1290"/>
      <c r="T2148" s="1290"/>
      <c r="U2148" s="1290"/>
      <c r="V2148" s="1290"/>
      <c r="W2148" s="1290"/>
      <c r="X2148" s="1290"/>
      <c r="Y2148" s="1290"/>
    </row>
    <row r="2149" spans="1:25" ht="15.75" customHeight="1" outlineLevel="1">
      <c r="A2149" s="1055" t="str">
        <f>'Прайс лист'!B1148</f>
        <v>Ендова верхняя</v>
      </c>
      <c r="B2149" s="1339" t="str">
        <f>'Прайс лист'!C1148</f>
        <v>м.п.</v>
      </c>
      <c r="C2149" s="1696"/>
      <c r="D2149" s="1353">
        <f>'Прайс лист'!G1148</f>
        <v>190</v>
      </c>
      <c r="E2149" s="1353">
        <f t="shared" si="240"/>
        <v>0</v>
      </c>
      <c r="F2149" s="1354"/>
      <c r="G2149" s="1994"/>
      <c r="H2149" s="2013"/>
      <c r="I2149" s="1853"/>
      <c r="J2149" s="1353"/>
      <c r="K2149" s="1353"/>
      <c r="L2149" s="1353"/>
      <c r="M2149" s="1353"/>
      <c r="N2149" s="1353"/>
      <c r="O2149" s="1353"/>
      <c r="Q2149" s="1290"/>
      <c r="R2149" s="1290"/>
      <c r="S2149" s="1290"/>
      <c r="T2149" s="1290"/>
      <c r="U2149" s="1290"/>
      <c r="V2149" s="1290"/>
      <c r="W2149" s="1290"/>
      <c r="X2149" s="1290"/>
      <c r="Y2149" s="1290"/>
    </row>
    <row r="2150" spans="1:25" ht="15.75" customHeight="1" outlineLevel="1">
      <c r="A2150" s="1055" t="str">
        <f>'Прайс лист'!B1149</f>
        <v>Планка примыкания</v>
      </c>
      <c r="B2150" s="1339" t="str">
        <f>'Прайс лист'!C1149</f>
        <v>м.п.</v>
      </c>
      <c r="C2150" s="1696">
        <f>C2148</f>
        <v>0</v>
      </c>
      <c r="D2150" s="1353">
        <f>'Прайс лист'!G1149</f>
        <v>190</v>
      </c>
      <c r="E2150" s="1353">
        <f t="shared" si="240"/>
        <v>0</v>
      </c>
      <c r="F2150" s="1354"/>
      <c r="G2150" s="1994"/>
      <c r="H2150" s="2013"/>
      <c r="I2150" s="1853"/>
      <c r="J2150" s="1353"/>
      <c r="K2150" s="1353"/>
      <c r="L2150" s="1353"/>
      <c r="M2150" s="1353"/>
      <c r="N2150" s="1353"/>
      <c r="O2150" s="1353"/>
      <c r="Q2150" s="1290"/>
      <c r="R2150" s="1290"/>
      <c r="S2150" s="1290"/>
      <c r="T2150" s="1290"/>
      <c r="U2150" s="1290"/>
      <c r="V2150" s="1290"/>
      <c r="W2150" s="1290"/>
      <c r="X2150" s="1290"/>
      <c r="Y2150" s="1290"/>
    </row>
    <row r="2151" spans="1:25" ht="15.75" customHeight="1" outlineLevel="1">
      <c r="A2151" s="1055" t="str">
        <f>'Прайс лист'!B1150</f>
        <v>Крепеж для ондулина</v>
      </c>
      <c r="B2151" s="1339" t="str">
        <f>'Прайс лист'!C1150</f>
        <v>шт</v>
      </c>
      <c r="C2151" s="1696">
        <f>C2130*12*(C2128)*D2019</f>
        <v>0</v>
      </c>
      <c r="D2151" s="1353">
        <f>'Прайс лист'!G1150</f>
        <v>4.5</v>
      </c>
      <c r="E2151" s="1353">
        <f t="shared" si="240"/>
        <v>0</v>
      </c>
      <c r="F2151" s="1354"/>
      <c r="G2151" s="1994"/>
      <c r="H2151" s="2013"/>
      <c r="I2151" s="1853"/>
      <c r="J2151" s="1353"/>
      <c r="K2151" s="1353"/>
      <c r="L2151" s="1353"/>
      <c r="M2151" s="1353"/>
      <c r="N2151" s="1353"/>
      <c r="O2151" s="1353"/>
      <c r="Q2151" s="1290"/>
      <c r="R2151" s="1290"/>
      <c r="S2151" s="1290"/>
      <c r="T2151" s="1290"/>
      <c r="U2151" s="1290"/>
      <c r="V2151" s="1290"/>
      <c r="W2151" s="1290"/>
      <c r="X2151" s="1290"/>
      <c r="Y2151" s="1290"/>
    </row>
    <row r="2152" spans="1:25" ht="15.75" customHeight="1" outlineLevel="1">
      <c r="A2152" s="1055" t="str">
        <f>'Ввод данных'!A570</f>
        <v>нет</v>
      </c>
      <c r="B2152" s="1339" t="s">
        <v>133</v>
      </c>
      <c r="C2152" s="1696">
        <f>C2130*1.1</f>
        <v>21.412047449975443</v>
      </c>
      <c r="D2152" s="1353">
        <f>VLOOKUP(A2152,'Прайс лист'!B1027:G1078,6,0)</f>
        <v>0</v>
      </c>
      <c r="E2152" s="1353">
        <f t="shared" si="240"/>
        <v>0</v>
      </c>
      <c r="F2152" s="1354"/>
      <c r="G2152" s="1994"/>
      <c r="H2152" s="2013"/>
      <c r="I2152" s="1853"/>
      <c r="J2152" s="1353"/>
      <c r="K2152" s="1353"/>
      <c r="L2152" s="1353"/>
      <c r="M2152" s="1353"/>
      <c r="N2152" s="1353"/>
      <c r="O2152" s="1353"/>
      <c r="Q2152" s="1290"/>
      <c r="R2152" s="1290"/>
      <c r="S2152" s="1290"/>
      <c r="T2152" s="1290"/>
      <c r="U2152" s="1290"/>
      <c r="V2152" s="1290"/>
      <c r="W2152" s="1290"/>
      <c r="X2152" s="1290"/>
      <c r="Y2152" s="1290"/>
    </row>
    <row r="2153" spans="1:25" ht="15.75" customHeight="1" outlineLevel="1">
      <c r="A2153" s="1055" t="str">
        <f>'Прайс лист'!B1155</f>
        <v>Рядовая черепица</v>
      </c>
      <c r="B2153" s="1339" t="str">
        <f>'Прайс лист'!C1155</f>
        <v>м2</v>
      </c>
      <c r="C2153" s="1696">
        <f>C2130*C2129</f>
        <v>0</v>
      </c>
      <c r="D2153" s="1353">
        <f>'Прайс лист'!G1155</f>
        <v>360</v>
      </c>
      <c r="E2153" s="1353">
        <f t="shared" si="240"/>
        <v>0</v>
      </c>
      <c r="F2153" s="1354"/>
      <c r="G2153" s="1994"/>
      <c r="H2153" s="2013"/>
      <c r="I2153" s="1853"/>
      <c r="J2153" s="1353"/>
      <c r="K2153" s="1353"/>
      <c r="L2153" s="1353"/>
      <c r="M2153" s="1353"/>
      <c r="N2153" s="1353"/>
      <c r="O2153" s="1353"/>
      <c r="Q2153" s="1290"/>
      <c r="R2153" s="1290"/>
      <c r="S2153" s="1290"/>
      <c r="T2153" s="1290"/>
      <c r="U2153" s="1290"/>
      <c r="V2153" s="1290"/>
      <c r="W2153" s="1290"/>
      <c r="X2153" s="1290"/>
      <c r="Y2153" s="1290"/>
    </row>
    <row r="2154" spans="1:25" ht="15.75" customHeight="1" outlineLevel="1">
      <c r="A2154" s="1055" t="str">
        <f>'Прайс лист'!B1156</f>
        <v>Металл оцинк защита (карниз)</v>
      </c>
      <c r="B2154" s="1339" t="str">
        <f>'Прайс лист'!C1156</f>
        <v>м.п.</v>
      </c>
      <c r="C2154" s="1696">
        <f>C2131*2*C2129+C2129*G2110*G2100</f>
        <v>0</v>
      </c>
      <c r="D2154" s="1353">
        <f>'Прайс лист'!G1156</f>
        <v>200</v>
      </c>
      <c r="E2154" s="1353">
        <f t="shared" si="240"/>
        <v>0</v>
      </c>
      <c r="F2154" s="1354"/>
      <c r="G2154" s="1994"/>
      <c r="H2154" s="2013"/>
      <c r="I2154" s="1853"/>
      <c r="J2154" s="1353"/>
      <c r="K2154" s="1353"/>
      <c r="L2154" s="1353"/>
      <c r="M2154" s="1353"/>
      <c r="N2154" s="1353"/>
      <c r="O2154" s="1353"/>
      <c r="Q2154" s="1290"/>
      <c r="R2154" s="1290"/>
      <c r="S2154" s="1290"/>
      <c r="T2154" s="1290"/>
      <c r="U2154" s="1290"/>
      <c r="V2154" s="1290"/>
      <c r="W2154" s="1290"/>
      <c r="X2154" s="1290"/>
      <c r="Y2154" s="1290"/>
    </row>
    <row r="2155" spans="1:25" ht="15.75" customHeight="1" outlineLevel="1">
      <c r="A2155" s="1055" t="str">
        <f>'Прайс лист'!B1157</f>
        <v>Подкладочный ковер</v>
      </c>
      <c r="B2155" s="1339" t="str">
        <f>'Прайс лист'!C1157</f>
        <v>м.п.</v>
      </c>
      <c r="C2155" s="1696">
        <f>C2153*1.1</f>
        <v>0</v>
      </c>
      <c r="D2155" s="1353">
        <f>'Прайс лист'!G1157</f>
        <v>220</v>
      </c>
      <c r="E2155" s="1353">
        <f t="shared" si="240"/>
        <v>0</v>
      </c>
      <c r="F2155" s="1354"/>
      <c r="G2155" s="1994"/>
      <c r="H2155" s="2013"/>
      <c r="I2155" s="1853"/>
      <c r="J2155" s="1353"/>
      <c r="K2155" s="1353"/>
      <c r="L2155" s="1353"/>
      <c r="M2155" s="1353"/>
      <c r="N2155" s="1353"/>
      <c r="O2155" s="1353"/>
      <c r="Q2155" s="1290"/>
      <c r="R2155" s="1290"/>
      <c r="S2155" s="1290"/>
      <c r="T2155" s="1290"/>
      <c r="U2155" s="1290"/>
      <c r="V2155" s="1290"/>
      <c r="W2155" s="1290"/>
      <c r="X2155" s="1290"/>
      <c r="Y2155" s="1290"/>
    </row>
    <row r="2156" spans="1:25" ht="15.75" customHeight="1" outlineLevel="1">
      <c r="A2156" s="1055" t="str">
        <f>'Прайс лист'!B1158</f>
        <v>Карнизная самоклеющаяся черепица</v>
      </c>
      <c r="B2156" s="1339" t="str">
        <f>'Прайс лист'!C1158</f>
        <v>м.п.</v>
      </c>
      <c r="C2156" s="1696">
        <f>C2154</f>
        <v>0</v>
      </c>
      <c r="D2156" s="1353">
        <f>'Прайс лист'!G1158</f>
        <v>220</v>
      </c>
      <c r="E2156" s="1353">
        <f t="shared" si="240"/>
        <v>0</v>
      </c>
      <c r="F2156" s="1354"/>
      <c r="G2156" s="1994"/>
      <c r="H2156" s="2013"/>
      <c r="I2156" s="1853"/>
      <c r="J2156" s="1353"/>
      <c r="K2156" s="1353"/>
      <c r="L2156" s="1353"/>
      <c r="M2156" s="1353"/>
      <c r="N2156" s="1353"/>
      <c r="O2156" s="1353"/>
      <c r="Q2156" s="1290"/>
      <c r="R2156" s="1290"/>
      <c r="S2156" s="1290"/>
      <c r="T2156" s="1290"/>
      <c r="U2156" s="1290"/>
      <c r="V2156" s="1290"/>
      <c r="W2156" s="1290"/>
      <c r="X2156" s="1290"/>
      <c r="Y2156" s="1290"/>
    </row>
    <row r="2157" spans="1:25" ht="15.75" customHeight="1" outlineLevel="1">
      <c r="A2157" s="1055" t="str">
        <f>'Прайс лист'!B1159</f>
        <v>Спец ковер ендова нижняя</v>
      </c>
      <c r="B2157" s="1339" t="str">
        <f>'Прайс лист'!C1159</f>
        <v>м.п.</v>
      </c>
      <c r="C2157" s="1696">
        <f>(E2100*E2106*2+G2100*G2106)*1.1*C2129</f>
        <v>0</v>
      </c>
      <c r="D2157" s="1353">
        <f>'Прайс лист'!G1159</f>
        <v>200</v>
      </c>
      <c r="E2157" s="1353">
        <f t="shared" si="240"/>
        <v>0</v>
      </c>
      <c r="F2157" s="1354"/>
      <c r="G2157" s="1994"/>
      <c r="H2157" s="2013"/>
      <c r="I2157" s="1853"/>
      <c r="J2157" s="1353"/>
      <c r="K2157" s="1353"/>
      <c r="L2157" s="1353"/>
      <c r="M2157" s="1353"/>
      <c r="N2157" s="1353"/>
      <c r="O2157" s="1353"/>
      <c r="Q2157" s="1290"/>
      <c r="R2157" s="1290"/>
      <c r="S2157" s="1290"/>
      <c r="T2157" s="1290"/>
      <c r="U2157" s="1290"/>
      <c r="V2157" s="1290"/>
      <c r="W2157" s="1290"/>
      <c r="X2157" s="1290"/>
      <c r="Y2157" s="1290"/>
    </row>
    <row r="2158" spans="1:25" ht="15.75" customHeight="1" outlineLevel="1">
      <c r="A2158" s="1055" t="str">
        <f>'Прайс лист'!B1160</f>
        <v>Коньковой элемент</v>
      </c>
      <c r="B2158" s="1339" t="str">
        <f>'Прайс лист'!C1160</f>
        <v>м.п.</v>
      </c>
      <c r="C2158" s="1696">
        <f>E2110*E2100*G2123*(C2129)*D2019</f>
        <v>0</v>
      </c>
      <c r="D2158" s="1353">
        <f>'Прайс лист'!G1160</f>
        <v>250</v>
      </c>
      <c r="E2158" s="1353">
        <f t="shared" si="240"/>
        <v>0</v>
      </c>
      <c r="F2158" s="1354"/>
      <c r="G2158" s="1994"/>
      <c r="H2158" s="2013"/>
      <c r="I2158" s="1853"/>
      <c r="J2158" s="1353"/>
      <c r="K2158" s="1353"/>
      <c r="L2158" s="1353"/>
      <c r="M2158" s="1353"/>
      <c r="N2158" s="1353"/>
      <c r="O2158" s="1353"/>
      <c r="Q2158" s="1290"/>
      <c r="R2158" s="1290"/>
      <c r="S2158" s="1290"/>
      <c r="T2158" s="1290"/>
      <c r="U2158" s="1290"/>
      <c r="V2158" s="1290"/>
      <c r="W2158" s="1290"/>
      <c r="X2158" s="1290"/>
      <c r="Y2158" s="1290"/>
    </row>
    <row r="2159" spans="1:25" ht="15.75" customHeight="1" outlineLevel="1">
      <c r="A2159" s="1055" t="str">
        <f>'Прайс лист'!B1161</f>
        <v>Планка премыкания</v>
      </c>
      <c r="B2159" s="1339" t="str">
        <f>'Прайс лист'!C1161</f>
        <v>м.п.</v>
      </c>
      <c r="C2159" s="1696">
        <f>C2157</f>
        <v>0</v>
      </c>
      <c r="D2159" s="1353">
        <f>'Прайс лист'!G1161</f>
        <v>200</v>
      </c>
      <c r="E2159" s="1353">
        <f t="shared" si="240"/>
        <v>0</v>
      </c>
      <c r="F2159" s="1354"/>
      <c r="G2159" s="1994"/>
      <c r="H2159" s="2013"/>
      <c r="I2159" s="1853"/>
      <c r="J2159" s="1353"/>
      <c r="K2159" s="1353"/>
      <c r="L2159" s="1353"/>
      <c r="M2159" s="1353"/>
      <c r="N2159" s="1353"/>
      <c r="O2159" s="1353"/>
      <c r="Q2159" s="1290"/>
      <c r="R2159" s="1290"/>
      <c r="S2159" s="1290"/>
      <c r="T2159" s="1290"/>
      <c r="U2159" s="1290"/>
      <c r="V2159" s="1290"/>
      <c r="W2159" s="1290"/>
      <c r="X2159" s="1290"/>
      <c r="Y2159" s="1290"/>
    </row>
    <row r="2160" spans="1:25" ht="15.75" customHeight="1" outlineLevel="1">
      <c r="A2160" s="1055" t="str">
        <f>'Прайс лист'!B1162</f>
        <v>Гвозди для крепления подкладочного ковра</v>
      </c>
      <c r="B2160" s="1339" t="str">
        <f>'Прайс лист'!C1162</f>
        <v>шт</v>
      </c>
      <c r="C2160" s="1696">
        <f>C2155*12</f>
        <v>0</v>
      </c>
      <c r="D2160" s="1353">
        <f>'Прайс лист'!G1162</f>
        <v>1.2E-2</v>
      </c>
      <c r="E2160" s="1353">
        <f t="shared" si="240"/>
        <v>0</v>
      </c>
      <c r="F2160" s="1354"/>
      <c r="G2160" s="1994"/>
      <c r="H2160" s="2013"/>
      <c r="I2160" s="1853"/>
      <c r="J2160" s="1353"/>
      <c r="K2160" s="1353"/>
      <c r="L2160" s="1353"/>
      <c r="M2160" s="1353"/>
      <c r="N2160" s="1353"/>
      <c r="O2160" s="1353"/>
      <c r="Q2160" s="1290"/>
      <c r="R2160" s="1290"/>
      <c r="S2160" s="1290"/>
      <c r="T2160" s="1290"/>
      <c r="U2160" s="1290"/>
      <c r="V2160" s="1290"/>
      <c r="W2160" s="1290"/>
      <c r="X2160" s="1290"/>
      <c r="Y2160" s="1290"/>
    </row>
    <row r="2161" spans="1:25" ht="15.75" customHeight="1" outlineLevel="1">
      <c r="A2161" s="1055" t="str">
        <f>'Прайс лист'!B1163</f>
        <v>Гвозди для крепления черепицы</v>
      </c>
      <c r="B2161" s="1339" t="str">
        <f>'Прайс лист'!C1163</f>
        <v>шт</v>
      </c>
      <c r="C2161" s="1696">
        <f>C2153*22</f>
        <v>0</v>
      </c>
      <c r="D2161" s="1353">
        <f>'Прайс лист'!G1163</f>
        <v>0.25</v>
      </c>
      <c r="E2161" s="1353">
        <f t="shared" si="240"/>
        <v>0</v>
      </c>
      <c r="F2161" s="1354"/>
      <c r="G2161" s="1994"/>
      <c r="H2161" s="2013"/>
      <c r="I2161" s="1853"/>
      <c r="J2161" s="1353"/>
      <c r="K2161" s="1353"/>
      <c r="L2161" s="1353"/>
      <c r="M2161" s="1353"/>
      <c r="N2161" s="1353"/>
      <c r="O2161" s="1353"/>
      <c r="Q2161" s="1290"/>
      <c r="R2161" s="1290"/>
      <c r="S2161" s="1290"/>
      <c r="T2161" s="1290"/>
      <c r="U2161" s="1290"/>
      <c r="V2161" s="1290"/>
      <c r="W2161" s="1290"/>
      <c r="X2161" s="1290"/>
      <c r="Y2161" s="1290"/>
    </row>
    <row r="2162" spans="1:25" ht="15.75" customHeight="1" outlineLevel="1">
      <c r="A2162" s="1055" t="str">
        <f>'Прайс лист'!B1164</f>
        <v>Клей для монтажа черепицы</v>
      </c>
      <c r="B2162" s="1339" t="str">
        <f>'Прайс лист'!C1164</f>
        <v>кг</v>
      </c>
      <c r="C2162" s="1696">
        <f>C2153</f>
        <v>0</v>
      </c>
      <c r="D2162" s="1353">
        <f>'Прайс лист'!G1164</f>
        <v>250</v>
      </c>
      <c r="E2162" s="1353">
        <f t="shared" si="240"/>
        <v>0</v>
      </c>
      <c r="F2162" s="1354"/>
      <c r="G2162" s="1994"/>
      <c r="H2162" s="2013"/>
      <c r="I2162" s="1853"/>
      <c r="J2162" s="1353"/>
      <c r="K2162" s="1353"/>
      <c r="L2162" s="1353"/>
      <c r="M2162" s="1353"/>
      <c r="N2162" s="1353"/>
      <c r="O2162" s="1353"/>
      <c r="Q2162" s="1290"/>
      <c r="R2162" s="1290"/>
      <c r="S2162" s="1290"/>
      <c r="T2162" s="1290"/>
      <c r="U2162" s="1290"/>
      <c r="V2162" s="1290"/>
      <c r="W2162" s="1290"/>
      <c r="X2162" s="1290"/>
      <c r="Y2162" s="1290"/>
    </row>
    <row r="2163" spans="1:25" s="1197" customFormat="1" ht="15.75" customHeight="1" outlineLevel="1">
      <c r="A2163" s="1353" t="str">
        <f>'Прайс лист'!B1169</f>
        <v>желоб</v>
      </c>
      <c r="B2163" s="1696" t="s">
        <v>1415</v>
      </c>
      <c r="C2163" s="1696">
        <f>I2116</f>
        <v>7.6</v>
      </c>
      <c r="D2163" s="1353">
        <f>'Прайс лист'!G1169</f>
        <v>300</v>
      </c>
      <c r="E2163" s="1353">
        <f t="shared" si="240"/>
        <v>2280</v>
      </c>
      <c r="F2163" s="1354"/>
      <c r="Q2163" s="1290"/>
      <c r="R2163" s="1290"/>
      <c r="S2163" s="1290"/>
      <c r="T2163" s="1290"/>
      <c r="U2163" s="1290"/>
      <c r="V2163" s="1290"/>
      <c r="W2163" s="1290"/>
      <c r="X2163" s="1290"/>
      <c r="Y2163" s="1290"/>
    </row>
    <row r="2164" spans="1:25" ht="15.75" customHeight="1" outlineLevel="1">
      <c r="A2164" s="1353" t="str">
        <f>'Прайс лист'!B1170</f>
        <v>отвод</v>
      </c>
      <c r="B2164" s="1696" t="s">
        <v>159</v>
      </c>
      <c r="C2164" s="1696">
        <f>1*D2019</f>
        <v>0</v>
      </c>
      <c r="D2164" s="1353">
        <f>'Прайс лист'!G1170</f>
        <v>250</v>
      </c>
      <c r="E2164" s="1353">
        <f t="shared" si="240"/>
        <v>0</v>
      </c>
      <c r="F2164" s="1354"/>
      <c r="G2164" s="1360"/>
      <c r="H2164" s="1360"/>
      <c r="I2164" s="2006"/>
      <c r="J2164" s="1360"/>
      <c r="K2164" s="1360"/>
      <c r="L2164" s="1360"/>
      <c r="M2164" s="1360"/>
      <c r="N2164" s="1360"/>
      <c r="O2164" s="1360"/>
      <c r="Q2164" s="1290"/>
      <c r="R2164" s="1290"/>
      <c r="S2164" s="1290"/>
      <c r="T2164" s="1290"/>
      <c r="U2164" s="1290"/>
      <c r="V2164" s="1290"/>
      <c r="W2164" s="1290"/>
      <c r="X2164" s="1290"/>
      <c r="Y2164" s="1290"/>
    </row>
    <row r="2165" spans="1:25" ht="15.75" customHeight="1" outlineLevel="1">
      <c r="A2165" s="1353" t="str">
        <f>'Прайс лист'!B1171</f>
        <v>труба водосточная</v>
      </c>
      <c r="B2165" s="1696" t="s">
        <v>156</v>
      </c>
      <c r="C2165" s="1696">
        <f>I2119</f>
        <v>3.7</v>
      </c>
      <c r="D2165" s="1353">
        <f>'Прайс лист'!G1171</f>
        <v>300</v>
      </c>
      <c r="E2165" s="1353">
        <f t="shared" si="240"/>
        <v>1110</v>
      </c>
      <c r="F2165" s="1354"/>
      <c r="G2165" s="1360"/>
      <c r="H2165" s="1360"/>
      <c r="I2165" s="2006"/>
      <c r="J2165" s="1360"/>
      <c r="K2165" s="1360"/>
      <c r="L2165" s="1360"/>
      <c r="M2165" s="1360"/>
      <c r="N2165" s="1360"/>
      <c r="O2165" s="1360"/>
      <c r="Q2165" s="1290"/>
      <c r="R2165" s="1290"/>
      <c r="S2165" s="1290"/>
      <c r="T2165" s="1290"/>
      <c r="U2165" s="1290"/>
      <c r="V2165" s="1290"/>
      <c r="W2165" s="1290"/>
      <c r="X2165" s="1290"/>
      <c r="Y2165" s="1290"/>
    </row>
    <row r="2166" spans="1:25" ht="15.75" customHeight="1" outlineLevel="1">
      <c r="A2166" s="1353" t="str">
        <f>'Прайс лист'!B1172</f>
        <v>заглушка для желоба</v>
      </c>
      <c r="B2166" s="1696" t="s">
        <v>159</v>
      </c>
      <c r="C2166" s="1696">
        <f>C2169*2</f>
        <v>0</v>
      </c>
      <c r="D2166" s="1353">
        <f>'Прайс лист'!G1172</f>
        <v>190</v>
      </c>
      <c r="E2166" s="1353">
        <f t="shared" si="240"/>
        <v>0</v>
      </c>
      <c r="F2166" s="1354"/>
      <c r="G2166" s="1639"/>
      <c r="H2166" s="1782"/>
      <c r="I2166" s="2082"/>
      <c r="J2166" s="1360"/>
      <c r="K2166" s="1353"/>
      <c r="L2166" s="1353"/>
      <c r="M2166" s="1353"/>
      <c r="N2166" s="1353"/>
      <c r="O2166" s="1353"/>
      <c r="Q2166" s="1290"/>
      <c r="R2166" s="1290"/>
      <c r="S2166" s="1290"/>
      <c r="T2166" s="1290"/>
      <c r="U2166" s="1290"/>
      <c r="V2166" s="1290"/>
      <c r="W2166" s="1290"/>
      <c r="X2166" s="1290"/>
      <c r="Y2166" s="1290"/>
    </row>
    <row r="2167" spans="1:25" ht="15.75" customHeight="1" outlineLevel="1">
      <c r="A2167" s="1353" t="str">
        <f>'Прайс лист'!B1173</f>
        <v>соеденитель для желоба</v>
      </c>
      <c r="B2167" s="1696" t="s">
        <v>159</v>
      </c>
      <c r="C2167" s="1696">
        <f>CEILING((C2166/2)*2*D2019,1)</f>
        <v>0</v>
      </c>
      <c r="D2167" s="1353">
        <f>'Прайс лист'!G1173</f>
        <v>180</v>
      </c>
      <c r="E2167" s="1353">
        <f t="shared" si="240"/>
        <v>0</v>
      </c>
      <c r="F2167" s="1354"/>
      <c r="G2167" s="1632"/>
      <c r="H2167" s="1778"/>
      <c r="I2167" s="1853"/>
      <c r="J2167" s="1353"/>
      <c r="K2167" s="1353"/>
      <c r="L2167" s="1353"/>
      <c r="M2167" s="1353"/>
      <c r="N2167" s="1353"/>
      <c r="O2167" s="1353"/>
      <c r="Q2167" s="1290"/>
      <c r="R2167" s="1290"/>
      <c r="S2167" s="1290"/>
      <c r="T2167" s="1290"/>
      <c r="U2167" s="1290"/>
      <c r="V2167" s="1290"/>
      <c r="W2167" s="1290"/>
      <c r="X2167" s="1290"/>
      <c r="Y2167" s="1290"/>
    </row>
    <row r="2168" spans="1:25" ht="15.75" customHeight="1" outlineLevel="1">
      <c r="A2168" s="1353" t="str">
        <f>'Прайс лист'!B1174</f>
        <v>кронштейн для желоба</v>
      </c>
      <c r="B2168" s="1696" t="s">
        <v>159</v>
      </c>
      <c r="C2168" s="1696">
        <f>CEILING((C2163/0.4)*2*1.2*D2019,1)</f>
        <v>0</v>
      </c>
      <c r="D2168" s="1353">
        <f>'Прайс лист'!G1174</f>
        <v>130</v>
      </c>
      <c r="E2168" s="1353">
        <f t="shared" si="240"/>
        <v>0</v>
      </c>
      <c r="F2168" s="1354"/>
      <c r="G2168" s="1632"/>
      <c r="H2168" s="1778"/>
      <c r="I2168" s="1853"/>
      <c r="J2168" s="1353"/>
      <c r="K2168" s="1353"/>
      <c r="L2168" s="1353"/>
      <c r="M2168" s="1353"/>
      <c r="N2168" s="1353"/>
      <c r="O2168" s="1353"/>
      <c r="Q2168" s="1290"/>
      <c r="R2168" s="1290"/>
      <c r="S2168" s="1290"/>
      <c r="T2168" s="1290"/>
      <c r="U2168" s="1290"/>
      <c r="V2168" s="1290"/>
      <c r="W2168" s="1290"/>
      <c r="X2168" s="1290"/>
      <c r="Y2168" s="1290"/>
    </row>
    <row r="2169" spans="1:25" ht="15.75" customHeight="1" outlineLevel="1">
      <c r="A2169" s="1353" t="str">
        <f>'Прайс лист'!B1175</f>
        <v>переход из желоба в трубу</v>
      </c>
      <c r="B2169" s="1696" t="s">
        <v>159</v>
      </c>
      <c r="C2169" s="1696">
        <f>(1*G2100+E2100*2)*D2019</f>
        <v>0</v>
      </c>
      <c r="D2169" s="1353">
        <f>'Прайс лист'!G1175</f>
        <v>350</v>
      </c>
      <c r="E2169" s="1353">
        <f t="shared" si="240"/>
        <v>0</v>
      </c>
      <c r="F2169" s="1354"/>
      <c r="G2169" s="1632"/>
      <c r="H2169" s="1778"/>
      <c r="I2169" s="1853"/>
      <c r="J2169" s="1353"/>
      <c r="K2169" s="1353"/>
      <c r="L2169" s="1353"/>
      <c r="M2169" s="1353"/>
      <c r="N2169" s="1353"/>
      <c r="O2169" s="1353"/>
      <c r="Q2169" s="1290"/>
      <c r="R2169" s="1290"/>
      <c r="S2169" s="1290"/>
      <c r="T2169" s="1290"/>
      <c r="U2169" s="1290"/>
      <c r="V2169" s="1290"/>
      <c r="W2169" s="1290"/>
      <c r="X2169" s="1290"/>
      <c r="Y2169" s="1290"/>
    </row>
    <row r="2170" spans="1:25" ht="15.75" customHeight="1" outlineLevel="1">
      <c r="A2170" s="1353" t="str">
        <f>'Прайс лист'!B1176</f>
        <v>лента дельта мульти бэнд</v>
      </c>
      <c r="B2170" s="1696" t="s">
        <v>159</v>
      </c>
      <c r="C2170" s="1696">
        <f>C2130/12*D2019</f>
        <v>0</v>
      </c>
      <c r="D2170" s="1353">
        <f>'Прайс лист'!G1176</f>
        <v>1200</v>
      </c>
      <c r="E2170" s="1353">
        <f t="shared" si="240"/>
        <v>0</v>
      </c>
      <c r="F2170" s="1354"/>
      <c r="G2170" s="1632"/>
      <c r="H2170" s="1778"/>
      <c r="I2170" s="1853"/>
      <c r="J2170" s="1353"/>
      <c r="K2170" s="1353"/>
      <c r="L2170" s="1353"/>
      <c r="M2170" s="1353"/>
      <c r="N2170" s="1353"/>
      <c r="O2170" s="1353"/>
      <c r="Q2170" s="1290"/>
      <c r="R2170" s="1290"/>
      <c r="S2170" s="1290"/>
      <c r="T2170" s="1290"/>
      <c r="U2170" s="1290"/>
      <c r="V2170" s="1290"/>
      <c r="W2170" s="1290"/>
      <c r="X2170" s="1290"/>
      <c r="Y2170" s="1290"/>
    </row>
    <row r="2171" spans="1:25" ht="15.75" customHeight="1" outlineLevel="1">
      <c r="A2171" s="1353" t="str">
        <f>'Прайс лист'!B1177</f>
        <v>лента дельта sb-60</v>
      </c>
      <c r="B2171" s="1696" t="s">
        <v>159</v>
      </c>
      <c r="C2171" s="1696">
        <f>C2130/25*D2019</f>
        <v>0</v>
      </c>
      <c r="D2171" s="1353">
        <f>'Прайс лист'!G1177</f>
        <v>1100</v>
      </c>
      <c r="E2171" s="1353">
        <f t="shared" si="240"/>
        <v>0</v>
      </c>
      <c r="F2171" s="1354"/>
      <c r="G2171" s="1632"/>
      <c r="H2171" s="1778"/>
      <c r="I2171" s="1853"/>
      <c r="J2171" s="1360"/>
      <c r="K2171" s="1360"/>
      <c r="L2171" s="1353"/>
      <c r="M2171" s="1353"/>
      <c r="N2171" s="1353"/>
      <c r="O2171" s="1353"/>
      <c r="Q2171" s="1290"/>
      <c r="R2171" s="1290"/>
      <c r="S2171" s="1290"/>
      <c r="T2171" s="1290"/>
      <c r="U2171" s="1290"/>
      <c r="V2171" s="1290"/>
      <c r="W2171" s="1290"/>
      <c r="X2171" s="1290"/>
      <c r="Y2171" s="1290"/>
    </row>
    <row r="2172" spans="1:25" ht="15.75" customHeight="1" outlineLevel="1">
      <c r="A2172" s="1353" t="str">
        <f>'Прайс лист'!B1138</f>
        <v>Кровельный саморез</v>
      </c>
      <c r="B2172" s="1696" t="s">
        <v>159</v>
      </c>
      <c r="C2172" s="1696">
        <f>C2130*12*(C2127)*D2019</f>
        <v>0</v>
      </c>
      <c r="D2172" s="1353">
        <f>'Прайс лист'!G1138</f>
        <v>2</v>
      </c>
      <c r="E2172" s="1353">
        <f t="shared" si="240"/>
        <v>0</v>
      </c>
      <c r="F2172" s="1354"/>
      <c r="G2172" s="1632"/>
      <c r="H2172" s="1778"/>
      <c r="I2172" s="1853"/>
      <c r="J2172" s="1360"/>
      <c r="K2172" s="1360"/>
      <c r="L2172" s="1353"/>
      <c r="M2172" s="1353"/>
      <c r="N2172" s="1353"/>
      <c r="O2172" s="1353"/>
      <c r="Q2172" s="1290"/>
      <c r="R2172" s="1290"/>
      <c r="S2172" s="1290"/>
      <c r="T2172" s="1290"/>
      <c r="U2172" s="1290"/>
      <c r="V2172" s="1290"/>
      <c r="W2172" s="1290"/>
      <c r="X2172" s="1290"/>
      <c r="Y2172" s="1290"/>
    </row>
    <row r="2173" spans="1:25" ht="15.75" customHeight="1" outlineLevel="1">
      <c r="A2173" s="1353" t="str">
        <f>'Прайс лист'!B897</f>
        <v xml:space="preserve">Гвозди ершоные 3,4 x 60            </v>
      </c>
      <c r="B2173" s="1696" t="s">
        <v>188</v>
      </c>
      <c r="C2173" s="1696">
        <f>C2137*15*D2019</f>
        <v>0</v>
      </c>
      <c r="D2173" s="1353">
        <f>'Прайс лист'!G897</f>
        <v>75.510000000000005</v>
      </c>
      <c r="E2173" s="1353">
        <f t="shared" si="240"/>
        <v>0</v>
      </c>
      <c r="F2173" s="1354"/>
      <c r="G2173" s="1632"/>
      <c r="H2173" s="1778"/>
      <c r="I2173" s="1853"/>
      <c r="J2173" s="1360"/>
      <c r="K2173" s="1360"/>
      <c r="L2173" s="1353"/>
      <c r="M2173" s="1353"/>
      <c r="N2173" s="1353"/>
      <c r="O2173" s="1353"/>
      <c r="Q2173" s="1290"/>
      <c r="R2173" s="1290"/>
      <c r="S2173" s="1290"/>
      <c r="T2173" s="1290"/>
      <c r="U2173" s="1290"/>
      <c r="V2173" s="1290"/>
      <c r="W2173" s="1290"/>
      <c r="X2173" s="1290"/>
      <c r="Y2173" s="1290"/>
    </row>
    <row r="2174" spans="1:25" ht="15.75" customHeight="1" outlineLevel="1">
      <c r="A2174" s="1353" t="str">
        <f>'Прайс лист'!B898</f>
        <v xml:space="preserve">Гвозди ершоные 2,8 х 90            </v>
      </c>
      <c r="B2174" s="1696" t="s">
        <v>159</v>
      </c>
      <c r="C2174" s="1696">
        <f>C2130*20/90*D2019</f>
        <v>0</v>
      </c>
      <c r="D2174" s="1353">
        <f>'Прайс лист'!G898</f>
        <v>76.489999999999995</v>
      </c>
      <c r="E2174" s="1353">
        <f t="shared" si="240"/>
        <v>0</v>
      </c>
      <c r="F2174" s="1354"/>
      <c r="G2174" s="1632"/>
      <c r="H2174" s="1778"/>
      <c r="I2174" s="1853"/>
      <c r="J2174" s="1360"/>
      <c r="K2174" s="1360"/>
      <c r="L2174" s="1353"/>
      <c r="M2174" s="1353"/>
      <c r="N2174" s="1353"/>
      <c r="O2174" s="1353"/>
      <c r="Q2174" s="1290"/>
      <c r="R2174" s="1290"/>
      <c r="S2174" s="1290"/>
      <c r="T2174" s="1290"/>
      <c r="U2174" s="1290"/>
      <c r="V2174" s="1290"/>
      <c r="W2174" s="1290"/>
      <c r="X2174" s="1290"/>
      <c r="Y2174" s="1290"/>
    </row>
    <row r="2175" spans="1:25" ht="15.75" customHeight="1" outlineLevel="1">
      <c r="A2175" s="1353" t="str">
        <f>'Прайс лист'!B846</f>
        <v xml:space="preserve">Пластина соеденительная 100х240х2           </v>
      </c>
      <c r="B2175" s="1696" t="s">
        <v>159</v>
      </c>
      <c r="C2175" s="1696">
        <f>((C2131/0.6)+1)*2*D2019</f>
        <v>0</v>
      </c>
      <c r="D2175" s="1353">
        <f>'Прайс лист'!G846</f>
        <v>31.54</v>
      </c>
      <c r="E2175" s="1353">
        <f t="shared" si="240"/>
        <v>0</v>
      </c>
      <c r="F2175" s="1354"/>
      <c r="G2175" s="1632"/>
      <c r="H2175" s="1778"/>
      <c r="I2175" s="1853"/>
      <c r="J2175" s="1360"/>
      <c r="K2175" s="1360"/>
      <c r="L2175" s="1353"/>
      <c r="M2175" s="1353"/>
      <c r="N2175" s="1353"/>
      <c r="O2175" s="1353"/>
      <c r="Q2175" s="1290"/>
      <c r="R2175" s="1290"/>
      <c r="S2175" s="1290"/>
      <c r="T2175" s="1290"/>
      <c r="U2175" s="1290"/>
      <c r="V2175" s="1290"/>
      <c r="W2175" s="1290"/>
      <c r="X2175" s="1290"/>
      <c r="Y2175" s="1290"/>
    </row>
    <row r="2176" spans="1:25" ht="15.75" customHeight="1" outlineLevel="1">
      <c r="A2176" s="1353" t="str">
        <f>'Прайс лист'!B838</f>
        <v xml:space="preserve">Уголок усиленный 90х70х55х2,5        </v>
      </c>
      <c r="B2176" s="1696" t="s">
        <v>159</v>
      </c>
      <c r="C2176" s="1696">
        <f>((C2131/0.6)+1)*2*D2019</f>
        <v>0</v>
      </c>
      <c r="D2176" s="1353">
        <f>'Прайс лист'!G838</f>
        <v>30</v>
      </c>
      <c r="E2176" s="1353">
        <f t="shared" si="240"/>
        <v>0</v>
      </c>
      <c r="F2176" s="1354"/>
      <c r="G2176" s="1632"/>
      <c r="H2176" s="1778"/>
      <c r="I2176" s="1853"/>
      <c r="J2176" s="1360"/>
      <c r="K2176" s="1360"/>
      <c r="L2176" s="1353"/>
      <c r="M2176" s="1353"/>
      <c r="N2176" s="1353"/>
      <c r="O2176" s="1353"/>
      <c r="Q2176" s="1290"/>
      <c r="R2176" s="1290"/>
      <c r="S2176" s="1290"/>
      <c r="T2176" s="1290"/>
      <c r="U2176" s="1290"/>
      <c r="V2176" s="1290"/>
      <c r="W2176" s="1290"/>
      <c r="X2176" s="1290"/>
      <c r="Y2176" s="1290"/>
    </row>
    <row r="2177" spans="1:25" ht="15.75" customHeight="1" outlineLevel="1">
      <c r="A2177" s="1353" t="str">
        <f>'Ввод данных'!A613</f>
        <v>Нет техники</v>
      </c>
      <c r="B2177" s="1696" t="str">
        <f>'Ввод данных'!B613</f>
        <v>ед.</v>
      </c>
      <c r="C2177" s="1353">
        <f>'Ввод данных'!C613</f>
        <v>1</v>
      </c>
      <c r="D2177" s="1353">
        <f>VLOOKUP(A2177,'Прайс лист'!B180:G194,6,0)</f>
        <v>0</v>
      </c>
      <c r="E2177" s="1353">
        <f t="shared" si="240"/>
        <v>0</v>
      </c>
      <c r="F2177" s="1354"/>
      <c r="G2177" s="1886"/>
      <c r="H2177" s="1886"/>
      <c r="I2177" s="2083"/>
      <c r="J2177" s="1392"/>
      <c r="K2177" s="1392"/>
      <c r="L2177" s="1380"/>
      <c r="M2177" s="1380"/>
      <c r="N2177" s="1380"/>
      <c r="O2177" s="1353"/>
      <c r="Q2177" s="1290"/>
      <c r="R2177" s="1290"/>
      <c r="S2177" s="1290"/>
      <c r="T2177" s="1290"/>
      <c r="U2177" s="1290"/>
      <c r="V2177" s="1290"/>
      <c r="W2177" s="1290"/>
      <c r="X2177" s="1290"/>
      <c r="Y2177" s="1290"/>
    </row>
    <row r="2178" spans="1:25" ht="15.75" customHeight="1" outlineLevel="1">
      <c r="A2178" s="1353" t="str">
        <f>'Ввод данных'!A614</f>
        <v>Нет техники</v>
      </c>
      <c r="B2178" s="1696" t="str">
        <f>'Ввод данных'!B614</f>
        <v>ед.</v>
      </c>
      <c r="C2178" s="1353">
        <f>'Ввод данных'!C614</f>
        <v>0</v>
      </c>
      <c r="D2178" s="1353">
        <f>VLOOKUP(A2178,'Прайс лист'!B180:G194,6,0)</f>
        <v>0</v>
      </c>
      <c r="E2178" s="1353">
        <f t="shared" si="240"/>
        <v>0</v>
      </c>
      <c r="F2178" s="1354"/>
      <c r="G2178" s="1886"/>
      <c r="H2178" s="1886"/>
      <c r="I2178" s="2083"/>
      <c r="J2178" s="1392"/>
      <c r="K2178" s="1392"/>
      <c r="L2178" s="1380"/>
      <c r="M2178" s="1380"/>
      <c r="N2178" s="1380"/>
      <c r="O2178" s="1353"/>
      <c r="Q2178" s="1290"/>
      <c r="R2178" s="1290"/>
      <c r="S2178" s="1290"/>
      <c r="T2178" s="1290"/>
      <c r="U2178" s="1290"/>
      <c r="V2178" s="1290"/>
      <c r="W2178" s="1290"/>
      <c r="X2178" s="1290"/>
      <c r="Y2178" s="1290"/>
    </row>
    <row r="2179" spans="1:25" ht="15.75" customHeight="1" outlineLevel="1">
      <c r="A2179" s="1353" t="str">
        <f>'Ввод данных'!A616</f>
        <v>расходные материалы веранда</v>
      </c>
      <c r="B2179" s="1696" t="str">
        <f>'Ввод данных'!B616</f>
        <v>рублей</v>
      </c>
      <c r="C2179" s="1696">
        <f>1</f>
        <v>1</v>
      </c>
      <c r="D2179" s="1353">
        <f>'Ввод данных'!C616</f>
        <v>0</v>
      </c>
      <c r="E2179" s="1353">
        <f t="shared" si="240"/>
        <v>0</v>
      </c>
      <c r="F2179" s="1354"/>
      <c r="G2179" s="1886"/>
      <c r="H2179" s="1886"/>
      <c r="I2179" s="2083"/>
      <c r="J2179" s="1392"/>
      <c r="K2179" s="1392"/>
      <c r="L2179" s="1380"/>
      <c r="M2179" s="1380"/>
      <c r="N2179" s="1380"/>
      <c r="O2179" s="1353"/>
      <c r="Q2179" s="1290"/>
      <c r="R2179" s="1290"/>
      <c r="S2179" s="1290"/>
      <c r="T2179" s="1290"/>
      <c r="U2179" s="1290"/>
      <c r="V2179" s="1290"/>
      <c r="W2179" s="1290"/>
      <c r="X2179" s="1290"/>
      <c r="Y2179" s="1290"/>
    </row>
    <row r="2180" spans="1:25" ht="15.75" customHeight="1" outlineLevel="1">
      <c r="A2180" s="1290"/>
      <c r="B2180" s="1972"/>
      <c r="C2180" s="1972"/>
      <c r="D2180" s="1290"/>
      <c r="E2180" s="1360">
        <f>SUM(E2136:E2176)</f>
        <v>3390</v>
      </c>
      <c r="F2180" s="1354"/>
      <c r="G2180" s="1886"/>
      <c r="H2180" s="1886"/>
      <c r="I2180" s="2083"/>
      <c r="J2180" s="1392"/>
      <c r="K2180" s="1392"/>
      <c r="L2180" s="1380"/>
      <c r="M2180" s="1380"/>
      <c r="N2180" s="1380"/>
      <c r="O2180" s="1353">
        <f>SUM(O2136:O2176)</f>
        <v>0</v>
      </c>
      <c r="Q2180" s="1290"/>
      <c r="R2180" s="1290"/>
      <c r="S2180" s="1290"/>
      <c r="T2180" s="1290"/>
      <c r="U2180" s="1290"/>
      <c r="V2180" s="1290"/>
      <c r="W2180" s="1290"/>
      <c r="X2180" s="1290"/>
      <c r="Y2180" s="1290"/>
    </row>
    <row r="2181" spans="1:25" ht="15.75" customHeight="1" outlineLevel="1">
      <c r="A2181" s="1353" t="s">
        <v>2726</v>
      </c>
      <c r="B2181" s="1696">
        <f>E2180</f>
        <v>3390</v>
      </c>
      <c r="C2181" s="1859"/>
      <c r="D2181" s="1354"/>
      <c r="E2181" s="1354"/>
      <c r="F2181" s="1354"/>
      <c r="G2181" s="1354"/>
      <c r="H2181" s="1354"/>
      <c r="I2181" s="1973"/>
      <c r="J2181" s="1290"/>
      <c r="K2181" s="1290"/>
      <c r="L2181" s="1290"/>
      <c r="M2181" s="1290"/>
      <c r="N2181" s="1290"/>
      <c r="O2181" s="1290"/>
      <c r="P2181" s="1290"/>
      <c r="Q2181" s="1290"/>
      <c r="R2181" s="1290"/>
      <c r="S2181" s="1290"/>
      <c r="T2181" s="1290"/>
      <c r="U2181" s="1290"/>
      <c r="V2181" s="1290"/>
      <c r="W2181" s="1290"/>
      <c r="X2181" s="1290"/>
      <c r="Y2181" s="1290"/>
    </row>
    <row r="2182" spans="1:25" ht="15.75" customHeight="1" outlineLevel="1">
      <c r="A2182" s="1353" t="s">
        <v>2727</v>
      </c>
      <c r="B2182" s="1696">
        <f>O2180</f>
        <v>0</v>
      </c>
      <c r="C2182" s="1859"/>
      <c r="D2182" s="1354"/>
      <c r="E2182" s="1354"/>
      <c r="F2182" s="1354"/>
      <c r="G2182" s="1354"/>
      <c r="H2182" s="1354"/>
      <c r="I2182" s="1973"/>
      <c r="J2182" s="1290"/>
      <c r="K2182" s="1290"/>
      <c r="L2182" s="1290"/>
      <c r="M2182" s="1290"/>
      <c r="N2182" s="1290"/>
      <c r="O2182" s="1290"/>
      <c r="P2182" s="1290"/>
      <c r="Q2182" s="1290"/>
      <c r="R2182" s="1290"/>
      <c r="S2182" s="1290"/>
      <c r="T2182" s="1290"/>
      <c r="U2182" s="1290"/>
      <c r="V2182" s="1290"/>
      <c r="W2182" s="1290"/>
      <c r="X2182" s="1290"/>
      <c r="Y2182" s="1290"/>
    </row>
    <row r="2183" spans="1:25" ht="15.75" customHeight="1" outlineLevel="1">
      <c r="A2183" s="1353" t="s">
        <v>2728</v>
      </c>
      <c r="B2183" s="1696">
        <f>B2181+B2182</f>
        <v>3390</v>
      </c>
      <c r="C2183" s="1859"/>
      <c r="D2183" s="1354"/>
      <c r="E2183" s="1354"/>
      <c r="F2183" s="1354"/>
      <c r="G2183" s="1354"/>
      <c r="H2183" s="1354"/>
      <c r="I2183" s="1973"/>
      <c r="J2183" s="1290"/>
      <c r="K2183" s="1290"/>
      <c r="L2183" s="1290"/>
      <c r="M2183" s="1290"/>
      <c r="N2183" s="1290"/>
      <c r="O2183" s="1290"/>
      <c r="P2183" s="1290"/>
      <c r="Q2183" s="1290"/>
      <c r="R2183" s="1290"/>
      <c r="S2183" s="1290"/>
      <c r="T2183" s="1290"/>
      <c r="U2183" s="1290"/>
      <c r="V2183" s="1290"/>
      <c r="W2183" s="1290"/>
      <c r="X2183" s="1290"/>
      <c r="Y2183" s="1290"/>
    </row>
    <row r="2184" spans="1:25" ht="15.75" customHeight="1">
      <c r="A2184" s="2012" t="s">
        <v>3834</v>
      </c>
      <c r="B2184" s="1773"/>
      <c r="C2184" s="1861" t="s">
        <v>3663</v>
      </c>
      <c r="D2184" s="1778"/>
      <c r="E2184" s="1778"/>
      <c r="F2184" s="1779"/>
      <c r="G2184" s="1290"/>
      <c r="H2184" s="1290"/>
      <c r="I2184" s="1973"/>
      <c r="J2184" s="1290"/>
      <c r="K2184" s="1290"/>
      <c r="L2184" s="1290"/>
      <c r="M2184" s="1290"/>
      <c r="N2184" s="1290"/>
      <c r="O2184" s="1290"/>
      <c r="P2184" s="1290"/>
      <c r="Q2184" s="1290"/>
      <c r="R2184" s="1290"/>
      <c r="S2184" s="1290"/>
      <c r="T2184" s="1290"/>
      <c r="U2184" s="1290"/>
      <c r="V2184" s="1290"/>
      <c r="W2184" s="1290"/>
      <c r="X2184" s="1290"/>
      <c r="Y2184" s="1290"/>
    </row>
    <row r="2185" spans="1:25" ht="15.75" customHeight="1">
      <c r="A2185" s="1290"/>
      <c r="B2185" s="1972"/>
      <c r="C2185" s="1972"/>
      <c r="D2185" s="1290"/>
      <c r="E2185" s="1290"/>
      <c r="F2185" s="1290"/>
      <c r="G2185" s="1290"/>
      <c r="H2185" s="1290"/>
      <c r="I2185" s="1973"/>
      <c r="J2185" s="1290"/>
      <c r="K2185" s="1290"/>
      <c r="L2185" s="1290"/>
      <c r="M2185" s="1290"/>
      <c r="N2185" s="1290"/>
      <c r="O2185" s="1290"/>
      <c r="P2185" s="1290"/>
      <c r="Q2185" s="1290"/>
      <c r="R2185" s="1290"/>
      <c r="S2185" s="1290"/>
      <c r="T2185" s="1290"/>
      <c r="U2185" s="1290"/>
      <c r="V2185" s="1290"/>
      <c r="W2185" s="1290"/>
      <c r="X2185" s="1290"/>
      <c r="Y2185" s="1290"/>
    </row>
    <row r="2186" spans="1:25" ht="15.75" customHeight="1">
      <c r="A2186" s="1598" t="s">
        <v>2069</v>
      </c>
      <c r="B2186" s="2029"/>
      <c r="C2186" s="2029"/>
      <c r="D2186" s="2030"/>
      <c r="E2186" s="2031"/>
      <c r="F2186" s="1252">
        <f>VLOOKUP('Ввод данных'!F512,связи1!A2:B3,2,0)</f>
        <v>0</v>
      </c>
      <c r="G2186" s="1290"/>
      <c r="H2186" s="1290"/>
      <c r="I2186" s="2084">
        <f>E1284</f>
        <v>0</v>
      </c>
      <c r="J2186" s="1290"/>
      <c r="K2186" s="1290"/>
      <c r="L2186" s="1290"/>
      <c r="M2186" s="1290"/>
      <c r="N2186" s="1290"/>
      <c r="O2186" s="1290"/>
      <c r="P2186" s="1290"/>
      <c r="Q2186" s="1290"/>
      <c r="R2186" s="1290"/>
      <c r="S2186" s="1290"/>
      <c r="T2186" s="1290"/>
      <c r="U2186" s="1290"/>
      <c r="V2186" s="1290"/>
      <c r="W2186" s="1290"/>
      <c r="X2186" s="1290"/>
      <c r="Y2186" s="1290"/>
    </row>
    <row r="2187" spans="1:25" ht="15.75" customHeight="1">
      <c r="A2187" s="2036"/>
      <c r="B2187" s="2036"/>
      <c r="C2187" s="2085"/>
      <c r="D2187" s="2085"/>
      <c r="E2187" s="2085"/>
      <c r="F2187" s="2085"/>
      <c r="G2187" s="1290"/>
      <c r="H2187" s="1290"/>
      <c r="I2187" s="2084">
        <f>E1285</f>
        <v>1</v>
      </c>
      <c r="J2187" s="1290"/>
      <c r="K2187" s="1290"/>
      <c r="L2187" s="1290"/>
      <c r="M2187" s="1290"/>
      <c r="N2187" s="1290"/>
      <c r="O2187" s="1290"/>
      <c r="P2187" s="1290"/>
      <c r="Q2187" s="1290"/>
      <c r="R2187" s="1290"/>
      <c r="S2187" s="1290"/>
      <c r="T2187" s="1290"/>
      <c r="U2187" s="1290"/>
      <c r="V2187" s="1290"/>
      <c r="W2187" s="1290"/>
      <c r="X2187" s="1290"/>
      <c r="Y2187" s="1290"/>
    </row>
    <row r="2188" spans="1:25" ht="15.75" customHeight="1">
      <c r="A2188" s="2036" t="s">
        <v>3835</v>
      </c>
      <c r="B2188" s="2036">
        <f>VLOOKUP('Ввод данных'!D462,связи1!A2:B3,2,0)</f>
        <v>1</v>
      </c>
      <c r="C2188" s="2085"/>
      <c r="D2188" s="2085"/>
      <c r="E2188" s="2036"/>
      <c r="F2188" s="2036"/>
      <c r="G2188" s="1290"/>
      <c r="H2188" s="1290"/>
      <c r="I2188" s="2084"/>
      <c r="J2188" s="1290"/>
      <c r="K2188" s="1290"/>
      <c r="L2188" s="1290"/>
      <c r="M2188" s="1290"/>
      <c r="N2188" s="1290"/>
      <c r="O2188" s="1290"/>
      <c r="P2188" s="1290"/>
      <c r="Q2188" s="1290"/>
      <c r="R2188" s="1290"/>
      <c r="S2188" s="1290"/>
      <c r="T2188" s="1290"/>
      <c r="U2188" s="1290"/>
      <c r="V2188" s="1290"/>
      <c r="W2188" s="1290"/>
      <c r="X2188" s="1290"/>
      <c r="Y2188" s="1290"/>
    </row>
    <row r="2189" spans="1:25" ht="15.75" customHeight="1">
      <c r="A2189" s="2086" t="s">
        <v>3836</v>
      </c>
      <c r="B2189" s="2087" t="s">
        <v>120</v>
      </c>
      <c r="C2189" s="1330" t="s">
        <v>2056</v>
      </c>
      <c r="D2189" s="1331" t="s">
        <v>3837</v>
      </c>
      <c r="E2189" s="1544" t="s">
        <v>3415</v>
      </c>
      <c r="F2189" s="2088" t="s">
        <v>2947</v>
      </c>
      <c r="G2189" s="1290"/>
      <c r="H2189" s="1290"/>
      <c r="I2189" s="1973"/>
      <c r="J2189" s="1290"/>
      <c r="K2189" s="1290"/>
      <c r="L2189" s="1290"/>
      <c r="M2189" s="1290"/>
      <c r="N2189" s="1290"/>
      <c r="O2189" s="1290"/>
      <c r="P2189" s="1290"/>
      <c r="Q2189" s="1290"/>
      <c r="R2189" s="1290"/>
      <c r="S2189" s="1290"/>
      <c r="T2189" s="1290"/>
      <c r="U2189" s="1290"/>
      <c r="V2189" s="1290"/>
      <c r="W2189" s="1290"/>
      <c r="X2189" s="1290"/>
      <c r="Y2189" s="1290"/>
    </row>
    <row r="2190" spans="1:25" ht="15.75" customHeight="1">
      <c r="A2190" s="1309" t="s">
        <v>2057</v>
      </c>
      <c r="B2190" s="2087" t="s">
        <v>159</v>
      </c>
      <c r="C2190" s="1591">
        <f>'Ввод данных'!C465</f>
        <v>1</v>
      </c>
      <c r="D2190" s="2023">
        <v>1</v>
      </c>
      <c r="E2190" s="1544"/>
      <c r="F2190" s="1340"/>
      <c r="G2190" s="1290"/>
      <c r="H2190" s="1290"/>
      <c r="I2190" s="1973"/>
      <c r="J2190" s="1290"/>
      <c r="K2190" s="1290"/>
      <c r="L2190" s="1290"/>
      <c r="M2190" s="1290"/>
      <c r="N2190" s="1290"/>
      <c r="O2190" s="1290"/>
      <c r="P2190" s="1290"/>
      <c r="Q2190" s="1290"/>
      <c r="R2190" s="1290"/>
      <c r="S2190" s="1290"/>
      <c r="T2190" s="1290"/>
      <c r="U2190" s="1290"/>
      <c r="V2190" s="1290"/>
      <c r="W2190" s="1290"/>
      <c r="X2190" s="1290"/>
      <c r="Y2190" s="1290"/>
    </row>
    <row r="2191" spans="1:25" ht="15.75" customHeight="1">
      <c r="A2191" s="2089" t="s">
        <v>2058</v>
      </c>
      <c r="B2191" s="1330" t="s">
        <v>156</v>
      </c>
      <c r="C2191" s="1591">
        <f>'Ввод данных'!C466</f>
        <v>3</v>
      </c>
      <c r="D2191" s="977"/>
      <c r="E2191" s="1544">
        <f>(C2191+C2192+C2192)*C2193</f>
        <v>4.5</v>
      </c>
      <c r="F2191" s="2088">
        <f>C2191*C2192</f>
        <v>3</v>
      </c>
      <c r="G2191" s="1290"/>
      <c r="H2191" s="1290"/>
      <c r="I2191" s="1973"/>
      <c r="J2191" s="1290"/>
      <c r="K2191" s="1290"/>
      <c r="L2191" s="1290"/>
      <c r="M2191" s="1290"/>
      <c r="N2191" s="1290"/>
      <c r="O2191" s="1290"/>
      <c r="P2191" s="1290"/>
      <c r="Q2191" s="1290"/>
      <c r="R2191" s="1290"/>
      <c r="S2191" s="1290"/>
      <c r="T2191" s="1290"/>
      <c r="U2191" s="1290"/>
      <c r="V2191" s="1290"/>
      <c r="W2191" s="1290"/>
      <c r="X2191" s="1290"/>
      <c r="Y2191" s="1290"/>
    </row>
    <row r="2192" spans="1:25" ht="15.75" customHeight="1">
      <c r="A2192" s="2089" t="s">
        <v>2059</v>
      </c>
      <c r="B2192" s="1330" t="s">
        <v>156</v>
      </c>
      <c r="C2192" s="1591">
        <f>'Ввод данных'!C467</f>
        <v>1</v>
      </c>
      <c r="D2192" s="977"/>
      <c r="E2192" s="1544"/>
      <c r="F2192" s="2088"/>
      <c r="G2192" s="1290"/>
      <c r="H2192" s="1290"/>
      <c r="I2192" s="1973"/>
      <c r="J2192" s="1290"/>
      <c r="K2192" s="1290"/>
      <c r="L2192" s="1290"/>
      <c r="M2192" s="1290"/>
      <c r="N2192" s="1290"/>
      <c r="O2192" s="1290"/>
      <c r="P2192" s="1290"/>
      <c r="Q2192" s="1290"/>
      <c r="R2192" s="1290"/>
      <c r="S2192" s="1290"/>
      <c r="T2192" s="1290"/>
      <c r="U2192" s="1290"/>
      <c r="V2192" s="1290"/>
      <c r="W2192" s="1290"/>
      <c r="X2192" s="1290"/>
      <c r="Y2192" s="1290"/>
    </row>
    <row r="2193" spans="1:25" ht="15.75" customHeight="1">
      <c r="A2193" s="1329" t="s">
        <v>3838</v>
      </c>
      <c r="B2193" s="1330" t="s">
        <v>156</v>
      </c>
      <c r="C2193" s="1591">
        <f>'Ввод данных'!C468</f>
        <v>0.9</v>
      </c>
      <c r="D2193" s="977"/>
      <c r="E2193" s="1544"/>
      <c r="F2193" s="2088"/>
      <c r="G2193" s="1290"/>
      <c r="H2193" s="1290"/>
      <c r="I2193" s="1973"/>
      <c r="J2193" s="1290"/>
      <c r="K2193" s="1290"/>
      <c r="L2193" s="1290"/>
      <c r="M2193" s="1290"/>
      <c r="N2193" s="1290"/>
      <c r="O2193" s="1290"/>
      <c r="P2193" s="1290"/>
      <c r="Q2193" s="1290"/>
      <c r="R2193" s="1290"/>
      <c r="S2193" s="1290"/>
      <c r="T2193" s="1290"/>
      <c r="U2193" s="1290"/>
      <c r="V2193" s="1290"/>
      <c r="W2193" s="1290"/>
      <c r="X2193" s="1290"/>
      <c r="Y2193" s="1290"/>
    </row>
    <row r="2194" spans="1:25" ht="15.75" customHeight="1">
      <c r="A2194" s="2090"/>
      <c r="B2194" s="2091"/>
      <c r="C2194" s="2091"/>
      <c r="D2194" s="1242"/>
      <c r="E2194" s="1242"/>
      <c r="F2194" s="1242"/>
      <c r="G2194" s="1290"/>
      <c r="H2194" s="1290"/>
      <c r="I2194" s="1973"/>
      <c r="J2194" s="1290"/>
      <c r="K2194" s="1290"/>
      <c r="L2194" s="1290"/>
      <c r="M2194" s="1290"/>
      <c r="N2194" s="1290"/>
      <c r="O2194" s="1290"/>
      <c r="P2194" s="1290"/>
      <c r="Q2194" s="1290"/>
      <c r="R2194" s="1290"/>
      <c r="S2194" s="1290"/>
      <c r="T2194" s="1290"/>
      <c r="U2194" s="1290"/>
      <c r="V2194" s="1290"/>
      <c r="W2194" s="1290"/>
      <c r="X2194" s="1290"/>
      <c r="Y2194" s="1290"/>
    </row>
    <row r="2195" spans="1:25" ht="15.75" customHeight="1">
      <c r="A2195" s="1360" t="s">
        <v>1093</v>
      </c>
      <c r="B2195" s="1600"/>
      <c r="C2195" s="1600" t="s">
        <v>1802</v>
      </c>
      <c r="D2195" s="1360" t="s">
        <v>922</v>
      </c>
      <c r="E2195" s="1360" t="s">
        <v>3696</v>
      </c>
      <c r="F2195" s="1290"/>
      <c r="G2195" s="1360" t="s">
        <v>1093</v>
      </c>
      <c r="H2195" s="1360"/>
      <c r="I2195" s="1360" t="s">
        <v>1802</v>
      </c>
      <c r="J2195" s="1360" t="s">
        <v>922</v>
      </c>
      <c r="K2195" s="1360" t="s">
        <v>3696</v>
      </c>
      <c r="P2195" s="1290"/>
      <c r="Q2195" s="1290"/>
      <c r="R2195" s="1290"/>
      <c r="S2195" s="1290"/>
      <c r="T2195" s="1290"/>
      <c r="U2195" s="1290"/>
      <c r="V2195" s="1290"/>
      <c r="W2195" s="1290"/>
      <c r="X2195" s="1290"/>
      <c r="Y2195" s="1290"/>
    </row>
    <row r="2196" spans="1:25" ht="15.75" customHeight="1">
      <c r="A2196" s="1360"/>
      <c r="B2196" s="1600"/>
      <c r="C2196" s="1600"/>
      <c r="D2196" s="1360"/>
      <c r="E2196" s="1360"/>
      <c r="F2196" s="1290"/>
      <c r="G2196" s="1360"/>
      <c r="H2196" s="1360"/>
      <c r="I2196" s="1360"/>
      <c r="J2196" s="1360"/>
      <c r="K2196" s="1360"/>
      <c r="P2196" s="1290"/>
      <c r="Q2196" s="1290"/>
      <c r="R2196" s="1290"/>
      <c r="S2196" s="1290"/>
      <c r="T2196" s="1290"/>
      <c r="U2196" s="1290"/>
      <c r="V2196" s="1290"/>
      <c r="W2196" s="1290"/>
      <c r="X2196" s="1290"/>
      <c r="Y2196" s="1290"/>
    </row>
    <row r="2197" spans="1:25" ht="15.75" customHeight="1">
      <c r="A2197" s="1360" t="str">
        <f>'Ввод данных'!A473</f>
        <v>Оцилиндрованное бревно сосна 260мм</v>
      </c>
      <c r="B2197" s="1600" t="s">
        <v>135</v>
      </c>
      <c r="C2197" s="1600">
        <f>(IF('Ввод данных'!A471=связи1!A456,VLOOKUP(A2197,'Прайс лист'!B333:G419,3,0),0)+IF('Ввод данных'!A471=связи1!A457,VLOOKUP(дома!A2197,'Прайс лист'!B441:G528,3,0),0))*(C2191+C2192+C2192)*C2193*B2188</f>
        <v>1.1700000000000002</v>
      </c>
      <c r="D2197" s="1360">
        <f>IF('Ввод данных'!A471=связи1!A456,VLOOKUP(A2197,'Прайс лист'!B333:G419,6,0),0)+IF('Ввод данных'!A471=связи1!A457,VLOOKUP(дома!A2197,'Прайс лист'!B441:G528,6,0),0)</f>
        <v>8500</v>
      </c>
      <c r="E2197" s="1360">
        <f>C2197*D2197</f>
        <v>9945.0000000000018</v>
      </c>
      <c r="F2197" s="1290"/>
      <c r="G2197" s="1360" t="str">
        <f>'Прайс лист'!B1693</f>
        <v>кладка бруса</v>
      </c>
      <c r="H2197" s="1360"/>
      <c r="I2197" s="1360">
        <f>C2197*B2188</f>
        <v>1.1700000000000002</v>
      </c>
      <c r="J2197" s="1360">
        <f>'Прайс лист'!G1693</f>
        <v>4000</v>
      </c>
      <c r="K2197" s="1360">
        <f>I2197*J2197</f>
        <v>4680.0000000000009</v>
      </c>
      <c r="P2197" s="1290"/>
      <c r="Q2197" s="1290"/>
      <c r="R2197" s="1290"/>
      <c r="S2197" s="1290"/>
      <c r="T2197" s="1290"/>
      <c r="U2197" s="1290"/>
      <c r="V2197" s="1290"/>
      <c r="W2197" s="1290"/>
      <c r="X2197" s="1290"/>
      <c r="Y2197" s="1290"/>
    </row>
    <row r="2198" spans="1:25" ht="15.75" customHeight="1">
      <c r="A2198" s="1055" t="str">
        <f>'Ввод данных'!A475</f>
        <v>Доска естественной влажности, 200*50мм</v>
      </c>
      <c r="B2198" s="1339" t="s">
        <v>135</v>
      </c>
      <c r="C2198" s="1055">
        <f>VLOOKUP(A2198,связи1!A204:E213,5,0)*(C2191/0.6+1+C2191)*B2188</f>
        <v>9.0000000000000024E-2</v>
      </c>
      <c r="D2198" s="1055">
        <f>VLOOKUP(A2198,связи1!A204:D213,4,0)</f>
        <v>6500</v>
      </c>
      <c r="E2198" s="1360">
        <f>C2198*D2198</f>
        <v>585.00000000000011</v>
      </c>
      <c r="F2198" s="1290"/>
      <c r="G2198" s="1360" t="str">
        <f>'Прайс лист'!B1606</f>
        <v>Монтаж перекрытий из бруса</v>
      </c>
      <c r="H2198" s="1360"/>
      <c r="I2198" s="1360">
        <f>F2191*B2188</f>
        <v>3</v>
      </c>
      <c r="J2198" s="1360">
        <f>'Прайс лист'!G1606</f>
        <v>300</v>
      </c>
      <c r="K2198" s="1360">
        <f>I2198*J2198</f>
        <v>900</v>
      </c>
      <c r="P2198" s="1290"/>
      <c r="Q2198" s="1290"/>
      <c r="R2198" s="1290"/>
      <c r="S2198" s="1290"/>
      <c r="T2198" s="1290"/>
      <c r="U2198" s="1290"/>
      <c r="V2198" s="1290"/>
      <c r="W2198" s="1290"/>
      <c r="X2198" s="1290"/>
      <c r="Y2198" s="1290"/>
    </row>
    <row r="2199" spans="1:25" ht="15.75" customHeight="1">
      <c r="A2199" s="1360" t="str">
        <f t="shared" ref="A2199:B2201" si="242">A1797</f>
        <v>Бензин для пилы</v>
      </c>
      <c r="B2199" s="1600" t="str">
        <f t="shared" si="242"/>
        <v>л</v>
      </c>
      <c r="C2199" s="1600">
        <f>(C2197+C2198)/2*B2188</f>
        <v>0.63000000000000012</v>
      </c>
      <c r="D2199" s="1360">
        <f>D1797</f>
        <v>40</v>
      </c>
      <c r="E2199" s="1360">
        <f>C2199*D2199</f>
        <v>25.200000000000003</v>
      </c>
      <c r="F2199" s="1290"/>
      <c r="G2199" s="1360"/>
      <c r="H2199" s="1360"/>
      <c r="I2199" s="1360"/>
      <c r="J2199" s="1360"/>
      <c r="K2199" s="1360"/>
      <c r="P2199" s="1290"/>
      <c r="Q2199" s="1290"/>
      <c r="R2199" s="1290"/>
      <c r="S2199" s="1290"/>
      <c r="T2199" s="1290"/>
      <c r="U2199" s="1290"/>
      <c r="V2199" s="1290"/>
      <c r="W2199" s="1290"/>
      <c r="X2199" s="1290"/>
      <c r="Y2199" s="1290"/>
    </row>
    <row r="2200" spans="1:25" ht="15.75" customHeight="1">
      <c r="A2200" s="1360" t="str">
        <f t="shared" si="242"/>
        <v>Масло для пилы</v>
      </c>
      <c r="B2200" s="1600" t="str">
        <f t="shared" si="242"/>
        <v>л</v>
      </c>
      <c r="C2200" s="1600">
        <f>C2199/12*B2188</f>
        <v>5.2500000000000012E-2</v>
      </c>
      <c r="D2200" s="1360">
        <f>D1798</f>
        <v>250</v>
      </c>
      <c r="E2200" s="1360">
        <f>C2200*D2200</f>
        <v>13.125000000000004</v>
      </c>
      <c r="F2200" s="1290"/>
      <c r="G2200" s="1360"/>
      <c r="H2200" s="1360"/>
      <c r="I2200" s="1360"/>
      <c r="J2200" s="1360"/>
      <c r="K2200" s="1360"/>
      <c r="P2200" s="1290"/>
      <c r="Q2200" s="1290"/>
      <c r="R2200" s="1290"/>
      <c r="S2200" s="1290"/>
      <c r="T2200" s="1290"/>
      <c r="U2200" s="1290"/>
      <c r="V2200" s="1290"/>
      <c r="W2200" s="1290"/>
      <c r="X2200" s="1290"/>
      <c r="Y2200" s="1290"/>
    </row>
    <row r="2201" spans="1:25" ht="15.75" customHeight="1">
      <c r="A2201" s="1360" t="str">
        <f t="shared" si="242"/>
        <v>Цепь для пилы</v>
      </c>
      <c r="B2201" s="1600" t="str">
        <f t="shared" si="242"/>
        <v>л</v>
      </c>
      <c r="C2201" s="1600">
        <f>1*B2188</f>
        <v>1</v>
      </c>
      <c r="D2201" s="1360">
        <f>D1799</f>
        <v>800</v>
      </c>
      <c r="E2201" s="1360">
        <f>C2201*D2201</f>
        <v>800</v>
      </c>
      <c r="F2201" s="1290"/>
      <c r="G2201" s="1360"/>
      <c r="H2201" s="1360"/>
      <c r="I2201" s="1360"/>
      <c r="J2201" s="1360"/>
      <c r="K2201" s="1360"/>
      <c r="P2201" s="1290"/>
      <c r="Q2201" s="1290"/>
      <c r="R2201" s="1290"/>
      <c r="S2201" s="1290"/>
      <c r="T2201" s="1290"/>
      <c r="U2201" s="1290"/>
      <c r="V2201" s="1290"/>
      <c r="W2201" s="1290"/>
      <c r="X2201" s="1290"/>
      <c r="Y2201" s="1290"/>
    </row>
    <row r="2202" spans="1:25" ht="15.75" customHeight="1">
      <c r="A2202" s="1360"/>
      <c r="B2202" s="1600"/>
      <c r="C2202" s="1600"/>
      <c r="D2202" s="1360"/>
      <c r="E2202" s="1360"/>
      <c r="F2202" s="1290"/>
      <c r="G2202" s="1360"/>
      <c r="H2202" s="1360"/>
      <c r="I2202" s="1360"/>
      <c r="J2202" s="1360"/>
      <c r="K2202" s="1360"/>
      <c r="P2202" s="1290"/>
      <c r="Q2202" s="1290"/>
      <c r="R2202" s="1290"/>
      <c r="S2202" s="1290"/>
      <c r="T2202" s="1290"/>
      <c r="U2202" s="1290"/>
      <c r="V2202" s="1290"/>
      <c r="W2202" s="1290"/>
      <c r="X2202" s="1290"/>
      <c r="Y2202" s="1290"/>
    </row>
    <row r="2203" spans="1:25" ht="15.75" customHeight="1">
      <c r="A2203" s="1360" t="str">
        <f>'Ввод данных'!A495</f>
        <v>Гидроизоляция жидкая резина 1</v>
      </c>
      <c r="B2203" s="1600" t="s">
        <v>188</v>
      </c>
      <c r="C2203" s="1600">
        <f>I2203*VLOOKUP('Ввод данных'!D481,связи1!A2:B3,2,0)*VLOOKUP('Ввод данных'!F512,связи1!A2:B3,2,0)</f>
        <v>0</v>
      </c>
      <c r="D2203" s="1360">
        <f>VLOOKUP(A2203,'Прайс лист'!B1389:G1392,6,0)</f>
        <v>150</v>
      </c>
      <c r="E2203" s="1360">
        <f t="shared" ref="E2203:E2208" si="243">C2203*D2203</f>
        <v>0</v>
      </c>
      <c r="F2203" s="1290"/>
      <c r="G2203" s="1360" t="str">
        <f>'Прайс лист'!B1777</f>
        <v>Гидроизоляция рулонная</v>
      </c>
      <c r="H2203" s="1360"/>
      <c r="I2203" s="1360">
        <f>'Ввод данных'!C485*'Ввод данных'!C486*VLOOKUP('Ввод данных'!D481,связи1!A2:B3,2,0)*VLOOKUP('Ввод данных'!F512,связи1!A2:B3,2,0)*IF(A2203='Прайс лист'!B1389,0,1)</f>
        <v>0</v>
      </c>
      <c r="J2203" s="1360">
        <f>'Прайс лист'!G1777</f>
        <v>250</v>
      </c>
      <c r="K2203" s="1360">
        <f>I2203*J2203</f>
        <v>0</v>
      </c>
      <c r="P2203" s="1290"/>
      <c r="Q2203" s="1290"/>
      <c r="R2203" s="1290"/>
      <c r="S2203" s="1290"/>
      <c r="T2203" s="1290"/>
      <c r="U2203" s="1290"/>
      <c r="V2203" s="1290"/>
      <c r="W2203" s="1290"/>
      <c r="X2203" s="1290"/>
      <c r="Y2203" s="1290"/>
    </row>
    <row r="2204" spans="1:25" ht="15.75" customHeight="1">
      <c r="A2204" s="1360" t="str">
        <f>'Ввод данных'!A497</f>
        <v>Kronospan - OSB-3, 22мм</v>
      </c>
      <c r="B2204" s="1600" t="s">
        <v>133</v>
      </c>
      <c r="C2204" s="1600">
        <f>I2203*VLOOKUP('Ввод данных'!D481,связи1!A2:B3,2,0)*VLOOKUP('Ввод данных'!F512,связи1!A2:B3,2,0)</f>
        <v>0</v>
      </c>
      <c r="D2204" s="1360">
        <f>VLOOKUP(A2204,'Прайс лист'!B1027:G1078,6,0)</f>
        <v>526.66666666666663</v>
      </c>
      <c r="E2204" s="1360">
        <f t="shared" si="243"/>
        <v>0</v>
      </c>
      <c r="F2204" s="1290"/>
      <c r="G2204" s="1360" t="str">
        <f>'Прайс лист'!B1881</f>
        <v>монтаж OSB пол</v>
      </c>
      <c r="H2204" s="1360"/>
      <c r="I2204" s="1360">
        <f>I2203*VLOOKUP('Ввод данных'!D481,связи1!A2:B3,2,0)*VLOOKUP('Ввод данных'!F512,связи1!A2:B3,2,0)*IF(A2204='Прайс лист'!B1027,0,1)</f>
        <v>0</v>
      </c>
      <c r="J2204" s="1360">
        <f>'Прайс лист'!G1881</f>
        <v>250</v>
      </c>
      <c r="K2204" s="1360">
        <f>I2204*J2204</f>
        <v>0</v>
      </c>
      <c r="P2204" s="1290"/>
      <c r="Q2204" s="1290"/>
      <c r="R2204" s="1290"/>
      <c r="S2204" s="1290"/>
      <c r="T2204" s="1290"/>
      <c r="U2204" s="1290"/>
      <c r="V2204" s="1290"/>
      <c r="W2204" s="1290"/>
      <c r="X2204" s="1290"/>
      <c r="Y2204" s="1290"/>
    </row>
    <row r="2205" spans="1:25" ht="15.75" customHeight="1">
      <c r="A2205" s="1360" t="str">
        <f>'Ввод данных'!A499</f>
        <v>Проф.брус вл. 200*150мм</v>
      </c>
      <c r="B2205" s="1600" t="s">
        <v>135</v>
      </c>
      <c r="C2205" s="1600">
        <f>CEILING(C2219/2+1+C2220/2,1)*VLOOKUP(A2205,'Прайс лист'!B333:G419,5,0)*VLOOKUP('Ввод данных'!D481,связи1!A2:B3,2,0)*VLOOKUP('Ввод данных'!F512,связи1!A2:B3,2,0)</f>
        <v>0</v>
      </c>
      <c r="D2205" s="1360">
        <f>VLOOKUP(A2205,'Прайс лист'!B333:G419,6,0)</f>
        <v>9300</v>
      </c>
      <c r="E2205" s="1360">
        <f t="shared" si="243"/>
        <v>0</v>
      </c>
      <c r="F2205" s="1290"/>
      <c r="G2205" s="1360" t="str">
        <f>'Прайс лист'!B1882</f>
        <v>Монтаж перил</v>
      </c>
      <c r="H2205" s="1360"/>
      <c r="I2205" s="1360">
        <f>(C2219+C2220)*VLOOKUP('Ввод данных'!D481,связи1!A2:B3,2,0)*VLOOKUP('Ввод данных'!F512,связи1!A2:B3,2,0)</f>
        <v>0</v>
      </c>
      <c r="J2205" s="1360">
        <f>'Прайс лист'!G1882</f>
        <v>500</v>
      </c>
      <c r="K2205" s="1360">
        <f>I2205*J2205</f>
        <v>0</v>
      </c>
      <c r="P2205" s="1290"/>
      <c r="Q2205" s="1290"/>
      <c r="R2205" s="1290"/>
      <c r="S2205" s="1290"/>
      <c r="T2205" s="1290"/>
      <c r="U2205" s="1290"/>
      <c r="V2205" s="1290"/>
      <c r="W2205" s="1290"/>
      <c r="X2205" s="1290"/>
      <c r="Y2205" s="1290"/>
    </row>
    <row r="2206" spans="1:25" ht="15.75" customHeight="1">
      <c r="A2206" s="1360" t="str">
        <f>'Ввод данных'!A501</f>
        <v>Брус клееный проф 2 ламель кедр Шир. 240 выс. 140</v>
      </c>
      <c r="B2206" s="1600" t="s">
        <v>135</v>
      </c>
      <c r="C2206" s="1600">
        <f>VLOOKUP(A2206,'Прайс лист'!B333:G419,5,0)*VLOOKUP('Ввод данных'!D481,связи1!A2:B3,2,0)*VLOOKUP('Ввод данных'!F512,связи1!A2:B3,2,0)</f>
        <v>0</v>
      </c>
      <c r="D2206" s="1360">
        <f>VLOOKUP(A2206,'Прайс лист'!B333:G419,6,0)</f>
        <v>24000</v>
      </c>
      <c r="E2206" s="1360">
        <f t="shared" si="243"/>
        <v>0</v>
      </c>
      <c r="F2206" s="1290"/>
      <c r="G2206" s="1360" t="str">
        <f>G2044</f>
        <v>Монтаж накладки на перила</v>
      </c>
      <c r="H2206" s="1360"/>
      <c r="I2206" s="1360">
        <f>I2205*VLOOKUP('Ввод данных'!D481,связи1!A2:B3,2,0)*VLOOKUP('Ввод данных'!F512,связи1!A2:B3,2,0)*IF(A2208='Прайс лист'!B420,0,1)</f>
        <v>0</v>
      </c>
      <c r="J2206" s="1360">
        <f>K2044</f>
        <v>0</v>
      </c>
      <c r="K2206" s="1360">
        <f>I2206*J2206</f>
        <v>0</v>
      </c>
      <c r="P2206" s="1290"/>
      <c r="Q2206" s="1290"/>
      <c r="R2206" s="1290"/>
      <c r="S2206" s="1290"/>
      <c r="T2206" s="1290"/>
      <c r="U2206" s="1290"/>
      <c r="V2206" s="1290"/>
      <c r="W2206" s="1290"/>
      <c r="X2206" s="1290"/>
      <c r="Y2206" s="1290"/>
    </row>
    <row r="2207" spans="1:25" ht="15.75" customHeight="1">
      <c r="A2207" s="1360" t="str">
        <f>'Ввод данных'!A503</f>
        <v>Брус клееный проф 1 ламель кедр Шир. 240 выс. 140</v>
      </c>
      <c r="B2207" s="1600" t="s">
        <v>135</v>
      </c>
      <c r="C2207" s="1600">
        <f>VLOOKUP(A2207,'Прайс лист'!B333:G419,5,0)*VLOOKUP('Ввод данных'!D481,связи1!A2:B3,2,0)*VLOOKUP('Ввод данных'!F512,связи1!A2:B3,2,0)</f>
        <v>0</v>
      </c>
      <c r="D2207" s="1360">
        <f>VLOOKUP(A2207,'Прайс лист'!B333:G419,6,0)</f>
        <v>24000</v>
      </c>
      <c r="E2207" s="1360">
        <f t="shared" si="243"/>
        <v>0</v>
      </c>
      <c r="F2207" s="1290"/>
      <c r="G2207" s="1055"/>
      <c r="H2207" s="1055"/>
      <c r="I2207" s="1055"/>
      <c r="J2207" s="1055"/>
      <c r="K2207" s="1360"/>
      <c r="P2207" s="1290"/>
      <c r="Q2207" s="1290"/>
      <c r="R2207" s="1290"/>
      <c r="S2207" s="1290"/>
      <c r="T2207" s="1290"/>
      <c r="U2207" s="1290"/>
      <c r="V2207" s="1290"/>
      <c r="W2207" s="1290"/>
      <c r="X2207" s="1290"/>
      <c r="Y2207" s="1290"/>
    </row>
    <row r="2208" spans="1:25" ht="15.75" customHeight="1">
      <c r="A2208" s="1360" t="str">
        <f>'Ввод данных'!A505</f>
        <v>Клееная накладка на перила шир 240мм</v>
      </c>
      <c r="B2208" s="1600" t="s">
        <v>156</v>
      </c>
      <c r="C2208" s="1600">
        <f>VLOOKUP('Ввод данных'!D481,связи1!A2:B3,2,0)*VLOOKUP('Ввод данных'!F512,связи1!A2:B3,2,0)</f>
        <v>0</v>
      </c>
      <c r="D2208" s="1360">
        <f>VLOOKUP(A2208,'Прайс лист'!B420:G424,6,0)</f>
        <v>400</v>
      </c>
      <c r="E2208" s="1360">
        <f t="shared" si="243"/>
        <v>0</v>
      </c>
      <c r="F2208" s="1290"/>
      <c r="G2208" s="1360"/>
      <c r="H2208" s="1360"/>
      <c r="I2208" s="1360"/>
      <c r="J2208" s="1360"/>
      <c r="K2208" s="1360"/>
      <c r="P2208" s="1290"/>
      <c r="Q2208" s="1290"/>
      <c r="R2208" s="1290"/>
      <c r="S2208" s="1290"/>
      <c r="T2208" s="1290"/>
      <c r="U2208" s="1290"/>
      <c r="V2208" s="1290"/>
      <c r="W2208" s="1290"/>
      <c r="X2208" s="1290"/>
      <c r="Y2208" s="1290"/>
    </row>
    <row r="2209" spans="1:25" ht="15.75" customHeight="1">
      <c r="A2209" s="1360"/>
      <c r="B2209" s="1600"/>
      <c r="C2209" s="1600"/>
      <c r="D2209" s="1360"/>
      <c r="E2209" s="1360"/>
      <c r="F2209" s="1290"/>
      <c r="G2209" s="1360"/>
      <c r="H2209" s="1360"/>
      <c r="I2209" s="1360"/>
      <c r="J2209" s="1360"/>
      <c r="K2209" s="1360"/>
      <c r="P2209" s="1290"/>
      <c r="Q2209" s="1290"/>
      <c r="R2209" s="1290"/>
      <c r="S2209" s="1290"/>
      <c r="T2209" s="1290"/>
      <c r="U2209" s="1290"/>
      <c r="V2209" s="1290"/>
      <c r="W2209" s="1290"/>
      <c r="X2209" s="1290"/>
      <c r="Y2209" s="1290"/>
    </row>
    <row r="2210" spans="1:25" ht="15.75" customHeight="1">
      <c r="A2210" s="2092" t="str">
        <f>'Ввод данных'!A508</f>
        <v>Нет техники</v>
      </c>
      <c r="B2210" s="2093" t="str">
        <f>'Ввод данных'!B508</f>
        <v>ед.</v>
      </c>
      <c r="C2210" s="2092">
        <f>'Ввод данных'!C508*F2186</f>
        <v>0</v>
      </c>
      <c r="D2210" s="1360">
        <f>VLOOKUP(A2210,'Прайс лист'!B180:G194,6,0)</f>
        <v>0</v>
      </c>
      <c r="E2210" s="1360">
        <f>C2210*D2210</f>
        <v>0</v>
      </c>
      <c r="F2210" s="1290"/>
      <c r="G2210" s="1360"/>
      <c r="H2210" s="1360"/>
      <c r="I2210" s="1360"/>
      <c r="J2210" s="1360"/>
      <c r="K2210" s="1360"/>
      <c r="P2210" s="1290"/>
      <c r="Q2210" s="1290"/>
      <c r="R2210" s="1290"/>
      <c r="S2210" s="1290"/>
      <c r="T2210" s="1290"/>
      <c r="U2210" s="1290"/>
      <c r="V2210" s="1290"/>
      <c r="W2210" s="1290"/>
      <c r="X2210" s="1290"/>
      <c r="Y2210" s="1290"/>
    </row>
    <row r="2211" spans="1:25" ht="15.75" customHeight="1">
      <c r="A2211" s="2092" t="str">
        <f>'Ввод данных'!A509</f>
        <v>Нет техники</v>
      </c>
      <c r="B2211" s="2093" t="str">
        <f>'Ввод данных'!B509</f>
        <v>ед.</v>
      </c>
      <c r="C2211" s="2092">
        <f>'Ввод данных'!C509*F2186</f>
        <v>0</v>
      </c>
      <c r="D2211" s="1360">
        <f>VLOOKUP(A2211,'Прайс лист'!B180:G194,6,0)</f>
        <v>0</v>
      </c>
      <c r="E2211" s="1360">
        <f>C2211*D2211</f>
        <v>0</v>
      </c>
      <c r="F2211" s="1290"/>
      <c r="G2211" s="1360"/>
      <c r="H2211" s="1360"/>
      <c r="I2211" s="1360"/>
      <c r="J2211" s="1360"/>
      <c r="K2211" s="1360"/>
      <c r="P2211" s="1290"/>
      <c r="Q2211" s="1290"/>
      <c r="R2211" s="1290"/>
      <c r="S2211" s="1290"/>
      <c r="T2211" s="1290"/>
      <c r="U2211" s="1290"/>
      <c r="V2211" s="1290"/>
      <c r="W2211" s="1290"/>
      <c r="X2211" s="1290"/>
      <c r="Y2211" s="1290"/>
    </row>
    <row r="2212" spans="1:25" ht="15.75" customHeight="1">
      <c r="A2212" s="1290" t="str">
        <f>'Ввод данных'!A511</f>
        <v>расходные материалы балкон</v>
      </c>
      <c r="B2212" s="1972" t="str">
        <f>'Ввод данных'!B511</f>
        <v>рублей</v>
      </c>
      <c r="C2212" s="1290">
        <f>1*F2186</f>
        <v>0</v>
      </c>
      <c r="D2212" s="1290">
        <f>'Ввод данных'!C511</f>
        <v>0</v>
      </c>
      <c r="E2212" s="1360">
        <f>C2212*D2212</f>
        <v>0</v>
      </c>
      <c r="F2212" s="1290"/>
      <c r="G2212" s="1360"/>
      <c r="H2212" s="1360"/>
      <c r="I2212" s="1360"/>
      <c r="J2212" s="1360"/>
      <c r="K2212" s="1783"/>
      <c r="P2212" s="1290"/>
      <c r="Q2212" s="1290"/>
      <c r="R2212" s="1290"/>
      <c r="S2212" s="1290"/>
      <c r="T2212" s="1290"/>
      <c r="U2212" s="1290"/>
      <c r="V2212" s="1290"/>
      <c r="W2212" s="1290"/>
      <c r="X2212" s="1290"/>
      <c r="Y2212" s="1290"/>
    </row>
    <row r="2213" spans="1:25" ht="15.75" customHeight="1">
      <c r="A2213" s="2094"/>
      <c r="B2213" s="2095"/>
      <c r="C2213" s="2095"/>
      <c r="D2213" s="2094"/>
      <c r="E2213" s="2094"/>
      <c r="F2213" s="1290"/>
      <c r="G2213" s="2094"/>
      <c r="H2213" s="2094"/>
      <c r="I2213" s="2094"/>
      <c r="J2213" s="2094"/>
      <c r="K2213" s="2096"/>
      <c r="P2213" s="1290"/>
      <c r="Q2213" s="1290"/>
      <c r="R2213" s="1290"/>
      <c r="S2213" s="1290"/>
      <c r="T2213" s="1290"/>
      <c r="U2213" s="1290"/>
      <c r="V2213" s="1290"/>
      <c r="W2213" s="1290"/>
      <c r="X2213" s="1290"/>
      <c r="Y2213" s="1290"/>
    </row>
    <row r="2214" spans="1:25" ht="15.75" customHeight="1">
      <c r="A2214" s="1392" t="s">
        <v>3839</v>
      </c>
      <c r="B2214" s="2005"/>
      <c r="C2214" s="2005" t="s">
        <v>3840</v>
      </c>
      <c r="D2214" s="1392"/>
      <c r="E2214" s="1392" t="s">
        <v>2133</v>
      </c>
      <c r="F2214" s="1392"/>
      <c r="G2214" s="1262"/>
      <c r="H2214" s="1262"/>
      <c r="I2214" s="1262" t="s">
        <v>3841</v>
      </c>
      <c r="J2214" s="1392"/>
      <c r="K2214" s="1392" t="s">
        <v>3842</v>
      </c>
      <c r="P2214" s="1290"/>
      <c r="Q2214" s="1290"/>
      <c r="R2214" s="1290"/>
      <c r="S2214" s="1290"/>
      <c r="T2214" s="1290"/>
      <c r="U2214" s="1290"/>
      <c r="V2214" s="1290"/>
      <c r="W2214" s="1290"/>
      <c r="X2214" s="1290"/>
      <c r="Y2214" s="1290"/>
    </row>
    <row r="2215" spans="1:25" ht="15.75" customHeight="1">
      <c r="A2215" s="1392"/>
      <c r="B2215" s="2005"/>
      <c r="C2215" s="2005"/>
      <c r="D2215" s="1392"/>
      <c r="E2215" s="1392" t="s">
        <v>2567</v>
      </c>
      <c r="F2215" s="1392" t="s">
        <v>2568</v>
      </c>
      <c r="G2215" s="1262"/>
      <c r="H2215" s="1262"/>
      <c r="I2215" s="1262"/>
      <c r="J2215" s="1392"/>
      <c r="K2215" s="1392"/>
      <c r="P2215" s="1290"/>
      <c r="Q2215" s="1290"/>
      <c r="R2215" s="1290"/>
      <c r="S2215" s="1290"/>
      <c r="T2215" s="1290"/>
      <c r="U2215" s="1290"/>
      <c r="V2215" s="1290"/>
      <c r="W2215" s="1290"/>
      <c r="X2215" s="1290"/>
      <c r="Y2215" s="1290"/>
    </row>
    <row r="2216" spans="1:25" ht="15.75" customHeight="1">
      <c r="A2216" s="1392"/>
      <c r="B2216" s="2005"/>
      <c r="C2216" s="2005"/>
      <c r="D2216" s="1392" t="s">
        <v>3843</v>
      </c>
      <c r="E2216" s="1392">
        <f>VLOOKUP('Ввод данных'!B155,связи1!A2:B3,2,0)</f>
        <v>1</v>
      </c>
      <c r="F2216" s="1392">
        <f>VLOOKUP('Ввод данных'!C155,связи1!A2:B3,2,0)</f>
        <v>0</v>
      </c>
      <c r="G2216" s="1262"/>
      <c r="H2216" s="1262"/>
      <c r="I2216" s="1262"/>
      <c r="J2216" s="1392"/>
      <c r="K2216" s="1392"/>
      <c r="P2216" s="1290"/>
      <c r="Q2216" s="1290"/>
      <c r="R2216" s="1290"/>
      <c r="S2216" s="1290"/>
      <c r="T2216" s="1290"/>
      <c r="U2216" s="1290"/>
      <c r="V2216" s="1290"/>
      <c r="W2216" s="1290"/>
      <c r="X2216" s="1290"/>
      <c r="Y2216" s="1290"/>
    </row>
    <row r="2217" spans="1:25" ht="15.75" customHeight="1">
      <c r="A2217" s="1392" t="str">
        <f>'Ввод данных'!A483</f>
        <v>Размеры балкона</v>
      </c>
      <c r="B2217" s="2005" t="s">
        <v>1820</v>
      </c>
      <c r="C2217" s="1392">
        <f>IF('Ввод данных'!F237=связи1!A2,1,0)</f>
        <v>0</v>
      </c>
      <c r="D2217" s="1392"/>
      <c r="E2217" s="1392">
        <f>IF('Ввод данных'!F194=связи1!A2,1,0)</f>
        <v>0</v>
      </c>
      <c r="F2217" s="1392">
        <f>IF('Ввод данных'!F194=связи1!A2,1,0)</f>
        <v>0</v>
      </c>
      <c r="G2217" s="1392"/>
      <c r="H2217" s="1392"/>
      <c r="I2217" s="1392">
        <f>IF('Ввод данных'!F273=связи1!A2,1,0)</f>
        <v>0</v>
      </c>
      <c r="J2217" s="1392"/>
      <c r="K2217" s="1392">
        <f>IF('Ввод данных'!F312=связи1!A2,1,0)</f>
        <v>0</v>
      </c>
      <c r="P2217" s="1290"/>
      <c r="Q2217" s="1290"/>
      <c r="R2217" s="1290"/>
      <c r="S2217" s="1290"/>
      <c r="T2217" s="1290"/>
      <c r="U2217" s="1290"/>
      <c r="V2217" s="1290"/>
      <c r="W2217" s="1290"/>
      <c r="X2217" s="1290"/>
      <c r="Y2217" s="1290"/>
    </row>
    <row r="2218" spans="1:25" ht="15.75" customHeight="1">
      <c r="A2218" s="1392" t="str">
        <f>'Ввод данных'!A484</f>
        <v>Количество балконов</v>
      </c>
      <c r="B2218" s="2005" t="str">
        <f>'Ввод данных'!B484</f>
        <v>шт</v>
      </c>
      <c r="C2218" s="1392">
        <f>'Ввод данных'!C484*C2217</f>
        <v>0</v>
      </c>
      <c r="D2218" s="1392"/>
      <c r="E2218" s="1392">
        <f>'Ввод данных'!C484</f>
        <v>1</v>
      </c>
      <c r="F2218" s="1392">
        <f>'Ввод данных'!C484*F2217</f>
        <v>0</v>
      </c>
      <c r="G2218" s="1262"/>
      <c r="H2218" s="1262"/>
      <c r="I2218" s="1643">
        <f>'Ввод данных'!C484*I2217</f>
        <v>0</v>
      </c>
      <c r="J2218" s="1262"/>
      <c r="K2218" s="1262">
        <f>'Ввод данных'!C484</f>
        <v>1</v>
      </c>
      <c r="P2218" s="1290"/>
      <c r="Q2218" s="1290"/>
      <c r="R2218" s="1290"/>
      <c r="S2218" s="1290"/>
      <c r="T2218" s="1290"/>
      <c r="U2218" s="1290"/>
      <c r="V2218" s="1290"/>
      <c r="W2218" s="1290"/>
      <c r="X2218" s="1290"/>
      <c r="Y2218" s="1290"/>
    </row>
    <row r="2219" spans="1:25" ht="15.75" customHeight="1">
      <c r="A2219" s="1392" t="str">
        <f>'Ввод данных'!A485</f>
        <v>Длина Н14</v>
      </c>
      <c r="B2219" s="2005" t="str">
        <f>'Ввод данных'!B485</f>
        <v>м.п.</v>
      </c>
      <c r="C2219" s="1392">
        <f>'Ввод данных'!C485</f>
        <v>2</v>
      </c>
      <c r="D2219" s="1392"/>
      <c r="E2219" s="1392">
        <f>'Ввод данных'!C485</f>
        <v>2</v>
      </c>
      <c r="F2219" s="1392">
        <f>'Ввод данных'!C485</f>
        <v>2</v>
      </c>
      <c r="G2219" s="1262"/>
      <c r="H2219" s="1262"/>
      <c r="I2219" s="1643">
        <f>'Ввод данных'!C485</f>
        <v>2</v>
      </c>
      <c r="J2219" s="1262"/>
      <c r="K2219" s="1262">
        <f>'Ввод данных'!C485</f>
        <v>2</v>
      </c>
      <c r="P2219" s="1290"/>
      <c r="Q2219" s="1290"/>
      <c r="R2219" s="1290"/>
      <c r="S2219" s="1290"/>
      <c r="T2219" s="1290"/>
      <c r="U2219" s="1290"/>
      <c r="V2219" s="1290"/>
      <c r="W2219" s="1290"/>
      <c r="X2219" s="1290"/>
      <c r="Y2219" s="1290"/>
    </row>
    <row r="2220" spans="1:25" ht="15.75" customHeight="1">
      <c r="A2220" s="1392" t="str">
        <f>'Ввод данных'!A486</f>
        <v>Ширина Н15</v>
      </c>
      <c r="B2220" s="2005" t="str">
        <f>'Ввод данных'!B486</f>
        <v>м.п.</v>
      </c>
      <c r="C2220" s="1392">
        <f>'Ввод данных'!C486</f>
        <v>1.6</v>
      </c>
      <c r="D2220" s="1392"/>
      <c r="E2220" s="1392">
        <f>'Ввод данных'!C486</f>
        <v>1.6</v>
      </c>
      <c r="F2220" s="1392">
        <f>'Ввод данных'!C486</f>
        <v>1.6</v>
      </c>
      <c r="G2220" s="1262"/>
      <c r="H2220" s="1262"/>
      <c r="I2220" s="1643">
        <f>'Ввод данных'!C486</f>
        <v>1.6</v>
      </c>
      <c r="J2220" s="1262"/>
      <c r="K2220" s="1262">
        <f>'Ввод данных'!C486</f>
        <v>1.6</v>
      </c>
      <c r="P2220" s="1290"/>
      <c r="Q2220" s="1290"/>
      <c r="R2220" s="1290"/>
      <c r="S2220" s="1290"/>
      <c r="T2220" s="1290"/>
      <c r="U2220" s="1290"/>
      <c r="V2220" s="1290"/>
      <c r="W2220" s="1290"/>
      <c r="X2220" s="1290"/>
      <c r="Y2220" s="1290"/>
    </row>
    <row r="2221" spans="1:25" ht="15.75" customHeight="1">
      <c r="A2221" s="1392" t="str">
        <f>'Ввод данных'!A487</f>
        <v>Высота перил балкона</v>
      </c>
      <c r="B2221" s="2005" t="str">
        <f>'Ввод данных'!B487</f>
        <v>м.п.</v>
      </c>
      <c r="C2221" s="1392">
        <f>'Ввод данных'!C487</f>
        <v>0.9</v>
      </c>
      <c r="D2221" s="1392"/>
      <c r="E2221" s="1392">
        <f>'Ввод данных'!C487</f>
        <v>0.9</v>
      </c>
      <c r="F2221" s="1290">
        <f>'Ввод данных'!C487</f>
        <v>0.9</v>
      </c>
      <c r="I2221" s="1199">
        <f>'Ввод данных'!C487</f>
        <v>0.9</v>
      </c>
      <c r="K2221" s="1197">
        <f>'Ввод данных'!C487</f>
        <v>0.9</v>
      </c>
      <c r="P2221" s="1290"/>
      <c r="Q2221" s="1290"/>
      <c r="R2221" s="1290"/>
      <c r="S2221" s="1290"/>
      <c r="T2221" s="1290"/>
      <c r="U2221" s="1290"/>
      <c r="V2221" s="1290"/>
      <c r="W2221" s="1290"/>
      <c r="X2221" s="1290"/>
      <c r="Y2221" s="1290"/>
    </row>
    <row r="2222" spans="1:25" ht="15.75" customHeight="1">
      <c r="A2222" s="1392" t="s">
        <v>3844</v>
      </c>
      <c r="B2222" s="2005" t="s">
        <v>156</v>
      </c>
      <c r="C2222" s="1392">
        <f>(IF('Ввод данных'!A27=связи1!A132,'Ввод данных'!C11/2,0)+IF('Ввод данных'!A27=связи1!A133,дома!Z48+Z47,0)*VLOOKUP('Ввод данных'!B491,связи1!A2:B3,2,0)+IF('Ввод данных'!A27=связи1!A133,дома!AA48+AA47,0)*VLOOKUP('Ввод данных'!B492,связи1!A2:B3,2,0))</f>
        <v>5</v>
      </c>
      <c r="D2222" s="1392"/>
      <c r="E2222" s="1392">
        <f>(IF('Ввод данных'!A27=связи1!A132,'Ввод данных'!C12,0)+IF('Ввод данных'!A27=связи1!A133,'Ввод данных'!C12,0)*VLOOKUP('Ввод данных'!B491,связи1!A2:B3,2,0)+IF('Ввод данных'!A27=связи1!A133,'Ввод данных'!C12,0)*VLOOKUP('Ввод данных'!B492,связи1!A2:B3,2,0))</f>
        <v>10</v>
      </c>
      <c r="F2222" s="1290">
        <f>(IF('Ввод данных'!A27=связи1!A132,'Ввод данных'!C11,0)+IF('Ввод данных'!A27=связи1!A133,дома!Z48+Z47,0)*VLOOKUP('Ввод данных'!B491,связи1!A2:B3,2,0)+IF('Ввод данных'!A27=связи1!A133,дома!AA48+AA47,0)*VLOOKUP('Ввод данных'!B492,связи1!A2:B3,2,0))</f>
        <v>10</v>
      </c>
      <c r="I2222" s="1199">
        <f>IF('Ввод данных'!A27=связи1!A132,'Ввод данных'!C11/2,0)+IF('Ввод данных'!A27=связи1!A133,дома!Z48+Z47,0)*VLOOKUP('Ввод данных'!B491,связи1!A2:B3,2,0)+IF('Ввод данных'!A27=связи1!A133,дома!AA48+AA47,0)*VLOOKUP('Ввод данных'!B492,связи1!A2:B3,2,0)</f>
        <v>5</v>
      </c>
      <c r="K2222" s="1197">
        <f>IF('Ввод данных'!A27=связи1!A132,'Ввод данных'!C11/2,0)+IF('Ввод данных'!A27=связи1!A133,дома!Z48+Z47,0)*VLOOKUP('Ввод данных'!B491,связи1!A2:B3,2,0)+IF('Ввод данных'!A27=связи1!A133,дома!AA48+AA47,0)*VLOOKUP('Ввод данных'!B492,связи1!A2:B3,2,0)</f>
        <v>5</v>
      </c>
      <c r="P2222" s="1290"/>
      <c r="Q2222" s="1290"/>
      <c r="R2222" s="1290"/>
      <c r="S2222" s="1290"/>
      <c r="T2222" s="1290"/>
      <c r="U2222" s="1290"/>
      <c r="V2222" s="1290"/>
      <c r="W2222" s="1290"/>
      <c r="X2222" s="1290"/>
      <c r="Y2222" s="1290"/>
    </row>
    <row r="2223" spans="1:25" ht="15.75" customHeight="1">
      <c r="A2223" s="1392" t="str">
        <f>связи1!A94</f>
        <v>1 полноценный этаж</v>
      </c>
      <c r="B2223" s="2005"/>
      <c r="C2223" s="1392">
        <f>IF('Ввод данных'!A6=связи1!A94,0,0)</f>
        <v>0</v>
      </c>
      <c r="D2223" s="1392"/>
      <c r="E2223" s="1392">
        <f>IF('Ввод данных'!A6=связи1!A94,0,0)</f>
        <v>0</v>
      </c>
      <c r="F2223" s="1290">
        <f>IF('Ввод данных'!A6=связи1!A94,0,0)</f>
        <v>0</v>
      </c>
      <c r="I2223" s="1199">
        <f>IF('Ввод данных'!A6=связи1!A94,0,0)</f>
        <v>0</v>
      </c>
      <c r="K2223" s="1197">
        <f>IF('Ввод данных'!A6=связи1!A94,0,0)</f>
        <v>0</v>
      </c>
      <c r="P2223" s="1290"/>
      <c r="Q2223" s="1290"/>
      <c r="R2223" s="1290"/>
      <c r="S2223" s="1290"/>
      <c r="T2223" s="1290"/>
      <c r="U2223" s="1290"/>
      <c r="V2223" s="1290"/>
      <c r="W2223" s="1290"/>
      <c r="X2223" s="1290"/>
      <c r="Y2223" s="1290"/>
    </row>
    <row r="2224" spans="1:25" ht="15.75" customHeight="1">
      <c r="A2224" s="1392" t="str">
        <f>связи1!A95</f>
        <v>2 полноценных этажа</v>
      </c>
      <c r="B2224" s="2005"/>
      <c r="C2224" s="1392">
        <f>IF('Ввод данных'!A6=связи1!A95,'Ввод данных'!C16,0)</f>
        <v>0</v>
      </c>
      <c r="D2224" s="1392"/>
      <c r="E2224" s="1392">
        <f>IF('Ввод данных'!A6=связи1!A95,'Ввод данных'!C16,0)</f>
        <v>0</v>
      </c>
      <c r="F2224" s="1290">
        <f>IF('Ввод данных'!A6=связи1!A95,'Ввод данных'!C16,0)</f>
        <v>0</v>
      </c>
      <c r="I2224" s="1199">
        <f>IF('Ввод данных'!A6=связи1!A95,'Ввод данных'!C16,0)</f>
        <v>0</v>
      </c>
      <c r="K2224" s="1197">
        <f>IF('Ввод данных'!A6=связи1!A95,'Ввод данных'!C16,0)</f>
        <v>0</v>
      </c>
      <c r="P2224" s="1290"/>
      <c r="Q2224" s="1290"/>
      <c r="R2224" s="1290"/>
      <c r="S2224" s="1290"/>
      <c r="T2224" s="1290"/>
      <c r="U2224" s="1290"/>
      <c r="V2224" s="1290"/>
      <c r="W2224" s="1290"/>
      <c r="X2224" s="1290"/>
      <c r="Y2224" s="1290"/>
    </row>
    <row r="2225" spans="1:25" ht="15.75" customHeight="1">
      <c r="A2225" s="1392" t="str">
        <f>связи1!A96</f>
        <v>1 этаж + 2-ой мансардный</v>
      </c>
      <c r="B2225" s="2005"/>
      <c r="C2225" s="1392">
        <f>IF('Ввод данных'!A6=связи1!A96,(IF('Ввод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D2225" s="1392"/>
      <c r="E2225" s="1392">
        <f>IF('Ввод данных'!A6=связи1!A96,(IF('Ввод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F2225" s="1290">
        <f>IF('Ввод данных'!A6=связи1!A96,(IF('Ввод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I2225" s="1199">
        <f>IF('Ввод данных'!A6=связи1!A96,(IF('Ввод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K2225" s="1197">
        <f>IF('Ввод данных'!A6=связи1!A96,(IF('Ввод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P2225" s="1290"/>
      <c r="Q2225" s="1290"/>
      <c r="R2225" s="1290"/>
      <c r="S2225" s="1290"/>
      <c r="T2225" s="1290"/>
      <c r="U2225" s="1290"/>
      <c r="V2225" s="1290"/>
      <c r="W2225" s="1290"/>
      <c r="X2225" s="1290"/>
      <c r="Y2225" s="1290"/>
    </row>
    <row r="2226" spans="1:25" ht="15.75" customHeight="1">
      <c r="A2226" s="1392" t="str">
        <f>связи1!A97</f>
        <v>1 мансардный этаж</v>
      </c>
      <c r="B2226" s="2005"/>
      <c r="C2226" s="1392">
        <f>IF('Ввод данных'!A6=связи1!A97,0,0)</f>
        <v>0</v>
      </c>
      <c r="D2226" s="1392"/>
      <c r="E2226" s="1392">
        <f>IF('Ввод данных'!A6=связи1!A97,0,0)</f>
        <v>0</v>
      </c>
      <c r="F2226" s="1290">
        <f>IF('Ввод данных'!A6=связи1!A97,0,0)</f>
        <v>0</v>
      </c>
      <c r="I2226" s="1199">
        <f>IF('Ввод данных'!A6=связи1!A97,0,0)</f>
        <v>0</v>
      </c>
      <c r="K2226" s="1197">
        <f>IF('Ввод данных'!A6=связи1!A97,0,0)</f>
        <v>0</v>
      </c>
      <c r="P2226" s="1290"/>
      <c r="Q2226" s="1290"/>
      <c r="R2226" s="1290"/>
      <c r="S2226" s="1290"/>
      <c r="T2226" s="1290"/>
      <c r="U2226" s="1290"/>
      <c r="V2226" s="1290"/>
      <c r="W2226" s="1290"/>
      <c r="X2226" s="1290"/>
      <c r="Y2226" s="1290"/>
    </row>
    <row r="2227" spans="1:25" ht="15.75" customHeight="1">
      <c r="A2227" s="1392" t="str">
        <f>связи1!A98</f>
        <v>1 эт + 2-ой мансарда с перекрытием</v>
      </c>
      <c r="B2227" s="2005"/>
      <c r="C2227" s="1392">
        <f>IF('Ввод данных'!A6=связи1!A98,(IF('Ввод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D2227" s="1392"/>
      <c r="E2227" s="1392">
        <f>IF('Ввод данных'!A6=связи1!A98,(IF('Ввод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F2227" s="1290">
        <f>IF('Ввод данных'!A6=связи1!A98,(IF('Ввод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I2227" s="1199">
        <f>IF('Ввод данных'!A6=связи1!A98,(IF('Ввод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K2227" s="1197">
        <f>IF('Ввод данных'!A6=связи1!A98,(IF('Ввод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P2227" s="1290"/>
      <c r="Q2227" s="1290"/>
      <c r="R2227" s="1290"/>
      <c r="S2227" s="1290"/>
      <c r="T2227" s="1290"/>
      <c r="U2227" s="1290"/>
      <c r="V2227" s="1290"/>
      <c r="W2227" s="1290"/>
      <c r="X2227" s="1290"/>
      <c r="Y2227" s="1290"/>
    </row>
    <row r="2228" spans="1:25" ht="15.75" customHeight="1">
      <c r="A2228" s="1392" t="s">
        <v>1931</v>
      </c>
      <c r="B2228" s="2005"/>
      <c r="C2228" s="1392">
        <f>SUM(C2223:C2227)</f>
        <v>0</v>
      </c>
      <c r="D2228" s="1392"/>
      <c r="E2228" s="1392">
        <f>SUM(E2223:E2227)</f>
        <v>0</v>
      </c>
      <c r="F2228" s="1392">
        <f>SUM(F2223:F2227)</f>
        <v>0</v>
      </c>
      <c r="I2228" s="1392">
        <f>SUM(I2223:I2227)</f>
        <v>0</v>
      </c>
      <c r="K2228" s="1392">
        <f>SUM(K2223:K2227)</f>
        <v>0</v>
      </c>
      <c r="P2228" s="1290"/>
      <c r="Q2228" s="1290"/>
      <c r="R2228" s="1290"/>
      <c r="S2228" s="1290"/>
      <c r="T2228" s="1290"/>
      <c r="U2228" s="1290"/>
      <c r="V2228" s="1290"/>
      <c r="W2228" s="1290"/>
      <c r="X2228" s="1290"/>
      <c r="Y2228" s="1290"/>
    </row>
    <row r="2229" spans="1:25" ht="15.75" customHeight="1">
      <c r="A2229" s="1392" t="s">
        <v>2657</v>
      </c>
      <c r="B2229" s="2005"/>
      <c r="C2229" s="1392">
        <f>C22</f>
        <v>0</v>
      </c>
      <c r="D2229" s="1392"/>
      <c r="E2229" s="1392">
        <f>C22</f>
        <v>0</v>
      </c>
      <c r="F2229" s="1290">
        <f>C22</f>
        <v>0</v>
      </c>
      <c r="I2229" s="1199">
        <f>C22</f>
        <v>0</v>
      </c>
      <c r="K2229" s="1197">
        <f>C22</f>
        <v>0</v>
      </c>
      <c r="P2229" s="1290"/>
      <c r="Q2229" s="1290"/>
      <c r="R2229" s="1290"/>
      <c r="S2229" s="1290"/>
      <c r="T2229" s="1290"/>
      <c r="U2229" s="1290"/>
      <c r="V2229" s="1290"/>
      <c r="W2229" s="1290"/>
      <c r="X2229" s="1290"/>
      <c r="Y2229" s="1290"/>
    </row>
    <row r="2230" spans="1:25" ht="15.75" customHeight="1">
      <c r="A2230" s="1392" t="s">
        <v>3845</v>
      </c>
      <c r="B2230" s="2005"/>
      <c r="C2230" s="1780">
        <f>(C2229-C2228)</f>
        <v>0</v>
      </c>
      <c r="D2230" s="1392"/>
      <c r="E2230" s="1780">
        <f>(E2229-E2228)</f>
        <v>0</v>
      </c>
      <c r="F2230" s="1780">
        <f>(F2229-F2228)</f>
        <v>0</v>
      </c>
      <c r="I2230" s="1780">
        <f>I2229-I2228</f>
        <v>0</v>
      </c>
      <c r="K2230" s="1780">
        <f>K2229-K2228</f>
        <v>0</v>
      </c>
      <c r="P2230" s="1290"/>
      <c r="Q2230" s="1290"/>
      <c r="R2230" s="1290"/>
      <c r="S2230" s="1290"/>
      <c r="T2230" s="1290"/>
      <c r="U2230" s="1290"/>
      <c r="V2230" s="1290"/>
      <c r="W2230" s="1290"/>
      <c r="X2230" s="1290"/>
      <c r="Y2230" s="1290"/>
    </row>
    <row r="2231" spans="1:25" ht="15.75" customHeight="1">
      <c r="A2231" s="1392" t="s">
        <v>3846</v>
      </c>
      <c r="B2231" s="2005"/>
      <c r="C2231" s="1780">
        <f>(C2222-C2219-IF('Ввод данных'!A19=связи1!A129,Z47,0)*VLOOKUP('Ввод данных'!B491,связи1!A2:B3,2,0)-IF('Ввод данных'!A27=связи1!A133,AA47,0)*VLOOKUP('Ввод данных'!B492,связи1!A2:B3,2,0))</f>
        <v>3</v>
      </c>
      <c r="D2231" s="1392"/>
      <c r="E2231" s="1392">
        <f>(E2222-E2220-IF('Ввод данных'!A19=связи1!A129,0,0)*VLOOKUP('Ввод данных'!B491,связи1!A2:B3,2,0)-IF('Ввод данных'!A27=связи1!A133,0,0)*VLOOKUP('Ввод данных'!B492,связи1!A2:B3,2,0))</f>
        <v>8.4</v>
      </c>
      <c r="F2231" s="1290">
        <f>(F2222-F2219-IF('Ввод данных'!A19=связи1!A129,Z47,0)*VLOOKUP('Ввод данных'!B491,связи1!A2:B3,2,0)-IF('Ввод данных'!A27=связи1!A133,AA47,0)*VLOOKUP('Ввод данных'!B492,связи1!A2:B3,2,0))</f>
        <v>8</v>
      </c>
      <c r="I2231" s="1199">
        <f>I2222-I2219-IF('Ввод данных'!A19=связи1!A129,Z47,0)*VLOOKUP('Ввод данных'!B491,связи1!A2:B3,2,0)-IF('Ввод данных'!A27=связи1!A133,AA47,0)*VLOOKUP('Ввод данных'!B492,связи1!A2:B3,2,0)</f>
        <v>3</v>
      </c>
      <c r="K2231" s="1197">
        <f>K2222-K2219-IF('Ввод данных'!A19=связи1!A129,Z47,0)*VLOOKUP('Ввод данных'!B491,связи1!A2:B3,2,0)-IF('Ввод данных'!A27=связи1!A133,AA47,0)*VLOOKUP('Ввод данных'!B492,связи1!A2:B3,2,0)</f>
        <v>3</v>
      </c>
      <c r="P2231" s="1290"/>
      <c r="Q2231" s="1290"/>
      <c r="R2231" s="1290"/>
      <c r="S2231" s="1290"/>
      <c r="T2231" s="1290"/>
      <c r="U2231" s="1290"/>
      <c r="V2231" s="1290"/>
      <c r="W2231" s="1290"/>
      <c r="X2231" s="1290"/>
      <c r="Y2231" s="1290"/>
    </row>
    <row r="2232" spans="1:25" ht="15.75" customHeight="1">
      <c r="A2232" s="1392" t="s">
        <v>3847</v>
      </c>
      <c r="B2232" s="2005"/>
      <c r="C2232" s="2097">
        <f>(C2222)/100</f>
        <v>0.05</v>
      </c>
      <c r="D2232" s="1392"/>
      <c r="E2232" s="1392">
        <f>E2222/100</f>
        <v>0.1</v>
      </c>
      <c r="F2232" s="1392">
        <f>F2222/100</f>
        <v>0.1</v>
      </c>
      <c r="I2232" s="1199">
        <f>I2222/100</f>
        <v>0.05</v>
      </c>
      <c r="K2232" s="1197">
        <f>K2222/100</f>
        <v>0.05</v>
      </c>
      <c r="P2232" s="1290"/>
      <c r="Q2232" s="1290"/>
      <c r="R2232" s="1290"/>
      <c r="S2232" s="1290"/>
      <c r="T2232" s="1290"/>
      <c r="U2232" s="1290"/>
      <c r="V2232" s="1290"/>
      <c r="W2232" s="1290"/>
      <c r="X2232" s="1290"/>
      <c r="Y2232" s="1290"/>
    </row>
    <row r="2233" spans="1:25" ht="15.75" customHeight="1">
      <c r="A2233" s="1392" t="s">
        <v>3848</v>
      </c>
      <c r="B2233" s="2005"/>
      <c r="C2233" s="1780">
        <f>C2231/C2232</f>
        <v>60</v>
      </c>
      <c r="D2233" s="1392"/>
      <c r="E2233" s="1780">
        <f>E2231/E2232</f>
        <v>84</v>
      </c>
      <c r="F2233" s="1780">
        <f>F2231/F2232</f>
        <v>80</v>
      </c>
      <c r="I2233" s="1780">
        <f>I2231/I2232</f>
        <v>60</v>
      </c>
      <c r="K2233" s="1780">
        <f>K2231/K2232</f>
        <v>60</v>
      </c>
      <c r="P2233" s="1290"/>
      <c r="Q2233" s="1290"/>
      <c r="R2233" s="1290"/>
      <c r="S2233" s="1290"/>
      <c r="T2233" s="1290"/>
      <c r="U2233" s="1290"/>
      <c r="V2233" s="1290"/>
      <c r="W2233" s="1290"/>
      <c r="X2233" s="1290"/>
      <c r="Y2233" s="1290"/>
    </row>
    <row r="2234" spans="1:25" ht="15.75" customHeight="1">
      <c r="A2234" s="1392" t="s">
        <v>3849</v>
      </c>
      <c r="B2234" s="2005"/>
      <c r="C2234" s="1780">
        <f>C2230/100*C2233</f>
        <v>0</v>
      </c>
      <c r="D2234" s="1392"/>
      <c r="E2234" s="1780">
        <f>E2230/100*E2233</f>
        <v>0</v>
      </c>
      <c r="F2234" s="1780">
        <f>F2230/100*F2233</f>
        <v>0</v>
      </c>
      <c r="I2234" s="1780">
        <f>I2230/100*I2233</f>
        <v>0</v>
      </c>
      <c r="K2234" s="1780">
        <f>K2230/100*K2233</f>
        <v>0</v>
      </c>
      <c r="P2234" s="1290"/>
      <c r="Q2234" s="1290"/>
      <c r="R2234" s="1290"/>
      <c r="S2234" s="1290"/>
      <c r="T2234" s="1290"/>
      <c r="U2234" s="1290"/>
      <c r="V2234" s="1290"/>
      <c r="W2234" s="1290"/>
      <c r="X2234" s="1290"/>
      <c r="Y2234" s="1290"/>
    </row>
    <row r="2235" spans="1:25" ht="15.75" customHeight="1">
      <c r="A2235" s="1392" t="s">
        <v>3850</v>
      </c>
      <c r="B2235" s="2005"/>
      <c r="C2235" s="1780">
        <f>C2230-C2234</f>
        <v>0</v>
      </c>
      <c r="D2235" s="1392"/>
      <c r="E2235" s="1780">
        <f>E2230-E2234</f>
        <v>0</v>
      </c>
      <c r="F2235" s="1780">
        <f>F2230-F2234</f>
        <v>0</v>
      </c>
      <c r="I2235" s="1780">
        <f>I2230-I2234</f>
        <v>0</v>
      </c>
      <c r="K2235" s="1780">
        <f>K2230-K2234</f>
        <v>0</v>
      </c>
      <c r="P2235" s="1290"/>
      <c r="Q2235" s="1290"/>
      <c r="R2235" s="1290"/>
      <c r="S2235" s="1290"/>
      <c r="T2235" s="1290"/>
      <c r="U2235" s="1290"/>
      <c r="V2235" s="1290"/>
      <c r="W2235" s="1290"/>
      <c r="X2235" s="1290"/>
      <c r="Y2235" s="1290"/>
    </row>
    <row r="2236" spans="1:25" ht="15.75" customHeight="1">
      <c r="A2236" s="1392"/>
      <c r="B2236" s="2005"/>
      <c r="C2236" s="2005"/>
      <c r="D2236" s="1392"/>
      <c r="E2236" s="1392"/>
      <c r="F2236" s="1290"/>
      <c r="P2236" s="1290"/>
      <c r="Q2236" s="1290"/>
      <c r="R2236" s="1290"/>
      <c r="S2236" s="1290"/>
      <c r="T2236" s="1290"/>
      <c r="U2236" s="1290"/>
      <c r="V2236" s="1290"/>
      <c r="W2236" s="1290"/>
      <c r="X2236" s="1290"/>
      <c r="Y2236" s="1290"/>
    </row>
    <row r="2237" spans="1:25" ht="15.75" customHeight="1">
      <c r="A2237" s="1277" t="s">
        <v>3851</v>
      </c>
      <c r="B2237" s="2098"/>
      <c r="C2237" s="1315">
        <f>C2235*C2220*C2217*C2218</f>
        <v>0</v>
      </c>
      <c r="D2237" s="1277"/>
      <c r="E2237" s="1315">
        <f>E2235*E2219*E2217*E2216*E2218</f>
        <v>0</v>
      </c>
      <c r="F2237" s="1315">
        <f>F2235*F2220*F2217*F2216*F2218</f>
        <v>0</v>
      </c>
      <c r="G2237" s="995"/>
      <c r="H2237" s="995"/>
      <c r="I2237" s="1315">
        <f>I2235*I2220*I2218*I2217</f>
        <v>0</v>
      </c>
      <c r="J2237" s="995"/>
      <c r="K2237" s="1315">
        <f>K2235*K2220*K2217*K2218</f>
        <v>0</v>
      </c>
      <c r="L2237" s="1477">
        <f>SUM(C2237:K2237)</f>
        <v>0</v>
      </c>
      <c r="P2237" s="1290"/>
      <c r="Q2237" s="1290"/>
      <c r="R2237" s="1290"/>
      <c r="S2237" s="1290"/>
      <c r="T2237" s="1290"/>
      <c r="U2237" s="1290"/>
      <c r="V2237" s="1290"/>
      <c r="W2237" s="1290"/>
      <c r="X2237" s="1290"/>
      <c r="Y2237" s="1290"/>
    </row>
    <row r="2238" spans="1:25" ht="15.75" customHeight="1">
      <c r="A2238" s="2099" t="s">
        <v>3852</v>
      </c>
      <c r="B2238" s="2100"/>
      <c r="C2238" s="2101">
        <f>(C2235+C2228)*C2217*C2218</f>
        <v>0</v>
      </c>
      <c r="D2238" s="2099"/>
      <c r="E2238" s="2101">
        <f>(E2235+E2228)*E2217*E2216*E2218</f>
        <v>0</v>
      </c>
      <c r="F2238" s="2101">
        <f>(F2235+F2228)*F2217*F2216*F2218</f>
        <v>0</v>
      </c>
      <c r="G2238" s="1417"/>
      <c r="H2238" s="1417"/>
      <c r="I2238" s="2101">
        <f>(I2235+I2228)*I2217*I2218*I2217</f>
        <v>0</v>
      </c>
      <c r="J2238" s="1417"/>
      <c r="K2238" s="2101">
        <f>(K2235+K2228)*K2217*K2218</f>
        <v>0</v>
      </c>
      <c r="L2238" s="1477">
        <f>SUM(C2238:K2238)</f>
        <v>0</v>
      </c>
      <c r="P2238" s="1290"/>
      <c r="Q2238" s="1290"/>
      <c r="R2238" s="1290"/>
      <c r="S2238" s="1290"/>
      <c r="T2238" s="1290"/>
      <c r="U2238" s="1290"/>
      <c r="V2238" s="1290"/>
      <c r="W2238" s="1290"/>
      <c r="X2238" s="1290"/>
      <c r="Y2238" s="1290"/>
    </row>
    <row r="2239" spans="1:25" ht="15.75" customHeight="1">
      <c r="A2239" s="2099" t="s">
        <v>3853</v>
      </c>
      <c r="B2239" s="2100"/>
      <c r="C2239" s="2101">
        <f>C2228*C2217*C2218</f>
        <v>0</v>
      </c>
      <c r="D2239" s="2099"/>
      <c r="E2239" s="2101">
        <f>E2228*E2217*E2216*E2218</f>
        <v>0</v>
      </c>
      <c r="F2239" s="2101">
        <f>F2228*F2217*F2216*F2218</f>
        <v>0</v>
      </c>
      <c r="G2239" s="1417"/>
      <c r="H2239" s="1417"/>
      <c r="I2239" s="2101">
        <f>I2228*I2217*I2218*I2217</f>
        <v>0</v>
      </c>
      <c r="J2239" s="1417"/>
      <c r="K2239" s="2101">
        <f>K2228*K2217*K2218</f>
        <v>0</v>
      </c>
      <c r="L2239" s="1477">
        <f>SUM(C2239:K2239)</f>
        <v>0</v>
      </c>
      <c r="P2239" s="1290"/>
      <c r="Q2239" s="1290"/>
      <c r="R2239" s="1290"/>
      <c r="S2239" s="1290"/>
      <c r="T2239" s="1290"/>
      <c r="U2239" s="1290"/>
      <c r="V2239" s="1290"/>
      <c r="W2239" s="1290"/>
      <c r="X2239" s="1290"/>
      <c r="Y2239" s="1290"/>
    </row>
    <row r="2240" spans="1:25" ht="15.75" customHeight="1">
      <c r="A2240" s="2099" t="s">
        <v>3854</v>
      </c>
      <c r="B2240" s="2100"/>
      <c r="C2240" s="2101">
        <f>CEILING(C2220/'Ввод данных'!C1027+1,1)*C2217*C2218</f>
        <v>0</v>
      </c>
      <c r="D2240" s="2099"/>
      <c r="E2240" s="2101">
        <f>CEILING(E2219/'Ввод данных'!C1027+1,1)*E2217*E2216*E2218</f>
        <v>0</v>
      </c>
      <c r="F2240" s="2099">
        <f>CEILING(E2220/'Ввод данных'!C1027+1,1)*E2217*F2216*F2218</f>
        <v>0</v>
      </c>
      <c r="G2240" s="1417"/>
      <c r="H2240" s="1417"/>
      <c r="I2240" s="1368">
        <f>CEILING(I2220/'Ввод данных'!C1027+1,1)*I2217*I2218*I2217</f>
        <v>0</v>
      </c>
      <c r="J2240" s="1417"/>
      <c r="K2240" s="1417">
        <f>CEILING(K2220/'Ввод данных'!C1027+1,1)*K2217*K2218</f>
        <v>0</v>
      </c>
      <c r="L2240" s="1477">
        <f>SUM(C2240:K2240)</f>
        <v>0</v>
      </c>
      <c r="P2240" s="1290"/>
      <c r="Q2240" s="1290"/>
      <c r="R2240" s="1290"/>
      <c r="S2240" s="1290"/>
      <c r="T2240" s="1290"/>
      <c r="U2240" s="1290"/>
      <c r="V2240" s="1290"/>
      <c r="W2240" s="1290"/>
      <c r="X2240" s="1290"/>
      <c r="Y2240" s="1290"/>
    </row>
    <row r="2241" spans="1:25" ht="15.75" customHeight="1">
      <c r="A2241" s="1392"/>
      <c r="B2241" s="2005"/>
      <c r="C2241" s="2005"/>
      <c r="D2241" s="1392"/>
      <c r="E2241" s="1392"/>
      <c r="F2241" s="1290"/>
      <c r="P2241" s="1290"/>
      <c r="Q2241" s="1290"/>
      <c r="R2241" s="1290"/>
      <c r="S2241" s="1290"/>
      <c r="T2241" s="1290"/>
      <c r="U2241" s="1290"/>
      <c r="V2241" s="1290"/>
      <c r="W2241" s="1290"/>
      <c r="X2241" s="1290"/>
      <c r="Y2241" s="1290"/>
    </row>
    <row r="2242" spans="1:25" ht="15.75" customHeight="1">
      <c r="A2242" s="1392"/>
      <c r="B2242" s="2005"/>
      <c r="C2242" s="2005"/>
      <c r="D2242" s="1392"/>
      <c r="E2242" s="1392"/>
      <c r="F2242" s="1290"/>
      <c r="P2242" s="1290"/>
      <c r="Q2242" s="1290"/>
      <c r="R2242" s="1290"/>
      <c r="S2242" s="1290"/>
      <c r="T2242" s="1290"/>
      <c r="U2242" s="1290"/>
      <c r="V2242" s="1290"/>
      <c r="W2242" s="1290"/>
      <c r="X2242" s="1290"/>
      <c r="Y2242" s="1290"/>
    </row>
    <row r="2243" spans="1:25" ht="15.75" customHeight="1">
      <c r="A2243" s="3167" t="s">
        <v>3855</v>
      </c>
      <c r="B2243" s="3167"/>
      <c r="C2243" s="3167"/>
      <c r="D2243" s="3167"/>
      <c r="E2243" s="3167"/>
      <c r="F2243" s="3167"/>
      <c r="G2243" s="3167"/>
      <c r="H2243" s="3167"/>
      <c r="I2243" s="3167"/>
      <c r="J2243" s="3167"/>
      <c r="K2243" s="3167"/>
      <c r="L2243" s="1290"/>
      <c r="M2243" s="1290"/>
      <c r="N2243" s="1290"/>
      <c r="O2243" s="1290"/>
      <c r="P2243" s="1290"/>
      <c r="Q2243" s="1290"/>
      <c r="R2243" s="1290"/>
      <c r="S2243" s="1290"/>
      <c r="T2243" s="1290"/>
      <c r="U2243" s="1290"/>
      <c r="V2243" s="1290"/>
      <c r="W2243" s="1290"/>
      <c r="X2243" s="1290"/>
      <c r="Y2243" s="1290"/>
    </row>
    <row r="2244" spans="1:25" ht="15.75" customHeight="1">
      <c r="A2244" s="1055" t="str">
        <f>'Ввод данных'!A624</f>
        <v>Длина крыльца</v>
      </c>
      <c r="B2244" s="1339" t="str">
        <f>'Ввод данных'!B624</f>
        <v>м.п.</v>
      </c>
      <c r="C2244" s="1055">
        <f>'Ввод данных'!C624</f>
        <v>3</v>
      </c>
      <c r="F2244" s="1290"/>
      <c r="G2244" s="1290"/>
      <c r="H2244" s="1290"/>
      <c r="I2244" s="1973"/>
      <c r="J2244" s="1290"/>
      <c r="K2244" s="1290"/>
      <c r="L2244" s="1290"/>
      <c r="M2244" s="1290"/>
      <c r="N2244" s="1290"/>
      <c r="O2244" s="1290"/>
      <c r="P2244" s="1290"/>
      <c r="Q2244" s="1290"/>
      <c r="R2244" s="1290"/>
      <c r="S2244" s="1290"/>
      <c r="T2244" s="1290"/>
      <c r="U2244" s="1290"/>
      <c r="V2244" s="1290"/>
      <c r="W2244" s="1290"/>
      <c r="X2244" s="1290"/>
      <c r="Y2244" s="1290"/>
    </row>
    <row r="2245" spans="1:25" ht="15.75" customHeight="1">
      <c r="A2245" s="1055" t="str">
        <f>'Ввод данных'!A625</f>
        <v>Ширина крыльца</v>
      </c>
      <c r="B2245" s="1339" t="str">
        <f>'Ввод данных'!B625</f>
        <v>м.п.</v>
      </c>
      <c r="C2245" s="1055">
        <f>'Ввод данных'!C625</f>
        <v>1</v>
      </c>
      <c r="F2245" s="1290"/>
      <c r="G2245" s="1290"/>
      <c r="H2245" s="1290"/>
      <c r="I2245" s="1973"/>
      <c r="J2245" s="1290"/>
      <c r="K2245" s="1290"/>
      <c r="L2245" s="1290"/>
      <c r="M2245" s="1290"/>
      <c r="N2245" s="1290"/>
      <c r="O2245" s="1290"/>
      <c r="P2245" s="1290"/>
      <c r="Q2245" s="1290"/>
      <c r="R2245" s="1290"/>
      <c r="S2245" s="1290"/>
      <c r="T2245" s="1290"/>
      <c r="U2245" s="1290"/>
      <c r="V2245" s="1290"/>
      <c r="W2245" s="1290"/>
      <c r="X2245" s="1290"/>
      <c r="Y2245" s="1290"/>
    </row>
    <row r="2246" spans="1:25" ht="15.75" customHeight="1">
      <c r="A2246" s="1055" t="str">
        <f>'Ввод данных'!A626</f>
        <v>Высота от перекрытия до конька</v>
      </c>
      <c r="B2246" s="1339" t="str">
        <f>'Ввод данных'!B626</f>
        <v>м.п.</v>
      </c>
      <c r="C2246" s="1055">
        <f>'Ввод данных'!C626</f>
        <v>3</v>
      </c>
      <c r="E2246" s="1290"/>
      <c r="F2246" s="1290"/>
      <c r="G2246" s="1290"/>
      <c r="H2246" s="1290"/>
      <c r="I2246" s="1973"/>
      <c r="J2246" s="1290"/>
      <c r="K2246" s="1290"/>
      <c r="L2246" s="1290"/>
      <c r="M2246" s="1290"/>
      <c r="N2246" s="1290"/>
      <c r="O2246" s="1290"/>
      <c r="P2246" s="1290"/>
      <c r="Q2246" s="1290"/>
      <c r="R2246" s="1290"/>
      <c r="S2246" s="1290"/>
      <c r="T2246" s="1290"/>
      <c r="U2246" s="1290"/>
      <c r="V2246" s="1290"/>
      <c r="W2246" s="1290"/>
      <c r="X2246" s="1290"/>
      <c r="Y2246" s="1290"/>
    </row>
    <row r="2247" spans="1:25" ht="15.75" customHeight="1">
      <c r="A2247" s="1055" t="str">
        <f>'Ввод данных'!A627</f>
        <v>Высота до перекрытия кровли</v>
      </c>
      <c r="B2247" s="1339" t="str">
        <f>'Ввод данных'!B627</f>
        <v>м.п.</v>
      </c>
      <c r="C2247" s="1055">
        <f>'Ввод данных'!C627</f>
        <v>2.2999999999999998</v>
      </c>
      <c r="E2247" s="1290"/>
      <c r="F2247" s="1290"/>
      <c r="G2247" s="1290"/>
      <c r="H2247" s="1290"/>
      <c r="I2247" s="1973"/>
      <c r="J2247" s="1290"/>
      <c r="K2247" s="1290"/>
      <c r="L2247" s="1290"/>
      <c r="M2247" s="1290"/>
      <c r="N2247" s="1290"/>
      <c r="O2247" s="1290"/>
      <c r="P2247" s="1290"/>
      <c r="Q2247" s="1290"/>
      <c r="R2247" s="1290"/>
      <c r="S2247" s="1290"/>
      <c r="T2247" s="1290"/>
      <c r="U2247" s="1290"/>
      <c r="V2247" s="1290"/>
      <c r="W2247" s="1290"/>
      <c r="X2247" s="1290"/>
      <c r="Y2247" s="1290"/>
    </row>
    <row r="2248" spans="1:25" ht="15.75" customHeight="1">
      <c r="A2248" s="1055" t="str">
        <f>'Ввод данных'!A628</f>
        <v>Выпуск кровли по карнизу</v>
      </c>
      <c r="B2248" s="1339" t="str">
        <f>'Ввод данных'!B628</f>
        <v>м.п.</v>
      </c>
      <c r="C2248" s="1055">
        <f>'Ввод данных'!C628</f>
        <v>0.4</v>
      </c>
      <c r="E2248" s="1290"/>
      <c r="F2248" s="1290"/>
      <c r="G2248" s="1290"/>
      <c r="H2248" s="1290"/>
      <c r="I2248" s="1973"/>
      <c r="J2248" s="1290"/>
      <c r="K2248" s="1290"/>
      <c r="L2248" s="1290"/>
      <c r="M2248" s="1290"/>
      <c r="N2248" s="1290"/>
      <c r="O2248" s="1290"/>
      <c r="P2248" s="1290"/>
      <c r="Q2248" s="1290"/>
      <c r="R2248" s="1290"/>
      <c r="S2248" s="1290"/>
      <c r="T2248" s="1290"/>
      <c r="U2248" s="1290"/>
      <c r="V2248" s="1290"/>
      <c r="W2248" s="1290"/>
      <c r="X2248" s="1290"/>
      <c r="Y2248" s="1290"/>
    </row>
    <row r="2249" spans="1:25" ht="15.75" customHeight="1">
      <c r="A2249" s="1055" t="str">
        <f>'Ввод данных'!A629</f>
        <v>Выпуск кровли по фронтону</v>
      </c>
      <c r="B2249" s="1339" t="str">
        <f>'Ввод данных'!B629</f>
        <v>м.п.</v>
      </c>
      <c r="C2249" s="1055">
        <f>'Ввод данных'!C629</f>
        <v>0.4</v>
      </c>
      <c r="E2249" s="1290"/>
      <c r="F2249" s="1290"/>
      <c r="G2249" s="1290"/>
      <c r="H2249" s="1290"/>
      <c r="I2249" s="1973"/>
      <c r="J2249" s="1290"/>
      <c r="K2249" s="1290"/>
      <c r="L2249" s="1290"/>
      <c r="M2249" s="1290"/>
      <c r="N2249" s="1290"/>
      <c r="O2249" s="1290"/>
      <c r="P2249" s="1290"/>
      <c r="Q2249" s="1290"/>
      <c r="R2249" s="1290"/>
      <c r="S2249" s="1290"/>
      <c r="T2249" s="1290"/>
      <c r="U2249" s="1290"/>
      <c r="V2249" s="1290"/>
      <c r="W2249" s="1290"/>
      <c r="X2249" s="1290"/>
      <c r="Y2249" s="1290"/>
    </row>
    <row r="2250" spans="1:25" ht="15.75" customHeight="1">
      <c r="A2250" s="1055" t="str">
        <f>'Ввод данных'!A630</f>
        <v>Длина конька для вальмовой пристройки</v>
      </c>
      <c r="B2250" s="1339" t="str">
        <f>'Ввод данных'!B630</f>
        <v>м.п.</v>
      </c>
      <c r="C2250" s="1055">
        <f>'Ввод данных'!C630</f>
        <v>1</v>
      </c>
      <c r="E2250" s="1290"/>
      <c r="F2250" s="1290"/>
      <c r="G2250" s="1290"/>
      <c r="H2250" s="1290"/>
      <c r="I2250" s="1973"/>
      <c r="J2250" s="1290"/>
      <c r="K2250" s="1290"/>
      <c r="L2250" s="1290"/>
      <c r="M2250" s="1290"/>
      <c r="N2250" s="1290"/>
      <c r="O2250" s="1290"/>
      <c r="P2250" s="1290"/>
      <c r="Q2250" s="1290"/>
      <c r="R2250" s="1290"/>
      <c r="S2250" s="1290"/>
      <c r="T2250" s="1290"/>
      <c r="U2250" s="1290"/>
      <c r="V2250" s="1290"/>
      <c r="W2250" s="1290"/>
      <c r="X2250" s="1290"/>
      <c r="Y2250" s="1290"/>
    </row>
    <row r="2251" spans="1:25" ht="15.75" customHeight="1">
      <c r="A2251" s="1055" t="str">
        <f>'Ввод данных'!A631</f>
        <v>Количество ступеней</v>
      </c>
      <c r="B2251" s="2102" t="str">
        <f>'Ввод данных'!B631</f>
        <v>шт</v>
      </c>
      <c r="C2251" s="1275">
        <f>'Ввод данных'!C631</f>
        <v>3</v>
      </c>
      <c r="E2251" s="1290"/>
      <c r="F2251" s="1290"/>
      <c r="G2251" s="1290"/>
      <c r="H2251" s="1290"/>
      <c r="I2251" s="1973"/>
      <c r="J2251" s="1290"/>
      <c r="K2251" s="1290"/>
      <c r="L2251" s="1290"/>
      <c r="M2251" s="1290"/>
      <c r="N2251" s="1290"/>
      <c r="O2251" s="1290"/>
      <c r="P2251" s="1290"/>
      <c r="Q2251" s="1290"/>
      <c r="R2251" s="1290"/>
      <c r="S2251" s="1290"/>
      <c r="T2251" s="1290"/>
      <c r="U2251" s="1290"/>
      <c r="V2251" s="1290"/>
      <c r="W2251" s="1290"/>
      <c r="X2251" s="1290"/>
      <c r="Y2251" s="1290"/>
    </row>
    <row r="2252" spans="1:25" ht="15.75" customHeight="1">
      <c r="A2252" s="1279" t="str">
        <f>'Ввод данных'!A632</f>
        <v>Размер ступеней</v>
      </c>
      <c r="B2252" s="1339" t="str">
        <f>'Ввод данных'!B632</f>
        <v>ед.изм.</v>
      </c>
      <c r="C2252" s="1055" t="str">
        <f>'Ввод данных'!C632</f>
        <v>высота</v>
      </c>
      <c r="D2252" s="1055" t="str">
        <f>'Ввод данных'!D632</f>
        <v>ширина</v>
      </c>
      <c r="E2252" s="1290"/>
      <c r="F2252" s="1290"/>
      <c r="G2252" s="1290"/>
      <c r="H2252" s="1290"/>
      <c r="I2252" s="1973"/>
      <c r="J2252" s="1290"/>
      <c r="K2252" s="1290"/>
      <c r="L2252" s="1290"/>
      <c r="M2252" s="1290"/>
      <c r="N2252" s="1290"/>
      <c r="O2252" s="1290"/>
      <c r="P2252" s="1290"/>
      <c r="Q2252" s="1290"/>
      <c r="R2252" s="1290"/>
      <c r="S2252" s="1290"/>
      <c r="T2252" s="1290"/>
      <c r="U2252" s="1290"/>
      <c r="V2252" s="1290"/>
      <c r="W2252" s="1290"/>
      <c r="X2252" s="1290"/>
      <c r="Y2252" s="1290"/>
    </row>
    <row r="2253" spans="1:25" ht="15.75" customHeight="1">
      <c r="B2253" s="1339" t="str">
        <f>'Ввод данных'!B633</f>
        <v>м.п.</v>
      </c>
      <c r="C2253" s="1055">
        <f>'Ввод данных'!C633</f>
        <v>0.2</v>
      </c>
      <c r="D2253" s="1055">
        <f>'Ввод данных'!D633</f>
        <v>0.4</v>
      </c>
      <c r="E2253" s="1290"/>
      <c r="F2253" s="1290"/>
      <c r="G2253" s="1290"/>
      <c r="H2253" s="1290"/>
      <c r="I2253" s="1973"/>
      <c r="J2253" s="1290"/>
      <c r="K2253" s="1290"/>
      <c r="L2253" s="1290"/>
      <c r="M2253" s="1290"/>
      <c r="N2253" s="1290"/>
      <c r="O2253" s="1290"/>
      <c r="P2253" s="1290"/>
      <c r="Q2253" s="1290"/>
      <c r="R2253" s="1290"/>
      <c r="S2253" s="1290"/>
      <c r="T2253" s="1290"/>
      <c r="U2253" s="1290"/>
      <c r="V2253" s="1290"/>
      <c r="W2253" s="1290"/>
      <c r="X2253" s="1290"/>
      <c r="Y2253" s="1290"/>
    </row>
    <row r="2254" spans="1:25" ht="15.75" customHeight="1">
      <c r="A2254" s="1290"/>
      <c r="B2254" s="1600"/>
      <c r="C2254" s="1055" t="s">
        <v>3856</v>
      </c>
      <c r="E2254" s="1055" t="s">
        <v>3429</v>
      </c>
      <c r="G2254" s="1055" t="s">
        <v>3841</v>
      </c>
      <c r="H2254" s="1262"/>
      <c r="I2254" s="1973"/>
      <c r="J2254" s="1290"/>
      <c r="K2254" s="1290"/>
      <c r="L2254" s="1290"/>
      <c r="M2254" s="1290"/>
      <c r="N2254" s="1290"/>
      <c r="O2254" s="1290"/>
      <c r="P2254" s="1290"/>
      <c r="Q2254" s="1290"/>
      <c r="R2254" s="1290"/>
      <c r="S2254" s="1290"/>
      <c r="T2254" s="1290"/>
      <c r="U2254" s="1290"/>
      <c r="V2254" s="1290"/>
      <c r="W2254" s="1290"/>
      <c r="X2254" s="1290"/>
      <c r="Y2254" s="1290"/>
    </row>
    <row r="2255" spans="1:25" ht="15.75" customHeight="1">
      <c r="A2255" s="1197" t="str">
        <f>A2100</f>
        <v>выбор</v>
      </c>
      <c r="B2255" s="1339"/>
      <c r="C2255" s="1055">
        <f>IF('Ввод данных'!A646=связи1!A107,1,0)</f>
        <v>0</v>
      </c>
      <c r="E2255" s="1055">
        <f>IF('Ввод данных'!A646=связи1!A106,1,0)</f>
        <v>1</v>
      </c>
      <c r="G2255" s="1055">
        <f>IF('Ввод данных'!A646=связи1!A108,1,0)</f>
        <v>0</v>
      </c>
      <c r="H2255" s="1262"/>
    </row>
    <row r="2256" spans="1:25" ht="15.75" customHeight="1">
      <c r="A2256" s="1197" t="str">
        <f>A2101</f>
        <v>высота 1 этажа</v>
      </c>
      <c r="B2256" s="1339" t="str">
        <f>D2101</f>
        <v>м.п.</v>
      </c>
      <c r="C2256" s="1055">
        <f>дома!C2247</f>
        <v>2.2999999999999998</v>
      </c>
      <c r="E2256" s="1055">
        <f>C2256</f>
        <v>2.2999999999999998</v>
      </c>
      <c r="G2256" s="1055">
        <f>C2256</f>
        <v>2.2999999999999998</v>
      </c>
      <c r="H2256" s="1262"/>
    </row>
    <row r="2257" spans="1:9" ht="15.75" customHeight="1">
      <c r="A2257" s="1197" t="str">
        <f>A2103</f>
        <v>высота от перекрытия 0 этажа до конька, Е</v>
      </c>
      <c r="B2257" s="1339" t="s">
        <v>156</v>
      </c>
      <c r="C2257" s="1055">
        <f>C2246</f>
        <v>3</v>
      </c>
      <c r="E2257" s="1055">
        <f>C2257</f>
        <v>3</v>
      </c>
      <c r="G2257" s="1055">
        <f>C2257</f>
        <v>3</v>
      </c>
      <c r="H2257" s="1262"/>
    </row>
    <row r="2258" spans="1:9" ht="15.75" customHeight="1">
      <c r="A2258" s="1197" t="str">
        <f>A2104</f>
        <v>длина дома В</v>
      </c>
      <c r="B2258" s="1339" t="str">
        <f>D2104</f>
        <v>м.п.</v>
      </c>
      <c r="C2258" s="1055">
        <f>C2244</f>
        <v>3</v>
      </c>
      <c r="E2258" s="1055">
        <f>C2258</f>
        <v>3</v>
      </c>
      <c r="G2258" s="1055">
        <f>C2258</f>
        <v>3</v>
      </c>
      <c r="H2258" s="1262"/>
    </row>
    <row r="2259" spans="1:9" ht="15.75" customHeight="1">
      <c r="A2259" s="1197" t="str">
        <f>A2105</f>
        <v>ширина дома</v>
      </c>
      <c r="B2259" s="1339" t="s">
        <v>156</v>
      </c>
      <c r="C2259" s="1055">
        <f>C2245</f>
        <v>1</v>
      </c>
      <c r="E2259" s="1055">
        <f>C2259</f>
        <v>1</v>
      </c>
      <c r="G2259" s="1055">
        <f>C2259</f>
        <v>1</v>
      </c>
      <c r="H2259" s="1262"/>
    </row>
    <row r="2260" spans="1:9" ht="15.75" customHeight="1">
      <c r="A2260" s="1197" t="s">
        <v>3857</v>
      </c>
      <c r="B2260" s="1339" t="str">
        <f>D2106</f>
        <v>м.п.</v>
      </c>
      <c r="C2260" s="1055">
        <f>SQRT(C2258/2*C2258/2+(C2257-C2256)*(C2257-C2256))+C2263</f>
        <v>2.055294535724685</v>
      </c>
      <c r="E2260" s="1055">
        <f>SQRT((E2257-E2256)*(E2257-E2256)+E2259*E2259)+E2263</f>
        <v>1.6206555615733702</v>
      </c>
      <c r="G2260" s="1055">
        <f>SQRT((G2257-G2256)*(G2257-G2256)+(G2258/2+G2263)*(G2258/2+G2263))</f>
        <v>2.0248456731316589</v>
      </c>
      <c r="H2260" s="1262"/>
    </row>
    <row r="2261" spans="1:9" ht="15.75" customHeight="1">
      <c r="A2261" s="1197" t="s">
        <v>3858</v>
      </c>
      <c r="B2261" s="1339" t="str">
        <f>D2107</f>
        <v>м.п.</v>
      </c>
      <c r="C2261" s="1055"/>
      <c r="E2261" s="1055"/>
      <c r="G2261" s="1055">
        <f>SQRT((G2259+G2263-C2250)*(G2259+G2263-C2250)+(G2257-G2256)*(G2257-G2256))</f>
        <v>0.80622577482985502</v>
      </c>
      <c r="H2261" s="1262"/>
    </row>
    <row r="2262" spans="1:9" ht="15.75" customHeight="1">
      <c r="A2262" s="1197" t="s">
        <v>3859</v>
      </c>
      <c r="B2262" s="1339" t="str">
        <f>D2108</f>
        <v>м.п.</v>
      </c>
      <c r="C2262" s="1055"/>
      <c r="E2262" s="1055"/>
      <c r="G2262" s="1055">
        <f>SQRT(G2261*G2261+(G2258+G2263)/2*(G2258+G2263)/2)</f>
        <v>1.8814887722226779</v>
      </c>
      <c r="H2262" s="1262"/>
    </row>
    <row r="2263" spans="1:9" ht="15.75" customHeight="1">
      <c r="A2263" s="1197" t="str">
        <f>A2107</f>
        <v>Выпуск кровли карниз, J</v>
      </c>
      <c r="B2263" s="1339" t="str">
        <f>D2107</f>
        <v>м.п.</v>
      </c>
      <c r="C2263" s="1055">
        <f>C2248</f>
        <v>0.4</v>
      </c>
      <c r="E2263" s="1055">
        <f>C2263</f>
        <v>0.4</v>
      </c>
      <c r="G2263" s="1055">
        <f>E2263</f>
        <v>0.4</v>
      </c>
      <c r="H2263" s="1262"/>
    </row>
    <row r="2264" spans="1:9" ht="15.75" customHeight="1">
      <c r="A2264" s="1197" t="str">
        <f>A2108</f>
        <v>Выпуск кровли фронтон, M</v>
      </c>
      <c r="B2264" s="1339" t="str">
        <f>D2108</f>
        <v>м.п.</v>
      </c>
      <c r="C2264" s="1055">
        <f>C2249</f>
        <v>0.4</v>
      </c>
      <c r="E2264" s="1055">
        <f>C2264</f>
        <v>0.4</v>
      </c>
      <c r="G2264" s="1055">
        <f>E2264</f>
        <v>0.4</v>
      </c>
      <c r="H2264" s="1262"/>
    </row>
    <row r="2265" spans="1:9" ht="15.75" customHeight="1">
      <c r="A2265" s="1197" t="str">
        <f>A2110</f>
        <v>Длина конька с выпускам, O</v>
      </c>
      <c r="B2265" s="1339" t="str">
        <f>D2110</f>
        <v>м.п.</v>
      </c>
      <c r="C2265" s="1055">
        <f>C2259+C2264</f>
        <v>1.4</v>
      </c>
      <c r="E2265" s="1055"/>
      <c r="G2265" s="1055">
        <f>C2250*1.1</f>
        <v>1.1000000000000001</v>
      </c>
      <c r="H2265" s="1262"/>
    </row>
    <row r="2266" spans="1:9" ht="15.75" customHeight="1">
      <c r="A2266" s="1197" t="s">
        <v>2717</v>
      </c>
      <c r="B2266" s="1339" t="str">
        <f>D2111</f>
        <v>м2</v>
      </c>
      <c r="C2266" s="1055">
        <f>(C2260+C2260)*1.1</f>
        <v>4.5216479785943076</v>
      </c>
      <c r="E2266" s="1055">
        <f>(E2258+E2264+E2264)*1.1</f>
        <v>4.18</v>
      </c>
      <c r="G2266" s="1055">
        <f>G2260*2*1.1</f>
        <v>4.4546604808896495</v>
      </c>
      <c r="H2266" s="1262"/>
    </row>
    <row r="2267" spans="1:9" ht="15.75" customHeight="1">
      <c r="A2267" s="2103" t="str">
        <f>A2113</f>
        <v>S кровли с выпусками</v>
      </c>
      <c r="B2267" s="1525" t="str">
        <f>D2113</f>
        <v>м2</v>
      </c>
      <c r="C2267" s="1477">
        <f>C2260*2*C2265*C2255</f>
        <v>0</v>
      </c>
      <c r="D2267" s="2103"/>
      <c r="E2267" s="1477">
        <f>(E2258+E2264+E2264)*E2260*E2255</f>
        <v>6.1584911339788064</v>
      </c>
      <c r="F2267" s="2103"/>
      <c r="G2267" s="1477">
        <f>(((G2258/2)+G2263)*G2261+G2260*C2250*2+G2260*(G2259+G2264-C2250))*G2255</f>
        <v>0</v>
      </c>
      <c r="H2267" s="2104"/>
      <c r="I2267" s="2105">
        <f t="shared" ref="I2267:I2277" si="244">G2267+E2267+C2267</f>
        <v>6.1584911339788064</v>
      </c>
    </row>
    <row r="2268" spans="1:9" ht="15.75" customHeight="1">
      <c r="A2268" s="2103" t="s">
        <v>3860</v>
      </c>
      <c r="B2268" s="1525" t="str">
        <f>D2114</f>
        <v>м2</v>
      </c>
      <c r="C2268" s="1477">
        <f>C2267*1.2*C2255</f>
        <v>0</v>
      </c>
      <c r="D2268" s="2103"/>
      <c r="E2268" s="1477">
        <f>E2267*1.2</f>
        <v>7.390189360774567</v>
      </c>
      <c r="F2268" s="2103"/>
      <c r="G2268" s="1477">
        <f>G2267*1.45*G2255</f>
        <v>0</v>
      </c>
      <c r="H2268" s="2104"/>
      <c r="I2268" s="2105">
        <f t="shared" si="244"/>
        <v>7.390189360774567</v>
      </c>
    </row>
    <row r="2269" spans="1:9" ht="15.75" customHeight="1">
      <c r="A2269" s="2103" t="s">
        <v>3861</v>
      </c>
      <c r="B2269" s="1525" t="s">
        <v>133</v>
      </c>
      <c r="C2269" s="1477">
        <f>C2267*1.1*C2255</f>
        <v>0</v>
      </c>
      <c r="D2269" s="2103"/>
      <c r="E2269" s="1477">
        <f>E2267*1.1</f>
        <v>6.7743402473766876</v>
      </c>
      <c r="F2269" s="2103"/>
      <c r="G2269" s="1477">
        <f>G2267*1.1*G2255</f>
        <v>0</v>
      </c>
      <c r="H2269" s="2104"/>
      <c r="I2269" s="2105">
        <f t="shared" si="244"/>
        <v>6.7743402473766876</v>
      </c>
    </row>
    <row r="2270" spans="1:9" ht="15.75" customHeight="1">
      <c r="A2270" s="2103" t="s">
        <v>1059</v>
      </c>
      <c r="B2270" s="1525"/>
      <c r="C2270" s="1477">
        <f>(C2259+C2264)*2*1.1*C2255</f>
        <v>0</v>
      </c>
      <c r="D2270" s="2103"/>
      <c r="E2270" s="1477">
        <f>(E2258+E2264+E2264)*1.1*E2255</f>
        <v>4.18</v>
      </c>
      <c r="F2270" s="2103"/>
      <c r="G2270" s="1477">
        <f>(G2258+G2263+G2263+G2259+G2259+G2264+G2264)*G2255</f>
        <v>0</v>
      </c>
      <c r="H2270" s="2104"/>
      <c r="I2270" s="2105">
        <f t="shared" si="244"/>
        <v>4.18</v>
      </c>
    </row>
    <row r="2271" spans="1:9" ht="15.75" customHeight="1">
      <c r="A2271" s="2103" t="s">
        <v>1060</v>
      </c>
      <c r="B2271" s="1525"/>
      <c r="C2271" s="1477">
        <f>C2260*2*1.1*C2255</f>
        <v>0</v>
      </c>
      <c r="D2271" s="2103"/>
      <c r="E2271" s="1477">
        <f>E2260*2*1.1*E2255</f>
        <v>3.5654422354614148</v>
      </c>
      <c r="F2271" s="2103"/>
      <c r="G2271" s="1477"/>
      <c r="H2271" s="2104"/>
      <c r="I2271" s="2105">
        <f t="shared" si="244"/>
        <v>3.5654422354614148</v>
      </c>
    </row>
    <row r="2272" spans="1:9" ht="15.75" customHeight="1">
      <c r="A2272" s="2103" t="s">
        <v>3862</v>
      </c>
      <c r="B2272" s="1525"/>
      <c r="C2272" s="1477">
        <f>C2270*C2255</f>
        <v>0</v>
      </c>
      <c r="D2272" s="2103"/>
      <c r="E2272" s="1477">
        <f>E2270</f>
        <v>4.18</v>
      </c>
      <c r="F2272" s="2103"/>
      <c r="G2272" s="1477">
        <f>G2270</f>
        <v>0</v>
      </c>
      <c r="H2272" s="2104"/>
      <c r="I2272" s="2105">
        <f t="shared" si="244"/>
        <v>4.18</v>
      </c>
    </row>
    <row r="2273" spans="1:13" ht="15.75" customHeight="1">
      <c r="A2273" s="2103" t="s">
        <v>3863</v>
      </c>
      <c r="B2273" s="1525"/>
      <c r="C2273" s="1477">
        <f>C2247*C2255</f>
        <v>0</v>
      </c>
      <c r="D2273" s="2103"/>
      <c r="E2273" s="1477">
        <f>C2273*E2255</f>
        <v>0</v>
      </c>
      <c r="F2273" s="2103"/>
      <c r="G2273" s="1477">
        <f>C2273*G2255</f>
        <v>0</v>
      </c>
      <c r="H2273" s="2104"/>
      <c r="I2273" s="2105">
        <f t="shared" si="244"/>
        <v>0</v>
      </c>
    </row>
    <row r="2274" spans="1:13" ht="15.75" customHeight="1">
      <c r="A2274" s="2103" t="s">
        <v>2717</v>
      </c>
      <c r="B2274" s="2106"/>
      <c r="C2274" s="2103">
        <f>C2260*2*1.1*C2255</f>
        <v>0</v>
      </c>
      <c r="D2274" s="2103"/>
      <c r="E2274" s="2103">
        <f>E2270</f>
        <v>4.18</v>
      </c>
      <c r="F2274" s="2103"/>
      <c r="G2274" s="2103">
        <f>G2260*1.1*G2255</f>
        <v>0</v>
      </c>
      <c r="H2274" s="2103"/>
      <c r="I2274" s="2105">
        <f t="shared" si="244"/>
        <v>4.18</v>
      </c>
    </row>
    <row r="2275" spans="1:13" ht="15.75" customHeight="1">
      <c r="A2275" s="2103" t="s">
        <v>3864</v>
      </c>
      <c r="B2275" s="2106"/>
      <c r="C2275" s="2103">
        <f>C2274*C2255</f>
        <v>0</v>
      </c>
      <c r="D2275" s="2103"/>
      <c r="E2275" s="2103">
        <f>E2270</f>
        <v>4.18</v>
      </c>
      <c r="F2275" s="2103"/>
      <c r="G2275" s="2103">
        <f>G2274</f>
        <v>0</v>
      </c>
      <c r="H2275" s="2103"/>
      <c r="I2275" s="2105">
        <f t="shared" si="244"/>
        <v>4.18</v>
      </c>
    </row>
    <row r="2276" spans="1:13" ht="15.75" customHeight="1">
      <c r="A2276" s="2103" t="s">
        <v>1546</v>
      </c>
      <c r="B2276" s="2106"/>
      <c r="C2276" s="2103">
        <f>C2265*C2255</f>
        <v>0</v>
      </c>
      <c r="D2276" s="2103"/>
      <c r="E2276" s="2103"/>
      <c r="F2276" s="2103"/>
      <c r="G2276" s="2103">
        <f>(C2250+G2262*2)*G2255</f>
        <v>0</v>
      </c>
      <c r="H2276" s="2103"/>
      <c r="I2276" s="2105">
        <f t="shared" si="244"/>
        <v>0</v>
      </c>
    </row>
    <row r="2277" spans="1:13" ht="15.75" customHeight="1">
      <c r="A2277" s="2103" t="s">
        <v>3865</v>
      </c>
      <c r="B2277" s="2106"/>
      <c r="C2277" s="2103">
        <f>((C2276/0.6+1)*C2260*2+C2260+C2260+C2259+C2259+C2264+C2264)*C2255</f>
        <v>0</v>
      </c>
      <c r="D2277" s="2103"/>
      <c r="E2277" s="2103">
        <f>(((E2258+E2264+E2264)/0.6+2)*E2260+(E2258+E2264+E2264)*2)*E2255</f>
        <v>21.105463013111418</v>
      </c>
      <c r="F2277" s="2103"/>
      <c r="G2277" s="2103">
        <f>(((G2259+G2264)/0.6+1)*G2260+C2250+G2258+G2259+G2259+G2264+G2264+G2263+G2263+(G2259/0.6+1)*G2261++G2260*4)*G2255</f>
        <v>0</v>
      </c>
      <c r="H2277" s="2103"/>
      <c r="I2277" s="2105">
        <f t="shared" si="244"/>
        <v>21.105463013111418</v>
      </c>
    </row>
    <row r="2278" spans="1:13" ht="15.75" customHeight="1">
      <c r="A2278" s="1055" t="str">
        <f>'Ввод данных'!A650</f>
        <v>Доска сухая, 150*50мм</v>
      </c>
      <c r="B2278" s="1339" t="s">
        <v>135</v>
      </c>
      <c r="C2278" s="1055">
        <f>I2277*VLOOKUP(A2278,связи1!A407:E416,5,0)</f>
        <v>0.15829097259833563</v>
      </c>
      <c r="D2278" s="1055">
        <f>VLOOKUP(A2278,связи1!A407:E416,2,0)</f>
        <v>9000</v>
      </c>
      <c r="E2278" s="1055">
        <f t="shared" ref="E2278:E2317" si="245">C2278*D2278*$E$2318*$E$2319</f>
        <v>0</v>
      </c>
      <c r="G2278" s="1055" t="str">
        <f t="shared" ref="G2278:G2290" si="246">G2136</f>
        <v>монтаж стропил</v>
      </c>
      <c r="H2278" s="1055"/>
      <c r="I2278" s="1055"/>
      <c r="J2278" s="1055" t="str">
        <f t="shared" ref="J2278:J2290" si="247">J2136</f>
        <v>м2</v>
      </c>
      <c r="K2278" s="1055">
        <f>I2267*IF(A2278=связи1!A407,0,1)</f>
        <v>6.1584911339788064</v>
      </c>
      <c r="L2278" s="1055">
        <f t="shared" ref="L2278:L2290" si="248">L2136</f>
        <v>450</v>
      </c>
      <c r="M2278" s="1055">
        <f t="shared" ref="M2278:M2291" si="249">K2278*L2278*$M$2318*$E$2319</f>
        <v>0</v>
      </c>
    </row>
    <row r="2279" spans="1:13" ht="15.75" customHeight="1">
      <c r="A2279" s="1055" t="str">
        <f>'Ввод данных'!A652</f>
        <v>Сосна влаж,100*25мм</v>
      </c>
      <c r="B2279" s="1339" t="s">
        <v>135</v>
      </c>
      <c r="C2279" s="1055">
        <f>I2267*3*VLOOKUP(A2279,связи1!A432:F440,5,0)</f>
        <v>4.6188683504841059E-2</v>
      </c>
      <c r="D2279" s="1055">
        <f>VLOOKUP(A2279,связи1!A432:F440,6,0)</f>
        <v>6500</v>
      </c>
      <c r="E2279" s="1055">
        <f t="shared" si="245"/>
        <v>0</v>
      </c>
      <c r="G2279" s="1055" t="str">
        <f t="shared" si="246"/>
        <v>обрешетка</v>
      </c>
      <c r="H2279" s="1055"/>
      <c r="I2279" s="1055"/>
      <c r="J2279" s="1055" t="str">
        <f t="shared" si="247"/>
        <v>м2</v>
      </c>
      <c r="K2279" s="1055">
        <f>K2278*IF(A2279=связи1!A432,0,1)</f>
        <v>6.1584911339788064</v>
      </c>
      <c r="L2279" s="1055">
        <f t="shared" si="248"/>
        <v>100</v>
      </c>
      <c r="M2279" s="1055">
        <f t="shared" si="249"/>
        <v>0</v>
      </c>
    </row>
    <row r="2280" spans="1:13" ht="15.75" customHeight="1">
      <c r="A2280" s="1055" t="str">
        <f>'Ввод данных'!A654</f>
        <v>нет</v>
      </c>
      <c r="B2280" s="1339" t="s">
        <v>133</v>
      </c>
      <c r="C2280" s="1055">
        <f>I2267*3*VLOOKUP(A2280,связи1!A418:E421,5,0)</f>
        <v>0</v>
      </c>
      <c r="D2280" s="1055">
        <f>VLOOKUP(A2280,связи1!A418:D421,2,0)</f>
        <v>0</v>
      </c>
      <c r="E2280" s="1055">
        <f t="shared" si="245"/>
        <v>0</v>
      </c>
      <c r="G2280" s="1055" t="str">
        <f t="shared" si="246"/>
        <v>контробеш</v>
      </c>
      <c r="H2280" s="1055"/>
      <c r="I2280" s="1055"/>
      <c r="J2280" s="1055" t="str">
        <f t="shared" si="247"/>
        <v>м2</v>
      </c>
      <c r="K2280" s="1055">
        <f>K2278*IF(A2280=связи1!A418,0,1)</f>
        <v>0</v>
      </c>
      <c r="L2280" s="1055">
        <f t="shared" si="248"/>
        <v>100</v>
      </c>
      <c r="M2280" s="1055">
        <f t="shared" si="249"/>
        <v>0</v>
      </c>
    </row>
    <row r="2281" spans="1:13" ht="15.75" customHeight="1">
      <c r="A2281" s="1055" t="str">
        <f>'Ввод данных'!A656</f>
        <v>нет</v>
      </c>
      <c r="B2281" s="1339" t="s">
        <v>133</v>
      </c>
      <c r="C2281" s="1055">
        <f>I2267*1.2</f>
        <v>7.390189360774567</v>
      </c>
      <c r="D2281" s="1055">
        <f>VLOOKUP(A2281,'Прайс лист'!B1027:G1078,6,0)</f>
        <v>0</v>
      </c>
      <c r="E2281" s="1055">
        <f t="shared" si="245"/>
        <v>0</v>
      </c>
      <c r="F2281" s="1197" t="s">
        <v>3866</v>
      </c>
      <c r="G2281" s="1055" t="str">
        <f t="shared" si="246"/>
        <v>мембрана</v>
      </c>
      <c r="H2281" s="1055"/>
      <c r="I2281" s="1055"/>
      <c r="J2281" s="1055" t="str">
        <f t="shared" si="247"/>
        <v>м2</v>
      </c>
      <c r="K2281" s="1055">
        <f>K2278*IF(A2282='Прайс лист'!B793,0,1)</f>
        <v>6.1584911339788064</v>
      </c>
      <c r="L2281" s="1055">
        <f t="shared" si="248"/>
        <v>100</v>
      </c>
      <c r="M2281" s="1055">
        <f t="shared" si="249"/>
        <v>0</v>
      </c>
    </row>
    <row r="2282" spans="1:13" ht="15.75" customHeight="1">
      <c r="A2282" s="1055" t="str">
        <f>'Ввод данных'!A658</f>
        <v>Мембраны Tyvek Solid</v>
      </c>
      <c r="B2282" s="1339" t="s">
        <v>133</v>
      </c>
      <c r="C2282" s="1055">
        <f>I2267*1.2</f>
        <v>7.390189360774567</v>
      </c>
      <c r="D2282" s="1055">
        <f>VLOOKUP(A2282,'Прайс лист'!B793:G819,6,0)</f>
        <v>99</v>
      </c>
      <c r="E2282" s="1055">
        <f t="shared" si="245"/>
        <v>0</v>
      </c>
      <c r="F2282" s="1197">
        <f>IF('Ввод данных'!A648=связи1!A6,1,0)</f>
        <v>1</v>
      </c>
      <c r="G2282" s="1055" t="str">
        <f t="shared" si="246"/>
        <v>Монтаж металлочерепицы</v>
      </c>
      <c r="H2282" s="1055"/>
      <c r="I2282" s="1055"/>
      <c r="J2282" s="1055" t="str">
        <f t="shared" si="247"/>
        <v>м2</v>
      </c>
      <c r="K2282" s="1055">
        <f>K2278*F2282</f>
        <v>6.1584911339788064</v>
      </c>
      <c r="L2282" s="1055">
        <f t="shared" si="248"/>
        <v>300</v>
      </c>
      <c r="M2282" s="1055">
        <f t="shared" si="249"/>
        <v>0</v>
      </c>
    </row>
    <row r="2283" spans="1:13" ht="15.75" customHeight="1">
      <c r="A2283" s="1055" t="str">
        <f t="shared" ref="A2283:B2294" si="250">A2140</f>
        <v>металлочерепица</v>
      </c>
      <c r="B2283" s="1339" t="str">
        <f t="shared" si="250"/>
        <v>м2</v>
      </c>
      <c r="C2283" s="1055">
        <f>I2268*F2282</f>
        <v>7.390189360774567</v>
      </c>
      <c r="D2283" s="1055">
        <f t="shared" ref="D2283:D2294" si="251">D2140</f>
        <v>250</v>
      </c>
      <c r="E2283" s="1055">
        <f t="shared" si="245"/>
        <v>0</v>
      </c>
      <c r="F2283" s="1197" t="s">
        <v>3867</v>
      </c>
      <c r="G2283" s="1055" t="str">
        <f t="shared" si="246"/>
        <v>карнизная планка</v>
      </c>
      <c r="H2283" s="1055"/>
      <c r="I2283" s="1055"/>
      <c r="J2283" s="1055" t="str">
        <f t="shared" si="247"/>
        <v>м2</v>
      </c>
      <c r="K2283" s="1055">
        <f>I2270</f>
        <v>4.18</v>
      </c>
      <c r="L2283" s="1055">
        <f t="shared" si="248"/>
        <v>100</v>
      </c>
      <c r="M2283" s="1055">
        <f t="shared" si="249"/>
        <v>0</v>
      </c>
    </row>
    <row r="2284" spans="1:13" ht="15.75" customHeight="1">
      <c r="A2284" s="1055" t="str">
        <f t="shared" si="250"/>
        <v>карнизная планка</v>
      </c>
      <c r="B2284" s="1339" t="str">
        <f t="shared" si="250"/>
        <v>м.п.</v>
      </c>
      <c r="C2284" s="1055">
        <f>I2270*(F2286+F2282)</f>
        <v>4.18</v>
      </c>
      <c r="D2284" s="1055">
        <f t="shared" si="251"/>
        <v>200</v>
      </c>
      <c r="E2284" s="1055">
        <f t="shared" si="245"/>
        <v>0</v>
      </c>
      <c r="F2284" s="1197">
        <f>IF('Ввод данных'!A648=связи1!A7,1,0)</f>
        <v>0</v>
      </c>
      <c r="G2284" s="1055" t="str">
        <f t="shared" si="246"/>
        <v>торцевая планка</v>
      </c>
      <c r="H2284" s="1055"/>
      <c r="I2284" s="1055"/>
      <c r="J2284" s="1055" t="str">
        <f t="shared" si="247"/>
        <v>м2</v>
      </c>
      <c r="K2284" s="1055">
        <f>I2271</f>
        <v>3.5654422354614148</v>
      </c>
      <c r="L2284" s="1055">
        <f t="shared" si="248"/>
        <v>100</v>
      </c>
      <c r="M2284" s="1055">
        <f t="shared" si="249"/>
        <v>0</v>
      </c>
    </row>
    <row r="2285" spans="1:13" ht="15.75" customHeight="1">
      <c r="A2285" s="1055" t="str">
        <f t="shared" si="250"/>
        <v>торцевая планка</v>
      </c>
      <c r="B2285" s="1339" t="str">
        <f t="shared" si="250"/>
        <v>м.п.</v>
      </c>
      <c r="C2285" s="1055">
        <f>I2271*(F2282+F2286)</f>
        <v>3.5654422354614148</v>
      </c>
      <c r="D2285" s="1055">
        <f t="shared" si="251"/>
        <v>200</v>
      </c>
      <c r="E2285" s="1055">
        <f t="shared" si="245"/>
        <v>0</v>
      </c>
      <c r="F2285" s="1197" t="s">
        <v>3868</v>
      </c>
      <c r="G2285" s="1055" t="str">
        <f t="shared" si="246"/>
        <v>желоб водосточный</v>
      </c>
      <c r="H2285" s="1055"/>
      <c r="I2285" s="1055"/>
      <c r="J2285" s="1055" t="str">
        <f t="shared" si="247"/>
        <v>м.п.</v>
      </c>
      <c r="K2285" s="1055">
        <f>I2272</f>
        <v>4.18</v>
      </c>
      <c r="L2285" s="1055">
        <f t="shared" si="248"/>
        <v>300</v>
      </c>
      <c r="M2285" s="1055">
        <f t="shared" si="249"/>
        <v>0</v>
      </c>
    </row>
    <row r="2286" spans="1:13" ht="15.75" customHeight="1">
      <c r="A2286" s="1055" t="str">
        <f t="shared" si="250"/>
        <v>конек</v>
      </c>
      <c r="B2286" s="1339" t="str">
        <f t="shared" si="250"/>
        <v>м.п.</v>
      </c>
      <c r="C2286" s="1055">
        <f>I2276*F2282</f>
        <v>0</v>
      </c>
      <c r="D2286" s="1055">
        <f t="shared" si="251"/>
        <v>230</v>
      </c>
      <c r="E2286" s="1055">
        <f t="shared" si="245"/>
        <v>0</v>
      </c>
      <c r="F2286" s="1197">
        <f>IF('Ввод данных'!A648=связи1!A8,1,0)</f>
        <v>0</v>
      </c>
      <c r="G2286" s="1055" t="str">
        <f t="shared" si="246"/>
        <v>труба водосточная</v>
      </c>
      <c r="H2286" s="1055"/>
      <c r="I2286" s="1055"/>
      <c r="J2286" s="1055" t="str">
        <f t="shared" si="247"/>
        <v>м.п.</v>
      </c>
      <c r="K2286" s="1055">
        <f>I2273</f>
        <v>0</v>
      </c>
      <c r="L2286" s="1055">
        <f t="shared" si="248"/>
        <v>300</v>
      </c>
      <c r="M2286" s="1055">
        <f t="shared" si="249"/>
        <v>0</v>
      </c>
    </row>
    <row r="2287" spans="1:13" ht="15.75" customHeight="1">
      <c r="A2287" s="1055" t="str">
        <f t="shared" si="250"/>
        <v>ондулин</v>
      </c>
      <c r="B2287" s="1339" t="str">
        <f t="shared" si="250"/>
        <v>м2</v>
      </c>
      <c r="C2287" s="1055">
        <f>I2268*F2284</f>
        <v>0</v>
      </c>
      <c r="D2287" s="1055">
        <f t="shared" si="251"/>
        <v>180</v>
      </c>
      <c r="E2287" s="1055">
        <f t="shared" si="245"/>
        <v>0</v>
      </c>
      <c r="G2287" s="1055" t="str">
        <f t="shared" si="246"/>
        <v>Монтаж ондулина</v>
      </c>
      <c r="H2287" s="1055"/>
      <c r="I2287" s="1055"/>
      <c r="J2287" s="1055" t="str">
        <f t="shared" si="247"/>
        <v>м2</v>
      </c>
      <c r="K2287" s="1055">
        <f>I2267*F2284</f>
        <v>0</v>
      </c>
      <c r="L2287" s="1055">
        <f t="shared" si="248"/>
        <v>300</v>
      </c>
      <c r="M2287" s="1055">
        <f t="shared" si="249"/>
        <v>0</v>
      </c>
    </row>
    <row r="2288" spans="1:13" ht="15.75" customHeight="1">
      <c r="A2288" s="1055" t="str">
        <f t="shared" si="250"/>
        <v>Карнизная планка</v>
      </c>
      <c r="B2288" s="1339" t="str">
        <f t="shared" si="250"/>
        <v>м.п.</v>
      </c>
      <c r="C2288" s="1055">
        <f>I2270*F2284</f>
        <v>0</v>
      </c>
      <c r="D2288" s="1055">
        <f t="shared" si="251"/>
        <v>190</v>
      </c>
      <c r="E2288" s="1055">
        <f t="shared" si="245"/>
        <v>0</v>
      </c>
      <c r="G2288" s="1055" t="str">
        <f t="shared" si="246"/>
        <v>Монтаж фанеры/osb</v>
      </c>
      <c r="H2288" s="1055"/>
      <c r="I2288" s="1055"/>
      <c r="J2288" s="1055" t="str">
        <f t="shared" si="247"/>
        <v>м2</v>
      </c>
      <c r="K2288" s="1055">
        <f>I2267*IF('Ввод данных'!A656='Прайс лист'!B978,0,1)</f>
        <v>0</v>
      </c>
      <c r="L2288" s="1055">
        <f t="shared" si="248"/>
        <v>200</v>
      </c>
      <c r="M2288" s="1055">
        <f t="shared" si="249"/>
        <v>0</v>
      </c>
    </row>
    <row r="2289" spans="1:13" ht="15.75" customHeight="1">
      <c r="A2289" s="1055" t="str">
        <f t="shared" si="250"/>
        <v>Торцевая планка</v>
      </c>
      <c r="B2289" s="1339" t="str">
        <f t="shared" si="250"/>
        <v>м.п.</v>
      </c>
      <c r="C2289" s="1055">
        <f>I2271*F2284</f>
        <v>0</v>
      </c>
      <c r="D2289" s="1055">
        <f t="shared" si="251"/>
        <v>190</v>
      </c>
      <c r="E2289" s="1055">
        <f t="shared" si="245"/>
        <v>0</v>
      </c>
      <c r="G2289" s="1055" t="str">
        <f t="shared" si="246"/>
        <v>монтаж подкладочного ковра</v>
      </c>
      <c r="H2289" s="1055"/>
      <c r="I2289" s="1055"/>
      <c r="J2289" s="1055" t="str">
        <f t="shared" si="247"/>
        <v>м2</v>
      </c>
      <c r="K2289" s="1055">
        <f>I2267*F2286</f>
        <v>0</v>
      </c>
      <c r="L2289" s="1055">
        <f t="shared" si="248"/>
        <v>150</v>
      </c>
      <c r="M2289" s="1055">
        <f t="shared" si="249"/>
        <v>0</v>
      </c>
    </row>
    <row r="2290" spans="1:13" ht="15.75" customHeight="1">
      <c r="A2290" s="1055" t="str">
        <f t="shared" si="250"/>
        <v>Конек</v>
      </c>
      <c r="B2290" s="1339" t="str">
        <f t="shared" si="250"/>
        <v>м.п.</v>
      </c>
      <c r="C2290" s="1055">
        <f>I2276*F2284</f>
        <v>0</v>
      </c>
      <c r="D2290" s="1055">
        <f t="shared" si="251"/>
        <v>200</v>
      </c>
      <c r="E2290" s="1055">
        <f t="shared" si="245"/>
        <v>0</v>
      </c>
      <c r="G2290" s="1055" t="str">
        <f t="shared" si="246"/>
        <v>Монтаж мягкой кровли</v>
      </c>
      <c r="H2290" s="1055"/>
      <c r="I2290" s="1055"/>
      <c r="J2290" s="1055" t="str">
        <f t="shared" si="247"/>
        <v>м2</v>
      </c>
      <c r="K2290" s="1055">
        <f>I2267*F2286</f>
        <v>0</v>
      </c>
      <c r="L2290" s="1055">
        <f t="shared" si="248"/>
        <v>350</v>
      </c>
      <c r="M2290" s="1055">
        <f t="shared" si="249"/>
        <v>0</v>
      </c>
    </row>
    <row r="2291" spans="1:13" ht="15.75" customHeight="1">
      <c r="A2291" s="1055" t="str">
        <f t="shared" si="250"/>
        <v>Ендова нижняя</v>
      </c>
      <c r="B2291" s="1339" t="str">
        <f t="shared" si="250"/>
        <v>м.п.</v>
      </c>
      <c r="C2291" s="1055">
        <f>I2274*F2284</f>
        <v>0</v>
      </c>
      <c r="D2291" s="1055">
        <f t="shared" si="251"/>
        <v>160</v>
      </c>
      <c r="E2291" s="1055">
        <f t="shared" si="245"/>
        <v>0</v>
      </c>
      <c r="G2291" s="1055" t="s">
        <v>1550</v>
      </c>
      <c r="H2291" s="1055"/>
      <c r="I2291" s="1055"/>
      <c r="J2291" s="1055" t="s">
        <v>156</v>
      </c>
      <c r="K2291" s="1055">
        <f>I2275*F2286</f>
        <v>0</v>
      </c>
      <c r="L2291" s="1055">
        <f>'Прайс лист'!G1754</f>
        <v>200</v>
      </c>
      <c r="M2291" s="1055">
        <f t="shared" si="249"/>
        <v>0</v>
      </c>
    </row>
    <row r="2292" spans="1:13" s="1197" customFormat="1" ht="15.75" customHeight="1">
      <c r="A2292" s="1055" t="str">
        <f t="shared" si="250"/>
        <v>Ендова верхняя</v>
      </c>
      <c r="B2292" s="1339" t="str">
        <f t="shared" si="250"/>
        <v>м.п.</v>
      </c>
      <c r="C2292" s="1055">
        <f>0</f>
        <v>0</v>
      </c>
      <c r="D2292" s="1055">
        <f t="shared" si="251"/>
        <v>190</v>
      </c>
      <c r="E2292" s="1055">
        <f t="shared" si="245"/>
        <v>0</v>
      </c>
    </row>
    <row r="2293" spans="1:13" s="1197" customFormat="1" ht="15.75" customHeight="1">
      <c r="A2293" s="1055" t="str">
        <f t="shared" si="250"/>
        <v>Планка примыкания</v>
      </c>
      <c r="B2293" s="1339" t="str">
        <f t="shared" si="250"/>
        <v>м.п.</v>
      </c>
      <c r="C2293" s="1055">
        <f>I2275*F2284</f>
        <v>0</v>
      </c>
      <c r="D2293" s="1055">
        <f t="shared" si="251"/>
        <v>190</v>
      </c>
      <c r="E2293" s="1055">
        <f t="shared" si="245"/>
        <v>0</v>
      </c>
    </row>
    <row r="2294" spans="1:13" s="1197" customFormat="1" ht="15.75" customHeight="1">
      <c r="A2294" s="1055" t="str">
        <f t="shared" si="250"/>
        <v>Крепеж для ондулина</v>
      </c>
      <c r="B2294" s="1339" t="str">
        <f t="shared" si="250"/>
        <v>шт</v>
      </c>
      <c r="C2294" s="1055">
        <f>I2267*12*F2284</f>
        <v>0</v>
      </c>
      <c r="D2294" s="1055">
        <f t="shared" si="251"/>
        <v>4.5</v>
      </c>
      <c r="E2294" s="1055">
        <f t="shared" si="245"/>
        <v>0</v>
      </c>
    </row>
    <row r="2295" spans="1:13" ht="15.75" customHeight="1">
      <c r="A2295" s="1055" t="str">
        <f t="shared" ref="A2295:B2314" si="252">A2153</f>
        <v>Рядовая черепица</v>
      </c>
      <c r="B2295" s="1339" t="str">
        <f t="shared" si="252"/>
        <v>м2</v>
      </c>
      <c r="C2295" s="1055">
        <f>I2269*F2286</f>
        <v>0</v>
      </c>
      <c r="D2295" s="1055">
        <f t="shared" ref="D2295:D2314" si="253">D2153</f>
        <v>360</v>
      </c>
      <c r="E2295" s="1055">
        <f t="shared" si="245"/>
        <v>0</v>
      </c>
    </row>
    <row r="2296" spans="1:13" ht="15.75" customHeight="1">
      <c r="A2296" s="1055" t="str">
        <f t="shared" si="252"/>
        <v>Металл оцинк защита (карниз)</v>
      </c>
      <c r="B2296" s="1339" t="str">
        <f t="shared" si="252"/>
        <v>м.п.</v>
      </c>
      <c r="C2296" s="1055">
        <f>I2270*F2286</f>
        <v>0</v>
      </c>
      <c r="D2296" s="1055">
        <f t="shared" si="253"/>
        <v>200</v>
      </c>
      <c r="E2296" s="1055">
        <f t="shared" si="245"/>
        <v>0</v>
      </c>
    </row>
    <row r="2297" spans="1:13" ht="15.75" customHeight="1">
      <c r="A2297" s="1055" t="str">
        <f t="shared" si="252"/>
        <v>Подкладочный ковер</v>
      </c>
      <c r="B2297" s="1339" t="str">
        <f t="shared" si="252"/>
        <v>м.п.</v>
      </c>
      <c r="C2297" s="1055">
        <f>I2267*F2286</f>
        <v>0</v>
      </c>
      <c r="D2297" s="1055">
        <f t="shared" si="253"/>
        <v>220</v>
      </c>
      <c r="E2297" s="1055">
        <f t="shared" si="245"/>
        <v>0</v>
      </c>
    </row>
    <row r="2298" spans="1:13" ht="15.75" customHeight="1">
      <c r="A2298" s="1055" t="str">
        <f t="shared" si="252"/>
        <v>Карнизная самоклеющаяся черепица</v>
      </c>
      <c r="B2298" s="1339" t="str">
        <f t="shared" si="252"/>
        <v>м.п.</v>
      </c>
      <c r="C2298" s="1055">
        <f>I2270*0.2*F2286</f>
        <v>0</v>
      </c>
      <c r="D2298" s="1055">
        <f t="shared" si="253"/>
        <v>220</v>
      </c>
      <c r="E2298" s="1055">
        <f t="shared" si="245"/>
        <v>0</v>
      </c>
    </row>
    <row r="2299" spans="1:13" ht="15.75" customHeight="1">
      <c r="A2299" s="1055" t="str">
        <f t="shared" si="252"/>
        <v>Спец ковер ендова нижняя</v>
      </c>
      <c r="B2299" s="1339" t="str">
        <f t="shared" si="252"/>
        <v>м.п.</v>
      </c>
      <c r="C2299" s="1055">
        <f>I2274*F2286</f>
        <v>0</v>
      </c>
      <c r="D2299" s="1055">
        <f t="shared" si="253"/>
        <v>200</v>
      </c>
      <c r="E2299" s="1055">
        <f t="shared" si="245"/>
        <v>0</v>
      </c>
    </row>
    <row r="2300" spans="1:13" ht="15.75" customHeight="1">
      <c r="A2300" s="1055" t="str">
        <f t="shared" si="252"/>
        <v>Коньковой элемент</v>
      </c>
      <c r="B2300" s="1339" t="str">
        <f t="shared" si="252"/>
        <v>м.п.</v>
      </c>
      <c r="C2300" s="1055">
        <f>I2276*F2286</f>
        <v>0</v>
      </c>
      <c r="D2300" s="1055">
        <f t="shared" si="253"/>
        <v>250</v>
      </c>
      <c r="E2300" s="1055">
        <f t="shared" si="245"/>
        <v>0</v>
      </c>
    </row>
    <row r="2301" spans="1:13" ht="15.75" customHeight="1">
      <c r="A2301" s="1055" t="str">
        <f t="shared" si="252"/>
        <v>Планка премыкания</v>
      </c>
      <c r="B2301" s="1339" t="str">
        <f t="shared" si="252"/>
        <v>м.п.</v>
      </c>
      <c r="C2301" s="1055">
        <f>I2275*F2286</f>
        <v>0</v>
      </c>
      <c r="D2301" s="1055">
        <f t="shared" si="253"/>
        <v>200</v>
      </c>
      <c r="E2301" s="1055">
        <f t="shared" si="245"/>
        <v>0</v>
      </c>
    </row>
    <row r="2302" spans="1:13" ht="15.75" customHeight="1">
      <c r="A2302" s="1055" t="str">
        <f t="shared" si="252"/>
        <v>Гвозди для крепления подкладочного ковра</v>
      </c>
      <c r="B2302" s="1339" t="str">
        <f t="shared" si="252"/>
        <v>шт</v>
      </c>
      <c r="C2302" s="1055">
        <f>I2267*20*F2286</f>
        <v>0</v>
      </c>
      <c r="D2302" s="1055">
        <f t="shared" si="253"/>
        <v>1.2E-2</v>
      </c>
      <c r="E2302" s="1055">
        <f t="shared" si="245"/>
        <v>0</v>
      </c>
    </row>
    <row r="2303" spans="1:13" ht="15.75" customHeight="1">
      <c r="A2303" s="1055" t="str">
        <f t="shared" si="252"/>
        <v>Гвозди для крепления черепицы</v>
      </c>
      <c r="B2303" s="1339" t="str">
        <f t="shared" si="252"/>
        <v>шт</v>
      </c>
      <c r="C2303" s="1055">
        <f>I2267*F2286*25</f>
        <v>0</v>
      </c>
      <c r="D2303" s="1055">
        <f t="shared" si="253"/>
        <v>0.25</v>
      </c>
      <c r="E2303" s="1055">
        <f t="shared" si="245"/>
        <v>0</v>
      </c>
    </row>
    <row r="2304" spans="1:13" ht="15.75" customHeight="1">
      <c r="A2304" s="1055" t="str">
        <f t="shared" si="252"/>
        <v>Клей для монтажа черепицы</v>
      </c>
      <c r="B2304" s="1339" t="str">
        <f t="shared" si="252"/>
        <v>кг</v>
      </c>
      <c r="C2304" s="1055">
        <f>I2267*F2286</f>
        <v>0</v>
      </c>
      <c r="D2304" s="1055">
        <f t="shared" si="253"/>
        <v>250</v>
      </c>
      <c r="E2304" s="1055">
        <f t="shared" si="245"/>
        <v>0</v>
      </c>
    </row>
    <row r="2305" spans="1:13" ht="15.75" customHeight="1">
      <c r="A2305" s="1055" t="str">
        <f t="shared" si="252"/>
        <v>желоб</v>
      </c>
      <c r="B2305" s="1339" t="str">
        <f t="shared" si="252"/>
        <v>м.п</v>
      </c>
      <c r="C2305" s="1055">
        <f>I2272</f>
        <v>4.18</v>
      </c>
      <c r="D2305" s="1055">
        <f t="shared" si="253"/>
        <v>300</v>
      </c>
      <c r="E2305" s="1055">
        <f t="shared" si="245"/>
        <v>0</v>
      </c>
    </row>
    <row r="2306" spans="1:13" ht="15.75" customHeight="1">
      <c r="A2306" s="1055" t="str">
        <f t="shared" si="252"/>
        <v>отвод</v>
      </c>
      <c r="B2306" s="1339" t="str">
        <f t="shared" si="252"/>
        <v>шт</v>
      </c>
      <c r="C2306" s="1055">
        <f>2</f>
        <v>2</v>
      </c>
      <c r="D2306" s="1055">
        <f t="shared" si="253"/>
        <v>250</v>
      </c>
      <c r="E2306" s="1055">
        <f t="shared" si="245"/>
        <v>0</v>
      </c>
    </row>
    <row r="2307" spans="1:13" ht="15.75" customHeight="1">
      <c r="A2307" s="1055" t="str">
        <f t="shared" si="252"/>
        <v>труба водосточная</v>
      </c>
      <c r="B2307" s="1339" t="str">
        <f t="shared" si="252"/>
        <v>м.п.</v>
      </c>
      <c r="C2307" s="1055">
        <f>I2273</f>
        <v>0</v>
      </c>
      <c r="D2307" s="1055">
        <f t="shared" si="253"/>
        <v>300</v>
      </c>
      <c r="E2307" s="1055">
        <f t="shared" si="245"/>
        <v>0</v>
      </c>
    </row>
    <row r="2308" spans="1:13" ht="15.75" customHeight="1">
      <c r="A2308" s="1055" t="str">
        <f t="shared" si="252"/>
        <v>заглушка для желоба</v>
      </c>
      <c r="B2308" s="1339" t="str">
        <f t="shared" si="252"/>
        <v>шт</v>
      </c>
      <c r="C2308" s="1055">
        <f>2</f>
        <v>2</v>
      </c>
      <c r="D2308" s="1055">
        <f t="shared" si="253"/>
        <v>190</v>
      </c>
      <c r="E2308" s="1055">
        <f t="shared" si="245"/>
        <v>0</v>
      </c>
    </row>
    <row r="2309" spans="1:13" ht="15.75" customHeight="1">
      <c r="A2309" s="1055" t="str">
        <f t="shared" si="252"/>
        <v>соеденитель для желоба</v>
      </c>
      <c r="B2309" s="1339" t="str">
        <f t="shared" si="252"/>
        <v>шт</v>
      </c>
      <c r="C2309" s="1055">
        <f>2</f>
        <v>2</v>
      </c>
      <c r="D2309" s="1055">
        <f t="shared" si="253"/>
        <v>180</v>
      </c>
      <c r="E2309" s="1055">
        <f t="shared" si="245"/>
        <v>0</v>
      </c>
    </row>
    <row r="2310" spans="1:13" ht="15.75" customHeight="1">
      <c r="A2310" s="1055" t="str">
        <f t="shared" si="252"/>
        <v>кронштейн для желоба</v>
      </c>
      <c r="B2310" s="1339" t="str">
        <f t="shared" si="252"/>
        <v>шт</v>
      </c>
      <c r="C2310" s="1055">
        <f>I2272/0.4</f>
        <v>10.45</v>
      </c>
      <c r="D2310" s="1055">
        <f t="shared" si="253"/>
        <v>130</v>
      </c>
      <c r="E2310" s="1055">
        <f t="shared" si="245"/>
        <v>0</v>
      </c>
    </row>
    <row r="2311" spans="1:13" ht="15.75" customHeight="1">
      <c r="A2311" s="1055" t="str">
        <f t="shared" si="252"/>
        <v>переход из желоба в трубу</v>
      </c>
      <c r="B2311" s="1339" t="str">
        <f t="shared" si="252"/>
        <v>шт</v>
      </c>
      <c r="C2311" s="1055">
        <f>2</f>
        <v>2</v>
      </c>
      <c r="D2311" s="1055">
        <f t="shared" si="253"/>
        <v>350</v>
      </c>
      <c r="E2311" s="1055">
        <f t="shared" si="245"/>
        <v>0</v>
      </c>
    </row>
    <row r="2312" spans="1:13" ht="15.75" customHeight="1">
      <c r="A2312" s="1055" t="str">
        <f t="shared" si="252"/>
        <v>лента дельта мульти бэнд</v>
      </c>
      <c r="B2312" s="1339" t="str">
        <f t="shared" si="252"/>
        <v>шт</v>
      </c>
      <c r="C2312" s="1055">
        <f>I2267/35</f>
        <v>0.17595688954225161</v>
      </c>
      <c r="D2312" s="1055">
        <f t="shared" si="253"/>
        <v>1200</v>
      </c>
      <c r="E2312" s="1055">
        <f t="shared" si="245"/>
        <v>0</v>
      </c>
    </row>
    <row r="2313" spans="1:13" ht="15.75" customHeight="1">
      <c r="A2313" s="1055" t="str">
        <f t="shared" si="252"/>
        <v>лента дельта sb-60</v>
      </c>
      <c r="B2313" s="1339" t="str">
        <f t="shared" si="252"/>
        <v>шт</v>
      </c>
      <c r="C2313" s="1055">
        <f>I2267/45</f>
        <v>0.13685535853286238</v>
      </c>
      <c r="D2313" s="1055">
        <f t="shared" si="253"/>
        <v>1100</v>
      </c>
      <c r="E2313" s="1055">
        <f t="shared" si="245"/>
        <v>0</v>
      </c>
    </row>
    <row r="2314" spans="1:13" ht="15.75" customHeight="1">
      <c r="A2314" s="1055" t="str">
        <f t="shared" si="252"/>
        <v>Кровельный саморез</v>
      </c>
      <c r="B2314" s="1339" t="str">
        <f t="shared" si="252"/>
        <v>шт</v>
      </c>
      <c r="C2314" s="1055">
        <f>I2267*12</f>
        <v>73.901893607745677</v>
      </c>
      <c r="D2314" s="1055">
        <f t="shared" si="253"/>
        <v>2</v>
      </c>
      <c r="E2314" s="1055">
        <f t="shared" si="245"/>
        <v>0</v>
      </c>
    </row>
    <row r="2315" spans="1:13" ht="15.75" customHeight="1">
      <c r="A2315" s="1055" t="str">
        <f>'Ввод данных'!A690</f>
        <v>Экскаватор погрузчик, бурение</v>
      </c>
      <c r="B2315" s="1339" t="str">
        <f>'Ввод данных'!B690</f>
        <v>ед.</v>
      </c>
      <c r="C2315" s="1055">
        <f>'Ввод данных'!C690</f>
        <v>0</v>
      </c>
      <c r="D2315" s="1055">
        <f>VLOOKUP(A2315,'Прайс лист'!B180:G194,6,0)</f>
        <v>300</v>
      </c>
      <c r="E2315" s="1055">
        <f t="shared" si="245"/>
        <v>0</v>
      </c>
    </row>
    <row r="2316" spans="1:13" ht="15.75" customHeight="1">
      <c r="A2316" s="1055" t="str">
        <f>'Ввод данных'!A691</f>
        <v>Нет техники</v>
      </c>
      <c r="B2316" s="1339" t="str">
        <f>'Ввод данных'!B691</f>
        <v>ед.</v>
      </c>
      <c r="C2316" s="1055">
        <f>'Ввод данных'!C691</f>
        <v>0</v>
      </c>
      <c r="D2316" s="1055">
        <f>VLOOKUP(A2316,'Прайс лист'!B180:G194,6,0)</f>
        <v>0</v>
      </c>
      <c r="E2316" s="1055">
        <f t="shared" si="245"/>
        <v>0</v>
      </c>
    </row>
    <row r="2317" spans="1:13" ht="15.75" customHeight="1">
      <c r="A2317" s="1055" t="str">
        <f>'Ввод данных'!A692</f>
        <v>Расходные материалы крыльцо</v>
      </c>
      <c r="B2317" s="1339" t="str">
        <f>'Ввод данных'!B692</f>
        <v>рублей</v>
      </c>
      <c r="C2317" s="1055">
        <f>1</f>
        <v>1</v>
      </c>
      <c r="D2317" s="1055">
        <f>'Ввод данных'!C692</f>
        <v>5000</v>
      </c>
      <c r="E2317" s="1055">
        <f t="shared" si="245"/>
        <v>0</v>
      </c>
    </row>
    <row r="2318" spans="1:13" ht="15.75" customHeight="1">
      <c r="E2318" s="1055">
        <f>'Ввод данных'!E621</f>
        <v>1.1000000000000001</v>
      </c>
      <c r="M2318" s="1055">
        <f>'Ввод данных'!E622</f>
        <v>1.2</v>
      </c>
    </row>
    <row r="2319" spans="1:13" ht="15.75" customHeight="1">
      <c r="A2319" s="1197" t="s">
        <v>3869</v>
      </c>
      <c r="E2319" s="1055">
        <f>VLOOKUP('Ввод данных'!F693,связи1!A2:B3,2,0)</f>
        <v>0</v>
      </c>
    </row>
    <row r="2320" spans="1:13" ht="15.75" customHeight="1">
      <c r="A2320" s="1055" t="str">
        <f>'Ввод данных'!A674</f>
        <v>Листв. влаж, 150*150мм</v>
      </c>
      <c r="B2320" s="1339" t="s">
        <v>135</v>
      </c>
      <c r="C2320" s="1339">
        <f>(C2244+C2245+C2245)*VLOOKUP(A2320,'Прайс лист'!B333:G419,5)</f>
        <v>8.4000000000000019E-2</v>
      </c>
      <c r="D2320" s="1055">
        <f>VLOOKUP(A2320,'Прайс лист'!B333:G419,6,0)</f>
        <v>8500</v>
      </c>
      <c r="E2320" s="1055">
        <f>C2320*D2320*E2319*E2318</f>
        <v>0</v>
      </c>
      <c r="G2320" s="1055"/>
      <c r="H2320" s="1055"/>
      <c r="I2320" s="1278" t="str">
        <f>'Прайс лист'!B1879</f>
        <v>монтаж веранды/крыльцо</v>
      </c>
      <c r="J2320" s="1055" t="s">
        <v>133</v>
      </c>
      <c r="K2320" s="1055">
        <f>C2244*C2245</f>
        <v>3</v>
      </c>
      <c r="L2320" s="1055">
        <f>'Прайс лист'!G1879</f>
        <v>1500</v>
      </c>
      <c r="M2320" s="1055">
        <f>K2320*L2320*E2319*M2318</f>
        <v>0</v>
      </c>
    </row>
    <row r="2321" spans="1:5" ht="15.75" customHeight="1">
      <c r="A2321" s="1055" t="str">
        <f>'Ввод данных'!A672</f>
        <v>Листв. влаж, 150*100мм</v>
      </c>
      <c r="B2321" s="1339" t="s">
        <v>135</v>
      </c>
      <c r="C2321" s="1339">
        <f>(C2258/0.6+1)*C2259*VLOOKUP(A2321,'Прайс лист'!B333:G419,5,0)</f>
        <v>0.09</v>
      </c>
      <c r="D2321" s="1055">
        <f>VLOOKUP(A2321,'Прайс лист'!B333:G419,6,0)</f>
        <v>8500</v>
      </c>
      <c r="E2321" s="1055">
        <f>C2321*D2321*E2319*E2318</f>
        <v>0</v>
      </c>
    </row>
    <row r="2322" spans="1:5" ht="15.75" customHeight="1">
      <c r="A2322" s="1055" t="str">
        <f>'Ввод данных'!A676</f>
        <v>Сосна влаж, 150*100мм</v>
      </c>
      <c r="B2322" s="1339" t="s">
        <v>135</v>
      </c>
      <c r="C2322" s="1339">
        <f>(C2244+C2245+C2245)*VLOOKUP(A2322,'Прайс лист'!B333:G419,5,0)</f>
        <v>7.4999999999999997E-2</v>
      </c>
      <c r="D2322" s="1055">
        <f>VLOOKUP(A2322,'Прайс лист'!B333:G419,6,0)</f>
        <v>6500</v>
      </c>
      <c r="E2322" s="1055">
        <f>C2322*D2322*E2319*E2318</f>
        <v>0</v>
      </c>
    </row>
    <row r="2323" spans="1:5" ht="15.75" customHeight="1">
      <c r="A2323" s="1055" t="str">
        <f>'Ввод данных'!A635</f>
        <v>Нет</v>
      </c>
      <c r="B2323" s="1339" t="s">
        <v>135</v>
      </c>
      <c r="C2323" s="1339">
        <f>5*C2247*VLOOKUP(A2323,'Прайс лист'!B333:G419,5,0)</f>
        <v>11.5</v>
      </c>
      <c r="D2323" s="1055">
        <f>VLOOKUP(A2323,'Прайс лист'!B333:G419,6,0)</f>
        <v>0</v>
      </c>
      <c r="E2323" s="1055">
        <f>C2323*D2323*E2319*E2318</f>
        <v>0</v>
      </c>
    </row>
    <row r="2324" spans="1:5" ht="15.75" customHeight="1">
      <c r="A2324" s="1055" t="str">
        <f>'Ввод данных'!A637</f>
        <v>Брус клееный проф 2 ламель кедр Шир. 240 выс. 140</v>
      </c>
      <c r="B2324" s="1339" t="s">
        <v>135</v>
      </c>
      <c r="C2324" s="1339">
        <f>(C2244+C2245+C2245)*VLOOKUP(A2324,'Прайс лист'!B333:G419,5,0)</f>
        <v>0.16800000000000004</v>
      </c>
      <c r="D2324" s="1055">
        <f>VLOOKUP(A2324,'Прайс лист'!B333:G419,6,0)</f>
        <v>24000</v>
      </c>
      <c r="E2324" s="1055">
        <f>C2324*D2324*E2319*E2318</f>
        <v>0</v>
      </c>
    </row>
    <row r="2325" spans="1:5" ht="15.75" customHeight="1">
      <c r="A2325" s="1055" t="str">
        <f>'Ввод данных'!A639</f>
        <v>Брус клееный проф 1 ламель кедр Шир. 240 выс. 140</v>
      </c>
      <c r="B2325" s="1339" t="s">
        <v>135</v>
      </c>
      <c r="C2325" s="1339">
        <f>(C2244+C2245+C2245)/0.5*VLOOKUP(A2325,'Прайс лист'!B333:G419,5,0)</f>
        <v>0.33600000000000008</v>
      </c>
      <c r="D2325" s="1055">
        <f>VLOOKUP(A2325,'Прайс лист'!B333:G419,6,0)</f>
        <v>24000</v>
      </c>
      <c r="E2325" s="1055">
        <f>C2325*D2325*E2319*E2318</f>
        <v>0</v>
      </c>
    </row>
    <row r="2326" spans="1:5" ht="15.75" customHeight="1">
      <c r="A2326" s="1055" t="str">
        <f>'Ввод данных'!A641</f>
        <v>Нет накладки</v>
      </c>
      <c r="B2326" s="1339" t="s">
        <v>156</v>
      </c>
      <c r="C2326" s="1339">
        <f>(C2244+C2245+C2245)</f>
        <v>5</v>
      </c>
      <c r="D2326" s="1055">
        <f>VLOOKUP(A2326,'Прайс лист'!B420:G424,6,0)</f>
        <v>0</v>
      </c>
      <c r="E2326" s="1055">
        <f>C2326*D2326*E2319*E2318</f>
        <v>0</v>
      </c>
    </row>
    <row r="2327" spans="1:5" ht="15.75" customHeight="1">
      <c r="A2327" s="1055" t="str">
        <f>'Ввод данных'!A643</f>
        <v>Листв. влаж, 200*200мм</v>
      </c>
      <c r="B2327" s="1339" t="s">
        <v>135</v>
      </c>
      <c r="C2327" s="1339">
        <f>'Ввод данных'!C643*'Ввод данных'!D643*VLOOKUP(A2327,'Прайс лист'!B333:G419,5,0)</f>
        <v>0.32000000000000006</v>
      </c>
      <c r="D2327" s="1055">
        <f>VLOOKUP(A2327,'Прайс лист'!B333:G419,6,0)</f>
        <v>9000</v>
      </c>
      <c r="E2327" s="1055">
        <f t="shared" ref="E2327:E2338" si="254">C2327*D2327*E2319*E2318</f>
        <v>0</v>
      </c>
    </row>
    <row r="2328" spans="1:5" ht="15.75" customHeight="1">
      <c r="A2328" s="1055" t="str">
        <f>'Ввод данных'!A679</f>
        <v xml:space="preserve">Уголок усиленный 90х70х55х2,5        </v>
      </c>
      <c r="B2328" s="1055" t="str">
        <f>'Ввод данных'!B679</f>
        <v>шт</v>
      </c>
      <c r="C2328" s="1055">
        <f>'Ввод данных'!C679</f>
        <v>6</v>
      </c>
      <c r="D2328" s="1055">
        <f>VLOOKUP(A2328,'Прайс лист'!B837:G840,6,0)</f>
        <v>30</v>
      </c>
      <c r="E2328" s="1055">
        <f t="shared" si="254"/>
        <v>0</v>
      </c>
    </row>
    <row r="2329" spans="1:5" ht="15.75" customHeight="1">
      <c r="A2329" s="1055" t="str">
        <f>'Ввод данных'!A680</f>
        <v>Нет уголков</v>
      </c>
      <c r="B2329" s="1055" t="str">
        <f>'Ввод данных'!B680</f>
        <v>шт</v>
      </c>
      <c r="C2329" s="1055">
        <f>'Ввод данных'!C680</f>
        <v>0</v>
      </c>
      <c r="D2329" s="1055">
        <f>VLOOKUP(A2329,'Прайс лист'!B837:G840,6,0)</f>
        <v>0</v>
      </c>
      <c r="E2329" s="1055">
        <f t="shared" si="254"/>
        <v>0</v>
      </c>
    </row>
    <row r="2330" spans="1:5" ht="15.75" customHeight="1">
      <c r="A2330" s="1055" t="str">
        <f>'Ввод данных'!A681</f>
        <v xml:space="preserve">Пластина соеденительная 100х240х2           </v>
      </c>
      <c r="B2330" s="1055" t="str">
        <f>'Ввод данных'!B681</f>
        <v>шт</v>
      </c>
      <c r="C2330" s="1055">
        <f>'Ввод данных'!C681</f>
        <v>2</v>
      </c>
      <c r="D2330" s="1197">
        <f>VLOOKUP(A2330,'Прайс лист'!B845:G848,6,0)</f>
        <v>31.54</v>
      </c>
      <c r="E2330" s="1055">
        <f t="shared" si="254"/>
        <v>0</v>
      </c>
    </row>
    <row r="2331" spans="1:5" ht="15.75" customHeight="1">
      <c r="A2331" s="1055" t="str">
        <f>'Ввод данных'!A682</f>
        <v>Нет пластин</v>
      </c>
      <c r="B2331" s="1055" t="str">
        <f>'Ввод данных'!B682</f>
        <v>шт</v>
      </c>
      <c r="C2331" s="1055">
        <f>'Ввод данных'!C682</f>
        <v>0</v>
      </c>
      <c r="D2331" s="1197">
        <f>VLOOKUP(A2331,'Прайс лист'!B845:G848,6,0)</f>
        <v>0</v>
      </c>
      <c r="E2331" s="1055">
        <f t="shared" si="254"/>
        <v>0</v>
      </c>
    </row>
    <row r="2332" spans="1:5" ht="15.75" customHeight="1">
      <c r="A2332" s="1055" t="str">
        <f>'Ввод данных'!A683</f>
        <v xml:space="preserve">Болты анкерные с гайкой 12,0 x 100          </v>
      </c>
      <c r="B2332" s="1055" t="str">
        <f>'Ввод данных'!B683</f>
        <v>шт</v>
      </c>
      <c r="C2332" s="1055">
        <f>'Ввод данных'!C683</f>
        <v>6</v>
      </c>
      <c r="D2332" s="1197">
        <f>VLOOKUP(A2332,'Прайс лист'!B858:G870,6,0)</f>
        <v>11.2</v>
      </c>
      <c r="E2332" s="1055">
        <f t="shared" si="254"/>
        <v>0</v>
      </c>
    </row>
    <row r="2333" spans="1:5" ht="15.75" customHeight="1">
      <c r="A2333" s="1055" t="str">
        <f>'Ввод данных'!A684</f>
        <v>Нет анкерных болтов</v>
      </c>
      <c r="B2333" s="1055" t="str">
        <f>'Ввод данных'!B684</f>
        <v>шт</v>
      </c>
      <c r="C2333" s="1055">
        <f>'Ввод данных'!C684</f>
        <v>0</v>
      </c>
      <c r="D2333" s="1197">
        <f>VLOOKUP(A2333,'Прайс лист'!B858:G870,6,0)</f>
        <v>0</v>
      </c>
      <c r="E2333" s="1055">
        <f t="shared" si="254"/>
        <v>0</v>
      </c>
    </row>
    <row r="2334" spans="1:5" ht="15.75" customHeight="1">
      <c r="A2334" s="1055" t="str">
        <f>'Ввод данных'!A685</f>
        <v xml:space="preserve">Саморезы 3,5 x 45            </v>
      </c>
      <c r="B2334" s="1055" t="str">
        <f>'Ввод данных'!B685</f>
        <v>кг</v>
      </c>
      <c r="C2334" s="1055">
        <f>'Ввод данных'!C685</f>
        <v>0</v>
      </c>
      <c r="D2334" s="1197">
        <f>VLOOKUP(A2334,'Прайс лист'!B875:G881,6,0)</f>
        <v>105.62</v>
      </c>
      <c r="E2334" s="1055">
        <f t="shared" si="254"/>
        <v>0</v>
      </c>
    </row>
    <row r="2335" spans="1:5" ht="15.75" customHeight="1">
      <c r="A2335" s="1055" t="str">
        <f>'Ввод данных'!A686</f>
        <v>Нет саморезов</v>
      </c>
      <c r="B2335" s="1055" t="str">
        <f>'Ввод данных'!B686</f>
        <v>кг</v>
      </c>
      <c r="C2335" s="1055">
        <f>'Ввод данных'!C686</f>
        <v>0</v>
      </c>
      <c r="D2335" s="1197">
        <f>VLOOKUP(A2335,'Прайс лист'!B875:G881,6,0)</f>
        <v>0</v>
      </c>
      <c r="E2335" s="1055">
        <f t="shared" si="254"/>
        <v>0</v>
      </c>
    </row>
    <row r="2336" spans="1:5" ht="15.75" customHeight="1">
      <c r="A2336" s="1055" t="str">
        <f>'Ввод данных'!A687</f>
        <v xml:space="preserve">Гвозди строительные 2,5 x 60            </v>
      </c>
      <c r="B2336" s="1055" t="str">
        <f>'Ввод данных'!B687</f>
        <v>кг</v>
      </c>
      <c r="C2336" s="1055">
        <f>'Ввод данных'!C687</f>
        <v>1</v>
      </c>
      <c r="D2336" s="1197">
        <f>VLOOKUP(A2336,'Прайс лист'!B888:G891,6,0)</f>
        <v>70</v>
      </c>
      <c r="E2336" s="1055">
        <f t="shared" si="254"/>
        <v>0</v>
      </c>
    </row>
    <row r="2337" spans="1:8" ht="15.75" customHeight="1">
      <c r="A2337" s="1055" t="str">
        <f>'Ввод данных'!A688</f>
        <v xml:space="preserve">Гвозди ершоные 3,4 x 60            </v>
      </c>
      <c r="B2337" s="1055" t="str">
        <f>'Ввод данных'!B688</f>
        <v>кг</v>
      </c>
      <c r="C2337" s="1055">
        <f>'Ввод данных'!C688</f>
        <v>1</v>
      </c>
      <c r="D2337" s="1197">
        <f>VLOOKUP(A2337,'Прайс лист'!B896:G898,6,0)</f>
        <v>75.510000000000005</v>
      </c>
      <c r="E2337" s="1055">
        <f t="shared" si="254"/>
        <v>0</v>
      </c>
    </row>
    <row r="2338" spans="1:8" ht="15.75" customHeight="1">
      <c r="A2338" s="1055">
        <f>'Ввод данных'!A689</f>
        <v>0</v>
      </c>
      <c r="B2338" s="1055">
        <f>'Ввод данных'!B689</f>
        <v>0</v>
      </c>
      <c r="C2338" s="1055">
        <f>'Ввод данных'!C689</f>
        <v>0</v>
      </c>
      <c r="E2338" s="1055">
        <f t="shared" si="254"/>
        <v>0</v>
      </c>
    </row>
    <row r="2340" spans="1:8" ht="15.75" customHeight="1">
      <c r="A2340" s="1055"/>
      <c r="B2340" s="1339"/>
      <c r="C2340" s="1339"/>
      <c r="D2340" s="1055"/>
      <c r="E2340" s="1055"/>
      <c r="F2340" s="1055"/>
      <c r="G2340" s="1055"/>
      <c r="H2340" s="1055"/>
    </row>
    <row r="2341" spans="1:8" ht="15.75" customHeight="1">
      <c r="A2341" s="2107"/>
      <c r="B2341" s="2108"/>
      <c r="C2341" s="2108"/>
      <c r="D2341" s="2107"/>
      <c r="E2341" s="2107"/>
      <c r="F2341" s="2107"/>
      <c r="G2341" s="2107"/>
      <c r="H2341" s="2109"/>
    </row>
    <row r="2342" spans="1:8" ht="15.75" customHeight="1">
      <c r="A2342" s="2107"/>
      <c r="B2342" s="2108"/>
      <c r="C2342" s="2108"/>
      <c r="D2342" s="2107"/>
      <c r="E2342" s="2107"/>
      <c r="F2342" s="2107"/>
      <c r="G2342" s="2107"/>
      <c r="H2342" s="2109"/>
    </row>
    <row r="2343" spans="1:8" ht="15.75" customHeight="1">
      <c r="A2343" s="461"/>
      <c r="B2343" s="2110"/>
      <c r="C2343" s="2110"/>
      <c r="D2343" s="461"/>
      <c r="E2343" s="461"/>
      <c r="F2343" s="461"/>
      <c r="G2343" s="2110"/>
      <c r="H2343" s="2109"/>
    </row>
    <row r="2344" spans="1:8" ht="15.75" customHeight="1">
      <c r="A2344" s="2111"/>
      <c r="B2344" s="2112"/>
      <c r="C2344" s="2112"/>
      <c r="D2344" s="2111"/>
      <c r="E2344" s="2113"/>
      <c r="F2344" s="2111"/>
      <c r="G2344" s="2111"/>
      <c r="H2344" s="2114"/>
    </row>
    <row r="2345" spans="1:8" ht="15.75" customHeight="1">
      <c r="A2345" s="2115"/>
      <c r="B2345" s="2112"/>
      <c r="C2345" s="2112"/>
      <c r="D2345" s="2111"/>
      <c r="E2345" s="2111"/>
      <c r="F2345" s="2111"/>
      <c r="G2345" s="2111"/>
      <c r="H2345" s="2114"/>
    </row>
    <row r="2346" spans="1:8" ht="15.75" customHeight="1">
      <c r="A2346" s="2115"/>
      <c r="B2346" s="2112"/>
      <c r="C2346" s="2112"/>
      <c r="D2346" s="2111"/>
      <c r="E2346" s="2111"/>
      <c r="F2346" s="2111"/>
      <c r="G2346" s="2111"/>
      <c r="H2346" s="2114"/>
    </row>
    <row r="2347" spans="1:8" ht="15.75" customHeight="1">
      <c r="A2347" s="2115"/>
      <c r="B2347" s="2112"/>
      <c r="C2347" s="2112"/>
      <c r="D2347" s="2111"/>
      <c r="E2347" s="2111"/>
      <c r="F2347" s="2111"/>
      <c r="G2347" s="2111"/>
      <c r="H2347" s="2114"/>
    </row>
    <row r="2348" spans="1:8" ht="15.75" customHeight="1">
      <c r="A2348" s="2115"/>
      <c r="B2348" s="2112"/>
      <c r="C2348" s="2112"/>
      <c r="D2348" s="2111"/>
      <c r="E2348" s="2111"/>
      <c r="F2348" s="2111"/>
      <c r="G2348" s="2111"/>
      <c r="H2348" s="2114"/>
    </row>
    <row r="2349" spans="1:8" ht="15.75" customHeight="1">
      <c r="A2349" s="2116"/>
      <c r="B2349" s="2112"/>
      <c r="C2349" s="2112"/>
      <c r="D2349" s="2111"/>
      <c r="E2349" s="2111"/>
      <c r="F2349" s="2111"/>
      <c r="G2349" s="2111"/>
      <c r="H2349" s="2114"/>
    </row>
    <row r="2350" spans="1:8" ht="15.75" customHeight="1">
      <c r="A2350" s="2116"/>
      <c r="B2350" s="2112"/>
      <c r="C2350" s="2112"/>
      <c r="D2350" s="2111"/>
      <c r="E2350" s="2111"/>
      <c r="F2350" s="2111"/>
      <c r="G2350" s="2111"/>
      <c r="H2350" s="2114"/>
    </row>
    <row r="2351" spans="1:8" ht="15.75" customHeight="1">
      <c r="A2351" s="1684"/>
      <c r="B2351" s="1696"/>
      <c r="C2351" s="1696"/>
      <c r="D2351" s="2111"/>
      <c r="E2351" s="1360"/>
      <c r="F2351" s="1353"/>
      <c r="G2351" s="1353"/>
      <c r="H2351" s="1694"/>
    </row>
    <row r="2352" spans="1:8" ht="15.75" customHeight="1">
      <c r="A2352" s="2117"/>
      <c r="B2352" s="1884"/>
      <c r="C2352" s="1884"/>
      <c r="D2352" s="2118"/>
      <c r="E2352" s="1290"/>
      <c r="F2352" s="1354"/>
      <c r="G2352" s="1354"/>
      <c r="H2352" s="1858"/>
    </row>
    <row r="2353" spans="1:8" ht="15.75" customHeight="1">
      <c r="A2353" s="1874"/>
      <c r="B2353" s="1696"/>
      <c r="C2353" s="1696"/>
      <c r="D2353" s="2111"/>
      <c r="E2353" s="1290"/>
      <c r="F2353" s="1354"/>
      <c r="G2353" s="1354"/>
      <c r="H2353" s="1858"/>
    </row>
    <row r="2354" spans="1:8" ht="15.75" customHeight="1">
      <c r="A2354" s="1874"/>
      <c r="B2354" s="1696"/>
      <c r="C2354" s="1696"/>
      <c r="D2354" s="2111"/>
      <c r="E2354" s="1290"/>
      <c r="F2354" s="1354"/>
      <c r="G2354" s="1354"/>
      <c r="H2354" s="1858"/>
    </row>
    <row r="2355" spans="1:8" ht="15.75" customHeight="1">
      <c r="A2355" s="1691"/>
      <c r="B2355" s="1696"/>
      <c r="C2355" s="1696"/>
      <c r="D2355" s="2111"/>
      <c r="E2355" s="1290"/>
      <c r="F2355" s="1354"/>
      <c r="G2355" s="1354"/>
      <c r="H2355" s="1858"/>
    </row>
    <row r="2356" spans="1:8" ht="15.75" customHeight="1">
      <c r="A2356" s="1846"/>
      <c r="B2356" s="1696"/>
      <c r="C2356" s="1696"/>
      <c r="D2356" s="2111"/>
      <c r="E2356" s="1290"/>
      <c r="F2356" s="1354"/>
      <c r="G2356" s="1354"/>
      <c r="H2356" s="1858"/>
    </row>
    <row r="2357" spans="1:8" ht="15.75" customHeight="1">
      <c r="A2357" s="1846"/>
      <c r="B2357" s="1696"/>
      <c r="C2357" s="1696"/>
      <c r="D2357" s="2111"/>
      <c r="E2357" s="1290"/>
      <c r="H2357" s="1199"/>
    </row>
    <row r="2358" spans="1:8" ht="15.75" customHeight="1">
      <c r="A2358" s="1846"/>
      <c r="B2358" s="1696"/>
      <c r="C2358" s="1696"/>
      <c r="D2358" s="2111"/>
      <c r="E2358" s="1290"/>
      <c r="H2358" s="1199"/>
    </row>
    <row r="2359" spans="1:8" ht="15.75" customHeight="1">
      <c r="A2359" s="1846"/>
      <c r="B2359" s="1696"/>
      <c r="C2359" s="1696"/>
      <c r="D2359" s="2111"/>
      <c r="E2359" s="1290"/>
      <c r="H2359" s="1199"/>
    </row>
    <row r="2360" spans="1:8" ht="15.75" customHeight="1">
      <c r="A2360" s="1684"/>
      <c r="B2360" s="1696"/>
      <c r="C2360" s="2112"/>
      <c r="D2360" s="2119"/>
      <c r="E2360" s="1380"/>
      <c r="F2360" s="1290"/>
      <c r="G2360" s="1354"/>
      <c r="H2360" s="1858"/>
    </row>
    <row r="2361" spans="1:8" ht="15.75" customHeight="1">
      <c r="A2361" s="1875"/>
      <c r="B2361" s="1876"/>
      <c r="C2361" s="1877"/>
      <c r="D2361" s="2120"/>
      <c r="E2361" s="1805"/>
      <c r="F2361" s="1805"/>
      <c r="G2361" s="1354"/>
      <c r="H2361" s="1858"/>
    </row>
    <row r="2362" spans="1:8" ht="15.75" customHeight="1">
      <c r="A2362" s="1839"/>
      <c r="B2362" s="1600"/>
      <c r="C2362" s="1696"/>
      <c r="D2362" s="1805"/>
      <c r="E2362" s="1857"/>
      <c r="F2362" s="1392"/>
      <c r="G2362" s="1829"/>
      <c r="H2362" s="1858"/>
    </row>
    <row r="2363" spans="1:8" ht="15.75" customHeight="1">
      <c r="A2363" s="1839"/>
      <c r="B2363" s="1600"/>
      <c r="C2363" s="1696"/>
      <c r="D2363" s="1805"/>
      <c r="E2363" s="1857"/>
      <c r="F2363" s="1392"/>
      <c r="G2363" s="1829"/>
      <c r="H2363" s="1858"/>
    </row>
    <row r="2364" spans="1:8" ht="15.75" customHeight="1">
      <c r="A2364" s="1839"/>
      <c r="B2364" s="1600"/>
      <c r="C2364" s="1696"/>
      <c r="D2364" s="1805"/>
      <c r="E2364" s="1857"/>
      <c r="F2364" s="1392"/>
      <c r="G2364" s="1829"/>
      <c r="H2364" s="1858"/>
    </row>
    <row r="2365" spans="1:8" ht="15.75" customHeight="1">
      <c r="A2365" s="1839"/>
      <c r="B2365" s="1600"/>
      <c r="C2365" s="2112"/>
      <c r="D2365" s="1805"/>
      <c r="E2365" s="1857"/>
      <c r="F2365" s="1392"/>
      <c r="G2365" s="1829"/>
      <c r="H2365" s="1858"/>
    </row>
    <row r="2366" spans="1:8" ht="15.75" customHeight="1">
      <c r="A2366" s="1839"/>
      <c r="B2366" s="1600"/>
      <c r="C2366" s="2112"/>
      <c r="D2366" s="1805"/>
      <c r="E2366" s="1857"/>
      <c r="F2366" s="1392"/>
      <c r="G2366" s="1829"/>
      <c r="H2366" s="1858"/>
    </row>
    <row r="2367" spans="1:8" ht="15.75" customHeight="1">
      <c r="A2367" s="1839"/>
      <c r="B2367" s="1600"/>
      <c r="C2367" s="2112"/>
      <c r="D2367" s="1805"/>
      <c r="E2367" s="1857"/>
      <c r="F2367" s="1392"/>
      <c r="G2367" s="1829"/>
      <c r="H2367" s="1858"/>
    </row>
    <row r="2368" spans="1:8" ht="15.75" customHeight="1">
      <c r="A2368" s="1839"/>
      <c r="B2368" s="1600"/>
      <c r="C2368" s="2112"/>
      <c r="D2368" s="2121"/>
      <c r="E2368" s="1857"/>
      <c r="F2368" s="1392"/>
      <c r="G2368" s="1829"/>
      <c r="H2368" s="1858"/>
    </row>
    <row r="2369" spans="1:8" ht="15.75" customHeight="1">
      <c r="A2369" s="1839"/>
      <c r="B2369" s="1600"/>
      <c r="C2369" s="2112"/>
      <c r="D2369" s="2121"/>
      <c r="E2369" s="1857"/>
      <c r="F2369" s="1392"/>
      <c r="G2369" s="1829"/>
      <c r="H2369" s="1858"/>
    </row>
    <row r="2370" spans="1:8" ht="15.75" customHeight="1">
      <c r="A2370" s="1839"/>
      <c r="B2370" s="1600"/>
      <c r="C2370" s="2112"/>
      <c r="D2370" s="2121"/>
      <c r="E2370" s="1857"/>
      <c r="F2370" s="1392"/>
      <c r="G2370" s="1829"/>
      <c r="H2370" s="1858"/>
    </row>
    <row r="2371" spans="1:8" ht="15.75" customHeight="1">
      <c r="A2371" s="1839"/>
      <c r="B2371" s="1600"/>
      <c r="C2371" s="2112"/>
      <c r="D2371" s="1805"/>
      <c r="E2371" s="1857"/>
      <c r="F2371" s="1392"/>
      <c r="G2371" s="1829"/>
      <c r="H2371" s="1858"/>
    </row>
    <row r="2372" spans="1:8" ht="15.75" customHeight="1">
      <c r="A2372" s="1839"/>
      <c r="B2372" s="1600"/>
      <c r="C2372" s="2112"/>
      <c r="D2372" s="1805"/>
      <c r="E2372" s="1857"/>
      <c r="F2372" s="1392"/>
      <c r="G2372" s="1829"/>
      <c r="H2372" s="1858"/>
    </row>
    <row r="2373" spans="1:8" ht="15.75" customHeight="1">
      <c r="A2373" s="1839"/>
      <c r="B2373" s="1600"/>
      <c r="C2373" s="2112"/>
      <c r="D2373" s="1805"/>
      <c r="E2373" s="1857"/>
      <c r="F2373" s="1392"/>
      <c r="G2373" s="1829"/>
      <c r="H2373" s="1858"/>
    </row>
    <row r="2374" spans="1:8" ht="15.75" customHeight="1">
      <c r="A2374" s="1839"/>
      <c r="B2374" s="1600"/>
      <c r="C2374" s="2112"/>
      <c r="D2374" s="1805"/>
      <c r="E2374" s="1857"/>
      <c r="F2374" s="1392"/>
      <c r="G2374" s="1829"/>
      <c r="H2374" s="1858"/>
    </row>
    <row r="2375" spans="1:8" ht="15.75" customHeight="1">
      <c r="A2375" s="1839"/>
      <c r="B2375" s="1600"/>
      <c r="C2375" s="2112"/>
      <c r="D2375" s="1805"/>
      <c r="E2375" s="1805"/>
      <c r="F2375" s="1805"/>
      <c r="G2375" s="1354"/>
      <c r="H2375" s="1858"/>
    </row>
    <row r="2376" spans="1:8" ht="15.75" customHeight="1">
      <c r="A2376" s="2122"/>
      <c r="B2376" s="2112"/>
      <c r="C2376" s="2112"/>
      <c r="D2376" s="2120"/>
      <c r="E2376" s="2120"/>
      <c r="F2376" s="1805"/>
      <c r="G2376" s="1354"/>
      <c r="H2376" s="1858"/>
    </row>
    <row r="2377" spans="1:8" ht="15.75" customHeight="1">
      <c r="A2377" s="2122"/>
      <c r="B2377" s="2112"/>
      <c r="C2377" s="2112"/>
      <c r="D2377" s="2120"/>
      <c r="E2377" s="2120"/>
      <c r="F2377" s="1805"/>
      <c r="G2377" s="1354"/>
      <c r="H2377" s="1858"/>
    </row>
    <row r="2378" spans="1:8" ht="15.75" customHeight="1">
      <c r="A2378" s="2122"/>
      <c r="B2378" s="2112"/>
      <c r="C2378" s="2112"/>
      <c r="D2378" s="2120"/>
      <c r="E2378" s="2120"/>
      <c r="F2378" s="1805"/>
      <c r="G2378" s="1354"/>
      <c r="H2378" s="1858"/>
    </row>
    <row r="2379" spans="1:8" ht="15.75" customHeight="1">
      <c r="A2379" s="2122"/>
      <c r="B2379" s="2112"/>
      <c r="C2379" s="2112"/>
      <c r="D2379" s="2120"/>
      <c r="E2379" s="2120"/>
      <c r="F2379" s="1805"/>
      <c r="G2379" s="1354"/>
      <c r="H2379" s="1858"/>
    </row>
    <row r="2380" spans="1:8" ht="15.75" customHeight="1">
      <c r="A2380" s="2122"/>
      <c r="B2380" s="2112"/>
      <c r="C2380" s="2112"/>
      <c r="D2380" s="2120"/>
      <c r="E2380" s="2120"/>
      <c r="F2380" s="1805"/>
      <c r="G2380" s="1354"/>
      <c r="H2380" s="1858"/>
    </row>
    <row r="2381" spans="1:8" ht="15.75" customHeight="1">
      <c r="A2381" s="2123"/>
      <c r="B2381" s="2124"/>
      <c r="C2381" s="2124"/>
      <c r="D2381" s="2120"/>
      <c r="E2381" s="2120"/>
      <c r="F2381" s="1805"/>
      <c r="G2381" s="1354"/>
      <c r="H2381" s="1858"/>
    </row>
  </sheetData>
  <mergeCells count="105">
    <mergeCell ref="K1325:L1328"/>
    <mergeCell ref="K1329:L1332"/>
    <mergeCell ref="K1333:L1336"/>
    <mergeCell ref="F1359:I1360"/>
    <mergeCell ref="F1773:I1773"/>
    <mergeCell ref="A2243:K2243"/>
    <mergeCell ref="A390:A393"/>
    <mergeCell ref="U618:V618"/>
    <mergeCell ref="A834:B834"/>
    <mergeCell ref="A836:A839"/>
    <mergeCell ref="A841:A844"/>
    <mergeCell ref="A846:A849"/>
    <mergeCell ref="A851:A854"/>
    <mergeCell ref="J1115:K1115"/>
    <mergeCell ref="K1321:L1324"/>
    <mergeCell ref="P101:S101"/>
    <mergeCell ref="I112:J112"/>
    <mergeCell ref="I114:J114"/>
    <mergeCell ref="I116:J116"/>
    <mergeCell ref="I117:J117"/>
    <mergeCell ref="I118:J118"/>
    <mergeCell ref="A375:A378"/>
    <mergeCell ref="A380:A383"/>
    <mergeCell ref="A385:A388"/>
    <mergeCell ref="AG72:AI72"/>
    <mergeCell ref="AG73:AI73"/>
    <mergeCell ref="AG74:AI74"/>
    <mergeCell ref="I89:L89"/>
    <mergeCell ref="F90:G90"/>
    <mergeCell ref="I90:J90"/>
    <mergeCell ref="I95:L95"/>
    <mergeCell ref="P98:S98"/>
    <mergeCell ref="I100:L100"/>
    <mergeCell ref="AG63:AI63"/>
    <mergeCell ref="AG64:AI64"/>
    <mergeCell ref="AG65:AL65"/>
    <mergeCell ref="AG66:AI66"/>
    <mergeCell ref="AG67:AI67"/>
    <mergeCell ref="AG68:AI68"/>
    <mergeCell ref="AG69:AL69"/>
    <mergeCell ref="AG70:AI70"/>
    <mergeCell ref="AG71:AI71"/>
    <mergeCell ref="AG54:AI54"/>
    <mergeCell ref="AG55:AI55"/>
    <mergeCell ref="AG56:AI56"/>
    <mergeCell ref="AG58:AJ59"/>
    <mergeCell ref="AK58:AK59"/>
    <mergeCell ref="AL58:AL59"/>
    <mergeCell ref="AG60:AI60"/>
    <mergeCell ref="AG61:AI61"/>
    <mergeCell ref="AG62:AL62"/>
    <mergeCell ref="AG45:AI45"/>
    <mergeCell ref="AG46:AL46"/>
    <mergeCell ref="AG47:AI47"/>
    <mergeCell ref="AG48:AI48"/>
    <mergeCell ref="AG49:AI49"/>
    <mergeCell ref="AG50:AI50"/>
    <mergeCell ref="AG51:AI51"/>
    <mergeCell ref="AG52:AI52"/>
    <mergeCell ref="AG53:AI53"/>
    <mergeCell ref="AG36:AI36"/>
    <mergeCell ref="AG37:AL37"/>
    <mergeCell ref="AG38:AI38"/>
    <mergeCell ref="AG39:AI39"/>
    <mergeCell ref="AG40:AL40"/>
    <mergeCell ref="AG41:AI41"/>
    <mergeCell ref="AG42:AI42"/>
    <mergeCell ref="AG43:AI43"/>
    <mergeCell ref="AG44:AI44"/>
    <mergeCell ref="AE27:AF27"/>
    <mergeCell ref="AE28:AF28"/>
    <mergeCell ref="AE29:AF29"/>
    <mergeCell ref="AE30:AF30"/>
    <mergeCell ref="AE31:AF31"/>
    <mergeCell ref="AG33:AJ34"/>
    <mergeCell ref="AK33:AK34"/>
    <mergeCell ref="AL33:AL34"/>
    <mergeCell ref="AG35:AI35"/>
    <mergeCell ref="AH18:AI19"/>
    <mergeCell ref="AJ18:AK19"/>
    <mergeCell ref="AE20:AG20"/>
    <mergeCell ref="AE21:AF21"/>
    <mergeCell ref="AE22:AF22"/>
    <mergeCell ref="AE23:AF23"/>
    <mergeCell ref="AE24:AF24"/>
    <mergeCell ref="AE25:AF25"/>
    <mergeCell ref="AE26:AF26"/>
    <mergeCell ref="AE9:AG9"/>
    <mergeCell ref="AE10:AG10"/>
    <mergeCell ref="AE11:AG11"/>
    <mergeCell ref="AE12:AG12"/>
    <mergeCell ref="AE13:AG13"/>
    <mergeCell ref="AE14:AG14"/>
    <mergeCell ref="AE15:AG15"/>
    <mergeCell ref="AE16:AG16"/>
    <mergeCell ref="AE18:AG19"/>
    <mergeCell ref="AE1:AH2"/>
    <mergeCell ref="AI1:AI2"/>
    <mergeCell ref="AJ1:AJ2"/>
    <mergeCell ref="AE3:AG3"/>
    <mergeCell ref="AE4:AG4"/>
    <mergeCell ref="AE5:AG5"/>
    <mergeCell ref="AE6:AG6"/>
    <mergeCell ref="AE7:AG7"/>
    <mergeCell ref="AE8:AG8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815"/>
  <sheetViews>
    <sheetView topLeftCell="A781" zoomScale="60" zoomScaleNormal="60" workbookViewId="0">
      <selection activeCell="G430" sqref="G430"/>
    </sheetView>
  </sheetViews>
  <sheetFormatPr baseColWidth="10" defaultColWidth="8.5" defaultRowHeight="15"/>
  <cols>
    <col min="1" max="1" width="32" customWidth="1"/>
    <col min="3" max="4" width="13.83203125" customWidth="1"/>
    <col min="5" max="5" width="14.5" customWidth="1"/>
    <col min="6" max="6" width="14.83203125" customWidth="1"/>
    <col min="8" max="8" width="14.1640625" customWidth="1"/>
    <col min="9" max="9" width="11.33203125" customWidth="1"/>
    <col min="11" max="12" width="12.6640625" customWidth="1"/>
    <col min="13" max="13" width="10.6640625" customWidth="1"/>
  </cols>
  <sheetData>
    <row r="1" spans="1:18" ht="16">
      <c r="A1" s="2125" t="s">
        <v>1093</v>
      </c>
      <c r="B1" s="2125"/>
      <c r="C1" s="2125"/>
      <c r="D1" s="2126" t="s">
        <v>120</v>
      </c>
      <c r="E1" s="2126" t="s">
        <v>1753</v>
      </c>
      <c r="F1" s="2127"/>
      <c r="G1" s="1258"/>
      <c r="H1" s="1258"/>
      <c r="I1" s="1258"/>
      <c r="J1" s="1258"/>
      <c r="K1" s="1195"/>
      <c r="L1" s="1195"/>
      <c r="M1" s="1195"/>
      <c r="N1" s="1195"/>
      <c r="O1" s="1195"/>
      <c r="P1" s="1195"/>
      <c r="Q1" s="1195"/>
      <c r="R1" s="1195"/>
    </row>
    <row r="2" spans="1:18" ht="16">
      <c r="A2" s="3168" t="s">
        <v>2779</v>
      </c>
      <c r="B2" s="3168"/>
      <c r="C2" s="3168"/>
      <c r="D2" s="2128"/>
      <c r="E2" s="2129" t="e">
        <f>'Ввод данных'!#REF!</f>
        <v>#REF!</v>
      </c>
      <c r="F2" s="2130"/>
      <c r="G2" s="2127"/>
      <c r="H2" s="2131"/>
      <c r="I2" s="2088"/>
      <c r="J2" s="2088"/>
      <c r="K2" s="1195"/>
      <c r="L2" s="1195"/>
      <c r="M2" s="1195"/>
      <c r="N2" s="1195"/>
      <c r="O2" s="1195"/>
      <c r="P2" s="1195"/>
      <c r="Q2" s="1195"/>
      <c r="R2" s="1195"/>
    </row>
    <row r="3" spans="1:18" ht="16">
      <c r="A3" s="3139" t="s">
        <v>2746</v>
      </c>
      <c r="B3" s="3139"/>
      <c r="C3" s="3139"/>
      <c r="D3" s="2128" t="s">
        <v>156</v>
      </c>
      <c r="E3" s="2129">
        <f>'Ввод данных'!C11</f>
        <v>10</v>
      </c>
      <c r="F3" s="2131"/>
      <c r="G3" s="2127"/>
      <c r="H3" s="2131"/>
      <c r="I3" s="2088"/>
      <c r="J3" s="2088"/>
      <c r="K3" s="1195"/>
      <c r="L3" s="1195"/>
      <c r="M3" s="1195"/>
      <c r="N3" s="1195"/>
      <c r="O3" s="1195"/>
      <c r="P3" s="1195"/>
      <c r="Q3" s="1195"/>
      <c r="R3" s="1195"/>
    </row>
    <row r="4" spans="1:18" ht="16">
      <c r="A4" s="3139" t="s">
        <v>2782</v>
      </c>
      <c r="B4" s="3139"/>
      <c r="C4" s="3139"/>
      <c r="D4" s="2128" t="s">
        <v>156</v>
      </c>
      <c r="E4" s="2129">
        <f>'Ввод данных'!C12</f>
        <v>10</v>
      </c>
      <c r="F4" s="2131"/>
      <c r="G4" s="2131"/>
      <c r="H4" s="2131"/>
      <c r="I4" s="1036"/>
      <c r="J4" s="1036"/>
      <c r="K4" s="1195"/>
      <c r="L4" s="1195"/>
      <c r="M4" s="1195"/>
      <c r="N4" s="1195"/>
      <c r="O4" s="1195"/>
      <c r="P4" s="1195"/>
      <c r="Q4" s="1195"/>
      <c r="R4" s="1195"/>
    </row>
    <row r="5" spans="1:18" ht="16">
      <c r="A5" s="3139" t="s">
        <v>2783</v>
      </c>
      <c r="B5" s="3139"/>
      <c r="C5" s="3139"/>
      <c r="D5" s="2128" t="s">
        <v>156</v>
      </c>
      <c r="E5" s="2129">
        <f>'Ввод данных'!C13</f>
        <v>3</v>
      </c>
      <c r="F5" s="2131"/>
      <c r="G5" s="2131"/>
      <c r="H5" s="2131"/>
      <c r="I5" s="1276"/>
      <c r="J5" s="1276"/>
      <c r="K5" s="1195"/>
      <c r="L5" s="1195"/>
      <c r="M5" s="1195"/>
      <c r="N5" s="1195"/>
      <c r="O5" s="1195"/>
      <c r="P5" s="1195"/>
      <c r="Q5" s="1195"/>
      <c r="R5" s="1195"/>
    </row>
    <row r="6" spans="1:18" ht="16">
      <c r="A6" s="3139" t="s">
        <v>2793</v>
      </c>
      <c r="B6" s="3139"/>
      <c r="C6" s="3139"/>
      <c r="D6" s="2128" t="s">
        <v>156</v>
      </c>
      <c r="E6" s="2129">
        <f>связи1!K207</f>
        <v>1.2</v>
      </c>
      <c r="F6" s="2131"/>
      <c r="G6" s="2131"/>
      <c r="H6" s="2131"/>
      <c r="I6" s="2132"/>
      <c r="J6" s="1276"/>
      <c r="K6" s="1195"/>
      <c r="L6" s="1195"/>
      <c r="M6" s="1195"/>
      <c r="N6" s="1195"/>
      <c r="O6" s="1195"/>
      <c r="P6" s="1195"/>
      <c r="Q6" s="1195"/>
      <c r="R6" s="1195"/>
    </row>
    <row r="7" spans="1:18" ht="16">
      <c r="A7" s="3139" t="s">
        <v>3870</v>
      </c>
      <c r="B7" s="3139"/>
      <c r="C7" s="3139"/>
      <c r="D7" s="2133" t="s">
        <v>156</v>
      </c>
      <c r="E7" s="2129">
        <f>'Ввод данных'!C16</f>
        <v>2.2000000000000002</v>
      </c>
      <c r="F7" s="936"/>
      <c r="G7" s="2131"/>
      <c r="H7" s="2132"/>
      <c r="I7" s="2132"/>
      <c r="J7" s="1276"/>
      <c r="K7" s="1195"/>
      <c r="L7" s="1195"/>
      <c r="M7" s="1195"/>
      <c r="N7" s="1195"/>
      <c r="O7" s="1195"/>
      <c r="P7" s="1195"/>
      <c r="Q7" s="1195"/>
      <c r="R7" s="1195"/>
    </row>
    <row r="8" spans="1:18" ht="16">
      <c r="A8" s="3139" t="s">
        <v>3871</v>
      </c>
      <c r="B8" s="3139"/>
      <c r="C8" s="3139"/>
      <c r="D8" s="2128" t="s">
        <v>156</v>
      </c>
      <c r="E8" s="2129">
        <f>связи1!K206</f>
        <v>4.8</v>
      </c>
      <c r="F8" s="2131"/>
      <c r="G8" s="936"/>
      <c r="H8" s="2127"/>
      <c r="I8" s="2127"/>
      <c r="J8" s="2127"/>
      <c r="K8" s="1195"/>
      <c r="L8" s="1195"/>
      <c r="M8" s="1195"/>
      <c r="N8" s="1195"/>
      <c r="O8" s="1195"/>
      <c r="P8" s="1195"/>
      <c r="Q8" s="1195"/>
      <c r="R8" s="1195"/>
    </row>
    <row r="9" spans="1:18" ht="16">
      <c r="A9" s="3169" t="s">
        <v>3872</v>
      </c>
      <c r="B9" s="3169"/>
      <c r="C9" s="3169"/>
      <c r="D9" s="2134" t="s">
        <v>1820</v>
      </c>
      <c r="E9" s="2129"/>
      <c r="F9" s="2131" t="s">
        <v>3873</v>
      </c>
      <c r="G9" s="1036"/>
      <c r="H9" s="2131"/>
      <c r="I9" s="2135"/>
      <c r="J9" s="2135"/>
      <c r="K9" s="1195"/>
      <c r="L9" s="1195"/>
      <c r="M9" s="1195"/>
      <c r="N9" s="1195"/>
      <c r="O9" s="1195"/>
      <c r="P9" s="1195"/>
      <c r="Q9" s="1195"/>
      <c r="R9" s="1195"/>
    </row>
    <row r="10" spans="1:18" ht="15.5" customHeight="1">
      <c r="A10" s="3170" t="s">
        <v>2854</v>
      </c>
      <c r="B10" s="3170"/>
      <c r="C10" s="3170"/>
      <c r="D10" s="2136" t="s">
        <v>120</v>
      </c>
      <c r="E10" s="2137" t="s">
        <v>293</v>
      </c>
      <c r="F10" s="2138"/>
      <c r="G10" s="1036"/>
      <c r="H10" s="2131"/>
      <c r="I10" s="2135"/>
      <c r="J10" s="2135"/>
      <c r="K10" s="1195"/>
      <c r="L10" s="1195"/>
      <c r="M10" s="1195"/>
      <c r="N10" s="1195"/>
      <c r="O10" s="1195"/>
      <c r="P10" s="1195"/>
      <c r="Q10" s="1195"/>
      <c r="R10" s="1195"/>
    </row>
    <row r="11" spans="1:18" ht="16">
      <c r="A11" s="3139" t="s">
        <v>2001</v>
      </c>
      <c r="B11" s="3139"/>
      <c r="C11" s="3139"/>
      <c r="D11" s="960" t="s">
        <v>156</v>
      </c>
      <c r="E11" s="2129"/>
      <c r="F11" s="2139">
        <f>дома!AA38</f>
        <v>7.8</v>
      </c>
      <c r="G11" s="2130" t="s">
        <v>3521</v>
      </c>
      <c r="H11" s="2131"/>
      <c r="I11" s="2135"/>
      <c r="J11" s="2135"/>
      <c r="K11" s="1195"/>
      <c r="L11" s="1195"/>
      <c r="M11" s="1195"/>
      <c r="N11" s="1195"/>
      <c r="O11" s="1195"/>
      <c r="P11" s="1195"/>
      <c r="Q11" s="1195"/>
      <c r="R11" s="1195"/>
    </row>
    <row r="12" spans="1:18" ht="16">
      <c r="A12" s="3139" t="s">
        <v>2557</v>
      </c>
      <c r="B12" s="3139"/>
      <c r="C12" s="3139"/>
      <c r="D12" s="960" t="s">
        <v>156</v>
      </c>
      <c r="E12" s="2129"/>
      <c r="F12" s="2139">
        <f>дома!AA42</f>
        <v>7.8</v>
      </c>
      <c r="G12" s="2130" t="s">
        <v>3522</v>
      </c>
      <c r="H12" s="2131"/>
      <c r="I12" s="2135"/>
      <c r="J12" s="2135"/>
      <c r="K12" s="1195"/>
      <c r="L12" s="1195"/>
      <c r="M12" s="1195"/>
      <c r="N12" s="1195"/>
      <c r="O12" s="1195"/>
      <c r="P12" s="1195"/>
      <c r="Q12" s="1195"/>
      <c r="R12" s="1195"/>
    </row>
    <row r="13" spans="1:18" ht="16">
      <c r="A13" s="3139" t="s">
        <v>2558</v>
      </c>
      <c r="B13" s="3139"/>
      <c r="C13" s="3139"/>
      <c r="D13" s="960" t="s">
        <v>156</v>
      </c>
      <c r="E13" s="2129"/>
      <c r="F13" s="2139">
        <f>дома!AA51</f>
        <v>0</v>
      </c>
      <c r="G13" s="2130" t="s">
        <v>3523</v>
      </c>
      <c r="H13" s="2131"/>
      <c r="I13" s="2135"/>
      <c r="J13" s="2135"/>
      <c r="K13" s="1195"/>
      <c r="L13" s="1195"/>
      <c r="M13" s="1195"/>
      <c r="N13" s="1195"/>
      <c r="O13" s="1195"/>
      <c r="P13" s="1195"/>
      <c r="Q13" s="1195"/>
      <c r="R13" s="1195"/>
    </row>
    <row r="14" spans="1:18" ht="16">
      <c r="A14" s="3171" t="s">
        <v>1515</v>
      </c>
      <c r="B14" s="3171"/>
      <c r="C14" s="3171"/>
      <c r="D14" s="923" t="s">
        <v>1800</v>
      </c>
      <c r="E14" s="923" t="s">
        <v>293</v>
      </c>
      <c r="F14" s="2137" t="s">
        <v>1802</v>
      </c>
      <c r="G14" s="2140" t="s">
        <v>2866</v>
      </c>
      <c r="H14" s="2130"/>
      <c r="I14" s="2135"/>
      <c r="J14" s="2135"/>
      <c r="K14" s="1195"/>
      <c r="L14" s="1195"/>
      <c r="M14" s="1195"/>
      <c r="N14" s="1195"/>
      <c r="O14" s="1195"/>
      <c r="P14" s="1195"/>
      <c r="Q14" s="1195"/>
      <c r="R14" s="1195"/>
    </row>
    <row r="15" spans="1:18" ht="16">
      <c r="A15" s="3172" t="s">
        <v>2902</v>
      </c>
      <c r="B15" s="3172"/>
      <c r="C15" s="3172"/>
      <c r="D15" s="2141">
        <f>'Ввод данных'!C68</f>
        <v>1</v>
      </c>
      <c r="E15" s="2129">
        <f>'Ввод данных'!D68</f>
        <v>1.2</v>
      </c>
      <c r="F15" s="2139">
        <f>'Ввод данных'!E68</f>
        <v>1</v>
      </c>
      <c r="G15" s="939">
        <f>D15*E15*F15</f>
        <v>1.2</v>
      </c>
      <c r="H15" s="2130"/>
      <c r="I15" s="2135"/>
      <c r="J15" s="2135"/>
      <c r="K15" s="1195"/>
      <c r="L15" s="1195"/>
      <c r="M15" s="1195"/>
      <c r="N15" s="1195"/>
      <c r="O15" s="1195"/>
      <c r="P15" s="1195"/>
      <c r="Q15" s="1195"/>
      <c r="R15" s="1195"/>
    </row>
    <row r="16" spans="1:18" ht="16">
      <c r="A16" s="3172" t="s">
        <v>2903</v>
      </c>
      <c r="B16" s="3172"/>
      <c r="C16" s="3172"/>
      <c r="D16" s="2141">
        <f>'Ввод данных'!C69</f>
        <v>0.6</v>
      </c>
      <c r="E16" s="2129">
        <f>'Ввод данных'!D69</f>
        <v>0.6</v>
      </c>
      <c r="F16" s="2139">
        <f>'Ввод данных'!E69</f>
        <v>0</v>
      </c>
      <c r="G16" s="939">
        <f>D16*E16*F16</f>
        <v>0</v>
      </c>
      <c r="H16" s="2130"/>
      <c r="I16" s="2135"/>
      <c r="J16" s="2135"/>
      <c r="K16" s="1195"/>
      <c r="L16" s="1195"/>
      <c r="M16" s="1195"/>
      <c r="N16" s="1195"/>
      <c r="O16" s="1195"/>
      <c r="P16" s="1195"/>
      <c r="Q16" s="1195"/>
      <c r="R16" s="1195"/>
    </row>
    <row r="17" spans="1:18" ht="16">
      <c r="A17" s="3172" t="s">
        <v>2904</v>
      </c>
      <c r="B17" s="3172"/>
      <c r="C17" s="3172"/>
      <c r="D17" s="2141">
        <f>'Ввод данных'!C70</f>
        <v>1</v>
      </c>
      <c r="E17" s="2129">
        <f>'Ввод данных'!D70</f>
        <v>2</v>
      </c>
      <c r="F17" s="2139">
        <f>'Ввод данных'!E70</f>
        <v>0</v>
      </c>
      <c r="G17" s="939">
        <f>D17*E17*F17</f>
        <v>0</v>
      </c>
      <c r="H17" s="2130"/>
      <c r="I17" s="2135"/>
      <c r="J17" s="2135"/>
      <c r="K17" s="1195"/>
      <c r="L17" s="1195"/>
      <c r="M17" s="1195"/>
      <c r="N17" s="1195"/>
      <c r="O17" s="1195"/>
      <c r="P17" s="1195"/>
      <c r="Q17" s="1195"/>
      <c r="R17" s="1195"/>
    </row>
    <row r="18" spans="1:18" ht="16">
      <c r="A18" s="3172" t="s">
        <v>2894</v>
      </c>
      <c r="B18" s="3172"/>
      <c r="C18" s="3172"/>
      <c r="D18" s="2141">
        <f>'Ввод данных'!C73</f>
        <v>0.8</v>
      </c>
      <c r="E18" s="2129">
        <f>'Ввод данных'!D73</f>
        <v>2.1</v>
      </c>
      <c r="F18" s="2139">
        <f>'Ввод данных'!E73</f>
        <v>0</v>
      </c>
      <c r="G18" s="939">
        <f>D18*E18*F18</f>
        <v>0</v>
      </c>
      <c r="H18" s="2130"/>
      <c r="I18" s="2135"/>
      <c r="J18" s="2135"/>
      <c r="K18" s="1195"/>
      <c r="L18" s="1195"/>
      <c r="M18" s="1195"/>
      <c r="N18" s="1195"/>
      <c r="O18" s="1195"/>
      <c r="P18" s="1195"/>
      <c r="Q18" s="1195"/>
      <c r="R18" s="1195"/>
    </row>
    <row r="19" spans="1:18" ht="16">
      <c r="A19" s="3173" t="s">
        <v>2898</v>
      </c>
      <c r="B19" s="3173"/>
      <c r="C19" s="3173"/>
      <c r="D19" s="3173"/>
      <c r="E19" s="3173"/>
      <c r="F19" s="3173"/>
      <c r="G19" s="939">
        <f>SUM(G15:G18)</f>
        <v>1.2</v>
      </c>
      <c r="H19" s="2130"/>
      <c r="I19" s="2135"/>
      <c r="J19" s="2135"/>
      <c r="K19" s="1195"/>
      <c r="L19" s="1195"/>
      <c r="M19" s="1195"/>
      <c r="N19" s="1195"/>
      <c r="O19" s="1195"/>
      <c r="P19" s="1195"/>
      <c r="Q19" s="1195"/>
      <c r="R19" s="1195"/>
    </row>
    <row r="20" spans="1:18" ht="15.5" customHeight="1">
      <c r="A20" s="3174" t="s">
        <v>2593</v>
      </c>
      <c r="B20" s="3174"/>
      <c r="C20" s="3174"/>
      <c r="D20" s="933" t="s">
        <v>1800</v>
      </c>
      <c r="E20" s="933" t="s">
        <v>293</v>
      </c>
      <c r="F20" s="933" t="s">
        <v>1802</v>
      </c>
      <c r="G20" s="933" t="s">
        <v>2900</v>
      </c>
      <c r="H20" s="2130"/>
      <c r="I20" s="2135"/>
      <c r="J20" s="2135"/>
      <c r="K20" s="1195"/>
      <c r="L20" s="1195"/>
      <c r="M20" s="1195"/>
      <c r="N20" s="1195"/>
      <c r="O20" s="1195"/>
      <c r="P20" s="1195"/>
      <c r="Q20" s="1195"/>
      <c r="R20" s="1195"/>
    </row>
    <row r="21" spans="1:18" ht="15.5" customHeight="1">
      <c r="A21" s="3175" t="s">
        <v>2902</v>
      </c>
      <c r="B21" s="3175"/>
      <c r="C21" s="3175"/>
      <c r="D21" s="2141">
        <f>'Ввод данных'!C91</f>
        <v>0.8</v>
      </c>
      <c r="E21" s="2129">
        <f>'Ввод данных'!D91</f>
        <v>2.1</v>
      </c>
      <c r="F21" s="2139">
        <f>'Ввод данных'!E91</f>
        <v>0</v>
      </c>
      <c r="G21" s="938">
        <f>D21*E21*F21</f>
        <v>0</v>
      </c>
      <c r="H21" s="2130"/>
      <c r="I21" s="2135"/>
      <c r="J21" s="2135"/>
      <c r="K21" s="1195"/>
      <c r="L21" s="1195"/>
      <c r="M21" s="1195"/>
      <c r="N21" s="1195"/>
      <c r="O21" s="1195"/>
      <c r="P21" s="1195"/>
      <c r="Q21" s="1195"/>
      <c r="R21" s="1195"/>
    </row>
    <row r="22" spans="1:18" ht="15.5" customHeight="1">
      <c r="A22" s="3175" t="s">
        <v>2903</v>
      </c>
      <c r="B22" s="3175"/>
      <c r="C22" s="3175"/>
      <c r="D22" s="2141">
        <f>'Ввод данных'!C92</f>
        <v>0.6</v>
      </c>
      <c r="E22" s="2129">
        <f>'Ввод данных'!D92</f>
        <v>2</v>
      </c>
      <c r="F22" s="2139">
        <f>'Ввод данных'!E92</f>
        <v>0</v>
      </c>
      <c r="G22" s="938">
        <f>D22*E22*F22</f>
        <v>0</v>
      </c>
      <c r="H22" s="2130"/>
      <c r="I22" s="2135"/>
      <c r="J22" s="2135"/>
      <c r="K22" s="1195"/>
      <c r="L22" s="1195"/>
      <c r="M22" s="1195"/>
      <c r="N22" s="1195"/>
      <c r="O22" s="1195"/>
      <c r="P22" s="1195"/>
      <c r="Q22" s="1195"/>
      <c r="R22" s="1195"/>
    </row>
    <row r="23" spans="1:18" ht="15.5" customHeight="1">
      <c r="A23" s="3175" t="s">
        <v>2904</v>
      </c>
      <c r="B23" s="3175"/>
      <c r="C23" s="3175"/>
      <c r="D23" s="2141">
        <f>'Ввод данных'!C95</f>
        <v>0.9</v>
      </c>
      <c r="E23" s="2129">
        <f>'Ввод данных'!D95</f>
        <v>2.1</v>
      </c>
      <c r="F23" s="2139">
        <f>'Ввод данных'!E95</f>
        <v>0</v>
      </c>
      <c r="G23" s="938">
        <f>D23*E23*F23</f>
        <v>0</v>
      </c>
      <c r="H23" s="2130"/>
      <c r="I23" s="2135"/>
      <c r="J23" s="2135"/>
      <c r="K23" s="1195"/>
      <c r="L23" s="1195"/>
      <c r="M23" s="1195"/>
      <c r="N23" s="1195"/>
      <c r="O23" s="1195"/>
      <c r="P23" s="1195"/>
      <c r="Q23" s="1195"/>
      <c r="R23" s="1195"/>
    </row>
    <row r="24" spans="1:18" ht="15.5" customHeight="1">
      <c r="A24" s="3175" t="s">
        <v>2905</v>
      </c>
      <c r="B24" s="3175"/>
      <c r="C24" s="3175"/>
      <c r="D24" s="2141">
        <f>'Ввод данных'!C99</f>
        <v>0.8</v>
      </c>
      <c r="E24" s="2129">
        <f>'Ввод данных'!D99</f>
        <v>2.1</v>
      </c>
      <c r="F24" s="2139">
        <f>'Ввод данных'!E99</f>
        <v>0</v>
      </c>
      <c r="G24" s="938">
        <f>D24*E24*F24</f>
        <v>0</v>
      </c>
      <c r="H24" s="2130"/>
      <c r="I24" s="2135"/>
      <c r="J24" s="2135"/>
      <c r="K24" s="1195"/>
      <c r="L24" s="1195"/>
      <c r="M24" s="1195"/>
      <c r="N24" s="1195"/>
      <c r="O24" s="1195"/>
      <c r="P24" s="1195"/>
      <c r="Q24" s="1195"/>
      <c r="R24" s="1195"/>
    </row>
    <row r="25" spans="1:18" ht="16">
      <c r="A25" s="3173" t="s">
        <v>3874</v>
      </c>
      <c r="B25" s="3173"/>
      <c r="C25" s="3173"/>
      <c r="D25" s="3173"/>
      <c r="E25" s="3173"/>
      <c r="F25" s="3173"/>
      <c r="G25" s="938">
        <f>SUM(G21:G24)</f>
        <v>0</v>
      </c>
      <c r="H25" s="2130"/>
      <c r="I25" s="2135"/>
      <c r="J25" s="2135"/>
      <c r="K25" s="1195"/>
      <c r="L25" s="1195"/>
      <c r="M25" s="1195"/>
      <c r="N25" s="1195"/>
      <c r="O25" s="1195"/>
      <c r="P25" s="1195"/>
      <c r="Q25" s="1195"/>
      <c r="R25" s="1195"/>
    </row>
    <row r="26" spans="1:18" ht="15.5" customHeight="1">
      <c r="A26" s="3174" t="s">
        <v>1217</v>
      </c>
      <c r="B26" s="3174"/>
      <c r="C26" s="3174"/>
      <c r="D26" s="933" t="s">
        <v>1800</v>
      </c>
      <c r="E26" s="933" t="s">
        <v>293</v>
      </c>
      <c r="F26" s="933" t="s">
        <v>1802</v>
      </c>
      <c r="G26" s="933" t="s">
        <v>2900</v>
      </c>
      <c r="H26" s="2130"/>
      <c r="I26" s="2135"/>
      <c r="J26" s="2135"/>
      <c r="K26" s="1195"/>
      <c r="L26" s="1195"/>
      <c r="M26" s="1195"/>
      <c r="N26" s="1195"/>
      <c r="O26" s="1195"/>
      <c r="P26" s="1195"/>
      <c r="Q26" s="1195"/>
      <c r="R26" s="1195"/>
    </row>
    <row r="27" spans="1:18" ht="15.5" customHeight="1">
      <c r="A27" s="3175" t="s">
        <v>2902</v>
      </c>
      <c r="B27" s="3175"/>
      <c r="C27" s="3175"/>
      <c r="D27" s="2141">
        <f>'Ввод данных'!C85</f>
        <v>0.8</v>
      </c>
      <c r="E27" s="2129">
        <f>'Ввод данных'!D85</f>
        <v>2</v>
      </c>
      <c r="F27" s="2139">
        <f>'Ввод данных'!E85</f>
        <v>0</v>
      </c>
      <c r="G27" s="938">
        <f>D27*E27*F27</f>
        <v>0</v>
      </c>
      <c r="H27" s="2130"/>
      <c r="I27" s="2135"/>
      <c r="J27" s="2135"/>
      <c r="K27" s="1195"/>
      <c r="L27" s="1195"/>
      <c r="M27" s="1195"/>
      <c r="N27" s="1195"/>
      <c r="O27" s="1195"/>
      <c r="P27" s="1195"/>
      <c r="Q27" s="1195"/>
      <c r="R27" s="1195"/>
    </row>
    <row r="28" spans="1:18" ht="15.5" customHeight="1">
      <c r="A28" s="3175" t="s">
        <v>2903</v>
      </c>
      <c r="B28" s="3175"/>
      <c r="C28" s="3175"/>
      <c r="D28" s="2141">
        <f>'Ввод данных'!C86</f>
        <v>0.9</v>
      </c>
      <c r="E28" s="2129">
        <f>'Ввод данных'!D86</f>
        <v>2.1</v>
      </c>
      <c r="F28" s="2139">
        <f>'Ввод данных'!E86</f>
        <v>0</v>
      </c>
      <c r="G28" s="938">
        <f>D28*E28*F28</f>
        <v>0</v>
      </c>
      <c r="H28" s="2130"/>
      <c r="I28" s="2135"/>
      <c r="J28" s="2135"/>
      <c r="K28" s="1195"/>
      <c r="L28" s="1195"/>
      <c r="M28" s="1195"/>
      <c r="N28" s="1195"/>
      <c r="O28" s="1195"/>
      <c r="P28" s="1195"/>
      <c r="Q28" s="1195"/>
      <c r="R28" s="1195"/>
    </row>
    <row r="29" spans="1:18" ht="15.5" customHeight="1">
      <c r="A29" s="3175" t="s">
        <v>2904</v>
      </c>
      <c r="B29" s="3175"/>
      <c r="C29" s="3175"/>
      <c r="D29" s="2141">
        <f>'Ввод данных'!C87</f>
        <v>1</v>
      </c>
      <c r="E29" s="2129">
        <f>'Ввод данных'!D87</f>
        <v>2</v>
      </c>
      <c r="F29" s="2139">
        <f>'Ввод данных'!E87</f>
        <v>0</v>
      </c>
      <c r="G29" s="938">
        <f>D29*E29*F29</f>
        <v>0</v>
      </c>
      <c r="H29" s="2130"/>
      <c r="I29" s="2135"/>
      <c r="J29" s="2135"/>
      <c r="K29" s="1195"/>
      <c r="L29" s="1195"/>
      <c r="M29" s="1195"/>
      <c r="N29" s="1195"/>
      <c r="O29" s="1195"/>
      <c r="P29" s="1195"/>
      <c r="Q29" s="1195"/>
      <c r="R29" s="1195"/>
    </row>
    <row r="30" spans="1:18" ht="16">
      <c r="A30" s="3173" t="s">
        <v>2898</v>
      </c>
      <c r="B30" s="3173"/>
      <c r="C30" s="3173"/>
      <c r="D30" s="3173"/>
      <c r="E30" s="3173"/>
      <c r="F30" s="3173"/>
      <c r="G30" s="938">
        <f>SUM(G27:G29)</f>
        <v>0</v>
      </c>
      <c r="H30" s="2130"/>
      <c r="I30" s="2135"/>
      <c r="J30" s="2135"/>
      <c r="K30" s="1195"/>
      <c r="L30" s="1195"/>
      <c r="M30" s="1195"/>
      <c r="N30" s="1195"/>
      <c r="O30" s="1195"/>
      <c r="P30" s="1195"/>
      <c r="Q30" s="1195"/>
      <c r="R30" s="1195"/>
    </row>
    <row r="31" spans="1:18" ht="16">
      <c r="A31" s="2142"/>
      <c r="B31" s="2142"/>
      <c r="C31" s="2142"/>
      <c r="D31" s="2142"/>
      <c r="E31" s="2131"/>
      <c r="F31" s="2131"/>
      <c r="G31" s="2131"/>
      <c r="H31" s="2135"/>
      <c r="I31" s="2135"/>
      <c r="J31" s="2135"/>
      <c r="K31" s="1195"/>
      <c r="L31" s="1195"/>
      <c r="M31" s="1195"/>
      <c r="N31" s="1195"/>
      <c r="O31" s="1195"/>
      <c r="P31" s="1195"/>
      <c r="Q31" s="1195"/>
      <c r="R31" s="1195"/>
    </row>
    <row r="32" spans="1:18" ht="16">
      <c r="A32" s="3176" t="s">
        <v>1236</v>
      </c>
      <c r="B32" s="3176"/>
      <c r="C32" s="2137" t="s">
        <v>208</v>
      </c>
      <c r="D32" s="2137" t="s">
        <v>853</v>
      </c>
      <c r="E32" s="2143" t="s">
        <v>1802</v>
      </c>
      <c r="F32" s="923" t="s">
        <v>853</v>
      </c>
      <c r="G32" s="2131"/>
      <c r="H32" s="2135"/>
      <c r="I32" s="2135"/>
      <c r="J32" s="2135"/>
      <c r="K32" s="1195"/>
      <c r="L32" s="1195"/>
      <c r="M32" s="1195"/>
      <c r="N32" s="1195"/>
      <c r="O32" s="1195"/>
      <c r="P32" s="1195"/>
      <c r="Q32" s="1195"/>
      <c r="R32" s="1195"/>
    </row>
    <row r="33" spans="1:18" ht="15.5" customHeight="1">
      <c r="A33" s="3177" t="s">
        <v>1862</v>
      </c>
      <c r="B33" s="3177"/>
      <c r="C33" s="2144" t="s">
        <v>156</v>
      </c>
      <c r="D33" s="2141">
        <f>'Ввод данных'!C112</f>
        <v>6</v>
      </c>
      <c r="E33" s="2129">
        <f>'Ввод данных'!D112</f>
        <v>2</v>
      </c>
      <c r="F33" s="938">
        <f t="shared" ref="F33:F64" si="0">D33*E33</f>
        <v>12</v>
      </c>
      <c r="G33" s="2131"/>
      <c r="H33" s="2135"/>
      <c r="I33" s="2135"/>
      <c r="J33" s="2135"/>
      <c r="K33" s="1195"/>
      <c r="L33" s="1195"/>
      <c r="M33" s="1195"/>
      <c r="N33" s="1195"/>
      <c r="O33" s="1195"/>
      <c r="P33" s="1195"/>
      <c r="Q33" s="1195"/>
      <c r="R33" s="1195"/>
    </row>
    <row r="34" spans="1:18" ht="16">
      <c r="A34" s="3177"/>
      <c r="B34" s="3177"/>
      <c r="C34" s="2144" t="s">
        <v>156</v>
      </c>
      <c r="D34" s="2141">
        <f>'Ввод данных'!C113</f>
        <v>4</v>
      </c>
      <c r="E34" s="2129">
        <f>'Ввод данных'!D113</f>
        <v>1</v>
      </c>
      <c r="F34" s="938">
        <f t="shared" si="0"/>
        <v>4</v>
      </c>
      <c r="G34" s="2131"/>
      <c r="H34" s="2135"/>
      <c r="I34" s="2135"/>
      <c r="J34" s="2135"/>
      <c r="K34" s="1195"/>
      <c r="L34" s="1195"/>
      <c r="M34" s="1195"/>
      <c r="N34" s="1195"/>
      <c r="O34" s="1195"/>
      <c r="P34" s="1195"/>
      <c r="Q34" s="1195"/>
      <c r="R34" s="1195"/>
    </row>
    <row r="35" spans="1:18" ht="16">
      <c r="A35" s="3177"/>
      <c r="B35" s="3177"/>
      <c r="C35" s="2144" t="s">
        <v>156</v>
      </c>
      <c r="D35" s="2141">
        <f>'Ввод данных'!C114</f>
        <v>0</v>
      </c>
      <c r="E35" s="2129">
        <f>'Ввод данных'!D114</f>
        <v>0</v>
      </c>
      <c r="F35" s="938">
        <f t="shared" si="0"/>
        <v>0</v>
      </c>
      <c r="G35" s="2131"/>
      <c r="H35" s="2135"/>
      <c r="I35" s="2135"/>
      <c r="J35" s="2135"/>
      <c r="K35" s="1195"/>
      <c r="L35" s="1195"/>
      <c r="M35" s="1195"/>
      <c r="N35" s="1195"/>
      <c r="O35" s="1195"/>
      <c r="P35" s="1195"/>
      <c r="Q35" s="1195"/>
      <c r="R35" s="1195"/>
    </row>
    <row r="36" spans="1:18" ht="16">
      <c r="A36" s="3177"/>
      <c r="B36" s="3177"/>
      <c r="C36" s="2144" t="s">
        <v>156</v>
      </c>
      <c r="D36" s="2141">
        <f>'Ввод данных'!C115</f>
        <v>0</v>
      </c>
      <c r="E36" s="2129">
        <f>'Ввод данных'!D115</f>
        <v>0</v>
      </c>
      <c r="F36" s="938">
        <f t="shared" si="0"/>
        <v>0</v>
      </c>
      <c r="G36" s="2131"/>
      <c r="H36" s="2135"/>
      <c r="I36" s="2135"/>
      <c r="J36" s="2135"/>
      <c r="K36" s="1195"/>
      <c r="L36" s="1195"/>
      <c r="M36" s="1195"/>
      <c r="N36" s="1195"/>
      <c r="O36" s="1195"/>
      <c r="P36" s="1195"/>
      <c r="Q36" s="1195"/>
      <c r="R36" s="1195"/>
    </row>
    <row r="37" spans="1:18" ht="15.5" customHeight="1">
      <c r="A37" s="3177" t="s">
        <v>1866</v>
      </c>
      <c r="B37" s="3177"/>
      <c r="C37" s="2144" t="s">
        <v>156</v>
      </c>
      <c r="D37" s="2141">
        <f>'Ввод данных'!C116</f>
        <v>1.8</v>
      </c>
      <c r="E37" s="2129">
        <f>'Ввод данных'!D116</f>
        <v>1</v>
      </c>
      <c r="F37" s="938">
        <f t="shared" si="0"/>
        <v>1.8</v>
      </c>
      <c r="G37" s="2131"/>
      <c r="H37" s="2135"/>
      <c r="I37" s="2135"/>
      <c r="J37" s="2131"/>
      <c r="K37" s="1195"/>
      <c r="L37" s="1195"/>
      <c r="M37" s="1195"/>
      <c r="N37" s="1195"/>
      <c r="O37" s="1195"/>
      <c r="P37" s="1195"/>
      <c r="Q37" s="1195"/>
      <c r="R37" s="1195"/>
    </row>
    <row r="38" spans="1:18" ht="16">
      <c r="A38" s="3177"/>
      <c r="B38" s="3177"/>
      <c r="C38" s="2144" t="s">
        <v>156</v>
      </c>
      <c r="D38" s="2141">
        <f>'Ввод данных'!C117</f>
        <v>0</v>
      </c>
      <c r="E38" s="2129">
        <f>'Ввод данных'!D117</f>
        <v>0</v>
      </c>
      <c r="F38" s="938">
        <f t="shared" si="0"/>
        <v>0</v>
      </c>
      <c r="G38" s="2131"/>
      <c r="H38" s="2135"/>
      <c r="I38" s="2131"/>
      <c r="J38" s="2131"/>
      <c r="K38" s="1195"/>
      <c r="L38" s="1195"/>
      <c r="M38" s="1195"/>
      <c r="N38" s="1195"/>
      <c r="O38" s="1195"/>
      <c r="P38" s="1195"/>
      <c r="Q38" s="1195"/>
      <c r="R38" s="1195"/>
    </row>
    <row r="39" spans="1:18" ht="16">
      <c r="A39" s="3177"/>
      <c r="B39" s="3177"/>
      <c r="C39" s="2144" t="s">
        <v>156</v>
      </c>
      <c r="D39" s="2141">
        <f>'Ввод данных'!C118</f>
        <v>0</v>
      </c>
      <c r="E39" s="2129">
        <f>'Ввод данных'!D118</f>
        <v>0</v>
      </c>
      <c r="F39" s="938">
        <f t="shared" si="0"/>
        <v>0</v>
      </c>
      <c r="G39" s="2131"/>
      <c r="H39" s="2135"/>
      <c r="I39" s="2135"/>
      <c r="J39" s="2131"/>
      <c r="K39" s="1195"/>
      <c r="L39" s="1195"/>
      <c r="M39" s="1195"/>
      <c r="N39" s="1195"/>
      <c r="O39" s="1195"/>
      <c r="P39" s="1195"/>
      <c r="Q39" s="1195"/>
      <c r="R39" s="1195"/>
    </row>
    <row r="40" spans="1:18" ht="16">
      <c r="A40" s="3177"/>
      <c r="B40" s="3177"/>
      <c r="C40" s="2144" t="s">
        <v>156</v>
      </c>
      <c r="D40" s="2141">
        <f>'Ввод данных'!C119</f>
        <v>0</v>
      </c>
      <c r="E40" s="2129">
        <f>'Ввод данных'!D119</f>
        <v>0</v>
      </c>
      <c r="F40" s="938">
        <f t="shared" si="0"/>
        <v>0</v>
      </c>
      <c r="G40" s="2131"/>
      <c r="H40" s="2135"/>
      <c r="I40" s="2131"/>
      <c r="J40" s="2131"/>
      <c r="K40" s="1195"/>
      <c r="L40" s="1195"/>
      <c r="M40" s="1195"/>
      <c r="N40" s="1195"/>
      <c r="O40" s="1195"/>
      <c r="P40" s="1195"/>
      <c r="Q40" s="1195"/>
      <c r="R40" s="1195"/>
    </row>
    <row r="41" spans="1:18" ht="15.5" customHeight="1">
      <c r="A41" s="3177" t="s">
        <v>1867</v>
      </c>
      <c r="B41" s="3177"/>
      <c r="C41" s="2144" t="s">
        <v>156</v>
      </c>
      <c r="D41" s="2141">
        <f>'Ввод данных'!C120</f>
        <v>0</v>
      </c>
      <c r="E41" s="2129">
        <f>'Ввод данных'!D120</f>
        <v>0</v>
      </c>
      <c r="F41" s="938">
        <f t="shared" si="0"/>
        <v>0</v>
      </c>
      <c r="G41" s="2131"/>
      <c r="H41" s="2135"/>
      <c r="I41" s="2131"/>
      <c r="J41" s="2131"/>
      <c r="K41" s="1195"/>
      <c r="L41" s="1195"/>
      <c r="M41" s="1195"/>
      <c r="N41" s="1195"/>
      <c r="O41" s="1195"/>
      <c r="P41" s="1195"/>
      <c r="Q41" s="1195"/>
      <c r="R41" s="1195"/>
    </row>
    <row r="42" spans="1:18" ht="16">
      <c r="A42" s="3177"/>
      <c r="B42" s="3177"/>
      <c r="C42" s="2144" t="s">
        <v>156</v>
      </c>
      <c r="D42" s="2141">
        <f>'Ввод данных'!C121</f>
        <v>0</v>
      </c>
      <c r="E42" s="2129">
        <f>'Ввод данных'!D121</f>
        <v>0</v>
      </c>
      <c r="F42" s="938">
        <f t="shared" si="0"/>
        <v>0</v>
      </c>
      <c r="G42" s="2131"/>
      <c r="H42" s="2135"/>
      <c r="I42" s="2131"/>
      <c r="J42" s="2131"/>
      <c r="K42" s="1195"/>
      <c r="L42" s="1195"/>
      <c r="M42" s="1195"/>
      <c r="N42" s="1195"/>
      <c r="O42" s="1195"/>
      <c r="P42" s="1195"/>
      <c r="Q42" s="1195"/>
      <c r="R42" s="1195"/>
    </row>
    <row r="43" spans="1:18" ht="16">
      <c r="A43" s="3177"/>
      <c r="B43" s="3177"/>
      <c r="C43" s="2144" t="s">
        <v>156</v>
      </c>
      <c r="D43" s="2141">
        <f>'Ввод данных'!C122</f>
        <v>0</v>
      </c>
      <c r="E43" s="2129">
        <f>'Ввод данных'!D122</f>
        <v>0</v>
      </c>
      <c r="F43" s="938">
        <f t="shared" si="0"/>
        <v>0</v>
      </c>
      <c r="G43" s="2131"/>
      <c r="H43" s="2135"/>
      <c r="I43" s="2145"/>
      <c r="J43" s="2131"/>
      <c r="K43" s="1195"/>
      <c r="L43" s="1195"/>
      <c r="M43" s="1195"/>
      <c r="N43" s="1195"/>
      <c r="O43" s="1195"/>
      <c r="P43" s="1195"/>
      <c r="Q43" s="1195"/>
      <c r="R43" s="1195"/>
    </row>
    <row r="44" spans="1:18" ht="16">
      <c r="A44" s="3177"/>
      <c r="B44" s="3177"/>
      <c r="C44" s="2144" t="s">
        <v>156</v>
      </c>
      <c r="D44" s="2141">
        <f>'Ввод данных'!C123</f>
        <v>0</v>
      </c>
      <c r="E44" s="2129">
        <f>'Ввод данных'!D123</f>
        <v>0</v>
      </c>
      <c r="F44" s="938">
        <f t="shared" si="0"/>
        <v>0</v>
      </c>
      <c r="G44" s="2131"/>
      <c r="H44" s="2135"/>
      <c r="I44" s="2131"/>
      <c r="J44" s="2131"/>
      <c r="K44" s="1195"/>
      <c r="L44" s="1195"/>
      <c r="M44" s="1195"/>
      <c r="N44" s="1195"/>
      <c r="O44" s="1195"/>
      <c r="P44" s="1195"/>
      <c r="Q44" s="1195"/>
      <c r="R44" s="1195"/>
    </row>
    <row r="45" spans="1:18" ht="15.5" customHeight="1">
      <c r="A45" s="3177" t="s">
        <v>1869</v>
      </c>
      <c r="B45" s="3177"/>
      <c r="C45" s="2144" t="s">
        <v>156</v>
      </c>
      <c r="D45" s="2141">
        <f>'Ввод данных'!C124</f>
        <v>3</v>
      </c>
      <c r="E45" s="2129">
        <f>'Ввод данных'!D124</f>
        <v>2</v>
      </c>
      <c r="F45" s="938">
        <f t="shared" si="0"/>
        <v>6</v>
      </c>
      <c r="G45" s="2131"/>
      <c r="H45" s="2135"/>
      <c r="I45" s="2131"/>
      <c r="J45" s="2131"/>
      <c r="K45" s="1195"/>
      <c r="L45" s="1195"/>
      <c r="M45" s="1195"/>
      <c r="N45" s="1195"/>
      <c r="O45" s="1195"/>
      <c r="P45" s="1195"/>
      <c r="Q45" s="1195"/>
      <c r="R45" s="1195"/>
    </row>
    <row r="46" spans="1:18" ht="16">
      <c r="A46" s="3177"/>
      <c r="B46" s="3177"/>
      <c r="C46" s="2144" t="s">
        <v>156</v>
      </c>
      <c r="D46" s="2141">
        <f>'Ввод данных'!C125</f>
        <v>0</v>
      </c>
      <c r="E46" s="2129">
        <f>'Ввод данных'!D125</f>
        <v>0</v>
      </c>
      <c r="F46" s="938">
        <f t="shared" si="0"/>
        <v>0</v>
      </c>
      <c r="G46" s="2131"/>
      <c r="H46" s="2146"/>
      <c r="I46" s="2131"/>
      <c r="J46" s="2131"/>
      <c r="K46" s="1195"/>
      <c r="L46" s="1195"/>
      <c r="M46" s="1195"/>
      <c r="N46" s="1195"/>
      <c r="O46" s="1195"/>
      <c r="P46" s="1195"/>
      <c r="Q46" s="1195"/>
      <c r="R46" s="1195"/>
    </row>
    <row r="47" spans="1:18" ht="16">
      <c r="A47" s="3177"/>
      <c r="B47" s="3177"/>
      <c r="C47" s="2144" t="s">
        <v>156</v>
      </c>
      <c r="D47" s="2141">
        <f>'Ввод данных'!C126</f>
        <v>0</v>
      </c>
      <c r="E47" s="2129">
        <f>'Ввод данных'!D126</f>
        <v>0</v>
      </c>
      <c r="F47" s="938">
        <f t="shared" si="0"/>
        <v>0</v>
      </c>
      <c r="G47" s="2131"/>
      <c r="H47" s="2146"/>
      <c r="I47" s="2131"/>
      <c r="J47" s="2131"/>
      <c r="K47" s="1195"/>
      <c r="L47" s="1195"/>
      <c r="M47" s="1195"/>
      <c r="N47" s="1195"/>
      <c r="O47" s="1195"/>
      <c r="P47" s="1195"/>
      <c r="Q47" s="1195"/>
      <c r="R47" s="1195"/>
    </row>
    <row r="48" spans="1:18" ht="16">
      <c r="A48" s="3177"/>
      <c r="B48" s="3177"/>
      <c r="C48" s="2144" t="s">
        <v>156</v>
      </c>
      <c r="D48" s="2141">
        <f>'Ввод данных'!C127</f>
        <v>0</v>
      </c>
      <c r="E48" s="2129">
        <f>'Ввод данных'!D127</f>
        <v>0</v>
      </c>
      <c r="F48" s="938">
        <f t="shared" si="0"/>
        <v>0</v>
      </c>
      <c r="G48" s="2131"/>
      <c r="H48" s="2146"/>
      <c r="I48" s="2131"/>
      <c r="J48" s="2131"/>
      <c r="K48" s="1195"/>
      <c r="L48" s="1195"/>
      <c r="M48" s="1195"/>
      <c r="N48" s="1195"/>
      <c r="O48" s="1195"/>
      <c r="P48" s="1195"/>
      <c r="Q48" s="1195"/>
      <c r="R48" s="1195"/>
    </row>
    <row r="49" spans="1:18" ht="15.5" customHeight="1">
      <c r="A49" s="3177" t="s">
        <v>1870</v>
      </c>
      <c r="B49" s="3177"/>
      <c r="C49" s="2144" t="s">
        <v>156</v>
      </c>
      <c r="D49" s="2141">
        <f>'Ввод данных'!C128</f>
        <v>3.5</v>
      </c>
      <c r="E49" s="2129">
        <f>'Ввод данных'!D128</f>
        <v>1</v>
      </c>
      <c r="F49" s="938">
        <f t="shared" si="0"/>
        <v>3.5</v>
      </c>
      <c r="G49" s="2147"/>
      <c r="H49" s="2148"/>
      <c r="I49" s="3178" t="s">
        <v>1906</v>
      </c>
      <c r="J49" s="2131"/>
      <c r="K49" s="1195"/>
      <c r="L49" s="1195"/>
      <c r="M49" s="1195"/>
      <c r="N49" s="1195"/>
      <c r="O49" s="1195"/>
      <c r="P49" s="1195"/>
      <c r="Q49" s="1195"/>
      <c r="R49" s="1195"/>
    </row>
    <row r="50" spans="1:18" ht="16">
      <c r="A50" s="3177"/>
      <c r="B50" s="3177"/>
      <c r="C50" s="2144" t="s">
        <v>156</v>
      </c>
      <c r="D50" s="2141">
        <f>'Ввод данных'!C129</f>
        <v>0</v>
      </c>
      <c r="E50" s="2129">
        <f>'Ввод данных'!D129</f>
        <v>0</v>
      </c>
      <c r="F50" s="938">
        <f t="shared" si="0"/>
        <v>0</v>
      </c>
      <c r="G50" s="2147"/>
      <c r="H50" s="2148"/>
      <c r="I50" s="3178"/>
      <c r="J50" s="2131"/>
      <c r="K50" s="1195"/>
      <c r="L50" s="1195"/>
      <c r="M50" s="1195"/>
      <c r="N50" s="1195"/>
      <c r="O50" s="1195"/>
      <c r="P50" s="1195"/>
      <c r="Q50" s="1195"/>
      <c r="R50" s="1195"/>
    </row>
    <row r="51" spans="1:18" ht="16">
      <c r="A51" s="3177"/>
      <c r="B51" s="3177"/>
      <c r="C51" s="2144" t="s">
        <v>156</v>
      </c>
      <c r="D51" s="2141">
        <f>'Ввод данных'!C130</f>
        <v>0</v>
      </c>
      <c r="E51" s="2129">
        <f>'Ввод данных'!D130</f>
        <v>0</v>
      </c>
      <c r="F51" s="938">
        <f t="shared" si="0"/>
        <v>0</v>
      </c>
      <c r="G51" s="2147"/>
      <c r="H51" s="2148"/>
      <c r="I51" s="3178"/>
      <c r="J51" s="2131"/>
      <c r="K51" s="1195"/>
      <c r="L51" s="1195"/>
      <c r="M51" s="1195"/>
      <c r="N51" s="1195"/>
      <c r="O51" s="1195"/>
      <c r="P51" s="1195"/>
      <c r="Q51" s="1195"/>
      <c r="R51" s="1195"/>
    </row>
    <row r="52" spans="1:18" ht="16">
      <c r="A52" s="3177"/>
      <c r="B52" s="3177"/>
      <c r="C52" s="2144" t="s">
        <v>156</v>
      </c>
      <c r="D52" s="2141">
        <f>'Ввод данных'!C131</f>
        <v>0</v>
      </c>
      <c r="E52" s="2129">
        <f>'Ввод данных'!D131</f>
        <v>0</v>
      </c>
      <c r="F52" s="938">
        <f t="shared" si="0"/>
        <v>0</v>
      </c>
      <c r="G52" s="2149"/>
      <c r="H52" s="2149"/>
      <c r="I52" s="3178"/>
      <c r="J52" s="2131"/>
      <c r="K52" s="1195"/>
      <c r="L52" s="1195"/>
      <c r="M52" s="1195"/>
      <c r="N52" s="1195"/>
      <c r="O52" s="1195"/>
      <c r="P52" s="1195"/>
      <c r="Q52" s="1195"/>
      <c r="R52" s="1195"/>
    </row>
    <row r="53" spans="1:18" ht="15.5" customHeight="1">
      <c r="A53" s="3177" t="s">
        <v>1872</v>
      </c>
      <c r="B53" s="3177"/>
      <c r="C53" s="2144" t="s">
        <v>156</v>
      </c>
      <c r="D53" s="2141">
        <f>'Ввод данных'!C132</f>
        <v>0</v>
      </c>
      <c r="E53" s="2129">
        <f>'Ввод данных'!D132</f>
        <v>0</v>
      </c>
      <c r="F53" s="938">
        <f t="shared" si="0"/>
        <v>0</v>
      </c>
      <c r="G53" s="2131"/>
      <c r="H53" s="2146"/>
      <c r="I53" s="3178"/>
      <c r="J53" s="2131"/>
      <c r="K53" s="1195"/>
      <c r="L53" s="1195"/>
      <c r="M53" s="1195"/>
      <c r="N53" s="1195"/>
      <c r="O53" s="1195"/>
      <c r="P53" s="1195"/>
      <c r="Q53" s="1195"/>
      <c r="R53" s="1195"/>
    </row>
    <row r="54" spans="1:18" ht="16">
      <c r="A54" s="3177"/>
      <c r="B54" s="3177"/>
      <c r="C54" s="2144" t="s">
        <v>156</v>
      </c>
      <c r="D54" s="2141">
        <f>'Ввод данных'!C133</f>
        <v>0</v>
      </c>
      <c r="E54" s="2129">
        <f>'Ввод данных'!D133</f>
        <v>0</v>
      </c>
      <c r="F54" s="938">
        <f t="shared" si="0"/>
        <v>0</v>
      </c>
      <c r="G54" s="2131"/>
      <c r="H54" s="2146"/>
      <c r="I54" s="3178"/>
      <c r="J54" s="2131"/>
      <c r="K54" s="1195"/>
      <c r="L54" s="1195"/>
      <c r="M54" s="1195"/>
      <c r="N54" s="1195"/>
      <c r="O54" s="1195"/>
      <c r="P54" s="1195"/>
      <c r="Q54" s="1195"/>
      <c r="R54" s="1195"/>
    </row>
    <row r="55" spans="1:18" ht="16">
      <c r="A55" s="3177"/>
      <c r="B55" s="3177"/>
      <c r="C55" s="2144" t="s">
        <v>156</v>
      </c>
      <c r="D55" s="2141">
        <f>'Ввод данных'!C134</f>
        <v>0</v>
      </c>
      <c r="E55" s="2129">
        <f>'Ввод данных'!D134</f>
        <v>0</v>
      </c>
      <c r="F55" s="938">
        <f t="shared" si="0"/>
        <v>0</v>
      </c>
      <c r="G55" s="2131"/>
      <c r="H55" s="2146"/>
      <c r="I55" s="3178"/>
      <c r="J55" s="2131"/>
      <c r="K55" s="1195"/>
      <c r="L55" s="1195"/>
      <c r="M55" s="1195"/>
      <c r="N55" s="1195"/>
      <c r="O55" s="1195"/>
      <c r="P55" s="1195"/>
      <c r="Q55" s="1195"/>
      <c r="R55" s="1195"/>
    </row>
    <row r="56" spans="1:18" ht="16">
      <c r="A56" s="3177"/>
      <c r="B56" s="3177"/>
      <c r="C56" s="2144" t="s">
        <v>156</v>
      </c>
      <c r="D56" s="2141">
        <f>'Ввод данных'!C135</f>
        <v>0</v>
      </c>
      <c r="E56" s="2129">
        <f>'Ввод данных'!D135</f>
        <v>0</v>
      </c>
      <c r="F56" s="938">
        <f t="shared" si="0"/>
        <v>0</v>
      </c>
      <c r="G56" s="2131"/>
      <c r="H56" s="2150"/>
      <c r="I56" s="3178"/>
      <c r="J56" s="2131"/>
      <c r="K56" s="1195"/>
      <c r="L56" s="1195"/>
      <c r="M56" s="1195"/>
      <c r="N56" s="1195"/>
      <c r="O56" s="1195"/>
      <c r="P56" s="1195"/>
      <c r="Q56" s="1195"/>
      <c r="R56" s="1195"/>
    </row>
    <row r="57" spans="1:18" ht="15.5" customHeight="1">
      <c r="A57" s="3177" t="s">
        <v>1875</v>
      </c>
      <c r="B57" s="3177"/>
      <c r="C57" s="2144" t="s">
        <v>156</v>
      </c>
      <c r="D57" s="2141">
        <f>'Ввод данных'!C136</f>
        <v>4</v>
      </c>
      <c r="E57" s="2129">
        <f>'Ввод данных'!D136</f>
        <v>1</v>
      </c>
      <c r="F57" s="938">
        <f t="shared" si="0"/>
        <v>4</v>
      </c>
      <c r="G57" s="2131"/>
      <c r="H57" s="2150"/>
      <c r="I57" s="2131"/>
      <c r="J57" s="2131"/>
      <c r="K57" s="1195"/>
      <c r="L57" s="1195"/>
      <c r="M57" s="1195"/>
      <c r="N57" s="1195"/>
      <c r="O57" s="1195"/>
      <c r="P57" s="1195"/>
      <c r="Q57" s="1195"/>
      <c r="R57" s="1195"/>
    </row>
    <row r="58" spans="1:18" ht="16">
      <c r="A58" s="3177"/>
      <c r="B58" s="3177"/>
      <c r="C58" s="2144" t="s">
        <v>156</v>
      </c>
      <c r="D58" s="2141">
        <f>'Ввод данных'!C137</f>
        <v>2</v>
      </c>
      <c r="E58" s="2129">
        <f>'Ввод данных'!D137</f>
        <v>1</v>
      </c>
      <c r="F58" s="938">
        <f t="shared" si="0"/>
        <v>2</v>
      </c>
      <c r="G58" s="2131"/>
      <c r="H58" s="2150"/>
      <c r="I58" s="2131"/>
      <c r="J58" s="2131"/>
      <c r="K58" s="1195"/>
      <c r="L58" s="1195"/>
      <c r="M58" s="1195"/>
      <c r="N58" s="1195"/>
      <c r="O58" s="1195"/>
      <c r="P58" s="1195"/>
      <c r="Q58" s="1195"/>
      <c r="R58" s="1195"/>
    </row>
    <row r="59" spans="1:18" ht="16">
      <c r="A59" s="3177"/>
      <c r="B59" s="3177"/>
      <c r="C59" s="2144" t="s">
        <v>156</v>
      </c>
      <c r="D59" s="2141">
        <f>'Ввод данных'!C138</f>
        <v>3</v>
      </c>
      <c r="E59" s="2129">
        <f>'Ввод данных'!D138</f>
        <v>1</v>
      </c>
      <c r="F59" s="938">
        <f t="shared" si="0"/>
        <v>3</v>
      </c>
      <c r="G59" s="2131"/>
      <c r="H59" s="2150"/>
      <c r="I59" s="2131"/>
      <c r="J59" s="2131"/>
      <c r="K59" s="1195"/>
      <c r="L59" s="1195"/>
      <c r="M59" s="1195"/>
      <c r="N59" s="1195"/>
      <c r="O59" s="1195"/>
      <c r="P59" s="1195"/>
      <c r="Q59" s="1195"/>
      <c r="R59" s="1195"/>
    </row>
    <row r="60" spans="1:18" ht="16">
      <c r="A60" s="3177"/>
      <c r="B60" s="3177"/>
      <c r="C60" s="2144" t="s">
        <v>156</v>
      </c>
      <c r="D60" s="2141">
        <f>'Ввод данных'!C139</f>
        <v>0</v>
      </c>
      <c r="E60" s="2129">
        <f>'Ввод данных'!D139</f>
        <v>0</v>
      </c>
      <c r="F60" s="938">
        <f t="shared" si="0"/>
        <v>0</v>
      </c>
      <c r="G60" s="2131"/>
      <c r="H60" s="2150"/>
      <c r="I60" s="2145"/>
      <c r="J60" s="2131"/>
      <c r="K60" s="1195"/>
      <c r="L60" s="1195"/>
      <c r="M60" s="1195"/>
      <c r="N60" s="1195"/>
      <c r="O60" s="1195"/>
      <c r="P60" s="1195"/>
      <c r="Q60" s="1195"/>
      <c r="R60" s="1195"/>
    </row>
    <row r="61" spans="1:18" ht="15.5" customHeight="1">
      <c r="A61" s="3177" t="s">
        <v>1880</v>
      </c>
      <c r="B61" s="3177"/>
      <c r="C61" s="2144" t="s">
        <v>156</v>
      </c>
      <c r="D61" s="2141">
        <f>'Ввод данных'!C140</f>
        <v>0</v>
      </c>
      <c r="E61" s="2129">
        <f>'Ввод данных'!D140</f>
        <v>0</v>
      </c>
      <c r="F61" s="938">
        <f t="shared" si="0"/>
        <v>0</v>
      </c>
      <c r="G61" s="2131"/>
      <c r="H61" s="2150"/>
      <c r="I61" s="2131"/>
      <c r="J61" s="2151"/>
      <c r="K61" s="1195"/>
      <c r="L61" s="1195"/>
      <c r="M61" s="1195"/>
      <c r="N61" s="1195"/>
      <c r="O61" s="1195"/>
      <c r="P61" s="1195"/>
      <c r="Q61" s="1195"/>
      <c r="R61" s="1195"/>
    </row>
    <row r="62" spans="1:18" ht="16">
      <c r="A62" s="3177"/>
      <c r="B62" s="3177"/>
      <c r="C62" s="2144" t="s">
        <v>156</v>
      </c>
      <c r="D62" s="2141">
        <f>'Ввод данных'!C141</f>
        <v>0</v>
      </c>
      <c r="E62" s="2129">
        <f>'Ввод данных'!D141</f>
        <v>0</v>
      </c>
      <c r="F62" s="938">
        <f t="shared" si="0"/>
        <v>0</v>
      </c>
      <c r="G62" s="2131"/>
      <c r="H62" s="2150"/>
      <c r="I62" s="2145"/>
      <c r="J62" s="2151"/>
      <c r="K62" s="1195"/>
      <c r="L62" s="1195"/>
      <c r="M62" s="1195"/>
      <c r="N62" s="1195"/>
      <c r="O62" s="1195"/>
      <c r="P62" s="1195"/>
      <c r="Q62" s="1195"/>
      <c r="R62" s="1195"/>
    </row>
    <row r="63" spans="1:18" ht="16">
      <c r="A63" s="3177"/>
      <c r="B63" s="3177"/>
      <c r="C63" s="2144" t="s">
        <v>156</v>
      </c>
      <c r="D63" s="2141">
        <f>'Ввод данных'!C142</f>
        <v>0</v>
      </c>
      <c r="E63" s="2129">
        <f>'Ввод данных'!D142</f>
        <v>0</v>
      </c>
      <c r="F63" s="938">
        <f t="shared" si="0"/>
        <v>0</v>
      </c>
      <c r="G63" s="2131"/>
      <c r="H63" s="2150"/>
      <c r="I63" s="2131"/>
      <c r="J63" s="2131"/>
      <c r="K63" s="1195"/>
      <c r="L63" s="1195"/>
      <c r="M63" s="1195"/>
      <c r="N63" s="1195"/>
      <c r="O63" s="1195"/>
      <c r="P63" s="1195"/>
      <c r="Q63" s="1195"/>
      <c r="R63" s="1195"/>
    </row>
    <row r="64" spans="1:18" ht="16">
      <c r="A64" s="3177"/>
      <c r="B64" s="3177"/>
      <c r="C64" s="2144" t="s">
        <v>156</v>
      </c>
      <c r="D64" s="2141">
        <f>'Ввод данных'!C143</f>
        <v>0</v>
      </c>
      <c r="E64" s="2129">
        <f>'Ввод данных'!D143</f>
        <v>0</v>
      </c>
      <c r="F64" s="938">
        <f t="shared" si="0"/>
        <v>0</v>
      </c>
      <c r="G64" s="2131"/>
      <c r="H64" s="2150"/>
      <c r="I64" s="2131"/>
      <c r="J64" s="2131"/>
      <c r="K64" s="1195"/>
      <c r="L64" s="1195"/>
      <c r="M64" s="1195"/>
      <c r="N64" s="1195"/>
      <c r="O64" s="1195"/>
      <c r="P64" s="1195"/>
      <c r="Q64" s="1195"/>
      <c r="R64" s="1195"/>
    </row>
    <row r="65" spans="1:18" ht="15.5" customHeight="1">
      <c r="A65" s="3179" t="s">
        <v>3875</v>
      </c>
      <c r="B65" s="3179"/>
      <c r="C65" s="938" t="s">
        <v>133</v>
      </c>
      <c r="D65" s="939">
        <f>(E3+E4+E3+E4)*E5+(E3+E4+E3+E4)*E6+(E3/2)*E8*2*E9+(E3+E4+E3+E4)*E11*F11+(E3+E4+E3+E4)*E12*F12+(E3+E4+E3+E4)*E13*F13</f>
        <v>168</v>
      </c>
      <c r="E65" s="927"/>
      <c r="F65" s="2151"/>
      <c r="G65" s="2131"/>
      <c r="H65" s="2150"/>
      <c r="I65" s="2131"/>
      <c r="J65" s="2131"/>
      <c r="K65" s="1195"/>
      <c r="L65" s="1195"/>
      <c r="M65" s="1195"/>
      <c r="N65" s="1195"/>
      <c r="O65" s="1195"/>
      <c r="P65" s="1195"/>
      <c r="Q65" s="1195"/>
      <c r="R65" s="1195"/>
    </row>
    <row r="66" spans="1:18" ht="15.5" customHeight="1">
      <c r="A66" s="3179" t="s">
        <v>3876</v>
      </c>
      <c r="B66" s="3179"/>
      <c r="C66" s="938" t="s">
        <v>133</v>
      </c>
      <c r="D66" s="939">
        <f>D65-G30-G19</f>
        <v>166.8</v>
      </c>
      <c r="E66" s="927"/>
      <c r="F66" s="2151"/>
      <c r="G66" s="2131"/>
      <c r="H66" s="2150"/>
      <c r="I66" s="2131"/>
      <c r="J66" s="2131"/>
      <c r="K66" s="1195"/>
      <c r="L66" s="1195"/>
      <c r="M66" s="1195"/>
      <c r="N66" s="1195"/>
      <c r="O66" s="1195"/>
      <c r="P66" s="1195"/>
      <c r="Q66" s="1195"/>
      <c r="R66" s="1195"/>
    </row>
    <row r="67" spans="1:18" ht="15.5" customHeight="1">
      <c r="A67" s="3179" t="s">
        <v>2908</v>
      </c>
      <c r="B67" s="3179"/>
      <c r="C67" s="938" t="s">
        <v>133</v>
      </c>
      <c r="D67" s="939" t="e">
        <f>(F33+F34+F35+F36+F41+F42+F43+F44)*E5+(F49+F50+F51+F52)*(E2-1)*E7+(F57+F58+F59+F60)*((E6+E7)/1.7)*(E2-1)</f>
        <v>#REF!</v>
      </c>
      <c r="E67" s="927"/>
      <c r="F67" s="2151"/>
      <c r="G67" s="2131"/>
      <c r="H67" s="2150"/>
      <c r="I67" s="2131"/>
      <c r="J67" s="2131"/>
      <c r="K67" s="1195"/>
      <c r="L67" s="1195"/>
      <c r="M67" s="1195"/>
      <c r="N67" s="1195"/>
      <c r="O67" s="1195"/>
      <c r="P67" s="1195"/>
      <c r="Q67" s="1195"/>
      <c r="R67" s="1195"/>
    </row>
    <row r="68" spans="1:18" ht="15.5" customHeight="1">
      <c r="A68" s="3179" t="s">
        <v>2909</v>
      </c>
      <c r="B68" s="3179"/>
      <c r="C68" s="938" t="s">
        <v>133</v>
      </c>
      <c r="D68" s="939" t="e">
        <f>(F37+F38+F39+F40+F45+F46+F47+F48)*E5+(F53+F54+F55+F56)*(E2-1)*E7+(F61+F62+F63+F64)*((E6+E7)/1.7)*(E2-1)</f>
        <v>#REF!</v>
      </c>
      <c r="E68" s="927"/>
      <c r="F68" s="2151"/>
      <c r="G68" s="2131"/>
      <c r="H68" s="2150"/>
      <c r="I68" s="2131"/>
      <c r="J68" s="2131"/>
      <c r="K68" s="1195"/>
      <c r="L68" s="1195"/>
      <c r="M68" s="1195"/>
      <c r="N68" s="1195"/>
      <c r="O68" s="1195"/>
      <c r="P68" s="1195"/>
      <c r="Q68" s="1195"/>
      <c r="R68" s="1195"/>
    </row>
    <row r="69" spans="1:18" ht="16">
      <c r="A69" s="3180" t="s">
        <v>2910</v>
      </c>
      <c r="B69" s="3180"/>
      <c r="C69" s="938" t="s">
        <v>133</v>
      </c>
      <c r="D69" s="939" t="e">
        <f>(D68+D67)-G25</f>
        <v>#REF!</v>
      </c>
      <c r="E69" s="927"/>
      <c r="F69" s="2151"/>
      <c r="G69" s="2131"/>
      <c r="H69" s="2150"/>
      <c r="I69" s="2131"/>
      <c r="J69" s="2131"/>
      <c r="K69" s="1195"/>
      <c r="L69" s="1195"/>
      <c r="M69" s="1195"/>
      <c r="N69" s="1195"/>
      <c r="O69" s="1195"/>
      <c r="P69" s="1195"/>
      <c r="Q69" s="1195"/>
      <c r="R69" s="1195"/>
    </row>
    <row r="70" spans="1:18" ht="15.5" customHeight="1">
      <c r="A70" s="3179" t="s">
        <v>3877</v>
      </c>
      <c r="B70" s="3179"/>
      <c r="C70" s="486" t="s">
        <v>133</v>
      </c>
      <c r="D70" s="488" t="e">
        <f>D66+D69</f>
        <v>#REF!</v>
      </c>
      <c r="E70" s="366"/>
      <c r="F70" s="452"/>
      <c r="G70" s="354"/>
      <c r="H70" s="2150"/>
      <c r="I70" s="354"/>
      <c r="J70" s="354"/>
      <c r="K70" s="1195"/>
      <c r="L70" s="1195"/>
      <c r="M70" s="1195"/>
      <c r="N70" s="1195"/>
      <c r="O70" s="1195"/>
      <c r="P70" s="1195"/>
      <c r="Q70" s="1195"/>
      <c r="R70" s="1195"/>
    </row>
    <row r="71" spans="1:18" ht="16">
      <c r="A71" s="3181" t="s">
        <v>2635</v>
      </c>
      <c r="B71" s="3181"/>
      <c r="C71" s="3181"/>
      <c r="D71" s="3181"/>
      <c r="E71" s="3181"/>
      <c r="F71" s="2139">
        <f>дома!J12</f>
        <v>1</v>
      </c>
      <c r="G71" s="2130" t="s">
        <v>3568</v>
      </c>
      <c r="H71" s="2150"/>
      <c r="I71" s="354"/>
      <c r="J71" s="354"/>
      <c r="K71" s="1195"/>
      <c r="L71" s="1195"/>
      <c r="M71" s="1195"/>
      <c r="N71" s="1195"/>
      <c r="O71" s="1195"/>
      <c r="P71" s="1195"/>
      <c r="Q71" s="1195"/>
      <c r="R71" s="1195"/>
    </row>
    <row r="72" spans="1:18" ht="16">
      <c r="A72" s="3139" t="s">
        <v>3426</v>
      </c>
      <c r="B72" s="3139"/>
      <c r="C72" s="2154" t="s">
        <v>156</v>
      </c>
      <c r="D72" s="2155">
        <f>E3+E3+E4+E4+F33+F34+F35+F36+F41+F42+F43+F44</f>
        <v>56</v>
      </c>
      <c r="E72" s="2130"/>
      <c r="F72" s="2130"/>
      <c r="G72" s="1276"/>
      <c r="H72" s="2150"/>
      <c r="I72" s="354"/>
      <c r="J72" s="354"/>
      <c r="K72" s="1195"/>
      <c r="L72" s="1195"/>
      <c r="M72" s="1195"/>
      <c r="N72" s="1195"/>
      <c r="O72" s="1195"/>
      <c r="P72" s="1195"/>
      <c r="Q72" s="1195"/>
      <c r="R72" s="1195"/>
    </row>
    <row r="73" spans="1:18" ht="16">
      <c r="A73" s="3139" t="s">
        <v>3427</v>
      </c>
      <c r="B73" s="3139"/>
      <c r="C73" s="965" t="s">
        <v>133</v>
      </c>
      <c r="D73" s="2156" t="e">
        <f>E3*E4*E2</f>
        <v>#REF!</v>
      </c>
      <c r="E73" s="2130"/>
      <c r="F73" s="2130"/>
      <c r="G73" s="1276"/>
      <c r="H73" s="2150"/>
      <c r="I73" s="354"/>
      <c r="J73" s="354"/>
      <c r="K73" s="1195"/>
      <c r="L73" s="1195"/>
      <c r="M73" s="1195"/>
      <c r="N73" s="1195"/>
      <c r="O73" s="1195"/>
      <c r="P73" s="1195"/>
      <c r="Q73" s="1195"/>
      <c r="R73" s="1195"/>
    </row>
    <row r="74" spans="1:18" ht="16">
      <c r="A74" s="2157"/>
      <c r="B74" s="2157"/>
      <c r="C74" s="2158"/>
      <c r="D74" s="2130"/>
      <c r="E74" s="2130"/>
      <c r="F74" s="2130"/>
      <c r="G74" s="1276"/>
      <c r="H74" s="2150"/>
      <c r="I74" s="354"/>
      <c r="J74" s="354"/>
      <c r="K74" s="1195"/>
      <c r="L74" s="1195"/>
      <c r="M74" s="1195"/>
      <c r="N74" s="1195"/>
      <c r="O74" s="1195"/>
      <c r="P74" s="1195"/>
      <c r="Q74" s="1195"/>
      <c r="R74" s="1195"/>
    </row>
    <row r="75" spans="1:18" ht="16">
      <c r="A75" s="2159"/>
      <c r="B75" s="2159"/>
      <c r="C75" s="452"/>
      <c r="D75" s="366"/>
      <c r="E75" s="366"/>
      <c r="F75" s="452"/>
      <c r="G75" s="354"/>
      <c r="H75" s="2150"/>
      <c r="I75" s="354"/>
      <c r="J75" s="354"/>
      <c r="K75" s="1195"/>
      <c r="L75" s="1195"/>
      <c r="M75" s="1195"/>
      <c r="N75" s="1195"/>
      <c r="O75" s="1195"/>
      <c r="P75" s="1195"/>
      <c r="Q75" s="1195"/>
      <c r="R75" s="1195"/>
    </row>
    <row r="76" spans="1:18" ht="16">
      <c r="A76" s="3147" t="s">
        <v>1925</v>
      </c>
      <c r="B76" s="3147"/>
      <c r="C76" s="3147"/>
      <c r="D76" s="3147"/>
      <c r="E76" s="3147"/>
      <c r="F76" s="3147"/>
      <c r="G76" s="975" t="str">
        <f>'Ввод данных'!F237</f>
        <v>Не считать</v>
      </c>
      <c r="H76" s="354" t="s">
        <v>3823</v>
      </c>
      <c r="I76" s="354"/>
      <c r="J76" s="354"/>
      <c r="K76" s="1195"/>
      <c r="L76" s="1195"/>
      <c r="M76" s="1195"/>
      <c r="N76" s="1195"/>
      <c r="O76" s="1195"/>
      <c r="P76" s="1195"/>
      <c r="Q76" s="1195"/>
      <c r="R76" s="1195"/>
    </row>
    <row r="77" spans="1:18" ht="16">
      <c r="A77" s="3128" t="s">
        <v>2705</v>
      </c>
      <c r="B77" s="3128"/>
      <c r="C77" s="3128"/>
      <c r="D77" s="2160" t="s">
        <v>156</v>
      </c>
      <c r="E77" s="2160">
        <f>E80*4+E79*2</f>
        <v>47.724357521861535</v>
      </c>
      <c r="F77" s="2139"/>
      <c r="G77" s="354"/>
      <c r="H77" s="2146"/>
      <c r="I77" s="354"/>
      <c r="J77" s="354"/>
      <c r="K77" s="1195"/>
      <c r="L77" s="1195"/>
      <c r="M77" s="1195"/>
      <c r="N77" s="1195"/>
      <c r="O77" s="1195"/>
      <c r="P77" s="1195"/>
      <c r="Q77" s="1195"/>
      <c r="R77" s="1195"/>
    </row>
    <row r="78" spans="1:18" ht="16">
      <c r="A78" s="3120" t="s">
        <v>3441</v>
      </c>
      <c r="B78" s="3120"/>
      <c r="C78" s="3120"/>
      <c r="D78" s="3120"/>
      <c r="E78" s="1291">
        <f>E8</f>
        <v>4.8</v>
      </c>
      <c r="F78" s="354"/>
      <c r="G78" s="354"/>
      <c r="H78" s="2146"/>
      <c r="I78" s="354"/>
      <c r="J78" s="354"/>
      <c r="K78" s="1195"/>
      <c r="L78" s="1195"/>
      <c r="M78" s="1195"/>
      <c r="N78" s="1195"/>
      <c r="O78" s="1195"/>
      <c r="P78" s="1195"/>
      <c r="Q78" s="1195"/>
      <c r="R78" s="1195"/>
    </row>
    <row r="79" spans="1:18" ht="16">
      <c r="A79" s="3081" t="s">
        <v>2743</v>
      </c>
      <c r="B79" s="3081"/>
      <c r="C79" s="3081"/>
      <c r="D79" s="263" t="s">
        <v>156</v>
      </c>
      <c r="E79" s="263">
        <f>E4</f>
        <v>10</v>
      </c>
      <c r="F79" s="480"/>
      <c r="G79" s="354"/>
      <c r="H79" s="2146"/>
      <c r="I79" s="354"/>
      <c r="J79" s="354"/>
      <c r="K79" s="1195"/>
      <c r="L79" s="1195"/>
      <c r="M79" s="1195"/>
      <c r="N79" s="1195"/>
      <c r="O79" s="1195"/>
      <c r="P79" s="1195"/>
      <c r="Q79" s="1195"/>
      <c r="R79" s="1195"/>
    </row>
    <row r="80" spans="1:18" ht="16">
      <c r="A80" s="3081" t="s">
        <v>2600</v>
      </c>
      <c r="B80" s="3081"/>
      <c r="C80" s="3081"/>
      <c r="D80" s="263" t="s">
        <v>156</v>
      </c>
      <c r="E80" s="263">
        <f>SQRT((E3/2)*(E3/2)+E8*E8)</f>
        <v>6.9310893804653828</v>
      </c>
      <c r="F80" s="480"/>
      <c r="G80" s="354"/>
      <c r="H80" s="2146"/>
      <c r="I80" s="354"/>
      <c r="J80" s="354"/>
      <c r="K80" s="1195"/>
      <c r="L80" s="1195"/>
      <c r="M80" s="1195"/>
      <c r="N80" s="1195"/>
      <c r="O80" s="1195"/>
      <c r="P80" s="1195"/>
      <c r="Q80" s="1195"/>
      <c r="R80" s="1195"/>
    </row>
    <row r="81" spans="1:18" ht="16">
      <c r="A81" s="3081" t="s">
        <v>1927</v>
      </c>
      <c r="B81" s="3081"/>
      <c r="C81" s="3081"/>
      <c r="D81" s="263" t="s">
        <v>156</v>
      </c>
      <c r="E81" s="2129">
        <f>'Ввод данных'!C206</f>
        <v>0.5</v>
      </c>
      <c r="F81" s="2161"/>
      <c r="G81" s="354"/>
      <c r="H81" s="2146"/>
      <c r="I81" s="354"/>
      <c r="J81" s="354"/>
      <c r="K81" s="1195"/>
      <c r="L81" s="1195"/>
      <c r="M81" s="1195"/>
      <c r="N81" s="1195"/>
      <c r="O81" s="1195"/>
      <c r="P81" s="1195"/>
      <c r="Q81" s="1195"/>
      <c r="R81" s="1195"/>
    </row>
    <row r="82" spans="1:18" ht="16">
      <c r="A82" s="3081" t="s">
        <v>1896</v>
      </c>
      <c r="B82" s="3081"/>
      <c r="C82" s="3081"/>
      <c r="D82" s="263" t="s">
        <v>156</v>
      </c>
      <c r="E82" s="2129">
        <f>'Ввод данных'!C208</f>
        <v>0.8</v>
      </c>
      <c r="F82" s="2161"/>
      <c r="G82" s="354"/>
      <c r="H82" s="2146"/>
      <c r="I82" s="354"/>
      <c r="J82" s="354"/>
      <c r="K82" s="1195"/>
      <c r="L82" s="1195"/>
      <c r="M82" s="1195"/>
      <c r="N82" s="1195"/>
      <c r="O82" s="1195"/>
      <c r="P82" s="1195"/>
      <c r="Q82" s="1195"/>
      <c r="R82" s="1195"/>
    </row>
    <row r="83" spans="1:18" ht="16">
      <c r="A83" s="3119" t="s">
        <v>2765</v>
      </c>
      <c r="B83" s="3119"/>
      <c r="C83" s="3119"/>
      <c r="D83" s="486" t="s">
        <v>156</v>
      </c>
      <c r="E83" s="1291">
        <f>E80+E82</f>
        <v>7.7310893804653826</v>
      </c>
      <c r="F83" s="354"/>
      <c r="G83" s="354"/>
      <c r="H83" s="2146"/>
      <c r="I83" s="354"/>
      <c r="J83" s="354"/>
      <c r="K83" s="1195"/>
      <c r="L83" s="1195"/>
      <c r="M83" s="1195"/>
      <c r="N83" s="1195"/>
      <c r="O83" s="1195"/>
      <c r="P83" s="1195"/>
      <c r="Q83" s="1195"/>
      <c r="R83" s="1195"/>
    </row>
    <row r="84" spans="1:18" ht="16">
      <c r="A84" s="3119" t="s">
        <v>2768</v>
      </c>
      <c r="B84" s="3119"/>
      <c r="C84" s="3119"/>
      <c r="D84" s="486" t="s">
        <v>156</v>
      </c>
      <c r="E84" s="1291">
        <f>E79+E81+E81</f>
        <v>11</v>
      </c>
      <c r="F84" s="354"/>
      <c r="G84" s="354"/>
      <c r="H84" s="2146"/>
      <c r="I84" s="354"/>
      <c r="J84" s="354"/>
      <c r="K84" s="1195"/>
      <c r="L84" s="1195"/>
      <c r="M84" s="1195"/>
      <c r="N84" s="1195"/>
      <c r="O84" s="1195"/>
      <c r="P84" s="1195"/>
      <c r="Q84" s="1195"/>
      <c r="R84" s="1195"/>
    </row>
    <row r="85" spans="1:18" ht="16">
      <c r="A85" s="3081" t="s">
        <v>2773</v>
      </c>
      <c r="B85" s="3081"/>
      <c r="C85" s="3081"/>
      <c r="D85" s="263" t="s">
        <v>133</v>
      </c>
      <c r="E85" s="263">
        <f>E80*E79*2</f>
        <v>138.62178760930766</v>
      </c>
      <c r="F85" s="2161"/>
      <c r="G85" s="354"/>
      <c r="H85" s="2146"/>
      <c r="I85" s="354"/>
      <c r="J85" s="354"/>
      <c r="K85" s="1195"/>
      <c r="L85" s="1195"/>
      <c r="M85" s="1195"/>
      <c r="N85" s="1195"/>
      <c r="O85" s="1195"/>
      <c r="P85" s="1195"/>
      <c r="Q85" s="1195"/>
      <c r="R85" s="1195"/>
    </row>
    <row r="86" spans="1:18" ht="16">
      <c r="A86" s="3081" t="s">
        <v>2766</v>
      </c>
      <c r="B86" s="3081"/>
      <c r="C86" s="3081"/>
      <c r="D86" s="263" t="s">
        <v>133</v>
      </c>
      <c r="E86" s="263">
        <f>(E80*E81)*4+(E79+E81+E81)*E82*2</f>
        <v>31.462178760930769</v>
      </c>
      <c r="F86" s="618"/>
      <c r="G86" s="354"/>
      <c r="H86" s="2146"/>
      <c r="I86" s="354"/>
      <c r="J86" s="354"/>
      <c r="K86" s="1195"/>
      <c r="L86" s="1195"/>
      <c r="M86" s="1195"/>
      <c r="N86" s="1195"/>
      <c r="O86" s="1195"/>
      <c r="P86" s="1195"/>
      <c r="Q86" s="1195"/>
      <c r="R86" s="1195"/>
    </row>
    <row r="87" spans="1:18" ht="16">
      <c r="A87" s="3081" t="s">
        <v>2781</v>
      </c>
      <c r="B87" s="3081"/>
      <c r="C87" s="3081"/>
      <c r="D87" s="263" t="s">
        <v>133</v>
      </c>
      <c r="E87" s="263">
        <f>E85+E86</f>
        <v>170.08396637023844</v>
      </c>
      <c r="F87" s="618"/>
      <c r="G87" s="354"/>
      <c r="H87" s="2146"/>
      <c r="I87" s="354"/>
      <c r="J87" s="354"/>
      <c r="K87" s="1195"/>
      <c r="L87" s="1195"/>
      <c r="M87" s="1195"/>
      <c r="N87" s="1195"/>
      <c r="O87" s="1195"/>
      <c r="P87" s="1195"/>
      <c r="Q87" s="1195"/>
      <c r="R87" s="1195"/>
    </row>
    <row r="88" spans="1:18" ht="16">
      <c r="A88" s="486" t="s">
        <v>2774</v>
      </c>
      <c r="B88" s="486"/>
      <c r="C88" s="486"/>
      <c r="D88" s="486" t="s">
        <v>133</v>
      </c>
      <c r="E88" s="486">
        <f>E87*1.2</f>
        <v>204.10075964428611</v>
      </c>
      <c r="F88" s="354"/>
      <c r="G88" s="354"/>
      <c r="H88" s="2146"/>
      <c r="I88" s="354"/>
      <c r="J88" s="354"/>
      <c r="K88" s="1195"/>
      <c r="L88" s="1195"/>
      <c r="M88" s="1195"/>
      <c r="N88" s="1195"/>
      <c r="O88" s="1195"/>
      <c r="P88" s="1195"/>
      <c r="Q88" s="1195"/>
      <c r="R88" s="1195"/>
    </row>
    <row r="89" spans="1:18" ht="16">
      <c r="A89" s="548" t="s">
        <v>2628</v>
      </c>
      <c r="B89" s="746"/>
      <c r="C89" s="786"/>
      <c r="D89" s="486" t="s">
        <v>1820</v>
      </c>
      <c r="E89" s="486"/>
      <c r="F89" s="2139"/>
      <c r="G89" s="354"/>
      <c r="H89" s="2146"/>
      <c r="I89" s="354"/>
      <c r="J89" s="354"/>
      <c r="K89" s="1195"/>
      <c r="L89" s="1195"/>
      <c r="M89" s="1195"/>
      <c r="N89" s="1195"/>
      <c r="O89" s="1195"/>
      <c r="P89" s="1195"/>
      <c r="Q89" s="1195"/>
      <c r="R89" s="1195"/>
    </row>
    <row r="90" spans="1:18" ht="16">
      <c r="A90" s="1061" t="s">
        <v>3518</v>
      </c>
      <c r="B90" s="2162"/>
      <c r="C90" s="2163"/>
      <c r="D90" s="263" t="s">
        <v>156</v>
      </c>
      <c r="E90" s="263">
        <v>0.15</v>
      </c>
      <c r="F90" s="2139"/>
      <c r="G90" s="354"/>
      <c r="H90" s="2146"/>
      <c r="I90" s="354"/>
      <c r="J90" s="354"/>
      <c r="K90" s="1195"/>
      <c r="L90" s="1195"/>
      <c r="M90" s="1195"/>
      <c r="N90" s="1195"/>
      <c r="O90" s="1195"/>
      <c r="P90" s="1195"/>
      <c r="Q90" s="1195"/>
      <c r="R90" s="1195"/>
    </row>
    <row r="91" spans="1:18" ht="16">
      <c r="A91" s="1056"/>
      <c r="B91" s="2164"/>
      <c r="C91" s="2165"/>
      <c r="D91" s="263" t="s">
        <v>156</v>
      </c>
      <c r="E91" s="263">
        <v>0.2</v>
      </c>
      <c r="F91" s="2139"/>
      <c r="G91" s="424"/>
      <c r="H91" s="2146"/>
      <c r="I91" s="424"/>
      <c r="J91" s="424"/>
      <c r="K91" s="1195"/>
      <c r="L91" s="1195"/>
      <c r="M91" s="1195"/>
      <c r="N91" s="1195"/>
      <c r="O91" s="1195"/>
      <c r="P91" s="1195"/>
      <c r="Q91" s="1195"/>
      <c r="R91" s="1195"/>
    </row>
    <row r="92" spans="1:18" ht="16">
      <c r="A92" s="1061" t="s">
        <v>2632</v>
      </c>
      <c r="B92" s="2162"/>
      <c r="C92" s="2163"/>
      <c r="D92" s="263" t="s">
        <v>156</v>
      </c>
      <c r="E92" s="263">
        <v>0.15</v>
      </c>
      <c r="F92" s="2139"/>
      <c r="G92" s="424"/>
      <c r="H92" s="2146"/>
      <c r="I92" s="424"/>
      <c r="J92" s="424"/>
      <c r="K92" s="1195"/>
      <c r="L92" s="1195"/>
      <c r="M92" s="1195"/>
      <c r="N92" s="1195"/>
      <c r="O92" s="1195"/>
      <c r="P92" s="1195"/>
      <c r="Q92" s="1195"/>
      <c r="R92" s="1195"/>
    </row>
    <row r="93" spans="1:18" ht="16">
      <c r="A93" s="1056"/>
      <c r="B93" s="2164"/>
      <c r="C93" s="2165"/>
      <c r="D93" s="263" t="s">
        <v>156</v>
      </c>
      <c r="E93" s="263">
        <v>0.2</v>
      </c>
      <c r="F93" s="2139"/>
      <c r="G93" s="424"/>
      <c r="H93" s="2146"/>
      <c r="I93" s="424"/>
      <c r="J93" s="424"/>
      <c r="K93" s="1195"/>
      <c r="L93" s="1195"/>
      <c r="M93" s="1195"/>
      <c r="N93" s="1195"/>
      <c r="O93" s="1195"/>
      <c r="P93" s="1195"/>
      <c r="Q93" s="1195"/>
      <c r="R93" s="1195"/>
    </row>
    <row r="94" spans="1:18" ht="16">
      <c r="A94" s="424"/>
      <c r="B94" s="424"/>
      <c r="C94" s="424"/>
      <c r="D94" s="424"/>
      <c r="E94" s="424"/>
      <c r="F94" s="424"/>
      <c r="G94" s="424"/>
      <c r="H94" s="2146"/>
      <c r="I94" s="424"/>
      <c r="J94" s="424"/>
      <c r="K94" s="1195"/>
      <c r="L94" s="1195"/>
      <c r="M94" s="1195"/>
      <c r="N94" s="1195"/>
      <c r="O94" s="1195"/>
      <c r="P94" s="1195"/>
      <c r="Q94" s="1195"/>
      <c r="R94" s="1195"/>
    </row>
    <row r="95" spans="1:18" ht="16">
      <c r="A95" s="424"/>
      <c r="B95" s="424"/>
      <c r="C95" s="424"/>
      <c r="D95" s="424"/>
      <c r="E95" s="424"/>
      <c r="F95" s="424"/>
      <c r="G95" s="424"/>
      <c r="H95" s="2146"/>
      <c r="I95" s="424"/>
      <c r="J95" s="424"/>
      <c r="K95" s="1195"/>
      <c r="L95" s="1195"/>
      <c r="M95" s="1195"/>
      <c r="N95" s="1195"/>
      <c r="O95" s="1195"/>
      <c r="P95" s="1195"/>
      <c r="Q95" s="1195"/>
      <c r="R95" s="1195"/>
    </row>
    <row r="96" spans="1:18" ht="16">
      <c r="A96" s="3147" t="s">
        <v>1942</v>
      </c>
      <c r="B96" s="3147"/>
      <c r="C96" s="3147"/>
      <c r="D96" s="3147"/>
      <c r="E96" s="3147"/>
      <c r="F96" s="3147"/>
      <c r="G96" s="975" t="str">
        <f>'Ввод данных'!F273</f>
        <v>Не считать</v>
      </c>
      <c r="H96" s="354" t="s">
        <v>3878</v>
      </c>
      <c r="I96" s="424"/>
      <c r="J96" s="424"/>
      <c r="K96" s="1195"/>
      <c r="L96" s="1195"/>
      <c r="M96" s="1195"/>
      <c r="N96" s="1195"/>
      <c r="O96" s="1195"/>
      <c r="P96" s="1195"/>
      <c r="Q96" s="1195"/>
      <c r="R96" s="1195"/>
    </row>
    <row r="97" spans="1:18" ht="24">
      <c r="A97" s="3128" t="s">
        <v>2705</v>
      </c>
      <c r="B97" s="3128"/>
      <c r="C97" s="3128"/>
      <c r="D97" s="1238" t="s">
        <v>156</v>
      </c>
      <c r="E97" s="2166">
        <f>E3+E4+E3+E4</f>
        <v>40</v>
      </c>
      <c r="F97" s="2167"/>
      <c r="G97" s="2168"/>
      <c r="H97" s="2146"/>
      <c r="I97" s="424"/>
      <c r="J97" s="424"/>
      <c r="K97" s="1195"/>
      <c r="L97" s="1195"/>
      <c r="M97" s="1195"/>
      <c r="N97" s="1195"/>
      <c r="O97" s="1195"/>
      <c r="P97" s="1195"/>
      <c r="Q97" s="1195"/>
      <c r="R97" s="1195"/>
    </row>
    <row r="98" spans="1:18" ht="16">
      <c r="A98" s="3119" t="s">
        <v>2739</v>
      </c>
      <c r="B98" s="3119"/>
      <c r="C98" s="3119"/>
      <c r="D98" s="699" t="s">
        <v>156</v>
      </c>
      <c r="E98" s="2169">
        <f>E4</f>
        <v>10</v>
      </c>
      <c r="F98" s="424"/>
      <c r="G98" s="424"/>
      <c r="H98" s="2170"/>
      <c r="I98" s="424"/>
      <c r="J98" s="424"/>
      <c r="K98" s="1195"/>
      <c r="L98" s="1195"/>
      <c r="M98" s="1195"/>
      <c r="N98" s="1195"/>
      <c r="O98" s="1195"/>
      <c r="P98" s="1195"/>
      <c r="Q98" s="1195"/>
      <c r="R98" s="1195"/>
    </row>
    <row r="99" spans="1:18" ht="16">
      <c r="A99" s="3119" t="s">
        <v>2744</v>
      </c>
      <c r="B99" s="3119"/>
      <c r="C99" s="3119"/>
      <c r="D99" s="699" t="s">
        <v>156</v>
      </c>
      <c r="E99" s="2169">
        <f>E3</f>
        <v>10</v>
      </c>
      <c r="F99" s="425"/>
      <c r="G99" s="425"/>
      <c r="H99" s="2170"/>
      <c r="I99" s="424"/>
      <c r="J99" s="424"/>
      <c r="K99" s="1195"/>
      <c r="L99" s="1195"/>
      <c r="M99" s="1195"/>
      <c r="N99" s="1195"/>
      <c r="O99" s="1195"/>
      <c r="P99" s="1195"/>
      <c r="Q99" s="1195"/>
      <c r="R99" s="1195"/>
    </row>
    <row r="100" spans="1:18" ht="16">
      <c r="A100" s="3120" t="s">
        <v>3441</v>
      </c>
      <c r="B100" s="3120"/>
      <c r="C100" s="3120"/>
      <c r="D100" s="3120"/>
      <c r="E100" s="2171">
        <f>E8</f>
        <v>4.8</v>
      </c>
      <c r="F100" s="425"/>
      <c r="G100" s="425"/>
      <c r="H100" s="2170"/>
      <c r="I100" s="424"/>
      <c r="J100" s="424"/>
      <c r="K100" s="1195"/>
      <c r="L100" s="1195"/>
      <c r="M100" s="1195"/>
      <c r="N100" s="1195"/>
      <c r="O100" s="1195"/>
      <c r="P100" s="1195"/>
      <c r="Q100" s="1195"/>
      <c r="R100" s="1195"/>
    </row>
    <row r="101" spans="1:18" ht="16">
      <c r="A101" s="3081" t="s">
        <v>1943</v>
      </c>
      <c r="B101" s="3081"/>
      <c r="C101" s="3081"/>
      <c r="D101" s="261" t="s">
        <v>156</v>
      </c>
      <c r="E101" s="2129">
        <f>'Ввод данных'!C248</f>
        <v>5</v>
      </c>
      <c r="F101" s="2053"/>
      <c r="G101" s="2053"/>
      <c r="H101" s="2170"/>
      <c r="I101" s="424"/>
      <c r="J101" s="424"/>
      <c r="K101" s="1195"/>
      <c r="L101" s="1195"/>
      <c r="M101" s="1195"/>
      <c r="N101" s="1195"/>
      <c r="O101" s="1195"/>
      <c r="P101" s="1195"/>
      <c r="Q101" s="1195"/>
      <c r="R101" s="1195"/>
    </row>
    <row r="102" spans="1:18" ht="16">
      <c r="A102" s="3081" t="s">
        <v>2752</v>
      </c>
      <c r="B102" s="3081"/>
      <c r="C102" s="3081"/>
      <c r="D102" s="261" t="s">
        <v>156</v>
      </c>
      <c r="E102" s="2172">
        <f>SQRT(E100*E100+((E99/2)+E104)*((E99/2)+E104))</f>
        <v>7.3</v>
      </c>
      <c r="F102" s="2053"/>
      <c r="G102" s="2053"/>
      <c r="H102" s="2170"/>
      <c r="I102" s="424"/>
      <c r="J102" s="424"/>
      <c r="K102" s="1195"/>
      <c r="L102" s="1195"/>
      <c r="M102" s="1195"/>
      <c r="N102" s="1195"/>
      <c r="O102" s="1195"/>
      <c r="P102" s="1195"/>
      <c r="Q102" s="1195"/>
      <c r="R102" s="1195"/>
    </row>
    <row r="103" spans="1:18" ht="16">
      <c r="A103" s="3081" t="s">
        <v>2755</v>
      </c>
      <c r="B103" s="3081"/>
      <c r="C103" s="3081"/>
      <c r="D103" s="261" t="s">
        <v>156</v>
      </c>
      <c r="E103" s="2172">
        <f>SQRT(E100*E100+((E98-E101)/2)*((E98-E101)/2))</f>
        <v>5.4120236510939232</v>
      </c>
      <c r="F103" s="2173"/>
      <c r="G103" s="2174"/>
      <c r="H103" s="2170"/>
      <c r="I103" s="424"/>
      <c r="J103" s="424"/>
      <c r="K103" s="1195"/>
      <c r="L103" s="1195"/>
      <c r="M103" s="1195"/>
      <c r="N103" s="1195"/>
      <c r="O103" s="1195"/>
      <c r="P103" s="1195"/>
      <c r="Q103" s="1195"/>
      <c r="R103" s="1195"/>
    </row>
    <row r="104" spans="1:18" ht="16">
      <c r="A104" s="3081" t="s">
        <v>1927</v>
      </c>
      <c r="B104" s="3081"/>
      <c r="C104" s="3081"/>
      <c r="D104" s="261" t="s">
        <v>156</v>
      </c>
      <c r="E104" s="2129">
        <f>'Ввод данных'!C249</f>
        <v>0.5</v>
      </c>
      <c r="F104" s="2173"/>
      <c r="G104" s="2174"/>
      <c r="H104" s="2170"/>
      <c r="I104" s="424"/>
      <c r="J104" s="424"/>
      <c r="K104" s="1195"/>
      <c r="L104" s="1195"/>
      <c r="M104" s="1195"/>
      <c r="N104" s="1195"/>
      <c r="O104" s="1195"/>
      <c r="P104" s="1195"/>
      <c r="Q104" s="1195"/>
      <c r="R104" s="1195"/>
    </row>
    <row r="105" spans="1:18" ht="16">
      <c r="A105" s="3081" t="s">
        <v>1896</v>
      </c>
      <c r="B105" s="3081"/>
      <c r="C105" s="3081"/>
      <c r="D105" s="261" t="s">
        <v>156</v>
      </c>
      <c r="E105" s="2129">
        <f>'Ввод данных'!C250</f>
        <v>0.5</v>
      </c>
      <c r="F105" s="2173"/>
      <c r="G105" s="2174"/>
      <c r="H105" s="2170"/>
      <c r="I105" s="424"/>
      <c r="J105" s="424"/>
      <c r="K105" s="1195"/>
      <c r="L105" s="1195"/>
      <c r="M105" s="1195"/>
      <c r="N105" s="1195"/>
      <c r="O105" s="1195"/>
      <c r="P105" s="1195"/>
      <c r="Q105" s="1195"/>
      <c r="R105" s="1195"/>
    </row>
    <row r="106" spans="1:18" ht="16">
      <c r="A106" s="3119" t="s">
        <v>2757</v>
      </c>
      <c r="B106" s="3119"/>
      <c r="C106" s="3119"/>
      <c r="D106" s="699" t="s">
        <v>156</v>
      </c>
      <c r="E106" s="2169">
        <f>SQRT(G103*G103+((E99/2)+E104)*((E99/2)+E104))</f>
        <v>5.5</v>
      </c>
      <c r="F106" s="425"/>
      <c r="G106" s="425"/>
      <c r="H106" s="2170"/>
      <c r="I106" s="424"/>
      <c r="J106" s="424"/>
      <c r="K106" s="1195"/>
      <c r="L106" s="1195"/>
      <c r="M106" s="1195"/>
      <c r="N106" s="1195"/>
      <c r="O106" s="1195"/>
      <c r="P106" s="1195"/>
      <c r="Q106" s="1195"/>
      <c r="R106" s="1195"/>
    </row>
    <row r="107" spans="1:18" ht="16">
      <c r="A107" s="3081" t="s">
        <v>2766</v>
      </c>
      <c r="B107" s="3081"/>
      <c r="C107" s="3081"/>
      <c r="D107" s="261" t="s">
        <v>133</v>
      </c>
      <c r="E107" s="2172">
        <f>(E99+E104+E104)*E105*2+E98*2*E104</f>
        <v>21</v>
      </c>
      <c r="F107" s="2175"/>
      <c r="G107" s="2174"/>
      <c r="H107" s="2170"/>
      <c r="I107" s="354"/>
      <c r="J107" s="354"/>
      <c r="K107" s="1195"/>
      <c r="L107" s="1195"/>
      <c r="M107" s="1195"/>
      <c r="N107" s="1195"/>
      <c r="O107" s="1195"/>
      <c r="P107" s="1195"/>
      <c r="Q107" s="1195"/>
      <c r="R107" s="1195"/>
    </row>
    <row r="108" spans="1:18" ht="16">
      <c r="A108" s="3081" t="s">
        <v>2769</v>
      </c>
      <c r="B108" s="3081"/>
      <c r="C108" s="3081"/>
      <c r="D108" s="699" t="s">
        <v>133</v>
      </c>
      <c r="E108" s="2169">
        <f>((E99/2)+E104)*E103*2+((E98+E105+E105-E101)/2)*((E98+E105+E105-E101)/2)*4+E101*E102*2</f>
        <v>168.53226016203314</v>
      </c>
      <c r="F108" s="424"/>
      <c r="G108" s="424"/>
      <c r="H108" s="2170"/>
      <c r="I108" s="354"/>
      <c r="J108" s="354"/>
      <c r="K108" s="1195"/>
      <c r="L108" s="1195"/>
      <c r="M108" s="1195"/>
      <c r="N108" s="1195"/>
      <c r="O108" s="1195"/>
      <c r="P108" s="1195"/>
      <c r="Q108" s="1195"/>
      <c r="R108" s="1195"/>
    </row>
    <row r="109" spans="1:18" ht="16">
      <c r="A109" s="3081" t="s">
        <v>2774</v>
      </c>
      <c r="B109" s="3081"/>
      <c r="C109" s="3081"/>
      <c r="D109" s="261" t="s">
        <v>133</v>
      </c>
      <c r="E109" s="2172">
        <f>E108*1.5</f>
        <v>252.79839024304971</v>
      </c>
      <c r="F109" s="2139"/>
      <c r="G109" s="2174"/>
      <c r="H109" s="2170"/>
      <c r="I109" s="354"/>
      <c r="J109" s="354"/>
      <c r="K109" s="1195"/>
      <c r="L109" s="1195"/>
      <c r="M109" s="1195"/>
      <c r="N109" s="1195"/>
      <c r="O109" s="1195"/>
      <c r="P109" s="1195"/>
      <c r="Q109" s="1195"/>
      <c r="R109" s="1195"/>
    </row>
    <row r="110" spans="1:18" ht="16">
      <c r="A110" s="3119" t="s">
        <v>2628</v>
      </c>
      <c r="B110" s="3119"/>
      <c r="C110" s="3119"/>
      <c r="D110" s="704" t="s">
        <v>1820</v>
      </c>
      <c r="E110" s="2171"/>
      <c r="F110" s="2139"/>
      <c r="G110" s="2174"/>
      <c r="H110" s="2170"/>
      <c r="I110" s="354"/>
      <c r="J110" s="354"/>
      <c r="K110" s="1195"/>
      <c r="L110" s="1195"/>
      <c r="M110" s="1195"/>
      <c r="N110" s="1195"/>
      <c r="O110" s="1195"/>
      <c r="P110" s="1195"/>
      <c r="Q110" s="1195"/>
      <c r="R110" s="1195"/>
    </row>
    <row r="111" spans="1:18" ht="16">
      <c r="A111" s="3080" t="s">
        <v>3518</v>
      </c>
      <c r="B111" s="3080"/>
      <c r="C111" s="3080"/>
      <c r="D111" s="263" t="s">
        <v>156</v>
      </c>
      <c r="E111" s="1057">
        <v>0.15</v>
      </c>
      <c r="F111" s="2139"/>
      <c r="G111" s="2174"/>
      <c r="H111" s="2170"/>
      <c r="I111" s="354"/>
      <c r="J111" s="354"/>
      <c r="K111" s="1195"/>
      <c r="L111" s="1195"/>
      <c r="M111" s="1195"/>
      <c r="N111" s="1195"/>
      <c r="O111" s="1195"/>
      <c r="P111" s="1195"/>
      <c r="Q111" s="1195"/>
      <c r="R111" s="1195"/>
    </row>
    <row r="112" spans="1:18" ht="16">
      <c r="A112" s="3080"/>
      <c r="B112" s="3080"/>
      <c r="C112" s="3080"/>
      <c r="D112" s="263" t="s">
        <v>156</v>
      </c>
      <c r="E112" s="1057">
        <v>0.2</v>
      </c>
      <c r="F112" s="2139"/>
      <c r="G112" s="2174"/>
      <c r="H112" s="2170"/>
      <c r="I112" s="354"/>
      <c r="J112" s="354"/>
      <c r="K112" s="1195"/>
      <c r="L112" s="1195"/>
      <c r="M112" s="1195"/>
      <c r="N112" s="1195"/>
      <c r="O112" s="1195"/>
      <c r="P112" s="1195"/>
      <c r="Q112" s="1195"/>
      <c r="R112" s="1195"/>
    </row>
    <row r="113" spans="1:18" ht="16">
      <c r="A113" s="3080" t="s">
        <v>2632</v>
      </c>
      <c r="B113" s="3080"/>
      <c r="C113" s="3080"/>
      <c r="D113" s="263" t="s">
        <v>156</v>
      </c>
      <c r="E113" s="1057">
        <v>0.15</v>
      </c>
      <c r="F113" s="2139"/>
      <c r="G113" s="2174"/>
      <c r="H113" s="2146"/>
      <c r="I113" s="354"/>
      <c r="J113" s="354"/>
      <c r="K113" s="1195"/>
      <c r="L113" s="1195"/>
      <c r="M113" s="1195"/>
      <c r="N113" s="1195"/>
      <c r="O113" s="1195"/>
      <c r="P113" s="1195"/>
      <c r="Q113" s="1195"/>
      <c r="R113" s="1195"/>
    </row>
    <row r="114" spans="1:18" ht="16">
      <c r="A114" s="3080"/>
      <c r="B114" s="3080"/>
      <c r="C114" s="3080"/>
      <c r="D114" s="263" t="s">
        <v>156</v>
      </c>
      <c r="E114" s="1057">
        <v>0.2</v>
      </c>
      <c r="F114" s="2139"/>
      <c r="G114" s="2174"/>
      <c r="H114" s="2146"/>
      <c r="I114" s="354"/>
      <c r="J114" s="354"/>
      <c r="K114" s="1195"/>
      <c r="L114" s="1195"/>
      <c r="M114" s="1195"/>
      <c r="N114" s="1195"/>
      <c r="O114" s="1195"/>
      <c r="P114" s="1195"/>
      <c r="Q114" s="1195"/>
      <c r="R114" s="1195"/>
    </row>
    <row r="115" spans="1:18" ht="16">
      <c r="A115" s="490"/>
      <c r="B115" s="490"/>
      <c r="C115" s="490"/>
      <c r="D115" s="492"/>
      <c r="E115" s="513"/>
      <c r="F115" s="516"/>
      <c r="G115" s="2174"/>
      <c r="H115" s="2146"/>
      <c r="I115" s="354"/>
      <c r="J115" s="354"/>
      <c r="K115" s="1195"/>
      <c r="L115" s="1195"/>
      <c r="M115" s="1195"/>
      <c r="N115" s="1195"/>
      <c r="O115" s="1195"/>
      <c r="P115" s="1195"/>
      <c r="Q115" s="1195"/>
      <c r="R115" s="1195"/>
    </row>
    <row r="116" spans="1:18" ht="16">
      <c r="A116" s="490"/>
      <c r="B116" s="490"/>
      <c r="C116" s="490"/>
      <c r="D116" s="492"/>
      <c r="E116" s="513"/>
      <c r="F116" s="516"/>
      <c r="G116" s="2174"/>
      <c r="H116" s="2146"/>
      <c r="I116" s="354"/>
      <c r="J116" s="354"/>
      <c r="K116" s="1195"/>
      <c r="L116" s="1195"/>
      <c r="M116" s="1195"/>
      <c r="N116" s="1195"/>
      <c r="O116" s="1195"/>
      <c r="P116" s="1195"/>
      <c r="Q116" s="1195"/>
      <c r="R116" s="1195"/>
    </row>
    <row r="117" spans="1:18" ht="16">
      <c r="A117" s="354"/>
      <c r="B117" s="354"/>
      <c r="C117" s="354"/>
      <c r="D117" s="354"/>
      <c r="E117" s="354"/>
      <c r="F117" s="354"/>
      <c r="G117" s="2174"/>
      <c r="H117" s="2146"/>
      <c r="I117" s="354"/>
      <c r="J117" s="354"/>
      <c r="K117" s="1195"/>
      <c r="L117" s="1195"/>
      <c r="M117" s="1195"/>
      <c r="N117" s="1195"/>
      <c r="O117" s="1195"/>
      <c r="P117" s="1195"/>
      <c r="Q117" s="1195"/>
      <c r="R117" s="1195"/>
    </row>
    <row r="118" spans="1:18" ht="16">
      <c r="A118" s="492"/>
      <c r="B118" s="492"/>
      <c r="C118" s="941"/>
      <c r="D118" s="2176"/>
      <c r="E118" s="2176"/>
      <c r="F118" s="452"/>
      <c r="G118" s="354"/>
      <c r="H118" s="2170"/>
      <c r="I118" s="354"/>
      <c r="J118" s="354"/>
      <c r="K118" s="1195"/>
      <c r="L118" s="1195"/>
      <c r="M118" s="1195"/>
      <c r="N118" s="1195"/>
      <c r="O118" s="1195"/>
      <c r="P118" s="1195"/>
      <c r="Q118" s="1195"/>
      <c r="R118" s="1195"/>
    </row>
    <row r="119" spans="1:18" ht="16">
      <c r="A119" s="3147" t="s">
        <v>1965</v>
      </c>
      <c r="B119" s="3147"/>
      <c r="C119" s="3147"/>
      <c r="D119" s="3147"/>
      <c r="E119" s="3147"/>
      <c r="F119" s="3147"/>
      <c r="G119" s="975" t="str">
        <f>'Ввод данных'!F353</f>
        <v>Не считать</v>
      </c>
      <c r="H119" s="354" t="s">
        <v>3879</v>
      </c>
      <c r="I119" s="354"/>
      <c r="J119" s="354"/>
      <c r="K119" s="1195"/>
      <c r="L119" s="1195"/>
      <c r="M119" s="1195"/>
      <c r="N119" s="1195"/>
      <c r="O119" s="1195"/>
      <c r="P119" s="1195"/>
      <c r="Q119" s="1195"/>
      <c r="R119" s="1195"/>
    </row>
    <row r="120" spans="1:18" ht="16">
      <c r="A120" s="3147" t="s">
        <v>1236</v>
      </c>
      <c r="B120" s="3147"/>
      <c r="C120" s="3147"/>
      <c r="D120" s="1208" t="s">
        <v>120</v>
      </c>
      <c r="E120" s="1208" t="s">
        <v>1802</v>
      </c>
      <c r="F120" s="1208"/>
      <c r="G120" s="366"/>
      <c r="H120" s="354"/>
      <c r="I120" s="354"/>
      <c r="J120" s="354"/>
      <c r="K120" s="1195"/>
      <c r="L120" s="1195"/>
      <c r="M120" s="1195"/>
      <c r="N120" s="1195"/>
      <c r="O120" s="1195"/>
      <c r="P120" s="1195"/>
      <c r="Q120" s="1195"/>
      <c r="R120" s="1195"/>
    </row>
    <row r="121" spans="1:18" ht="16">
      <c r="A121" s="3119" t="s">
        <v>2902</v>
      </c>
      <c r="B121" s="3119"/>
      <c r="C121" s="3119"/>
      <c r="D121" s="725" t="s">
        <v>159</v>
      </c>
      <c r="E121" s="486">
        <v>1</v>
      </c>
      <c r="F121" s="2139" t="e">
        <f>'Ввод данных'!#REF!</f>
        <v>#REF!</v>
      </c>
      <c r="G121" s="354"/>
      <c r="H121" s="354"/>
      <c r="I121" s="354"/>
      <c r="J121" s="354"/>
      <c r="K121" s="1195"/>
      <c r="L121" s="1195"/>
      <c r="M121" s="1195"/>
      <c r="N121" s="1195"/>
      <c r="O121" s="1195"/>
      <c r="P121" s="1195"/>
      <c r="Q121" s="1195"/>
      <c r="R121" s="1195"/>
    </row>
    <row r="122" spans="1:18" ht="24">
      <c r="A122" s="3182" t="s">
        <v>2903</v>
      </c>
      <c r="B122" s="3182"/>
      <c r="C122" s="3182"/>
      <c r="D122" s="1238" t="s">
        <v>159</v>
      </c>
      <c r="E122" s="2177">
        <v>1</v>
      </c>
      <c r="F122" s="2139" t="e">
        <f>'Ввод данных'!#REF!</f>
        <v>#REF!</v>
      </c>
      <c r="G122" s="2168"/>
      <c r="H122" s="2146"/>
      <c r="I122" s="354"/>
      <c r="J122" s="354"/>
      <c r="K122" s="1195"/>
      <c r="L122" s="1195"/>
      <c r="M122" s="1195"/>
      <c r="N122" s="1195"/>
      <c r="O122" s="1195"/>
      <c r="P122" s="1195"/>
      <c r="Q122" s="1195"/>
      <c r="R122" s="1195"/>
    </row>
    <row r="123" spans="1:18" ht="16">
      <c r="A123" s="3119" t="s">
        <v>1978</v>
      </c>
      <c r="B123" s="3119"/>
      <c r="C123" s="3119"/>
      <c r="D123" s="699" t="s">
        <v>156</v>
      </c>
      <c r="E123" s="2129">
        <f>'Ввод данных'!C331</f>
        <v>1</v>
      </c>
      <c r="F123" s="424"/>
      <c r="G123" s="424"/>
      <c r="H123" s="2170"/>
      <c r="I123" s="354"/>
      <c r="J123" s="354"/>
      <c r="K123" s="1195"/>
      <c r="L123" s="1195"/>
      <c r="M123" s="1195"/>
      <c r="N123" s="1195"/>
      <c r="O123" s="1195"/>
      <c r="P123" s="1195"/>
      <c r="Q123" s="1195"/>
      <c r="R123" s="1195"/>
    </row>
    <row r="124" spans="1:18" ht="16">
      <c r="A124" s="3119" t="s">
        <v>1979</v>
      </c>
      <c r="B124" s="3119"/>
      <c r="C124" s="3119"/>
      <c r="D124" s="699" t="s">
        <v>156</v>
      </c>
      <c r="E124" s="2129">
        <f>'Ввод данных'!C332</f>
        <v>2</v>
      </c>
      <c r="F124" s="425"/>
      <c r="G124" s="425"/>
      <c r="H124" s="2170"/>
      <c r="I124" s="354"/>
      <c r="J124" s="354"/>
      <c r="K124" s="2127"/>
      <c r="L124" s="1195"/>
      <c r="M124" s="1195"/>
      <c r="N124" s="1195"/>
      <c r="O124" s="1195"/>
      <c r="P124" s="1195"/>
      <c r="Q124" s="1195"/>
      <c r="R124" s="1195"/>
    </row>
    <row r="125" spans="1:18" ht="16">
      <c r="A125" s="3183" t="s">
        <v>3500</v>
      </c>
      <c r="B125" s="3183"/>
      <c r="C125" s="3183"/>
      <c r="D125" s="761" t="s">
        <v>156</v>
      </c>
      <c r="E125" s="2129">
        <f>'Ввод данных'!C329</f>
        <v>2</v>
      </c>
      <c r="F125" s="425"/>
      <c r="G125" s="425"/>
      <c r="H125" s="2170"/>
      <c r="I125" s="354"/>
      <c r="J125" s="354"/>
      <c r="K125" s="2130"/>
      <c r="L125" s="1195"/>
      <c r="M125" s="1195"/>
      <c r="N125" s="1195"/>
      <c r="O125" s="1195"/>
      <c r="P125" s="1195"/>
      <c r="Q125" s="1195"/>
      <c r="R125" s="1195"/>
    </row>
    <row r="126" spans="1:18" ht="16">
      <c r="A126" s="3081" t="s">
        <v>1943</v>
      </c>
      <c r="B126" s="3081"/>
      <c r="C126" s="3081"/>
      <c r="D126" s="261" t="s">
        <v>156</v>
      </c>
      <c r="E126" s="2129">
        <f>'Ввод данных'!C333</f>
        <v>2</v>
      </c>
      <c r="F126" s="2053"/>
      <c r="G126" s="2053"/>
      <c r="H126" s="2170"/>
      <c r="I126" s="354"/>
      <c r="J126" s="354"/>
      <c r="K126" s="2130"/>
      <c r="L126" s="1195"/>
      <c r="M126" s="1195"/>
      <c r="N126" s="1195"/>
      <c r="O126" s="1195"/>
      <c r="P126" s="1195"/>
      <c r="Q126" s="1195"/>
      <c r="R126" s="1195"/>
    </row>
    <row r="127" spans="1:18" ht="16">
      <c r="A127" s="3081" t="s">
        <v>3504</v>
      </c>
      <c r="B127" s="3081"/>
      <c r="C127" s="3081"/>
      <c r="D127" s="261" t="s">
        <v>156</v>
      </c>
      <c r="E127" s="2172">
        <f>SQRT((E124/2)*(E124/2)+E125*E125)</f>
        <v>2.2360679774997898</v>
      </c>
      <c r="F127" s="2053"/>
      <c r="G127" s="2053"/>
      <c r="H127" s="2170"/>
      <c r="I127" s="354"/>
      <c r="J127" s="354"/>
      <c r="K127" s="2130"/>
      <c r="L127" s="1195"/>
      <c r="M127" s="1195"/>
      <c r="N127" s="1195"/>
      <c r="O127" s="1195"/>
      <c r="P127" s="1195"/>
      <c r="Q127" s="1195"/>
      <c r="R127" s="1195"/>
    </row>
    <row r="128" spans="1:18" ht="16">
      <c r="A128" s="547" t="s">
        <v>3505</v>
      </c>
      <c r="B128" s="1233"/>
      <c r="C128" s="784"/>
      <c r="D128" s="699" t="s">
        <v>156</v>
      </c>
      <c r="E128" s="2169">
        <f>SQRT((E126-E123)*(E126-E123)+E127*E127)</f>
        <v>2.4494897427831783</v>
      </c>
      <c r="F128" s="2173"/>
      <c r="G128" s="2174"/>
      <c r="H128" s="2170"/>
      <c r="I128" s="354"/>
      <c r="J128" s="354"/>
      <c r="K128" s="2130"/>
      <c r="L128" s="1195"/>
      <c r="M128" s="1195"/>
      <c r="N128" s="1195"/>
      <c r="O128" s="1195"/>
      <c r="P128" s="1195"/>
      <c r="Q128" s="1195"/>
      <c r="R128" s="1195"/>
    </row>
    <row r="129" spans="1:18" ht="16">
      <c r="A129" s="547" t="s">
        <v>3507</v>
      </c>
      <c r="B129" s="1233"/>
      <c r="C129" s="784"/>
      <c r="D129" s="261" t="s">
        <v>156</v>
      </c>
      <c r="E129" s="2172">
        <f>SQRT(E126*E126+E127*E127)</f>
        <v>3</v>
      </c>
      <c r="F129" s="2173"/>
      <c r="G129" s="2174"/>
      <c r="H129" s="2170"/>
      <c r="I129" s="354"/>
      <c r="J129" s="354"/>
      <c r="K129" s="2130"/>
      <c r="L129" s="1195"/>
      <c r="M129" s="1195"/>
      <c r="N129" s="1195"/>
      <c r="O129" s="1195"/>
      <c r="P129" s="1195"/>
      <c r="Q129" s="1195"/>
      <c r="R129" s="1195"/>
    </row>
    <row r="130" spans="1:18" ht="16">
      <c r="A130" s="3081" t="s">
        <v>3508</v>
      </c>
      <c r="B130" s="3081"/>
      <c r="C130" s="3081"/>
      <c r="D130" s="261" t="s">
        <v>133</v>
      </c>
      <c r="E130" s="2172">
        <f>E127*(E126-E123)+E127*E123*2</f>
        <v>6.7082039324993694</v>
      </c>
      <c r="F130" s="2173"/>
      <c r="G130" s="2174"/>
      <c r="H130" s="2170"/>
      <c r="I130" s="354"/>
      <c r="J130" s="354"/>
      <c r="K130" s="927"/>
      <c r="L130" s="1195"/>
      <c r="M130" s="1195"/>
      <c r="N130" s="1195"/>
      <c r="O130" s="1195"/>
      <c r="P130" s="1195"/>
      <c r="Q130" s="1195"/>
      <c r="R130" s="1195"/>
    </row>
    <row r="131" spans="1:18" ht="16">
      <c r="A131" s="3119" t="s">
        <v>3880</v>
      </c>
      <c r="B131" s="3119"/>
      <c r="C131" s="3119"/>
      <c r="D131" s="725" t="s">
        <v>133</v>
      </c>
      <c r="E131" s="1291">
        <f>E127*E126</f>
        <v>4.4721359549995796</v>
      </c>
      <c r="F131" s="425"/>
      <c r="G131" s="425"/>
      <c r="H131" s="2170"/>
      <c r="I131" s="354"/>
      <c r="J131" s="354"/>
      <c r="K131" s="2130"/>
      <c r="L131" s="1195"/>
      <c r="M131" s="1195"/>
      <c r="N131" s="1195"/>
      <c r="O131" s="1195"/>
      <c r="P131" s="1195"/>
      <c r="Q131" s="1195"/>
      <c r="R131" s="1195"/>
    </row>
    <row r="132" spans="1:18" ht="16">
      <c r="A132" s="3119" t="s">
        <v>3510</v>
      </c>
      <c r="B132" s="3119"/>
      <c r="C132" s="3119"/>
      <c r="D132" s="725" t="s">
        <v>133</v>
      </c>
      <c r="E132" s="486">
        <f>SQRT(E129*E129-(E124/2)*(E124/2))</f>
        <v>2.8284271247461903</v>
      </c>
      <c r="F132" s="354"/>
      <c r="G132" s="2174"/>
      <c r="H132" s="2170"/>
      <c r="I132" s="354"/>
      <c r="J132" s="354"/>
      <c r="K132" s="2178"/>
      <c r="L132" s="1195"/>
      <c r="M132" s="1195"/>
      <c r="N132" s="1195"/>
      <c r="O132" s="1195"/>
      <c r="P132" s="1195"/>
      <c r="Q132" s="1195"/>
      <c r="R132" s="1195"/>
    </row>
    <row r="133" spans="1:18" ht="16">
      <c r="A133" s="3081" t="s">
        <v>3512</v>
      </c>
      <c r="B133" s="3081"/>
      <c r="C133" s="3081"/>
      <c r="D133" s="486" t="s">
        <v>133</v>
      </c>
      <c r="E133" s="486">
        <f>E130*1.35</f>
        <v>9.0560753088741492</v>
      </c>
      <c r="F133" s="354"/>
      <c r="G133" s="424"/>
      <c r="H133" s="2170"/>
      <c r="I133" s="354"/>
      <c r="J133" s="354"/>
      <c r="K133" s="2138"/>
      <c r="L133" s="1195"/>
      <c r="M133" s="1195"/>
      <c r="N133" s="1195"/>
      <c r="O133" s="1195"/>
      <c r="P133" s="1195"/>
      <c r="Q133" s="1195"/>
      <c r="R133" s="1195"/>
    </row>
    <row r="134" spans="1:18" ht="16">
      <c r="A134" s="3081" t="s">
        <v>3881</v>
      </c>
      <c r="B134" s="3081"/>
      <c r="C134" s="3081"/>
      <c r="D134" s="488" t="s">
        <v>133</v>
      </c>
      <c r="E134" s="488">
        <f>E131*1.35</f>
        <v>6.0373835392494328</v>
      </c>
      <c r="F134" s="354"/>
      <c r="G134" s="2174"/>
      <c r="H134" s="2170"/>
      <c r="I134" s="354"/>
      <c r="J134" s="354"/>
      <c r="K134" s="2138"/>
      <c r="L134" s="1195"/>
      <c r="M134" s="1195"/>
      <c r="N134" s="1195"/>
      <c r="O134" s="1195"/>
      <c r="P134" s="1195"/>
      <c r="Q134" s="1195"/>
      <c r="R134" s="1195"/>
    </row>
    <row r="135" spans="1:18" ht="16">
      <c r="A135" s="3119" t="s">
        <v>2628</v>
      </c>
      <c r="B135" s="3119"/>
      <c r="C135" s="3119"/>
      <c r="D135" s="704" t="s">
        <v>1820</v>
      </c>
      <c r="E135" s="2171"/>
      <c r="F135" s="2139"/>
      <c r="G135" s="2174"/>
      <c r="H135" s="2170"/>
      <c r="I135" s="354"/>
      <c r="J135" s="354"/>
      <c r="K135" s="2130"/>
      <c r="L135" s="1195"/>
      <c r="M135" s="1195"/>
      <c r="N135" s="1195"/>
      <c r="O135" s="1195"/>
      <c r="P135" s="1195"/>
      <c r="Q135" s="1195"/>
      <c r="R135" s="1195"/>
    </row>
    <row r="136" spans="1:18" ht="16">
      <c r="A136" s="3080" t="s">
        <v>3518</v>
      </c>
      <c r="B136" s="3080"/>
      <c r="C136" s="3080"/>
      <c r="D136" s="261" t="s">
        <v>156</v>
      </c>
      <c r="E136" s="1057">
        <v>0.15</v>
      </c>
      <c r="F136" s="2139"/>
      <c r="G136" s="2174"/>
      <c r="H136" s="2170"/>
      <c r="I136" s="354"/>
      <c r="J136" s="354"/>
      <c r="K136" s="2130"/>
      <c r="L136" s="1195"/>
      <c r="M136" s="1195"/>
      <c r="N136" s="1195"/>
      <c r="O136" s="1195"/>
      <c r="P136" s="1195"/>
      <c r="Q136" s="1195"/>
      <c r="R136" s="1195"/>
    </row>
    <row r="137" spans="1:18" ht="16">
      <c r="A137" s="3080"/>
      <c r="B137" s="3080"/>
      <c r="C137" s="3080"/>
      <c r="D137" s="261" t="s">
        <v>156</v>
      </c>
      <c r="E137" s="1057">
        <v>0.2</v>
      </c>
      <c r="F137" s="2139"/>
      <c r="G137" s="2174"/>
      <c r="H137" s="2170"/>
      <c r="I137" s="354"/>
      <c r="J137" s="354"/>
      <c r="K137" s="2130"/>
      <c r="L137" s="1195"/>
      <c r="M137" s="1195"/>
      <c r="N137" s="1195"/>
      <c r="O137" s="1195"/>
      <c r="P137" s="1195"/>
      <c r="Q137" s="1195"/>
      <c r="R137" s="1195"/>
    </row>
    <row r="138" spans="1:18" ht="16">
      <c r="A138" s="3080" t="s">
        <v>2632</v>
      </c>
      <c r="B138" s="3080"/>
      <c r="C138" s="3080"/>
      <c r="D138" s="261" t="s">
        <v>156</v>
      </c>
      <c r="E138" s="1057">
        <v>0.15</v>
      </c>
      <c r="F138" s="2139"/>
      <c r="G138" s="354"/>
      <c r="H138" s="2150"/>
      <c r="I138" s="354"/>
      <c r="J138" s="354"/>
      <c r="K138" s="2130"/>
      <c r="L138" s="1195"/>
      <c r="M138" s="1195"/>
      <c r="N138" s="1195"/>
      <c r="O138" s="1195"/>
      <c r="P138" s="1195"/>
      <c r="Q138" s="1195"/>
      <c r="R138" s="1195"/>
    </row>
    <row r="139" spans="1:18" ht="16">
      <c r="A139" s="3080"/>
      <c r="B139" s="3080"/>
      <c r="C139" s="3080"/>
      <c r="D139" s="261" t="s">
        <v>156</v>
      </c>
      <c r="E139" s="1057">
        <v>0.2</v>
      </c>
      <c r="F139" s="2139"/>
      <c r="G139" s="354"/>
      <c r="H139" s="2150"/>
      <c r="I139" s="354"/>
      <c r="J139" s="354"/>
      <c r="K139" s="2130"/>
      <c r="L139" s="1195"/>
      <c r="M139" s="1195"/>
      <c r="N139" s="1195"/>
      <c r="O139" s="1195"/>
      <c r="P139" s="1195"/>
      <c r="Q139" s="1195"/>
      <c r="R139" s="1195"/>
    </row>
    <row r="140" spans="1:18" ht="16">
      <c r="A140" s="354"/>
      <c r="B140" s="354"/>
      <c r="C140" s="354"/>
      <c r="D140" s="354"/>
      <c r="E140" s="354"/>
      <c r="F140" s="452"/>
      <c r="G140" s="354"/>
      <c r="H140" s="2150"/>
      <c r="I140" s="354"/>
      <c r="J140" s="354"/>
      <c r="K140" s="1036"/>
      <c r="L140" s="1195"/>
      <c r="M140" s="1195"/>
      <c r="N140" s="1195"/>
      <c r="O140" s="1195"/>
      <c r="P140" s="1195"/>
      <c r="Q140" s="1195"/>
      <c r="R140" s="1195"/>
    </row>
    <row r="141" spans="1:18" ht="16">
      <c r="A141" s="2131"/>
      <c r="B141" s="2131"/>
      <c r="C141" s="2131"/>
      <c r="D141" s="2131"/>
      <c r="E141" s="2130"/>
      <c r="F141" s="2158"/>
      <c r="G141" s="2131"/>
      <c r="H141" s="2150"/>
      <c r="I141" s="2150"/>
      <c r="J141" s="2150"/>
      <c r="K141" s="1036"/>
      <c r="L141" s="1195"/>
      <c r="M141" s="1195"/>
      <c r="N141" s="1195"/>
      <c r="O141" s="1195"/>
      <c r="P141" s="1195"/>
      <c r="Q141" s="1195"/>
      <c r="R141" s="1195"/>
    </row>
    <row r="142" spans="1:18" ht="16">
      <c r="A142" s="2131"/>
      <c r="B142" s="2131"/>
      <c r="C142" s="2131"/>
      <c r="D142" s="2131"/>
      <c r="E142" s="2131"/>
      <c r="F142" s="2131"/>
      <c r="G142" s="2131"/>
      <c r="H142" s="2150"/>
      <c r="I142" s="2150"/>
      <c r="J142" s="2150"/>
      <c r="K142" s="1036"/>
      <c r="L142" s="1195"/>
      <c r="M142" s="1195"/>
      <c r="N142" s="1195"/>
      <c r="O142" s="1195"/>
      <c r="P142" s="1195"/>
      <c r="Q142" s="1195"/>
      <c r="R142" s="1195"/>
    </row>
    <row r="143" spans="1:18" ht="16">
      <c r="A143" s="922" t="s">
        <v>2544</v>
      </c>
      <c r="B143" s="2179"/>
      <c r="C143" s="2137" t="s">
        <v>120</v>
      </c>
      <c r="D143" s="2137" t="s">
        <v>1753</v>
      </c>
      <c r="E143" s="2129" t="str">
        <f>'Ввод данных'!F416</f>
        <v>Не считать</v>
      </c>
      <c r="F143" s="2180" t="s">
        <v>2545</v>
      </c>
      <c r="G143" s="2131"/>
      <c r="H143" s="2150"/>
      <c r="I143" s="2150"/>
      <c r="J143" s="2150"/>
      <c r="K143" s="1036"/>
      <c r="L143" s="1195"/>
      <c r="M143" s="1195"/>
      <c r="N143" s="1195"/>
      <c r="O143" s="1195"/>
      <c r="P143" s="1195"/>
      <c r="Q143" s="1195"/>
      <c r="R143" s="1195"/>
    </row>
    <row r="144" spans="1:18" ht="16">
      <c r="A144" s="3119" t="s">
        <v>2547</v>
      </c>
      <c r="B144" s="3119"/>
      <c r="C144" s="786" t="s">
        <v>159</v>
      </c>
      <c r="D144" s="2141"/>
      <c r="E144" s="2131"/>
      <c r="F144" s="2131"/>
      <c r="G144" s="2131"/>
      <c r="H144" s="2131"/>
      <c r="I144" s="2131"/>
      <c r="J144" s="2131"/>
      <c r="K144" s="927"/>
      <c r="L144" s="1195"/>
      <c r="M144" s="1195"/>
      <c r="N144" s="1195"/>
      <c r="O144" s="1195"/>
      <c r="P144" s="1195"/>
      <c r="Q144" s="1195"/>
      <c r="R144" s="1195"/>
    </row>
    <row r="145" spans="1:18" ht="16">
      <c r="A145" s="3119" t="s">
        <v>2552</v>
      </c>
      <c r="B145" s="3119"/>
      <c r="C145" s="786" t="s">
        <v>159</v>
      </c>
      <c r="D145" s="2141">
        <f>'Ввод данных'!E358</f>
        <v>1</v>
      </c>
      <c r="E145" s="2131"/>
      <c r="F145" s="2131"/>
      <c r="G145" s="2131"/>
      <c r="H145" s="2131"/>
      <c r="I145" s="2131"/>
      <c r="J145" s="2131"/>
      <c r="K145" s="927"/>
      <c r="L145" s="1195"/>
      <c r="M145" s="1195"/>
      <c r="N145" s="1195"/>
      <c r="O145" s="1195"/>
      <c r="P145" s="1195"/>
      <c r="Q145" s="1195"/>
      <c r="R145" s="1195"/>
    </row>
    <row r="146" spans="1:18" ht="16">
      <c r="A146" s="3119" t="s">
        <v>1236</v>
      </c>
      <c r="B146" s="3119"/>
      <c r="C146" s="354" t="s">
        <v>120</v>
      </c>
      <c r="D146" s="486" t="s">
        <v>1753</v>
      </c>
      <c r="E146" s="486" t="s">
        <v>293</v>
      </c>
      <c r="F146" s="486" t="s">
        <v>1820</v>
      </c>
      <c r="G146" s="2131"/>
      <c r="H146" s="2131"/>
      <c r="I146" s="2131"/>
      <c r="J146" s="2131"/>
      <c r="K146" s="927"/>
      <c r="L146" s="1195"/>
      <c r="M146" s="1195"/>
      <c r="N146" s="1195"/>
      <c r="O146" s="1195"/>
      <c r="P146" s="1195"/>
      <c r="Q146" s="1195"/>
      <c r="R146" s="1195"/>
    </row>
    <row r="147" spans="1:18" ht="16">
      <c r="A147" s="3119" t="s">
        <v>2001</v>
      </c>
      <c r="B147" s="3119"/>
      <c r="C147" s="746" t="s">
        <v>156</v>
      </c>
      <c r="D147" s="699" t="e">
        <f>D150*D151*F147</f>
        <v>#REF!</v>
      </c>
      <c r="E147" s="2129" t="str">
        <f>связи1!E549</f>
        <v>№3</v>
      </c>
      <c r="F147" s="2139" t="e">
        <f>'Ввод данных'!#REF!</f>
        <v>#REF!</v>
      </c>
      <c r="G147" s="366" t="s">
        <v>3521</v>
      </c>
      <c r="H147" s="354"/>
      <c r="I147" s="2131"/>
      <c r="J147" s="2131"/>
      <c r="K147" s="927"/>
      <c r="L147" s="1195"/>
      <c r="M147" s="1195"/>
      <c r="N147" s="1195"/>
      <c r="O147" s="1195"/>
      <c r="P147" s="1195"/>
      <c r="Q147" s="1195"/>
      <c r="R147" s="1195"/>
    </row>
    <row r="148" spans="1:18" ht="16">
      <c r="A148" s="3119" t="s">
        <v>2557</v>
      </c>
      <c r="B148" s="3119"/>
      <c r="C148" s="746" t="s">
        <v>156</v>
      </c>
      <c r="D148" s="699" t="e">
        <f>D150*D151*F148</f>
        <v>#REF!</v>
      </c>
      <c r="E148" s="2129">
        <f>связи1!E550</f>
        <v>1</v>
      </c>
      <c r="F148" s="2139" t="e">
        <f>'Ввод данных'!#REF!</f>
        <v>#REF!</v>
      </c>
      <c r="G148" s="366" t="s">
        <v>3522</v>
      </c>
      <c r="H148" s="354"/>
      <c r="I148" s="2131"/>
      <c r="J148" s="2131"/>
      <c r="K148" s="927"/>
      <c r="L148" s="1195"/>
      <c r="M148" s="1195"/>
      <c r="N148" s="1195"/>
      <c r="O148" s="1195"/>
      <c r="P148" s="1195"/>
      <c r="Q148" s="1195"/>
      <c r="R148" s="1195"/>
    </row>
    <row r="149" spans="1:18" ht="16">
      <c r="A149" s="3139" t="s">
        <v>2558</v>
      </c>
      <c r="B149" s="3139"/>
      <c r="C149" s="986" t="s">
        <v>156</v>
      </c>
      <c r="D149" s="965">
        <f>D150*D151*F149</f>
        <v>0</v>
      </c>
      <c r="E149" s="2129">
        <f>'Ввод данных'!E362</f>
        <v>0</v>
      </c>
      <c r="F149" s="2139">
        <f>'Ввод данных'!G366</f>
        <v>0</v>
      </c>
      <c r="G149" s="366" t="s">
        <v>3523</v>
      </c>
      <c r="H149" s="2150"/>
      <c r="I149" s="2150"/>
      <c r="J149" s="2150"/>
      <c r="K149" s="927"/>
      <c r="L149" s="1195"/>
      <c r="M149" s="1195"/>
      <c r="N149" s="1195"/>
      <c r="O149" s="1195"/>
      <c r="P149" s="1195"/>
      <c r="Q149" s="1195"/>
      <c r="R149" s="1195"/>
    </row>
    <row r="150" spans="1:18" ht="16">
      <c r="A150" s="3139" t="s">
        <v>2071</v>
      </c>
      <c r="B150" s="3139"/>
      <c r="C150" s="2128" t="s">
        <v>156</v>
      </c>
      <c r="D150" s="2141"/>
      <c r="E150" s="2131"/>
      <c r="F150" s="2131"/>
      <c r="G150" s="2131"/>
      <c r="H150" s="2150"/>
      <c r="I150" s="2150"/>
      <c r="J150" s="2150"/>
      <c r="K150" s="927"/>
      <c r="L150" s="1195"/>
      <c r="M150" s="1195"/>
      <c r="N150" s="1195"/>
      <c r="O150" s="1195"/>
      <c r="P150" s="1195"/>
      <c r="Q150" s="1195"/>
      <c r="R150" s="1195"/>
    </row>
    <row r="151" spans="1:18" ht="16">
      <c r="A151" s="3139" t="s">
        <v>2573</v>
      </c>
      <c r="B151" s="3139"/>
      <c r="C151" s="2144" t="s">
        <v>156</v>
      </c>
      <c r="D151" s="2141"/>
      <c r="E151" s="2131"/>
      <c r="F151" s="2131"/>
      <c r="G151" s="2131"/>
      <c r="H151" s="2130"/>
      <c r="I151" s="2150"/>
      <c r="J151" s="2150"/>
      <c r="K151" s="927"/>
      <c r="L151" s="1195"/>
      <c r="M151" s="1195"/>
      <c r="N151" s="1195"/>
      <c r="O151" s="1195"/>
      <c r="P151" s="1195"/>
      <c r="Q151" s="1195"/>
      <c r="R151" s="1195"/>
    </row>
    <row r="152" spans="1:18" ht="16">
      <c r="A152" s="3139" t="s">
        <v>3882</v>
      </c>
      <c r="B152" s="3139"/>
      <c r="C152" s="2144" t="s">
        <v>156</v>
      </c>
      <c r="D152" s="2141"/>
      <c r="E152" s="2131"/>
      <c r="F152" s="2131"/>
      <c r="G152" s="2131"/>
      <c r="H152" s="2130"/>
      <c r="I152" s="2150"/>
      <c r="J152" s="2150"/>
      <c r="K152" s="927"/>
      <c r="L152" s="1195"/>
      <c r="M152" s="1195"/>
      <c r="N152" s="1195"/>
      <c r="O152" s="1195"/>
      <c r="P152" s="1195"/>
      <c r="Q152" s="1195"/>
      <c r="R152" s="1195"/>
    </row>
    <row r="153" spans="1:18" ht="16">
      <c r="A153" s="3139" t="s">
        <v>3883</v>
      </c>
      <c r="B153" s="3139"/>
      <c r="C153" s="2144" t="s">
        <v>156</v>
      </c>
      <c r="D153" s="2141"/>
      <c r="E153" s="2131"/>
      <c r="F153" s="2131"/>
      <c r="G153" s="2131"/>
      <c r="H153" s="2130"/>
      <c r="I153" s="2150"/>
      <c r="J153" s="2150"/>
      <c r="K153" s="927"/>
      <c r="L153" s="1195"/>
      <c r="M153" s="1195"/>
      <c r="N153" s="1195"/>
      <c r="O153" s="1195"/>
      <c r="P153" s="1195"/>
      <c r="Q153" s="1195"/>
      <c r="R153" s="1195"/>
    </row>
    <row r="154" spans="1:18" ht="16">
      <c r="A154" s="3139" t="s">
        <v>3884</v>
      </c>
      <c r="B154" s="3139"/>
      <c r="C154" s="2144" t="s">
        <v>156</v>
      </c>
      <c r="D154" s="2141"/>
      <c r="E154" s="2131"/>
      <c r="F154" s="2131"/>
      <c r="G154" s="2131"/>
      <c r="H154" s="2131"/>
      <c r="I154" s="2150"/>
      <c r="J154" s="2150"/>
      <c r="K154" s="927"/>
      <c r="L154" s="1195"/>
      <c r="M154" s="1195"/>
      <c r="N154" s="1195"/>
      <c r="O154" s="1195"/>
      <c r="P154" s="1195"/>
      <c r="Q154" s="1195"/>
      <c r="R154" s="1195"/>
    </row>
    <row r="155" spans="1:18" ht="16">
      <c r="A155" s="3169" t="s">
        <v>3885</v>
      </c>
      <c r="B155" s="3169"/>
      <c r="C155" s="2144" t="s">
        <v>156</v>
      </c>
      <c r="D155" s="2156">
        <f>D154-D152</f>
        <v>0</v>
      </c>
      <c r="E155" s="2131"/>
      <c r="F155" s="2131"/>
      <c r="G155" s="2131"/>
      <c r="H155" s="2131"/>
      <c r="I155" s="2150"/>
      <c r="J155" s="2150"/>
      <c r="K155" s="927"/>
      <c r="L155" s="1195"/>
      <c r="M155" s="1195"/>
      <c r="N155" s="1195"/>
      <c r="O155" s="1195"/>
      <c r="P155" s="1195"/>
      <c r="Q155" s="1195"/>
      <c r="R155" s="1195"/>
    </row>
    <row r="156" spans="1:18" ht="16">
      <c r="A156" s="3139" t="s">
        <v>3886</v>
      </c>
      <c r="B156" s="3139"/>
      <c r="C156" s="2144" t="s">
        <v>156</v>
      </c>
      <c r="D156" s="2144" t="e">
        <f>(D153+D152+D155+E147+E148+E149)*E143</f>
        <v>#VALUE!</v>
      </c>
      <c r="E156" s="2131"/>
      <c r="F156" s="2131"/>
      <c r="G156" s="2131"/>
      <c r="H156" s="2131"/>
      <c r="I156" s="2150"/>
      <c r="J156" s="2150"/>
      <c r="K156" s="927"/>
      <c r="L156" s="1195"/>
      <c r="M156" s="1195"/>
      <c r="N156" s="1195"/>
      <c r="O156" s="1195"/>
      <c r="P156" s="1195"/>
      <c r="Q156" s="1195"/>
      <c r="R156" s="1195"/>
    </row>
    <row r="157" spans="1:18" ht="16">
      <c r="A157" s="3139" t="s">
        <v>1093</v>
      </c>
      <c r="B157" s="3139"/>
      <c r="C157" s="2131" t="s">
        <v>120</v>
      </c>
      <c r="D157" s="2181" t="s">
        <v>853</v>
      </c>
      <c r="E157" s="2144" t="s">
        <v>1802</v>
      </c>
      <c r="F157" s="2156" t="s">
        <v>853</v>
      </c>
      <c r="G157" s="2156" t="s">
        <v>2548</v>
      </c>
      <c r="H157" s="2130"/>
      <c r="I157" s="2150"/>
      <c r="J157" s="2150"/>
      <c r="K157" s="2182"/>
      <c r="L157" s="1195"/>
      <c r="M157" s="1195"/>
      <c r="N157" s="1195"/>
      <c r="O157" s="1195"/>
      <c r="P157" s="1195"/>
      <c r="Q157" s="1195"/>
      <c r="R157" s="1195"/>
    </row>
    <row r="158" spans="1:18" ht="16">
      <c r="A158" s="3124" t="s">
        <v>2553</v>
      </c>
      <c r="B158" s="3124"/>
      <c r="C158" s="2144" t="s">
        <v>156</v>
      </c>
      <c r="D158" s="2141">
        <f>связи1!D552</f>
        <v>3</v>
      </c>
      <c r="E158" s="2129">
        <f>связи1!E552</f>
        <v>3</v>
      </c>
      <c r="F158" s="2156">
        <f t="shared" ref="F158:F165" si="1">D158*E158</f>
        <v>9</v>
      </c>
      <c r="G158" s="2156">
        <f>F158*D153</f>
        <v>0</v>
      </c>
      <c r="H158" s="2130"/>
      <c r="I158" s="2150"/>
      <c r="J158" s="2150"/>
      <c r="K158" s="2158"/>
      <c r="L158" s="1195"/>
      <c r="M158" s="1195"/>
      <c r="N158" s="1195"/>
      <c r="O158" s="1195"/>
      <c r="P158" s="1195"/>
      <c r="Q158" s="1195"/>
      <c r="R158" s="1195"/>
    </row>
    <row r="159" spans="1:18" ht="16">
      <c r="A159" s="3124"/>
      <c r="B159" s="3124"/>
      <c r="C159" s="2144" t="s">
        <v>1322</v>
      </c>
      <c r="D159" s="2141">
        <f>связи1!D553</f>
        <v>2.9</v>
      </c>
      <c r="E159" s="2129">
        <f>связи1!E553</f>
        <v>2.9</v>
      </c>
      <c r="F159" s="2156">
        <f t="shared" si="1"/>
        <v>8.41</v>
      </c>
      <c r="G159" s="2156">
        <f>F159*D153</f>
        <v>0</v>
      </c>
      <c r="H159" s="2130"/>
      <c r="I159" s="2150"/>
      <c r="J159" s="2150"/>
      <c r="K159" s="927"/>
      <c r="L159" s="1195"/>
      <c r="M159" s="1195"/>
      <c r="N159" s="1195"/>
      <c r="O159" s="1195"/>
      <c r="P159" s="1195"/>
      <c r="Q159" s="1195"/>
      <c r="R159" s="1195"/>
    </row>
    <row r="160" spans="1:18" ht="16">
      <c r="A160" s="3124" t="s">
        <v>2556</v>
      </c>
      <c r="B160" s="3124"/>
      <c r="C160" s="2144" t="s">
        <v>156</v>
      </c>
      <c r="D160" s="2141">
        <f>связи1!D556</f>
        <v>2.2000000000000002</v>
      </c>
      <c r="E160" s="2129">
        <f>связи1!E556</f>
        <v>2.2000000000000002</v>
      </c>
      <c r="F160" s="2156">
        <f t="shared" si="1"/>
        <v>4.8400000000000007</v>
      </c>
      <c r="G160" s="2156">
        <f>F160*D153</f>
        <v>0</v>
      </c>
      <c r="H160" s="2130"/>
      <c r="I160" s="2150"/>
      <c r="J160" s="2150"/>
      <c r="K160" s="927"/>
      <c r="L160" s="1195"/>
      <c r="M160" s="1195"/>
      <c r="N160" s="1195"/>
      <c r="O160" s="1195"/>
      <c r="P160" s="1195"/>
      <c r="Q160" s="1195"/>
      <c r="R160" s="1195"/>
    </row>
    <row r="161" spans="1:18" ht="16">
      <c r="A161" s="3124"/>
      <c r="B161" s="3124"/>
      <c r="C161" s="2144" t="s">
        <v>156</v>
      </c>
      <c r="D161" s="2141">
        <f>связи1!D557</f>
        <v>0.99999999999999978</v>
      </c>
      <c r="E161" s="2129">
        <f>связи1!E557</f>
        <v>2.9</v>
      </c>
      <c r="F161" s="2156">
        <f t="shared" si="1"/>
        <v>2.8999999999999995</v>
      </c>
      <c r="G161" s="2156">
        <f>F161*D153</f>
        <v>0</v>
      </c>
      <c r="H161" s="2130"/>
      <c r="I161" s="2150"/>
      <c r="J161" s="2150"/>
      <c r="K161" s="927"/>
      <c r="L161" s="1195"/>
      <c r="M161" s="1195"/>
      <c r="N161" s="1195"/>
      <c r="O161" s="1195"/>
      <c r="P161" s="1195"/>
      <c r="Q161" s="1195"/>
      <c r="R161" s="1195"/>
    </row>
    <row r="162" spans="1:18" ht="16">
      <c r="A162" s="3124" t="s">
        <v>2559</v>
      </c>
      <c r="B162" s="3124"/>
      <c r="C162" s="2144" t="s">
        <v>1322</v>
      </c>
      <c r="D162" s="2141">
        <f>связи1!D558</f>
        <v>2.1</v>
      </c>
      <c r="E162" s="2129"/>
      <c r="F162" s="2156">
        <f t="shared" si="1"/>
        <v>0</v>
      </c>
      <c r="G162" s="2156">
        <f>F162*D152*D145</f>
        <v>0</v>
      </c>
      <c r="H162" s="2150"/>
      <c r="I162" s="2150"/>
      <c r="J162" s="2150"/>
      <c r="K162" s="927"/>
      <c r="L162" s="1195"/>
      <c r="M162" s="1195"/>
      <c r="N162" s="1195"/>
      <c r="O162" s="1195"/>
      <c r="P162" s="1195"/>
      <c r="Q162" s="1195"/>
      <c r="R162" s="1195"/>
    </row>
    <row r="163" spans="1:18" ht="16">
      <c r="A163" s="3124"/>
      <c r="B163" s="3124"/>
      <c r="C163" s="2144" t="s">
        <v>156</v>
      </c>
      <c r="D163" s="2141" t="e">
        <f>'Ввод данных'!#REF!</f>
        <v>#REF!</v>
      </c>
      <c r="E163" s="2129" t="e">
        <f>'Ввод данных'!#REF!</f>
        <v>#REF!</v>
      </c>
      <c r="F163" s="2156" t="e">
        <f t="shared" si="1"/>
        <v>#REF!</v>
      </c>
      <c r="G163" s="2156" t="e">
        <f>F163*D152*D145</f>
        <v>#REF!</v>
      </c>
      <c r="H163" s="2150"/>
      <c r="I163" s="2150"/>
      <c r="J163" s="2150"/>
      <c r="K163" s="927"/>
      <c r="L163" s="1195"/>
      <c r="M163" s="1195"/>
      <c r="N163" s="1195"/>
      <c r="O163" s="1195"/>
      <c r="P163" s="1195"/>
      <c r="Q163" s="1195"/>
      <c r="R163" s="1195"/>
    </row>
    <row r="164" spans="1:18" ht="16">
      <c r="A164" s="3124" t="s">
        <v>2559</v>
      </c>
      <c r="B164" s="3124"/>
      <c r="C164" s="2144" t="s">
        <v>156</v>
      </c>
      <c r="D164" s="2141" t="e">
        <f>'Ввод данных'!#REF!</f>
        <v>#REF!</v>
      </c>
      <c r="E164" s="2129" t="e">
        <f>'Ввод данных'!#REF!</f>
        <v>#REF!</v>
      </c>
      <c r="F164" s="2156" t="e">
        <f t="shared" si="1"/>
        <v>#REF!</v>
      </c>
      <c r="G164" s="938" t="e">
        <f>F164*D152*D145</f>
        <v>#REF!</v>
      </c>
      <c r="H164" s="936"/>
      <c r="I164" s="936"/>
      <c r="J164" s="2150"/>
      <c r="K164" s="927"/>
      <c r="L164" s="1195"/>
      <c r="M164" s="1195"/>
      <c r="N164" s="1195"/>
      <c r="O164" s="1195"/>
      <c r="P164" s="1195"/>
      <c r="Q164" s="1195"/>
      <c r="R164" s="1195"/>
    </row>
    <row r="165" spans="1:18" ht="16">
      <c r="A165" s="3124"/>
      <c r="B165" s="3124"/>
      <c r="C165" s="2144" t="s">
        <v>156</v>
      </c>
      <c r="D165" s="2141" t="e">
        <f>'Ввод данных'!#REF!</f>
        <v>#REF!</v>
      </c>
      <c r="E165" s="2129" t="e">
        <f>'Ввод данных'!#REF!</f>
        <v>#REF!</v>
      </c>
      <c r="F165" s="2156" t="e">
        <f t="shared" si="1"/>
        <v>#REF!</v>
      </c>
      <c r="G165" s="938" t="e">
        <f>F165*D152*D145</f>
        <v>#REF!</v>
      </c>
      <c r="H165" s="936"/>
      <c r="I165" s="936"/>
      <c r="J165" s="1262"/>
      <c r="K165" s="927"/>
      <c r="L165" s="1195"/>
      <c r="M165" s="1195"/>
      <c r="N165" s="1195"/>
      <c r="O165" s="1195"/>
      <c r="P165" s="1195"/>
      <c r="Q165" s="1195"/>
      <c r="R165" s="1195"/>
    </row>
    <row r="166" spans="1:18" ht="16">
      <c r="A166" s="3141" t="s">
        <v>2578</v>
      </c>
      <c r="B166" s="3141"/>
      <c r="C166" s="3141"/>
      <c r="D166" s="3141"/>
      <c r="E166" s="3141"/>
      <c r="F166" s="2156" t="e">
        <f>SUM(F158:F165)</f>
        <v>#REF!</v>
      </c>
      <c r="G166" s="2156" t="e">
        <f>SUM(G158:G165)</f>
        <v>#REF!</v>
      </c>
      <c r="H166" s="2150"/>
      <c r="I166" s="2150"/>
      <c r="J166" s="936"/>
      <c r="K166" s="927"/>
      <c r="L166" s="1195"/>
      <c r="M166" s="1195"/>
      <c r="N166" s="1195"/>
      <c r="O166" s="1195"/>
      <c r="P166" s="1195"/>
      <c r="Q166" s="1195"/>
      <c r="R166" s="1195"/>
    </row>
    <row r="167" spans="1:18" ht="16">
      <c r="A167" s="988" t="s">
        <v>2208</v>
      </c>
      <c r="B167" s="989"/>
      <c r="C167" s="788" t="s">
        <v>120</v>
      </c>
      <c r="D167" s="788" t="s">
        <v>2580</v>
      </c>
      <c r="E167" s="788" t="s">
        <v>2581</v>
      </c>
      <c r="F167" s="788" t="s">
        <v>1802</v>
      </c>
      <c r="G167" s="2137" t="s">
        <v>2548</v>
      </c>
      <c r="H167" s="2150"/>
      <c r="I167" s="1048"/>
      <c r="J167" s="1262"/>
      <c r="K167" s="927"/>
      <c r="L167" s="1195"/>
      <c r="M167" s="1195"/>
      <c r="N167" s="1195"/>
      <c r="O167" s="1195"/>
      <c r="P167" s="1195"/>
      <c r="Q167" s="1195"/>
      <c r="R167" s="1195"/>
    </row>
    <row r="168" spans="1:18" ht="16">
      <c r="A168" s="3124" t="s">
        <v>2210</v>
      </c>
      <c r="B168" s="3124"/>
      <c r="C168" s="725" t="s">
        <v>156</v>
      </c>
      <c r="D168" s="2141" t="e">
        <f>'Ввод данных'!#REF!</f>
        <v>#REF!</v>
      </c>
      <c r="E168" s="2129" t="e">
        <f>'Ввод данных'!#REF!</f>
        <v>#REF!</v>
      </c>
      <c r="F168" s="2139">
        <f>'Ввод данных'!G377</f>
        <v>0</v>
      </c>
      <c r="G168" s="507" t="e">
        <f t="shared" ref="G168:G174" si="2">D168*E168*F168</f>
        <v>#REF!</v>
      </c>
      <c r="H168" s="2150"/>
      <c r="I168" s="2135"/>
      <c r="J168" s="1262"/>
      <c r="K168" s="927"/>
      <c r="L168" s="1195"/>
      <c r="M168" s="1195"/>
      <c r="N168" s="1195"/>
      <c r="O168" s="1195"/>
      <c r="P168" s="1195"/>
      <c r="Q168" s="1195"/>
      <c r="R168" s="1195"/>
    </row>
    <row r="169" spans="1:18" ht="16">
      <c r="A169" s="3124"/>
      <c r="B169" s="3124"/>
      <c r="C169" s="725" t="s">
        <v>156</v>
      </c>
      <c r="D169" s="2141" t="e">
        <f>'Ввод данных'!#REF!</f>
        <v>#REF!</v>
      </c>
      <c r="E169" s="2129" t="e">
        <f>'Ввод данных'!#REF!</f>
        <v>#REF!</v>
      </c>
      <c r="F169" s="2139">
        <f>'Ввод данных'!G378</f>
        <v>0</v>
      </c>
      <c r="G169" s="507" t="e">
        <f t="shared" si="2"/>
        <v>#REF!</v>
      </c>
      <c r="H169" s="2150"/>
      <c r="I169" s="1048"/>
      <c r="J169" s="1262"/>
      <c r="K169" s="927"/>
      <c r="L169" s="1195"/>
      <c r="M169" s="1195"/>
      <c r="N169" s="1195"/>
      <c r="O169" s="1195"/>
      <c r="P169" s="1195"/>
      <c r="Q169" s="1195"/>
      <c r="R169" s="1195"/>
    </row>
    <row r="170" spans="1:18" ht="16">
      <c r="A170" s="3124"/>
      <c r="B170" s="3124"/>
      <c r="C170" s="725" t="s">
        <v>156</v>
      </c>
      <c r="D170" s="2141" t="e">
        <f>'Ввод данных'!#REF!</f>
        <v>#REF!</v>
      </c>
      <c r="E170" s="2129" t="e">
        <f>'Ввод данных'!#REF!</f>
        <v>#REF!</v>
      </c>
      <c r="F170" s="2139">
        <f>'Ввод данных'!G379</f>
        <v>0</v>
      </c>
      <c r="G170" s="507" t="e">
        <f t="shared" si="2"/>
        <v>#REF!</v>
      </c>
      <c r="H170" s="2183"/>
      <c r="I170" s="1048"/>
      <c r="J170" s="1262"/>
      <c r="K170" s="927"/>
      <c r="L170" s="1195"/>
      <c r="M170" s="1195"/>
      <c r="N170" s="1195"/>
      <c r="O170" s="1195"/>
      <c r="P170" s="1195"/>
      <c r="Q170" s="1195"/>
      <c r="R170" s="1195"/>
    </row>
    <row r="171" spans="1:18" ht="16">
      <c r="A171" s="3142" t="s">
        <v>2593</v>
      </c>
      <c r="B171" s="3142"/>
      <c r="C171" s="725" t="s">
        <v>156</v>
      </c>
      <c r="D171" s="2141" t="e">
        <f>'Ввод данных'!#REF!</f>
        <v>#REF!</v>
      </c>
      <c r="E171" s="2129"/>
      <c r="F171" s="2139" t="e">
        <f>'Ввод данных'!#REF!</f>
        <v>#REF!</v>
      </c>
      <c r="G171" s="507" t="e">
        <f t="shared" si="2"/>
        <v>#REF!</v>
      </c>
      <c r="H171" s="936"/>
      <c r="I171" s="1048"/>
      <c r="J171" s="1262"/>
      <c r="K171" s="927"/>
      <c r="L171" s="1195"/>
      <c r="M171" s="1195"/>
      <c r="N171" s="1195"/>
      <c r="O171" s="1195"/>
      <c r="P171" s="1195"/>
      <c r="Q171" s="1195"/>
      <c r="R171" s="1195"/>
    </row>
    <row r="172" spans="1:18" ht="16">
      <c r="A172" s="3142"/>
      <c r="B172" s="3142"/>
      <c r="C172" s="725" t="s">
        <v>156</v>
      </c>
      <c r="D172" s="2141"/>
      <c r="E172" s="2129"/>
      <c r="F172" s="2139"/>
      <c r="G172" s="507">
        <f t="shared" si="2"/>
        <v>0</v>
      </c>
      <c r="H172" s="2183"/>
      <c r="I172" s="1048"/>
      <c r="J172" s="1262"/>
      <c r="K172" s="927"/>
      <c r="L172" s="1195"/>
      <c r="M172" s="1195"/>
      <c r="N172" s="1195"/>
      <c r="O172" s="1195"/>
      <c r="P172" s="1195"/>
      <c r="Q172" s="1195"/>
      <c r="R172" s="1195"/>
    </row>
    <row r="173" spans="1:18" ht="16">
      <c r="A173" s="3139" t="s">
        <v>1217</v>
      </c>
      <c r="B173" s="3139"/>
      <c r="C173" s="961" t="s">
        <v>156</v>
      </c>
      <c r="D173" s="2141">
        <f>связи1!D559</f>
        <v>0.6</v>
      </c>
      <c r="E173" s="2129">
        <f>связи1!E559</f>
        <v>0.6</v>
      </c>
      <c r="F173" s="2139" t="e">
        <f>'Ввод данных'!#REF!</f>
        <v>#REF!</v>
      </c>
      <c r="G173" s="938" t="e">
        <f t="shared" si="2"/>
        <v>#REF!</v>
      </c>
      <c r="H173" s="936"/>
      <c r="I173" s="936"/>
      <c r="J173" s="1262"/>
      <c r="K173" s="927"/>
      <c r="L173" s="1195"/>
      <c r="M173" s="1195"/>
      <c r="N173" s="1195"/>
      <c r="O173" s="1195"/>
      <c r="P173" s="1195"/>
      <c r="Q173" s="1195"/>
      <c r="R173" s="1195"/>
    </row>
    <row r="174" spans="1:18" ht="16">
      <c r="A174" s="3119" t="s">
        <v>2213</v>
      </c>
      <c r="B174" s="3119"/>
      <c r="C174" s="961" t="s">
        <v>156</v>
      </c>
      <c r="D174" s="2141">
        <f>связи1!D561</f>
        <v>0.5</v>
      </c>
      <c r="E174" s="2129">
        <f>связи1!E561</f>
        <v>0.8</v>
      </c>
      <c r="F174" s="2139">
        <f>связи1!F548</f>
        <v>0</v>
      </c>
      <c r="G174" s="938">
        <f t="shared" si="2"/>
        <v>0</v>
      </c>
      <c r="H174" s="2184"/>
      <c r="I174" s="1262" t="s">
        <v>3887</v>
      </c>
      <c r="J174" s="1262"/>
      <c r="K174" s="927"/>
      <c r="L174" s="1195"/>
      <c r="M174" s="1195"/>
      <c r="N174" s="1195"/>
      <c r="O174" s="1195"/>
      <c r="P174" s="1195"/>
      <c r="Q174" s="1195"/>
      <c r="R174" s="1195"/>
    </row>
    <row r="175" spans="1:18" ht="16">
      <c r="A175" s="970" t="s">
        <v>2599</v>
      </c>
      <c r="B175" s="1034"/>
      <c r="C175" s="1034"/>
      <c r="D175" s="1034"/>
      <c r="E175" s="1034"/>
      <c r="F175" s="1035"/>
      <c r="G175" s="1152" t="e">
        <f>SUM(G168:G174)*E143</f>
        <v>#REF!</v>
      </c>
      <c r="H175" s="2183"/>
      <c r="I175" s="1048"/>
      <c r="J175" s="1262"/>
      <c r="K175" s="927"/>
      <c r="L175" s="1195"/>
      <c r="M175" s="1195"/>
      <c r="N175" s="1195"/>
      <c r="O175" s="1195"/>
      <c r="P175" s="1195"/>
      <c r="Q175" s="1195"/>
      <c r="R175" s="1195"/>
    </row>
    <row r="176" spans="1:18" ht="16">
      <c r="A176" s="938" t="s">
        <v>3888</v>
      </c>
      <c r="B176" s="938"/>
      <c r="C176" s="938" t="s">
        <v>133</v>
      </c>
      <c r="D176" s="938" t="e">
        <f>G166-G171-G172</f>
        <v>#REF!</v>
      </c>
      <c r="E176" s="936"/>
      <c r="F176" s="936"/>
      <c r="G176" s="2135"/>
      <c r="H176" s="2183"/>
      <c r="I176" s="1048"/>
      <c r="J176" s="1262"/>
      <c r="K176" s="927"/>
      <c r="L176" s="1195"/>
      <c r="M176" s="1195"/>
      <c r="N176" s="1195"/>
      <c r="O176" s="1195"/>
      <c r="P176" s="1195"/>
      <c r="Q176" s="1195"/>
      <c r="R176" s="1195"/>
    </row>
    <row r="177" spans="1:18" ht="16">
      <c r="A177" s="938" t="s">
        <v>2648</v>
      </c>
      <c r="B177" s="938"/>
      <c r="C177" s="938" t="s">
        <v>133</v>
      </c>
      <c r="D177" s="938" t="e">
        <f>(D153*D144+D152*D145+E147*F147+E148*F148+E149*F149)*(D151+D151+D150)-G168-G169-G170-G173-G174*H174</f>
        <v>#VALUE!</v>
      </c>
      <c r="E177" s="936"/>
      <c r="F177" s="936"/>
      <c r="G177" s="2135"/>
      <c r="H177" s="2183"/>
      <c r="I177" s="1048"/>
      <c r="J177" s="1262"/>
      <c r="K177" s="927"/>
      <c r="L177" s="1195"/>
      <c r="M177" s="1195"/>
      <c r="N177" s="1195"/>
      <c r="O177" s="1195"/>
      <c r="P177" s="1195"/>
      <c r="Q177" s="1195"/>
      <c r="R177" s="1195"/>
    </row>
    <row r="178" spans="1:18" ht="16">
      <c r="A178" s="938" t="s">
        <v>3889</v>
      </c>
      <c r="B178" s="938"/>
      <c r="C178" s="938" t="s">
        <v>133</v>
      </c>
      <c r="D178" s="938" t="e">
        <f>D176*2+D177</f>
        <v>#REF!</v>
      </c>
      <c r="E178" s="936"/>
      <c r="F178" s="936"/>
      <c r="G178" s="2135"/>
      <c r="H178" s="2183"/>
      <c r="I178" s="1048"/>
      <c r="J178" s="1262"/>
      <c r="K178" s="927"/>
      <c r="L178" s="1195"/>
      <c r="M178" s="1195"/>
      <c r="N178" s="1195"/>
      <c r="O178" s="1195"/>
      <c r="P178" s="1195"/>
      <c r="Q178" s="1195"/>
      <c r="R178" s="1195"/>
    </row>
    <row r="179" spans="1:18" ht="16">
      <c r="A179" s="2185" t="s">
        <v>2592</v>
      </c>
      <c r="B179" s="2186"/>
      <c r="C179" s="2187" t="s">
        <v>120</v>
      </c>
      <c r="D179" s="2187" t="s">
        <v>853</v>
      </c>
      <c r="E179" s="2129">
        <f>связи1!E558</f>
        <v>1.5</v>
      </c>
      <c r="F179" s="2188" t="s">
        <v>3890</v>
      </c>
      <c r="G179" s="2135"/>
      <c r="H179" s="2183"/>
      <c r="I179" s="1048"/>
      <c r="J179" s="1262"/>
      <c r="K179" s="927"/>
      <c r="L179" s="1195"/>
      <c r="M179" s="1195"/>
      <c r="N179" s="1195"/>
      <c r="O179" s="1195"/>
      <c r="P179" s="1195"/>
      <c r="Q179" s="1195"/>
      <c r="R179" s="1195"/>
    </row>
    <row r="180" spans="1:18" ht="16">
      <c r="A180" s="1023" t="s">
        <v>2820</v>
      </c>
      <c r="B180" s="2189"/>
      <c r="C180" s="558" t="s">
        <v>156</v>
      </c>
      <c r="D180" s="558">
        <f>SQRT(D151*D151+D155*D155)</f>
        <v>0</v>
      </c>
      <c r="E180" s="502"/>
      <c r="F180" s="502"/>
      <c r="G180" s="2135"/>
      <c r="H180" s="2183"/>
      <c r="I180" s="1048"/>
      <c r="J180" s="1262"/>
      <c r="K180" s="927"/>
      <c r="L180" s="1195"/>
      <c r="M180" s="1195"/>
      <c r="N180" s="1195"/>
      <c r="O180" s="1195"/>
      <c r="P180" s="1195"/>
      <c r="Q180" s="1195"/>
      <c r="R180" s="1195"/>
    </row>
    <row r="181" spans="1:18" ht="16">
      <c r="A181" s="1023" t="s">
        <v>3545</v>
      </c>
      <c r="B181" s="2189"/>
      <c r="C181" s="558" t="s">
        <v>156</v>
      </c>
      <c r="D181" s="2141">
        <f>связи1!C559</f>
        <v>0.5</v>
      </c>
      <c r="E181" s="502"/>
      <c r="F181" s="502"/>
      <c r="G181" s="2135"/>
      <c r="H181" s="2183"/>
      <c r="I181" s="1048"/>
      <c r="J181" s="1262"/>
      <c r="K181" s="927"/>
      <c r="L181" s="1195"/>
      <c r="M181" s="1195"/>
      <c r="N181" s="1195"/>
      <c r="O181" s="1195"/>
      <c r="P181" s="1195"/>
      <c r="Q181" s="1195"/>
      <c r="R181" s="1195"/>
    </row>
    <row r="182" spans="1:18" ht="16">
      <c r="A182" s="1023" t="s">
        <v>3891</v>
      </c>
      <c r="B182" s="2189"/>
      <c r="C182" s="558" t="s">
        <v>156</v>
      </c>
      <c r="D182" s="2141">
        <f>связи1!C561</f>
        <v>0.5</v>
      </c>
      <c r="E182" s="502"/>
      <c r="F182" s="502"/>
      <c r="G182" s="2135"/>
      <c r="H182" s="3119" t="s">
        <v>2547</v>
      </c>
      <c r="I182" s="3119"/>
      <c r="J182" s="786" t="s">
        <v>159</v>
      </c>
      <c r="K182" s="2141" t="e">
        <f>'Ввод данных'!#REF!</f>
        <v>#REF!</v>
      </c>
      <c r="L182" s="1195"/>
      <c r="M182" s="1195"/>
      <c r="N182" s="1195"/>
      <c r="O182" s="1195"/>
      <c r="P182" s="1195"/>
      <c r="Q182" s="1195"/>
      <c r="R182" s="1195"/>
    </row>
    <row r="183" spans="1:18" ht="16">
      <c r="A183" s="1023" t="s">
        <v>2609</v>
      </c>
      <c r="B183" s="2190"/>
      <c r="C183" s="557" t="s">
        <v>133</v>
      </c>
      <c r="D183" s="558">
        <f>D180*D150</f>
        <v>0</v>
      </c>
      <c r="E183" s="502"/>
      <c r="F183" s="502"/>
      <c r="G183" s="2135"/>
      <c r="H183" s="3119" t="s">
        <v>2552</v>
      </c>
      <c r="I183" s="3119"/>
      <c r="J183" s="786" t="s">
        <v>159</v>
      </c>
      <c r="K183" s="2141" t="e">
        <f>'Ввод данных'!#REF!</f>
        <v>#REF!</v>
      </c>
      <c r="L183" s="1195"/>
      <c r="M183" s="1195"/>
      <c r="N183" s="1195"/>
      <c r="O183" s="1195"/>
      <c r="P183" s="1195"/>
      <c r="Q183" s="1195"/>
      <c r="R183" s="1195"/>
    </row>
    <row r="184" spans="1:18" ht="16">
      <c r="A184" s="1023" t="s">
        <v>2610</v>
      </c>
      <c r="B184" s="2190"/>
      <c r="C184" s="557" t="s">
        <v>133</v>
      </c>
      <c r="D184" s="558">
        <f>(D180+D181)*(D150+D182+D182)</f>
        <v>0.5</v>
      </c>
      <c r="E184" s="502"/>
      <c r="F184" s="502"/>
      <c r="G184" s="2135"/>
      <c r="H184" s="488" t="s">
        <v>2638</v>
      </c>
      <c r="I184" s="699" t="s">
        <v>133</v>
      </c>
      <c r="J184" s="488">
        <f>K142*K143*K136+K142*K143*K137</f>
        <v>0</v>
      </c>
      <c r="K184" s="927"/>
      <c r="L184" s="1195"/>
      <c r="M184" s="1195"/>
      <c r="N184" s="1195"/>
      <c r="O184" s="1195"/>
      <c r="P184" s="1195"/>
      <c r="Q184" s="1195"/>
      <c r="R184" s="1195"/>
    </row>
    <row r="185" spans="1:18" ht="16">
      <c r="A185" s="3119" t="s">
        <v>2628</v>
      </c>
      <c r="B185" s="3119"/>
      <c r="C185" s="3119"/>
      <c r="D185" s="704" t="s">
        <v>1820</v>
      </c>
      <c r="E185" s="2171" t="s">
        <v>293</v>
      </c>
      <c r="F185" s="2139"/>
      <c r="G185" s="936"/>
      <c r="H185" s="938" t="s">
        <v>3888</v>
      </c>
      <c r="I185" s="938"/>
      <c r="J185" s="938" t="s">
        <v>133</v>
      </c>
      <c r="K185" s="938">
        <f>N175-N180-N181</f>
        <v>0</v>
      </c>
      <c r="L185" s="1195"/>
      <c r="M185" s="1195"/>
      <c r="N185" s="1195"/>
      <c r="O185" s="1195"/>
      <c r="P185" s="1195"/>
      <c r="Q185" s="1195"/>
      <c r="R185" s="1195"/>
    </row>
    <row r="186" spans="1:18" ht="16">
      <c r="A186" s="3080" t="s">
        <v>3518</v>
      </c>
      <c r="B186" s="3080"/>
      <c r="C186" s="3080"/>
      <c r="D186" s="261" t="s">
        <v>156</v>
      </c>
      <c r="E186" s="1057">
        <v>0.15</v>
      </c>
      <c r="F186" s="2139">
        <f>связи1!F551</f>
        <v>3</v>
      </c>
      <c r="G186" s="936"/>
      <c r="H186" s="938" t="s">
        <v>2648</v>
      </c>
      <c r="I186" s="938"/>
      <c r="J186" s="938" t="s">
        <v>133</v>
      </c>
      <c r="K186" s="938">
        <f>(K162*K153+K161*K154+L156*M156+L157*M157+L158*M158)*(K160+K160+K159)-N177-N178-N179-N182-N183*O183</f>
        <v>0</v>
      </c>
      <c r="L186" s="1195"/>
      <c r="M186" s="1195"/>
      <c r="N186" s="1195"/>
      <c r="O186" s="1195"/>
      <c r="P186" s="1195"/>
      <c r="Q186" s="1195"/>
      <c r="R186" s="1195"/>
    </row>
    <row r="187" spans="1:18" ht="16">
      <c r="A187" s="3080"/>
      <c r="B187" s="3080"/>
      <c r="C187" s="3080"/>
      <c r="D187" s="261" t="s">
        <v>156</v>
      </c>
      <c r="E187" s="1057">
        <v>0.2</v>
      </c>
      <c r="F187" s="2139">
        <f>связи1!F552</f>
        <v>5</v>
      </c>
      <c r="G187" s="936"/>
      <c r="H187" s="938" t="s">
        <v>3889</v>
      </c>
      <c r="I187" s="938"/>
      <c r="J187" s="938" t="s">
        <v>133</v>
      </c>
      <c r="K187" s="938">
        <f>K185*2+K186</f>
        <v>0</v>
      </c>
      <c r="L187" s="1195"/>
      <c r="M187" s="1195"/>
      <c r="N187" s="1195"/>
      <c r="O187" s="1195"/>
      <c r="P187" s="1195"/>
      <c r="Q187" s="1195"/>
      <c r="R187" s="1195"/>
    </row>
    <row r="188" spans="1:18" ht="16">
      <c r="A188" s="3080" t="s">
        <v>2632</v>
      </c>
      <c r="B188" s="3080"/>
      <c r="C188" s="3080"/>
      <c r="D188" s="261" t="s">
        <v>156</v>
      </c>
      <c r="E188" s="1057">
        <v>0.15</v>
      </c>
      <c r="F188" s="2139">
        <f>связи1!F553</f>
        <v>3</v>
      </c>
      <c r="G188" s="936"/>
      <c r="H188" s="970" t="s">
        <v>2599</v>
      </c>
      <c r="I188" s="1034"/>
      <c r="J188" s="1034"/>
      <c r="K188" s="1034"/>
      <c r="L188" s="1195"/>
      <c r="M188" s="1195"/>
      <c r="N188" s="1195"/>
      <c r="O188" s="1195"/>
      <c r="P188" s="1195"/>
      <c r="Q188" s="1195"/>
      <c r="R188" s="1195"/>
    </row>
    <row r="189" spans="1:18" ht="16">
      <c r="A189" s="3080"/>
      <c r="B189" s="3080"/>
      <c r="C189" s="3080"/>
      <c r="D189" s="261" t="s">
        <v>156</v>
      </c>
      <c r="E189" s="1057">
        <v>0.2</v>
      </c>
      <c r="F189" s="2139">
        <f>связи1!F554</f>
        <v>4</v>
      </c>
      <c r="G189" s="936"/>
      <c r="H189" s="3139" t="s">
        <v>2071</v>
      </c>
      <c r="I189" s="3139"/>
      <c r="J189" s="2128" t="s">
        <v>156</v>
      </c>
      <c r="K189" s="2141"/>
      <c r="L189" s="1195"/>
      <c r="M189" s="1195"/>
      <c r="N189" s="1195"/>
      <c r="O189" s="1195"/>
      <c r="P189" s="1195"/>
      <c r="Q189" s="1195"/>
      <c r="R189" s="1195"/>
    </row>
    <row r="190" spans="1:18" ht="16">
      <c r="A190" s="2191" t="s">
        <v>2635</v>
      </c>
      <c r="B190" s="2191"/>
      <c r="C190" s="2191"/>
      <c r="D190" s="2191"/>
      <c r="E190" s="2129" t="e">
        <f>'Ввод данных'!#REF!</f>
        <v>#REF!</v>
      </c>
      <c r="F190" s="366" t="s">
        <v>3568</v>
      </c>
      <c r="G190" s="928"/>
      <c r="H190" s="3139" t="s">
        <v>2573</v>
      </c>
      <c r="I190" s="3139"/>
      <c r="J190" s="2144" t="s">
        <v>156</v>
      </c>
      <c r="K190" s="2141"/>
      <c r="L190" s="1195"/>
      <c r="M190" s="1195"/>
      <c r="N190" s="1195"/>
      <c r="O190" s="1195"/>
      <c r="P190" s="1195"/>
      <c r="Q190" s="1195"/>
      <c r="R190" s="1195"/>
    </row>
    <row r="191" spans="1:18" ht="16">
      <c r="A191" s="488" t="s">
        <v>2572</v>
      </c>
      <c r="B191" s="699" t="s">
        <v>156</v>
      </c>
      <c r="C191" s="488">
        <f>D150+D151*2</f>
        <v>0</v>
      </c>
      <c r="D191" s="366"/>
      <c r="E191" s="366"/>
      <c r="F191" s="502"/>
      <c r="G191" s="928"/>
      <c r="H191" s="3139" t="s">
        <v>3882</v>
      </c>
      <c r="I191" s="3139"/>
      <c r="J191" s="2144" t="s">
        <v>156</v>
      </c>
      <c r="K191" s="2141"/>
      <c r="L191" s="1195"/>
      <c r="M191" s="1195"/>
      <c r="N191" s="1195"/>
      <c r="O191" s="1195"/>
      <c r="P191" s="1195"/>
      <c r="Q191" s="1195"/>
      <c r="R191" s="1195"/>
    </row>
    <row r="192" spans="1:18" ht="16">
      <c r="A192" s="488" t="s">
        <v>2638</v>
      </c>
      <c r="B192" s="699" t="s">
        <v>133</v>
      </c>
      <c r="C192" s="488">
        <f>D150*D151*D144+D150*D151*D145</f>
        <v>0</v>
      </c>
      <c r="D192" s="366"/>
      <c r="E192" s="366"/>
      <c r="F192" s="502"/>
      <c r="G192" s="928"/>
      <c r="H192" s="3139" t="s">
        <v>3883</v>
      </c>
      <c r="I192" s="3139"/>
      <c r="J192" s="2144" t="s">
        <v>156</v>
      </c>
      <c r="K192" s="2141"/>
      <c r="L192" s="1195"/>
      <c r="M192" s="1195"/>
      <c r="N192" s="1195"/>
      <c r="O192" s="1195"/>
      <c r="P192" s="1195"/>
      <c r="Q192" s="1195"/>
      <c r="R192" s="1195"/>
    </row>
    <row r="193" spans="1:18" ht="16">
      <c r="A193" s="366"/>
      <c r="B193" s="381"/>
      <c r="C193" s="366"/>
      <c r="D193" s="366"/>
      <c r="E193" s="366"/>
      <c r="F193" s="502"/>
      <c r="G193" s="928"/>
      <c r="H193" s="3139" t="s">
        <v>3884</v>
      </c>
      <c r="I193" s="3139"/>
      <c r="J193" s="2144" t="s">
        <v>156</v>
      </c>
      <c r="K193" s="2141"/>
      <c r="L193" s="1195"/>
      <c r="M193" s="1195"/>
      <c r="N193" s="1195"/>
      <c r="O193" s="1195"/>
      <c r="P193" s="1195"/>
      <c r="Q193" s="1195"/>
      <c r="R193" s="1195"/>
    </row>
    <row r="194" spans="1:18" ht="16">
      <c r="A194" s="366"/>
      <c r="B194" s="381"/>
      <c r="C194" s="366"/>
      <c r="D194" s="366"/>
      <c r="E194" s="366"/>
      <c r="F194" s="502"/>
      <c r="G194" s="928"/>
      <c r="H194" s="3169" t="s">
        <v>3885</v>
      </c>
      <c r="I194" s="3169"/>
      <c r="J194" s="2144" t="s">
        <v>156</v>
      </c>
      <c r="K194" s="2156">
        <f>K193-K191</f>
        <v>0</v>
      </c>
      <c r="L194" s="1195"/>
      <c r="M194" s="1195"/>
      <c r="N194" s="1195"/>
      <c r="O194" s="1195"/>
      <c r="P194" s="1195"/>
      <c r="Q194" s="1195"/>
      <c r="R194" s="1195"/>
    </row>
    <row r="195" spans="1:18" ht="16">
      <c r="A195" s="2191" t="s">
        <v>2030</v>
      </c>
      <c r="B195" s="788" t="s">
        <v>120</v>
      </c>
      <c r="C195" s="788" t="s">
        <v>1753</v>
      </c>
      <c r="D195" s="2141" t="str">
        <f>'Ввод данных'!F458</f>
        <v>Не считать</v>
      </c>
      <c r="E195" s="2192" t="s">
        <v>3520</v>
      </c>
      <c r="F195" s="464"/>
      <c r="G195" s="2193"/>
      <c r="H195" s="3119" t="s">
        <v>2001</v>
      </c>
      <c r="I195" s="3119"/>
      <c r="J195" s="746" t="s">
        <v>156</v>
      </c>
      <c r="K195" s="699">
        <f>K198*K199*M195</f>
        <v>0</v>
      </c>
      <c r="L195" s="1195"/>
      <c r="M195" s="1195"/>
      <c r="N195" s="1195"/>
      <c r="O195" s="1195"/>
      <c r="P195" s="1195"/>
      <c r="Q195" s="1195"/>
      <c r="R195" s="1195"/>
    </row>
    <row r="196" spans="1:18" ht="16">
      <c r="A196" s="486" t="s">
        <v>2547</v>
      </c>
      <c r="B196" s="486" t="s">
        <v>159</v>
      </c>
      <c r="C196" s="2194">
        <f>'Ввод данных'!E422</f>
        <v>0</v>
      </c>
      <c r="D196" s="354"/>
      <c r="E196" s="354"/>
      <c r="F196" s="354"/>
      <c r="G196" s="354"/>
      <c r="H196" s="3119" t="s">
        <v>2557</v>
      </c>
      <c r="I196" s="3119"/>
      <c r="J196" s="746" t="s">
        <v>156</v>
      </c>
      <c r="K196" s="699">
        <f>K198*K199*M196</f>
        <v>0</v>
      </c>
      <c r="L196" s="1195"/>
      <c r="M196" s="1195"/>
      <c r="N196" s="1195"/>
      <c r="O196" s="1195"/>
      <c r="P196" s="1195"/>
      <c r="Q196" s="1195"/>
      <c r="R196" s="1195"/>
    </row>
    <row r="197" spans="1:18" ht="16">
      <c r="A197" s="486" t="s">
        <v>2552</v>
      </c>
      <c r="B197" s="486" t="s">
        <v>159</v>
      </c>
      <c r="C197" s="2194">
        <f>'Ввод данных'!E423</f>
        <v>0</v>
      </c>
      <c r="D197" s="936"/>
      <c r="E197" s="354"/>
      <c r="F197" s="354"/>
      <c r="G197" s="354"/>
      <c r="H197" s="3139" t="s">
        <v>2558</v>
      </c>
      <c r="I197" s="3139"/>
      <c r="J197" s="986" t="s">
        <v>156</v>
      </c>
      <c r="K197" s="965">
        <f>K198*K199*M197</f>
        <v>0</v>
      </c>
      <c r="L197" s="1195"/>
      <c r="M197" s="1195"/>
      <c r="N197" s="1195"/>
      <c r="O197" s="1195"/>
      <c r="P197" s="1195"/>
      <c r="Q197" s="1195"/>
      <c r="R197" s="1195"/>
    </row>
    <row r="198" spans="1:18" ht="16">
      <c r="A198" s="464" t="s">
        <v>1236</v>
      </c>
      <c r="B198" s="464" t="s">
        <v>120</v>
      </c>
      <c r="C198" s="464" t="s">
        <v>2548</v>
      </c>
      <c r="D198" s="486" t="s">
        <v>2975</v>
      </c>
      <c r="E198" s="936"/>
      <c r="F198" s="936"/>
      <c r="G198" s="354"/>
      <c r="H198" s="2150"/>
      <c r="I198" s="1048"/>
      <c r="J198" s="1262"/>
      <c r="K198" s="2130"/>
      <c r="L198" s="1195"/>
      <c r="M198" s="1195"/>
      <c r="N198" s="1195"/>
      <c r="O198" s="1195"/>
      <c r="P198" s="1195"/>
      <c r="Q198" s="1195"/>
      <c r="R198" s="1195"/>
    </row>
    <row r="199" spans="1:18" ht="16">
      <c r="A199" s="486" t="s">
        <v>2001</v>
      </c>
      <c r="B199" s="486" t="s">
        <v>159</v>
      </c>
      <c r="C199" s="938" t="e">
        <f>(C204*C208+(C207-C204)*C202+(C207-C204)*((C208-C202)/2)*2)*E199</f>
        <v>#REF!</v>
      </c>
      <c r="D199" s="2141">
        <f>'Ввод данных'!D425</f>
        <v>0</v>
      </c>
      <c r="E199" s="2129" t="e">
        <f>'Ввод данных'!#REF!</f>
        <v>#REF!</v>
      </c>
      <c r="F199" s="366" t="s">
        <v>3521</v>
      </c>
      <c r="G199" s="354"/>
      <c r="H199" s="2150"/>
      <c r="I199" s="1048"/>
      <c r="J199" s="1262"/>
      <c r="K199" s="2130"/>
      <c r="L199" s="1195"/>
      <c r="M199" s="1195"/>
      <c r="N199" s="1195"/>
      <c r="O199" s="1195"/>
      <c r="P199" s="1195"/>
      <c r="Q199" s="1195"/>
      <c r="R199" s="1195"/>
    </row>
    <row r="200" spans="1:18" ht="16">
      <c r="A200" s="486" t="s">
        <v>2557</v>
      </c>
      <c r="B200" s="486" t="s">
        <v>159</v>
      </c>
      <c r="C200" s="938" t="e">
        <f>(C204*C208+(C207-C204)*C202+(C207-C204)*((C208-C202)/2)*2)*E200</f>
        <v>#REF!</v>
      </c>
      <c r="D200" s="2141">
        <f>'Ввод данных'!D426</f>
        <v>0</v>
      </c>
      <c r="E200" s="2129" t="e">
        <f>'Ввод данных'!#REF!</f>
        <v>#REF!</v>
      </c>
      <c r="F200" s="366" t="s">
        <v>3522</v>
      </c>
      <c r="G200" s="2193"/>
      <c r="H200" s="2150"/>
      <c r="I200" s="1048"/>
      <c r="J200" s="1262"/>
      <c r="K200" s="2130"/>
      <c r="L200" s="1195"/>
      <c r="M200" s="1195"/>
      <c r="N200" s="1195"/>
      <c r="O200" s="1195"/>
      <c r="P200" s="1195"/>
      <c r="Q200" s="1195"/>
      <c r="R200" s="1195"/>
    </row>
    <row r="201" spans="1:18" ht="16">
      <c r="A201" s="486" t="s">
        <v>2558</v>
      </c>
      <c r="B201" s="486" t="s">
        <v>159</v>
      </c>
      <c r="C201" s="938" t="e">
        <f>(C204*C208+(C207-C204)*C202+(C207-C204)*((C208-C202)/2)*2)*E201</f>
        <v>#REF!</v>
      </c>
      <c r="D201" s="2141">
        <f>'Ввод данных'!D427</f>
        <v>0</v>
      </c>
      <c r="E201" s="2129" t="e">
        <f>'Ввод данных'!#REF!</f>
        <v>#REF!</v>
      </c>
      <c r="F201" s="366" t="s">
        <v>3523</v>
      </c>
      <c r="G201" s="2135"/>
      <c r="H201" s="2183"/>
      <c r="I201" s="1048"/>
      <c r="J201" s="1262"/>
      <c r="K201" s="2130"/>
      <c r="L201" s="1195"/>
      <c r="M201" s="1195"/>
      <c r="N201" s="1195"/>
      <c r="O201" s="1195"/>
      <c r="P201" s="1195"/>
      <c r="Q201" s="1195"/>
      <c r="R201" s="1195"/>
    </row>
    <row r="202" spans="1:18" ht="16">
      <c r="A202" s="704" t="s">
        <v>3524</v>
      </c>
      <c r="B202" s="725" t="s">
        <v>156</v>
      </c>
      <c r="C202" s="2194"/>
      <c r="D202" s="464"/>
      <c r="E202" s="464"/>
      <c r="F202" s="464"/>
      <c r="G202" s="2135"/>
      <c r="H202" s="2183"/>
      <c r="I202" s="1048"/>
      <c r="J202" s="1262"/>
      <c r="K202" s="2130"/>
      <c r="L202" s="1195"/>
      <c r="M202" s="1195"/>
      <c r="N202" s="1195"/>
      <c r="O202" s="1195"/>
      <c r="P202" s="1195"/>
      <c r="Q202" s="1195"/>
      <c r="R202" s="1195"/>
    </row>
    <row r="203" spans="1:18" ht="16">
      <c r="A203" s="704" t="s">
        <v>3525</v>
      </c>
      <c r="B203" s="725" t="s">
        <v>156</v>
      </c>
      <c r="C203" s="699">
        <f>SQRT((C208-C202)/2*(C208-C202)/2+(C207-C204)*(C207-C204))</f>
        <v>0</v>
      </c>
      <c r="D203" s="464"/>
      <c r="E203" s="464"/>
      <c r="F203" s="464"/>
      <c r="G203" s="2135"/>
      <c r="H203" s="2183"/>
      <c r="I203" s="1048"/>
      <c r="J203" s="1262"/>
      <c r="K203" s="2130"/>
      <c r="L203" s="1195"/>
      <c r="M203" s="1195"/>
      <c r="N203" s="1195"/>
      <c r="O203" s="1195"/>
      <c r="P203" s="1195"/>
      <c r="Q203" s="1195"/>
      <c r="R203" s="1195"/>
    </row>
    <row r="204" spans="1:18" ht="16">
      <c r="A204" s="704" t="s">
        <v>3526</v>
      </c>
      <c r="B204" s="725" t="s">
        <v>156</v>
      </c>
      <c r="C204" s="2194"/>
      <c r="D204" s="2141"/>
      <c r="E204" s="464"/>
      <c r="F204" s="464"/>
      <c r="G204" s="2135"/>
      <c r="H204" s="2183"/>
      <c r="I204" s="1048"/>
      <c r="J204" s="1262"/>
      <c r="K204" s="2130"/>
      <c r="L204" s="1195"/>
      <c r="M204" s="1195"/>
      <c r="N204" s="1195"/>
      <c r="O204" s="1195"/>
      <c r="P204" s="1195"/>
      <c r="Q204" s="1195"/>
      <c r="R204" s="1195"/>
    </row>
    <row r="205" spans="1:18" ht="16">
      <c r="A205" s="704" t="s">
        <v>3892</v>
      </c>
      <c r="B205" s="725" t="s">
        <v>156</v>
      </c>
      <c r="C205" s="2194"/>
      <c r="D205" s="381"/>
      <c r="E205" s="464"/>
      <c r="F205" s="464"/>
      <c r="G205" s="2135"/>
      <c r="H205" s="2183"/>
      <c r="I205" s="1048"/>
      <c r="J205" s="1262"/>
      <c r="K205" s="2130"/>
      <c r="L205" s="1195"/>
      <c r="M205" s="1195"/>
      <c r="N205" s="1195"/>
      <c r="O205" s="1195"/>
      <c r="P205" s="1195"/>
      <c r="Q205" s="1195"/>
      <c r="R205" s="1195"/>
    </row>
    <row r="206" spans="1:18" ht="16">
      <c r="A206" s="704" t="s">
        <v>3529</v>
      </c>
      <c r="B206" s="725" t="s">
        <v>156</v>
      </c>
      <c r="C206" s="2194"/>
      <c r="D206" s="453"/>
      <c r="E206" s="464"/>
      <c r="F206" s="464"/>
      <c r="G206" s="2135"/>
      <c r="H206" s="2183"/>
      <c r="I206" s="1048"/>
      <c r="J206" s="1262"/>
      <c r="K206" s="2130"/>
      <c r="L206" s="1195"/>
      <c r="M206" s="1195"/>
      <c r="N206" s="1195"/>
      <c r="O206" s="1195"/>
      <c r="P206" s="1195"/>
      <c r="Q206" s="1195"/>
      <c r="R206" s="1195"/>
    </row>
    <row r="207" spans="1:18" ht="16">
      <c r="A207" s="577" t="s">
        <v>3530</v>
      </c>
      <c r="B207" s="725" t="s">
        <v>156</v>
      </c>
      <c r="C207" s="2194"/>
      <c r="D207" s="464"/>
      <c r="E207" s="464"/>
      <c r="F207" s="464"/>
      <c r="G207" s="2135"/>
      <c r="H207" s="936"/>
      <c r="I207" s="1048"/>
      <c r="J207" s="1262"/>
      <c r="K207" s="2130"/>
      <c r="L207" s="1195"/>
      <c r="M207" s="1195"/>
      <c r="N207" s="1195"/>
      <c r="O207" s="1195"/>
      <c r="P207" s="1195"/>
      <c r="Q207" s="1195"/>
      <c r="R207" s="1195"/>
    </row>
    <row r="208" spans="1:18" ht="16">
      <c r="A208" s="577" t="s">
        <v>3531</v>
      </c>
      <c r="B208" s="725" t="s">
        <v>156</v>
      </c>
      <c r="C208" s="2194"/>
      <c r="D208" s="464"/>
      <c r="E208" s="464"/>
      <c r="F208" s="464"/>
      <c r="G208" s="2135"/>
      <c r="H208" s="2183"/>
      <c r="I208" s="1048"/>
      <c r="J208" s="1262"/>
      <c r="K208" s="2130"/>
      <c r="L208" s="1195"/>
      <c r="M208" s="1195"/>
      <c r="N208" s="1195"/>
      <c r="O208" s="1195"/>
      <c r="P208" s="1195"/>
      <c r="Q208" s="1195"/>
      <c r="R208" s="1195"/>
    </row>
    <row r="209" spans="1:18" ht="16">
      <c r="A209" s="2195" t="s">
        <v>3893</v>
      </c>
      <c r="B209" s="2196" t="s">
        <v>156</v>
      </c>
      <c r="C209" s="2194"/>
      <c r="D209" s="2131"/>
      <c r="E209" s="2131"/>
      <c r="F209" s="2131"/>
      <c r="G209" s="936"/>
      <c r="H209" s="2183"/>
      <c r="I209" s="1048"/>
      <c r="J209" s="1262"/>
      <c r="K209" s="2130"/>
      <c r="L209" s="1195"/>
      <c r="M209" s="1195"/>
      <c r="N209" s="1195"/>
      <c r="O209" s="1195"/>
      <c r="P209" s="1195"/>
      <c r="Q209" s="1195"/>
      <c r="R209" s="1195"/>
    </row>
    <row r="210" spans="1:18" ht="16">
      <c r="A210" s="2197" t="s">
        <v>1236</v>
      </c>
      <c r="B210" s="788" t="s">
        <v>120</v>
      </c>
      <c r="C210" s="788" t="s">
        <v>2580</v>
      </c>
      <c r="D210" s="788" t="s">
        <v>2581</v>
      </c>
      <c r="E210" s="788" t="s">
        <v>1802</v>
      </c>
      <c r="F210" s="923" t="s">
        <v>3894</v>
      </c>
      <c r="G210" s="2135"/>
      <c r="H210" s="2183"/>
      <c r="I210" s="1048"/>
      <c r="J210" s="1262"/>
      <c r="K210" s="2130"/>
      <c r="L210" s="1195"/>
      <c r="M210" s="1195"/>
      <c r="N210" s="1195"/>
      <c r="O210" s="1195"/>
      <c r="P210" s="1195"/>
      <c r="Q210" s="1195"/>
      <c r="R210" s="1195"/>
    </row>
    <row r="211" spans="1:18" ht="16">
      <c r="A211" s="720" t="s">
        <v>2210</v>
      </c>
      <c r="B211" s="725" t="s">
        <v>156</v>
      </c>
      <c r="C211" s="2194">
        <f>'Ввод данных'!C432</f>
        <v>2.7</v>
      </c>
      <c r="D211" s="2141">
        <f>'Ввод данных'!D429</f>
        <v>0</v>
      </c>
      <c r="E211" s="2129" t="e">
        <f>'Ввод данных'!#REF!</f>
        <v>#REF!</v>
      </c>
      <c r="F211" s="2198" t="e">
        <f>C211*D211*E211</f>
        <v>#REF!</v>
      </c>
      <c r="G211" s="2135"/>
      <c r="H211" s="2183"/>
      <c r="I211" s="1048"/>
      <c r="J211" s="1262"/>
      <c r="K211" s="2130"/>
      <c r="L211" s="1195"/>
      <c r="M211" s="1195"/>
      <c r="N211" s="1195"/>
      <c r="O211" s="1195"/>
      <c r="P211" s="1195"/>
      <c r="Q211" s="1195"/>
      <c r="R211" s="1195"/>
    </row>
    <row r="212" spans="1:18" ht="16">
      <c r="A212" s="2199"/>
      <c r="B212" s="725" t="s">
        <v>156</v>
      </c>
      <c r="C212" s="2194"/>
      <c r="D212" s="2141">
        <f>'Ввод данных'!D430</f>
        <v>0</v>
      </c>
      <c r="E212" s="2129" t="e">
        <f>'Ввод данных'!#REF!</f>
        <v>#REF!</v>
      </c>
      <c r="F212" s="2198" t="e">
        <f>C212*D212*E212</f>
        <v>#REF!</v>
      </c>
      <c r="G212" s="2135"/>
      <c r="H212" s="2183"/>
      <c r="I212" s="1048"/>
      <c r="J212" s="1262"/>
      <c r="K212" s="2130"/>
      <c r="L212" s="1195"/>
      <c r="M212" s="1195"/>
      <c r="N212" s="1195"/>
      <c r="O212" s="1195"/>
      <c r="P212" s="1195"/>
      <c r="Q212" s="1195"/>
      <c r="R212" s="1195"/>
    </row>
    <row r="213" spans="1:18" ht="16">
      <c r="A213" s="762"/>
      <c r="B213" s="725" t="s">
        <v>156</v>
      </c>
      <c r="C213" s="2194"/>
      <c r="D213" s="2141">
        <f>'Ввод данных'!D431</f>
        <v>0</v>
      </c>
      <c r="E213" s="2129" t="e">
        <f>'Ввод данных'!#REF!</f>
        <v>#REF!</v>
      </c>
      <c r="F213" s="2198" t="e">
        <f>C213*D213*E213</f>
        <v>#REF!</v>
      </c>
      <c r="G213" s="2135"/>
      <c r="H213" s="2183"/>
      <c r="I213" s="1048"/>
      <c r="J213" s="1262"/>
      <c r="K213" s="2130"/>
      <c r="L213" s="1195"/>
      <c r="M213" s="1195"/>
      <c r="N213" s="1195"/>
      <c r="O213" s="1195"/>
      <c r="P213" s="1195"/>
      <c r="Q213" s="1195"/>
      <c r="R213" s="1195"/>
    </row>
    <row r="214" spans="1:18" ht="16">
      <c r="A214" s="720" t="s">
        <v>3895</v>
      </c>
      <c r="B214" s="725" t="s">
        <v>156</v>
      </c>
      <c r="C214" s="2194" t="e">
        <f>'Ввод данных'!#REF!</f>
        <v>#REF!</v>
      </c>
      <c r="D214" s="2141">
        <f>'Ввод данных'!D432</f>
        <v>0</v>
      </c>
      <c r="E214" s="2129" t="e">
        <f>'Ввод данных'!#REF!</f>
        <v>#REF!</v>
      </c>
      <c r="F214" s="2198" t="e">
        <f>C214*D214*E214</f>
        <v>#REF!</v>
      </c>
      <c r="G214" s="2135"/>
      <c r="H214" s="2183"/>
      <c r="I214" s="1048"/>
      <c r="J214" s="1262"/>
      <c r="K214" s="2130"/>
      <c r="L214" s="1195"/>
      <c r="M214" s="1195"/>
      <c r="N214" s="1195"/>
      <c r="O214" s="1195"/>
      <c r="P214" s="1195"/>
      <c r="Q214" s="1195"/>
      <c r="R214" s="1195"/>
    </row>
    <row r="215" spans="1:18" ht="16">
      <c r="A215" s="762"/>
      <c r="B215" s="725" t="s">
        <v>156</v>
      </c>
      <c r="C215" s="2194">
        <f>'Ввод данных'!C434</f>
        <v>0</v>
      </c>
      <c r="D215" s="2141">
        <f>'Ввод данных'!D433</f>
        <v>0</v>
      </c>
      <c r="E215" s="2129" t="e">
        <f>'Ввод данных'!#REF!</f>
        <v>#REF!</v>
      </c>
      <c r="F215" s="2198" t="e">
        <f>C215*D215*E215</f>
        <v>#REF!</v>
      </c>
      <c r="G215" s="2135"/>
      <c r="H215" s="2183"/>
      <c r="I215" s="1048"/>
      <c r="J215" s="1262"/>
      <c r="K215" s="2130"/>
      <c r="L215" s="1195"/>
      <c r="M215" s="1195"/>
      <c r="N215" s="1195"/>
      <c r="O215" s="1195"/>
      <c r="P215" s="1195"/>
      <c r="Q215" s="1195"/>
      <c r="R215" s="1195"/>
    </row>
    <row r="216" spans="1:18" ht="16">
      <c r="A216" s="938" t="s">
        <v>3896</v>
      </c>
      <c r="B216" s="938" t="s">
        <v>133</v>
      </c>
      <c r="C216" s="938" t="e">
        <f>F211+F212+F215+F214+F213</f>
        <v>#REF!</v>
      </c>
      <c r="D216" s="936"/>
      <c r="E216" s="936"/>
      <c r="F216" s="936"/>
      <c r="G216" s="2135"/>
      <c r="H216" s="2183"/>
      <c r="I216" s="1048"/>
      <c r="J216" s="1262"/>
      <c r="K216" s="2130"/>
      <c r="L216" s="1195"/>
      <c r="M216" s="1195"/>
      <c r="N216" s="1195"/>
      <c r="O216" s="1195"/>
      <c r="P216" s="1195"/>
      <c r="Q216" s="1195"/>
      <c r="R216" s="1195"/>
    </row>
    <row r="217" spans="1:18" ht="16">
      <c r="A217" s="938" t="s">
        <v>3541</v>
      </c>
      <c r="B217" s="938" t="s">
        <v>133</v>
      </c>
      <c r="C217" s="938" t="e">
        <f>(C204*2+C203*2+C202)*(C205+C209*C197+D199*E199+D200*E200+D201*E201)</f>
        <v>#REF!</v>
      </c>
      <c r="D217" s="936"/>
      <c r="E217" s="936"/>
      <c r="F217" s="936"/>
      <c r="G217" s="2135"/>
      <c r="H217" s="2183"/>
      <c r="I217" s="1048"/>
      <c r="J217" s="1262"/>
      <c r="K217" s="2130"/>
      <c r="L217" s="1195"/>
      <c r="M217" s="1195"/>
      <c r="N217" s="1195"/>
      <c r="O217" s="1195"/>
      <c r="P217" s="1195"/>
      <c r="Q217" s="1195"/>
      <c r="R217" s="1195"/>
    </row>
    <row r="218" spans="1:18" ht="16">
      <c r="A218" s="938" t="s">
        <v>3542</v>
      </c>
      <c r="B218" s="938" t="s">
        <v>133</v>
      </c>
      <c r="C218" s="938" t="e">
        <f>C217-C216</f>
        <v>#REF!</v>
      </c>
      <c r="D218" s="936"/>
      <c r="E218" s="936"/>
      <c r="F218" s="936"/>
      <c r="G218" s="2135"/>
      <c r="H218" s="2183"/>
      <c r="I218" s="1048"/>
      <c r="J218" s="1262"/>
      <c r="K218" s="2130"/>
      <c r="L218" s="1195"/>
      <c r="M218" s="1195"/>
      <c r="N218" s="1195"/>
      <c r="O218" s="1195"/>
      <c r="P218" s="1195"/>
      <c r="Q218" s="1195"/>
      <c r="R218" s="1195"/>
    </row>
    <row r="219" spans="1:18" ht="16">
      <c r="A219" s="2200" t="s">
        <v>3543</v>
      </c>
      <c r="B219" s="2200"/>
      <c r="C219" s="2187" t="s">
        <v>120</v>
      </c>
      <c r="D219" s="2187" t="s">
        <v>853</v>
      </c>
      <c r="E219" s="2129" t="e">
        <f>'Ввод данных'!#REF!</f>
        <v>#REF!</v>
      </c>
      <c r="F219" s="2188" t="s">
        <v>3555</v>
      </c>
      <c r="G219" s="2135"/>
      <c r="H219" s="2183"/>
      <c r="I219" s="1048"/>
      <c r="J219" s="1262"/>
      <c r="K219" s="2130"/>
      <c r="L219" s="1195"/>
      <c r="M219" s="1195"/>
      <c r="N219" s="1195"/>
      <c r="O219" s="1195"/>
      <c r="P219" s="1195"/>
      <c r="Q219" s="1195"/>
      <c r="R219" s="1195"/>
    </row>
    <row r="220" spans="1:18" ht="16">
      <c r="A220" s="942" t="s">
        <v>3544</v>
      </c>
      <c r="B220" s="943"/>
      <c r="C220" s="961" t="s">
        <v>156</v>
      </c>
      <c r="D220" s="938">
        <f>SQRT((C208/2)*(C208/2)+C206*C206)</f>
        <v>0</v>
      </c>
      <c r="E220" s="1276"/>
      <c r="F220" s="1276"/>
      <c r="G220" s="2135"/>
      <c r="H220" s="2183"/>
      <c r="I220" s="1048"/>
      <c r="J220" s="1262"/>
      <c r="K220" s="2130"/>
      <c r="L220" s="1195"/>
      <c r="M220" s="1195"/>
      <c r="N220" s="1195"/>
      <c r="O220" s="1195"/>
      <c r="P220" s="1195"/>
      <c r="Q220" s="1195"/>
      <c r="R220" s="1195"/>
    </row>
    <row r="221" spans="1:18" ht="16">
      <c r="A221" s="942" t="s">
        <v>3548</v>
      </c>
      <c r="B221" s="943"/>
      <c r="C221" s="961" t="s">
        <v>156</v>
      </c>
      <c r="D221" s="938">
        <f>SQRT(D220*D220+C204*C204)</f>
        <v>0</v>
      </c>
      <c r="E221" s="1276"/>
      <c r="F221" s="1276"/>
      <c r="G221" s="2135"/>
      <c r="H221" s="2183"/>
      <c r="I221" s="1048"/>
      <c r="J221" s="1262"/>
      <c r="K221" s="2130"/>
      <c r="L221" s="1195"/>
      <c r="M221" s="1195"/>
      <c r="N221" s="1195"/>
      <c r="O221" s="1195"/>
      <c r="P221" s="1195"/>
      <c r="Q221" s="1195"/>
      <c r="R221" s="1195"/>
    </row>
    <row r="222" spans="1:18" ht="16">
      <c r="A222" s="942" t="s">
        <v>3549</v>
      </c>
      <c r="B222" s="943"/>
      <c r="C222" s="961" t="s">
        <v>156</v>
      </c>
      <c r="D222" s="938">
        <f>SQRT(D221*D221+C203*C203)</f>
        <v>0</v>
      </c>
      <c r="E222" s="1276"/>
      <c r="F222" s="1276"/>
      <c r="G222" s="2135"/>
      <c r="H222" s="2183"/>
      <c r="I222" s="1048"/>
      <c r="J222" s="1262"/>
      <c r="K222" s="2130"/>
      <c r="L222" s="1195"/>
      <c r="M222" s="1195"/>
      <c r="N222" s="1195"/>
      <c r="O222" s="1195"/>
      <c r="P222" s="1195"/>
      <c r="Q222" s="1195"/>
      <c r="R222" s="1195"/>
    </row>
    <row r="223" spans="1:18" ht="16">
      <c r="A223" s="2201" t="s">
        <v>2609</v>
      </c>
      <c r="B223" s="2202"/>
      <c r="C223" s="920" t="s">
        <v>133</v>
      </c>
      <c r="D223" s="1319">
        <f>D220*C204+D221*C203*1.1+(C202/2)*SQRT(C207*C207+C206*C206)*2</f>
        <v>0</v>
      </c>
      <c r="E223" s="1276"/>
      <c r="F223" s="1276"/>
      <c r="G223" s="2135"/>
      <c r="H223" s="2183"/>
      <c r="I223" s="1048"/>
      <c r="J223" s="1262"/>
      <c r="K223" s="381"/>
      <c r="L223" s="1195"/>
      <c r="M223" s="1195"/>
      <c r="N223" s="1195"/>
      <c r="O223" s="1195"/>
      <c r="P223" s="1195"/>
      <c r="Q223" s="1195"/>
      <c r="R223" s="1195"/>
    </row>
    <row r="224" spans="1:18" ht="16">
      <c r="A224" s="2201" t="s">
        <v>3545</v>
      </c>
      <c r="B224" s="2203"/>
      <c r="C224" s="920" t="s">
        <v>156</v>
      </c>
      <c r="D224" s="2141">
        <f>'Ввод данных'!C433</f>
        <v>0.8</v>
      </c>
      <c r="E224" s="1276"/>
      <c r="F224" s="1276"/>
      <c r="G224" s="2135"/>
      <c r="H224" s="2183"/>
      <c r="I224" s="1048"/>
      <c r="J224" s="1262"/>
      <c r="K224" s="466"/>
      <c r="L224" s="1195"/>
      <c r="M224" s="1195"/>
      <c r="N224" s="1195"/>
      <c r="O224" s="1195"/>
      <c r="P224" s="1195"/>
      <c r="Q224" s="1195"/>
      <c r="R224" s="1195"/>
    </row>
    <row r="225" spans="1:18" ht="16">
      <c r="A225" s="942" t="s">
        <v>3550</v>
      </c>
      <c r="B225" s="943"/>
      <c r="C225" s="938" t="s">
        <v>156</v>
      </c>
      <c r="D225" s="1246">
        <f>D220+D224</f>
        <v>0.8</v>
      </c>
      <c r="E225" s="1276"/>
      <c r="F225" s="1276"/>
      <c r="G225" s="2135"/>
      <c r="H225" s="2183"/>
      <c r="I225" s="1048"/>
      <c r="J225" s="1262"/>
      <c r="K225" s="466"/>
      <c r="L225" s="1195"/>
      <c r="M225" s="1195"/>
      <c r="N225" s="1195"/>
      <c r="O225" s="1195"/>
      <c r="P225" s="1195"/>
      <c r="Q225" s="1195"/>
      <c r="R225" s="1195"/>
    </row>
    <row r="226" spans="1:18" ht="16">
      <c r="A226" s="942" t="s">
        <v>3552</v>
      </c>
      <c r="B226" s="943"/>
      <c r="C226" s="938" t="s">
        <v>156</v>
      </c>
      <c r="D226" s="1246">
        <f>D221+D224</f>
        <v>0.8</v>
      </c>
      <c r="E226" s="1276"/>
      <c r="F226" s="1276"/>
      <c r="G226" s="2135"/>
      <c r="H226" s="2183"/>
      <c r="I226" s="1048"/>
      <c r="J226" s="1262"/>
      <c r="K226" s="466"/>
      <c r="L226" s="1195"/>
      <c r="M226" s="1195"/>
      <c r="N226" s="1195"/>
      <c r="O226" s="1195"/>
      <c r="P226" s="1195"/>
      <c r="Q226" s="1195"/>
      <c r="R226" s="1195"/>
    </row>
    <row r="227" spans="1:18" ht="16">
      <c r="A227" s="942" t="s">
        <v>3554</v>
      </c>
      <c r="B227" s="943"/>
      <c r="C227" s="938" t="s">
        <v>156</v>
      </c>
      <c r="D227" s="1246">
        <f>D222+D224</f>
        <v>0.8</v>
      </c>
      <c r="E227" s="1276"/>
      <c r="F227" s="1276"/>
      <c r="G227" s="2135"/>
      <c r="H227" s="2183"/>
      <c r="I227" s="1048"/>
      <c r="J227" s="1262"/>
      <c r="K227" s="466"/>
      <c r="L227" s="1195"/>
      <c r="M227" s="1195"/>
      <c r="N227" s="1195"/>
      <c r="O227" s="1195"/>
      <c r="P227" s="1195"/>
      <c r="Q227" s="1195"/>
      <c r="R227" s="1195"/>
    </row>
    <row r="228" spans="1:18" ht="16">
      <c r="A228" s="2201" t="s">
        <v>2610</v>
      </c>
      <c r="B228" s="2202"/>
      <c r="C228" s="920" t="s">
        <v>133</v>
      </c>
      <c r="D228" s="1319" t="e">
        <f>((C204*D224*2+C203*D224*2+C202*D224)*1.1+D223)*E219</f>
        <v>#REF!</v>
      </c>
      <c r="E228" s="1276"/>
      <c r="F228" s="1276"/>
      <c r="G228" s="2135"/>
      <c r="H228" s="2183"/>
      <c r="I228" s="1048"/>
      <c r="J228" s="1262"/>
      <c r="K228" s="466"/>
      <c r="L228" s="1195"/>
      <c r="M228" s="1195"/>
      <c r="N228" s="1195"/>
      <c r="O228" s="1195"/>
      <c r="P228" s="1195"/>
      <c r="Q228" s="1195"/>
      <c r="R228" s="1195"/>
    </row>
    <row r="229" spans="1:18" ht="16">
      <c r="A229" s="2204" t="s">
        <v>2635</v>
      </c>
      <c r="B229" s="2204"/>
      <c r="C229" s="2204"/>
      <c r="D229" s="2204"/>
      <c r="E229" s="2129" t="e">
        <f>'Ввод данных'!#REF!</f>
        <v>#REF!</v>
      </c>
      <c r="F229" s="2130" t="s">
        <v>3568</v>
      </c>
      <c r="G229" s="2135"/>
      <c r="H229" s="2183"/>
      <c r="I229" s="1048"/>
      <c r="J229" s="1262"/>
      <c r="K229" s="927"/>
      <c r="L229" s="1195"/>
      <c r="M229" s="1195"/>
      <c r="N229" s="1195"/>
      <c r="O229" s="1195"/>
      <c r="P229" s="1195"/>
      <c r="Q229" s="1195"/>
      <c r="R229" s="1195"/>
    </row>
    <row r="230" spans="1:18" ht="16">
      <c r="A230" s="2205" t="s">
        <v>2572</v>
      </c>
      <c r="B230" s="2154" t="s">
        <v>156</v>
      </c>
      <c r="C230" s="2205">
        <f>C204*2+C203*2+C202</f>
        <v>0</v>
      </c>
      <c r="D230" s="2130"/>
      <c r="E230" s="2130"/>
      <c r="F230" s="1276"/>
      <c r="G230" s="2135"/>
      <c r="H230" s="2183"/>
      <c r="I230" s="1048"/>
      <c r="J230" s="1262"/>
      <c r="K230" s="1036"/>
      <c r="L230" s="1195"/>
      <c r="M230" s="1195"/>
      <c r="N230" s="1195"/>
      <c r="O230" s="1195"/>
      <c r="P230" s="1195"/>
      <c r="Q230" s="1195"/>
      <c r="R230" s="1195"/>
    </row>
    <row r="231" spans="1:18" ht="16">
      <c r="A231" s="2156" t="s">
        <v>3427</v>
      </c>
      <c r="B231" s="965" t="s">
        <v>133</v>
      </c>
      <c r="C231" s="2156" t="e">
        <f>C199+C200</f>
        <v>#REF!</v>
      </c>
      <c r="D231" s="2130"/>
      <c r="E231" s="2130"/>
      <c r="F231" s="1276"/>
      <c r="G231" s="2135"/>
      <c r="H231" s="2183"/>
      <c r="I231" s="1048"/>
      <c r="J231" s="1262"/>
      <c r="K231" s="2188"/>
      <c r="L231" s="1195"/>
      <c r="M231" s="1195"/>
      <c r="N231" s="1195"/>
      <c r="O231" s="1195"/>
      <c r="P231" s="1195"/>
      <c r="Q231" s="1195"/>
      <c r="R231" s="1195"/>
    </row>
    <row r="232" spans="1:18" ht="16">
      <c r="A232" s="936"/>
      <c r="B232" s="936"/>
      <c r="C232" s="936"/>
      <c r="D232" s="936"/>
      <c r="E232" s="936"/>
      <c r="F232" s="936"/>
      <c r="G232" s="2135"/>
      <c r="H232" s="2183"/>
      <c r="I232" s="1048"/>
      <c r="J232" s="1262"/>
      <c r="K232" s="1276"/>
      <c r="L232" s="1195"/>
      <c r="M232" s="1195"/>
      <c r="N232" s="1195"/>
      <c r="O232" s="1195"/>
      <c r="P232" s="1195"/>
      <c r="Q232" s="1195"/>
      <c r="R232" s="1195"/>
    </row>
    <row r="233" spans="1:18" ht="16">
      <c r="A233" s="936"/>
      <c r="B233" s="936"/>
      <c r="C233" s="936"/>
      <c r="D233" s="936"/>
      <c r="E233" s="936"/>
      <c r="F233" s="936"/>
      <c r="G233" s="2135"/>
      <c r="H233" s="2183"/>
      <c r="I233" s="1048"/>
      <c r="J233" s="1262"/>
      <c r="K233" s="1276"/>
      <c r="L233" s="1195"/>
      <c r="M233" s="1195"/>
      <c r="N233" s="1195"/>
      <c r="O233" s="1195"/>
      <c r="P233" s="1195"/>
      <c r="Q233" s="1195"/>
      <c r="R233" s="1195"/>
    </row>
    <row r="234" spans="1:18" ht="16">
      <c r="A234" s="936"/>
      <c r="B234" s="936"/>
      <c r="C234" s="936"/>
      <c r="D234" s="936"/>
      <c r="E234" s="936"/>
      <c r="F234" s="936"/>
      <c r="G234" s="2135"/>
      <c r="H234" s="2183"/>
      <c r="I234" s="1048"/>
      <c r="J234" s="1262"/>
      <c r="K234" s="1276"/>
      <c r="L234" s="1195"/>
      <c r="M234" s="1195"/>
      <c r="N234" s="1195"/>
      <c r="O234" s="1195"/>
      <c r="P234" s="1195"/>
      <c r="Q234" s="1195"/>
      <c r="R234" s="1195"/>
    </row>
    <row r="235" spans="1:18" ht="16">
      <c r="A235" s="936"/>
      <c r="B235" s="936"/>
      <c r="C235" s="936"/>
      <c r="D235" s="936"/>
      <c r="E235" s="936"/>
      <c r="F235" s="936"/>
      <c r="G235" s="2135"/>
      <c r="H235" s="2183"/>
      <c r="I235" s="1048"/>
      <c r="J235" s="1262"/>
      <c r="K235" s="1276"/>
      <c r="L235" s="1195"/>
      <c r="M235" s="1195"/>
      <c r="N235" s="1195"/>
      <c r="O235" s="1195"/>
      <c r="P235" s="1195"/>
      <c r="Q235" s="1195"/>
      <c r="R235" s="1195"/>
    </row>
    <row r="236" spans="1:18" ht="16">
      <c r="A236" s="2188"/>
      <c r="B236" s="2188"/>
      <c r="C236" s="2206"/>
      <c r="D236" s="1276"/>
      <c r="E236" s="1276"/>
      <c r="F236" s="1276"/>
      <c r="G236" s="2135"/>
      <c r="H236" s="2183"/>
      <c r="I236" s="1048"/>
      <c r="J236" s="1262"/>
      <c r="K236" s="1276"/>
      <c r="L236" s="1195"/>
      <c r="M236" s="1195"/>
      <c r="N236" s="1195"/>
      <c r="O236" s="1195"/>
      <c r="P236" s="1195"/>
      <c r="Q236" s="1195"/>
      <c r="R236" s="1195"/>
    </row>
    <row r="237" spans="1:18" ht="16">
      <c r="A237" s="936"/>
      <c r="B237" s="936"/>
      <c r="C237" s="936"/>
      <c r="D237" s="936"/>
      <c r="E237" s="366"/>
      <c r="F237" s="2130"/>
      <c r="G237" s="936"/>
      <c r="H237" s="2183"/>
      <c r="I237" s="1048"/>
      <c r="J237" s="1262"/>
      <c r="K237" s="2130"/>
      <c r="L237" s="1195"/>
      <c r="M237" s="1195"/>
      <c r="N237" s="1195"/>
      <c r="O237" s="1195"/>
      <c r="P237" s="1195"/>
      <c r="Q237" s="1195"/>
      <c r="R237" s="1195"/>
    </row>
    <row r="238" spans="1:18" ht="16">
      <c r="A238" s="936"/>
      <c r="B238" s="936"/>
      <c r="C238" s="936"/>
      <c r="D238" s="936"/>
      <c r="E238" s="366"/>
      <c r="F238" s="366"/>
      <c r="G238" s="2131"/>
      <c r="H238" s="2183"/>
      <c r="I238" s="1048"/>
      <c r="J238" s="1262"/>
      <c r="K238" s="1276"/>
      <c r="L238" s="1195"/>
      <c r="M238" s="1195"/>
      <c r="N238" s="1195"/>
      <c r="O238" s="1195"/>
      <c r="P238" s="1195"/>
      <c r="Q238" s="1195"/>
      <c r="R238" s="1195"/>
    </row>
    <row r="239" spans="1:18" ht="16">
      <c r="A239" s="936"/>
      <c r="B239" s="936"/>
      <c r="C239" s="936"/>
      <c r="D239" s="936"/>
      <c r="E239" s="366"/>
      <c r="F239" s="366"/>
      <c r="G239" s="2131"/>
      <c r="H239" s="2183"/>
      <c r="I239" s="1048"/>
      <c r="J239" s="1262"/>
      <c r="K239" s="1276"/>
      <c r="L239" s="1195"/>
      <c r="M239" s="1195"/>
      <c r="N239" s="1195"/>
      <c r="O239" s="1195"/>
      <c r="P239" s="1195"/>
      <c r="Q239" s="1195"/>
      <c r="R239" s="1195"/>
    </row>
    <row r="240" spans="1:18" ht="16">
      <c r="A240" s="936"/>
      <c r="B240" s="936"/>
      <c r="C240" s="936"/>
      <c r="D240" s="936"/>
      <c r="E240" s="2130"/>
      <c r="F240" s="2130"/>
      <c r="G240" s="2131"/>
      <c r="H240" s="2183"/>
      <c r="I240" s="1048"/>
      <c r="J240" s="1262"/>
      <c r="K240" s="927"/>
      <c r="L240" s="1195"/>
      <c r="M240" s="1195"/>
      <c r="N240" s="1195"/>
      <c r="O240" s="1195"/>
      <c r="P240" s="1195"/>
      <c r="Q240" s="1195"/>
      <c r="R240" s="1195"/>
    </row>
    <row r="241" spans="1:18" ht="16">
      <c r="A241" s="2207" t="s">
        <v>2069</v>
      </c>
      <c r="B241" s="787" t="s">
        <v>120</v>
      </c>
      <c r="C241" s="789" t="s">
        <v>1753</v>
      </c>
      <c r="D241" s="2141" t="str">
        <f>'Ввод данных'!F512</f>
        <v>Не считать</v>
      </c>
      <c r="E241" s="2130" t="s">
        <v>3897</v>
      </c>
      <c r="F241" s="2130"/>
      <c r="G241" s="2131"/>
      <c r="H241" s="2183"/>
      <c r="I241" s="1048"/>
      <c r="J241" s="1262"/>
      <c r="K241" s="927"/>
      <c r="L241" s="1195"/>
      <c r="M241" s="1195"/>
      <c r="N241" s="1195"/>
      <c r="O241" s="1195"/>
      <c r="P241" s="1195"/>
      <c r="Q241" s="1195"/>
      <c r="R241" s="1195"/>
    </row>
    <row r="242" spans="1:18" ht="16">
      <c r="A242" s="2156" t="s">
        <v>2058</v>
      </c>
      <c r="B242" s="961" t="s">
        <v>156</v>
      </c>
      <c r="C242" s="486">
        <v>3</v>
      </c>
      <c r="D242" s="366"/>
      <c r="E242" s="2130"/>
      <c r="F242" s="2130"/>
      <c r="G242" s="2131"/>
      <c r="H242" s="2183"/>
      <c r="I242" s="1048"/>
      <c r="J242" s="1262"/>
      <c r="K242" s="381"/>
      <c r="L242" s="1195"/>
      <c r="M242" s="1195"/>
      <c r="N242" s="1195"/>
      <c r="O242" s="1195"/>
      <c r="P242" s="1195"/>
      <c r="Q242" s="1195"/>
      <c r="R242" s="1195"/>
    </row>
    <row r="243" spans="1:18" ht="16">
      <c r="A243" s="2156" t="s">
        <v>3898</v>
      </c>
      <c r="B243" s="961" t="s">
        <v>156</v>
      </c>
      <c r="C243" s="2194">
        <f>'Ввод данных'!C467</f>
        <v>1</v>
      </c>
      <c r="D243" s="366"/>
      <c r="E243" s="2130"/>
      <c r="F243" s="2130"/>
      <c r="G243" s="2131"/>
      <c r="H243" s="2183"/>
      <c r="I243" s="1048"/>
      <c r="J243" s="1262"/>
      <c r="K243" s="366"/>
      <c r="L243" s="1195"/>
      <c r="M243" s="1195"/>
      <c r="N243" s="1195"/>
      <c r="O243" s="1195"/>
      <c r="P243" s="1195"/>
      <c r="Q243" s="1195"/>
      <c r="R243" s="1195"/>
    </row>
    <row r="244" spans="1:18" ht="16">
      <c r="A244" s="2144" t="s">
        <v>3838</v>
      </c>
      <c r="B244" s="961" t="s">
        <v>156</v>
      </c>
      <c r="C244" s="2194">
        <f>'Ввод данных'!C468</f>
        <v>0.9</v>
      </c>
      <c r="D244" s="366"/>
      <c r="E244" s="2130"/>
      <c r="F244" s="2130"/>
      <c r="G244" s="2130"/>
      <c r="H244" s="2183"/>
      <c r="I244" s="1048"/>
      <c r="J244" s="1036"/>
      <c r="K244" s="366"/>
      <c r="L244" s="1195"/>
      <c r="M244" s="1195"/>
      <c r="N244" s="1195"/>
      <c r="O244" s="1195"/>
      <c r="P244" s="1195"/>
      <c r="Q244" s="1195"/>
      <c r="R244" s="1195"/>
    </row>
    <row r="245" spans="1:18" ht="16">
      <c r="A245" s="2156" t="s">
        <v>3899</v>
      </c>
      <c r="B245" s="965" t="s">
        <v>133</v>
      </c>
      <c r="C245" s="2156">
        <f>C242*C243</f>
        <v>3</v>
      </c>
      <c r="D245" s="366"/>
      <c r="E245" s="2130"/>
      <c r="F245" s="2130"/>
      <c r="G245" s="2130"/>
      <c r="H245" s="2183"/>
      <c r="I245" s="1048"/>
      <c r="J245" s="1036"/>
      <c r="K245" s="366"/>
      <c r="L245" s="1195"/>
      <c r="M245" s="1195"/>
      <c r="N245" s="1195"/>
      <c r="O245" s="1195"/>
      <c r="P245" s="1195"/>
      <c r="Q245" s="1195"/>
      <c r="R245" s="1195"/>
    </row>
    <row r="246" spans="1:18" ht="16">
      <c r="A246" s="939" t="s">
        <v>3900</v>
      </c>
      <c r="B246" s="939" t="s">
        <v>133</v>
      </c>
      <c r="C246" s="2156">
        <f>(C242+C243+C243)*C244</f>
        <v>4.5</v>
      </c>
      <c r="D246" s="366"/>
      <c r="E246" s="2130"/>
      <c r="F246" s="2130"/>
      <c r="G246" s="2130"/>
      <c r="H246" s="2183"/>
      <c r="I246" s="1048"/>
      <c r="J246" s="1036"/>
      <c r="K246" s="366"/>
      <c r="L246" s="1195"/>
      <c r="M246" s="1195"/>
      <c r="N246" s="1195"/>
      <c r="O246" s="1195"/>
      <c r="P246" s="1195"/>
      <c r="Q246" s="1195"/>
      <c r="R246" s="1195"/>
    </row>
    <row r="247" spans="1:18" ht="16">
      <c r="A247" s="936"/>
      <c r="B247" s="936"/>
      <c r="C247" s="936"/>
      <c r="D247" s="366"/>
      <c r="E247" s="2130"/>
      <c r="F247" s="2130"/>
      <c r="G247" s="2130"/>
      <c r="H247" s="2183"/>
      <c r="I247" s="1048"/>
      <c r="J247" s="1036"/>
      <c r="K247" s="366"/>
      <c r="L247" s="1195"/>
      <c r="M247" s="1195"/>
      <c r="N247" s="1195"/>
      <c r="O247" s="1195"/>
      <c r="P247" s="1195"/>
      <c r="Q247" s="1195"/>
      <c r="R247" s="1195"/>
    </row>
    <row r="248" spans="1:18" ht="16">
      <c r="A248" s="2130"/>
      <c r="B248" s="2158"/>
      <c r="C248" s="2130"/>
      <c r="D248" s="2130"/>
      <c r="E248" s="2130"/>
      <c r="F248" s="2130"/>
      <c r="G248" s="2130"/>
      <c r="H248" s="2183"/>
      <c r="I248" s="1048"/>
      <c r="J248" s="1036"/>
      <c r="K248" s="381"/>
      <c r="L248" s="1195"/>
      <c r="M248" s="1195"/>
      <c r="N248" s="1195"/>
      <c r="O248" s="1195"/>
      <c r="P248" s="1195"/>
      <c r="Q248" s="1195"/>
      <c r="R248" s="1195"/>
    </row>
    <row r="249" spans="1:18" ht="16">
      <c r="A249" s="2130"/>
      <c r="B249" s="2158"/>
      <c r="C249" s="2130"/>
      <c r="D249" s="2130"/>
      <c r="E249" s="2130"/>
      <c r="F249" s="2130"/>
      <c r="G249" s="2130"/>
      <c r="H249" s="2183"/>
      <c r="I249" s="1048"/>
      <c r="J249" s="1036"/>
      <c r="K249" s="381"/>
      <c r="L249" s="1195"/>
      <c r="M249" s="1195"/>
      <c r="N249" s="1195"/>
      <c r="O249" s="1195"/>
      <c r="P249" s="1195"/>
      <c r="Q249" s="1195"/>
      <c r="R249" s="1195"/>
    </row>
    <row r="250" spans="1:18" ht="16">
      <c r="A250" s="2130"/>
      <c r="B250" s="2158"/>
      <c r="C250" s="2130"/>
      <c r="D250" s="2130"/>
      <c r="E250" s="2130"/>
      <c r="F250" s="2130"/>
      <c r="G250" s="2130"/>
      <c r="H250" s="2183"/>
      <c r="I250" s="1048"/>
      <c r="J250" s="1036"/>
      <c r="K250" s="381"/>
      <c r="L250" s="1195"/>
      <c r="M250" s="1195"/>
      <c r="N250" s="1195"/>
      <c r="O250" s="1195"/>
      <c r="P250" s="1195"/>
      <c r="Q250" s="1195"/>
      <c r="R250" s="1195"/>
    </row>
    <row r="251" spans="1:18" ht="16">
      <c r="A251" s="2130"/>
      <c r="B251" s="2158"/>
      <c r="C251" s="2130"/>
      <c r="D251" s="2130"/>
      <c r="E251" s="2130"/>
      <c r="F251" s="2130"/>
      <c r="G251" s="2130"/>
      <c r="H251" s="2183"/>
      <c r="I251" s="1048"/>
      <c r="J251" s="1036"/>
      <c r="K251" s="381"/>
      <c r="L251" s="1195"/>
      <c r="M251" s="1195"/>
      <c r="N251" s="1195"/>
      <c r="O251" s="1195"/>
      <c r="P251" s="1195"/>
      <c r="Q251" s="1195"/>
      <c r="R251" s="1195"/>
    </row>
    <row r="252" spans="1:18" ht="16">
      <c r="A252" s="2130"/>
      <c r="B252" s="2158"/>
      <c r="C252" s="2130"/>
      <c r="D252" s="2130"/>
      <c r="E252" s="2130"/>
      <c r="F252" s="2130"/>
      <c r="G252" s="2130"/>
      <c r="H252" s="2183"/>
      <c r="I252" s="1048"/>
      <c r="J252" s="1036"/>
      <c r="K252" s="381"/>
      <c r="L252" s="1195"/>
      <c r="M252" s="1195"/>
      <c r="N252" s="1195"/>
      <c r="O252" s="1195"/>
      <c r="P252" s="1195"/>
      <c r="Q252" s="1195"/>
      <c r="R252" s="1195"/>
    </row>
    <row r="253" spans="1:18" ht="16">
      <c r="A253" s="2130"/>
      <c r="B253" s="2158"/>
      <c r="C253" s="2130"/>
      <c r="D253" s="2130"/>
      <c r="E253" s="2130"/>
      <c r="F253" s="2130"/>
      <c r="G253" s="2130"/>
      <c r="H253" s="2183"/>
      <c r="I253" s="1048"/>
      <c r="J253" s="1036"/>
      <c r="K253" s="381"/>
      <c r="L253" s="1195"/>
      <c r="M253" s="1195"/>
      <c r="N253" s="1195"/>
      <c r="O253" s="1195"/>
      <c r="P253" s="1195"/>
      <c r="Q253" s="1195"/>
      <c r="R253" s="1195"/>
    </row>
    <row r="254" spans="1:18" ht="16">
      <c r="A254" s="2130"/>
      <c r="B254" s="2158"/>
      <c r="C254" s="2130"/>
      <c r="D254" s="2130"/>
      <c r="E254" s="2130"/>
      <c r="F254" s="2130"/>
      <c r="G254" s="2130"/>
      <c r="H254" s="2183"/>
      <c r="I254" s="1048"/>
      <c r="J254" s="1036"/>
      <c r="K254" s="381"/>
      <c r="L254" s="1195"/>
      <c r="M254" s="1195"/>
      <c r="N254" s="1195"/>
      <c r="O254" s="1195"/>
      <c r="P254" s="1195"/>
      <c r="Q254" s="1195"/>
      <c r="R254" s="1195"/>
    </row>
    <row r="255" spans="1:18" ht="16">
      <c r="A255" s="2130"/>
      <c r="B255" s="2158"/>
      <c r="C255" s="2130"/>
      <c r="D255" s="2130"/>
      <c r="E255" s="2130"/>
      <c r="F255" s="2130"/>
      <c r="G255" s="2130"/>
      <c r="H255" s="2183"/>
      <c r="I255" s="1048"/>
      <c r="J255" s="1036"/>
      <c r="K255" s="2130"/>
      <c r="L255" s="1195"/>
      <c r="M255" s="1195"/>
      <c r="N255" s="1195"/>
      <c r="O255" s="1195"/>
      <c r="P255" s="1195"/>
      <c r="Q255" s="1195"/>
      <c r="R255" s="1195"/>
    </row>
    <row r="256" spans="1:18" ht="16">
      <c r="A256" s="2130"/>
      <c r="B256" s="2158"/>
      <c r="C256" s="2130"/>
      <c r="D256" s="2130"/>
      <c r="E256" s="2130"/>
      <c r="F256" s="2130"/>
      <c r="G256" s="2130"/>
      <c r="H256" s="2183"/>
      <c r="I256" s="1048"/>
      <c r="J256" s="1036"/>
      <c r="K256" s="927"/>
      <c r="L256" s="1195"/>
      <c r="M256" s="1195"/>
      <c r="N256" s="1195"/>
      <c r="O256" s="1195"/>
      <c r="P256" s="1195"/>
      <c r="Q256" s="1195"/>
      <c r="R256" s="1195"/>
    </row>
    <row r="257" spans="1:18" ht="16">
      <c r="A257" s="936"/>
      <c r="B257" s="936"/>
      <c r="C257" s="936"/>
      <c r="D257" s="936"/>
      <c r="E257" s="366"/>
      <c r="F257" s="2130"/>
      <c r="G257" s="366"/>
      <c r="H257" s="2183"/>
      <c r="I257" s="1048"/>
      <c r="J257" s="936"/>
      <c r="K257" s="927"/>
      <c r="L257" s="1195"/>
      <c r="M257" s="1195"/>
      <c r="N257" s="1195"/>
      <c r="O257" s="1195"/>
      <c r="P257" s="1195"/>
      <c r="Q257" s="1195"/>
      <c r="R257" s="1195"/>
    </row>
    <row r="258" spans="1:18" ht="16">
      <c r="A258" s="936"/>
      <c r="B258" s="936"/>
      <c r="C258" s="936"/>
      <c r="D258" s="936"/>
      <c r="E258" s="366"/>
      <c r="F258" s="366"/>
      <c r="G258" s="2130"/>
      <c r="H258" s="2183"/>
      <c r="I258" s="1048"/>
      <c r="J258" s="936"/>
      <c r="K258" s="927"/>
      <c r="L258" s="1195"/>
      <c r="M258" s="1195"/>
      <c r="N258" s="1195"/>
      <c r="O258" s="1195"/>
      <c r="P258" s="1195"/>
      <c r="Q258" s="1195"/>
      <c r="R258" s="1195"/>
    </row>
    <row r="259" spans="1:18" ht="16">
      <c r="A259" s="936"/>
      <c r="B259" s="936"/>
      <c r="C259" s="936"/>
      <c r="D259" s="936"/>
      <c r="E259" s="366"/>
      <c r="F259" s="366"/>
      <c r="G259" s="2130"/>
      <c r="H259" s="2183"/>
      <c r="I259" s="1048"/>
      <c r="J259" s="936"/>
      <c r="K259" s="927"/>
      <c r="L259" s="1195"/>
      <c r="M259" s="1195"/>
      <c r="N259" s="1195"/>
      <c r="O259" s="1195"/>
      <c r="P259" s="1195"/>
      <c r="Q259" s="1195"/>
      <c r="R259" s="1195"/>
    </row>
    <row r="260" spans="1:18" ht="16">
      <c r="A260" s="936"/>
      <c r="B260" s="936"/>
      <c r="C260" s="936"/>
      <c r="D260" s="936"/>
      <c r="E260" s="2130"/>
      <c r="F260" s="2130"/>
      <c r="G260" s="2130"/>
      <c r="H260" s="2183"/>
      <c r="I260" s="1048"/>
      <c r="J260" s="936"/>
      <c r="K260" s="2158"/>
      <c r="L260" s="1195"/>
      <c r="M260" s="1195"/>
      <c r="N260" s="1195"/>
      <c r="O260" s="1195"/>
      <c r="P260" s="1195"/>
      <c r="Q260" s="1195"/>
      <c r="R260" s="1195"/>
    </row>
    <row r="261" spans="1:18" ht="16">
      <c r="A261" s="936"/>
      <c r="B261" s="936"/>
      <c r="C261" s="936"/>
      <c r="D261" s="936"/>
      <c r="E261" s="2130"/>
      <c r="F261" s="2130"/>
      <c r="G261" s="2130"/>
      <c r="H261" s="2183"/>
      <c r="I261" s="1048"/>
      <c r="J261" s="936"/>
      <c r="K261" s="466"/>
      <c r="L261" s="1195"/>
      <c r="M261" s="1195"/>
      <c r="N261" s="1195"/>
      <c r="O261" s="1195"/>
      <c r="P261" s="1195"/>
      <c r="Q261" s="1195"/>
      <c r="R261" s="1195"/>
    </row>
    <row r="262" spans="1:18" ht="16">
      <c r="A262" s="936"/>
      <c r="B262" s="936"/>
      <c r="C262" s="936"/>
      <c r="D262" s="936"/>
      <c r="E262" s="2130"/>
      <c r="F262" s="2130"/>
      <c r="G262" s="2130"/>
      <c r="H262" s="2183"/>
      <c r="I262" s="1048"/>
      <c r="J262" s="936"/>
      <c r="K262" s="466"/>
      <c r="L262" s="1195"/>
      <c r="M262" s="1195"/>
      <c r="N262" s="1195"/>
      <c r="O262" s="1195"/>
      <c r="P262" s="1195"/>
      <c r="Q262" s="1195"/>
      <c r="R262" s="1195"/>
    </row>
    <row r="263" spans="1:18" ht="16">
      <c r="A263" s="2208" t="s">
        <v>3812</v>
      </c>
      <c r="B263" s="2209" t="s">
        <v>120</v>
      </c>
      <c r="C263" s="787" t="s">
        <v>1753</v>
      </c>
      <c r="D263" s="2141" t="str">
        <f>'Ввод данных'!F617</f>
        <v>Не считать</v>
      </c>
      <c r="E263" s="2130" t="s">
        <v>3813</v>
      </c>
      <c r="F263" s="2130"/>
      <c r="G263" s="2130"/>
      <c r="H263" s="2183"/>
      <c r="I263" s="1048"/>
      <c r="J263" s="936"/>
      <c r="K263" s="466"/>
      <c r="L263" s="1195"/>
      <c r="M263" s="1195"/>
      <c r="N263" s="1195"/>
      <c r="O263" s="1195"/>
      <c r="P263" s="1195"/>
      <c r="Q263" s="1195"/>
      <c r="R263" s="1195"/>
    </row>
    <row r="264" spans="1:18" ht="16">
      <c r="A264" s="938" t="s">
        <v>2002</v>
      </c>
      <c r="B264" s="938" t="s">
        <v>159</v>
      </c>
      <c r="C264" s="2194">
        <f>'Ввод данных'!E520</f>
        <v>0</v>
      </c>
      <c r="D264" s="2151"/>
      <c r="E264" s="2130"/>
      <c r="F264" s="2130"/>
      <c r="G264" s="2130"/>
      <c r="H264" s="2183"/>
      <c r="I264" s="1048"/>
      <c r="J264" s="936"/>
      <c r="K264" s="466"/>
      <c r="L264" s="1195"/>
      <c r="M264" s="1195"/>
      <c r="N264" s="1195"/>
      <c r="O264" s="1195"/>
      <c r="P264" s="1195"/>
      <c r="Q264" s="1195"/>
      <c r="R264" s="1195"/>
    </row>
    <row r="265" spans="1:18" ht="16">
      <c r="A265" s="938" t="s">
        <v>3814</v>
      </c>
      <c r="B265" s="938" t="s">
        <v>159</v>
      </c>
      <c r="C265" s="2194">
        <f>'Ввод данных'!E521</f>
        <v>0</v>
      </c>
      <c r="D265" s="938" t="s">
        <v>2975</v>
      </c>
      <c r="E265" s="2130"/>
      <c r="F265" s="2130"/>
      <c r="G265" s="2130"/>
      <c r="H265" s="2183"/>
      <c r="I265" s="1048"/>
      <c r="J265" s="936"/>
      <c r="K265" s="466"/>
      <c r="L265" s="1195"/>
      <c r="M265" s="1195"/>
      <c r="N265" s="1195"/>
      <c r="O265" s="1195"/>
      <c r="P265" s="1195"/>
      <c r="Q265" s="1195"/>
      <c r="R265" s="1195"/>
    </row>
    <row r="266" spans="1:18" ht="16">
      <c r="A266" s="938" t="s">
        <v>2001</v>
      </c>
      <c r="B266" s="938" t="s">
        <v>159</v>
      </c>
      <c r="C266" s="938"/>
      <c r="D266" s="2141" t="e">
        <f>'Ввод данных'!#REF!</f>
        <v>#REF!</v>
      </c>
      <c r="E266" s="2129" t="e">
        <f>'Ввод данных'!#REF!</f>
        <v>#REF!</v>
      </c>
      <c r="F266" s="2130" t="s">
        <v>3521</v>
      </c>
      <c r="G266" s="2130"/>
      <c r="H266" s="2183"/>
      <c r="I266" s="1048"/>
      <c r="J266" s="936"/>
      <c r="K266" s="927"/>
      <c r="L266" s="1195"/>
      <c r="M266" s="1195"/>
      <c r="N266" s="1195"/>
      <c r="O266" s="1195"/>
      <c r="P266" s="1195"/>
      <c r="Q266" s="1195"/>
      <c r="R266" s="1195"/>
    </row>
    <row r="267" spans="1:18" ht="16">
      <c r="A267" s="938" t="s">
        <v>2557</v>
      </c>
      <c r="B267" s="938" t="s">
        <v>159</v>
      </c>
      <c r="C267" s="938"/>
      <c r="D267" s="2141" t="e">
        <f>'Ввод данных'!#REF!</f>
        <v>#REF!</v>
      </c>
      <c r="E267" s="2129" t="e">
        <f>'Ввод данных'!#REF!</f>
        <v>#REF!</v>
      </c>
      <c r="F267" s="2130" t="s">
        <v>3522</v>
      </c>
      <c r="G267" s="2130"/>
      <c r="H267" s="2183"/>
      <c r="I267" s="1048"/>
      <c r="J267" s="936"/>
      <c r="K267" s="927"/>
      <c r="L267" s="1195"/>
      <c r="M267" s="1195"/>
      <c r="N267" s="1195"/>
      <c r="O267" s="1195"/>
      <c r="P267" s="1195"/>
      <c r="Q267" s="1195"/>
      <c r="R267" s="1195"/>
    </row>
    <row r="268" spans="1:18" ht="16">
      <c r="A268" s="938" t="s">
        <v>2558</v>
      </c>
      <c r="B268" s="938" t="s">
        <v>159</v>
      </c>
      <c r="C268" s="938"/>
      <c r="D268" s="2141" t="e">
        <f>'Ввод данных'!#REF!</f>
        <v>#REF!</v>
      </c>
      <c r="E268" s="2129" t="e">
        <f>'Ввод данных'!#REF!</f>
        <v>#REF!</v>
      </c>
      <c r="F268" s="2130" t="s">
        <v>3523</v>
      </c>
      <c r="G268" s="2130"/>
      <c r="H268" s="2183"/>
      <c r="I268" s="1048"/>
      <c r="J268" s="936"/>
      <c r="K268" s="927"/>
      <c r="L268" s="1195"/>
      <c r="M268" s="1195"/>
      <c r="N268" s="1195"/>
      <c r="O268" s="1195"/>
      <c r="P268" s="1195"/>
      <c r="Q268" s="1195"/>
      <c r="R268" s="1195"/>
    </row>
    <row r="269" spans="1:18" ht="16">
      <c r="A269" s="704" t="s">
        <v>2091</v>
      </c>
      <c r="B269" s="725" t="s">
        <v>156</v>
      </c>
      <c r="C269" s="2194">
        <f>'Ввод данных'!C522</f>
        <v>3</v>
      </c>
      <c r="D269" s="464"/>
      <c r="E269" s="2130"/>
      <c r="F269" s="2130"/>
      <c r="G269" s="2130"/>
      <c r="H269" s="2183"/>
      <c r="I269" s="1048"/>
      <c r="J269" s="936"/>
      <c r="K269" s="2188"/>
      <c r="L269" s="1195"/>
      <c r="M269" s="1195"/>
      <c r="N269" s="1195"/>
      <c r="O269" s="1195"/>
      <c r="P269" s="1195"/>
      <c r="Q269" s="1195"/>
      <c r="R269" s="1195"/>
    </row>
    <row r="270" spans="1:18" ht="16">
      <c r="A270" s="704" t="s">
        <v>3901</v>
      </c>
      <c r="B270" s="725" t="s">
        <v>156</v>
      </c>
      <c r="C270" s="2194">
        <f>'Ввод данных'!C523</f>
        <v>3</v>
      </c>
      <c r="D270" s="464"/>
      <c r="E270" s="2130"/>
      <c r="F270" s="2130"/>
      <c r="G270" s="2130"/>
      <c r="H270" s="2183"/>
      <c r="I270" s="1048"/>
      <c r="J270" s="936"/>
      <c r="K270" s="1276"/>
      <c r="L270" s="1195"/>
      <c r="M270" s="1195"/>
      <c r="N270" s="1195"/>
      <c r="O270" s="1195"/>
      <c r="P270" s="1195"/>
      <c r="Q270" s="1195"/>
      <c r="R270" s="1195"/>
    </row>
    <row r="271" spans="1:18" ht="16">
      <c r="A271" s="704" t="s">
        <v>2093</v>
      </c>
      <c r="B271" s="725" t="s">
        <v>156</v>
      </c>
      <c r="C271" s="2194">
        <f>'Ввод данных'!C524</f>
        <v>2.7</v>
      </c>
      <c r="D271" s="381"/>
      <c r="E271" s="2130"/>
      <c r="F271" s="2130"/>
      <c r="G271" s="2130"/>
      <c r="H271" s="2183"/>
      <c r="I271" s="1048"/>
      <c r="J271" s="936"/>
      <c r="K271" s="1276"/>
      <c r="L271" s="1195"/>
      <c r="M271" s="1195"/>
      <c r="N271" s="1195"/>
      <c r="O271" s="1195"/>
      <c r="P271" s="1195"/>
      <c r="Q271" s="1195"/>
      <c r="R271" s="1195"/>
    </row>
    <row r="272" spans="1:18" ht="16">
      <c r="A272" s="704" t="s">
        <v>2094</v>
      </c>
      <c r="B272" s="725" t="s">
        <v>156</v>
      </c>
      <c r="C272" s="2194">
        <f>'Ввод данных'!C525</f>
        <v>2.7</v>
      </c>
      <c r="D272" s="381"/>
      <c r="E272" s="2130"/>
      <c r="F272" s="2130"/>
      <c r="G272" s="2130"/>
      <c r="H272" s="2183"/>
      <c r="I272" s="1048"/>
      <c r="J272" s="936"/>
      <c r="K272" s="1276"/>
      <c r="L272" s="1195"/>
      <c r="M272" s="1195"/>
      <c r="N272" s="1195"/>
      <c r="O272" s="1195"/>
      <c r="P272" s="1195"/>
      <c r="Q272" s="1195"/>
      <c r="R272" s="1195"/>
    </row>
    <row r="273" spans="1:18" ht="16">
      <c r="A273" s="2210" t="s">
        <v>1236</v>
      </c>
      <c r="B273" s="2210" t="s">
        <v>120</v>
      </c>
      <c r="C273" s="933" t="s">
        <v>2548</v>
      </c>
      <c r="D273" s="936"/>
      <c r="E273" s="2130"/>
      <c r="F273" s="2130"/>
      <c r="G273" s="2130"/>
      <c r="H273" s="2183"/>
      <c r="I273" s="1048"/>
      <c r="J273" s="936"/>
      <c r="K273" s="1276"/>
      <c r="L273" s="1195"/>
      <c r="M273" s="1195"/>
      <c r="N273" s="1195"/>
      <c r="O273" s="1195"/>
      <c r="P273" s="1195"/>
      <c r="Q273" s="1195"/>
      <c r="R273" s="1195"/>
    </row>
    <row r="274" spans="1:18" ht="16">
      <c r="A274" s="938" t="s">
        <v>3902</v>
      </c>
      <c r="B274" s="960" t="s">
        <v>133</v>
      </c>
      <c r="C274" s="938" t="e">
        <f>C269*C270*E266</f>
        <v>#REF!</v>
      </c>
      <c r="D274" s="936"/>
      <c r="E274" s="2130"/>
      <c r="F274" s="2130"/>
      <c r="G274" s="2130"/>
      <c r="H274" s="2183"/>
      <c r="I274" s="1048"/>
      <c r="J274" s="936"/>
      <c r="K274" s="1276"/>
      <c r="L274" s="1195"/>
      <c r="M274" s="1195"/>
      <c r="N274" s="1195"/>
      <c r="O274" s="1195"/>
      <c r="P274" s="1195"/>
      <c r="Q274" s="1195"/>
      <c r="R274" s="1195"/>
    </row>
    <row r="275" spans="1:18" ht="16">
      <c r="A275" s="938" t="s">
        <v>3903</v>
      </c>
      <c r="B275" s="960" t="s">
        <v>133</v>
      </c>
      <c r="C275" s="938" t="e">
        <f>C269*C270*E267</f>
        <v>#REF!</v>
      </c>
      <c r="D275" s="936"/>
      <c r="E275" s="2130"/>
      <c r="F275" s="2130"/>
      <c r="G275" s="2130"/>
      <c r="H275" s="2183"/>
      <c r="I275" s="1048"/>
      <c r="J275" s="936"/>
      <c r="K275" s="1276"/>
      <c r="L275" s="1195"/>
      <c r="M275" s="1195"/>
      <c r="N275" s="1195"/>
      <c r="O275" s="1195"/>
      <c r="P275" s="1195"/>
      <c r="Q275" s="1195"/>
      <c r="R275" s="1195"/>
    </row>
    <row r="276" spans="1:18" ht="16">
      <c r="A276" s="938" t="s">
        <v>3904</v>
      </c>
      <c r="B276" s="960" t="s">
        <v>133</v>
      </c>
      <c r="C276" s="938" t="e">
        <f>C269*C270*E268</f>
        <v>#REF!</v>
      </c>
      <c r="D276" s="936"/>
      <c r="E276" s="2130"/>
      <c r="F276" s="2130"/>
      <c r="G276" s="2130"/>
      <c r="H276" s="2183"/>
      <c r="I276" s="1048"/>
      <c r="J276" s="936"/>
      <c r="K276" s="1276"/>
      <c r="L276" s="1195"/>
      <c r="M276" s="1195"/>
      <c r="N276" s="1195"/>
      <c r="O276" s="1195"/>
      <c r="P276" s="1195"/>
      <c r="Q276" s="1195"/>
      <c r="R276" s="1195"/>
    </row>
    <row r="277" spans="1:18" ht="16">
      <c r="A277" s="3184" t="s">
        <v>2635</v>
      </c>
      <c r="B277" s="3184"/>
      <c r="C277" s="3184"/>
      <c r="D277" s="3184"/>
      <c r="E277" s="2129">
        <f>'Ввод данных'!D555</f>
        <v>2</v>
      </c>
      <c r="F277" s="2130" t="s">
        <v>3568</v>
      </c>
      <c r="G277" s="2130"/>
      <c r="H277" s="2183"/>
      <c r="I277" s="1048"/>
      <c r="J277" s="936"/>
      <c r="K277" s="1276"/>
      <c r="L277" s="1195"/>
      <c r="M277" s="1195"/>
      <c r="N277" s="1195"/>
      <c r="O277" s="1195"/>
      <c r="P277" s="1195"/>
      <c r="Q277" s="1195"/>
      <c r="R277" s="1195"/>
    </row>
    <row r="278" spans="1:18" ht="16">
      <c r="A278" s="2205" t="s">
        <v>2572</v>
      </c>
      <c r="B278" s="2154" t="s">
        <v>156</v>
      </c>
      <c r="C278" s="2205">
        <f>(C270+C270+C269)*E277</f>
        <v>18</v>
      </c>
      <c r="D278" s="2130"/>
      <c r="E278" s="2130"/>
      <c r="F278" s="2130"/>
      <c r="G278" s="2130"/>
      <c r="H278" s="2183"/>
      <c r="I278" s="1048"/>
      <c r="J278" s="936"/>
      <c r="K278" s="1276"/>
      <c r="L278" s="1195"/>
      <c r="M278" s="1195"/>
      <c r="N278" s="1195"/>
      <c r="O278" s="1195"/>
      <c r="P278" s="1195"/>
      <c r="Q278" s="1195"/>
      <c r="R278" s="1195"/>
    </row>
    <row r="279" spans="1:18" ht="16">
      <c r="A279" s="2156" t="s">
        <v>3427</v>
      </c>
      <c r="B279" s="965" t="s">
        <v>133</v>
      </c>
      <c r="C279" s="2156">
        <f>C269*C270*E277</f>
        <v>18</v>
      </c>
      <c r="D279" s="2130"/>
      <c r="E279" s="2130"/>
      <c r="F279" s="2130"/>
      <c r="G279" s="2130"/>
      <c r="H279" s="2183"/>
      <c r="I279" s="1048"/>
      <c r="J279" s="936"/>
      <c r="K279" s="1276"/>
      <c r="L279" s="1195"/>
      <c r="M279" s="1195"/>
      <c r="N279" s="1195"/>
      <c r="O279" s="1195"/>
      <c r="P279" s="1195"/>
      <c r="Q279" s="1195"/>
      <c r="R279" s="1195"/>
    </row>
    <row r="280" spans="1:18" ht="16">
      <c r="A280" s="2130"/>
      <c r="B280" s="2158"/>
      <c r="C280" s="2130"/>
      <c r="D280" s="2130"/>
      <c r="E280" s="2130"/>
      <c r="F280" s="2130"/>
      <c r="G280" s="2130"/>
      <c r="H280" s="2183"/>
      <c r="I280" s="1048"/>
      <c r="J280" s="936"/>
      <c r="K280" s="1276"/>
      <c r="L280" s="1195"/>
      <c r="M280" s="1195"/>
      <c r="N280" s="1195"/>
      <c r="O280" s="1195"/>
      <c r="P280" s="1195"/>
      <c r="Q280" s="1195"/>
      <c r="R280" s="1195"/>
    </row>
    <row r="281" spans="1:18" ht="16">
      <c r="A281" s="2130"/>
      <c r="B281" s="2158"/>
      <c r="C281" s="2130"/>
      <c r="D281" s="2130"/>
      <c r="E281" s="2130"/>
      <c r="F281" s="2130"/>
      <c r="G281" s="2130"/>
      <c r="H281" s="2183"/>
      <c r="I281" s="1048"/>
      <c r="J281" s="936"/>
      <c r="K281" s="1276"/>
      <c r="L281" s="1195"/>
      <c r="M281" s="1195"/>
      <c r="N281" s="1195"/>
      <c r="O281" s="1195"/>
      <c r="P281" s="1195"/>
      <c r="Q281" s="1195"/>
      <c r="R281" s="1195"/>
    </row>
    <row r="282" spans="1:18" ht="16">
      <c r="A282" s="2130"/>
      <c r="B282" s="2158"/>
      <c r="C282" s="2130"/>
      <c r="D282" s="2130"/>
      <c r="E282" s="2130"/>
      <c r="F282" s="2130"/>
      <c r="G282" s="2130"/>
      <c r="H282" s="2183"/>
      <c r="I282" s="1048"/>
      <c r="J282" s="936"/>
      <c r="K282" s="1276"/>
      <c r="L282" s="1195"/>
      <c r="M282" s="1195"/>
      <c r="N282" s="1195"/>
      <c r="O282" s="1195"/>
      <c r="P282" s="1195"/>
      <c r="Q282" s="1195"/>
      <c r="R282" s="1195"/>
    </row>
    <row r="283" spans="1:18" ht="16">
      <c r="A283" s="2130"/>
      <c r="B283" s="2130"/>
      <c r="C283" s="2130"/>
      <c r="D283" s="2130"/>
      <c r="E283" s="2130"/>
      <c r="F283" s="2130"/>
      <c r="G283" s="2130"/>
      <c r="H283" s="2183"/>
      <c r="I283" s="1048"/>
      <c r="J283" s="936"/>
      <c r="K283" s="1276"/>
      <c r="L283" s="1195"/>
      <c r="M283" s="1195"/>
      <c r="N283" s="1195"/>
      <c r="O283" s="1195"/>
      <c r="P283" s="1195"/>
      <c r="Q283" s="1195"/>
      <c r="R283" s="1195"/>
    </row>
    <row r="284" spans="1:18" ht="16">
      <c r="A284" s="503"/>
      <c r="B284" s="366"/>
      <c r="C284" s="366"/>
      <c r="D284" s="366"/>
      <c r="E284" s="366"/>
      <c r="F284" s="2130"/>
      <c r="G284" s="366"/>
      <c r="H284" s="2183"/>
      <c r="I284" s="1048"/>
      <c r="J284" s="936"/>
      <c r="K284" s="1276"/>
      <c r="L284" s="1195"/>
      <c r="M284" s="1195"/>
      <c r="N284" s="1195"/>
      <c r="O284" s="1195"/>
      <c r="P284" s="1195"/>
      <c r="Q284" s="1195"/>
      <c r="R284" s="1195"/>
    </row>
    <row r="285" spans="1:18" ht="16">
      <c r="A285" s="366"/>
      <c r="B285" s="381"/>
      <c r="C285" s="366"/>
      <c r="D285" s="366"/>
      <c r="E285" s="366"/>
      <c r="F285" s="366"/>
      <c r="G285" s="2130"/>
      <c r="H285" s="2183"/>
      <c r="I285" s="1048"/>
      <c r="J285" s="936"/>
      <c r="K285" s="1276"/>
      <c r="L285" s="1195"/>
      <c r="M285" s="1195"/>
      <c r="N285" s="1195"/>
      <c r="O285" s="1195"/>
      <c r="P285" s="1195"/>
      <c r="Q285" s="1195"/>
      <c r="R285" s="1195"/>
    </row>
    <row r="286" spans="1:18" ht="16">
      <c r="A286" s="366"/>
      <c r="B286" s="381"/>
      <c r="C286" s="366"/>
      <c r="D286" s="366"/>
      <c r="E286" s="366"/>
      <c r="F286" s="366"/>
      <c r="G286" s="2130"/>
      <c r="H286" s="2183"/>
      <c r="I286" s="1048"/>
      <c r="J286" s="1036"/>
      <c r="K286" s="1276"/>
      <c r="L286" s="1195"/>
      <c r="M286" s="1195"/>
      <c r="N286" s="1195"/>
      <c r="O286" s="1195"/>
      <c r="P286" s="1195"/>
      <c r="Q286" s="1195"/>
      <c r="R286" s="1195"/>
    </row>
    <row r="287" spans="1:18" ht="16">
      <c r="A287" s="2130"/>
      <c r="B287" s="2158"/>
      <c r="C287" s="2130"/>
      <c r="D287" s="366"/>
      <c r="E287" s="2130"/>
      <c r="F287" s="2130"/>
      <c r="G287" s="2130"/>
      <c r="H287" s="2183"/>
      <c r="I287" s="1048"/>
      <c r="J287" s="1036"/>
      <c r="K287" s="1276"/>
      <c r="L287" s="1195"/>
      <c r="M287" s="1195"/>
      <c r="N287" s="1195"/>
      <c r="O287" s="1195"/>
      <c r="P287" s="1195"/>
      <c r="Q287" s="1195"/>
      <c r="R287" s="1195"/>
    </row>
    <row r="288" spans="1:18" ht="16">
      <c r="A288" s="2130"/>
      <c r="B288" s="2158"/>
      <c r="C288" s="2130"/>
      <c r="D288" s="2130"/>
      <c r="E288" s="2130"/>
      <c r="F288" s="2130"/>
      <c r="G288" s="2130"/>
      <c r="H288" s="2183"/>
      <c r="I288" s="1048"/>
      <c r="J288" s="1036"/>
      <c r="K288" s="1276"/>
      <c r="L288" s="1195"/>
      <c r="M288" s="1195"/>
      <c r="N288" s="1195"/>
      <c r="O288" s="1195"/>
      <c r="P288" s="1195"/>
      <c r="Q288" s="1195"/>
      <c r="R288" s="1195"/>
    </row>
    <row r="289" spans="1:18" ht="16">
      <c r="A289" s="3181" t="s">
        <v>3905</v>
      </c>
      <c r="B289" s="3181"/>
      <c r="C289" s="3181"/>
      <c r="D289" s="3181"/>
      <c r="E289" s="3181"/>
      <c r="F289" s="2139" t="e">
        <f>'Ввод данных'!#REF!</f>
        <v>#REF!</v>
      </c>
      <c r="G289" s="2180" t="s">
        <v>3906</v>
      </c>
      <c r="H289" s="2150"/>
      <c r="I289" s="2150"/>
      <c r="J289" s="2150"/>
      <c r="K289" s="1276"/>
      <c r="L289" s="1195"/>
      <c r="M289" s="1195"/>
      <c r="N289" s="1195"/>
      <c r="O289" s="1195"/>
      <c r="P289" s="1195"/>
      <c r="Q289" s="1195"/>
      <c r="R289" s="1195"/>
    </row>
    <row r="290" spans="1:18" ht="16">
      <c r="A290" s="3176" t="s">
        <v>1236</v>
      </c>
      <c r="B290" s="3176"/>
      <c r="C290" s="933" t="s">
        <v>120</v>
      </c>
      <c r="D290" s="2137" t="s">
        <v>1552</v>
      </c>
      <c r="E290" s="2137" t="s">
        <v>1820</v>
      </c>
      <c r="F290" s="2130"/>
      <c r="G290" s="2130"/>
      <c r="H290" s="2130"/>
      <c r="I290" s="2130"/>
      <c r="J290" s="2131"/>
      <c r="K290" s="1276"/>
      <c r="L290" s="1195"/>
      <c r="M290" s="1195"/>
      <c r="N290" s="1195"/>
      <c r="O290" s="1195"/>
      <c r="P290" s="1195"/>
      <c r="Q290" s="1195"/>
      <c r="R290" s="1195"/>
    </row>
    <row r="291" spans="1:18" ht="16">
      <c r="A291" s="3139" t="s">
        <v>134</v>
      </c>
      <c r="B291" s="3139"/>
      <c r="C291" s="2156" t="s">
        <v>156</v>
      </c>
      <c r="D291" s="2141">
        <f>'Ввод данных'!C830</f>
        <v>0.6</v>
      </c>
      <c r="E291" s="2129">
        <f>'Ввод данных'!D829</f>
        <v>0</v>
      </c>
      <c r="F291" s="2130" t="s">
        <v>3907</v>
      </c>
      <c r="G291" s="2130"/>
      <c r="H291" s="2130"/>
      <c r="I291" s="2130"/>
      <c r="J291" s="2131"/>
      <c r="K291" s="1276"/>
      <c r="L291" s="1195"/>
      <c r="M291" s="1195"/>
      <c r="N291" s="1195"/>
      <c r="O291" s="1195"/>
      <c r="P291" s="1195"/>
      <c r="Q291" s="1195"/>
      <c r="R291" s="1195"/>
    </row>
    <row r="292" spans="1:18" ht="16">
      <c r="A292" s="3139" t="s">
        <v>3908</v>
      </c>
      <c r="B292" s="3139"/>
      <c r="C292" s="939" t="s">
        <v>156</v>
      </c>
      <c r="D292" s="2141" t="e">
        <f>'Ввод данных'!#REF!</f>
        <v>#REF!</v>
      </c>
      <c r="E292" s="2129">
        <f>'Ввод данных'!D830</f>
        <v>0</v>
      </c>
      <c r="F292" s="2130" t="s">
        <v>3909</v>
      </c>
      <c r="G292" s="2130"/>
      <c r="H292" s="2130"/>
      <c r="I292" s="2130"/>
      <c r="J292" s="2131"/>
      <c r="K292" s="1276"/>
      <c r="L292" s="1195"/>
      <c r="M292" s="1195"/>
      <c r="N292" s="1195"/>
      <c r="O292" s="1195"/>
      <c r="P292" s="1195"/>
      <c r="Q292" s="1195"/>
      <c r="R292" s="1195"/>
    </row>
    <row r="293" spans="1:18" ht="16">
      <c r="A293" s="3139" t="s">
        <v>2214</v>
      </c>
      <c r="B293" s="3139"/>
      <c r="C293" s="939" t="s">
        <v>156</v>
      </c>
      <c r="D293" s="965"/>
      <c r="E293" s="2129">
        <f>'Ввод данных'!D832</f>
        <v>0</v>
      </c>
      <c r="F293" s="2130" t="s">
        <v>3910</v>
      </c>
      <c r="G293" s="2130"/>
      <c r="H293" s="2150"/>
      <c r="I293" s="2150"/>
      <c r="J293" s="2150"/>
      <c r="K293" s="1276"/>
      <c r="L293" s="1195"/>
      <c r="M293" s="1195"/>
      <c r="N293" s="1195"/>
      <c r="O293" s="1195"/>
      <c r="P293" s="1195"/>
      <c r="Q293" s="1195"/>
      <c r="R293" s="1195"/>
    </row>
    <row r="294" spans="1:18" ht="16">
      <c r="A294" s="3139" t="s">
        <v>2203</v>
      </c>
      <c r="B294" s="3139"/>
      <c r="C294" s="2211" t="s">
        <v>156</v>
      </c>
      <c r="D294" s="2141">
        <f>'Ввод данных'!C832</f>
        <v>4</v>
      </c>
      <c r="E294" s="2131"/>
      <c r="F294" s="2131"/>
      <c r="G294" s="2131"/>
      <c r="H294" s="2150"/>
      <c r="I294" s="2150"/>
      <c r="J294" s="2150"/>
      <c r="K294" s="1276"/>
      <c r="L294" s="1195"/>
      <c r="M294" s="1195"/>
      <c r="N294" s="1195"/>
      <c r="O294" s="1195"/>
      <c r="P294" s="1195"/>
      <c r="Q294" s="1195"/>
      <c r="R294" s="1195"/>
    </row>
    <row r="295" spans="1:18" ht="16">
      <c r="A295" s="3139" t="s">
        <v>2204</v>
      </c>
      <c r="B295" s="3139"/>
      <c r="C295" s="2144" t="s">
        <v>156</v>
      </c>
      <c r="D295" s="2141">
        <f>'Ввод данных'!C833</f>
        <v>5</v>
      </c>
      <c r="E295" s="2131"/>
      <c r="F295" s="2131"/>
      <c r="G295" s="2131"/>
      <c r="H295" s="2130"/>
      <c r="I295" s="2150"/>
      <c r="J295" s="2150"/>
      <c r="K295" s="1276"/>
      <c r="L295" s="1195"/>
      <c r="M295" s="1195"/>
      <c r="N295" s="1195"/>
      <c r="O295" s="1195"/>
      <c r="P295" s="1195"/>
      <c r="Q295" s="1195"/>
      <c r="R295" s="1195"/>
    </row>
    <row r="296" spans="1:18" ht="16">
      <c r="A296" s="3139" t="s">
        <v>2205</v>
      </c>
      <c r="B296" s="3139"/>
      <c r="C296" s="2144" t="s">
        <v>156</v>
      </c>
      <c r="D296" s="2141">
        <f>'Ввод данных'!C834</f>
        <v>3</v>
      </c>
      <c r="E296" s="2131"/>
      <c r="F296" s="2131"/>
      <c r="G296" s="2131"/>
      <c r="H296" s="2130"/>
      <c r="I296" s="2150"/>
      <c r="J296" s="2150"/>
      <c r="K296" s="1276"/>
      <c r="L296" s="1195"/>
      <c r="M296" s="1195"/>
      <c r="N296" s="1195"/>
      <c r="O296" s="1195"/>
      <c r="P296" s="1195"/>
      <c r="Q296" s="1195"/>
      <c r="R296" s="1195"/>
    </row>
    <row r="297" spans="1:18" ht="16">
      <c r="A297" s="3139" t="s">
        <v>3911</v>
      </c>
      <c r="B297" s="3139"/>
      <c r="C297" s="2156" t="s">
        <v>133</v>
      </c>
      <c r="D297" s="2156">
        <f>D294*D295</f>
        <v>20</v>
      </c>
      <c r="E297" s="2131"/>
      <c r="F297" s="2131"/>
      <c r="G297" s="2131"/>
      <c r="H297" s="2130"/>
      <c r="I297" s="2150"/>
      <c r="J297" s="2150"/>
      <c r="K297" s="1276"/>
      <c r="L297" s="1195"/>
      <c r="M297" s="1195"/>
      <c r="N297" s="1195"/>
      <c r="O297" s="1195"/>
      <c r="P297" s="1195"/>
      <c r="Q297" s="1195"/>
      <c r="R297" s="1195"/>
    </row>
    <row r="298" spans="1:18" ht="16">
      <c r="A298" s="3139" t="s">
        <v>3912</v>
      </c>
      <c r="B298" s="3139"/>
      <c r="C298" s="2156" t="s">
        <v>135</v>
      </c>
      <c r="D298" s="2156">
        <f>D294*D295*D296</f>
        <v>60</v>
      </c>
      <c r="E298" s="2131"/>
      <c r="F298" s="2131"/>
      <c r="G298" s="2131"/>
      <c r="H298" s="2131"/>
      <c r="I298" s="2150"/>
      <c r="J298" s="2150"/>
      <c r="K298" s="1276"/>
      <c r="L298" s="1195"/>
      <c r="M298" s="1195"/>
      <c r="N298" s="1195"/>
      <c r="O298" s="1195"/>
      <c r="P298" s="1195"/>
      <c r="Q298" s="1195"/>
      <c r="R298" s="1195"/>
    </row>
    <row r="299" spans="1:18" ht="16">
      <c r="A299" s="3169" t="s">
        <v>3913</v>
      </c>
      <c r="B299" s="3169"/>
      <c r="C299" s="2156" t="s">
        <v>135</v>
      </c>
      <c r="D299" s="2156" t="e">
        <f>(D294+D294+D295+D295)*D296*(D291*E291+D292*E292)</f>
        <v>#REF!</v>
      </c>
      <c r="E299" s="2131"/>
      <c r="F299" s="2131"/>
      <c r="G299" s="2131"/>
      <c r="H299" s="2131"/>
      <c r="I299" s="2150"/>
      <c r="J299" s="2150"/>
      <c r="K299" s="1276"/>
      <c r="L299" s="1195"/>
      <c r="M299" s="1195"/>
      <c r="N299" s="1195"/>
      <c r="O299" s="1195"/>
      <c r="P299" s="1195"/>
      <c r="Q299" s="1195"/>
      <c r="R299" s="1195"/>
    </row>
    <row r="300" spans="1:18" ht="16">
      <c r="A300" s="3176" t="s">
        <v>1093</v>
      </c>
      <c r="B300" s="3176"/>
      <c r="C300" s="2213" t="s">
        <v>120</v>
      </c>
      <c r="D300" s="2214" t="s">
        <v>853</v>
      </c>
      <c r="E300" s="2137" t="s">
        <v>1802</v>
      </c>
      <c r="F300" s="2137" t="s">
        <v>853</v>
      </c>
      <c r="G300" s="2131"/>
      <c r="H300" s="2131"/>
      <c r="I300" s="2150"/>
      <c r="J300" s="2150"/>
      <c r="K300" s="1276"/>
      <c r="L300" s="1195"/>
      <c r="M300" s="1195"/>
      <c r="N300" s="1195"/>
      <c r="O300" s="1195"/>
      <c r="P300" s="1195"/>
      <c r="Q300" s="1195"/>
      <c r="R300" s="1195"/>
    </row>
    <row r="301" spans="1:18" ht="16">
      <c r="A301" s="3124" t="s">
        <v>2206</v>
      </c>
      <c r="B301" s="3124"/>
      <c r="C301" s="2144" t="s">
        <v>156</v>
      </c>
      <c r="D301" s="2141">
        <f>'Ввод данных'!C836</f>
        <v>3</v>
      </c>
      <c r="E301" s="2129">
        <f>'Ввод данных'!D836</f>
        <v>0</v>
      </c>
      <c r="F301" s="2156">
        <f>D301*E301</f>
        <v>0</v>
      </c>
      <c r="G301" s="2130"/>
      <c r="H301" s="2130"/>
      <c r="I301" s="2150"/>
      <c r="J301" s="2150"/>
      <c r="K301" s="1276"/>
      <c r="L301" s="1195"/>
      <c r="M301" s="1195"/>
      <c r="N301" s="1195"/>
      <c r="O301" s="1195"/>
      <c r="P301" s="1195"/>
      <c r="Q301" s="1195"/>
      <c r="R301" s="1195"/>
    </row>
    <row r="302" spans="1:18" ht="16">
      <c r="A302" s="3124"/>
      <c r="B302" s="3124"/>
      <c r="C302" s="2144"/>
      <c r="D302" s="2141">
        <f>'Ввод данных'!C837</f>
        <v>1</v>
      </c>
      <c r="E302" s="2129">
        <f>'Ввод данных'!D837</f>
        <v>0</v>
      </c>
      <c r="F302" s="2156">
        <f>D302*E302</f>
        <v>0</v>
      </c>
      <c r="G302" s="2130"/>
      <c r="H302" s="2130"/>
      <c r="I302" s="2150"/>
      <c r="J302" s="2150"/>
      <c r="K302" s="1276"/>
      <c r="L302" s="1195"/>
      <c r="M302" s="1195"/>
      <c r="N302" s="1195"/>
      <c r="O302" s="1195"/>
      <c r="P302" s="1195"/>
      <c r="Q302" s="1195"/>
      <c r="R302" s="1195"/>
    </row>
    <row r="303" spans="1:18" ht="16">
      <c r="A303" s="3124" t="s">
        <v>2207</v>
      </c>
      <c r="B303" s="3124"/>
      <c r="C303" s="2144" t="s">
        <v>156</v>
      </c>
      <c r="D303" s="2141">
        <f>'Ввод данных'!C838</f>
        <v>0</v>
      </c>
      <c r="E303" s="2129">
        <f>'Ввод данных'!D838</f>
        <v>0</v>
      </c>
      <c r="F303" s="2156">
        <f>D303*E303</f>
        <v>0</v>
      </c>
      <c r="G303" s="2130"/>
      <c r="H303" s="2130"/>
      <c r="I303" s="2150"/>
      <c r="J303" s="2150"/>
      <c r="K303" s="1276"/>
      <c r="L303" s="1195"/>
      <c r="M303" s="1195"/>
      <c r="N303" s="1195"/>
      <c r="O303" s="1195"/>
      <c r="P303" s="1195"/>
      <c r="Q303" s="1195"/>
      <c r="R303" s="1195"/>
    </row>
    <row r="304" spans="1:18" ht="16">
      <c r="A304" s="3124"/>
      <c r="B304" s="3124"/>
      <c r="C304" s="2144"/>
      <c r="D304" s="2141">
        <f>'Ввод данных'!C839</f>
        <v>0</v>
      </c>
      <c r="E304" s="2129">
        <f>'Ввод данных'!D839</f>
        <v>0</v>
      </c>
      <c r="F304" s="2156">
        <f>D304*E304</f>
        <v>0</v>
      </c>
      <c r="G304" s="2130"/>
      <c r="H304" s="2130"/>
      <c r="I304" s="2150"/>
      <c r="J304" s="2150"/>
      <c r="K304" s="1276"/>
      <c r="L304" s="1195"/>
      <c r="M304" s="1195"/>
      <c r="N304" s="1195"/>
      <c r="O304" s="1195"/>
      <c r="P304" s="1195"/>
      <c r="Q304" s="1195"/>
      <c r="R304" s="1195"/>
    </row>
    <row r="305" spans="1:18" ht="16">
      <c r="A305" s="3119" t="s">
        <v>3914</v>
      </c>
      <c r="B305" s="3119"/>
      <c r="C305" s="3119"/>
      <c r="D305" s="3119"/>
      <c r="E305" s="3119"/>
      <c r="F305" s="2156">
        <f>SUM(F301:F304)</f>
        <v>0</v>
      </c>
      <c r="G305" s="2130"/>
      <c r="H305" s="2130"/>
      <c r="I305" s="2150"/>
      <c r="J305" s="2150"/>
      <c r="K305" s="1276"/>
      <c r="L305" s="1195"/>
      <c r="M305" s="1195"/>
      <c r="N305" s="1195"/>
      <c r="O305" s="1195"/>
      <c r="P305" s="1195"/>
      <c r="Q305" s="1195"/>
      <c r="R305" s="1195"/>
    </row>
    <row r="306" spans="1:18" ht="16">
      <c r="A306" s="3147" t="s">
        <v>2208</v>
      </c>
      <c r="B306" s="3147"/>
      <c r="C306" s="788" t="s">
        <v>120</v>
      </c>
      <c r="D306" s="788" t="s">
        <v>2580</v>
      </c>
      <c r="E306" s="788" t="s">
        <v>2581</v>
      </c>
      <c r="F306" s="788" t="s">
        <v>1802</v>
      </c>
      <c r="G306" s="2137" t="s">
        <v>2548</v>
      </c>
      <c r="H306" s="2150"/>
      <c r="I306" s="1048"/>
      <c r="J306" s="2150"/>
      <c r="K306" s="1276"/>
      <c r="L306" s="1195"/>
      <c r="M306" s="1195"/>
      <c r="N306" s="1195"/>
      <c r="O306" s="1195"/>
      <c r="P306" s="1195"/>
      <c r="Q306" s="1195"/>
      <c r="R306" s="1195"/>
    </row>
    <row r="307" spans="1:18" ht="16">
      <c r="A307" s="3124" t="s">
        <v>2210</v>
      </c>
      <c r="B307" s="3124"/>
      <c r="C307" s="725" t="s">
        <v>156</v>
      </c>
      <c r="D307" s="2141">
        <f>'Ввод данных'!C841</f>
        <v>0</v>
      </c>
      <c r="E307" s="2129">
        <f>'Ввод данных'!D841</f>
        <v>0</v>
      </c>
      <c r="F307" s="2139">
        <f>'Ввод данных'!E841</f>
        <v>0</v>
      </c>
      <c r="G307" s="507">
        <f t="shared" ref="G307:G312" si="3">D307*E307*F307</f>
        <v>0</v>
      </c>
      <c r="H307" s="2150"/>
      <c r="I307" s="2135"/>
      <c r="J307" s="2150"/>
      <c r="K307" s="1276"/>
      <c r="L307" s="1195"/>
      <c r="M307" s="1195"/>
      <c r="N307" s="1195"/>
      <c r="O307" s="1195"/>
      <c r="P307" s="1195"/>
      <c r="Q307" s="1195"/>
      <c r="R307" s="1195"/>
    </row>
    <row r="308" spans="1:18" ht="16">
      <c r="A308" s="3124"/>
      <c r="B308" s="3124"/>
      <c r="C308" s="725" t="s">
        <v>156</v>
      </c>
      <c r="D308" s="2141">
        <f>'Ввод данных'!C842</f>
        <v>0</v>
      </c>
      <c r="E308" s="2129">
        <f>'Ввод данных'!D842</f>
        <v>0</v>
      </c>
      <c r="F308" s="2139">
        <f>'Ввод данных'!E842</f>
        <v>0</v>
      </c>
      <c r="G308" s="507">
        <f t="shared" si="3"/>
        <v>0</v>
      </c>
      <c r="H308" s="2150"/>
      <c r="I308" s="1048"/>
      <c r="J308" s="2150"/>
      <c r="K308" s="1276"/>
      <c r="L308" s="1195"/>
      <c r="M308" s="1195"/>
      <c r="N308" s="1195"/>
      <c r="O308" s="1195"/>
      <c r="P308" s="1195"/>
      <c r="Q308" s="1195"/>
      <c r="R308" s="1195"/>
    </row>
    <row r="309" spans="1:18" ht="16">
      <c r="A309" s="3124"/>
      <c r="B309" s="3124"/>
      <c r="C309" s="725" t="s">
        <v>156</v>
      </c>
      <c r="D309" s="2141">
        <f>'Ввод данных'!C843</f>
        <v>0</v>
      </c>
      <c r="E309" s="2129">
        <f>'Ввод данных'!D843</f>
        <v>0</v>
      </c>
      <c r="F309" s="2139">
        <f>'Ввод данных'!E843</f>
        <v>0</v>
      </c>
      <c r="G309" s="507">
        <f t="shared" si="3"/>
        <v>0</v>
      </c>
      <c r="H309" s="2183"/>
      <c r="I309" s="1048"/>
      <c r="J309" s="1262"/>
      <c r="K309" s="1276"/>
      <c r="L309" s="1195"/>
      <c r="M309" s="1195"/>
      <c r="N309" s="1195"/>
      <c r="O309" s="1195"/>
      <c r="P309" s="1195"/>
      <c r="Q309" s="1195"/>
      <c r="R309" s="1195"/>
    </row>
    <row r="310" spans="1:18" ht="16">
      <c r="A310" s="3142" t="s">
        <v>2211</v>
      </c>
      <c r="B310" s="3142"/>
      <c r="C310" s="725" t="s">
        <v>156</v>
      </c>
      <c r="D310" s="2141">
        <f>'Ввод данных'!C844</f>
        <v>1</v>
      </c>
      <c r="E310" s="2129">
        <f>'Ввод данных'!D844</f>
        <v>2</v>
      </c>
      <c r="F310" s="2139">
        <f>'Ввод данных'!E844</f>
        <v>0</v>
      </c>
      <c r="G310" s="507">
        <f t="shared" si="3"/>
        <v>0</v>
      </c>
      <c r="H310" s="936"/>
      <c r="I310" s="1048"/>
      <c r="J310" s="936"/>
      <c r="K310" s="1276"/>
      <c r="L310" s="1195"/>
      <c r="M310" s="1195"/>
      <c r="N310" s="1195"/>
      <c r="O310" s="1195"/>
      <c r="P310" s="1195"/>
      <c r="Q310" s="1195"/>
      <c r="R310" s="1195"/>
    </row>
    <row r="311" spans="1:18" ht="16">
      <c r="A311" s="3142"/>
      <c r="B311" s="3142"/>
      <c r="C311" s="725" t="s">
        <v>156</v>
      </c>
      <c r="D311" s="2141">
        <f>'Ввод данных'!C845</f>
        <v>0</v>
      </c>
      <c r="E311" s="2129">
        <f>'Ввод данных'!D845</f>
        <v>2.7</v>
      </c>
      <c r="F311" s="2139">
        <f>'Ввод данных'!E845</f>
        <v>0</v>
      </c>
      <c r="G311" s="507">
        <f t="shared" si="3"/>
        <v>0</v>
      </c>
      <c r="H311" s="2183"/>
      <c r="I311" s="1048"/>
      <c r="J311" s="1262"/>
      <c r="K311" s="1276"/>
      <c r="L311" s="1195"/>
      <c r="M311" s="1195"/>
      <c r="N311" s="1195"/>
      <c r="O311" s="1195"/>
      <c r="P311" s="1195"/>
      <c r="Q311" s="1195"/>
      <c r="R311" s="1195"/>
    </row>
    <row r="312" spans="1:18" ht="16">
      <c r="A312" s="3119" t="s">
        <v>2213</v>
      </c>
      <c r="B312" s="3119"/>
      <c r="C312" s="961" t="s">
        <v>156</v>
      </c>
      <c r="D312" s="2141">
        <f>'Ввод данных'!C846</f>
        <v>2</v>
      </c>
      <c r="E312" s="2129">
        <f>'Ввод данных'!D846</f>
        <v>2</v>
      </c>
      <c r="F312" s="2139">
        <f>'Ввод данных'!E846</f>
        <v>0</v>
      </c>
      <c r="G312" s="938">
        <f t="shared" si="3"/>
        <v>0</v>
      </c>
      <c r="H312" s="2184" t="e">
        <f>'Ввод данных'!#REF!</f>
        <v>#REF!</v>
      </c>
      <c r="I312" s="1262" t="s">
        <v>3887</v>
      </c>
      <c r="J312" s="1262"/>
      <c r="K312" s="1276"/>
      <c r="L312" s="1195"/>
      <c r="M312" s="1195"/>
      <c r="N312" s="1195"/>
      <c r="O312" s="1195"/>
      <c r="P312" s="1195"/>
      <c r="Q312" s="1195"/>
      <c r="R312" s="1195"/>
    </row>
    <row r="313" spans="1:18" ht="16">
      <c r="A313" s="3139" t="s">
        <v>3915</v>
      </c>
      <c r="B313" s="3139"/>
      <c r="C313" s="938" t="s">
        <v>133</v>
      </c>
      <c r="D313" s="938">
        <f>G307+G308+G309+G310+G311</f>
        <v>0</v>
      </c>
      <c r="E313" s="936"/>
      <c r="F313" s="936"/>
      <c r="G313" s="936"/>
      <c r="H313" s="936"/>
      <c r="I313" s="936"/>
      <c r="J313" s="1262"/>
      <c r="K313" s="1276"/>
      <c r="L313" s="1195"/>
      <c r="M313" s="1195"/>
      <c r="N313" s="1195"/>
      <c r="O313" s="1195"/>
      <c r="P313" s="1195"/>
      <c r="Q313" s="1195"/>
      <c r="R313" s="1195"/>
    </row>
    <row r="314" spans="1:18" ht="16">
      <c r="A314" s="3172" t="s">
        <v>3916</v>
      </c>
      <c r="B314" s="3172"/>
      <c r="C314" s="971" t="s">
        <v>135</v>
      </c>
      <c r="D314" s="971" t="e">
        <f>D313*(D291*E291+D292*E292)</f>
        <v>#REF!</v>
      </c>
      <c r="E314" s="1036"/>
      <c r="F314" s="1036"/>
      <c r="G314" s="2135"/>
      <c r="H314" s="2183"/>
      <c r="I314" s="1048"/>
      <c r="J314" s="1262"/>
      <c r="K314" s="1276"/>
      <c r="L314" s="1195"/>
      <c r="M314" s="1195"/>
      <c r="N314" s="1195"/>
      <c r="O314" s="1195"/>
      <c r="P314" s="1195"/>
      <c r="Q314" s="1195"/>
      <c r="R314" s="1195"/>
    </row>
    <row r="315" spans="1:18" ht="16">
      <c r="A315" s="935" t="s">
        <v>3917</v>
      </c>
      <c r="B315" s="935"/>
      <c r="C315" s="938" t="s">
        <v>135</v>
      </c>
      <c r="D315" s="1246" t="e">
        <f>D299-D314</f>
        <v>#REF!</v>
      </c>
      <c r="E315" s="936"/>
      <c r="F315" s="936"/>
      <c r="G315" s="936"/>
      <c r="H315" s="936"/>
      <c r="I315" s="936"/>
      <c r="J315" s="1262"/>
      <c r="K315" s="1276"/>
      <c r="L315" s="1195"/>
      <c r="M315" s="1195"/>
      <c r="N315" s="1195"/>
      <c r="O315" s="1195"/>
      <c r="P315" s="1195"/>
      <c r="Q315" s="1195"/>
      <c r="R315" s="1195"/>
    </row>
    <row r="316" spans="1:18" ht="16">
      <c r="A316" s="3181" t="s">
        <v>2635</v>
      </c>
      <c r="B316" s="3181"/>
      <c r="C316" s="3181"/>
      <c r="D316" s="3181"/>
      <c r="E316" s="2129"/>
      <c r="F316" s="2130" t="s">
        <v>3568</v>
      </c>
      <c r="G316" s="936"/>
      <c r="H316" s="936"/>
      <c r="I316" s="936"/>
      <c r="J316" s="1262"/>
      <c r="K316" s="1276"/>
      <c r="L316" s="1195"/>
      <c r="M316" s="1195"/>
      <c r="N316" s="1195"/>
      <c r="O316" s="1195"/>
      <c r="P316" s="1195"/>
      <c r="Q316" s="1195"/>
      <c r="R316" s="1195"/>
    </row>
    <row r="317" spans="1:18" ht="16">
      <c r="A317" s="3139" t="s">
        <v>2572</v>
      </c>
      <c r="B317" s="3139"/>
      <c r="C317" s="2154" t="s">
        <v>156</v>
      </c>
      <c r="D317" s="2205">
        <f>D294*2+D295*2+F305</f>
        <v>18</v>
      </c>
      <c r="E317" s="2130"/>
      <c r="F317" s="1276"/>
      <c r="G317" s="2135"/>
      <c r="H317" s="2183"/>
      <c r="I317" s="1048"/>
      <c r="J317" s="1262"/>
      <c r="K317" s="1276"/>
      <c r="L317" s="1195"/>
      <c r="M317" s="1195"/>
      <c r="N317" s="1195"/>
      <c r="O317" s="1195"/>
      <c r="P317" s="1195"/>
      <c r="Q317" s="1195"/>
      <c r="R317" s="1195"/>
    </row>
    <row r="318" spans="1:18" ht="16">
      <c r="A318" s="3139" t="s">
        <v>3427</v>
      </c>
      <c r="B318" s="3139"/>
      <c r="C318" s="2215" t="s">
        <v>133</v>
      </c>
      <c r="D318" s="2216">
        <f>D294*D295</f>
        <v>20</v>
      </c>
      <c r="E318" s="2130"/>
      <c r="F318" s="1276"/>
      <c r="G318" s="2135"/>
      <c r="H318" s="2183"/>
      <c r="I318" s="1048"/>
      <c r="J318" s="1262"/>
      <c r="K318" s="1276"/>
      <c r="L318" s="1195"/>
      <c r="M318" s="1195"/>
      <c r="N318" s="1195"/>
      <c r="O318" s="1195"/>
      <c r="P318" s="1195"/>
      <c r="Q318" s="1195"/>
      <c r="R318" s="1195"/>
    </row>
    <row r="319" spans="1:18" ht="16">
      <c r="A319" s="3139" t="s">
        <v>3918</v>
      </c>
      <c r="B319" s="3139"/>
      <c r="C319" s="961" t="s">
        <v>133</v>
      </c>
      <c r="D319" s="1319" t="e">
        <f>D317*(D291*E291+D292*E292)</f>
        <v>#REF!</v>
      </c>
      <c r="E319" s="1276"/>
      <c r="F319" s="1276"/>
      <c r="G319" s="2135"/>
      <c r="H319" s="2183"/>
      <c r="I319" s="1048"/>
      <c r="J319" s="1262"/>
      <c r="K319" s="1276"/>
      <c r="L319" s="1195"/>
      <c r="M319" s="1195"/>
      <c r="N319" s="1195"/>
      <c r="O319" s="1195"/>
      <c r="P319" s="1195"/>
      <c r="Q319" s="1195"/>
      <c r="R319" s="1195"/>
    </row>
    <row r="320" spans="1:18" ht="16">
      <c r="A320" s="3172" t="s">
        <v>3919</v>
      </c>
      <c r="B320" s="3172"/>
      <c r="C320" s="920" t="s">
        <v>133</v>
      </c>
      <c r="D320" s="1319" t="e">
        <f>D297-D319</f>
        <v>#REF!</v>
      </c>
      <c r="E320" s="1276"/>
      <c r="F320" s="1276"/>
      <c r="G320" s="2135"/>
      <c r="H320" s="2183"/>
      <c r="I320" s="1048"/>
      <c r="J320" s="1262"/>
      <c r="K320" s="1276"/>
      <c r="L320" s="1195"/>
      <c r="M320" s="1195"/>
      <c r="N320" s="1195"/>
      <c r="O320" s="1195"/>
      <c r="P320" s="1195"/>
      <c r="Q320" s="1195"/>
      <c r="R320" s="1195"/>
    </row>
    <row r="321" spans="1:18" ht="16">
      <c r="A321" s="3185" t="s">
        <v>3920</v>
      </c>
      <c r="B321" s="3185"/>
      <c r="C321" s="3185"/>
      <c r="D321" s="3185"/>
      <c r="E321" s="3185"/>
      <c r="F321" s="3185"/>
      <c r="G321" s="3185"/>
      <c r="H321" s="3185"/>
      <c r="I321" s="3185"/>
      <c r="J321" s="3185"/>
      <c r="K321" s="3185"/>
      <c r="L321" s="3186"/>
      <c r="M321" s="1195"/>
      <c r="N321" s="1195"/>
      <c r="O321" s="1195"/>
      <c r="P321" s="1195"/>
      <c r="Q321" s="1195"/>
      <c r="R321" s="1195"/>
    </row>
    <row r="322" spans="1:18" ht="16">
      <c r="A322" s="3185"/>
      <c r="B322" s="3185"/>
      <c r="C322" s="3185"/>
      <c r="D322" s="3185"/>
      <c r="E322" s="3185"/>
      <c r="F322" s="3185"/>
      <c r="G322" s="3185"/>
      <c r="H322" s="3185"/>
      <c r="I322" s="3185"/>
      <c r="J322" s="3185"/>
      <c r="K322" s="3185"/>
      <c r="L322" s="3186"/>
      <c r="M322" s="1195"/>
      <c r="N322" s="1195"/>
      <c r="O322" s="1195"/>
      <c r="P322" s="1195"/>
      <c r="Q322" s="1195"/>
      <c r="R322" s="1195"/>
    </row>
    <row r="323" spans="1:18" ht="15.5" customHeight="1">
      <c r="A323" s="3187" t="s">
        <v>3570</v>
      </c>
      <c r="B323" s="3187"/>
      <c r="C323" s="3187"/>
      <c r="D323" s="3187"/>
      <c r="E323" s="3187"/>
      <c r="F323" s="3187"/>
      <c r="G323" s="3187" t="s">
        <v>3571</v>
      </c>
      <c r="H323" s="3187"/>
      <c r="I323" s="3187"/>
      <c r="J323" s="3187"/>
      <c r="K323" s="3187"/>
      <c r="L323" s="3187"/>
      <c r="M323" s="1195"/>
      <c r="N323" s="1195"/>
      <c r="O323" s="1195"/>
      <c r="P323" s="1195"/>
      <c r="Q323" s="1195"/>
      <c r="R323" s="1195"/>
    </row>
    <row r="324" spans="1:18" ht="51">
      <c r="A324" s="2217" t="s">
        <v>1515</v>
      </c>
      <c r="B324" s="2218" t="s">
        <v>1800</v>
      </c>
      <c r="C324" s="2219" t="s">
        <v>293</v>
      </c>
      <c r="D324" s="2219" t="s">
        <v>1802</v>
      </c>
      <c r="E324" s="2218"/>
      <c r="F324" s="2219" t="s">
        <v>3572</v>
      </c>
      <c r="G324" s="2219" t="s">
        <v>2593</v>
      </c>
      <c r="H324" s="2218" t="s">
        <v>1800</v>
      </c>
      <c r="I324" s="2218" t="s">
        <v>293</v>
      </c>
      <c r="J324" s="2218" t="s">
        <v>1802</v>
      </c>
      <c r="K324" s="2218"/>
      <c r="L324" s="2218" t="s">
        <v>3573</v>
      </c>
      <c r="M324" s="2220"/>
      <c r="N324" s="1195"/>
      <c r="O324" s="1195"/>
      <c r="P324" s="1195"/>
      <c r="Q324" s="1195"/>
      <c r="R324" s="1195"/>
    </row>
    <row r="325" spans="1:18" ht="34">
      <c r="A325" s="275" t="s">
        <v>2902</v>
      </c>
      <c r="B325" s="2221">
        <f>дома!B1290</f>
        <v>1</v>
      </c>
      <c r="C325" s="2222">
        <f>дома!C1290</f>
        <v>1.2</v>
      </c>
      <c r="D325" s="2222">
        <f>дома!D1290</f>
        <v>1</v>
      </c>
      <c r="E325" s="229"/>
      <c r="F325" s="2223">
        <f t="shared" ref="F325:F330" si="4">B325*C325*D325</f>
        <v>1.2</v>
      </c>
      <c r="G325" s="2223" t="s">
        <v>2902</v>
      </c>
      <c r="H325" s="2221">
        <f>дома!I1290</f>
        <v>0.8</v>
      </c>
      <c r="I325" s="2221">
        <f>дома!J1290</f>
        <v>2.1</v>
      </c>
      <c r="J325" s="2221">
        <f>дома!K1290</f>
        <v>0</v>
      </c>
      <c r="K325" s="229"/>
      <c r="L325" s="229">
        <f>H325*I325*J325</f>
        <v>0</v>
      </c>
      <c r="M325" s="2220"/>
      <c r="N325" s="1195"/>
      <c r="O325" s="1195"/>
      <c r="P325" s="1195"/>
      <c r="Q325" s="1195"/>
      <c r="R325" s="1195"/>
    </row>
    <row r="326" spans="1:18" ht="34">
      <c r="A326" s="275" t="s">
        <v>2903</v>
      </c>
      <c r="B326" s="2221">
        <f>дома!B1291</f>
        <v>0.6</v>
      </c>
      <c r="C326" s="2222">
        <f>дома!C1291</f>
        <v>0.6</v>
      </c>
      <c r="D326" s="2222">
        <f>дома!D1291</f>
        <v>0</v>
      </c>
      <c r="E326" s="229"/>
      <c r="F326" s="2223">
        <f t="shared" si="4"/>
        <v>0</v>
      </c>
      <c r="G326" s="2223" t="s">
        <v>2903</v>
      </c>
      <c r="H326" s="2221">
        <f>дома!I1291</f>
        <v>0.6</v>
      </c>
      <c r="I326" s="2221">
        <f>дома!J1291</f>
        <v>2</v>
      </c>
      <c r="J326" s="2221">
        <f>дома!K1291</f>
        <v>0</v>
      </c>
      <c r="K326" s="229"/>
      <c r="L326" s="229">
        <f>H326*I326*J326</f>
        <v>0</v>
      </c>
      <c r="M326" s="2220"/>
      <c r="N326" s="1195"/>
      <c r="O326" s="1195"/>
      <c r="P326" s="1195"/>
      <c r="Q326" s="1195"/>
      <c r="R326" s="1195"/>
    </row>
    <row r="327" spans="1:18" ht="34">
      <c r="A327" s="275" t="s">
        <v>2904</v>
      </c>
      <c r="B327" s="2221">
        <f>дома!B1292</f>
        <v>1</v>
      </c>
      <c r="C327" s="2222">
        <f>дома!C1292</f>
        <v>2</v>
      </c>
      <c r="D327" s="2222">
        <f>дома!D1292</f>
        <v>0</v>
      </c>
      <c r="E327" s="229"/>
      <c r="F327" s="2223">
        <f t="shared" si="4"/>
        <v>0</v>
      </c>
      <c r="G327" s="2223" t="s">
        <v>2904</v>
      </c>
      <c r="H327" s="2221">
        <f>дома!I1292</f>
        <v>2</v>
      </c>
      <c r="I327" s="2221">
        <f>дома!J1292</f>
        <v>2.2999999999999998</v>
      </c>
      <c r="J327" s="2221">
        <f>дома!K1292</f>
        <v>0</v>
      </c>
      <c r="K327" s="229"/>
      <c r="L327" s="229">
        <f>H327*I327*J327</f>
        <v>0</v>
      </c>
      <c r="M327" s="2224"/>
      <c r="N327" s="1195"/>
      <c r="O327" s="1195"/>
      <c r="P327" s="1195"/>
      <c r="Q327" s="1195"/>
      <c r="R327" s="1195"/>
    </row>
    <row r="328" spans="1:18" ht="16">
      <c r="A328" s="275" t="s">
        <v>3921</v>
      </c>
      <c r="B328" s="2221">
        <f>дома!B1293</f>
        <v>0.6</v>
      </c>
      <c r="C328" s="2222">
        <f>дома!C1293</f>
        <v>1.5</v>
      </c>
      <c r="D328" s="2222">
        <f>дома!D1293</f>
        <v>0</v>
      </c>
      <c r="E328" s="229"/>
      <c r="F328" s="2223">
        <f t="shared" si="4"/>
        <v>0</v>
      </c>
      <c r="G328" s="2223"/>
      <c r="H328" s="2221">
        <f>дома!I1293</f>
        <v>0.9</v>
      </c>
      <c r="I328" s="2221">
        <f>дома!J1293</f>
        <v>2.1</v>
      </c>
      <c r="J328" s="2221">
        <f>дома!K1293</f>
        <v>0</v>
      </c>
      <c r="K328" s="229"/>
      <c r="L328" s="229">
        <f>H328*I328*J328</f>
        <v>0</v>
      </c>
      <c r="M328" s="2224"/>
      <c r="N328" s="1195"/>
      <c r="O328" s="1195"/>
      <c r="P328" s="1195"/>
      <c r="Q328" s="1195"/>
      <c r="R328" s="1195"/>
    </row>
    <row r="329" spans="1:18" ht="16">
      <c r="A329" s="275"/>
      <c r="B329" s="2221">
        <f>дома!B59</f>
        <v>2</v>
      </c>
      <c r="C329" s="2222">
        <f>дома!C59</f>
        <v>2</v>
      </c>
      <c r="D329" s="2222">
        <f>дома!D59</f>
        <v>0</v>
      </c>
      <c r="E329" s="229"/>
      <c r="F329" s="2223">
        <f t="shared" si="4"/>
        <v>0</v>
      </c>
      <c r="G329" s="2223"/>
      <c r="H329" s="2221"/>
      <c r="I329" s="2221"/>
      <c r="J329" s="2221"/>
      <c r="K329" s="229"/>
      <c r="L329" s="229"/>
      <c r="M329" s="2224"/>
      <c r="N329" s="1195"/>
      <c r="O329" s="1195"/>
      <c r="P329" s="1195"/>
      <c r="Q329" s="1195"/>
      <c r="R329" s="1195"/>
    </row>
    <row r="330" spans="1:18" ht="16">
      <c r="A330" s="275"/>
      <c r="B330" s="2221">
        <f>дома!B60</f>
        <v>0</v>
      </c>
      <c r="C330" s="2222">
        <f>дома!C60</f>
        <v>3</v>
      </c>
      <c r="D330" s="2222">
        <f>дома!D60</f>
        <v>0</v>
      </c>
      <c r="E330" s="229"/>
      <c r="F330" s="2223">
        <f t="shared" si="4"/>
        <v>0</v>
      </c>
      <c r="G330" s="2223"/>
      <c r="H330" s="2221"/>
      <c r="I330" s="2221"/>
      <c r="J330" s="2221"/>
      <c r="K330" s="229"/>
      <c r="L330" s="229"/>
      <c r="M330" s="2224"/>
      <c r="N330" s="1195"/>
      <c r="O330" s="1195"/>
      <c r="P330" s="1195"/>
      <c r="Q330" s="1195"/>
      <c r="R330" s="1195"/>
    </row>
    <row r="331" spans="1:18" ht="16">
      <c r="A331" s="3188" t="s">
        <v>3574</v>
      </c>
      <c r="B331" s="3188"/>
      <c r="C331" s="3188"/>
      <c r="D331" s="3188"/>
      <c r="E331" s="3188"/>
      <c r="F331" s="2223">
        <f>F325+F326+F327</f>
        <v>1.2</v>
      </c>
      <c r="G331" s="3188" t="s">
        <v>3922</v>
      </c>
      <c r="H331" s="3188"/>
      <c r="I331" s="3188"/>
      <c r="J331" s="3188"/>
      <c r="K331" s="3188"/>
      <c r="L331" s="229">
        <f>SUM(L325:L327)</f>
        <v>0</v>
      </c>
      <c r="M331" s="2225"/>
      <c r="N331" s="1195"/>
      <c r="O331" s="1195"/>
      <c r="P331" s="1195"/>
      <c r="Q331" s="1195"/>
      <c r="R331" s="1195"/>
    </row>
    <row r="332" spans="1:18" ht="34">
      <c r="A332" s="2217" t="s">
        <v>2069</v>
      </c>
      <c r="B332" s="2218" t="s">
        <v>209</v>
      </c>
      <c r="C332" s="2219" t="s">
        <v>273</v>
      </c>
      <c r="D332" s="2219" t="s">
        <v>1802</v>
      </c>
      <c r="E332" s="2218"/>
      <c r="F332" s="2219" t="s">
        <v>3581</v>
      </c>
      <c r="G332" s="2219" t="s">
        <v>1217</v>
      </c>
      <c r="H332" s="2218" t="s">
        <v>1800</v>
      </c>
      <c r="I332" s="2218" t="s">
        <v>293</v>
      </c>
      <c r="J332" s="2218" t="s">
        <v>1802</v>
      </c>
      <c r="K332" s="2218"/>
      <c r="L332" s="2218" t="s">
        <v>3573</v>
      </c>
      <c r="M332" s="2224"/>
      <c r="N332" s="1195"/>
      <c r="O332" s="1195"/>
      <c r="P332" s="1195"/>
      <c r="Q332" s="1195"/>
      <c r="R332" s="1195"/>
    </row>
    <row r="333" spans="1:18" ht="34">
      <c r="A333" s="132" t="s">
        <v>2069</v>
      </c>
      <c r="B333" s="2221">
        <v>4</v>
      </c>
      <c r="C333" s="2222">
        <v>0.9</v>
      </c>
      <c r="D333" s="2222">
        <v>1</v>
      </c>
      <c r="E333" s="2221"/>
      <c r="F333" s="2223">
        <f>B333*C333*D333</f>
        <v>3.6</v>
      </c>
      <c r="G333" s="2223" t="s">
        <v>3582</v>
      </c>
      <c r="H333" s="2221">
        <f>дома!I1312</f>
        <v>0.8</v>
      </c>
      <c r="I333" s="2221">
        <f>дома!J1312</f>
        <v>2</v>
      </c>
      <c r="J333" s="2221">
        <f>дома!K1312</f>
        <v>0</v>
      </c>
      <c r="K333" s="229"/>
      <c r="L333" s="229">
        <f>H333*I333*J333</f>
        <v>0</v>
      </c>
      <c r="M333" s="2225"/>
      <c r="N333" s="1195"/>
      <c r="O333" s="1195"/>
      <c r="P333" s="1195"/>
      <c r="Q333" s="1195"/>
      <c r="R333" s="1195"/>
    </row>
    <row r="334" spans="1:18" ht="34">
      <c r="A334" s="132"/>
      <c r="B334" s="2226"/>
      <c r="C334" s="2227"/>
      <c r="D334" s="2227"/>
      <c r="E334" s="2226"/>
      <c r="F334" s="2223"/>
      <c r="G334" s="2223" t="s">
        <v>1184</v>
      </c>
      <c r="H334" s="2221">
        <f>дома!I1313</f>
        <v>0.9</v>
      </c>
      <c r="I334" s="2221">
        <f>дома!J1313</f>
        <v>2.1</v>
      </c>
      <c r="J334" s="2221">
        <f>дома!K1313</f>
        <v>0</v>
      </c>
      <c r="K334" s="229"/>
      <c r="L334" s="229">
        <f>H334*I334*J334</f>
        <v>0</v>
      </c>
      <c r="M334" s="2225"/>
      <c r="N334" s="1195"/>
      <c r="O334" s="1195"/>
      <c r="P334" s="1195"/>
      <c r="Q334" s="1195"/>
      <c r="R334" s="1195"/>
    </row>
    <row r="335" spans="1:18" ht="16">
      <c r="A335" s="132"/>
      <c r="B335" s="2226"/>
      <c r="C335" s="2227"/>
      <c r="D335" s="2227"/>
      <c r="E335" s="2226"/>
      <c r="F335" s="2223"/>
      <c r="G335" s="2223"/>
      <c r="H335" s="2221">
        <f>дома!I1314</f>
        <v>1</v>
      </c>
      <c r="I335" s="2221">
        <f>дома!J1314</f>
        <v>2</v>
      </c>
      <c r="J335" s="2221">
        <f>дома!K1314</f>
        <v>0</v>
      </c>
      <c r="K335" s="229"/>
      <c r="L335" s="229">
        <f>H335*I335*J335</f>
        <v>0</v>
      </c>
      <c r="M335" s="2225"/>
      <c r="N335" s="1195"/>
      <c r="O335" s="1195"/>
      <c r="P335" s="1195"/>
      <c r="Q335" s="1195"/>
      <c r="R335" s="1195"/>
    </row>
    <row r="336" spans="1:18" ht="16">
      <c r="A336" s="3188" t="s">
        <v>3583</v>
      </c>
      <c r="B336" s="3188"/>
      <c r="C336" s="3188"/>
      <c r="D336" s="3188"/>
      <c r="E336" s="3188"/>
      <c r="F336" s="2227">
        <f>F333</f>
        <v>3.6</v>
      </c>
      <c r="G336" s="3188" t="s">
        <v>3584</v>
      </c>
      <c r="H336" s="3188"/>
      <c r="I336" s="3188"/>
      <c r="J336" s="3188"/>
      <c r="K336" s="3188"/>
      <c r="L336" s="229">
        <f>SUM(L333:L335)</f>
        <v>0</v>
      </c>
      <c r="M336" s="2225"/>
      <c r="N336" s="2228"/>
      <c r="O336" s="2228"/>
      <c r="P336" s="2228"/>
      <c r="Q336" s="2228"/>
      <c r="R336" s="2228"/>
    </row>
    <row r="337" spans="1:18" ht="16">
      <c r="A337" s="2229"/>
      <c r="B337" s="2229"/>
      <c r="C337" s="2230"/>
      <c r="D337" s="2230"/>
      <c r="E337" s="2229"/>
      <c r="F337" s="2231"/>
      <c r="G337" s="2232"/>
      <c r="H337" s="2233"/>
      <c r="I337" s="2233"/>
      <c r="J337" s="2233"/>
      <c r="K337" s="2233"/>
      <c r="L337" s="2234"/>
      <c r="M337" s="2225"/>
      <c r="N337" s="2234"/>
      <c r="O337" s="2234"/>
      <c r="P337" s="2234"/>
      <c r="Q337" s="2234"/>
      <c r="R337" s="2234"/>
    </row>
    <row r="338" spans="1:18" ht="15.5" customHeight="1">
      <c r="A338" s="3187" t="s">
        <v>3586</v>
      </c>
      <c r="B338" s="3187"/>
      <c r="C338" s="3187"/>
      <c r="D338" s="3187"/>
      <c r="E338" s="3187"/>
      <c r="F338" s="3187"/>
      <c r="G338" s="3187"/>
      <c r="H338" s="3187"/>
      <c r="I338" s="3187"/>
      <c r="J338" s="2233"/>
      <c r="K338" s="2233"/>
      <c r="L338" s="2234"/>
      <c r="M338" s="2225"/>
      <c r="N338" s="2234"/>
      <c r="O338" s="2234"/>
      <c r="P338" s="2234"/>
      <c r="Q338" s="2234"/>
      <c r="R338" s="2234"/>
    </row>
    <row r="339" spans="1:18" ht="46.5" customHeight="1">
      <c r="A339" s="2217" t="s">
        <v>1093</v>
      </c>
      <c r="B339" s="2218" t="s">
        <v>3587</v>
      </c>
      <c r="C339" s="2219" t="s">
        <v>1800</v>
      </c>
      <c r="D339" s="2219" t="s">
        <v>853</v>
      </c>
      <c r="E339" s="2218" t="s">
        <v>1992</v>
      </c>
      <c r="F339" s="2219" t="s">
        <v>1931</v>
      </c>
      <c r="G339" s="2235" t="s">
        <v>2751</v>
      </c>
      <c r="H339" s="3189" t="s">
        <v>3923</v>
      </c>
      <c r="I339" s="3189"/>
      <c r="J339" s="1195"/>
      <c r="K339" s="2228"/>
      <c r="L339" s="2228"/>
      <c r="M339" s="2220"/>
      <c r="N339" s="2228"/>
      <c r="O339" s="2228"/>
      <c r="P339" s="2228"/>
      <c r="Q339" s="2228"/>
      <c r="R339" s="2228"/>
    </row>
    <row r="340" spans="1:18" ht="16">
      <c r="A340" s="275" t="s">
        <v>3589</v>
      </c>
      <c r="B340" s="2236">
        <f>дома!B1319</f>
        <v>1</v>
      </c>
      <c r="C340" s="2237">
        <f>дома!C1319</f>
        <v>10</v>
      </c>
      <c r="D340" s="2237">
        <f>дома!D1319</f>
        <v>10</v>
      </c>
      <c r="E340" s="2236">
        <f>дома!E1319</f>
        <v>3</v>
      </c>
      <c r="F340" s="2237">
        <f>дома!F1319</f>
        <v>0</v>
      </c>
      <c r="G340" s="2237">
        <f>дома!G1319</f>
        <v>0</v>
      </c>
      <c r="H340" s="2236">
        <f>дома!I1319</f>
        <v>0</v>
      </c>
      <c r="I340" s="2238"/>
      <c r="J340" s="1195"/>
      <c r="K340" s="2228"/>
      <c r="L340" s="2228"/>
      <c r="M340" s="2220"/>
      <c r="N340" s="2228"/>
      <c r="O340" s="2228"/>
      <c r="P340" s="2228"/>
      <c r="Q340" s="2228"/>
      <c r="R340" s="2228"/>
    </row>
    <row r="341" spans="1:18" ht="15.5" customHeight="1">
      <c r="A341" s="2239" t="s">
        <v>1236</v>
      </c>
      <c r="B341" s="2240" t="s">
        <v>120</v>
      </c>
      <c r="C341" s="3190" t="s">
        <v>3924</v>
      </c>
      <c r="D341" s="3190"/>
      <c r="E341" s="2240" t="s">
        <v>1802</v>
      </c>
      <c r="F341" s="2241" t="s">
        <v>3591</v>
      </c>
      <c r="G341" s="3191" t="s">
        <v>1236</v>
      </c>
      <c r="H341" s="3191"/>
      <c r="I341" s="2240" t="s">
        <v>3593</v>
      </c>
      <c r="J341" s="2240" t="s">
        <v>3594</v>
      </c>
      <c r="K341" s="2240" t="s">
        <v>1802</v>
      </c>
      <c r="L341" s="2240" t="s">
        <v>3573</v>
      </c>
      <c r="M341" s="2228"/>
      <c r="N341" s="2228"/>
      <c r="O341" s="2228"/>
      <c r="P341" s="2228"/>
      <c r="Q341" s="2228"/>
      <c r="R341" s="2228"/>
    </row>
    <row r="342" spans="1:18" ht="15.5" customHeight="1">
      <c r="A342" s="3192" t="s">
        <v>3596</v>
      </c>
      <c r="B342" s="229" t="s">
        <v>156</v>
      </c>
      <c r="C342" s="3193">
        <f>дома!C1321</f>
        <v>6</v>
      </c>
      <c r="D342" s="3193"/>
      <c r="E342" s="2221">
        <f>дома!D1321</f>
        <v>2</v>
      </c>
      <c r="F342" s="2223">
        <f>C342*E342*E340</f>
        <v>36</v>
      </c>
      <c r="G342" s="3192" t="s">
        <v>3597</v>
      </c>
      <c r="H342" s="3192"/>
      <c r="I342" s="229" t="s">
        <v>156</v>
      </c>
      <c r="J342" s="2221">
        <f>дома!N1321</f>
        <v>3.5</v>
      </c>
      <c r="K342" s="2221">
        <f>дома!O1321</f>
        <v>1</v>
      </c>
      <c r="L342" s="229">
        <f>J342*K342*G340</f>
        <v>0</v>
      </c>
      <c r="M342" s="2228"/>
      <c r="N342" s="2228"/>
      <c r="O342" s="2228"/>
      <c r="P342" s="2228"/>
      <c r="Q342" s="2228"/>
      <c r="R342" s="2228"/>
    </row>
    <row r="343" spans="1:18" ht="16">
      <c r="A343" s="3192"/>
      <c r="B343" s="229" t="s">
        <v>156</v>
      </c>
      <c r="C343" s="3193">
        <f>дома!C1322</f>
        <v>4</v>
      </c>
      <c r="D343" s="3193"/>
      <c r="E343" s="2221">
        <f>дома!D1322</f>
        <v>1</v>
      </c>
      <c r="F343" s="2223">
        <f>C343*E343*E340</f>
        <v>12</v>
      </c>
      <c r="G343" s="3192"/>
      <c r="H343" s="3192"/>
      <c r="I343" s="229" t="s">
        <v>156</v>
      </c>
      <c r="J343" s="2221">
        <f>дома!N1322</f>
        <v>0</v>
      </c>
      <c r="K343" s="2221">
        <f>дома!O1322</f>
        <v>0</v>
      </c>
      <c r="L343" s="229">
        <f>J343*K343*G340</f>
        <v>0</v>
      </c>
      <c r="M343" s="2228"/>
      <c r="N343" s="2228"/>
      <c r="O343" s="2228"/>
      <c r="P343" s="2228"/>
      <c r="Q343" s="2228"/>
      <c r="R343" s="2228"/>
    </row>
    <row r="344" spans="1:18" ht="16">
      <c r="A344" s="3192"/>
      <c r="B344" s="229" t="s">
        <v>156</v>
      </c>
      <c r="C344" s="3193">
        <f>дома!C1323</f>
        <v>0</v>
      </c>
      <c r="D344" s="3193"/>
      <c r="E344" s="2221">
        <f>дома!D1323</f>
        <v>0</v>
      </c>
      <c r="F344" s="2223">
        <f>C344*E344*E340</f>
        <v>0</v>
      </c>
      <c r="G344" s="3192"/>
      <c r="H344" s="3192"/>
      <c r="I344" s="229" t="s">
        <v>156</v>
      </c>
      <c r="J344" s="2221">
        <f>дома!N1323</f>
        <v>0</v>
      </c>
      <c r="K344" s="2221">
        <f>дома!O1323</f>
        <v>0</v>
      </c>
      <c r="L344" s="229">
        <f>J344*K344*G340</f>
        <v>0</v>
      </c>
      <c r="M344" s="2228"/>
      <c r="N344" s="2228"/>
      <c r="O344" s="2228"/>
      <c r="P344" s="2228"/>
      <c r="Q344" s="2228"/>
      <c r="R344" s="2228"/>
    </row>
    <row r="345" spans="1:18" ht="16">
      <c r="A345" s="3192"/>
      <c r="B345" s="229"/>
      <c r="C345" s="3193">
        <f>дома!C1324</f>
        <v>0</v>
      </c>
      <c r="D345" s="3193"/>
      <c r="E345" s="2221">
        <f>дома!D1324</f>
        <v>0</v>
      </c>
      <c r="F345" s="2223">
        <f>C345*E345*E340</f>
        <v>0</v>
      </c>
      <c r="G345" s="3192"/>
      <c r="H345" s="3192"/>
      <c r="I345" s="229"/>
      <c r="J345" s="2221">
        <f>дома!N1324</f>
        <v>0</v>
      </c>
      <c r="K345" s="2221">
        <f>дома!O1324</f>
        <v>0</v>
      </c>
      <c r="L345" s="229">
        <f>J345*K345*G340</f>
        <v>0</v>
      </c>
      <c r="M345" s="2228"/>
      <c r="N345" s="2228"/>
      <c r="O345" s="2228"/>
      <c r="P345" s="2228"/>
      <c r="Q345" s="2228"/>
      <c r="R345" s="2228"/>
    </row>
    <row r="346" spans="1:18" ht="15.5" customHeight="1">
      <c r="A346" s="3192" t="s">
        <v>3598</v>
      </c>
      <c r="B346" s="229"/>
      <c r="C346" s="3193">
        <f>дома!C1325</f>
        <v>1.8</v>
      </c>
      <c r="D346" s="3193"/>
      <c r="E346" s="2221">
        <f>дома!D1325</f>
        <v>1</v>
      </c>
      <c r="F346" s="2223">
        <f>C346*E346*E340</f>
        <v>5.4</v>
      </c>
      <c r="G346" s="3192" t="s">
        <v>3599</v>
      </c>
      <c r="H346" s="3192"/>
      <c r="I346" s="229"/>
      <c r="J346" s="2221">
        <f>дома!N1325</f>
        <v>0</v>
      </c>
      <c r="K346" s="2221">
        <f>дома!O1325</f>
        <v>0</v>
      </c>
      <c r="L346" s="229">
        <f>J346*K346*G340</f>
        <v>0</v>
      </c>
      <c r="M346" s="2228"/>
      <c r="N346" s="2228"/>
      <c r="O346" s="2228"/>
      <c r="P346" s="2228"/>
      <c r="Q346" s="2228"/>
      <c r="R346" s="2228"/>
    </row>
    <row r="347" spans="1:18" ht="16">
      <c r="A347" s="3192"/>
      <c r="B347" s="229"/>
      <c r="C347" s="3193">
        <f>дома!C1326</f>
        <v>0</v>
      </c>
      <c r="D347" s="3193"/>
      <c r="E347" s="2221">
        <f>дома!D1326</f>
        <v>0</v>
      </c>
      <c r="F347" s="2223">
        <f>C347*E347*E340</f>
        <v>0</v>
      </c>
      <c r="G347" s="3192"/>
      <c r="H347" s="3192"/>
      <c r="I347" s="229"/>
      <c r="J347" s="2221">
        <f>дома!N1326</f>
        <v>0</v>
      </c>
      <c r="K347" s="2221">
        <f>дома!O1326</f>
        <v>0</v>
      </c>
      <c r="L347" s="229">
        <f>J347*K347*G340</f>
        <v>0</v>
      </c>
      <c r="M347" s="2228"/>
      <c r="N347" s="2228"/>
      <c r="O347" s="2228"/>
      <c r="P347" s="2228"/>
      <c r="Q347" s="2228"/>
      <c r="R347" s="2228"/>
    </row>
    <row r="348" spans="1:18" ht="16">
      <c r="A348" s="3192"/>
      <c r="B348" s="229"/>
      <c r="C348" s="3193">
        <f>дома!C1327</f>
        <v>0</v>
      </c>
      <c r="D348" s="3193"/>
      <c r="E348" s="2221">
        <f>дома!D1327</f>
        <v>0</v>
      </c>
      <c r="F348" s="2223">
        <f>C348*E348*E340</f>
        <v>0</v>
      </c>
      <c r="G348" s="3192"/>
      <c r="H348" s="3192"/>
      <c r="I348" s="229"/>
      <c r="J348" s="2221">
        <f>дома!N1327</f>
        <v>0</v>
      </c>
      <c r="K348" s="2221">
        <f>дома!O1327</f>
        <v>0</v>
      </c>
      <c r="L348" s="229">
        <f>J348*K348*G340</f>
        <v>0</v>
      </c>
      <c r="M348" s="2228"/>
      <c r="N348" s="2228"/>
      <c r="O348" s="2228"/>
      <c r="P348" s="2228"/>
      <c r="Q348" s="2228"/>
      <c r="R348" s="2228"/>
    </row>
    <row r="349" spans="1:18" ht="16">
      <c r="A349" s="3192"/>
      <c r="B349" s="229"/>
      <c r="C349" s="3193">
        <f>дома!C1328</f>
        <v>0</v>
      </c>
      <c r="D349" s="3193"/>
      <c r="E349" s="2221">
        <f>дома!D1328</f>
        <v>0</v>
      </c>
      <c r="F349" s="2223">
        <f>C349*E349*E340</f>
        <v>0</v>
      </c>
      <c r="G349" s="3192"/>
      <c r="H349" s="3192"/>
      <c r="I349" s="229"/>
      <c r="J349" s="2221">
        <f>дома!N1328</f>
        <v>0</v>
      </c>
      <c r="K349" s="2221">
        <f>дома!O1328</f>
        <v>0</v>
      </c>
      <c r="L349" s="229">
        <f>J349*K349*G340</f>
        <v>0</v>
      </c>
      <c r="M349" s="2228"/>
      <c r="N349" s="2228"/>
      <c r="O349" s="2228"/>
      <c r="P349" s="2228"/>
      <c r="Q349" s="2228"/>
      <c r="R349" s="2228"/>
    </row>
    <row r="350" spans="1:18" ht="15.5" customHeight="1">
      <c r="A350" s="3192" t="s">
        <v>3600</v>
      </c>
      <c r="B350" s="229" t="s">
        <v>156</v>
      </c>
      <c r="C350" s="3193">
        <f>дома!C1329</f>
        <v>0</v>
      </c>
      <c r="D350" s="3193"/>
      <c r="E350" s="2221">
        <f>дома!D1329</f>
        <v>0</v>
      </c>
      <c r="F350" s="2223">
        <f>C350*E350*E340</f>
        <v>0</v>
      </c>
      <c r="G350" s="3192" t="s">
        <v>3601</v>
      </c>
      <c r="H350" s="3192"/>
      <c r="I350" s="229" t="s">
        <v>156</v>
      </c>
      <c r="J350" s="2221">
        <f>дома!N1329</f>
        <v>4</v>
      </c>
      <c r="K350" s="2221">
        <f>дома!O1329</f>
        <v>1</v>
      </c>
      <c r="L350" s="229">
        <f>J350*K350*(G340+F340)/2</f>
        <v>0</v>
      </c>
      <c r="M350" s="2228"/>
      <c r="N350" s="2228"/>
      <c r="O350" s="2228"/>
      <c r="P350" s="2228"/>
      <c r="Q350" s="2228"/>
      <c r="R350" s="2228"/>
    </row>
    <row r="351" spans="1:18" ht="16">
      <c r="A351" s="3192"/>
      <c r="B351" s="229" t="s">
        <v>156</v>
      </c>
      <c r="C351" s="3193">
        <f>дома!C1330</f>
        <v>0</v>
      </c>
      <c r="D351" s="3193"/>
      <c r="E351" s="2221">
        <f>дома!D1330</f>
        <v>0</v>
      </c>
      <c r="F351" s="2223">
        <f>C351*E351*E340</f>
        <v>0</v>
      </c>
      <c r="G351" s="3192"/>
      <c r="H351" s="3192"/>
      <c r="I351" s="229" t="s">
        <v>156</v>
      </c>
      <c r="J351" s="2221">
        <f>дома!N1330</f>
        <v>2</v>
      </c>
      <c r="K351" s="2221">
        <f>дома!O1330</f>
        <v>1</v>
      </c>
      <c r="L351" s="229">
        <f>J351*K351*(G340+F340)/2</f>
        <v>0</v>
      </c>
      <c r="M351" s="2228"/>
      <c r="N351" s="2228"/>
      <c r="O351" s="2228"/>
      <c r="P351" s="2228"/>
      <c r="Q351" s="2228"/>
      <c r="R351" s="2228"/>
    </row>
    <row r="352" spans="1:18" ht="16">
      <c r="A352" s="3192"/>
      <c r="B352" s="229" t="s">
        <v>156</v>
      </c>
      <c r="C352" s="3193">
        <f>дома!C1331</f>
        <v>0</v>
      </c>
      <c r="D352" s="3193"/>
      <c r="E352" s="2221">
        <f>дома!D1331</f>
        <v>0</v>
      </c>
      <c r="F352" s="2223">
        <f>C352*E352*E340</f>
        <v>0</v>
      </c>
      <c r="G352" s="3192"/>
      <c r="H352" s="3192"/>
      <c r="I352" s="229" t="s">
        <v>156</v>
      </c>
      <c r="J352" s="2221">
        <f>дома!N1331</f>
        <v>3</v>
      </c>
      <c r="K352" s="2221">
        <f>дома!O1331</f>
        <v>1</v>
      </c>
      <c r="L352" s="229">
        <f>J352*K352*(G340+F340)/2</f>
        <v>0</v>
      </c>
      <c r="M352" s="2228"/>
      <c r="N352" s="2228"/>
      <c r="O352" s="2228"/>
      <c r="P352" s="2228"/>
      <c r="Q352" s="2228"/>
      <c r="R352" s="2228"/>
    </row>
    <row r="353" spans="1:18" ht="16">
      <c r="A353" s="3192"/>
      <c r="B353" s="229"/>
      <c r="C353" s="3193">
        <f>дома!C1332</f>
        <v>0</v>
      </c>
      <c r="D353" s="3193"/>
      <c r="E353" s="2221">
        <f>дома!D1332</f>
        <v>0</v>
      </c>
      <c r="F353" s="2223">
        <f>C353*E353*E340</f>
        <v>0</v>
      </c>
      <c r="G353" s="3192"/>
      <c r="H353" s="3192"/>
      <c r="I353" s="229"/>
      <c r="J353" s="2221">
        <f>дома!N1332</f>
        <v>0</v>
      </c>
      <c r="K353" s="2221">
        <f>дома!O1332</f>
        <v>0</v>
      </c>
      <c r="L353" s="229">
        <f>J353*K353*(G340+F340)/2</f>
        <v>0</v>
      </c>
      <c r="M353" s="2228"/>
      <c r="N353" s="2228"/>
      <c r="O353" s="2228"/>
      <c r="P353" s="2228"/>
      <c r="Q353" s="2228"/>
      <c r="R353" s="2228"/>
    </row>
    <row r="354" spans="1:18" ht="15.5" customHeight="1">
      <c r="A354" s="3192" t="s">
        <v>3602</v>
      </c>
      <c r="B354" s="229"/>
      <c r="C354" s="3193">
        <f>дома!C1333</f>
        <v>3</v>
      </c>
      <c r="D354" s="3193"/>
      <c r="E354" s="2221">
        <f>дома!D1333</f>
        <v>2</v>
      </c>
      <c r="F354" s="2223">
        <f>C354*E354*E340</f>
        <v>18</v>
      </c>
      <c r="G354" s="3192" t="s">
        <v>3603</v>
      </c>
      <c r="H354" s="3192"/>
      <c r="I354" s="229"/>
      <c r="J354" s="2221">
        <f>дома!N1333</f>
        <v>0</v>
      </c>
      <c r="K354" s="2221">
        <f>дома!O1333</f>
        <v>0</v>
      </c>
      <c r="L354" s="229">
        <f>J354*K354*(G340+F340)/2</f>
        <v>0</v>
      </c>
      <c r="M354" s="2228"/>
      <c r="N354" s="2228"/>
      <c r="O354" s="2228"/>
      <c r="P354" s="2228"/>
      <c r="Q354" s="2228"/>
      <c r="R354" s="2228"/>
    </row>
    <row r="355" spans="1:18" ht="16">
      <c r="A355" s="3192"/>
      <c r="B355" s="229"/>
      <c r="C355" s="3193">
        <f>дома!C1334</f>
        <v>0</v>
      </c>
      <c r="D355" s="3193"/>
      <c r="E355" s="2221">
        <f>дома!D1334</f>
        <v>0</v>
      </c>
      <c r="F355" s="2223">
        <f>C355*E355*E340</f>
        <v>0</v>
      </c>
      <c r="G355" s="3192"/>
      <c r="H355" s="3192"/>
      <c r="I355" s="229"/>
      <c r="J355" s="2221">
        <f>дома!N1334</f>
        <v>0</v>
      </c>
      <c r="K355" s="2221">
        <f>дома!O1334</f>
        <v>0</v>
      </c>
      <c r="L355" s="229">
        <f>J355*K355*(G340+F340)/2</f>
        <v>0</v>
      </c>
      <c r="M355" s="2228"/>
      <c r="N355" s="2228"/>
      <c r="O355" s="2228"/>
      <c r="P355" s="2228"/>
      <c r="Q355" s="2228"/>
      <c r="R355" s="2228"/>
    </row>
    <row r="356" spans="1:18" ht="16">
      <c r="A356" s="3192"/>
      <c r="B356" s="229"/>
      <c r="C356" s="3193">
        <f>дома!C1335</f>
        <v>0</v>
      </c>
      <c r="D356" s="3193"/>
      <c r="E356" s="2221">
        <f>дома!D1335</f>
        <v>0</v>
      </c>
      <c r="F356" s="2223">
        <f>C356*E356*E340</f>
        <v>0</v>
      </c>
      <c r="G356" s="3192"/>
      <c r="H356" s="3192"/>
      <c r="I356" s="229"/>
      <c r="J356" s="2221">
        <f>дома!N1335</f>
        <v>0</v>
      </c>
      <c r="K356" s="2221">
        <f>дома!O1335</f>
        <v>0</v>
      </c>
      <c r="L356" s="229">
        <f>J356*K356*(G340+F340)/2</f>
        <v>0</v>
      </c>
      <c r="M356" s="2228"/>
      <c r="N356" s="2228"/>
      <c r="O356" s="2228"/>
      <c r="P356" s="2228"/>
      <c r="Q356" s="2228"/>
      <c r="R356" s="2228"/>
    </row>
    <row r="357" spans="1:18" ht="16">
      <c r="A357" s="3192"/>
      <c r="B357" s="229"/>
      <c r="C357" s="3193">
        <f>дома!C1336</f>
        <v>0</v>
      </c>
      <c r="D357" s="3193"/>
      <c r="E357" s="2221">
        <f>дома!D1336</f>
        <v>0</v>
      </c>
      <c r="F357" s="2223">
        <f>C357*E357*E340</f>
        <v>0</v>
      </c>
      <c r="G357" s="3192"/>
      <c r="H357" s="3192"/>
      <c r="I357" s="229"/>
      <c r="J357" s="2221">
        <f>дома!N1336</f>
        <v>0</v>
      </c>
      <c r="K357" s="2221">
        <f>дома!O1336</f>
        <v>0</v>
      </c>
      <c r="L357" s="229">
        <f>J357*K357*(G340+F340)/2</f>
        <v>0</v>
      </c>
      <c r="M357" s="2228"/>
      <c r="N357" s="2228"/>
      <c r="O357" s="2228"/>
      <c r="P357" s="2228"/>
      <c r="Q357" s="2228"/>
      <c r="R357" s="2228"/>
    </row>
    <row r="358" spans="1:18" ht="16">
      <c r="A358" s="490"/>
      <c r="B358" s="2228"/>
      <c r="C358" s="2242"/>
      <c r="D358" s="2242"/>
      <c r="E358" s="1165" t="s">
        <v>3925</v>
      </c>
      <c r="F358" s="2243">
        <f>SUM(F342:F352)</f>
        <v>53.4</v>
      </c>
      <c r="G358" s="2244"/>
      <c r="H358" s="2244"/>
      <c r="I358" s="2234"/>
      <c r="J358" s="2220"/>
      <c r="K358" s="1165" t="s">
        <v>3925</v>
      </c>
      <c r="L358" s="1165">
        <f>SUM(L342:L352)</f>
        <v>0</v>
      </c>
      <c r="M358" s="2228"/>
      <c r="N358" s="2228"/>
      <c r="O358" s="2228"/>
      <c r="P358" s="2228"/>
      <c r="Q358" s="2228"/>
      <c r="R358" s="2228"/>
    </row>
    <row r="359" spans="1:18" ht="16">
      <c r="A359" s="3194" t="s">
        <v>3626</v>
      </c>
      <c r="B359" s="3194"/>
      <c r="C359" s="3194"/>
      <c r="D359" s="2245"/>
      <c r="E359" s="2245"/>
      <c r="F359" s="2245"/>
      <c r="G359" s="2228"/>
      <c r="H359" s="2228"/>
      <c r="I359" s="2234"/>
      <c r="J359" s="2228"/>
      <c r="K359" s="2228"/>
      <c r="L359" s="2228"/>
      <c r="M359" s="2228"/>
      <c r="N359" s="2228"/>
      <c r="O359" s="2228"/>
      <c r="P359" s="2228"/>
      <c r="Q359" s="2228"/>
      <c r="R359" s="2228"/>
    </row>
    <row r="360" spans="1:18" ht="16">
      <c r="A360" s="98" t="s">
        <v>3678</v>
      </c>
      <c r="B360" s="2226" t="s">
        <v>133</v>
      </c>
      <c r="C360" s="100">
        <f>дома!C1364</f>
        <v>100</v>
      </c>
      <c r="D360" s="2245"/>
      <c r="E360" s="2245"/>
      <c r="F360" s="2245"/>
      <c r="G360" s="2228"/>
      <c r="H360" s="2228"/>
      <c r="I360" s="2234"/>
      <c r="J360" s="2228"/>
      <c r="K360" s="2228"/>
      <c r="L360" s="2228"/>
      <c r="M360" s="2228"/>
      <c r="N360" s="2228"/>
      <c r="O360" s="2228"/>
      <c r="P360" s="2228"/>
      <c r="Q360" s="2228"/>
      <c r="R360" s="2228"/>
    </row>
    <row r="361" spans="1:18" ht="16">
      <c r="A361" s="98" t="s">
        <v>3628</v>
      </c>
      <c r="B361" s="2226" t="s">
        <v>133</v>
      </c>
      <c r="C361" s="100">
        <f>дома!C1365</f>
        <v>0</v>
      </c>
      <c r="D361" s="2245"/>
      <c r="E361" s="2245"/>
      <c r="F361" s="2245"/>
      <c r="G361" s="2228"/>
      <c r="H361" s="2228"/>
      <c r="I361" s="2234"/>
      <c r="J361" s="2228"/>
      <c r="K361" s="2228"/>
      <c r="L361" s="2228"/>
      <c r="M361" s="2228"/>
      <c r="N361" s="2228"/>
      <c r="O361" s="2228"/>
      <c r="P361" s="2228"/>
      <c r="Q361" s="2228"/>
      <c r="R361" s="2228"/>
    </row>
    <row r="362" spans="1:18" ht="16">
      <c r="A362" s="98" t="s">
        <v>3680</v>
      </c>
      <c r="B362" s="2226" t="s">
        <v>156</v>
      </c>
      <c r="C362" s="100">
        <f>дома!C1366</f>
        <v>56</v>
      </c>
      <c r="D362" s="2245"/>
      <c r="E362" s="2245"/>
      <c r="F362" s="2245"/>
      <c r="G362" s="2228"/>
      <c r="H362" s="2228"/>
      <c r="I362" s="2234"/>
      <c r="J362" s="2228"/>
      <c r="K362" s="2228"/>
      <c r="L362" s="2228"/>
      <c r="M362" s="2228"/>
      <c r="N362" s="2228"/>
      <c r="O362" s="2228"/>
      <c r="P362" s="2228"/>
      <c r="Q362" s="2228"/>
      <c r="R362" s="2228"/>
    </row>
    <row r="363" spans="1:18" ht="16">
      <c r="A363" s="98" t="s">
        <v>3752</v>
      </c>
      <c r="B363" s="2226" t="s">
        <v>156</v>
      </c>
      <c r="C363" s="100">
        <f>дома!C1367</f>
        <v>40</v>
      </c>
      <c r="D363" s="2245"/>
      <c r="E363" s="2245"/>
      <c r="F363" s="2245"/>
      <c r="G363" s="2228"/>
      <c r="H363" s="2228"/>
      <c r="I363" s="2234"/>
      <c r="J363" s="2228"/>
      <c r="K363" s="2228"/>
      <c r="L363" s="2228"/>
      <c r="M363" s="2228"/>
      <c r="N363" s="2228"/>
      <c r="O363" s="2228"/>
      <c r="P363" s="2228"/>
      <c r="Q363" s="2228"/>
      <c r="R363" s="2228"/>
    </row>
    <row r="364" spans="1:18" ht="16">
      <c r="A364" s="98" t="s">
        <v>3755</v>
      </c>
      <c r="B364" s="2226" t="s">
        <v>156</v>
      </c>
      <c r="C364" s="100">
        <f>дома!C1368</f>
        <v>16</v>
      </c>
      <c r="D364" s="2245"/>
      <c r="E364" s="2245"/>
      <c r="F364" s="2245"/>
      <c r="G364" s="2228"/>
      <c r="H364" s="2228"/>
      <c r="I364" s="2234"/>
      <c r="J364" s="2228"/>
      <c r="K364" s="2228"/>
      <c r="L364" s="2228"/>
      <c r="M364" s="2228"/>
      <c r="N364" s="2228"/>
      <c r="O364" s="2228"/>
      <c r="P364" s="2228"/>
      <c r="Q364" s="2228"/>
      <c r="R364" s="2228"/>
    </row>
    <row r="365" spans="1:18" ht="16">
      <c r="A365" s="98"/>
      <c r="B365" s="2226"/>
      <c r="C365" s="100">
        <f>дома!C1369</f>
        <v>7.8</v>
      </c>
      <c r="D365" s="2245"/>
      <c r="E365" s="2245"/>
      <c r="F365" s="2245"/>
      <c r="G365" s="2228"/>
      <c r="H365" s="2228"/>
      <c r="I365" s="2234"/>
      <c r="J365" s="2228"/>
      <c r="K365" s="2228"/>
      <c r="L365" s="2228"/>
      <c r="M365" s="2228"/>
      <c r="N365" s="2228"/>
      <c r="O365" s="2228"/>
      <c r="P365" s="2228"/>
      <c r="Q365" s="2228"/>
      <c r="R365" s="2228"/>
    </row>
    <row r="366" spans="1:18" ht="16">
      <c r="A366" s="98" t="s">
        <v>3633</v>
      </c>
      <c r="B366" s="2226" t="s">
        <v>133</v>
      </c>
      <c r="C366" s="100">
        <f>дома!C1370</f>
        <v>0</v>
      </c>
      <c r="D366" s="2245"/>
      <c r="E366" s="2245"/>
      <c r="F366" s="2245"/>
      <c r="G366" s="2228"/>
      <c r="H366" s="2228"/>
      <c r="I366" s="2234"/>
      <c r="J366" s="2228"/>
      <c r="K366" s="2228"/>
      <c r="L366" s="2228"/>
      <c r="M366" s="2228"/>
      <c r="N366" s="2228"/>
      <c r="O366" s="2228"/>
      <c r="P366" s="2228"/>
      <c r="Q366" s="2228"/>
      <c r="R366" s="2228"/>
    </row>
    <row r="367" spans="1:18" ht="16">
      <c r="A367" s="98" t="s">
        <v>3926</v>
      </c>
      <c r="B367" s="2226" t="s">
        <v>133</v>
      </c>
      <c r="C367" s="100" t="e">
        <f>дома!#REF!</f>
        <v>#REF!</v>
      </c>
      <c r="D367" s="2245"/>
      <c r="E367" s="2245"/>
      <c r="F367" s="2245"/>
      <c r="G367" s="2228"/>
      <c r="H367" s="2228"/>
      <c r="I367" s="2234"/>
      <c r="J367" s="2228"/>
      <c r="K367" s="2228"/>
      <c r="L367" s="2228"/>
      <c r="M367" s="2228"/>
      <c r="N367" s="2228"/>
      <c r="O367" s="2228"/>
      <c r="P367" s="2228"/>
      <c r="Q367" s="2228"/>
      <c r="R367" s="2228"/>
    </row>
    <row r="368" spans="1:18" ht="16">
      <c r="A368" s="98" t="s">
        <v>3687</v>
      </c>
      <c r="B368" s="2226" t="s">
        <v>133</v>
      </c>
      <c r="C368" s="100" t="e">
        <f>дома!#REF!</f>
        <v>#REF!</v>
      </c>
      <c r="D368" s="2245"/>
      <c r="E368" s="2245"/>
      <c r="F368" s="2245"/>
      <c r="G368" s="2228"/>
      <c r="H368" s="2228"/>
      <c r="I368" s="2234"/>
      <c r="J368" s="2228"/>
      <c r="K368" s="2228"/>
      <c r="L368" s="2228"/>
      <c r="M368" s="2228"/>
      <c r="N368" s="2228"/>
      <c r="O368" s="2228"/>
      <c r="P368" s="2228"/>
      <c r="Q368" s="2228"/>
      <c r="R368" s="2228"/>
    </row>
    <row r="369" spans="1:18" ht="16">
      <c r="A369" s="98" t="s">
        <v>3802</v>
      </c>
      <c r="B369" s="2226" t="s">
        <v>133</v>
      </c>
      <c r="C369" s="100">
        <f>дома!C1373</f>
        <v>0</v>
      </c>
      <c r="D369" s="2245"/>
      <c r="E369" s="2245"/>
      <c r="F369" s="2245"/>
      <c r="G369" s="2228"/>
      <c r="H369" s="2228"/>
      <c r="I369" s="2234"/>
      <c r="J369" s="2228"/>
      <c r="K369" s="2228"/>
      <c r="L369" s="2228"/>
      <c r="M369" s="2228"/>
      <c r="N369" s="2228"/>
      <c r="O369" s="2228"/>
      <c r="P369" s="2228"/>
      <c r="Q369" s="2228"/>
      <c r="R369" s="2228"/>
    </row>
    <row r="370" spans="1:18" ht="16">
      <c r="A370" s="98" t="s">
        <v>3927</v>
      </c>
      <c r="B370" s="2226" t="s">
        <v>133</v>
      </c>
      <c r="C370" s="100" t="e">
        <f>дома!#REF!</f>
        <v>#REF!</v>
      </c>
      <c r="D370" s="2245"/>
      <c r="E370" s="2245"/>
      <c r="F370" s="2245"/>
      <c r="G370" s="2228"/>
      <c r="H370" s="2228"/>
      <c r="I370" s="2234"/>
      <c r="J370" s="2228"/>
      <c r="K370" s="2228"/>
      <c r="L370" s="2228"/>
      <c r="M370" s="2228"/>
      <c r="N370" s="2228"/>
      <c r="O370" s="2228"/>
      <c r="P370" s="2228"/>
      <c r="Q370" s="2228"/>
      <c r="R370" s="2228"/>
    </row>
    <row r="371" spans="1:18" ht="16">
      <c r="A371" s="98" t="s">
        <v>3638</v>
      </c>
      <c r="B371" s="2226" t="s">
        <v>133</v>
      </c>
      <c r="C371" s="100">
        <f>дома!C1375</f>
        <v>0</v>
      </c>
      <c r="D371" s="2245"/>
      <c r="E371" s="2245"/>
      <c r="F371" s="2245"/>
      <c r="G371" s="2228"/>
      <c r="H371" s="2228"/>
      <c r="I371" s="2234"/>
      <c r="J371" s="2228"/>
      <c r="K371" s="2228"/>
      <c r="L371" s="2228"/>
      <c r="M371" s="2228"/>
      <c r="N371" s="2228"/>
      <c r="O371" s="2228"/>
      <c r="P371" s="2228"/>
      <c r="Q371" s="2228"/>
      <c r="R371" s="2228"/>
    </row>
    <row r="372" spans="1:18" ht="17">
      <c r="A372" s="2246" t="s">
        <v>3645</v>
      </c>
      <c r="B372" s="2226" t="s">
        <v>133</v>
      </c>
      <c r="C372" s="100">
        <f>дома!C1382</f>
        <v>0</v>
      </c>
      <c r="D372" s="2245"/>
      <c r="E372" s="2245"/>
      <c r="F372" s="2245"/>
      <c r="G372" s="2228"/>
      <c r="H372" s="2228"/>
      <c r="I372" s="2234"/>
      <c r="J372" s="2228"/>
      <c r="K372" s="2228"/>
      <c r="L372" s="2228"/>
      <c r="M372" s="2228"/>
      <c r="N372" s="2228"/>
      <c r="O372" s="2228"/>
      <c r="P372" s="2228"/>
      <c r="Q372" s="2228"/>
      <c r="R372" s="2228"/>
    </row>
    <row r="373" spans="1:18" ht="15.5" customHeight="1">
      <c r="A373" s="3195" t="s">
        <v>3543</v>
      </c>
      <c r="B373" s="3195"/>
      <c r="C373" s="3195"/>
      <c r="D373" s="2245"/>
      <c r="E373" s="2245"/>
      <c r="F373" s="2245"/>
      <c r="G373" s="2228"/>
      <c r="H373" s="2228"/>
      <c r="I373" s="2234"/>
      <c r="J373" s="2228"/>
      <c r="K373" s="2228"/>
      <c r="L373" s="2228"/>
      <c r="M373" s="2228"/>
      <c r="N373" s="2228"/>
      <c r="O373" s="2228"/>
      <c r="P373" s="2228"/>
      <c r="Q373" s="2228"/>
      <c r="R373" s="2228"/>
    </row>
    <row r="374" spans="1:18" ht="16">
      <c r="A374" s="229" t="s">
        <v>2623</v>
      </c>
      <c r="B374" s="229" t="s">
        <v>133</v>
      </c>
      <c r="C374" s="100">
        <f>дома!C1384</f>
        <v>0</v>
      </c>
      <c r="D374" s="2245"/>
      <c r="E374" s="2245"/>
      <c r="F374" s="2245"/>
      <c r="G374" s="2228"/>
      <c r="H374" s="2228"/>
      <c r="I374" s="2234"/>
      <c r="J374" s="2228"/>
      <c r="K374" s="2228"/>
      <c r="L374" s="2228"/>
      <c r="M374" s="2228"/>
      <c r="N374" s="2228"/>
      <c r="O374" s="2228"/>
      <c r="P374" s="2228"/>
      <c r="Q374" s="2228"/>
      <c r="R374" s="2228"/>
    </row>
    <row r="375" spans="1:18" ht="16">
      <c r="A375" s="229" t="s">
        <v>1546</v>
      </c>
      <c r="B375" s="229" t="s">
        <v>156</v>
      </c>
      <c r="C375" s="100">
        <f>дома!C1385</f>
        <v>0</v>
      </c>
      <c r="D375" s="2245"/>
      <c r="E375" s="2245"/>
      <c r="F375" s="2245"/>
      <c r="G375" s="2228"/>
      <c r="H375" s="2228"/>
      <c r="I375" s="2234"/>
      <c r="J375" s="2228"/>
      <c r="K375" s="2228"/>
      <c r="L375" s="2228"/>
      <c r="M375" s="2228"/>
      <c r="N375" s="2228"/>
      <c r="O375" s="2228"/>
      <c r="P375" s="2228"/>
      <c r="Q375" s="2228"/>
      <c r="R375" s="2228"/>
    </row>
    <row r="376" spans="1:18" ht="16">
      <c r="A376" s="229" t="s">
        <v>3502</v>
      </c>
      <c r="B376" s="229" t="s">
        <v>156</v>
      </c>
      <c r="C376" s="100">
        <f>дома!C1389</f>
        <v>5</v>
      </c>
      <c r="D376" s="2245"/>
      <c r="E376" s="2245"/>
      <c r="F376" s="2245"/>
      <c r="G376" s="2228"/>
      <c r="H376" s="2228"/>
      <c r="I376" s="2234"/>
      <c r="J376" s="2228"/>
      <c r="K376" s="2228"/>
      <c r="L376" s="2228"/>
      <c r="M376" s="2228"/>
      <c r="N376" s="2228"/>
      <c r="O376" s="2228"/>
      <c r="P376" s="2228"/>
      <c r="Q376" s="2228"/>
      <c r="R376" s="2228"/>
    </row>
    <row r="377" spans="1:18" ht="16">
      <c r="A377" s="229" t="s">
        <v>1972</v>
      </c>
      <c r="B377" s="229" t="s">
        <v>156</v>
      </c>
      <c r="C377" s="2247">
        <v>0.5</v>
      </c>
      <c r="D377" s="2245"/>
      <c r="E377" s="2245"/>
      <c r="F377" s="2245"/>
      <c r="G377" s="2228"/>
      <c r="H377" s="2228"/>
      <c r="I377" s="2234"/>
      <c r="J377" s="2228"/>
      <c r="K377" s="2228"/>
      <c r="L377" s="2228"/>
      <c r="M377" s="2228"/>
      <c r="N377" s="2228"/>
      <c r="O377" s="2228"/>
      <c r="P377" s="2228"/>
      <c r="Q377" s="2228"/>
      <c r="R377" s="2228"/>
    </row>
    <row r="378" spans="1:18" ht="16">
      <c r="A378" s="259" t="s">
        <v>1975</v>
      </c>
      <c r="B378" s="259" t="s">
        <v>156</v>
      </c>
      <c r="C378" s="2248">
        <v>0.5</v>
      </c>
      <c r="D378" s="2245"/>
      <c r="E378" s="2245"/>
      <c r="F378" s="2245"/>
      <c r="G378" s="2228"/>
      <c r="H378" s="2228"/>
      <c r="I378" s="2234"/>
      <c r="J378" s="2228"/>
      <c r="K378" s="2228"/>
      <c r="L378" s="2228"/>
      <c r="M378" s="2228"/>
      <c r="N378" s="2228"/>
      <c r="O378" s="2228"/>
      <c r="P378" s="2228"/>
      <c r="Q378" s="2228"/>
      <c r="R378" s="2228"/>
    </row>
    <row r="379" spans="1:18" ht="16">
      <c r="A379" s="2249" t="s">
        <v>2364</v>
      </c>
      <c r="B379" s="2250">
        <v>1</v>
      </c>
      <c r="C379" s="3196" t="s">
        <v>3663</v>
      </c>
      <c r="D379" s="3196"/>
      <c r="E379" s="3196"/>
      <c r="F379" s="3196"/>
      <c r="G379" s="2251"/>
      <c r="H379" s="1194"/>
      <c r="I379" s="1194"/>
      <c r="J379" s="1194"/>
      <c r="K379" s="1194"/>
      <c r="L379" s="1194"/>
      <c r="M379" s="1194"/>
      <c r="N379" s="1194"/>
      <c r="O379" s="1194"/>
      <c r="P379" s="1194"/>
      <c r="Q379" s="1194"/>
      <c r="R379" s="1194"/>
    </row>
    <row r="380" spans="1:18" ht="24">
      <c r="A380" s="3197" t="s">
        <v>1200</v>
      </c>
      <c r="B380" s="3197"/>
      <c r="C380" s="3197"/>
      <c r="D380" s="3197"/>
      <c r="E380" s="3197"/>
      <c r="F380" s="3197"/>
      <c r="G380" s="3197"/>
      <c r="H380" s="3197"/>
      <c r="I380" s="3197"/>
      <c r="J380" s="813"/>
      <c r="K380" s="813"/>
      <c r="L380" s="813"/>
      <c r="M380" s="1195"/>
      <c r="N380" s="1195"/>
      <c r="O380" s="1195"/>
      <c r="P380" s="1195"/>
      <c r="Q380" s="1195"/>
      <c r="R380" s="1195"/>
    </row>
    <row r="381" spans="1:18" ht="24">
      <c r="A381" s="3197"/>
      <c r="B381" s="3197"/>
      <c r="C381" s="3197"/>
      <c r="D381" s="3197"/>
      <c r="E381" s="3197"/>
      <c r="F381" s="3197"/>
      <c r="G381" s="3197"/>
      <c r="H381" s="3197"/>
      <c r="I381" s="3197"/>
      <c r="J381" s="813"/>
      <c r="K381" s="813"/>
      <c r="L381" s="813"/>
      <c r="M381" s="1195"/>
      <c r="N381" s="1195"/>
      <c r="O381" s="1195"/>
      <c r="P381" s="1195"/>
      <c r="Q381" s="1195"/>
      <c r="R381" s="1195"/>
    </row>
    <row r="382" spans="1:18" ht="24">
      <c r="A382" s="3198" t="s">
        <v>1806</v>
      </c>
      <c r="B382" s="3198"/>
      <c r="C382" s="3198"/>
      <c r="D382" s="3198"/>
      <c r="E382" s="3198"/>
      <c r="F382" s="3198"/>
      <c r="G382" s="2252">
        <f>'Ввод данных'!Z68</f>
        <v>1</v>
      </c>
      <c r="H382" s="888">
        <f>'Ввод данных'!Z69</f>
        <v>1</v>
      </c>
      <c r="I382" s="888"/>
      <c r="J382" s="888"/>
      <c r="K382" s="888"/>
      <c r="L382" s="888"/>
      <c r="M382" s="1194"/>
      <c r="N382" s="1194"/>
      <c r="O382" s="1194"/>
      <c r="P382" s="1194"/>
      <c r="Q382" s="1194"/>
      <c r="R382" s="1194"/>
    </row>
    <row r="383" spans="1:18" ht="24">
      <c r="A383" s="3198"/>
      <c r="B383" s="3198"/>
      <c r="C383" s="3198"/>
      <c r="D383" s="3198"/>
      <c r="E383" s="3198"/>
      <c r="F383" s="3198"/>
      <c r="G383" s="2253"/>
      <c r="H383" s="888"/>
      <c r="I383" s="888"/>
      <c r="J383" s="888"/>
      <c r="K383" s="888"/>
      <c r="L383" s="888"/>
      <c r="M383" s="1194"/>
      <c r="N383" s="1194"/>
      <c r="O383" s="1194"/>
      <c r="P383" s="1194"/>
      <c r="Q383" s="1194"/>
      <c r="R383" s="1194"/>
    </row>
    <row r="384" spans="1:18" ht="16">
      <c r="A384" s="2254" t="s">
        <v>1819</v>
      </c>
      <c r="B384" s="2255" t="s">
        <v>133</v>
      </c>
      <c r="C384" s="2256">
        <f>дома!E61</f>
        <v>1.2</v>
      </c>
      <c r="D384" s="2227">
        <f>VLOOKUP('Ввод данных'!Z77,связи1!A2:B3,2,0)</f>
        <v>1</v>
      </c>
      <c r="E384" s="223" t="s">
        <v>1819</v>
      </c>
      <c r="F384" s="2257"/>
      <c r="G384" s="2257"/>
      <c r="H384" s="1195"/>
      <c r="I384" s="1195"/>
      <c r="J384" s="1195"/>
      <c r="K384" s="1195"/>
      <c r="L384" s="1195"/>
      <c r="M384" s="1195"/>
      <c r="N384" s="1195"/>
      <c r="O384" s="1195"/>
      <c r="P384" s="1195"/>
      <c r="Q384" s="1195"/>
      <c r="R384" s="1195"/>
    </row>
    <row r="385" spans="1:18" ht="16">
      <c r="A385" s="132" t="s">
        <v>1823</v>
      </c>
      <c r="B385" s="2226" t="s">
        <v>159</v>
      </c>
      <c r="C385" s="2223">
        <f>'Ввод данных'!E73+'Ввод данных'!E82</f>
        <v>0</v>
      </c>
      <c r="D385" s="2227">
        <f>VLOOKUP('Ввод данных'!Z78,связи1!A2:B3,2,0)</f>
        <v>1</v>
      </c>
      <c r="E385" s="223" t="s">
        <v>1823</v>
      </c>
      <c r="F385" s="2257"/>
      <c r="G385" s="2257"/>
      <c r="H385" s="1195"/>
      <c r="I385" s="1195"/>
      <c r="J385" s="1195"/>
      <c r="K385" s="1195"/>
      <c r="L385" s="1195"/>
      <c r="M385" s="1195"/>
      <c r="N385" s="1195"/>
      <c r="O385" s="1195"/>
      <c r="P385" s="1195"/>
      <c r="Q385" s="1195"/>
      <c r="R385" s="1195"/>
    </row>
    <row r="386" spans="1:18" ht="16">
      <c r="A386" s="132" t="s">
        <v>1825</v>
      </c>
      <c r="B386" s="2226" t="s">
        <v>156</v>
      </c>
      <c r="C386" s="2226">
        <f>дома!F1752</f>
        <v>1</v>
      </c>
      <c r="D386" s="2227">
        <f>VLOOKUP('Ввод данных'!Z79,связи1!A2:B3,2,0)</f>
        <v>1</v>
      </c>
      <c r="E386" s="223" t="s">
        <v>1825</v>
      </c>
      <c r="F386" s="2257"/>
      <c r="G386" s="2257"/>
      <c r="H386" s="1195"/>
      <c r="I386" s="1195"/>
      <c r="J386" s="1195"/>
      <c r="K386" s="1195"/>
      <c r="L386" s="1195"/>
      <c r="M386" s="1195"/>
      <c r="N386" s="1195"/>
      <c r="O386" s="1195"/>
      <c r="P386" s="1195"/>
      <c r="Q386" s="1195"/>
      <c r="R386" s="1195"/>
    </row>
    <row r="387" spans="1:18" ht="16">
      <c r="A387" s="132" t="s">
        <v>1827</v>
      </c>
      <c r="B387" s="2226" t="s">
        <v>156</v>
      </c>
      <c r="C387" s="2226">
        <f>дома!F1753</f>
        <v>3.4000000000000004</v>
      </c>
      <c r="D387" s="2227">
        <f>VLOOKUP('Ввод данных'!Z80,связи1!A2:B3,2,0)</f>
        <v>1</v>
      </c>
      <c r="E387" s="223" t="s">
        <v>1827</v>
      </c>
      <c r="F387" s="2257"/>
      <c r="G387" s="2257"/>
      <c r="H387" s="1195"/>
      <c r="I387" s="1195"/>
      <c r="J387" s="1195"/>
      <c r="K387" s="1195"/>
      <c r="L387" s="1195"/>
      <c r="M387" s="1195"/>
      <c r="N387" s="1195"/>
      <c r="O387" s="1195"/>
      <c r="P387" s="1195"/>
      <c r="Q387" s="1195"/>
      <c r="R387" s="1195"/>
    </row>
    <row r="388" spans="1:18" ht="16">
      <c r="A388" s="132" t="s">
        <v>1829</v>
      </c>
      <c r="B388" s="2226" t="s">
        <v>156</v>
      </c>
      <c r="C388" s="2226">
        <f>C387</f>
        <v>3.4000000000000004</v>
      </c>
      <c r="D388" s="2227">
        <f>VLOOKUP('Ввод данных'!Z81,связи1!A2:B3,2,0)</f>
        <v>0</v>
      </c>
      <c r="E388" s="223" t="s">
        <v>1829</v>
      </c>
      <c r="F388" s="2257"/>
      <c r="G388" s="2257"/>
      <c r="H388" s="1195"/>
      <c r="I388" s="1195"/>
      <c r="J388" s="1195"/>
      <c r="K388" s="1195"/>
      <c r="L388" s="1195"/>
      <c r="M388" s="1195"/>
      <c r="N388" s="1195"/>
      <c r="O388" s="1195"/>
      <c r="P388" s="1195"/>
      <c r="Q388" s="1195"/>
      <c r="R388" s="1195"/>
    </row>
    <row r="389" spans="1:18" ht="16">
      <c r="A389" s="132" t="s">
        <v>1831</v>
      </c>
      <c r="B389" s="2226" t="s">
        <v>156</v>
      </c>
      <c r="C389" s="2226">
        <f>C386</f>
        <v>1</v>
      </c>
      <c r="D389" s="2227">
        <f>VLOOKUP('Ввод данных'!Z82,связи1!A2:B3,2,0)</f>
        <v>0</v>
      </c>
      <c r="E389" s="223" t="s">
        <v>1831</v>
      </c>
      <c r="F389" s="2257"/>
      <c r="G389" s="2257"/>
      <c r="H389" s="1195"/>
      <c r="I389" s="1195"/>
      <c r="J389" s="1195"/>
      <c r="K389" s="1195"/>
      <c r="L389" s="1195"/>
      <c r="M389" s="1195"/>
      <c r="N389" s="1195"/>
      <c r="O389" s="1195"/>
      <c r="P389" s="1195"/>
      <c r="Q389" s="1195"/>
      <c r="R389" s="1195"/>
    </row>
    <row r="390" spans="1:18" ht="16">
      <c r="A390" s="229" t="s">
        <v>1217</v>
      </c>
      <c r="B390" s="2226" t="s">
        <v>159</v>
      </c>
      <c r="C390" s="2226">
        <f>дома!K1312+дома!K1313+дома!K1314</f>
        <v>0</v>
      </c>
      <c r="D390" s="2227">
        <f>VLOOKUP('Ввод данных'!Z84,связи1!A2:B3,2,0)</f>
        <v>1</v>
      </c>
      <c r="E390" s="223" t="s">
        <v>1834</v>
      </c>
      <c r="F390" s="2257"/>
      <c r="G390" s="2257"/>
      <c r="H390" s="1195"/>
      <c r="I390" s="1195"/>
      <c r="J390" s="1195"/>
      <c r="K390" s="1195"/>
      <c r="L390" s="1195"/>
      <c r="M390" s="1195"/>
      <c r="N390" s="1195"/>
      <c r="O390" s="1195"/>
      <c r="P390" s="1195"/>
      <c r="Q390" s="1195"/>
      <c r="R390" s="1195"/>
    </row>
    <row r="391" spans="1:18" ht="16">
      <c r="A391" s="229" t="s">
        <v>1214</v>
      </c>
      <c r="B391" s="2226" t="s">
        <v>133</v>
      </c>
      <c r="C391" s="2226">
        <f>дома!E59+дома!E60</f>
        <v>0</v>
      </c>
      <c r="D391" s="2247">
        <f>VLOOKUP('Ввод данных'!Z83,связи1!A2:B3,2,0)</f>
        <v>0</v>
      </c>
      <c r="E391" s="223" t="s">
        <v>3928</v>
      </c>
      <c r="F391" s="2257"/>
      <c r="G391" s="2257"/>
      <c r="H391" s="1195"/>
      <c r="I391" s="1195"/>
      <c r="J391" s="1195"/>
      <c r="K391" s="1195"/>
      <c r="L391" s="1195"/>
      <c r="M391" s="1195"/>
      <c r="N391" s="1195"/>
      <c r="O391" s="1195"/>
      <c r="P391" s="1195"/>
      <c r="Q391" s="1195"/>
      <c r="R391" s="1195"/>
    </row>
    <row r="392" spans="1:18" ht="16">
      <c r="A392" s="101" t="s">
        <v>2720</v>
      </c>
      <c r="B392" s="1171" t="s">
        <v>1094</v>
      </c>
      <c r="C392" s="1171" t="s">
        <v>1802</v>
      </c>
      <c r="D392" s="1171" t="s">
        <v>3649</v>
      </c>
      <c r="E392" s="259" t="s">
        <v>2722</v>
      </c>
      <c r="F392" s="2228"/>
      <c r="G392" s="3130" t="s">
        <v>3652</v>
      </c>
      <c r="H392" s="3130"/>
      <c r="I392" s="99" t="s">
        <v>1094</v>
      </c>
      <c r="J392" s="229" t="s">
        <v>1802</v>
      </c>
      <c r="K392" s="229" t="s">
        <v>2721</v>
      </c>
      <c r="L392" s="229" t="s">
        <v>2722</v>
      </c>
      <c r="M392" s="1195"/>
      <c r="N392" s="1195"/>
      <c r="O392" s="1195"/>
      <c r="P392" s="1195"/>
      <c r="Q392" s="1195"/>
      <c r="R392" s="1195"/>
    </row>
    <row r="393" spans="1:18" ht="16">
      <c r="A393" s="229" t="s">
        <v>1202</v>
      </c>
      <c r="B393" s="99" t="s">
        <v>133</v>
      </c>
      <c r="C393" s="229">
        <f>C384*G382</f>
        <v>1.2</v>
      </c>
      <c r="D393" s="229">
        <f>'Прайс лист'!G1312</f>
        <v>3500</v>
      </c>
      <c r="E393" s="229">
        <f t="shared" ref="E393:E415" si="5">C393*D393</f>
        <v>4200</v>
      </c>
      <c r="F393" s="2228"/>
      <c r="G393" s="3130" t="s">
        <v>1516</v>
      </c>
      <c r="H393" s="3130"/>
      <c r="I393" s="99" t="s">
        <v>159</v>
      </c>
      <c r="J393" s="229">
        <f>C405*H382</f>
        <v>1</v>
      </c>
      <c r="K393" s="229">
        <f>'Прайс лист'!G1706</f>
        <v>1000</v>
      </c>
      <c r="L393" s="229">
        <f t="shared" ref="L393:L405" si="6">J393*K393</f>
        <v>1000</v>
      </c>
      <c r="M393" s="1195"/>
      <c r="N393" s="1195"/>
      <c r="O393" s="1195"/>
      <c r="P393" s="1195"/>
      <c r="Q393" s="1195"/>
      <c r="R393" s="1195"/>
    </row>
    <row r="394" spans="1:18" ht="16">
      <c r="A394" s="229" t="s">
        <v>1203</v>
      </c>
      <c r="B394" s="99" t="s">
        <v>156</v>
      </c>
      <c r="C394" s="229">
        <f>C386*D386*G382</f>
        <v>1</v>
      </c>
      <c r="D394" s="229">
        <f>'Прайс лист'!G1313</f>
        <v>200</v>
      </c>
      <c r="E394" s="229">
        <f t="shared" si="5"/>
        <v>200</v>
      </c>
      <c r="F394" s="2228"/>
      <c r="G394" s="3130" t="s">
        <v>1517</v>
      </c>
      <c r="H394" s="3130"/>
      <c r="I394" s="99" t="s">
        <v>159</v>
      </c>
      <c r="J394" s="229">
        <f>C394*H382</f>
        <v>1</v>
      </c>
      <c r="K394" s="229">
        <f>'Прайс лист'!G1707</f>
        <v>400</v>
      </c>
      <c r="L394" s="229">
        <f t="shared" si="6"/>
        <v>400</v>
      </c>
      <c r="M394" s="1195"/>
      <c r="N394" s="1195"/>
      <c r="O394" s="1195"/>
      <c r="P394" s="1195"/>
      <c r="Q394" s="1195"/>
      <c r="R394" s="1195"/>
    </row>
    <row r="395" spans="1:18" ht="16">
      <c r="A395" s="229" t="s">
        <v>1204</v>
      </c>
      <c r="B395" s="99" t="s">
        <v>159</v>
      </c>
      <c r="C395" s="229">
        <f>C387*G382*D387</f>
        <v>3.4000000000000004</v>
      </c>
      <c r="D395" s="229">
        <f>'Прайс лист'!G1314</f>
        <v>50</v>
      </c>
      <c r="E395" s="229">
        <f t="shared" si="5"/>
        <v>170.00000000000003</v>
      </c>
      <c r="F395" s="2228"/>
      <c r="G395" s="3130" t="s">
        <v>3929</v>
      </c>
      <c r="H395" s="3130"/>
      <c r="I395" s="99" t="s">
        <v>159</v>
      </c>
      <c r="J395" s="229">
        <f>C396*H382</f>
        <v>3.4000000000000004</v>
      </c>
      <c r="K395" s="229">
        <f>'Прайс лист'!G1708</f>
        <v>150</v>
      </c>
      <c r="L395" s="229">
        <f t="shared" si="6"/>
        <v>510.00000000000006</v>
      </c>
      <c r="M395" s="1195"/>
      <c r="N395" s="1195"/>
      <c r="O395" s="1195"/>
      <c r="P395" s="1195"/>
      <c r="Q395" s="1195"/>
      <c r="R395" s="1195"/>
    </row>
    <row r="396" spans="1:18" ht="16">
      <c r="A396" s="229" t="s">
        <v>1205</v>
      </c>
      <c r="B396" s="99" t="s">
        <v>159</v>
      </c>
      <c r="C396" s="229">
        <f>C387*G382*D387</f>
        <v>3.4000000000000004</v>
      </c>
      <c r="D396" s="229">
        <f>'Прайс лист'!G1315</f>
        <v>100</v>
      </c>
      <c r="E396" s="229">
        <f t="shared" si="5"/>
        <v>340.00000000000006</v>
      </c>
      <c r="F396" s="2228"/>
      <c r="G396" s="3130" t="s">
        <v>3930</v>
      </c>
      <c r="H396" s="3130"/>
      <c r="I396" s="99" t="s">
        <v>159</v>
      </c>
      <c r="J396" s="229">
        <f>C395*H382</f>
        <v>3.4000000000000004</v>
      </c>
      <c r="K396" s="229">
        <f>'Прайс лист'!G1709</f>
        <v>50</v>
      </c>
      <c r="L396" s="229">
        <f t="shared" si="6"/>
        <v>170.00000000000003</v>
      </c>
      <c r="M396" s="1195"/>
      <c r="N396" s="1195"/>
      <c r="O396" s="1195"/>
      <c r="P396" s="1195"/>
      <c r="Q396" s="1195"/>
      <c r="R396" s="1195"/>
    </row>
    <row r="397" spans="1:18" ht="16">
      <c r="A397" s="229" t="s">
        <v>1206</v>
      </c>
      <c r="B397" s="99" t="s">
        <v>159</v>
      </c>
      <c r="C397" s="229">
        <f>C395*D387*G382</f>
        <v>3.4000000000000004</v>
      </c>
      <c r="D397" s="229">
        <f>'Прайс лист'!G1316</f>
        <v>50</v>
      </c>
      <c r="E397" s="229">
        <f t="shared" si="5"/>
        <v>170.00000000000003</v>
      </c>
      <c r="F397" s="2228"/>
      <c r="G397" s="3130" t="s">
        <v>3931</v>
      </c>
      <c r="H397" s="3130"/>
      <c r="I397" s="99" t="s">
        <v>159</v>
      </c>
      <c r="J397" s="229">
        <f>C397*H382</f>
        <v>3.4000000000000004</v>
      </c>
      <c r="K397" s="229">
        <f>'Прайс лист'!G1710</f>
        <v>50</v>
      </c>
      <c r="L397" s="229">
        <f t="shared" si="6"/>
        <v>170.00000000000003</v>
      </c>
      <c r="M397" s="1195"/>
      <c r="N397" s="1195"/>
      <c r="O397" s="1195"/>
      <c r="P397" s="1195"/>
      <c r="Q397" s="1195"/>
      <c r="R397" s="1195"/>
    </row>
    <row r="398" spans="1:18" ht="16">
      <c r="A398" s="276" t="s">
        <v>1207</v>
      </c>
      <c r="B398" s="99" t="s">
        <v>159</v>
      </c>
      <c r="C398" s="229">
        <f>C389*D389*G382</f>
        <v>0</v>
      </c>
      <c r="D398" s="229">
        <f>'Прайс лист'!G1317</f>
        <v>130</v>
      </c>
      <c r="E398" s="229">
        <f t="shared" si="5"/>
        <v>0</v>
      </c>
      <c r="F398" s="2228"/>
      <c r="G398" s="3130" t="s">
        <v>1521</v>
      </c>
      <c r="H398" s="3130"/>
      <c r="I398" s="99" t="s">
        <v>159</v>
      </c>
      <c r="J398" s="229">
        <f>C398*H382</f>
        <v>0</v>
      </c>
      <c r="K398" s="229">
        <f>'Прайс лист'!G1711</f>
        <v>150</v>
      </c>
      <c r="L398" s="229">
        <f t="shared" si="6"/>
        <v>0</v>
      </c>
      <c r="M398" s="1195"/>
      <c r="N398" s="1195"/>
      <c r="O398" s="1195"/>
      <c r="P398" s="1195"/>
      <c r="Q398" s="1195"/>
      <c r="R398" s="1195"/>
    </row>
    <row r="399" spans="1:18" ht="16">
      <c r="A399" s="229" t="s">
        <v>1208</v>
      </c>
      <c r="B399" s="99" t="s">
        <v>159</v>
      </c>
      <c r="C399" s="229">
        <f>C388*D388*G382</f>
        <v>0</v>
      </c>
      <c r="D399" s="229">
        <f>'Прайс лист'!G1318</f>
        <v>150</v>
      </c>
      <c r="E399" s="229">
        <f t="shared" si="5"/>
        <v>0</v>
      </c>
      <c r="F399" s="2228"/>
      <c r="G399" s="3130" t="s">
        <v>3932</v>
      </c>
      <c r="H399" s="3130"/>
      <c r="I399" s="99" t="s">
        <v>159</v>
      </c>
      <c r="J399" s="229">
        <f>C399*H382</f>
        <v>0</v>
      </c>
      <c r="K399" s="229">
        <f>'Прайс лист'!G1712</f>
        <v>250</v>
      </c>
      <c r="L399" s="229">
        <f t="shared" si="6"/>
        <v>0</v>
      </c>
      <c r="M399" s="1195"/>
      <c r="N399" s="1195"/>
      <c r="O399" s="1195"/>
      <c r="P399" s="1195"/>
      <c r="Q399" s="1195"/>
      <c r="R399" s="1195"/>
    </row>
    <row r="400" spans="1:18" ht="16">
      <c r="A400" s="229" t="s">
        <v>1209</v>
      </c>
      <c r="B400" s="99" t="s">
        <v>159</v>
      </c>
      <c r="C400" s="229">
        <f>C388*D388*G382</f>
        <v>0</v>
      </c>
      <c r="D400" s="229">
        <f>'Прайс лист'!G1319</f>
        <v>80</v>
      </c>
      <c r="E400" s="229">
        <f t="shared" si="5"/>
        <v>0</v>
      </c>
      <c r="F400" s="2228"/>
      <c r="G400" s="3130" t="s">
        <v>3933</v>
      </c>
      <c r="H400" s="3130"/>
      <c r="I400" s="99" t="s">
        <v>159</v>
      </c>
      <c r="J400" s="229">
        <f>C400*H382</f>
        <v>0</v>
      </c>
      <c r="K400" s="229">
        <f>'Прайс лист'!G1713</f>
        <v>50</v>
      </c>
      <c r="L400" s="229">
        <f t="shared" si="6"/>
        <v>0</v>
      </c>
      <c r="M400" s="1195"/>
      <c r="N400" s="1195"/>
      <c r="O400" s="1195"/>
      <c r="P400" s="1195"/>
      <c r="Q400" s="1195"/>
      <c r="R400" s="1195"/>
    </row>
    <row r="401" spans="1:18" ht="16">
      <c r="A401" s="229" t="s">
        <v>1210</v>
      </c>
      <c r="B401" s="99" t="s">
        <v>159</v>
      </c>
      <c r="C401" s="229">
        <f>C399*D388*G382</f>
        <v>0</v>
      </c>
      <c r="D401" s="229">
        <f>'Прайс лист'!G1320</f>
        <v>60</v>
      </c>
      <c r="E401" s="229">
        <f t="shared" si="5"/>
        <v>0</v>
      </c>
      <c r="F401" s="2228"/>
      <c r="G401" s="3130" t="s">
        <v>3934</v>
      </c>
      <c r="H401" s="3130"/>
      <c r="I401" s="99" t="s">
        <v>159</v>
      </c>
      <c r="J401" s="229">
        <f>C401*H382</f>
        <v>0</v>
      </c>
      <c r="K401" s="229">
        <f>'Прайс лист'!G1714</f>
        <v>50</v>
      </c>
      <c r="L401" s="229">
        <f t="shared" si="6"/>
        <v>0</v>
      </c>
      <c r="M401" s="1195"/>
      <c r="N401" s="1195"/>
      <c r="O401" s="1195"/>
      <c r="P401" s="1195"/>
      <c r="Q401" s="1195"/>
      <c r="R401" s="1195"/>
    </row>
    <row r="402" spans="1:18" ht="16">
      <c r="A402" s="229" t="s">
        <v>1211</v>
      </c>
      <c r="B402" s="99" t="s">
        <v>156</v>
      </c>
      <c r="C402" s="229">
        <f>C399*G382</f>
        <v>0</v>
      </c>
      <c r="D402" s="229">
        <f>'Прайс лист'!G1321</f>
        <v>40</v>
      </c>
      <c r="E402" s="229">
        <f t="shared" si="5"/>
        <v>0</v>
      </c>
      <c r="F402" s="2228"/>
      <c r="G402" s="3130" t="s">
        <v>1525</v>
      </c>
      <c r="H402" s="3130"/>
      <c r="I402" s="99" t="s">
        <v>156</v>
      </c>
      <c r="J402" s="229">
        <f>C402*H382</f>
        <v>0</v>
      </c>
      <c r="K402" s="229">
        <f>'Прайс лист'!G1715</f>
        <v>50</v>
      </c>
      <c r="L402" s="229">
        <f t="shared" si="6"/>
        <v>0</v>
      </c>
      <c r="M402" s="1195"/>
      <c r="N402" s="1195"/>
      <c r="O402" s="1195"/>
      <c r="P402" s="1195"/>
      <c r="Q402" s="1195"/>
      <c r="R402" s="1195"/>
    </row>
    <row r="403" spans="1:18" ht="16">
      <c r="A403" s="229" t="s">
        <v>1212</v>
      </c>
      <c r="B403" s="99" t="s">
        <v>159</v>
      </c>
      <c r="C403" s="229">
        <f>C395*G382</f>
        <v>3.4000000000000004</v>
      </c>
      <c r="D403" s="229">
        <f>'Прайс лист'!G1322</f>
        <v>40</v>
      </c>
      <c r="E403" s="229">
        <f t="shared" si="5"/>
        <v>136</v>
      </c>
      <c r="F403" s="2228"/>
      <c r="G403" s="3130" t="s">
        <v>1526</v>
      </c>
      <c r="H403" s="3130"/>
      <c r="I403" s="99" t="s">
        <v>156</v>
      </c>
      <c r="J403" s="229">
        <f>C403*H382</f>
        <v>3.4000000000000004</v>
      </c>
      <c r="K403" s="229">
        <f>'Прайс лист'!G1716</f>
        <v>50</v>
      </c>
      <c r="L403" s="229">
        <f t="shared" si="6"/>
        <v>170.00000000000003</v>
      </c>
      <c r="M403" s="1195"/>
      <c r="N403" s="1195"/>
      <c r="O403" s="1195"/>
      <c r="P403" s="1195"/>
      <c r="Q403" s="1195"/>
      <c r="R403" s="1195"/>
    </row>
    <row r="404" spans="1:18" ht="16">
      <c r="A404" s="229" t="s">
        <v>1213</v>
      </c>
      <c r="B404" s="99" t="s">
        <v>159</v>
      </c>
      <c r="C404" s="229">
        <f>(D325+D326+D327+D328)*8*G382</f>
        <v>8</v>
      </c>
      <c r="D404" s="229">
        <f>'Прайс лист'!G1323</f>
        <v>15</v>
      </c>
      <c r="E404" s="229">
        <f t="shared" si="5"/>
        <v>120</v>
      </c>
      <c r="F404" s="2228"/>
      <c r="G404" s="3130" t="str">
        <f>A410</f>
        <v>Двери входные</v>
      </c>
      <c r="H404" s="3130"/>
      <c r="I404" s="99" t="s">
        <v>159</v>
      </c>
      <c r="J404" s="229">
        <f>C410*H382</f>
        <v>0</v>
      </c>
      <c r="K404" s="229">
        <f>'Прайс лист'!G1717</f>
        <v>2000</v>
      </c>
      <c r="L404" s="229">
        <f t="shared" si="6"/>
        <v>0</v>
      </c>
      <c r="M404" s="1195"/>
      <c r="N404" s="1195"/>
      <c r="O404" s="1195"/>
      <c r="P404" s="1195"/>
      <c r="Q404" s="1195"/>
      <c r="R404" s="1195"/>
    </row>
    <row r="405" spans="1:18" ht="16">
      <c r="A405" s="229" t="str">
        <f>'Прайс лист'!B903</f>
        <v>Пена монтажная, всесезонняя 800мл</v>
      </c>
      <c r="B405" s="99" t="s">
        <v>159</v>
      </c>
      <c r="C405" s="229">
        <f>('Ввод данных'!E68+'Ввод данных'!E69+'Ввод данных'!E70+'Ввод данных'!E71+'Ввод данных'!E72+'Ввод данных'!E77+'Ввод данных'!E78+'Ввод данных'!E79+'Ввод данных'!E80+'Ввод данных'!E81)*G382</f>
        <v>1</v>
      </c>
      <c r="D405" s="229">
        <f>'Прайс лист'!G903</f>
        <v>300</v>
      </c>
      <c r="E405" s="229">
        <f t="shared" si="5"/>
        <v>300</v>
      </c>
      <c r="F405" s="2228"/>
      <c r="G405" s="2258" t="s">
        <v>3935</v>
      </c>
      <c r="H405" s="2259"/>
      <c r="I405" s="99" t="s">
        <v>159</v>
      </c>
      <c r="J405" s="229">
        <f>(D329+D330)*D391*H382</f>
        <v>0</v>
      </c>
      <c r="K405" s="229">
        <f>'Прайс лист'!G1719</f>
        <v>4500</v>
      </c>
      <c r="L405" s="229">
        <f t="shared" si="6"/>
        <v>0</v>
      </c>
      <c r="M405" s="1195"/>
      <c r="N405" s="1195"/>
      <c r="O405" s="1195"/>
      <c r="P405" s="1195"/>
      <c r="Q405" s="1195"/>
      <c r="R405" s="1195"/>
    </row>
    <row r="406" spans="1:18" ht="16">
      <c r="A406" s="229" t="s">
        <v>1214</v>
      </c>
      <c r="B406" s="99" t="s">
        <v>133</v>
      </c>
      <c r="C406" s="229">
        <f>C391*D391*G382</f>
        <v>0</v>
      </c>
      <c r="D406" s="229">
        <f>'Прайс лист'!G1324</f>
        <v>6000</v>
      </c>
      <c r="E406" s="229">
        <f t="shared" si="5"/>
        <v>0</v>
      </c>
      <c r="F406" s="2228"/>
      <c r="M406" s="1195"/>
      <c r="N406" s="1195"/>
      <c r="O406" s="1195"/>
      <c r="P406" s="1195"/>
      <c r="Q406" s="1195"/>
      <c r="R406" s="1195"/>
    </row>
    <row r="407" spans="1:18" ht="16">
      <c r="A407" s="229" t="s">
        <v>1215</v>
      </c>
      <c r="B407" s="99" t="s">
        <v>159</v>
      </c>
      <c r="C407" s="229">
        <f>((B329*2+C329*2)*D329+(B330*2+C330*2)*D330)/0.4*D391*G382</f>
        <v>0</v>
      </c>
      <c r="D407" s="229">
        <f>'Прайс лист'!G1325</f>
        <v>20</v>
      </c>
      <c r="E407" s="229">
        <f t="shared" si="5"/>
        <v>0</v>
      </c>
      <c r="F407" s="2228"/>
      <c r="G407" s="2258"/>
      <c r="H407" s="2259"/>
      <c r="I407" s="99"/>
      <c r="J407" s="229"/>
      <c r="K407" s="229"/>
      <c r="L407" s="229"/>
      <c r="M407" s="1195"/>
      <c r="N407" s="1195"/>
      <c r="O407" s="1195"/>
      <c r="P407" s="1195"/>
      <c r="Q407" s="1195"/>
      <c r="R407" s="1195"/>
    </row>
    <row r="408" spans="1:18" ht="16">
      <c r="A408" s="229" t="str">
        <f>A405</f>
        <v>Пена монтажная, всесезонняя 800мл</v>
      </c>
      <c r="B408" s="99" t="s">
        <v>159</v>
      </c>
      <c r="C408" s="229">
        <f>(D329+D330)*D391*G382</f>
        <v>0</v>
      </c>
      <c r="D408" s="229">
        <f>D405</f>
        <v>300</v>
      </c>
      <c r="E408" s="229">
        <f t="shared" si="5"/>
        <v>0</v>
      </c>
      <c r="F408" s="2228"/>
      <c r="G408" s="2258"/>
      <c r="H408" s="2259"/>
      <c r="I408" s="99"/>
      <c r="J408" s="229"/>
      <c r="K408" s="229"/>
      <c r="L408" s="229"/>
      <c r="M408" s="1195"/>
      <c r="N408" s="1195"/>
      <c r="O408" s="1195"/>
      <c r="P408" s="1195"/>
      <c r="Q408" s="1195"/>
      <c r="R408" s="1195"/>
    </row>
    <row r="409" spans="1:18" ht="16">
      <c r="A409" s="229" t="s">
        <v>1216</v>
      </c>
      <c r="B409" s="99" t="s">
        <v>159</v>
      </c>
      <c r="C409" s="229">
        <f>C407*G382</f>
        <v>0</v>
      </c>
      <c r="D409" s="229">
        <f>'Прайс лист'!G1326</f>
        <v>25</v>
      </c>
      <c r="E409" s="229">
        <f t="shared" si="5"/>
        <v>0</v>
      </c>
      <c r="F409" s="2228"/>
      <c r="G409" s="2258"/>
      <c r="H409" s="2259"/>
      <c r="I409" s="99"/>
      <c r="J409" s="229"/>
      <c r="K409" s="229"/>
      <c r="L409" s="229"/>
      <c r="M409" s="1195"/>
      <c r="N409" s="1195"/>
      <c r="O409" s="1195"/>
      <c r="P409" s="1195"/>
      <c r="Q409" s="1195"/>
      <c r="R409" s="1195"/>
    </row>
    <row r="410" spans="1:18" ht="16">
      <c r="A410" s="229" t="s">
        <v>1217</v>
      </c>
      <c r="B410" s="99" t="s">
        <v>159</v>
      </c>
      <c r="C410" s="229">
        <f>C390*G382*D390*G382</f>
        <v>0</v>
      </c>
      <c r="D410" s="229">
        <f>'Прайс лист'!G1327</f>
        <v>12000</v>
      </c>
      <c r="E410" s="229">
        <f t="shared" si="5"/>
        <v>0</v>
      </c>
      <c r="F410" s="2228"/>
      <c r="G410" s="3199"/>
      <c r="H410" s="3199"/>
      <c r="I410" s="99"/>
      <c r="J410" s="229"/>
      <c r="K410" s="229"/>
      <c r="L410" s="229"/>
      <c r="M410" s="1195"/>
      <c r="N410" s="1195"/>
      <c r="O410" s="1195"/>
      <c r="P410" s="1195"/>
      <c r="Q410" s="1195"/>
      <c r="R410" s="1195"/>
    </row>
    <row r="411" spans="1:18" ht="16">
      <c r="A411" s="229" t="s">
        <v>3936</v>
      </c>
      <c r="B411" s="99" t="s">
        <v>159</v>
      </c>
      <c r="C411" s="229">
        <f>(C410)*6*G382</f>
        <v>0</v>
      </c>
      <c r="D411" s="229">
        <f>'Прайс лист'!G1331</f>
        <v>0</v>
      </c>
      <c r="E411" s="229">
        <f t="shared" si="5"/>
        <v>0</v>
      </c>
      <c r="F411" s="2228"/>
      <c r="G411" s="3199"/>
      <c r="H411" s="3199"/>
      <c r="I411" s="99"/>
      <c r="J411" s="229"/>
      <c r="K411" s="229"/>
      <c r="L411" s="229"/>
      <c r="M411" s="1195"/>
      <c r="N411" s="1195"/>
      <c r="O411" s="1195"/>
      <c r="P411" s="1195"/>
      <c r="Q411" s="1195"/>
      <c r="R411" s="1195"/>
    </row>
    <row r="412" spans="1:18" ht="16">
      <c r="A412" s="229" t="s">
        <v>850</v>
      </c>
      <c r="B412" s="99" t="s">
        <v>159</v>
      </c>
      <c r="C412" s="229">
        <f>C410*G382</f>
        <v>0</v>
      </c>
      <c r="D412" s="229">
        <f>'Прайс лист'!G1332</f>
        <v>0</v>
      </c>
      <c r="E412" s="229">
        <f t="shared" si="5"/>
        <v>0</v>
      </c>
      <c r="F412" s="2228"/>
      <c r="G412" s="3199"/>
      <c r="H412" s="3199"/>
      <c r="I412" s="99"/>
      <c r="J412" s="229"/>
      <c r="K412" s="229"/>
      <c r="L412" s="229"/>
      <c r="M412" s="1195"/>
      <c r="N412" s="1195"/>
      <c r="O412" s="1195"/>
      <c r="P412" s="1195"/>
      <c r="Q412" s="1195"/>
      <c r="R412" s="1195"/>
    </row>
    <row r="413" spans="1:18" ht="16">
      <c r="A413" s="229" t="str">
        <f>'Ввод данных'!H87</f>
        <v>Нет техники</v>
      </c>
      <c r="B413" s="229" t="str">
        <f>'Ввод данных'!W87</f>
        <v>час</v>
      </c>
      <c r="C413" s="229">
        <f>'Ввод данных'!Z87</f>
        <v>0</v>
      </c>
      <c r="D413" s="229">
        <f>VLOOKUP(A413,'Прайс лист'!B180:G194,6,0)</f>
        <v>0</v>
      </c>
      <c r="E413" s="229">
        <f t="shared" si="5"/>
        <v>0</v>
      </c>
      <c r="F413" s="2228"/>
      <c r="G413" s="2260"/>
      <c r="H413" s="2261"/>
      <c r="I413" s="99"/>
      <c r="J413" s="229"/>
      <c r="K413" s="229"/>
      <c r="L413" s="229"/>
      <c r="M413" s="1195"/>
      <c r="N413" s="1195"/>
      <c r="O413" s="1195"/>
      <c r="P413" s="1195"/>
      <c r="Q413" s="1195"/>
      <c r="R413" s="1195"/>
    </row>
    <row r="414" spans="1:18" ht="16">
      <c r="A414" s="229" t="str">
        <f>'Ввод данных'!H88</f>
        <v>Нет техники</v>
      </c>
      <c r="B414" s="229" t="str">
        <f>'Ввод данных'!W88</f>
        <v>шт</v>
      </c>
      <c r="C414" s="229">
        <f>'Ввод данных'!Z88</f>
        <v>3</v>
      </c>
      <c r="D414" s="229">
        <f>VLOOKUP(A414,'Прайс лист'!B180:G194,6,0)</f>
        <v>0</v>
      </c>
      <c r="E414" s="229">
        <f t="shared" si="5"/>
        <v>0</v>
      </c>
      <c r="F414" s="2228"/>
      <c r="G414" s="2260"/>
      <c r="H414" s="2261"/>
      <c r="I414" s="99"/>
      <c r="J414" s="229"/>
      <c r="K414" s="229"/>
      <c r="L414" s="229"/>
      <c r="M414" s="1195"/>
      <c r="N414" s="1195"/>
      <c r="O414" s="1195"/>
      <c r="P414" s="1195"/>
      <c r="Q414" s="1195"/>
      <c r="R414" s="1195"/>
    </row>
    <row r="415" spans="1:18" ht="16">
      <c r="A415" s="229" t="str">
        <f>'Ввод данных'!H90</f>
        <v>расходные материалы окна</v>
      </c>
      <c r="B415" s="229" t="str">
        <f>'Ввод данных'!W90</f>
        <v>рублей</v>
      </c>
      <c r="C415" s="229">
        <f>1</f>
        <v>1</v>
      </c>
      <c r="D415" s="229">
        <f>'Ввод данных'!Z90</f>
        <v>5000</v>
      </c>
      <c r="E415" s="229">
        <f t="shared" si="5"/>
        <v>5000</v>
      </c>
      <c r="F415" s="2228"/>
      <c r="G415" s="2260"/>
      <c r="H415" s="2261"/>
      <c r="I415" s="99"/>
      <c r="J415" s="229"/>
      <c r="K415" s="229"/>
      <c r="L415" s="229"/>
      <c r="M415" s="1195"/>
      <c r="N415" s="1195"/>
      <c r="O415" s="1195"/>
      <c r="P415" s="1195"/>
      <c r="Q415" s="1195"/>
      <c r="R415" s="1195"/>
    </row>
    <row r="416" spans="1:18" ht="16">
      <c r="A416" s="1194"/>
      <c r="B416" s="1194"/>
      <c r="C416" s="1194"/>
      <c r="D416" s="1194"/>
      <c r="E416" s="1165">
        <f>SUM(E393:E415)</f>
        <v>10636</v>
      </c>
      <c r="F416" s="1194"/>
      <c r="G416" s="2234"/>
      <c r="H416" s="2228"/>
      <c r="I416" s="1194"/>
      <c r="J416" s="1194"/>
      <c r="K416" s="1194"/>
      <c r="L416" s="229">
        <f>SUM(L393:L415)</f>
        <v>2420</v>
      </c>
      <c r="M416" s="1195"/>
      <c r="N416" s="1195"/>
      <c r="O416" s="1195"/>
      <c r="P416" s="1195"/>
      <c r="Q416" s="1195"/>
      <c r="R416" s="1195"/>
    </row>
    <row r="417" spans="1:18" ht="16">
      <c r="A417" s="98" t="s">
        <v>3660</v>
      </c>
      <c r="B417" s="2262">
        <f>E416</f>
        <v>10636</v>
      </c>
      <c r="C417" s="1194"/>
      <c r="D417" s="1194"/>
      <c r="E417" s="1194"/>
      <c r="F417" s="1194"/>
      <c r="G417" s="1194"/>
      <c r="H417" s="1194"/>
      <c r="I417" s="1194"/>
      <c r="J417" s="1194"/>
      <c r="K417" s="1194"/>
      <c r="L417" s="1194"/>
      <c r="M417" s="1195"/>
      <c r="N417" s="1195"/>
      <c r="O417" s="1195"/>
      <c r="P417" s="1195"/>
      <c r="Q417" s="1195"/>
      <c r="R417" s="1195"/>
    </row>
    <row r="418" spans="1:18" ht="16">
      <c r="A418" s="98" t="s">
        <v>3661</v>
      </c>
      <c r="B418" s="2262">
        <f>L416</f>
        <v>2420</v>
      </c>
      <c r="C418" s="1194"/>
      <c r="D418" s="1194"/>
      <c r="E418" s="1194"/>
      <c r="F418" s="1194"/>
      <c r="G418" s="1194"/>
      <c r="H418" s="1194"/>
      <c r="I418" s="1194"/>
      <c r="J418" s="1194"/>
      <c r="K418" s="1194"/>
      <c r="L418" s="1194"/>
      <c r="M418" s="1195"/>
      <c r="N418" s="1195"/>
      <c r="O418" s="1195"/>
      <c r="P418" s="1195"/>
      <c r="Q418" s="1195"/>
      <c r="R418" s="1195"/>
    </row>
    <row r="419" spans="1:18" ht="16">
      <c r="A419" s="229" t="s">
        <v>2728</v>
      </c>
      <c r="B419" s="2262">
        <f>(B417+B418)</f>
        <v>13056</v>
      </c>
      <c r="C419" s="1194"/>
      <c r="D419" s="1194"/>
      <c r="E419" s="1194"/>
      <c r="F419" s="1194"/>
      <c r="G419" s="1194"/>
      <c r="H419" s="1194"/>
      <c r="I419" s="1194"/>
      <c r="J419" s="1194"/>
      <c r="K419" s="1194"/>
      <c r="L419" s="1194"/>
      <c r="M419" s="1195"/>
      <c r="N419" s="1195"/>
      <c r="O419" s="1195"/>
      <c r="P419" s="1195"/>
      <c r="Q419" s="1195"/>
      <c r="R419" s="1195"/>
    </row>
    <row r="420" spans="1:18" ht="16">
      <c r="A420" s="2249" t="s">
        <v>3937</v>
      </c>
      <c r="B420" s="2250"/>
      <c r="C420" s="3196" t="s">
        <v>3663</v>
      </c>
      <c r="D420" s="3196"/>
      <c r="E420" s="3196"/>
      <c r="F420" s="3196"/>
      <c r="G420" s="2257"/>
      <c r="H420" s="1195"/>
      <c r="I420" s="1195"/>
      <c r="J420" s="1195"/>
      <c r="K420" s="1195"/>
      <c r="L420" s="1195"/>
      <c r="M420" s="1195"/>
      <c r="N420" s="1195"/>
      <c r="O420" s="1195"/>
      <c r="P420" s="1195"/>
      <c r="Q420" s="1195"/>
      <c r="R420" s="1195"/>
    </row>
    <row r="421" spans="1:18" ht="16">
      <c r="A421" s="2263"/>
      <c r="B421" s="1195"/>
      <c r="C421" s="2257"/>
      <c r="D421" s="2257"/>
      <c r="E421" s="1195"/>
      <c r="F421" s="2257"/>
      <c r="G421" s="2257"/>
      <c r="H421" s="1195"/>
      <c r="I421" s="1195"/>
      <c r="J421" s="1195"/>
      <c r="K421" s="1195"/>
      <c r="L421" s="1195"/>
      <c r="M421" s="1195"/>
      <c r="N421" s="1195"/>
      <c r="O421" s="1195"/>
      <c r="P421" s="1195"/>
      <c r="Q421" s="1195"/>
      <c r="R421" s="1195"/>
    </row>
    <row r="422" spans="1:18" ht="24">
      <c r="A422" s="3200" t="s">
        <v>3938</v>
      </c>
      <c r="B422" s="3200"/>
      <c r="C422" s="3200"/>
      <c r="D422" s="3200"/>
      <c r="E422" s="3200"/>
      <c r="F422" s="3200"/>
      <c r="G422" s="3200"/>
      <c r="H422" s="3200"/>
      <c r="I422" s="3200"/>
      <c r="J422" s="813"/>
      <c r="K422" s="813"/>
      <c r="L422" s="1195"/>
      <c r="M422" s="1195"/>
      <c r="N422" s="1195"/>
      <c r="O422" s="1195"/>
      <c r="P422" s="1195"/>
      <c r="Q422" s="1195"/>
      <c r="R422" s="1195"/>
    </row>
    <row r="423" spans="1:18" ht="24">
      <c r="A423" s="3200"/>
      <c r="B423" s="3200"/>
      <c r="C423" s="3200"/>
      <c r="D423" s="3200"/>
      <c r="E423" s="3200"/>
      <c r="F423" s="3200"/>
      <c r="G423" s="3200"/>
      <c r="H423" s="3200"/>
      <c r="I423" s="3200"/>
      <c r="J423" s="813"/>
      <c r="K423" s="813"/>
      <c r="L423" s="1195"/>
      <c r="M423" s="1195"/>
      <c r="N423" s="1195"/>
      <c r="O423" s="1195"/>
      <c r="P423" s="1195"/>
      <c r="Q423" s="1195"/>
      <c r="R423" s="1195"/>
    </row>
    <row r="424" spans="1:18" ht="16">
      <c r="A424" s="2265" t="s">
        <v>2439</v>
      </c>
      <c r="B424" s="260" t="s">
        <v>159</v>
      </c>
      <c r="C424" s="260">
        <f>'Ввод данных'!C1156</f>
        <v>18</v>
      </c>
      <c r="D424" s="684"/>
      <c r="E424" s="684"/>
      <c r="F424" s="684"/>
      <c r="G424" s="684"/>
      <c r="H424" s="684"/>
      <c r="I424" s="684"/>
      <c r="J424" s="684"/>
      <c r="K424" s="684"/>
      <c r="L424" s="1194"/>
      <c r="M424" s="1194"/>
      <c r="N424" s="1194"/>
      <c r="O424" s="1194"/>
      <c r="P424" s="1194"/>
      <c r="Q424" s="1194"/>
      <c r="R424" s="1194"/>
    </row>
    <row r="425" spans="1:18" ht="16">
      <c r="A425" s="2266" t="s">
        <v>1236</v>
      </c>
      <c r="B425" s="2266" t="s">
        <v>1094</v>
      </c>
      <c r="C425" s="2266" t="s">
        <v>1802</v>
      </c>
      <c r="D425" s="2266" t="s">
        <v>854</v>
      </c>
      <c r="E425" s="2266" t="s">
        <v>2722</v>
      </c>
      <c r="F425" s="1194"/>
      <c r="G425" s="2266" t="s">
        <v>1236</v>
      </c>
      <c r="H425" s="2266" t="s">
        <v>1094</v>
      </c>
      <c r="I425" s="2266" t="s">
        <v>1802</v>
      </c>
      <c r="J425" s="2266" t="s">
        <v>854</v>
      </c>
      <c r="K425" s="2266" t="s">
        <v>2722</v>
      </c>
      <c r="L425" s="1195"/>
      <c r="M425" s="1195"/>
      <c r="N425" s="1195"/>
      <c r="O425" s="1195"/>
      <c r="P425" s="1195"/>
      <c r="Q425" s="1195"/>
      <c r="R425" s="1195"/>
    </row>
    <row r="426" spans="1:18" ht="16">
      <c r="A426" s="229" t="s">
        <v>1237</v>
      </c>
      <c r="B426" s="229" t="s">
        <v>159</v>
      </c>
      <c r="C426" s="2267">
        <f>C424</f>
        <v>18</v>
      </c>
      <c r="D426" s="2267">
        <f>'Прайс лист'!G1361</f>
        <v>400</v>
      </c>
      <c r="E426" s="2267">
        <f>C426*D426</f>
        <v>7200</v>
      </c>
      <c r="F426" s="1196"/>
      <c r="G426" s="2267" t="str">
        <f>'Прайс лист'!B1835</f>
        <v>Монтаж лестницы в доме</v>
      </c>
      <c r="H426" s="2267" t="s">
        <v>159</v>
      </c>
      <c r="I426" s="2267">
        <v>1</v>
      </c>
      <c r="J426" s="2267">
        <f>'Прайс лист'!G1835</f>
        <v>20000</v>
      </c>
      <c r="K426" s="2267">
        <f>I426*J426</f>
        <v>20000</v>
      </c>
      <c r="L426" s="1195"/>
      <c r="M426" s="1195"/>
      <c r="N426" s="1195"/>
      <c r="O426" s="1195"/>
      <c r="P426" s="1195"/>
      <c r="Q426" s="1195"/>
      <c r="R426" s="1195"/>
    </row>
    <row r="427" spans="1:18" ht="16">
      <c r="A427" s="229" t="s">
        <v>1238</v>
      </c>
      <c r="B427" s="229" t="s">
        <v>159</v>
      </c>
      <c r="C427" s="2267">
        <v>1</v>
      </c>
      <c r="D427" s="2267">
        <f>'Прайс лист'!G1362</f>
        <v>2000</v>
      </c>
      <c r="E427" s="2267">
        <f>SUM(E426)</f>
        <v>7200</v>
      </c>
      <c r="F427" s="1196"/>
      <c r="G427" s="2267"/>
      <c r="H427" s="2267"/>
      <c r="I427" s="2267"/>
      <c r="J427" s="2267"/>
      <c r="K427" s="2267"/>
      <c r="L427" s="1195"/>
      <c r="M427" s="1195"/>
      <c r="N427" s="1195"/>
      <c r="O427" s="1195"/>
      <c r="P427" s="1195"/>
      <c r="Q427" s="1195"/>
      <c r="R427" s="1195"/>
    </row>
    <row r="428" spans="1:18" ht="16">
      <c r="A428" s="229" t="s">
        <v>1239</v>
      </c>
      <c r="B428" s="229" t="s">
        <v>159</v>
      </c>
      <c r="C428" s="2267">
        <v>4</v>
      </c>
      <c r="D428" s="2267">
        <f>'Прайс лист'!G1363</f>
        <v>1000</v>
      </c>
      <c r="E428" s="2267">
        <f t="shared" ref="E428:E438" si="7">C428*D428</f>
        <v>4000</v>
      </c>
      <c r="F428" s="1196"/>
      <c r="G428" s="2267"/>
      <c r="H428" s="2267"/>
      <c r="I428" s="2267"/>
      <c r="J428" s="2267"/>
      <c r="K428" s="2267"/>
      <c r="L428" s="1195"/>
      <c r="M428" s="1195"/>
      <c r="N428" s="1195"/>
      <c r="O428" s="1195"/>
      <c r="P428" s="1195"/>
      <c r="Q428" s="1195"/>
      <c r="R428" s="1195"/>
    </row>
    <row r="429" spans="1:18" ht="16">
      <c r="A429" s="229" t="s">
        <v>1240</v>
      </c>
      <c r="B429" s="229" t="s">
        <v>159</v>
      </c>
      <c r="C429" s="2267">
        <v>1</v>
      </c>
      <c r="D429" s="2267">
        <f>'Прайс лист'!G1364</f>
        <v>900</v>
      </c>
      <c r="E429" s="2267">
        <f t="shared" si="7"/>
        <v>900</v>
      </c>
      <c r="F429" s="1196"/>
      <c r="G429" s="2267" t="s">
        <v>3939</v>
      </c>
      <c r="H429" s="2267"/>
      <c r="I429" s="2267"/>
      <c r="J429" s="2267"/>
      <c r="K429" s="2267"/>
      <c r="L429" s="1195"/>
      <c r="M429" s="1195"/>
      <c r="N429" s="1195"/>
      <c r="O429" s="1195"/>
      <c r="P429" s="1195"/>
      <c r="Q429" s="1195"/>
      <c r="R429" s="1195"/>
    </row>
    <row r="430" spans="1:18" ht="16">
      <c r="A430" s="229" t="s">
        <v>1241</v>
      </c>
      <c r="B430" s="229" t="s">
        <v>159</v>
      </c>
      <c r="C430" s="2267">
        <v>2</v>
      </c>
      <c r="D430" s="2267">
        <f>'Прайс лист'!G1365</f>
        <v>500</v>
      </c>
      <c r="E430" s="2267">
        <f t="shared" si="7"/>
        <v>1000</v>
      </c>
      <c r="F430" s="1196"/>
      <c r="G430" s="2267"/>
      <c r="H430" s="2267"/>
      <c r="I430" s="2267"/>
      <c r="J430" s="2267"/>
      <c r="K430" s="2267"/>
      <c r="L430" s="1195"/>
      <c r="M430" s="1195"/>
      <c r="N430" s="1195"/>
      <c r="O430" s="1195"/>
      <c r="P430" s="1195"/>
      <c r="Q430" s="1195"/>
      <c r="R430" s="1195"/>
    </row>
    <row r="431" spans="1:18" ht="16">
      <c r="A431" s="229" t="s">
        <v>1242</v>
      </c>
      <c r="B431" s="229" t="s">
        <v>159</v>
      </c>
      <c r="C431" s="2267">
        <v>4</v>
      </c>
      <c r="D431" s="2267">
        <f>'Прайс лист'!G1366</f>
        <v>1500</v>
      </c>
      <c r="E431" s="2267">
        <f t="shared" si="7"/>
        <v>6000</v>
      </c>
      <c r="F431" s="1196"/>
      <c r="G431" s="2267"/>
      <c r="H431" s="2267"/>
      <c r="I431" s="2267"/>
      <c r="J431" s="2267"/>
      <c r="K431" s="2267"/>
      <c r="L431" s="1195"/>
      <c r="M431" s="1195"/>
      <c r="N431" s="1195"/>
      <c r="O431" s="1195"/>
      <c r="P431" s="1195"/>
      <c r="Q431" s="1195"/>
      <c r="R431" s="1195"/>
    </row>
    <row r="432" spans="1:18" ht="16">
      <c r="A432" s="229" t="s">
        <v>1243</v>
      </c>
      <c r="B432" s="229" t="s">
        <v>159</v>
      </c>
      <c r="C432" s="2267">
        <f>C426*6</f>
        <v>108</v>
      </c>
      <c r="D432" s="2267">
        <f>'Прайс лист'!G1367</f>
        <v>15</v>
      </c>
      <c r="E432" s="2267">
        <f t="shared" si="7"/>
        <v>1620</v>
      </c>
      <c r="F432" s="1196"/>
      <c r="G432" s="2267"/>
      <c r="H432" s="2267"/>
      <c r="I432" s="2267"/>
      <c r="J432" s="2267"/>
      <c r="K432" s="2267"/>
      <c r="L432" s="1195"/>
      <c r="M432" s="1195"/>
      <c r="N432" s="1195"/>
      <c r="O432" s="1195"/>
      <c r="P432" s="1195"/>
      <c r="Q432" s="1195"/>
      <c r="R432" s="1195"/>
    </row>
    <row r="433" spans="1:18" ht="16">
      <c r="A433" s="229" t="s">
        <v>1244</v>
      </c>
      <c r="B433" s="229" t="s">
        <v>159</v>
      </c>
      <c r="C433" s="2267">
        <v>8</v>
      </c>
      <c r="D433" s="2267">
        <f>'Прайс лист'!G1368</f>
        <v>20</v>
      </c>
      <c r="E433" s="2267">
        <f t="shared" si="7"/>
        <v>160</v>
      </c>
      <c r="F433" s="1196"/>
      <c r="G433" s="2267"/>
      <c r="H433" s="2267"/>
      <c r="I433" s="2267"/>
      <c r="J433" s="2267"/>
      <c r="K433" s="2267"/>
      <c r="L433" s="1195"/>
      <c r="M433" s="1195"/>
      <c r="N433" s="1195"/>
      <c r="O433" s="1195"/>
      <c r="P433" s="1195"/>
      <c r="Q433" s="1195"/>
      <c r="R433" s="1195"/>
    </row>
    <row r="434" spans="1:18" ht="16">
      <c r="A434" s="229" t="s">
        <v>1245</v>
      </c>
      <c r="B434" s="229" t="s">
        <v>159</v>
      </c>
      <c r="C434" s="2267">
        <v>4</v>
      </c>
      <c r="D434" s="2267">
        <f>'Прайс лист'!G1369</f>
        <v>200</v>
      </c>
      <c r="E434" s="2267">
        <f t="shared" si="7"/>
        <v>800</v>
      </c>
      <c r="F434" s="1196"/>
      <c r="G434" s="2267"/>
      <c r="H434" s="2267"/>
      <c r="I434" s="2267"/>
      <c r="J434" s="2267"/>
      <c r="K434" s="2267"/>
      <c r="L434" s="1195"/>
      <c r="M434" s="1195"/>
      <c r="N434" s="1195"/>
      <c r="O434" s="1195"/>
      <c r="P434" s="1195"/>
      <c r="Q434" s="1195"/>
      <c r="R434" s="1195"/>
    </row>
    <row r="435" spans="1:18" ht="16">
      <c r="A435" s="229" t="s">
        <v>1246</v>
      </c>
      <c r="B435" s="229" t="s">
        <v>159</v>
      </c>
      <c r="C435" s="2267">
        <f>25</f>
        <v>25</v>
      </c>
      <c r="D435" s="2267">
        <f>'Прайс лист'!G1370</f>
        <v>100</v>
      </c>
      <c r="E435" s="2267">
        <f t="shared" si="7"/>
        <v>2500</v>
      </c>
      <c r="F435" s="1196"/>
      <c r="G435" s="2267"/>
      <c r="H435" s="2267"/>
      <c r="I435" s="2267"/>
      <c r="J435" s="2267"/>
      <c r="K435" s="2267"/>
      <c r="L435" s="1195"/>
      <c r="M435" s="1195"/>
      <c r="N435" s="1195"/>
      <c r="O435" s="1195"/>
      <c r="P435" s="1195"/>
      <c r="Q435" s="1195"/>
      <c r="R435" s="1195"/>
    </row>
    <row r="436" spans="1:18" ht="16">
      <c r="A436" s="229" t="str">
        <f>'Ввод данных'!A1158</f>
        <v>Нет техники</v>
      </c>
      <c r="B436" s="229" t="str">
        <f>'Ввод данных'!B1158</f>
        <v>час</v>
      </c>
      <c r="C436" s="229">
        <f>'Ввод данных'!C1158</f>
        <v>0</v>
      </c>
      <c r="D436" s="2267">
        <f>VLOOKUP(A436,'Прайс лист'!B180:G194,6,0)</f>
        <v>0</v>
      </c>
      <c r="E436" s="2267">
        <f t="shared" si="7"/>
        <v>0</v>
      </c>
      <c r="F436" s="1196"/>
      <c r="G436" s="2267"/>
      <c r="H436" s="2267"/>
      <c r="I436" s="2267"/>
      <c r="J436" s="2267"/>
      <c r="K436" s="2267"/>
      <c r="L436" s="1195"/>
      <c r="M436" s="1195"/>
      <c r="N436" s="1195"/>
      <c r="O436" s="1195"/>
      <c r="P436" s="1195"/>
      <c r="Q436" s="1195"/>
      <c r="R436" s="1195"/>
    </row>
    <row r="437" spans="1:18" ht="16">
      <c r="A437" s="229" t="str">
        <f>'Ввод данных'!A1159</f>
        <v>Нет техники</v>
      </c>
      <c r="B437" s="229" t="str">
        <f>'Ввод данных'!B1159</f>
        <v>шт</v>
      </c>
      <c r="C437" s="229">
        <f>'Ввод данных'!C1159</f>
        <v>3</v>
      </c>
      <c r="D437" s="2267">
        <f>VLOOKUP(A437,'Прайс лист'!B180:G194,6,0)</f>
        <v>0</v>
      </c>
      <c r="E437" s="2267">
        <f t="shared" si="7"/>
        <v>0</v>
      </c>
      <c r="F437" s="1196"/>
      <c r="G437" s="2267"/>
      <c r="H437" s="2267"/>
      <c r="I437" s="2267"/>
      <c r="J437" s="2267"/>
      <c r="K437" s="2267"/>
      <c r="L437" s="1195"/>
      <c r="M437" s="1195"/>
      <c r="N437" s="1195"/>
      <c r="O437" s="1195"/>
      <c r="P437" s="1195"/>
      <c r="Q437" s="1195"/>
      <c r="R437" s="1195"/>
    </row>
    <row r="438" spans="1:18" ht="16">
      <c r="A438" s="229" t="str">
        <f>'Ввод данных'!A1161</f>
        <v>расходные материалы лестница</v>
      </c>
      <c r="B438" s="229" t="str">
        <f>'Ввод данных'!B1161</f>
        <v>рублей</v>
      </c>
      <c r="C438" s="229">
        <f>1</f>
        <v>1</v>
      </c>
      <c r="D438" s="2267">
        <f>'Ввод данных'!C1161</f>
        <v>5000</v>
      </c>
      <c r="E438" s="2267">
        <f t="shared" si="7"/>
        <v>5000</v>
      </c>
      <c r="F438" s="1196"/>
      <c r="G438" s="2268"/>
      <c r="H438" s="2268"/>
      <c r="I438" s="2268"/>
      <c r="J438" s="2268"/>
      <c r="K438" s="2267"/>
      <c r="L438" s="1195"/>
      <c r="M438" s="1195"/>
      <c r="N438" s="1195"/>
      <c r="O438" s="1195"/>
      <c r="P438" s="1195"/>
      <c r="Q438" s="1195"/>
      <c r="R438" s="1195"/>
    </row>
    <row r="439" spans="1:18" ht="16">
      <c r="A439" s="2228"/>
      <c r="B439" s="2228"/>
      <c r="C439" s="2268"/>
      <c r="D439" s="2268"/>
      <c r="E439" s="2269">
        <f>SUM(E428:E437)</f>
        <v>16980</v>
      </c>
      <c r="F439" s="1196"/>
      <c r="G439" s="2268"/>
      <c r="H439" s="2268"/>
      <c r="I439" s="2268"/>
      <c r="J439" s="2268"/>
      <c r="K439" s="2267">
        <f>SUM(K426:K437)</f>
        <v>20000</v>
      </c>
      <c r="L439" s="1195"/>
      <c r="M439" s="1195"/>
      <c r="N439" s="1195"/>
      <c r="O439" s="1195"/>
      <c r="P439" s="1195"/>
      <c r="Q439" s="1195"/>
      <c r="R439" s="1195"/>
    </row>
    <row r="440" spans="1:18" ht="16">
      <c r="A440" s="229" t="s">
        <v>3940</v>
      </c>
      <c r="B440" s="2262">
        <f>E439</f>
        <v>16980</v>
      </c>
      <c r="C440" s="1194"/>
      <c r="D440" s="1194"/>
      <c r="E440" s="1194"/>
      <c r="F440" s="1194"/>
      <c r="G440" s="1194"/>
      <c r="H440" s="1194"/>
      <c r="I440" s="1194"/>
      <c r="J440" s="1194"/>
      <c r="K440" s="1194"/>
      <c r="L440" s="1195"/>
      <c r="M440" s="1195"/>
      <c r="N440" s="1195"/>
      <c r="O440" s="1195"/>
      <c r="P440" s="1195"/>
      <c r="Q440" s="1195"/>
      <c r="R440" s="1195"/>
    </row>
    <row r="441" spans="1:18" ht="16">
      <c r="A441" s="229" t="s">
        <v>3941</v>
      </c>
      <c r="B441" s="2262">
        <f>K439</f>
        <v>20000</v>
      </c>
      <c r="C441" s="1194"/>
      <c r="D441" s="1194"/>
      <c r="E441" s="1194"/>
      <c r="F441" s="1194"/>
      <c r="G441" s="1194"/>
      <c r="H441" s="1194"/>
      <c r="I441" s="1194"/>
      <c r="J441" s="1194"/>
      <c r="K441" s="1194"/>
      <c r="L441" s="1195"/>
      <c r="M441" s="1195"/>
      <c r="N441" s="1195"/>
      <c r="O441" s="1195"/>
      <c r="P441" s="1195"/>
      <c r="Q441" s="1195"/>
      <c r="R441" s="1195"/>
    </row>
    <row r="442" spans="1:18" ht="16">
      <c r="A442" s="229" t="s">
        <v>2728</v>
      </c>
      <c r="B442" s="2262">
        <f>(B440+B441)*B443</f>
        <v>0</v>
      </c>
      <c r="C442" s="1194"/>
      <c r="D442" s="1194"/>
      <c r="E442" s="1194"/>
      <c r="F442" s="1194"/>
      <c r="G442" s="1194"/>
      <c r="H442" s="1194"/>
      <c r="I442" s="1194"/>
      <c r="J442" s="1194"/>
      <c r="K442" s="1194"/>
      <c r="L442" s="1195"/>
      <c r="M442" s="1195"/>
      <c r="N442" s="1195"/>
      <c r="O442" s="1195"/>
      <c r="P442" s="1195"/>
      <c r="Q442" s="1195"/>
      <c r="R442" s="1195"/>
    </row>
    <row r="443" spans="1:18" ht="16">
      <c r="A443" s="2270" t="s">
        <v>3942</v>
      </c>
      <c r="B443" s="2250"/>
      <c r="C443" s="3196" t="s">
        <v>3663</v>
      </c>
      <c r="D443" s="3196"/>
      <c r="E443" s="3196"/>
      <c r="F443" s="3196"/>
      <c r="G443" s="2257"/>
      <c r="H443" s="1195"/>
      <c r="I443" s="1195"/>
      <c r="J443" s="1195"/>
      <c r="K443" s="1195"/>
      <c r="L443" s="1195"/>
      <c r="M443" s="1195"/>
      <c r="N443" s="1195"/>
      <c r="O443" s="1195"/>
      <c r="P443" s="1195"/>
      <c r="Q443" s="1195"/>
      <c r="R443" s="1195"/>
    </row>
    <row r="444" spans="1:18" ht="16">
      <c r="A444" s="2263"/>
      <c r="B444" s="1195"/>
      <c r="C444" s="2257"/>
      <c r="D444" s="2257"/>
      <c r="E444" s="1195"/>
      <c r="F444" s="2257"/>
      <c r="G444" s="2257"/>
      <c r="H444" s="1195"/>
      <c r="I444" s="1195"/>
      <c r="J444" s="1195"/>
      <c r="K444" s="1195"/>
      <c r="L444" s="1195"/>
      <c r="M444" s="1195"/>
      <c r="N444" s="1195"/>
      <c r="O444" s="1195"/>
      <c r="P444" s="1195"/>
      <c r="Q444" s="1195"/>
      <c r="R444" s="1195"/>
    </row>
    <row r="445" spans="1:18" ht="16">
      <c r="A445" s="3201" t="s">
        <v>1247</v>
      </c>
      <c r="B445" s="3201"/>
      <c r="C445" s="3201"/>
      <c r="D445" s="3201"/>
      <c r="E445" s="3201"/>
      <c r="F445" s="3201"/>
      <c r="G445" s="3201"/>
      <c r="H445" s="3201"/>
      <c r="I445" s="3201"/>
      <c r="J445" s="1195"/>
      <c r="K445" s="1195"/>
      <c r="L445" s="1195"/>
      <c r="M445" s="1195"/>
      <c r="N445" s="1195"/>
      <c r="O445" s="1195"/>
      <c r="P445" s="1195"/>
      <c r="Q445" s="1195"/>
      <c r="R445" s="1195"/>
    </row>
    <row r="446" spans="1:18" ht="16">
      <c r="A446" s="3201"/>
      <c r="B446" s="3201"/>
      <c r="C446" s="3201"/>
      <c r="D446" s="3201"/>
      <c r="E446" s="3201"/>
      <c r="F446" s="3201"/>
      <c r="G446" s="3201"/>
      <c r="H446" s="3201"/>
      <c r="I446" s="3201"/>
      <c r="J446" s="1195"/>
      <c r="K446" s="1195"/>
      <c r="L446" s="1195"/>
      <c r="M446" s="1195"/>
      <c r="N446" s="1195"/>
      <c r="O446" s="1195"/>
      <c r="P446" s="1195"/>
      <c r="Q446" s="1195"/>
      <c r="R446" s="1195"/>
    </row>
    <row r="447" spans="1:18" ht="24">
      <c r="A447" s="3198" t="s">
        <v>1806</v>
      </c>
      <c r="B447" s="3198"/>
      <c r="C447" s="3198"/>
      <c r="D447" s="3198"/>
      <c r="E447" s="3198"/>
      <c r="F447" s="3198"/>
      <c r="G447" s="2271">
        <f>'Ввод данных'!D1167</f>
        <v>1</v>
      </c>
      <c r="H447" s="888">
        <f>'Ввод данных'!D1168</f>
        <v>1</v>
      </c>
      <c r="I447" s="1194"/>
      <c r="J447" s="1194"/>
      <c r="K447" s="1194"/>
      <c r="L447" s="1194"/>
      <c r="M447" s="1194"/>
      <c r="N447" s="1194"/>
      <c r="O447" s="1194"/>
      <c r="P447" s="1194"/>
      <c r="Q447" s="1194"/>
      <c r="R447" s="1194"/>
    </row>
    <row r="448" spans="1:18" ht="24">
      <c r="A448" s="3198"/>
      <c r="B448" s="3198"/>
      <c r="C448" s="3198"/>
      <c r="D448" s="3198"/>
      <c r="E448" s="3198"/>
      <c r="F448" s="3198"/>
      <c r="G448" s="2253"/>
      <c r="H448" s="888"/>
      <c r="I448" s="1194"/>
      <c r="J448" s="1194"/>
      <c r="K448" s="1194"/>
      <c r="L448" s="1194"/>
      <c r="M448" s="1194"/>
      <c r="N448" s="1194"/>
      <c r="O448" s="1194"/>
      <c r="P448" s="1194"/>
      <c r="Q448" s="1194"/>
      <c r="R448" s="1194"/>
    </row>
    <row r="449" spans="1:18" ht="24">
      <c r="A449" s="261" t="s">
        <v>2467</v>
      </c>
      <c r="B449" s="261" t="s">
        <v>208</v>
      </c>
      <c r="C449" s="261" t="s">
        <v>1802</v>
      </c>
      <c r="D449" s="261" t="s">
        <v>1820</v>
      </c>
      <c r="E449" s="888"/>
      <c r="F449" s="888"/>
      <c r="G449" s="888"/>
      <c r="H449" s="888"/>
      <c r="I449" s="1194"/>
      <c r="J449" s="1194"/>
      <c r="K449" s="1194"/>
      <c r="L449" s="1194"/>
      <c r="M449" s="1194"/>
      <c r="N449" s="1194"/>
      <c r="O449" s="1194"/>
      <c r="P449" s="1194"/>
      <c r="Q449" s="1194"/>
      <c r="R449" s="1194"/>
    </row>
    <row r="450" spans="1:18" ht="24">
      <c r="A450" s="2226" t="s">
        <v>3943</v>
      </c>
      <c r="B450" s="2226" t="s">
        <v>156</v>
      </c>
      <c r="C450" s="2226">
        <f>C497*2.05</f>
        <v>243.53999999999996</v>
      </c>
      <c r="D450" s="2221"/>
      <c r="E450" s="888"/>
      <c r="F450" s="888"/>
      <c r="G450" s="888"/>
      <c r="H450" s="888"/>
      <c r="I450" s="1194"/>
      <c r="J450" s="1194"/>
      <c r="K450" s="1194"/>
      <c r="L450" s="1194"/>
      <c r="M450" s="1194"/>
      <c r="N450" s="1194"/>
      <c r="O450" s="1194"/>
      <c r="P450" s="1194"/>
      <c r="Q450" s="1194"/>
      <c r="R450" s="1194"/>
    </row>
    <row r="451" spans="1:18" ht="24">
      <c r="A451" s="260" t="s">
        <v>1248</v>
      </c>
      <c r="B451" s="260" t="s">
        <v>133</v>
      </c>
      <c r="C451" s="262">
        <f>C497</f>
        <v>118.8</v>
      </c>
      <c r="D451" s="2221">
        <f>IF('Ввод данных'!A1171=связи1!A19,1,0)</f>
        <v>1</v>
      </c>
      <c r="E451" s="888"/>
      <c r="F451" s="888"/>
      <c r="G451" s="888"/>
      <c r="H451" s="888"/>
      <c r="I451" s="1194"/>
      <c r="J451" s="1194"/>
      <c r="K451" s="1194"/>
      <c r="L451" s="1194"/>
      <c r="M451" s="1194"/>
      <c r="N451" s="1194"/>
      <c r="O451" s="1194"/>
      <c r="P451" s="1194"/>
      <c r="Q451" s="1194"/>
      <c r="R451" s="1194"/>
    </row>
    <row r="452" spans="1:18" ht="16">
      <c r="A452" s="132" t="s">
        <v>1249</v>
      </c>
      <c r="B452" s="2226" t="s">
        <v>133</v>
      </c>
      <c r="C452" s="2226">
        <f>C497</f>
        <v>118.8</v>
      </c>
      <c r="D452" s="2221">
        <f>IF('Ввод данных'!A1171=связи1!A20,1,0)</f>
        <v>0</v>
      </c>
      <c r="E452" s="1195"/>
      <c r="F452" s="2257"/>
      <c r="G452" s="2257"/>
      <c r="H452" s="1195"/>
      <c r="I452" s="1195"/>
      <c r="J452" s="1195"/>
      <c r="K452" s="1195"/>
      <c r="L452" s="1195"/>
      <c r="M452" s="1195"/>
      <c r="N452" s="1195"/>
      <c r="O452" s="1195"/>
      <c r="P452" s="1195"/>
      <c r="Q452" s="1195"/>
      <c r="R452" s="1195"/>
    </row>
    <row r="453" spans="1:18" ht="16">
      <c r="A453" s="2226" t="s">
        <v>1253</v>
      </c>
      <c r="B453" s="2226" t="s">
        <v>133</v>
      </c>
      <c r="C453" s="262">
        <f>C497</f>
        <v>118.8</v>
      </c>
      <c r="D453" s="2221">
        <f>IF('Ввод данных'!A1171=связи1!A21,1,0)</f>
        <v>0</v>
      </c>
      <c r="E453" s="1195"/>
      <c r="F453" s="2257"/>
      <c r="G453" s="2257"/>
      <c r="H453" s="1195"/>
      <c r="I453" s="1195"/>
      <c r="J453" s="1195"/>
      <c r="K453" s="1195"/>
      <c r="L453" s="1195"/>
      <c r="M453" s="1195"/>
      <c r="N453" s="1195"/>
      <c r="O453" s="1195"/>
      <c r="P453" s="1195"/>
      <c r="Q453" s="1195"/>
      <c r="R453" s="1195"/>
    </row>
    <row r="454" spans="1:18" ht="16">
      <c r="A454" s="2226" t="s">
        <v>1255</v>
      </c>
      <c r="B454" s="2226" t="s">
        <v>133</v>
      </c>
      <c r="C454" s="262">
        <f>C497</f>
        <v>118.8</v>
      </c>
      <c r="D454" s="2221">
        <f>IF('Ввод данных'!A1171=связи1!A22,IF('Ввод данных'!A1173='Прайс лист'!B697,1,0)+IF('Ввод данных'!A1173='Прайс лист'!B698,1,0)+IF('Ввод данных'!A1173='Прайс лист'!B699,1,0)+IF('Ввод данных'!A1173='Прайс лист'!B700,1,0)+IF('Ввод данных'!A1173='Прайс лист'!B701,1,0)+IF('Ввод данных'!A1173='Прайс лист'!B702,1,0),0)</f>
        <v>0</v>
      </c>
      <c r="E454" s="1195"/>
      <c r="F454" s="2257"/>
      <c r="G454" s="2257"/>
      <c r="H454" s="1195"/>
      <c r="I454" s="1195"/>
      <c r="J454" s="1195"/>
      <c r="K454" s="1195"/>
      <c r="L454" s="1195"/>
      <c r="M454" s="1195"/>
      <c r="N454" s="1195"/>
      <c r="O454" s="1195"/>
      <c r="P454" s="1195"/>
      <c r="Q454" s="1195"/>
      <c r="R454" s="1195"/>
    </row>
    <row r="455" spans="1:18" ht="16">
      <c r="A455" s="2226" t="s">
        <v>1256</v>
      </c>
      <c r="B455" s="2226" t="s">
        <v>133</v>
      </c>
      <c r="C455" s="262">
        <f>C497</f>
        <v>118.8</v>
      </c>
      <c r="D455" s="2221">
        <f>IF('Ввод данных'!A1171=связи1!A22,IF('Ввод данных'!A1173='Прайс лист'!B685,1,0)+IF('Ввод данных'!A1173='Прайс лист'!B686,1,0)+IF('Ввод данных'!A1173='Прайс лист'!B687,1,0)+IF('Ввод данных'!A1173='Прайс лист'!B688,1,0)+IF('Ввод данных'!A1173='Прайс лист'!B689,1,0)+IF('Ввод данных'!A1173='Прайс лист'!B690,1,0),0)</f>
        <v>0</v>
      </c>
      <c r="E455" s="1195"/>
      <c r="F455" s="2257"/>
      <c r="G455" s="2257"/>
      <c r="H455" s="1195"/>
      <c r="I455" s="1195"/>
      <c r="J455" s="1195"/>
      <c r="K455" s="1195"/>
      <c r="L455" s="1195"/>
      <c r="M455" s="1195"/>
      <c r="N455" s="1195"/>
      <c r="O455" s="1195"/>
      <c r="P455" s="1195"/>
      <c r="Q455" s="1195"/>
      <c r="R455" s="1195"/>
    </row>
    <row r="456" spans="1:18" ht="16">
      <c r="A456" s="2226" t="s">
        <v>1257</v>
      </c>
      <c r="B456" s="2226" t="s">
        <v>159</v>
      </c>
      <c r="C456" s="262">
        <f>C455*10</f>
        <v>1188</v>
      </c>
      <c r="D456" s="2221">
        <f>D455</f>
        <v>0</v>
      </c>
      <c r="E456" s="1195"/>
      <c r="F456" s="2257"/>
      <c r="G456" s="2257"/>
      <c r="H456" s="1195"/>
      <c r="I456" s="1195"/>
      <c r="J456" s="1195"/>
      <c r="K456" s="1195"/>
      <c r="L456" s="1195"/>
      <c r="M456" s="1195"/>
      <c r="N456" s="1195"/>
      <c r="O456" s="1195"/>
      <c r="P456" s="1195"/>
      <c r="Q456" s="1195"/>
      <c r="R456" s="1195"/>
    </row>
    <row r="457" spans="1:18" ht="16">
      <c r="A457" s="2272" t="s">
        <v>3944</v>
      </c>
      <c r="B457" s="2226" t="s">
        <v>133</v>
      </c>
      <c r="C457" s="2226">
        <f>C497*1.05</f>
        <v>124.74000000000001</v>
      </c>
      <c r="D457" s="2221">
        <f>IF('Ввод данных'!A1171=связи1!A24,1,0)</f>
        <v>0</v>
      </c>
      <c r="E457" s="1195"/>
      <c r="F457" s="2257"/>
      <c r="G457" s="2257"/>
      <c r="H457" s="1195"/>
      <c r="I457" s="1195"/>
      <c r="J457" s="1195"/>
      <c r="K457" s="1195"/>
      <c r="L457" s="1195"/>
      <c r="M457" s="1195"/>
      <c r="N457" s="1195"/>
      <c r="O457" s="1195"/>
      <c r="P457" s="1195"/>
      <c r="Q457" s="1195"/>
      <c r="R457" s="1195"/>
    </row>
    <row r="458" spans="1:18" ht="16">
      <c r="A458" s="2272" t="s">
        <v>3945</v>
      </c>
      <c r="B458" s="2226" t="s">
        <v>133</v>
      </c>
      <c r="C458" s="2226">
        <f>C497</f>
        <v>118.8</v>
      </c>
      <c r="D458" s="2221">
        <f>IF('Ввод данных'!A1171=связи1!A25,1,0)</f>
        <v>0</v>
      </c>
      <c r="E458" s="1195"/>
      <c r="F458" s="2257"/>
      <c r="G458" s="2257"/>
      <c r="H458" s="1195"/>
      <c r="I458" s="1195"/>
      <c r="J458" s="1195"/>
      <c r="K458" s="1195"/>
      <c r="L458" s="1195"/>
      <c r="M458" s="1195"/>
      <c r="N458" s="1195"/>
      <c r="O458" s="1195"/>
      <c r="P458" s="1195"/>
      <c r="Q458" s="1195"/>
      <c r="R458" s="1195"/>
    </row>
    <row r="459" spans="1:18" ht="16">
      <c r="A459" s="2272" t="s">
        <v>3946</v>
      </c>
      <c r="B459" s="2226" t="s">
        <v>133</v>
      </c>
      <c r="C459" s="2226">
        <f>C457</f>
        <v>124.74000000000001</v>
      </c>
      <c r="D459" s="2221">
        <f>IF('Ввод данных'!A1171=связи1!A18,1,0)</f>
        <v>0</v>
      </c>
      <c r="E459" s="1195"/>
      <c r="F459" s="2257"/>
      <c r="G459" s="2257"/>
      <c r="H459" s="1195"/>
      <c r="I459" s="1195"/>
      <c r="J459" s="1195"/>
      <c r="K459" s="1195"/>
      <c r="L459" s="1195"/>
      <c r="M459" s="1195"/>
      <c r="N459" s="1195"/>
      <c r="O459" s="1195"/>
      <c r="P459" s="1195"/>
      <c r="Q459" s="1195"/>
      <c r="R459" s="1195"/>
    </row>
    <row r="460" spans="1:18" ht="16">
      <c r="A460" s="2272" t="s">
        <v>3947</v>
      </c>
      <c r="B460" s="2226" t="s">
        <v>133</v>
      </c>
      <c r="C460" s="2226">
        <f>C451</f>
        <v>118.8</v>
      </c>
      <c r="D460" s="2221">
        <f>IF('Ввод данных'!A1171=связи1!A22,IF('Ввод данных'!A1173='Прайс лист'!B691,1,0)+IF('Ввод данных'!A1173='Прайс лист'!B692,1,0)+IF('Ввод данных'!A1173='Прайс лист'!B693,1,0)+IF('Ввод данных'!A1173='Прайс лист'!B694,1,0)+IF('Ввод данных'!A1173='Прайс лист'!B695,1,0)+IF('Ввод данных'!A1173='Прайс лист'!B696,1,0),0)</f>
        <v>0</v>
      </c>
      <c r="E460" s="1195"/>
      <c r="F460" s="2257"/>
      <c r="G460" s="2257"/>
      <c r="H460" s="1195"/>
      <c r="I460" s="1195"/>
      <c r="J460" s="1195"/>
      <c r="K460" s="1195"/>
      <c r="L460" s="1195"/>
      <c r="M460" s="1195"/>
      <c r="N460" s="1195"/>
      <c r="O460" s="1195"/>
      <c r="P460" s="1195"/>
      <c r="Q460" s="1195"/>
      <c r="R460" s="1195"/>
    </row>
    <row r="461" spans="1:18" ht="16">
      <c r="A461" s="2272" t="s">
        <v>3948</v>
      </c>
      <c r="B461" s="2226" t="s">
        <v>133</v>
      </c>
      <c r="C461" s="2226">
        <f>C460</f>
        <v>118.8</v>
      </c>
      <c r="D461" s="2221">
        <f>IF('Ввод данных'!A1171=связи1!A22,IF('Ввод данных'!A1173='Прайс лист'!B712,1,0)+IF('Ввод данных'!A1173='Прайс лист'!B713,1,0)+IF('Ввод данных'!A1173='Прайс лист'!B714,1,0),0)</f>
        <v>0</v>
      </c>
      <c r="E461" s="1195"/>
      <c r="F461" s="2257"/>
      <c r="G461" s="2257"/>
      <c r="H461" s="1195"/>
      <c r="I461" s="1195"/>
      <c r="J461" s="1195"/>
      <c r="K461" s="1195"/>
      <c r="L461" s="1195"/>
      <c r="M461" s="1195"/>
      <c r="N461" s="1195"/>
      <c r="O461" s="1195"/>
      <c r="P461" s="1195"/>
      <c r="Q461" s="1195"/>
      <c r="R461" s="1195"/>
    </row>
    <row r="462" spans="1:18" ht="16">
      <c r="A462" s="2272" t="s">
        <v>3949</v>
      </c>
      <c r="B462" s="2226" t="s">
        <v>133</v>
      </c>
      <c r="C462" s="2226">
        <f>C461</f>
        <v>118.8</v>
      </c>
      <c r="D462" s="2221">
        <f>IF('Ввод данных'!A1171=связи1!A22,IF('Ввод данных'!A1173='Прайс лист'!B709,1,0)+IF('Ввод данных'!A1173='Прайс лист'!B710,1,0)+IF('Ввод данных'!A1173='Прайс лист'!B711,1,0),0)</f>
        <v>0</v>
      </c>
      <c r="E462" s="1195"/>
      <c r="F462" s="2257"/>
      <c r="G462" s="2257"/>
      <c r="H462" s="1195"/>
      <c r="I462" s="1195"/>
      <c r="J462" s="1195"/>
      <c r="K462" s="1195"/>
      <c r="L462" s="1195"/>
      <c r="M462" s="1195"/>
      <c r="N462" s="1195"/>
      <c r="O462" s="1195"/>
      <c r="P462" s="1195"/>
      <c r="Q462" s="1195"/>
      <c r="R462" s="1195"/>
    </row>
    <row r="463" spans="1:18" ht="16">
      <c r="A463" s="2272" t="s">
        <v>3950</v>
      </c>
      <c r="B463" s="2226" t="s">
        <v>133</v>
      </c>
      <c r="C463" s="2226">
        <f>C462</f>
        <v>118.8</v>
      </c>
      <c r="D463" s="2221">
        <f>IF('Ввод данных'!A1171=связи1!A22,IF('Ввод данных'!A1173='Прайс лист'!B703,1,0)+IF('Ввод данных'!A1173='Прайс лист'!B704,1,0)+IF('Ввод данных'!A1173='Прайс лист'!B705,1,0)+IF('Ввод данных'!A1173='Прайс лист'!B706,1,0)+IF('Ввод данных'!A1173='Прайс лист'!B707,1,0)+IF('Ввод данных'!A1173='Прайс лист'!B708,1,0),0)</f>
        <v>0</v>
      </c>
      <c r="E463" s="1195"/>
      <c r="F463" s="2257"/>
      <c r="G463" s="2257"/>
      <c r="H463" s="1195"/>
      <c r="I463" s="1195"/>
      <c r="J463" s="1195"/>
      <c r="K463" s="1195"/>
      <c r="L463" s="1195"/>
      <c r="M463" s="1195"/>
      <c r="N463" s="1195"/>
      <c r="O463" s="1195"/>
      <c r="P463" s="1195"/>
      <c r="Q463" s="1195"/>
      <c r="R463" s="1195"/>
    </row>
    <row r="464" spans="1:18" ht="16">
      <c r="A464" s="2226" t="s">
        <v>3951</v>
      </c>
      <c r="B464" s="2226"/>
      <c r="C464" s="2226"/>
      <c r="D464" s="2221">
        <f>IF('Ввод данных'!A1171=связи1!A23,1,0)</f>
        <v>0</v>
      </c>
      <c r="E464" s="1195"/>
      <c r="F464" s="2257"/>
      <c r="G464" s="2257"/>
      <c r="H464" s="1195"/>
      <c r="I464" s="1195"/>
      <c r="J464" s="1195"/>
      <c r="K464" s="1195"/>
      <c r="L464" s="1195"/>
      <c r="M464" s="1195"/>
      <c r="N464" s="1195"/>
      <c r="O464" s="1195"/>
      <c r="P464" s="1195"/>
      <c r="Q464" s="1195"/>
      <c r="R464" s="1195"/>
    </row>
    <row r="465" spans="1:18" ht="16">
      <c r="A465" s="2226" t="s">
        <v>2449</v>
      </c>
      <c r="B465" s="2226" t="s">
        <v>156</v>
      </c>
      <c r="C465" s="2221">
        <f>'Ввод данных'!C1182</f>
        <v>0.2</v>
      </c>
      <c r="D465" s="2228"/>
      <c r="E465" s="1195"/>
      <c r="F465" s="2257"/>
      <c r="G465" s="2257"/>
      <c r="H465" s="1195"/>
      <c r="I465" s="1195"/>
      <c r="J465" s="1195"/>
      <c r="K465" s="1195"/>
      <c r="L465" s="1195"/>
      <c r="M465" s="1195"/>
      <c r="N465" s="1195"/>
      <c r="O465" s="1195"/>
      <c r="P465" s="1195"/>
      <c r="Q465" s="1195"/>
      <c r="R465" s="1195"/>
    </row>
    <row r="466" spans="1:18" ht="16">
      <c r="A466" s="2226" t="s">
        <v>3952</v>
      </c>
      <c r="B466" s="2226" t="s">
        <v>156</v>
      </c>
      <c r="C466" s="229">
        <f>E340+(F340*(B340-1))+0.4</f>
        <v>3.4</v>
      </c>
      <c r="D466" s="2228"/>
      <c r="E466" s="1195"/>
      <c r="F466" s="2257"/>
      <c r="G466" s="2257"/>
      <c r="H466" s="1195"/>
      <c r="I466" s="1195"/>
      <c r="J466" s="1195"/>
      <c r="K466" s="1195"/>
      <c r="L466" s="1195"/>
      <c r="M466" s="1195"/>
      <c r="N466" s="1195"/>
      <c r="O466" s="1195"/>
      <c r="P466" s="1195"/>
      <c r="Q466" s="1195"/>
      <c r="R466" s="1195"/>
    </row>
    <row r="467" spans="1:18" ht="16">
      <c r="A467" s="2226" t="s">
        <v>3953</v>
      </c>
      <c r="B467" s="2226" t="s">
        <v>133</v>
      </c>
      <c r="C467" s="2226">
        <f>C466*C465*8</f>
        <v>5.44</v>
      </c>
      <c r="D467" s="2228"/>
      <c r="E467" s="1195"/>
      <c r="F467" s="2257"/>
      <c r="G467" s="2257"/>
      <c r="H467" s="1195"/>
      <c r="I467" s="1195"/>
      <c r="J467" s="1195"/>
      <c r="K467" s="1195"/>
      <c r="L467" s="1195"/>
      <c r="M467" s="1195"/>
      <c r="N467" s="1195"/>
      <c r="O467" s="1195"/>
      <c r="P467" s="1195"/>
      <c r="Q467" s="1195"/>
      <c r="R467" s="1195"/>
    </row>
    <row r="468" spans="1:18" ht="16">
      <c r="A468" s="2226" t="s">
        <v>3954</v>
      </c>
      <c r="B468" s="2226" t="s">
        <v>133</v>
      </c>
      <c r="C468" s="2226">
        <f>C497-C467</f>
        <v>113.36</v>
      </c>
      <c r="D468" s="2228"/>
      <c r="E468" s="1195"/>
      <c r="F468" s="2257"/>
      <c r="G468" s="2257"/>
      <c r="H468" s="1195"/>
      <c r="I468" s="1195"/>
      <c r="J468" s="1195"/>
      <c r="K468" s="1195"/>
      <c r="L468" s="1195"/>
      <c r="M468" s="1195"/>
      <c r="N468" s="1195"/>
      <c r="O468" s="1195"/>
      <c r="P468" s="1195"/>
      <c r="Q468" s="1195"/>
      <c r="R468" s="1195"/>
    </row>
    <row r="469" spans="1:18" ht="16">
      <c r="A469" s="2226" t="s">
        <v>3955</v>
      </c>
      <c r="B469" s="2226" t="s">
        <v>133</v>
      </c>
      <c r="C469" s="2226">
        <f>C467</f>
        <v>5.44</v>
      </c>
      <c r="D469" s="2221">
        <f>D464</f>
        <v>0</v>
      </c>
      <c r="E469" s="1195"/>
      <c r="F469" s="2257"/>
      <c r="G469" s="2257"/>
      <c r="H469" s="1195"/>
      <c r="I469" s="1195"/>
      <c r="J469" s="1195"/>
      <c r="K469" s="1195"/>
      <c r="L469" s="1195"/>
      <c r="M469" s="1195"/>
      <c r="N469" s="1195"/>
      <c r="O469" s="1195"/>
      <c r="P469" s="1195"/>
      <c r="Q469" s="1195"/>
      <c r="R469" s="1195"/>
    </row>
    <row r="470" spans="1:18" ht="16">
      <c r="A470" s="2226" t="s">
        <v>3956</v>
      </c>
      <c r="B470" s="2226" t="s">
        <v>133</v>
      </c>
      <c r="C470" s="2226">
        <f>C497</f>
        <v>118.8</v>
      </c>
      <c r="D470" s="2221">
        <v>0</v>
      </c>
      <c r="E470" s="1195"/>
      <c r="F470" s="2257"/>
      <c r="G470" s="2257"/>
      <c r="H470" s="1195"/>
      <c r="I470" s="1195"/>
      <c r="J470" s="1195"/>
      <c r="K470" s="1195"/>
      <c r="L470" s="1195"/>
      <c r="M470" s="1195"/>
      <c r="N470" s="1195"/>
      <c r="O470" s="1195"/>
      <c r="P470" s="1195"/>
      <c r="Q470" s="1195"/>
      <c r="R470" s="1195"/>
    </row>
    <row r="471" spans="1:18" ht="16">
      <c r="A471" s="2226" t="s">
        <v>3957</v>
      </c>
      <c r="B471" s="2226" t="s">
        <v>133</v>
      </c>
      <c r="C471" s="2226">
        <f>C497</f>
        <v>118.8</v>
      </c>
      <c r="D471" s="2221">
        <v>0</v>
      </c>
      <c r="E471" s="1195"/>
      <c r="F471" s="2257"/>
      <c r="G471" s="2257"/>
      <c r="H471" s="1195"/>
      <c r="I471" s="1195"/>
      <c r="J471" s="1195"/>
      <c r="K471" s="1195"/>
      <c r="L471" s="1195"/>
      <c r="M471" s="1195"/>
      <c r="N471" s="1195"/>
      <c r="O471" s="1195"/>
      <c r="P471" s="1195"/>
      <c r="Q471" s="1195"/>
      <c r="R471" s="1195"/>
    </row>
    <row r="472" spans="1:18" ht="16">
      <c r="A472" s="2226" t="s">
        <v>3958</v>
      </c>
      <c r="B472" s="2226" t="s">
        <v>133</v>
      </c>
      <c r="C472" s="2226">
        <f>C497</f>
        <v>118.8</v>
      </c>
      <c r="D472" s="2221">
        <v>0</v>
      </c>
      <c r="E472" s="1195"/>
      <c r="F472" s="2257"/>
      <c r="G472" s="2257"/>
      <c r="H472" s="1195"/>
      <c r="I472" s="1195"/>
      <c r="J472" s="1195"/>
      <c r="K472" s="1195"/>
      <c r="L472" s="1195"/>
      <c r="M472" s="1195"/>
      <c r="N472" s="1195"/>
      <c r="O472" s="1195"/>
      <c r="P472" s="1195"/>
      <c r="Q472" s="1195"/>
      <c r="R472" s="1195"/>
    </row>
    <row r="473" spans="1:18" ht="16">
      <c r="A473" s="2226" t="s">
        <v>2455</v>
      </c>
      <c r="B473" s="2226" t="s">
        <v>133</v>
      </c>
      <c r="C473" s="2226">
        <f>C497</f>
        <v>118.8</v>
      </c>
      <c r="D473" s="2221">
        <f>VLOOKUP('Ввод данных'!C1191,связи1!A2:B3,2,0)</f>
        <v>1</v>
      </c>
      <c r="E473" s="1195"/>
      <c r="F473" s="2257"/>
      <c r="G473" s="2257"/>
      <c r="H473" s="1195"/>
      <c r="I473" s="1195"/>
      <c r="J473" s="1195"/>
      <c r="K473" s="1195"/>
      <c r="L473" s="1195"/>
      <c r="M473" s="1195"/>
      <c r="N473" s="1195"/>
      <c r="O473" s="1195"/>
      <c r="P473" s="1195"/>
      <c r="Q473" s="1195"/>
      <c r="R473" s="1195"/>
    </row>
    <row r="474" spans="1:18" ht="16">
      <c r="A474" s="2273" t="s">
        <v>2456</v>
      </c>
      <c r="B474" s="2274"/>
      <c r="C474" s="2275"/>
      <c r="D474" s="2275">
        <f>VLOOKUP('Ввод данных'!C1193,связи1!A2:B3,2,0)</f>
        <v>1</v>
      </c>
      <c r="E474" s="1195"/>
      <c r="F474" s="2257"/>
      <c r="G474" s="2257"/>
      <c r="H474" s="1195"/>
      <c r="I474" s="1195"/>
      <c r="J474" s="1195"/>
      <c r="K474" s="1195"/>
      <c r="L474" s="1195"/>
      <c r="M474" s="1195"/>
      <c r="N474" s="1195"/>
      <c r="O474" s="1195"/>
      <c r="P474" s="1195"/>
      <c r="Q474" s="1195"/>
      <c r="R474" s="1195"/>
    </row>
    <row r="475" spans="1:18" ht="16">
      <c r="A475" s="306" t="s">
        <v>2459</v>
      </c>
      <c r="B475" s="2226" t="s">
        <v>156</v>
      </c>
      <c r="C475" s="2221">
        <f>'Ввод данных'!C1202</f>
        <v>0.4</v>
      </c>
      <c r="D475" s="2276"/>
      <c r="E475" s="1195"/>
      <c r="F475" s="2257"/>
      <c r="G475" s="2257"/>
      <c r="H475" s="1195"/>
      <c r="I475" s="1195"/>
      <c r="J475" s="1195"/>
      <c r="K475" s="1195"/>
      <c r="L475" s="1195"/>
      <c r="M475" s="1195"/>
      <c r="N475" s="1195"/>
      <c r="O475" s="1195"/>
      <c r="P475" s="1195"/>
      <c r="Q475" s="1195"/>
      <c r="R475" s="1195"/>
    </row>
    <row r="476" spans="1:18" ht="16">
      <c r="A476" s="306" t="s">
        <v>3959</v>
      </c>
      <c r="B476" s="2226" t="s">
        <v>156</v>
      </c>
      <c r="C476" s="2227">
        <f>дома!C1113+пристройка!D2*пристройка!C33*2+дома!D1229*(дома!C1238+дома!C1239+дома!C1239+дома!C1240*дома!D1240*2-дома!C1245)</f>
        <v>56</v>
      </c>
      <c r="D476" s="2276"/>
      <c r="E476" s="1195"/>
      <c r="F476" s="2257"/>
      <c r="G476" s="2257"/>
      <c r="H476" s="1195"/>
      <c r="I476" s="1195"/>
      <c r="J476" s="1195"/>
      <c r="K476" s="1195"/>
      <c r="L476" s="1195"/>
      <c r="M476" s="1195"/>
      <c r="N476" s="1195"/>
      <c r="O476" s="1195"/>
      <c r="P476" s="1195"/>
      <c r="Q476" s="1195"/>
      <c r="R476" s="1195"/>
    </row>
    <row r="477" spans="1:18" ht="16">
      <c r="A477" s="306" t="s">
        <v>1260</v>
      </c>
      <c r="B477" s="2226" t="s">
        <v>156</v>
      </c>
      <c r="C477" s="2227">
        <f>C476</f>
        <v>56</v>
      </c>
      <c r="D477" s="2221">
        <f>VLOOKUP('Ввод данных'!C1203,связи1!A2:B3,2,0)</f>
        <v>1</v>
      </c>
      <c r="E477" s="1195"/>
      <c r="F477" s="2257"/>
      <c r="G477" s="2257"/>
      <c r="H477" s="1195"/>
      <c r="I477" s="1195"/>
      <c r="J477" s="1195"/>
      <c r="K477" s="1195"/>
      <c r="L477" s="1195"/>
      <c r="M477" s="1195"/>
      <c r="N477" s="1195"/>
      <c r="O477" s="1195"/>
      <c r="P477" s="1195"/>
      <c r="Q477" s="1195"/>
      <c r="R477" s="1195"/>
    </row>
    <row r="478" spans="1:18" ht="16">
      <c r="A478" s="132" t="s">
        <v>1253</v>
      </c>
      <c r="B478" s="2226" t="s">
        <v>133</v>
      </c>
      <c r="C478" s="2227">
        <f>C476*C475</f>
        <v>22.400000000000002</v>
      </c>
      <c r="D478" s="2221">
        <f>IF('Ввод данных'!A1195=связи1!A28,1,0)</f>
        <v>0</v>
      </c>
      <c r="E478" s="1195"/>
      <c r="F478" s="2257"/>
      <c r="G478" s="2257"/>
      <c r="H478" s="1195"/>
      <c r="I478" s="1195"/>
      <c r="J478" s="1195"/>
      <c r="K478" s="1195"/>
      <c r="L478" s="1195"/>
      <c r="M478" s="1195"/>
      <c r="N478" s="1195"/>
      <c r="O478" s="1195"/>
      <c r="P478" s="1195"/>
      <c r="Q478" s="1195"/>
      <c r="R478" s="1195"/>
    </row>
    <row r="479" spans="1:18" ht="16">
      <c r="A479" s="132" t="s">
        <v>1261</v>
      </c>
      <c r="B479" s="2226" t="s">
        <v>133</v>
      </c>
      <c r="C479" s="2227">
        <f>C478</f>
        <v>22.400000000000002</v>
      </c>
      <c r="D479" s="2221">
        <f>IF('Ввод данных'!A1195=связи1!A29,1,0)</f>
        <v>1</v>
      </c>
      <c r="E479" s="1195"/>
      <c r="F479" s="2257"/>
      <c r="G479" s="2257"/>
      <c r="H479" s="1195"/>
      <c r="I479" s="1195"/>
      <c r="J479" s="1195"/>
      <c r="K479" s="1195"/>
      <c r="L479" s="1195"/>
      <c r="M479" s="1195"/>
      <c r="N479" s="1195"/>
      <c r="O479" s="1195"/>
      <c r="P479" s="1195"/>
      <c r="Q479" s="1195"/>
      <c r="R479" s="1195"/>
    </row>
    <row r="480" spans="1:18" ht="16">
      <c r="A480" s="132" t="s">
        <v>1258</v>
      </c>
      <c r="B480" s="2226" t="s">
        <v>133</v>
      </c>
      <c r="C480" s="2227">
        <f>C478</f>
        <v>22.400000000000002</v>
      </c>
      <c r="D480" s="2221">
        <f>IF('Ввод данных'!A1195=связи1!A30,1,0)</f>
        <v>0</v>
      </c>
      <c r="E480" s="1195"/>
      <c r="F480" s="2257"/>
      <c r="G480" s="2257"/>
      <c r="H480" s="1195"/>
      <c r="I480" s="1195"/>
      <c r="J480" s="1195"/>
      <c r="K480" s="1195"/>
      <c r="L480" s="1195"/>
      <c r="M480" s="1195"/>
      <c r="N480" s="1195"/>
      <c r="O480" s="1195"/>
      <c r="P480" s="1195"/>
      <c r="Q480" s="1195"/>
      <c r="R480" s="1195"/>
    </row>
    <row r="481" spans="1:18" ht="16">
      <c r="A481" s="2226" t="s">
        <v>3943</v>
      </c>
      <c r="B481" s="2226" t="s">
        <v>156</v>
      </c>
      <c r="C481" s="2227">
        <f>((C476/0.6)+1)*C475*1.2</f>
        <v>45.280000000000008</v>
      </c>
      <c r="D481" s="2221">
        <f>IF('Ввод данных'!A1197=связи1!A13,1,0)</f>
        <v>0</v>
      </c>
      <c r="E481" s="1195"/>
      <c r="F481" s="2257"/>
      <c r="G481" s="2257"/>
      <c r="H481" s="1195"/>
      <c r="I481" s="1195"/>
      <c r="J481" s="1195"/>
      <c r="K481" s="1195"/>
      <c r="L481" s="1195"/>
      <c r="M481" s="1195"/>
      <c r="N481" s="1195"/>
      <c r="O481" s="1195"/>
      <c r="P481" s="1195"/>
      <c r="Q481" s="1195"/>
      <c r="R481" s="1195"/>
    </row>
    <row r="482" spans="1:18" ht="16">
      <c r="A482" s="2226" t="s">
        <v>3960</v>
      </c>
      <c r="B482" s="2226" t="s">
        <v>156</v>
      </c>
      <c r="C482" s="2227">
        <f>C481</f>
        <v>45.280000000000008</v>
      </c>
      <c r="D482" s="2221">
        <f>IF('Ввод данных'!A1197=связи1!A14,1,0)</f>
        <v>0</v>
      </c>
      <c r="E482" s="1195"/>
      <c r="F482" s="2257"/>
      <c r="G482" s="2257"/>
      <c r="H482" s="1195"/>
      <c r="I482" s="1195"/>
      <c r="J482" s="1195"/>
      <c r="K482" s="1195"/>
      <c r="L482" s="1195"/>
      <c r="M482" s="1195"/>
      <c r="N482" s="1195"/>
      <c r="O482" s="1195"/>
      <c r="P482" s="1195"/>
      <c r="Q482" s="1195"/>
      <c r="R482" s="1195"/>
    </row>
    <row r="483" spans="1:18" ht="16">
      <c r="A483" s="2226" t="s">
        <v>3961</v>
      </c>
      <c r="B483" s="2226" t="s">
        <v>133</v>
      </c>
      <c r="C483" s="2227">
        <f>C478</f>
        <v>22.400000000000002</v>
      </c>
      <c r="D483" s="2221">
        <f>D480</f>
        <v>0</v>
      </c>
      <c r="E483" s="1195"/>
      <c r="F483" s="2257"/>
      <c r="G483" s="2257"/>
      <c r="H483" s="1195"/>
      <c r="I483" s="1195"/>
      <c r="J483" s="1195"/>
      <c r="K483" s="1195"/>
      <c r="L483" s="1195"/>
      <c r="M483" s="1195"/>
      <c r="N483" s="1195"/>
      <c r="O483" s="1195"/>
      <c r="P483" s="1195"/>
      <c r="Q483" s="1195"/>
      <c r="R483" s="1195"/>
    </row>
    <row r="484" spans="1:18" ht="16">
      <c r="A484" s="2272" t="s">
        <v>3962</v>
      </c>
      <c r="B484" s="2226" t="s">
        <v>156</v>
      </c>
      <c r="C484" s="2226"/>
      <c r="D484" s="2221">
        <v>1</v>
      </c>
      <c r="E484" s="1195"/>
      <c r="F484" s="2257"/>
      <c r="G484" s="2257"/>
      <c r="H484" s="1195"/>
      <c r="I484" s="1195"/>
      <c r="J484" s="1195"/>
      <c r="K484" s="1195"/>
      <c r="L484" s="1195"/>
      <c r="M484" s="1195"/>
      <c r="N484" s="1195"/>
      <c r="O484" s="1195"/>
      <c r="P484" s="1195"/>
      <c r="Q484" s="1195"/>
      <c r="R484" s="1195"/>
    </row>
    <row r="485" spans="1:18" ht="16">
      <c r="A485" s="290" t="s">
        <v>3963</v>
      </c>
      <c r="B485" s="2220"/>
      <c r="C485" s="2276"/>
      <c r="D485" s="2277"/>
      <c r="E485" s="1195"/>
      <c r="F485" s="2257"/>
      <c r="G485" s="2257"/>
      <c r="H485" s="1195"/>
      <c r="I485" s="1195"/>
      <c r="J485" s="1195"/>
      <c r="K485" s="1195"/>
      <c r="L485" s="1195"/>
      <c r="M485" s="1195"/>
      <c r="N485" s="1195"/>
      <c r="O485" s="1195"/>
      <c r="P485" s="1195"/>
      <c r="Q485" s="1195"/>
      <c r="R485" s="1195"/>
    </row>
    <row r="486" spans="1:18" ht="16">
      <c r="A486" s="2278" t="s">
        <v>2460</v>
      </c>
      <c r="B486" s="2278" t="s">
        <v>133</v>
      </c>
      <c r="C486" s="2275">
        <f>дома!C1387</f>
        <v>0</v>
      </c>
      <c r="D486" s="2278">
        <f>VLOOKUP('Ввод данных'!C1205,связи1!A2:B3,2,0)</f>
        <v>1</v>
      </c>
      <c r="E486" s="1195"/>
      <c r="F486" s="2257"/>
      <c r="G486" s="2257"/>
      <c r="H486" s="1195"/>
      <c r="I486" s="1195"/>
      <c r="J486" s="1195"/>
      <c r="K486" s="1195"/>
      <c r="L486" s="1195"/>
      <c r="M486" s="1195"/>
      <c r="N486" s="1195"/>
      <c r="O486" s="1195"/>
      <c r="P486" s="1195"/>
      <c r="Q486" s="1195"/>
      <c r="R486" s="1195"/>
    </row>
    <row r="487" spans="1:18" ht="16">
      <c r="A487" s="2226" t="s">
        <v>1256</v>
      </c>
      <c r="B487" s="2226" t="s">
        <v>133</v>
      </c>
      <c r="C487" s="2227">
        <f>C486</f>
        <v>0</v>
      </c>
      <c r="D487" s="2221">
        <f>IF('Ввод данных'!A1207=связи1!H4,1,0)</f>
        <v>1</v>
      </c>
      <c r="E487" s="1195"/>
      <c r="F487" s="2257"/>
      <c r="G487" s="2257"/>
      <c r="H487" s="1195"/>
      <c r="I487" s="1195"/>
      <c r="J487" s="1195"/>
      <c r="K487" s="1195"/>
      <c r="L487" s="1195"/>
      <c r="M487" s="1195"/>
      <c r="N487" s="1195"/>
      <c r="O487" s="1195"/>
      <c r="P487" s="1195"/>
      <c r="Q487" s="1195"/>
      <c r="R487" s="1195"/>
    </row>
    <row r="488" spans="1:18" ht="16">
      <c r="A488" s="2226" t="s">
        <v>1574</v>
      </c>
      <c r="B488" s="2226" t="s">
        <v>133</v>
      </c>
      <c r="C488" s="2227">
        <f>C486</f>
        <v>0</v>
      </c>
      <c r="D488" s="2221">
        <f>IF('Ввод данных'!A1207=связи1!H5,1,0)</f>
        <v>0</v>
      </c>
      <c r="E488" s="1195"/>
      <c r="F488" s="2257"/>
      <c r="G488" s="2257"/>
      <c r="H488" s="1195"/>
      <c r="I488" s="1195"/>
      <c r="J488" s="1195"/>
      <c r="K488" s="1195"/>
      <c r="L488" s="1195"/>
      <c r="M488" s="1195"/>
      <c r="N488" s="1195"/>
      <c r="O488" s="1195"/>
      <c r="P488" s="1195"/>
      <c r="Q488" s="1195"/>
      <c r="R488" s="1195"/>
    </row>
    <row r="489" spans="1:18" ht="16">
      <c r="A489" s="3202" t="s">
        <v>3626</v>
      </c>
      <c r="B489" s="3202"/>
      <c r="C489" s="3202"/>
      <c r="D489" s="2257"/>
      <c r="E489" s="1195"/>
      <c r="F489" s="2257"/>
      <c r="G489" s="2257"/>
      <c r="H489" s="1195"/>
      <c r="I489" s="1195"/>
      <c r="J489" s="1195"/>
      <c r="K489" s="1195"/>
      <c r="L489" s="1195"/>
      <c r="M489" s="1195"/>
      <c r="N489" s="1195"/>
      <c r="O489" s="1195"/>
      <c r="P489" s="1195"/>
      <c r="Q489" s="1195"/>
      <c r="R489" s="1195"/>
    </row>
    <row r="490" spans="1:18" ht="16">
      <c r="A490" s="98" t="s">
        <v>3678</v>
      </c>
      <c r="B490" s="2226" t="s">
        <v>133</v>
      </c>
      <c r="C490" s="100">
        <f>дома!C1364</f>
        <v>100</v>
      </c>
      <c r="D490" s="2257"/>
      <c r="E490" s="1195"/>
      <c r="F490" s="2257"/>
      <c r="G490" s="2257"/>
      <c r="H490" s="1195"/>
      <c r="I490" s="1195"/>
      <c r="J490" s="1195"/>
      <c r="K490" s="1195"/>
      <c r="L490" s="1195"/>
      <c r="M490" s="1195"/>
      <c r="N490" s="1195"/>
      <c r="O490" s="1195"/>
      <c r="P490" s="1195"/>
      <c r="Q490" s="1195"/>
      <c r="R490" s="1195"/>
    </row>
    <row r="491" spans="1:18" ht="16">
      <c r="A491" s="98" t="s">
        <v>3628</v>
      </c>
      <c r="B491" s="2226" t="s">
        <v>133</v>
      </c>
      <c r="C491" s="100">
        <f>C616</f>
        <v>190.43</v>
      </c>
      <c r="D491" s="2257"/>
      <c r="E491" s="1195"/>
      <c r="F491" s="2257"/>
      <c r="G491" s="2257"/>
      <c r="H491" s="1195"/>
      <c r="I491" s="1195"/>
      <c r="J491" s="1195"/>
      <c r="K491" s="1195"/>
      <c r="L491" s="1195"/>
      <c r="M491" s="1195"/>
      <c r="N491" s="1195"/>
      <c r="O491" s="1195"/>
      <c r="P491" s="1195"/>
      <c r="Q491" s="1195"/>
      <c r="R491" s="1195"/>
    </row>
    <row r="492" spans="1:18" ht="16">
      <c r="A492" s="98" t="s">
        <v>3680</v>
      </c>
      <c r="B492" s="2226" t="s">
        <v>156</v>
      </c>
      <c r="C492" s="100">
        <f>дома!C1366</f>
        <v>56</v>
      </c>
      <c r="D492" s="2257"/>
      <c r="E492" s="1195"/>
      <c r="F492" s="2257"/>
      <c r="G492" s="2257"/>
      <c r="H492" s="1195"/>
      <c r="I492" s="1195"/>
      <c r="J492" s="1195"/>
      <c r="K492" s="1195"/>
      <c r="L492" s="1195"/>
      <c r="M492" s="1195"/>
      <c r="N492" s="1195"/>
      <c r="O492" s="1195"/>
      <c r="P492" s="1195"/>
      <c r="Q492" s="1195"/>
      <c r="R492" s="1195"/>
    </row>
    <row r="493" spans="1:18" ht="16">
      <c r="A493" s="98" t="s">
        <v>3752</v>
      </c>
      <c r="B493" s="2226" t="s">
        <v>156</v>
      </c>
      <c r="C493" s="100">
        <f>дома!C1367</f>
        <v>40</v>
      </c>
      <c r="D493" s="2257"/>
      <c r="E493" s="1195"/>
      <c r="F493" s="2257"/>
      <c r="G493" s="2257"/>
      <c r="H493" s="1195"/>
      <c r="I493" s="1195"/>
      <c r="J493" s="1195"/>
      <c r="K493" s="1195"/>
      <c r="L493" s="1195"/>
      <c r="M493" s="1195"/>
      <c r="N493" s="1195"/>
      <c r="O493" s="1195"/>
      <c r="P493" s="1195"/>
      <c r="Q493" s="1195"/>
      <c r="R493" s="1195"/>
    </row>
    <row r="494" spans="1:18" ht="16">
      <c r="A494" s="98" t="s">
        <v>3755</v>
      </c>
      <c r="B494" s="2226" t="s">
        <v>156</v>
      </c>
      <c r="C494" s="100">
        <f>дома!C1368</f>
        <v>16</v>
      </c>
      <c r="D494" s="2257"/>
      <c r="E494" s="1195"/>
      <c r="F494" s="2257"/>
      <c r="G494" s="2257"/>
      <c r="H494" s="1195"/>
      <c r="I494" s="1195"/>
      <c r="J494" s="1195"/>
      <c r="K494" s="1195"/>
      <c r="L494" s="1195"/>
      <c r="M494" s="1195"/>
      <c r="N494" s="1195"/>
      <c r="O494" s="1195"/>
      <c r="P494" s="1195"/>
      <c r="Q494" s="1195"/>
      <c r="R494" s="1195"/>
    </row>
    <row r="495" spans="1:18" ht="16">
      <c r="A495" s="98"/>
      <c r="B495" s="2226"/>
      <c r="C495" s="100">
        <f>дома!C1369</f>
        <v>7.8</v>
      </c>
      <c r="D495" s="2257"/>
      <c r="E495" s="1195"/>
      <c r="F495" s="2257"/>
      <c r="G495" s="2257"/>
      <c r="H495" s="1195"/>
      <c r="I495" s="1195"/>
      <c r="J495" s="1195"/>
      <c r="K495" s="1195"/>
      <c r="L495" s="1195"/>
      <c r="M495" s="1195"/>
      <c r="N495" s="1195"/>
      <c r="O495" s="1195"/>
      <c r="P495" s="1195"/>
      <c r="Q495" s="1195"/>
      <c r="R495" s="1195"/>
    </row>
    <row r="496" spans="1:18" ht="16">
      <c r="A496" s="98" t="s">
        <v>3633</v>
      </c>
      <c r="B496" s="2226" t="s">
        <v>133</v>
      </c>
      <c r="C496" s="100">
        <f>дома!S93</f>
        <v>118.8</v>
      </c>
      <c r="D496" s="2257"/>
      <c r="E496" s="1195"/>
      <c r="F496" s="2257"/>
      <c r="G496" s="2257"/>
      <c r="H496" s="1195"/>
      <c r="I496" s="1195"/>
      <c r="J496" s="1195"/>
      <c r="K496" s="1195"/>
      <c r="L496" s="1195"/>
      <c r="M496" s="1195"/>
      <c r="N496" s="1195"/>
      <c r="O496" s="1195"/>
      <c r="P496" s="1195"/>
      <c r="Q496" s="1195"/>
      <c r="R496" s="1195"/>
    </row>
    <row r="497" spans="1:18" ht="16">
      <c r="A497" s="98" t="s">
        <v>3687</v>
      </c>
      <c r="B497" s="2226" t="s">
        <v>133</v>
      </c>
      <c r="C497" s="100">
        <f>C496</f>
        <v>118.8</v>
      </c>
      <c r="D497" s="2257"/>
      <c r="E497" s="1195"/>
      <c r="F497" s="2257"/>
      <c r="G497" s="2257"/>
      <c r="H497" s="1195"/>
      <c r="I497" s="1195"/>
      <c r="J497" s="1195"/>
      <c r="K497" s="1195"/>
      <c r="L497" s="1195"/>
      <c r="M497" s="1195"/>
      <c r="N497" s="1195"/>
      <c r="O497" s="1195"/>
      <c r="P497" s="1195"/>
      <c r="Q497" s="1195"/>
      <c r="R497" s="1195"/>
    </row>
    <row r="498" spans="1:18" ht="16">
      <c r="A498" s="98" t="s">
        <v>3802</v>
      </c>
      <c r="B498" s="2226" t="s">
        <v>133</v>
      </c>
      <c r="C498" s="100">
        <f>дома!C1373</f>
        <v>0</v>
      </c>
      <c r="D498" s="2257"/>
      <c r="E498" s="1195"/>
      <c r="F498" s="2257"/>
      <c r="G498" s="2257"/>
      <c r="H498" s="1195"/>
      <c r="I498" s="1195"/>
      <c r="J498" s="1195"/>
      <c r="K498" s="1195"/>
      <c r="L498" s="1195"/>
      <c r="M498" s="1195"/>
      <c r="N498" s="1195"/>
      <c r="O498" s="1195"/>
      <c r="P498" s="1195"/>
      <c r="Q498" s="1195"/>
      <c r="R498" s="1195"/>
    </row>
    <row r="499" spans="1:18" ht="16">
      <c r="A499" s="98" t="s">
        <v>3638</v>
      </c>
      <c r="B499" s="2226" t="s">
        <v>133</v>
      </c>
      <c r="C499" s="100">
        <f>дома!C1375</f>
        <v>0</v>
      </c>
      <c r="D499" s="2257"/>
      <c r="E499" s="1195"/>
      <c r="F499" s="2257"/>
      <c r="G499" s="2257"/>
      <c r="H499" s="1195"/>
      <c r="I499" s="1195"/>
      <c r="J499" s="1195"/>
      <c r="K499" s="1195"/>
      <c r="L499" s="1195"/>
      <c r="M499" s="1195"/>
      <c r="N499" s="1195"/>
      <c r="O499" s="1195"/>
      <c r="P499" s="1195"/>
      <c r="Q499" s="1195"/>
      <c r="R499" s="1195"/>
    </row>
    <row r="500" spans="1:18" ht="17">
      <c r="A500" s="2246" t="s">
        <v>3645</v>
      </c>
      <c r="B500" s="2226" t="s">
        <v>133</v>
      </c>
      <c r="C500" s="100">
        <f>дома!C1382</f>
        <v>0</v>
      </c>
      <c r="D500" s="2257"/>
      <c r="E500" s="1195"/>
      <c r="F500" s="2257"/>
      <c r="G500" s="2257"/>
      <c r="H500" s="1195"/>
      <c r="I500" s="1195"/>
      <c r="J500" s="1195"/>
      <c r="K500" s="1195"/>
      <c r="L500" s="1195"/>
      <c r="M500" s="1195"/>
      <c r="N500" s="1195"/>
      <c r="O500" s="1195"/>
      <c r="P500" s="1195"/>
      <c r="Q500" s="1195"/>
      <c r="R500" s="1195"/>
    </row>
    <row r="501" spans="1:18" ht="15.5" customHeight="1">
      <c r="A501" s="3203" t="s">
        <v>3543</v>
      </c>
      <c r="B501" s="3203"/>
      <c r="C501" s="3203"/>
      <c r="D501" s="2257"/>
      <c r="E501" s="1195"/>
      <c r="F501" s="2257"/>
      <c r="G501" s="2257"/>
      <c r="H501" s="1195"/>
      <c r="I501" s="1195"/>
      <c r="J501" s="1195"/>
      <c r="K501" s="1195"/>
      <c r="L501" s="1195"/>
      <c r="M501" s="1195"/>
      <c r="N501" s="1195"/>
      <c r="O501" s="1195"/>
      <c r="P501" s="1195"/>
      <c r="Q501" s="1195"/>
      <c r="R501" s="1195"/>
    </row>
    <row r="502" spans="1:18" ht="16">
      <c r="A502" s="229" t="s">
        <v>2623</v>
      </c>
      <c r="B502" s="229" t="s">
        <v>133</v>
      </c>
      <c r="C502" s="100">
        <f>дома!C1384</f>
        <v>0</v>
      </c>
      <c r="D502" s="2257"/>
      <c r="E502" s="1195"/>
      <c r="F502" s="2257"/>
      <c r="G502" s="2257"/>
      <c r="H502" s="1195"/>
      <c r="I502" s="1195"/>
      <c r="J502" s="1195"/>
      <c r="K502" s="1195"/>
      <c r="L502" s="1195"/>
      <c r="M502" s="1195"/>
      <c r="N502" s="1195"/>
      <c r="O502" s="1195"/>
      <c r="P502" s="1195"/>
      <c r="Q502" s="1195"/>
      <c r="R502" s="1195"/>
    </row>
    <row r="503" spans="1:18" ht="16">
      <c r="A503" s="229" t="s">
        <v>1546</v>
      </c>
      <c r="B503" s="229" t="s">
        <v>156</v>
      </c>
      <c r="C503" s="100">
        <f>D340+C506+C506</f>
        <v>10</v>
      </c>
      <c r="D503" s="2257"/>
      <c r="E503" s="1195"/>
      <c r="F503" s="2257"/>
      <c r="G503" s="2257"/>
      <c r="H503" s="1195"/>
      <c r="I503" s="1195"/>
      <c r="J503" s="1195"/>
      <c r="K503" s="1195"/>
      <c r="L503" s="1195"/>
      <c r="M503" s="1195"/>
      <c r="N503" s="1195"/>
      <c r="O503" s="1195"/>
      <c r="P503" s="1195"/>
      <c r="Q503" s="1195"/>
      <c r="R503" s="1195"/>
    </row>
    <row r="504" spans="1:18" ht="16">
      <c r="A504" s="229" t="s">
        <v>3502</v>
      </c>
      <c r="B504" s="229" t="s">
        <v>156</v>
      </c>
      <c r="C504" s="100">
        <f>(SQRT(((C340/2)*(C340/2))+((H340/2)*(H340/2))))+C505</f>
        <v>5</v>
      </c>
      <c r="D504" s="2257"/>
      <c r="E504" s="1195"/>
      <c r="F504" s="2257"/>
      <c r="G504" s="2257"/>
      <c r="H504" s="1195"/>
      <c r="I504" s="1195"/>
      <c r="J504" s="1195"/>
      <c r="K504" s="1195"/>
      <c r="L504" s="1195"/>
      <c r="M504" s="1195"/>
      <c r="N504" s="1195"/>
      <c r="O504" s="1195"/>
      <c r="P504" s="1195"/>
      <c r="Q504" s="1195"/>
      <c r="R504" s="1195"/>
    </row>
    <row r="505" spans="1:18" ht="16">
      <c r="A505" s="229" t="s">
        <v>1972</v>
      </c>
      <c r="B505" s="229" t="s">
        <v>156</v>
      </c>
      <c r="C505" s="100"/>
      <c r="D505" s="2257"/>
      <c r="E505" s="1195"/>
      <c r="F505" s="2257"/>
      <c r="G505" s="2257"/>
      <c r="H505" s="1195"/>
      <c r="I505" s="1195"/>
      <c r="J505" s="1195"/>
      <c r="K505" s="1195"/>
      <c r="L505" s="1195"/>
      <c r="M505" s="1195"/>
      <c r="N505" s="1195"/>
      <c r="O505" s="1195"/>
      <c r="P505" s="1195"/>
      <c r="Q505" s="1195"/>
      <c r="R505" s="1195"/>
    </row>
    <row r="506" spans="1:18" ht="16">
      <c r="A506" s="229" t="s">
        <v>1975</v>
      </c>
      <c r="B506" s="229" t="s">
        <v>156</v>
      </c>
      <c r="C506" s="100"/>
      <c r="D506" s="2257"/>
      <c r="E506" s="1195"/>
      <c r="F506" s="2257"/>
      <c r="G506" s="2257"/>
      <c r="H506" s="1195"/>
      <c r="I506" s="1195"/>
      <c r="J506" s="1195"/>
      <c r="K506" s="1195"/>
      <c r="L506" s="1195"/>
      <c r="M506" s="1195"/>
      <c r="N506" s="1195"/>
      <c r="O506" s="1195"/>
      <c r="P506" s="1195"/>
      <c r="Q506" s="1195"/>
      <c r="R506" s="1195"/>
    </row>
    <row r="507" spans="1:18" ht="16">
      <c r="A507" s="2279" t="s">
        <v>2720</v>
      </c>
      <c r="B507" s="2280" t="s">
        <v>1094</v>
      </c>
      <c r="C507" s="2280" t="s">
        <v>1802</v>
      </c>
      <c r="D507" s="2280" t="s">
        <v>3649</v>
      </c>
      <c r="E507" s="2281" t="s">
        <v>2722</v>
      </c>
      <c r="F507" s="2228"/>
      <c r="G507" s="3204" t="s">
        <v>3652</v>
      </c>
      <c r="H507" s="3204"/>
      <c r="I507" s="1162" t="s">
        <v>1094</v>
      </c>
      <c r="J507" s="2282" t="s">
        <v>1802</v>
      </c>
      <c r="K507" s="2282" t="s">
        <v>2721</v>
      </c>
      <c r="L507" s="2282" t="s">
        <v>2722</v>
      </c>
      <c r="M507" s="1195"/>
      <c r="N507" s="1195"/>
      <c r="O507" s="1195"/>
      <c r="P507" s="1195"/>
      <c r="Q507" s="1195"/>
      <c r="R507" s="1195"/>
    </row>
    <row r="508" spans="1:18" ht="16">
      <c r="A508" s="1171" t="s">
        <v>3964</v>
      </c>
      <c r="B508" s="1171"/>
      <c r="C508" s="1171"/>
      <c r="D508" s="1171"/>
      <c r="E508" s="259">
        <f t="shared" ref="E508:E521" si="8">C508*D508</f>
        <v>0</v>
      </c>
      <c r="F508" s="2228"/>
      <c r="G508" s="3199" t="s">
        <v>1552</v>
      </c>
      <c r="H508" s="3199"/>
      <c r="I508" s="99"/>
      <c r="J508" s="229"/>
      <c r="K508" s="229">
        <f>'Прайс лист'!D1759</f>
        <v>0</v>
      </c>
      <c r="L508" s="229">
        <f t="shared" ref="L508:L537" si="9">J508*K508</f>
        <v>0</v>
      </c>
      <c r="M508" s="1194"/>
      <c r="N508" s="1194"/>
      <c r="O508" s="1194"/>
      <c r="P508" s="1194"/>
      <c r="Q508" s="1194"/>
      <c r="R508" s="1194"/>
    </row>
    <row r="509" spans="1:18" ht="16">
      <c r="A509" s="2283" t="str">
        <f>'Ввод данных'!A1178</f>
        <v>Г-образный профиль 40*40, 9мм</v>
      </c>
      <c r="B509" s="1171" t="s">
        <v>156</v>
      </c>
      <c r="C509" s="1171">
        <f>C450</f>
        <v>243.53999999999996</v>
      </c>
      <c r="D509" s="1171">
        <f>VLOOKUP(A509,связи1!A443:E454,4,0)</f>
        <v>47</v>
      </c>
      <c r="E509" s="259">
        <f t="shared" si="8"/>
        <v>11446.379999999997</v>
      </c>
      <c r="F509" s="2228"/>
      <c r="G509" s="3130" t="s">
        <v>1553</v>
      </c>
      <c r="H509" s="3130"/>
      <c r="I509" s="99" t="s">
        <v>133</v>
      </c>
      <c r="J509" s="2262">
        <f>C451*D451*H447</f>
        <v>118.8</v>
      </c>
      <c r="K509" s="229">
        <f>'Прайс лист'!G1760</f>
        <v>500</v>
      </c>
      <c r="L509" s="229">
        <f t="shared" si="9"/>
        <v>59400</v>
      </c>
      <c r="M509" s="1194"/>
      <c r="N509" s="1194"/>
      <c r="O509" s="1194"/>
      <c r="P509" s="1194"/>
      <c r="Q509" s="1194"/>
      <c r="R509" s="1194"/>
    </row>
    <row r="510" spans="1:18" ht="16">
      <c r="A510" s="229" t="str">
        <f>'Ввод данных'!A1180</f>
        <v>Фасадный кронштейн КК 90</v>
      </c>
      <c r="B510" s="1171" t="s">
        <v>159</v>
      </c>
      <c r="C510" s="1171">
        <f>(C450*2)*G447*1.2</f>
        <v>584.49599999999987</v>
      </c>
      <c r="D510" s="1171">
        <f>VLOOKUP(A510,'Прайс лист'!B1505:G1516,6,0)</f>
        <v>15</v>
      </c>
      <c r="E510" s="259">
        <f t="shared" si="8"/>
        <v>8767.4399999999987</v>
      </c>
      <c r="F510" s="2228"/>
      <c r="G510" s="3130" t="s">
        <v>1554</v>
      </c>
      <c r="H510" s="3130"/>
      <c r="I510" s="99" t="s">
        <v>133</v>
      </c>
      <c r="J510" s="2262">
        <f>C497*H447*IF(A509=связи1!A443,0,1)</f>
        <v>118.8</v>
      </c>
      <c r="K510" s="229">
        <f>'Прайс лист'!G1761</f>
        <v>200</v>
      </c>
      <c r="L510" s="229">
        <f t="shared" si="9"/>
        <v>23760</v>
      </c>
      <c r="M510" s="1194"/>
      <c r="N510" s="1194"/>
      <c r="O510" s="1194"/>
      <c r="P510" s="1194"/>
      <c r="Q510" s="1194"/>
      <c r="R510" s="1194"/>
    </row>
    <row r="511" spans="1:18" ht="16">
      <c r="A511" s="229" t="str">
        <f>'Прайс лист'!B877</f>
        <v xml:space="preserve">Саморезы 3,5 x 45            </v>
      </c>
      <c r="B511" s="99" t="s">
        <v>159</v>
      </c>
      <c r="C511" s="229">
        <f>C510*2</f>
        <v>1168.9919999999997</v>
      </c>
      <c r="D511" s="1171">
        <f>'Прайс лист'!F877</f>
        <v>0.25</v>
      </c>
      <c r="E511" s="259">
        <f t="shared" si="8"/>
        <v>292.24799999999993</v>
      </c>
      <c r="F511" s="2228"/>
      <c r="G511" s="2258" t="s">
        <v>1249</v>
      </c>
      <c r="H511" s="2259"/>
      <c r="I511" s="99" t="s">
        <v>133</v>
      </c>
      <c r="J511" s="2262">
        <f>C452*D452*H447</f>
        <v>0</v>
      </c>
      <c r="K511" s="229">
        <f>'Прайс лист'!G1762</f>
        <v>300</v>
      </c>
      <c r="L511" s="229">
        <f t="shared" si="9"/>
        <v>0</v>
      </c>
      <c r="M511" s="1194"/>
      <c r="N511" s="1194"/>
      <c r="O511" s="1194"/>
      <c r="P511" s="1194"/>
      <c r="Q511" s="1194"/>
      <c r="R511" s="1194"/>
    </row>
    <row r="512" spans="1:18" ht="16">
      <c r="A512" s="2226" t="str">
        <f>'Прайс лист'!B860</f>
        <v xml:space="preserve">Болты анкерные с гайкой 10,0 х 97           </v>
      </c>
      <c r="B512" s="99" t="s">
        <v>159</v>
      </c>
      <c r="C512" s="229">
        <f>C510*2*G447</f>
        <v>1168.9919999999997</v>
      </c>
      <c r="D512" s="1171">
        <f>'Прайс лист'!G860</f>
        <v>7.4</v>
      </c>
      <c r="E512" s="259">
        <f t="shared" si="8"/>
        <v>8650.5407999999989</v>
      </c>
      <c r="F512" s="2228"/>
      <c r="G512" s="3130" t="s">
        <v>1555</v>
      </c>
      <c r="H512" s="3130"/>
      <c r="I512" s="99" t="s">
        <v>133</v>
      </c>
      <c r="J512" s="2262">
        <f>C453*D453*H447</f>
        <v>0</v>
      </c>
      <c r="K512" s="229">
        <f>'Прайс лист'!G1763</f>
        <v>350</v>
      </c>
      <c r="L512" s="229">
        <f t="shared" si="9"/>
        <v>0</v>
      </c>
      <c r="M512" s="1195"/>
      <c r="N512" s="1195"/>
      <c r="O512" s="1195"/>
      <c r="P512" s="1195"/>
      <c r="Q512" s="1195"/>
      <c r="R512" s="1195"/>
    </row>
    <row r="513" spans="1:18" ht="16">
      <c r="A513" s="229" t="str">
        <f>IF('Ввод данных'!A1171=связи1!A19,'Ввод данных'!A1173,0)</f>
        <v>0,7НФ/150/75 Аренберг</v>
      </c>
      <c r="B513" s="99" t="s">
        <v>133</v>
      </c>
      <c r="C513" s="229">
        <f>C451*D451*G447*0.8</f>
        <v>95.04</v>
      </c>
      <c r="D513" s="1171">
        <f>IF('Ввод данных'!A1171=связи1!A19,VLOOKUP(A513,связи1!A495:F534,6,0),0)</f>
        <v>1052</v>
      </c>
      <c r="E513" s="259">
        <f t="shared" si="8"/>
        <v>99982.080000000002</v>
      </c>
      <c r="F513" s="2228"/>
      <c r="G513" s="3130" t="s">
        <v>1256</v>
      </c>
      <c r="H513" s="3130"/>
      <c r="I513" s="99" t="s">
        <v>133</v>
      </c>
      <c r="J513" s="2262">
        <f>C455*D455*H447+C468*D464*H447</f>
        <v>0</v>
      </c>
      <c r="K513" s="229">
        <f>'Прайс лист'!G1764</f>
        <v>500</v>
      </c>
      <c r="L513" s="229">
        <f t="shared" si="9"/>
        <v>0</v>
      </c>
      <c r="M513" s="1195"/>
      <c r="N513" s="1195"/>
      <c r="O513" s="1195"/>
      <c r="P513" s="1195"/>
      <c r="Q513" s="1195"/>
      <c r="R513" s="1195"/>
    </row>
    <row r="514" spans="1:18" ht="16">
      <c r="A514" s="229" t="str">
        <f>'Прайс лист'!B175</f>
        <v>Цемент, мешок, 50кг</v>
      </c>
      <c r="B514" s="99" t="s">
        <v>126</v>
      </c>
      <c r="C514" s="229">
        <f>(C513+C515)*4*D451*G447</f>
        <v>532.22400000000005</v>
      </c>
      <c r="D514" s="1171">
        <f>'Прайс лист'!G175</f>
        <v>250</v>
      </c>
      <c r="E514" s="259">
        <f t="shared" si="8"/>
        <v>133056</v>
      </c>
      <c r="F514" s="2228"/>
      <c r="G514" s="3130" t="s">
        <v>1556</v>
      </c>
      <c r="H514" s="3130"/>
      <c r="I514" s="99" t="s">
        <v>133</v>
      </c>
      <c r="J514" s="2262">
        <f>C451*D457*H447</f>
        <v>0</v>
      </c>
      <c r="K514" s="229">
        <f>'Прайс лист'!G1765</f>
        <v>600</v>
      </c>
      <c r="L514" s="229">
        <f t="shared" si="9"/>
        <v>0</v>
      </c>
      <c r="M514" s="1195"/>
      <c r="N514" s="1195"/>
      <c r="O514" s="1195"/>
      <c r="P514" s="1195"/>
      <c r="Q514" s="1195"/>
      <c r="R514" s="1195"/>
    </row>
    <row r="515" spans="1:18" ht="16">
      <c r="A515" s="229" t="str">
        <f>'Прайс лист'!B165</f>
        <v>Песок, м3</v>
      </c>
      <c r="B515" s="99" t="s">
        <v>135</v>
      </c>
      <c r="C515" s="229">
        <f>(C513/0.75)*0.3*D451*G447</f>
        <v>38.016000000000005</v>
      </c>
      <c r="D515" s="1171">
        <f>'Прайс лист'!G165</f>
        <v>250</v>
      </c>
      <c r="E515" s="259">
        <f t="shared" si="8"/>
        <v>9504.0000000000018</v>
      </c>
      <c r="F515" s="2228"/>
      <c r="G515" s="3130" t="s">
        <v>1557</v>
      </c>
      <c r="H515" s="3130"/>
      <c r="I515" s="99" t="s">
        <v>133</v>
      </c>
      <c r="J515" s="2262">
        <f>C497*D470*H447</f>
        <v>0</v>
      </c>
      <c r="K515" s="229">
        <f>'Прайс лист'!G1766</f>
        <v>200</v>
      </c>
      <c r="L515" s="229">
        <f t="shared" si="9"/>
        <v>0</v>
      </c>
      <c r="M515" s="1195"/>
      <c r="N515" s="1195"/>
      <c r="O515" s="1195"/>
      <c r="P515" s="1195"/>
      <c r="Q515" s="1195"/>
      <c r="R515" s="1195"/>
    </row>
    <row r="516" spans="1:18" ht="16">
      <c r="A516" s="229" t="str">
        <f>'Прайс лист'!B211</f>
        <v>Кладочная сетка, 100*100/150*150/200*200мм</v>
      </c>
      <c r="B516" s="99" t="s">
        <v>133</v>
      </c>
      <c r="C516" s="229">
        <f>(C497/0.6)*0.1*D451*G447</f>
        <v>19.8</v>
      </c>
      <c r="D516" s="1171">
        <f>'Прайс лист'!G211</f>
        <v>70</v>
      </c>
      <c r="E516" s="259">
        <f t="shared" si="8"/>
        <v>1386</v>
      </c>
      <c r="F516" s="2228"/>
      <c r="G516" s="3130" t="s">
        <v>1558</v>
      </c>
      <c r="H516" s="3130"/>
      <c r="I516" s="99" t="s">
        <v>133</v>
      </c>
      <c r="J516" s="2262">
        <f>C497*D471*H447</f>
        <v>0</v>
      </c>
      <c r="K516" s="229">
        <f>'Прайс лист'!G1767</f>
        <v>300</v>
      </c>
      <c r="L516" s="229">
        <f t="shared" si="9"/>
        <v>0</v>
      </c>
      <c r="M516" s="1195"/>
      <c r="N516" s="1195"/>
      <c r="O516" s="1195"/>
      <c r="P516" s="1195"/>
      <c r="Q516" s="1195"/>
      <c r="R516" s="1195"/>
    </row>
    <row r="517" spans="1:18" ht="16">
      <c r="A517" s="98" t="s">
        <v>1249</v>
      </c>
      <c r="B517" s="99" t="s">
        <v>133</v>
      </c>
      <c r="C517" s="229">
        <f>C497*G447*D452</f>
        <v>0</v>
      </c>
      <c r="D517" s="1171">
        <f>'Прайс лист'!G1376</f>
        <v>350</v>
      </c>
      <c r="E517" s="259">
        <f t="shared" si="8"/>
        <v>0</v>
      </c>
      <c r="F517" s="2228"/>
      <c r="G517" s="3130" t="s">
        <v>1559</v>
      </c>
      <c r="H517" s="3130"/>
      <c r="I517" s="99" t="s">
        <v>133</v>
      </c>
      <c r="J517" s="2262">
        <f>(C459*D459*H447+C469*D469*H447)</f>
        <v>0</v>
      </c>
      <c r="K517" s="229">
        <f>'Прайс лист'!G1768</f>
        <v>120</v>
      </c>
      <c r="L517" s="229">
        <f t="shared" si="9"/>
        <v>0</v>
      </c>
      <c r="M517" s="1195"/>
      <c r="N517" s="1195"/>
      <c r="O517" s="1195"/>
      <c r="P517" s="1195"/>
      <c r="Q517" s="1195"/>
      <c r="R517" s="1195"/>
    </row>
    <row r="518" spans="1:18" ht="15.5" customHeight="1">
      <c r="A518" s="98" t="s">
        <v>1250</v>
      </c>
      <c r="B518" s="99" t="s">
        <v>159</v>
      </c>
      <c r="C518" s="229">
        <f>C517*0.15*G447</f>
        <v>0</v>
      </c>
      <c r="D518" s="1171">
        <f>'Прайс лист'!G1377</f>
        <v>300</v>
      </c>
      <c r="E518" s="259">
        <f t="shared" si="8"/>
        <v>0</v>
      </c>
      <c r="F518" s="2228"/>
      <c r="G518" s="3205" t="s">
        <v>1255</v>
      </c>
      <c r="H518" s="3205"/>
      <c r="I518" s="2226"/>
      <c r="J518" s="2226">
        <f>C497*D454</f>
        <v>0</v>
      </c>
      <c r="K518" s="229">
        <f>'Прайс лист'!G1769</f>
        <v>400</v>
      </c>
      <c r="L518" s="229">
        <f t="shared" si="9"/>
        <v>0</v>
      </c>
      <c r="M518" s="1195"/>
      <c r="N518" s="1195"/>
      <c r="O518" s="1195"/>
      <c r="P518" s="1195"/>
      <c r="Q518" s="1195"/>
      <c r="R518" s="1195"/>
    </row>
    <row r="519" spans="1:18" ht="16">
      <c r="A519" s="283" t="s">
        <v>1253</v>
      </c>
      <c r="B519" s="99" t="s">
        <v>133</v>
      </c>
      <c r="C519" s="229">
        <f>C453*D453*G447</f>
        <v>0</v>
      </c>
      <c r="D519" s="1171">
        <f>'Прайс лист'!G1380</f>
        <v>550</v>
      </c>
      <c r="E519" s="259">
        <f t="shared" si="8"/>
        <v>0</v>
      </c>
      <c r="F519" s="2228"/>
      <c r="G519" s="2284" t="s">
        <v>2234</v>
      </c>
      <c r="H519" s="2285"/>
      <c r="I519" s="99" t="s">
        <v>133</v>
      </c>
      <c r="J519" s="2262">
        <f>C496*IF(A530='Прайс лист'!B744,0,1)</f>
        <v>118.8</v>
      </c>
      <c r="K519" s="229">
        <f>'Прайс лист'!G1671</f>
        <v>200</v>
      </c>
      <c r="L519" s="229">
        <f t="shared" si="9"/>
        <v>23760</v>
      </c>
      <c r="M519" s="1195"/>
      <c r="N519" s="1195"/>
      <c r="O519" s="1195"/>
      <c r="P519" s="1195"/>
      <c r="Q519" s="1195"/>
      <c r="R519" s="1195"/>
    </row>
    <row r="520" spans="1:18" ht="16">
      <c r="A520" s="283" t="s">
        <v>1254</v>
      </c>
      <c r="B520" s="99" t="s">
        <v>159</v>
      </c>
      <c r="C520" s="229">
        <f>C519*0.15*G447</f>
        <v>0</v>
      </c>
      <c r="D520" s="1171">
        <f>'Прайс лист'!G1381</f>
        <v>350</v>
      </c>
      <c r="E520" s="259">
        <f t="shared" si="8"/>
        <v>0</v>
      </c>
      <c r="F520" s="2228"/>
      <c r="G520" s="2284" t="str">
        <f>'Прайс лист'!B1774</f>
        <v>Оштукатуривание поверхности, подготовка</v>
      </c>
      <c r="H520" s="2285"/>
      <c r="I520" s="99" t="s">
        <v>133</v>
      </c>
      <c r="J520" s="2262">
        <f>C496*D458</f>
        <v>0</v>
      </c>
      <c r="K520" s="229">
        <f>'Прайс лист'!G1774</f>
        <v>400</v>
      </c>
      <c r="L520" s="229">
        <f t="shared" si="9"/>
        <v>0</v>
      </c>
      <c r="M520" s="1195"/>
      <c r="N520" s="1195"/>
      <c r="O520" s="1195"/>
      <c r="P520" s="1195"/>
      <c r="Q520" s="1195"/>
      <c r="R520" s="1195"/>
    </row>
    <row r="521" spans="1:18" ht="16">
      <c r="A521" s="283">
        <f>IF('Ввод данных'!A1171=связи1!A22,'Ввод данных'!A1173,0)</f>
        <v>0</v>
      </c>
      <c r="B521" s="99" t="s">
        <v>133</v>
      </c>
      <c r="C521" s="229">
        <f>C454*D454*G447</f>
        <v>0</v>
      </c>
      <c r="D521" s="1171">
        <f>IF('Ввод данных'!A1171=связи1!A22,VLOOKUP(A521,'Прайс лист'!B685:G714,6,0),0)</f>
        <v>0</v>
      </c>
      <c r="E521" s="259">
        <f t="shared" si="8"/>
        <v>0</v>
      </c>
      <c r="F521" s="2228"/>
      <c r="G521" s="2284" t="str">
        <f>'Прайс лист'!B1775</f>
        <v>Наклейка сетки</v>
      </c>
      <c r="H521" s="2285"/>
      <c r="I521" s="99" t="s">
        <v>133</v>
      </c>
      <c r="J521" s="2262">
        <f>C496*D458</f>
        <v>0</v>
      </c>
      <c r="K521" s="229">
        <f>'Прайс лист'!G1775</f>
        <v>200</v>
      </c>
      <c r="L521" s="229">
        <f t="shared" si="9"/>
        <v>0</v>
      </c>
      <c r="M521" s="1195"/>
      <c r="N521" s="1195"/>
      <c r="O521" s="1195"/>
      <c r="P521" s="1195"/>
      <c r="Q521" s="1195"/>
      <c r="R521" s="1195"/>
    </row>
    <row r="522" spans="1:18" ht="16">
      <c r="A522" s="98"/>
      <c r="B522" s="99"/>
      <c r="C522" s="229"/>
      <c r="D522" s="1171"/>
      <c r="E522" s="259"/>
      <c r="F522" s="2228"/>
      <c r="G522" s="2284" t="str">
        <f>'Прайс лист'!B1776</f>
        <v>Нанесение декоративной штукатурки</v>
      </c>
      <c r="H522" s="2285"/>
      <c r="I522" s="99" t="s">
        <v>133</v>
      </c>
      <c r="J522" s="2262">
        <f>C496*D458</f>
        <v>0</v>
      </c>
      <c r="K522" s="229">
        <f>'Прайс лист'!G1776</f>
        <v>600</v>
      </c>
      <c r="L522" s="229">
        <f t="shared" si="9"/>
        <v>0</v>
      </c>
      <c r="M522" s="1195"/>
      <c r="N522" s="1195"/>
      <c r="O522" s="1195"/>
      <c r="P522" s="1195"/>
      <c r="Q522" s="1195"/>
      <c r="R522" s="1195"/>
    </row>
    <row r="523" spans="1:18" ht="16">
      <c r="A523" s="229" t="s">
        <v>1257</v>
      </c>
      <c r="B523" s="99" t="s">
        <v>159</v>
      </c>
      <c r="C523" s="229">
        <f>C456*D456*G447</f>
        <v>0</v>
      </c>
      <c r="D523" s="1171">
        <f>'Прайс лист'!G1384</f>
        <v>15</v>
      </c>
      <c r="E523" s="259">
        <f t="shared" ref="E523:E556" si="10">C523*D523</f>
        <v>0</v>
      </c>
      <c r="F523" s="2228"/>
      <c r="G523" s="2284" t="s">
        <v>1568</v>
      </c>
      <c r="H523" s="2285"/>
      <c r="I523" s="99"/>
      <c r="J523" s="2262"/>
      <c r="K523" s="229">
        <f>'Прайс лист'!G1779</f>
        <v>0</v>
      </c>
      <c r="L523" s="229">
        <f t="shared" si="9"/>
        <v>0</v>
      </c>
      <c r="M523" s="1195"/>
      <c r="N523" s="1195"/>
      <c r="O523" s="1195"/>
      <c r="P523" s="1195"/>
      <c r="Q523" s="1195"/>
      <c r="R523" s="1195"/>
    </row>
    <row r="524" spans="1:18" ht="16">
      <c r="A524" s="2272">
        <f>IF('Ввод данных'!A1171=связи1!A24,связи1!A24,0)</f>
        <v>0</v>
      </c>
      <c r="B524" s="99" t="s">
        <v>133</v>
      </c>
      <c r="C524" s="229">
        <f>C457*D457*G447+C467*D464*G447</f>
        <v>0</v>
      </c>
      <c r="D524" s="1171">
        <f>'Прайс лист'!G1385</f>
        <v>1000</v>
      </c>
      <c r="E524" s="259">
        <f t="shared" si="10"/>
        <v>0</v>
      </c>
      <c r="F524" s="2228"/>
      <c r="G524" s="2284" t="s">
        <v>1554</v>
      </c>
      <c r="H524" s="2285"/>
      <c r="I524" s="99" t="s">
        <v>133</v>
      </c>
      <c r="J524" s="2262">
        <f>C478*H447*IF(A541=связи1!A443,0,1)</f>
        <v>0</v>
      </c>
      <c r="K524" s="229">
        <f>'Прайс лист'!G1780</f>
        <v>200</v>
      </c>
      <c r="L524" s="229">
        <f t="shared" si="9"/>
        <v>0</v>
      </c>
      <c r="M524" s="1195"/>
      <c r="N524" s="1195"/>
      <c r="O524" s="1195"/>
      <c r="P524" s="1195"/>
      <c r="Q524" s="1195"/>
      <c r="R524" s="1195"/>
    </row>
    <row r="525" spans="1:18" ht="16">
      <c r="A525" s="2272">
        <f>IF('Ввод данных'!A1171=связи1!A18,'Ввод данных'!A1173,0)</f>
        <v>0</v>
      </c>
      <c r="B525" s="99" t="s">
        <v>133</v>
      </c>
      <c r="C525" s="229">
        <f>C459*D459*G447+C469*D469*G447</f>
        <v>0</v>
      </c>
      <c r="D525" s="1171">
        <f>IF('Ввод данных'!A1171=связи1!A18,VLOOKUP('Ввод данных'!A1173,'Прайс лист'!B1521:G1526,6,0),0)</f>
        <v>0</v>
      </c>
      <c r="E525" s="259">
        <f t="shared" si="10"/>
        <v>0</v>
      </c>
      <c r="F525" s="2228"/>
      <c r="G525" s="2284" t="s">
        <v>1569</v>
      </c>
      <c r="H525" s="2285"/>
      <c r="I525" s="99" t="s">
        <v>156</v>
      </c>
      <c r="J525" s="2262">
        <f>C477*D477*H447</f>
        <v>56</v>
      </c>
      <c r="K525" s="229">
        <f>'Прайс лист'!G1781</f>
        <v>120</v>
      </c>
      <c r="L525" s="229">
        <f t="shared" si="9"/>
        <v>6720</v>
      </c>
      <c r="M525" s="1195"/>
      <c r="N525" s="1195"/>
      <c r="O525" s="1195"/>
      <c r="P525" s="1195"/>
      <c r="Q525" s="1195"/>
      <c r="R525" s="1195"/>
    </row>
    <row r="526" spans="1:18" ht="16">
      <c r="A526" s="2272" t="s">
        <v>1259</v>
      </c>
      <c r="B526" s="99" t="s">
        <v>126</v>
      </c>
      <c r="C526" s="229">
        <f>C524/4*G447</f>
        <v>0</v>
      </c>
      <c r="D526" s="1171">
        <f>'Прайс лист'!G1386</f>
        <v>250</v>
      </c>
      <c r="E526" s="259">
        <f t="shared" si="10"/>
        <v>0</v>
      </c>
      <c r="F526" s="2228"/>
      <c r="G526" s="2284" t="s">
        <v>1559</v>
      </c>
      <c r="H526" s="2285"/>
      <c r="I526" s="99" t="s">
        <v>133</v>
      </c>
      <c r="J526" s="2262">
        <f>C483*H447*IF(A545='Прайс лист'!B1521,0,1)</f>
        <v>22.400000000000002</v>
      </c>
      <c r="K526" s="229">
        <f>'Прайс лист'!G1782</f>
        <v>120</v>
      </c>
      <c r="L526" s="229">
        <f t="shared" si="9"/>
        <v>2688.0000000000005</v>
      </c>
      <c r="M526" s="1195"/>
      <c r="N526" s="1195"/>
      <c r="O526" s="1195"/>
      <c r="P526" s="1195"/>
      <c r="Q526" s="1195"/>
      <c r="R526" s="1195"/>
    </row>
    <row r="527" spans="1:18" ht="16">
      <c r="A527" s="2272" t="str">
        <f>'Ввод данных'!A1186</f>
        <v>Грунт  1</v>
      </c>
      <c r="B527" s="99" t="s">
        <v>396</v>
      </c>
      <c r="C527" s="229">
        <f>(C521+C522+C524+C513)*G447</f>
        <v>95.04</v>
      </c>
      <c r="D527" s="1171">
        <f>VLOOKUP(A527,'Прайс лист'!B1531:G1533,6,0)</f>
        <v>100</v>
      </c>
      <c r="E527" s="259">
        <f t="shared" si="10"/>
        <v>9504</v>
      </c>
      <c r="F527" s="2228"/>
      <c r="G527" s="2284" t="s">
        <v>1570</v>
      </c>
      <c r="H527" s="2285"/>
      <c r="I527" s="99" t="s">
        <v>133</v>
      </c>
      <c r="J527" s="2262">
        <f>C478*D478*H447</f>
        <v>0</v>
      </c>
      <c r="K527" s="229">
        <f>'Прайс лист'!G1783</f>
        <v>350</v>
      </c>
      <c r="L527" s="229">
        <f t="shared" si="9"/>
        <v>0</v>
      </c>
      <c r="M527" s="1195"/>
      <c r="N527" s="1195"/>
      <c r="O527" s="1195"/>
      <c r="P527" s="1195"/>
      <c r="Q527" s="1195"/>
      <c r="R527" s="1195"/>
    </row>
    <row r="528" spans="1:18" ht="16">
      <c r="A528" s="229" t="str">
        <f>'Ввод данных'!A1188</f>
        <v>"Тонерол" Антисептик  бесцветный  1л</v>
      </c>
      <c r="B528" s="99" t="s">
        <v>396</v>
      </c>
      <c r="C528" s="229">
        <f>(C454*D454+C455*D455+C468*D464)*D470*0.15*G447</f>
        <v>0</v>
      </c>
      <c r="D528" s="1171">
        <f>VLOOKUP(A528,'Прайс лист'!B1534:G1561,6,0)</f>
        <v>305</v>
      </c>
      <c r="E528" s="259">
        <f t="shared" si="10"/>
        <v>0</v>
      </c>
      <c r="F528" s="2228"/>
      <c r="G528" s="2258" t="s">
        <v>1571</v>
      </c>
      <c r="H528" s="2259"/>
      <c r="I528" s="99" t="s">
        <v>133</v>
      </c>
      <c r="J528" s="2262">
        <f>C479*D479*H447</f>
        <v>22.400000000000002</v>
      </c>
      <c r="K528" s="229">
        <f>'Прайс лист'!G1784</f>
        <v>900</v>
      </c>
      <c r="L528" s="229">
        <f t="shared" si="9"/>
        <v>20160.000000000004</v>
      </c>
      <c r="M528" s="1195"/>
      <c r="N528" s="1195"/>
      <c r="O528" s="1195"/>
      <c r="P528" s="1195"/>
      <c r="Q528" s="1195"/>
      <c r="R528" s="1195"/>
    </row>
    <row r="529" spans="1:18" ht="16">
      <c r="A529" s="229" t="str">
        <f>'Ввод данных'!A1190</f>
        <v>Лак для поверхностей 1</v>
      </c>
      <c r="B529" s="99" t="s">
        <v>396</v>
      </c>
      <c r="C529" s="229">
        <f>(C454*D454+C455*D455+C468*D464)*D471*0.15*G447</f>
        <v>0</v>
      </c>
      <c r="D529" s="1171">
        <f>VLOOKUP(A529,'Прайс лист'!B1562:G1564,6,0)</f>
        <v>120</v>
      </c>
      <c r="E529" s="259">
        <f t="shared" si="10"/>
        <v>0</v>
      </c>
      <c r="F529" s="2228"/>
      <c r="G529" s="2258" t="s">
        <v>1572</v>
      </c>
      <c r="H529" s="2259"/>
      <c r="I529" s="99" t="s">
        <v>133</v>
      </c>
      <c r="J529" s="2262">
        <f>C480*D480*H447</f>
        <v>0</v>
      </c>
      <c r="K529" s="229">
        <f>'Прайс лист'!G1785</f>
        <v>800</v>
      </c>
      <c r="L529" s="229">
        <f t="shared" si="9"/>
        <v>0</v>
      </c>
      <c r="M529" s="1195"/>
      <c r="N529" s="1195"/>
      <c r="O529" s="1195"/>
      <c r="P529" s="1195"/>
      <c r="Q529" s="1195"/>
      <c r="R529" s="1195"/>
    </row>
    <row r="530" spans="1:18" ht="16">
      <c r="A530" s="229" t="str">
        <f>'Ввод данных'!A1176</f>
        <v>Плитный,28кг/м3, технониколь, 100мм</v>
      </c>
      <c r="B530" s="99" t="s">
        <v>135</v>
      </c>
      <c r="C530" s="229">
        <f>VLOOKUP(A530,'Прайс лист'!B744:G783,3,0)*C496</f>
        <v>11.88</v>
      </c>
      <c r="D530" s="1171">
        <f>VLOOKUP(A530,'Прайс лист'!B744:G783,6,0)</f>
        <v>1700</v>
      </c>
      <c r="E530" s="259">
        <f t="shared" si="10"/>
        <v>20196</v>
      </c>
      <c r="F530" s="2228"/>
      <c r="G530" s="2284" t="s">
        <v>1573</v>
      </c>
      <c r="H530" s="2285"/>
      <c r="I530" s="99"/>
      <c r="J530" s="2262"/>
      <c r="K530" s="229">
        <f>'Прайс лист'!G1786</f>
        <v>0</v>
      </c>
      <c r="L530" s="229">
        <f t="shared" si="9"/>
        <v>0</v>
      </c>
      <c r="M530" s="1195"/>
      <c r="N530" s="1195"/>
      <c r="O530" s="1195"/>
      <c r="P530" s="1195"/>
      <c r="Q530" s="1195"/>
      <c r="R530" s="1195"/>
    </row>
    <row r="531" spans="1:18" ht="16">
      <c r="A531" s="229">
        <f>IF('Ввод данных'!A1171=связи1!A25,'Ввод данных'!A1173,0)</f>
        <v>0</v>
      </c>
      <c r="B531" s="99" t="s">
        <v>126</v>
      </c>
      <c r="C531" s="229">
        <f>CEILING(C458*D458/(25/'Ввод данных'!D1174),1)</f>
        <v>0</v>
      </c>
      <c r="D531" s="1171">
        <f>IF('Ввод данных'!A1171=связи1!A25,VLOOKUP(A531,'Прайс лист'!B1582:G1586,6,0),0)</f>
        <v>0</v>
      </c>
      <c r="E531" s="259">
        <f t="shared" si="10"/>
        <v>0</v>
      </c>
      <c r="F531" s="2228"/>
      <c r="G531" s="2284" t="s">
        <v>1256</v>
      </c>
      <c r="H531" s="2285"/>
      <c r="I531" s="99" t="s">
        <v>133</v>
      </c>
      <c r="J531" s="2262">
        <f>C487*D487*H447</f>
        <v>0</v>
      </c>
      <c r="K531" s="229">
        <f>'Прайс лист'!G1787</f>
        <v>600</v>
      </c>
      <c r="L531" s="229">
        <f t="shared" si="9"/>
        <v>0</v>
      </c>
      <c r="M531" s="1195"/>
      <c r="N531" s="1195"/>
      <c r="O531" s="1195"/>
      <c r="P531" s="1195"/>
      <c r="Q531" s="1195"/>
      <c r="R531" s="1195"/>
    </row>
    <row r="532" spans="1:18" ht="16">
      <c r="A532" s="229" t="str">
        <f>'Прайс лист'!B1587</f>
        <v>Сетка штукатурная ПВС 40 Оцинкованная рулон</v>
      </c>
      <c r="B532" s="99" t="s">
        <v>133</v>
      </c>
      <c r="C532" s="229">
        <f>C458*D458*1.3</f>
        <v>0</v>
      </c>
      <c r="D532" s="1171">
        <f>'Прайс лист'!G1587</f>
        <v>15</v>
      </c>
      <c r="E532" s="259">
        <f t="shared" si="10"/>
        <v>0</v>
      </c>
      <c r="F532" s="2228"/>
      <c r="G532" s="2284" t="s">
        <v>1574</v>
      </c>
      <c r="H532" s="2285"/>
      <c r="I532" s="99" t="s">
        <v>133</v>
      </c>
      <c r="J532" s="2262">
        <f>C488*D488*H447</f>
        <v>0</v>
      </c>
      <c r="K532" s="229">
        <f>'Прайс лист'!G1788</f>
        <v>500</v>
      </c>
      <c r="L532" s="229">
        <f t="shared" si="9"/>
        <v>0</v>
      </c>
      <c r="M532" s="1195"/>
      <c r="N532" s="1195"/>
      <c r="O532" s="1195"/>
      <c r="P532" s="1195"/>
      <c r="Q532" s="1195"/>
      <c r="R532" s="1195"/>
    </row>
    <row r="533" spans="1:18" ht="16">
      <c r="A533" s="259" t="str">
        <f>'Прайс лист'!B1588</f>
        <v>Штукатурка для наружних работ</v>
      </c>
      <c r="B533" s="1171" t="s">
        <v>133</v>
      </c>
      <c r="C533" s="259">
        <f>CEILING(C458*D458/(25/'Ввод данных'!D1174),1)</f>
        <v>0</v>
      </c>
      <c r="D533" s="1171">
        <f>'Прайс лист'!G1588</f>
        <v>390</v>
      </c>
      <c r="E533" s="259">
        <f t="shared" si="10"/>
        <v>0</v>
      </c>
      <c r="F533" s="2228"/>
      <c r="G533" s="2284" t="s">
        <v>1575</v>
      </c>
      <c r="H533" s="2285"/>
      <c r="I533" s="99" t="s">
        <v>133</v>
      </c>
      <c r="J533" s="2262">
        <f>C473*D473*H447</f>
        <v>118.8</v>
      </c>
      <c r="K533" s="229">
        <f>'Прайс лист'!G1789</f>
        <v>100</v>
      </c>
      <c r="L533" s="229">
        <f t="shared" si="9"/>
        <v>11880</v>
      </c>
      <c r="M533" s="1195"/>
      <c r="N533" s="1195"/>
      <c r="O533" s="1195"/>
      <c r="P533" s="1195"/>
      <c r="Q533" s="1195"/>
      <c r="R533" s="1195"/>
    </row>
    <row r="534" spans="1:18" ht="16">
      <c r="A534" s="99" t="s">
        <v>1568</v>
      </c>
      <c r="B534" s="99"/>
      <c r="C534" s="229">
        <v>0</v>
      </c>
      <c r="D534" s="1171">
        <v>1</v>
      </c>
      <c r="E534" s="259">
        <f t="shared" si="10"/>
        <v>0</v>
      </c>
      <c r="F534" s="2228"/>
      <c r="G534" s="1058" t="str">
        <f>'Прайс лист'!B1770</f>
        <v>Монтаж евровагонка</v>
      </c>
      <c r="H534" s="1042"/>
      <c r="I534" s="99" t="s">
        <v>133</v>
      </c>
      <c r="J534" s="1042">
        <f>C463*D463*H447</f>
        <v>0</v>
      </c>
      <c r="K534" s="1058">
        <f>'Прайс лист'!G1770</f>
        <v>400</v>
      </c>
      <c r="L534" s="229">
        <f t="shared" si="9"/>
        <v>0</v>
      </c>
      <c r="M534" s="1195"/>
      <c r="N534" s="1195"/>
      <c r="O534" s="1195"/>
      <c r="P534" s="1195"/>
      <c r="Q534" s="1195"/>
      <c r="R534" s="1195"/>
    </row>
    <row r="535" spans="1:18" ht="16">
      <c r="A535" s="306" t="s">
        <v>1260</v>
      </c>
      <c r="B535" s="99" t="s">
        <v>156</v>
      </c>
      <c r="C535" s="229">
        <f>C477*D477*G447*D474</f>
        <v>56</v>
      </c>
      <c r="D535" s="1171">
        <f>'Прайс лист'!G1387</f>
        <v>100</v>
      </c>
      <c r="E535" s="259">
        <f t="shared" si="10"/>
        <v>5600</v>
      </c>
      <c r="F535" s="2228"/>
      <c r="G535" s="1058" t="str">
        <f>'Прайс лист'!B1771</f>
        <v>Монтаж вагонка штиль</v>
      </c>
      <c r="H535" s="1042"/>
      <c r="I535" s="99" t="s">
        <v>133</v>
      </c>
      <c r="J535" s="1042">
        <f>C462*D462*H447</f>
        <v>0</v>
      </c>
      <c r="K535" s="1058">
        <f>'Прайс лист'!G1771</f>
        <v>400</v>
      </c>
      <c r="L535" s="229">
        <f t="shared" si="9"/>
        <v>0</v>
      </c>
      <c r="M535" s="1195"/>
      <c r="N535" s="1195"/>
      <c r="O535" s="1195"/>
      <c r="P535" s="1195"/>
      <c r="Q535" s="1195"/>
      <c r="R535" s="1195"/>
    </row>
    <row r="536" spans="1:18" ht="16">
      <c r="A536" s="132" t="s">
        <v>1253</v>
      </c>
      <c r="B536" s="99" t="s">
        <v>133</v>
      </c>
      <c r="C536" s="229">
        <f>C478*D478*G447*D474</f>
        <v>0</v>
      </c>
      <c r="D536" s="1171">
        <f>D519</f>
        <v>550</v>
      </c>
      <c r="E536" s="259">
        <f t="shared" si="10"/>
        <v>0</v>
      </c>
      <c r="F536" s="2228"/>
      <c r="G536" s="1058" t="str">
        <f>'Прайс лист'!B1772</f>
        <v>Монтаж софт лайн</v>
      </c>
      <c r="H536" s="1042"/>
      <c r="I536" s="99" t="s">
        <v>133</v>
      </c>
      <c r="J536" s="1042">
        <f>C461*D461</f>
        <v>0</v>
      </c>
      <c r="K536" s="1058">
        <f>'Прайс лист'!G1772</f>
        <v>400</v>
      </c>
      <c r="L536" s="229">
        <f t="shared" si="9"/>
        <v>0</v>
      </c>
      <c r="M536" s="1195"/>
      <c r="N536" s="1195"/>
      <c r="O536" s="1195"/>
      <c r="P536" s="1195"/>
      <c r="Q536" s="1195"/>
      <c r="R536" s="1195"/>
    </row>
    <row r="537" spans="1:18" ht="16">
      <c r="A537" s="132" t="s">
        <v>1261</v>
      </c>
      <c r="B537" s="99" t="s">
        <v>133</v>
      </c>
      <c r="C537" s="229">
        <f>C479*G447*D479*D474</f>
        <v>22.400000000000002</v>
      </c>
      <c r="D537" s="1171">
        <f>'Прайс лист'!G1388</f>
        <v>600</v>
      </c>
      <c r="E537" s="259">
        <f t="shared" si="10"/>
        <v>13440.000000000002</v>
      </c>
      <c r="F537" s="2228"/>
      <c r="G537" s="1058" t="str">
        <f>'Прайс лист'!B1773</f>
        <v>Монтаж блокхаус</v>
      </c>
      <c r="H537" s="275"/>
      <c r="I537" s="99" t="s">
        <v>133</v>
      </c>
      <c r="J537" s="2262">
        <f>C460*D460</f>
        <v>0</v>
      </c>
      <c r="K537" s="1058">
        <f>'Прайс лист'!G1773</f>
        <v>400</v>
      </c>
      <c r="L537" s="229">
        <f t="shared" si="9"/>
        <v>0</v>
      </c>
      <c r="M537" s="1195"/>
      <c r="N537" s="1195"/>
      <c r="O537" s="1195"/>
      <c r="P537" s="1195"/>
      <c r="Q537" s="1195"/>
      <c r="R537" s="1195"/>
    </row>
    <row r="538" spans="1:18" ht="16">
      <c r="A538" s="132" t="s">
        <v>1258</v>
      </c>
      <c r="B538" s="99" t="s">
        <v>133</v>
      </c>
      <c r="C538" s="229">
        <f>C480*G447*D480*D474</f>
        <v>0</v>
      </c>
      <c r="D538" s="1171">
        <f>D524</f>
        <v>1000</v>
      </c>
      <c r="E538" s="259">
        <f t="shared" si="10"/>
        <v>0</v>
      </c>
      <c r="F538" s="2228"/>
      <c r="M538" s="1195"/>
      <c r="N538" s="1195"/>
      <c r="O538" s="1195"/>
      <c r="P538" s="1195"/>
      <c r="Q538" s="1195"/>
      <c r="R538" s="1195"/>
    </row>
    <row r="539" spans="1:18" ht="16">
      <c r="A539" s="132" t="s">
        <v>1259</v>
      </c>
      <c r="B539" s="99" t="s">
        <v>126</v>
      </c>
      <c r="C539" s="229">
        <f>C537/3*G447*D474</f>
        <v>7.4666666666666677</v>
      </c>
      <c r="D539" s="1171">
        <f>D526</f>
        <v>250</v>
      </c>
      <c r="E539" s="259">
        <f t="shared" si="10"/>
        <v>1866.666666666667</v>
      </c>
      <c r="F539" s="2228"/>
      <c r="G539" s="1058"/>
      <c r="H539" s="275"/>
      <c r="I539" s="99"/>
      <c r="J539" s="2262"/>
      <c r="K539" s="229"/>
      <c r="L539" s="229">
        <f t="shared" ref="L539:L544" si="11">J539*K539</f>
        <v>0</v>
      </c>
      <c r="M539" s="1195"/>
      <c r="N539" s="1195"/>
      <c r="O539" s="1195"/>
      <c r="P539" s="1195"/>
      <c r="Q539" s="1195"/>
      <c r="R539" s="1195"/>
    </row>
    <row r="540" spans="1:18" ht="16">
      <c r="A540" s="132" t="str">
        <f>A527</f>
        <v>Грунт  1</v>
      </c>
      <c r="B540" s="99" t="s">
        <v>396</v>
      </c>
      <c r="C540" s="229">
        <f>C538/3*G447*D474</f>
        <v>0</v>
      </c>
      <c r="D540" s="1171">
        <f>D527</f>
        <v>100</v>
      </c>
      <c r="E540" s="259">
        <f t="shared" si="10"/>
        <v>0</v>
      </c>
      <c r="F540" s="2228"/>
      <c r="G540" s="2284"/>
      <c r="H540" s="2285"/>
      <c r="I540" s="99"/>
      <c r="J540" s="2262"/>
      <c r="K540" s="229"/>
      <c r="L540" s="229">
        <f t="shared" si="11"/>
        <v>0</v>
      </c>
      <c r="M540" s="1195"/>
      <c r="N540" s="1195"/>
      <c r="O540" s="1195"/>
      <c r="P540" s="1195"/>
      <c r="Q540" s="1195"/>
      <c r="R540" s="1195"/>
    </row>
    <row r="541" spans="1:18" ht="16">
      <c r="A541" s="2226" t="str">
        <f>'Ввод данных'!A1197</f>
        <v>нет</v>
      </c>
      <c r="B541" s="99" t="s">
        <v>156</v>
      </c>
      <c r="C541" s="229">
        <f>C481</f>
        <v>45.280000000000008</v>
      </c>
      <c r="D541" s="1171">
        <f>VLOOKUP(A541,связи1!A443:E454,4,0)</f>
        <v>0</v>
      </c>
      <c r="E541" s="259">
        <f t="shared" si="10"/>
        <v>0</v>
      </c>
      <c r="F541" s="2228"/>
      <c r="G541" s="3199"/>
      <c r="H541" s="3199"/>
      <c r="I541" s="99"/>
      <c r="J541" s="2262"/>
      <c r="K541" s="229"/>
      <c r="L541" s="229">
        <f t="shared" si="11"/>
        <v>0</v>
      </c>
      <c r="M541" s="1195"/>
      <c r="N541" s="1195"/>
      <c r="O541" s="1195"/>
      <c r="P541" s="1195"/>
      <c r="Q541" s="1195"/>
      <c r="R541" s="1195"/>
    </row>
    <row r="542" spans="1:18" ht="16">
      <c r="A542" s="2226" t="str">
        <f>'Ввод данных'!A1199</f>
        <v>Фасадный кронштейн КК 120</v>
      </c>
      <c r="B542" s="99" t="s">
        <v>159</v>
      </c>
      <c r="C542" s="229">
        <f>C476*D484*3*G447*D474</f>
        <v>168</v>
      </c>
      <c r="D542" s="1171">
        <f>VLOOKUP(A542,'Прайс лист'!B1505:G1516,6,0)</f>
        <v>19</v>
      </c>
      <c r="E542" s="259">
        <f t="shared" si="10"/>
        <v>3192</v>
      </c>
      <c r="F542" s="2228"/>
      <c r="G542" s="3199"/>
      <c r="H542" s="3199"/>
      <c r="I542" s="99"/>
      <c r="J542" s="2262"/>
      <c r="K542" s="229"/>
      <c r="L542" s="229">
        <f t="shared" si="11"/>
        <v>0</v>
      </c>
      <c r="M542" s="1195"/>
      <c r="N542" s="1195"/>
      <c r="O542" s="1195"/>
      <c r="P542" s="1195"/>
      <c r="Q542" s="1195"/>
      <c r="R542" s="1195"/>
    </row>
    <row r="543" spans="1:18" ht="16">
      <c r="A543" s="2226" t="str">
        <f>A512</f>
        <v xml:space="preserve">Болты анкерные с гайкой 10,0 х 97           </v>
      </c>
      <c r="B543" s="99" t="s">
        <v>159</v>
      </c>
      <c r="C543" s="229">
        <f>C542*2*G447*D474</f>
        <v>336</v>
      </c>
      <c r="D543" s="1171">
        <f>D512</f>
        <v>7.4</v>
      </c>
      <c r="E543" s="259">
        <f t="shared" si="10"/>
        <v>2486.4</v>
      </c>
      <c r="F543" s="2228"/>
      <c r="G543" s="3199"/>
      <c r="H543" s="3199"/>
      <c r="I543" s="99"/>
      <c r="J543" s="2262"/>
      <c r="K543" s="229"/>
      <c r="L543" s="229">
        <f t="shared" si="11"/>
        <v>0</v>
      </c>
      <c r="M543" s="1195"/>
      <c r="N543" s="1195"/>
      <c r="O543" s="1195"/>
      <c r="P543" s="1195"/>
      <c r="Q543" s="1195"/>
      <c r="R543" s="1195"/>
    </row>
    <row r="544" spans="1:18" ht="16">
      <c r="A544" s="2226" t="str">
        <f>A511</f>
        <v xml:space="preserve">Саморезы 3,5 x 45            </v>
      </c>
      <c r="B544" s="99"/>
      <c r="C544" s="229">
        <f>C543</f>
        <v>336</v>
      </c>
      <c r="D544" s="1171">
        <f>D511</f>
        <v>0.25</v>
      </c>
      <c r="E544" s="259">
        <f t="shared" si="10"/>
        <v>84</v>
      </c>
      <c r="F544" s="2228"/>
      <c r="G544" s="3199"/>
      <c r="H544" s="3199"/>
      <c r="I544" s="99"/>
      <c r="J544" s="2262"/>
      <c r="K544" s="229"/>
      <c r="L544" s="229">
        <f t="shared" si="11"/>
        <v>0</v>
      </c>
      <c r="M544" s="1195"/>
      <c r="N544" s="1195"/>
      <c r="O544" s="1195"/>
      <c r="P544" s="1195"/>
      <c r="Q544" s="1195"/>
      <c r="R544" s="1195"/>
    </row>
    <row r="545" spans="1:18" ht="16">
      <c r="A545" s="2226" t="str">
        <f>'Ввод данных'!A1201</f>
        <v>Плоский шифер 8 мм</v>
      </c>
      <c r="B545" s="99" t="s">
        <v>133</v>
      </c>
      <c r="C545" s="229">
        <f>C483*G447*D483*D474</f>
        <v>0</v>
      </c>
      <c r="D545" s="1171">
        <f>VLOOKUP(A545,'Прайс лист'!B1521:G1526,6,0)</f>
        <v>85</v>
      </c>
      <c r="E545" s="259">
        <f t="shared" si="10"/>
        <v>0</v>
      </c>
      <c r="F545" s="2228"/>
      <c r="G545" s="2260"/>
      <c r="H545" s="2261"/>
      <c r="I545" s="99"/>
      <c r="J545" s="2262"/>
      <c r="K545" s="229"/>
      <c r="L545" s="229"/>
      <c r="M545" s="1195"/>
      <c r="N545" s="1195"/>
      <c r="O545" s="1195"/>
      <c r="P545" s="1195"/>
      <c r="Q545" s="1195"/>
      <c r="R545" s="1195"/>
    </row>
    <row r="546" spans="1:18" ht="16">
      <c r="A546" s="99" t="s">
        <v>3965</v>
      </c>
      <c r="B546" s="99"/>
      <c r="C546" s="229">
        <v>0</v>
      </c>
      <c r="D546" s="1171">
        <v>1</v>
      </c>
      <c r="E546" s="259">
        <f t="shared" si="10"/>
        <v>0</v>
      </c>
      <c r="F546" s="2228"/>
      <c r="G546" s="3199"/>
      <c r="H546" s="3199"/>
      <c r="I546" s="99"/>
      <c r="J546" s="2262"/>
      <c r="K546" s="229"/>
      <c r="L546" s="229">
        <f t="shared" ref="L546:L553" si="12">J546*K546</f>
        <v>0</v>
      </c>
      <c r="M546" s="1195"/>
      <c r="N546" s="1195"/>
      <c r="O546" s="1195"/>
      <c r="P546" s="1195"/>
      <c r="Q546" s="1195"/>
      <c r="R546" s="1195"/>
    </row>
    <row r="547" spans="1:18" ht="16">
      <c r="A547" s="2226" t="s">
        <v>1256</v>
      </c>
      <c r="B547" s="99" t="s">
        <v>133</v>
      </c>
      <c r="C547" s="229">
        <f>C487*D487*G447*D486</f>
        <v>0</v>
      </c>
      <c r="D547" s="1171">
        <f>D522</f>
        <v>0</v>
      </c>
      <c r="E547" s="259">
        <f t="shared" si="10"/>
        <v>0</v>
      </c>
      <c r="F547" s="2228"/>
      <c r="G547" s="3199"/>
      <c r="H547" s="3199"/>
      <c r="I547" s="99"/>
      <c r="J547" s="2262"/>
      <c r="K547" s="229"/>
      <c r="L547" s="229">
        <f t="shared" si="12"/>
        <v>0</v>
      </c>
      <c r="M547" s="1195"/>
      <c r="N547" s="1195"/>
      <c r="O547" s="1195"/>
      <c r="P547" s="1195"/>
      <c r="Q547" s="1195"/>
      <c r="R547" s="1195"/>
    </row>
    <row r="548" spans="1:18" ht="16">
      <c r="A548" s="2226" t="str">
        <f>'Ввод данных'!A1209</f>
        <v>Доска сухая, калибр., 35*45мм</v>
      </c>
      <c r="B548" s="99" t="s">
        <v>156</v>
      </c>
      <c r="C548" s="229">
        <f>C476*2*D487*G447*D486</f>
        <v>112</v>
      </c>
      <c r="D548" s="1171">
        <f>VLOOKUP(A548,связи1!A418:E421,4,0)</f>
        <v>19.6875</v>
      </c>
      <c r="E548" s="259">
        <f t="shared" si="10"/>
        <v>2205</v>
      </c>
      <c r="F548" s="2228"/>
      <c r="G548" s="3199"/>
      <c r="H548" s="3199"/>
      <c r="I548" s="99"/>
      <c r="J548" s="2262"/>
      <c r="K548" s="229"/>
      <c r="L548" s="229">
        <f t="shared" si="12"/>
        <v>0</v>
      </c>
      <c r="M548" s="1195"/>
      <c r="N548" s="1195"/>
      <c r="O548" s="1195"/>
      <c r="P548" s="1195"/>
      <c r="Q548" s="1195"/>
      <c r="R548" s="1195"/>
    </row>
    <row r="549" spans="1:18" ht="16">
      <c r="A549" s="2226" t="s">
        <v>1574</v>
      </c>
      <c r="B549" s="99" t="s">
        <v>133</v>
      </c>
      <c r="C549" s="229">
        <f>C488*G447*D488*D486</f>
        <v>0</v>
      </c>
      <c r="D549" s="1171">
        <f>D517</f>
        <v>350</v>
      </c>
      <c r="E549" s="259">
        <f t="shared" si="10"/>
        <v>0</v>
      </c>
      <c r="F549" s="2228"/>
      <c r="G549" s="3199"/>
      <c r="H549" s="3199"/>
      <c r="I549" s="99"/>
      <c r="J549" s="2262"/>
      <c r="K549" s="229"/>
      <c r="L549" s="229">
        <f t="shared" si="12"/>
        <v>0</v>
      </c>
      <c r="M549" s="1195"/>
      <c r="N549" s="1195"/>
      <c r="O549" s="1195"/>
      <c r="P549" s="1195"/>
      <c r="Q549" s="1195"/>
      <c r="R549" s="1195"/>
    </row>
    <row r="550" spans="1:18" ht="16">
      <c r="A550" s="2226" t="s">
        <v>1251</v>
      </c>
      <c r="B550" s="99" t="s">
        <v>156</v>
      </c>
      <c r="C550" s="229">
        <f>C476*G447*D488*D486</f>
        <v>0</v>
      </c>
      <c r="D550" s="1171">
        <f>'Прайс лист'!G1378</f>
        <v>60</v>
      </c>
      <c r="E550" s="259">
        <f t="shared" si="10"/>
        <v>0</v>
      </c>
      <c r="F550" s="2228"/>
      <c r="G550" s="3199"/>
      <c r="H550" s="3199"/>
      <c r="I550" s="99"/>
      <c r="J550" s="2262"/>
      <c r="K550" s="229"/>
      <c r="L550" s="229">
        <f t="shared" si="12"/>
        <v>0</v>
      </c>
      <c r="M550" s="1195"/>
      <c r="N550" s="1195"/>
      <c r="O550" s="1195"/>
      <c r="P550" s="1195"/>
      <c r="Q550" s="1195"/>
      <c r="R550" s="1195"/>
    </row>
    <row r="551" spans="1:18" ht="16">
      <c r="A551" s="2226" t="s">
        <v>1252</v>
      </c>
      <c r="B551" s="99" t="s">
        <v>156</v>
      </c>
      <c r="C551" s="229">
        <f>C550*D488*G447*D486</f>
        <v>0</v>
      </c>
      <c r="D551" s="1171">
        <f>'Прайс лист'!G1379</f>
        <v>40</v>
      </c>
      <c r="E551" s="259">
        <f t="shared" si="10"/>
        <v>0</v>
      </c>
      <c r="F551" s="2228"/>
      <c r="G551" s="3199"/>
      <c r="H551" s="3199"/>
      <c r="I551" s="99"/>
      <c r="J551" s="2262"/>
      <c r="K551" s="229"/>
      <c r="L551" s="229">
        <f t="shared" si="12"/>
        <v>0</v>
      </c>
      <c r="M551" s="1195"/>
      <c r="N551" s="1195"/>
      <c r="O551" s="1195"/>
      <c r="P551" s="1195"/>
      <c r="Q551" s="1195"/>
      <c r="R551" s="1195"/>
    </row>
    <row r="552" spans="1:18" ht="16">
      <c r="A552" s="2226" t="str">
        <f>A544</f>
        <v xml:space="preserve">Саморезы 3,5 x 45            </v>
      </c>
      <c r="B552" s="99" t="s">
        <v>159</v>
      </c>
      <c r="C552" s="229">
        <f>(D487+D488)*C476*2*3*G447*D486</f>
        <v>336</v>
      </c>
      <c r="D552" s="1171">
        <f>D544</f>
        <v>0.25</v>
      </c>
      <c r="E552" s="259">
        <f t="shared" si="10"/>
        <v>84</v>
      </c>
      <c r="F552" s="2228"/>
      <c r="G552" s="3199"/>
      <c r="H552" s="3199"/>
      <c r="I552" s="99"/>
      <c r="J552" s="2262"/>
      <c r="K552" s="229"/>
      <c r="L552" s="229">
        <f t="shared" si="12"/>
        <v>0</v>
      </c>
      <c r="M552" s="1195"/>
      <c r="N552" s="1195"/>
      <c r="O552" s="1195"/>
      <c r="P552" s="1195"/>
      <c r="Q552" s="1195"/>
      <c r="R552" s="1195"/>
    </row>
    <row r="553" spans="1:18" ht="16">
      <c r="A553" s="2226" t="str">
        <f>'Прайс лист'!B879</f>
        <v xml:space="preserve">Саморезы 4,2 х 75            </v>
      </c>
      <c r="B553" s="99" t="s">
        <v>159</v>
      </c>
      <c r="C553" s="229">
        <f>(C487*D487+C488*D488)*15*G447*D486</f>
        <v>0</v>
      </c>
      <c r="D553" s="1171">
        <f>'Прайс лист'!F879</f>
        <v>0.45</v>
      </c>
      <c r="E553" s="259">
        <f t="shared" si="10"/>
        <v>0</v>
      </c>
      <c r="F553" s="2228"/>
      <c r="G553" s="3199"/>
      <c r="H553" s="3199"/>
      <c r="I553" s="99"/>
      <c r="J553" s="2262"/>
      <c r="K553" s="229"/>
      <c r="L553" s="229">
        <f t="shared" si="12"/>
        <v>0</v>
      </c>
      <c r="M553" s="1195"/>
      <c r="N553" s="1195"/>
      <c r="O553" s="1195"/>
      <c r="P553" s="1195"/>
      <c r="Q553" s="1195"/>
      <c r="R553" s="1195"/>
    </row>
    <row r="554" spans="1:18" ht="16">
      <c r="A554" s="229" t="str">
        <f>'Ввод данных'!A1211</f>
        <v>Нет техники</v>
      </c>
      <c r="B554" s="229" t="str">
        <f>'Ввод данных'!B1211</f>
        <v>час</v>
      </c>
      <c r="C554" s="229">
        <f>'Ввод данных'!C1211</f>
        <v>0</v>
      </c>
      <c r="D554" s="99">
        <f>VLOOKUP(A554,'Прайс лист'!B180:G194,6,0)</f>
        <v>0</v>
      </c>
      <c r="E554" s="259">
        <f t="shared" si="10"/>
        <v>0</v>
      </c>
      <c r="F554" s="2228"/>
      <c r="G554" s="3199"/>
      <c r="H554" s="3199"/>
      <c r="I554" s="99"/>
      <c r="J554" s="2262"/>
      <c r="K554" s="229"/>
      <c r="L554" s="229"/>
      <c r="M554" s="1195"/>
      <c r="N554" s="1195"/>
      <c r="O554" s="1195"/>
      <c r="P554" s="1195"/>
      <c r="Q554" s="1195"/>
      <c r="R554" s="1195"/>
    </row>
    <row r="555" spans="1:18" ht="16">
      <c r="A555" s="229" t="str">
        <f>'Ввод данных'!A1212</f>
        <v>Нет техники</v>
      </c>
      <c r="B555" s="229" t="str">
        <f>'Ввод данных'!B1212</f>
        <v>шт</v>
      </c>
      <c r="C555" s="229">
        <f>'Ввод данных'!C1212</f>
        <v>0</v>
      </c>
      <c r="D555" s="99">
        <f>VLOOKUP(A555,'Прайс лист'!B180:G194,6,0)</f>
        <v>0</v>
      </c>
      <c r="E555" s="259">
        <f t="shared" si="10"/>
        <v>0</v>
      </c>
      <c r="F555" s="2228"/>
      <c r="G555" s="3199"/>
      <c r="H555" s="3199"/>
      <c r="I555" s="99"/>
      <c r="J555" s="2262"/>
      <c r="K555" s="229"/>
      <c r="L555" s="229">
        <f>J555*K555</f>
        <v>0</v>
      </c>
      <c r="M555" s="1195"/>
      <c r="N555" s="1195"/>
      <c r="O555" s="1195"/>
      <c r="P555" s="1195"/>
      <c r="Q555" s="1195"/>
      <c r="R555" s="1195"/>
    </row>
    <row r="556" spans="1:18" ht="16">
      <c r="A556" s="229" t="str">
        <f>'Ввод данных'!A1214</f>
        <v>расходные материалы отделка внешняя</v>
      </c>
      <c r="B556" s="229" t="str">
        <f>'Ввод данных'!B1214</f>
        <v>рублей</v>
      </c>
      <c r="C556" s="229">
        <f>1</f>
        <v>1</v>
      </c>
      <c r="D556" s="99">
        <f>'Ввод данных'!C1214</f>
        <v>3000</v>
      </c>
      <c r="E556" s="259">
        <f t="shared" si="10"/>
        <v>3000</v>
      </c>
      <c r="F556" s="2228"/>
      <c r="G556" s="3199"/>
      <c r="H556" s="3199"/>
      <c r="I556" s="99"/>
      <c r="J556" s="2262"/>
      <c r="K556" s="229"/>
      <c r="L556" s="229">
        <f>J556*K556</f>
        <v>0</v>
      </c>
      <c r="M556" s="1195"/>
      <c r="N556" s="1195"/>
      <c r="O556" s="1195"/>
      <c r="P556" s="1195"/>
      <c r="Q556" s="1195"/>
      <c r="R556" s="1195"/>
    </row>
    <row r="557" spans="1:18" ht="16">
      <c r="F557" s="2228"/>
      <c r="G557" s="2286"/>
      <c r="H557" s="2286"/>
      <c r="I557" s="2286"/>
      <c r="J557" s="2287"/>
      <c r="K557" s="2228"/>
      <c r="L557" s="229"/>
      <c r="M557" s="1195"/>
      <c r="N557" s="1195"/>
      <c r="O557" s="1195"/>
      <c r="P557" s="1195"/>
      <c r="Q557" s="1195"/>
      <c r="R557" s="1195"/>
    </row>
    <row r="558" spans="1:18" ht="16">
      <c r="A558" s="1194"/>
      <c r="B558" s="1194"/>
      <c r="C558" s="1194"/>
      <c r="D558" s="1194"/>
      <c r="E558" s="1165">
        <f>SUM(E508:E555)</f>
        <v>331742.75546666671</v>
      </c>
      <c r="F558" s="1194"/>
      <c r="G558" s="2234"/>
      <c r="H558" s="2228"/>
      <c r="I558" s="1194"/>
      <c r="J558" s="1194"/>
      <c r="K558" s="1194"/>
      <c r="L558" s="229">
        <f>SUM(L508:L556)</f>
        <v>148368</v>
      </c>
      <c r="M558" s="1195"/>
      <c r="N558" s="1195"/>
      <c r="O558" s="1195"/>
      <c r="P558" s="1195"/>
      <c r="Q558" s="1195"/>
      <c r="R558" s="1195"/>
    </row>
    <row r="559" spans="1:18" ht="16">
      <c r="A559" s="98" t="s">
        <v>3660</v>
      </c>
      <c r="B559" s="2262">
        <f>E558</f>
        <v>331742.75546666671</v>
      </c>
      <c r="C559" s="1194"/>
      <c r="D559" s="1194"/>
      <c r="E559" s="1194"/>
      <c r="F559" s="1194"/>
      <c r="G559" s="1194"/>
      <c r="H559" s="1194"/>
      <c r="I559" s="1194"/>
      <c r="J559" s="1194"/>
      <c r="K559" s="1194"/>
      <c r="L559" s="1194"/>
      <c r="M559" s="1195"/>
      <c r="N559" s="1195"/>
      <c r="O559" s="1195"/>
      <c r="P559" s="1195"/>
      <c r="Q559" s="1195"/>
      <c r="R559" s="1195"/>
    </row>
    <row r="560" spans="1:18" ht="16">
      <c r="A560" s="98" t="s">
        <v>3661</v>
      </c>
      <c r="B560" s="2262">
        <f>L558</f>
        <v>148368</v>
      </c>
      <c r="C560" s="1194"/>
      <c r="D560" s="1194"/>
      <c r="E560" s="1194"/>
      <c r="F560" s="1194"/>
      <c r="G560" s="1194"/>
      <c r="H560" s="1194"/>
      <c r="I560" s="1194"/>
      <c r="J560" s="1194"/>
      <c r="K560" s="1194"/>
      <c r="L560" s="1194"/>
      <c r="M560" s="1195"/>
      <c r="N560" s="1195"/>
      <c r="O560" s="1195"/>
      <c r="P560" s="1195"/>
      <c r="Q560" s="1195"/>
      <c r="R560" s="1195"/>
    </row>
    <row r="561" spans="1:18" ht="16">
      <c r="A561" s="229" t="s">
        <v>2728</v>
      </c>
      <c r="B561" s="2262">
        <f>(B559+B560)</f>
        <v>480110.75546666671</v>
      </c>
      <c r="C561" s="1194"/>
      <c r="D561" s="1194"/>
      <c r="E561" s="1194"/>
      <c r="F561" s="1194"/>
      <c r="G561" s="1194"/>
      <c r="H561" s="1194"/>
      <c r="I561" s="1194"/>
      <c r="J561" s="1194"/>
      <c r="K561" s="1194"/>
      <c r="L561" s="1194"/>
      <c r="M561" s="1195"/>
      <c r="N561" s="1195"/>
      <c r="O561" s="1195"/>
      <c r="P561" s="1195"/>
      <c r="Q561" s="1195"/>
      <c r="R561" s="1195"/>
    </row>
    <row r="562" spans="1:18" ht="16">
      <c r="A562" s="2288" t="s">
        <v>2465</v>
      </c>
      <c r="B562" s="2250"/>
      <c r="C562" s="3196" t="s">
        <v>3663</v>
      </c>
      <c r="D562" s="3196"/>
      <c r="E562" s="3196"/>
      <c r="F562" s="3196"/>
      <c r="G562" s="2257"/>
      <c r="H562" s="1195"/>
      <c r="I562" s="1195"/>
      <c r="J562" s="1195"/>
      <c r="K562" s="1195"/>
      <c r="L562" s="1195"/>
      <c r="M562" s="1195"/>
      <c r="N562" s="1195"/>
      <c r="O562" s="1195"/>
      <c r="P562" s="1195"/>
      <c r="Q562" s="1195"/>
      <c r="R562" s="1195"/>
    </row>
    <row r="563" spans="1:18" ht="16">
      <c r="A563" s="2263"/>
      <c r="B563" s="1195"/>
      <c r="C563" s="2257"/>
      <c r="D563" s="2257"/>
      <c r="E563" s="1195"/>
      <c r="F563" s="2257"/>
      <c r="G563" s="2257"/>
      <c r="H563" s="1195"/>
      <c r="I563" s="1195"/>
      <c r="J563" s="1195"/>
      <c r="K563" s="1195"/>
      <c r="L563" s="1195"/>
      <c r="M563" s="1195"/>
      <c r="N563" s="1195"/>
      <c r="O563" s="1195"/>
      <c r="P563" s="1195"/>
      <c r="Q563" s="1195"/>
      <c r="R563" s="1195"/>
    </row>
    <row r="564" spans="1:18" ht="24">
      <c r="A564" s="3200" t="s">
        <v>2466</v>
      </c>
      <c r="B564" s="3200"/>
      <c r="C564" s="3200"/>
      <c r="D564" s="3200"/>
      <c r="E564" s="3200"/>
      <c r="F564" s="3200"/>
      <c r="G564" s="3200"/>
      <c r="H564" s="3200"/>
      <c r="I564" s="3200"/>
      <c r="J564" s="813"/>
      <c r="K564" s="813"/>
      <c r="L564" s="1195"/>
      <c r="M564" s="1195"/>
      <c r="N564" s="1195"/>
      <c r="O564" s="1195"/>
      <c r="P564" s="1195"/>
      <c r="Q564" s="1195"/>
      <c r="R564" s="1195"/>
    </row>
    <row r="565" spans="1:18" ht="24">
      <c r="A565" s="3200"/>
      <c r="B565" s="3200"/>
      <c r="C565" s="3200"/>
      <c r="D565" s="3200"/>
      <c r="E565" s="3200"/>
      <c r="F565" s="3200"/>
      <c r="G565" s="3200"/>
      <c r="H565" s="3200"/>
      <c r="I565" s="3200"/>
      <c r="J565" s="813"/>
      <c r="K565" s="813"/>
      <c r="L565" s="1195"/>
      <c r="M565" s="1195"/>
      <c r="N565" s="1195"/>
      <c r="O565" s="1195"/>
      <c r="P565" s="1195"/>
      <c r="Q565" s="1195"/>
      <c r="R565" s="1195"/>
    </row>
    <row r="566" spans="1:18" ht="24">
      <c r="A566" s="3198" t="s">
        <v>1806</v>
      </c>
      <c r="B566" s="3198"/>
      <c r="C566" s="3198"/>
      <c r="D566" s="3198"/>
      <c r="E566" s="3198"/>
      <c r="F566" s="3198"/>
      <c r="G566" s="2289">
        <f>'Ввод данных'!D1220</f>
        <v>1</v>
      </c>
      <c r="H566" s="888">
        <f>'Ввод данных'!D1221</f>
        <v>1</v>
      </c>
      <c r="I566" s="888"/>
      <c r="J566" s="888"/>
      <c r="K566" s="888"/>
      <c r="L566" s="1194"/>
      <c r="M566" s="1194"/>
      <c r="N566" s="1194"/>
      <c r="O566" s="1194"/>
      <c r="P566" s="1194"/>
      <c r="Q566" s="1194"/>
      <c r="R566" s="1194"/>
    </row>
    <row r="567" spans="1:18" ht="24">
      <c r="A567" s="3198"/>
      <c r="B567" s="3198"/>
      <c r="C567" s="3198"/>
      <c r="D567" s="3198"/>
      <c r="E567" s="3198"/>
      <c r="F567" s="3198"/>
      <c r="G567" s="2253"/>
      <c r="H567" s="888"/>
      <c r="I567" s="888"/>
      <c r="J567" s="888"/>
      <c r="K567" s="888"/>
      <c r="L567" s="1194"/>
      <c r="M567" s="1194"/>
      <c r="N567" s="1194"/>
      <c r="O567" s="1194"/>
      <c r="P567" s="1194"/>
      <c r="Q567" s="1194"/>
      <c r="R567" s="1194"/>
    </row>
    <row r="568" spans="1:18" ht="24">
      <c r="A568" s="261" t="s">
        <v>1552</v>
      </c>
      <c r="B568" s="261" t="s">
        <v>208</v>
      </c>
      <c r="C568" s="261" t="s">
        <v>1802</v>
      </c>
      <c r="D568" s="261">
        <f>VLOOKUP('Ввод данных'!C1224,связи1!A2:B3,2,0)</f>
        <v>0</v>
      </c>
      <c r="E568" s="490"/>
      <c r="F568" s="490"/>
      <c r="G568" s="897"/>
      <c r="H568" s="888"/>
      <c r="I568" s="888"/>
      <c r="J568" s="888"/>
      <c r="K568" s="888"/>
      <c r="L568" s="1194"/>
      <c r="M568" s="1194"/>
      <c r="N568" s="1194"/>
      <c r="O568" s="1194"/>
      <c r="P568" s="1194"/>
      <c r="Q568" s="1194"/>
      <c r="R568" s="1194"/>
    </row>
    <row r="569" spans="1:18" ht="24">
      <c r="A569" s="260" t="s">
        <v>2468</v>
      </c>
      <c r="B569" s="260" t="s">
        <v>133</v>
      </c>
      <c r="C569" s="229">
        <f>C624+C626*2-C597</f>
        <v>135.60000000000002</v>
      </c>
      <c r="D569" s="2290">
        <f>VLOOKUP('Ввод данных'!C1225,связи1!A2:B3,2,0)</f>
        <v>0</v>
      </c>
      <c r="E569" s="490"/>
      <c r="F569" s="490"/>
      <c r="G569" s="897"/>
      <c r="H569" s="888"/>
      <c r="I569" s="888"/>
      <c r="J569" s="888"/>
      <c r="K569" s="888"/>
      <c r="L569" s="1194"/>
      <c r="M569" s="1194"/>
      <c r="N569" s="1194"/>
      <c r="O569" s="1194"/>
      <c r="P569" s="1194"/>
      <c r="Q569" s="1194"/>
      <c r="R569" s="1194"/>
    </row>
    <row r="570" spans="1:18" ht="24">
      <c r="A570" s="260" t="s">
        <v>3966</v>
      </c>
      <c r="B570" s="260" t="s">
        <v>133</v>
      </c>
      <c r="C570" s="229">
        <f>C623+C626*2*0.9</f>
        <v>127.32000000000001</v>
      </c>
      <c r="D570" s="2290">
        <f>IF('Ввод данных'!A1226=связи1!H9,1,0)</f>
        <v>0</v>
      </c>
      <c r="E570" s="490"/>
      <c r="F570" s="490"/>
      <c r="G570" s="897"/>
      <c r="H570" s="888"/>
      <c r="I570" s="888"/>
      <c r="J570" s="888"/>
      <c r="K570" s="888"/>
      <c r="L570" s="1194"/>
      <c r="M570" s="1194"/>
      <c r="N570" s="1194"/>
      <c r="O570" s="1194"/>
      <c r="P570" s="1194"/>
      <c r="Q570" s="1194"/>
      <c r="R570" s="1194"/>
    </row>
    <row r="571" spans="1:18" ht="24">
      <c r="A571" s="260" t="s">
        <v>2470</v>
      </c>
      <c r="B571" s="260" t="s">
        <v>133</v>
      </c>
      <c r="C571" s="229">
        <f>C569</f>
        <v>135.60000000000002</v>
      </c>
      <c r="D571" s="2290">
        <f>VLOOKUP('Ввод данных'!C1227,связи1!A2:B3,2,0)</f>
        <v>0</v>
      </c>
      <c r="E571" s="490"/>
      <c r="F571" s="490"/>
      <c r="G571" s="897"/>
      <c r="H571" s="888"/>
      <c r="I571" s="888"/>
      <c r="J571" s="888"/>
      <c r="K571" s="888"/>
      <c r="L571" s="1194"/>
      <c r="M571" s="1194"/>
      <c r="N571" s="1194"/>
      <c r="O571" s="1194"/>
      <c r="P571" s="1194"/>
      <c r="Q571" s="1194"/>
      <c r="R571" s="1194"/>
    </row>
    <row r="572" spans="1:18" ht="24">
      <c r="A572" s="260" t="s">
        <v>1278</v>
      </c>
      <c r="B572" s="260" t="s">
        <v>133</v>
      </c>
      <c r="C572" s="229">
        <f>C569</f>
        <v>135.60000000000002</v>
      </c>
      <c r="D572" s="2290">
        <f>VLOOKUP('Ввод данных'!C1228,связи1!A2:B3,2,0)</f>
        <v>0</v>
      </c>
      <c r="E572" s="490"/>
      <c r="F572" s="490"/>
      <c r="G572" s="897"/>
      <c r="H572" s="888"/>
      <c r="I572" s="888"/>
      <c r="J572" s="888"/>
      <c r="K572" s="888"/>
      <c r="L572" s="1194"/>
      <c r="M572" s="1194"/>
      <c r="N572" s="1194"/>
      <c r="O572" s="1194"/>
      <c r="P572" s="1194"/>
      <c r="Q572" s="1194"/>
      <c r="R572" s="1194"/>
    </row>
    <row r="573" spans="1:18" ht="24">
      <c r="A573" s="260" t="s">
        <v>2471</v>
      </c>
      <c r="B573" s="260" t="s">
        <v>133</v>
      </c>
      <c r="C573" s="229">
        <f>C569</f>
        <v>135.60000000000002</v>
      </c>
      <c r="D573" s="2290">
        <f>VLOOKUP('Ввод данных'!C1229,связи1!A2:B3,2,0)</f>
        <v>0</v>
      </c>
      <c r="E573" s="490"/>
      <c r="F573" s="490"/>
      <c r="G573" s="897"/>
      <c r="H573" s="888"/>
      <c r="I573" s="888"/>
      <c r="J573" s="888"/>
      <c r="K573" s="888"/>
      <c r="L573" s="1194"/>
      <c r="M573" s="1194"/>
      <c r="N573" s="1194"/>
      <c r="O573" s="1194"/>
      <c r="P573" s="1194"/>
      <c r="Q573" s="1194"/>
      <c r="R573" s="1194"/>
    </row>
    <row r="574" spans="1:18" ht="24">
      <c r="A574" s="260" t="s">
        <v>1255</v>
      </c>
      <c r="B574" s="260" t="s">
        <v>133</v>
      </c>
      <c r="C574" s="229">
        <f>C624+C626*2-C597</f>
        <v>135.60000000000002</v>
      </c>
      <c r="D574" s="2290">
        <f>IF('Ввод данных'!A1230=связи1!H27,1,0)</f>
        <v>0</v>
      </c>
      <c r="E574" s="490"/>
      <c r="F574" s="490"/>
      <c r="G574" s="897"/>
      <c r="H574" s="888"/>
      <c r="I574" s="888"/>
      <c r="J574" s="888"/>
      <c r="K574" s="888"/>
      <c r="L574" s="1194"/>
      <c r="M574" s="1194"/>
      <c r="N574" s="1194"/>
      <c r="O574" s="1194"/>
      <c r="P574" s="1194"/>
      <c r="Q574" s="1194"/>
      <c r="R574" s="1194"/>
    </row>
    <row r="575" spans="1:18" ht="24">
      <c r="A575" s="260" t="s">
        <v>1281</v>
      </c>
      <c r="B575" s="260" t="s">
        <v>133</v>
      </c>
      <c r="C575" s="229">
        <f>C624+C626*2-C597</f>
        <v>135.60000000000002</v>
      </c>
      <c r="D575" s="2290">
        <f>IF('Ввод данных'!A1230=связи1!H28,1,0)</f>
        <v>0</v>
      </c>
      <c r="E575" s="490"/>
      <c r="F575" s="490"/>
      <c r="G575" s="897"/>
      <c r="H575" s="888"/>
      <c r="I575" s="888"/>
      <c r="J575" s="888"/>
      <c r="K575" s="888"/>
      <c r="L575" s="1194"/>
      <c r="M575" s="1194"/>
      <c r="N575" s="1194"/>
      <c r="O575" s="1194"/>
      <c r="P575" s="1194"/>
      <c r="Q575" s="1194"/>
      <c r="R575" s="1194"/>
    </row>
    <row r="576" spans="1:18" ht="24">
      <c r="A576" s="260" t="s">
        <v>1282</v>
      </c>
      <c r="B576" s="260" t="s">
        <v>133</v>
      </c>
      <c r="C576" s="229">
        <f>C624+C626*2-C597</f>
        <v>135.60000000000002</v>
      </c>
      <c r="D576" s="2290">
        <f>IF('Ввод данных'!A1230=связи1!H29,1,0)</f>
        <v>0</v>
      </c>
      <c r="E576" s="490"/>
      <c r="F576" s="490"/>
      <c r="G576" s="897"/>
      <c r="H576" s="888"/>
      <c r="I576" s="888"/>
      <c r="J576" s="888"/>
      <c r="K576" s="888"/>
      <c r="L576" s="1194"/>
      <c r="M576" s="1194"/>
      <c r="N576" s="1194"/>
      <c r="O576" s="1194"/>
      <c r="P576" s="1194"/>
      <c r="Q576" s="1194"/>
      <c r="R576" s="1194"/>
    </row>
    <row r="577" spans="1:18" ht="24">
      <c r="A577" s="260" t="s">
        <v>3967</v>
      </c>
      <c r="B577" s="260" t="s">
        <v>133</v>
      </c>
      <c r="C577" s="1165">
        <f>C624+C626*2-C597</f>
        <v>135.60000000000002</v>
      </c>
      <c r="D577" s="2290">
        <f>IF('Ввод данных'!A1226=связи1!H10,1,0)</f>
        <v>0</v>
      </c>
      <c r="E577" s="490"/>
      <c r="F577" s="490"/>
      <c r="G577" s="897"/>
      <c r="H577" s="888"/>
      <c r="I577" s="888"/>
      <c r="J577" s="888"/>
      <c r="K577" s="888"/>
      <c r="L577" s="1194"/>
      <c r="M577" s="1194"/>
      <c r="N577" s="1194"/>
      <c r="O577" s="1194"/>
      <c r="P577" s="1194"/>
      <c r="Q577" s="1194"/>
      <c r="R577" s="1194"/>
    </row>
    <row r="578" spans="1:18" ht="24">
      <c r="A578" s="260" t="s">
        <v>1284</v>
      </c>
      <c r="B578" s="260" t="s">
        <v>159</v>
      </c>
      <c r="C578" s="1165">
        <f>C577*D578</f>
        <v>0</v>
      </c>
      <c r="D578" s="2290">
        <f>D577</f>
        <v>0</v>
      </c>
      <c r="E578" s="490"/>
      <c r="F578" s="490"/>
      <c r="G578" s="897"/>
      <c r="H578" s="888"/>
      <c r="I578" s="888"/>
      <c r="J578" s="888"/>
      <c r="K578" s="888"/>
      <c r="L578" s="1194"/>
      <c r="M578" s="1194"/>
      <c r="N578" s="1194"/>
      <c r="O578" s="1194"/>
      <c r="P578" s="1194"/>
      <c r="Q578" s="1194"/>
      <c r="R578" s="1194"/>
    </row>
    <row r="579" spans="1:18" ht="24">
      <c r="A579" s="261" t="s">
        <v>1582</v>
      </c>
      <c r="B579" s="260"/>
      <c r="C579" s="1165"/>
      <c r="D579" s="261">
        <f>VLOOKUP('Ввод данных'!C1231,связи1!A2:B3,2,0)</f>
        <v>0</v>
      </c>
      <c r="E579" s="490"/>
      <c r="F579" s="490"/>
      <c r="G579" s="897"/>
      <c r="H579" s="888"/>
      <c r="I579" s="888"/>
      <c r="J579" s="888"/>
      <c r="K579" s="888"/>
      <c r="L579" s="1194"/>
      <c r="M579" s="1194"/>
      <c r="N579" s="1194"/>
      <c r="O579" s="1194"/>
      <c r="P579" s="1194"/>
      <c r="Q579" s="1194"/>
      <c r="R579" s="1194"/>
    </row>
    <row r="580" spans="1:18" ht="24">
      <c r="A580" s="260" t="s">
        <v>2473</v>
      </c>
      <c r="B580" s="260" t="s">
        <v>133</v>
      </c>
      <c r="C580" s="229">
        <f>C614</f>
        <v>100</v>
      </c>
      <c r="D580" s="2290">
        <f>VLOOKUP('Ввод данных'!C1232,связи1!A2:B3,2,0)</f>
        <v>0</v>
      </c>
      <c r="E580" s="490"/>
      <c r="F580" s="490"/>
      <c r="G580" s="897"/>
      <c r="H580" s="888"/>
      <c r="I580" s="888"/>
      <c r="J580" s="888"/>
      <c r="K580" s="888"/>
      <c r="L580" s="1194"/>
      <c r="M580" s="1194"/>
      <c r="N580" s="1194"/>
      <c r="O580" s="1194"/>
      <c r="P580" s="1194"/>
      <c r="Q580" s="1194"/>
      <c r="R580" s="1194"/>
    </row>
    <row r="581" spans="1:18" ht="24">
      <c r="A581" s="260" t="s">
        <v>3966</v>
      </c>
      <c r="B581" s="260" t="s">
        <v>133</v>
      </c>
      <c r="C581" s="229">
        <f>C580</f>
        <v>100</v>
      </c>
      <c r="D581" s="2290">
        <f>IF('Ввод данных'!A1233=связи1!H9,1,0)</f>
        <v>0</v>
      </c>
      <c r="E581" s="490"/>
      <c r="F581" s="490"/>
      <c r="G581" s="897"/>
      <c r="H581" s="888"/>
      <c r="I581" s="888"/>
      <c r="J581" s="888"/>
      <c r="K581" s="888"/>
      <c r="L581" s="1194"/>
      <c r="M581" s="1194"/>
      <c r="N581" s="1194"/>
      <c r="O581" s="1194"/>
      <c r="P581" s="1194"/>
      <c r="Q581" s="1194"/>
      <c r="R581" s="1194"/>
    </row>
    <row r="582" spans="1:18" ht="24">
      <c r="A582" s="260" t="s">
        <v>2470</v>
      </c>
      <c r="B582" s="260" t="s">
        <v>133</v>
      </c>
      <c r="C582" s="229">
        <f>C580</f>
        <v>100</v>
      </c>
      <c r="D582" s="2290">
        <f>VLOOKUP('Ввод данных'!C1234,связи1!A2:B3,2,0)</f>
        <v>0</v>
      </c>
      <c r="E582" s="490"/>
      <c r="F582" s="490"/>
      <c r="G582" s="897"/>
      <c r="H582" s="888"/>
      <c r="I582" s="888"/>
      <c r="J582" s="888"/>
      <c r="K582" s="888"/>
      <c r="L582" s="1194"/>
      <c r="M582" s="1194"/>
      <c r="N582" s="1194"/>
      <c r="O582" s="1194"/>
      <c r="P582" s="1194"/>
      <c r="Q582" s="1194"/>
      <c r="R582" s="1194"/>
    </row>
    <row r="583" spans="1:18" ht="24">
      <c r="A583" s="260" t="s">
        <v>2471</v>
      </c>
      <c r="B583" s="260" t="s">
        <v>133</v>
      </c>
      <c r="C583" s="229">
        <f>C580</f>
        <v>100</v>
      </c>
      <c r="D583" s="2290">
        <f>VLOOKUP('Ввод данных'!C1235,связи1!A2:B3,2,0)</f>
        <v>0</v>
      </c>
      <c r="E583" s="490"/>
      <c r="F583" s="490"/>
      <c r="G583" s="897"/>
      <c r="H583" s="888"/>
      <c r="I583" s="888"/>
      <c r="J583" s="888"/>
      <c r="K583" s="888"/>
      <c r="L583" s="1194"/>
      <c r="M583" s="1194"/>
      <c r="N583" s="1194"/>
      <c r="O583" s="1194"/>
      <c r="P583" s="1194"/>
      <c r="Q583" s="1194"/>
      <c r="R583" s="1194"/>
    </row>
    <row r="584" spans="1:18" ht="24">
      <c r="A584" s="260" t="s">
        <v>2474</v>
      </c>
      <c r="B584" s="260" t="s">
        <v>156</v>
      </c>
      <c r="C584" s="229">
        <f>C595</f>
        <v>87.6</v>
      </c>
      <c r="D584" s="2290">
        <f>VLOOKUP('Ввод данных'!C1236,связи1!A2:B3,2,0)</f>
        <v>0</v>
      </c>
      <c r="E584" s="490"/>
      <c r="F584" s="490"/>
      <c r="G584" s="897"/>
      <c r="H584" s="888"/>
      <c r="I584" s="888"/>
      <c r="J584" s="888"/>
      <c r="K584" s="888"/>
      <c r="L584" s="1194"/>
      <c r="M584" s="1194"/>
      <c r="N584" s="1194"/>
      <c r="O584" s="1194"/>
      <c r="P584" s="1194"/>
      <c r="Q584" s="1194"/>
      <c r="R584" s="1194"/>
    </row>
    <row r="585" spans="1:18" ht="24">
      <c r="A585" s="260" t="s">
        <v>3968</v>
      </c>
      <c r="B585" s="260" t="s">
        <v>133</v>
      </c>
      <c r="C585" s="229">
        <f>C580-C599+C605*D605</f>
        <v>94</v>
      </c>
      <c r="D585" s="2290">
        <f>IF('Ввод данных'!A1237=связи1!H19,1,0)</f>
        <v>0</v>
      </c>
      <c r="E585" s="490"/>
      <c r="F585" s="490"/>
      <c r="G585" s="897"/>
      <c r="H585" s="888"/>
      <c r="I585" s="888"/>
      <c r="J585" s="888"/>
      <c r="K585" s="888"/>
      <c r="L585" s="1194"/>
      <c r="M585" s="1194"/>
      <c r="N585" s="1194"/>
      <c r="O585" s="1194"/>
      <c r="P585" s="1194"/>
      <c r="Q585" s="1194"/>
      <c r="R585" s="1194"/>
    </row>
    <row r="586" spans="1:18" ht="24">
      <c r="A586" s="260" t="s">
        <v>1255</v>
      </c>
      <c r="B586" s="260" t="s">
        <v>133</v>
      </c>
      <c r="C586" s="229">
        <f>C614-C605*D605-C604*D604-C601*D601</f>
        <v>94</v>
      </c>
      <c r="D586" s="2290">
        <f>IF('Ввод данных'!A1237=связи1!H20,1,0)</f>
        <v>0</v>
      </c>
      <c r="E586" s="490"/>
      <c r="F586" s="490"/>
      <c r="G586" s="897"/>
      <c r="H586" s="888"/>
      <c r="I586" s="888"/>
      <c r="J586" s="888"/>
      <c r="K586" s="888"/>
      <c r="L586" s="1194"/>
      <c r="M586" s="1194"/>
      <c r="N586" s="1194"/>
      <c r="O586" s="1194"/>
      <c r="P586" s="1194"/>
      <c r="Q586" s="1194"/>
      <c r="R586" s="1194"/>
    </row>
    <row r="587" spans="1:18" ht="24">
      <c r="A587" s="260" t="s">
        <v>1281</v>
      </c>
      <c r="B587" s="260" t="s">
        <v>133</v>
      </c>
      <c r="C587" s="229">
        <f>C614-C605*D605-C604*D604-C601*D601</f>
        <v>94</v>
      </c>
      <c r="D587" s="2290">
        <f>IF('Ввод данных'!A1237=связи1!H21,1,0)</f>
        <v>0</v>
      </c>
      <c r="E587" s="490"/>
      <c r="F587" s="490"/>
      <c r="G587" s="897"/>
      <c r="H587" s="888"/>
      <c r="I587" s="888"/>
      <c r="J587" s="888"/>
      <c r="K587" s="888"/>
      <c r="L587" s="1194"/>
      <c r="M587" s="1194"/>
      <c r="N587" s="1194"/>
      <c r="O587" s="1194"/>
      <c r="P587" s="1194"/>
      <c r="Q587" s="1194"/>
      <c r="R587" s="1194"/>
    </row>
    <row r="588" spans="1:18" ht="24">
      <c r="A588" s="260" t="s">
        <v>1282</v>
      </c>
      <c r="B588" s="260" t="s">
        <v>133</v>
      </c>
      <c r="C588" s="229">
        <f>C614-C605*D605-C604*D604-C601*D601</f>
        <v>94</v>
      </c>
      <c r="D588" s="2290">
        <f>IF('Ввод данных'!A1237=связи1!H22,1,0)</f>
        <v>1</v>
      </c>
      <c r="E588" s="490"/>
      <c r="F588" s="490"/>
      <c r="G588" s="897"/>
      <c r="H588" s="888"/>
      <c r="I588" s="888"/>
      <c r="J588" s="888"/>
      <c r="K588" s="888"/>
      <c r="L588" s="1194"/>
      <c r="M588" s="1194"/>
      <c r="N588" s="1194"/>
      <c r="O588" s="1194"/>
      <c r="P588" s="1194"/>
      <c r="Q588" s="1194"/>
      <c r="R588" s="1194"/>
    </row>
    <row r="589" spans="1:18" ht="24">
      <c r="A589" s="260" t="s">
        <v>3969</v>
      </c>
      <c r="B589" s="260" t="s">
        <v>156</v>
      </c>
      <c r="C589" s="229">
        <f>C614-C605*D605-C604*D604-C601*D601</f>
        <v>94</v>
      </c>
      <c r="D589" s="2290">
        <f>IF('Ввод данных'!A1233=связи1!H10,1,0)</f>
        <v>0</v>
      </c>
      <c r="E589" s="490"/>
      <c r="F589" s="490"/>
      <c r="G589" s="897"/>
      <c r="H589" s="888"/>
      <c r="I589" s="888"/>
      <c r="J589" s="888"/>
      <c r="K589" s="888"/>
      <c r="L589" s="1194"/>
      <c r="M589" s="1194"/>
      <c r="N589" s="1194"/>
      <c r="O589" s="1194"/>
      <c r="P589" s="1194"/>
      <c r="Q589" s="1194"/>
      <c r="R589" s="1194"/>
    </row>
    <row r="590" spans="1:18" ht="24">
      <c r="A590" s="260" t="s">
        <v>1284</v>
      </c>
      <c r="B590" s="260" t="s">
        <v>159</v>
      </c>
      <c r="C590" s="229">
        <f>C589</f>
        <v>94</v>
      </c>
      <c r="D590" s="2290">
        <f>D589</f>
        <v>0</v>
      </c>
      <c r="E590" s="490"/>
      <c r="F590" s="490"/>
      <c r="G590" s="897"/>
      <c r="H590" s="888"/>
      <c r="I590" s="888"/>
      <c r="J590" s="888"/>
      <c r="K590" s="888"/>
      <c r="L590" s="1194"/>
      <c r="M590" s="1194"/>
      <c r="N590" s="1194"/>
      <c r="O590" s="1194"/>
      <c r="P590" s="1194"/>
      <c r="Q590" s="1194"/>
      <c r="R590" s="1194"/>
    </row>
    <row r="591" spans="1:18" ht="24">
      <c r="A591" s="261" t="s">
        <v>1590</v>
      </c>
      <c r="B591" s="260"/>
      <c r="C591" s="229"/>
      <c r="D591" s="490">
        <f>VLOOKUP('Ввод данных'!C1238,связи1!A2:B3,2,0)</f>
        <v>1</v>
      </c>
      <c r="E591" s="490"/>
      <c r="F591" s="490"/>
      <c r="G591" s="897"/>
      <c r="H591" s="888"/>
      <c r="I591" s="888"/>
      <c r="J591" s="888"/>
      <c r="K591" s="888"/>
      <c r="L591" s="1194"/>
      <c r="M591" s="1194"/>
      <c r="N591" s="1194"/>
      <c r="O591" s="1194"/>
      <c r="P591" s="1194"/>
      <c r="Q591" s="1194"/>
      <c r="R591" s="1194"/>
    </row>
    <row r="592" spans="1:18" ht="24">
      <c r="A592" s="260" t="s">
        <v>1297</v>
      </c>
      <c r="B592" s="260" t="s">
        <v>133</v>
      </c>
      <c r="C592" s="229">
        <f>C615-C594-C598</f>
        <v>94</v>
      </c>
      <c r="D592" s="2290">
        <f>IF('Ввод данных'!A1239=связи1!H14,1,0)</f>
        <v>0</v>
      </c>
      <c r="E592" s="490"/>
      <c r="F592" s="490"/>
      <c r="G592" s="897"/>
      <c r="H592" s="888"/>
      <c r="I592" s="888"/>
      <c r="J592" s="888"/>
      <c r="K592" s="888"/>
      <c r="L592" s="1194"/>
      <c r="M592" s="1194"/>
      <c r="N592" s="1194"/>
      <c r="O592" s="1194"/>
      <c r="P592" s="1194"/>
      <c r="Q592" s="1194"/>
      <c r="R592" s="1194"/>
    </row>
    <row r="593" spans="1:18" ht="24">
      <c r="A593" s="260" t="s">
        <v>1298</v>
      </c>
      <c r="B593" s="260" t="s">
        <v>133</v>
      </c>
      <c r="C593" s="229">
        <f>C592</f>
        <v>94</v>
      </c>
      <c r="D593" s="2290">
        <f>IF('Ввод данных'!A1239=связи1!H15,1,0)</f>
        <v>1</v>
      </c>
      <c r="E593" s="490"/>
      <c r="F593" s="490"/>
      <c r="G593" s="897"/>
      <c r="H593" s="888"/>
      <c r="I593" s="888"/>
      <c r="J593" s="888"/>
      <c r="K593" s="888"/>
      <c r="L593" s="1194"/>
      <c r="M593" s="1194"/>
      <c r="N593" s="1194"/>
      <c r="O593" s="1194"/>
      <c r="P593" s="1194"/>
      <c r="Q593" s="1194"/>
      <c r="R593" s="1194"/>
    </row>
    <row r="594" spans="1:18" ht="24">
      <c r="A594" s="260" t="s">
        <v>1301</v>
      </c>
      <c r="B594" s="260" t="s">
        <v>133</v>
      </c>
      <c r="C594" s="2221">
        <f>'Ввод данных'!C1240</f>
        <v>0</v>
      </c>
      <c r="D594" s="2290">
        <v>1</v>
      </c>
      <c r="E594" s="490"/>
      <c r="F594" s="490"/>
      <c r="G594" s="897"/>
      <c r="H594" s="888"/>
      <c r="I594" s="888"/>
      <c r="J594" s="888"/>
      <c r="K594" s="888"/>
      <c r="L594" s="1194"/>
      <c r="M594" s="1194"/>
      <c r="N594" s="1194"/>
      <c r="O594" s="1194"/>
      <c r="P594" s="1194"/>
      <c r="Q594" s="1194"/>
      <c r="R594" s="1194"/>
    </row>
    <row r="595" spans="1:18" ht="24">
      <c r="A595" s="260" t="s">
        <v>2477</v>
      </c>
      <c r="B595" s="260" t="s">
        <v>156</v>
      </c>
      <c r="C595" s="229">
        <f>C618+C619*2+C620*2</f>
        <v>87.6</v>
      </c>
      <c r="D595" s="2290">
        <f>VLOOKUP('Ввод данных'!C1241,связи1!A2:B3,2,0)</f>
        <v>0</v>
      </c>
      <c r="E595" s="490"/>
      <c r="F595" s="490"/>
      <c r="G595" s="897"/>
      <c r="H595" s="888"/>
      <c r="I595" s="888"/>
      <c r="J595" s="888"/>
      <c r="K595" s="888"/>
      <c r="L595" s="1194"/>
      <c r="M595" s="1194"/>
      <c r="N595" s="1194"/>
      <c r="O595" s="1194"/>
      <c r="P595" s="1194"/>
      <c r="Q595" s="1194"/>
      <c r="R595" s="1194"/>
    </row>
    <row r="596" spans="1:18" ht="24">
      <c r="A596" s="261" t="s">
        <v>1305</v>
      </c>
      <c r="B596" s="260"/>
      <c r="C596" s="229"/>
      <c r="D596" s="490">
        <f>VLOOKUP('Ввод данных'!C1242,связи1!A2:B3,2,0)</f>
        <v>0</v>
      </c>
      <c r="E596" s="490"/>
      <c r="F596" s="490"/>
      <c r="G596" s="897"/>
      <c r="H596" s="888"/>
      <c r="I596" s="888"/>
      <c r="J596" s="888"/>
      <c r="K596" s="888"/>
      <c r="L596" s="1194"/>
      <c r="M596" s="1194"/>
      <c r="N596" s="1194"/>
      <c r="O596" s="1194"/>
      <c r="P596" s="1194"/>
      <c r="Q596" s="1194"/>
      <c r="R596" s="1194"/>
    </row>
    <row r="597" spans="1:18" ht="24">
      <c r="A597" s="260" t="s">
        <v>2478</v>
      </c>
      <c r="B597" s="260" t="s">
        <v>133</v>
      </c>
      <c r="C597" s="2221">
        <f>'Ввод данных'!C1243</f>
        <v>6</v>
      </c>
      <c r="D597" s="490"/>
      <c r="E597" s="490"/>
      <c r="F597" s="490"/>
      <c r="G597" s="897"/>
      <c r="H597" s="888"/>
      <c r="I597" s="888"/>
      <c r="J597" s="888"/>
      <c r="K597" s="888"/>
      <c r="L597" s="1194"/>
      <c r="M597" s="1194"/>
      <c r="N597" s="1194"/>
      <c r="O597" s="1194"/>
      <c r="P597" s="1194"/>
      <c r="Q597" s="1194"/>
      <c r="R597" s="1194"/>
    </row>
    <row r="598" spans="1:18" ht="24">
      <c r="A598" s="260" t="s">
        <v>2479</v>
      </c>
      <c r="B598" s="260" t="s">
        <v>133</v>
      </c>
      <c r="C598" s="2221">
        <f>'Ввод данных'!C1244</f>
        <v>6</v>
      </c>
      <c r="D598" s="490"/>
      <c r="E598" s="490"/>
      <c r="F598" s="490"/>
      <c r="G598" s="897"/>
      <c r="H598" s="888"/>
      <c r="I598" s="888"/>
      <c r="J598" s="888"/>
      <c r="K598" s="888"/>
      <c r="L598" s="1194"/>
      <c r="M598" s="1194"/>
      <c r="N598" s="1194"/>
      <c r="O598" s="1194"/>
      <c r="P598" s="1194"/>
      <c r="Q598" s="1194"/>
      <c r="R598" s="1194"/>
    </row>
    <row r="599" spans="1:18" ht="24">
      <c r="A599" s="260" t="s">
        <v>2480</v>
      </c>
      <c r="B599" s="260" t="s">
        <v>133</v>
      </c>
      <c r="C599" s="2221">
        <f>'Ввод данных'!C1245</f>
        <v>6</v>
      </c>
      <c r="D599" s="490"/>
      <c r="E599" s="490"/>
      <c r="F599" s="490"/>
      <c r="G599" s="897"/>
      <c r="H599" s="888"/>
      <c r="I599" s="888"/>
      <c r="J599" s="888"/>
      <c r="K599" s="888"/>
      <c r="L599" s="1194"/>
      <c r="M599" s="1194"/>
      <c r="N599" s="1194"/>
      <c r="O599" s="1194"/>
      <c r="P599" s="1194"/>
      <c r="Q599" s="1194"/>
      <c r="R599" s="1194"/>
    </row>
    <row r="600" spans="1:18" ht="24">
      <c r="A600" s="260" t="s">
        <v>1306</v>
      </c>
      <c r="B600" s="260" t="s">
        <v>133</v>
      </c>
      <c r="C600" s="229">
        <f>C597</f>
        <v>6</v>
      </c>
      <c r="D600" s="2290">
        <f>IF('Ввод данных'!A1246=связи1!H35,1,0)</f>
        <v>1</v>
      </c>
      <c r="E600" s="490"/>
      <c r="F600" s="490"/>
      <c r="G600" s="897"/>
      <c r="H600" s="888"/>
      <c r="I600" s="888"/>
      <c r="J600" s="888"/>
      <c r="K600" s="888"/>
      <c r="L600" s="1194"/>
      <c r="M600" s="1194"/>
      <c r="N600" s="1194"/>
      <c r="O600" s="1194"/>
      <c r="P600" s="1194"/>
      <c r="Q600" s="1194"/>
      <c r="R600" s="1194"/>
    </row>
    <row r="601" spans="1:18" ht="24">
      <c r="A601" s="260" t="s">
        <v>1307</v>
      </c>
      <c r="B601" s="260" t="s">
        <v>133</v>
      </c>
      <c r="C601" s="229">
        <f>C599</f>
        <v>6</v>
      </c>
      <c r="D601" s="2290">
        <f>IF('Ввод данных'!A1247=связи1!H41,1,0)</f>
        <v>1</v>
      </c>
      <c r="E601" s="490"/>
      <c r="F601" s="490"/>
      <c r="G601" s="897"/>
      <c r="H601" s="888"/>
      <c r="I601" s="888"/>
      <c r="J601" s="888"/>
      <c r="K601" s="888"/>
      <c r="L601" s="1194"/>
      <c r="M601" s="1194"/>
      <c r="N601" s="1194"/>
      <c r="O601" s="1194"/>
      <c r="P601" s="1194"/>
      <c r="Q601" s="1194"/>
      <c r="R601" s="1194"/>
    </row>
    <row r="602" spans="1:18" ht="24">
      <c r="A602" s="260" t="s">
        <v>1308</v>
      </c>
      <c r="B602" s="260" t="s">
        <v>133</v>
      </c>
      <c r="C602" s="229">
        <f>C599</f>
        <v>6</v>
      </c>
      <c r="D602" s="2290">
        <f>IF('Ввод данных'!A1248=связи1!H47,1,0)</f>
        <v>1</v>
      </c>
      <c r="E602" s="490"/>
      <c r="F602" s="490"/>
      <c r="G602" s="897"/>
      <c r="H602" s="888"/>
      <c r="I602" s="888"/>
      <c r="J602" s="888"/>
      <c r="K602" s="888"/>
      <c r="L602" s="1194"/>
      <c r="M602" s="1194"/>
      <c r="N602" s="1194"/>
      <c r="O602" s="1194"/>
      <c r="P602" s="1194"/>
      <c r="Q602" s="1194"/>
      <c r="R602" s="1194"/>
    </row>
    <row r="603" spans="1:18" ht="24">
      <c r="A603" s="260" t="s">
        <v>3970</v>
      </c>
      <c r="B603" s="260" t="s">
        <v>133</v>
      </c>
      <c r="C603" s="229">
        <f>C597</f>
        <v>6</v>
      </c>
      <c r="D603" s="2290">
        <f>IF('Ввод данных'!A1246=связи1!H36,1,0)</f>
        <v>0</v>
      </c>
      <c r="E603" s="490"/>
      <c r="F603" s="490"/>
      <c r="G603" s="897"/>
      <c r="H603" s="888"/>
      <c r="I603" s="888"/>
      <c r="J603" s="888"/>
      <c r="K603" s="888"/>
      <c r="L603" s="1194"/>
      <c r="M603" s="1194"/>
      <c r="N603" s="1194"/>
      <c r="O603" s="1194"/>
      <c r="P603" s="1194"/>
      <c r="Q603" s="1194"/>
      <c r="R603" s="1194"/>
    </row>
    <row r="604" spans="1:18" ht="24">
      <c r="A604" s="260" t="s">
        <v>3971</v>
      </c>
      <c r="B604" s="260" t="s">
        <v>133</v>
      </c>
      <c r="C604" s="229">
        <f>C599</f>
        <v>6</v>
      </c>
      <c r="D604" s="2290">
        <f>IF('Ввод данных'!A1247=связи1!H42,1,0)</f>
        <v>0</v>
      </c>
      <c r="E604" s="490"/>
      <c r="F604" s="490"/>
      <c r="G604" s="897"/>
      <c r="H604" s="888"/>
      <c r="I604" s="888"/>
      <c r="J604" s="888"/>
      <c r="K604" s="888"/>
      <c r="L604" s="1194"/>
      <c r="M604" s="1194"/>
      <c r="N604" s="1194"/>
      <c r="O604" s="1194"/>
      <c r="P604" s="1194"/>
      <c r="Q604" s="1194"/>
      <c r="R604" s="1194"/>
    </row>
    <row r="605" spans="1:18" ht="24">
      <c r="A605" s="260" t="s">
        <v>1294</v>
      </c>
      <c r="B605" s="260" t="s">
        <v>133</v>
      </c>
      <c r="C605" s="229">
        <f>C599</f>
        <v>6</v>
      </c>
      <c r="D605" s="2290">
        <f>IF('Ввод данных'!A1247=связи1!H43,1,0)</f>
        <v>0</v>
      </c>
      <c r="E605" s="490"/>
      <c r="F605" s="490"/>
      <c r="G605" s="897"/>
      <c r="H605" s="888"/>
      <c r="I605" s="888"/>
      <c r="J605" s="888"/>
      <c r="K605" s="888"/>
      <c r="L605" s="1194"/>
      <c r="M605" s="1194"/>
      <c r="N605" s="1194"/>
      <c r="O605" s="1194"/>
      <c r="P605" s="1194"/>
      <c r="Q605" s="1194"/>
      <c r="R605" s="1194"/>
    </row>
    <row r="606" spans="1:18" ht="24">
      <c r="A606" s="261" t="s">
        <v>3972</v>
      </c>
      <c r="B606" s="260"/>
      <c r="C606" s="229"/>
      <c r="D606" s="261">
        <f>VLOOKUP('Ввод данных'!C1249,связи1!A2:B3,2,0)</f>
        <v>0</v>
      </c>
      <c r="E606" s="490"/>
      <c r="F606" s="490"/>
      <c r="G606" s="897"/>
      <c r="H606" s="888"/>
      <c r="I606" s="888"/>
      <c r="J606" s="888"/>
      <c r="K606" s="888"/>
      <c r="L606" s="1194"/>
      <c r="M606" s="1194"/>
      <c r="N606" s="1194"/>
      <c r="O606" s="1194"/>
      <c r="P606" s="1194"/>
      <c r="Q606" s="1194"/>
      <c r="R606" s="1194"/>
    </row>
    <row r="607" spans="1:18" ht="24">
      <c r="A607" s="260" t="s">
        <v>2484</v>
      </c>
      <c r="B607" s="260" t="s">
        <v>159</v>
      </c>
      <c r="C607" s="229">
        <f>дома!D63+дома!D64+дома!D65+дома!D66</f>
        <v>0</v>
      </c>
      <c r="D607" s="1040">
        <f>VLOOKUP('Ввод данных'!C1250,связи1!A2:B3,2,0)</f>
        <v>1</v>
      </c>
      <c r="E607" s="490"/>
      <c r="F607" s="490"/>
      <c r="G607" s="897"/>
      <c r="H607" s="888"/>
      <c r="I607" s="888"/>
      <c r="J607" s="888"/>
      <c r="K607" s="888"/>
      <c r="L607" s="1194"/>
      <c r="M607" s="1194"/>
      <c r="N607" s="1194"/>
      <c r="O607" s="1194"/>
      <c r="P607" s="1194"/>
      <c r="Q607" s="1194"/>
      <c r="R607" s="1194"/>
    </row>
    <row r="608" spans="1:18" ht="24">
      <c r="A608" s="260" t="s">
        <v>2485</v>
      </c>
      <c r="B608" s="260" t="s">
        <v>159</v>
      </c>
      <c r="C608" s="229">
        <f>C607</f>
        <v>0</v>
      </c>
      <c r="D608" s="2290">
        <f>VLOOKUP('Ввод данных'!C1251,связи1!A2:B3,2,0)</f>
        <v>1</v>
      </c>
      <c r="E608" s="490"/>
      <c r="F608" s="490"/>
      <c r="G608" s="897"/>
      <c r="H608" s="888"/>
      <c r="I608" s="888"/>
      <c r="J608" s="888"/>
      <c r="K608" s="888"/>
      <c r="L608" s="1194"/>
      <c r="M608" s="1194"/>
      <c r="N608" s="1194"/>
      <c r="O608" s="1194"/>
      <c r="P608" s="1194"/>
      <c r="Q608" s="1194"/>
      <c r="R608" s="1194"/>
    </row>
    <row r="609" spans="1:18" ht="24">
      <c r="A609" s="260" t="s">
        <v>2486</v>
      </c>
      <c r="B609" s="260" t="s">
        <v>159</v>
      </c>
      <c r="C609" s="229">
        <f>C607</f>
        <v>0</v>
      </c>
      <c r="D609" s="2290">
        <f>VLOOKUP('Ввод данных'!C1252,связи1!A2:B3,2,0)</f>
        <v>1</v>
      </c>
      <c r="E609" s="490"/>
      <c r="F609" s="490"/>
      <c r="G609" s="897"/>
      <c r="H609" s="888"/>
      <c r="I609" s="888"/>
      <c r="J609" s="888"/>
      <c r="K609" s="888"/>
      <c r="L609" s="1194"/>
      <c r="M609" s="1194"/>
      <c r="N609" s="1194"/>
      <c r="O609" s="1194"/>
      <c r="P609" s="1194"/>
      <c r="Q609" s="1194"/>
      <c r="R609" s="1194"/>
    </row>
    <row r="610" spans="1:18" ht="24">
      <c r="A610" s="260" t="s">
        <v>2487</v>
      </c>
      <c r="B610" s="260" t="s">
        <v>159</v>
      </c>
      <c r="C610" s="229">
        <f>C607</f>
        <v>0</v>
      </c>
      <c r="D610" s="2290">
        <f>VLOOKUP('Ввод данных'!C1253,связи1!A2:B3,2,0)</f>
        <v>1</v>
      </c>
      <c r="E610" s="490"/>
      <c r="F610" s="490"/>
      <c r="G610" s="897"/>
      <c r="H610" s="888"/>
      <c r="I610" s="888"/>
      <c r="J610" s="888"/>
      <c r="K610" s="888"/>
      <c r="L610" s="1194"/>
      <c r="M610" s="1194"/>
      <c r="N610" s="1194"/>
      <c r="O610" s="1194"/>
      <c r="P610" s="1194"/>
      <c r="Q610" s="1194"/>
      <c r="R610" s="1194"/>
    </row>
    <row r="611" spans="1:18" ht="24">
      <c r="A611" s="260" t="s">
        <v>2488</v>
      </c>
      <c r="B611" s="260" t="s">
        <v>159</v>
      </c>
      <c r="C611" s="229">
        <f>C607</f>
        <v>0</v>
      </c>
      <c r="D611" s="2290">
        <f>VLOOKUP('Ввод данных'!C1254,связи1!A2:B3,2,0)</f>
        <v>1</v>
      </c>
      <c r="E611" s="490"/>
      <c r="F611" s="490"/>
      <c r="G611" s="897"/>
      <c r="H611" s="888"/>
      <c r="I611" s="888"/>
      <c r="J611" s="888"/>
      <c r="K611" s="888"/>
      <c r="L611" s="1194"/>
      <c r="M611" s="1194"/>
      <c r="N611" s="1194"/>
      <c r="O611" s="1194"/>
      <c r="P611" s="1194"/>
      <c r="Q611" s="1194"/>
      <c r="R611" s="1194"/>
    </row>
    <row r="612" spans="1:18" ht="24">
      <c r="A612" s="3206" t="s">
        <v>3626</v>
      </c>
      <c r="B612" s="3206"/>
      <c r="C612" s="3206"/>
      <c r="D612" s="2292"/>
      <c r="E612" s="2292"/>
      <c r="F612" s="2292"/>
      <c r="G612" s="888"/>
      <c r="H612" s="888"/>
      <c r="I612" s="888"/>
      <c r="J612" s="888"/>
      <c r="K612" s="888"/>
      <c r="L612" s="1194"/>
      <c r="M612" s="1194"/>
      <c r="N612" s="1194"/>
      <c r="O612" s="1194"/>
      <c r="P612" s="1194"/>
      <c r="Q612" s="1194"/>
      <c r="R612" s="1194"/>
    </row>
    <row r="613" spans="1:18" ht="24">
      <c r="A613" s="98" t="s">
        <v>3678</v>
      </c>
      <c r="B613" s="2226" t="s">
        <v>133</v>
      </c>
      <c r="C613" s="100">
        <f>дома!J105</f>
        <v>200</v>
      </c>
      <c r="D613" s="888"/>
      <c r="E613" s="888"/>
      <c r="F613" s="888"/>
      <c r="G613" s="888"/>
      <c r="H613" s="888"/>
      <c r="I613" s="888"/>
      <c r="J613" s="888"/>
      <c r="K613" s="888"/>
      <c r="L613" s="1194"/>
      <c r="M613" s="1194"/>
      <c r="N613" s="1194"/>
      <c r="O613" s="1194"/>
      <c r="P613" s="1194"/>
      <c r="Q613" s="1194"/>
      <c r="R613" s="1194"/>
    </row>
    <row r="614" spans="1:18" ht="24">
      <c r="A614" s="98" t="s">
        <v>3973</v>
      </c>
      <c r="B614" s="2226"/>
      <c r="C614" s="100">
        <f>дома!J107</f>
        <v>100</v>
      </c>
      <c r="D614" s="888"/>
      <c r="E614" s="888"/>
      <c r="F614" s="888"/>
      <c r="G614" s="888"/>
      <c r="H614" s="888"/>
      <c r="I614" s="888"/>
      <c r="J614" s="888"/>
      <c r="K614" s="888"/>
      <c r="L614" s="1194"/>
      <c r="M614" s="1194"/>
      <c r="N614" s="1194"/>
      <c r="O614" s="1194"/>
      <c r="P614" s="1194"/>
      <c r="Q614" s="1194"/>
      <c r="R614" s="1194"/>
    </row>
    <row r="615" spans="1:18" ht="24">
      <c r="A615" s="98" t="s">
        <v>3974</v>
      </c>
      <c r="B615" s="2226"/>
      <c r="C615" s="100">
        <f>дома!J106</f>
        <v>100</v>
      </c>
      <c r="D615" s="888"/>
      <c r="E615" s="888"/>
      <c r="F615" s="888"/>
      <c r="G615" s="888"/>
      <c r="H615" s="888"/>
      <c r="I615" s="888"/>
      <c r="J615" s="888"/>
      <c r="K615" s="888"/>
      <c r="L615" s="1194"/>
      <c r="M615" s="1194"/>
      <c r="N615" s="1194"/>
      <c r="O615" s="1194"/>
      <c r="P615" s="1194"/>
      <c r="Q615" s="1194"/>
      <c r="R615" s="1194"/>
    </row>
    <row r="616" spans="1:18" ht="24">
      <c r="A616" s="98" t="s">
        <v>3628</v>
      </c>
      <c r="B616" s="2226" t="s">
        <v>133</v>
      </c>
      <c r="C616" s="100">
        <f>C613-E621</f>
        <v>190.43</v>
      </c>
      <c r="D616" s="261"/>
      <c r="E616" s="888"/>
      <c r="F616" s="888"/>
      <c r="G616" s="888"/>
      <c r="H616" s="888"/>
      <c r="I616" s="888"/>
      <c r="J616" s="888"/>
      <c r="K616" s="888"/>
      <c r="L616" s="1194"/>
      <c r="M616" s="1194"/>
      <c r="N616" s="1194"/>
      <c r="O616" s="1194"/>
      <c r="P616" s="1194"/>
      <c r="Q616" s="1194"/>
      <c r="R616" s="1194"/>
    </row>
    <row r="617" spans="1:18" ht="24">
      <c r="A617" s="98" t="s">
        <v>3680</v>
      </c>
      <c r="B617" s="2226" t="s">
        <v>156</v>
      </c>
      <c r="C617" s="100">
        <f>дома!C1366</f>
        <v>56</v>
      </c>
      <c r="D617" s="888"/>
      <c r="E617" s="888"/>
      <c r="F617" s="888"/>
      <c r="G617" s="888"/>
      <c r="H617" s="888"/>
      <c r="I617" s="888"/>
      <c r="J617" s="888"/>
      <c r="K617" s="888"/>
      <c r="L617" s="1194"/>
      <c r="M617" s="1194"/>
      <c r="N617" s="1194"/>
      <c r="O617" s="1194"/>
      <c r="P617" s="1194"/>
      <c r="Q617" s="1194"/>
      <c r="R617" s="1194"/>
    </row>
    <row r="618" spans="1:18" ht="24">
      <c r="A618" s="98" t="s">
        <v>3752</v>
      </c>
      <c r="B618" s="2226" t="s">
        <v>156</v>
      </c>
      <c r="C618" s="100">
        <f>дома!C1367</f>
        <v>40</v>
      </c>
      <c r="D618" s="261">
        <v>0.15</v>
      </c>
      <c r="E618" s="261">
        <f>C618*D618</f>
        <v>6</v>
      </c>
      <c r="F618" s="888"/>
      <c r="G618" s="888"/>
      <c r="H618" s="888"/>
      <c r="I618" s="888"/>
      <c r="J618" s="888"/>
      <c r="K618" s="888"/>
      <c r="L618" s="1194"/>
      <c r="M618" s="1194"/>
      <c r="N618" s="1194"/>
      <c r="O618" s="1194"/>
      <c r="P618" s="1194"/>
      <c r="Q618" s="1194"/>
      <c r="R618" s="1194"/>
    </row>
    <row r="619" spans="1:18" ht="24">
      <c r="A619" s="98" t="s">
        <v>3755</v>
      </c>
      <c r="B619" s="2226" t="s">
        <v>156</v>
      </c>
      <c r="C619" s="100">
        <f>дома!C1368</f>
        <v>16</v>
      </c>
      <c r="D619" s="261">
        <v>0.15</v>
      </c>
      <c r="E619" s="261">
        <f>C619*D619</f>
        <v>2.4</v>
      </c>
      <c r="F619" s="888"/>
      <c r="G619" s="888"/>
      <c r="H619" s="888"/>
      <c r="I619" s="888"/>
      <c r="J619" s="888"/>
      <c r="K619" s="888"/>
      <c r="L619" s="1194"/>
      <c r="M619" s="1194"/>
      <c r="N619" s="1194"/>
      <c r="O619" s="1194"/>
      <c r="P619" s="1194"/>
      <c r="Q619" s="1194"/>
      <c r="R619" s="1194"/>
    </row>
    <row r="620" spans="1:18" ht="24">
      <c r="A620" s="98"/>
      <c r="B620" s="2226"/>
      <c r="C620" s="100">
        <f>дома!C1369</f>
        <v>7.8</v>
      </c>
      <c r="D620" s="261">
        <v>0.15</v>
      </c>
      <c r="E620" s="261">
        <f>C620*D620</f>
        <v>1.17</v>
      </c>
      <c r="F620" s="888"/>
      <c r="G620" s="888"/>
      <c r="H620" s="888"/>
      <c r="I620" s="888"/>
      <c r="J620" s="888"/>
      <c r="K620" s="888"/>
      <c r="L620" s="1194"/>
      <c r="M620" s="1194"/>
      <c r="N620" s="1194"/>
      <c r="O620" s="1194"/>
      <c r="P620" s="1194"/>
      <c r="Q620" s="1194"/>
      <c r="R620" s="1194"/>
    </row>
    <row r="621" spans="1:18" ht="24">
      <c r="A621" s="98" t="s">
        <v>3975</v>
      </c>
      <c r="B621" s="2226"/>
      <c r="C621" s="100"/>
      <c r="D621" s="261"/>
      <c r="E621" s="261">
        <f>SUM(E618:E620)</f>
        <v>9.57</v>
      </c>
      <c r="F621" s="888"/>
      <c r="G621" s="888"/>
      <c r="H621" s="888"/>
      <c r="I621" s="888"/>
      <c r="J621" s="888"/>
      <c r="K621" s="888"/>
      <c r="L621" s="1194"/>
      <c r="M621" s="1194"/>
      <c r="N621" s="1194"/>
      <c r="O621" s="1194"/>
      <c r="P621" s="1194"/>
      <c r="Q621" s="1194"/>
      <c r="R621" s="1194"/>
    </row>
    <row r="622" spans="1:18" ht="24">
      <c r="A622" s="98" t="s">
        <v>3633</v>
      </c>
      <c r="B622" s="2226" t="s">
        <v>133</v>
      </c>
      <c r="C622" s="100">
        <f>дома!O110</f>
        <v>-1.2</v>
      </c>
      <c r="D622" s="261">
        <f>((((C340+C340+D340+D340)+(C342*E342+C343*E343+C344*E344+C345*E345+C346*E346+C347*E347+C348*E348+C349*E349+C350*E350+C351*E351+C352*E352+C353*E353+C354*E354+C355*E355+C356*E356+C357*E357)*2)+((C340+C340+D340+D340)+(J342*K342+J343*K343+J344*K344+J345*K345+J346*K346+J347*K347+J348*K348+J349*K349+J350*K350+J351*K351+J352*K352+J353*K353+J354*K354+J355*K355+J356*K356+J357*K357)*2)*(B340-1)+(пристройка!D2*(пристройка!C85+пристройка!C85*пристройка!C5+пристройка!C34+пристройка!C34*пристройка!C5)+дома!D1229*(дома!C1275+дома!C1275*дома!C1233)))/0.6)*D569</f>
        <v>0</v>
      </c>
      <c r="E622" s="261"/>
      <c r="F622" s="888"/>
      <c r="G622" s="888"/>
      <c r="H622" s="888"/>
      <c r="I622" s="888"/>
      <c r="J622" s="888"/>
      <c r="K622" s="888"/>
      <c r="L622" s="1194"/>
      <c r="M622" s="1194"/>
      <c r="N622" s="1194"/>
      <c r="O622" s="1194"/>
      <c r="P622" s="1194"/>
      <c r="Q622" s="1194"/>
      <c r="R622" s="1194"/>
    </row>
    <row r="623" spans="1:18" ht="24">
      <c r="A623" s="98" t="s">
        <v>3687</v>
      </c>
      <c r="B623" s="2226" t="s">
        <v>133</v>
      </c>
      <c r="C623" s="100">
        <f>C622</f>
        <v>-1.2</v>
      </c>
      <c r="D623" s="888"/>
      <c r="E623" s="888"/>
      <c r="F623" s="888"/>
      <c r="G623" s="888"/>
      <c r="H623" s="888"/>
      <c r="I623" s="888"/>
      <c r="J623" s="888"/>
      <c r="K623" s="888"/>
      <c r="L623" s="1194"/>
      <c r="M623" s="1194"/>
      <c r="N623" s="1194"/>
      <c r="O623" s="1194"/>
      <c r="P623" s="1194"/>
      <c r="Q623" s="1194"/>
      <c r="R623" s="1194"/>
    </row>
    <row r="624" spans="1:18" ht="24">
      <c r="A624" s="98" t="s">
        <v>3976</v>
      </c>
      <c r="B624" s="2226"/>
      <c r="C624" s="100">
        <f>C622</f>
        <v>-1.2</v>
      </c>
      <c r="D624" s="888"/>
      <c r="E624" s="888"/>
      <c r="F624" s="888"/>
      <c r="G624" s="888"/>
      <c r="H624" s="888"/>
      <c r="I624" s="888"/>
      <c r="J624" s="888"/>
      <c r="K624" s="888"/>
      <c r="L624" s="1194"/>
      <c r="M624" s="1194"/>
      <c r="N624" s="1194"/>
      <c r="O624" s="1194"/>
      <c r="P624" s="1194"/>
      <c r="Q624" s="1194"/>
      <c r="R624" s="1194"/>
    </row>
    <row r="625" spans="1:18" ht="16">
      <c r="A625" s="98" t="s">
        <v>3802</v>
      </c>
      <c r="B625" s="2226" t="s">
        <v>133</v>
      </c>
      <c r="C625" s="100">
        <f>дома!D1093+дома!E1093</f>
        <v>71.400000000000006</v>
      </c>
      <c r="D625" s="2257"/>
      <c r="E625" s="1195"/>
      <c r="F625" s="2257"/>
      <c r="G625" s="2257"/>
      <c r="H625" s="1195"/>
      <c r="I625" s="1195"/>
      <c r="J625" s="1195"/>
      <c r="K625" s="1195"/>
      <c r="L625" s="1195"/>
      <c r="M625" s="1195"/>
      <c r="N625" s="1195"/>
      <c r="O625" s="1195"/>
      <c r="P625" s="1195"/>
      <c r="Q625" s="1195"/>
      <c r="R625" s="1195"/>
    </row>
    <row r="626" spans="1:18" ht="16">
      <c r="A626" s="98" t="s">
        <v>3638</v>
      </c>
      <c r="B626" s="2226" t="s">
        <v>133</v>
      </c>
      <c r="C626" s="100">
        <f>C625</f>
        <v>71.400000000000006</v>
      </c>
      <c r="D626" s="2257"/>
      <c r="E626" s="1195"/>
      <c r="F626" s="2257"/>
      <c r="G626" s="2257"/>
      <c r="H626" s="1195"/>
      <c r="I626" s="1195"/>
      <c r="J626" s="1195"/>
      <c r="K626" s="1195"/>
      <c r="L626" s="1195"/>
      <c r="M626" s="1195"/>
      <c r="N626" s="1195"/>
      <c r="O626" s="1195"/>
      <c r="P626" s="1195"/>
      <c r="Q626" s="1195"/>
      <c r="R626" s="1195"/>
    </row>
    <row r="627" spans="1:18" ht="17">
      <c r="A627" s="2246" t="s">
        <v>3645</v>
      </c>
      <c r="B627" s="2226" t="s">
        <v>133</v>
      </c>
      <c r="C627" s="100">
        <f>дома!C1382</f>
        <v>0</v>
      </c>
      <c r="D627" s="2257"/>
      <c r="E627" s="1195"/>
      <c r="F627" s="2257"/>
      <c r="G627" s="2257"/>
      <c r="H627" s="1195"/>
      <c r="I627" s="1195"/>
      <c r="J627" s="1195"/>
      <c r="K627" s="1195"/>
      <c r="L627" s="1195"/>
      <c r="M627" s="1195"/>
      <c r="N627" s="1195"/>
      <c r="O627" s="1195"/>
      <c r="P627" s="1195"/>
      <c r="Q627" s="1195"/>
      <c r="R627" s="1195"/>
    </row>
    <row r="628" spans="1:18" ht="16">
      <c r="A628" s="2266" t="s">
        <v>2720</v>
      </c>
      <c r="B628" s="2266" t="s">
        <v>1094</v>
      </c>
      <c r="C628" s="2266" t="s">
        <v>1802</v>
      </c>
      <c r="D628" s="2266" t="s">
        <v>1601</v>
      </c>
      <c r="E628" s="2266" t="s">
        <v>2722</v>
      </c>
      <c r="F628" s="1194"/>
      <c r="G628" s="3206" t="s">
        <v>1409</v>
      </c>
      <c r="H628" s="3206"/>
      <c r="I628" s="2266" t="s">
        <v>1991</v>
      </c>
      <c r="J628" s="2266" t="s">
        <v>1802</v>
      </c>
      <c r="K628" s="2266" t="s">
        <v>2721</v>
      </c>
      <c r="L628" s="2266" t="s">
        <v>3696</v>
      </c>
      <c r="M628" s="1195"/>
      <c r="N628" s="1195"/>
      <c r="O628" s="1195"/>
      <c r="P628" s="1195"/>
      <c r="Q628" s="1195"/>
      <c r="R628" s="1195"/>
    </row>
    <row r="629" spans="1:18" ht="16">
      <c r="A629" s="99" t="s">
        <v>1267</v>
      </c>
      <c r="B629" s="229"/>
      <c r="C629" s="229"/>
      <c r="D629" s="229"/>
      <c r="E629" s="229">
        <f t="shared" ref="E629:E660" si="13">C629*D629</f>
        <v>0</v>
      </c>
      <c r="F629" s="1194"/>
      <c r="G629" s="3199" t="s">
        <v>1552</v>
      </c>
      <c r="H629" s="3199"/>
      <c r="I629" s="229"/>
      <c r="J629" s="229"/>
      <c r="K629" s="229"/>
      <c r="L629" s="229">
        <f t="shared" ref="L629:L672" si="14">J629*K629</f>
        <v>0</v>
      </c>
      <c r="M629" s="1194"/>
      <c r="N629" s="1194"/>
      <c r="O629" s="1194"/>
      <c r="P629" s="1194"/>
      <c r="Q629" s="1194"/>
      <c r="R629" s="1194"/>
    </row>
    <row r="630" spans="1:18" ht="16">
      <c r="A630" s="229" t="s">
        <v>1268</v>
      </c>
      <c r="B630" s="229" t="s">
        <v>133</v>
      </c>
      <c r="C630" s="229">
        <f>C569*G566*D569*1.1*D568</f>
        <v>0</v>
      </c>
      <c r="D630" s="229">
        <f>'Прайс лист'!G1397</f>
        <v>90</v>
      </c>
      <c r="E630" s="229">
        <f t="shared" si="13"/>
        <v>0</v>
      </c>
      <c r="F630" s="1194"/>
      <c r="G630" s="3130" t="s">
        <v>1577</v>
      </c>
      <c r="H630" s="3130"/>
      <c r="I630" s="229" t="s">
        <v>133</v>
      </c>
      <c r="J630" s="229">
        <f>C630*0.95*H566*D569</f>
        <v>0</v>
      </c>
      <c r="K630" s="229">
        <f>'Прайс лист'!G1792</f>
        <v>100</v>
      </c>
      <c r="L630" s="229">
        <f t="shared" si="14"/>
        <v>0</v>
      </c>
      <c r="M630" s="1194"/>
      <c r="N630" s="1194"/>
      <c r="O630" s="1194"/>
      <c r="P630" s="1194"/>
      <c r="Q630" s="1194"/>
      <c r="R630" s="1194"/>
    </row>
    <row r="631" spans="1:18" ht="16">
      <c r="A631" s="229" t="s">
        <v>1269</v>
      </c>
      <c r="B631" s="229" t="s">
        <v>159</v>
      </c>
      <c r="C631" s="229">
        <f>1/0.6*C569/3*D570*1.1*G566*D568</f>
        <v>0</v>
      </c>
      <c r="D631" s="229">
        <f>'Прайс лист'!G1398</f>
        <v>100</v>
      </c>
      <c r="E631" s="229">
        <f t="shared" si="13"/>
        <v>0</v>
      </c>
      <c r="F631" s="1194"/>
      <c r="G631" s="3130" t="s">
        <v>1554</v>
      </c>
      <c r="H631" s="3130"/>
      <c r="I631" s="229" t="s">
        <v>133</v>
      </c>
      <c r="J631" s="229">
        <f>C570*D570*H566*D569</f>
        <v>0</v>
      </c>
      <c r="K631" s="229">
        <f>'Прайс лист'!G1793</f>
        <v>90</v>
      </c>
      <c r="L631" s="229">
        <f t="shared" si="14"/>
        <v>0</v>
      </c>
      <c r="M631" s="1194"/>
      <c r="N631" s="1194"/>
      <c r="O631" s="1194"/>
      <c r="P631" s="1194"/>
      <c r="Q631" s="1194"/>
      <c r="R631" s="1194"/>
    </row>
    <row r="632" spans="1:18" ht="16">
      <c r="A632" s="229" t="s">
        <v>1270</v>
      </c>
      <c r="B632" s="229" t="s">
        <v>159</v>
      </c>
      <c r="C632" s="229">
        <f>C595*2/3*1.1*G566*D568*D570</f>
        <v>0</v>
      </c>
      <c r="D632" s="229">
        <f>'Прайс лист'!G1399</f>
        <v>100</v>
      </c>
      <c r="E632" s="229">
        <f t="shared" si="13"/>
        <v>0</v>
      </c>
      <c r="F632" s="1194"/>
      <c r="G632" s="3130" t="s">
        <v>1578</v>
      </c>
      <c r="H632" s="3130"/>
      <c r="I632" s="229" t="s">
        <v>133</v>
      </c>
      <c r="J632" s="229">
        <f>C571*D571*H566*D569</f>
        <v>0</v>
      </c>
      <c r="K632" s="229">
        <f>'Прайс лист'!G1794</f>
        <v>50</v>
      </c>
      <c r="L632" s="229">
        <f t="shared" si="14"/>
        <v>0</v>
      </c>
      <c r="M632" s="1194"/>
      <c r="N632" s="1194"/>
      <c r="O632" s="1194"/>
      <c r="P632" s="1194"/>
      <c r="Q632" s="1194"/>
      <c r="R632" s="1194"/>
    </row>
    <row r="633" spans="1:18" ht="16">
      <c r="A633" s="229" t="s">
        <v>1271</v>
      </c>
      <c r="B633" s="229" t="s">
        <v>159</v>
      </c>
      <c r="C633" s="229">
        <f>C630*G566*D570*0.8*D568</f>
        <v>0</v>
      </c>
      <c r="D633" s="229">
        <f>'Прайс лист'!G1400</f>
        <v>9</v>
      </c>
      <c r="E633" s="229">
        <f t="shared" si="13"/>
        <v>0</v>
      </c>
      <c r="F633" s="1194"/>
      <c r="G633" s="3130" t="s">
        <v>1579</v>
      </c>
      <c r="H633" s="3130"/>
      <c r="I633" s="229" t="s">
        <v>133</v>
      </c>
      <c r="J633" s="229">
        <f>J632*H566*D569</f>
        <v>0</v>
      </c>
      <c r="K633" s="229">
        <f>'Прайс лист'!G1795</f>
        <v>100</v>
      </c>
      <c r="L633" s="229">
        <f t="shared" si="14"/>
        <v>0</v>
      </c>
      <c r="M633" s="1194"/>
      <c r="N633" s="1194"/>
      <c r="O633" s="1194"/>
      <c r="P633" s="1194"/>
      <c r="Q633" s="1194"/>
      <c r="R633" s="1194"/>
    </row>
    <row r="634" spans="1:18" ht="16">
      <c r="A634" s="229" t="s">
        <v>1272</v>
      </c>
      <c r="B634" s="229" t="s">
        <v>159</v>
      </c>
      <c r="C634" s="229">
        <f>C633*4*D570*G566*D568</f>
        <v>0</v>
      </c>
      <c r="D634" s="229">
        <f>'Прайс лист'!G1401</f>
        <v>2.5000000000000001E-2</v>
      </c>
      <c r="E634" s="229">
        <f t="shared" si="13"/>
        <v>0</v>
      </c>
      <c r="F634" s="1194"/>
      <c r="G634" s="3130" t="s">
        <v>1580</v>
      </c>
      <c r="H634" s="3130"/>
      <c r="I634" s="229" t="s">
        <v>133</v>
      </c>
      <c r="J634" s="229">
        <f>C572*D572*H566*D569</f>
        <v>0</v>
      </c>
      <c r="K634" s="229">
        <f>'Прайс лист'!G1796</f>
        <v>120</v>
      </c>
      <c r="L634" s="229">
        <f t="shared" si="14"/>
        <v>0</v>
      </c>
      <c r="M634" s="1194"/>
      <c r="N634" s="1194"/>
      <c r="O634" s="1194"/>
      <c r="P634" s="1194"/>
      <c r="Q634" s="1194"/>
      <c r="R634" s="1194"/>
    </row>
    <row r="635" spans="1:18" ht="16">
      <c r="A635" s="229" t="s">
        <v>1273</v>
      </c>
      <c r="B635" s="229" t="s">
        <v>159</v>
      </c>
      <c r="C635" s="229">
        <f>C569*10*D569*G566*D568</f>
        <v>0</v>
      </c>
      <c r="D635" s="229">
        <f>'Прайс лист'!G1402</f>
        <v>2.5000000000000001E-2</v>
      </c>
      <c r="E635" s="229">
        <f t="shared" si="13"/>
        <v>0</v>
      </c>
      <c r="F635" s="1194"/>
      <c r="G635" s="3130" t="s">
        <v>1581</v>
      </c>
      <c r="H635" s="3130"/>
      <c r="I635" s="229" t="s">
        <v>133</v>
      </c>
      <c r="J635" s="229">
        <f>C573*D573*H566*D569</f>
        <v>0</v>
      </c>
      <c r="K635" s="229">
        <f>'Прайс лист'!G1797</f>
        <v>100</v>
      </c>
      <c r="L635" s="229">
        <f t="shared" si="14"/>
        <v>0</v>
      </c>
      <c r="M635" s="1194"/>
      <c r="N635" s="1194"/>
      <c r="O635" s="1194"/>
      <c r="P635" s="1194"/>
      <c r="Q635" s="1194"/>
      <c r="R635" s="1194"/>
    </row>
    <row r="636" spans="1:18" ht="16">
      <c r="A636" s="229" t="s">
        <v>1274</v>
      </c>
      <c r="B636" s="229" t="s">
        <v>159</v>
      </c>
      <c r="C636" s="229">
        <f>(C571*D571)/50*G566*D568</f>
        <v>0</v>
      </c>
      <c r="D636" s="229">
        <f>'Прайс лист'!G1403</f>
        <v>500</v>
      </c>
      <c r="E636" s="229">
        <f t="shared" si="13"/>
        <v>0</v>
      </c>
      <c r="F636" s="1194"/>
      <c r="G636" s="498" t="s">
        <v>1255</v>
      </c>
      <c r="H636" s="2293"/>
      <c r="I636" s="229" t="s">
        <v>133</v>
      </c>
      <c r="J636" s="229">
        <f>C574*D574*H566*D569</f>
        <v>0</v>
      </c>
      <c r="K636" s="229">
        <f>'Прайс лист'!G1798</f>
        <v>400</v>
      </c>
      <c r="L636" s="229">
        <f t="shared" si="14"/>
        <v>0</v>
      </c>
      <c r="M636" s="1194"/>
      <c r="N636" s="1194"/>
      <c r="O636" s="1194"/>
      <c r="P636" s="1194"/>
      <c r="Q636" s="1194"/>
      <c r="R636" s="1194"/>
    </row>
    <row r="637" spans="1:18" ht="16">
      <c r="A637" s="229" t="s">
        <v>1275</v>
      </c>
      <c r="B637" s="229" t="s">
        <v>159</v>
      </c>
      <c r="C637" s="229">
        <f>(C571*D571)/100*G566*D568</f>
        <v>0</v>
      </c>
      <c r="D637" s="229">
        <f>'Прайс лист'!G1404</f>
        <v>500</v>
      </c>
      <c r="E637" s="229">
        <f t="shared" si="13"/>
        <v>0</v>
      </c>
      <c r="F637" s="1194"/>
      <c r="G637" s="498" t="s">
        <v>1281</v>
      </c>
      <c r="H637" s="2293"/>
      <c r="I637" s="229" t="s">
        <v>133</v>
      </c>
      <c r="J637" s="229">
        <f>C575*D575*H566*D569</f>
        <v>0</v>
      </c>
      <c r="K637" s="229">
        <f>'Прайс лист'!G1799</f>
        <v>400</v>
      </c>
      <c r="L637" s="229">
        <f t="shared" si="14"/>
        <v>0</v>
      </c>
      <c r="M637" s="1194"/>
      <c r="N637" s="1194"/>
      <c r="O637" s="1194"/>
      <c r="P637" s="1194"/>
      <c r="Q637" s="1194"/>
      <c r="R637" s="1194"/>
    </row>
    <row r="638" spans="1:18" ht="16">
      <c r="A638" s="229" t="s">
        <v>1276</v>
      </c>
      <c r="B638" s="229" t="s">
        <v>159</v>
      </c>
      <c r="C638" s="229">
        <f>(C571*D571)/50*G566*D568</f>
        <v>0</v>
      </c>
      <c r="D638" s="229">
        <f>'Прайс лист'!G1405</f>
        <v>400</v>
      </c>
      <c r="E638" s="229">
        <f t="shared" si="13"/>
        <v>0</v>
      </c>
      <c r="F638" s="1194"/>
      <c r="G638" s="498" t="s">
        <v>1282</v>
      </c>
      <c r="H638" s="2293"/>
      <c r="I638" s="229" t="s">
        <v>133</v>
      </c>
      <c r="J638" s="229">
        <f>C576*D576*H566</f>
        <v>0</v>
      </c>
      <c r="K638" s="229">
        <f>'Прайс лист'!G1800</f>
        <v>400</v>
      </c>
      <c r="L638" s="229">
        <f t="shared" si="14"/>
        <v>0</v>
      </c>
      <c r="M638" s="1194"/>
      <c r="N638" s="1194"/>
      <c r="O638" s="1194"/>
      <c r="P638" s="1194"/>
      <c r="Q638" s="1194"/>
      <c r="R638" s="1194"/>
    </row>
    <row r="639" spans="1:18" ht="16">
      <c r="A639" s="229" t="s">
        <v>1277</v>
      </c>
      <c r="B639" s="229" t="s">
        <v>159</v>
      </c>
      <c r="C639" s="229">
        <f>C571*2/50*G566*D571*D568</f>
        <v>0</v>
      </c>
      <c r="D639" s="229">
        <f>'Прайс лист'!G1406</f>
        <v>100</v>
      </c>
      <c r="E639" s="229">
        <f t="shared" si="13"/>
        <v>0</v>
      </c>
      <c r="F639" s="1194"/>
      <c r="G639" s="3081" t="s">
        <v>1283</v>
      </c>
      <c r="H639" s="3081"/>
      <c r="I639" s="229" t="s">
        <v>133</v>
      </c>
      <c r="J639" s="229">
        <f>C577*D577*H566*D569</f>
        <v>0</v>
      </c>
      <c r="K639" s="229">
        <f>'Прайс лист'!G1801</f>
        <v>100</v>
      </c>
      <c r="L639" s="229">
        <f t="shared" si="14"/>
        <v>0</v>
      </c>
      <c r="M639" s="1194"/>
      <c r="N639" s="1194"/>
      <c r="O639" s="1194"/>
      <c r="P639" s="1194"/>
      <c r="Q639" s="1194"/>
      <c r="R639" s="1194"/>
    </row>
    <row r="640" spans="1:18" ht="16">
      <c r="A640" s="229" t="s">
        <v>1278</v>
      </c>
      <c r="B640" s="288" t="s">
        <v>133</v>
      </c>
      <c r="C640" s="229">
        <f>C572*D572*G566*D568</f>
        <v>0</v>
      </c>
      <c r="D640" s="229">
        <f>'Прайс лист'!G1407</f>
        <v>30</v>
      </c>
      <c r="E640" s="229">
        <f t="shared" si="13"/>
        <v>0</v>
      </c>
      <c r="F640" s="1194"/>
      <c r="G640" s="3199" t="s">
        <v>1582</v>
      </c>
      <c r="H640" s="3199"/>
      <c r="I640" s="229"/>
      <c r="J640" s="229"/>
      <c r="K640" s="229">
        <f>'Прайс лист'!G1802</f>
        <v>0</v>
      </c>
      <c r="L640" s="229">
        <f t="shared" si="14"/>
        <v>0</v>
      </c>
      <c r="M640" s="1195"/>
      <c r="N640" s="1195"/>
      <c r="O640" s="1195"/>
      <c r="P640" s="1195"/>
      <c r="Q640" s="1195"/>
      <c r="R640" s="1195"/>
    </row>
    <row r="641" spans="1:18" ht="16">
      <c r="A641" s="229" t="s">
        <v>1279</v>
      </c>
      <c r="B641" s="288" t="s">
        <v>159</v>
      </c>
      <c r="C641" s="229">
        <f>C640/40*G566*D568</f>
        <v>0</v>
      </c>
      <c r="D641" s="229">
        <f>'Прайс лист'!G1408</f>
        <v>120</v>
      </c>
      <c r="E641" s="229">
        <f t="shared" si="13"/>
        <v>0</v>
      </c>
      <c r="F641" s="1194"/>
      <c r="G641" s="2258" t="s">
        <v>1583</v>
      </c>
      <c r="H641" s="2259"/>
      <c r="I641" s="229" t="s">
        <v>133</v>
      </c>
      <c r="J641" s="229">
        <f>C580*D580*H566*D579</f>
        <v>0</v>
      </c>
      <c r="K641" s="229">
        <f>'Прайс лист'!G1803</f>
        <v>150</v>
      </c>
      <c r="L641" s="229">
        <f t="shared" si="14"/>
        <v>0</v>
      </c>
      <c r="M641" s="1195"/>
      <c r="N641" s="1195"/>
      <c r="O641" s="1195"/>
      <c r="P641" s="1195"/>
      <c r="Q641" s="1195"/>
      <c r="R641" s="1195"/>
    </row>
    <row r="642" spans="1:18" ht="16">
      <c r="A642" s="229" t="s">
        <v>1280</v>
      </c>
      <c r="B642" s="288" t="s">
        <v>159</v>
      </c>
      <c r="C642" s="229">
        <f>C573*D573/50*G566*D568</f>
        <v>0</v>
      </c>
      <c r="D642" s="229">
        <f>'Прайс лист'!G1409</f>
        <v>900</v>
      </c>
      <c r="E642" s="229">
        <f t="shared" si="13"/>
        <v>0</v>
      </c>
      <c r="F642" s="1194"/>
      <c r="G642" s="2258" t="s">
        <v>1554</v>
      </c>
      <c r="H642" s="2259"/>
      <c r="I642" s="229" t="s">
        <v>133</v>
      </c>
      <c r="J642" s="229">
        <f>C581*D581*H566*D579</f>
        <v>0</v>
      </c>
      <c r="K642" s="229">
        <f>'Прайс лист'!G1804</f>
        <v>120</v>
      </c>
      <c r="L642" s="229">
        <f t="shared" si="14"/>
        <v>0</v>
      </c>
      <c r="M642" s="1195"/>
      <c r="N642" s="1195"/>
      <c r="O642" s="1195"/>
      <c r="P642" s="1195"/>
      <c r="Q642" s="1195"/>
      <c r="R642" s="1195"/>
    </row>
    <row r="643" spans="1:18" ht="16">
      <c r="A643" s="260" t="s">
        <v>1255</v>
      </c>
      <c r="B643" s="288" t="s">
        <v>133</v>
      </c>
      <c r="C643" s="229">
        <f>C574*D574*G566*D568</f>
        <v>0</v>
      </c>
      <c r="D643" s="229">
        <f>'Прайс лист'!G1410</f>
        <v>350</v>
      </c>
      <c r="E643" s="229">
        <f t="shared" si="13"/>
        <v>0</v>
      </c>
      <c r="F643" s="1194"/>
      <c r="G643" s="2258" t="s">
        <v>1584</v>
      </c>
      <c r="H643" s="2259"/>
      <c r="I643" s="229" t="s">
        <v>133</v>
      </c>
      <c r="J643" s="229">
        <f>C582*D582*H566*D579</f>
        <v>0</v>
      </c>
      <c r="K643" s="229">
        <f>'Прайс лист'!G1805</f>
        <v>80</v>
      </c>
      <c r="L643" s="229">
        <f t="shared" si="14"/>
        <v>0</v>
      </c>
      <c r="M643" s="1195"/>
      <c r="N643" s="1195"/>
      <c r="O643" s="1195"/>
      <c r="P643" s="1195"/>
      <c r="Q643" s="1195"/>
      <c r="R643" s="1195"/>
    </row>
    <row r="644" spans="1:18" ht="16">
      <c r="A644" s="260" t="s">
        <v>1281</v>
      </c>
      <c r="B644" s="288" t="s">
        <v>133</v>
      </c>
      <c r="C644" s="229">
        <f>C575*D575*G566*D568</f>
        <v>0</v>
      </c>
      <c r="D644" s="229">
        <f>'Прайс лист'!G1411</f>
        <v>500</v>
      </c>
      <c r="E644" s="229">
        <f t="shared" si="13"/>
        <v>0</v>
      </c>
      <c r="F644" s="1194"/>
      <c r="G644" s="2258" t="s">
        <v>1585</v>
      </c>
      <c r="H644" s="2259"/>
      <c r="I644" s="229" t="s">
        <v>133</v>
      </c>
      <c r="J644" s="229">
        <f>J643*H566*D579</f>
        <v>0</v>
      </c>
      <c r="K644" s="229">
        <f>'Прайс лист'!G1806</f>
        <v>100</v>
      </c>
      <c r="L644" s="229">
        <f t="shared" si="14"/>
        <v>0</v>
      </c>
      <c r="M644" s="1195"/>
      <c r="N644" s="1195"/>
      <c r="O644" s="1195"/>
      <c r="P644" s="1195"/>
      <c r="Q644" s="1195"/>
      <c r="R644" s="1195"/>
    </row>
    <row r="645" spans="1:18" ht="16">
      <c r="A645" s="260" t="s">
        <v>1282</v>
      </c>
      <c r="B645" s="288" t="s">
        <v>133</v>
      </c>
      <c r="C645" s="229">
        <f>C576*D576*G566*D568</f>
        <v>0</v>
      </c>
      <c r="D645" s="229">
        <f>'Прайс лист'!G1412</f>
        <v>250</v>
      </c>
      <c r="E645" s="229">
        <f t="shared" si="13"/>
        <v>0</v>
      </c>
      <c r="F645" s="1194"/>
      <c r="G645" s="2258" t="s">
        <v>1586</v>
      </c>
      <c r="H645" s="2259"/>
      <c r="I645" s="229" t="s">
        <v>133</v>
      </c>
      <c r="J645" s="229">
        <f>C583*D583*H566*D579</f>
        <v>0</v>
      </c>
      <c r="K645" s="229">
        <f>'Прайс лист'!G1807</f>
        <v>150</v>
      </c>
      <c r="L645" s="229">
        <f t="shared" si="14"/>
        <v>0</v>
      </c>
      <c r="M645" s="1195"/>
      <c r="N645" s="1195"/>
      <c r="O645" s="1195"/>
      <c r="P645" s="1195"/>
      <c r="Q645" s="1195"/>
      <c r="R645" s="1195"/>
    </row>
    <row r="646" spans="1:18" ht="16">
      <c r="A646" s="260" t="s">
        <v>1283</v>
      </c>
      <c r="B646" s="288" t="s">
        <v>156</v>
      </c>
      <c r="C646" s="229">
        <f>C577*G566*D577*D568</f>
        <v>0</v>
      </c>
      <c r="D646" s="229">
        <f>'Прайс лист'!G1413</f>
        <v>6</v>
      </c>
      <c r="E646" s="229">
        <f t="shared" si="13"/>
        <v>0</v>
      </c>
      <c r="F646" s="1194"/>
      <c r="G646" s="2258" t="s">
        <v>1294</v>
      </c>
      <c r="H646" s="2259"/>
      <c r="I646" s="229" t="s">
        <v>133</v>
      </c>
      <c r="J646" s="229">
        <f>C585*D585*H566*D579</f>
        <v>0</v>
      </c>
      <c r="K646" s="229">
        <f>'Прайс лист'!G1808</f>
        <v>300</v>
      </c>
      <c r="L646" s="229">
        <f t="shared" si="14"/>
        <v>0</v>
      </c>
      <c r="M646" s="1195"/>
      <c r="N646" s="1195"/>
      <c r="O646" s="1195"/>
      <c r="P646" s="1195"/>
      <c r="Q646" s="1195"/>
      <c r="R646" s="1195"/>
    </row>
    <row r="647" spans="1:18" ht="16">
      <c r="A647" s="260" t="s">
        <v>1284</v>
      </c>
      <c r="B647" s="288" t="s">
        <v>159</v>
      </c>
      <c r="C647" s="229">
        <f>C578*D578*G566*D568</f>
        <v>0</v>
      </c>
      <c r="D647" s="229">
        <f>'Прайс лист'!G1414</f>
        <v>8</v>
      </c>
      <c r="E647" s="229">
        <f t="shared" si="13"/>
        <v>0</v>
      </c>
      <c r="F647" s="1194"/>
      <c r="G647" s="3130" t="s">
        <v>1587</v>
      </c>
      <c r="H647" s="3130"/>
      <c r="I647" s="229" t="s">
        <v>156</v>
      </c>
      <c r="J647" s="229">
        <f>C584*D584*H566*D579</f>
        <v>0</v>
      </c>
      <c r="K647" s="229">
        <f>'Прайс лист'!G1809</f>
        <v>50</v>
      </c>
      <c r="L647" s="229">
        <f t="shared" si="14"/>
        <v>0</v>
      </c>
      <c r="M647" s="1195"/>
      <c r="N647" s="1195"/>
      <c r="O647" s="1195"/>
      <c r="P647" s="1195"/>
      <c r="Q647" s="1195"/>
      <c r="R647" s="1195"/>
    </row>
    <row r="648" spans="1:18" ht="16">
      <c r="A648" s="260" t="s">
        <v>1285</v>
      </c>
      <c r="B648" s="288" t="s">
        <v>159</v>
      </c>
      <c r="C648" s="229">
        <f>C646*2*G566*D568</f>
        <v>0</v>
      </c>
      <c r="D648" s="229">
        <f>'Прайс лист'!G1415</f>
        <v>0.02</v>
      </c>
      <c r="E648" s="229">
        <f t="shared" si="13"/>
        <v>0</v>
      </c>
      <c r="F648" s="1194"/>
      <c r="G648" s="3130" t="s">
        <v>1588</v>
      </c>
      <c r="H648" s="3130"/>
      <c r="I648" s="229" t="s">
        <v>156</v>
      </c>
      <c r="J648" s="229">
        <f>J647*H566*D579</f>
        <v>0</v>
      </c>
      <c r="K648" s="229">
        <f>'Прайс лист'!G1810</f>
        <v>50</v>
      </c>
      <c r="L648" s="229">
        <f t="shared" si="14"/>
        <v>0</v>
      </c>
      <c r="M648" s="1195"/>
      <c r="N648" s="1195"/>
      <c r="O648" s="1195"/>
      <c r="P648" s="1195"/>
      <c r="Q648" s="1195"/>
      <c r="R648" s="1195"/>
    </row>
    <row r="649" spans="1:18" ht="16">
      <c r="A649" s="229" t="s">
        <v>1286</v>
      </c>
      <c r="B649" s="288" t="s">
        <v>159</v>
      </c>
      <c r="C649" s="229">
        <f>(C643+C644+C645)*20*G566*D568</f>
        <v>0</v>
      </c>
      <c r="D649" s="229">
        <f>'Прайс лист'!G1416</f>
        <v>0.02</v>
      </c>
      <c r="E649" s="229">
        <f t="shared" si="13"/>
        <v>0</v>
      </c>
      <c r="F649" s="1194"/>
      <c r="G649" s="3130" t="s">
        <v>1589</v>
      </c>
      <c r="H649" s="3130"/>
      <c r="I649" s="229" t="s">
        <v>156</v>
      </c>
      <c r="J649" s="229">
        <f>J647*H566*D579</f>
        <v>0</v>
      </c>
      <c r="K649" s="229">
        <f>'Прайс лист'!G1811</f>
        <v>50</v>
      </c>
      <c r="L649" s="229">
        <f t="shared" si="14"/>
        <v>0</v>
      </c>
      <c r="M649" s="1195"/>
      <c r="N649" s="1195"/>
      <c r="O649" s="1195"/>
      <c r="P649" s="1195"/>
      <c r="Q649" s="1195"/>
      <c r="R649" s="1195"/>
    </row>
    <row r="650" spans="1:18" ht="16">
      <c r="A650" s="99" t="s">
        <v>1287</v>
      </c>
      <c r="B650" s="288"/>
      <c r="C650" s="229"/>
      <c r="D650" s="229">
        <f>'Прайс лист'!G1417</f>
        <v>0</v>
      </c>
      <c r="E650" s="229">
        <f t="shared" si="13"/>
        <v>0</v>
      </c>
      <c r="F650" s="1194"/>
      <c r="G650" s="498" t="s">
        <v>1255</v>
      </c>
      <c r="H650" s="2293"/>
      <c r="I650" s="229" t="s">
        <v>133</v>
      </c>
      <c r="J650" s="2226">
        <f>C586*D586*H566*D579</f>
        <v>0</v>
      </c>
      <c r="K650" s="229">
        <f>'Прайс лист'!G1812</f>
        <v>400</v>
      </c>
      <c r="L650" s="229">
        <f t="shared" si="14"/>
        <v>0</v>
      </c>
      <c r="M650" s="1195"/>
      <c r="N650" s="1195"/>
      <c r="O650" s="1195"/>
      <c r="P650" s="1195"/>
      <c r="Q650" s="1195"/>
      <c r="R650" s="1195"/>
    </row>
    <row r="651" spans="1:18" ht="16">
      <c r="A651" s="229" t="s">
        <v>1288</v>
      </c>
      <c r="B651" s="229" t="s">
        <v>133</v>
      </c>
      <c r="C651" s="229">
        <f>C580*D580*G566*1.1*D579</f>
        <v>0</v>
      </c>
      <c r="D651" s="229">
        <f>'Прайс лист'!G1418</f>
        <v>80</v>
      </c>
      <c r="E651" s="229">
        <f t="shared" si="13"/>
        <v>0</v>
      </c>
      <c r="F651" s="1194"/>
      <c r="G651" s="498" t="s">
        <v>1281</v>
      </c>
      <c r="H651" s="2293"/>
      <c r="I651" s="229" t="s">
        <v>133</v>
      </c>
      <c r="J651" s="2226">
        <f>C587*D587*H566*D579</f>
        <v>0</v>
      </c>
      <c r="K651" s="229">
        <f>'Прайс лист'!G1813</f>
        <v>400</v>
      </c>
      <c r="L651" s="229">
        <f t="shared" si="14"/>
        <v>0</v>
      </c>
      <c r="M651" s="1195"/>
      <c r="N651" s="1195"/>
      <c r="O651" s="1195"/>
      <c r="P651" s="1195"/>
      <c r="Q651" s="1195"/>
      <c r="R651" s="1195"/>
    </row>
    <row r="652" spans="1:18" ht="16">
      <c r="A652" s="229" t="s">
        <v>1269</v>
      </c>
      <c r="B652" s="229" t="s">
        <v>159</v>
      </c>
      <c r="C652" s="229">
        <f>1/0.6*C581*G566*D581/3*1.1*D579</f>
        <v>0</v>
      </c>
      <c r="D652" s="229">
        <f>'Прайс лист'!G1419</f>
        <v>100</v>
      </c>
      <c r="E652" s="229">
        <f t="shared" si="13"/>
        <v>0</v>
      </c>
      <c r="F652" s="1194"/>
      <c r="G652" s="498" t="s">
        <v>1282</v>
      </c>
      <c r="H652" s="2293"/>
      <c r="I652" s="229" t="s">
        <v>133</v>
      </c>
      <c r="J652" s="2226">
        <f>C588*D588*H566*D579</f>
        <v>0</v>
      </c>
      <c r="K652" s="229">
        <f>'Прайс лист'!G1814</f>
        <v>400</v>
      </c>
      <c r="L652" s="229">
        <f t="shared" si="14"/>
        <v>0</v>
      </c>
      <c r="M652" s="1195"/>
      <c r="N652" s="1195"/>
      <c r="O652" s="1195"/>
      <c r="P652" s="1195"/>
      <c r="Q652" s="1195"/>
      <c r="R652" s="1195"/>
    </row>
    <row r="653" spans="1:18" ht="16">
      <c r="A653" s="229" t="s">
        <v>1270</v>
      </c>
      <c r="B653" s="229" t="s">
        <v>159</v>
      </c>
      <c r="C653" s="229">
        <f>C584/3*D581*1.1*G566*D579</f>
        <v>0</v>
      </c>
      <c r="D653" s="229">
        <f>'Прайс лист'!G1420</f>
        <v>100</v>
      </c>
      <c r="E653" s="229">
        <f t="shared" si="13"/>
        <v>0</v>
      </c>
      <c r="F653" s="1194"/>
      <c r="G653" s="3081" t="s">
        <v>1283</v>
      </c>
      <c r="H653" s="3081"/>
      <c r="I653" s="229" t="s">
        <v>133</v>
      </c>
      <c r="J653" s="2226">
        <f>C589*D589*H566*D579</f>
        <v>0</v>
      </c>
      <c r="K653" s="229">
        <f>'Прайс лист'!G1815</f>
        <v>100</v>
      </c>
      <c r="L653" s="229">
        <f t="shared" si="14"/>
        <v>0</v>
      </c>
      <c r="M653" s="1195"/>
      <c r="N653" s="1195"/>
      <c r="O653" s="1195"/>
      <c r="P653" s="1195"/>
      <c r="Q653" s="1195"/>
      <c r="R653" s="1195"/>
    </row>
    <row r="654" spans="1:18" ht="16">
      <c r="A654" s="229" t="s">
        <v>1271</v>
      </c>
      <c r="B654" s="229" t="s">
        <v>159</v>
      </c>
      <c r="C654" s="229">
        <f>C652*3*G566*D579</f>
        <v>0</v>
      </c>
      <c r="D654" s="229">
        <f>'Прайс лист'!G1421</f>
        <v>9</v>
      </c>
      <c r="E654" s="229">
        <f t="shared" si="13"/>
        <v>0</v>
      </c>
      <c r="F654" s="1194"/>
      <c r="G654" s="3199" t="s">
        <v>1590</v>
      </c>
      <c r="H654" s="3199"/>
      <c r="I654" s="229"/>
      <c r="J654" s="229"/>
      <c r="K654" s="229">
        <f>'Прайс лист'!G1816</f>
        <v>0</v>
      </c>
      <c r="L654" s="229">
        <f t="shared" si="14"/>
        <v>0</v>
      </c>
      <c r="M654" s="1195"/>
      <c r="N654" s="1195"/>
      <c r="O654" s="1195"/>
      <c r="P654" s="1195"/>
      <c r="Q654" s="1195"/>
      <c r="R654" s="1195"/>
    </row>
    <row r="655" spans="1:18" ht="16">
      <c r="A655" s="229" t="s">
        <v>1272</v>
      </c>
      <c r="B655" s="229" t="s">
        <v>159</v>
      </c>
      <c r="C655" s="229">
        <f>C651*5*G566*D579</f>
        <v>0</v>
      </c>
      <c r="D655" s="229">
        <f>'Прайс лист'!G1422</f>
        <v>2.5000000000000001E-2</v>
      </c>
      <c r="E655" s="229">
        <f t="shared" si="13"/>
        <v>0</v>
      </c>
      <c r="F655" s="1194"/>
      <c r="G655" s="3130" t="s">
        <v>1591</v>
      </c>
      <c r="H655" s="3130"/>
      <c r="I655" s="229" t="s">
        <v>133</v>
      </c>
      <c r="J655" s="229">
        <f>C592*(D592+D593)*H566*D591</f>
        <v>94</v>
      </c>
      <c r="K655" s="229">
        <f>'Прайс лист'!G1817</f>
        <v>30</v>
      </c>
      <c r="L655" s="229">
        <f t="shared" si="14"/>
        <v>2820</v>
      </c>
      <c r="M655" s="1195"/>
      <c r="N655" s="1195"/>
      <c r="O655" s="1195"/>
      <c r="P655" s="1195"/>
      <c r="Q655" s="1195"/>
      <c r="R655" s="1195"/>
    </row>
    <row r="656" spans="1:18" ht="16">
      <c r="A656" s="229" t="s">
        <v>1273</v>
      </c>
      <c r="B656" s="229" t="s">
        <v>159</v>
      </c>
      <c r="C656" s="229">
        <f>C651*20*G566*D579</f>
        <v>0</v>
      </c>
      <c r="D656" s="229">
        <f>'Прайс лист'!G1423</f>
        <v>2.5000000000000001E-2</v>
      </c>
      <c r="E656" s="229">
        <f t="shared" si="13"/>
        <v>0</v>
      </c>
      <c r="F656" s="1194"/>
      <c r="G656" s="3130" t="s">
        <v>1297</v>
      </c>
      <c r="H656" s="3130"/>
      <c r="I656" s="229" t="s">
        <v>133</v>
      </c>
      <c r="J656" s="229">
        <f>C592*D592*H566*D591</f>
        <v>0</v>
      </c>
      <c r="K656" s="229">
        <f>'Прайс лист'!G1818</f>
        <v>150</v>
      </c>
      <c r="L656" s="229">
        <f t="shared" si="14"/>
        <v>0</v>
      </c>
      <c r="M656" s="1195"/>
      <c r="N656" s="1195"/>
      <c r="O656" s="1195"/>
      <c r="P656" s="1195"/>
      <c r="Q656" s="1195"/>
      <c r="R656" s="1195"/>
    </row>
    <row r="657" spans="1:18" ht="16">
      <c r="A657" s="229" t="s">
        <v>1274</v>
      </c>
      <c r="B657" s="229" t="s">
        <v>159</v>
      </c>
      <c r="C657" s="229">
        <f>C582*D582/10*G566*D579</f>
        <v>0</v>
      </c>
      <c r="D657" s="229">
        <f>'Прайс лист'!G1424</f>
        <v>500</v>
      </c>
      <c r="E657" s="229">
        <f t="shared" si="13"/>
        <v>0</v>
      </c>
      <c r="F657" s="1194"/>
      <c r="G657" s="3130" t="s">
        <v>1298</v>
      </c>
      <c r="H657" s="3130"/>
      <c r="I657" s="229" t="s">
        <v>133</v>
      </c>
      <c r="J657" s="229">
        <f>C593*D593*H566*D591</f>
        <v>94</v>
      </c>
      <c r="K657" s="229">
        <f>'Прайс лист'!G1819</f>
        <v>150</v>
      </c>
      <c r="L657" s="229">
        <f t="shared" si="14"/>
        <v>14100</v>
      </c>
      <c r="M657" s="1195"/>
      <c r="N657" s="1195"/>
      <c r="O657" s="1195"/>
      <c r="P657" s="1195"/>
      <c r="Q657" s="1195"/>
      <c r="R657" s="1195"/>
    </row>
    <row r="658" spans="1:18" ht="16">
      <c r="A658" s="229" t="s">
        <v>1275</v>
      </c>
      <c r="B658" s="229" t="s">
        <v>159</v>
      </c>
      <c r="C658" s="229">
        <f>C582*D582/100*G566*D579</f>
        <v>0</v>
      </c>
      <c r="D658" s="229">
        <f>'Прайс лист'!G1425</f>
        <v>500</v>
      </c>
      <c r="E658" s="229">
        <f t="shared" si="13"/>
        <v>0</v>
      </c>
      <c r="F658" s="1194"/>
      <c r="G658" s="3130" t="s">
        <v>1300</v>
      </c>
      <c r="H658" s="3130"/>
      <c r="I658" s="229" t="s">
        <v>156</v>
      </c>
      <c r="J658" s="229">
        <f>C595*D595*H566*D591</f>
        <v>0</v>
      </c>
      <c r="K658" s="229">
        <f>'Прайс лист'!G1820</f>
        <v>150</v>
      </c>
      <c r="L658" s="229">
        <f t="shared" si="14"/>
        <v>0</v>
      </c>
      <c r="M658" s="1195"/>
      <c r="N658" s="1195"/>
      <c r="O658" s="1195"/>
      <c r="P658" s="1195"/>
      <c r="Q658" s="1195"/>
      <c r="R658" s="1195"/>
    </row>
    <row r="659" spans="1:18" ht="16">
      <c r="A659" s="229" t="s">
        <v>1276</v>
      </c>
      <c r="B659" s="229" t="s">
        <v>159</v>
      </c>
      <c r="C659" s="229">
        <f>C582*D582/50*G566*D579</f>
        <v>0</v>
      </c>
      <c r="D659" s="229">
        <f>'Прайс лист'!G1426</f>
        <v>400</v>
      </c>
      <c r="E659" s="229">
        <f t="shared" si="13"/>
        <v>0</v>
      </c>
      <c r="F659" s="1194"/>
      <c r="G659" s="3130" t="s">
        <v>1301</v>
      </c>
      <c r="H659" s="3130"/>
      <c r="I659" s="229" t="s">
        <v>133</v>
      </c>
      <c r="J659" s="229">
        <f>C594*D594*H566*D591</f>
        <v>0</v>
      </c>
      <c r="K659" s="229">
        <f>'Прайс лист'!G1821</f>
        <v>600</v>
      </c>
      <c r="L659" s="229">
        <f t="shared" si="14"/>
        <v>0</v>
      </c>
      <c r="M659" s="1195"/>
      <c r="N659" s="1195"/>
      <c r="O659" s="1195"/>
      <c r="P659" s="1195"/>
      <c r="Q659" s="1195"/>
      <c r="R659" s="1195"/>
    </row>
    <row r="660" spans="1:18" ht="16">
      <c r="A660" s="229" t="s">
        <v>1277</v>
      </c>
      <c r="B660" s="229" t="s">
        <v>159</v>
      </c>
      <c r="C660" s="229">
        <f>C582*D582*2/50*G566*D579</f>
        <v>0</v>
      </c>
      <c r="D660" s="229">
        <f>'Прайс лист'!G1427</f>
        <v>100</v>
      </c>
      <c r="E660" s="229">
        <f t="shared" si="13"/>
        <v>0</v>
      </c>
      <c r="F660" s="1194"/>
      <c r="G660" s="3199" t="s">
        <v>1305</v>
      </c>
      <c r="H660" s="3199"/>
      <c r="I660" s="1195"/>
      <c r="J660" s="229"/>
      <c r="K660" s="229">
        <f>'Прайс лист'!G1822</f>
        <v>0</v>
      </c>
      <c r="L660" s="229">
        <f t="shared" si="14"/>
        <v>0</v>
      </c>
      <c r="M660" s="1195"/>
      <c r="N660" s="1195"/>
      <c r="O660" s="1195"/>
      <c r="P660" s="1195"/>
      <c r="Q660" s="1195"/>
      <c r="R660" s="1195"/>
    </row>
    <row r="661" spans="1:18" ht="16">
      <c r="A661" s="229" t="s">
        <v>1289</v>
      </c>
      <c r="B661" s="288" t="s">
        <v>159</v>
      </c>
      <c r="C661" s="229">
        <f>C583*D583/40*G566*D579</f>
        <v>0</v>
      </c>
      <c r="D661" s="229">
        <f>'Прайс лист'!G1428</f>
        <v>1200</v>
      </c>
      <c r="E661" s="229">
        <f t="shared" ref="E661:E692" si="15">C661*D661</f>
        <v>0</v>
      </c>
      <c r="F661" s="1194"/>
      <c r="G661" s="2258" t="s">
        <v>1306</v>
      </c>
      <c r="H661" s="2259"/>
      <c r="I661" s="229" t="s">
        <v>133</v>
      </c>
      <c r="J661" s="229">
        <f>C600*D600*H566*D596</f>
        <v>0</v>
      </c>
      <c r="K661" s="229">
        <f>'Прайс лист'!G1823</f>
        <v>600</v>
      </c>
      <c r="L661" s="229">
        <f t="shared" si="14"/>
        <v>0</v>
      </c>
      <c r="M661" s="1195"/>
      <c r="N661" s="1195"/>
      <c r="O661" s="1195"/>
      <c r="P661" s="1195"/>
      <c r="Q661" s="1195"/>
      <c r="R661" s="1195"/>
    </row>
    <row r="662" spans="1:18" ht="16">
      <c r="A662" s="229" t="s">
        <v>1290</v>
      </c>
      <c r="B662" s="288" t="s">
        <v>156</v>
      </c>
      <c r="C662" s="229">
        <f>C584*D584*G566*D579</f>
        <v>0</v>
      </c>
      <c r="D662" s="229">
        <f>'Прайс лист'!G1429</f>
        <v>10</v>
      </c>
      <c r="E662" s="229">
        <f t="shared" si="15"/>
        <v>0</v>
      </c>
      <c r="F662" s="1194"/>
      <c r="G662" s="2258" t="s">
        <v>1307</v>
      </c>
      <c r="H662" s="2259"/>
      <c r="I662" s="229" t="s">
        <v>133</v>
      </c>
      <c r="J662" s="229">
        <f>C601*D601*H566*D596</f>
        <v>0</v>
      </c>
      <c r="K662" s="229">
        <f>'Прайс лист'!G1824</f>
        <v>600</v>
      </c>
      <c r="L662" s="229">
        <f t="shared" si="14"/>
        <v>0</v>
      </c>
      <c r="M662" s="1195"/>
      <c r="N662" s="1195"/>
      <c r="O662" s="1195"/>
      <c r="P662" s="1195"/>
      <c r="Q662" s="1195"/>
      <c r="R662" s="1195"/>
    </row>
    <row r="663" spans="1:18" ht="16">
      <c r="A663" s="229" t="s">
        <v>1291</v>
      </c>
      <c r="B663" s="288" t="s">
        <v>159</v>
      </c>
      <c r="C663" s="229">
        <f>C662/100*G566*D579</f>
        <v>0</v>
      </c>
      <c r="D663" s="229">
        <f>'Прайс лист'!G1430</f>
        <v>100</v>
      </c>
      <c r="E663" s="229">
        <f t="shared" si="15"/>
        <v>0</v>
      </c>
      <c r="F663" s="1194"/>
      <c r="G663" s="2258" t="s">
        <v>1308</v>
      </c>
      <c r="H663" s="2259"/>
      <c r="I663" s="229" t="s">
        <v>133</v>
      </c>
      <c r="J663" s="229">
        <f>C602*D602*H566*D596</f>
        <v>0</v>
      </c>
      <c r="K663" s="229">
        <f>'Прайс лист'!G1825</f>
        <v>600</v>
      </c>
      <c r="L663" s="229">
        <f t="shared" si="14"/>
        <v>0</v>
      </c>
      <c r="M663" s="1195"/>
      <c r="N663" s="1195"/>
      <c r="O663" s="1195"/>
      <c r="P663" s="1195"/>
      <c r="Q663" s="1195"/>
      <c r="R663" s="1195"/>
    </row>
    <row r="664" spans="1:18" ht="16">
      <c r="A664" s="229" t="s">
        <v>1292</v>
      </c>
      <c r="B664" s="288" t="s">
        <v>159</v>
      </c>
      <c r="C664" s="229">
        <f>C662/100*G566*D579</f>
        <v>0</v>
      </c>
      <c r="D664" s="229">
        <f>'Прайс лист'!G1431</f>
        <v>190</v>
      </c>
      <c r="E664" s="229">
        <f t="shared" si="15"/>
        <v>0</v>
      </c>
      <c r="F664" s="1194"/>
      <c r="G664" s="2258" t="s">
        <v>1592</v>
      </c>
      <c r="H664" s="2259"/>
      <c r="I664" s="229" t="s">
        <v>133</v>
      </c>
      <c r="J664" s="229">
        <f>C603*D603*H566*D596</f>
        <v>0</v>
      </c>
      <c r="K664" s="229">
        <f>'Прайс лист'!G1826</f>
        <v>150</v>
      </c>
      <c r="L664" s="229">
        <f t="shared" si="14"/>
        <v>0</v>
      </c>
      <c r="M664" s="1195"/>
      <c r="N664" s="1195"/>
      <c r="O664" s="1195"/>
      <c r="P664" s="1195"/>
      <c r="Q664" s="1195"/>
      <c r="R664" s="1195"/>
    </row>
    <row r="665" spans="1:18" ht="16">
      <c r="A665" s="229" t="s">
        <v>1293</v>
      </c>
      <c r="B665" s="288" t="s">
        <v>133</v>
      </c>
      <c r="C665" s="229">
        <f>(C571*D571+C582*D582)/30*G566*D579</f>
        <v>0</v>
      </c>
      <c r="D665" s="229">
        <f>'Прайс лист'!G1432</f>
        <v>120</v>
      </c>
      <c r="E665" s="229">
        <f t="shared" si="15"/>
        <v>0</v>
      </c>
      <c r="F665" s="1194"/>
      <c r="G665" s="2258" t="s">
        <v>1593</v>
      </c>
      <c r="H665" s="2259"/>
      <c r="I665" s="229" t="s">
        <v>133</v>
      </c>
      <c r="J665" s="229">
        <f>C604*D604*H566*D596</f>
        <v>0</v>
      </c>
      <c r="K665" s="229">
        <f>'Прайс лист'!G1827</f>
        <v>150</v>
      </c>
      <c r="L665" s="229">
        <f t="shared" si="14"/>
        <v>0</v>
      </c>
      <c r="M665" s="1195"/>
      <c r="N665" s="1195"/>
      <c r="O665" s="1195"/>
      <c r="P665" s="1195"/>
      <c r="Q665" s="1195"/>
      <c r="R665" s="1195"/>
    </row>
    <row r="666" spans="1:18" ht="16">
      <c r="A666" s="229" t="s">
        <v>1294</v>
      </c>
      <c r="B666" s="288" t="s">
        <v>133</v>
      </c>
      <c r="C666" s="229">
        <f>C585*D585*G566*D579</f>
        <v>0</v>
      </c>
      <c r="D666" s="229">
        <f>'Прайс лист'!G1433</f>
        <v>400</v>
      </c>
      <c r="E666" s="229">
        <f t="shared" si="15"/>
        <v>0</v>
      </c>
      <c r="F666" s="1194"/>
      <c r="G666" s="2258" t="s">
        <v>1294</v>
      </c>
      <c r="H666" s="2259"/>
      <c r="I666" s="229" t="s">
        <v>133</v>
      </c>
      <c r="J666" s="229">
        <f>C605*D605*H566*D596</f>
        <v>0</v>
      </c>
      <c r="K666" s="229">
        <f>'Прайс лист'!G1828</f>
        <v>300</v>
      </c>
      <c r="L666" s="229">
        <f t="shared" si="14"/>
        <v>0</v>
      </c>
      <c r="M666" s="1195"/>
      <c r="N666" s="1195"/>
      <c r="O666" s="1195"/>
      <c r="P666" s="1195"/>
      <c r="Q666" s="1195"/>
      <c r="R666" s="1195"/>
    </row>
    <row r="667" spans="1:18" ht="16">
      <c r="A667" s="260" t="s">
        <v>1255</v>
      </c>
      <c r="B667" s="288" t="s">
        <v>133</v>
      </c>
      <c r="C667" s="229">
        <f>C586*D586*G566*D579</f>
        <v>0</v>
      </c>
      <c r="D667" s="229">
        <f>'Прайс лист'!G1434</f>
        <v>350</v>
      </c>
      <c r="E667" s="229">
        <f t="shared" si="15"/>
        <v>0</v>
      </c>
      <c r="F667" s="1194"/>
      <c r="G667" s="3199" t="s">
        <v>1594</v>
      </c>
      <c r="H667" s="3199"/>
      <c r="I667" s="229"/>
      <c r="J667" s="229"/>
      <c r="K667" s="229">
        <f>'Прайс лист'!G1829</f>
        <v>0</v>
      </c>
      <c r="L667" s="229">
        <f t="shared" si="14"/>
        <v>0</v>
      </c>
      <c r="M667" s="1195"/>
      <c r="N667" s="1195"/>
      <c r="O667" s="1195"/>
      <c r="P667" s="1195"/>
      <c r="Q667" s="1195"/>
      <c r="R667" s="1195"/>
    </row>
    <row r="668" spans="1:18" ht="16">
      <c r="A668" s="260" t="s">
        <v>1281</v>
      </c>
      <c r="B668" s="288" t="s">
        <v>133</v>
      </c>
      <c r="C668" s="229">
        <f>C587*D587*G566*D579</f>
        <v>0</v>
      </c>
      <c r="D668" s="229">
        <f>'Прайс лист'!G1435</f>
        <v>500</v>
      </c>
      <c r="E668" s="229">
        <f t="shared" si="15"/>
        <v>0</v>
      </c>
      <c r="F668" s="1194"/>
      <c r="G668" s="2258" t="s">
        <v>3977</v>
      </c>
      <c r="H668" s="2259"/>
      <c r="I668" s="229" t="s">
        <v>159</v>
      </c>
      <c r="J668" s="229">
        <f>C607*D608*H566*D606</f>
        <v>0</v>
      </c>
      <c r="K668" s="229">
        <f>'Прайс лист'!G1830</f>
        <v>1200</v>
      </c>
      <c r="L668" s="229">
        <f t="shared" si="14"/>
        <v>0</v>
      </c>
      <c r="M668" s="1195"/>
      <c r="N668" s="1195"/>
      <c r="O668" s="1195"/>
      <c r="P668" s="1195"/>
      <c r="Q668" s="1195"/>
      <c r="R668" s="1195"/>
    </row>
    <row r="669" spans="1:18" ht="16">
      <c r="A669" s="260" t="s">
        <v>1282</v>
      </c>
      <c r="B669" s="288" t="s">
        <v>133</v>
      </c>
      <c r="C669" s="229">
        <f>C588*D588*G566*D579</f>
        <v>0</v>
      </c>
      <c r="D669" s="229">
        <f>'Прайс лист'!G1436</f>
        <v>250</v>
      </c>
      <c r="E669" s="229">
        <f t="shared" si="15"/>
        <v>0</v>
      </c>
      <c r="F669" s="1194"/>
      <c r="G669" s="2258" t="s">
        <v>1596</v>
      </c>
      <c r="H669" s="2261"/>
      <c r="I669" s="229" t="s">
        <v>159</v>
      </c>
      <c r="J669" s="229">
        <f>C609*D609*H566*D606</f>
        <v>0</v>
      </c>
      <c r="K669" s="229">
        <f>'Прайс лист'!G1831</f>
        <v>250</v>
      </c>
      <c r="L669" s="229">
        <f t="shared" si="14"/>
        <v>0</v>
      </c>
      <c r="M669" s="1195"/>
      <c r="N669" s="1195"/>
      <c r="O669" s="1195"/>
      <c r="P669" s="1195"/>
      <c r="Q669" s="1195"/>
      <c r="R669" s="1195"/>
    </row>
    <row r="670" spans="1:18" ht="16">
      <c r="A670" s="260" t="s">
        <v>1283</v>
      </c>
      <c r="B670" s="288" t="s">
        <v>156</v>
      </c>
      <c r="C670" s="229">
        <f>C589*D589*G566*D579</f>
        <v>0</v>
      </c>
      <c r="D670" s="229">
        <f>'Прайс лист'!G1437</f>
        <v>6</v>
      </c>
      <c r="E670" s="229">
        <f t="shared" si="15"/>
        <v>0</v>
      </c>
      <c r="F670" s="1194"/>
      <c r="G670" s="2258" t="s">
        <v>1597</v>
      </c>
      <c r="H670" s="2259"/>
      <c r="I670" s="229" t="s">
        <v>159</v>
      </c>
      <c r="J670" s="229">
        <f>C608*D608*H566*D606</f>
        <v>0</v>
      </c>
      <c r="K670" s="229">
        <f>'Прайс лист'!G1832</f>
        <v>250</v>
      </c>
      <c r="L670" s="229">
        <f t="shared" si="14"/>
        <v>0</v>
      </c>
      <c r="M670" s="1195"/>
      <c r="N670" s="1195"/>
      <c r="O670" s="1195"/>
      <c r="P670" s="1195"/>
      <c r="Q670" s="1195"/>
      <c r="R670" s="1195"/>
    </row>
    <row r="671" spans="1:18" ht="16">
      <c r="A671" s="260" t="s">
        <v>1284</v>
      </c>
      <c r="B671" s="288" t="s">
        <v>159</v>
      </c>
      <c r="C671" s="229">
        <f>C590*D590*G566*D579</f>
        <v>0</v>
      </c>
      <c r="D671" s="229">
        <f>'Прайс лист'!G1438</f>
        <v>8</v>
      </c>
      <c r="E671" s="229">
        <f t="shared" si="15"/>
        <v>0</v>
      </c>
      <c r="F671" s="1194"/>
      <c r="G671" s="2258" t="s">
        <v>1598</v>
      </c>
      <c r="H671" s="2259"/>
      <c r="I671" s="229" t="s">
        <v>159</v>
      </c>
      <c r="J671" s="229">
        <f>C610*D610*H566*D606</f>
        <v>0</v>
      </c>
      <c r="K671" s="229">
        <f>'Прайс лист'!G1833</f>
        <v>100</v>
      </c>
      <c r="L671" s="229">
        <f t="shared" si="14"/>
        <v>0</v>
      </c>
      <c r="M671" s="1195"/>
      <c r="N671" s="1195"/>
      <c r="O671" s="1195"/>
      <c r="P671" s="1195"/>
      <c r="Q671" s="1195"/>
      <c r="R671" s="1195"/>
    </row>
    <row r="672" spans="1:18" ht="16">
      <c r="A672" s="260" t="s">
        <v>1285</v>
      </c>
      <c r="B672" s="288" t="s">
        <v>159</v>
      </c>
      <c r="C672" s="229">
        <f>C670*2*G566*D579</f>
        <v>0</v>
      </c>
      <c r="D672" s="229">
        <f>'Прайс лист'!G1439</f>
        <v>0.02</v>
      </c>
      <c r="E672" s="229">
        <f t="shared" si="15"/>
        <v>0</v>
      </c>
      <c r="F672" s="1194"/>
      <c r="G672" s="2258" t="s">
        <v>1599</v>
      </c>
      <c r="H672" s="2259"/>
      <c r="I672" s="229" t="s">
        <v>159</v>
      </c>
      <c r="J672" s="229">
        <f>C611*D611*H566*D606</f>
        <v>0</v>
      </c>
      <c r="K672" s="229">
        <f>'Прайс лист'!G1834</f>
        <v>80</v>
      </c>
      <c r="L672" s="229">
        <f t="shared" si="14"/>
        <v>0</v>
      </c>
      <c r="M672" s="1195"/>
      <c r="N672" s="1195"/>
      <c r="O672" s="1195"/>
      <c r="P672" s="1195"/>
      <c r="Q672" s="1195"/>
      <c r="R672" s="1195"/>
    </row>
    <row r="673" spans="1:18" ht="16">
      <c r="A673" s="229" t="s">
        <v>1286</v>
      </c>
      <c r="B673" s="288" t="s">
        <v>159</v>
      </c>
      <c r="C673" s="229">
        <f>(C667+C668+C669)*20*G566*D579</f>
        <v>0</v>
      </c>
      <c r="D673" s="229">
        <f>'Прайс лист'!G1440</f>
        <v>0.02</v>
      </c>
      <c r="E673" s="229">
        <f t="shared" si="15"/>
        <v>0</v>
      </c>
      <c r="F673" s="1194"/>
      <c r="G673" s="3199"/>
      <c r="H673" s="3199"/>
      <c r="I673" s="2226"/>
      <c r="J673" s="2226"/>
      <c r="K673" s="229"/>
      <c r="L673" s="229">
        <f t="shared" ref="L673:L678" si="16">J667*K673</f>
        <v>0</v>
      </c>
      <c r="M673" s="1195"/>
      <c r="N673" s="1195"/>
      <c r="O673" s="1195"/>
      <c r="P673" s="1195"/>
      <c r="Q673" s="1195"/>
      <c r="R673" s="1195"/>
    </row>
    <row r="674" spans="1:18" ht="16">
      <c r="A674" s="99" t="s">
        <v>1295</v>
      </c>
      <c r="B674" s="288"/>
      <c r="C674" s="229"/>
      <c r="D674" s="229">
        <f>'Прайс лист'!G1441</f>
        <v>0</v>
      </c>
      <c r="E674" s="229">
        <f t="shared" si="15"/>
        <v>0</v>
      </c>
      <c r="F674" s="1194"/>
      <c r="G674" s="3199"/>
      <c r="H674" s="3199"/>
      <c r="I674" s="2226"/>
      <c r="J674" s="2226"/>
      <c r="K674" s="229"/>
      <c r="L674" s="229">
        <f t="shared" si="16"/>
        <v>0</v>
      </c>
      <c r="M674" s="1195"/>
      <c r="N674" s="1195"/>
      <c r="O674" s="1195"/>
      <c r="P674" s="1195"/>
      <c r="Q674" s="1195"/>
      <c r="R674" s="1195"/>
    </row>
    <row r="675" spans="1:18" ht="16">
      <c r="A675" s="229" t="s">
        <v>1296</v>
      </c>
      <c r="B675" s="288" t="s">
        <v>133</v>
      </c>
      <c r="C675" s="229">
        <f>C592*D592*G566*D591</f>
        <v>0</v>
      </c>
      <c r="D675" s="229">
        <f>'Прайс лист'!G1442</f>
        <v>50</v>
      </c>
      <c r="E675" s="229">
        <f t="shared" si="15"/>
        <v>0</v>
      </c>
      <c r="F675" s="1194"/>
      <c r="G675" s="3199"/>
      <c r="H675" s="3199"/>
      <c r="I675" s="2226"/>
      <c r="J675" s="2226"/>
      <c r="K675" s="229"/>
      <c r="L675" s="229">
        <f t="shared" si="16"/>
        <v>0</v>
      </c>
      <c r="M675" s="1195"/>
      <c r="N675" s="1195"/>
      <c r="O675" s="1195"/>
      <c r="P675" s="1195"/>
      <c r="Q675" s="1195"/>
      <c r="R675" s="1195"/>
    </row>
    <row r="676" spans="1:18" ht="16">
      <c r="A676" s="229" t="s">
        <v>1297</v>
      </c>
      <c r="B676" s="288" t="s">
        <v>133</v>
      </c>
      <c r="C676" s="229">
        <f>C592*D592*G566*D591</f>
        <v>0</v>
      </c>
      <c r="D676" s="229">
        <f>'Прайс лист'!G1443</f>
        <v>350</v>
      </c>
      <c r="E676" s="229">
        <f t="shared" si="15"/>
        <v>0</v>
      </c>
      <c r="F676" s="1194"/>
      <c r="G676" s="3199"/>
      <c r="H676" s="3199"/>
      <c r="I676" s="2226"/>
      <c r="J676" s="2226"/>
      <c r="K676" s="229"/>
      <c r="L676" s="229">
        <f t="shared" si="16"/>
        <v>0</v>
      </c>
      <c r="M676" s="1195"/>
      <c r="N676" s="1195"/>
      <c r="O676" s="1195"/>
      <c r="P676" s="1195"/>
      <c r="Q676" s="1195"/>
      <c r="R676" s="1195"/>
    </row>
    <row r="677" spans="1:18" ht="16">
      <c r="A677" s="229" t="s">
        <v>1298</v>
      </c>
      <c r="B677" s="288" t="s">
        <v>133</v>
      </c>
      <c r="C677" s="229">
        <f>C593*D593*G566*D591</f>
        <v>94</v>
      </c>
      <c r="D677" s="229">
        <f>'Прайс лист'!G1444</f>
        <v>450</v>
      </c>
      <c r="E677" s="229">
        <f t="shared" si="15"/>
        <v>42300</v>
      </c>
      <c r="F677" s="1194"/>
      <c r="G677" s="3199"/>
      <c r="H677" s="3199"/>
      <c r="I677" s="2226"/>
      <c r="J677" s="2226"/>
      <c r="K677" s="229"/>
      <c r="L677" s="229">
        <f t="shared" si="16"/>
        <v>0</v>
      </c>
      <c r="M677" s="1195"/>
      <c r="N677" s="1195"/>
      <c r="O677" s="1195"/>
      <c r="P677" s="1195"/>
      <c r="Q677" s="1195"/>
      <c r="R677" s="1195"/>
    </row>
    <row r="678" spans="1:18" ht="16">
      <c r="A678" s="288" t="s">
        <v>1299</v>
      </c>
      <c r="B678" s="288" t="s">
        <v>159</v>
      </c>
      <c r="C678" s="229">
        <f>C595*D595/3*G566*D591</f>
        <v>0</v>
      </c>
      <c r="D678" s="229">
        <f>'Прайс лист'!G1445</f>
        <v>35</v>
      </c>
      <c r="E678" s="229">
        <f t="shared" si="15"/>
        <v>0</v>
      </c>
      <c r="F678" s="1194"/>
      <c r="G678" s="3199"/>
      <c r="H678" s="3199"/>
      <c r="I678" s="2226"/>
      <c r="J678" s="2226"/>
      <c r="K678" s="229"/>
      <c r="L678" s="229">
        <f t="shared" si="16"/>
        <v>0</v>
      </c>
      <c r="M678" s="1195"/>
      <c r="N678" s="1195"/>
      <c r="O678" s="1195"/>
      <c r="P678" s="1195"/>
      <c r="Q678" s="1195"/>
      <c r="R678" s="1195"/>
    </row>
    <row r="679" spans="1:18" ht="16">
      <c r="A679" s="229" t="s">
        <v>1300</v>
      </c>
      <c r="B679" s="288" t="s">
        <v>156</v>
      </c>
      <c r="C679" s="229">
        <f>C595*D595*G566*D591</f>
        <v>0</v>
      </c>
      <c r="D679" s="229">
        <f>'Прайс лист'!G1446</f>
        <v>35</v>
      </c>
      <c r="E679" s="229">
        <f t="shared" si="15"/>
        <v>0</v>
      </c>
      <c r="F679" s="1194"/>
      <c r="G679" s="3199"/>
      <c r="H679" s="3199"/>
      <c r="I679" s="229"/>
      <c r="J679" s="229"/>
      <c r="K679" s="229"/>
      <c r="L679" s="229">
        <f t="shared" ref="L679:L705" si="17">J679*K679</f>
        <v>0</v>
      </c>
      <c r="M679" s="1195"/>
      <c r="N679" s="1195"/>
      <c r="O679" s="1195"/>
      <c r="P679" s="1195"/>
      <c r="Q679" s="1195"/>
      <c r="R679" s="1195"/>
    </row>
    <row r="680" spans="1:18" ht="16">
      <c r="A680" s="229" t="s">
        <v>1301</v>
      </c>
      <c r="B680" s="288" t="s">
        <v>133</v>
      </c>
      <c r="C680" s="229">
        <f>C594*D594*G566*D591</f>
        <v>0</v>
      </c>
      <c r="D680" s="229">
        <f>'Прайс лист'!G1447</f>
        <v>500</v>
      </c>
      <c r="E680" s="229">
        <f t="shared" si="15"/>
        <v>0</v>
      </c>
      <c r="F680" s="1194"/>
      <c r="G680" s="3199"/>
      <c r="H680" s="3199"/>
      <c r="I680" s="229"/>
      <c r="J680" s="229"/>
      <c r="K680" s="229"/>
      <c r="L680" s="229">
        <f t="shared" si="17"/>
        <v>0</v>
      </c>
      <c r="M680" s="1195"/>
      <c r="N680" s="1195"/>
      <c r="O680" s="1195"/>
      <c r="P680" s="1195"/>
      <c r="Q680" s="1195"/>
      <c r="R680" s="1195"/>
    </row>
    <row r="681" spans="1:18" ht="16">
      <c r="A681" s="229" t="s">
        <v>1302</v>
      </c>
      <c r="B681" s="288" t="s">
        <v>159</v>
      </c>
      <c r="C681" s="229">
        <f>C680/4*G566*D591</f>
        <v>0</v>
      </c>
      <c r="D681" s="229">
        <f>'Прайс лист'!G1448</f>
        <v>250</v>
      </c>
      <c r="E681" s="229">
        <f t="shared" si="15"/>
        <v>0</v>
      </c>
      <c r="F681" s="1194"/>
      <c r="G681" s="3199"/>
      <c r="H681" s="3199"/>
      <c r="I681" s="229"/>
      <c r="J681" s="229"/>
      <c r="K681" s="229"/>
      <c r="L681" s="229">
        <f t="shared" si="17"/>
        <v>0</v>
      </c>
      <c r="M681" s="1195"/>
      <c r="N681" s="1195"/>
      <c r="O681" s="1195"/>
      <c r="P681" s="1195"/>
      <c r="Q681" s="1195"/>
      <c r="R681" s="1195"/>
    </row>
    <row r="682" spans="1:18" ht="16">
      <c r="A682" s="229" t="s">
        <v>1274</v>
      </c>
      <c r="B682" s="288" t="s">
        <v>159</v>
      </c>
      <c r="C682" s="229">
        <f>C680/20*G566*D591</f>
        <v>0</v>
      </c>
      <c r="D682" s="229">
        <f>'Прайс лист'!G1449</f>
        <v>500</v>
      </c>
      <c r="E682" s="229">
        <f t="shared" si="15"/>
        <v>0</v>
      </c>
      <c r="F682" s="1194"/>
      <c r="G682" s="3199"/>
      <c r="H682" s="3199"/>
      <c r="I682" s="229"/>
      <c r="J682" s="229"/>
      <c r="K682" s="229"/>
      <c r="L682" s="229">
        <f t="shared" si="17"/>
        <v>0</v>
      </c>
      <c r="M682" s="1195"/>
      <c r="N682" s="1195"/>
      <c r="O682" s="1195"/>
      <c r="P682" s="1195"/>
      <c r="Q682" s="1195"/>
      <c r="R682" s="1195"/>
    </row>
    <row r="683" spans="1:18" ht="16">
      <c r="A683" s="229" t="s">
        <v>1303</v>
      </c>
      <c r="B683" s="288" t="s">
        <v>159</v>
      </c>
      <c r="C683" s="229">
        <f>C680*20/100*G566*D591</f>
        <v>0</v>
      </c>
      <c r="D683" s="229">
        <f>'Прайс лист'!G1450</f>
        <v>200</v>
      </c>
      <c r="E683" s="229">
        <f t="shared" si="15"/>
        <v>0</v>
      </c>
      <c r="F683" s="1194"/>
      <c r="G683" s="3199"/>
      <c r="H683" s="3199"/>
      <c r="I683" s="229"/>
      <c r="J683" s="229"/>
      <c r="K683" s="229"/>
      <c r="L683" s="229">
        <f t="shared" si="17"/>
        <v>0</v>
      </c>
      <c r="M683" s="1195"/>
      <c r="N683" s="1195"/>
      <c r="O683" s="1195"/>
      <c r="P683" s="1195"/>
      <c r="Q683" s="1195"/>
      <c r="R683" s="1195"/>
    </row>
    <row r="684" spans="1:18" ht="16">
      <c r="A684" s="229" t="s">
        <v>1304</v>
      </c>
      <c r="B684" s="288" t="s">
        <v>159</v>
      </c>
      <c r="C684" s="229">
        <f>C680/10*G566*D591</f>
        <v>0</v>
      </c>
      <c r="D684" s="229">
        <f>'Прайс лист'!G1451</f>
        <v>400</v>
      </c>
      <c r="E684" s="229">
        <f t="shared" si="15"/>
        <v>0</v>
      </c>
      <c r="F684" s="1194"/>
      <c r="G684" s="3199"/>
      <c r="H684" s="3199"/>
      <c r="I684" s="229"/>
      <c r="J684" s="229"/>
      <c r="K684" s="229"/>
      <c r="L684" s="229">
        <f t="shared" si="17"/>
        <v>0</v>
      </c>
      <c r="M684" s="1195"/>
      <c r="N684" s="1195"/>
      <c r="O684" s="1195"/>
      <c r="P684" s="1195"/>
      <c r="Q684" s="1195"/>
      <c r="R684" s="1195"/>
    </row>
    <row r="685" spans="1:18" ht="16">
      <c r="A685" s="99" t="s">
        <v>1305</v>
      </c>
      <c r="B685" s="288"/>
      <c r="C685" s="229"/>
      <c r="D685" s="229">
        <f>'Прайс лист'!G1452</f>
        <v>0</v>
      </c>
      <c r="E685" s="229">
        <f t="shared" si="15"/>
        <v>0</v>
      </c>
      <c r="F685" s="1194"/>
      <c r="G685" s="3199"/>
      <c r="H685" s="3199"/>
      <c r="I685" s="229"/>
      <c r="J685" s="229"/>
      <c r="K685" s="229"/>
      <c r="L685" s="229">
        <f t="shared" si="17"/>
        <v>0</v>
      </c>
      <c r="M685" s="1195"/>
      <c r="N685" s="1195"/>
      <c r="O685" s="1195"/>
      <c r="P685" s="1195"/>
      <c r="Q685" s="1195"/>
      <c r="R685" s="1195"/>
    </row>
    <row r="686" spans="1:18" ht="16">
      <c r="A686" s="229" t="s">
        <v>1306</v>
      </c>
      <c r="B686" s="288" t="s">
        <v>133</v>
      </c>
      <c r="C686" s="229">
        <f>C600*D600*G566*D596</f>
        <v>0</v>
      </c>
      <c r="D686" s="229">
        <f>'Прайс лист'!G1453</f>
        <v>500</v>
      </c>
      <c r="E686" s="229">
        <f t="shared" si="15"/>
        <v>0</v>
      </c>
      <c r="F686" s="1194"/>
      <c r="G686" s="3199"/>
      <c r="H686" s="3199"/>
      <c r="I686" s="229"/>
      <c r="J686" s="229"/>
      <c r="K686" s="229"/>
      <c r="L686" s="229">
        <f t="shared" si="17"/>
        <v>0</v>
      </c>
      <c r="M686" s="1195"/>
      <c r="N686" s="1195"/>
      <c r="O686" s="1195"/>
      <c r="P686" s="1195"/>
      <c r="Q686" s="1195"/>
      <c r="R686" s="1195"/>
    </row>
    <row r="687" spans="1:18" ht="16">
      <c r="A687" s="229" t="s">
        <v>1307</v>
      </c>
      <c r="B687" s="288" t="s">
        <v>133</v>
      </c>
      <c r="C687" s="229">
        <f>C601*D601*G566*D596</f>
        <v>0</v>
      </c>
      <c r="D687" s="229">
        <f>'Прайс лист'!G1454</f>
        <v>500</v>
      </c>
      <c r="E687" s="229">
        <f t="shared" si="15"/>
        <v>0</v>
      </c>
      <c r="F687" s="1194"/>
      <c r="G687" s="3199"/>
      <c r="H687" s="3199"/>
      <c r="I687" s="229"/>
      <c r="J687" s="229"/>
      <c r="K687" s="229"/>
      <c r="L687" s="229">
        <f t="shared" si="17"/>
        <v>0</v>
      </c>
      <c r="M687" s="1195"/>
      <c r="N687" s="1195"/>
      <c r="O687" s="1195"/>
      <c r="P687" s="1195"/>
      <c r="Q687" s="1195"/>
      <c r="R687" s="1195"/>
    </row>
    <row r="688" spans="1:18" ht="16">
      <c r="A688" s="229" t="s">
        <v>1308</v>
      </c>
      <c r="B688" s="288" t="s">
        <v>133</v>
      </c>
      <c r="C688" s="229">
        <f>C602*D602*G566*D596</f>
        <v>0</v>
      </c>
      <c r="D688" s="229">
        <f>'Прайс лист'!G1455</f>
        <v>500</v>
      </c>
      <c r="E688" s="229">
        <f t="shared" si="15"/>
        <v>0</v>
      </c>
      <c r="F688" s="1194"/>
      <c r="G688" s="3199"/>
      <c r="H688" s="3199"/>
      <c r="I688" s="229"/>
      <c r="J688" s="229"/>
      <c r="K688" s="229"/>
      <c r="L688" s="229">
        <f t="shared" si="17"/>
        <v>0</v>
      </c>
      <c r="M688" s="1195"/>
      <c r="N688" s="1195"/>
      <c r="O688" s="1195"/>
      <c r="P688" s="1195"/>
      <c r="Q688" s="1195"/>
      <c r="R688" s="1195"/>
    </row>
    <row r="689" spans="1:18" ht="16">
      <c r="A689" s="229" t="s">
        <v>1302</v>
      </c>
      <c r="B689" s="288" t="s">
        <v>159</v>
      </c>
      <c r="C689" s="229">
        <f>(C686+C687+C688)/4*G566*D596</f>
        <v>0</v>
      </c>
      <c r="D689" s="229">
        <f>'Прайс лист'!G1456</f>
        <v>250</v>
      </c>
      <c r="E689" s="229">
        <f t="shared" si="15"/>
        <v>0</v>
      </c>
      <c r="F689" s="1194"/>
      <c r="G689" s="3199"/>
      <c r="H689" s="3199"/>
      <c r="I689" s="229"/>
      <c r="J689" s="229"/>
      <c r="K689" s="229"/>
      <c r="L689" s="229">
        <f t="shared" si="17"/>
        <v>0</v>
      </c>
      <c r="M689" s="1195"/>
      <c r="N689" s="1195"/>
      <c r="O689" s="1195"/>
      <c r="P689" s="1195"/>
      <c r="Q689" s="1195"/>
      <c r="R689" s="1195"/>
    </row>
    <row r="690" spans="1:18" ht="16">
      <c r="A690" s="229" t="s">
        <v>1274</v>
      </c>
      <c r="B690" s="288" t="s">
        <v>159</v>
      </c>
      <c r="C690" s="229">
        <f>(C686+C687+C688)/30*G566*D596</f>
        <v>0</v>
      </c>
      <c r="D690" s="229">
        <f>'Прайс лист'!G1457</f>
        <v>500</v>
      </c>
      <c r="E690" s="229">
        <f t="shared" si="15"/>
        <v>0</v>
      </c>
      <c r="F690" s="1194"/>
      <c r="G690" s="3199"/>
      <c r="H690" s="3199"/>
      <c r="I690" s="229"/>
      <c r="J690" s="229"/>
      <c r="K690" s="229"/>
      <c r="L690" s="229">
        <f t="shared" si="17"/>
        <v>0</v>
      </c>
      <c r="M690" s="1195"/>
      <c r="N690" s="1195"/>
      <c r="O690" s="1195"/>
      <c r="P690" s="1195"/>
      <c r="Q690" s="1195"/>
      <c r="R690" s="1195"/>
    </row>
    <row r="691" spans="1:18" ht="16">
      <c r="A691" s="229" t="s">
        <v>1309</v>
      </c>
      <c r="B691" s="288" t="s">
        <v>159</v>
      </c>
      <c r="C691" s="229">
        <f>(C686+C687+C688)*20/100*G566*D596</f>
        <v>0</v>
      </c>
      <c r="D691" s="229">
        <f>'Прайс лист'!G1458</f>
        <v>200</v>
      </c>
      <c r="E691" s="229">
        <f t="shared" si="15"/>
        <v>0</v>
      </c>
      <c r="F691" s="1194"/>
      <c r="G691" s="3199"/>
      <c r="H691" s="3199"/>
      <c r="I691" s="229"/>
      <c r="J691" s="229"/>
      <c r="K691" s="229"/>
      <c r="L691" s="229">
        <f t="shared" si="17"/>
        <v>0</v>
      </c>
      <c r="M691" s="1195"/>
      <c r="N691" s="1195"/>
      <c r="O691" s="1195"/>
      <c r="P691" s="1195"/>
      <c r="Q691" s="1195"/>
      <c r="R691" s="1195"/>
    </row>
    <row r="692" spans="1:18" ht="16">
      <c r="A692" s="229" t="s">
        <v>1304</v>
      </c>
      <c r="B692" s="288" t="s">
        <v>159</v>
      </c>
      <c r="C692" s="229">
        <f>(C686+C687+C688)/10*G566*D596</f>
        <v>0</v>
      </c>
      <c r="D692" s="229">
        <f>'Прайс лист'!G1459</f>
        <v>400</v>
      </c>
      <c r="E692" s="229">
        <f t="shared" si="15"/>
        <v>0</v>
      </c>
      <c r="F692" s="1194"/>
      <c r="G692" s="3199"/>
      <c r="H692" s="3199"/>
      <c r="I692" s="229"/>
      <c r="J692" s="229"/>
      <c r="K692" s="229"/>
      <c r="L692" s="229">
        <f t="shared" si="17"/>
        <v>0</v>
      </c>
      <c r="M692" s="1195"/>
      <c r="N692" s="1195"/>
      <c r="O692" s="1195"/>
      <c r="P692" s="1195"/>
      <c r="Q692" s="1195"/>
      <c r="R692" s="1195"/>
    </row>
    <row r="693" spans="1:18" ht="16">
      <c r="A693" s="229" t="s">
        <v>1310</v>
      </c>
      <c r="B693" s="288" t="s">
        <v>133</v>
      </c>
      <c r="C693" s="229">
        <f>C603*D603*G566*D596</f>
        <v>0</v>
      </c>
      <c r="D693" s="229">
        <f>'Прайс лист'!G1460</f>
        <v>250</v>
      </c>
      <c r="E693" s="229">
        <f t="shared" ref="E693:E724" si="18">C693*D693</f>
        <v>0</v>
      </c>
      <c r="F693" s="1194"/>
      <c r="G693" s="3199"/>
      <c r="H693" s="3199"/>
      <c r="I693" s="229"/>
      <c r="J693" s="229"/>
      <c r="K693" s="229"/>
      <c r="L693" s="229">
        <f t="shared" si="17"/>
        <v>0</v>
      </c>
      <c r="M693" s="1195"/>
      <c r="N693" s="1195"/>
      <c r="O693" s="1195"/>
      <c r="P693" s="1195"/>
      <c r="Q693" s="1195"/>
      <c r="R693" s="1195"/>
    </row>
    <row r="694" spans="1:18" ht="16">
      <c r="A694" s="229" t="s">
        <v>1311</v>
      </c>
      <c r="B694" s="288" t="s">
        <v>133</v>
      </c>
      <c r="C694" s="229">
        <f>C604*D604*G566*D596</f>
        <v>0</v>
      </c>
      <c r="D694" s="229">
        <f>'Прайс лист'!G1461</f>
        <v>250</v>
      </c>
      <c r="E694" s="229">
        <f t="shared" si="18"/>
        <v>0</v>
      </c>
      <c r="F694" s="1194"/>
      <c r="G694" s="3199"/>
      <c r="H694" s="3199"/>
      <c r="I694" s="229"/>
      <c r="J694" s="229"/>
      <c r="K694" s="229"/>
      <c r="L694" s="229">
        <f t="shared" si="17"/>
        <v>0</v>
      </c>
      <c r="M694" s="1195"/>
      <c r="N694" s="1195"/>
      <c r="O694" s="1195"/>
      <c r="P694" s="1195"/>
      <c r="Q694" s="1195"/>
      <c r="R694" s="1195"/>
    </row>
    <row r="695" spans="1:18" ht="16">
      <c r="A695" s="229" t="s">
        <v>1312</v>
      </c>
      <c r="B695" s="288" t="s">
        <v>159</v>
      </c>
      <c r="C695" s="229">
        <f>(C693+C694)/30*G566*D596</f>
        <v>0</v>
      </c>
      <c r="D695" s="229">
        <f>'Прайс лист'!G1462</f>
        <v>120</v>
      </c>
      <c r="E695" s="229">
        <f t="shared" si="18"/>
        <v>0</v>
      </c>
      <c r="F695" s="1194"/>
      <c r="G695" s="3199"/>
      <c r="H695" s="3199"/>
      <c r="I695" s="229"/>
      <c r="J695" s="229"/>
      <c r="K695" s="229"/>
      <c r="L695" s="229">
        <f t="shared" si="17"/>
        <v>0</v>
      </c>
      <c r="M695" s="1195"/>
      <c r="N695" s="1195"/>
      <c r="O695" s="1195"/>
      <c r="P695" s="1195"/>
      <c r="Q695" s="1195"/>
      <c r="R695" s="1195"/>
    </row>
    <row r="696" spans="1:18" ht="16">
      <c r="A696" s="229" t="s">
        <v>1294</v>
      </c>
      <c r="B696" s="288" t="s">
        <v>133</v>
      </c>
      <c r="C696" s="229">
        <f>C605*D605*G566*D596</f>
        <v>0</v>
      </c>
      <c r="D696" s="229">
        <f>'Прайс лист'!G1463</f>
        <v>400</v>
      </c>
      <c r="E696" s="229">
        <f t="shared" si="18"/>
        <v>0</v>
      </c>
      <c r="F696" s="1194"/>
      <c r="G696" s="3199"/>
      <c r="H696" s="3199"/>
      <c r="I696" s="229"/>
      <c r="J696" s="229"/>
      <c r="K696" s="229"/>
      <c r="L696" s="229">
        <f t="shared" si="17"/>
        <v>0</v>
      </c>
      <c r="M696" s="1195"/>
      <c r="N696" s="1195"/>
      <c r="O696" s="1195"/>
      <c r="P696" s="1195"/>
      <c r="Q696" s="1195"/>
      <c r="R696" s="1195"/>
    </row>
    <row r="697" spans="1:18" ht="16">
      <c r="A697" s="290" t="s">
        <v>1313</v>
      </c>
      <c r="B697" s="229" t="s">
        <v>156</v>
      </c>
      <c r="C697" s="229"/>
      <c r="D697" s="229">
        <f>'Прайс лист'!G1464</f>
        <v>0</v>
      </c>
      <c r="E697" s="229">
        <f t="shared" si="18"/>
        <v>0</v>
      </c>
      <c r="F697" s="1194"/>
      <c r="G697" s="3199"/>
      <c r="H697" s="3199"/>
      <c r="I697" s="229"/>
      <c r="J697" s="229"/>
      <c r="K697" s="229"/>
      <c r="L697" s="229">
        <f t="shared" si="17"/>
        <v>0</v>
      </c>
      <c r="M697" s="1195"/>
      <c r="N697" s="1195"/>
      <c r="O697" s="1195"/>
      <c r="P697" s="1195"/>
      <c r="Q697" s="1195"/>
      <c r="R697" s="1195"/>
    </row>
    <row r="698" spans="1:18" ht="16">
      <c r="A698" s="306" t="s">
        <v>1314</v>
      </c>
      <c r="B698" s="229" t="s">
        <v>159</v>
      </c>
      <c r="C698" s="229">
        <f>C607*D608*G566*D606</f>
        <v>0</v>
      </c>
      <c r="D698" s="229">
        <f>'Прайс лист'!G1465</f>
        <v>1900</v>
      </c>
      <c r="E698" s="229">
        <f t="shared" si="18"/>
        <v>0</v>
      </c>
      <c r="F698" s="1194"/>
      <c r="G698" s="3199"/>
      <c r="H698" s="3199"/>
      <c r="I698" s="229"/>
      <c r="J698" s="229"/>
      <c r="K698" s="229"/>
      <c r="L698" s="229">
        <f t="shared" si="17"/>
        <v>0</v>
      </c>
      <c r="M698" s="1195"/>
      <c r="N698" s="1195"/>
      <c r="O698" s="1195"/>
      <c r="P698" s="1195"/>
      <c r="Q698" s="1195"/>
      <c r="R698" s="1195"/>
    </row>
    <row r="699" spans="1:18" ht="16">
      <c r="A699" s="229" t="s">
        <v>1315</v>
      </c>
      <c r="B699" s="229" t="s">
        <v>159</v>
      </c>
      <c r="C699" s="229">
        <f>C698*G566*D606</f>
        <v>0</v>
      </c>
      <c r="D699" s="229">
        <f>'Прайс лист'!G1466</f>
        <v>250</v>
      </c>
      <c r="E699" s="229">
        <f t="shared" si="18"/>
        <v>0</v>
      </c>
      <c r="F699" s="1194"/>
      <c r="G699" s="3199"/>
      <c r="H699" s="3199"/>
      <c r="I699" s="229"/>
      <c r="J699" s="229"/>
      <c r="K699" s="229"/>
      <c r="L699" s="229">
        <f t="shared" si="17"/>
        <v>0</v>
      </c>
      <c r="M699" s="1195"/>
      <c r="N699" s="1195"/>
      <c r="O699" s="1195"/>
      <c r="P699" s="1195"/>
      <c r="Q699" s="1195"/>
      <c r="R699" s="1195"/>
    </row>
    <row r="700" spans="1:18" ht="16">
      <c r="A700" s="229" t="s">
        <v>1316</v>
      </c>
      <c r="B700" s="229" t="s">
        <v>159</v>
      </c>
      <c r="C700" s="229">
        <f>C610*D610*G566*D606</f>
        <v>0</v>
      </c>
      <c r="D700" s="229">
        <f>'Прайс лист'!G1467</f>
        <v>100</v>
      </c>
      <c r="E700" s="229">
        <f t="shared" si="18"/>
        <v>0</v>
      </c>
      <c r="F700" s="1194"/>
      <c r="G700" s="3199"/>
      <c r="H700" s="3199"/>
      <c r="I700" s="229"/>
      <c r="J700" s="229"/>
      <c r="K700" s="229"/>
      <c r="L700" s="229">
        <f t="shared" si="17"/>
        <v>0</v>
      </c>
      <c r="M700" s="1195"/>
      <c r="N700" s="1195"/>
      <c r="O700" s="1195"/>
      <c r="P700" s="1195"/>
      <c r="Q700" s="1195"/>
      <c r="R700" s="1195"/>
    </row>
    <row r="701" spans="1:18" ht="16">
      <c r="A701" s="229" t="s">
        <v>1317</v>
      </c>
      <c r="B701" s="229" t="s">
        <v>159</v>
      </c>
      <c r="C701" s="229">
        <f>C611*D611*G566*D606</f>
        <v>0</v>
      </c>
      <c r="D701" s="229">
        <f>'Прайс лист'!G1468</f>
        <v>100</v>
      </c>
      <c r="E701" s="229">
        <f t="shared" si="18"/>
        <v>0</v>
      </c>
      <c r="F701" s="1194"/>
      <c r="G701" s="3199"/>
      <c r="H701" s="3199"/>
      <c r="I701" s="229"/>
      <c r="J701" s="229"/>
      <c r="K701" s="229"/>
      <c r="L701" s="229">
        <f t="shared" si="17"/>
        <v>0</v>
      </c>
      <c r="M701" s="1195"/>
      <c r="N701" s="1195"/>
      <c r="O701" s="1195"/>
      <c r="P701" s="1195"/>
      <c r="Q701" s="1195"/>
      <c r="R701" s="1195"/>
    </row>
    <row r="702" spans="1:18" ht="16">
      <c r="A702" s="229" t="s">
        <v>1318</v>
      </c>
      <c r="B702" s="229" t="s">
        <v>159</v>
      </c>
      <c r="C702" s="229">
        <f>C609*D609*G566*D606</f>
        <v>0</v>
      </c>
      <c r="D702" s="229">
        <f>'Прайс лист'!G1469</f>
        <v>250</v>
      </c>
      <c r="E702" s="229">
        <f t="shared" si="18"/>
        <v>0</v>
      </c>
      <c r="F702" s="1194"/>
      <c r="G702" s="3199"/>
      <c r="H702" s="3199"/>
      <c r="I702" s="229"/>
      <c r="J702" s="229"/>
      <c r="K702" s="229"/>
      <c r="L702" s="229">
        <f t="shared" si="17"/>
        <v>0</v>
      </c>
      <c r="M702" s="1195"/>
      <c r="N702" s="1195"/>
      <c r="O702" s="1195"/>
      <c r="P702" s="1195"/>
      <c r="Q702" s="1195"/>
      <c r="R702" s="1195"/>
    </row>
    <row r="703" spans="1:18" ht="16">
      <c r="A703" s="229" t="s">
        <v>1319</v>
      </c>
      <c r="B703" s="229" t="s">
        <v>159</v>
      </c>
      <c r="C703" s="229">
        <f>C608*D608*G566*D606</f>
        <v>0</v>
      </c>
      <c r="D703" s="229">
        <f>'Прайс лист'!G1470</f>
        <v>500</v>
      </c>
      <c r="E703" s="229">
        <f t="shared" si="18"/>
        <v>0</v>
      </c>
      <c r="F703" s="1194"/>
      <c r="G703" s="3199"/>
      <c r="H703" s="3199"/>
      <c r="I703" s="229"/>
      <c r="J703" s="229"/>
      <c r="K703" s="229"/>
      <c r="L703" s="229">
        <f t="shared" si="17"/>
        <v>0</v>
      </c>
      <c r="M703" s="1195"/>
      <c r="N703" s="1195"/>
      <c r="O703" s="1195"/>
      <c r="P703" s="1195"/>
      <c r="Q703" s="1195"/>
      <c r="R703" s="1195"/>
    </row>
    <row r="704" spans="1:18" ht="16">
      <c r="A704" s="229" t="str">
        <f>'Ввод данных'!A1257</f>
        <v>Нет техники</v>
      </c>
      <c r="B704" s="229" t="str">
        <f>'Ввод данных'!B1257</f>
        <v>час</v>
      </c>
      <c r="C704" s="229">
        <f>'Ввод данных'!C1257</f>
        <v>0</v>
      </c>
      <c r="D704" s="229">
        <f>VLOOKUP(A704,'Прайс лист'!B180:G194,6,0)</f>
        <v>0</v>
      </c>
      <c r="E704" s="229">
        <f t="shared" si="18"/>
        <v>0</v>
      </c>
      <c r="F704" s="1194"/>
      <c r="G704" s="3199"/>
      <c r="H704" s="3199"/>
      <c r="I704" s="229"/>
      <c r="J704" s="229"/>
      <c r="K704" s="229"/>
      <c r="L704" s="229">
        <f t="shared" si="17"/>
        <v>0</v>
      </c>
      <c r="M704" s="1195"/>
      <c r="N704" s="1195"/>
      <c r="O704" s="1195"/>
      <c r="P704" s="1195"/>
      <c r="Q704" s="1195"/>
      <c r="R704" s="1195"/>
    </row>
    <row r="705" spans="1:18" ht="16">
      <c r="A705" s="229" t="str">
        <f>'Ввод данных'!A1258</f>
        <v>Нет техники</v>
      </c>
      <c r="B705" s="229" t="str">
        <f>'Ввод данных'!B1258</f>
        <v>шт</v>
      </c>
      <c r="C705" s="229">
        <f>'Ввод данных'!C1258</f>
        <v>0</v>
      </c>
      <c r="D705" s="229">
        <f>VLOOKUP(A705,'Прайс лист'!B180:G194,6,0)</f>
        <v>0</v>
      </c>
      <c r="E705" s="229">
        <f t="shared" si="18"/>
        <v>0</v>
      </c>
      <c r="F705" s="1194"/>
      <c r="G705" s="3199"/>
      <c r="H705" s="3199"/>
      <c r="I705" s="229"/>
      <c r="J705" s="229"/>
      <c r="K705" s="229"/>
      <c r="L705" s="229">
        <f t="shared" si="17"/>
        <v>0</v>
      </c>
      <c r="M705" s="1195"/>
      <c r="N705" s="1195"/>
      <c r="O705" s="1195"/>
      <c r="P705" s="1195"/>
      <c r="Q705" s="1195"/>
      <c r="R705" s="1195"/>
    </row>
    <row r="706" spans="1:18" ht="16">
      <c r="A706" s="229" t="str">
        <f>'Ввод данных'!A1260</f>
        <v>расходные материалы чистовая отделка</v>
      </c>
      <c r="B706" s="229" t="str">
        <f>'Ввод данных'!B1260</f>
        <v>рублей</v>
      </c>
      <c r="C706" s="229">
        <f>1</f>
        <v>1</v>
      </c>
      <c r="D706" s="229">
        <f>'Ввод данных'!C1260</f>
        <v>5000</v>
      </c>
      <c r="E706" s="229">
        <f t="shared" si="18"/>
        <v>5000</v>
      </c>
      <c r="F706" s="1194"/>
      <c r="G706" s="2286"/>
      <c r="H706" s="2286"/>
      <c r="I706" s="2228"/>
      <c r="J706" s="2228"/>
      <c r="K706" s="2228"/>
      <c r="L706" s="229"/>
      <c r="M706" s="1195"/>
      <c r="N706" s="1195"/>
      <c r="O706" s="1195"/>
      <c r="P706" s="1195"/>
      <c r="Q706" s="1195"/>
      <c r="R706" s="1195"/>
    </row>
    <row r="707" spans="1:18" ht="16">
      <c r="A707" s="1194"/>
      <c r="B707" s="1194"/>
      <c r="C707" s="1194"/>
      <c r="D707" s="1194"/>
      <c r="E707" s="229">
        <f>SUM(E629:E705)</f>
        <v>42300</v>
      </c>
      <c r="F707" s="1194"/>
      <c r="G707" s="1194"/>
      <c r="H707" s="1195"/>
      <c r="I707" s="1194"/>
      <c r="J707" s="1194"/>
      <c r="K707" s="1194"/>
      <c r="L707" s="229">
        <f>SUM(L629:L705)</f>
        <v>16920</v>
      </c>
      <c r="M707" s="1195"/>
      <c r="N707" s="1195"/>
      <c r="O707" s="1195"/>
      <c r="P707" s="1195"/>
      <c r="Q707" s="1195"/>
      <c r="R707" s="1195"/>
    </row>
    <row r="708" spans="1:18" ht="16">
      <c r="A708" s="229" t="s">
        <v>3978</v>
      </c>
      <c r="B708" s="2262">
        <f>E707</f>
        <v>42300</v>
      </c>
      <c r="C708" s="1194"/>
      <c r="D708" s="1194"/>
      <c r="E708" s="1194"/>
      <c r="F708" s="1194"/>
      <c r="G708" s="1194"/>
      <c r="H708" s="1194"/>
      <c r="I708" s="1194"/>
      <c r="J708" s="1194"/>
      <c r="K708" s="1194"/>
      <c r="L708" s="1195"/>
      <c r="M708" s="1195"/>
      <c r="N708" s="1195"/>
      <c r="O708" s="1195"/>
      <c r="P708" s="1195"/>
      <c r="Q708" s="1195"/>
      <c r="R708" s="1195"/>
    </row>
    <row r="709" spans="1:18" ht="16">
      <c r="A709" s="229" t="s">
        <v>3979</v>
      </c>
      <c r="B709" s="2262">
        <f>L707</f>
        <v>16920</v>
      </c>
      <c r="C709" s="1194"/>
      <c r="D709" s="1194"/>
      <c r="E709" s="1194"/>
      <c r="F709" s="1194"/>
      <c r="G709" s="1194"/>
      <c r="H709" s="1194"/>
      <c r="I709" s="1194"/>
      <c r="J709" s="1194"/>
      <c r="K709" s="1194"/>
      <c r="L709" s="1195"/>
      <c r="M709" s="1195"/>
      <c r="N709" s="1195"/>
      <c r="O709" s="1195"/>
      <c r="P709" s="1195"/>
      <c r="Q709" s="1195"/>
      <c r="R709" s="1195"/>
    </row>
    <row r="710" spans="1:18" ht="16">
      <c r="A710" s="229" t="s">
        <v>2728</v>
      </c>
      <c r="B710" s="229">
        <f>SUM(B708:B709)*B711</f>
        <v>0</v>
      </c>
      <c r="C710" s="1194"/>
      <c r="D710" s="1194"/>
      <c r="E710" s="1194"/>
      <c r="F710" s="1194"/>
      <c r="G710" s="1194"/>
      <c r="H710" s="1194"/>
      <c r="I710" s="1194"/>
      <c r="J710" s="1194"/>
      <c r="K710" s="1194"/>
      <c r="L710" s="1195"/>
      <c r="M710" s="1195"/>
      <c r="N710" s="1195"/>
      <c r="O710" s="1195"/>
      <c r="P710" s="1195"/>
      <c r="Q710" s="1195"/>
      <c r="R710" s="1195"/>
    </row>
    <row r="711" spans="1:18" ht="16">
      <c r="A711" s="2270" t="s">
        <v>3980</v>
      </c>
      <c r="B711" s="2250"/>
      <c r="C711" s="3196" t="s">
        <v>3663</v>
      </c>
      <c r="D711" s="3196"/>
      <c r="E711" s="3196"/>
      <c r="F711" s="3196"/>
      <c r="G711" s="2257"/>
      <c r="H711" s="1195"/>
      <c r="I711" s="1195"/>
      <c r="J711" s="1195"/>
      <c r="K711" s="1195" t="s">
        <v>3697</v>
      </c>
      <c r="L711" s="1195"/>
      <c r="M711" s="1195"/>
      <c r="N711" s="1195"/>
      <c r="O711" s="1195"/>
      <c r="P711" s="1195"/>
      <c r="Q711" s="1195"/>
      <c r="R711" s="1195"/>
    </row>
    <row r="712" spans="1:18" ht="16">
      <c r="A712" s="2263"/>
      <c r="B712" s="1195"/>
      <c r="C712" s="2257"/>
      <c r="D712" s="2257"/>
      <c r="E712" s="1195"/>
      <c r="F712" s="2257"/>
      <c r="G712" s="2257"/>
      <c r="H712" s="1195"/>
      <c r="I712" s="1195"/>
      <c r="J712" s="1195"/>
      <c r="K712" s="1195"/>
      <c r="L712" s="1195"/>
      <c r="M712" s="1195"/>
      <c r="N712" s="1195"/>
      <c r="O712" s="1195"/>
      <c r="P712" s="1195"/>
      <c r="Q712" s="1195"/>
      <c r="R712" s="1195"/>
    </row>
    <row r="713" spans="1:18" ht="17">
      <c r="A713" s="2263" t="s">
        <v>3981</v>
      </c>
      <c r="B713" s="1195"/>
      <c r="C713" s="2257" t="s">
        <v>2210</v>
      </c>
      <c r="D713" s="2257" t="s">
        <v>1222</v>
      </c>
      <c r="E713" s="1195" t="s">
        <v>3697</v>
      </c>
      <c r="F713" s="2257" t="s">
        <v>1802</v>
      </c>
      <c r="G713" s="2226" t="s">
        <v>120</v>
      </c>
      <c r="H713" s="2227" t="s">
        <v>922</v>
      </c>
      <c r="I713" s="2226" t="s">
        <v>3696</v>
      </c>
      <c r="J713" s="1195"/>
      <c r="K713" s="2227" t="s">
        <v>1802</v>
      </c>
      <c r="L713" s="2227" t="s">
        <v>922</v>
      </c>
      <c r="M713" s="2226" t="s">
        <v>3696</v>
      </c>
      <c r="N713" s="1195"/>
      <c r="O713" s="1195"/>
      <c r="P713" s="1195"/>
      <c r="Q713" s="1195"/>
      <c r="R713" s="1195"/>
    </row>
    <row r="714" spans="1:18" ht="16">
      <c r="A714" s="2263" t="str">
        <f>'Ввод данных'!H71</f>
        <v>MR10 78X160</v>
      </c>
      <c r="B714" s="1195"/>
      <c r="C714" s="2257">
        <f>VLOOKUP(A714,'Прайс лист'!B1337:G1348,6,0)</f>
        <v>7353</v>
      </c>
      <c r="D714" s="2257">
        <f>VLOOKUP(A714,'Прайс лист'!B1337:G1348,5,0)</f>
        <v>15000</v>
      </c>
      <c r="E714" s="1195">
        <f>VLOOKUP(A714,'Прайс лист'!B1722:G1733,6,0)</f>
        <v>4200</v>
      </c>
      <c r="F714" s="2257">
        <f>'Ввод данных'!Z71</f>
        <v>1</v>
      </c>
      <c r="G714" s="2226" t="s">
        <v>159</v>
      </c>
      <c r="H714" s="2227">
        <f>C714+D714</f>
        <v>22353</v>
      </c>
      <c r="I714" s="2226">
        <f>F714*H714</f>
        <v>22353</v>
      </c>
      <c r="J714" s="1195"/>
      <c r="K714" s="2226">
        <f>F714</f>
        <v>1</v>
      </c>
      <c r="L714" s="2226">
        <f>E714</f>
        <v>4200</v>
      </c>
      <c r="M714" s="2226">
        <f>K714*L714</f>
        <v>4200</v>
      </c>
      <c r="N714" s="1195"/>
      <c r="O714" s="1195"/>
      <c r="P714" s="1195"/>
      <c r="Q714" s="1195"/>
      <c r="R714" s="1195"/>
    </row>
    <row r="715" spans="1:18" ht="16">
      <c r="A715" s="2263" t="str">
        <f>'Ввод данных'!H72</f>
        <v>MR08 78X140</v>
      </c>
      <c r="B715" s="1195"/>
      <c r="C715" s="2257">
        <f>VLOOKUP(A715,'Прайс лист'!B1337:G1348,6,0)</f>
        <v>6673</v>
      </c>
      <c r="D715" s="2257">
        <f>VLOOKUP(A715,'Прайс лист'!B1337:G1348,5,0)</f>
        <v>14833</v>
      </c>
      <c r="E715" s="1195">
        <f>VLOOKUP(A715,'Прайс лист'!B1722:G1733,6,0)</f>
        <v>4000</v>
      </c>
      <c r="F715" s="2257">
        <f>'Ввод данных'!Z72</f>
        <v>2</v>
      </c>
      <c r="G715" s="2226" t="s">
        <v>159</v>
      </c>
      <c r="H715" s="2227">
        <f>C715+D715</f>
        <v>21506</v>
      </c>
      <c r="I715" s="2226">
        <f>F715*H715</f>
        <v>43012</v>
      </c>
      <c r="J715" s="1195"/>
      <c r="K715" s="2226">
        <f>F715</f>
        <v>2</v>
      </c>
      <c r="L715" s="2226">
        <f>E715</f>
        <v>4000</v>
      </c>
      <c r="M715" s="2226">
        <f>K715*L715</f>
        <v>8000</v>
      </c>
      <c r="N715" s="1195"/>
      <c r="O715" s="1195"/>
      <c r="P715" s="1195"/>
      <c r="Q715" s="1195"/>
      <c r="R715" s="1195"/>
    </row>
    <row r="716" spans="1:18" ht="16">
      <c r="A716" s="2263" t="str">
        <f>'Ввод данных'!H73</f>
        <v>MR10 78X160</v>
      </c>
      <c r="B716" s="1195"/>
      <c r="C716" s="2257">
        <f>VLOOKUP(A716,'Прайс лист'!B1337:G1348,6,0)</f>
        <v>7353</v>
      </c>
      <c r="D716" s="2257">
        <f>VLOOKUP(A716,'Прайс лист'!B1337:G1348,5,0)</f>
        <v>15000</v>
      </c>
      <c r="E716" s="1195">
        <f>VLOOKUP(A716,'Прайс лист'!B1722:G1733,6,0)</f>
        <v>4200</v>
      </c>
      <c r="F716" s="2257">
        <f>'Ввод данных'!Z73</f>
        <v>5</v>
      </c>
      <c r="G716" s="2226" t="s">
        <v>159</v>
      </c>
      <c r="H716" s="2227">
        <f>C716+D716</f>
        <v>22353</v>
      </c>
      <c r="I716" s="2226">
        <f>F716*H716</f>
        <v>111765</v>
      </c>
      <c r="J716" s="1195"/>
      <c r="K716" s="2226">
        <f>F716</f>
        <v>5</v>
      </c>
      <c r="L716" s="2226">
        <f>E716</f>
        <v>4200</v>
      </c>
      <c r="M716" s="2226">
        <f>K716*L716</f>
        <v>21000</v>
      </c>
      <c r="N716" s="1195"/>
      <c r="O716" s="1195"/>
      <c r="P716" s="1195"/>
      <c r="Q716" s="1195"/>
      <c r="R716" s="1195"/>
    </row>
    <row r="717" spans="1:18" ht="16">
      <c r="A717" s="2263" t="str">
        <f>'Ввод данных'!H74</f>
        <v>MR04 78X98</v>
      </c>
      <c r="B717" s="1195"/>
      <c r="C717" s="2257">
        <f>VLOOKUP(A717,'Прайс лист'!B1337:G1348,6,0)</f>
        <v>5993</v>
      </c>
      <c r="D717" s="2257">
        <f>VLOOKUP(A717,'Прайс лист'!B1337:G1348,5,0)</f>
        <v>12665</v>
      </c>
      <c r="E717" s="1195">
        <f>VLOOKUP(A717,'Прайс лист'!B1722:G1733,6,0)</f>
        <v>3700</v>
      </c>
      <c r="F717" s="2257">
        <f>'Ввод данных'!Z74</f>
        <v>0</v>
      </c>
      <c r="G717" s="2226" t="s">
        <v>159</v>
      </c>
      <c r="H717" s="2227">
        <f>C717+D717</f>
        <v>18658</v>
      </c>
      <c r="I717" s="2226">
        <f>F717*H717</f>
        <v>0</v>
      </c>
      <c r="J717" s="1195"/>
      <c r="K717" s="2226">
        <f>F717</f>
        <v>0</v>
      </c>
      <c r="L717" s="2226">
        <f>E717</f>
        <v>3700</v>
      </c>
      <c r="M717" s="2226">
        <f>K717*L717</f>
        <v>0</v>
      </c>
      <c r="N717" s="1195"/>
      <c r="O717" s="1195"/>
      <c r="P717" s="1195"/>
      <c r="Q717" s="1195"/>
      <c r="R717" s="1195"/>
    </row>
    <row r="718" spans="1:18" ht="16">
      <c r="A718" s="2263"/>
      <c r="B718" s="1195"/>
      <c r="C718" s="2257"/>
      <c r="D718" s="2257"/>
      <c r="E718" s="1195"/>
      <c r="F718" s="2257"/>
      <c r="G718" s="2257"/>
      <c r="H718" s="1195"/>
      <c r="I718" s="1195"/>
      <c r="J718" s="1195"/>
      <c r="K718" s="1195"/>
      <c r="L718" s="1195"/>
      <c r="M718" s="1195"/>
      <c r="N718" s="1195"/>
      <c r="O718" s="1195"/>
      <c r="P718" s="1195"/>
      <c r="Q718" s="1195"/>
      <c r="R718" s="1195"/>
    </row>
    <row r="719" spans="1:18" ht="16">
      <c r="A719" s="2263"/>
      <c r="B719" s="1195"/>
      <c r="C719" s="2257"/>
      <c r="D719" s="2257"/>
      <c r="E719" s="1195"/>
      <c r="F719" s="2257"/>
      <c r="G719" s="2257"/>
      <c r="H719" s="1195"/>
      <c r="I719" s="1195"/>
      <c r="J719" s="1195"/>
      <c r="K719" s="1195"/>
      <c r="L719" s="1195"/>
      <c r="M719" s="1195"/>
      <c r="N719" s="1195"/>
      <c r="O719" s="1195"/>
      <c r="P719" s="1195"/>
      <c r="Q719" s="1195"/>
      <c r="R719" s="1195"/>
    </row>
    <row r="720" spans="1:18" ht="16">
      <c r="A720" s="2224"/>
      <c r="B720" s="2220"/>
      <c r="C720" s="2276"/>
      <c r="D720" s="2294"/>
      <c r="E720" s="2220"/>
      <c r="F720" s="2276"/>
      <c r="G720" s="2276"/>
      <c r="H720" s="2220"/>
      <c r="L720" s="1195"/>
      <c r="M720" s="1195"/>
      <c r="N720" s="1195"/>
      <c r="O720" s="1195"/>
      <c r="P720" s="1195"/>
      <c r="Q720" s="1195"/>
      <c r="R720" s="1195"/>
    </row>
    <row r="721" spans="1:18" ht="16">
      <c r="A721" s="2224"/>
      <c r="B721" s="2220"/>
      <c r="C721" s="2276"/>
      <c r="D721" s="2294"/>
      <c r="E721" s="2220"/>
      <c r="F721" s="2276"/>
      <c r="G721" s="2276"/>
      <c r="H721" s="2220"/>
      <c r="L721" s="1195"/>
      <c r="M721" s="1195"/>
      <c r="N721" s="1195"/>
      <c r="O721" s="1195"/>
      <c r="P721" s="1195"/>
      <c r="Q721" s="1195"/>
      <c r="R721" s="1195"/>
    </row>
    <row r="722" spans="1:18" ht="16">
      <c r="A722" s="2224"/>
      <c r="B722" s="2220"/>
      <c r="C722" s="2276"/>
      <c r="D722" s="2294"/>
      <c r="E722" s="2220"/>
      <c r="F722" s="2276"/>
      <c r="G722" s="2276"/>
      <c r="H722" s="2220"/>
      <c r="L722" s="1195"/>
      <c r="M722" s="1195"/>
      <c r="N722" s="1195"/>
      <c r="O722" s="1195"/>
      <c r="P722" s="1195"/>
      <c r="Q722" s="1195"/>
      <c r="R722" s="1195"/>
    </row>
    <row r="723" spans="1:18" ht="16">
      <c r="A723" s="2224"/>
      <c r="B723" s="2220"/>
      <c r="C723" s="2276"/>
      <c r="D723" s="2294"/>
      <c r="E723" s="2220"/>
      <c r="F723" s="2276"/>
      <c r="G723" s="2276"/>
      <c r="H723" s="2220"/>
      <c r="L723" s="1195"/>
      <c r="M723" s="1195"/>
      <c r="N723" s="1195"/>
      <c r="O723" s="1195"/>
      <c r="P723" s="1195"/>
      <c r="Q723" s="1195"/>
      <c r="R723" s="1195"/>
    </row>
    <row r="724" spans="1:18" ht="16">
      <c r="A724" s="2224"/>
      <c r="B724" s="2220"/>
      <c r="C724" s="2276"/>
      <c r="D724" s="2294"/>
      <c r="E724" s="2220"/>
      <c r="F724" s="2276"/>
      <c r="G724" s="2276"/>
      <c r="H724" s="2220"/>
      <c r="L724" s="1195"/>
      <c r="M724" s="1195"/>
      <c r="N724" s="1195"/>
      <c r="O724" s="1195"/>
      <c r="P724" s="1195"/>
      <c r="Q724" s="1195"/>
      <c r="R724" s="1195"/>
    </row>
    <row r="725" spans="1:18" ht="16">
      <c r="A725" s="2263"/>
      <c r="B725" s="1195"/>
      <c r="C725" s="2257"/>
      <c r="D725" s="2257"/>
      <c r="E725" s="1195"/>
      <c r="F725" s="2257"/>
      <c r="G725" s="2257"/>
      <c r="H725" s="1195"/>
      <c r="I725" s="1195"/>
      <c r="J725" s="1195"/>
      <c r="K725" s="1195"/>
      <c r="L725" s="1195"/>
      <c r="M725" s="1195"/>
      <c r="N725" s="1195"/>
      <c r="O725" s="1195"/>
      <c r="P725" s="1195"/>
      <c r="Q725" s="1195"/>
      <c r="R725" s="1195"/>
    </row>
    <row r="726" spans="1:18" ht="16">
      <c r="A726" s="2263"/>
      <c r="B726" s="1195"/>
      <c r="C726" s="2257"/>
      <c r="D726" s="2257"/>
      <c r="E726" s="1195"/>
      <c r="F726" s="2257"/>
      <c r="G726" s="2257"/>
      <c r="H726" s="1195"/>
      <c r="I726" s="1195"/>
      <c r="J726" s="1195"/>
      <c r="K726" s="1195"/>
      <c r="L726" s="1195"/>
      <c r="M726" s="1195"/>
      <c r="N726" s="1195"/>
      <c r="O726" s="1195"/>
      <c r="P726" s="1195"/>
      <c r="Q726" s="1195"/>
      <c r="R726" s="1195"/>
    </row>
    <row r="727" spans="1:18" ht="16">
      <c r="A727" s="2263"/>
      <c r="B727" s="1195"/>
      <c r="C727" s="2257"/>
      <c r="D727" s="2257"/>
      <c r="E727" s="1195"/>
      <c r="F727" s="2257"/>
      <c r="G727" s="2257"/>
      <c r="H727" s="1195"/>
      <c r="I727" s="1195"/>
      <c r="J727" s="1195"/>
      <c r="K727" s="1195"/>
      <c r="L727" s="1195"/>
      <c r="M727" s="1195"/>
      <c r="N727" s="1195"/>
      <c r="O727" s="1195"/>
      <c r="P727" s="1195"/>
      <c r="Q727" s="1195"/>
      <c r="R727" s="1195"/>
    </row>
    <row r="728" spans="1:18" ht="16">
      <c r="A728" s="2263"/>
      <c r="B728" s="1195"/>
      <c r="C728" s="2257"/>
      <c r="D728" s="2257"/>
      <c r="E728" s="1195"/>
      <c r="F728" s="2257"/>
      <c r="G728" s="2257"/>
      <c r="H728" s="1195"/>
      <c r="I728" s="1195"/>
      <c r="J728" s="1195"/>
      <c r="K728" s="1195"/>
      <c r="L728" s="1195"/>
      <c r="M728" s="1195"/>
      <c r="N728" s="1195"/>
      <c r="O728" s="1195"/>
      <c r="P728" s="1195"/>
      <c r="Q728" s="1195"/>
      <c r="R728" s="1195"/>
    </row>
    <row r="729" spans="1:18" ht="16">
      <c r="A729" s="2263"/>
      <c r="B729" s="1195"/>
      <c r="C729" s="2257"/>
      <c r="D729" s="2257"/>
      <c r="E729" s="1195"/>
      <c r="F729" s="2257"/>
      <c r="G729" s="2257"/>
      <c r="H729" s="1195"/>
      <c r="I729" s="1195"/>
      <c r="J729" s="1195"/>
      <c r="K729" s="1195"/>
      <c r="L729" s="1195"/>
      <c r="M729" s="1195"/>
      <c r="N729" s="1195"/>
      <c r="O729" s="1195"/>
      <c r="P729" s="1195"/>
      <c r="Q729" s="1195"/>
      <c r="R729" s="1195"/>
    </row>
    <row r="730" spans="1:18" ht="16">
      <c r="A730" s="2263"/>
      <c r="B730" s="1195"/>
      <c r="C730" s="2257"/>
      <c r="D730" s="2257"/>
      <c r="E730" s="1195"/>
      <c r="F730" s="2257"/>
      <c r="G730" s="2257"/>
      <c r="H730" s="1195"/>
      <c r="I730" s="1195"/>
      <c r="J730" s="1195"/>
      <c r="K730" s="1195"/>
      <c r="L730" s="1195"/>
      <c r="M730" s="1195"/>
      <c r="N730" s="1195"/>
      <c r="O730" s="1195"/>
      <c r="P730" s="1195"/>
      <c r="Q730" s="1195"/>
      <c r="R730" s="1195"/>
    </row>
    <row r="731" spans="1:18" ht="16">
      <c r="A731" s="2263"/>
      <c r="B731" s="1195"/>
      <c r="C731" s="2257"/>
      <c r="D731" s="2257"/>
      <c r="E731" s="1195"/>
      <c r="F731" s="2257"/>
      <c r="G731" s="2257"/>
      <c r="H731" s="1195"/>
      <c r="I731" s="1195"/>
      <c r="J731" s="1195"/>
      <c r="K731" s="1195"/>
      <c r="L731" s="1195"/>
      <c r="M731" s="1195"/>
      <c r="N731" s="1195"/>
      <c r="O731" s="1195"/>
      <c r="P731" s="1195"/>
      <c r="Q731" s="1195"/>
      <c r="R731" s="1195"/>
    </row>
    <row r="732" spans="1:18" ht="16">
      <c r="A732" s="2263"/>
      <c r="B732" s="1195"/>
      <c r="C732" s="2257"/>
      <c r="D732" s="2257"/>
      <c r="E732" s="1195"/>
      <c r="F732" s="2257"/>
      <c r="G732" s="2257"/>
      <c r="H732" s="1195"/>
      <c r="I732" s="1195"/>
      <c r="J732" s="1195"/>
      <c r="K732" s="1195"/>
      <c r="L732" s="1195"/>
      <c r="M732" s="1195"/>
      <c r="N732" s="1195"/>
      <c r="O732" s="1195"/>
      <c r="P732" s="1195"/>
      <c r="Q732" s="1195"/>
      <c r="R732" s="1195"/>
    </row>
    <row r="733" spans="1:18" ht="16">
      <c r="A733" s="2263"/>
      <c r="B733" s="1195"/>
      <c r="C733" s="2257"/>
      <c r="D733" s="2257"/>
      <c r="E733" s="1195"/>
      <c r="F733" s="2257"/>
      <c r="G733" s="2257"/>
      <c r="H733" s="1195"/>
      <c r="I733" s="1195"/>
      <c r="J733" s="1195"/>
      <c r="K733" s="1195"/>
      <c r="L733" s="1195"/>
      <c r="M733" s="1195"/>
      <c r="N733" s="1195"/>
      <c r="O733" s="1195"/>
      <c r="P733" s="1195"/>
      <c r="Q733" s="1195"/>
      <c r="R733" s="1195"/>
    </row>
    <row r="734" spans="1:18" ht="16">
      <c r="A734" s="2263"/>
      <c r="B734" s="1195"/>
      <c r="C734" s="2257"/>
      <c r="D734" s="2257"/>
      <c r="E734" s="1195"/>
      <c r="F734" s="2257"/>
      <c r="G734" s="2257"/>
      <c r="H734" s="1195"/>
      <c r="I734" s="1195"/>
      <c r="J734" s="1195"/>
      <c r="K734" s="1195"/>
      <c r="L734" s="1195"/>
      <c r="M734" s="1195"/>
      <c r="N734" s="1195"/>
      <c r="O734" s="1195"/>
      <c r="P734" s="1195"/>
      <c r="Q734" s="1195"/>
      <c r="R734" s="1195"/>
    </row>
    <row r="735" spans="1:18" ht="16">
      <c r="A735" s="2263"/>
      <c r="B735" s="1195"/>
      <c r="C735" s="2257"/>
      <c r="D735" s="2257"/>
      <c r="E735" s="1195"/>
      <c r="F735" s="2257"/>
      <c r="G735" s="2257"/>
      <c r="H735" s="1195"/>
      <c r="I735" s="1195"/>
      <c r="J735" s="1195"/>
      <c r="K735" s="1195"/>
      <c r="L735" s="1195"/>
      <c r="M735" s="1195"/>
      <c r="N735" s="1195"/>
      <c r="O735" s="1195"/>
      <c r="P735" s="1195"/>
      <c r="Q735" s="1195"/>
      <c r="R735" s="1195"/>
    </row>
    <row r="736" spans="1:18" ht="16">
      <c r="A736" s="2263"/>
      <c r="B736" s="1195"/>
      <c r="C736" s="2257"/>
      <c r="D736" s="2257"/>
      <c r="E736" s="1195"/>
      <c r="F736" s="2257"/>
      <c r="G736" s="2257"/>
      <c r="H736" s="1195"/>
      <c r="I736" s="1195"/>
      <c r="J736" s="1195"/>
      <c r="K736" s="1195"/>
      <c r="L736" s="1195"/>
      <c r="M736" s="1195"/>
      <c r="N736" s="1195"/>
      <c r="O736" s="1195"/>
      <c r="P736" s="1195"/>
      <c r="Q736" s="1195"/>
      <c r="R736" s="1195"/>
    </row>
    <row r="737" spans="1:18" ht="16">
      <c r="A737" s="2263"/>
      <c r="B737" s="1195"/>
      <c r="C737" s="2257"/>
      <c r="D737" s="2257"/>
      <c r="E737" s="1195"/>
      <c r="F737" s="2257"/>
      <c r="G737" s="2257"/>
      <c r="H737" s="1195"/>
      <c r="I737" s="1195"/>
      <c r="J737" s="1195"/>
      <c r="K737" s="1195"/>
      <c r="L737" s="1195"/>
      <c r="M737" s="1195"/>
      <c r="N737" s="1195"/>
      <c r="O737" s="1195"/>
      <c r="P737" s="1195"/>
      <c r="Q737" s="1195"/>
      <c r="R737" s="1195"/>
    </row>
    <row r="738" spans="1:18" ht="16">
      <c r="A738" s="2263"/>
      <c r="B738" s="1195"/>
      <c r="C738" s="2257"/>
      <c r="D738" s="2257"/>
      <c r="E738" s="1195"/>
      <c r="F738" s="2257"/>
      <c r="G738" s="2257"/>
      <c r="H738" s="1195"/>
      <c r="I738" s="1195"/>
      <c r="J738" s="1195"/>
      <c r="K738" s="1195"/>
      <c r="L738" s="1195"/>
      <c r="M738" s="1195"/>
      <c r="N738" s="1195"/>
      <c r="O738" s="1195"/>
      <c r="P738" s="1195"/>
      <c r="Q738" s="1195"/>
      <c r="R738" s="1195"/>
    </row>
    <row r="739" spans="1:18" ht="16">
      <c r="A739" s="2263"/>
      <c r="B739" s="1195"/>
      <c r="C739" s="2257"/>
      <c r="D739" s="2257"/>
      <c r="E739" s="1195"/>
      <c r="F739" s="2257"/>
      <c r="G739" s="2257"/>
      <c r="H739" s="1195"/>
      <c r="I739" s="1195"/>
      <c r="J739" s="1195"/>
      <c r="K739" s="1195"/>
      <c r="L739" s="1195"/>
      <c r="M739" s="1195"/>
      <c r="N739" s="1195"/>
      <c r="O739" s="1195"/>
      <c r="P739" s="1195"/>
      <c r="Q739" s="1195"/>
      <c r="R739" s="1195"/>
    </row>
    <row r="740" spans="1:18" ht="17">
      <c r="A740" s="2295" t="s">
        <v>3982</v>
      </c>
      <c r="B740" s="2226" t="str">
        <f>'Ввод данных'!F1126</f>
        <v>Не считать</v>
      </c>
      <c r="C740" s="2227" t="s">
        <v>854</v>
      </c>
      <c r="D740" s="2227" t="s">
        <v>3983</v>
      </c>
      <c r="E740" s="1195"/>
      <c r="F740" s="2257"/>
      <c r="G740" s="2257"/>
      <c r="H740" s="1195"/>
      <c r="I740" s="1195"/>
      <c r="J740" s="1195"/>
      <c r="K740" s="1195"/>
      <c r="L740" s="1195"/>
      <c r="M740" s="1195"/>
      <c r="N740" s="1195"/>
      <c r="O740" s="1195"/>
      <c r="P740" s="1195"/>
      <c r="Q740" s="1195"/>
      <c r="R740" s="1195"/>
    </row>
    <row r="741" spans="1:18" ht="16">
      <c r="A741" s="380" t="s">
        <v>2130</v>
      </c>
      <c r="B741" s="2226">
        <f>'Ввод данных'!B1128</f>
        <v>10</v>
      </c>
      <c r="C741" s="2227"/>
      <c r="D741" s="2227">
        <f>B743*B744*D742/1000000000/2</f>
        <v>0.24</v>
      </c>
      <c r="E741" s="1195"/>
      <c r="F741" s="2257"/>
      <c r="G741" s="2257"/>
      <c r="H741" s="1195"/>
      <c r="I741" s="1195"/>
      <c r="J741" s="1195"/>
      <c r="K741" s="1195"/>
      <c r="L741" s="1195"/>
      <c r="M741" s="1195"/>
      <c r="N741" s="1195"/>
      <c r="O741" s="1195"/>
      <c r="P741" s="1195"/>
      <c r="Q741" s="1195"/>
      <c r="R741" s="1195"/>
    </row>
    <row r="742" spans="1:18" ht="16">
      <c r="A742" s="380" t="s">
        <v>2424</v>
      </c>
      <c r="B742" s="2226">
        <f>'Ввод данных'!B1129</f>
        <v>2000</v>
      </c>
      <c r="C742" s="2227"/>
      <c r="D742" s="2227">
        <f>B742/B741</f>
        <v>200</v>
      </c>
      <c r="E742" s="1195" t="s">
        <v>3984</v>
      </c>
      <c r="F742" s="2257"/>
      <c r="G742" s="2257"/>
      <c r="H742" s="1195"/>
      <c r="I742" s="1195"/>
      <c r="J742" s="1195"/>
      <c r="K742" s="1195"/>
      <c r="L742" s="1195"/>
      <c r="M742" s="1195"/>
      <c r="N742" s="1195"/>
      <c r="O742" s="1195"/>
      <c r="P742" s="1195"/>
      <c r="Q742" s="1195"/>
      <c r="R742" s="1195"/>
    </row>
    <row r="743" spans="1:18" ht="16">
      <c r="A743" s="380" t="s">
        <v>2426</v>
      </c>
      <c r="B743" s="2226">
        <f>'Ввод данных'!B1130</f>
        <v>3000</v>
      </c>
      <c r="C743" s="2227"/>
      <c r="D743" s="2227"/>
      <c r="E743" s="1195"/>
      <c r="F743" s="2257"/>
      <c r="G743" s="2257"/>
      <c r="H743" s="1195"/>
      <c r="I743" s="1195"/>
      <c r="J743" s="1195"/>
      <c r="K743" s="1195"/>
      <c r="L743" s="1195"/>
      <c r="M743" s="1195"/>
      <c r="N743" s="1195"/>
      <c r="O743" s="1195"/>
      <c r="P743" s="1195"/>
      <c r="Q743" s="1195"/>
      <c r="R743" s="1195"/>
    </row>
    <row r="744" spans="1:18" ht="16">
      <c r="A744" s="380" t="s">
        <v>2427</v>
      </c>
      <c r="B744" s="2226">
        <f>'Ввод данных'!B1131</f>
        <v>800</v>
      </c>
      <c r="C744" s="2227"/>
      <c r="D744" s="2227"/>
      <c r="E744" s="1195"/>
      <c r="F744" s="2257"/>
      <c r="G744" s="2257"/>
      <c r="H744" s="1195"/>
      <c r="I744" s="1195"/>
      <c r="J744" s="1195"/>
      <c r="K744" s="1195"/>
      <c r="L744" s="1195"/>
      <c r="M744" s="1195"/>
      <c r="N744" s="1195"/>
      <c r="O744" s="1195"/>
      <c r="P744" s="1195"/>
      <c r="Q744" s="1195"/>
      <c r="R744" s="1195"/>
    </row>
    <row r="745" spans="1:18" ht="16">
      <c r="A745" s="380" t="s">
        <v>2428</v>
      </c>
      <c r="B745" s="2226">
        <f>'Ввод данных'!B1132</f>
        <v>500</v>
      </c>
      <c r="C745" s="2227"/>
      <c r="D745" s="2227">
        <f>B745*B744*B746/1000000000</f>
        <v>0.04</v>
      </c>
      <c r="E745" s="1195"/>
      <c r="F745" s="2257"/>
      <c r="G745" s="2257"/>
      <c r="H745" s="1195"/>
      <c r="I745" s="1195"/>
      <c r="J745" s="1195"/>
      <c r="K745" s="1195"/>
      <c r="L745" s="1195"/>
      <c r="M745" s="1195"/>
      <c r="N745" s="1195"/>
      <c r="O745" s="1195"/>
      <c r="P745" s="1195"/>
      <c r="Q745" s="1195"/>
      <c r="R745" s="1195"/>
    </row>
    <row r="746" spans="1:18" ht="16">
      <c r="A746" s="380" t="s">
        <v>2429</v>
      </c>
      <c r="B746" s="2226">
        <f>'Ввод данных'!B1133</f>
        <v>100</v>
      </c>
      <c r="C746" s="2227"/>
      <c r="D746" s="2227"/>
      <c r="E746" s="1195"/>
      <c r="F746" s="2257"/>
      <c r="G746" s="2257"/>
      <c r="H746" s="1195"/>
      <c r="I746" s="1195"/>
      <c r="J746" s="1195"/>
      <c r="K746" s="1195"/>
      <c r="L746" s="1195"/>
      <c r="M746" s="1195"/>
      <c r="N746" s="1195"/>
      <c r="O746" s="1195"/>
      <c r="P746" s="1195"/>
      <c r="Q746" s="1195"/>
      <c r="R746" s="1195"/>
    </row>
    <row r="747" spans="1:18" ht="16">
      <c r="A747" s="380" t="s">
        <v>2430</v>
      </c>
      <c r="B747" s="2226">
        <f>'Ввод данных'!B1134</f>
        <v>50</v>
      </c>
      <c r="C747" s="2227"/>
      <c r="D747" s="2227">
        <f>B743*B744*B747/1000000000</f>
        <v>0.12</v>
      </c>
      <c r="E747" s="1195">
        <f>D747*20/100</f>
        <v>2.4E-2</v>
      </c>
      <c r="F747" s="2257"/>
      <c r="G747" s="2257"/>
      <c r="H747" s="1195"/>
      <c r="I747" s="1195"/>
      <c r="J747" s="1195"/>
      <c r="K747" s="1195"/>
      <c r="L747" s="1195"/>
      <c r="M747" s="1195"/>
      <c r="N747" s="1195"/>
      <c r="O747" s="1195"/>
      <c r="P747" s="1195"/>
      <c r="Q747" s="1195"/>
      <c r="R747" s="1195"/>
    </row>
    <row r="748" spans="1:18" ht="16">
      <c r="A748" s="132" t="str">
        <f>'Ввод данных'!A1137</f>
        <v>Арматура А1 8 мм</v>
      </c>
      <c r="B748" s="2226"/>
      <c r="C748" s="2227">
        <f>VLOOKUP(A748,'Прайс лист'!B199:G210,6,0)</f>
        <v>17.538</v>
      </c>
      <c r="D748" s="959">
        <f>((B743+B745)/1000*8)+D749</f>
        <v>52</v>
      </c>
      <c r="E748" s="1195" t="s">
        <v>3985</v>
      </c>
      <c r="F748" s="2257"/>
      <c r="G748" s="2257"/>
      <c r="H748" s="1195"/>
      <c r="I748" s="1195"/>
      <c r="J748" s="1195"/>
      <c r="K748" s="1195"/>
      <c r="L748" s="1195"/>
      <c r="M748" s="1195"/>
      <c r="N748" s="1195"/>
      <c r="O748" s="1195"/>
      <c r="P748" s="1195"/>
      <c r="Q748" s="1195"/>
      <c r="R748" s="1195"/>
    </row>
    <row r="749" spans="1:18" ht="16">
      <c r="A749" s="132" t="s">
        <v>2434</v>
      </c>
      <c r="B749" s="2226">
        <f>'Ввод данных'!B1138</f>
        <v>3</v>
      </c>
      <c r="C749" s="2227">
        <f>C748</f>
        <v>17.538</v>
      </c>
      <c r="D749" s="1042">
        <f>(B749*B741)/1.25</f>
        <v>24</v>
      </c>
      <c r="E749" s="1195" t="s">
        <v>3985</v>
      </c>
      <c r="F749" s="2257"/>
      <c r="G749" s="2257"/>
      <c r="H749" s="1195"/>
      <c r="I749" s="1195"/>
      <c r="J749" s="1195"/>
      <c r="K749" s="1195"/>
      <c r="L749" s="1195"/>
      <c r="M749" s="1195"/>
      <c r="N749" s="1195"/>
      <c r="O749" s="1195"/>
      <c r="P749" s="1195"/>
      <c r="Q749" s="1195"/>
      <c r="R749" s="1195"/>
    </row>
    <row r="750" spans="1:18" ht="16">
      <c r="A750" s="132" t="s">
        <v>2433</v>
      </c>
      <c r="B750" s="2226">
        <f>'Ввод данных'!B1136</f>
        <v>10</v>
      </c>
      <c r="C750" s="2227">
        <f>'Прайс лист'!F318</f>
        <v>67.5</v>
      </c>
      <c r="D750" s="957">
        <f>B750</f>
        <v>10</v>
      </c>
      <c r="E750" s="1195" t="s">
        <v>3985</v>
      </c>
      <c r="F750" s="2257"/>
      <c r="G750" s="2257"/>
      <c r="H750" s="1195"/>
      <c r="I750" s="1195"/>
      <c r="J750" s="1195"/>
      <c r="K750" s="1195"/>
      <c r="L750" s="1195"/>
      <c r="M750" s="1195"/>
      <c r="N750" s="1195"/>
      <c r="O750" s="1195"/>
      <c r="P750" s="1195"/>
      <c r="Q750" s="1195"/>
      <c r="R750" s="1195"/>
    </row>
    <row r="751" spans="1:18" ht="16">
      <c r="A751" s="132" t="str">
        <f>'Ввод данных'!A1139</f>
        <v>OSB-3 КНР (для наружных работ), 12мм</v>
      </c>
      <c r="B751" s="2226"/>
      <c r="C751" s="2227">
        <f>VLOOKUP(A751,'Прайс лист'!B1027:G1081,6,0)</f>
        <v>245</v>
      </c>
      <c r="D751" s="959">
        <f>(B743+B745)/1000*2</f>
        <v>7</v>
      </c>
      <c r="E751" s="1195" t="s">
        <v>133</v>
      </c>
      <c r="F751" s="2257"/>
      <c r="G751" s="2257"/>
      <c r="H751" s="1195"/>
      <c r="I751" s="1195"/>
      <c r="J751" s="1195"/>
      <c r="K751" s="1195"/>
      <c r="L751" s="1195"/>
      <c r="M751" s="1195"/>
      <c r="N751" s="1195"/>
      <c r="O751" s="1195"/>
      <c r="P751" s="1195"/>
      <c r="Q751" s="1195"/>
      <c r="R751" s="1195"/>
    </row>
    <row r="752" spans="1:18" ht="16">
      <c r="A752" s="132" t="str">
        <f>'Ввод данных'!A1140</f>
        <v>Бетон, м350</v>
      </c>
      <c r="B752" s="2226"/>
      <c r="C752" s="2227">
        <f>VLOOKUP(A752,'Прайс лист'!B225:G232,6,0)</f>
        <v>3500</v>
      </c>
      <c r="D752" s="957">
        <f>D741+D745+D747+E747</f>
        <v>0.42399999999999999</v>
      </c>
      <c r="E752" s="1195" t="s">
        <v>135</v>
      </c>
      <c r="F752" s="2257"/>
      <c r="G752" s="2257"/>
      <c r="H752" s="1195"/>
      <c r="I752" s="1195"/>
      <c r="J752" s="1195"/>
      <c r="K752" s="1195"/>
      <c r="L752" s="1195"/>
      <c r="M752" s="1195"/>
      <c r="N752" s="1195"/>
      <c r="O752" s="1195"/>
      <c r="P752" s="1195"/>
      <c r="Q752" s="1195"/>
      <c r="R752" s="1195"/>
    </row>
    <row r="753" spans="1:18" ht="16">
      <c r="A753" s="132" t="str">
        <f>'Ввод данных'!A1141</f>
        <v xml:space="preserve">Саморезы 3,5 x 55            </v>
      </c>
      <c r="B753" s="2226"/>
      <c r="C753" s="2227">
        <f>VLOOKUP(A753,'Прайс лист'!B875:G883,6,0)</f>
        <v>105.62</v>
      </c>
      <c r="D753" s="959">
        <v>1</v>
      </c>
      <c r="E753" s="1195" t="s">
        <v>188</v>
      </c>
      <c r="F753" s="2257"/>
      <c r="G753" s="2257"/>
      <c r="H753" s="1195"/>
      <c r="I753" s="1195"/>
      <c r="J753" s="1195"/>
      <c r="K753" s="1195"/>
      <c r="L753" s="1195"/>
      <c r="M753" s="1195"/>
      <c r="N753" s="1195"/>
      <c r="O753" s="1195"/>
      <c r="P753" s="1195"/>
      <c r="Q753" s="1195"/>
      <c r="R753" s="1195"/>
    </row>
    <row r="754" spans="1:18" ht="16">
      <c r="A754" s="132" t="str">
        <f>'Ввод данных'!A1142</f>
        <v>Нет техники</v>
      </c>
      <c r="B754" s="2226">
        <f>'Ввод данных'!C1142</f>
        <v>0</v>
      </c>
      <c r="C754" s="2227">
        <f>VLOOKUP(A754,'Прайс лист'!B180:G194,6,0)</f>
        <v>0</v>
      </c>
      <c r="D754" s="957">
        <f>B754</f>
        <v>0</v>
      </c>
      <c r="E754" s="1195" t="s">
        <v>154</v>
      </c>
      <c r="F754" s="2257"/>
      <c r="G754" s="2257"/>
      <c r="H754" s="1195"/>
      <c r="I754" s="1195"/>
      <c r="J754" s="1195"/>
      <c r="K754" s="1195"/>
      <c r="L754" s="1195"/>
      <c r="M754" s="1195"/>
      <c r="N754" s="1195"/>
      <c r="O754" s="1195"/>
      <c r="P754" s="1195"/>
      <c r="Q754" s="1195"/>
      <c r="R754" s="1195"/>
    </row>
    <row r="755" spans="1:18" ht="16">
      <c r="A755" s="132" t="str">
        <f>'Ввод данных'!A1143</f>
        <v>Манипулятор 5т</v>
      </c>
      <c r="B755" s="2226">
        <f>'Ввод данных'!C1143</f>
        <v>3</v>
      </c>
      <c r="C755" s="2227">
        <f>VLOOKUP(A755,'Прайс лист'!B180:G194,6,0)</f>
        <v>2500</v>
      </c>
      <c r="D755" s="957">
        <f>B755</f>
        <v>3</v>
      </c>
      <c r="E755" s="1195" t="s">
        <v>159</v>
      </c>
      <c r="F755" s="2257"/>
      <c r="G755" s="2257"/>
      <c r="H755" s="1195"/>
      <c r="I755" s="1195"/>
      <c r="J755" s="1195"/>
      <c r="K755" s="1195"/>
      <c r="L755" s="1195"/>
      <c r="M755" s="1195"/>
      <c r="N755" s="1195"/>
      <c r="O755" s="1195"/>
      <c r="P755" s="1195"/>
      <c r="Q755" s="1195"/>
      <c r="R755" s="1195"/>
    </row>
    <row r="756" spans="1:18" ht="16">
      <c r="A756" s="132" t="s">
        <v>2431</v>
      </c>
      <c r="B756" s="2226"/>
      <c r="C756" s="2227">
        <f>'Ввод данных'!B1135</f>
        <v>2000</v>
      </c>
      <c r="D756" s="959">
        <v>1</v>
      </c>
      <c r="E756" s="1195" t="s">
        <v>3986</v>
      </c>
      <c r="F756" s="2257"/>
      <c r="G756" s="2257"/>
      <c r="H756" s="1195"/>
      <c r="I756" s="1195"/>
      <c r="J756" s="1195"/>
      <c r="K756" s="1195"/>
      <c r="L756" s="1195"/>
      <c r="M756" s="1195"/>
      <c r="N756" s="1195"/>
      <c r="O756" s="1195"/>
      <c r="P756" s="1195"/>
      <c r="Q756" s="1195"/>
      <c r="R756" s="1195"/>
    </row>
    <row r="757" spans="1:18" ht="16">
      <c r="A757" s="132" t="s">
        <v>3987</v>
      </c>
      <c r="B757" s="2226"/>
      <c r="C757" s="2227">
        <f>'Прайс лист'!G1890</f>
        <v>50000</v>
      </c>
      <c r="D757" s="959">
        <v>1</v>
      </c>
      <c r="E757" s="1195"/>
      <c r="F757" s="2257"/>
      <c r="G757" s="2257"/>
      <c r="H757" s="1195"/>
      <c r="I757" s="1195"/>
      <c r="J757" s="1195"/>
      <c r="K757" s="1195"/>
      <c r="L757" s="1195"/>
      <c r="M757" s="1195"/>
      <c r="N757" s="1195"/>
      <c r="O757" s="1195"/>
      <c r="P757" s="1195"/>
      <c r="Q757" s="1195"/>
      <c r="R757" s="1195"/>
    </row>
    <row r="758" spans="1:18" ht="16">
      <c r="A758" s="2263"/>
      <c r="B758" s="1195"/>
      <c r="C758" s="2257"/>
      <c r="D758" s="2257"/>
      <c r="E758" s="1195"/>
      <c r="F758" s="2257"/>
      <c r="G758" s="2257"/>
      <c r="H758" s="1195"/>
      <c r="I758" s="1195"/>
      <c r="J758" s="1195"/>
      <c r="K758" s="1195"/>
      <c r="L758" s="1195"/>
      <c r="M758" s="1195"/>
      <c r="N758" s="1195"/>
      <c r="O758" s="1195"/>
      <c r="P758" s="1195"/>
      <c r="Q758" s="1195"/>
      <c r="R758" s="1195"/>
    </row>
    <row r="759" spans="1:18" ht="16">
      <c r="A759" s="2263"/>
      <c r="B759" s="1195"/>
      <c r="C759" s="2257"/>
      <c r="D759" s="2257"/>
      <c r="E759" s="1195"/>
      <c r="F759" s="2257"/>
      <c r="G759" s="2257"/>
      <c r="H759" s="1195"/>
      <c r="I759" s="1195"/>
      <c r="J759" s="1195"/>
      <c r="K759" s="1195"/>
      <c r="L759" s="1195"/>
      <c r="M759" s="1195"/>
      <c r="N759" s="1195"/>
      <c r="O759" s="1195"/>
      <c r="P759" s="1195"/>
      <c r="Q759" s="1195"/>
      <c r="R759" s="1195"/>
    </row>
    <row r="760" spans="1:18" ht="16">
      <c r="A760" s="2263"/>
      <c r="B760" s="1195"/>
      <c r="C760" s="2257"/>
      <c r="D760" s="2257"/>
      <c r="E760" s="1195"/>
      <c r="F760" s="2257"/>
      <c r="G760" s="2257"/>
      <c r="H760" s="1195"/>
      <c r="I760" s="1195"/>
      <c r="J760" s="1195"/>
      <c r="K760" s="1195"/>
      <c r="L760" s="1195"/>
      <c r="M760" s="1195"/>
      <c r="N760" s="1195"/>
      <c r="O760" s="1195"/>
      <c r="P760" s="1195"/>
      <c r="Q760" s="1195"/>
      <c r="R760" s="1195"/>
    </row>
    <row r="761" spans="1:18" ht="16">
      <c r="A761" s="2263"/>
      <c r="B761" s="1195"/>
      <c r="C761" s="2257"/>
      <c r="D761" s="2257"/>
      <c r="E761" s="1195"/>
      <c r="F761" s="2257"/>
      <c r="G761" s="2257"/>
      <c r="H761" s="1195"/>
      <c r="I761" s="1195"/>
      <c r="J761" s="1195"/>
      <c r="K761" s="1195"/>
      <c r="L761" s="1195"/>
      <c r="M761" s="1195"/>
      <c r="N761" s="1195"/>
      <c r="O761" s="1195"/>
      <c r="P761" s="1195"/>
      <c r="Q761" s="1195"/>
      <c r="R761" s="1195"/>
    </row>
    <row r="762" spans="1:18" ht="16">
      <c r="A762" s="2263"/>
      <c r="B762" s="1195"/>
      <c r="C762" s="2257"/>
      <c r="D762" s="2257"/>
      <c r="E762" s="1195"/>
      <c r="F762" s="2257"/>
      <c r="G762" s="2257"/>
      <c r="H762" s="1195"/>
      <c r="I762" s="1195"/>
      <c r="J762" s="1195"/>
      <c r="K762" s="1195"/>
      <c r="L762" s="1195"/>
      <c r="M762" s="1195"/>
      <c r="N762" s="1195"/>
      <c r="O762" s="1195"/>
      <c r="P762" s="1195"/>
      <c r="Q762" s="1195"/>
      <c r="R762" s="1195"/>
    </row>
    <row r="763" spans="1:18" ht="16">
      <c r="A763" s="2263"/>
      <c r="B763" s="1195"/>
      <c r="C763" s="2257"/>
      <c r="D763" s="2257"/>
      <c r="E763" s="1195"/>
      <c r="F763" s="2257"/>
      <c r="G763" s="2257"/>
      <c r="H763" s="1195"/>
      <c r="I763" s="1195"/>
      <c r="J763" s="1195"/>
      <c r="K763" s="1195"/>
      <c r="L763" s="1195"/>
      <c r="M763" s="1195"/>
      <c r="N763" s="1195"/>
      <c r="O763" s="1195"/>
      <c r="P763" s="1195"/>
      <c r="Q763" s="1195"/>
      <c r="R763" s="1195"/>
    </row>
    <row r="764" spans="1:18" ht="16">
      <c r="A764" s="2263"/>
      <c r="B764" s="1195"/>
      <c r="C764" s="2257"/>
      <c r="D764" s="2257"/>
      <c r="E764" s="1195"/>
      <c r="F764" s="2257"/>
      <c r="G764" s="2257"/>
      <c r="H764" s="1195"/>
      <c r="I764" s="1195"/>
      <c r="J764" s="1195"/>
      <c r="K764" s="1195"/>
      <c r="L764" s="1195"/>
      <c r="M764" s="1195"/>
      <c r="N764" s="1195"/>
      <c r="O764" s="1195"/>
      <c r="P764" s="1195"/>
      <c r="Q764" s="1195"/>
      <c r="R764" s="1195"/>
    </row>
    <row r="765" spans="1:18" ht="16">
      <c r="A765" s="2263"/>
      <c r="B765" s="1195"/>
      <c r="C765" s="2257"/>
      <c r="D765" s="2257"/>
      <c r="E765" s="1195"/>
      <c r="F765" s="2257"/>
      <c r="G765" s="2257"/>
      <c r="H765" s="1195"/>
      <c r="I765" s="1195"/>
      <c r="J765" s="1195"/>
      <c r="K765" s="1195"/>
      <c r="L765" s="1195"/>
      <c r="M765" s="1195"/>
      <c r="N765" s="1195"/>
      <c r="O765" s="1195"/>
      <c r="P765" s="1195"/>
      <c r="Q765" s="1195"/>
      <c r="R765" s="1195"/>
    </row>
    <row r="766" spans="1:18" ht="16">
      <c r="A766" s="2263"/>
      <c r="B766" s="1195"/>
      <c r="C766" s="2257"/>
      <c r="D766" s="2257"/>
      <c r="E766" s="1195"/>
      <c r="F766" s="2257"/>
      <c r="G766" s="2257"/>
      <c r="H766" s="1195"/>
      <c r="I766" s="1195"/>
      <c r="J766" s="1195"/>
      <c r="K766" s="1195"/>
      <c r="L766" s="1195"/>
      <c r="M766" s="1195"/>
      <c r="N766" s="1195"/>
      <c r="O766" s="1195"/>
      <c r="P766" s="1195"/>
      <c r="Q766" s="1195"/>
      <c r="R766" s="1195"/>
    </row>
    <row r="767" spans="1:18" ht="16">
      <c r="A767" s="2263"/>
      <c r="B767" s="1195"/>
      <c r="C767" s="2257"/>
      <c r="D767" s="2257"/>
      <c r="E767" s="1195"/>
      <c r="F767" s="2257"/>
      <c r="G767" s="2257"/>
      <c r="H767" s="1195"/>
      <c r="I767" s="1195"/>
      <c r="J767" s="1195"/>
      <c r="K767" s="1195"/>
      <c r="L767" s="1195"/>
      <c r="M767" s="1195"/>
      <c r="N767" s="1195"/>
      <c r="O767" s="1195"/>
      <c r="P767" s="1195"/>
      <c r="Q767" s="1195"/>
      <c r="R767" s="1195"/>
    </row>
    <row r="768" spans="1:18" ht="16">
      <c r="A768" s="2263"/>
      <c r="B768" s="1195"/>
      <c r="C768" s="2257"/>
      <c r="D768" s="2257"/>
      <c r="E768" s="1195"/>
      <c r="F768" s="2257"/>
      <c r="G768" s="2257"/>
      <c r="H768" s="1195"/>
      <c r="I768" s="1195"/>
      <c r="J768" s="1195"/>
      <c r="K768" s="1195"/>
      <c r="L768" s="1195"/>
      <c r="M768" s="1195"/>
      <c r="N768" s="1195"/>
      <c r="O768" s="1195"/>
      <c r="P768" s="1195"/>
      <c r="Q768" s="1195"/>
      <c r="R768" s="1195"/>
    </row>
    <row r="769" spans="1:18" ht="16">
      <c r="A769" s="2263"/>
      <c r="B769" s="1195"/>
      <c r="C769" s="2257"/>
      <c r="D769" s="2257"/>
      <c r="E769" s="1195"/>
      <c r="F769" s="2257"/>
      <c r="G769" s="2257"/>
      <c r="H769" s="1195"/>
      <c r="I769" s="1195"/>
      <c r="J769" s="1195"/>
      <c r="K769" s="1195"/>
      <c r="L769" s="1195"/>
      <c r="M769" s="1195"/>
      <c r="N769" s="1195"/>
      <c r="O769" s="1195"/>
      <c r="P769" s="1195"/>
      <c r="Q769" s="1195"/>
      <c r="R769" s="1195"/>
    </row>
    <row r="770" spans="1:18" ht="16">
      <c r="A770" s="2263"/>
      <c r="B770" s="1195"/>
      <c r="C770" s="2257"/>
      <c r="D770" s="2257"/>
      <c r="E770" s="1195"/>
      <c r="F770" s="2257"/>
      <c r="G770" s="2257"/>
      <c r="H770" s="1195"/>
      <c r="I770" s="1195"/>
      <c r="J770" s="1195"/>
      <c r="K770" s="1195"/>
      <c r="L770" s="1195"/>
      <c r="M770" s="1195"/>
      <c r="N770" s="1195"/>
      <c r="O770" s="1195"/>
      <c r="P770" s="1195"/>
      <c r="Q770" s="1195"/>
      <c r="R770" s="1195"/>
    </row>
    <row r="771" spans="1:18" ht="16">
      <c r="A771" s="2263"/>
      <c r="B771" s="1195"/>
      <c r="C771" s="2257"/>
      <c r="D771" s="2257"/>
      <c r="E771" s="1195"/>
      <c r="F771" s="2257"/>
      <c r="G771" s="2257"/>
      <c r="H771" s="1195"/>
      <c r="I771" s="1195"/>
      <c r="J771" s="1195"/>
      <c r="K771" s="1195"/>
      <c r="L771" s="1195"/>
      <c r="M771" s="1195"/>
      <c r="N771" s="1195"/>
      <c r="O771" s="1195"/>
      <c r="P771" s="1195"/>
      <c r="Q771" s="1195"/>
      <c r="R771" s="1195"/>
    </row>
    <row r="772" spans="1:18" ht="16">
      <c r="A772" s="2263"/>
      <c r="B772" s="1195"/>
      <c r="C772" s="2257"/>
      <c r="D772" s="2257"/>
      <c r="E772" s="1195"/>
      <c r="F772" s="2257"/>
      <c r="G772" s="2257"/>
      <c r="H772" s="1195"/>
      <c r="I772" s="1195"/>
      <c r="J772" s="1195"/>
      <c r="K772" s="1195"/>
      <c r="L772" s="1195"/>
      <c r="M772" s="1195"/>
      <c r="N772" s="1195"/>
      <c r="O772" s="1195"/>
      <c r="P772" s="1195"/>
      <c r="Q772" s="1195"/>
      <c r="R772" s="1195"/>
    </row>
    <row r="773" spans="1:18" ht="16">
      <c r="A773" s="2263"/>
      <c r="B773" s="1195"/>
      <c r="C773" s="2257"/>
      <c r="D773" s="2257"/>
      <c r="E773" s="1195"/>
      <c r="F773" s="2257"/>
      <c r="G773" s="2257"/>
      <c r="H773" s="1195"/>
      <c r="I773" s="1195"/>
      <c r="J773" s="1195"/>
      <c r="K773" s="1195"/>
      <c r="L773" s="1195"/>
      <c r="M773" s="1195"/>
      <c r="N773" s="1195"/>
      <c r="O773" s="1195"/>
      <c r="P773" s="1195"/>
      <c r="Q773" s="1195"/>
      <c r="R773" s="1195"/>
    </row>
    <row r="774" spans="1:18" ht="16">
      <c r="A774" s="2263"/>
      <c r="B774" s="1195"/>
      <c r="C774" s="2257"/>
      <c r="D774" s="2257"/>
      <c r="E774" s="1195"/>
      <c r="F774" s="2257"/>
      <c r="G774" s="2257"/>
      <c r="H774" s="1195"/>
      <c r="I774" s="1195"/>
      <c r="J774" s="1195"/>
      <c r="K774" s="1195"/>
      <c r="L774" s="1195"/>
      <c r="M774" s="1195"/>
      <c r="N774" s="1195"/>
      <c r="O774" s="1195"/>
      <c r="P774" s="1195"/>
      <c r="Q774" s="1195"/>
      <c r="R774" s="1195"/>
    </row>
    <row r="775" spans="1:18" ht="16">
      <c r="A775" s="2263"/>
      <c r="B775" s="1195"/>
      <c r="C775" s="2257"/>
      <c r="D775" s="2257"/>
      <c r="E775" s="1195"/>
      <c r="F775" s="2257"/>
      <c r="G775" s="2257"/>
      <c r="H775" s="1195"/>
      <c r="I775" s="1195"/>
      <c r="J775" s="1195"/>
      <c r="K775" s="1195"/>
      <c r="L775" s="1195"/>
      <c r="M775" s="1195"/>
      <c r="N775" s="1195"/>
      <c r="O775" s="1195"/>
      <c r="P775" s="1195"/>
      <c r="Q775" s="1195"/>
      <c r="R775" s="1195"/>
    </row>
    <row r="776" spans="1:18" ht="16">
      <c r="A776" s="2263"/>
      <c r="B776" s="1195"/>
      <c r="C776" s="2257"/>
      <c r="D776" s="2257"/>
      <c r="E776" s="1195"/>
      <c r="F776" s="2257"/>
      <c r="G776" s="2257"/>
      <c r="H776" s="1195"/>
      <c r="I776" s="1195"/>
      <c r="J776" s="1195"/>
      <c r="K776" s="1195"/>
      <c r="L776" s="1195"/>
      <c r="M776" s="1195"/>
      <c r="N776" s="1195"/>
      <c r="O776" s="1195"/>
      <c r="P776" s="1195"/>
      <c r="Q776" s="1195"/>
      <c r="R776" s="1195"/>
    </row>
    <row r="777" spans="1:18" ht="16">
      <c r="A777" s="2263"/>
      <c r="B777" s="1195"/>
      <c r="C777" s="2257"/>
      <c r="D777" s="2257"/>
      <c r="E777" s="1195"/>
      <c r="F777" s="2257"/>
      <c r="G777" s="2257"/>
      <c r="H777" s="1195"/>
      <c r="I777" s="1195"/>
      <c r="J777" s="1195"/>
      <c r="K777" s="1195"/>
      <c r="L777" s="1195"/>
      <c r="M777" s="1195"/>
      <c r="N777" s="1195"/>
      <c r="O777" s="1195"/>
      <c r="P777" s="1195"/>
      <c r="Q777" s="1195"/>
      <c r="R777" s="1195"/>
    </row>
    <row r="778" spans="1:18" ht="16">
      <c r="A778" s="2263"/>
      <c r="B778" s="1195"/>
      <c r="C778" s="2257"/>
      <c r="D778" s="2257"/>
      <c r="E778" s="1195"/>
      <c r="F778" s="2257"/>
      <c r="G778" s="2257"/>
      <c r="H778" s="1195"/>
      <c r="I778" s="1195"/>
      <c r="J778" s="1195"/>
      <c r="K778" s="1195"/>
      <c r="L778" s="1195"/>
      <c r="M778" s="1195"/>
      <c r="N778" s="1195"/>
      <c r="O778" s="1195"/>
      <c r="P778" s="1195"/>
      <c r="Q778" s="1195"/>
      <c r="R778" s="1195"/>
    </row>
    <row r="779" spans="1:18" ht="16">
      <c r="A779" s="2263"/>
      <c r="B779" s="1195"/>
      <c r="C779" s="2257"/>
      <c r="D779" s="2257"/>
      <c r="E779" s="1195"/>
      <c r="F779" s="2257"/>
      <c r="G779" s="2257"/>
      <c r="H779" s="1195"/>
      <c r="I779" s="1195"/>
      <c r="J779" s="1195"/>
      <c r="K779" s="1195"/>
      <c r="L779" s="1195"/>
      <c r="M779" s="1195"/>
      <c r="N779" s="1195"/>
      <c r="O779" s="1195"/>
      <c r="P779" s="1195"/>
      <c r="Q779" s="1195"/>
      <c r="R779" s="1195"/>
    </row>
    <row r="780" spans="1:18" ht="16">
      <c r="A780" s="2263"/>
      <c r="B780" s="1195"/>
      <c r="C780" s="2257"/>
      <c r="D780" s="2257"/>
      <c r="E780" s="1195"/>
      <c r="F780" s="2257"/>
      <c r="G780" s="2257"/>
      <c r="H780" s="1195"/>
      <c r="I780" s="1195"/>
      <c r="J780" s="1195"/>
      <c r="K780" s="1195"/>
      <c r="L780" s="1195"/>
      <c r="M780" s="1195"/>
      <c r="N780" s="1195"/>
      <c r="O780" s="1195"/>
      <c r="P780" s="1195"/>
      <c r="Q780" s="1195"/>
      <c r="R780" s="1195"/>
    </row>
    <row r="781" spans="1:18" ht="16">
      <c r="A781" s="2263"/>
      <c r="B781" s="1195"/>
      <c r="C781" s="2257"/>
      <c r="D781" s="2257"/>
      <c r="E781" s="1195"/>
      <c r="F781" s="2257"/>
      <c r="G781" s="2257"/>
      <c r="H781" s="1195"/>
      <c r="I781" s="1195"/>
      <c r="J781" s="1195"/>
      <c r="K781" s="1195"/>
      <c r="L781" s="1195"/>
      <c r="M781" s="1195"/>
      <c r="N781" s="1195"/>
      <c r="O781" s="1195"/>
      <c r="P781" s="1195"/>
      <c r="Q781" s="1195"/>
      <c r="R781" s="1195"/>
    </row>
    <row r="782" spans="1:18" ht="16">
      <c r="A782" s="2263"/>
      <c r="B782" s="1195"/>
      <c r="C782" s="2257"/>
      <c r="D782" s="2257"/>
      <c r="E782" s="1195"/>
      <c r="F782" s="2257"/>
      <c r="G782" s="2257"/>
      <c r="H782" s="1195"/>
      <c r="I782" s="1195"/>
      <c r="J782" s="1195"/>
      <c r="K782" s="1195"/>
      <c r="L782" s="1195"/>
      <c r="M782" s="1195"/>
      <c r="N782" s="1195"/>
      <c r="O782" s="1195"/>
      <c r="P782" s="1195"/>
      <c r="Q782" s="1195"/>
      <c r="R782" s="1195"/>
    </row>
    <row r="783" spans="1:18" ht="16">
      <c r="A783" s="2263"/>
      <c r="B783" s="1195"/>
      <c r="C783" s="2257"/>
      <c r="D783" s="2257"/>
      <c r="E783" s="1195"/>
      <c r="F783" s="2257"/>
      <c r="G783" s="2257"/>
      <c r="H783" s="1195"/>
      <c r="I783" s="1195"/>
      <c r="J783" s="1195"/>
      <c r="K783" s="1195"/>
      <c r="L783" s="1195"/>
      <c r="M783" s="1195"/>
      <c r="N783" s="1195"/>
      <c r="O783" s="1195"/>
      <c r="P783" s="1195"/>
      <c r="Q783" s="1195"/>
      <c r="R783" s="1195"/>
    </row>
    <row r="784" spans="1:18" ht="16">
      <c r="A784" s="2263"/>
      <c r="B784" s="1195"/>
      <c r="C784" s="2257"/>
      <c r="D784" s="2257"/>
      <c r="E784" s="1195"/>
      <c r="F784" s="2257"/>
      <c r="G784" s="2257"/>
      <c r="H784" s="1195"/>
      <c r="I784" s="1195"/>
      <c r="J784" s="1195"/>
      <c r="K784" s="1195"/>
      <c r="L784" s="1195"/>
      <c r="M784" s="1195"/>
      <c r="N784" s="1195"/>
      <c r="O784" s="1195"/>
      <c r="P784" s="1195"/>
      <c r="Q784" s="1195"/>
      <c r="R784" s="1195"/>
    </row>
    <row r="785" spans="1:18" ht="16">
      <c r="A785" s="2263"/>
      <c r="B785" s="1195"/>
      <c r="C785" s="2257"/>
      <c r="D785" s="2257"/>
      <c r="E785" s="1195"/>
      <c r="F785" s="2257"/>
      <c r="G785" s="2257"/>
      <c r="H785" s="1195"/>
      <c r="I785" s="1195"/>
      <c r="J785" s="1195"/>
      <c r="K785" s="1195"/>
      <c r="L785" s="1195"/>
      <c r="M785" s="1195"/>
      <c r="N785" s="1195"/>
      <c r="O785" s="1195"/>
      <c r="P785" s="1195"/>
      <c r="Q785" s="1195"/>
      <c r="R785" s="1195"/>
    </row>
    <row r="786" spans="1:18" ht="16">
      <c r="A786" s="2263"/>
      <c r="B786" s="1195"/>
      <c r="C786" s="2257"/>
      <c r="D786" s="2257"/>
      <c r="E786" s="1195"/>
      <c r="F786" s="2257"/>
      <c r="G786" s="2257"/>
      <c r="H786" s="1195"/>
      <c r="I786" s="1195"/>
      <c r="J786" s="1195"/>
      <c r="K786" s="1195"/>
      <c r="L786" s="1195"/>
      <c r="M786" s="1195"/>
      <c r="N786" s="1195"/>
      <c r="O786" s="1195"/>
      <c r="P786" s="1195"/>
      <c r="Q786" s="1195"/>
      <c r="R786" s="1195"/>
    </row>
    <row r="787" spans="1:18" ht="16">
      <c r="A787" s="2263"/>
      <c r="B787" s="1195"/>
      <c r="C787" s="2257"/>
      <c r="D787" s="2257"/>
      <c r="E787" s="1195"/>
      <c r="F787" s="2257"/>
      <c r="G787" s="2257"/>
      <c r="H787" s="1195"/>
      <c r="I787" s="1195"/>
      <c r="J787" s="1195"/>
      <c r="K787" s="1195"/>
      <c r="L787" s="1195"/>
      <c r="M787" s="1195"/>
      <c r="N787" s="1195"/>
      <c r="O787" s="1195"/>
      <c r="P787" s="1195"/>
      <c r="Q787" s="1195"/>
      <c r="R787" s="1195"/>
    </row>
    <row r="788" spans="1:18" ht="16">
      <c r="A788" s="2263"/>
      <c r="B788" s="1195"/>
      <c r="C788" s="2257"/>
      <c r="D788" s="2257"/>
      <c r="E788" s="1195"/>
      <c r="F788" s="2257"/>
      <c r="G788" s="2257"/>
      <c r="H788" s="1195"/>
      <c r="I788" s="1195"/>
      <c r="J788" s="1195"/>
      <c r="K788" s="1195"/>
      <c r="L788" s="1195"/>
      <c r="M788" s="1195"/>
      <c r="N788" s="1195"/>
      <c r="O788" s="1195"/>
      <c r="P788" s="1195"/>
      <c r="Q788" s="1195"/>
      <c r="R788" s="1195"/>
    </row>
    <row r="789" spans="1:18" ht="16">
      <c r="A789" s="2263"/>
      <c r="B789" s="1195"/>
      <c r="C789" s="2257"/>
      <c r="D789" s="2257"/>
      <c r="E789" s="1195"/>
      <c r="F789" s="2257"/>
      <c r="G789" s="2257"/>
      <c r="H789" s="1195"/>
      <c r="I789" s="1195"/>
      <c r="J789" s="1195"/>
      <c r="K789" s="1195"/>
      <c r="L789" s="1195"/>
      <c r="M789" s="1195"/>
      <c r="N789" s="1195"/>
      <c r="O789" s="1195"/>
      <c r="P789" s="1195"/>
      <c r="Q789" s="1195"/>
      <c r="R789" s="1195"/>
    </row>
    <row r="790" spans="1:18" ht="16">
      <c r="A790" s="2263"/>
      <c r="B790" s="1195"/>
      <c r="C790" s="2257"/>
      <c r="D790" s="2257"/>
      <c r="E790" s="1195"/>
      <c r="F790" s="2257"/>
      <c r="G790" s="2257"/>
      <c r="H790" s="1195"/>
      <c r="I790" s="1195"/>
      <c r="J790" s="1195"/>
      <c r="K790" s="1195"/>
      <c r="L790" s="1195"/>
      <c r="M790" s="1195"/>
      <c r="N790" s="1195"/>
      <c r="O790" s="1195"/>
      <c r="P790" s="1195"/>
      <c r="Q790" s="1195"/>
      <c r="R790" s="1195"/>
    </row>
    <row r="791" spans="1:18" ht="16">
      <c r="A791" s="2263"/>
      <c r="B791" s="1195"/>
      <c r="C791" s="2257"/>
      <c r="D791" s="2257"/>
      <c r="E791" s="1195"/>
      <c r="F791" s="2257"/>
      <c r="G791" s="2257"/>
      <c r="H791" s="1195"/>
      <c r="I791" s="1195"/>
      <c r="J791" s="1195"/>
      <c r="K791" s="1195"/>
      <c r="L791" s="1195"/>
      <c r="M791" s="1195"/>
      <c r="N791" s="1195"/>
      <c r="O791" s="1195"/>
      <c r="P791" s="1195"/>
      <c r="Q791" s="1195"/>
      <c r="R791" s="1195"/>
    </row>
    <row r="792" spans="1:18" ht="16">
      <c r="A792" s="2263"/>
      <c r="B792" s="1195"/>
      <c r="C792" s="2257"/>
      <c r="D792" s="2257"/>
      <c r="E792" s="1195"/>
      <c r="F792" s="2257"/>
      <c r="G792" s="2257"/>
      <c r="H792" s="1195"/>
      <c r="I792" s="1195"/>
      <c r="J792" s="1195"/>
      <c r="K792" s="1195"/>
      <c r="L792" s="1195"/>
      <c r="M792" s="1195"/>
      <c r="N792" s="1195"/>
      <c r="O792" s="1195"/>
      <c r="P792" s="1195"/>
      <c r="Q792" s="1195"/>
      <c r="R792" s="1195"/>
    </row>
    <row r="793" spans="1:18" ht="16">
      <c r="A793" s="2263"/>
      <c r="B793" s="1195"/>
      <c r="C793" s="2257"/>
      <c r="D793" s="2257"/>
      <c r="E793" s="1195"/>
      <c r="F793" s="2257"/>
      <c r="G793" s="2257"/>
      <c r="H793" s="1195"/>
      <c r="I793" s="1195"/>
      <c r="J793" s="1195"/>
      <c r="K793" s="1195"/>
      <c r="L793" s="1195"/>
      <c r="M793" s="1195"/>
      <c r="N793" s="1195"/>
      <c r="O793" s="1195"/>
      <c r="P793" s="1195"/>
      <c r="Q793" s="1195"/>
      <c r="R793" s="1195"/>
    </row>
    <row r="794" spans="1:18" ht="16">
      <c r="A794" s="2263"/>
      <c r="B794" s="1195"/>
      <c r="C794" s="2257"/>
      <c r="D794" s="2257"/>
      <c r="E794" s="1195"/>
      <c r="F794" s="2257"/>
      <c r="G794" s="2257"/>
      <c r="H794" s="1195"/>
      <c r="I794" s="1195"/>
      <c r="J794" s="1195"/>
      <c r="K794" s="1195"/>
      <c r="L794" s="1195"/>
      <c r="M794" s="1195"/>
      <c r="N794" s="1195"/>
      <c r="O794" s="1195"/>
      <c r="P794" s="1195"/>
      <c r="Q794" s="1195"/>
      <c r="R794" s="1195"/>
    </row>
    <row r="795" spans="1:18" ht="16">
      <c r="A795" s="2263"/>
      <c r="B795" s="1195"/>
      <c r="C795" s="2257"/>
      <c r="D795" s="2257"/>
      <c r="E795" s="1195"/>
      <c r="F795" s="2257"/>
      <c r="G795" s="2257"/>
      <c r="H795" s="1195"/>
      <c r="I795" s="1195"/>
      <c r="J795" s="1195"/>
      <c r="K795" s="1195"/>
      <c r="L795" s="1195"/>
      <c r="M795" s="1195"/>
      <c r="N795" s="1195"/>
      <c r="O795" s="1195"/>
      <c r="P795" s="1195"/>
      <c r="Q795" s="1195"/>
      <c r="R795" s="1195"/>
    </row>
    <row r="796" spans="1:18" ht="16">
      <c r="A796" s="2263"/>
      <c r="B796" s="1195"/>
      <c r="C796" s="2257"/>
      <c r="D796" s="2257"/>
      <c r="E796" s="1195"/>
      <c r="F796" s="2257"/>
      <c r="G796" s="2257"/>
      <c r="H796" s="1195"/>
      <c r="I796" s="1195"/>
      <c r="J796" s="1195"/>
      <c r="K796" s="1195"/>
      <c r="L796" s="1195"/>
      <c r="M796" s="1195"/>
      <c r="N796" s="1195"/>
      <c r="O796" s="1195"/>
      <c r="P796" s="1195"/>
      <c r="Q796" s="1195"/>
      <c r="R796" s="1195"/>
    </row>
    <row r="797" spans="1:18" ht="16">
      <c r="A797" s="2263"/>
      <c r="B797" s="1195"/>
      <c r="C797" s="2257"/>
      <c r="D797" s="2257"/>
      <c r="E797" s="1195"/>
      <c r="F797" s="2257"/>
      <c r="G797" s="2257"/>
      <c r="H797" s="1195"/>
      <c r="I797" s="1195"/>
      <c r="J797" s="1195"/>
      <c r="K797" s="1195"/>
      <c r="L797" s="1195"/>
      <c r="M797" s="1195"/>
      <c r="N797" s="1195"/>
      <c r="O797" s="1195"/>
      <c r="P797" s="1195"/>
      <c r="Q797" s="1195"/>
      <c r="R797" s="1195"/>
    </row>
    <row r="798" spans="1:18" ht="16">
      <c r="A798" s="2263"/>
      <c r="B798" s="1195"/>
      <c r="C798" s="2257"/>
      <c r="D798" s="2257"/>
      <c r="E798" s="1195"/>
      <c r="F798" s="2257"/>
      <c r="G798" s="2257"/>
      <c r="H798" s="1195"/>
      <c r="I798" s="1195"/>
      <c r="J798" s="1195"/>
      <c r="K798" s="1195"/>
      <c r="L798" s="1195"/>
      <c r="M798" s="1195"/>
      <c r="N798" s="1195"/>
      <c r="O798" s="1195"/>
      <c r="P798" s="1195"/>
      <c r="Q798" s="1195"/>
      <c r="R798" s="1195"/>
    </row>
    <row r="799" spans="1:18" ht="16">
      <c r="A799" s="2263"/>
      <c r="B799" s="1195"/>
      <c r="C799" s="2257"/>
      <c r="D799" s="2257"/>
      <c r="E799" s="1195"/>
      <c r="F799" s="2257"/>
      <c r="G799" s="2257"/>
      <c r="H799" s="1195"/>
      <c r="I799" s="1195"/>
      <c r="J799" s="1195"/>
      <c r="K799" s="1195"/>
      <c r="L799" s="1195"/>
      <c r="M799" s="1195"/>
      <c r="N799" s="1195"/>
      <c r="O799" s="1195"/>
      <c r="P799" s="1195"/>
      <c r="Q799" s="1195"/>
      <c r="R799" s="1195"/>
    </row>
    <row r="800" spans="1:18" ht="16">
      <c r="A800" s="2263"/>
      <c r="B800" s="1195"/>
      <c r="C800" s="2257"/>
      <c r="D800" s="2257"/>
      <c r="E800" s="1195"/>
      <c r="F800" s="2257"/>
      <c r="G800" s="2257"/>
      <c r="H800" s="1195"/>
      <c r="I800" s="1195"/>
      <c r="J800" s="1195"/>
      <c r="K800" s="1195"/>
      <c r="L800" s="1195"/>
      <c r="M800" s="1195"/>
      <c r="N800" s="1195"/>
      <c r="O800" s="1195"/>
      <c r="P800" s="1195"/>
      <c r="Q800" s="1195"/>
      <c r="R800" s="1195"/>
    </row>
    <row r="801" spans="1:18" ht="16">
      <c r="A801" s="2263"/>
      <c r="B801" s="1195"/>
      <c r="C801" s="2257"/>
      <c r="D801" s="2257"/>
      <c r="E801" s="1195"/>
      <c r="F801" s="2257"/>
      <c r="G801" s="2257"/>
      <c r="H801" s="1195"/>
      <c r="I801" s="1195"/>
      <c r="J801" s="1195"/>
      <c r="K801" s="1195"/>
      <c r="L801" s="1195"/>
      <c r="M801" s="1195"/>
      <c r="N801" s="1195"/>
      <c r="O801" s="1195"/>
      <c r="P801" s="1195"/>
      <c r="Q801" s="1195"/>
      <c r="R801" s="1195"/>
    </row>
    <row r="802" spans="1:18" ht="16">
      <c r="A802" s="2263"/>
      <c r="B802" s="1195"/>
      <c r="C802" s="2257"/>
      <c r="D802" s="2257"/>
      <c r="E802" s="1195"/>
      <c r="F802" s="2257"/>
      <c r="G802" s="2257"/>
      <c r="H802" s="1195"/>
      <c r="I802" s="1195"/>
      <c r="J802" s="1195"/>
      <c r="K802" s="1195"/>
      <c r="L802" s="1195"/>
      <c r="M802" s="1195"/>
      <c r="N802" s="1195"/>
      <c r="O802" s="1195"/>
      <c r="P802" s="1195"/>
      <c r="Q802" s="1195"/>
      <c r="R802" s="1195"/>
    </row>
    <row r="803" spans="1:18" ht="16">
      <c r="A803" s="2263"/>
      <c r="B803" s="1195"/>
      <c r="C803" s="2257"/>
      <c r="D803" s="2257"/>
      <c r="E803" s="1195"/>
      <c r="F803" s="2257"/>
      <c r="G803" s="2257"/>
      <c r="H803" s="1195"/>
      <c r="I803" s="1195"/>
      <c r="J803" s="1195"/>
      <c r="K803" s="1195"/>
      <c r="L803" s="1195"/>
      <c r="M803" s="1195"/>
      <c r="N803" s="1195"/>
      <c r="O803" s="1195"/>
      <c r="P803" s="1195"/>
      <c r="Q803" s="1195"/>
      <c r="R803" s="1195"/>
    </row>
    <row r="804" spans="1:18" ht="16">
      <c r="A804" s="2263"/>
      <c r="B804" s="1195"/>
      <c r="C804" s="2257"/>
      <c r="D804" s="2257"/>
      <c r="E804" s="1195"/>
      <c r="F804" s="2257"/>
      <c r="G804" s="2257"/>
      <c r="H804" s="1195"/>
      <c r="I804" s="1195"/>
      <c r="J804" s="1195"/>
      <c r="K804" s="1195"/>
      <c r="L804" s="1195"/>
      <c r="M804" s="1195"/>
      <c r="N804" s="1195"/>
      <c r="O804" s="1195"/>
      <c r="P804" s="1195"/>
      <c r="Q804" s="1195"/>
      <c r="R804" s="1195"/>
    </row>
    <row r="805" spans="1:18" ht="16">
      <c r="A805" s="2263"/>
      <c r="B805" s="1195"/>
      <c r="C805" s="2257"/>
      <c r="D805" s="2257"/>
      <c r="E805" s="1195"/>
      <c r="F805" s="2257"/>
      <c r="G805" s="2257"/>
      <c r="H805" s="1195"/>
      <c r="I805" s="1195"/>
      <c r="J805" s="1195"/>
      <c r="K805" s="1195"/>
      <c r="L805" s="1195"/>
      <c r="M805" s="1195"/>
      <c r="N805" s="1195"/>
      <c r="O805" s="1195"/>
      <c r="P805" s="1195"/>
      <c r="Q805" s="1195"/>
      <c r="R805" s="1195"/>
    </row>
    <row r="806" spans="1:18" ht="16">
      <c r="A806" s="2263"/>
      <c r="B806" s="1195"/>
      <c r="C806" s="2257"/>
      <c r="D806" s="2257"/>
      <c r="E806" s="1195"/>
      <c r="F806" s="2257"/>
      <c r="G806" s="2257"/>
      <c r="H806" s="1195"/>
      <c r="I806" s="1195"/>
      <c r="J806" s="1195"/>
      <c r="K806" s="1195"/>
      <c r="L806" s="1195"/>
      <c r="M806" s="1195"/>
      <c r="N806" s="1195"/>
      <c r="O806" s="1195"/>
      <c r="P806" s="1195"/>
      <c r="Q806" s="1195"/>
      <c r="R806" s="1195"/>
    </row>
    <row r="807" spans="1:18" ht="16">
      <c r="A807" s="2263"/>
      <c r="B807" s="1195"/>
      <c r="C807" s="2257"/>
      <c r="D807" s="2257"/>
      <c r="E807" s="1195"/>
      <c r="F807" s="2257"/>
      <c r="G807" s="2257"/>
      <c r="H807" s="1195"/>
      <c r="I807" s="1195"/>
      <c r="J807" s="1195"/>
      <c r="K807" s="1195"/>
      <c r="L807" s="1195"/>
      <c r="M807" s="1195"/>
      <c r="N807" s="1195"/>
      <c r="O807" s="1195"/>
      <c r="P807" s="1195"/>
      <c r="Q807" s="1195"/>
      <c r="R807" s="1195"/>
    </row>
    <row r="808" spans="1:18" ht="16">
      <c r="A808" s="2263"/>
      <c r="B808" s="1195"/>
      <c r="C808" s="2257"/>
      <c r="D808" s="2257"/>
      <c r="E808" s="1195"/>
      <c r="F808" s="2257"/>
      <c r="G808" s="2257"/>
      <c r="H808" s="1195"/>
      <c r="I808" s="1195"/>
      <c r="J808" s="1195"/>
      <c r="K808" s="1195"/>
      <c r="L808" s="1195"/>
      <c r="M808" s="1195"/>
      <c r="N808" s="1195"/>
      <c r="O808" s="1195"/>
      <c r="P808" s="1195"/>
      <c r="Q808" s="1195"/>
      <c r="R808" s="1195"/>
    </row>
    <row r="809" spans="1:18" ht="16">
      <c r="A809" s="2263"/>
      <c r="B809" s="1195"/>
      <c r="C809" s="2257"/>
      <c r="D809" s="2257"/>
      <c r="E809" s="1195"/>
      <c r="F809" s="2257"/>
      <c r="G809" s="2257"/>
      <c r="H809" s="1195"/>
      <c r="I809" s="1195"/>
      <c r="J809" s="1195"/>
      <c r="K809" s="1195"/>
      <c r="L809" s="1195"/>
      <c r="M809" s="1195"/>
      <c r="N809" s="1195"/>
      <c r="O809" s="1195"/>
      <c r="P809" s="1195"/>
      <c r="Q809" s="1195"/>
      <c r="R809" s="1195"/>
    </row>
    <row r="810" spans="1:18" ht="16">
      <c r="A810" s="2263"/>
      <c r="B810" s="1195"/>
      <c r="C810" s="2257"/>
      <c r="D810" s="2257"/>
      <c r="E810" s="1195"/>
      <c r="F810" s="2257"/>
      <c r="G810" s="2257"/>
      <c r="H810" s="1195"/>
      <c r="I810" s="1195"/>
      <c r="J810" s="1195"/>
      <c r="K810" s="1195"/>
      <c r="L810" s="1195"/>
      <c r="M810" s="1195"/>
      <c r="N810" s="1195"/>
      <c r="O810" s="1195"/>
      <c r="P810" s="1195"/>
      <c r="Q810" s="1195"/>
      <c r="R810" s="1195"/>
    </row>
    <row r="811" spans="1:18" ht="16">
      <c r="A811" s="2263"/>
      <c r="B811" s="1195"/>
      <c r="C811" s="2257"/>
      <c r="D811" s="2257"/>
      <c r="E811" s="1195"/>
      <c r="F811" s="2257"/>
      <c r="G811" s="2257"/>
      <c r="H811" s="1195"/>
      <c r="I811" s="1195"/>
      <c r="J811" s="1195"/>
      <c r="K811" s="1195"/>
      <c r="L811" s="1195"/>
      <c r="M811" s="1195"/>
      <c r="N811" s="1195"/>
      <c r="O811" s="1195"/>
      <c r="P811" s="1195"/>
      <c r="Q811" s="1195"/>
      <c r="R811" s="1195"/>
    </row>
    <row r="812" spans="1:18" ht="16">
      <c r="A812" s="2263"/>
      <c r="B812" s="1195"/>
      <c r="C812" s="2257"/>
      <c r="D812" s="2257"/>
      <c r="E812" s="1195"/>
      <c r="F812" s="2257"/>
      <c r="G812" s="2257"/>
      <c r="H812" s="1195"/>
      <c r="I812" s="1195"/>
      <c r="J812" s="1195"/>
      <c r="K812" s="1195"/>
      <c r="L812" s="1195"/>
      <c r="M812" s="1195"/>
      <c r="N812" s="1195"/>
      <c r="O812" s="1195"/>
      <c r="P812" s="1195"/>
      <c r="Q812" s="1195"/>
      <c r="R812" s="1195"/>
    </row>
    <row r="813" spans="1:18" ht="16">
      <c r="A813" s="2263"/>
      <c r="B813" s="1195"/>
      <c r="C813" s="2257"/>
      <c r="D813" s="2257"/>
      <c r="E813" s="1195"/>
      <c r="F813" s="2257"/>
      <c r="G813" s="2257"/>
      <c r="H813" s="1195"/>
      <c r="I813" s="1195"/>
      <c r="J813" s="1195"/>
      <c r="K813" s="1195"/>
      <c r="L813" s="1195"/>
      <c r="M813" s="1195"/>
      <c r="N813" s="1195"/>
      <c r="O813" s="1195"/>
      <c r="P813" s="1195"/>
      <c r="Q813" s="1195"/>
      <c r="R813" s="1195"/>
    </row>
    <row r="814" spans="1:18" ht="16">
      <c r="A814" s="2263"/>
      <c r="B814" s="1195"/>
      <c r="C814" s="2257"/>
      <c r="D814" s="2257"/>
      <c r="E814" s="1195"/>
      <c r="F814" s="2257"/>
      <c r="G814" s="2257"/>
      <c r="H814" s="1195"/>
      <c r="I814" s="1195"/>
      <c r="J814" s="1195"/>
      <c r="K814" s="1195"/>
      <c r="L814" s="1195"/>
      <c r="M814" s="1195"/>
      <c r="N814" s="1195"/>
      <c r="O814" s="1195"/>
      <c r="P814" s="1195"/>
      <c r="Q814" s="1195"/>
      <c r="R814" s="1195"/>
    </row>
    <row r="815" spans="1:18" ht="16">
      <c r="A815" s="2263"/>
      <c r="B815" s="1195"/>
      <c r="C815" s="2257"/>
      <c r="D815" s="2257"/>
      <c r="E815" s="1195"/>
      <c r="F815" s="2257"/>
      <c r="G815" s="2257"/>
      <c r="H815" s="1195"/>
      <c r="I815" s="1195"/>
      <c r="J815" s="1195"/>
      <c r="K815" s="1195"/>
      <c r="L815" s="1195"/>
      <c r="M815" s="1195"/>
      <c r="N815" s="1195"/>
      <c r="O815" s="1195"/>
      <c r="P815" s="1195"/>
      <c r="Q815" s="1195"/>
      <c r="R815" s="1195"/>
    </row>
  </sheetData>
  <mergeCells count="308">
    <mergeCell ref="G704:H704"/>
    <mergeCell ref="G705:H705"/>
    <mergeCell ref="C711:F711"/>
    <mergeCell ref="G695:H695"/>
    <mergeCell ref="G696:H696"/>
    <mergeCell ref="G697:H697"/>
    <mergeCell ref="G698:H698"/>
    <mergeCell ref="G699:H699"/>
    <mergeCell ref="G700:H700"/>
    <mergeCell ref="G701:H701"/>
    <mergeCell ref="G702:H702"/>
    <mergeCell ref="G703:H703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77:H677"/>
    <mergeCell ref="G678:H678"/>
    <mergeCell ref="G679:H679"/>
    <mergeCell ref="G680:H680"/>
    <mergeCell ref="G681:H681"/>
    <mergeCell ref="G682:H682"/>
    <mergeCell ref="G683:H683"/>
    <mergeCell ref="G684:H684"/>
    <mergeCell ref="G685:H685"/>
    <mergeCell ref="G657:H657"/>
    <mergeCell ref="G658:H658"/>
    <mergeCell ref="G659:H659"/>
    <mergeCell ref="G660:H660"/>
    <mergeCell ref="G667:H667"/>
    <mergeCell ref="G673:H673"/>
    <mergeCell ref="G674:H674"/>
    <mergeCell ref="G675:H675"/>
    <mergeCell ref="G676:H676"/>
    <mergeCell ref="G639:H639"/>
    <mergeCell ref="G640:H640"/>
    <mergeCell ref="G647:H647"/>
    <mergeCell ref="G648:H648"/>
    <mergeCell ref="G649:H649"/>
    <mergeCell ref="G653:H653"/>
    <mergeCell ref="G654:H654"/>
    <mergeCell ref="G655:H655"/>
    <mergeCell ref="G656:H656"/>
    <mergeCell ref="A612:C612"/>
    <mergeCell ref="G628:H628"/>
    <mergeCell ref="G629:H629"/>
    <mergeCell ref="G630:H630"/>
    <mergeCell ref="G631:H631"/>
    <mergeCell ref="G632:H632"/>
    <mergeCell ref="G633:H633"/>
    <mergeCell ref="G634:H634"/>
    <mergeCell ref="G635:H635"/>
    <mergeCell ref="G551:H551"/>
    <mergeCell ref="G552:H552"/>
    <mergeCell ref="G553:H553"/>
    <mergeCell ref="G554:H554"/>
    <mergeCell ref="G555:H555"/>
    <mergeCell ref="G556:H556"/>
    <mergeCell ref="C562:F562"/>
    <mergeCell ref="A564:I565"/>
    <mergeCell ref="A566:F567"/>
    <mergeCell ref="G541:H541"/>
    <mergeCell ref="G542:H542"/>
    <mergeCell ref="G543:H543"/>
    <mergeCell ref="G544:H544"/>
    <mergeCell ref="G546:H546"/>
    <mergeCell ref="G547:H547"/>
    <mergeCell ref="G548:H548"/>
    <mergeCell ref="G549:H549"/>
    <mergeCell ref="G550:H550"/>
    <mergeCell ref="G509:H509"/>
    <mergeCell ref="G510:H510"/>
    <mergeCell ref="G512:H512"/>
    <mergeCell ref="G513:H513"/>
    <mergeCell ref="G514:H514"/>
    <mergeCell ref="G515:H515"/>
    <mergeCell ref="G516:H516"/>
    <mergeCell ref="G517:H517"/>
    <mergeCell ref="G518:H518"/>
    <mergeCell ref="C420:F420"/>
    <mergeCell ref="A422:I423"/>
    <mergeCell ref="C443:F443"/>
    <mergeCell ref="A445:I446"/>
    <mergeCell ref="A447:F448"/>
    <mergeCell ref="A489:C489"/>
    <mergeCell ref="A501:C501"/>
    <mergeCell ref="G507:H507"/>
    <mergeCell ref="G508:H508"/>
    <mergeCell ref="G399:H399"/>
    <mergeCell ref="G400:H400"/>
    <mergeCell ref="G401:H401"/>
    <mergeCell ref="G402:H402"/>
    <mergeCell ref="G403:H403"/>
    <mergeCell ref="G404:H404"/>
    <mergeCell ref="G410:H410"/>
    <mergeCell ref="G411:H411"/>
    <mergeCell ref="G412:H412"/>
    <mergeCell ref="A380:I381"/>
    <mergeCell ref="A382:F383"/>
    <mergeCell ref="G392:H392"/>
    <mergeCell ref="G393:H393"/>
    <mergeCell ref="G394:H394"/>
    <mergeCell ref="G395:H395"/>
    <mergeCell ref="G396:H396"/>
    <mergeCell ref="G397:H397"/>
    <mergeCell ref="G398:H398"/>
    <mergeCell ref="A354:A357"/>
    <mergeCell ref="C354:D354"/>
    <mergeCell ref="G354:H357"/>
    <mergeCell ref="C355:D355"/>
    <mergeCell ref="C356:D356"/>
    <mergeCell ref="C357:D357"/>
    <mergeCell ref="A359:C359"/>
    <mergeCell ref="A373:C373"/>
    <mergeCell ref="C379:F379"/>
    <mergeCell ref="A346:A349"/>
    <mergeCell ref="C346:D346"/>
    <mergeCell ref="G346:H349"/>
    <mergeCell ref="C347:D347"/>
    <mergeCell ref="C348:D348"/>
    <mergeCell ref="C349:D349"/>
    <mergeCell ref="A350:A353"/>
    <mergeCell ref="C350:D350"/>
    <mergeCell ref="G350:H353"/>
    <mergeCell ref="C351:D351"/>
    <mergeCell ref="C352:D352"/>
    <mergeCell ref="C353:D353"/>
    <mergeCell ref="A336:E336"/>
    <mergeCell ref="G336:K336"/>
    <mergeCell ref="A338:I338"/>
    <mergeCell ref="H339:I339"/>
    <mergeCell ref="C341:D341"/>
    <mergeCell ref="G341:H341"/>
    <mergeCell ref="A342:A345"/>
    <mergeCell ref="C342:D342"/>
    <mergeCell ref="G342:H345"/>
    <mergeCell ref="C343:D343"/>
    <mergeCell ref="C344:D344"/>
    <mergeCell ref="C345:D345"/>
    <mergeCell ref="A317:B317"/>
    <mergeCell ref="A318:B318"/>
    <mergeCell ref="A319:B319"/>
    <mergeCell ref="A320:B320"/>
    <mergeCell ref="A321:K322"/>
    <mergeCell ref="L321:L322"/>
    <mergeCell ref="A323:F323"/>
    <mergeCell ref="G323:L323"/>
    <mergeCell ref="A331:E331"/>
    <mergeCell ref="G331:K331"/>
    <mergeCell ref="A303:B304"/>
    <mergeCell ref="A305:E305"/>
    <mergeCell ref="A306:B306"/>
    <mergeCell ref="A307:B309"/>
    <mergeCell ref="A310:B311"/>
    <mergeCell ref="A312:B312"/>
    <mergeCell ref="A313:B313"/>
    <mergeCell ref="A314:B314"/>
    <mergeCell ref="A316:D316"/>
    <mergeCell ref="A293:B293"/>
    <mergeCell ref="A294:B294"/>
    <mergeCell ref="A295:B295"/>
    <mergeCell ref="A296:B296"/>
    <mergeCell ref="A297:B297"/>
    <mergeCell ref="A298:B298"/>
    <mergeCell ref="A299:B299"/>
    <mergeCell ref="A300:B300"/>
    <mergeCell ref="A301:B302"/>
    <mergeCell ref="H194:I194"/>
    <mergeCell ref="H195:I195"/>
    <mergeCell ref="H196:I196"/>
    <mergeCell ref="H197:I197"/>
    <mergeCell ref="A277:D277"/>
    <mergeCell ref="A289:E289"/>
    <mergeCell ref="A290:B290"/>
    <mergeCell ref="A291:B291"/>
    <mergeCell ref="A292:B292"/>
    <mergeCell ref="H183:I183"/>
    <mergeCell ref="A185:C185"/>
    <mergeCell ref="A186:C187"/>
    <mergeCell ref="A188:C189"/>
    <mergeCell ref="H189:I189"/>
    <mergeCell ref="H190:I190"/>
    <mergeCell ref="H191:I191"/>
    <mergeCell ref="H192:I192"/>
    <mergeCell ref="H193:I193"/>
    <mergeCell ref="A160:B161"/>
    <mergeCell ref="A162:B163"/>
    <mergeCell ref="A164:B165"/>
    <mergeCell ref="A166:E166"/>
    <mergeCell ref="A168:B170"/>
    <mergeCell ref="A171:B172"/>
    <mergeCell ref="A173:B173"/>
    <mergeCell ref="A174:B174"/>
    <mergeCell ref="H182:I182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9"/>
    <mergeCell ref="A135:C135"/>
    <mergeCell ref="A136:C137"/>
    <mergeCell ref="A138:C139"/>
    <mergeCell ref="A144:B144"/>
    <mergeCell ref="A145:B145"/>
    <mergeCell ref="A146:B146"/>
    <mergeCell ref="A147:B147"/>
    <mergeCell ref="A148:B148"/>
    <mergeCell ref="A149:B149"/>
    <mergeCell ref="A124:C124"/>
    <mergeCell ref="A125:C125"/>
    <mergeCell ref="A126:C126"/>
    <mergeCell ref="A127:C127"/>
    <mergeCell ref="A130:C130"/>
    <mergeCell ref="A131:C131"/>
    <mergeCell ref="A132:C132"/>
    <mergeCell ref="A133:C133"/>
    <mergeCell ref="A134:C134"/>
    <mergeCell ref="A109:C109"/>
    <mergeCell ref="A110:C110"/>
    <mergeCell ref="A111:C112"/>
    <mergeCell ref="A113:C114"/>
    <mergeCell ref="A119:F119"/>
    <mergeCell ref="A120:C120"/>
    <mergeCell ref="A121:C121"/>
    <mergeCell ref="A122:C122"/>
    <mergeCell ref="A123:C123"/>
    <mergeCell ref="A100:D100"/>
    <mergeCell ref="A101:C101"/>
    <mergeCell ref="A102:C102"/>
    <mergeCell ref="A103:C103"/>
    <mergeCell ref="A104:C104"/>
    <mergeCell ref="A105:C105"/>
    <mergeCell ref="A106:C106"/>
    <mergeCell ref="A107:C107"/>
    <mergeCell ref="A108:C108"/>
    <mergeCell ref="A83:C83"/>
    <mergeCell ref="A84:C84"/>
    <mergeCell ref="A85:C85"/>
    <mergeCell ref="A86:C86"/>
    <mergeCell ref="A87:C87"/>
    <mergeCell ref="A96:F96"/>
    <mergeCell ref="A97:C97"/>
    <mergeCell ref="A98:C98"/>
    <mergeCell ref="A99:C99"/>
    <mergeCell ref="A72:B72"/>
    <mergeCell ref="A73:B73"/>
    <mergeCell ref="A76:F76"/>
    <mergeCell ref="A77:C77"/>
    <mergeCell ref="A78:D78"/>
    <mergeCell ref="A79:C79"/>
    <mergeCell ref="A80:C80"/>
    <mergeCell ref="A81:C81"/>
    <mergeCell ref="A82:C82"/>
    <mergeCell ref="A57:B60"/>
    <mergeCell ref="A61:B64"/>
    <mergeCell ref="A65:B65"/>
    <mergeCell ref="A66:B66"/>
    <mergeCell ref="A67:B67"/>
    <mergeCell ref="A68:B68"/>
    <mergeCell ref="A69:B69"/>
    <mergeCell ref="A70:B70"/>
    <mergeCell ref="A71:E71"/>
    <mergeCell ref="A29:C29"/>
    <mergeCell ref="A30:F30"/>
    <mergeCell ref="A32:B32"/>
    <mergeCell ref="A33:B36"/>
    <mergeCell ref="A37:B40"/>
    <mergeCell ref="A41:B44"/>
    <mergeCell ref="A45:B48"/>
    <mergeCell ref="A49:B52"/>
    <mergeCell ref="I49:I56"/>
    <mergeCell ref="A53:B56"/>
    <mergeCell ref="A20:C20"/>
    <mergeCell ref="A21:C21"/>
    <mergeCell ref="A22:C22"/>
    <mergeCell ref="A23:C23"/>
    <mergeCell ref="A24:C24"/>
    <mergeCell ref="A25:F25"/>
    <mergeCell ref="A26:C26"/>
    <mergeCell ref="A27:C27"/>
    <mergeCell ref="A28:C28"/>
    <mergeCell ref="A11:C11"/>
    <mergeCell ref="A12:C12"/>
    <mergeCell ref="A13:C13"/>
    <mergeCell ref="A14:C14"/>
    <mergeCell ref="A15:C15"/>
    <mergeCell ref="A16:C16"/>
    <mergeCell ref="A17:C17"/>
    <mergeCell ref="A18:C18"/>
    <mergeCell ref="A19:F19"/>
    <mergeCell ref="A2:C2"/>
    <mergeCell ref="A3:C3"/>
    <mergeCell ref="A4:C4"/>
    <mergeCell ref="A5:C5"/>
    <mergeCell ref="A6:C6"/>
    <mergeCell ref="A7:C7"/>
    <mergeCell ref="A8:C8"/>
    <mergeCell ref="A9:C9"/>
    <mergeCell ref="A10:C10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MJ367"/>
  <sheetViews>
    <sheetView topLeftCell="A320" zoomScale="60" zoomScaleNormal="60" workbookViewId="0">
      <selection activeCell="G365" sqref="G365"/>
    </sheetView>
  </sheetViews>
  <sheetFormatPr baseColWidth="10" defaultColWidth="9.1640625" defaultRowHeight="16"/>
  <cols>
    <col min="1" max="1" width="49.83203125" style="2296" customWidth="1"/>
    <col min="2" max="2" width="9" style="2297" customWidth="1"/>
    <col min="3" max="3" width="9.1640625" style="2296"/>
    <col min="4" max="5" width="11.5" style="2296" customWidth="1"/>
    <col min="6" max="6" width="11.83203125" style="2296" customWidth="1"/>
    <col min="7" max="7" width="8" style="2296" customWidth="1"/>
    <col min="8" max="8" width="19.5" style="2296" customWidth="1"/>
    <col min="9" max="9" width="14.33203125" style="2296" customWidth="1"/>
    <col min="10" max="10" width="14.83203125" style="2296" customWidth="1"/>
    <col min="11" max="11" width="9.33203125" style="2296" customWidth="1"/>
    <col min="12" max="12" width="13.83203125" style="2296" customWidth="1"/>
    <col min="13" max="13" width="10.6640625" style="2296" customWidth="1"/>
    <col min="14" max="16" width="9.1640625" style="2296"/>
    <col min="17" max="18" width="9.33203125" style="2296" customWidth="1"/>
    <col min="19" max="19" width="9.5" style="2296" customWidth="1"/>
    <col min="20" max="1024" width="9.1640625" style="2296"/>
  </cols>
  <sheetData>
    <row r="2" spans="1:10">
      <c r="A2" s="2298" t="s">
        <v>3988</v>
      </c>
      <c r="B2" s="2299"/>
      <c r="C2" s="2300" t="s">
        <v>208</v>
      </c>
      <c r="D2" s="2300" t="s">
        <v>3989</v>
      </c>
      <c r="E2" s="2300" t="s">
        <v>1820</v>
      </c>
      <c r="G2" s="2296">
        <f>IF('Ввод данных'!A33=связи1!A200,0,1)+IF('Ввод данных'!A43=связи1!A200,0,1)+IF('Ввод данных'!A51=связи1!A200,0,1)</f>
        <v>0</v>
      </c>
    </row>
    <row r="3" spans="1:10">
      <c r="A3" s="2301" t="s">
        <v>3990</v>
      </c>
      <c r="B3" s="1171"/>
      <c r="C3" s="275" t="s">
        <v>133</v>
      </c>
      <c r="D3" s="2285">
        <f>дома!F1086*E3</f>
        <v>0</v>
      </c>
      <c r="E3" s="2302">
        <f>IF('Ввод данных'!A33=связи1!A222,1,0)</f>
        <v>0</v>
      </c>
      <c r="F3" s="2303"/>
      <c r="G3" s="2304">
        <f>IF(G2&gt;0,1,0)</f>
        <v>0</v>
      </c>
      <c r="H3" s="2305"/>
      <c r="I3" s="2306"/>
      <c r="J3" s="2307"/>
    </row>
    <row r="4" spans="1:10">
      <c r="A4" s="2301" t="s">
        <v>3991</v>
      </c>
      <c r="B4" s="1171"/>
      <c r="C4" s="275" t="s">
        <v>133</v>
      </c>
      <c r="D4" s="2285">
        <f>дома!F1087*E4</f>
        <v>0</v>
      </c>
      <c r="E4" s="2302">
        <f>IF('Ввод данных'!A43=связи1!A222,1,0)</f>
        <v>0</v>
      </c>
      <c r="F4" s="2303"/>
      <c r="G4" s="2304"/>
      <c r="H4" s="2305"/>
      <c r="I4" s="2306"/>
      <c r="J4" s="2307"/>
    </row>
    <row r="5" spans="1:10">
      <c r="A5" s="2301" t="s">
        <v>3992</v>
      </c>
      <c r="B5" s="1171"/>
      <c r="C5" s="275" t="s">
        <v>133</v>
      </c>
      <c r="D5" s="2285">
        <f>дома!F1090*E5</f>
        <v>0</v>
      </c>
      <c r="E5" s="2302">
        <f>IF('Ввод данных'!A51=связи1!A222,1,0)</f>
        <v>0</v>
      </c>
      <c r="F5" s="2303"/>
      <c r="G5" s="2304"/>
      <c r="H5" s="2305"/>
      <c r="I5" s="2306"/>
      <c r="J5" s="2307"/>
    </row>
    <row r="6" spans="1:10">
      <c r="A6" s="2301" t="s">
        <v>3993</v>
      </c>
      <c r="B6" s="1171"/>
      <c r="C6" s="275" t="s">
        <v>154</v>
      </c>
      <c r="D6" s="2308">
        <f>'Ввод данных'!G33</f>
        <v>0</v>
      </c>
      <c r="E6" s="2302">
        <f>IF((E3+E4+E5)&gt;0,1,0)</f>
        <v>0</v>
      </c>
      <c r="F6" s="2303"/>
      <c r="G6" s="2304"/>
      <c r="H6" s="2305"/>
      <c r="I6" s="2306"/>
      <c r="J6" s="2307"/>
    </row>
    <row r="7" spans="1:10">
      <c r="A7" s="2309" t="s">
        <v>3994</v>
      </c>
      <c r="B7" s="2310"/>
      <c r="C7" s="2300" t="s">
        <v>208</v>
      </c>
      <c r="D7" s="2300" t="s">
        <v>3989</v>
      </c>
      <c r="E7" s="2300" t="s">
        <v>1820</v>
      </c>
      <c r="F7" s="2311" t="s">
        <v>293</v>
      </c>
      <c r="G7" s="2312" t="s">
        <v>2156</v>
      </c>
      <c r="H7" s="2312" t="s">
        <v>2452</v>
      </c>
      <c r="I7" s="2313" t="s">
        <v>2198</v>
      </c>
      <c r="J7" s="2312"/>
    </row>
    <row r="8" spans="1:10">
      <c r="A8" s="2301" t="s">
        <v>3995</v>
      </c>
      <c r="B8" s="1171"/>
      <c r="C8" s="2295" t="s">
        <v>133</v>
      </c>
      <c r="D8" s="2285">
        <f>дома!F1086*E8</f>
        <v>0</v>
      </c>
      <c r="E8" s="2302">
        <f>IF('Ввод данных'!A33=связи1!A214,1,0)+IF('Ввод данных'!A33=связи1!A215,1,0)+IF('Ввод данных'!A33=связи1!A216,1,0)+IF('Ввод данных'!A33=связи1!A217,1,0)+IF('Ввод данных'!A33=связи1!A218,1,0)+IF('Ввод данных'!A33=связи1!A219,1,0)+IF('Ввод данных'!A33=связи1!A220,1,0)+IF('Ввод данных'!A33=связи1!A221,1,0)</f>
        <v>0</v>
      </c>
      <c r="F8" s="2314">
        <f>IF('Ввод данных'!A33=связи1!A214,0.3,0)+IF('Ввод данных'!A33=связи1!A215,0.3,0)+IF('Ввод данных'!A33=связи1!A216,0.25,0)+IF('Ввод данных'!A33=связи1!A217,0.25,0)+IF('Ввод данных'!A33=связи1!A218,0.2,0)+IF('Ввод данных'!A33=связи1!A219,0.2,0)+IF('Ввод данных'!A33=связи1!A220,0.15,0)+IF('Ввод данных'!A33=связи1!A221,0.15,0)</f>
        <v>0</v>
      </c>
      <c r="G8" s="2315">
        <f>'Ввод данных'!E33</f>
        <v>0.15</v>
      </c>
      <c r="H8" s="2315">
        <f>IF('Ввод данных'!A33=связи1!A214,2,0)+IF('Ввод данных'!A33=связи1!A215,1,0)+IF('Ввод данных'!A33=связи1!A216,2,0)+IF('Ввод данных'!A33=связи1!A217,1,0)+IF('Ввод данных'!A33=связи1!A218,2,0)+IF('Ввод данных'!A33=связи1!A219,1,0)+IF('Ввод данных'!A33=связи1!A220,2,0)+IF('Ввод данных'!A33=связи1!A221,1,0)</f>
        <v>0</v>
      </c>
      <c r="I8" s="20">
        <f>VLOOKUP('Ввод данных'!A39,'Прайс лист'!B744:G782,3,0)</f>
        <v>0</v>
      </c>
      <c r="J8" s="2315">
        <f>IF(G8=0,1,G8)</f>
        <v>0.15</v>
      </c>
    </row>
    <row r="9" spans="1:10">
      <c r="A9" s="2301" t="s">
        <v>3996</v>
      </c>
      <c r="B9" s="1171"/>
      <c r="C9" s="2295" t="s">
        <v>133</v>
      </c>
      <c r="D9" s="2285">
        <f>дома!F1087*E9</f>
        <v>0</v>
      </c>
      <c r="E9" s="2302">
        <f>IF('Ввод данных'!A43=связи1!A214,1,0)+IF('Ввод данных'!A43=связи1!A215,1,0)+IF('Ввод данных'!A43=связи1!A216,1,0)+IF('Ввод данных'!A43=связи1!A217,1,0)+IF('Ввод данных'!A43=связи1!A218,1,0)+IF('Ввод данных'!A43=связи1!A219,1,0)+IF('Ввод данных'!A43=связи1!A220,1,0)+IF('Ввод данных'!A43=связи1!A221,1,0)</f>
        <v>0</v>
      </c>
      <c r="F9" s="2314">
        <f>IF('Ввод данных'!A43=связи1!A214,0.3,0)+IF('Ввод данных'!A43=связи1!A215,0.3,0)+IF('Ввод данных'!A43=связи1!A216,0.25,0)+IF('Ввод данных'!A43=связи1!A217,0.25,0)+IF('Ввод данных'!A43=связи1!A218,0.2,0)+IF('Ввод данных'!A43=связи1!A219,0.2,0)+IF('Ввод данных'!A43=связи1!A220,0.15,0)+IF('Ввод данных'!A43=связи1!A221,0.15,0)</f>
        <v>0</v>
      </c>
      <c r="G9" s="2315">
        <f>'Ввод данных'!E43</f>
        <v>0.2</v>
      </c>
      <c r="H9" s="2315">
        <f>IF('Ввод данных'!A43=связи1!A214,2,0)+IF('Ввод данных'!A43=связи1!A215,1,0)+IF('Ввод данных'!A43=связи1!A216,2,0)+IF('Ввод данных'!A43=связи1!A217,1,0)+IF('Ввод данных'!A43=связи1!A218,2,0)+IF('Ввод данных'!A43=связи1!A219,1,0)+IF('Ввод данных'!A43=связи1!A220,2,0)+IF('Ввод данных'!A43=связи1!A221,1,0)</f>
        <v>0</v>
      </c>
      <c r="I9" s="20">
        <f>VLOOKUP('Ввод данных'!A44,'Прайс лист'!B744:G782,3,0)</f>
        <v>0.1</v>
      </c>
      <c r="J9" s="2315">
        <f>IF(G9=0,1,G9)</f>
        <v>0.2</v>
      </c>
    </row>
    <row r="10" spans="1:10">
      <c r="A10" s="2301" t="s">
        <v>3997</v>
      </c>
      <c r="B10" s="1171"/>
      <c r="C10" s="2295" t="s">
        <v>133</v>
      </c>
      <c r="D10" s="2285">
        <f>дома!F1090*E10</f>
        <v>0</v>
      </c>
      <c r="E10" s="2302">
        <f>IF('Ввод данных'!A51=связи1!A214,1,0)+IF('Ввод данных'!A51=связи1!A215,1,0)+IF('Ввод данных'!A51=связи1!A216,1,0)+IF('Ввод данных'!A51=связи1!A217,1,0)+IF('Ввод данных'!A51=связи1!A218,1,0)+IF('Ввод данных'!A51=связи1!A219,1,0)+IF('Ввод данных'!A51=связи1!A220,1,0)+IF('Ввод данных'!A51=связи1!A221,1,0)</f>
        <v>0</v>
      </c>
      <c r="F10" s="2314">
        <f>IF('Ввод данных'!A51=связи1!A214,0.3,0)+IF('Ввод данных'!A51=связи1!A215,0.3,0)+IF('Ввод данных'!A51=связи1!A216,0.25,0)+IF('Ввод данных'!A51=связи1!A217,0.25,0)+IF('Ввод данных'!A51=связи1!A218,0.2,0)+IF('Ввод данных'!A51=связи1!A219,0.2,0)+IF('Ввод данных'!A51=связи1!A220,0.15,0)+IF('Ввод данных'!A51=связи1!A221,0.15,0)</f>
        <v>0</v>
      </c>
      <c r="G10" s="2315">
        <f>'Ввод данных'!E51</f>
        <v>0.25</v>
      </c>
      <c r="H10" s="2315">
        <f>IF('Ввод данных'!A51=связи1!A214,2,0)+IF('Ввод данных'!A51=связи1!A215,1,0)+IF('Ввод данных'!A51=связи1!A216,2,0)+IF('Ввод данных'!A51=связи1!A217,1,0)+IF('Ввод данных'!A51=связи1!A218,2,0)+IF('Ввод данных'!A51=связи1!A219,1,0)+IF('Ввод данных'!A51=связи1!A220,2,0)+IF('Ввод данных'!A51=связи1!A221,1,0)</f>
        <v>0</v>
      </c>
      <c r="I10" s="20">
        <f>VLOOKUP('Ввод данных'!A55,'Прайс лист'!B744:G782,3,0)</f>
        <v>0.2</v>
      </c>
      <c r="J10" s="2315">
        <f>IF(G10=0,1,G10)</f>
        <v>0.25</v>
      </c>
    </row>
    <row r="11" spans="1:10">
      <c r="A11" s="2301" t="s">
        <v>3998</v>
      </c>
      <c r="B11" s="1171"/>
      <c r="C11" s="2295" t="s">
        <v>159</v>
      </c>
      <c r="D11" s="2285"/>
      <c r="E11" s="2302">
        <v>1</v>
      </c>
      <c r="F11" s="2303"/>
      <c r="G11" s="2304"/>
      <c r="H11" s="2305"/>
      <c r="I11" s="2316"/>
      <c r="J11" s="2305"/>
    </row>
    <row r="12" spans="1:10">
      <c r="A12" s="98" t="s">
        <v>3999</v>
      </c>
      <c r="B12" s="99"/>
      <c r="C12" s="2295" t="s">
        <v>154</v>
      </c>
      <c r="D12" s="2308">
        <f>'Ввод данных'!G39</f>
        <v>0</v>
      </c>
      <c r="E12" s="2302">
        <f>IF(SUM(E8:E10)&gt;0,1,0)</f>
        <v>0</v>
      </c>
    </row>
    <row r="13" spans="1:10">
      <c r="A13" s="2317" t="s">
        <v>4000</v>
      </c>
      <c r="B13" s="2310"/>
      <c r="C13" s="2300" t="s">
        <v>208</v>
      </c>
      <c r="D13" s="2300" t="s">
        <v>3989</v>
      </c>
      <c r="E13" s="2300" t="s">
        <v>1820</v>
      </c>
      <c r="F13" s="2311" t="s">
        <v>293</v>
      </c>
      <c r="G13" s="2312" t="s">
        <v>1800</v>
      </c>
      <c r="H13" s="2312" t="s">
        <v>2156</v>
      </c>
      <c r="I13" s="2313" t="s">
        <v>2198</v>
      </c>
      <c r="J13" s="2312" t="s">
        <v>4001</v>
      </c>
    </row>
    <row r="14" spans="1:10">
      <c r="A14" s="2301" t="s">
        <v>4002</v>
      </c>
      <c r="B14" s="1171"/>
      <c r="C14" s="2295" t="s">
        <v>133</v>
      </c>
      <c r="D14" s="2285">
        <f>дома!F1086*E14</f>
        <v>0</v>
      </c>
      <c r="E14" s="2302">
        <f>IF('Ввод данных'!A33=связи1!A204,1,0)+IF('Ввод данных'!A33=связи1!A205,1,0)+IF('Ввод данных'!A33=связи1!A206,1,0)+IF('Ввод данных'!A33=связи1!A207,1,0)+IF('Ввод данных'!A33=связи1!A208,1,0)+IF('Ввод данных'!A33=связи1!A209,1,0)</f>
        <v>0</v>
      </c>
      <c r="F14" s="2314">
        <f>IF('Ввод данных'!A33=связи1!A204,0.2,0)+IF('Ввод данных'!A33=связи1!A205,0.15,0)+IF('Ввод данных'!A33=связи1!A206,0.1,0)+IF('Ввод данных'!A33=связи1!A207,0.15,0)+IF('Ввод данных'!A33=связи1!A208,0.2,0)+IF('Ввод данных'!A33=связи1!A209,0.15,0)</f>
        <v>0</v>
      </c>
      <c r="G14" s="2315">
        <f>IF('Ввод данных'!A33=связи1!A204,0.1,0)+IF('Ввод данных'!A33=связи1!A205,0.1,0)+IF('Ввод данных'!A33=связи1!A206,0.1,0)+IF('Ввод данных'!A33=связи1!A207,0.15,0)+IF('Ввод данных'!A33=связи1!A208,0.05,0)+IF('Ввод данных'!A33=связи1!A209,0.05,0)</f>
        <v>0</v>
      </c>
      <c r="H14" s="2315">
        <f>'Ввод данных'!C33</f>
        <v>0.6</v>
      </c>
      <c r="I14" s="20">
        <f>VLOOKUP('Ввод данных'!A39,'Прайс лист'!B744:G782,3,0)</f>
        <v>0</v>
      </c>
      <c r="J14" s="2315">
        <f>IF(H14=0,1,H14)</f>
        <v>0.6</v>
      </c>
    </row>
    <row r="15" spans="1:10">
      <c r="A15" s="2301" t="s">
        <v>4003</v>
      </c>
      <c r="B15" s="1171"/>
      <c r="C15" s="2295" t="s">
        <v>133</v>
      </c>
      <c r="D15" s="2285">
        <f>дома!F1087*E15</f>
        <v>0</v>
      </c>
      <c r="E15" s="2302">
        <f>IF('Ввод данных'!A43=связи1!A204,1,0)+IF('Ввод данных'!A43=связи1!A205,1,0)+IF('Ввод данных'!A43=связи1!A206,1,0)+IF('Ввод данных'!A43=связи1!A207,1,0)+IF('Ввод данных'!A43=связи1!A208,1,0)+IF('Ввод данных'!A43=связи1!A209,1,0)</f>
        <v>0</v>
      </c>
      <c r="F15" s="2314">
        <f>IF('Ввод данных'!A43=связи1!A204,0.2,0)+IF('Ввод данных'!A43=связи1!A205,0.15,0)+IF('Ввод данных'!A43=связи1!A206,0.1,0)+IF('Ввод данных'!A43=связи1!A207,0.15,0)+IF('Ввод данных'!A43=связи1!A208,0.2,0)+IF('Ввод данных'!A43=связи1!A209,0.15,0)</f>
        <v>0</v>
      </c>
      <c r="G15" s="2315">
        <f>IF('Ввод данных'!A43=связи1!A204,0.1,0)+IF('Ввод данных'!A43=связи1!A205,0.1,0)+IF('Ввод данных'!A43=связи1!A206,0.1,0)+IF('Ввод данных'!A43=связи1!A207,0.15,0)+IF('Ввод данных'!A43=связи1!A208,0.05,0)+IF('Ввод данных'!A43=связи1!A209,0.05,0)</f>
        <v>0</v>
      </c>
      <c r="H15" s="2315">
        <f>'Ввод данных'!C43</f>
        <v>0.6</v>
      </c>
      <c r="I15" s="20">
        <f>VLOOKUP('Ввод данных'!A44,'Прайс лист'!B744:G782,3,0)</f>
        <v>0.1</v>
      </c>
      <c r="J15" s="2315">
        <f>IF(H15=0,1,H15)</f>
        <v>0.6</v>
      </c>
    </row>
    <row r="16" spans="1:10">
      <c r="A16" s="2301" t="s">
        <v>4004</v>
      </c>
      <c r="B16" s="1171"/>
      <c r="C16" s="2295" t="s">
        <v>133</v>
      </c>
      <c r="D16" s="2285">
        <f>дома!F1090*E16</f>
        <v>0</v>
      </c>
      <c r="E16" s="2302">
        <f>IF('Ввод данных'!A51=связи1!A204,1,0)+IF('Ввод данных'!A51=связи1!A205,1,0)+IF('Ввод данных'!A51=связи1!A206,1,0)+IF('Ввод данных'!A51=связи1!A207,1,0)+IF('Ввод данных'!A51=связи1!A208,1,0)+IF('Ввод данных'!A51=связи1!A209,1,0)</f>
        <v>0</v>
      </c>
      <c r="F16" s="2314">
        <f>IF('Ввод данных'!A51=связи1!A204,0.2,0)+IF('Ввод данных'!A51=связи1!A205,0.15,0)+IF('Ввод данных'!A51=связи1!A206,0.1,0)+IF('Ввод данных'!A51=связи1!A207,0.15,0)+IF('Ввод данных'!A51=связи1!A208,0.2,0)+IF('Ввод данных'!A51=связи1!A209,0.15,0)</f>
        <v>0</v>
      </c>
      <c r="G16" s="2315">
        <f>IF('Ввод данных'!A51=связи1!A204,0.1,0)+IF('Ввод данных'!A51=связи1!A205,0.1,0)+IF('Ввод данных'!A51=связи1!A206,0.1,0)+IF('Ввод данных'!A51=связи1!A207,0.15,0)+IF('Ввод данных'!A51=связи1!A208,0.05,0)+IF('Ввод данных'!A51=связи1!A209,0.05,0)</f>
        <v>0</v>
      </c>
      <c r="H16" s="2315">
        <f>'Ввод данных'!C51</f>
        <v>0.6</v>
      </c>
      <c r="I16" s="20">
        <f>VLOOKUP('Ввод данных'!A55,'Прайс лист'!B744:G782,3,0)</f>
        <v>0.2</v>
      </c>
      <c r="J16" s="2315">
        <f>IF(H16=0,1,H16)</f>
        <v>0.6</v>
      </c>
    </row>
    <row r="17" spans="1:10">
      <c r="A17" s="2301"/>
      <c r="B17" s="1171"/>
      <c r="C17" s="2301"/>
      <c r="D17" s="2301"/>
      <c r="F17" s="2318"/>
      <c r="G17" s="2304"/>
      <c r="H17" s="2305"/>
      <c r="I17" s="2306"/>
      <c r="J17" s="2307"/>
    </row>
    <row r="18" spans="1:10">
      <c r="A18" s="2319" t="s">
        <v>4005</v>
      </c>
      <c r="B18" s="2320"/>
      <c r="C18" s="2300" t="s">
        <v>208</v>
      </c>
      <c r="D18" s="2300" t="s">
        <v>3989</v>
      </c>
      <c r="E18" s="2300" t="s">
        <v>1820</v>
      </c>
      <c r="F18" s="2311" t="s">
        <v>293</v>
      </c>
      <c r="G18" s="2312" t="s">
        <v>1800</v>
      </c>
      <c r="H18" s="2312" t="s">
        <v>2156</v>
      </c>
      <c r="I18" s="2313" t="s">
        <v>2198</v>
      </c>
      <c r="J18" s="2295"/>
    </row>
    <row r="19" spans="1:10">
      <c r="A19" s="263" t="s">
        <v>4006</v>
      </c>
      <c r="B19" s="261"/>
      <c r="C19" s="2295" t="s">
        <v>156</v>
      </c>
      <c r="D19" s="19">
        <f>дома!F1086*E19</f>
        <v>0</v>
      </c>
      <c r="E19" s="2302">
        <f>IF('Ввод данных'!A35=связи1!J238,1,0)+IF('Ввод данных'!A35=связи1!J239,1,0)+IF('Ввод данных'!A35=связи1!J240,1,0)</f>
        <v>0</v>
      </c>
      <c r="F19" s="2308">
        <f>IF('Ввод данных'!A35=связи1!J238,0.1,0)+IF('Ввод данных'!A35=связи1!J239,0.1,0)+IF('Ввод данных'!A35=связи1!J240,0.1,0)</f>
        <v>0</v>
      </c>
      <c r="G19" s="2308">
        <f>IF('Ввод данных'!A35=связи1!J238,0.05,0)+IF('Ввод данных'!A35=связи1!J239,0.05,0)+IF('Ввод данных'!A35=связи1!J240,0.045,0)</f>
        <v>0</v>
      </c>
      <c r="H19" s="275">
        <f>'Ввод данных'!C35</f>
        <v>0.4</v>
      </c>
      <c r="I19" s="96"/>
      <c r="J19" s="275"/>
    </row>
    <row r="21" spans="1:10">
      <c r="A21" s="2317" t="s">
        <v>4007</v>
      </c>
      <c r="B21" s="2310"/>
      <c r="C21" s="2300" t="s">
        <v>208</v>
      </c>
      <c r="D21" s="2300" t="s">
        <v>3989</v>
      </c>
      <c r="E21" s="2300" t="s">
        <v>1820</v>
      </c>
      <c r="F21" s="2311" t="s">
        <v>293</v>
      </c>
      <c r="G21" s="2312" t="s">
        <v>1800</v>
      </c>
      <c r="H21" s="2312" t="s">
        <v>2156</v>
      </c>
      <c r="I21" s="2313" t="s">
        <v>2198</v>
      </c>
      <c r="J21" s="2312" t="s">
        <v>4001</v>
      </c>
    </row>
    <row r="22" spans="1:10">
      <c r="A22" s="2301" t="s">
        <v>4008</v>
      </c>
      <c r="B22" s="1171"/>
      <c r="C22" s="2295" t="s">
        <v>133</v>
      </c>
      <c r="D22" s="2285">
        <f>дома!F1086*E22</f>
        <v>0</v>
      </c>
      <c r="E22" s="2302">
        <f>IF('Ввод данных'!A33=связи1!A210,1,0)+IF('Ввод данных'!A33=связи1!A211,1,0)+IF('Ввод данных'!A33=связи1!A212,1,0)+IF('Ввод данных'!A33=связи1!A213,1,0)</f>
        <v>0</v>
      </c>
      <c r="F22" s="2314">
        <f>IF('Ввод данных'!A33=связи1!A210,0.2,0)+IF('Ввод данных'!A33=связи1!A211,0.15,0)+IF('Ввод данных'!A33=связи1!A212,0.2,0)+IF('Ввод данных'!A33=связи1!A213,0.15,0)</f>
        <v>0</v>
      </c>
      <c r="G22" s="2315">
        <f>IF('Ввод данных'!A33=связи1!A210,0.05,0)+IF('Ввод данных'!A33=связи1!A211,0.05,0)+IF('Ввод данных'!A33=связи1!A212,0.045,0)+IF('Ввод данных'!A33=связи1!A213,0.045,0)</f>
        <v>0</v>
      </c>
      <c r="H22" s="2315">
        <f>'Ввод данных'!C33</f>
        <v>0.6</v>
      </c>
      <c r="I22" s="20">
        <f>VLOOKUP('Ввод данных'!A39,'Прайс лист'!B744:G782,3,0)</f>
        <v>0</v>
      </c>
      <c r="J22" s="2315">
        <f>IF(H22=0,1,H22)</f>
        <v>0.6</v>
      </c>
    </row>
    <row r="23" spans="1:10">
      <c r="A23" s="2301" t="s">
        <v>4003</v>
      </c>
      <c r="B23" s="1171"/>
      <c r="C23" s="2295" t="s">
        <v>133</v>
      </c>
      <c r="D23" s="2285">
        <f>дома!F1087*E23</f>
        <v>0</v>
      </c>
      <c r="E23" s="2302">
        <f>IF('Ввод данных'!A43=связи1!A210,1,0)+IF('Ввод данных'!A43=связи1!A211,1,0)+IF('Ввод данных'!A43=связи1!A212,1,0)+IF('Ввод данных'!A43=связи1!A213,1,0)</f>
        <v>0</v>
      </c>
      <c r="F23" s="2314">
        <f>IF('Ввод данных'!A43=связи1!A210,0.2,0)+IF('Ввод данных'!A43=связи1!A211,0.15,0)+IF('Ввод данных'!A43=связи1!A212,0.2,0)+IF('Ввод данных'!A43=связи1!A213,0.15,0)</f>
        <v>0</v>
      </c>
      <c r="G23" s="2315">
        <f>IF('Ввод данных'!A43=связи1!A210,0.05,0)+IF('Ввод данных'!A43=связи1!A211,0.05,0)+IF('Ввод данных'!A43=связи1!A212,0.045,0)+IF('Ввод данных'!A43=связи1!A213,0.045,0)</f>
        <v>0</v>
      </c>
      <c r="H23" s="2315">
        <f>'Ввод данных'!C43</f>
        <v>0.6</v>
      </c>
      <c r="I23" s="20">
        <f>VLOOKUP('Ввод данных'!A44,'Прайс лист'!B744:G782,3,0)</f>
        <v>0.1</v>
      </c>
      <c r="J23" s="2315">
        <f>IF(H23=0,1,H23)</f>
        <v>0.6</v>
      </c>
    </row>
    <row r="24" spans="1:10">
      <c r="A24" s="275" t="s">
        <v>4004</v>
      </c>
      <c r="B24" s="99"/>
      <c r="C24" s="2295" t="s">
        <v>133</v>
      </c>
      <c r="D24" s="2285">
        <f>дома!F1090*E24</f>
        <v>0</v>
      </c>
      <c r="E24" s="2302">
        <f>IF('Ввод данных'!A51=связи1!A210,1,0)+IF('Ввод данных'!A51=связи1!A211,1,0)+IF('Ввод данных'!A51=связи1!A212,1,0)+IF('Ввод данных'!A51=связи1!A213,1,0)</f>
        <v>0</v>
      </c>
      <c r="F24" s="2314">
        <f>IF('Ввод данных'!A51=связи1!A210,0.2,0)+IF('Ввод данных'!A51=связи1!A211,0.15,0)+IF('Ввод данных'!A51=связи1!A212,0.2,0)+IF('Ввод данных'!A51=связи1!A213,0.15,0)</f>
        <v>0</v>
      </c>
      <c r="G24" s="2315">
        <f>IF('Ввод данных'!A51=связи1!A210,0.05,0)+IF('Ввод данных'!A51=связи1!A211,0.05,0)+IF('Ввод данных'!A51=связи1!A212,0.045,0)+IF('Ввод данных'!A51=связи1!A213,0.045,0)</f>
        <v>0</v>
      </c>
      <c r="H24" s="2315">
        <f>'Ввод данных'!C51</f>
        <v>0.6</v>
      </c>
      <c r="I24" s="20">
        <f>VLOOKUP('Ввод данных'!A55,'Прайс лист'!B744:G782,3,0)</f>
        <v>0.2</v>
      </c>
      <c r="J24" s="2315">
        <f>IF(H24=0,1,H24)</f>
        <v>0.6</v>
      </c>
    </row>
    <row r="26" spans="1:10">
      <c r="A26" s="2317" t="s">
        <v>4007</v>
      </c>
      <c r="B26" s="2310"/>
      <c r="C26" s="2300" t="s">
        <v>208</v>
      </c>
      <c r="D26" s="2300" t="s">
        <v>3989</v>
      </c>
      <c r="E26" s="2300" t="s">
        <v>1820</v>
      </c>
      <c r="F26" s="2311" t="s">
        <v>293</v>
      </c>
      <c r="G26" s="2312" t="s">
        <v>1800</v>
      </c>
      <c r="H26" s="2312" t="s">
        <v>2156</v>
      </c>
      <c r="I26" s="2313" t="s">
        <v>2198</v>
      </c>
      <c r="J26" s="2312" t="s">
        <v>4001</v>
      </c>
    </row>
    <row r="27" spans="1:10">
      <c r="A27" s="2301" t="s">
        <v>4009</v>
      </c>
      <c r="B27" s="1171"/>
      <c r="C27" s="2295" t="s">
        <v>133</v>
      </c>
      <c r="D27" s="2285">
        <f>дома!F1086*E27</f>
        <v>0</v>
      </c>
      <c r="E27" s="2302">
        <f>IF('Ввод данных'!A33=связи1!A212,1,0)+IF('Ввод данных'!A33=связи1!A213,1,0)</f>
        <v>0</v>
      </c>
      <c r="F27" s="2314">
        <f>IF('Ввод данных'!A33=связи1!A212,0.19,0)+IF('Ввод данных'!A33=связи1!A213,0.14,0)</f>
        <v>0</v>
      </c>
      <c r="G27" s="2315">
        <f>IF('Ввод данных'!A33=связи1!A212,0.045,0)+IF('Ввод данных'!A33=связи1!A213,0.045,0)</f>
        <v>0</v>
      </c>
      <c r="H27" s="2315">
        <f>H22</f>
        <v>0.6</v>
      </c>
      <c r="I27" s="20">
        <f>VLOOKUP('Ввод данных'!A39,'Прайс лист'!B744:G782,3,0)</f>
        <v>0</v>
      </c>
      <c r="J27" s="2315">
        <f>IF(H27=0,1,H27)</f>
        <v>0.6</v>
      </c>
    </row>
    <row r="28" spans="1:10">
      <c r="A28" s="2301" t="s">
        <v>4003</v>
      </c>
      <c r="B28" s="1171"/>
      <c r="C28" s="2295" t="s">
        <v>133</v>
      </c>
      <c r="D28" s="2285">
        <f>дома!F1087*E28</f>
        <v>0</v>
      </c>
      <c r="E28" s="2302">
        <f>IF('Ввод данных'!A43=связи1!A212,1,0)+IF('Ввод данных'!A43=связи1!A213,1,0)</f>
        <v>0</v>
      </c>
      <c r="F28" s="2314">
        <f>IF('Ввод данных'!A43=связи1!A212,0.19,0)+IF('Ввод данных'!A43=связи1!A213,0.14,0)</f>
        <v>0</v>
      </c>
      <c r="G28" s="2315">
        <f>IF('Ввод данных'!A43=связи1!A212,0.045,0)+IF('Ввод данных'!A43=связи1!A213,0.045,0)</f>
        <v>0</v>
      </c>
      <c r="H28" s="2315">
        <f>H23</f>
        <v>0.6</v>
      </c>
      <c r="I28" s="20">
        <f>VLOOKUP('Ввод данных'!A44,'Прайс лист'!B744:G782,3,0)</f>
        <v>0.1</v>
      </c>
      <c r="J28" s="2315">
        <f>IF(H28=0,1,H28)</f>
        <v>0.6</v>
      </c>
    </row>
    <row r="29" spans="1:10">
      <c r="A29" s="275" t="s">
        <v>4004</v>
      </c>
      <c r="B29" s="99"/>
      <c r="C29" s="2295" t="s">
        <v>133</v>
      </c>
      <c r="D29" s="2285">
        <f>дома!F1090*E29</f>
        <v>0</v>
      </c>
      <c r="E29" s="2302">
        <f>IF('Ввод данных'!A51=связи1!A212,1,0)+IF('Ввод данных'!A51=связи1!A213,1,0)</f>
        <v>0</v>
      </c>
      <c r="F29" s="2314">
        <f>IF('Ввод данных'!A51=связи1!A212,0.19,0)+IF('Ввод данных'!A51=связи1!A213,0.14,0)</f>
        <v>0</v>
      </c>
      <c r="G29" s="2315">
        <f>IF('Ввод данных'!A51=связи1!A212,0.045,0)+IF('Ввод данных'!A51=связи1!A213,0.045,0)</f>
        <v>0</v>
      </c>
      <c r="H29" s="2315">
        <f>H24</f>
        <v>0.6</v>
      </c>
      <c r="I29" s="20">
        <f>VLOOKUP('Ввод данных'!A55,'Прайс лист'!B744:G782,3,0)</f>
        <v>0.2</v>
      </c>
      <c r="J29" s="2315">
        <f>IF(H29=0,1,H29)</f>
        <v>0.6</v>
      </c>
    </row>
    <row r="31" spans="1:10">
      <c r="A31" s="2317" t="s">
        <v>4010</v>
      </c>
      <c r="B31" s="2310"/>
      <c r="C31" s="2300" t="s">
        <v>208</v>
      </c>
      <c r="D31" s="2300" t="s">
        <v>3989</v>
      </c>
      <c r="E31" s="2300" t="s">
        <v>1820</v>
      </c>
      <c r="F31" s="2311" t="s">
        <v>293</v>
      </c>
      <c r="G31" s="2312" t="s">
        <v>2156</v>
      </c>
      <c r="I31" s="2313" t="s">
        <v>2198</v>
      </c>
      <c r="J31" s="2312" t="s">
        <v>4001</v>
      </c>
    </row>
    <row r="32" spans="1:10">
      <c r="A32" s="2301" t="s">
        <v>4008</v>
      </c>
      <c r="B32" s="1171"/>
      <c r="C32" s="2295" t="s">
        <v>133</v>
      </c>
      <c r="D32" s="2285">
        <f>дома!F1086*E32</f>
        <v>0</v>
      </c>
      <c r="E32" s="2302">
        <f>IF('Ввод данных'!A33=связи1!A223,1,0)+IF('Ввод данных'!A33=связи1!A224,1,0)+IF('Ввод данных'!A33=связи1!A225,1,0)+IF('Ввод данных'!A33=связи1!A226,1,0)+IF('Ввод данных'!A33=связи1!A227,1,0)+IF('Ввод данных'!A33=связи1!A228,1,0)+IF('Ввод данных'!A33=связи1!A229,1,0)+IF('Ввод данных'!A33=связи1!A230,1,0)+IF('Ввод данных'!A33=связи1!A231,1,0)+IF('Ввод данных'!A33=связи1!A232,1,0)+IF('Ввод данных'!A33=связи1!A233,1,0)+IF('Ввод данных'!A33=связи1!A234,1,0)</f>
        <v>0</v>
      </c>
      <c r="F32" s="2314">
        <f>IF('Ввод данных'!A33=связи1!A223,0.4,0)+IF('Ввод данных'!A33=связи1!A224,0.4,0)+IF('Ввод данных'!A33=связи1!A225,0.35,0)+IF('Ввод данных'!A33=связи1!A226,0.35,0)+IF('Ввод данных'!A33=связи1!A227,0.3,0)+IF('Ввод данных'!A33=связи1!A228,0.3,0)+IF('Ввод данных'!A33=связи1!A229,0.24,0)+IF('Ввод данных'!A33=связи1!A230,0.24,0)+IF('Ввод данных'!A33=связи1!A231,0.2,0)+IF('Ввод данных'!A33=связи1!A232,0.2,0)+IF('Ввод данных'!A33=связи1!A233,0.15,0)+IF('Ввод данных'!A33=связи1!A234,0.15,0)</f>
        <v>0</v>
      </c>
      <c r="G32" s="2315">
        <f>'Ввод данных'!C33</f>
        <v>0.6</v>
      </c>
      <c r="I32" s="20">
        <f>VLOOKUP('Ввод данных'!A39,'Прайс лист'!B744:G782,3,0)</f>
        <v>0</v>
      </c>
      <c r="J32" s="2315">
        <f>IF(G32=0,1,G32)</f>
        <v>0.6</v>
      </c>
    </row>
    <row r="33" spans="1:12">
      <c r="A33" s="2301" t="s">
        <v>4003</v>
      </c>
      <c r="B33" s="1171"/>
      <c r="C33" s="2295" t="s">
        <v>133</v>
      </c>
      <c r="D33" s="2285">
        <f>дома!F1087*E33</f>
        <v>0</v>
      </c>
      <c r="E33" s="2302">
        <f>IF('Ввод данных'!A43=связи1!A223,1,0)+IF('Ввод данных'!A43=связи1!A224,1,0)+IF('Ввод данных'!A43=связи1!A225,1,0)+IF('Ввод данных'!A43=связи1!A226,1,0)+IF('Ввод данных'!A43=связи1!A227,1,0)+IF('Ввод данных'!A43=связи1!A228,1,0)+IF('Ввод данных'!A43=связи1!A229,1,0)+IF('Ввод данных'!A43=связи1!A230,1,0)+IF('Ввод данных'!A43=связи1!A231,1,0)+IF('Ввод данных'!A43=связи1!A232,1,0)+IF('Ввод данных'!A43=связи1!A233,1,0)+IF('Ввод данных'!A43=связи1!A234,1,0)</f>
        <v>0</v>
      </c>
      <c r="F33" s="2314">
        <f>IF('Ввод данных'!A43=связи1!A223,0.4,0)+IF('Ввод данных'!A43=связи1!A224,0.4,0)+IF('Ввод данных'!A43=связи1!A225,0.35,0)+IF('Ввод данных'!A43=связи1!A226,0.35,0)+IF('Ввод данных'!A43=связи1!A227,0.3,0)+IF('Ввод данных'!A43=связи1!A228,0.3,0)+IF('Ввод данных'!A43=связи1!A229,0.24,0)+IF('Ввод данных'!A43=связи1!A230,0.24,0)+IF('Ввод данных'!A43=связи1!A231,0.2,0)+IF('Ввод данных'!A43=связи1!A232,0.2,0)+IF('Ввод данных'!A43=связи1!A233,0.15,0)+IF('Ввод данных'!A43=связи1!A234,0.15,0)</f>
        <v>0</v>
      </c>
      <c r="G33" s="2315">
        <f>'Ввод данных'!C43</f>
        <v>0.6</v>
      </c>
      <c r="I33" s="20">
        <f>VLOOKUP('Ввод данных'!A44,'Прайс лист'!B744:G782,3,0)</f>
        <v>0.1</v>
      </c>
      <c r="J33" s="2315">
        <f>IF(G33=0,1,G33)</f>
        <v>0.6</v>
      </c>
    </row>
    <row r="34" spans="1:12">
      <c r="A34" s="275" t="s">
        <v>4004</v>
      </c>
      <c r="B34" s="99"/>
      <c r="C34" s="2295" t="s">
        <v>133</v>
      </c>
      <c r="D34" s="2285">
        <f>дома!F1090*E34</f>
        <v>0</v>
      </c>
      <c r="E34" s="2302">
        <f>IF('Ввод данных'!A51=связи1!A223,1,0)+IF('Ввод данных'!A51=связи1!A224,1,0)+IF('Ввод данных'!A51=связи1!A225,1,0)+IF('Ввод данных'!A51=связи1!A226,1,0)+IF('Ввод данных'!A51=связи1!A227,1,0)+IF('Ввод данных'!A51=связи1!A228,1,0)+IF('Ввод данных'!A51=связи1!A229,1,0)+IF('Ввод данных'!A51=связи1!A230,1,0)+IF('Ввод данных'!A51=связи1!A231,1,0)+IF('Ввод данных'!A51=связи1!A232,1,0)+IF('Ввод данных'!A51=связи1!A233,1,0)+IF('Ввод данных'!A51=связи1!A234,1,0)</f>
        <v>0</v>
      </c>
      <c r="F34" s="2314">
        <f>IF('Ввод данных'!A51=связи1!A223,0.4,0)+IF('Ввод данных'!A51=связи1!A224,0.4,0)+IF('Ввод данных'!A51=связи1!A225,0.35,0)+IF('Ввод данных'!A51=связи1!A226,0.35,0)+IF('Ввод данных'!A51=связи1!A227,0.3,0)+IF('Ввод данных'!A51=связи1!A228,0.3,0)+IF('Ввод данных'!A51=связи1!A229,0.24,0)+IF('Ввод данных'!A51=связи1!A230,0.24,0)+IF('Ввод данных'!A51=связи1!A231,0.2,0)+IF('Ввод данных'!A51=связи1!A232,0.2,0)+IF('Ввод данных'!A51=связи1!A233,0.15,0)+IF('Ввод данных'!A51=связи1!A234,0.15,0)</f>
        <v>0</v>
      </c>
      <c r="G34" s="2315">
        <f>'Ввод данных'!C51</f>
        <v>0.6</v>
      </c>
      <c r="I34" s="20">
        <f>VLOOKUP('Ввод данных'!A55,'Прайс лист'!B744:G782,3,0)</f>
        <v>0.2</v>
      </c>
      <c r="J34" s="2315">
        <f>IF(G34=0,1,G34)</f>
        <v>0.6</v>
      </c>
    </row>
    <row r="36" spans="1:12">
      <c r="A36" s="2298" t="s">
        <v>4011</v>
      </c>
      <c r="B36" s="2299"/>
      <c r="C36" s="2300" t="s">
        <v>208</v>
      </c>
      <c r="D36" s="2300" t="s">
        <v>3989</v>
      </c>
      <c r="E36" s="2300" t="s">
        <v>1820</v>
      </c>
      <c r="F36" s="2300" t="s">
        <v>2975</v>
      </c>
      <c r="G36" s="2300" t="s">
        <v>4012</v>
      </c>
      <c r="J36" s="2296" t="s">
        <v>4013</v>
      </c>
    </row>
    <row r="37" spans="1:12">
      <c r="A37" s="263" t="s">
        <v>4014</v>
      </c>
      <c r="B37" s="261"/>
      <c r="C37" s="2295" t="s">
        <v>156</v>
      </c>
      <c r="D37" s="275">
        <f>дома!F1086*E37</f>
        <v>0</v>
      </c>
      <c r="E37" s="2308">
        <f>IF('Ввод данных'!A33=связи1!A201,1,0)+IF('Ввод данных'!A33=связи1!A202,1,0)+IF('Ввод данных'!A33=связи1!A203,1,0)</f>
        <v>0</v>
      </c>
      <c r="F37" s="275">
        <f>IF('Ввод данных'!A33=связи1!A201,0.124,0)+IF('Ввод данных'!A33=связи1!A202,0.174,0)+IF('Ввод данных'!A33=связи1!A203,0.224,0)</f>
        <v>0</v>
      </c>
      <c r="G37" s="19">
        <f>IF('Ввод данных'!A33=связи1!A201,0.1,0)+IF('Ввод данных'!A33=связи1!A202,0.15,0)+IF('Ввод данных'!A33=связи1!A203,0.2,0)</f>
        <v>0</v>
      </c>
      <c r="H37" s="2296">
        <v>0.625</v>
      </c>
      <c r="I37" s="2296">
        <v>2.5</v>
      </c>
      <c r="J37" s="2296">
        <f>H37+H37+I37+I37</f>
        <v>6.25</v>
      </c>
    </row>
    <row r="38" spans="1:12">
      <c r="A38" s="263" t="s">
        <v>4014</v>
      </c>
      <c r="B38" s="261"/>
      <c r="C38" s="2295" t="s">
        <v>156</v>
      </c>
      <c r="D38" s="275">
        <f>дома!F1087*E38</f>
        <v>0</v>
      </c>
      <c r="E38" s="2308">
        <f>IF('Ввод данных'!A43=связи1!A201,1,0)+IF('Ввод данных'!A43=связи1!A202,1,0)+IF('Ввод данных'!A43=связи1!A203,1,0)</f>
        <v>0</v>
      </c>
      <c r="F38" s="275">
        <f>IF('Ввод данных'!A43=связи1!A201,0.124,0)+IF('Ввод данных'!A43=связи1!A202,0.174,0)+IF('Ввод данных'!A43=связи1!A203,0.224,0)</f>
        <v>0</v>
      </c>
      <c r="G38" s="19">
        <f>IF('Ввод данных'!A43=связи1!A201,0.1,0)+IF('Ввод данных'!A43=связи1!A202,0.15,0)+IF('Ввод данных'!A43=связи1!A203,0.2,0)</f>
        <v>0</v>
      </c>
      <c r="H38" s="2296" t="s">
        <v>4015</v>
      </c>
      <c r="I38" s="2296">
        <f>H37*I37</f>
        <v>1.5625</v>
      </c>
      <c r="J38" s="2296">
        <f>J37/I38</f>
        <v>4</v>
      </c>
      <c r="K38" s="2296" t="s">
        <v>156</v>
      </c>
    </row>
    <row r="39" spans="1:12">
      <c r="A39" s="263" t="s">
        <v>4014</v>
      </c>
      <c r="B39" s="261"/>
      <c r="C39" s="2295" t="s">
        <v>156</v>
      </c>
      <c r="D39" s="275">
        <f>дома!F1090*E39</f>
        <v>0</v>
      </c>
      <c r="E39" s="2321">
        <f>IF('Ввод данных'!A51=связи1!A201,1,0)+IF('Ввод данных'!A51=связи1!A202,1,0)+IF('Ввод данных'!A51=связи1!A203,1,0)</f>
        <v>0</v>
      </c>
      <c r="F39" s="19">
        <f>IF('Ввод данных'!A51=связи1!A201,0.124,0)+IF('Ввод данных'!A51=связи1!A202,0.174,0)+IF('Ввод данных'!A51=связи1!A203,0.224,0)</f>
        <v>0</v>
      </c>
      <c r="G39" s="19">
        <f>IF('Ввод данных'!A51=связи1!A201,0.1,0)+IF('Ввод данных'!A51=связи1!A202,0.15,0)+IF('Ввод данных'!A51=связи1!A203,0.2,0)</f>
        <v>0</v>
      </c>
      <c r="J39" s="2296" t="s">
        <v>4016</v>
      </c>
    </row>
    <row r="42" spans="1:12">
      <c r="A42" s="98" t="s">
        <v>4017</v>
      </c>
      <c r="B42" s="99" t="s">
        <v>133</v>
      </c>
      <c r="C42" s="19"/>
      <c r="D42" s="100">
        <f>(перекрытие!D3*перекрытие!E3)</f>
        <v>0</v>
      </c>
      <c r="E42" s="100">
        <f>'Прайс лист'!G161</f>
        <v>1400</v>
      </c>
      <c r="F42" s="100">
        <f t="shared" ref="F42:F77" si="0">D42*E42</f>
        <v>0</v>
      </c>
      <c r="G42" s="2307"/>
      <c r="H42" s="275" t="str">
        <f>'Прайс лист'!B1597</f>
        <v>Монтаж плит ЖБИ</v>
      </c>
      <c r="I42" s="19"/>
      <c r="J42" s="100">
        <f>D42</f>
        <v>0</v>
      </c>
      <c r="K42" s="275">
        <f>'Прайс лист'!G1597</f>
        <v>200</v>
      </c>
      <c r="L42" s="275"/>
    </row>
    <row r="43" spans="1:12">
      <c r="A43" s="98" t="str">
        <f>'Прайс лист'!B230</f>
        <v>Раствор, м250</v>
      </c>
      <c r="B43" s="99" t="s">
        <v>135</v>
      </c>
      <c r="C43" s="19"/>
      <c r="D43" s="100">
        <f>(('Ввод данных'!C11+'Ввод данных'!C11)*0.2*0.15+'Ввод данных'!C11+'Ввод данных'!C11+'Ввод данных'!C12+'Ввод данных'!C12+'Ввод данных'!C112*'Ввод данных'!D112+'Ввод данных'!C113*'Ввод данных'!D113+'Ввод данных'!C114*'Ввод данных'!D114+'Ввод данных'!C115*'Ввод данных'!D115+'Ввод данных'!C120*'Ввод данных'!D120+'Ввод данных'!C121*'Ввод данных'!D121+'Ввод данных'!C122*'Ввод данных'!D122+'Ввод данных'!C123*'Ввод данных'!D123)*0.2*0.02*E3</f>
        <v>0</v>
      </c>
      <c r="E43" s="100">
        <f>'Прайс лист'!G230</f>
        <v>2500</v>
      </c>
      <c r="F43" s="100">
        <f t="shared" si="0"/>
        <v>0</v>
      </c>
      <c r="G43" s="2307"/>
      <c r="H43" s="275" t="str">
        <f>'Прайс лист'!B1598</f>
        <v>Монтаж опалубки</v>
      </c>
      <c r="J43" s="100">
        <f>SUM(C44:C51)*SUM(D44:D51)</f>
        <v>0</v>
      </c>
      <c r="K43" s="275">
        <f>'Прайс лист'!G1598</f>
        <v>200</v>
      </c>
      <c r="L43" s="275"/>
    </row>
    <row r="44" spans="1:12">
      <c r="A44" s="1300" t="s">
        <v>4018</v>
      </c>
      <c r="B44" s="2322" t="s">
        <v>133</v>
      </c>
      <c r="C44" s="2322">
        <f>IF('Ввод данных'!A33=связи1!A214,1,0)</f>
        <v>0</v>
      </c>
      <c r="D44" s="2323">
        <f>(перекрытие!D8*перекрытие!E8)*C44</f>
        <v>0</v>
      </c>
      <c r="E44" s="2323">
        <v>1</v>
      </c>
      <c r="F44" s="2323">
        <f t="shared" si="0"/>
        <v>0</v>
      </c>
      <c r="G44" s="2307"/>
      <c r="H44" s="275" t="str">
        <f>'Прайс лист'!B1599</f>
        <v>Укладка пленки гидроизоляционной</v>
      </c>
      <c r="I44" s="100"/>
      <c r="J44" s="275">
        <f>SUM(C44:C51)*SUM(D44:D51)</f>
        <v>0</v>
      </c>
      <c r="K44" s="275">
        <f>'Прайс лист'!G1599</f>
        <v>40</v>
      </c>
      <c r="L44" s="275"/>
    </row>
    <row r="45" spans="1:12">
      <c r="A45" s="1300" t="s">
        <v>4019</v>
      </c>
      <c r="B45" s="2322" t="s">
        <v>133</v>
      </c>
      <c r="C45" s="2322">
        <f>IF('Ввод данных'!A33=связи1!A215,1,0)</f>
        <v>0</v>
      </c>
      <c r="D45" s="2323">
        <f>(перекрытие!D8*перекрытие!E8)*C45</f>
        <v>0</v>
      </c>
      <c r="E45" s="2323">
        <v>1</v>
      </c>
      <c r="F45" s="2323">
        <f t="shared" si="0"/>
        <v>0</v>
      </c>
      <c r="G45" s="2307"/>
      <c r="H45" s="275" t="str">
        <f>'Прайс лист'!B1600</f>
        <v>Армирование перекрытия/плиты</v>
      </c>
      <c r="I45" s="100"/>
      <c r="J45" s="275">
        <f>D8*E8</f>
        <v>0</v>
      </c>
      <c r="K45" s="275">
        <f>'Прайс лист'!G1600</f>
        <v>300</v>
      </c>
      <c r="L45" s="275"/>
    </row>
    <row r="46" spans="1:12">
      <c r="A46" s="1300" t="s">
        <v>4020</v>
      </c>
      <c r="B46" s="2322" t="s">
        <v>133</v>
      </c>
      <c r="C46" s="2322">
        <f>IF('Ввод данных'!A33=связи1!A216,1,0)</f>
        <v>0</v>
      </c>
      <c r="D46" s="2323">
        <f>(перекрытие!D8*перекрытие!E8)*C46</f>
        <v>0</v>
      </c>
      <c r="E46" s="2323">
        <v>1</v>
      </c>
      <c r="F46" s="2323">
        <f t="shared" si="0"/>
        <v>0</v>
      </c>
      <c r="G46" s="2307"/>
      <c r="H46" s="275" t="str">
        <f>'Прайс лист'!B1605</f>
        <v>Заливка бетоном перекрытия/плиты</v>
      </c>
      <c r="I46" s="100"/>
      <c r="J46" s="275">
        <f>J45</f>
        <v>0</v>
      </c>
      <c r="K46" s="275">
        <f>'Прайс лист'!G1605</f>
        <v>350</v>
      </c>
      <c r="L46" s="275"/>
    </row>
    <row r="47" spans="1:12">
      <c r="A47" s="1300" t="s">
        <v>4021</v>
      </c>
      <c r="B47" s="2322" t="s">
        <v>133</v>
      </c>
      <c r="C47" s="2322">
        <f>IF('Ввод данных'!A33=связи1!A217,1,0)</f>
        <v>0</v>
      </c>
      <c r="D47" s="2323">
        <f>(перекрытие!D8*перекрытие!E8)*C47</f>
        <v>0</v>
      </c>
      <c r="E47" s="2323">
        <v>1</v>
      </c>
      <c r="F47" s="2323">
        <f t="shared" si="0"/>
        <v>0</v>
      </c>
      <c r="G47" s="2307"/>
      <c r="H47" s="275" t="str">
        <f>'Прайс лист'!B1606</f>
        <v>Монтаж перекрытий из бруса</v>
      </c>
      <c r="I47" s="100"/>
      <c r="J47" s="100">
        <f>D14*E14</f>
        <v>0</v>
      </c>
      <c r="K47" s="275">
        <f>'Прайс лист'!G1606</f>
        <v>300</v>
      </c>
      <c r="L47" s="275"/>
    </row>
    <row r="48" spans="1:12">
      <c r="A48" s="1300" t="s">
        <v>4022</v>
      </c>
      <c r="B48" s="2322" t="s">
        <v>133</v>
      </c>
      <c r="C48" s="2322">
        <f>IF('Ввод данных'!A33=связи1!A218,1,0)</f>
        <v>0</v>
      </c>
      <c r="D48" s="2323">
        <f>(перекрытие!D8*перекрытие!E8)*C48</f>
        <v>0</v>
      </c>
      <c r="E48" s="2323">
        <v>1</v>
      </c>
      <c r="F48" s="2323">
        <f t="shared" si="0"/>
        <v>0</v>
      </c>
      <c r="G48" s="2307"/>
      <c r="H48" s="275" t="str">
        <f>'Прайс лист'!B1607</f>
        <v>Монтаж перекрытий Сип-панели</v>
      </c>
      <c r="I48" s="100"/>
      <c r="J48" s="275">
        <f>D37*E37</f>
        <v>0</v>
      </c>
      <c r="K48" s="275">
        <f>'Прайс лист'!G1607</f>
        <v>400</v>
      </c>
      <c r="L48" s="275"/>
    </row>
    <row r="49" spans="1:12">
      <c r="A49" s="1300" t="s">
        <v>4023</v>
      </c>
      <c r="B49" s="2322" t="s">
        <v>133</v>
      </c>
      <c r="C49" s="2322">
        <f>IF('Ввод данных'!A33=связи1!A219,1,0)</f>
        <v>0</v>
      </c>
      <c r="D49" s="2323">
        <f>(перекрытие!D8*перекрытие!E8)*C49</f>
        <v>0</v>
      </c>
      <c r="E49" s="2323">
        <v>1</v>
      </c>
      <c r="F49" s="2323">
        <f t="shared" si="0"/>
        <v>0</v>
      </c>
      <c r="G49" s="2307"/>
      <c r="H49" s="275" t="str">
        <f>'Прайс лист'!B1608</f>
        <v>Монтаж перекрытий из сухой доски</v>
      </c>
      <c r="I49" s="100"/>
      <c r="J49" s="275">
        <f>D22*E22</f>
        <v>0</v>
      </c>
      <c r="K49" s="275">
        <f>'Прайс лист'!G1608</f>
        <v>250</v>
      </c>
      <c r="L49" s="275"/>
    </row>
    <row r="50" spans="1:12">
      <c r="A50" s="1300" t="s">
        <v>4024</v>
      </c>
      <c r="B50" s="2322" t="s">
        <v>133</v>
      </c>
      <c r="C50" s="2322">
        <f>IF('Ввод данных'!A33=связи1!A220,1,0)</f>
        <v>0</v>
      </c>
      <c r="D50" s="2323">
        <f>(перекрытие!D8*перекрытие!E8)*C50</f>
        <v>0</v>
      </c>
      <c r="E50" s="2323">
        <v>1</v>
      </c>
      <c r="F50" s="2323">
        <f t="shared" si="0"/>
        <v>0</v>
      </c>
      <c r="G50" s="2307"/>
      <c r="H50" s="275" t="str">
        <f>'Прайс лист'!B1609</f>
        <v>Монтаж перекрытий из двутавровой балки</v>
      </c>
      <c r="I50" s="100"/>
      <c r="J50" s="275">
        <f>D32*E32</f>
        <v>0</v>
      </c>
      <c r="K50" s="275">
        <f>'Прайс лист'!G1609</f>
        <v>300</v>
      </c>
      <c r="L50" s="275"/>
    </row>
    <row r="51" spans="1:12">
      <c r="A51" s="1300" t="s">
        <v>4025</v>
      </c>
      <c r="B51" s="2322" t="s">
        <v>133</v>
      </c>
      <c r="C51" s="2322">
        <f>IF('Ввод данных'!A33=связи1!A221,1,0)</f>
        <v>0</v>
      </c>
      <c r="D51" s="2323">
        <f>(перекрытие!D8*перекрытие!E8)*C51</f>
        <v>0</v>
      </c>
      <c r="E51" s="2323">
        <v>1</v>
      </c>
      <c r="F51" s="2323">
        <f t="shared" si="0"/>
        <v>0</v>
      </c>
      <c r="G51" s="2307"/>
      <c r="H51" s="275" t="str">
        <f>'Прайс лист'!B1610</f>
        <v>Монтаж перекрестного пола</v>
      </c>
      <c r="I51" s="100"/>
      <c r="J51" s="275">
        <f>D19*E19</f>
        <v>0</v>
      </c>
      <c r="K51" s="275">
        <f>'Прайс лист'!G1610</f>
        <v>200</v>
      </c>
      <c r="L51" s="275"/>
    </row>
    <row r="52" spans="1:12">
      <c r="A52" s="98" t="s">
        <v>4026</v>
      </c>
      <c r="B52" s="99" t="s">
        <v>135</v>
      </c>
      <c r="C52" s="19"/>
      <c r="D52" s="100">
        <f>((D8/5+5*2)*перекрытие!E8*перекрытие!F8*2+D8*1.1*E8)*0.05*1.1</f>
        <v>0</v>
      </c>
      <c r="E52" s="100">
        <f>'Прайс лист'!G291</f>
        <v>6500</v>
      </c>
      <c r="F52" s="2323">
        <f t="shared" si="0"/>
        <v>0</v>
      </c>
      <c r="G52" s="2307"/>
      <c r="H52" s="275" t="str">
        <f>'Прайс лист'!B1612</f>
        <v>Монтаж утеплителя перекрытия</v>
      </c>
      <c r="I52" s="19"/>
      <c r="J52" s="19">
        <f>C96*дома!F1086</f>
        <v>100</v>
      </c>
      <c r="K52" s="275">
        <f>'Прайс лист'!G1612</f>
        <v>200</v>
      </c>
      <c r="L52" s="275"/>
    </row>
    <row r="53" spans="1:12">
      <c r="A53" s="98" t="s">
        <v>3998</v>
      </c>
      <c r="B53" s="99" t="s">
        <v>159</v>
      </c>
      <c r="C53" s="19"/>
      <c r="D53" s="100">
        <f>SUM(D44:D51)</f>
        <v>0</v>
      </c>
      <c r="E53" s="100">
        <v>0</v>
      </c>
      <c r="F53" s="2323">
        <f t="shared" si="0"/>
        <v>0</v>
      </c>
      <c r="G53" s="2307"/>
      <c r="H53" s="275" t="str">
        <f>'Прайс лист'!B1614</f>
        <v>Монтаж ветроизоляции перекрытий</v>
      </c>
      <c r="I53" s="19"/>
      <c r="J53" s="19">
        <f>дома!F1086*C97</f>
        <v>0</v>
      </c>
      <c r="K53" s="275">
        <f>'Прайс лист'!G1614</f>
        <v>100</v>
      </c>
      <c r="L53" s="275"/>
    </row>
    <row r="54" spans="1:12">
      <c r="A54" s="98" t="str">
        <f>'Прайс лист'!B215</f>
        <v xml:space="preserve">Пленка гидроизоляционная </v>
      </c>
      <c r="B54" s="99" t="s">
        <v>133</v>
      </c>
      <c r="C54" s="19"/>
      <c r="D54" s="100">
        <f>(перекрытие!D8*перекрытие!E8*1.3)</f>
        <v>0</v>
      </c>
      <c r="E54" s="100">
        <f>'Прайс лист'!G215</f>
        <v>15</v>
      </c>
      <c r="F54" s="2323">
        <f t="shared" si="0"/>
        <v>0</v>
      </c>
      <c r="G54" s="2307"/>
      <c r="H54" s="275" t="str">
        <f>'Прайс лист'!B1615</f>
        <v>Монтаж пароизоляции перекрытий</v>
      </c>
      <c r="I54" s="19"/>
      <c r="J54" s="19">
        <f>дома!F1086*C98</f>
        <v>0</v>
      </c>
      <c r="K54" s="275">
        <f>'Прайс лист'!G1615</f>
        <v>100</v>
      </c>
      <c r="L54" s="275"/>
    </row>
    <row r="55" spans="1:12">
      <c r="A55" s="98" t="str">
        <f>'Ввод данных'!D33</f>
        <v>Арматура М10</v>
      </c>
      <c r="B55" s="99" t="s">
        <v>156</v>
      </c>
      <c r="C55" s="19"/>
      <c r="D55" s="100">
        <f>(1/перекрытие!J8*2*перекрытие!H8*перекрытие!E8*перекрытие!D8)</f>
        <v>0</v>
      </c>
      <c r="E55" s="100">
        <f>VLOOKUP(A55,связи1!A399:B405,2,0)</f>
        <v>21.0397</v>
      </c>
      <c r="F55" s="2323">
        <f t="shared" si="0"/>
        <v>0</v>
      </c>
      <c r="G55" s="2307"/>
      <c r="H55" s="275" t="str">
        <f>'Прайс лист'!B1597</f>
        <v>Монтаж плит ЖБИ</v>
      </c>
      <c r="I55" s="19"/>
      <c r="J55" s="100">
        <f>D101</f>
        <v>0</v>
      </c>
      <c r="K55" s="275">
        <f t="shared" ref="K55:K63" si="1">K42</f>
        <v>200</v>
      </c>
      <c r="L55" s="275"/>
    </row>
    <row r="56" spans="1:12">
      <c r="A56" s="98" t="str">
        <f>'Прайс лист'!B212</f>
        <v>Вязальная проволока</v>
      </c>
      <c r="B56" s="99" t="s">
        <v>188</v>
      </c>
      <c r="C56" s="19"/>
      <c r="D56" s="100">
        <f>D55/40</f>
        <v>0</v>
      </c>
      <c r="E56" s="100">
        <f>'Прайс лист'!G212</f>
        <v>80</v>
      </c>
      <c r="F56" s="2323">
        <f t="shared" si="0"/>
        <v>0</v>
      </c>
      <c r="G56" s="2307"/>
      <c r="H56" s="275" t="str">
        <f>'Прайс лист'!B1598</f>
        <v>Монтаж опалубки</v>
      </c>
      <c r="I56" s="19"/>
      <c r="J56" s="100">
        <f>SUM(C103:C110)*SUM(D103:D110)</f>
        <v>0</v>
      </c>
      <c r="K56" s="275">
        <f t="shared" si="1"/>
        <v>200</v>
      </c>
      <c r="L56" s="275"/>
    </row>
    <row r="57" spans="1:12">
      <c r="A57" s="98" t="str">
        <f>'Прайс лист'!B214</f>
        <v>Подставка под арматурный каркас</v>
      </c>
      <c r="B57" s="99" t="s">
        <v>159</v>
      </c>
      <c r="C57" s="19"/>
      <c r="D57" s="100">
        <f>(перекрытие!D8*перекрытие!E8)*4</f>
        <v>0</v>
      </c>
      <c r="E57" s="100">
        <f>'Прайс лист'!G214</f>
        <v>5</v>
      </c>
      <c r="F57" s="2323">
        <f t="shared" si="0"/>
        <v>0</v>
      </c>
      <c r="G57" s="2307"/>
      <c r="H57" s="275" t="str">
        <f>'Прайс лист'!B1599</f>
        <v>Укладка пленки гидроизоляционной</v>
      </c>
      <c r="I57" s="100"/>
      <c r="J57" s="275">
        <f>SUM(C103:C110)*SUM(D103:D110)</f>
        <v>0</v>
      </c>
      <c r="K57" s="275">
        <f t="shared" si="1"/>
        <v>40</v>
      </c>
      <c r="L57" s="275"/>
    </row>
    <row r="58" spans="1:12">
      <c r="A58" s="98" t="s">
        <v>4027</v>
      </c>
      <c r="B58" s="99" t="s">
        <v>135</v>
      </c>
      <c r="C58" s="19"/>
      <c r="D58" s="100">
        <f>(перекрытие!D8*перекрытие!E8*перекрытие!F8)</f>
        <v>0</v>
      </c>
      <c r="E58" s="100">
        <f>'Прайс лист'!G228</f>
        <v>3500</v>
      </c>
      <c r="F58" s="2323">
        <f t="shared" si="0"/>
        <v>0</v>
      </c>
      <c r="G58" s="2307"/>
      <c r="H58" s="275" t="str">
        <f>'Прайс лист'!B1600</f>
        <v>Армирование перекрытия/плиты</v>
      </c>
      <c r="I58" s="100"/>
      <c r="J58" s="275">
        <f>D9*E9</f>
        <v>0</v>
      </c>
      <c r="K58" s="275">
        <f t="shared" si="1"/>
        <v>300</v>
      </c>
      <c r="L58" s="275"/>
    </row>
    <row r="59" spans="1:12">
      <c r="A59" s="995" t="s">
        <v>4028</v>
      </c>
      <c r="B59" s="1162" t="s">
        <v>135</v>
      </c>
      <c r="C59" s="1162">
        <f>IF('Ввод данных'!A33=связи1!A204,1,0)</f>
        <v>0</v>
      </c>
      <c r="D59" s="2324">
        <f>((дома!D1319/перекрытие!J14)*(дома!C1319)*перекрытие!F14*перекрытие!G14*перекрытие!E14)*C59</f>
        <v>0</v>
      </c>
      <c r="E59" s="2324">
        <f>связи1!D204</f>
        <v>6500</v>
      </c>
      <c r="F59" s="2324">
        <f t="shared" si="0"/>
        <v>0</v>
      </c>
      <c r="G59" s="2307"/>
      <c r="H59" s="275" t="str">
        <f>'Прайс лист'!B1605</f>
        <v>Заливка бетоном перекрытия/плиты</v>
      </c>
      <c r="I59" s="100"/>
      <c r="J59" s="275">
        <f>J58</f>
        <v>0</v>
      </c>
      <c r="K59" s="275">
        <f t="shared" si="1"/>
        <v>350</v>
      </c>
      <c r="L59" s="275"/>
    </row>
    <row r="60" spans="1:12">
      <c r="A60" s="995" t="s">
        <v>4029</v>
      </c>
      <c r="B60" s="1162" t="s">
        <v>135</v>
      </c>
      <c r="C60" s="1162">
        <f>IF('Ввод данных'!A33=связи1!A205,1,0)</f>
        <v>0</v>
      </c>
      <c r="D60" s="2324">
        <f>((дома!D1319/перекрытие!J14)*(дома!C1319)*перекрытие!F14*перекрытие!G14*перекрытие!E14)*C60</f>
        <v>0</v>
      </c>
      <c r="E60" s="2324">
        <f>связи1!D205</f>
        <v>6500</v>
      </c>
      <c r="F60" s="2324">
        <f t="shared" si="0"/>
        <v>0</v>
      </c>
      <c r="G60" s="2307"/>
      <c r="H60" s="275" t="str">
        <f>'Прайс лист'!B1606</f>
        <v>Монтаж перекрытий из бруса</v>
      </c>
      <c r="I60" s="100"/>
      <c r="J60" s="100">
        <f>D15*E15</f>
        <v>0</v>
      </c>
      <c r="K60" s="275">
        <f t="shared" si="1"/>
        <v>300</v>
      </c>
      <c r="L60" s="275"/>
    </row>
    <row r="61" spans="1:12">
      <c r="A61" s="995" t="s">
        <v>1967</v>
      </c>
      <c r="B61" s="1162" t="s">
        <v>135</v>
      </c>
      <c r="C61" s="1162">
        <f>IF('Ввод данных'!A33=связи1!A206,1,0)</f>
        <v>0</v>
      </c>
      <c r="D61" s="2324">
        <f>((дома!D1319/перекрытие!J14)*(дома!C1319)*перекрытие!F14*перекрытие!G14*перекрытие!E14)*C61</f>
        <v>0</v>
      </c>
      <c r="E61" s="2324">
        <f>связи1!D206</f>
        <v>6500</v>
      </c>
      <c r="F61" s="2324">
        <f t="shared" si="0"/>
        <v>0</v>
      </c>
      <c r="G61" s="2307"/>
      <c r="H61" s="275" t="str">
        <f>'Прайс лист'!B1607</f>
        <v>Монтаж перекрытий Сип-панели</v>
      </c>
      <c r="I61" s="100"/>
      <c r="J61" s="275">
        <f>D38*E38</f>
        <v>0</v>
      </c>
      <c r="K61" s="275">
        <f t="shared" si="1"/>
        <v>400</v>
      </c>
      <c r="L61" s="275"/>
    </row>
    <row r="62" spans="1:12">
      <c r="A62" s="995" t="s">
        <v>2366</v>
      </c>
      <c r="B62" s="1162" t="s">
        <v>135</v>
      </c>
      <c r="C62" s="1162">
        <f>IF('Ввод данных'!A33=связи1!A207,1,0)</f>
        <v>0</v>
      </c>
      <c r="D62" s="2324">
        <f>((дома!D1319/перекрытие!J14)*(дома!C1319)*перекрытие!F14*перекрытие!G14*перекрытие!E14)*C62</f>
        <v>0</v>
      </c>
      <c r="E62" s="2324">
        <f>связи1!D207</f>
        <v>6500</v>
      </c>
      <c r="F62" s="2324">
        <f t="shared" si="0"/>
        <v>0</v>
      </c>
      <c r="G62" s="2307"/>
      <c r="H62" s="275" t="str">
        <f>'Прайс лист'!B1608</f>
        <v>Монтаж перекрытий из сухой доски</v>
      </c>
      <c r="I62" s="100"/>
      <c r="J62" s="275">
        <f>D28*E28</f>
        <v>0</v>
      </c>
      <c r="K62" s="275">
        <f t="shared" si="1"/>
        <v>250</v>
      </c>
      <c r="L62" s="275"/>
    </row>
    <row r="63" spans="1:12">
      <c r="A63" s="995" t="s">
        <v>2068</v>
      </c>
      <c r="B63" s="1162" t="s">
        <v>135</v>
      </c>
      <c r="C63" s="1162">
        <f>IF('Ввод данных'!A33=связи1!A208,1,0)</f>
        <v>0</v>
      </c>
      <c r="D63" s="2324">
        <f>((дома!D1319/перекрытие!J14)*(дома!C1319)*перекрытие!F14*перекрытие!G14*перекрытие!E14)*C63</f>
        <v>0</v>
      </c>
      <c r="E63" s="2324">
        <f>связи1!D208</f>
        <v>6500</v>
      </c>
      <c r="F63" s="2324">
        <f t="shared" si="0"/>
        <v>0</v>
      </c>
      <c r="G63" s="2307"/>
      <c r="H63" s="275" t="str">
        <f>'Прайс лист'!B1609</f>
        <v>Монтаж перекрытий из двутавровой балки</v>
      </c>
      <c r="I63" s="100"/>
      <c r="J63" s="275">
        <f>D33*E33</f>
        <v>0</v>
      </c>
      <c r="K63" s="275">
        <f t="shared" si="1"/>
        <v>300</v>
      </c>
      <c r="L63" s="275"/>
    </row>
    <row r="64" spans="1:12">
      <c r="A64" s="995" t="s">
        <v>4030</v>
      </c>
      <c r="B64" s="1162" t="s">
        <v>135</v>
      </c>
      <c r="C64" s="1162">
        <f>IF('Ввод данных'!A33=связи1!A209,1,0)</f>
        <v>0</v>
      </c>
      <c r="D64" s="2324">
        <f>((дома!D1319/перекрытие!J14)*(дома!C1319)*перекрытие!F14*перекрытие!G14*перекрытие!E14)*C64</f>
        <v>0</v>
      </c>
      <c r="E64" s="2324">
        <f>связи1!D209</f>
        <v>6500</v>
      </c>
      <c r="F64" s="2324">
        <f t="shared" si="0"/>
        <v>0</v>
      </c>
      <c r="G64" s="2307"/>
      <c r="H64" s="275"/>
      <c r="I64" s="100"/>
      <c r="J64" s="275"/>
      <c r="K64" s="275"/>
      <c r="L64" s="275"/>
    </row>
    <row r="65" spans="1:12">
      <c r="A65" s="98" t="str">
        <f>'Прайс лист'!B853</f>
        <v xml:space="preserve">Опора бруса          </v>
      </c>
      <c r="B65" s="99" t="s">
        <v>159</v>
      </c>
      <c r="C65" s="99"/>
      <c r="D65" s="100">
        <f>CEILING((D14*E14)*1.1,1)</f>
        <v>0</v>
      </c>
      <c r="E65" s="100">
        <f>'Прайс лист'!G853</f>
        <v>50</v>
      </c>
      <c r="F65" s="2324">
        <f t="shared" si="0"/>
        <v>0</v>
      </c>
      <c r="G65" s="2307"/>
      <c r="H65" s="275" t="str">
        <f>'Прайс лист'!B1612</f>
        <v>Монтаж утеплителя перекрытия</v>
      </c>
      <c r="I65" s="19"/>
      <c r="J65" s="19">
        <f>C96*дома!F1087</f>
        <v>100</v>
      </c>
      <c r="K65" s="275">
        <f>K52</f>
        <v>200</v>
      </c>
      <c r="L65" s="275"/>
    </row>
    <row r="66" spans="1:12">
      <c r="A66" s="98" t="str">
        <f>'Прайс лист'!B859</f>
        <v xml:space="preserve">Болты анкерные с гайкой 8,0 x 60           </v>
      </c>
      <c r="B66" s="99" t="s">
        <v>159</v>
      </c>
      <c r="C66" s="99"/>
      <c r="D66" s="100">
        <f>D65*4</f>
        <v>0</v>
      </c>
      <c r="E66" s="100">
        <f>'Прайс лист'!G859</f>
        <v>4</v>
      </c>
      <c r="F66" s="2324">
        <f t="shared" si="0"/>
        <v>0</v>
      </c>
      <c r="G66" s="2307"/>
      <c r="H66" s="275" t="str">
        <f>'Прайс лист'!B1614</f>
        <v>Монтаж ветроизоляции перекрытий</v>
      </c>
      <c r="I66" s="19"/>
      <c r="J66" s="19">
        <f>дома!F1087*C156</f>
        <v>0</v>
      </c>
      <c r="K66" s="275">
        <f>K53</f>
        <v>100</v>
      </c>
      <c r="L66" s="275"/>
    </row>
    <row r="67" spans="1:12">
      <c r="A67" s="995" t="str">
        <f>связи1!A201</f>
        <v>Sip панель 2500*625*124мм</v>
      </c>
      <c r="B67" s="1272" t="s">
        <v>133</v>
      </c>
      <c r="C67" s="1162">
        <f>IF('Ввод данных'!A33=связи1!A201,1,0)</f>
        <v>0</v>
      </c>
      <c r="D67" s="2324">
        <f>D37*E37*C67</f>
        <v>0</v>
      </c>
      <c r="E67" s="2324">
        <f>'Прайс лист'!G259</f>
        <v>800</v>
      </c>
      <c r="F67" s="2324">
        <f t="shared" si="0"/>
        <v>0</v>
      </c>
      <c r="G67" s="2307"/>
      <c r="H67" s="275" t="str">
        <f>'Прайс лист'!B1615</f>
        <v>Монтаж пароизоляции перекрытий</v>
      </c>
      <c r="I67" s="19"/>
      <c r="J67" s="19">
        <f>дома!F1087*C157</f>
        <v>0</v>
      </c>
      <c r="K67" s="275">
        <f>K54</f>
        <v>100</v>
      </c>
      <c r="L67" s="275"/>
    </row>
    <row r="68" spans="1:12">
      <c r="A68" s="995" t="str">
        <f>связи1!A202</f>
        <v>Sip панель 2500*625*174мм</v>
      </c>
      <c r="B68" s="1272" t="s">
        <v>133</v>
      </c>
      <c r="C68" s="1162">
        <f>IF('Ввод данных'!A33=связи1!A202,1,0)</f>
        <v>0</v>
      </c>
      <c r="D68" s="2324">
        <f>D37*E37*C68</f>
        <v>0</v>
      </c>
      <c r="E68" s="2324">
        <f>'Прайс лист'!G260</f>
        <v>1200</v>
      </c>
      <c r="F68" s="2324">
        <f t="shared" si="0"/>
        <v>0</v>
      </c>
      <c r="G68" s="2307"/>
      <c r="H68" s="275" t="str">
        <f>'Прайс лист'!B1597</f>
        <v>Монтаж плит ЖБИ</v>
      </c>
      <c r="I68" s="19"/>
      <c r="J68" s="100">
        <f>D160</f>
        <v>0</v>
      </c>
      <c r="K68" s="275">
        <f t="shared" ref="K68:K76" si="2">K42</f>
        <v>200</v>
      </c>
      <c r="L68" s="275"/>
    </row>
    <row r="69" spans="1:12">
      <c r="A69" s="995" t="str">
        <f>связи1!A203</f>
        <v>Sip панель 2500*625*224мм</v>
      </c>
      <c r="B69" s="1272" t="s">
        <v>133</v>
      </c>
      <c r="C69" s="1162">
        <f>IF('Ввод данных'!A33=связи1!A203,1,0)</f>
        <v>0</v>
      </c>
      <c r="D69" s="2324">
        <f>D37*E37*C69</f>
        <v>0</v>
      </c>
      <c r="E69" s="2324">
        <f>'Прайс лист'!G270</f>
        <v>1400</v>
      </c>
      <c r="F69" s="2324">
        <f t="shared" si="0"/>
        <v>0</v>
      </c>
      <c r="G69" s="2307"/>
      <c r="H69" s="275" t="str">
        <f>'Прайс лист'!B1598</f>
        <v>Монтаж опалубки</v>
      </c>
      <c r="I69" s="100"/>
      <c r="J69" s="100">
        <f>SUM(C162:C169)*SUM(D162:D169)</f>
        <v>0</v>
      </c>
      <c r="K69" s="275">
        <f t="shared" si="2"/>
        <v>200</v>
      </c>
      <c r="L69" s="275"/>
    </row>
    <row r="70" spans="1:12">
      <c r="A70" s="1055" t="s">
        <v>2312</v>
      </c>
      <c r="B70" s="1339" t="s">
        <v>156</v>
      </c>
      <c r="C70" s="99"/>
      <c r="D70" s="100">
        <f>D67*C67*1.05*4</f>
        <v>0</v>
      </c>
      <c r="E70" s="100">
        <f>'Прайс лист'!F319</f>
        <v>45</v>
      </c>
      <c r="F70" s="2324">
        <f t="shared" si="0"/>
        <v>0</v>
      </c>
      <c r="G70" s="2307"/>
      <c r="H70" s="275" t="str">
        <f>'Прайс лист'!B1599</f>
        <v>Укладка пленки гидроизоляционной</v>
      </c>
      <c r="I70" s="100"/>
      <c r="J70" s="275">
        <f>SUM(C162:C169)*SUM(D162:D169)</f>
        <v>0</v>
      </c>
      <c r="K70" s="275">
        <f t="shared" si="2"/>
        <v>40</v>
      </c>
      <c r="L70" s="275"/>
    </row>
    <row r="71" spans="1:12">
      <c r="A71" s="1055" t="s">
        <v>2134</v>
      </c>
      <c r="B71" s="1339" t="s">
        <v>156</v>
      </c>
      <c r="C71" s="99"/>
      <c r="D71" s="100">
        <f>D68*C68*1.05*4</f>
        <v>0</v>
      </c>
      <c r="E71" s="100">
        <f>'Прайс лист'!F318</f>
        <v>67.5</v>
      </c>
      <c r="F71" s="2324">
        <f t="shared" si="0"/>
        <v>0</v>
      </c>
      <c r="G71" s="2307"/>
      <c r="H71" s="275" t="str">
        <f>'Прайс лист'!B1600</f>
        <v>Армирование перекрытия/плиты</v>
      </c>
      <c r="I71" s="100"/>
      <c r="J71" s="275">
        <f>D10*E10</f>
        <v>0</v>
      </c>
      <c r="K71" s="275">
        <f t="shared" si="2"/>
        <v>300</v>
      </c>
      <c r="L71" s="275"/>
    </row>
    <row r="72" spans="1:12">
      <c r="A72" s="1055" t="s">
        <v>1908</v>
      </c>
      <c r="B72" s="1339" t="s">
        <v>156</v>
      </c>
      <c r="C72" s="99"/>
      <c r="D72" s="100">
        <f>D69*C69*1.05*4</f>
        <v>0</v>
      </c>
      <c r="E72" s="100">
        <f>'Прайс лист'!F316</f>
        <v>90</v>
      </c>
      <c r="F72" s="2324">
        <f t="shared" si="0"/>
        <v>0</v>
      </c>
      <c r="G72" s="2307"/>
      <c r="H72" s="275" t="str">
        <f>'Прайс лист'!B1605</f>
        <v>Заливка бетоном перекрытия/плиты</v>
      </c>
      <c r="I72" s="100"/>
      <c r="J72" s="275">
        <f>J71</f>
        <v>0</v>
      </c>
      <c r="K72" s="275">
        <f t="shared" si="2"/>
        <v>350</v>
      </c>
      <c r="L72" s="275"/>
    </row>
    <row r="73" spans="1:12">
      <c r="A73" s="19" t="str">
        <f>'Прайс лист'!B903</f>
        <v>Пена монтажная, всесезонняя 800мл</v>
      </c>
      <c r="B73" s="289" t="s">
        <v>159</v>
      </c>
      <c r="C73" s="99"/>
      <c r="D73" s="100">
        <f>CEILING(SUM(D70:D72)/12,1)</f>
        <v>0</v>
      </c>
      <c r="E73" s="100">
        <f>'Прайс лист'!G903</f>
        <v>300</v>
      </c>
      <c r="F73" s="2324">
        <f t="shared" si="0"/>
        <v>0</v>
      </c>
      <c r="G73" s="2307"/>
      <c r="H73" s="275" t="str">
        <f>'Прайс лист'!B1606</f>
        <v>Монтаж перекрытий из бруса</v>
      </c>
      <c r="I73" s="100"/>
      <c r="J73" s="100">
        <f>D16*E16</f>
        <v>0</v>
      </c>
      <c r="K73" s="275">
        <f t="shared" si="2"/>
        <v>300</v>
      </c>
      <c r="L73" s="275"/>
    </row>
    <row r="74" spans="1:12">
      <c r="A74" s="19" t="str">
        <f>A194</f>
        <v xml:space="preserve">Гвозди строительные 3,5 x 90            </v>
      </c>
      <c r="B74" s="289" t="s">
        <v>159</v>
      </c>
      <c r="C74" s="99"/>
      <c r="D74" s="100">
        <f>SUM(D70:D72)</f>
        <v>0</v>
      </c>
      <c r="E74" s="100">
        <f>'Прайс лист'!F890</f>
        <v>45</v>
      </c>
      <c r="F74" s="2324">
        <f t="shared" si="0"/>
        <v>0</v>
      </c>
      <c r="G74" s="2307"/>
      <c r="H74" s="275" t="str">
        <f>'Прайс лист'!B1607</f>
        <v>Монтаж перекрытий Сип-панели</v>
      </c>
      <c r="I74" s="100"/>
      <c r="J74" s="275">
        <f>D39*E39</f>
        <v>0</v>
      </c>
      <c r="K74" s="275">
        <f t="shared" si="2"/>
        <v>400</v>
      </c>
      <c r="L74" s="275"/>
    </row>
    <row r="75" spans="1:12">
      <c r="A75" s="19" t="str">
        <f>A195</f>
        <v xml:space="preserve">Саморезы 3,5 x 45            </v>
      </c>
      <c r="B75" s="289" t="s">
        <v>159</v>
      </c>
      <c r="C75" s="99"/>
      <c r="D75" s="100">
        <f>SUM(D70:D72)*20</f>
        <v>0</v>
      </c>
      <c r="E75" s="100">
        <f>E195</f>
        <v>0.25</v>
      </c>
      <c r="F75" s="2324">
        <f t="shared" si="0"/>
        <v>0</v>
      </c>
      <c r="G75" s="2307"/>
      <c r="H75" s="275" t="str">
        <f>'Прайс лист'!B1608</f>
        <v>Монтаж перекрытий из сухой доски</v>
      </c>
      <c r="I75" s="100"/>
      <c r="J75" s="275">
        <f>D29*E29</f>
        <v>0</v>
      </c>
      <c r="K75" s="275">
        <f t="shared" si="2"/>
        <v>250</v>
      </c>
      <c r="L75" s="275"/>
    </row>
    <row r="76" spans="1:12">
      <c r="A76" s="1062" t="s">
        <v>1908</v>
      </c>
      <c r="B76" s="2325" t="s">
        <v>135</v>
      </c>
      <c r="C76" s="2326">
        <f>IF('Ввод данных'!A33=связи1!A210,1,0)</f>
        <v>0</v>
      </c>
      <c r="D76" s="2326">
        <f>((дома!D1319/перекрытие!J22)*(дома!C1319)+(CEILING(дома!C1319/2.5-1,1))*дома!D1319)*перекрытие!E22*перекрытие!F22*перекрытие!G22*C76*1.05</f>
        <v>0</v>
      </c>
      <c r="E76" s="2326">
        <f>'Прайс лист'!G316</f>
        <v>9000</v>
      </c>
      <c r="F76" s="2327">
        <f t="shared" si="0"/>
        <v>0</v>
      </c>
      <c r="G76" s="2307"/>
      <c r="H76" s="275" t="str">
        <f>'Прайс лист'!B1609</f>
        <v>Монтаж перекрытий из двутавровой балки</v>
      </c>
      <c r="I76" s="100"/>
      <c r="J76" s="275">
        <f>D34*E34</f>
        <v>0</v>
      </c>
      <c r="K76" s="275">
        <f t="shared" si="2"/>
        <v>300</v>
      </c>
      <c r="L76" s="275"/>
    </row>
    <row r="77" spans="1:12">
      <c r="A77" s="1062" t="s">
        <v>2134</v>
      </c>
      <c r="B77" s="2325" t="s">
        <v>135</v>
      </c>
      <c r="C77" s="2326">
        <f>IF('Ввод данных'!A33=связи1!A211,1,0)</f>
        <v>0</v>
      </c>
      <c r="D77" s="2326">
        <f>((дома!D1319/перекрытие!J22)*(дома!C1319)+(CEILING(дома!C1319/2.5-1,1))*дома!D1319)*перекрытие!E22*перекрытие!F22*перекрытие!G22*C77*1.05</f>
        <v>0</v>
      </c>
      <c r="E77" s="2326">
        <f>'Прайс лист'!G318</f>
        <v>9000</v>
      </c>
      <c r="F77" s="2327">
        <f t="shared" si="0"/>
        <v>0</v>
      </c>
      <c r="G77" s="2307"/>
      <c r="H77" s="275"/>
      <c r="I77" s="100"/>
      <c r="J77" s="275"/>
      <c r="K77" s="275"/>
      <c r="L77" s="275"/>
    </row>
    <row r="78" spans="1:12">
      <c r="A78" s="1055" t="str">
        <f>'Прайс лист'!B898</f>
        <v xml:space="preserve">Гвозди ершоные 2,8 х 90            </v>
      </c>
      <c r="B78" s="289" t="s">
        <v>188</v>
      </c>
      <c r="C78" s="20"/>
      <c r="D78" s="20">
        <f>SUM(D76:D77)*6</f>
        <v>0</v>
      </c>
      <c r="E78" s="20">
        <f>'Прайс лист'!G898</f>
        <v>76.489999999999995</v>
      </c>
      <c r="F78" s="2327">
        <f>(D78*E78)*(C76+C77)</f>
        <v>0</v>
      </c>
      <c r="G78" s="2307"/>
      <c r="H78" s="275" t="str">
        <f>'Прайс лист'!B1612</f>
        <v>Монтаж утеплителя перекрытия</v>
      </c>
      <c r="I78" s="100"/>
      <c r="J78" s="275">
        <f>дома!F1090*перекрытие!C216</f>
        <v>0</v>
      </c>
      <c r="K78" s="275">
        <f>K52</f>
        <v>200</v>
      </c>
      <c r="L78" s="275"/>
    </row>
    <row r="79" spans="1:12">
      <c r="A79" s="1027" t="s">
        <v>2026</v>
      </c>
      <c r="B79" s="2328" t="s">
        <v>135</v>
      </c>
      <c r="C79" s="2329">
        <f>IF('Ввод данных'!A33=связи1!A212,1,0)</f>
        <v>0</v>
      </c>
      <c r="D79" s="2329">
        <f>((дома!D1319/перекрытие!J27)*(дома!C1319)+(CEILING(дома!C1319/2.5-1,1))*дома!D1319)*перекрытие!E27*перекрытие!F27*перекрытие!G27*C79</f>
        <v>0</v>
      </c>
      <c r="E79" s="2329">
        <f>'Прайс лист'!G308</f>
        <v>12500</v>
      </c>
      <c r="F79" s="2330">
        <f>D79*E79</f>
        <v>0</v>
      </c>
      <c r="G79" s="2307"/>
      <c r="H79" s="275" t="str">
        <f>'Прайс лист'!B1614</f>
        <v>Монтаж ветроизоляции перекрытий</v>
      </c>
      <c r="I79" s="100"/>
      <c r="J79" s="275">
        <f>дома!F1090*C217</f>
        <v>0</v>
      </c>
      <c r="K79" s="275">
        <f>K53</f>
        <v>100</v>
      </c>
      <c r="L79" s="275"/>
    </row>
    <row r="80" spans="1:12">
      <c r="A80" s="1027" t="s">
        <v>4031</v>
      </c>
      <c r="B80" s="2328" t="s">
        <v>135</v>
      </c>
      <c r="C80" s="2329">
        <f>IF('Ввод данных'!A33=связи1!A212,1,0)</f>
        <v>0</v>
      </c>
      <c r="D80" s="2329">
        <f>((дома!D1319/перекрытие!J27)*(дома!C1319)+(CEILING(дома!C1319/2.5-1,1))*дома!D1319)*перекрытие!E27*перекрытие!F27*перекрытие!G27*C80</f>
        <v>0</v>
      </c>
      <c r="E80" s="2329">
        <f>'Прайс лист'!G309</f>
        <v>12500</v>
      </c>
      <c r="F80" s="2330">
        <f>D80*E80</f>
        <v>0</v>
      </c>
      <c r="G80" s="2307"/>
      <c r="H80" s="275" t="str">
        <f>'Прайс лист'!B1615</f>
        <v>Монтаж пароизоляции перекрытий</v>
      </c>
      <c r="I80" s="100"/>
      <c r="J80" s="275">
        <f>дома!F1090*C218</f>
        <v>0</v>
      </c>
      <c r="K80" s="275">
        <f>K54</f>
        <v>100</v>
      </c>
      <c r="L80" s="275"/>
    </row>
    <row r="81" spans="1:12">
      <c r="A81" s="1055" t="str">
        <f>A78</f>
        <v xml:space="preserve">Гвозди ершоные 2,8 х 90            </v>
      </c>
      <c r="B81" s="289" t="s">
        <v>188</v>
      </c>
      <c r="C81" s="20"/>
      <c r="D81" s="20">
        <f>SUM(D79:D80)*6</f>
        <v>0</v>
      </c>
      <c r="E81" s="20">
        <f>E78</f>
        <v>76.489999999999995</v>
      </c>
      <c r="F81" s="2330">
        <f>(D81*E81)*(C79+C80)</f>
        <v>0</v>
      </c>
      <c r="G81" s="2307"/>
      <c r="H81" s="2296" t="s">
        <v>1424</v>
      </c>
      <c r="J81" s="2296">
        <f>дома!F1086*IF(A99=связи1!J237,0,1)</f>
        <v>0</v>
      </c>
      <c r="K81" s="275">
        <f>'Прайс лист'!G1610</f>
        <v>200</v>
      </c>
      <c r="L81" s="275">
        <f>J81*K81</f>
        <v>0</v>
      </c>
    </row>
    <row r="82" spans="1:12">
      <c r="A82" s="2331" t="s">
        <v>243</v>
      </c>
      <c r="B82" s="2332" t="s">
        <v>156</v>
      </c>
      <c r="C82" s="2333">
        <f>IF('Ввод данных'!$A$33=перекрытие!A82,1,0)</f>
        <v>0</v>
      </c>
      <c r="D82" s="2334">
        <f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82</f>
        <v>0</v>
      </c>
      <c r="E82" s="2334">
        <f>'Прайс лист'!G274</f>
        <v>303</v>
      </c>
      <c r="F82" s="2334">
        <f t="shared" ref="F82:F93" si="3">D82*E82</f>
        <v>0</v>
      </c>
      <c r="G82" s="2307"/>
    </row>
    <row r="83" spans="1:12">
      <c r="A83" s="2331" t="s">
        <v>244</v>
      </c>
      <c r="B83" s="2332" t="s">
        <v>156</v>
      </c>
      <c r="C83" s="2333">
        <f>IF('Ввод данных'!$A$33=перекрытие!A83,1,0)</f>
        <v>0</v>
      </c>
      <c r="D83" s="2334">
        <f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83</f>
        <v>0</v>
      </c>
      <c r="E83" s="2334">
        <f>'Прайс лист'!G275</f>
        <v>355</v>
      </c>
      <c r="F83" s="2334">
        <f t="shared" si="3"/>
        <v>0</v>
      </c>
      <c r="G83" s="2307"/>
      <c r="H83" s="275"/>
      <c r="I83" s="100"/>
      <c r="J83" s="275"/>
      <c r="K83" s="275"/>
      <c r="L83" s="275"/>
    </row>
    <row r="84" spans="1:12">
      <c r="A84" s="2331" t="s">
        <v>245</v>
      </c>
      <c r="B84" s="2332" t="s">
        <v>156</v>
      </c>
      <c r="C84" s="2333">
        <f>IF('Ввод данных'!$A$33=перекрытие!A84,1,0)</f>
        <v>0</v>
      </c>
      <c r="D84" s="2334">
        <f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84</f>
        <v>0</v>
      </c>
      <c r="E84" s="2334">
        <f>'Прайс лист'!G276</f>
        <v>287</v>
      </c>
      <c r="F84" s="2334">
        <f t="shared" si="3"/>
        <v>0</v>
      </c>
      <c r="G84" s="2307"/>
      <c r="H84" s="275"/>
      <c r="I84" s="100"/>
      <c r="J84" s="275"/>
      <c r="K84" s="275"/>
      <c r="L84" s="275"/>
    </row>
    <row r="85" spans="1:12">
      <c r="A85" s="2331" t="s">
        <v>246</v>
      </c>
      <c r="B85" s="2332" t="s">
        <v>156</v>
      </c>
      <c r="C85" s="2333">
        <f>IF('Ввод данных'!$A$33=перекрытие!A85,1,0)</f>
        <v>0</v>
      </c>
      <c r="D85" s="2334">
        <f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85</f>
        <v>0</v>
      </c>
      <c r="E85" s="2334">
        <f>'Прайс лист'!G277</f>
        <v>315</v>
      </c>
      <c r="F85" s="2334">
        <f t="shared" si="3"/>
        <v>0</v>
      </c>
      <c r="G85" s="2307"/>
      <c r="H85" s="275"/>
      <c r="I85" s="100"/>
      <c r="J85" s="275"/>
      <c r="K85" s="275"/>
      <c r="L85" s="275"/>
    </row>
    <row r="86" spans="1:12">
      <c r="A86" s="2331" t="s">
        <v>247</v>
      </c>
      <c r="B86" s="2332" t="s">
        <v>156</v>
      </c>
      <c r="C86" s="2333">
        <f>IF('Ввод данных'!$A$33=перекрытие!A86,1,0)</f>
        <v>0</v>
      </c>
      <c r="D86" s="2334">
        <f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86</f>
        <v>0</v>
      </c>
      <c r="E86" s="2334">
        <f>'Прайс лист'!G278</f>
        <v>273</v>
      </c>
      <c r="F86" s="2334">
        <f t="shared" si="3"/>
        <v>0</v>
      </c>
      <c r="G86" s="2307"/>
      <c r="H86" s="275"/>
      <c r="I86" s="100"/>
      <c r="J86" s="275"/>
      <c r="K86" s="275"/>
      <c r="L86" s="275"/>
    </row>
    <row r="87" spans="1:12">
      <c r="A87" s="2331" t="s">
        <v>248</v>
      </c>
      <c r="B87" s="2332" t="s">
        <v>156</v>
      </c>
      <c r="C87" s="2333">
        <f>IF('Ввод данных'!$A$33=перекрытие!A87,1,0)</f>
        <v>0</v>
      </c>
      <c r="D87" s="2334">
        <f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87</f>
        <v>0</v>
      </c>
      <c r="E87" s="2334">
        <f>'Прайс лист'!G279</f>
        <v>315</v>
      </c>
      <c r="F87" s="2334">
        <f t="shared" si="3"/>
        <v>0</v>
      </c>
      <c r="G87" s="2307"/>
      <c r="H87" s="275"/>
      <c r="I87" s="100"/>
      <c r="J87" s="275"/>
      <c r="K87" s="275"/>
      <c r="L87" s="275"/>
    </row>
    <row r="88" spans="1:12">
      <c r="A88" s="2331" t="s">
        <v>249</v>
      </c>
      <c r="B88" s="2332" t="s">
        <v>156</v>
      </c>
      <c r="C88" s="2333">
        <f>IF('Ввод данных'!$A$33=перекрытие!A88,1,0)</f>
        <v>0</v>
      </c>
      <c r="D88" s="2334">
        <f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88</f>
        <v>0</v>
      </c>
      <c r="E88" s="2334">
        <f>'Прайс лист'!G280</f>
        <v>263</v>
      </c>
      <c r="F88" s="2334">
        <f t="shared" si="3"/>
        <v>0</v>
      </c>
      <c r="G88" s="2307"/>
      <c r="H88" s="275"/>
      <c r="I88" s="100"/>
      <c r="J88" s="275"/>
      <c r="K88" s="275"/>
      <c r="L88" s="275"/>
    </row>
    <row r="89" spans="1:12">
      <c r="A89" s="2331" t="s">
        <v>250</v>
      </c>
      <c r="B89" s="2332" t="s">
        <v>156</v>
      </c>
      <c r="C89" s="2333">
        <f>IF('Ввод данных'!$A$33=перекрытие!A89,1,0)</f>
        <v>0</v>
      </c>
      <c r="D89" s="2334">
        <f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89</f>
        <v>0</v>
      </c>
      <c r="E89" s="2334">
        <f>'Прайс лист'!G281</f>
        <v>291</v>
      </c>
      <c r="F89" s="2334">
        <f t="shared" si="3"/>
        <v>0</v>
      </c>
      <c r="G89" s="2307"/>
      <c r="H89" s="275"/>
      <c r="I89" s="100"/>
      <c r="J89" s="275"/>
      <c r="K89" s="275"/>
      <c r="L89" s="275"/>
    </row>
    <row r="90" spans="1:12">
      <c r="A90" s="2331" t="s">
        <v>251</v>
      </c>
      <c r="B90" s="2332" t="s">
        <v>156</v>
      </c>
      <c r="C90" s="2333">
        <f>IF('Ввод данных'!$A$33=перекрытие!A90,1,0)</f>
        <v>0</v>
      </c>
      <c r="D90" s="2334">
        <f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90</f>
        <v>0</v>
      </c>
      <c r="E90" s="2334">
        <f>'Прайс лист'!G282</f>
        <v>250</v>
      </c>
      <c r="F90" s="2334">
        <f t="shared" si="3"/>
        <v>0</v>
      </c>
      <c r="G90" s="2307"/>
      <c r="H90" s="275"/>
      <c r="I90" s="100"/>
      <c r="J90" s="275"/>
      <c r="K90" s="275"/>
      <c r="L90" s="275"/>
    </row>
    <row r="91" spans="1:12">
      <c r="A91" s="2331" t="s">
        <v>252</v>
      </c>
      <c r="B91" s="2332" t="s">
        <v>156</v>
      </c>
      <c r="C91" s="2333">
        <f>IF('Ввод данных'!$A$33=перекрытие!A91,1,0)</f>
        <v>0</v>
      </c>
      <c r="D91" s="2334">
        <f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91</f>
        <v>0</v>
      </c>
      <c r="E91" s="2334">
        <f>'Прайс лист'!G283</f>
        <v>280</v>
      </c>
      <c r="F91" s="2334">
        <f t="shared" si="3"/>
        <v>0</v>
      </c>
      <c r="G91" s="2307"/>
      <c r="H91" s="275"/>
      <c r="I91" s="100"/>
      <c r="J91" s="275"/>
      <c r="K91" s="275"/>
      <c r="L91" s="275"/>
    </row>
    <row r="92" spans="1:12">
      <c r="A92" s="2331" t="s">
        <v>253</v>
      </c>
      <c r="B92" s="2332" t="s">
        <v>156</v>
      </c>
      <c r="C92" s="2333">
        <f>IF('Ввод данных'!$A$33=перекрытие!A92,1,0)</f>
        <v>0</v>
      </c>
      <c r="D92" s="2334">
        <f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92</f>
        <v>0</v>
      </c>
      <c r="E92" s="2334">
        <f>'Прайс лист'!G284</f>
        <v>220</v>
      </c>
      <c r="F92" s="2334">
        <f t="shared" si="3"/>
        <v>0</v>
      </c>
      <c r="G92" s="2307"/>
      <c r="H92" s="275"/>
      <c r="I92" s="100"/>
      <c r="J92" s="275"/>
      <c r="K92" s="275"/>
      <c r="L92" s="275"/>
    </row>
    <row r="93" spans="1:12">
      <c r="A93" s="2331" t="s">
        <v>254</v>
      </c>
      <c r="B93" s="2332" t="s">
        <v>156</v>
      </c>
      <c r="C93" s="2333">
        <f>IF('Ввод данных'!$A$33=перекрытие!A93,1,0)</f>
        <v>0</v>
      </c>
      <c r="D93" s="2334">
        <f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93</f>
        <v>0</v>
      </c>
      <c r="E93" s="2334">
        <f>'Прайс лист'!G285</f>
        <v>250</v>
      </c>
      <c r="F93" s="2334">
        <f t="shared" si="3"/>
        <v>0</v>
      </c>
      <c r="G93" s="2307"/>
      <c r="H93" s="275"/>
      <c r="I93" s="100"/>
      <c r="J93" s="275"/>
      <c r="K93" s="275"/>
      <c r="L93" s="275"/>
    </row>
    <row r="94" spans="1:12">
      <c r="A94" s="223" t="str">
        <f>'Прайс лист'!B838</f>
        <v xml:space="preserve">Уголок усиленный 90х70х55х2,5        </v>
      </c>
      <c r="B94" s="289" t="s">
        <v>159</v>
      </c>
      <c r="C94" s="127"/>
      <c r="D94" s="69">
        <f>CEILING(((IF(G32=0.8,1.6,0)+IF(G32=0.7,2,0)+IF(G32=0.6,2.44,0)+IF(G32=0.5,3.25,0)+IF(G32=0.4,3.67,0)+IF(G32=0.3,4.1,0))*D32*E32),1)</f>
        <v>0</v>
      </c>
      <c r="E94" s="69">
        <f>'Прайс лист'!G838</f>
        <v>30</v>
      </c>
      <c r="F94" s="2334">
        <f>D94*E94*SUM(C82:C93)</f>
        <v>0</v>
      </c>
      <c r="G94" s="2307"/>
      <c r="H94" s="275"/>
      <c r="I94" s="100"/>
      <c r="J94" s="275"/>
      <c r="K94" s="275"/>
      <c r="L94" s="275"/>
    </row>
    <row r="95" spans="1:12">
      <c r="A95" s="223" t="str">
        <f>'Прайс лист'!B878</f>
        <v xml:space="preserve">Саморезы 3,5 x 55            </v>
      </c>
      <c r="B95" s="289" t="s">
        <v>159</v>
      </c>
      <c r="C95" s="127"/>
      <c r="D95" s="69">
        <f>D94*4</f>
        <v>0</v>
      </c>
      <c r="E95" s="69">
        <f>'Прайс лист'!F878</f>
        <v>0.3</v>
      </c>
      <c r="F95" s="2334">
        <f>D95*E95*SUM(C82:C93)</f>
        <v>0</v>
      </c>
      <c r="G95" s="2307"/>
      <c r="H95" s="275"/>
      <c r="I95" s="100"/>
      <c r="J95" s="275"/>
      <c r="K95" s="275"/>
      <c r="L95" s="275"/>
    </row>
    <row r="96" spans="1:12">
      <c r="A96" s="98" t="str">
        <f>'Ввод данных'!A39</f>
        <v>Нет</v>
      </c>
      <c r="B96" s="99" t="s">
        <v>135</v>
      </c>
      <c r="C96" s="2296">
        <f>IF('Ввод данных'!A44='Прайс лист'!B744,0,1)</f>
        <v>1</v>
      </c>
      <c r="D96" s="19">
        <f>дома!F1086*VLOOKUP(A96,'Прайс лист'!B744:G782,3,0)</f>
        <v>0</v>
      </c>
      <c r="E96" s="100">
        <f>VLOOKUP(A96,'Прайс лист'!B744:G782,6,0)</f>
        <v>0</v>
      </c>
      <c r="F96" s="100">
        <f t="shared" ref="F96:F136" si="4">D96*E96</f>
        <v>0</v>
      </c>
      <c r="G96" s="2307"/>
      <c r="H96" s="275"/>
      <c r="I96" s="100"/>
      <c r="J96" s="275"/>
      <c r="K96" s="275"/>
      <c r="L96" s="275"/>
    </row>
    <row r="97" spans="1:12">
      <c r="A97" s="98" t="str">
        <f>'Ввод данных'!A40</f>
        <v>нет ветроизоляции</v>
      </c>
      <c r="B97" s="99" t="s">
        <v>133</v>
      </c>
      <c r="C97" s="19">
        <f>IF(A97='Прайс лист'!B793,0,1)</f>
        <v>0</v>
      </c>
      <c r="D97" s="100">
        <f>дома!F1086</f>
        <v>100</v>
      </c>
      <c r="E97" s="100">
        <f>VLOOKUP(A97,'Прайс лист'!B793:G819,6,0)</f>
        <v>0</v>
      </c>
      <c r="F97" s="100">
        <f t="shared" si="4"/>
        <v>0</v>
      </c>
      <c r="G97" s="2307"/>
      <c r="H97" s="275"/>
      <c r="I97" s="100"/>
      <c r="J97" s="275"/>
      <c r="K97" s="275"/>
      <c r="L97" s="275"/>
    </row>
    <row r="98" spans="1:12">
      <c r="A98" s="98" t="str">
        <f>'Ввод данных'!A41</f>
        <v>нет пароизоляции</v>
      </c>
      <c r="B98" s="99" t="s">
        <v>133</v>
      </c>
      <c r="C98" s="19">
        <f>IF(A98='Прайс лист'!B820,0,1)</f>
        <v>0</v>
      </c>
      <c r="D98" s="100">
        <f>дома!F1086</f>
        <v>100</v>
      </c>
      <c r="E98" s="100">
        <f>VLOOKUP(A98,'Прайс лист'!B820:G831,6,0)</f>
        <v>0</v>
      </c>
      <c r="F98" s="100">
        <f t="shared" si="4"/>
        <v>0</v>
      </c>
      <c r="G98" s="2307"/>
      <c r="H98" s="275"/>
      <c r="I98" s="100"/>
      <c r="J98" s="275"/>
      <c r="K98" s="275"/>
      <c r="L98" s="275"/>
    </row>
    <row r="99" spans="1:12">
      <c r="A99" s="2335" t="str">
        <f>'Ввод данных'!A35</f>
        <v>Нет перекрестного пола</v>
      </c>
      <c r="B99" s="2336" t="s">
        <v>135</v>
      </c>
      <c r="C99" s="2337"/>
      <c r="D99" s="2338">
        <f>(дома!D1319/перекрытие!H19*дома!C1319+дома!D1229*(дома!C1245/перекрытие!H19*дома!C1244)+1/перекрытие!H19*дома!J96)*перекрытие!E19*перекрытие!G19*перекрытие!F19</f>
        <v>0</v>
      </c>
      <c r="E99" s="2338">
        <f>VLOOKUP('Ввод данных'!A35,связи1!J237:K240,2,0)</f>
        <v>0</v>
      </c>
      <c r="F99" s="2338">
        <f t="shared" si="4"/>
        <v>0</v>
      </c>
      <c r="G99" s="2307"/>
    </row>
    <row r="100" spans="1:12">
      <c r="A100" s="2335" t="str">
        <f>'Прайс лист'!B890</f>
        <v xml:space="preserve">Гвозди строительные 3,5 x 90            </v>
      </c>
      <c r="B100" s="2336" t="s">
        <v>188</v>
      </c>
      <c r="C100" s="2337"/>
      <c r="D100" s="2338">
        <f>D99*5</f>
        <v>0</v>
      </c>
      <c r="E100" s="2339">
        <f>'Прайс лист'!G890</f>
        <v>70</v>
      </c>
      <c r="F100" s="2338">
        <f t="shared" si="4"/>
        <v>0</v>
      </c>
      <c r="G100" s="2307"/>
    </row>
    <row r="101" spans="1:12">
      <c r="A101" s="98" t="s">
        <v>131</v>
      </c>
      <c r="B101" s="99" t="s">
        <v>133</v>
      </c>
      <c r="C101" s="19"/>
      <c r="D101" s="100">
        <f>(перекрытие!D4*перекрытие!E4)</f>
        <v>0</v>
      </c>
      <c r="E101" s="100">
        <f>'Прайс лист'!G161</f>
        <v>1400</v>
      </c>
      <c r="F101" s="100">
        <f t="shared" si="4"/>
        <v>0</v>
      </c>
      <c r="G101" s="2307"/>
      <c r="K101" s="275"/>
      <c r="L101" s="275"/>
    </row>
    <row r="102" spans="1:12">
      <c r="A102" s="98" t="str">
        <f>A43</f>
        <v>Раствор, м250</v>
      </c>
      <c r="B102" s="99" t="s">
        <v>135</v>
      </c>
      <c r="C102" s="19"/>
      <c r="D102" s="100">
        <f>(('Ввод данных'!C11+'Ввод данных'!C11)*0.2*0.15+'Ввод данных'!C11+'Ввод данных'!C11+'Ввод данных'!C12+'Ввод данных'!C12+'Ввод данных'!C112*'Ввод данных'!D112+'Ввод данных'!C113*'Ввод данных'!D113+'Ввод данных'!C114*'Ввод данных'!D114+'Ввод данных'!C115*'Ввод данных'!D115+'Ввод данных'!C120*'Ввод данных'!D120+'Ввод данных'!C121*'Ввод данных'!D121+'Ввод данных'!C122*'Ввод данных'!D122+'Ввод данных'!C123*'Ввод данных'!D123)*0.2*0.02*E4</f>
        <v>0</v>
      </c>
      <c r="E102" s="100">
        <f>'Прайс лист'!G230</f>
        <v>2500</v>
      </c>
      <c r="F102" s="100">
        <f t="shared" si="4"/>
        <v>0</v>
      </c>
      <c r="G102" s="2307"/>
      <c r="K102" s="275"/>
      <c r="L102" s="275"/>
    </row>
    <row r="103" spans="1:12">
      <c r="A103" s="1381" t="s">
        <v>4018</v>
      </c>
      <c r="B103" s="1160" t="s">
        <v>133</v>
      </c>
      <c r="C103" s="1160">
        <f>IF('Ввод данных'!A43=связи1!A214,1,0)</f>
        <v>0</v>
      </c>
      <c r="D103" s="2340">
        <f>(перекрытие!D9*перекрытие!E9)*C103</f>
        <v>0</v>
      </c>
      <c r="E103" s="2340">
        <v>1</v>
      </c>
      <c r="F103" s="2340">
        <f t="shared" si="4"/>
        <v>0</v>
      </c>
      <c r="G103" s="2307"/>
      <c r="K103" s="275"/>
      <c r="L103" s="275"/>
    </row>
    <row r="104" spans="1:12">
      <c r="A104" s="1381" t="s">
        <v>4019</v>
      </c>
      <c r="B104" s="1160" t="s">
        <v>133</v>
      </c>
      <c r="C104" s="1160">
        <f>IF('Ввод данных'!A43=связи1!A215,1,0)</f>
        <v>0</v>
      </c>
      <c r="D104" s="2340">
        <f>(перекрытие!D9*перекрытие!E9)*C104</f>
        <v>0</v>
      </c>
      <c r="E104" s="2340">
        <v>1</v>
      </c>
      <c r="F104" s="2340">
        <f t="shared" si="4"/>
        <v>0</v>
      </c>
      <c r="G104" s="2307"/>
      <c r="K104" s="275"/>
      <c r="L104" s="275"/>
    </row>
    <row r="105" spans="1:12">
      <c r="A105" s="1381" t="s">
        <v>4020</v>
      </c>
      <c r="B105" s="1160" t="s">
        <v>133</v>
      </c>
      <c r="C105" s="1160">
        <f>IF('Ввод данных'!A43=связи1!A216,1,0)</f>
        <v>0</v>
      </c>
      <c r="D105" s="2340">
        <f>(перекрытие!D9*перекрытие!E9)*C105</f>
        <v>0</v>
      </c>
      <c r="E105" s="2340">
        <v>1</v>
      </c>
      <c r="F105" s="2340">
        <f t="shared" si="4"/>
        <v>0</v>
      </c>
      <c r="G105" s="2307"/>
      <c r="K105" s="275"/>
      <c r="L105" s="275"/>
    </row>
    <row r="106" spans="1:12">
      <c r="A106" s="1381" t="s">
        <v>4021</v>
      </c>
      <c r="B106" s="1160" t="s">
        <v>133</v>
      </c>
      <c r="C106" s="1160">
        <f>IF('Ввод данных'!A43=связи1!A217,1,0)</f>
        <v>0</v>
      </c>
      <c r="D106" s="2340">
        <f>(перекрытие!D9*перекрытие!E9)*C106</f>
        <v>0</v>
      </c>
      <c r="E106" s="2340">
        <v>1</v>
      </c>
      <c r="F106" s="2340">
        <f t="shared" si="4"/>
        <v>0</v>
      </c>
      <c r="G106" s="2307"/>
      <c r="K106" s="275"/>
      <c r="L106" s="275"/>
    </row>
    <row r="107" spans="1:12">
      <c r="A107" s="1381" t="s">
        <v>4022</v>
      </c>
      <c r="B107" s="1160" t="s">
        <v>133</v>
      </c>
      <c r="C107" s="1160">
        <f>IF('Ввод данных'!A43=связи1!A218,1,0)</f>
        <v>0</v>
      </c>
      <c r="D107" s="2340">
        <f>(перекрытие!D9*перекрытие!E9)*C107</f>
        <v>0</v>
      </c>
      <c r="E107" s="2340">
        <v>1</v>
      </c>
      <c r="F107" s="2340">
        <f t="shared" si="4"/>
        <v>0</v>
      </c>
      <c r="G107" s="2307"/>
      <c r="H107" s="275"/>
      <c r="I107" s="100"/>
      <c r="J107" s="275"/>
      <c r="K107" s="275"/>
      <c r="L107" s="275"/>
    </row>
    <row r="108" spans="1:12">
      <c r="A108" s="1381" t="s">
        <v>4023</v>
      </c>
      <c r="B108" s="1160" t="s">
        <v>133</v>
      </c>
      <c r="C108" s="1160">
        <f>IF('Ввод данных'!A43=связи1!A219,1,0)</f>
        <v>0</v>
      </c>
      <c r="D108" s="2340">
        <f>(перекрытие!D9*перекрытие!E9)*C108</f>
        <v>0</v>
      </c>
      <c r="E108" s="2340">
        <v>1</v>
      </c>
      <c r="F108" s="2340">
        <f t="shared" si="4"/>
        <v>0</v>
      </c>
      <c r="G108" s="2307"/>
      <c r="H108" s="275"/>
      <c r="I108" s="100"/>
      <c r="J108" s="275"/>
      <c r="K108" s="275"/>
      <c r="L108" s="275"/>
    </row>
    <row r="109" spans="1:12">
      <c r="A109" s="1381" t="s">
        <v>4024</v>
      </c>
      <c r="B109" s="1160" t="s">
        <v>133</v>
      </c>
      <c r="C109" s="1160">
        <f>IF('Ввод данных'!A43=связи1!A220,1,0)</f>
        <v>0</v>
      </c>
      <c r="D109" s="2340">
        <f>(перекрытие!D9*перекрытие!E9)*C109</f>
        <v>0</v>
      </c>
      <c r="E109" s="2340">
        <v>1</v>
      </c>
      <c r="F109" s="2340">
        <f t="shared" si="4"/>
        <v>0</v>
      </c>
      <c r="G109" s="2307"/>
      <c r="H109" s="275"/>
      <c r="I109" s="100"/>
      <c r="J109" s="275"/>
      <c r="K109" s="275"/>
      <c r="L109" s="275"/>
    </row>
    <row r="110" spans="1:12">
      <c r="A110" s="1381" t="s">
        <v>4025</v>
      </c>
      <c r="B110" s="1160" t="s">
        <v>133</v>
      </c>
      <c r="C110" s="1160">
        <f>IF('Ввод данных'!A43=связи1!A221,1,0)</f>
        <v>0</v>
      </c>
      <c r="D110" s="2340">
        <f>(перекрытие!D9*перекрытие!E9)*C110</f>
        <v>0</v>
      </c>
      <c r="E110" s="2340">
        <v>1</v>
      </c>
      <c r="F110" s="2340">
        <f t="shared" si="4"/>
        <v>0</v>
      </c>
      <c r="G110" s="2307"/>
      <c r="H110" s="275"/>
      <c r="I110" s="100"/>
      <c r="J110" s="275"/>
      <c r="K110" s="275"/>
      <c r="L110" s="275"/>
    </row>
    <row r="111" spans="1:12">
      <c r="A111" s="98" t="s">
        <v>4026</v>
      </c>
      <c r="B111" s="2341" t="s">
        <v>135</v>
      </c>
      <c r="C111" s="99"/>
      <c r="D111" s="2342">
        <f>((D9/5+5*2)*перекрытие!E9+D9*1.1*E9)*0.05*1.1</f>
        <v>0</v>
      </c>
      <c r="E111" s="2342">
        <f>'Прайс лист'!G291</f>
        <v>6500</v>
      </c>
      <c r="F111" s="2340">
        <f t="shared" si="4"/>
        <v>0</v>
      </c>
      <c r="G111" s="2307"/>
      <c r="H111" s="275"/>
      <c r="I111" s="100"/>
      <c r="J111" s="275"/>
      <c r="K111" s="275"/>
      <c r="L111" s="275"/>
    </row>
    <row r="112" spans="1:12">
      <c r="A112" s="98" t="s">
        <v>3998</v>
      </c>
      <c r="B112" s="99" t="s">
        <v>159</v>
      </c>
      <c r="C112" s="99"/>
      <c r="D112" s="100">
        <f>SUM(D103:D110)</f>
        <v>0</v>
      </c>
      <c r="E112" s="100">
        <v>0</v>
      </c>
      <c r="F112" s="2340">
        <f t="shared" si="4"/>
        <v>0</v>
      </c>
      <c r="G112" s="2307"/>
      <c r="H112" s="275"/>
      <c r="I112" s="100"/>
      <c r="J112" s="275"/>
      <c r="K112" s="275"/>
      <c r="L112" s="275"/>
    </row>
    <row r="113" spans="1:12">
      <c r="A113" s="98" t="str">
        <f>A54</f>
        <v xml:space="preserve">Пленка гидроизоляционная </v>
      </c>
      <c r="B113" s="99" t="s">
        <v>133</v>
      </c>
      <c r="C113" s="99"/>
      <c r="D113" s="100">
        <f>(перекрытие!D9*перекрытие!E9*1.3)</f>
        <v>0</v>
      </c>
      <c r="E113" s="100">
        <f>E54</f>
        <v>15</v>
      </c>
      <c r="F113" s="2340">
        <f t="shared" si="4"/>
        <v>0</v>
      </c>
      <c r="G113" s="2307"/>
      <c r="H113" s="275"/>
      <c r="I113" s="100"/>
      <c r="J113" s="275"/>
      <c r="K113" s="275"/>
      <c r="L113" s="275"/>
    </row>
    <row r="114" spans="1:12">
      <c r="A114" s="98" t="str">
        <f>'Ввод данных'!D43</f>
        <v>Арматура М10</v>
      </c>
      <c r="B114" s="99" t="s">
        <v>156</v>
      </c>
      <c r="C114" s="99"/>
      <c r="D114" s="100">
        <f>(1/перекрытие!J9*перекрытие!E9*перекрытие!H9*перекрытие!D9)</f>
        <v>0</v>
      </c>
      <c r="E114" s="100">
        <f>VLOOKUP(A114,связи1!A399:B405,2,0)</f>
        <v>21.0397</v>
      </c>
      <c r="F114" s="2340">
        <f t="shared" si="4"/>
        <v>0</v>
      </c>
      <c r="G114" s="2307"/>
      <c r="H114" s="275"/>
      <c r="I114" s="100"/>
      <c r="J114" s="275"/>
      <c r="K114" s="275"/>
      <c r="L114" s="275"/>
    </row>
    <row r="115" spans="1:12">
      <c r="A115" s="98" t="str">
        <f>A56</f>
        <v>Вязальная проволока</v>
      </c>
      <c r="B115" s="99" t="s">
        <v>188</v>
      </c>
      <c r="C115" s="99"/>
      <c r="D115" s="100">
        <f>D114/40</f>
        <v>0</v>
      </c>
      <c r="E115" s="100">
        <f>E56</f>
        <v>80</v>
      </c>
      <c r="F115" s="2340">
        <f t="shared" si="4"/>
        <v>0</v>
      </c>
      <c r="G115" s="2307"/>
      <c r="H115" s="275"/>
      <c r="I115" s="100"/>
      <c r="J115" s="275"/>
      <c r="K115" s="275"/>
      <c r="L115" s="275"/>
    </row>
    <row r="116" spans="1:12">
      <c r="A116" s="98" t="str">
        <f>A57</f>
        <v>Подставка под арматурный каркас</v>
      </c>
      <c r="B116" s="99" t="s">
        <v>159</v>
      </c>
      <c r="C116" s="99"/>
      <c r="D116" s="100">
        <f>(перекрытие!D9*перекрытие!E9)*4</f>
        <v>0</v>
      </c>
      <c r="E116" s="100">
        <f>E57</f>
        <v>5</v>
      </c>
      <c r="F116" s="2340">
        <f t="shared" si="4"/>
        <v>0</v>
      </c>
      <c r="G116" s="2307"/>
      <c r="H116" s="275"/>
      <c r="I116" s="100"/>
      <c r="J116" s="275"/>
      <c r="K116" s="275"/>
      <c r="L116" s="275"/>
    </row>
    <row r="117" spans="1:12">
      <c r="A117" s="98" t="s">
        <v>4027</v>
      </c>
      <c r="B117" s="99" t="s">
        <v>135</v>
      </c>
      <c r="C117" s="99"/>
      <c r="D117" s="100">
        <f>(перекрытие!D9*перекрытие!E9*перекрытие!F9)</f>
        <v>0</v>
      </c>
      <c r="E117" s="100">
        <f>'Прайс лист'!G228</f>
        <v>3500</v>
      </c>
      <c r="F117" s="2340">
        <f t="shared" si="4"/>
        <v>0</v>
      </c>
      <c r="G117" s="2307"/>
      <c r="H117" s="275"/>
      <c r="I117" s="100"/>
      <c r="J117" s="275"/>
      <c r="K117" s="275"/>
      <c r="L117" s="275"/>
    </row>
    <row r="118" spans="1:12">
      <c r="A118" s="1032" t="s">
        <v>4028</v>
      </c>
      <c r="B118" s="2343" t="s">
        <v>135</v>
      </c>
      <c r="C118" s="2343">
        <f>IF('Ввод данных'!A43=связи1!A204,1,0)</f>
        <v>0</v>
      </c>
      <c r="D118" s="2344">
        <f>((дома!D1319/перекрытие!J15)*(дома!C1319)*перекрытие!F15*перекрытие!G15*перекрытие!E15)*C118</f>
        <v>0</v>
      </c>
      <c r="E118" s="2344">
        <f>связи1!D204</f>
        <v>6500</v>
      </c>
      <c r="F118" s="2344">
        <f t="shared" si="4"/>
        <v>0</v>
      </c>
      <c r="G118" s="2307"/>
      <c r="K118" s="275"/>
      <c r="L118" s="275"/>
    </row>
    <row r="119" spans="1:12">
      <c r="A119" s="1032" t="s">
        <v>4029</v>
      </c>
      <c r="B119" s="2343" t="s">
        <v>135</v>
      </c>
      <c r="C119" s="2343">
        <f>IF('Ввод данных'!A43=связи1!A205,1,0)</f>
        <v>0</v>
      </c>
      <c r="D119" s="2344">
        <f>((дома!D1319/перекрытие!J15)*(дома!C1319)*перекрытие!F15*перекрытие!G15*перекрытие!E15)*C119</f>
        <v>0</v>
      </c>
      <c r="E119" s="2344">
        <f>связи1!D205</f>
        <v>6500</v>
      </c>
      <c r="F119" s="2344">
        <f t="shared" si="4"/>
        <v>0</v>
      </c>
      <c r="G119" s="2307"/>
      <c r="H119" s="275"/>
      <c r="I119" s="100"/>
      <c r="J119" s="275"/>
      <c r="K119" s="275"/>
      <c r="L119" s="275"/>
    </row>
    <row r="120" spans="1:12">
      <c r="A120" s="1032" t="s">
        <v>1967</v>
      </c>
      <c r="B120" s="2343" t="s">
        <v>135</v>
      </c>
      <c r="C120" s="2343">
        <f>IF('Ввод данных'!A43=связи1!A206,1,0)</f>
        <v>0</v>
      </c>
      <c r="D120" s="2344">
        <f>((дома!D1319/перекрытие!J15)*(дома!C1319)*перекрытие!F15*перекрытие!G15*перекрытие!E15)*C120</f>
        <v>0</v>
      </c>
      <c r="E120" s="2344">
        <f>связи1!D206</f>
        <v>6500</v>
      </c>
      <c r="F120" s="2344">
        <f t="shared" si="4"/>
        <v>0</v>
      </c>
      <c r="G120" s="2307"/>
      <c r="H120" s="275"/>
      <c r="I120" s="100"/>
      <c r="J120" s="275"/>
      <c r="K120" s="275"/>
      <c r="L120" s="275"/>
    </row>
    <row r="121" spans="1:12">
      <c r="A121" s="1032" t="s">
        <v>2366</v>
      </c>
      <c r="B121" s="2343" t="s">
        <v>135</v>
      </c>
      <c r="C121" s="2343">
        <f>IF('Ввод данных'!A43=связи1!A207,1,0)</f>
        <v>0</v>
      </c>
      <c r="D121" s="2344">
        <f>((дома!D1319/перекрытие!J15)*(дома!C1319)*перекрытие!F15*перекрытие!G15*перекрытие!E15)*C121</f>
        <v>0</v>
      </c>
      <c r="E121" s="2344">
        <f>связи1!D207</f>
        <v>6500</v>
      </c>
      <c r="F121" s="2344">
        <f t="shared" si="4"/>
        <v>0</v>
      </c>
      <c r="G121" s="2307"/>
      <c r="H121" s="275"/>
      <c r="I121" s="100"/>
      <c r="J121" s="275"/>
      <c r="K121" s="275"/>
      <c r="L121" s="275"/>
    </row>
    <row r="122" spans="1:12">
      <c r="A122" s="1032" t="s">
        <v>2068</v>
      </c>
      <c r="B122" s="2343" t="s">
        <v>135</v>
      </c>
      <c r="C122" s="2343">
        <f>IF('Ввод данных'!A43=связи1!A208,1,0)</f>
        <v>0</v>
      </c>
      <c r="D122" s="2344">
        <f>((дома!D1319/перекрытие!J15)*(дома!C1319)*перекрытие!F15*перекрытие!G15*перекрытие!E15)*C122</f>
        <v>0</v>
      </c>
      <c r="E122" s="2344">
        <f>связи1!D208</f>
        <v>6500</v>
      </c>
      <c r="F122" s="2344">
        <f t="shared" si="4"/>
        <v>0</v>
      </c>
      <c r="G122" s="2307"/>
      <c r="H122" s="275"/>
      <c r="I122" s="100"/>
      <c r="J122" s="275"/>
      <c r="K122" s="275"/>
      <c r="L122" s="275"/>
    </row>
    <row r="123" spans="1:12">
      <c r="A123" s="1032" t="s">
        <v>4030</v>
      </c>
      <c r="B123" s="2343" t="s">
        <v>135</v>
      </c>
      <c r="C123" s="2343">
        <f>IF('Ввод данных'!A43=связи1!A209,1,0)</f>
        <v>0</v>
      </c>
      <c r="D123" s="2344">
        <f>((дома!D1319/перекрытие!J15)*(дома!C1319)*перекрытие!F15*перекрытие!G15*перекрытие!E15)*C123</f>
        <v>0</v>
      </c>
      <c r="E123" s="2344">
        <f>связи1!D209</f>
        <v>6500</v>
      </c>
      <c r="F123" s="2344">
        <f t="shared" si="4"/>
        <v>0</v>
      </c>
      <c r="G123" s="2307"/>
      <c r="H123" s="275"/>
      <c r="I123" s="100"/>
      <c r="J123" s="275"/>
      <c r="K123" s="275"/>
      <c r="L123" s="275"/>
    </row>
    <row r="124" spans="1:12">
      <c r="A124" s="98" t="str">
        <f>A65</f>
        <v xml:space="preserve">Опора бруса          </v>
      </c>
      <c r="B124" s="99" t="s">
        <v>159</v>
      </c>
      <c r="C124" s="99"/>
      <c r="D124" s="100">
        <f>CEILING((D15*E15)*1.1,1)</f>
        <v>0</v>
      </c>
      <c r="E124" s="100">
        <f>E65</f>
        <v>50</v>
      </c>
      <c r="F124" s="2344">
        <f t="shared" si="4"/>
        <v>0</v>
      </c>
      <c r="G124" s="2307"/>
      <c r="H124" s="275"/>
      <c r="I124" s="100"/>
      <c r="J124" s="275"/>
      <c r="K124" s="275"/>
      <c r="L124" s="275"/>
    </row>
    <row r="125" spans="1:12">
      <c r="A125" s="98" t="str">
        <f>A66</f>
        <v xml:space="preserve">Болты анкерные с гайкой 8,0 x 60           </v>
      </c>
      <c r="B125" s="99" t="s">
        <v>159</v>
      </c>
      <c r="C125" s="99"/>
      <c r="D125" s="100">
        <f>D124*4</f>
        <v>0</v>
      </c>
      <c r="E125" s="100">
        <f>E66</f>
        <v>4</v>
      </c>
      <c r="F125" s="2344">
        <f t="shared" si="4"/>
        <v>0</v>
      </c>
      <c r="G125" s="2307"/>
      <c r="H125" s="275"/>
      <c r="I125" s="100"/>
      <c r="J125" s="275"/>
      <c r="K125" s="275"/>
      <c r="L125" s="275"/>
    </row>
    <row r="126" spans="1:12">
      <c r="A126" s="1062" t="str">
        <f>связи1!A201</f>
        <v>Sip панель 2500*625*124мм</v>
      </c>
      <c r="B126" s="2325" t="s">
        <v>133</v>
      </c>
      <c r="C126" s="2345">
        <f>IF('Ввод данных'!A43=связи1!A201,1,0)</f>
        <v>0</v>
      </c>
      <c r="D126" s="2327">
        <f>D38*E38*C126</f>
        <v>0</v>
      </c>
      <c r="E126" s="2327">
        <f>'Прайс лист'!G259</f>
        <v>800</v>
      </c>
      <c r="F126" s="2327">
        <f t="shared" si="4"/>
        <v>0</v>
      </c>
      <c r="G126" s="2307"/>
      <c r="K126" s="275"/>
      <c r="L126" s="275"/>
    </row>
    <row r="127" spans="1:12">
      <c r="A127" s="1062" t="str">
        <f>связи1!A202</f>
        <v>Sip панель 2500*625*174мм</v>
      </c>
      <c r="B127" s="2325" t="s">
        <v>133</v>
      </c>
      <c r="C127" s="2345">
        <f>IF('Ввод данных'!A43=связи1!A202,1,0)</f>
        <v>0</v>
      </c>
      <c r="D127" s="2327">
        <f>D38*E38*C127</f>
        <v>0</v>
      </c>
      <c r="E127" s="2327">
        <f>'Прайс лист'!G260</f>
        <v>1200</v>
      </c>
      <c r="F127" s="2327">
        <f t="shared" si="4"/>
        <v>0</v>
      </c>
      <c r="G127" s="2307"/>
      <c r="K127" s="275"/>
      <c r="L127" s="275"/>
    </row>
    <row r="128" spans="1:12">
      <c r="A128" s="1062" t="str">
        <f>связи1!A203</f>
        <v>Sip панель 2500*625*224мм</v>
      </c>
      <c r="B128" s="2325" t="s">
        <v>133</v>
      </c>
      <c r="C128" s="2345">
        <f>IF('Ввод данных'!A43=связи1!A203,1,0)</f>
        <v>0</v>
      </c>
      <c r="D128" s="2327">
        <f>D38*E38*C128</f>
        <v>0</v>
      </c>
      <c r="E128" s="2327">
        <f>'Прайс лист'!G270</f>
        <v>1400</v>
      </c>
      <c r="F128" s="2327">
        <f t="shared" si="4"/>
        <v>0</v>
      </c>
      <c r="G128" s="2307"/>
      <c r="K128" s="275"/>
      <c r="L128" s="275"/>
    </row>
    <row r="129" spans="1:12">
      <c r="A129" s="1055" t="s">
        <v>2312</v>
      </c>
      <c r="B129" s="1339" t="s">
        <v>156</v>
      </c>
      <c r="C129" s="99"/>
      <c r="D129" s="100">
        <f>D126*C126*4*1.05</f>
        <v>0</v>
      </c>
      <c r="E129" s="100">
        <f>E70</f>
        <v>45</v>
      </c>
      <c r="F129" s="2327">
        <f t="shared" si="4"/>
        <v>0</v>
      </c>
      <c r="G129" s="2307"/>
      <c r="K129" s="275"/>
      <c r="L129" s="275"/>
    </row>
    <row r="130" spans="1:12">
      <c r="A130" s="1055" t="s">
        <v>2134</v>
      </c>
      <c r="B130" s="1339" t="s">
        <v>156</v>
      </c>
      <c r="C130" s="99"/>
      <c r="D130" s="100">
        <f>D127*C127*4*1.05</f>
        <v>0</v>
      </c>
      <c r="E130" s="100">
        <f>E71</f>
        <v>67.5</v>
      </c>
      <c r="F130" s="2327">
        <f t="shared" si="4"/>
        <v>0</v>
      </c>
      <c r="G130" s="2307"/>
      <c r="K130" s="275"/>
      <c r="L130" s="275"/>
    </row>
    <row r="131" spans="1:12">
      <c r="A131" s="1055" t="s">
        <v>1908</v>
      </c>
      <c r="B131" s="1339" t="s">
        <v>156</v>
      </c>
      <c r="C131" s="99"/>
      <c r="D131" s="100">
        <f>D128*C128*4*1.05</f>
        <v>0</v>
      </c>
      <c r="E131" s="100">
        <f>E72</f>
        <v>90</v>
      </c>
      <c r="F131" s="2327">
        <f t="shared" si="4"/>
        <v>0</v>
      </c>
      <c r="G131" s="2307"/>
      <c r="K131" s="275"/>
      <c r="L131" s="275"/>
    </row>
    <row r="132" spans="1:12">
      <c r="A132" s="19" t="str">
        <f>A73</f>
        <v>Пена монтажная, всесезонняя 800мл</v>
      </c>
      <c r="B132" s="289" t="s">
        <v>159</v>
      </c>
      <c r="C132" s="99"/>
      <c r="D132" s="100">
        <f>CEILING(SUM(D126:D128)/12,1)</f>
        <v>0</v>
      </c>
      <c r="E132" s="100">
        <f>E73</f>
        <v>300</v>
      </c>
      <c r="F132" s="2327">
        <f t="shared" si="4"/>
        <v>0</v>
      </c>
      <c r="G132" s="2307"/>
      <c r="K132" s="275"/>
      <c r="L132" s="275"/>
    </row>
    <row r="133" spans="1:12">
      <c r="A133" s="19" t="str">
        <f>A74</f>
        <v xml:space="preserve">Гвозди строительные 3,5 x 90            </v>
      </c>
      <c r="B133" s="289" t="s">
        <v>159</v>
      </c>
      <c r="C133" s="99"/>
      <c r="D133" s="100">
        <f>SUM(D129:D131)</f>
        <v>0</v>
      </c>
      <c r="E133" s="100">
        <f>E74</f>
        <v>45</v>
      </c>
      <c r="F133" s="2327">
        <f t="shared" si="4"/>
        <v>0</v>
      </c>
      <c r="G133" s="2307"/>
      <c r="K133" s="275"/>
      <c r="L133" s="275"/>
    </row>
    <row r="134" spans="1:12">
      <c r="A134" s="19" t="str">
        <f>A195</f>
        <v xml:space="preserve">Саморезы 3,5 x 45            </v>
      </c>
      <c r="B134" s="289" t="s">
        <v>159</v>
      </c>
      <c r="C134" s="99"/>
      <c r="D134" s="100">
        <f>SUM(D129:D131)*20</f>
        <v>0</v>
      </c>
      <c r="E134" s="100">
        <f>E195</f>
        <v>0.25</v>
      </c>
      <c r="F134" s="2327">
        <f t="shared" si="4"/>
        <v>0</v>
      </c>
      <c r="G134" s="2307"/>
      <c r="K134" s="275"/>
      <c r="L134" s="275"/>
    </row>
    <row r="135" spans="1:12">
      <c r="A135" s="1312" t="s">
        <v>1908</v>
      </c>
      <c r="B135" s="2346" t="s">
        <v>135</v>
      </c>
      <c r="C135" s="2347">
        <f>IF('Ввод данных'!A43=связи1!A210,1,0)</f>
        <v>0</v>
      </c>
      <c r="D135" s="2347">
        <f>((дома!D1319/перекрытие!J23)*(дома!C1319)+(CEILING(дома!C1319/2.5-1,1))*дома!D1319)*перекрытие!F23*перекрытие!G23*перекрытие!E23*C135*1.05</f>
        <v>0</v>
      </c>
      <c r="E135" s="2347">
        <f>'Прайс лист'!G316</f>
        <v>9000</v>
      </c>
      <c r="F135" s="2348">
        <f t="shared" si="4"/>
        <v>0</v>
      </c>
      <c r="G135" s="2307"/>
      <c r="K135" s="275"/>
      <c r="L135" s="275"/>
    </row>
    <row r="136" spans="1:12">
      <c r="A136" s="1312" t="s">
        <v>2134</v>
      </c>
      <c r="B136" s="2346" t="s">
        <v>135</v>
      </c>
      <c r="C136" s="2347">
        <f>IF('Ввод данных'!A43=связи1!A211,1,0)</f>
        <v>0</v>
      </c>
      <c r="D136" s="2347">
        <f>((дома!D1319/перекрытие!J23)*(дома!C1319)+(CEILING(дома!C1319/2.5-1,1))*дома!D1319)*перекрытие!F23*перекрытие!G23*перекрытие!E23*C136*1.05</f>
        <v>0</v>
      </c>
      <c r="E136" s="2347">
        <f>'Прайс лист'!G318</f>
        <v>9000</v>
      </c>
      <c r="F136" s="2348">
        <f t="shared" si="4"/>
        <v>0</v>
      </c>
      <c r="G136" s="2307"/>
      <c r="K136" s="275"/>
      <c r="L136" s="275"/>
    </row>
    <row r="137" spans="1:12">
      <c r="A137" s="1055" t="str">
        <f>A78</f>
        <v xml:space="preserve">Гвозди ершоные 2,8 х 90            </v>
      </c>
      <c r="B137" s="289" t="s">
        <v>188</v>
      </c>
      <c r="C137" s="20"/>
      <c r="D137" s="20">
        <f>SUM(D135:D136)*6</f>
        <v>0</v>
      </c>
      <c r="E137" s="20">
        <f>E78</f>
        <v>76.489999999999995</v>
      </c>
      <c r="F137" s="2348">
        <f>(D137*E137)*(C135+C136)</f>
        <v>0</v>
      </c>
      <c r="G137" s="2307"/>
      <c r="K137" s="275"/>
      <c r="L137" s="275"/>
    </row>
    <row r="138" spans="1:12">
      <c r="A138" s="2349" t="s">
        <v>2026</v>
      </c>
      <c r="B138" s="2350" t="s">
        <v>135</v>
      </c>
      <c r="C138" s="2351">
        <f>IF('Ввод данных'!A43=связи1!A212,1,0)</f>
        <v>0</v>
      </c>
      <c r="D138" s="2351">
        <f>((дома!D1319/перекрытие!J28)*(дома!C1319)+(CEILING(дома!C1319/2.5-1,1))*дома!D1319)*перекрытие!F28*перекрытие!G28*перекрытие!E28*C138</f>
        <v>0</v>
      </c>
      <c r="E138" s="2351">
        <f>'Прайс лист'!G308</f>
        <v>12500</v>
      </c>
      <c r="F138" s="2338">
        <f>D138*E138*C138</f>
        <v>0</v>
      </c>
      <c r="G138" s="2307"/>
      <c r="K138" s="275"/>
      <c r="L138" s="275"/>
    </row>
    <row r="139" spans="1:12">
      <c r="A139" s="2349" t="s">
        <v>4031</v>
      </c>
      <c r="B139" s="2350" t="s">
        <v>135</v>
      </c>
      <c r="C139" s="2351">
        <f>IF('Ввод данных'!A43=связи1!A212,1,0)</f>
        <v>0</v>
      </c>
      <c r="D139" s="2351">
        <f>((дома!D1319/перекрытие!J28)*(дома!C1319)+(CEILING(дома!C1319/2.5-1,1))*дома!D1319)*перекрытие!F28*перекрытие!G28*перекрытие!E28*C139</f>
        <v>0</v>
      </c>
      <c r="E139" s="2351">
        <f>'Прайс лист'!G309</f>
        <v>12500</v>
      </c>
      <c r="F139" s="2338">
        <f>D139*E139*C139</f>
        <v>0</v>
      </c>
      <c r="G139" s="2307"/>
      <c r="K139" s="275"/>
      <c r="L139" s="275"/>
    </row>
    <row r="140" spans="1:12">
      <c r="A140" s="1055" t="str">
        <f>A78</f>
        <v xml:space="preserve">Гвозди ершоные 2,8 х 90            </v>
      </c>
      <c r="B140" s="289" t="s">
        <v>188</v>
      </c>
      <c r="C140" s="20"/>
      <c r="D140" s="20">
        <f>SUM(D138:D139)*6</f>
        <v>0</v>
      </c>
      <c r="E140" s="20">
        <f>E78</f>
        <v>76.489999999999995</v>
      </c>
      <c r="F140" s="2338">
        <f>D140*E140*(C138+C139)</f>
        <v>0</v>
      </c>
      <c r="G140" s="2307"/>
      <c r="H140" s="275"/>
      <c r="I140" s="100"/>
      <c r="J140" s="275"/>
      <c r="K140" s="275"/>
      <c r="L140" s="275"/>
    </row>
    <row r="141" spans="1:12">
      <c r="A141" s="2352" t="s">
        <v>243</v>
      </c>
      <c r="B141" s="2353" t="s">
        <v>156</v>
      </c>
      <c r="C141" s="2354">
        <f>IF('Ввод данных'!$A$43=перекрытие!A141,1,0)</f>
        <v>0</v>
      </c>
      <c r="D141" s="2355">
        <f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141</f>
        <v>0</v>
      </c>
      <c r="E141" s="2355">
        <f>'Прайс лист'!G274</f>
        <v>303</v>
      </c>
      <c r="F141" s="2355">
        <f t="shared" ref="F141:F152" si="5">E141*D141</f>
        <v>0</v>
      </c>
      <c r="G141" s="2307"/>
      <c r="K141" s="275"/>
      <c r="L141" s="275"/>
    </row>
    <row r="142" spans="1:12">
      <c r="A142" s="2352" t="s">
        <v>244</v>
      </c>
      <c r="B142" s="2353" t="s">
        <v>156</v>
      </c>
      <c r="C142" s="2354">
        <f>IF('Ввод данных'!$A$43=перекрытие!A142,1,0)</f>
        <v>0</v>
      </c>
      <c r="D142" s="2355">
        <f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142</f>
        <v>0</v>
      </c>
      <c r="E142" s="2355">
        <f>'Прайс лист'!G275</f>
        <v>355</v>
      </c>
      <c r="F142" s="2355">
        <f t="shared" si="5"/>
        <v>0</v>
      </c>
      <c r="G142" s="2307"/>
      <c r="H142" s="275"/>
      <c r="I142" s="100"/>
      <c r="J142" s="275"/>
      <c r="K142" s="275"/>
      <c r="L142" s="275"/>
    </row>
    <row r="143" spans="1:12">
      <c r="A143" s="2352" t="s">
        <v>245</v>
      </c>
      <c r="B143" s="2353" t="s">
        <v>156</v>
      </c>
      <c r="C143" s="2354">
        <f>IF('Ввод данных'!$A$43=перекрытие!A143,1,0)</f>
        <v>0</v>
      </c>
      <c r="D143" s="2355">
        <f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143</f>
        <v>0</v>
      </c>
      <c r="E143" s="2355">
        <f>'Прайс лист'!G276</f>
        <v>287</v>
      </c>
      <c r="F143" s="2355">
        <f t="shared" si="5"/>
        <v>0</v>
      </c>
      <c r="G143" s="2307"/>
      <c r="H143" s="275"/>
      <c r="I143" s="100"/>
      <c r="J143" s="275"/>
      <c r="K143" s="275"/>
      <c r="L143" s="275"/>
    </row>
    <row r="144" spans="1:12">
      <c r="A144" s="2352" t="s">
        <v>246</v>
      </c>
      <c r="B144" s="2353" t="s">
        <v>156</v>
      </c>
      <c r="C144" s="2354">
        <f>IF('Ввод данных'!$A$43=перекрытие!A144,1,0)</f>
        <v>0</v>
      </c>
      <c r="D144" s="2355">
        <f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144</f>
        <v>0</v>
      </c>
      <c r="E144" s="2355">
        <f>'Прайс лист'!G277</f>
        <v>315</v>
      </c>
      <c r="F144" s="2355">
        <f t="shared" si="5"/>
        <v>0</v>
      </c>
      <c r="G144" s="2307"/>
      <c r="H144" s="275"/>
      <c r="I144" s="100"/>
      <c r="J144" s="275"/>
      <c r="K144" s="275"/>
      <c r="L144" s="275"/>
    </row>
    <row r="145" spans="1:12">
      <c r="A145" s="2352" t="s">
        <v>247</v>
      </c>
      <c r="B145" s="2353" t="s">
        <v>156</v>
      </c>
      <c r="C145" s="2354">
        <f>IF('Ввод данных'!$A$43=перекрытие!A145,1,0)</f>
        <v>0</v>
      </c>
      <c r="D145" s="2355">
        <f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145</f>
        <v>0</v>
      </c>
      <c r="E145" s="2355">
        <f>'Прайс лист'!G278</f>
        <v>273</v>
      </c>
      <c r="F145" s="2355">
        <f t="shared" si="5"/>
        <v>0</v>
      </c>
      <c r="G145" s="2307"/>
      <c r="H145" s="275"/>
      <c r="I145" s="100"/>
      <c r="J145" s="275"/>
      <c r="K145" s="275"/>
      <c r="L145" s="275"/>
    </row>
    <row r="146" spans="1:12">
      <c r="A146" s="2352" t="s">
        <v>248</v>
      </c>
      <c r="B146" s="2353" t="s">
        <v>156</v>
      </c>
      <c r="C146" s="2354">
        <f>IF('Ввод данных'!$A$43=перекрытие!A146,1,0)</f>
        <v>0</v>
      </c>
      <c r="D146" s="2355">
        <f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146</f>
        <v>0</v>
      </c>
      <c r="E146" s="2355">
        <f>'Прайс лист'!G279</f>
        <v>315</v>
      </c>
      <c r="F146" s="2355">
        <f t="shared" si="5"/>
        <v>0</v>
      </c>
      <c r="G146" s="2307"/>
      <c r="H146" s="275"/>
      <c r="I146" s="100"/>
      <c r="J146" s="275"/>
      <c r="K146" s="275"/>
      <c r="L146" s="275"/>
    </row>
    <row r="147" spans="1:12">
      <c r="A147" s="2352" t="s">
        <v>249</v>
      </c>
      <c r="B147" s="2353" t="s">
        <v>156</v>
      </c>
      <c r="C147" s="2354">
        <f>IF('Ввод данных'!$A$43=перекрытие!A147,1,0)</f>
        <v>0</v>
      </c>
      <c r="D147" s="2355">
        <f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147</f>
        <v>0</v>
      </c>
      <c r="E147" s="2355">
        <f>'Прайс лист'!G280</f>
        <v>263</v>
      </c>
      <c r="F147" s="2355">
        <f t="shared" si="5"/>
        <v>0</v>
      </c>
      <c r="G147" s="2307"/>
      <c r="H147" s="275"/>
      <c r="I147" s="100"/>
      <c r="J147" s="275"/>
      <c r="K147" s="275"/>
      <c r="L147" s="275"/>
    </row>
    <row r="148" spans="1:12">
      <c r="A148" s="2352" t="s">
        <v>250</v>
      </c>
      <c r="B148" s="2353" t="s">
        <v>156</v>
      </c>
      <c r="C148" s="2354">
        <f>IF('Ввод данных'!$A$43=перекрытие!A148,1,0)</f>
        <v>0</v>
      </c>
      <c r="D148" s="2355">
        <f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148</f>
        <v>0</v>
      </c>
      <c r="E148" s="2355">
        <f>'Прайс лист'!G281</f>
        <v>291</v>
      </c>
      <c r="F148" s="2355">
        <f t="shared" si="5"/>
        <v>0</v>
      </c>
      <c r="G148" s="2307"/>
      <c r="H148" s="275"/>
      <c r="I148" s="100"/>
      <c r="J148" s="275"/>
      <c r="K148" s="275"/>
      <c r="L148" s="275"/>
    </row>
    <row r="149" spans="1:12">
      <c r="A149" s="2352" t="s">
        <v>251</v>
      </c>
      <c r="B149" s="2353" t="s">
        <v>156</v>
      </c>
      <c r="C149" s="2354">
        <f>IF('Ввод данных'!$A$43=перекрытие!A149,1,0)</f>
        <v>0</v>
      </c>
      <c r="D149" s="2355">
        <f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149</f>
        <v>0</v>
      </c>
      <c r="E149" s="2355">
        <f>'Прайс лист'!G282</f>
        <v>250</v>
      </c>
      <c r="F149" s="2355">
        <f t="shared" si="5"/>
        <v>0</v>
      </c>
      <c r="G149" s="2307"/>
      <c r="H149" s="275"/>
      <c r="I149" s="100"/>
      <c r="J149" s="275"/>
      <c r="K149" s="275"/>
      <c r="L149" s="275"/>
    </row>
    <row r="150" spans="1:12">
      <c r="A150" s="2352" t="s">
        <v>252</v>
      </c>
      <c r="B150" s="2353" t="s">
        <v>156</v>
      </c>
      <c r="C150" s="2354">
        <f>IF('Ввод данных'!$A$43=перекрытие!A150,1,0)</f>
        <v>0</v>
      </c>
      <c r="D150" s="2355">
        <f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150</f>
        <v>0</v>
      </c>
      <c r="E150" s="2355">
        <f>'Прайс лист'!G283</f>
        <v>280</v>
      </c>
      <c r="F150" s="2355">
        <f t="shared" si="5"/>
        <v>0</v>
      </c>
      <c r="G150" s="2307"/>
      <c r="H150" s="275"/>
      <c r="I150" s="100"/>
      <c r="J150" s="275"/>
      <c r="K150" s="275"/>
      <c r="L150" s="275"/>
    </row>
    <row r="151" spans="1:12">
      <c r="A151" s="2352" t="s">
        <v>253</v>
      </c>
      <c r="B151" s="2353" t="s">
        <v>156</v>
      </c>
      <c r="C151" s="2354">
        <f>IF('Ввод данных'!$A$43=перекрытие!A151,1,0)</f>
        <v>0</v>
      </c>
      <c r="D151" s="2355">
        <f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151</f>
        <v>0</v>
      </c>
      <c r="E151" s="2355">
        <f>'Прайс лист'!G284</f>
        <v>220</v>
      </c>
      <c r="F151" s="2355">
        <f t="shared" si="5"/>
        <v>0</v>
      </c>
      <c r="G151" s="2307"/>
      <c r="H151" s="275"/>
      <c r="I151" s="100"/>
      <c r="J151" s="275"/>
      <c r="K151" s="275"/>
      <c r="L151" s="275"/>
    </row>
    <row r="152" spans="1:12">
      <c r="A152" s="2352" t="s">
        <v>254</v>
      </c>
      <c r="B152" s="2353" t="s">
        <v>156</v>
      </c>
      <c r="C152" s="2354">
        <f>IF('Ввод данных'!$A$43=перекрытие!A152,1,0)</f>
        <v>0</v>
      </c>
      <c r="D152" s="2355">
        <f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152</f>
        <v>0</v>
      </c>
      <c r="E152" s="2355">
        <f>'Прайс лист'!G285</f>
        <v>250</v>
      </c>
      <c r="F152" s="2355">
        <f t="shared" si="5"/>
        <v>0</v>
      </c>
      <c r="G152" s="2307"/>
      <c r="H152" s="275"/>
      <c r="I152" s="100"/>
      <c r="J152" s="275"/>
      <c r="K152" s="275"/>
      <c r="L152" s="275"/>
    </row>
    <row r="153" spans="1:12">
      <c r="A153" s="223" t="str">
        <f>'Прайс лист'!B838</f>
        <v xml:space="preserve">Уголок усиленный 90х70х55х2,5        </v>
      </c>
      <c r="B153" s="289" t="s">
        <v>159</v>
      </c>
      <c r="C153" s="127"/>
      <c r="D153" s="69">
        <f>CEILING(((IF(G33=0.8,1.6,0)+IF(G33=0.7,2,0)+IF(G33=0.6,2.44,0)+IF(G33=0.5,3.25,0)+IF(G33=0.4,3.67,0)+IF(G33=0.3,4.1,0))*D33*E33),1)</f>
        <v>0</v>
      </c>
      <c r="E153" s="69">
        <f>'Прайс лист'!G838</f>
        <v>30</v>
      </c>
      <c r="F153" s="2355">
        <f>E153*D153*SUM(C141:C152)</f>
        <v>0</v>
      </c>
      <c r="G153" s="2307"/>
      <c r="H153" s="275"/>
      <c r="I153" s="100"/>
      <c r="J153" s="275"/>
      <c r="K153" s="275"/>
      <c r="L153" s="275"/>
    </row>
    <row r="154" spans="1:12">
      <c r="A154" s="223" t="str">
        <f>'Прайс лист'!B878</f>
        <v xml:space="preserve">Саморезы 3,5 x 55            </v>
      </c>
      <c r="B154" s="289" t="s">
        <v>159</v>
      </c>
      <c r="C154" s="127"/>
      <c r="D154" s="69">
        <f>D153*4</f>
        <v>0</v>
      </c>
      <c r="E154" s="69">
        <f>'Прайс лист'!F878</f>
        <v>0.3</v>
      </c>
      <c r="F154" s="2355">
        <f>E154*D154*SUM(C141:C152)</f>
        <v>0</v>
      </c>
      <c r="G154" s="2307"/>
      <c r="H154" s="275"/>
      <c r="I154" s="100"/>
      <c r="J154" s="275"/>
      <c r="K154" s="275"/>
      <c r="L154" s="275"/>
    </row>
    <row r="155" spans="1:12">
      <c r="A155" s="19" t="str">
        <f>'Ввод данных'!A44</f>
        <v>Пенопласт ПСБ-С-35, 100мм</v>
      </c>
      <c r="B155" s="289" t="s">
        <v>135</v>
      </c>
      <c r="C155" s="19">
        <f>IF(A155='Прайс лист'!B744,0,1)</f>
        <v>1</v>
      </c>
      <c r="D155" s="19">
        <f>дома!F1087*VLOOKUP(A155,'Прайс лист'!B744:G782,3,0)</f>
        <v>10</v>
      </c>
      <c r="E155" s="19">
        <f>VLOOKUP(A155,'Прайс лист'!B744:G782,6,0)</f>
        <v>3400</v>
      </c>
      <c r="F155" s="19">
        <f>D155*E155</f>
        <v>34000</v>
      </c>
      <c r="G155" s="2307"/>
      <c r="H155" s="275"/>
      <c r="I155" s="100"/>
      <c r="J155" s="275"/>
      <c r="K155" s="275"/>
      <c r="L155" s="275"/>
    </row>
    <row r="156" spans="1:12">
      <c r="A156" s="19" t="str">
        <f>'Ввод данных'!A48</f>
        <v>нет ветроизоляции</v>
      </c>
      <c r="B156" s="289" t="s">
        <v>133</v>
      </c>
      <c r="C156" s="19">
        <f>IF(A156='Прайс лист'!B793,0,1)</f>
        <v>0</v>
      </c>
      <c r="D156" s="19">
        <f>дома!F1087</f>
        <v>100</v>
      </c>
      <c r="E156" s="19">
        <f>VLOOKUP(A156,'Прайс лист'!B793:G819,6,0)</f>
        <v>0</v>
      </c>
      <c r="F156" s="19">
        <f>D156*E156</f>
        <v>0</v>
      </c>
      <c r="G156" s="2307"/>
      <c r="H156" s="275"/>
      <c r="I156" s="100"/>
      <c r="J156" s="275"/>
      <c r="K156" s="275"/>
      <c r="L156" s="275"/>
    </row>
    <row r="157" spans="1:12">
      <c r="A157" s="19" t="str">
        <f>'Ввод данных'!A49</f>
        <v>нет пароизоляции</v>
      </c>
      <c r="B157" s="289" t="s">
        <v>133</v>
      </c>
      <c r="C157" s="19">
        <f>IF(A157='Прайс лист'!B820,0,1)</f>
        <v>0</v>
      </c>
      <c r="D157" s="19">
        <f>дома!F1087</f>
        <v>100</v>
      </c>
      <c r="E157" s="19">
        <f>VLOOKUP(A157,'Прайс лист'!B820:G831,6,0)</f>
        <v>0</v>
      </c>
      <c r="F157" s="19">
        <f>D157*E157</f>
        <v>0</v>
      </c>
      <c r="G157" s="2307"/>
      <c r="H157" s="275"/>
      <c r="I157" s="100"/>
      <c r="J157" s="275"/>
      <c r="K157" s="275"/>
      <c r="L157" s="275"/>
    </row>
    <row r="158" spans="1:12" s="2296" customFormat="1">
      <c r="G158" s="2307"/>
      <c r="H158" s="275"/>
      <c r="I158" s="100"/>
      <c r="J158" s="275"/>
      <c r="K158" s="275"/>
      <c r="L158" s="275"/>
    </row>
    <row r="159" spans="1:12" s="2296" customFormat="1">
      <c r="G159" s="2307"/>
      <c r="H159" s="275"/>
      <c r="I159" s="100"/>
      <c r="J159" s="275"/>
      <c r="K159" s="275"/>
      <c r="L159" s="275"/>
    </row>
    <row r="160" spans="1:12">
      <c r="A160" s="98" t="s">
        <v>4032</v>
      </c>
      <c r="B160" s="99" t="s">
        <v>133</v>
      </c>
      <c r="C160" s="19"/>
      <c r="D160" s="100">
        <f>(IF(AND('Ввод данных'!A6=связи1!A98,'Ввод данных'!F237=связи1!A2),дома!C1191*перекрытие!E5,0)+IF(AND('Ввод данных'!A6=связи1!A98,'Ввод данных'!F312=связи1!A2),дома!J1191*перекрытие!E5,0)+IF('Ввод данных'!A6=связи1!A95,дома!F1090*перекрытие!E5,0))</f>
        <v>0</v>
      </c>
      <c r="E160" s="100">
        <f>'Прайс лист'!G161</f>
        <v>1400</v>
      </c>
      <c r="F160" s="100">
        <f t="shared" ref="F160:F182" si="6">D160*E160</f>
        <v>0</v>
      </c>
      <c r="G160" s="2307"/>
      <c r="K160" s="275"/>
      <c r="L160" s="275"/>
    </row>
    <row r="161" spans="1:12">
      <c r="A161" s="98" t="str">
        <f>A43</f>
        <v>Раствор, м250</v>
      </c>
      <c r="B161" s="99" t="s">
        <v>135</v>
      </c>
      <c r="C161" s="19"/>
      <c r="D161" s="100">
        <f>(('Ввод данных'!C11+'Ввод данных'!C11)*0.2*0.15+'Ввод данных'!C11+'Ввод данных'!C11+'Ввод данных'!C12+'Ввод данных'!C12+'Ввод данных'!C112*'Ввод данных'!D112+'Ввод данных'!C113*'Ввод данных'!D113+'Ввод данных'!C114*'Ввод данных'!D114+'Ввод данных'!C115*'Ввод данных'!D115+'Ввод данных'!C120*'Ввод данных'!D120+'Ввод данных'!C121*'Ввод данных'!D121+'Ввод данных'!C122*'Ввод данных'!D122+'Ввод данных'!C123*'Ввод данных'!D123)*0.2*0.02*E5</f>
        <v>0</v>
      </c>
      <c r="E161" s="100">
        <f>'Прайс лист'!G230</f>
        <v>2500</v>
      </c>
      <c r="F161" s="100">
        <f t="shared" si="6"/>
        <v>0</v>
      </c>
      <c r="G161" s="2307"/>
      <c r="K161" s="275"/>
      <c r="L161" s="275"/>
    </row>
    <row r="162" spans="1:12">
      <c r="A162" s="2356" t="s">
        <v>4018</v>
      </c>
      <c r="B162" s="2357" t="s">
        <v>133</v>
      </c>
      <c r="C162" s="2357">
        <f>IF('Ввод данных'!A51=связи1!A214,1,0)</f>
        <v>0</v>
      </c>
      <c r="D162" s="2358">
        <f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данных'!A6=связи1!A95,(дома!C1189*дома!C1115+дома!L1115*дома!L1189+дома!J98)*перекрытие!E10,0))*C162</f>
        <v>0</v>
      </c>
      <c r="E162" s="2358">
        <v>1</v>
      </c>
      <c r="F162" s="2358">
        <f t="shared" si="6"/>
        <v>0</v>
      </c>
      <c r="G162" s="2307"/>
      <c r="K162" s="275"/>
      <c r="L162" s="275"/>
    </row>
    <row r="163" spans="1:12">
      <c r="A163" s="2356" t="s">
        <v>4019</v>
      </c>
      <c r="B163" s="2357" t="s">
        <v>133</v>
      </c>
      <c r="C163" s="2357">
        <f>IF('Ввод данных'!A51=связи1!A215,1,0)</f>
        <v>0</v>
      </c>
      <c r="D163" s="2358">
        <f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данных'!A6=связи1!A95,(дома!C1189*дома!C1115+дома!L1115*дома!L1189+дома!J98)*перекрытие!E10,0))*C163</f>
        <v>0</v>
      </c>
      <c r="E163" s="2358">
        <v>1</v>
      </c>
      <c r="F163" s="2358">
        <f t="shared" si="6"/>
        <v>0</v>
      </c>
      <c r="G163" s="2307"/>
      <c r="K163" s="275"/>
      <c r="L163" s="275"/>
    </row>
    <row r="164" spans="1:12">
      <c r="A164" s="2356" t="s">
        <v>4020</v>
      </c>
      <c r="B164" s="2357" t="s">
        <v>133</v>
      </c>
      <c r="C164" s="2357">
        <f>IF('Ввод данных'!A51=связи1!A216,1,0)</f>
        <v>0</v>
      </c>
      <c r="D164" s="2358">
        <f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данных'!A6=связи1!A95,(дома!C1189*дома!C1115+дома!L1115*дома!L1189+дома!J98)*перекрытие!E10,0))*C164</f>
        <v>0</v>
      </c>
      <c r="E164" s="2358">
        <v>1</v>
      </c>
      <c r="F164" s="2358">
        <f t="shared" si="6"/>
        <v>0</v>
      </c>
      <c r="G164" s="2307"/>
      <c r="K164" s="275"/>
      <c r="L164" s="275"/>
    </row>
    <row r="165" spans="1:12">
      <c r="A165" s="2356" t="s">
        <v>4021</v>
      </c>
      <c r="B165" s="2357" t="s">
        <v>133</v>
      </c>
      <c r="C165" s="2357">
        <f>IF('Ввод данных'!A51=связи1!A217,1,0)</f>
        <v>0</v>
      </c>
      <c r="D165" s="2358">
        <f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данных'!A6=связи1!A95,(дома!C1189*дома!C1115+дома!L1115*дома!L1189+дома!J98)*перекрытие!E10,0))*C165</f>
        <v>0</v>
      </c>
      <c r="E165" s="2358">
        <v>1</v>
      </c>
      <c r="F165" s="2358">
        <f t="shared" si="6"/>
        <v>0</v>
      </c>
      <c r="G165" s="2307"/>
      <c r="K165" s="275"/>
      <c r="L165" s="275"/>
    </row>
    <row r="166" spans="1:12">
      <c r="A166" s="2356" t="s">
        <v>4022</v>
      </c>
      <c r="B166" s="2357" t="s">
        <v>133</v>
      </c>
      <c r="C166" s="2357">
        <f>IF('Ввод данных'!A51=связи1!A218,1,0)</f>
        <v>0</v>
      </c>
      <c r="D166" s="2358">
        <f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данных'!A6=связи1!A95,(дома!C1189*дома!C1115+дома!L1115*дома!L1189+дома!J98)*перекрытие!E10,0))*C166</f>
        <v>0</v>
      </c>
      <c r="E166" s="2358">
        <v>1</v>
      </c>
      <c r="F166" s="2358">
        <f t="shared" si="6"/>
        <v>0</v>
      </c>
      <c r="G166" s="2307"/>
      <c r="H166" s="275"/>
      <c r="I166" s="100"/>
      <c r="J166" s="275"/>
      <c r="K166" s="275"/>
      <c r="L166" s="275"/>
    </row>
    <row r="167" spans="1:12">
      <c r="A167" s="2356" t="s">
        <v>4023</v>
      </c>
      <c r="B167" s="2357" t="s">
        <v>133</v>
      </c>
      <c r="C167" s="2357">
        <f>IF('Ввод данных'!A51=связи1!A219,1,0)</f>
        <v>0</v>
      </c>
      <c r="D167" s="2358">
        <f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данных'!A6=связи1!A95,(дома!C1189*дома!C1115+дома!L1115*дома!L1189+дома!J98)*перекрытие!E10,0))*C167</f>
        <v>0</v>
      </c>
      <c r="E167" s="2358">
        <v>1</v>
      </c>
      <c r="F167" s="2358">
        <f t="shared" si="6"/>
        <v>0</v>
      </c>
      <c r="G167" s="2307"/>
      <c r="H167" s="275"/>
      <c r="I167" s="100"/>
      <c r="J167" s="275"/>
      <c r="K167" s="275"/>
      <c r="L167" s="275"/>
    </row>
    <row r="168" spans="1:12">
      <c r="A168" s="2356" t="s">
        <v>4024</v>
      </c>
      <c r="B168" s="2357" t="s">
        <v>133</v>
      </c>
      <c r="C168" s="2357">
        <f>IF('Ввод данных'!A51=связи1!A220,1,0)</f>
        <v>0</v>
      </c>
      <c r="D168" s="2358">
        <f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данных'!A6=связи1!A95,(дома!C1189*дома!C1115+дома!L1115*дома!L1189+дома!J98)*перекрытие!E10,0))*C168</f>
        <v>0</v>
      </c>
      <c r="E168" s="2358">
        <v>1</v>
      </c>
      <c r="F168" s="2358">
        <f t="shared" si="6"/>
        <v>0</v>
      </c>
      <c r="G168" s="2307"/>
      <c r="H168" s="275"/>
      <c r="I168" s="100"/>
      <c r="J168" s="275"/>
      <c r="K168" s="275"/>
      <c r="L168" s="275"/>
    </row>
    <row r="169" spans="1:12">
      <c r="A169" s="2356" t="s">
        <v>4025</v>
      </c>
      <c r="B169" s="2357" t="s">
        <v>133</v>
      </c>
      <c r="C169" s="2357">
        <f>IF('Ввод данных'!A51=связи1!A221,1,0)</f>
        <v>0</v>
      </c>
      <c r="D169" s="2358">
        <f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данных'!A6=связи1!A95,(дома!C1189*дома!C1115+дома!L1115*дома!L1189+дома!J98)*перекрытие!E10,0))*C169</f>
        <v>0</v>
      </c>
      <c r="E169" s="2358">
        <v>1</v>
      </c>
      <c r="F169" s="2358">
        <f t="shared" si="6"/>
        <v>0</v>
      </c>
      <c r="G169" s="2307"/>
      <c r="H169" s="275"/>
      <c r="I169" s="100"/>
      <c r="J169" s="275"/>
      <c r="K169" s="275"/>
      <c r="L169" s="275"/>
    </row>
    <row r="170" spans="1:12">
      <c r="A170" s="2359" t="s">
        <v>4026</v>
      </c>
      <c r="B170" s="2341" t="s">
        <v>135</v>
      </c>
      <c r="C170" s="19"/>
      <c r="D170" s="20">
        <f>((D10/5+5*2)*перекрытие!E10*перекрытие!F10*2+D10*E10*1.1)*0.05*1.1</f>
        <v>0</v>
      </c>
      <c r="E170" s="20">
        <f>'Прайс лист'!G291</f>
        <v>6500</v>
      </c>
      <c r="F170" s="2358">
        <f t="shared" si="6"/>
        <v>0</v>
      </c>
      <c r="G170" s="2307"/>
      <c r="H170" s="275"/>
      <c r="I170" s="100"/>
      <c r="J170" s="275"/>
      <c r="K170" s="275"/>
      <c r="L170" s="275"/>
    </row>
    <row r="171" spans="1:12">
      <c r="A171" s="98" t="s">
        <v>3998</v>
      </c>
      <c r="B171" s="99" t="s">
        <v>159</v>
      </c>
      <c r="C171" s="19"/>
      <c r="D171" s="20">
        <f>SUM(D162:D169)</f>
        <v>0</v>
      </c>
      <c r="E171" s="69">
        <v>0</v>
      </c>
      <c r="F171" s="2358">
        <f t="shared" si="6"/>
        <v>0</v>
      </c>
      <c r="G171" s="2307"/>
      <c r="H171" s="275"/>
      <c r="I171" s="100"/>
      <c r="J171" s="275"/>
      <c r="K171" s="275"/>
      <c r="L171" s="275"/>
    </row>
    <row r="172" spans="1:12">
      <c r="A172" s="98" t="str">
        <f>A54</f>
        <v xml:space="preserve">Пленка гидроизоляционная </v>
      </c>
      <c r="B172" s="99" t="s">
        <v>133</v>
      </c>
      <c r="C172" s="19"/>
      <c r="D172" s="20">
        <f>(перекрытие!D10*перекрытие!E10*1.3)</f>
        <v>0</v>
      </c>
      <c r="E172" s="69">
        <f>E54</f>
        <v>15</v>
      </c>
      <c r="F172" s="2358">
        <f t="shared" si="6"/>
        <v>0</v>
      </c>
      <c r="G172" s="2307"/>
      <c r="H172" s="275"/>
      <c r="I172" s="100"/>
      <c r="J172" s="275"/>
      <c r="K172" s="275"/>
      <c r="L172" s="275"/>
    </row>
    <row r="173" spans="1:12">
      <c r="A173" s="98" t="str">
        <f>'Ввод данных'!D51</f>
        <v>Арматура М12</v>
      </c>
      <c r="B173" s="99" t="s">
        <v>156</v>
      </c>
      <c r="C173" s="19"/>
      <c r="D173" s="20">
        <f>(1/перекрытие!J10*перекрытие!E10*перекрытие!H10*перекрытие!D10)</f>
        <v>0</v>
      </c>
      <c r="E173" s="69">
        <f>VLOOKUP(A173,связи1!A399:B405,2,0)</f>
        <v>29.215199999999999</v>
      </c>
      <c r="F173" s="2358">
        <f t="shared" si="6"/>
        <v>0</v>
      </c>
      <c r="G173" s="2307"/>
      <c r="H173" s="275"/>
      <c r="I173" s="100"/>
      <c r="J173" s="275"/>
      <c r="K173" s="275"/>
      <c r="L173" s="275"/>
    </row>
    <row r="174" spans="1:12">
      <c r="A174" s="98" t="str">
        <f>'Прайс лист'!B212</f>
        <v>Вязальная проволока</v>
      </c>
      <c r="B174" s="99" t="s">
        <v>188</v>
      </c>
      <c r="C174" s="19"/>
      <c r="D174" s="20">
        <f>D173/40</f>
        <v>0</v>
      </c>
      <c r="E174" s="69">
        <f>'Прайс лист'!G212</f>
        <v>80</v>
      </c>
      <c r="F174" s="2358">
        <f t="shared" si="6"/>
        <v>0</v>
      </c>
      <c r="G174" s="2307"/>
      <c r="H174" s="275"/>
      <c r="I174" s="100"/>
      <c r="J174" s="275"/>
      <c r="K174" s="275"/>
      <c r="L174" s="275"/>
    </row>
    <row r="175" spans="1:12">
      <c r="A175" s="98" t="str">
        <f>A57</f>
        <v>Подставка под арматурный каркас</v>
      </c>
      <c r="B175" s="99" t="s">
        <v>159</v>
      </c>
      <c r="C175" s="19"/>
      <c r="D175" s="20">
        <f>(перекрытие!D10*перекрытие!E10)*4</f>
        <v>0</v>
      </c>
      <c r="E175" s="69">
        <f>E57</f>
        <v>5</v>
      </c>
      <c r="F175" s="2358">
        <f t="shared" si="6"/>
        <v>0</v>
      </c>
      <c r="G175" s="2307"/>
      <c r="H175" s="275"/>
      <c r="I175" s="100"/>
      <c r="J175" s="275"/>
      <c r="K175" s="275"/>
      <c r="L175" s="275"/>
    </row>
    <row r="176" spans="1:12">
      <c r="A176" s="98" t="s">
        <v>4027</v>
      </c>
      <c r="B176" s="99" t="s">
        <v>135</v>
      </c>
      <c r="C176" s="19"/>
      <c r="D176" s="20">
        <f>(перекрытие!D10*перекрытие!E10*перекрытие!F10)</f>
        <v>0</v>
      </c>
      <c r="E176" s="20">
        <f>'Прайс лист'!G228</f>
        <v>3500</v>
      </c>
      <c r="F176" s="2358">
        <f t="shared" si="6"/>
        <v>0</v>
      </c>
      <c r="G176" s="2307"/>
      <c r="H176" s="275"/>
      <c r="I176" s="100"/>
      <c r="J176" s="275"/>
      <c r="K176" s="275"/>
      <c r="L176" s="275"/>
    </row>
    <row r="177" spans="1:12">
      <c r="A177" s="2360" t="s">
        <v>4028</v>
      </c>
      <c r="B177" s="2291" t="s">
        <v>135</v>
      </c>
      <c r="C177" s="2291">
        <f>IF('Ввод данных'!A51=связи1!A204,1,0)</f>
        <v>0</v>
      </c>
      <c r="D177" s="2361">
        <f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данных'!A6=связи1!A95,((дома!J1191/перекрытие!J16+1)*(дома!C1319)*перекрытие!E16*перекрытие!F16*перекрытие!G16),0)+1/перекрытие!J16*F16*G16*E16*дома!J98)*C177</f>
        <v>0</v>
      </c>
      <c r="E177" s="2361">
        <f>связи1!D204</f>
        <v>6500</v>
      </c>
      <c r="F177" s="2361">
        <f t="shared" si="6"/>
        <v>0</v>
      </c>
      <c r="G177" s="2307"/>
      <c r="K177" s="275"/>
      <c r="L177" s="275"/>
    </row>
    <row r="178" spans="1:12">
      <c r="A178" s="2360" t="s">
        <v>4029</v>
      </c>
      <c r="B178" s="2291" t="s">
        <v>135</v>
      </c>
      <c r="C178" s="2291">
        <f>IF('Ввод данных'!A51=связи1!A205,1,0)</f>
        <v>0</v>
      </c>
      <c r="D178" s="2361">
        <f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данных'!A6=связи1!A95,((дома!J1191/перекрытие!J16+1)*(дома!C1319)*перекрытие!E16*перекрытие!F16*перекрытие!G16),0)+1/перекрытие!J16*F16*G16*E16*дома!J98)*C178</f>
        <v>0</v>
      </c>
      <c r="E178" s="2361">
        <f>связи1!D205</f>
        <v>6500</v>
      </c>
      <c r="F178" s="2361">
        <f t="shared" si="6"/>
        <v>0</v>
      </c>
      <c r="G178" s="2307"/>
      <c r="K178" s="275"/>
      <c r="L178" s="275"/>
    </row>
    <row r="179" spans="1:12">
      <c r="A179" s="2360" t="s">
        <v>1967</v>
      </c>
      <c r="B179" s="2291" t="s">
        <v>135</v>
      </c>
      <c r="C179" s="2291">
        <f>IF('Ввод данных'!A51=связи1!A206,1,0)</f>
        <v>0</v>
      </c>
      <c r="D179" s="2361">
        <f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данных'!A6=связи1!A95,((дома!J1191/перекрытие!J16+1)*(дома!C1319)*перекрытие!E16*перекрытие!F16*перекрытие!G16),0)+1/перекрытие!J16*F16*G16*E16*дома!J98)*C179</f>
        <v>0</v>
      </c>
      <c r="E179" s="2361">
        <f>связи1!D206</f>
        <v>6500</v>
      </c>
      <c r="F179" s="2361">
        <f t="shared" si="6"/>
        <v>0</v>
      </c>
      <c r="G179" s="2307"/>
      <c r="K179" s="275"/>
      <c r="L179" s="275"/>
    </row>
    <row r="180" spans="1:12">
      <c r="A180" s="2360" t="s">
        <v>2366</v>
      </c>
      <c r="B180" s="2291" t="s">
        <v>135</v>
      </c>
      <c r="C180" s="2291">
        <f>IF('Ввод данных'!A51=связи1!A207,1,0)</f>
        <v>0</v>
      </c>
      <c r="D180" s="2361">
        <f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данных'!A6=связи1!A95,((дома!J1191/перекрытие!J16+1)*(дома!C1319)*перекрытие!E16*перекрытие!F16*перекрытие!G16),0)+1/перекрытие!J16*F16*G16*E16*дома!J98)*C180</f>
        <v>0</v>
      </c>
      <c r="E180" s="2361">
        <f>связи1!D207</f>
        <v>6500</v>
      </c>
      <c r="F180" s="2361">
        <f t="shared" si="6"/>
        <v>0</v>
      </c>
      <c r="G180" s="2307"/>
      <c r="K180" s="275"/>
      <c r="L180" s="275"/>
    </row>
    <row r="181" spans="1:12">
      <c r="A181" s="2360" t="s">
        <v>2068</v>
      </c>
      <c r="B181" s="2291" t="s">
        <v>135</v>
      </c>
      <c r="C181" s="2291">
        <f>IF('Ввод данных'!A51=связи1!A208,1,0)</f>
        <v>0</v>
      </c>
      <c r="D181" s="2361">
        <f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данных'!A6=связи1!A95,((дома!J1191/перекрытие!J16+1)*(дома!C1319)*перекрытие!E16*перекрытие!F16*перекрытие!G16),0)+1/перекрытие!J16*F16*G16*E16*дома!J98)*C181</f>
        <v>0</v>
      </c>
      <c r="E181" s="2361">
        <f>связи1!D208</f>
        <v>6500</v>
      </c>
      <c r="F181" s="2361">
        <f t="shared" si="6"/>
        <v>0</v>
      </c>
      <c r="G181" s="2307"/>
      <c r="K181" s="275"/>
      <c r="L181" s="275"/>
    </row>
    <row r="182" spans="1:12">
      <c r="A182" s="2360" t="s">
        <v>4030</v>
      </c>
      <c r="B182" s="2291" t="s">
        <v>135</v>
      </c>
      <c r="C182" s="2291">
        <f>IF('Ввод данных'!A51=связи1!A209,1,0)</f>
        <v>0</v>
      </c>
      <c r="D182" s="2361">
        <f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данных'!A6=связи1!A95,((дома!J1191/перекрытие!J16+1)*(дома!C1319)*перекрытие!E16*перекрытие!F16*перекрытие!G16),0)+1/перекрытие!J16*F16*G16*E16*дома!J98)*C182</f>
        <v>0</v>
      </c>
      <c r="E182" s="2361">
        <f>связи1!D209</f>
        <v>6500</v>
      </c>
      <c r="F182" s="2361">
        <f t="shared" si="6"/>
        <v>0</v>
      </c>
      <c r="G182" s="2307"/>
      <c r="H182" s="275"/>
      <c r="I182" s="100"/>
      <c r="J182" s="275"/>
      <c r="K182" s="275"/>
      <c r="L182" s="275"/>
    </row>
    <row r="183" spans="1:12">
      <c r="A183" s="98" t="str">
        <f>A65</f>
        <v xml:space="preserve">Опора бруса          </v>
      </c>
      <c r="B183" s="99" t="s">
        <v>159</v>
      </c>
      <c r="C183" s="19"/>
      <c r="D183" s="100">
        <f>CEILING((D16*E16)*1.1,1)</f>
        <v>0</v>
      </c>
      <c r="E183" s="100">
        <f>E65</f>
        <v>50</v>
      </c>
      <c r="F183" s="2361">
        <f>D183*E183*SUM(C177:C182)</f>
        <v>0</v>
      </c>
      <c r="G183" s="2307"/>
      <c r="H183" s="275"/>
      <c r="I183" s="100"/>
      <c r="J183" s="275"/>
      <c r="K183" s="275"/>
      <c r="L183" s="275"/>
    </row>
    <row r="184" spans="1:12">
      <c r="A184" s="98" t="str">
        <f>A66</f>
        <v xml:space="preserve">Болты анкерные с гайкой 8,0 x 60           </v>
      </c>
      <c r="B184" s="99" t="s">
        <v>159</v>
      </c>
      <c r="C184" s="19"/>
      <c r="D184" s="100">
        <f>D183*4</f>
        <v>0</v>
      </c>
      <c r="E184" s="100">
        <f>E66</f>
        <v>4</v>
      </c>
      <c r="F184" s="2361">
        <f>D184*E184*SUM(C177:C182)</f>
        <v>0</v>
      </c>
      <c r="G184" s="2307"/>
      <c r="H184" s="275"/>
      <c r="I184" s="100"/>
      <c r="J184" s="275"/>
      <c r="K184" s="275"/>
      <c r="L184" s="275"/>
    </row>
    <row r="185" spans="1:12">
      <c r="G185" s="2307"/>
      <c r="H185" s="275"/>
      <c r="I185" s="100"/>
      <c r="J185" s="275"/>
      <c r="K185" s="275"/>
      <c r="L185" s="275"/>
    </row>
    <row r="186" spans="1:12">
      <c r="G186" s="2307"/>
      <c r="H186" s="275"/>
      <c r="I186" s="100"/>
      <c r="J186" s="275"/>
      <c r="K186" s="275"/>
      <c r="L186" s="275"/>
    </row>
    <row r="187" spans="1:12">
      <c r="A187" s="1312" t="str">
        <f>связи1!A201</f>
        <v>Sip панель 2500*625*124мм</v>
      </c>
      <c r="B187" s="2346" t="s">
        <v>133</v>
      </c>
      <c r="C187" s="2362">
        <f>IF('Ввод данных'!A51=связи1!A201,1,0)</f>
        <v>0</v>
      </c>
      <c r="D187" s="2348">
        <f>(IF(AND('Ввод данных'!A6=связи1!A98,'Ввод данных'!F237=связи1!A2),дома!C1189*дома!C1115+дома!L1115*дома!L1189+дома!J98,0)+IF(AND('Ввод данных'!A6=связи1!A98,'Ввод данных'!F312=связи1!A2),дома!C1189*дома!C1115+дома!L1115*дома!L1189+дома!J98,0)+IF('Ввод данных'!A6=связи1!A95,дома!C16*дома!C17+дома!J98,0))*C187</f>
        <v>0</v>
      </c>
      <c r="E187" s="2348">
        <f>'Прайс лист'!G259</f>
        <v>800</v>
      </c>
      <c r="F187" s="2348">
        <f t="shared" ref="F187:F197" si="7">D187*E187</f>
        <v>0</v>
      </c>
      <c r="G187" s="2307"/>
      <c r="K187" s="275"/>
      <c r="L187" s="275"/>
    </row>
    <row r="188" spans="1:12">
      <c r="A188" s="1312" t="str">
        <f>связи1!A202</f>
        <v>Sip панель 2500*625*174мм</v>
      </c>
      <c r="B188" s="2346" t="s">
        <v>133</v>
      </c>
      <c r="C188" s="2362">
        <f>IF('Ввод данных'!A51=связи1!A202,1,0)</f>
        <v>0</v>
      </c>
      <c r="D188" s="2348">
        <f>(IF(AND('Ввод данных'!A6=связи1!A98,'Ввод данных'!F237=связи1!A2),дома!C1189*дома!C1115+дома!L1115*дома!L1189+дома!J98,0)+IF(AND('Ввод данных'!A6=связи1!A98,'Ввод данных'!F312=связи1!A2),дома!C1189*дома!C1115+дома!L1115*дома!L1189+дома!J98,0)+IF('Ввод данных'!A6=связи1!A95,дома!C16*дома!C17+дома!J98,0))*C188</f>
        <v>0</v>
      </c>
      <c r="E188" s="2348">
        <f>'Прайс лист'!G260</f>
        <v>1200</v>
      </c>
      <c r="F188" s="2348">
        <f t="shared" si="7"/>
        <v>0</v>
      </c>
      <c r="G188" s="2307"/>
      <c r="K188" s="275"/>
      <c r="L188" s="275"/>
    </row>
    <row r="189" spans="1:12">
      <c r="A189" s="1312" t="str">
        <f>связи1!A203</f>
        <v>Sip панель 2500*625*224мм</v>
      </c>
      <c r="B189" s="2346" t="s">
        <v>133</v>
      </c>
      <c r="C189" s="2362">
        <f>IF('Ввод данных'!A51=связи1!A203,1,0)</f>
        <v>0</v>
      </c>
      <c r="D189" s="2348">
        <f>(IF(AND('Ввод данных'!A6=связи1!A98,'Ввод данных'!F237=связи1!A2),дома!C1189*дома!C1115+дома!L1115*дома!L1189+дома!J98,0)+IF(AND('Ввод данных'!A6=связи1!A98,'Ввод данных'!F312=связи1!A2),дома!C1189*дома!C1115+дома!L1115*дома!L1189+дома!J98,0)+IF('Ввод данных'!A6=связи1!A95,дома!C16*дома!C17+дома!J98,0))*C189</f>
        <v>0</v>
      </c>
      <c r="E189" s="2348">
        <f>'Прайс лист'!G270</f>
        <v>1400</v>
      </c>
      <c r="F189" s="2348">
        <f t="shared" si="7"/>
        <v>0</v>
      </c>
      <c r="G189" s="2307"/>
      <c r="K189" s="275"/>
      <c r="L189" s="275"/>
    </row>
    <row r="190" spans="1:12">
      <c r="A190" s="1055" t="s">
        <v>2312</v>
      </c>
      <c r="B190" s="1339" t="s">
        <v>156</v>
      </c>
      <c r="C190" s="99"/>
      <c r="D190" s="100">
        <f>D187*C187*4*1.05</f>
        <v>0</v>
      </c>
      <c r="E190" s="100">
        <f>E70</f>
        <v>45</v>
      </c>
      <c r="F190" s="2348">
        <f t="shared" si="7"/>
        <v>0</v>
      </c>
      <c r="G190" s="2307"/>
      <c r="K190" s="275"/>
      <c r="L190" s="275"/>
    </row>
    <row r="191" spans="1:12">
      <c r="A191" s="1055" t="s">
        <v>2134</v>
      </c>
      <c r="B191" s="1339" t="s">
        <v>156</v>
      </c>
      <c r="C191" s="99"/>
      <c r="D191" s="100">
        <f>D188*C188*4*1.05</f>
        <v>0</v>
      </c>
      <c r="E191" s="100">
        <f>E71</f>
        <v>67.5</v>
      </c>
      <c r="F191" s="2348">
        <f t="shared" si="7"/>
        <v>0</v>
      </c>
      <c r="G191" s="2307"/>
      <c r="H191" s="275"/>
      <c r="I191" s="100"/>
      <c r="J191" s="275"/>
      <c r="K191" s="275"/>
      <c r="L191" s="275"/>
    </row>
    <row r="192" spans="1:12">
      <c r="A192" s="1055" t="s">
        <v>1908</v>
      </c>
      <c r="B192" s="1339" t="s">
        <v>156</v>
      </c>
      <c r="C192" s="99"/>
      <c r="D192" s="100">
        <f>D189*C189*4*1.05</f>
        <v>0</v>
      </c>
      <c r="E192" s="100">
        <f>E72</f>
        <v>90</v>
      </c>
      <c r="F192" s="2348">
        <f t="shared" si="7"/>
        <v>0</v>
      </c>
      <c r="G192" s="2307"/>
      <c r="H192" s="275"/>
      <c r="I192" s="100"/>
      <c r="J192" s="275"/>
      <c r="K192" s="275"/>
      <c r="L192" s="275"/>
    </row>
    <row r="193" spans="1:12">
      <c r="A193" s="19" t="str">
        <f>A73</f>
        <v>Пена монтажная, всесезонняя 800мл</v>
      </c>
      <c r="B193" s="289" t="s">
        <v>159</v>
      </c>
      <c r="C193" s="19"/>
      <c r="D193" s="20">
        <f>CEILING(SUM(D187:D189)/12,1)</f>
        <v>0</v>
      </c>
      <c r="E193" s="20">
        <f>E73</f>
        <v>300</v>
      </c>
      <c r="F193" s="2348">
        <f t="shared" si="7"/>
        <v>0</v>
      </c>
      <c r="G193" s="2307"/>
      <c r="H193" s="275"/>
      <c r="I193" s="100"/>
      <c r="J193" s="275"/>
      <c r="K193" s="275"/>
      <c r="L193" s="275"/>
    </row>
    <row r="194" spans="1:12">
      <c r="A194" s="19" t="str">
        <f>'Прайс лист'!B890</f>
        <v xml:space="preserve">Гвозди строительные 3,5 x 90            </v>
      </c>
      <c r="B194" s="289" t="s">
        <v>159</v>
      </c>
      <c r="C194" s="19"/>
      <c r="D194" s="20">
        <f>SUM(D190:D192)</f>
        <v>0</v>
      </c>
      <c r="E194" s="20">
        <f>E74</f>
        <v>45</v>
      </c>
      <c r="F194" s="2348">
        <f t="shared" si="7"/>
        <v>0</v>
      </c>
      <c r="G194" s="2307"/>
      <c r="H194" s="275"/>
      <c r="I194" s="100"/>
      <c r="J194" s="275"/>
      <c r="K194" s="275"/>
      <c r="L194" s="275"/>
    </row>
    <row r="195" spans="1:12">
      <c r="A195" s="19" t="str">
        <f>'Прайс лист'!B877</f>
        <v xml:space="preserve">Саморезы 3,5 x 45            </v>
      </c>
      <c r="B195" s="289" t="s">
        <v>159</v>
      </c>
      <c r="C195" s="19"/>
      <c r="D195" s="20">
        <f>SUM(D190:D192)*20</f>
        <v>0</v>
      </c>
      <c r="E195" s="20">
        <f>'Прайс лист'!F877</f>
        <v>0.25</v>
      </c>
      <c r="F195" s="2348">
        <f t="shared" si="7"/>
        <v>0</v>
      </c>
      <c r="G195" s="2307"/>
      <c r="H195" s="275"/>
      <c r="I195" s="100"/>
      <c r="J195" s="275"/>
      <c r="K195" s="275"/>
      <c r="L195" s="275"/>
    </row>
    <row r="196" spans="1:12">
      <c r="A196" s="1400" t="s">
        <v>1908</v>
      </c>
      <c r="B196" s="1444" t="s">
        <v>135</v>
      </c>
      <c r="C196" s="2363">
        <f>IF('Ввод данных'!A51=связи1!A210,1,0)</f>
        <v>0</v>
      </c>
      <c r="D196" s="2363">
        <f>(IF(AND('Ввод данных'!A6=связи1!A98,'Ввод данных'!F237=связи1!A2),((дома!C1191/перекрытие!J24+1)*(дома!C1319)*перекрытие!E24*перекрытие!F24*перекрытие!G24),0)+IF(AND('Ввод данных'!A6=связи1!A98,'Ввод данных'!F312=связи1!A2),((дома!J1191/перекрытие!J24+1)*(дома!C1319)*перекрытие!E24*перекрытие!F24*перекрытие!G24),0)+IF('Ввод данных'!A6=связи1!A95,((дома!J1191/перекрытие!J24+1)*(дома!C1319)*перекрытие!E24*перекрытие!F24*перекрытие!G24),0)+1/J24*E24*F24*G24*(дома!J98))*C196*1.05</f>
        <v>0</v>
      </c>
      <c r="E196" s="2363">
        <f>'Прайс лист'!G316</f>
        <v>9000</v>
      </c>
      <c r="F196" s="2364">
        <f t="shared" si="7"/>
        <v>0</v>
      </c>
      <c r="G196" s="2307"/>
      <c r="K196" s="275"/>
      <c r="L196" s="275"/>
    </row>
    <row r="197" spans="1:12">
      <c r="A197" s="1400" t="s">
        <v>2134</v>
      </c>
      <c r="B197" s="1444" t="s">
        <v>135</v>
      </c>
      <c r="C197" s="2363">
        <f>IF('Ввод данных'!A51=связи1!A211,1,0)</f>
        <v>0</v>
      </c>
      <c r="D197" s="2363">
        <f>(IF(AND('Ввод данных'!A6=связи1!A98,'Ввод данных'!F237=связи1!A2),((дома!C1191/перекрытие!J24+1)*(дома!C1319)*перекрытие!E24*перекрытие!F24*перекрытие!G24),0)+IF(AND('Ввод данных'!A6=связи1!A98,'Ввод данных'!F312=связи1!A2),((дома!J1191/перекрытие!J24+1)*(дома!C1319)*перекрытие!E24*перекрытие!F24*перекрытие!G24),0)+IF('Ввод данных'!A6=связи1!A95,((дома!J1191/перекрытие!J24+1)*(дома!C1319)*перекрытие!E24*перекрытие!F24*перекрытие!G24),0)+1/J24*E24*F24*G24*(дома!J98))*C197*1.05</f>
        <v>0</v>
      </c>
      <c r="E197" s="2363">
        <f>'Прайс лист'!G318</f>
        <v>9000</v>
      </c>
      <c r="F197" s="2364">
        <f t="shared" si="7"/>
        <v>0</v>
      </c>
      <c r="G197" s="2307"/>
      <c r="H197" s="275"/>
      <c r="I197" s="100"/>
      <c r="J197" s="275"/>
      <c r="K197" s="275"/>
      <c r="L197" s="275"/>
    </row>
    <row r="198" spans="1:12">
      <c r="A198" s="1055" t="str">
        <f>A78</f>
        <v xml:space="preserve">Гвозди ершоные 2,8 х 90            </v>
      </c>
      <c r="B198" s="289" t="s">
        <v>188</v>
      </c>
      <c r="C198" s="20"/>
      <c r="D198" s="20">
        <f>SUM(D196:D197)*6</f>
        <v>0</v>
      </c>
      <c r="E198" s="20">
        <f>E78</f>
        <v>76.489999999999995</v>
      </c>
      <c r="F198" s="2364">
        <f>(D198*E198)*(C196+C197)</f>
        <v>0</v>
      </c>
      <c r="G198" s="2307"/>
      <c r="K198" s="275"/>
      <c r="L198" s="275"/>
    </row>
    <row r="199" spans="1:12">
      <c r="A199" s="2365" t="s">
        <v>2026</v>
      </c>
      <c r="B199" s="2366" t="s">
        <v>135</v>
      </c>
      <c r="C199" s="2367">
        <f>IF('Ввод данных'!A51=связи1!A212,1,0)</f>
        <v>0</v>
      </c>
      <c r="D199" s="2367">
        <f>(IF(AND('Ввод данных'!A6=связи1!A98,'Ввод данных'!F237=связи1!A2),((дома!C1191/перекрытие!J29+1)*(дома!C1319)*перекрытие!E29*перекрытие!F29*перекрытие!G29),0)+IF(AND('Ввод данных'!A6=связи1!A98,'Ввод данных'!F312=связи1!A2),((дома!J1191/перекрытие!J29+1)*(дома!C1319)*перекрытие!E29*перекрытие!F29*перекрытие!G29),0)+IF('Ввод данных'!A6=связи1!A95,((дома!J1191/перекрытие!J29+1)*(дома!C1319)*перекрытие!E29*перекрытие!F29*перекрытие!G29),0)+1/J29*E29*F29*G29*дома!J98)*C199</f>
        <v>0</v>
      </c>
      <c r="E199" s="2367">
        <f>'Прайс лист'!G308</f>
        <v>12500</v>
      </c>
      <c r="F199" s="2368">
        <f>D199*E199*C199</f>
        <v>0</v>
      </c>
      <c r="G199" s="2307"/>
      <c r="K199" s="275"/>
      <c r="L199" s="275"/>
    </row>
    <row r="200" spans="1:12">
      <c r="A200" s="2365" t="s">
        <v>4031</v>
      </c>
      <c r="B200" s="2366" t="s">
        <v>135</v>
      </c>
      <c r="C200" s="2367">
        <f>IF('Ввод данных'!A51=связи1!A213,1,0)</f>
        <v>0</v>
      </c>
      <c r="D200" s="2367">
        <f>(IF(AND('Ввод данных'!A6=связи1!A98,'Ввод данных'!F237=связи1!A2),((дома!C1191/перекрытие!J29+1)*(дома!C1319)*перекрытие!E29*перекрытие!F29*перекрытие!G29),0)+IF(AND('Ввод данных'!A6=связи1!A98,'Ввод данных'!F312=связи1!A2),((дома!J1191/перекрытие!J29+1)*(дома!C1319)*перекрытие!E29*перекрытие!F29*перекрытие!G29),0)+IF('Ввод данных'!A6=связи1!A95,((дома!J1191/перекрытие!J29+1)*(дома!C1319)*перекрытие!E29*перекрытие!F29*перекрытие!G29),0)+1/J29*E29*F29*G29*дома!J98)*C200</f>
        <v>0</v>
      </c>
      <c r="E200" s="2367">
        <f>'Прайс лист'!G309</f>
        <v>12500</v>
      </c>
      <c r="F200" s="2368">
        <f>D200*E200*C200</f>
        <v>0</v>
      </c>
      <c r="G200" s="2307"/>
      <c r="K200" s="275"/>
      <c r="L200" s="275"/>
    </row>
    <row r="201" spans="1:12">
      <c r="A201" s="1055" t="str">
        <f>A78</f>
        <v xml:space="preserve">Гвозди ершоные 2,8 х 90            </v>
      </c>
      <c r="B201" s="289" t="s">
        <v>188</v>
      </c>
      <c r="C201" s="20"/>
      <c r="D201" s="20">
        <f>SUM(D199:D200)*6</f>
        <v>0</v>
      </c>
      <c r="E201" s="20">
        <f>E78</f>
        <v>76.489999999999995</v>
      </c>
      <c r="F201" s="2368">
        <f>D201*E201*(C199+C200)</f>
        <v>0</v>
      </c>
      <c r="G201" s="2307"/>
      <c r="H201" s="275"/>
      <c r="I201" s="100"/>
      <c r="J201" s="275"/>
      <c r="K201" s="275"/>
      <c r="L201" s="275"/>
    </row>
    <row r="202" spans="1:12">
      <c r="A202" s="2369" t="s">
        <v>243</v>
      </c>
      <c r="B202" s="2370" t="s">
        <v>156</v>
      </c>
      <c r="C202" s="2371">
        <f>IF('Ввод данных'!$A$51=перекрытие!A202,1,0)</f>
        <v>0</v>
      </c>
      <c r="D202" s="2347">
        <f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202</f>
        <v>0</v>
      </c>
      <c r="E202" s="2347">
        <f>'Прайс лист'!G274</f>
        <v>303</v>
      </c>
      <c r="F202" s="2347">
        <f t="shared" ref="F202:F213" si="8">D202*E202</f>
        <v>0</v>
      </c>
      <c r="G202" s="2307"/>
      <c r="K202" s="275"/>
      <c r="L202" s="275"/>
    </row>
    <row r="203" spans="1:12">
      <c r="A203" s="2369" t="s">
        <v>244</v>
      </c>
      <c r="B203" s="2370" t="s">
        <v>156</v>
      </c>
      <c r="C203" s="2371">
        <f>IF('Ввод данных'!$A$51=перекрытие!A203,1,0)</f>
        <v>0</v>
      </c>
      <c r="D203" s="2347">
        <f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203</f>
        <v>0</v>
      </c>
      <c r="E203" s="2347">
        <f>'Прайс лист'!G275</f>
        <v>355</v>
      </c>
      <c r="F203" s="2347">
        <f t="shared" si="8"/>
        <v>0</v>
      </c>
      <c r="G203" s="2307"/>
      <c r="H203" s="2263"/>
      <c r="I203" s="2263"/>
      <c r="J203" s="2263"/>
      <c r="K203" s="2263"/>
      <c r="L203" s="275"/>
    </row>
    <row r="204" spans="1:12">
      <c r="A204" s="2369" t="s">
        <v>245</v>
      </c>
      <c r="B204" s="2370" t="s">
        <v>156</v>
      </c>
      <c r="C204" s="2371">
        <f>IF('Ввод данных'!$A$51=перекрытие!A204,1,0)</f>
        <v>0</v>
      </c>
      <c r="D204" s="2347">
        <f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204</f>
        <v>0</v>
      </c>
      <c r="E204" s="2347">
        <f>'Прайс лист'!G276</f>
        <v>287</v>
      </c>
      <c r="F204" s="2347">
        <f t="shared" si="8"/>
        <v>0</v>
      </c>
      <c r="G204" s="2307"/>
      <c r="H204" s="2263"/>
      <c r="I204" s="2263"/>
      <c r="J204" s="2263"/>
      <c r="K204" s="2263"/>
      <c r="L204" s="2263"/>
    </row>
    <row r="205" spans="1:12">
      <c r="A205" s="2369" t="s">
        <v>246</v>
      </c>
      <c r="B205" s="2370" t="s">
        <v>156</v>
      </c>
      <c r="C205" s="2371">
        <f>IF('Ввод данных'!$A$51=перекрытие!A205,1,0)</f>
        <v>0</v>
      </c>
      <c r="D205" s="2347">
        <f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205</f>
        <v>0</v>
      </c>
      <c r="E205" s="2347">
        <f>'Прайс лист'!G277</f>
        <v>315</v>
      </c>
      <c r="F205" s="2347">
        <f t="shared" si="8"/>
        <v>0</v>
      </c>
      <c r="G205" s="2307"/>
      <c r="H205" s="2263"/>
      <c r="I205" s="2263"/>
      <c r="J205" s="2263"/>
      <c r="K205" s="2263"/>
      <c r="L205" s="2263"/>
    </row>
    <row r="206" spans="1:12">
      <c r="A206" s="2369" t="s">
        <v>247</v>
      </c>
      <c r="B206" s="2370" t="s">
        <v>156</v>
      </c>
      <c r="C206" s="2371">
        <f>IF('Ввод данных'!$A$51=перекрытие!A206,1,0)</f>
        <v>0</v>
      </c>
      <c r="D206" s="2347">
        <f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206</f>
        <v>0</v>
      </c>
      <c r="E206" s="2347">
        <f>'Прайс лист'!G278</f>
        <v>273</v>
      </c>
      <c r="F206" s="2347">
        <f t="shared" si="8"/>
        <v>0</v>
      </c>
      <c r="G206" s="2307"/>
      <c r="H206" s="2263"/>
      <c r="I206" s="2263"/>
      <c r="J206" s="2263"/>
      <c r="K206" s="2263"/>
      <c r="L206" s="2263"/>
    </row>
    <row r="207" spans="1:12">
      <c r="A207" s="2369" t="s">
        <v>248</v>
      </c>
      <c r="B207" s="2370" t="s">
        <v>156</v>
      </c>
      <c r="C207" s="2371">
        <f>IF('Ввод данных'!$A$51=перекрытие!A207,1,0)</f>
        <v>0</v>
      </c>
      <c r="D207" s="2347">
        <f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207</f>
        <v>0</v>
      </c>
      <c r="E207" s="2347">
        <f>'Прайс лист'!G279</f>
        <v>315</v>
      </c>
      <c r="F207" s="2347">
        <f t="shared" si="8"/>
        <v>0</v>
      </c>
      <c r="G207" s="2307"/>
      <c r="H207" s="2263"/>
      <c r="I207" s="2263"/>
      <c r="J207" s="2263"/>
      <c r="K207" s="2263"/>
      <c r="L207" s="2263"/>
    </row>
    <row r="208" spans="1:12">
      <c r="A208" s="2369" t="s">
        <v>249</v>
      </c>
      <c r="B208" s="2370" t="s">
        <v>156</v>
      </c>
      <c r="C208" s="2371">
        <f>IF('Ввод данных'!$A$51=перекрытие!A208,1,0)</f>
        <v>0</v>
      </c>
      <c r="D208" s="2347">
        <f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208</f>
        <v>0</v>
      </c>
      <c r="E208" s="2347">
        <f>'Прайс лист'!G280</f>
        <v>263</v>
      </c>
      <c r="F208" s="2347">
        <f t="shared" si="8"/>
        <v>0</v>
      </c>
      <c r="G208" s="2307"/>
      <c r="H208" s="2263"/>
      <c r="I208" s="2263"/>
      <c r="J208" s="2263"/>
      <c r="K208" s="2263"/>
      <c r="L208" s="2263"/>
    </row>
    <row r="209" spans="1:12">
      <c r="A209" s="2369" t="s">
        <v>250</v>
      </c>
      <c r="B209" s="2370" t="s">
        <v>156</v>
      </c>
      <c r="C209" s="2371">
        <f>IF('Ввод данных'!$A$51=перекрытие!A209,1,0)</f>
        <v>0</v>
      </c>
      <c r="D209" s="2347">
        <f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209</f>
        <v>0</v>
      </c>
      <c r="E209" s="2347">
        <f>'Прайс лист'!G281</f>
        <v>291</v>
      </c>
      <c r="F209" s="2347">
        <f t="shared" si="8"/>
        <v>0</v>
      </c>
      <c r="G209" s="2307"/>
      <c r="H209" s="2263"/>
      <c r="I209" s="2263"/>
      <c r="J209" s="2263"/>
      <c r="K209" s="2263"/>
      <c r="L209" s="2263"/>
    </row>
    <row r="210" spans="1:12">
      <c r="A210" s="2369" t="s">
        <v>251</v>
      </c>
      <c r="B210" s="2370" t="s">
        <v>156</v>
      </c>
      <c r="C210" s="2371">
        <f>IF('Ввод данных'!$A$51=перекрытие!A210,1,0)</f>
        <v>0</v>
      </c>
      <c r="D210" s="2347">
        <f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210</f>
        <v>0</v>
      </c>
      <c r="E210" s="2347">
        <f>'Прайс лист'!G282</f>
        <v>250</v>
      </c>
      <c r="F210" s="2347">
        <f t="shared" si="8"/>
        <v>0</v>
      </c>
      <c r="G210" s="2307"/>
      <c r="H210" s="2263"/>
      <c r="I210" s="2263"/>
      <c r="J210" s="2263"/>
      <c r="K210" s="2263"/>
      <c r="L210" s="2263"/>
    </row>
    <row r="211" spans="1:12">
      <c r="A211" s="2369" t="s">
        <v>252</v>
      </c>
      <c r="B211" s="2370" t="s">
        <v>156</v>
      </c>
      <c r="C211" s="2371">
        <f>IF('Ввод данных'!$A$51=перекрытие!A211,1,0)</f>
        <v>0</v>
      </c>
      <c r="D211" s="2347">
        <f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211</f>
        <v>0</v>
      </c>
      <c r="E211" s="2347">
        <f>'Прайс лист'!G283</f>
        <v>280</v>
      </c>
      <c r="F211" s="2347">
        <f t="shared" si="8"/>
        <v>0</v>
      </c>
      <c r="G211" s="2307"/>
      <c r="H211" s="2263"/>
      <c r="I211" s="2263"/>
      <c r="J211" s="2263"/>
      <c r="K211" s="2263"/>
      <c r="L211" s="2263"/>
    </row>
    <row r="212" spans="1:12">
      <c r="A212" s="2369" t="s">
        <v>253</v>
      </c>
      <c r="B212" s="2370" t="s">
        <v>156</v>
      </c>
      <c r="C212" s="2371">
        <f>IF('Ввод данных'!$A$51=перекрытие!A212,1,0)</f>
        <v>0</v>
      </c>
      <c r="D212" s="2347">
        <f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212</f>
        <v>0</v>
      </c>
      <c r="E212" s="2347">
        <f>'Прайс лист'!G284</f>
        <v>220</v>
      </c>
      <c r="F212" s="2347">
        <f t="shared" si="8"/>
        <v>0</v>
      </c>
      <c r="G212" s="2307"/>
      <c r="H212" s="2263"/>
      <c r="I212" s="2263"/>
      <c r="J212" s="2263"/>
      <c r="K212" s="2263"/>
      <c r="L212" s="2263"/>
    </row>
    <row r="213" spans="1:12">
      <c r="A213" s="2369" t="s">
        <v>254</v>
      </c>
      <c r="B213" s="2370" t="s">
        <v>156</v>
      </c>
      <c r="C213" s="2371">
        <f>IF('Ввод данных'!$A$51=перекрытие!A213,1,0)</f>
        <v>0</v>
      </c>
      <c r="D213" s="2347">
        <f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213</f>
        <v>0</v>
      </c>
      <c r="E213" s="2347">
        <f>'Прайс лист'!G285</f>
        <v>250</v>
      </c>
      <c r="F213" s="2347">
        <f t="shared" si="8"/>
        <v>0</v>
      </c>
      <c r="G213" s="2307"/>
      <c r="H213" s="2263"/>
      <c r="I213" s="2263"/>
      <c r="J213" s="2263"/>
      <c r="K213" s="2263"/>
      <c r="L213" s="2263"/>
    </row>
    <row r="214" spans="1:12">
      <c r="A214" s="19" t="str">
        <f>'Прайс лист'!B838</f>
        <v xml:space="preserve">Уголок усиленный 90х70х55х2,5        </v>
      </c>
      <c r="B214" s="289" t="s">
        <v>159</v>
      </c>
      <c r="C214" s="19"/>
      <c r="D214" s="19">
        <f>CEILING(((IF(G34=0.8,1.6,0)+IF(G34=0.7,2,0)+IF(G34=0.6,2.44,0)+IF(G34=0.5,3.25,0)+IF(G34=0.4,3.67,0)+IF(G34=0.3,4.1,0))*D34*E34),1)</f>
        <v>0</v>
      </c>
      <c r="E214" s="19">
        <f>'Прайс лист'!G838</f>
        <v>30</v>
      </c>
      <c r="F214" s="2347">
        <f>D214*E214*SUM(C202:C213)</f>
        <v>0</v>
      </c>
      <c r="G214" s="2307"/>
      <c r="H214" s="2263"/>
      <c r="I214" s="2263"/>
      <c r="J214" s="2263"/>
      <c r="K214" s="2263"/>
      <c r="L214" s="2263"/>
    </row>
    <row r="215" spans="1:12">
      <c r="A215" s="19" t="str">
        <f>'Прайс лист'!B878</f>
        <v xml:space="preserve">Саморезы 3,5 x 55            </v>
      </c>
      <c r="B215" s="289" t="s">
        <v>159</v>
      </c>
      <c r="C215" s="19"/>
      <c r="D215" s="19">
        <f>D214*4</f>
        <v>0</v>
      </c>
      <c r="E215" s="19">
        <f>'Прайс лист'!F878</f>
        <v>0.3</v>
      </c>
      <c r="F215" s="2347">
        <f>D215*E215*SUM(C202:C213)</f>
        <v>0</v>
      </c>
      <c r="G215" s="2307"/>
      <c r="H215" s="2263"/>
      <c r="I215" s="2263"/>
      <c r="J215" s="2263"/>
      <c r="K215" s="2263"/>
      <c r="L215" s="2263"/>
    </row>
    <row r="216" spans="1:12">
      <c r="A216" s="19" t="str">
        <f>'Ввод данных'!A55</f>
        <v>Плитный,28кг/м3, технониколь, 200мм</v>
      </c>
      <c r="B216" s="289" t="s">
        <v>135</v>
      </c>
      <c r="C216" s="19">
        <f>IF(A216='Прайс лист'!B744,0,1)</f>
        <v>1</v>
      </c>
      <c r="D216" s="19">
        <f>дома!F1090*VLOOKUP(перекрытие!A216,'Прайс лист'!B744:G782,3,0)</f>
        <v>0</v>
      </c>
      <c r="E216" s="19">
        <f>VLOOKUP(перекрытие!A216,'Прайс лист'!B744:G782,6,0)</f>
        <v>1700</v>
      </c>
      <c r="F216" s="19">
        <f t="shared" ref="F216:F226" si="9">D216*E216</f>
        <v>0</v>
      </c>
      <c r="G216" s="2307"/>
      <c r="H216" s="2263"/>
      <c r="I216" s="2263"/>
      <c r="J216" s="2263"/>
      <c r="K216" s="2263"/>
      <c r="L216" s="2263"/>
    </row>
    <row r="217" spans="1:12">
      <c r="A217" s="19" t="str">
        <f>'Ввод данных'!A56</f>
        <v>Мембрана Folder Classic</v>
      </c>
      <c r="B217" s="289" t="s">
        <v>133</v>
      </c>
      <c r="C217" s="19">
        <f>IF(A217='Прайс лист'!B793,0,1)</f>
        <v>1</v>
      </c>
      <c r="D217" s="19">
        <f>дома!F1090</f>
        <v>0</v>
      </c>
      <c r="E217" s="19">
        <f>VLOOKUP(A217,'Прайс лист'!B793:G819,6,0)</f>
        <v>71</v>
      </c>
      <c r="F217" s="19">
        <f t="shared" si="9"/>
        <v>0</v>
      </c>
      <c r="G217" s="2307"/>
      <c r="H217" s="2263"/>
      <c r="I217" s="2263"/>
      <c r="J217" s="2263"/>
      <c r="K217" s="2263"/>
      <c r="L217" s="2263"/>
    </row>
    <row r="218" spans="1:12">
      <c r="A218" s="19" t="str">
        <f>'Ввод данных'!A57</f>
        <v>Пленка Delta-Reflex</v>
      </c>
      <c r="B218" s="289" t="s">
        <v>133</v>
      </c>
      <c r="C218" s="19">
        <f>IF(A218='Прайс лист'!B820,0,1)</f>
        <v>1</v>
      </c>
      <c r="D218" s="19">
        <f>дома!F1090</f>
        <v>0</v>
      </c>
      <c r="E218" s="19">
        <f>VLOOKUP(A218,'Прайс лист'!B820:G831,6,0)</f>
        <v>156</v>
      </c>
      <c r="F218" s="19">
        <f t="shared" si="9"/>
        <v>0</v>
      </c>
      <c r="G218" s="2307"/>
      <c r="H218" s="2263"/>
      <c r="I218" s="2263"/>
      <c r="J218" s="2263"/>
      <c r="K218" s="2263"/>
      <c r="L218" s="2263"/>
    </row>
    <row r="219" spans="1:12">
      <c r="A219" s="19" t="str">
        <f>'Ввод данных'!A37</f>
        <v>нет</v>
      </c>
      <c r="B219" s="289" t="s">
        <v>135</v>
      </c>
      <c r="C219" s="19"/>
      <c r="D219" s="2372">
        <f>VLOOKUP(A219,связи1!A432:F440,4,0)*(дома!J91+дома!J96+дома!J101)</f>
        <v>0</v>
      </c>
      <c r="E219" s="19">
        <f>VLOOKUP(A219,связи1!A432:F440,6,0)</f>
        <v>0</v>
      </c>
      <c r="F219" s="19">
        <f t="shared" si="9"/>
        <v>0</v>
      </c>
      <c r="G219" s="2307"/>
      <c r="H219" s="2263" t="s">
        <v>4033</v>
      </c>
      <c r="I219" s="2263"/>
      <c r="J219" s="2263">
        <f>(дома!J91+дома!J96+дома!J101)*IF(перекрытие!A219=связи1!A432,0,1)</f>
        <v>0</v>
      </c>
      <c r="K219" s="2263">
        <f>'Прайс лист'!G1611</f>
        <v>150</v>
      </c>
      <c r="L219" s="2263">
        <f>J219*K219</f>
        <v>0</v>
      </c>
    </row>
    <row r="220" spans="1:12">
      <c r="A220" s="19" t="str">
        <f>'Ввод данных'!A38</f>
        <v>нет</v>
      </c>
      <c r="B220" s="289" t="s">
        <v>135</v>
      </c>
      <c r="C220" s="19"/>
      <c r="D220" s="2372">
        <f>VLOOKUP(A220,связи1!A418:E421,5,0)*(дома!J91+дома!J96+дома!J101)*4</f>
        <v>0</v>
      </c>
      <c r="E220" s="19">
        <f>VLOOKUP(A220,связи1!A418:D421,2,0)</f>
        <v>0</v>
      </c>
      <c r="F220" s="19">
        <f t="shared" si="9"/>
        <v>0</v>
      </c>
      <c r="G220" s="2307"/>
      <c r="H220" s="2263"/>
      <c r="I220" s="2263"/>
      <c r="J220" s="2263"/>
      <c r="K220" s="2263"/>
      <c r="L220" s="2263">
        <f>J220*K220</f>
        <v>0</v>
      </c>
    </row>
    <row r="221" spans="1:12">
      <c r="A221" s="19" t="str">
        <f>'Ввод данных'!A46</f>
        <v>нет</v>
      </c>
      <c r="B221" s="289" t="s">
        <v>135</v>
      </c>
      <c r="C221" s="19"/>
      <c r="D221" s="2372">
        <f>VLOOKUP(A221,связи1!A432:F440,4,0)*(дома!J92+дома!J97+дома!J102)</f>
        <v>0</v>
      </c>
      <c r="E221" s="19">
        <f>VLOOKUP(A221,связи1!A432:F440,6,0)</f>
        <v>0</v>
      </c>
      <c r="F221" s="19">
        <f t="shared" si="9"/>
        <v>0</v>
      </c>
      <c r="G221" s="2307"/>
      <c r="H221" s="2263" t="s">
        <v>4034</v>
      </c>
      <c r="I221" s="2263"/>
      <c r="J221" s="2263">
        <f>IF(перекрытие!A221=связи1!A432,0,1)*(дома!J92+дома!J97+дома!J102)</f>
        <v>0</v>
      </c>
      <c r="K221" s="2263">
        <f>K219</f>
        <v>150</v>
      </c>
      <c r="L221" s="2263">
        <f>J221*K221</f>
        <v>0</v>
      </c>
    </row>
    <row r="222" spans="1:12">
      <c r="A222" s="19" t="str">
        <f>'Ввод данных'!A47</f>
        <v>Доска сухая, калибр., 35*45мм</v>
      </c>
      <c r="B222" s="289" t="s">
        <v>135</v>
      </c>
      <c r="C222" s="19"/>
      <c r="D222" s="2372">
        <f>VLOOKUP(A222,связи1!A418:E421,5,0)*(дома!J92+дома!J97+дома!J102)*4</f>
        <v>0.49000000000000005</v>
      </c>
      <c r="E222" s="19">
        <f>VLOOKUP(A222,связи1!A418:D421,2,0)</f>
        <v>12500</v>
      </c>
      <c r="F222" s="19">
        <f t="shared" si="9"/>
        <v>6125.0000000000009</v>
      </c>
      <c r="G222" s="2307"/>
      <c r="H222" s="2263"/>
      <c r="I222" s="2263"/>
      <c r="J222" s="2263"/>
      <c r="K222" s="2263"/>
      <c r="L222" s="2263">
        <f>J222*K222</f>
        <v>0</v>
      </c>
    </row>
    <row r="223" spans="1:12">
      <c r="A223" s="19" t="str">
        <f>'Ввод данных'!A53</f>
        <v>нет</v>
      </c>
      <c r="B223" s="289" t="s">
        <v>135</v>
      </c>
      <c r="C223" s="19"/>
      <c r="D223" s="2372">
        <f>VLOOKUP(A223,связи1!A432:F440,4,0)*(дома!J93+дома!J98+дома!J103)</f>
        <v>0</v>
      </c>
      <c r="E223" s="19">
        <f>VLOOKUP(A223,связи1!A432:F440,6,0)</f>
        <v>0</v>
      </c>
      <c r="F223" s="19">
        <f t="shared" si="9"/>
        <v>0</v>
      </c>
      <c r="G223" s="2307"/>
      <c r="H223" s="2263" t="s">
        <v>4035</v>
      </c>
      <c r="I223" s="2263"/>
      <c r="J223" s="2263">
        <f>IF(перекрытие!A223=связи1!A432,0,1)*(дома!J93+дома!J98+дома!J103)</f>
        <v>0</v>
      </c>
      <c r="K223" s="2263">
        <f>K219</f>
        <v>150</v>
      </c>
      <c r="L223" s="2263">
        <f>J223*K223</f>
        <v>0</v>
      </c>
    </row>
    <row r="224" spans="1:12">
      <c r="A224" s="19" t="str">
        <f>'Ввод данных'!A54</f>
        <v>Сосна влаж, 50*50мм</v>
      </c>
      <c r="B224" s="289" t="s">
        <v>135</v>
      </c>
      <c r="C224" s="19"/>
      <c r="D224" s="2372">
        <f>VLOOKUP(A224,связи1!A418:E421,5,0)*(дома!J93+дома!J98+дома!J103)*4</f>
        <v>0</v>
      </c>
      <c r="E224" s="19">
        <f>VLOOKUP(A224,связи1!A418:D421,2,0)</f>
        <v>6500</v>
      </c>
      <c r="F224" s="19">
        <f t="shared" si="9"/>
        <v>0</v>
      </c>
      <c r="G224" s="2307"/>
      <c r="H224" s="2263"/>
      <c r="I224" s="2263"/>
      <c r="J224" s="2263"/>
      <c r="K224" s="2263"/>
      <c r="L224" s="2263"/>
    </row>
    <row r="225" spans="1:12">
      <c r="A225" s="19" t="str">
        <f>'Прайс лист'!B898</f>
        <v xml:space="preserve">Гвозди ершоные 2,8 х 90            </v>
      </c>
      <c r="B225" s="289" t="s">
        <v>188</v>
      </c>
      <c r="C225" s="19"/>
      <c r="D225" s="19">
        <f>(D219+D220+D221+D222+D223+D224)*6</f>
        <v>2.9400000000000004</v>
      </c>
      <c r="E225" s="19">
        <f>'Прайс лист'!G898</f>
        <v>76.489999999999995</v>
      </c>
      <c r="F225" s="19">
        <f t="shared" si="9"/>
        <v>224.88060000000002</v>
      </c>
      <c r="G225" s="2307"/>
      <c r="H225" s="2263"/>
      <c r="I225" s="2263"/>
      <c r="J225" s="2263"/>
      <c r="K225" s="2263"/>
      <c r="L225" s="2263"/>
    </row>
    <row r="226" spans="1:12">
      <c r="A226" s="19" t="str">
        <f>'Ввод данных'!A63</f>
        <v>расходные материалы перекрытие</v>
      </c>
      <c r="B226" s="19" t="str">
        <f>'Ввод данных'!B63</f>
        <v>рублей</v>
      </c>
      <c r="C226" s="19">
        <f>1</f>
        <v>1</v>
      </c>
      <c r="D226" s="19">
        <f>1</f>
        <v>1</v>
      </c>
      <c r="E226" s="19">
        <f>'Ввод данных'!C63</f>
        <v>5000</v>
      </c>
      <c r="F226" s="2373">
        <f t="shared" si="9"/>
        <v>5000</v>
      </c>
      <c r="G226" s="2307"/>
      <c r="H226" s="2263"/>
      <c r="I226" s="2263"/>
      <c r="J226" s="2263"/>
      <c r="K226" s="2263"/>
      <c r="L226" s="2263"/>
    </row>
    <row r="227" spans="1:12" s="2296" customFormat="1">
      <c r="G227" s="2307"/>
      <c r="H227" s="2263"/>
      <c r="I227" s="2263"/>
      <c r="J227" s="2263"/>
      <c r="K227" s="2263"/>
      <c r="L227" s="2263"/>
    </row>
    <row r="228" spans="1:12" s="2296" customFormat="1">
      <c r="G228" s="2307"/>
      <c r="H228" s="2263"/>
      <c r="I228" s="2263"/>
      <c r="J228" s="2263"/>
      <c r="K228" s="2263"/>
      <c r="L228" s="2263"/>
    </row>
    <row r="229" spans="1:12">
      <c r="A229" s="98" t="str">
        <f>'Ввод данных'!A60</f>
        <v>Газель</v>
      </c>
      <c r="B229" s="98" t="str">
        <f>'Ввод данных'!B60</f>
        <v>ед.</v>
      </c>
      <c r="C229" s="98">
        <f>'Ввод данных'!C60</f>
        <v>1</v>
      </c>
      <c r="D229" s="100">
        <f>C229</f>
        <v>1</v>
      </c>
      <c r="E229" s="100">
        <f>'Прайс лист'!G189</f>
        <v>1700</v>
      </c>
      <c r="F229" s="100">
        <f>D229*E229</f>
        <v>1700</v>
      </c>
      <c r="G229" s="2307"/>
      <c r="H229" s="2263"/>
      <c r="I229" s="2263"/>
      <c r="J229" s="2263"/>
      <c r="K229" s="2263"/>
      <c r="L229" s="2263"/>
    </row>
    <row r="230" spans="1:12">
      <c r="A230" s="98" t="str">
        <f>'Ввод данных'!A61</f>
        <v>Доставка материала Фура</v>
      </c>
      <c r="B230" s="98" t="str">
        <f>'Ввод данных'!B61</f>
        <v>ед.</v>
      </c>
      <c r="C230" s="98">
        <f>'Ввод данных'!C61</f>
        <v>0</v>
      </c>
      <c r="D230" s="100">
        <f>C230</f>
        <v>0</v>
      </c>
      <c r="E230" s="100">
        <f>'Прайс лист'!G190</f>
        <v>2500</v>
      </c>
      <c r="F230" s="100">
        <f>D230*E230</f>
        <v>0</v>
      </c>
      <c r="G230" s="2307"/>
      <c r="H230" s="2263"/>
      <c r="I230" s="2263"/>
      <c r="J230" s="2263"/>
      <c r="K230" s="2263"/>
      <c r="L230" s="2263"/>
    </row>
    <row r="231" spans="1:12">
      <c r="A231" s="98" t="str">
        <f>'Ввод данных'!A62</f>
        <v>Воровайка</v>
      </c>
      <c r="B231" s="98" t="str">
        <f>'Ввод данных'!B62</f>
        <v>ед.</v>
      </c>
      <c r="C231" s="98">
        <f>'Ввод данных'!C62</f>
        <v>0</v>
      </c>
      <c r="D231" s="100">
        <f>C231</f>
        <v>0</v>
      </c>
      <c r="E231" s="100">
        <f>'Прайс лист'!G188</f>
        <v>3500</v>
      </c>
      <c r="F231" s="100">
        <f>D231*E231</f>
        <v>0</v>
      </c>
      <c r="G231" s="2307"/>
      <c r="H231" s="2263"/>
      <c r="I231" s="2263"/>
      <c r="J231" s="2263"/>
      <c r="K231" s="2263"/>
      <c r="L231" s="2263"/>
    </row>
    <row r="232" spans="1:12" s="2296" customFormat="1">
      <c r="G232" s="2307"/>
      <c r="H232" s="2263"/>
      <c r="I232" s="2263"/>
      <c r="J232" s="2263"/>
      <c r="K232" s="2263"/>
      <c r="L232" s="2263"/>
    </row>
    <row r="233" spans="1:12">
      <c r="A233" s="2374"/>
      <c r="B233" s="2375"/>
      <c r="C233" s="2375"/>
      <c r="D233" s="2375"/>
      <c r="E233" s="2376"/>
      <c r="G233" s="2307"/>
      <c r="H233" s="2263"/>
      <c r="I233" s="2263"/>
      <c r="J233" s="2263"/>
      <c r="K233" s="2263"/>
      <c r="L233" s="2263"/>
    </row>
    <row r="234" spans="1:12">
      <c r="A234" s="2374"/>
      <c r="B234" s="2375"/>
      <c r="C234" s="2375"/>
      <c r="D234" s="2375"/>
      <c r="E234" s="2376"/>
      <c r="G234" s="2307"/>
      <c r="H234" s="2263"/>
      <c r="I234" s="2263"/>
      <c r="J234" s="2263"/>
      <c r="K234" s="2263"/>
      <c r="L234" s="2263"/>
    </row>
    <row r="235" spans="1:12" s="2296" customFormat="1">
      <c r="G235" s="2307"/>
      <c r="H235" s="2263"/>
      <c r="I235" s="2263"/>
      <c r="J235" s="2263"/>
      <c r="K235" s="2263"/>
      <c r="L235" s="2263"/>
    </row>
    <row r="236" spans="1:12" s="2296" customFormat="1">
      <c r="G236" s="2307"/>
      <c r="H236" s="2263"/>
      <c r="I236" s="2263"/>
      <c r="J236" s="2263"/>
      <c r="K236" s="2263"/>
      <c r="L236" s="2263"/>
    </row>
    <row r="237" spans="1:12" s="2296" customFormat="1">
      <c r="G237" s="2307"/>
      <c r="H237" s="2263"/>
      <c r="I237" s="2263"/>
      <c r="J237" s="2263"/>
      <c r="K237" s="2263"/>
      <c r="L237" s="2263"/>
    </row>
    <row r="238" spans="1:12">
      <c r="A238" s="2296" t="str">
        <f>связи1!A235</f>
        <v>ГПС 100х50-1,2</v>
      </c>
      <c r="B238" s="2296" t="s">
        <v>156</v>
      </c>
      <c r="C238" s="2296">
        <f>IF('Ввод данных'!$A$33=перекрытие!A238,1,0)</f>
        <v>0</v>
      </c>
      <c r="D238" s="2296">
        <f>1/'Ввод данных'!$C$33*дома!$F$1086*C238</f>
        <v>0</v>
      </c>
      <c r="E238" s="2296">
        <f>VLOOKUP(A238,связи1!$A$200:$D$253,4,0)</f>
        <v>163</v>
      </c>
      <c r="F238" s="2296">
        <f t="shared" ref="F238:F276" si="10">D238*E238</f>
        <v>0</v>
      </c>
      <c r="G238" s="2307"/>
      <c r="H238" s="2263"/>
      <c r="I238" s="2263"/>
      <c r="J238" s="2263"/>
      <c r="K238" s="2263"/>
      <c r="L238" s="2263"/>
    </row>
    <row r="239" spans="1:12">
      <c r="A239" s="2296" t="str">
        <f>связи1!A236</f>
        <v>ГПС 100х50-1,5</v>
      </c>
      <c r="B239" s="2296" t="s">
        <v>156</v>
      </c>
      <c r="C239" s="2296">
        <f>IF('Ввод данных'!$A$33=перекрытие!A239,1,0)</f>
        <v>0</v>
      </c>
      <c r="D239" s="2296">
        <f>1/'Ввод данных'!$C$33*дома!$F$1086*C239</f>
        <v>0</v>
      </c>
      <c r="E239" s="2296">
        <f>VLOOKUP(A239,связи1!$A$200:$D$253,4,0)</f>
        <v>204</v>
      </c>
      <c r="F239" s="2296">
        <f t="shared" si="10"/>
        <v>0</v>
      </c>
      <c r="G239" s="2307"/>
      <c r="H239" s="2263"/>
      <c r="I239" s="2263"/>
      <c r="J239" s="2263"/>
      <c r="K239" s="2263"/>
      <c r="L239" s="2263"/>
    </row>
    <row r="240" spans="1:12">
      <c r="A240" s="2296" t="str">
        <f>связи1!A237</f>
        <v>ГПС 120х50-1,5</v>
      </c>
      <c r="B240" s="2296" t="s">
        <v>156</v>
      </c>
      <c r="C240" s="2296">
        <f>IF('Ввод данных'!$A$33=перекрытие!A240,1,0)</f>
        <v>0</v>
      </c>
      <c r="D240" s="2296">
        <f>1/'Ввод данных'!$C$33*дома!$F$1086*C240</f>
        <v>0</v>
      </c>
      <c r="E240" s="2296">
        <f>VLOOKUP(A240,связи1!$A$200:$D$253,4,0)</f>
        <v>272</v>
      </c>
      <c r="F240" s="2296">
        <f t="shared" si="10"/>
        <v>0</v>
      </c>
      <c r="G240" s="2307"/>
      <c r="H240" s="2263"/>
      <c r="I240" s="2263"/>
      <c r="J240" s="2263"/>
      <c r="K240" s="2263"/>
      <c r="L240" s="2263"/>
    </row>
    <row r="241" spans="1:13">
      <c r="A241" s="2296" t="str">
        <f>связи1!A238</f>
        <v>ГПС 120х50-2,0</v>
      </c>
      <c r="B241" s="2296" t="s">
        <v>156</v>
      </c>
      <c r="C241" s="2296">
        <f>IF('Ввод данных'!$A$33=перекрытие!A241,1,0)</f>
        <v>0</v>
      </c>
      <c r="D241" s="2296">
        <f>1/'Ввод данных'!$C$33*дома!$F$1086*C241</f>
        <v>0</v>
      </c>
      <c r="E241" s="2296">
        <f>VLOOKUP(A241,связи1!$A$200:$D$253,4,0)</f>
        <v>179</v>
      </c>
      <c r="F241" s="2296">
        <f t="shared" si="10"/>
        <v>0</v>
      </c>
      <c r="G241" s="2377"/>
      <c r="H241" s="2377"/>
      <c r="I241" s="2377"/>
      <c r="J241" s="2377"/>
      <c r="K241" s="941"/>
      <c r="L241" s="941"/>
      <c r="M241" s="941"/>
    </row>
    <row r="242" spans="1:13">
      <c r="A242" s="2296" t="str">
        <f>связи1!A239</f>
        <v>ГПС 150х50-1,2</v>
      </c>
      <c r="B242" s="2296" t="s">
        <v>156</v>
      </c>
      <c r="C242" s="2296">
        <f>IF('Ввод данных'!$A$33=перекрытие!A242,1,0)</f>
        <v>0</v>
      </c>
      <c r="D242" s="2296">
        <f>1/'Ввод данных'!$C$33*дома!$F$1086*C242</f>
        <v>0</v>
      </c>
      <c r="E242" s="2296">
        <f>VLOOKUP(A242,связи1!$A$200:$D$253,4,0)</f>
        <v>224</v>
      </c>
      <c r="F242" s="2296">
        <f t="shared" si="10"/>
        <v>0</v>
      </c>
      <c r="G242" s="2377"/>
      <c r="H242" s="2377"/>
      <c r="I242" s="2377"/>
      <c r="J242" s="2377"/>
      <c r="K242" s="941"/>
      <c r="L242" s="941"/>
      <c r="M242" s="941"/>
    </row>
    <row r="243" spans="1:13">
      <c r="A243" s="2296" t="str">
        <f>связи1!A240</f>
        <v>ГПС 150х50-1,5</v>
      </c>
      <c r="B243" s="2296" t="s">
        <v>156</v>
      </c>
      <c r="C243" s="2296">
        <f>IF('Ввод данных'!$A$33=перекрытие!A243,1,0)</f>
        <v>0</v>
      </c>
      <c r="D243" s="2296">
        <f>1/'Ввод данных'!$C$33*дома!$F$1086*C243</f>
        <v>0</v>
      </c>
      <c r="E243" s="2296">
        <f>VLOOKUP(A243,связи1!$A$200:$D$253,4,0)</f>
        <v>299</v>
      </c>
      <c r="F243" s="2296">
        <f t="shared" si="10"/>
        <v>0</v>
      </c>
      <c r="G243" s="2377"/>
      <c r="H243" s="2377"/>
      <c r="I243" s="2377"/>
      <c r="J243" s="2377"/>
      <c r="K243" s="941"/>
      <c r="L243" s="941"/>
      <c r="M243" s="941"/>
    </row>
    <row r="244" spans="1:13">
      <c r="A244" s="2296" t="str">
        <f>связи1!A241</f>
        <v>ГПС 150х50-2,0</v>
      </c>
      <c r="B244" s="2296" t="s">
        <v>156</v>
      </c>
      <c r="C244" s="2296">
        <f>IF('Ввод данных'!$A$33=перекрытие!A244,1,0)</f>
        <v>0</v>
      </c>
      <c r="D244" s="2296">
        <f>1/'Ввод данных'!$C$33*дома!$F$1086*C244</f>
        <v>0</v>
      </c>
      <c r="E244" s="2296">
        <f>VLOOKUP(A244,связи1!$A$200:$D$253,4,0)</f>
        <v>201</v>
      </c>
      <c r="F244" s="2296">
        <f t="shared" si="10"/>
        <v>0</v>
      </c>
      <c r="G244" s="2377"/>
      <c r="H244" s="2377"/>
      <c r="I244" s="1262"/>
      <c r="J244" s="2377"/>
      <c r="K244" s="941"/>
      <c r="L244" s="941"/>
      <c r="M244" s="941"/>
    </row>
    <row r="245" spans="1:13">
      <c r="A245" s="2296" t="str">
        <f>связи1!A242</f>
        <v>ГПС 170х50-1,2</v>
      </c>
      <c r="B245" s="2296" t="s">
        <v>156</v>
      </c>
      <c r="C245" s="2296">
        <f>IF('Ввод данных'!$A$33=перекрытие!A245,1,0)</f>
        <v>0</v>
      </c>
      <c r="D245" s="2296">
        <f>1/'Ввод данных'!$C$33*дома!$F$1086*C245</f>
        <v>0</v>
      </c>
      <c r="E245" s="2296">
        <f>VLOOKUP(A245,связи1!$A$200:$D$253,4,0)</f>
        <v>252</v>
      </c>
      <c r="F245" s="2296">
        <f t="shared" si="10"/>
        <v>0</v>
      </c>
      <c r="G245" s="2377"/>
      <c r="H245" s="2377"/>
      <c r="I245" s="1262"/>
      <c r="J245" s="2377"/>
      <c r="K245" s="941"/>
      <c r="L245" s="941"/>
      <c r="M245" s="941"/>
    </row>
    <row r="246" spans="1:13">
      <c r="A246" s="2296" t="str">
        <f>связи1!A243</f>
        <v>ГПС 170х50-1,5</v>
      </c>
      <c r="B246" s="2296" t="s">
        <v>156</v>
      </c>
      <c r="C246" s="2296">
        <f>IF('Ввод данных'!$A$33=перекрытие!A246,1,0)</f>
        <v>0</v>
      </c>
      <c r="D246" s="2296">
        <f>1/'Ввод данных'!$C$33*дома!$F$1086*C246</f>
        <v>0</v>
      </c>
      <c r="E246" s="2296">
        <f>VLOOKUP(A246,связи1!$A$200:$D$253,4,0)</f>
        <v>330</v>
      </c>
      <c r="F246" s="2296">
        <f t="shared" si="10"/>
        <v>0</v>
      </c>
      <c r="G246" s="2377"/>
      <c r="H246" s="2377"/>
      <c r="I246" s="1262"/>
      <c r="J246" s="2377"/>
      <c r="K246" s="941"/>
      <c r="L246" s="941"/>
      <c r="M246" s="941"/>
    </row>
    <row r="247" spans="1:13">
      <c r="A247" s="2296" t="str">
        <f>связи1!A244</f>
        <v>ГПС 170х50-2,0</v>
      </c>
      <c r="B247" s="2296" t="s">
        <v>156</v>
      </c>
      <c r="C247" s="2296">
        <f>IF('Ввод данных'!$A$33=перекрытие!A247,1,0)</f>
        <v>0</v>
      </c>
      <c r="D247" s="2296">
        <f>1/'Ввод данных'!$C$33*дома!$F$1086*C247</f>
        <v>0</v>
      </c>
      <c r="E247" s="2296">
        <f>VLOOKUP(A247,связи1!$A$200:$D$253,4,0)</f>
        <v>215</v>
      </c>
      <c r="F247" s="2296">
        <f t="shared" si="10"/>
        <v>0</v>
      </c>
      <c r="G247" s="2377"/>
      <c r="H247" s="2377"/>
      <c r="I247" s="1262"/>
      <c r="J247" s="2377"/>
      <c r="K247" s="941"/>
      <c r="L247" s="941"/>
      <c r="M247" s="941"/>
    </row>
    <row r="248" spans="1:13">
      <c r="A248" s="2296" t="str">
        <f>связи1!A245</f>
        <v>ГПС 200х50-1,2</v>
      </c>
      <c r="B248" s="2296" t="s">
        <v>156</v>
      </c>
      <c r="C248" s="2296">
        <f>IF('Ввод данных'!$A$33=перекрытие!A248,1,0)</f>
        <v>0</v>
      </c>
      <c r="D248" s="2296">
        <f>1/'Ввод данных'!$C$33*дома!$F$1086*C248</f>
        <v>0</v>
      </c>
      <c r="E248" s="2296">
        <f>VLOOKUP(A248,связи1!$A$200:$D$253,4,0)</f>
        <v>269</v>
      </c>
      <c r="F248" s="2296">
        <f t="shared" si="10"/>
        <v>0</v>
      </c>
      <c r="G248" s="2377"/>
      <c r="H248" s="2377"/>
      <c r="I248" s="1262"/>
      <c r="J248" s="2377"/>
      <c r="K248" s="941"/>
      <c r="L248" s="941"/>
      <c r="M248" s="941"/>
    </row>
    <row r="249" spans="1:13">
      <c r="A249" s="2296" t="str">
        <f>связи1!A246</f>
        <v>ГПС 200х50-1,5</v>
      </c>
      <c r="B249" s="2296" t="s">
        <v>156</v>
      </c>
      <c r="C249" s="2296">
        <f>IF('Ввод данных'!$A$33=перекрытие!A249,1,0)</f>
        <v>0</v>
      </c>
      <c r="D249" s="2296">
        <f>1/'Ввод данных'!$C$33*дома!$F$1086*C249</f>
        <v>0</v>
      </c>
      <c r="E249" s="2296">
        <f>VLOOKUP(A249,связи1!$A$200:$D$253,4,0)</f>
        <v>358</v>
      </c>
      <c r="F249" s="2296">
        <f t="shared" si="10"/>
        <v>0</v>
      </c>
      <c r="G249" s="2377"/>
      <c r="H249" s="2377"/>
      <c r="I249" s="1262"/>
      <c r="J249" s="2377"/>
      <c r="K249" s="941"/>
      <c r="L249" s="941"/>
      <c r="M249" s="941"/>
    </row>
    <row r="250" spans="1:13">
      <c r="A250" s="2296" t="str">
        <f>связи1!A247</f>
        <v>ГПС 200х50-2,0</v>
      </c>
      <c r="B250" s="2296" t="s">
        <v>156</v>
      </c>
      <c r="C250" s="2296">
        <f>IF('Ввод данных'!$A$33=перекрытие!A250,1,0)</f>
        <v>0</v>
      </c>
      <c r="D250" s="2296">
        <f>1/'Ввод данных'!$C$33*дома!$F$1086*C250</f>
        <v>0</v>
      </c>
      <c r="E250" s="2296">
        <f>VLOOKUP(A250,связи1!$A$200:$D$253,4,0)</f>
        <v>239</v>
      </c>
      <c r="F250" s="2296">
        <f t="shared" si="10"/>
        <v>0</v>
      </c>
      <c r="G250" s="2377"/>
      <c r="H250" s="2377"/>
      <c r="I250" s="2377"/>
      <c r="J250" s="2377"/>
      <c r="K250" s="941"/>
      <c r="L250" s="941"/>
      <c r="M250" s="941"/>
    </row>
    <row r="251" spans="1:13">
      <c r="A251" s="2296" t="str">
        <f>связи1!A248</f>
        <v>ГПС 250х50-1,2</v>
      </c>
      <c r="B251" s="2296" t="s">
        <v>156</v>
      </c>
      <c r="C251" s="2296">
        <f>IF('Ввод данных'!$A$33=перекрытие!A251,1,0)</f>
        <v>0</v>
      </c>
      <c r="D251" s="2296">
        <f>1/'Ввод данных'!$C$33*дома!$F$1086*C251</f>
        <v>0</v>
      </c>
      <c r="E251" s="2296">
        <f>VLOOKUP(A251,связи1!$A$200:$D$253,4,0)</f>
        <v>299</v>
      </c>
      <c r="F251" s="2296">
        <f t="shared" si="10"/>
        <v>0</v>
      </c>
      <c r="G251" s="2377"/>
      <c r="H251" s="2377"/>
      <c r="I251" s="2377"/>
      <c r="J251" s="2377"/>
      <c r="K251" s="941"/>
      <c r="L251" s="941"/>
      <c r="M251" s="941"/>
    </row>
    <row r="252" spans="1:13">
      <c r="A252" s="2296" t="str">
        <f>связи1!A249</f>
        <v>ГПС 250х50-1,5</v>
      </c>
      <c r="B252" s="2296" t="s">
        <v>156</v>
      </c>
      <c r="C252" s="2296">
        <f>IF('Ввод данных'!$A$33=перекрытие!A252,1,0)</f>
        <v>0</v>
      </c>
      <c r="D252" s="2296">
        <f>1/'Ввод данных'!$C$33*дома!$F$1086*C252</f>
        <v>0</v>
      </c>
      <c r="E252" s="2296">
        <f>VLOOKUP(A252,связи1!$A$200:$D$253,4,0)</f>
        <v>397</v>
      </c>
      <c r="F252" s="2296">
        <f t="shared" si="10"/>
        <v>0</v>
      </c>
      <c r="G252" s="2377"/>
      <c r="H252" s="2377"/>
      <c r="I252" s="2377"/>
      <c r="J252" s="2377"/>
      <c r="K252" s="941"/>
      <c r="L252" s="941"/>
      <c r="M252" s="941"/>
    </row>
    <row r="253" spans="1:13">
      <c r="A253" s="2296" t="str">
        <f>связи1!A250</f>
        <v>ГПС 250х50-2,0</v>
      </c>
      <c r="B253" s="2296" t="s">
        <v>156</v>
      </c>
      <c r="C253" s="2296">
        <f>IF('Ввод данных'!$A$33=перекрытие!A253,1,0)</f>
        <v>0</v>
      </c>
      <c r="D253" s="2296">
        <f>1/'Ввод данных'!$C$33*дома!$F$1086*C253</f>
        <v>0</v>
      </c>
      <c r="E253" s="2296">
        <f>VLOOKUP(A253,связи1!$A$200:$D$253,4,0)</f>
        <v>274</v>
      </c>
      <c r="F253" s="2296">
        <f t="shared" si="10"/>
        <v>0</v>
      </c>
      <c r="G253" s="2377"/>
      <c r="H253" s="2377"/>
      <c r="I253" s="2377"/>
      <c r="J253" s="2377"/>
      <c r="K253" s="941"/>
      <c r="L253" s="941"/>
      <c r="M253" s="941"/>
    </row>
    <row r="254" spans="1:13">
      <c r="A254" s="2296" t="str">
        <f>связи1!A251</f>
        <v>ГПС 280х50-1,2</v>
      </c>
      <c r="B254" s="2296" t="s">
        <v>156</v>
      </c>
      <c r="C254" s="2296">
        <f>IF('Ввод данных'!$A$33=перекрытие!A254,1,0)</f>
        <v>0</v>
      </c>
      <c r="D254" s="2296">
        <f>1/'Ввод данных'!$C$33*дома!$F$1086*C254</f>
        <v>0</v>
      </c>
      <c r="E254" s="2296">
        <f>VLOOKUP(A254,связи1!$A$200:$D$253,4,0)</f>
        <v>344</v>
      </c>
      <c r="F254" s="2296">
        <f t="shared" si="10"/>
        <v>0</v>
      </c>
      <c r="G254" s="2377"/>
      <c r="H254" s="2377"/>
      <c r="I254" s="2377"/>
      <c r="J254" s="2377"/>
      <c r="K254" s="941"/>
      <c r="L254" s="941"/>
      <c r="M254" s="941"/>
    </row>
    <row r="255" spans="1:13">
      <c r="A255" s="2296" t="str">
        <f>связи1!A252</f>
        <v>ГПС 280х50-1,5</v>
      </c>
      <c r="B255" s="2296" t="s">
        <v>156</v>
      </c>
      <c r="C255" s="2296">
        <f>IF('Ввод данных'!$A$33=перекрытие!A255,1,0)</f>
        <v>0</v>
      </c>
      <c r="D255" s="2296">
        <f>1/'Ввод данных'!$C$33*дома!$F$1086*C255</f>
        <v>0</v>
      </c>
      <c r="E255" s="2296">
        <f>VLOOKUP(A255,связи1!$A$200:$D$253,4,0)</f>
        <v>450</v>
      </c>
      <c r="F255" s="2296">
        <f t="shared" si="10"/>
        <v>0</v>
      </c>
      <c r="G255" s="2377"/>
      <c r="H255" s="2377"/>
      <c r="I255" s="2377"/>
      <c r="J255" s="2377"/>
      <c r="K255" s="941"/>
      <c r="L255" s="941"/>
      <c r="M255" s="941"/>
    </row>
    <row r="256" spans="1:13">
      <c r="A256" s="2296" t="str">
        <f>связи1!A253</f>
        <v>ГПС 280х50-2,0</v>
      </c>
      <c r="B256" s="2296" t="s">
        <v>156</v>
      </c>
      <c r="C256" s="2296">
        <f>IF('Ввод данных'!$A$33=перекрытие!A256,1,0)</f>
        <v>0</v>
      </c>
      <c r="D256" s="2296">
        <f>1/'Ввод данных'!$C$33*дома!$F$1086*C256</f>
        <v>0</v>
      </c>
      <c r="E256" s="2296">
        <f>VLOOKUP(A256,связи1!$A$200:$D$253,4,0)</f>
        <v>293</v>
      </c>
      <c r="F256" s="2296">
        <f t="shared" si="10"/>
        <v>0</v>
      </c>
      <c r="G256" s="2377"/>
      <c r="H256" s="2377"/>
      <c r="I256" s="2377"/>
      <c r="J256" s="2377"/>
      <c r="K256" s="941"/>
      <c r="L256" s="941"/>
      <c r="M256" s="941"/>
    </row>
    <row r="257" spans="1:13">
      <c r="A257" s="2296" t="str">
        <f>'Прайс лист'!B579</f>
        <v>ГПН 102х35-1,2</v>
      </c>
      <c r="B257" s="2296" t="s">
        <v>156</v>
      </c>
      <c r="C257" s="2296">
        <f t="shared" ref="C257:C275" si="11">C238</f>
        <v>0</v>
      </c>
      <c r="D257" s="2296">
        <f>(дома!$D$16+дома!$D$16+дома!$D$17+дома!$D$17)*перекрытие!C257</f>
        <v>0</v>
      </c>
      <c r="E257" s="2296">
        <f>'Прайс лист'!G579</f>
        <v>127</v>
      </c>
      <c r="F257" s="2296">
        <f t="shared" si="10"/>
        <v>0</v>
      </c>
      <c r="G257" s="2377"/>
      <c r="H257" s="2377"/>
      <c r="I257" s="2377"/>
      <c r="J257" s="2377"/>
      <c r="K257" s="941"/>
      <c r="L257" s="941"/>
      <c r="M257" s="941"/>
    </row>
    <row r="258" spans="1:13">
      <c r="A258" s="2296" t="str">
        <f>'Прайс лист'!B580</f>
        <v>ГПН 102х35-1,5</v>
      </c>
      <c r="B258" s="2296" t="s">
        <v>156</v>
      </c>
      <c r="C258" s="2296">
        <f t="shared" si="11"/>
        <v>0</v>
      </c>
      <c r="D258" s="2296">
        <f>(дома!$D$16+дома!$D$16+дома!$D$17+дома!$D$17)*перекрытие!C258</f>
        <v>0</v>
      </c>
      <c r="E258" s="2296">
        <f>'Прайс лист'!G580</f>
        <v>158</v>
      </c>
      <c r="F258" s="2296">
        <f t="shared" si="10"/>
        <v>0</v>
      </c>
      <c r="G258" s="2377"/>
      <c r="H258" s="2377"/>
      <c r="I258" s="2377"/>
      <c r="J258" s="2377"/>
      <c r="K258" s="941"/>
      <c r="L258" s="941"/>
      <c r="M258" s="941"/>
    </row>
    <row r="259" spans="1:13">
      <c r="A259" s="2296" t="str">
        <f>'Прайс лист'!B581</f>
        <v>ГПН 102х35-2,0</v>
      </c>
      <c r="B259" s="2296" t="s">
        <v>156</v>
      </c>
      <c r="C259" s="2296">
        <f t="shared" si="11"/>
        <v>0</v>
      </c>
      <c r="D259" s="2296">
        <f>(дома!$D$16+дома!$D$16+дома!$D$17+дома!$D$17)*перекрытие!C259</f>
        <v>0</v>
      </c>
      <c r="E259" s="2296">
        <f>'Прайс лист'!G581</f>
        <v>199</v>
      </c>
      <c r="F259" s="2296">
        <f t="shared" si="10"/>
        <v>0</v>
      </c>
      <c r="G259" s="2377"/>
      <c r="H259" s="2377"/>
      <c r="I259" s="2377"/>
      <c r="J259" s="2377"/>
      <c r="K259" s="941"/>
      <c r="L259" s="941"/>
      <c r="M259" s="941"/>
    </row>
    <row r="260" spans="1:13">
      <c r="A260" s="2296" t="str">
        <f>'Прайс лист'!B582</f>
        <v>ГПН 122х35-1,2</v>
      </c>
      <c r="B260" s="2296" t="s">
        <v>156</v>
      </c>
      <c r="C260" s="2296">
        <f t="shared" si="11"/>
        <v>0</v>
      </c>
      <c r="D260" s="2296">
        <f>(дома!$D$16+дома!$D$16+дома!$D$17+дома!$D$17)*перекрытие!C260</f>
        <v>0</v>
      </c>
      <c r="E260" s="2296">
        <f>'Прайс лист'!G582</f>
        <v>131</v>
      </c>
      <c r="F260" s="2296">
        <f t="shared" si="10"/>
        <v>0</v>
      </c>
      <c r="G260" s="2377"/>
      <c r="H260" s="2377"/>
      <c r="I260" s="2377"/>
      <c r="J260" s="2377"/>
      <c r="K260" s="941"/>
      <c r="L260" s="941"/>
      <c r="M260" s="941"/>
    </row>
    <row r="261" spans="1:13">
      <c r="A261" s="2296" t="str">
        <f>'Прайс лист'!B583</f>
        <v>ГПН 122х35-1,5</v>
      </c>
      <c r="B261" s="2296" t="s">
        <v>156</v>
      </c>
      <c r="C261" s="2296">
        <f t="shared" si="11"/>
        <v>0</v>
      </c>
      <c r="D261" s="2296">
        <f>(дома!$D$16+дома!$D$16+дома!$D$17+дома!$D$17)*перекрытие!C261</f>
        <v>0</v>
      </c>
      <c r="E261" s="2296">
        <f>'Прайс лист'!G583</f>
        <v>163</v>
      </c>
      <c r="F261" s="2296">
        <f t="shared" si="10"/>
        <v>0</v>
      </c>
      <c r="G261" s="2377"/>
      <c r="H261" s="2377"/>
      <c r="I261" s="2377"/>
      <c r="J261" s="2377"/>
      <c r="K261" s="941"/>
      <c r="L261" s="941"/>
      <c r="M261" s="941"/>
    </row>
    <row r="262" spans="1:13">
      <c r="A262" s="2296" t="str">
        <f>'Прайс лист'!B584</f>
        <v>ГПН 122х35-2,0</v>
      </c>
      <c r="B262" s="2296" t="s">
        <v>156</v>
      </c>
      <c r="C262" s="2296">
        <f t="shared" si="11"/>
        <v>0</v>
      </c>
      <c r="D262" s="2296">
        <f>(дома!$D$16+дома!$D$16+дома!$D$17+дома!$D$17)*перекрытие!C262</f>
        <v>0</v>
      </c>
      <c r="E262" s="2296">
        <f>'Прайс лист'!G584</f>
        <v>216</v>
      </c>
      <c r="F262" s="2296">
        <f t="shared" si="10"/>
        <v>0</v>
      </c>
      <c r="G262" s="2377"/>
      <c r="H262" s="2377"/>
      <c r="I262" s="2377"/>
      <c r="J262" s="2377"/>
      <c r="K262" s="941"/>
      <c r="L262" s="941"/>
      <c r="M262" s="941"/>
    </row>
    <row r="263" spans="1:13">
      <c r="A263" s="2296" t="str">
        <f>'Прайс лист'!B585</f>
        <v>ГПН 152х35-1,2</v>
      </c>
      <c r="B263" s="2296" t="s">
        <v>156</v>
      </c>
      <c r="C263" s="2296">
        <f t="shared" si="11"/>
        <v>0</v>
      </c>
      <c r="D263" s="2296">
        <f>(дома!$D$16+дома!$D$16+дома!$D$17+дома!$D$17)*перекрытие!C263</f>
        <v>0</v>
      </c>
      <c r="E263" s="2296">
        <f>'Прайс лист'!G585</f>
        <v>163</v>
      </c>
      <c r="F263" s="2296">
        <f t="shared" si="10"/>
        <v>0</v>
      </c>
      <c r="G263" s="2377"/>
      <c r="H263" s="2377"/>
      <c r="I263" s="2377"/>
      <c r="J263" s="2377"/>
      <c r="K263" s="941"/>
      <c r="L263" s="941"/>
      <c r="M263" s="941"/>
    </row>
    <row r="264" spans="1:13">
      <c r="A264" s="2296" t="str">
        <f>'Прайс лист'!B586</f>
        <v>ГПН 152х35-1,5</v>
      </c>
      <c r="B264" s="2296" t="s">
        <v>156</v>
      </c>
      <c r="C264" s="2296">
        <f t="shared" si="11"/>
        <v>0</v>
      </c>
      <c r="D264" s="2296">
        <f>(дома!$D$16+дома!$D$16+дома!$D$17+дома!$D$17)*перекрытие!C264</f>
        <v>0</v>
      </c>
      <c r="E264" s="2296">
        <f>'Прайс лист'!G586</f>
        <v>203</v>
      </c>
      <c r="F264" s="2296">
        <f t="shared" si="10"/>
        <v>0</v>
      </c>
      <c r="G264" s="2377"/>
      <c r="H264" s="2377"/>
      <c r="I264" s="2377"/>
      <c r="J264" s="2377"/>
      <c r="K264" s="941"/>
      <c r="L264" s="941"/>
      <c r="M264" s="941"/>
    </row>
    <row r="265" spans="1:13">
      <c r="A265" s="2296" t="str">
        <f>'Прайс лист'!B587</f>
        <v>ГПН 152х35-2,0</v>
      </c>
      <c r="B265" s="2296" t="s">
        <v>156</v>
      </c>
      <c r="C265" s="2296">
        <f t="shared" si="11"/>
        <v>0</v>
      </c>
      <c r="D265" s="2296">
        <f>(дома!$D$16+дома!$D$16+дома!$D$17+дома!$D$17)*перекрытие!C265</f>
        <v>0</v>
      </c>
      <c r="E265" s="2296">
        <f>'Прайс лист'!G587</f>
        <v>259</v>
      </c>
      <c r="F265" s="2296">
        <f t="shared" si="10"/>
        <v>0</v>
      </c>
    </row>
    <row r="266" spans="1:13">
      <c r="A266" s="2296" t="str">
        <f>'Прайс лист'!B588</f>
        <v>ГПН 172х35-1,2</v>
      </c>
      <c r="B266" s="2296" t="s">
        <v>156</v>
      </c>
      <c r="C266" s="2296">
        <f t="shared" si="11"/>
        <v>0</v>
      </c>
      <c r="D266" s="2296">
        <f>(дома!$D$16+дома!$D$16+дома!$D$17+дома!$D$17)*перекрытие!C266</f>
        <v>0</v>
      </c>
      <c r="E266" s="2296">
        <f>'Прайс лист'!G588</f>
        <v>166</v>
      </c>
      <c r="F266" s="2296">
        <f t="shared" si="10"/>
        <v>0</v>
      </c>
    </row>
    <row r="267" spans="1:13">
      <c r="A267" s="2296" t="str">
        <f>'Прайс лист'!B589</f>
        <v>ГПН 172х35-1,5</v>
      </c>
      <c r="B267" s="2296" t="s">
        <v>156</v>
      </c>
      <c r="C267" s="2296">
        <f t="shared" si="11"/>
        <v>0</v>
      </c>
      <c r="D267" s="2296">
        <f>(дома!$D$16+дома!$D$16+дома!$D$17+дома!$D$17)*перекрытие!C267</f>
        <v>0</v>
      </c>
      <c r="E267" s="2296">
        <f>'Прайс лист'!G589</f>
        <v>207</v>
      </c>
      <c r="F267" s="2296">
        <f t="shared" si="10"/>
        <v>0</v>
      </c>
    </row>
    <row r="268" spans="1:13">
      <c r="A268" s="2296" t="str">
        <f>'Прайс лист'!B590</f>
        <v>ГПН 172х35-2,0</v>
      </c>
      <c r="B268" s="2296" t="s">
        <v>156</v>
      </c>
      <c r="C268" s="2296">
        <f t="shared" si="11"/>
        <v>0</v>
      </c>
      <c r="D268" s="2296">
        <f>(дома!$D$16+дома!$D$16+дома!$D$17+дома!$D$17)*перекрытие!C268</f>
        <v>0</v>
      </c>
      <c r="E268" s="2296">
        <f>'Прайс лист'!G590</f>
        <v>274</v>
      </c>
      <c r="F268" s="2296">
        <f t="shared" si="10"/>
        <v>0</v>
      </c>
    </row>
    <row r="269" spans="1:13">
      <c r="A269" s="2296" t="str">
        <f>'Прайс лист'!B591</f>
        <v>ГПН 202х35-1,2</v>
      </c>
      <c r="B269" s="2296" t="s">
        <v>156</v>
      </c>
      <c r="C269" s="2296">
        <f t="shared" si="11"/>
        <v>0</v>
      </c>
      <c r="D269" s="2296">
        <f>(дома!$D$16+дома!$D$16+дома!$D$17+дома!$D$17)*перекрытие!C269</f>
        <v>0</v>
      </c>
      <c r="E269" s="2296">
        <f>'Прайс лист'!G591</f>
        <v>201</v>
      </c>
      <c r="F269" s="2296">
        <f t="shared" si="10"/>
        <v>0</v>
      </c>
    </row>
    <row r="270" spans="1:13">
      <c r="A270" s="2296" t="str">
        <f>'Прайс лист'!B592</f>
        <v>ГПН 202х35-1,5</v>
      </c>
      <c r="B270" s="2296" t="s">
        <v>156</v>
      </c>
      <c r="C270" s="2296">
        <f t="shared" si="11"/>
        <v>0</v>
      </c>
      <c r="D270" s="2296">
        <f>(дома!$D$16+дома!$D$16+дома!$D$17+дома!$D$17)*перекрытие!C270</f>
        <v>0</v>
      </c>
      <c r="E270" s="2296">
        <f>'Прайс лист'!G592</f>
        <v>252</v>
      </c>
      <c r="F270" s="2296">
        <f t="shared" si="10"/>
        <v>0</v>
      </c>
    </row>
    <row r="271" spans="1:13">
      <c r="A271" s="2296" t="str">
        <f>'Прайс лист'!B593</f>
        <v>ГПН 202х35-2,0</v>
      </c>
      <c r="B271" s="2296" t="s">
        <v>156</v>
      </c>
      <c r="C271" s="2296">
        <f t="shared" si="11"/>
        <v>0</v>
      </c>
      <c r="D271" s="2296">
        <f>(дома!$D$16+дома!$D$16+дома!$D$17+дома!$D$17)*перекрытие!C271</f>
        <v>0</v>
      </c>
      <c r="E271" s="2296">
        <f>'Прайс лист'!G593</f>
        <v>318</v>
      </c>
      <c r="F271" s="2296">
        <f t="shared" si="10"/>
        <v>0</v>
      </c>
    </row>
    <row r="272" spans="1:13">
      <c r="A272" s="2296" t="str">
        <f>'Прайс лист'!B594</f>
        <v>ГПН 252х35-1,2</v>
      </c>
      <c r="B272" s="2296" t="s">
        <v>156</v>
      </c>
      <c r="C272" s="2296">
        <f t="shared" si="11"/>
        <v>0</v>
      </c>
      <c r="D272" s="2296">
        <f>(дома!$D$16+дома!$D$16+дома!$D$17+дома!$D$17)*перекрытие!C272</f>
        <v>0</v>
      </c>
      <c r="E272" s="2296">
        <f>'Прайс лист'!G594</f>
        <v>226</v>
      </c>
      <c r="F272" s="2296">
        <f t="shared" si="10"/>
        <v>0</v>
      </c>
    </row>
    <row r="273" spans="1:11">
      <c r="A273" s="2296" t="str">
        <f>'Прайс лист'!B595</f>
        <v>ГПН 252х35-1,5</v>
      </c>
      <c r="B273" s="2296" t="s">
        <v>156</v>
      </c>
      <c r="C273" s="2296">
        <f t="shared" si="11"/>
        <v>0</v>
      </c>
      <c r="D273" s="2296">
        <f>(дома!$D$16+дома!$D$16+дома!$D$17+дома!$D$17)*перекрытие!C273</f>
        <v>0</v>
      </c>
      <c r="E273" s="2296">
        <f>'Прайс лист'!G595</f>
        <v>283</v>
      </c>
      <c r="F273" s="2296">
        <f t="shared" si="10"/>
        <v>0</v>
      </c>
    </row>
    <row r="274" spans="1:11">
      <c r="A274" s="2296" t="str">
        <f>'Прайс лист'!B596</f>
        <v>ГПН 252х35-2,0</v>
      </c>
      <c r="B274" s="2296" t="s">
        <v>156</v>
      </c>
      <c r="C274" s="2296">
        <f t="shared" si="11"/>
        <v>0</v>
      </c>
      <c r="D274" s="2296">
        <f>(дома!$D$16+дома!$D$16+дома!$D$17+дома!$D$17)*перекрытие!C274</f>
        <v>0</v>
      </c>
      <c r="E274" s="2296">
        <f>'Прайс лист'!G596</f>
        <v>378</v>
      </c>
      <c r="F274" s="2296">
        <f t="shared" si="10"/>
        <v>0</v>
      </c>
    </row>
    <row r="275" spans="1:11">
      <c r="A275" s="2296" t="str">
        <f>'Прайс лист'!B597</f>
        <v>ГПН 282х35-1,2</v>
      </c>
      <c r="B275" s="2296" t="s">
        <v>156</v>
      </c>
      <c r="C275" s="2296">
        <f t="shared" si="11"/>
        <v>0</v>
      </c>
      <c r="D275" s="2296">
        <f>(дома!$D$16+дома!$D$16+дома!$D$17+дома!$D$17)*перекрытие!C275</f>
        <v>0</v>
      </c>
      <c r="E275" s="2296">
        <f>'Прайс лист'!G597</f>
        <v>275</v>
      </c>
      <c r="F275" s="2296">
        <f t="shared" si="10"/>
        <v>0</v>
      </c>
    </row>
    <row r="276" spans="1:11" s="2296" customFormat="1">
      <c r="A276" s="2296" t="str">
        <f>'Прайс лист'!B882</f>
        <v>Саморез 5,5 х 25</v>
      </c>
      <c r="C276" s="2296">
        <f>SUM(C257:C275)</f>
        <v>0</v>
      </c>
      <c r="D276" s="2296">
        <f>CEILING(дома!$F$1086*C276*7,1)</f>
        <v>0</v>
      </c>
      <c r="E276" s="2296">
        <f>'Прайс лист'!F882</f>
        <v>2.5</v>
      </c>
      <c r="F276" s="2296">
        <f t="shared" si="10"/>
        <v>0</v>
      </c>
    </row>
    <row r="277" spans="1:11" s="2296" customFormat="1"/>
    <row r="278" spans="1:11" s="2296" customFormat="1"/>
    <row r="279" spans="1:11" s="2296" customFormat="1"/>
    <row r="280" spans="1:11">
      <c r="A280" s="2296" t="str">
        <f t="shared" ref="A280:B299" si="12">A238</f>
        <v>ГПС 100х50-1,2</v>
      </c>
      <c r="B280" s="2296" t="str">
        <f t="shared" si="12"/>
        <v>м.п.</v>
      </c>
      <c r="C280" s="2296">
        <f>IF('Ввод данных'!$A$43=перекрытие!A280,1,0)</f>
        <v>0</v>
      </c>
      <c r="D280" s="2296">
        <f>1/'Ввод данных'!$C$43*дома!$F$1087*перекрытие!C280</f>
        <v>0</v>
      </c>
      <c r="E280" s="2296">
        <f t="shared" ref="E280:E318" si="13">E238</f>
        <v>163</v>
      </c>
      <c r="F280" s="2296">
        <f t="shared" ref="F280:F318" si="14">D280*E280</f>
        <v>0</v>
      </c>
    </row>
    <row r="281" spans="1:11">
      <c r="A281" s="2296" t="str">
        <f t="shared" si="12"/>
        <v>ГПС 100х50-1,5</v>
      </c>
      <c r="B281" s="2296" t="str">
        <f t="shared" si="12"/>
        <v>м.п.</v>
      </c>
      <c r="C281" s="2296">
        <f>IF('Ввод данных'!$A$43=перекрытие!A281,1,0)</f>
        <v>0</v>
      </c>
      <c r="D281" s="2296">
        <f>1/'Ввод данных'!$C$43*дома!$F$1087*перекрытие!C281</f>
        <v>0</v>
      </c>
      <c r="E281" s="2296">
        <f t="shared" si="13"/>
        <v>204</v>
      </c>
      <c r="F281" s="2296">
        <f t="shared" si="14"/>
        <v>0</v>
      </c>
    </row>
    <row r="282" spans="1:11">
      <c r="A282" s="2296" t="str">
        <f t="shared" si="12"/>
        <v>ГПС 120х50-1,5</v>
      </c>
      <c r="B282" s="2296" t="str">
        <f t="shared" si="12"/>
        <v>м.п.</v>
      </c>
      <c r="C282" s="2296">
        <f>IF('Ввод данных'!$A$43=перекрытие!A282,1,0)</f>
        <v>0</v>
      </c>
      <c r="D282" s="2296">
        <f>1/'Ввод данных'!$C$43*дома!$F$1087*перекрытие!C282</f>
        <v>0</v>
      </c>
      <c r="E282" s="2296">
        <f t="shared" si="13"/>
        <v>272</v>
      </c>
      <c r="F282" s="2296">
        <f t="shared" si="14"/>
        <v>0</v>
      </c>
    </row>
    <row r="283" spans="1:11">
      <c r="A283" s="2296" t="str">
        <f t="shared" si="12"/>
        <v>ГПС 120х50-2,0</v>
      </c>
      <c r="B283" s="2296" t="str">
        <f t="shared" si="12"/>
        <v>м.п.</v>
      </c>
      <c r="C283" s="2296">
        <f>IF('Ввод данных'!$A$43=перекрытие!A283,1,0)</f>
        <v>0</v>
      </c>
      <c r="D283" s="2296">
        <f>1/'Ввод данных'!$C$43*дома!$F$1087*перекрытие!C283</f>
        <v>0</v>
      </c>
      <c r="E283" s="2296">
        <f t="shared" si="13"/>
        <v>179</v>
      </c>
      <c r="F283" s="2296">
        <f t="shared" si="14"/>
        <v>0</v>
      </c>
    </row>
    <row r="284" spans="1:11">
      <c r="A284" s="2296" t="str">
        <f t="shared" si="12"/>
        <v>ГПС 150х50-1,2</v>
      </c>
      <c r="B284" s="2296" t="str">
        <f t="shared" si="12"/>
        <v>м.п.</v>
      </c>
      <c r="C284" s="2296">
        <f>IF('Ввод данных'!$A$43=перекрытие!A284,1,0)</f>
        <v>0</v>
      </c>
      <c r="D284" s="2296">
        <f>1/'Ввод данных'!$C$43*дома!$F$1087*перекрытие!C284</f>
        <v>0</v>
      </c>
      <c r="E284" s="2296">
        <f t="shared" si="13"/>
        <v>224</v>
      </c>
      <c r="F284" s="2296">
        <f t="shared" si="14"/>
        <v>0</v>
      </c>
    </row>
    <row r="285" spans="1:11">
      <c r="A285" s="2296" t="str">
        <f t="shared" si="12"/>
        <v>ГПС 150х50-1,5</v>
      </c>
      <c r="B285" s="2296" t="str">
        <f t="shared" si="12"/>
        <v>м.п.</v>
      </c>
      <c r="C285" s="2296">
        <f>IF('Ввод данных'!$A$43=перекрытие!A285,1,0)</f>
        <v>0</v>
      </c>
      <c r="D285" s="2296">
        <f>1/'Ввод данных'!$C$43*дома!$F$1087*перекрытие!C285</f>
        <v>0</v>
      </c>
      <c r="E285" s="2296">
        <f t="shared" si="13"/>
        <v>299</v>
      </c>
      <c r="F285" s="2296">
        <f t="shared" si="14"/>
        <v>0</v>
      </c>
    </row>
    <row r="286" spans="1:11">
      <c r="A286" s="2296" t="str">
        <f t="shared" si="12"/>
        <v>ГПС 150х50-2,0</v>
      </c>
      <c r="B286" s="2296" t="str">
        <f t="shared" si="12"/>
        <v>м.п.</v>
      </c>
      <c r="C286" s="2296">
        <f>IF('Ввод данных'!$A$43=перекрытие!A286,1,0)</f>
        <v>0</v>
      </c>
      <c r="D286" s="2296">
        <f>1/'Ввод данных'!$C$43*дома!$F$1087*перекрытие!C286</f>
        <v>0</v>
      </c>
      <c r="E286" s="2296">
        <f t="shared" si="13"/>
        <v>201</v>
      </c>
      <c r="F286" s="2296">
        <f t="shared" si="14"/>
        <v>0</v>
      </c>
      <c r="H286" s="2296">
        <v>7.5</v>
      </c>
      <c r="I286" s="2296">
        <v>7.2</v>
      </c>
      <c r="J286" s="2296">
        <f>H286*I286</f>
        <v>54</v>
      </c>
      <c r="K286" s="2296">
        <v>60</v>
      </c>
    </row>
    <row r="287" spans="1:11">
      <c r="A287" s="2296" t="str">
        <f t="shared" si="12"/>
        <v>ГПС 170х50-1,2</v>
      </c>
      <c r="B287" s="2296" t="str">
        <f t="shared" si="12"/>
        <v>м.п.</v>
      </c>
      <c r="C287" s="2296">
        <f>IF('Ввод данных'!$A$43=перекрытие!A287,1,0)</f>
        <v>0</v>
      </c>
      <c r="D287" s="2296">
        <f>1/'Ввод данных'!$C$43*дома!$F$1087*перекрытие!C287</f>
        <v>0</v>
      </c>
      <c r="E287" s="2296">
        <f t="shared" si="13"/>
        <v>252</v>
      </c>
      <c r="F287" s="2296">
        <f t="shared" si="14"/>
        <v>0</v>
      </c>
      <c r="I287" s="2296">
        <v>132</v>
      </c>
      <c r="J287" s="2296">
        <f>I287/J286</f>
        <v>2.4444444444444446</v>
      </c>
    </row>
    <row r="288" spans="1:11">
      <c r="A288" s="2296" t="str">
        <f t="shared" si="12"/>
        <v>ГПС 170х50-1,5</v>
      </c>
      <c r="B288" s="2296" t="str">
        <f t="shared" si="12"/>
        <v>м.п.</v>
      </c>
      <c r="C288" s="2296">
        <f>IF('Ввод данных'!$A$43=перекрытие!A288,1,0)</f>
        <v>0</v>
      </c>
      <c r="D288" s="2296">
        <f>1/'Ввод данных'!$C$43*дома!$F$1087*перекрытие!C288</f>
        <v>0</v>
      </c>
      <c r="E288" s="2296">
        <f t="shared" si="13"/>
        <v>330</v>
      </c>
      <c r="F288" s="2296">
        <f t="shared" si="14"/>
        <v>0</v>
      </c>
    </row>
    <row r="289" spans="1:11">
      <c r="A289" s="2296" t="str">
        <f t="shared" si="12"/>
        <v>ГПС 170х50-2,0</v>
      </c>
      <c r="B289" s="2296" t="str">
        <f t="shared" si="12"/>
        <v>м.п.</v>
      </c>
      <c r="C289" s="2296">
        <f>IF('Ввод данных'!$A$43=перекрытие!A289,1,0)</f>
        <v>0</v>
      </c>
      <c r="D289" s="2296">
        <f>1/'Ввод данных'!$C$43*дома!$F$1087*перекрытие!C289</f>
        <v>0</v>
      </c>
      <c r="E289" s="2296">
        <f t="shared" si="13"/>
        <v>215</v>
      </c>
      <c r="F289" s="2296">
        <f t="shared" si="14"/>
        <v>0</v>
      </c>
      <c r="H289" s="2296">
        <v>7.5</v>
      </c>
      <c r="I289" s="2296">
        <v>4.8</v>
      </c>
      <c r="J289" s="2296">
        <f>H289*I289</f>
        <v>36</v>
      </c>
      <c r="K289" s="2296">
        <v>40</v>
      </c>
    </row>
    <row r="290" spans="1:11">
      <c r="A290" s="2296" t="str">
        <f t="shared" si="12"/>
        <v>ГПС 200х50-1,2</v>
      </c>
      <c r="B290" s="2296" t="str">
        <f t="shared" si="12"/>
        <v>м.п.</v>
      </c>
      <c r="C290" s="2296">
        <f>IF('Ввод данных'!$A$43=перекрытие!A290,1,0)</f>
        <v>0</v>
      </c>
      <c r="D290" s="2296">
        <f>1/'Ввод данных'!$C$43*дома!$F$1087*перекрытие!C290</f>
        <v>0</v>
      </c>
      <c r="E290" s="2296">
        <f t="shared" si="13"/>
        <v>269</v>
      </c>
      <c r="F290" s="2296">
        <f t="shared" si="14"/>
        <v>0</v>
      </c>
      <c r="I290" s="2296">
        <v>132</v>
      </c>
      <c r="J290" s="2296">
        <f>I290/J289</f>
        <v>3.6666666666666665</v>
      </c>
    </row>
    <row r="291" spans="1:11">
      <c r="A291" s="2296" t="str">
        <f t="shared" si="12"/>
        <v>ГПС 200х50-1,5</v>
      </c>
      <c r="B291" s="2296" t="str">
        <f t="shared" si="12"/>
        <v>м.п.</v>
      </c>
      <c r="C291" s="2296">
        <f>IF('Ввод данных'!$A$43=перекрытие!A291,1,0)</f>
        <v>0</v>
      </c>
      <c r="D291" s="2296">
        <f>1/'Ввод данных'!$C$43*дома!$F$1087*перекрытие!C291</f>
        <v>0</v>
      </c>
      <c r="E291" s="2296">
        <f t="shared" si="13"/>
        <v>358</v>
      </c>
      <c r="F291" s="2296">
        <f t="shared" si="14"/>
        <v>0</v>
      </c>
    </row>
    <row r="292" spans="1:11">
      <c r="A292" s="2296" t="str">
        <f t="shared" si="12"/>
        <v>ГПС 200х50-2,0</v>
      </c>
      <c r="B292" s="2296" t="str">
        <f t="shared" si="12"/>
        <v>м.п.</v>
      </c>
      <c r="C292" s="2296">
        <f>IF('Ввод данных'!$A$43=перекрытие!A292,1,0)</f>
        <v>0</v>
      </c>
      <c r="D292" s="2296">
        <f>1/'Ввод данных'!$C$43*дома!$F$1087*перекрытие!C292</f>
        <v>0</v>
      </c>
      <c r="E292" s="2296">
        <f t="shared" si="13"/>
        <v>239</v>
      </c>
      <c r="F292" s="2296">
        <f t="shared" si="14"/>
        <v>0</v>
      </c>
    </row>
    <row r="293" spans="1:11">
      <c r="A293" s="2296" t="str">
        <f t="shared" si="12"/>
        <v>ГПС 250х50-1,2</v>
      </c>
      <c r="B293" s="2296" t="str">
        <f t="shared" si="12"/>
        <v>м.п.</v>
      </c>
      <c r="C293" s="2296">
        <f>IF('Ввод данных'!$A$43=перекрытие!A293,1,0)</f>
        <v>0</v>
      </c>
      <c r="D293" s="2296">
        <f>1/'Ввод данных'!$C$43*дома!$F$1087*перекрытие!C293</f>
        <v>0</v>
      </c>
      <c r="E293" s="2296">
        <f t="shared" si="13"/>
        <v>299</v>
      </c>
      <c r="F293" s="2296">
        <f t="shared" si="14"/>
        <v>0</v>
      </c>
      <c r="H293" s="2296">
        <v>30</v>
      </c>
      <c r="I293" s="2296">
        <v>2.9</v>
      </c>
    </row>
    <row r="294" spans="1:11">
      <c r="A294" s="2296" t="str">
        <f t="shared" si="12"/>
        <v>ГПС 250х50-1,5</v>
      </c>
      <c r="B294" s="2296" t="str">
        <f t="shared" si="12"/>
        <v>м.п.</v>
      </c>
      <c r="C294" s="2296">
        <f>IF('Ввод данных'!$A$43=перекрытие!A294,1,0)</f>
        <v>0</v>
      </c>
      <c r="D294" s="2296">
        <f>1/'Ввод данных'!$C$43*дома!$F$1087*перекрытие!C294</f>
        <v>0</v>
      </c>
      <c r="E294" s="2296">
        <f t="shared" si="13"/>
        <v>397</v>
      </c>
      <c r="F294" s="2296">
        <f t="shared" si="14"/>
        <v>0</v>
      </c>
      <c r="H294" s="2296">
        <v>40</v>
      </c>
      <c r="I294" s="2296">
        <v>3.67</v>
      </c>
      <c r="J294" s="2296">
        <f>I294+I296</f>
        <v>6.1099999999999994</v>
      </c>
      <c r="K294" s="2296">
        <f>J294/2</f>
        <v>3.0549999999999997</v>
      </c>
    </row>
    <row r="295" spans="1:11">
      <c r="A295" s="2296" t="str">
        <f t="shared" si="12"/>
        <v>ГПС 250х50-2,0</v>
      </c>
      <c r="B295" s="2296" t="str">
        <f t="shared" si="12"/>
        <v>м.п.</v>
      </c>
      <c r="C295" s="2296">
        <f>IF('Ввод данных'!$A$43=перекрытие!A295,1,0)</f>
        <v>0</v>
      </c>
      <c r="D295" s="2296">
        <f>1/'Ввод данных'!$C$43*дома!$F$1087*перекрытие!C295</f>
        <v>0</v>
      </c>
      <c r="E295" s="2296">
        <f t="shared" si="13"/>
        <v>274</v>
      </c>
      <c r="F295" s="2296">
        <f t="shared" si="14"/>
        <v>0</v>
      </c>
      <c r="H295" s="2296">
        <v>50</v>
      </c>
      <c r="I295" s="2296">
        <v>3.25</v>
      </c>
    </row>
    <row r="296" spans="1:11">
      <c r="A296" s="2296" t="str">
        <f t="shared" si="12"/>
        <v>ГПС 280х50-1,2</v>
      </c>
      <c r="B296" s="2296" t="str">
        <f t="shared" si="12"/>
        <v>м.п.</v>
      </c>
      <c r="C296" s="2296">
        <f>IF('Ввод данных'!$A$43=перекрытие!A296,1,0)</f>
        <v>0</v>
      </c>
      <c r="D296" s="2296">
        <f>1/'Ввод данных'!$C$43*дома!$F$1087*перекрытие!C296</f>
        <v>0</v>
      </c>
      <c r="E296" s="2296">
        <f t="shared" si="13"/>
        <v>344</v>
      </c>
      <c r="F296" s="2296">
        <f t="shared" si="14"/>
        <v>0</v>
      </c>
      <c r="H296" s="2296">
        <v>60</v>
      </c>
      <c r="I296" s="2296">
        <v>2.44</v>
      </c>
    </row>
    <row r="297" spans="1:11">
      <c r="A297" s="2296" t="str">
        <f t="shared" si="12"/>
        <v>ГПС 280х50-1,5</v>
      </c>
      <c r="B297" s="2296" t="str">
        <f t="shared" si="12"/>
        <v>м.п.</v>
      </c>
      <c r="C297" s="2296">
        <f>IF('Ввод данных'!$A$43=перекрытие!A297,1,0)</f>
        <v>0</v>
      </c>
      <c r="D297" s="2296">
        <f>1/'Ввод данных'!$C$43*дома!$F$1087*перекрытие!C297</f>
        <v>0</v>
      </c>
      <c r="E297" s="2296">
        <f t="shared" si="13"/>
        <v>450</v>
      </c>
      <c r="F297" s="2296">
        <f t="shared" si="14"/>
        <v>0</v>
      </c>
      <c r="H297" s="2296">
        <v>70</v>
      </c>
      <c r="I297" s="2296">
        <v>2</v>
      </c>
    </row>
    <row r="298" spans="1:11" s="2378" customFormat="1">
      <c r="A298" s="2296" t="str">
        <f t="shared" si="12"/>
        <v>ГПС 280х50-2,0</v>
      </c>
      <c r="B298" s="2296" t="str">
        <f t="shared" si="12"/>
        <v>м.п.</v>
      </c>
      <c r="C298" s="2296">
        <f>IF('Ввод данных'!$A$43=перекрытие!A298,1,0)</f>
        <v>0</v>
      </c>
      <c r="D298" s="2296">
        <f>1/'Ввод данных'!$C$43*дома!$F$1087*перекрытие!C298</f>
        <v>0</v>
      </c>
      <c r="E298" s="2296">
        <f t="shared" si="13"/>
        <v>293</v>
      </c>
      <c r="F298" s="2296">
        <f t="shared" si="14"/>
        <v>0</v>
      </c>
      <c r="H298" s="2378">
        <v>80</v>
      </c>
      <c r="I298" s="2378">
        <v>1.6</v>
      </c>
    </row>
    <row r="299" spans="1:11" s="2378" customFormat="1">
      <c r="A299" s="2296" t="str">
        <f t="shared" si="12"/>
        <v>ГПН 102х35-1,2</v>
      </c>
      <c r="B299" s="2296" t="str">
        <f t="shared" si="12"/>
        <v>м.п.</v>
      </c>
      <c r="C299" s="2378">
        <f t="shared" ref="C299:C317" si="15">C280</f>
        <v>0</v>
      </c>
      <c r="D299" s="2378">
        <f>(дома!$D$16+дома!$D$16+дома!$D$17+дома!$D$17)*перекрытие!C299</f>
        <v>0</v>
      </c>
      <c r="E299" s="2296">
        <f t="shared" si="13"/>
        <v>127</v>
      </c>
      <c r="F299" s="2296">
        <f t="shared" si="14"/>
        <v>0</v>
      </c>
    </row>
    <row r="300" spans="1:11">
      <c r="A300" s="2296" t="str">
        <f t="shared" ref="A300:B319" si="16">A258</f>
        <v>ГПН 102х35-1,5</v>
      </c>
      <c r="B300" s="2296" t="str">
        <f t="shared" si="16"/>
        <v>м.п.</v>
      </c>
      <c r="C300" s="2378">
        <f t="shared" si="15"/>
        <v>0</v>
      </c>
      <c r="D300" s="2378">
        <f>(дома!$D$16+дома!$D$16+дома!$D$17+дома!$D$17)*перекрытие!C300</f>
        <v>0</v>
      </c>
      <c r="E300" s="2296">
        <f t="shared" si="13"/>
        <v>158</v>
      </c>
      <c r="F300" s="2296">
        <f t="shared" si="14"/>
        <v>0</v>
      </c>
    </row>
    <row r="301" spans="1:11">
      <c r="A301" s="2296" t="str">
        <f t="shared" si="16"/>
        <v>ГПН 102х35-2,0</v>
      </c>
      <c r="B301" s="2296" t="str">
        <f t="shared" si="16"/>
        <v>м.п.</v>
      </c>
      <c r="C301" s="2378">
        <f t="shared" si="15"/>
        <v>0</v>
      </c>
      <c r="D301" s="2378">
        <f>(дома!$D$16+дома!$D$16+дома!$D$17+дома!$D$17)*перекрытие!C301</f>
        <v>0</v>
      </c>
      <c r="E301" s="2296">
        <f t="shared" si="13"/>
        <v>199</v>
      </c>
      <c r="F301" s="2296">
        <f t="shared" si="14"/>
        <v>0</v>
      </c>
    </row>
    <row r="302" spans="1:11">
      <c r="A302" s="2296" t="str">
        <f t="shared" si="16"/>
        <v>ГПН 122х35-1,2</v>
      </c>
      <c r="B302" s="2296" t="str">
        <f t="shared" si="16"/>
        <v>м.п.</v>
      </c>
      <c r="C302" s="2378">
        <f t="shared" si="15"/>
        <v>0</v>
      </c>
      <c r="D302" s="2378">
        <f>(дома!$D$16+дома!$D$16+дома!$D$17+дома!$D$17)*перекрытие!C302</f>
        <v>0</v>
      </c>
      <c r="E302" s="2296">
        <f t="shared" si="13"/>
        <v>131</v>
      </c>
      <c r="F302" s="2296">
        <f t="shared" si="14"/>
        <v>0</v>
      </c>
    </row>
    <row r="303" spans="1:11">
      <c r="A303" s="2296" t="str">
        <f t="shared" si="16"/>
        <v>ГПН 122х35-1,5</v>
      </c>
      <c r="B303" s="2296" t="str">
        <f t="shared" si="16"/>
        <v>м.п.</v>
      </c>
      <c r="C303" s="2378">
        <f t="shared" si="15"/>
        <v>0</v>
      </c>
      <c r="D303" s="2378">
        <f>(дома!$D$16+дома!$D$16+дома!$D$17+дома!$D$17)*перекрытие!C303</f>
        <v>0</v>
      </c>
      <c r="E303" s="2296">
        <f t="shared" si="13"/>
        <v>163</v>
      </c>
      <c r="F303" s="2296">
        <f t="shared" si="14"/>
        <v>0</v>
      </c>
    </row>
    <row r="304" spans="1:11">
      <c r="A304" s="2296" t="str">
        <f t="shared" si="16"/>
        <v>ГПН 122х35-2,0</v>
      </c>
      <c r="B304" s="2296" t="str">
        <f t="shared" si="16"/>
        <v>м.п.</v>
      </c>
      <c r="C304" s="2378">
        <f t="shared" si="15"/>
        <v>0</v>
      </c>
      <c r="D304" s="2378">
        <f>(дома!$D$16+дома!$D$16+дома!$D$17+дома!$D$17)*перекрытие!C304</f>
        <v>0</v>
      </c>
      <c r="E304" s="2296">
        <f t="shared" si="13"/>
        <v>216</v>
      </c>
      <c r="F304" s="2296">
        <f t="shared" si="14"/>
        <v>0</v>
      </c>
    </row>
    <row r="305" spans="1:6">
      <c r="A305" s="2296" t="str">
        <f t="shared" si="16"/>
        <v>ГПН 152х35-1,2</v>
      </c>
      <c r="B305" s="2296" t="str">
        <f t="shared" si="16"/>
        <v>м.п.</v>
      </c>
      <c r="C305" s="2378">
        <f t="shared" si="15"/>
        <v>0</v>
      </c>
      <c r="D305" s="2378">
        <f>(дома!$D$16+дома!$D$16+дома!$D$17+дома!$D$17)*перекрытие!C305</f>
        <v>0</v>
      </c>
      <c r="E305" s="2296">
        <f t="shared" si="13"/>
        <v>163</v>
      </c>
      <c r="F305" s="2296">
        <f t="shared" si="14"/>
        <v>0</v>
      </c>
    </row>
    <row r="306" spans="1:6">
      <c r="A306" s="2296" t="str">
        <f t="shared" si="16"/>
        <v>ГПН 152х35-1,5</v>
      </c>
      <c r="B306" s="2296" t="str">
        <f t="shared" si="16"/>
        <v>м.п.</v>
      </c>
      <c r="C306" s="2378">
        <f t="shared" si="15"/>
        <v>0</v>
      </c>
      <c r="D306" s="2378">
        <f>(дома!$D$16+дома!$D$16+дома!$D$17+дома!$D$17)*перекрытие!C306</f>
        <v>0</v>
      </c>
      <c r="E306" s="2296">
        <f t="shared" si="13"/>
        <v>203</v>
      </c>
      <c r="F306" s="2296">
        <f t="shared" si="14"/>
        <v>0</v>
      </c>
    </row>
    <row r="307" spans="1:6">
      <c r="A307" s="2296" t="str">
        <f t="shared" si="16"/>
        <v>ГПН 152х35-2,0</v>
      </c>
      <c r="B307" s="2296" t="str">
        <f t="shared" si="16"/>
        <v>м.п.</v>
      </c>
      <c r="C307" s="2378">
        <f t="shared" si="15"/>
        <v>0</v>
      </c>
      <c r="D307" s="2378">
        <f>(дома!$D$16+дома!$D$16+дома!$D$17+дома!$D$17)*перекрытие!C307</f>
        <v>0</v>
      </c>
      <c r="E307" s="2296">
        <f t="shared" si="13"/>
        <v>259</v>
      </c>
      <c r="F307" s="2296">
        <f t="shared" si="14"/>
        <v>0</v>
      </c>
    </row>
    <row r="308" spans="1:6">
      <c r="A308" s="2296" t="str">
        <f t="shared" si="16"/>
        <v>ГПН 172х35-1,2</v>
      </c>
      <c r="B308" s="2296" t="str">
        <f t="shared" si="16"/>
        <v>м.п.</v>
      </c>
      <c r="C308" s="2378">
        <f t="shared" si="15"/>
        <v>0</v>
      </c>
      <c r="D308" s="2378">
        <f>(дома!$D$16+дома!$D$16+дома!$D$17+дома!$D$17)*перекрытие!C308</f>
        <v>0</v>
      </c>
      <c r="E308" s="2296">
        <f t="shared" si="13"/>
        <v>166</v>
      </c>
      <c r="F308" s="2296">
        <f t="shared" si="14"/>
        <v>0</v>
      </c>
    </row>
    <row r="309" spans="1:6">
      <c r="A309" s="2296" t="str">
        <f t="shared" si="16"/>
        <v>ГПН 172х35-1,5</v>
      </c>
      <c r="B309" s="2296" t="str">
        <f t="shared" si="16"/>
        <v>м.п.</v>
      </c>
      <c r="C309" s="2378">
        <f t="shared" si="15"/>
        <v>0</v>
      </c>
      <c r="D309" s="2378">
        <f>(дома!$D$16+дома!$D$16+дома!$D$17+дома!$D$17)*перекрытие!C309</f>
        <v>0</v>
      </c>
      <c r="E309" s="2296">
        <f t="shared" si="13"/>
        <v>207</v>
      </c>
      <c r="F309" s="2296">
        <f t="shared" si="14"/>
        <v>0</v>
      </c>
    </row>
    <row r="310" spans="1:6">
      <c r="A310" s="2296" t="str">
        <f t="shared" si="16"/>
        <v>ГПН 172х35-2,0</v>
      </c>
      <c r="B310" s="2296" t="str">
        <f t="shared" si="16"/>
        <v>м.п.</v>
      </c>
      <c r="C310" s="2378">
        <f t="shared" si="15"/>
        <v>0</v>
      </c>
      <c r="D310" s="2378">
        <f>(дома!$D$16+дома!$D$16+дома!$D$17+дома!$D$17)*перекрытие!C310</f>
        <v>0</v>
      </c>
      <c r="E310" s="2296">
        <f t="shared" si="13"/>
        <v>274</v>
      </c>
      <c r="F310" s="2296">
        <f t="shared" si="14"/>
        <v>0</v>
      </c>
    </row>
    <row r="311" spans="1:6">
      <c r="A311" s="2296" t="str">
        <f t="shared" si="16"/>
        <v>ГПН 202х35-1,2</v>
      </c>
      <c r="B311" s="2296" t="str">
        <f t="shared" si="16"/>
        <v>м.п.</v>
      </c>
      <c r="C311" s="2378">
        <f t="shared" si="15"/>
        <v>0</v>
      </c>
      <c r="D311" s="2378">
        <f>(дома!$D$16+дома!$D$16+дома!$D$17+дома!$D$17)*перекрытие!C311</f>
        <v>0</v>
      </c>
      <c r="E311" s="2296">
        <f t="shared" si="13"/>
        <v>201</v>
      </c>
      <c r="F311" s="2296">
        <f t="shared" si="14"/>
        <v>0</v>
      </c>
    </row>
    <row r="312" spans="1:6" s="2378" customFormat="1">
      <c r="A312" s="2296" t="str">
        <f t="shared" si="16"/>
        <v>ГПН 202х35-1,5</v>
      </c>
      <c r="B312" s="2296" t="str">
        <f t="shared" si="16"/>
        <v>м.п.</v>
      </c>
      <c r="C312" s="2378">
        <f t="shared" si="15"/>
        <v>0</v>
      </c>
      <c r="D312" s="2378">
        <f>(дома!$D$16+дома!$D$16+дома!$D$17+дома!$D$17)*перекрытие!C312</f>
        <v>0</v>
      </c>
      <c r="E312" s="2296">
        <f t="shared" si="13"/>
        <v>252</v>
      </c>
      <c r="F312" s="2296">
        <f t="shared" si="14"/>
        <v>0</v>
      </c>
    </row>
    <row r="313" spans="1:6" s="2378" customFormat="1">
      <c r="A313" s="2296" t="str">
        <f t="shared" si="16"/>
        <v>ГПН 202х35-2,0</v>
      </c>
      <c r="B313" s="2296" t="str">
        <f t="shared" si="16"/>
        <v>м.п.</v>
      </c>
      <c r="C313" s="2378">
        <f t="shared" si="15"/>
        <v>0</v>
      </c>
      <c r="D313" s="2378">
        <f>(дома!$D$16+дома!$D$16+дома!$D$17+дома!$D$17)*перекрытие!C313</f>
        <v>0</v>
      </c>
      <c r="E313" s="2296">
        <f t="shared" si="13"/>
        <v>318</v>
      </c>
      <c r="F313" s="2296">
        <f t="shared" si="14"/>
        <v>0</v>
      </c>
    </row>
    <row r="314" spans="1:6">
      <c r="A314" s="2296" t="str">
        <f t="shared" si="16"/>
        <v>ГПН 252х35-1,2</v>
      </c>
      <c r="B314" s="2296" t="str">
        <f t="shared" si="16"/>
        <v>м.п.</v>
      </c>
      <c r="C314" s="2378">
        <f t="shared" si="15"/>
        <v>0</v>
      </c>
      <c r="D314" s="2378">
        <f>(дома!$D$16+дома!$D$16+дома!$D$17+дома!$D$17)*перекрытие!C314</f>
        <v>0</v>
      </c>
      <c r="E314" s="2296">
        <f t="shared" si="13"/>
        <v>226</v>
      </c>
      <c r="F314" s="2296">
        <f t="shared" si="14"/>
        <v>0</v>
      </c>
    </row>
    <row r="315" spans="1:6">
      <c r="A315" s="2296" t="str">
        <f t="shared" si="16"/>
        <v>ГПН 252х35-1,5</v>
      </c>
      <c r="B315" s="2296" t="str">
        <f t="shared" si="16"/>
        <v>м.п.</v>
      </c>
      <c r="C315" s="2378">
        <f t="shared" si="15"/>
        <v>0</v>
      </c>
      <c r="D315" s="2378">
        <f>(дома!$D$16+дома!$D$16+дома!$D$17+дома!$D$17)*перекрытие!C315</f>
        <v>0</v>
      </c>
      <c r="E315" s="2296">
        <f t="shared" si="13"/>
        <v>283</v>
      </c>
      <c r="F315" s="2296">
        <f t="shared" si="14"/>
        <v>0</v>
      </c>
    </row>
    <row r="316" spans="1:6">
      <c r="A316" s="2296" t="str">
        <f t="shared" si="16"/>
        <v>ГПН 252х35-2,0</v>
      </c>
      <c r="B316" s="2296" t="str">
        <f t="shared" si="16"/>
        <v>м.п.</v>
      </c>
      <c r="C316" s="2378">
        <f t="shared" si="15"/>
        <v>0</v>
      </c>
      <c r="D316" s="2378">
        <f>(дома!$D$16+дома!$D$16+дома!$D$17+дома!$D$17)*перекрытие!C316</f>
        <v>0</v>
      </c>
      <c r="E316" s="2296">
        <f t="shared" si="13"/>
        <v>378</v>
      </c>
      <c r="F316" s="2296">
        <f t="shared" si="14"/>
        <v>0</v>
      </c>
    </row>
    <row r="317" spans="1:6">
      <c r="A317" s="2296" t="str">
        <f t="shared" si="16"/>
        <v>ГПН 282х35-1,2</v>
      </c>
      <c r="B317" s="2296" t="str">
        <f t="shared" si="16"/>
        <v>м.п.</v>
      </c>
      <c r="C317" s="2378">
        <f t="shared" si="15"/>
        <v>0</v>
      </c>
      <c r="D317" s="2378">
        <f>(дома!$D$16+дома!$D$16+дома!$D$17+дома!$D$17)*перекрытие!C317</f>
        <v>0</v>
      </c>
      <c r="E317" s="2296">
        <f t="shared" si="13"/>
        <v>275</v>
      </c>
      <c r="F317" s="2296">
        <f t="shared" si="14"/>
        <v>0</v>
      </c>
    </row>
    <row r="318" spans="1:6" s="2296" customFormat="1">
      <c r="A318" s="2296" t="str">
        <f>A276</f>
        <v>Саморез 5,5 х 25</v>
      </c>
      <c r="C318" s="2296">
        <f>SUM(C299:C317)</f>
        <v>0</v>
      </c>
      <c r="D318" s="2296">
        <f>дома!$F$1087*C318*9</f>
        <v>0</v>
      </c>
      <c r="E318" s="2296">
        <f t="shared" si="13"/>
        <v>2.5</v>
      </c>
      <c r="F318" s="2296">
        <f t="shared" si="14"/>
        <v>0</v>
      </c>
    </row>
    <row r="319" spans="1:6" s="2296" customFormat="1"/>
    <row r="320" spans="1:6" s="2296" customFormat="1"/>
    <row r="321" spans="1:6" s="2296" customFormat="1"/>
    <row r="322" spans="1:6">
      <c r="A322" s="2296" t="str">
        <f t="shared" ref="A322:B341" si="17">A280</f>
        <v>ГПС 100х50-1,2</v>
      </c>
      <c r="B322" s="2296" t="str">
        <f t="shared" si="17"/>
        <v>м.п.</v>
      </c>
      <c r="C322" s="2296">
        <f>IF('Ввод данных'!$A$51=перекрытие!A322,1,0)</f>
        <v>0</v>
      </c>
      <c r="D322" s="2296">
        <f>1/'Ввод данных'!$C$51*дома!$F$1090*перекрытие!C322</f>
        <v>0</v>
      </c>
      <c r="E322" s="2296">
        <f t="shared" ref="E322:E360" si="18">E280</f>
        <v>163</v>
      </c>
      <c r="F322" s="2296">
        <f t="shared" ref="F322:F360" si="19">D322*E322</f>
        <v>0</v>
      </c>
    </row>
    <row r="323" spans="1:6">
      <c r="A323" s="2296" t="str">
        <f t="shared" si="17"/>
        <v>ГПС 100х50-1,5</v>
      </c>
      <c r="B323" s="2296" t="str">
        <f t="shared" si="17"/>
        <v>м.п.</v>
      </c>
      <c r="C323" s="2296">
        <f>IF('Ввод данных'!$A$51=перекрытие!A323,1,0)</f>
        <v>0</v>
      </c>
      <c r="D323" s="2296">
        <f>1/'Ввод данных'!$C$51*дома!$F$1090*перекрытие!C323</f>
        <v>0</v>
      </c>
      <c r="E323" s="2296">
        <f t="shared" si="18"/>
        <v>204</v>
      </c>
      <c r="F323" s="2296">
        <f t="shared" si="19"/>
        <v>0</v>
      </c>
    </row>
    <row r="324" spans="1:6">
      <c r="A324" s="2296" t="str">
        <f t="shared" si="17"/>
        <v>ГПС 120х50-1,5</v>
      </c>
      <c r="B324" s="2296" t="str">
        <f t="shared" si="17"/>
        <v>м.п.</v>
      </c>
      <c r="C324" s="2296">
        <f>IF('Ввод данных'!$A$51=перекрытие!A324,1,0)</f>
        <v>0</v>
      </c>
      <c r="D324" s="2296">
        <f>1/'Ввод данных'!$C$51*дома!$F$1090*перекрытие!C324</f>
        <v>0</v>
      </c>
      <c r="E324" s="2296">
        <f t="shared" si="18"/>
        <v>272</v>
      </c>
      <c r="F324" s="2296">
        <f t="shared" si="19"/>
        <v>0</v>
      </c>
    </row>
    <row r="325" spans="1:6">
      <c r="A325" s="2296" t="str">
        <f t="shared" si="17"/>
        <v>ГПС 120х50-2,0</v>
      </c>
      <c r="B325" s="2296" t="str">
        <f t="shared" si="17"/>
        <v>м.п.</v>
      </c>
      <c r="C325" s="2296">
        <f>IF('Ввод данных'!$A$51=перекрытие!A325,1,0)</f>
        <v>0</v>
      </c>
      <c r="D325" s="2296">
        <f>1/'Ввод данных'!$C$51*дома!$F$1090*перекрытие!C325</f>
        <v>0</v>
      </c>
      <c r="E325" s="2296">
        <f t="shared" si="18"/>
        <v>179</v>
      </c>
      <c r="F325" s="2296">
        <f t="shared" si="19"/>
        <v>0</v>
      </c>
    </row>
    <row r="326" spans="1:6">
      <c r="A326" s="2296" t="str">
        <f t="shared" si="17"/>
        <v>ГПС 150х50-1,2</v>
      </c>
      <c r="B326" s="2296" t="str">
        <f t="shared" si="17"/>
        <v>м.п.</v>
      </c>
      <c r="C326" s="2296">
        <f>IF('Ввод данных'!$A$51=перекрытие!A326,1,0)</f>
        <v>0</v>
      </c>
      <c r="D326" s="2296">
        <f>1/'Ввод данных'!$C$51*дома!$F$1090*перекрытие!C326</f>
        <v>0</v>
      </c>
      <c r="E326" s="2296">
        <f t="shared" si="18"/>
        <v>224</v>
      </c>
      <c r="F326" s="2296">
        <f t="shared" si="19"/>
        <v>0</v>
      </c>
    </row>
    <row r="327" spans="1:6">
      <c r="A327" s="2296" t="str">
        <f t="shared" si="17"/>
        <v>ГПС 150х50-1,5</v>
      </c>
      <c r="B327" s="2296" t="str">
        <f t="shared" si="17"/>
        <v>м.п.</v>
      </c>
      <c r="C327" s="2296">
        <f>IF('Ввод данных'!$A$51=перекрытие!A327,1,0)</f>
        <v>0</v>
      </c>
      <c r="D327" s="2296">
        <f>1/'Ввод данных'!$C$51*дома!$F$1090*перекрытие!C327</f>
        <v>0</v>
      </c>
      <c r="E327" s="2296">
        <f t="shared" si="18"/>
        <v>299</v>
      </c>
      <c r="F327" s="2296">
        <f t="shared" si="19"/>
        <v>0</v>
      </c>
    </row>
    <row r="328" spans="1:6">
      <c r="A328" s="2296" t="str">
        <f t="shared" si="17"/>
        <v>ГПС 150х50-2,0</v>
      </c>
      <c r="B328" s="2296" t="str">
        <f t="shared" si="17"/>
        <v>м.п.</v>
      </c>
      <c r="C328" s="2296">
        <f>IF('Ввод данных'!$A$51=перекрытие!A328,1,0)</f>
        <v>0</v>
      </c>
      <c r="D328" s="2296">
        <f>1/'Ввод данных'!$C$51*дома!$F$1090*перекрытие!C328</f>
        <v>0</v>
      </c>
      <c r="E328" s="2296">
        <f t="shared" si="18"/>
        <v>201</v>
      </c>
      <c r="F328" s="2296">
        <f t="shared" si="19"/>
        <v>0</v>
      </c>
    </row>
    <row r="329" spans="1:6">
      <c r="A329" s="2296" t="str">
        <f t="shared" si="17"/>
        <v>ГПС 170х50-1,2</v>
      </c>
      <c r="B329" s="2296" t="str">
        <f t="shared" si="17"/>
        <v>м.п.</v>
      </c>
      <c r="C329" s="2296">
        <f>IF('Ввод данных'!$A$51=перекрытие!A329,1,0)</f>
        <v>0</v>
      </c>
      <c r="D329" s="2296">
        <f>1/'Ввод данных'!$C$51*дома!$F$1090*перекрытие!C329</f>
        <v>0</v>
      </c>
      <c r="E329" s="2296">
        <f t="shared" si="18"/>
        <v>252</v>
      </c>
      <c r="F329" s="2296">
        <f t="shared" si="19"/>
        <v>0</v>
      </c>
    </row>
    <row r="330" spans="1:6">
      <c r="A330" s="2296" t="str">
        <f t="shared" si="17"/>
        <v>ГПС 170х50-1,5</v>
      </c>
      <c r="B330" s="2296" t="str">
        <f t="shared" si="17"/>
        <v>м.п.</v>
      </c>
      <c r="C330" s="2296">
        <f>IF('Ввод данных'!$A$51=перекрытие!A330,1,0)</f>
        <v>0</v>
      </c>
      <c r="D330" s="2296">
        <f>1/'Ввод данных'!$C$51*дома!$F$1090*перекрытие!C330</f>
        <v>0</v>
      </c>
      <c r="E330" s="2296">
        <f t="shared" si="18"/>
        <v>330</v>
      </c>
      <c r="F330" s="2296">
        <f t="shared" si="19"/>
        <v>0</v>
      </c>
    </row>
    <row r="331" spans="1:6">
      <c r="A331" s="2296" t="str">
        <f t="shared" si="17"/>
        <v>ГПС 170х50-2,0</v>
      </c>
      <c r="B331" s="2296" t="str">
        <f t="shared" si="17"/>
        <v>м.п.</v>
      </c>
      <c r="C331" s="2296">
        <f>IF('Ввод данных'!$A$51=перекрытие!A331,1,0)</f>
        <v>0</v>
      </c>
      <c r="D331" s="2296">
        <f>1/'Ввод данных'!$C$51*дома!$F$1090*перекрытие!C331</f>
        <v>0</v>
      </c>
      <c r="E331" s="2296">
        <f t="shared" si="18"/>
        <v>215</v>
      </c>
      <c r="F331" s="2296">
        <f t="shared" si="19"/>
        <v>0</v>
      </c>
    </row>
    <row r="332" spans="1:6">
      <c r="A332" s="2296" t="str">
        <f t="shared" si="17"/>
        <v>ГПС 200х50-1,2</v>
      </c>
      <c r="B332" s="2296" t="str">
        <f t="shared" si="17"/>
        <v>м.п.</v>
      </c>
      <c r="C332" s="2296">
        <f>IF('Ввод данных'!$A$51=перекрытие!A332,1,0)</f>
        <v>0</v>
      </c>
      <c r="D332" s="2296">
        <f>1/'Ввод данных'!$C$51*дома!$F$1090*перекрытие!C332</f>
        <v>0</v>
      </c>
      <c r="E332" s="2296">
        <f t="shared" si="18"/>
        <v>269</v>
      </c>
      <c r="F332" s="2296">
        <f t="shared" si="19"/>
        <v>0</v>
      </c>
    </row>
    <row r="333" spans="1:6">
      <c r="A333" s="2296" t="str">
        <f t="shared" si="17"/>
        <v>ГПС 200х50-1,5</v>
      </c>
      <c r="B333" s="2296" t="str">
        <f t="shared" si="17"/>
        <v>м.п.</v>
      </c>
      <c r="C333" s="2296">
        <f>IF('Ввод данных'!$A$51=перекрытие!A333,1,0)</f>
        <v>0</v>
      </c>
      <c r="D333" s="2296">
        <f>1/'Ввод данных'!$C$51*дома!$F$1090*перекрытие!C333</f>
        <v>0</v>
      </c>
      <c r="E333" s="2296">
        <f t="shared" si="18"/>
        <v>358</v>
      </c>
      <c r="F333" s="2296">
        <f t="shared" si="19"/>
        <v>0</v>
      </c>
    </row>
    <row r="334" spans="1:6">
      <c r="A334" s="2296" t="str">
        <f t="shared" si="17"/>
        <v>ГПС 200х50-2,0</v>
      </c>
      <c r="B334" s="2296" t="str">
        <f t="shared" si="17"/>
        <v>м.п.</v>
      </c>
      <c r="C334" s="2296">
        <f>IF('Ввод данных'!$A$51=перекрытие!A334,1,0)</f>
        <v>0</v>
      </c>
      <c r="D334" s="2296">
        <f>1/'Ввод данных'!$C$51*дома!$F$1090*перекрытие!C334</f>
        <v>0</v>
      </c>
      <c r="E334" s="2296">
        <f t="shared" si="18"/>
        <v>239</v>
      </c>
      <c r="F334" s="2296">
        <f t="shared" si="19"/>
        <v>0</v>
      </c>
    </row>
    <row r="335" spans="1:6">
      <c r="A335" s="2296" t="str">
        <f t="shared" si="17"/>
        <v>ГПС 250х50-1,2</v>
      </c>
      <c r="B335" s="2296" t="str">
        <f t="shared" si="17"/>
        <v>м.п.</v>
      </c>
      <c r="C335" s="2296">
        <f>IF('Ввод данных'!$A$51=перекрытие!A335,1,0)</f>
        <v>0</v>
      </c>
      <c r="D335" s="2296">
        <f>1/'Ввод данных'!$C$51*дома!$F$1090*перекрытие!C335</f>
        <v>0</v>
      </c>
      <c r="E335" s="2296">
        <f t="shared" si="18"/>
        <v>299</v>
      </c>
      <c r="F335" s="2296">
        <f t="shared" si="19"/>
        <v>0</v>
      </c>
    </row>
    <row r="336" spans="1:6">
      <c r="A336" s="2296" t="str">
        <f t="shared" si="17"/>
        <v>ГПС 250х50-1,5</v>
      </c>
      <c r="B336" s="2296" t="str">
        <f t="shared" si="17"/>
        <v>м.п.</v>
      </c>
      <c r="C336" s="2296">
        <f>IF('Ввод данных'!$A$51=перекрытие!A336,1,0)</f>
        <v>0</v>
      </c>
      <c r="D336" s="2296">
        <f>1/'Ввод данных'!$C$51*дома!$F$1090*перекрытие!C336</f>
        <v>0</v>
      </c>
      <c r="E336" s="2296">
        <f t="shared" si="18"/>
        <v>397</v>
      </c>
      <c r="F336" s="2296">
        <f t="shared" si="19"/>
        <v>0</v>
      </c>
    </row>
    <row r="337" spans="1:6">
      <c r="A337" s="2296" t="str">
        <f t="shared" si="17"/>
        <v>ГПС 250х50-2,0</v>
      </c>
      <c r="B337" s="2296" t="str">
        <f t="shared" si="17"/>
        <v>м.п.</v>
      </c>
      <c r="C337" s="2296">
        <f>IF('Ввод данных'!$A$51=перекрытие!A337,1,0)</f>
        <v>0</v>
      </c>
      <c r="D337" s="2296">
        <f>1/'Ввод данных'!$C$51*дома!$F$1090*перекрытие!C337</f>
        <v>0</v>
      </c>
      <c r="E337" s="2296">
        <f t="shared" si="18"/>
        <v>274</v>
      </c>
      <c r="F337" s="2296">
        <f t="shared" si="19"/>
        <v>0</v>
      </c>
    </row>
    <row r="338" spans="1:6">
      <c r="A338" s="2296" t="str">
        <f t="shared" si="17"/>
        <v>ГПС 280х50-1,2</v>
      </c>
      <c r="B338" s="2296" t="str">
        <f t="shared" si="17"/>
        <v>м.п.</v>
      </c>
      <c r="C338" s="2296">
        <f>IF('Ввод данных'!$A$51=перекрытие!A338,1,0)</f>
        <v>0</v>
      </c>
      <c r="D338" s="2296">
        <f>1/'Ввод данных'!$C$51*дома!$F$1090*перекрытие!C338</f>
        <v>0</v>
      </c>
      <c r="E338" s="2296">
        <f t="shared" si="18"/>
        <v>344</v>
      </c>
      <c r="F338" s="2296">
        <f t="shared" si="19"/>
        <v>0</v>
      </c>
    </row>
    <row r="339" spans="1:6">
      <c r="A339" s="2296" t="str">
        <f t="shared" si="17"/>
        <v>ГПС 280х50-1,5</v>
      </c>
      <c r="B339" s="2296" t="str">
        <f t="shared" si="17"/>
        <v>м.п.</v>
      </c>
      <c r="C339" s="2296">
        <f>IF('Ввод данных'!$A$51=перекрытие!A339,1,0)</f>
        <v>0</v>
      </c>
      <c r="D339" s="2296">
        <f>1/'Ввод данных'!$C$51*дома!$F$1090*перекрытие!C339</f>
        <v>0</v>
      </c>
      <c r="E339" s="2296">
        <f t="shared" si="18"/>
        <v>450</v>
      </c>
      <c r="F339" s="2296">
        <f t="shared" si="19"/>
        <v>0</v>
      </c>
    </row>
    <row r="340" spans="1:6">
      <c r="A340" s="2296" t="str">
        <f t="shared" si="17"/>
        <v>ГПС 280х50-2,0</v>
      </c>
      <c r="B340" s="2296" t="str">
        <f t="shared" si="17"/>
        <v>м.п.</v>
      </c>
      <c r="C340" s="2296">
        <f>IF('Ввод данных'!$A$51=перекрытие!A340,1,0)</f>
        <v>0</v>
      </c>
      <c r="D340" s="2296">
        <f>1/'Ввод данных'!$C$51*дома!$F$1090*перекрытие!C340</f>
        <v>0</v>
      </c>
      <c r="E340" s="2296">
        <f t="shared" si="18"/>
        <v>293</v>
      </c>
      <c r="F340" s="2296">
        <f t="shared" si="19"/>
        <v>0</v>
      </c>
    </row>
    <row r="341" spans="1:6">
      <c r="A341" s="2296" t="str">
        <f t="shared" si="17"/>
        <v>ГПН 102х35-1,2</v>
      </c>
      <c r="B341" s="2296" t="str">
        <f t="shared" si="17"/>
        <v>м.п.</v>
      </c>
      <c r="C341" s="2296">
        <f t="shared" ref="C341:C359" si="20">C322</f>
        <v>0</v>
      </c>
      <c r="D341" s="2296">
        <f>(дома!$D$16+дома!$D$16+дома!$D$17+дома!$D$17)*C341</f>
        <v>0</v>
      </c>
      <c r="E341" s="2296">
        <f t="shared" si="18"/>
        <v>127</v>
      </c>
      <c r="F341" s="2296">
        <f t="shared" si="19"/>
        <v>0</v>
      </c>
    </row>
    <row r="342" spans="1:6">
      <c r="A342" s="2296" t="str">
        <f t="shared" ref="A342:B361" si="21">A300</f>
        <v>ГПН 102х35-1,5</v>
      </c>
      <c r="B342" s="2296" t="str">
        <f t="shared" si="21"/>
        <v>м.п.</v>
      </c>
      <c r="C342" s="2296">
        <f t="shared" si="20"/>
        <v>0</v>
      </c>
      <c r="D342" s="2296">
        <f>(дома!$D$16+дома!$D$16+дома!$D$17+дома!$D$17)*C342</f>
        <v>0</v>
      </c>
      <c r="E342" s="2296">
        <f t="shared" si="18"/>
        <v>158</v>
      </c>
      <c r="F342" s="2296">
        <f t="shared" si="19"/>
        <v>0</v>
      </c>
    </row>
    <row r="343" spans="1:6">
      <c r="A343" s="2296" t="str">
        <f t="shared" si="21"/>
        <v>ГПН 102х35-2,0</v>
      </c>
      <c r="B343" s="2296" t="str">
        <f t="shared" si="21"/>
        <v>м.п.</v>
      </c>
      <c r="C343" s="2296">
        <f t="shared" si="20"/>
        <v>0</v>
      </c>
      <c r="D343" s="2296">
        <f>(дома!$D$16+дома!$D$16+дома!$D$17+дома!$D$17)*C343</f>
        <v>0</v>
      </c>
      <c r="E343" s="2296">
        <f t="shared" si="18"/>
        <v>199</v>
      </c>
      <c r="F343" s="2296">
        <f t="shared" si="19"/>
        <v>0</v>
      </c>
    </row>
    <row r="344" spans="1:6">
      <c r="A344" s="2296" t="str">
        <f t="shared" si="21"/>
        <v>ГПН 122х35-1,2</v>
      </c>
      <c r="B344" s="2296" t="str">
        <f t="shared" si="21"/>
        <v>м.п.</v>
      </c>
      <c r="C344" s="2296">
        <f t="shared" si="20"/>
        <v>0</v>
      </c>
      <c r="D344" s="2296">
        <f>(дома!$D$16+дома!$D$16+дома!$D$17+дома!$D$17)*C344</f>
        <v>0</v>
      </c>
      <c r="E344" s="2296">
        <f t="shared" si="18"/>
        <v>131</v>
      </c>
      <c r="F344" s="2296">
        <f t="shared" si="19"/>
        <v>0</v>
      </c>
    </row>
    <row r="345" spans="1:6">
      <c r="A345" s="2296" t="str">
        <f t="shared" si="21"/>
        <v>ГПН 122х35-1,5</v>
      </c>
      <c r="B345" s="2296" t="str">
        <f t="shared" si="21"/>
        <v>м.п.</v>
      </c>
      <c r="C345" s="2296">
        <f t="shared" si="20"/>
        <v>0</v>
      </c>
      <c r="D345" s="2296">
        <f>(дома!$D$16+дома!$D$16+дома!$D$17+дома!$D$17)*C345</f>
        <v>0</v>
      </c>
      <c r="E345" s="2296">
        <f t="shared" si="18"/>
        <v>163</v>
      </c>
      <c r="F345" s="2296">
        <f t="shared" si="19"/>
        <v>0</v>
      </c>
    </row>
    <row r="346" spans="1:6">
      <c r="A346" s="2296" t="str">
        <f t="shared" si="21"/>
        <v>ГПН 122х35-2,0</v>
      </c>
      <c r="B346" s="2296" t="str">
        <f t="shared" si="21"/>
        <v>м.п.</v>
      </c>
      <c r="C346" s="2296">
        <f t="shared" si="20"/>
        <v>0</v>
      </c>
      <c r="D346" s="2296">
        <f>(дома!$D$16+дома!$D$16+дома!$D$17+дома!$D$17)*C346</f>
        <v>0</v>
      </c>
      <c r="E346" s="2296">
        <f t="shared" si="18"/>
        <v>216</v>
      </c>
      <c r="F346" s="2296">
        <f t="shared" si="19"/>
        <v>0</v>
      </c>
    </row>
    <row r="347" spans="1:6">
      <c r="A347" s="2296" t="str">
        <f t="shared" si="21"/>
        <v>ГПН 152х35-1,2</v>
      </c>
      <c r="B347" s="2296" t="str">
        <f t="shared" si="21"/>
        <v>м.п.</v>
      </c>
      <c r="C347" s="2296">
        <f t="shared" si="20"/>
        <v>0</v>
      </c>
      <c r="D347" s="2296">
        <f>(дома!$D$16+дома!$D$16+дома!$D$17+дома!$D$17)*C347</f>
        <v>0</v>
      </c>
      <c r="E347" s="2296">
        <f t="shared" si="18"/>
        <v>163</v>
      </c>
      <c r="F347" s="2296">
        <f t="shared" si="19"/>
        <v>0</v>
      </c>
    </row>
    <row r="348" spans="1:6">
      <c r="A348" s="2296" t="str">
        <f t="shared" si="21"/>
        <v>ГПН 152х35-1,5</v>
      </c>
      <c r="B348" s="2296" t="str">
        <f t="shared" si="21"/>
        <v>м.п.</v>
      </c>
      <c r="C348" s="2296">
        <f t="shared" si="20"/>
        <v>0</v>
      </c>
      <c r="D348" s="2296">
        <f>(дома!$D$16+дома!$D$16+дома!$D$17+дома!$D$17)*C348</f>
        <v>0</v>
      </c>
      <c r="E348" s="2296">
        <f t="shared" si="18"/>
        <v>203</v>
      </c>
      <c r="F348" s="2296">
        <f t="shared" si="19"/>
        <v>0</v>
      </c>
    </row>
    <row r="349" spans="1:6">
      <c r="A349" s="2296" t="str">
        <f t="shared" si="21"/>
        <v>ГПН 152х35-2,0</v>
      </c>
      <c r="B349" s="2296" t="str">
        <f t="shared" si="21"/>
        <v>м.п.</v>
      </c>
      <c r="C349" s="2296">
        <f t="shared" si="20"/>
        <v>0</v>
      </c>
      <c r="D349" s="2296">
        <f>(дома!$D$16+дома!$D$16+дома!$D$17+дома!$D$17)*C349</f>
        <v>0</v>
      </c>
      <c r="E349" s="2296">
        <f t="shared" si="18"/>
        <v>259</v>
      </c>
      <c r="F349" s="2296">
        <f t="shared" si="19"/>
        <v>0</v>
      </c>
    </row>
    <row r="350" spans="1:6">
      <c r="A350" s="2296" t="str">
        <f t="shared" si="21"/>
        <v>ГПН 172х35-1,2</v>
      </c>
      <c r="B350" s="2296" t="str">
        <f t="shared" si="21"/>
        <v>м.п.</v>
      </c>
      <c r="C350" s="2296">
        <f t="shared" si="20"/>
        <v>0</v>
      </c>
      <c r="D350" s="2296">
        <f>(дома!$D$16+дома!$D$16+дома!$D$17+дома!$D$17)*C350</f>
        <v>0</v>
      </c>
      <c r="E350" s="2296">
        <f t="shared" si="18"/>
        <v>166</v>
      </c>
      <c r="F350" s="2296">
        <f t="shared" si="19"/>
        <v>0</v>
      </c>
    </row>
    <row r="351" spans="1:6">
      <c r="A351" s="2296" t="str">
        <f t="shared" si="21"/>
        <v>ГПН 172х35-1,5</v>
      </c>
      <c r="B351" s="2296" t="str">
        <f t="shared" si="21"/>
        <v>м.п.</v>
      </c>
      <c r="C351" s="2296">
        <f t="shared" si="20"/>
        <v>0</v>
      </c>
      <c r="D351" s="2296">
        <f>(дома!$D$16+дома!$D$16+дома!$D$17+дома!$D$17)*C351</f>
        <v>0</v>
      </c>
      <c r="E351" s="2296">
        <f t="shared" si="18"/>
        <v>207</v>
      </c>
      <c r="F351" s="2296">
        <f t="shared" si="19"/>
        <v>0</v>
      </c>
    </row>
    <row r="352" spans="1:6">
      <c r="A352" s="2296" t="str">
        <f t="shared" si="21"/>
        <v>ГПН 172х35-2,0</v>
      </c>
      <c r="B352" s="2296" t="str">
        <f t="shared" si="21"/>
        <v>м.п.</v>
      </c>
      <c r="C352" s="2296">
        <f t="shared" si="20"/>
        <v>0</v>
      </c>
      <c r="D352" s="2296">
        <f>(дома!$D$16+дома!$D$16+дома!$D$17+дома!$D$17)*C352</f>
        <v>0</v>
      </c>
      <c r="E352" s="2296">
        <f t="shared" si="18"/>
        <v>274</v>
      </c>
      <c r="F352" s="2296">
        <f t="shared" si="19"/>
        <v>0</v>
      </c>
    </row>
    <row r="353" spans="1:6">
      <c r="A353" s="2296" t="str">
        <f t="shared" si="21"/>
        <v>ГПН 202х35-1,2</v>
      </c>
      <c r="B353" s="2296" t="str">
        <f t="shared" si="21"/>
        <v>м.п.</v>
      </c>
      <c r="C353" s="2296">
        <f t="shared" si="20"/>
        <v>0</v>
      </c>
      <c r="D353" s="2296">
        <f>(дома!$D$16+дома!$D$16+дома!$D$17+дома!$D$17)*C353</f>
        <v>0</v>
      </c>
      <c r="E353" s="2296">
        <f t="shared" si="18"/>
        <v>201</v>
      </c>
      <c r="F353" s="2296">
        <f t="shared" si="19"/>
        <v>0</v>
      </c>
    </row>
    <row r="354" spans="1:6">
      <c r="A354" s="2296" t="str">
        <f t="shared" si="21"/>
        <v>ГПН 202х35-1,5</v>
      </c>
      <c r="B354" s="2296" t="str">
        <f t="shared" si="21"/>
        <v>м.п.</v>
      </c>
      <c r="C354" s="2296">
        <f t="shared" si="20"/>
        <v>0</v>
      </c>
      <c r="D354" s="2296">
        <f>(дома!$D$16+дома!$D$16+дома!$D$17+дома!$D$17)*C354</f>
        <v>0</v>
      </c>
      <c r="E354" s="2296">
        <f t="shared" si="18"/>
        <v>252</v>
      </c>
      <c r="F354" s="2296">
        <f t="shared" si="19"/>
        <v>0</v>
      </c>
    </row>
    <row r="355" spans="1:6">
      <c r="A355" s="2296" t="str">
        <f t="shared" si="21"/>
        <v>ГПН 202х35-2,0</v>
      </c>
      <c r="B355" s="2296" t="str">
        <f t="shared" si="21"/>
        <v>м.п.</v>
      </c>
      <c r="C355" s="2296">
        <f t="shared" si="20"/>
        <v>0</v>
      </c>
      <c r="D355" s="2296">
        <f>(дома!$D$16+дома!$D$16+дома!$D$17+дома!$D$17)*C355</f>
        <v>0</v>
      </c>
      <c r="E355" s="2296">
        <f t="shared" si="18"/>
        <v>318</v>
      </c>
      <c r="F355" s="2296">
        <f t="shared" si="19"/>
        <v>0</v>
      </c>
    </row>
    <row r="356" spans="1:6">
      <c r="A356" s="2296" t="str">
        <f t="shared" si="21"/>
        <v>ГПН 252х35-1,2</v>
      </c>
      <c r="B356" s="2296" t="str">
        <f t="shared" si="21"/>
        <v>м.п.</v>
      </c>
      <c r="C356" s="2296">
        <f t="shared" si="20"/>
        <v>0</v>
      </c>
      <c r="D356" s="2296">
        <f>(дома!$D$16+дома!$D$16+дома!$D$17+дома!$D$17)*C356</f>
        <v>0</v>
      </c>
      <c r="E356" s="2296">
        <f t="shared" si="18"/>
        <v>226</v>
      </c>
      <c r="F356" s="2296">
        <f t="shared" si="19"/>
        <v>0</v>
      </c>
    </row>
    <row r="357" spans="1:6">
      <c r="A357" s="2296" t="str">
        <f t="shared" si="21"/>
        <v>ГПН 252х35-1,5</v>
      </c>
      <c r="B357" s="2296" t="str">
        <f t="shared" si="21"/>
        <v>м.п.</v>
      </c>
      <c r="C357" s="2296">
        <f t="shared" si="20"/>
        <v>0</v>
      </c>
      <c r="D357" s="2296">
        <f>(дома!$D$16+дома!$D$16+дома!$D$17+дома!$D$17)*C357</f>
        <v>0</v>
      </c>
      <c r="E357" s="2296">
        <f t="shared" si="18"/>
        <v>283</v>
      </c>
      <c r="F357" s="2296">
        <f t="shared" si="19"/>
        <v>0</v>
      </c>
    </row>
    <row r="358" spans="1:6">
      <c r="A358" s="2296" t="str">
        <f t="shared" si="21"/>
        <v>ГПН 252х35-2,0</v>
      </c>
      <c r="B358" s="2296" t="str">
        <f t="shared" si="21"/>
        <v>м.п.</v>
      </c>
      <c r="C358" s="2296">
        <f t="shared" si="20"/>
        <v>0</v>
      </c>
      <c r="D358" s="2296">
        <f>(дома!$D$16+дома!$D$16+дома!$D$17+дома!$D$17)*C358</f>
        <v>0</v>
      </c>
      <c r="E358" s="2296">
        <f t="shared" si="18"/>
        <v>378</v>
      </c>
      <c r="F358" s="2296">
        <f t="shared" si="19"/>
        <v>0</v>
      </c>
    </row>
    <row r="359" spans="1:6">
      <c r="A359" s="2296" t="str">
        <f t="shared" si="21"/>
        <v>ГПН 282х35-1,2</v>
      </c>
      <c r="B359" s="2296" t="str">
        <f t="shared" si="21"/>
        <v>м.п.</v>
      </c>
      <c r="C359" s="2296">
        <f t="shared" si="20"/>
        <v>0</v>
      </c>
      <c r="D359" s="2296">
        <f>(дома!$D$16+дома!$D$16+дома!$D$17+дома!$D$17)*C359</f>
        <v>0</v>
      </c>
      <c r="E359" s="2296">
        <f t="shared" si="18"/>
        <v>275</v>
      </c>
      <c r="F359" s="2296">
        <f t="shared" si="19"/>
        <v>0</v>
      </c>
    </row>
    <row r="360" spans="1:6">
      <c r="A360" s="2296" t="str">
        <f>A318</f>
        <v>Саморез 5,5 х 25</v>
      </c>
      <c r="C360" s="2296">
        <f>SUM(C341:C359)</f>
        <v>0</v>
      </c>
      <c r="D360" s="2296">
        <f>CEILING(дома!$F$1090*C360*10,1)</f>
        <v>0</v>
      </c>
      <c r="E360" s="2296">
        <f t="shared" si="18"/>
        <v>2.5</v>
      </c>
      <c r="F360" s="2296">
        <f t="shared" si="19"/>
        <v>0</v>
      </c>
    </row>
    <row r="365" spans="1:6">
      <c r="A365" s="2296" t="str">
        <f>'Прайс лист'!B1888</f>
        <v>Монтаж перекрытий ЛСТК</v>
      </c>
      <c r="D365" s="2296">
        <f>дома!$F$1086*SUM(C238:C256)</f>
        <v>0</v>
      </c>
      <c r="E365" s="2296">
        <f>'Прайс лист'!G1888</f>
        <v>500</v>
      </c>
      <c r="F365" s="2296">
        <f>D365*E365</f>
        <v>0</v>
      </c>
    </row>
    <row r="366" spans="1:6">
      <c r="A366" s="2296" t="str">
        <f>'Прайс лист'!B1888</f>
        <v>Монтаж перекрытий ЛСТК</v>
      </c>
      <c r="D366" s="2296">
        <f>дома!$F$1087*SUM(C280:C298)</f>
        <v>0</v>
      </c>
      <c r="E366" s="2296">
        <f>'Прайс лист'!G1888</f>
        <v>500</v>
      </c>
      <c r="F366" s="2296">
        <f>D366*E366</f>
        <v>0</v>
      </c>
    </row>
    <row r="367" spans="1:6">
      <c r="A367" s="2296" t="str">
        <f>'Прайс лист'!B1888</f>
        <v>Монтаж перекрытий ЛСТК</v>
      </c>
      <c r="D367" s="2296">
        <f>дома!$F$1090*SUM(C322:C340)</f>
        <v>0</v>
      </c>
      <c r="E367" s="2296">
        <f>'Прайс лист'!G1888</f>
        <v>500</v>
      </c>
      <c r="F367" s="2296">
        <f>D367*E367</f>
        <v>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J685"/>
  <sheetViews>
    <sheetView topLeftCell="A418" zoomScale="60" zoomScaleNormal="60" workbookViewId="0">
      <selection activeCell="I427" sqref="I427"/>
    </sheetView>
  </sheetViews>
  <sheetFormatPr baseColWidth="10" defaultColWidth="9.1640625" defaultRowHeight="15" outlineLevelRow="1"/>
  <cols>
    <col min="1" max="1" width="35.5" style="2379" customWidth="1"/>
    <col min="2" max="2" width="13.5" style="2379" customWidth="1"/>
    <col min="3" max="3" width="11.5" style="2379" customWidth="1"/>
    <col min="4" max="4" width="11.1640625" style="2379" customWidth="1"/>
    <col min="5" max="6" width="12.5" style="2379" customWidth="1"/>
    <col min="7" max="7" width="14.33203125" style="2379" customWidth="1"/>
    <col min="8" max="8" width="15.5" style="2379" customWidth="1"/>
    <col min="9" max="9" width="9.1640625" style="2379"/>
    <col min="10" max="10" width="11.1640625" style="2379" customWidth="1"/>
    <col min="11" max="11" width="9.1640625" style="2379"/>
    <col min="12" max="12" width="13.83203125" style="2379" customWidth="1"/>
    <col min="13" max="1024" width="9.1640625" style="2379"/>
  </cols>
  <sheetData>
    <row r="1" spans="1:13">
      <c r="A1" s="2125" t="s">
        <v>1093</v>
      </c>
      <c r="B1" s="2125"/>
      <c r="C1" s="2125"/>
      <c r="D1" s="2380" t="s">
        <v>120</v>
      </c>
      <c r="E1" s="2380" t="s">
        <v>1753</v>
      </c>
      <c r="F1" s="1036"/>
      <c r="G1" s="1258"/>
      <c r="H1" s="1258"/>
      <c r="I1" s="1258"/>
      <c r="J1" s="2381"/>
      <c r="K1" s="2381"/>
      <c r="L1" s="2381"/>
      <c r="M1" s="2381"/>
    </row>
    <row r="2" spans="1:13">
      <c r="A2" s="3168" t="s">
        <v>2779</v>
      </c>
      <c r="B2" s="3168"/>
      <c r="C2" s="3168"/>
      <c r="D2" s="2133"/>
      <c r="E2" s="946" t="e">
        <f>'Ввод данных'!#REF!</f>
        <v>#REF!</v>
      </c>
      <c r="F2" s="927"/>
      <c r="G2" s="1036"/>
      <c r="H2" s="936"/>
      <c r="I2" s="1036"/>
      <c r="J2" s="2381"/>
      <c r="K2" s="2381"/>
      <c r="L2" s="2381"/>
      <c r="M2" s="2381"/>
    </row>
    <row r="3" spans="1:13">
      <c r="A3" s="3139" t="s">
        <v>2746</v>
      </c>
      <c r="B3" s="3139"/>
      <c r="C3" s="3139"/>
      <c r="D3" s="2133" t="s">
        <v>156</v>
      </c>
      <c r="E3" s="946">
        <f>'Ввод данных'!C11</f>
        <v>10</v>
      </c>
      <c r="F3" s="936"/>
      <c r="G3" s="1036"/>
      <c r="H3" s="936"/>
      <c r="I3" s="1036"/>
      <c r="J3" s="2381"/>
      <c r="K3" s="2381"/>
      <c r="L3" s="2381"/>
      <c r="M3" s="2381"/>
    </row>
    <row r="4" spans="1:13">
      <c r="A4" s="3139" t="s">
        <v>2782</v>
      </c>
      <c r="B4" s="3139"/>
      <c r="C4" s="3139"/>
      <c r="D4" s="2133" t="s">
        <v>156</v>
      </c>
      <c r="E4" s="946">
        <f>'Ввод данных'!C12</f>
        <v>10</v>
      </c>
      <c r="F4" s="936"/>
      <c r="G4" s="936"/>
      <c r="H4" s="936"/>
      <c r="I4" s="1036"/>
      <c r="J4" s="2381"/>
      <c r="K4" s="2381"/>
      <c r="L4" s="2381"/>
      <c r="M4" s="2381"/>
    </row>
    <row r="5" spans="1:13">
      <c r="A5" s="3139" t="s">
        <v>2783</v>
      </c>
      <c r="B5" s="3139"/>
      <c r="C5" s="3139"/>
      <c r="D5" s="2133" t="s">
        <v>156</v>
      </c>
      <c r="E5" s="946">
        <f>'Ввод данных'!C13</f>
        <v>3</v>
      </c>
      <c r="F5" s="936"/>
      <c r="G5" s="936"/>
      <c r="H5" s="936"/>
      <c r="I5" s="1276"/>
      <c r="J5" s="2381"/>
      <c r="K5" s="2381"/>
      <c r="L5" s="2381"/>
      <c r="M5" s="2381"/>
    </row>
    <row r="6" spans="1:13">
      <c r="A6" s="3139" t="s">
        <v>2793</v>
      </c>
      <c r="B6" s="3139"/>
      <c r="C6" s="3139"/>
      <c r="D6" s="2133" t="s">
        <v>156</v>
      </c>
      <c r="E6" s="946">
        <f>связи1!K207</f>
        <v>1.2</v>
      </c>
      <c r="F6" s="936"/>
      <c r="G6" s="936"/>
      <c r="H6" s="936"/>
      <c r="I6" s="2382"/>
      <c r="J6" s="2381"/>
      <c r="K6" s="2381"/>
      <c r="L6" s="2381"/>
      <c r="M6" s="2381"/>
    </row>
    <row r="7" spans="1:13">
      <c r="A7" s="3139" t="s">
        <v>3870</v>
      </c>
      <c r="B7" s="3139"/>
      <c r="C7" s="3139"/>
      <c r="D7" s="2133" t="s">
        <v>156</v>
      </c>
      <c r="E7" s="946">
        <f>'Ввод данных'!C16</f>
        <v>2.2000000000000002</v>
      </c>
      <c r="F7" s="936"/>
      <c r="G7" s="936"/>
      <c r="H7" s="2382"/>
      <c r="I7" s="2382"/>
      <c r="J7" s="2381"/>
      <c r="K7" s="2381"/>
      <c r="L7" s="2381"/>
      <c r="M7" s="2381"/>
    </row>
    <row r="8" spans="1:13">
      <c r="A8" s="3139" t="s">
        <v>3871</v>
      </c>
      <c r="B8" s="3139"/>
      <c r="C8" s="3139"/>
      <c r="D8" s="2133" t="s">
        <v>156</v>
      </c>
      <c r="E8" s="946">
        <f>связи1!K206</f>
        <v>4.8</v>
      </c>
      <c r="F8" s="936"/>
      <c r="G8" s="936"/>
      <c r="H8" s="1036"/>
      <c r="I8" s="1036"/>
      <c r="J8" s="2381"/>
      <c r="K8" s="2381"/>
      <c r="L8" s="2381"/>
      <c r="M8" s="2381"/>
    </row>
    <row r="9" spans="1:13">
      <c r="A9" s="3169" t="s">
        <v>3872</v>
      </c>
      <c r="B9" s="3169"/>
      <c r="C9" s="3169"/>
      <c r="D9" s="2383" t="s">
        <v>1820</v>
      </c>
      <c r="E9" s="946"/>
      <c r="F9" s="936" t="s">
        <v>3873</v>
      </c>
      <c r="G9" s="1036"/>
      <c r="H9" s="936"/>
      <c r="I9" s="921"/>
      <c r="J9" s="2381"/>
      <c r="K9" s="2381"/>
      <c r="L9" s="2381"/>
      <c r="M9" s="2381"/>
    </row>
    <row r="10" spans="1:13">
      <c r="A10" s="3207" t="s">
        <v>2854</v>
      </c>
      <c r="B10" s="3207"/>
      <c r="C10" s="3207"/>
      <c r="D10" s="2384" t="s">
        <v>120</v>
      </c>
      <c r="E10" s="933" t="s">
        <v>293</v>
      </c>
      <c r="F10" s="2385"/>
      <c r="G10" s="1036"/>
      <c r="H10" s="936"/>
      <c r="I10" s="921"/>
      <c r="J10" s="2381"/>
      <c r="K10" s="2381"/>
      <c r="L10" s="2381"/>
      <c r="M10" s="2381"/>
    </row>
    <row r="11" spans="1:13">
      <c r="A11" s="3139" t="s">
        <v>2001</v>
      </c>
      <c r="B11" s="3139"/>
      <c r="C11" s="3139"/>
      <c r="D11" s="960" t="s">
        <v>156</v>
      </c>
      <c r="E11" s="946"/>
      <c r="F11" s="931">
        <f>дома!AA38</f>
        <v>7.8</v>
      </c>
      <c r="G11" s="927" t="s">
        <v>3521</v>
      </c>
      <c r="H11" s="936"/>
      <c r="I11" s="921"/>
      <c r="J11" s="2381"/>
      <c r="K11" s="2381"/>
      <c r="L11" s="2381"/>
      <c r="M11" s="2381"/>
    </row>
    <row r="12" spans="1:13">
      <c r="A12" s="3139" t="s">
        <v>2557</v>
      </c>
      <c r="B12" s="3139"/>
      <c r="C12" s="3139"/>
      <c r="D12" s="960" t="s">
        <v>156</v>
      </c>
      <c r="E12" s="946"/>
      <c r="F12" s="931">
        <f>дома!AA42</f>
        <v>7.8</v>
      </c>
      <c r="G12" s="927" t="s">
        <v>3522</v>
      </c>
      <c r="H12" s="936"/>
      <c r="I12" s="921"/>
      <c r="J12" s="2381"/>
      <c r="K12" s="2381"/>
      <c r="L12" s="2381"/>
      <c r="M12" s="2381"/>
    </row>
    <row r="13" spans="1:13">
      <c r="A13" s="3139" t="s">
        <v>2558</v>
      </c>
      <c r="B13" s="3139"/>
      <c r="C13" s="3139"/>
      <c r="D13" s="960" t="s">
        <v>156</v>
      </c>
      <c r="E13" s="946"/>
      <c r="F13" s="931">
        <f>дома!AA51</f>
        <v>0</v>
      </c>
      <c r="G13" s="927" t="s">
        <v>3523</v>
      </c>
      <c r="H13" s="936"/>
      <c r="I13" s="921"/>
      <c r="J13" s="2381"/>
      <c r="K13" s="2381"/>
      <c r="L13" s="2381"/>
      <c r="M13" s="2381"/>
    </row>
    <row r="14" spans="1:13">
      <c r="A14" s="3171" t="s">
        <v>1515</v>
      </c>
      <c r="B14" s="3171"/>
      <c r="C14" s="3171"/>
      <c r="D14" s="961" t="s">
        <v>1800</v>
      </c>
      <c r="E14" s="961" t="s">
        <v>293</v>
      </c>
      <c r="F14" s="939" t="s">
        <v>1802</v>
      </c>
      <c r="G14" s="2386" t="s">
        <v>2866</v>
      </c>
      <c r="H14" s="927"/>
      <c r="I14" s="921"/>
      <c r="J14" s="2381"/>
      <c r="K14" s="2381"/>
      <c r="L14" s="2381"/>
      <c r="M14" s="2381"/>
    </row>
    <row r="15" spans="1:13">
      <c r="A15" s="3172" t="s">
        <v>2902</v>
      </c>
      <c r="B15" s="3172"/>
      <c r="C15" s="3172"/>
      <c r="D15" s="945">
        <f>'Ввод данных'!C68</f>
        <v>1</v>
      </c>
      <c r="E15" s="946">
        <f>'Ввод данных'!D68</f>
        <v>1.2</v>
      </c>
      <c r="F15" s="931">
        <f>'Ввод данных'!E68</f>
        <v>1</v>
      </c>
      <c r="G15" s="964">
        <f>D15*E15*F15</f>
        <v>1.2</v>
      </c>
      <c r="H15" s="927"/>
      <c r="I15" s="921"/>
      <c r="J15" s="2381"/>
      <c r="K15" s="2381"/>
      <c r="L15" s="2381"/>
      <c r="M15" s="2381"/>
    </row>
    <row r="16" spans="1:13">
      <c r="A16" s="3172" t="s">
        <v>2903</v>
      </c>
      <c r="B16" s="3172"/>
      <c r="C16" s="3172"/>
      <c r="D16" s="945">
        <f>'Ввод данных'!C69</f>
        <v>0.6</v>
      </c>
      <c r="E16" s="946">
        <f>'Ввод данных'!D69</f>
        <v>0.6</v>
      </c>
      <c r="F16" s="931">
        <f>'Ввод данных'!E69</f>
        <v>0</v>
      </c>
      <c r="G16" s="964">
        <f>D16*E16*F16</f>
        <v>0</v>
      </c>
      <c r="H16" s="927"/>
      <c r="I16" s="921"/>
      <c r="J16" s="2381"/>
      <c r="K16" s="2381"/>
      <c r="L16" s="2381"/>
      <c r="M16" s="2381"/>
    </row>
    <row r="17" spans="1:13">
      <c r="A17" s="3172" t="s">
        <v>2904</v>
      </c>
      <c r="B17" s="3172"/>
      <c r="C17" s="3172"/>
      <c r="D17" s="945">
        <f>'Ввод данных'!C70</f>
        <v>1</v>
      </c>
      <c r="E17" s="946">
        <f>'Ввод данных'!D70</f>
        <v>2</v>
      </c>
      <c r="F17" s="931">
        <f>'Ввод данных'!E70</f>
        <v>0</v>
      </c>
      <c r="G17" s="964">
        <f>D17*E17*F17</f>
        <v>0</v>
      </c>
      <c r="H17" s="927"/>
      <c r="I17" s="921"/>
      <c r="J17" s="2381"/>
      <c r="K17" s="2381"/>
      <c r="L17" s="2381"/>
      <c r="M17" s="2381"/>
    </row>
    <row r="18" spans="1:13">
      <c r="A18" s="3172" t="s">
        <v>2894</v>
      </c>
      <c r="B18" s="3172"/>
      <c r="C18" s="3172"/>
      <c r="D18" s="945">
        <f>'Ввод данных'!C73</f>
        <v>0.8</v>
      </c>
      <c r="E18" s="946">
        <f>'Ввод данных'!D73</f>
        <v>2.1</v>
      </c>
      <c r="F18" s="931">
        <f>'Ввод данных'!E73</f>
        <v>0</v>
      </c>
      <c r="G18" s="964">
        <f>D18*E18*F18</f>
        <v>0</v>
      </c>
      <c r="H18" s="927"/>
      <c r="I18" s="921"/>
      <c r="J18" s="2381"/>
      <c r="K18" s="2381"/>
      <c r="L18" s="2381"/>
      <c r="M18" s="2381"/>
    </row>
    <row r="19" spans="1:13">
      <c r="A19" s="3173" t="s">
        <v>2898</v>
      </c>
      <c r="B19" s="3173"/>
      <c r="C19" s="3173"/>
      <c r="D19" s="3173"/>
      <c r="E19" s="3173"/>
      <c r="F19" s="3173"/>
      <c r="G19" s="964">
        <f>SUM(G15:G18)</f>
        <v>1.2</v>
      </c>
      <c r="H19" s="927"/>
      <c r="I19" s="921"/>
      <c r="J19" s="2381"/>
      <c r="K19" s="2381"/>
      <c r="L19" s="2381"/>
      <c r="M19" s="2381"/>
    </row>
    <row r="20" spans="1:13">
      <c r="A20" s="3171" t="s">
        <v>2593</v>
      </c>
      <c r="B20" s="3171"/>
      <c r="C20" s="3171"/>
      <c r="D20" s="933" t="s">
        <v>1800</v>
      </c>
      <c r="E20" s="933" t="s">
        <v>293</v>
      </c>
      <c r="F20" s="933" t="s">
        <v>1802</v>
      </c>
      <c r="G20" s="933" t="s">
        <v>2900</v>
      </c>
      <c r="H20" s="927"/>
      <c r="I20" s="921"/>
      <c r="J20" s="2381"/>
      <c r="K20" s="2381"/>
      <c r="L20" s="2381"/>
      <c r="M20" s="2381"/>
    </row>
    <row r="21" spans="1:13">
      <c r="A21" s="3172" t="s">
        <v>2902</v>
      </c>
      <c r="B21" s="3172"/>
      <c r="C21" s="3172"/>
      <c r="D21" s="945">
        <f>'Ввод данных'!C91</f>
        <v>0.8</v>
      </c>
      <c r="E21" s="946">
        <f>'Ввод данных'!D91</f>
        <v>2.1</v>
      </c>
      <c r="F21" s="931">
        <f>'Ввод данных'!E91</f>
        <v>0</v>
      </c>
      <c r="G21" s="938">
        <f>D21*E21*F21</f>
        <v>0</v>
      </c>
      <c r="H21" s="927"/>
      <c r="I21" s="921"/>
      <c r="J21" s="2381"/>
      <c r="K21" s="2381"/>
      <c r="L21" s="2381"/>
      <c r="M21" s="2381"/>
    </row>
    <row r="22" spans="1:13">
      <c r="A22" s="3172" t="s">
        <v>2903</v>
      </c>
      <c r="B22" s="3172"/>
      <c r="C22" s="3172"/>
      <c r="D22" s="945">
        <f>'Ввод данных'!C92</f>
        <v>0.6</v>
      </c>
      <c r="E22" s="946">
        <f>'Ввод данных'!D92</f>
        <v>2</v>
      </c>
      <c r="F22" s="931">
        <f>'Ввод данных'!E92</f>
        <v>0</v>
      </c>
      <c r="G22" s="938">
        <f>D22*E22*F22</f>
        <v>0</v>
      </c>
      <c r="H22" s="927"/>
      <c r="I22" s="921"/>
      <c r="J22" s="2381"/>
      <c r="K22" s="2381"/>
      <c r="L22" s="2381"/>
      <c r="M22" s="2381"/>
    </row>
    <row r="23" spans="1:13">
      <c r="A23" s="3172" t="s">
        <v>2904</v>
      </c>
      <c r="B23" s="3172"/>
      <c r="C23" s="3172"/>
      <c r="D23" s="945">
        <f>'Ввод данных'!C95</f>
        <v>0.9</v>
      </c>
      <c r="E23" s="946">
        <f>'Ввод данных'!D95</f>
        <v>2.1</v>
      </c>
      <c r="F23" s="931">
        <f>'Ввод данных'!E95</f>
        <v>0</v>
      </c>
      <c r="G23" s="938">
        <f>D23*E23*F23</f>
        <v>0</v>
      </c>
      <c r="H23" s="927"/>
      <c r="I23" s="921"/>
      <c r="J23" s="2381"/>
      <c r="K23" s="2381"/>
      <c r="L23" s="2381"/>
      <c r="M23" s="2381"/>
    </row>
    <row r="24" spans="1:13">
      <c r="A24" s="3172" t="s">
        <v>2905</v>
      </c>
      <c r="B24" s="3172"/>
      <c r="C24" s="3172"/>
      <c r="D24" s="945">
        <f>'Ввод данных'!C99</f>
        <v>0.8</v>
      </c>
      <c r="E24" s="946">
        <f>'Ввод данных'!D99</f>
        <v>2.1</v>
      </c>
      <c r="F24" s="931">
        <f>'Ввод данных'!E99</f>
        <v>0</v>
      </c>
      <c r="G24" s="938">
        <f>D24*E24*F24</f>
        <v>0</v>
      </c>
      <c r="H24" s="927"/>
      <c r="I24" s="921"/>
      <c r="J24" s="2381"/>
      <c r="K24" s="2381"/>
      <c r="L24" s="2381"/>
      <c r="M24" s="2381"/>
    </row>
    <row r="25" spans="1:13">
      <c r="A25" s="3173" t="s">
        <v>3874</v>
      </c>
      <c r="B25" s="3173"/>
      <c r="C25" s="3173"/>
      <c r="D25" s="3173"/>
      <c r="E25" s="3173"/>
      <c r="F25" s="3173"/>
      <c r="G25" s="938">
        <f>SUM(G21:G24)</f>
        <v>0</v>
      </c>
      <c r="H25" s="927"/>
      <c r="I25" s="921"/>
      <c r="J25" s="2381"/>
      <c r="K25" s="2381"/>
      <c r="L25" s="2381"/>
      <c r="M25" s="2381"/>
    </row>
    <row r="26" spans="1:13">
      <c r="A26" s="3171" t="s">
        <v>1217</v>
      </c>
      <c r="B26" s="3171"/>
      <c r="C26" s="3171"/>
      <c r="D26" s="933" t="s">
        <v>1800</v>
      </c>
      <c r="E26" s="933" t="s">
        <v>293</v>
      </c>
      <c r="F26" s="933" t="s">
        <v>1802</v>
      </c>
      <c r="G26" s="933" t="s">
        <v>2900</v>
      </c>
      <c r="H26" s="927"/>
      <c r="I26" s="921"/>
      <c r="J26" s="2381"/>
      <c r="K26" s="2381"/>
      <c r="L26" s="2381"/>
      <c r="M26" s="2381"/>
    </row>
    <row r="27" spans="1:13">
      <c r="A27" s="3172" t="s">
        <v>2902</v>
      </c>
      <c r="B27" s="3172"/>
      <c r="C27" s="3172"/>
      <c r="D27" s="945">
        <f>'Ввод данных'!C85</f>
        <v>0.8</v>
      </c>
      <c r="E27" s="946">
        <f>'Ввод данных'!D85</f>
        <v>2</v>
      </c>
      <c r="F27" s="931">
        <f>'Ввод данных'!E85</f>
        <v>0</v>
      </c>
      <c r="G27" s="938">
        <f>D27*E27*F27</f>
        <v>0</v>
      </c>
      <c r="H27" s="927"/>
      <c r="I27" s="921"/>
      <c r="J27" s="2381"/>
      <c r="K27" s="2381"/>
      <c r="L27" s="2381"/>
      <c r="M27" s="2381"/>
    </row>
    <row r="28" spans="1:13">
      <c r="A28" s="3172" t="s">
        <v>2903</v>
      </c>
      <c r="B28" s="3172"/>
      <c r="C28" s="3172"/>
      <c r="D28" s="945">
        <f>'Ввод данных'!C86</f>
        <v>0.9</v>
      </c>
      <c r="E28" s="946">
        <f>'Ввод данных'!D86</f>
        <v>2.1</v>
      </c>
      <c r="F28" s="931">
        <f>'Ввод данных'!E86</f>
        <v>0</v>
      </c>
      <c r="G28" s="938">
        <f>D28*E28*F28</f>
        <v>0</v>
      </c>
      <c r="H28" s="927"/>
      <c r="I28" s="921"/>
      <c r="J28" s="2381"/>
      <c r="K28" s="2381"/>
      <c r="L28" s="2381"/>
      <c r="M28" s="2381"/>
    </row>
    <row r="29" spans="1:13">
      <c r="A29" s="3172" t="s">
        <v>2904</v>
      </c>
      <c r="B29" s="3172"/>
      <c r="C29" s="3172"/>
      <c r="D29" s="945">
        <f>'Ввод данных'!C87</f>
        <v>1</v>
      </c>
      <c r="E29" s="946">
        <f>'Ввод данных'!D87</f>
        <v>2</v>
      </c>
      <c r="F29" s="931">
        <f>'Ввод данных'!E87</f>
        <v>0</v>
      </c>
      <c r="G29" s="938">
        <f>D29*E29*F29</f>
        <v>0</v>
      </c>
      <c r="H29" s="927"/>
      <c r="I29" s="921"/>
      <c r="J29" s="2381"/>
      <c r="K29" s="2381"/>
      <c r="L29" s="2381"/>
      <c r="M29" s="2381"/>
    </row>
    <row r="30" spans="1:13">
      <c r="A30" s="3173" t="s">
        <v>2898</v>
      </c>
      <c r="B30" s="3173"/>
      <c r="C30" s="3173"/>
      <c r="D30" s="3173"/>
      <c r="E30" s="3173"/>
      <c r="F30" s="3173"/>
      <c r="G30" s="938">
        <f>SUM(G27:G29)</f>
        <v>0</v>
      </c>
      <c r="H30" s="927"/>
      <c r="I30" s="921"/>
      <c r="J30" s="2381"/>
      <c r="K30" s="2381"/>
      <c r="L30" s="2381"/>
      <c r="M30" s="2381"/>
    </row>
    <row r="31" spans="1:13">
      <c r="A31" s="2142"/>
      <c r="B31" s="2142"/>
      <c r="C31" s="2142"/>
      <c r="D31" s="2142"/>
      <c r="E31" s="936"/>
      <c r="F31" s="936"/>
      <c r="G31" s="936"/>
      <c r="H31" s="921"/>
      <c r="I31" s="921"/>
      <c r="J31" s="2381"/>
      <c r="K31" s="2381"/>
      <c r="L31" s="2381"/>
      <c r="M31" s="2381"/>
    </row>
    <row r="32" spans="1:13">
      <c r="A32" s="3176" t="s">
        <v>1236</v>
      </c>
      <c r="B32" s="3176"/>
      <c r="C32" s="933" t="s">
        <v>208</v>
      </c>
      <c r="D32" s="933" t="s">
        <v>853</v>
      </c>
      <c r="E32" s="2387" t="s">
        <v>1802</v>
      </c>
      <c r="F32" s="923" t="s">
        <v>853</v>
      </c>
      <c r="G32" s="936"/>
      <c r="H32" s="921"/>
      <c r="I32" s="921"/>
      <c r="J32" s="2381"/>
      <c r="K32" s="2381"/>
      <c r="L32" s="2381"/>
      <c r="M32" s="2381"/>
    </row>
    <row r="33" spans="1:13">
      <c r="A33" s="3124" t="s">
        <v>1862</v>
      </c>
      <c r="B33" s="3124"/>
      <c r="C33" s="938" t="s">
        <v>156</v>
      </c>
      <c r="D33" s="1126">
        <f>'Ввод данных'!C112</f>
        <v>6</v>
      </c>
      <c r="E33" s="2388">
        <f>'Ввод данных'!D112</f>
        <v>2</v>
      </c>
      <c r="F33" s="938">
        <f t="shared" ref="F33:F64" si="0">D33*E33</f>
        <v>12</v>
      </c>
      <c r="G33" s="936"/>
      <c r="H33" s="921"/>
      <c r="I33" s="921"/>
      <c r="J33" s="2381"/>
      <c r="K33" s="2381"/>
      <c r="L33" s="2381"/>
      <c r="M33" s="2381"/>
    </row>
    <row r="34" spans="1:13">
      <c r="A34" s="3124"/>
      <c r="B34" s="3124"/>
      <c r="C34" s="938" t="s">
        <v>156</v>
      </c>
      <c r="D34" s="1126">
        <f>'Ввод данных'!C113</f>
        <v>4</v>
      </c>
      <c r="E34" s="2388">
        <f>'Ввод данных'!D113</f>
        <v>1</v>
      </c>
      <c r="F34" s="938">
        <f t="shared" si="0"/>
        <v>4</v>
      </c>
      <c r="G34" s="936"/>
      <c r="H34" s="921"/>
      <c r="I34" s="921"/>
      <c r="J34" s="2381"/>
      <c r="K34" s="2381"/>
      <c r="L34" s="2381"/>
      <c r="M34" s="2381"/>
    </row>
    <row r="35" spans="1:13">
      <c r="A35" s="3124"/>
      <c r="B35" s="3124"/>
      <c r="C35" s="938" t="s">
        <v>156</v>
      </c>
      <c r="D35" s="1126">
        <f>'Ввод данных'!C114</f>
        <v>0</v>
      </c>
      <c r="E35" s="2388">
        <f>'Ввод данных'!D114</f>
        <v>0</v>
      </c>
      <c r="F35" s="938">
        <f t="shared" si="0"/>
        <v>0</v>
      </c>
      <c r="G35" s="936"/>
      <c r="H35" s="921"/>
      <c r="I35" s="921"/>
      <c r="J35" s="2381"/>
      <c r="K35" s="2381"/>
      <c r="L35" s="2381"/>
      <c r="M35" s="2381"/>
    </row>
    <row r="36" spans="1:13">
      <c r="A36" s="3124"/>
      <c r="B36" s="3124"/>
      <c r="C36" s="938" t="s">
        <v>156</v>
      </c>
      <c r="D36" s="1126">
        <f>'Ввод данных'!C115</f>
        <v>0</v>
      </c>
      <c r="E36" s="2388">
        <f>'Ввод данных'!D115</f>
        <v>0</v>
      </c>
      <c r="F36" s="938">
        <f t="shared" si="0"/>
        <v>0</v>
      </c>
      <c r="G36" s="936"/>
      <c r="H36" s="921"/>
      <c r="I36" s="921"/>
      <c r="J36" s="2381"/>
      <c r="K36" s="2381"/>
      <c r="L36" s="2381"/>
      <c r="M36" s="2381"/>
    </row>
    <row r="37" spans="1:13">
      <c r="A37" s="3124" t="s">
        <v>1866</v>
      </c>
      <c r="B37" s="3124"/>
      <c r="C37" s="938" t="s">
        <v>156</v>
      </c>
      <c r="D37" s="1126">
        <f>'Ввод данных'!C116</f>
        <v>1.8</v>
      </c>
      <c r="E37" s="2388">
        <f>'Ввод данных'!D116</f>
        <v>1</v>
      </c>
      <c r="F37" s="938">
        <f t="shared" si="0"/>
        <v>1.8</v>
      </c>
      <c r="G37" s="936"/>
      <c r="H37" s="921"/>
      <c r="I37" s="921"/>
      <c r="J37" s="2381"/>
      <c r="K37" s="2381"/>
      <c r="L37" s="2381"/>
      <c r="M37" s="2381"/>
    </row>
    <row r="38" spans="1:13">
      <c r="A38" s="3124"/>
      <c r="B38" s="3124"/>
      <c r="C38" s="938" t="s">
        <v>156</v>
      </c>
      <c r="D38" s="1126">
        <f>'Ввод данных'!C117</f>
        <v>0</v>
      </c>
      <c r="E38" s="2388">
        <f>'Ввод данных'!D117</f>
        <v>0</v>
      </c>
      <c r="F38" s="938">
        <f t="shared" si="0"/>
        <v>0</v>
      </c>
      <c r="G38" s="936"/>
      <c r="H38" s="921"/>
      <c r="I38" s="936"/>
      <c r="J38" s="2381"/>
      <c r="K38" s="2381"/>
      <c r="L38" s="2381"/>
      <c r="M38" s="2381"/>
    </row>
    <row r="39" spans="1:13">
      <c r="A39" s="3124"/>
      <c r="B39" s="3124"/>
      <c r="C39" s="938" t="s">
        <v>156</v>
      </c>
      <c r="D39" s="1126">
        <f>'Ввод данных'!C118</f>
        <v>0</v>
      </c>
      <c r="E39" s="2388">
        <f>'Ввод данных'!D118</f>
        <v>0</v>
      </c>
      <c r="F39" s="938">
        <f t="shared" si="0"/>
        <v>0</v>
      </c>
      <c r="G39" s="936"/>
      <c r="H39" s="921"/>
      <c r="I39" s="936"/>
      <c r="J39" s="2381"/>
      <c r="K39" s="2381"/>
      <c r="L39" s="2381"/>
      <c r="M39" s="2381"/>
    </row>
    <row r="40" spans="1:13">
      <c r="A40" s="3124"/>
      <c r="B40" s="3124"/>
      <c r="C40" s="938" t="s">
        <v>156</v>
      </c>
      <c r="D40" s="1126">
        <f>'Ввод данных'!C119</f>
        <v>0</v>
      </c>
      <c r="E40" s="2388">
        <f>'Ввод данных'!D119</f>
        <v>0</v>
      </c>
      <c r="F40" s="938">
        <f t="shared" si="0"/>
        <v>0</v>
      </c>
      <c r="G40" s="936"/>
      <c r="H40" s="921"/>
      <c r="I40" s="936"/>
      <c r="J40" s="2381"/>
      <c r="K40" s="2381"/>
      <c r="L40" s="2381"/>
      <c r="M40" s="2381"/>
    </row>
    <row r="41" spans="1:13">
      <c r="A41" s="3124" t="s">
        <v>1867</v>
      </c>
      <c r="B41" s="3124"/>
      <c r="C41" s="938" t="s">
        <v>156</v>
      </c>
      <c r="D41" s="1126">
        <f>'Ввод данных'!C120</f>
        <v>0</v>
      </c>
      <c r="E41" s="2388">
        <f>'Ввод данных'!D120</f>
        <v>0</v>
      </c>
      <c r="F41" s="938">
        <f t="shared" si="0"/>
        <v>0</v>
      </c>
      <c r="G41" s="936"/>
      <c r="H41" s="921"/>
      <c r="I41" s="936"/>
      <c r="J41" s="2381"/>
      <c r="K41" s="2381"/>
      <c r="L41" s="2381"/>
      <c r="M41" s="2381"/>
    </row>
    <row r="42" spans="1:13">
      <c r="A42" s="3124"/>
      <c r="B42" s="3124"/>
      <c r="C42" s="938" t="s">
        <v>156</v>
      </c>
      <c r="D42" s="1126">
        <f>'Ввод данных'!C121</f>
        <v>0</v>
      </c>
      <c r="E42" s="2388">
        <f>'Ввод данных'!D121</f>
        <v>0</v>
      </c>
      <c r="F42" s="938">
        <f t="shared" si="0"/>
        <v>0</v>
      </c>
      <c r="G42" s="936"/>
      <c r="H42" s="921"/>
      <c r="I42" s="936"/>
      <c r="J42" s="2381"/>
      <c r="K42" s="2381"/>
      <c r="L42" s="2381"/>
      <c r="M42" s="2381"/>
    </row>
    <row r="43" spans="1:13">
      <c r="A43" s="3124"/>
      <c r="B43" s="3124"/>
      <c r="C43" s="938" t="s">
        <v>156</v>
      </c>
      <c r="D43" s="1126">
        <f>'Ввод данных'!C122</f>
        <v>0</v>
      </c>
      <c r="E43" s="2388">
        <f>'Ввод данных'!D122</f>
        <v>0</v>
      </c>
      <c r="F43" s="938">
        <f t="shared" si="0"/>
        <v>0</v>
      </c>
      <c r="G43" s="936"/>
      <c r="H43" s="921"/>
      <c r="I43" s="921"/>
      <c r="J43" s="2381"/>
      <c r="K43" s="2381"/>
      <c r="L43" s="2381"/>
      <c r="M43" s="2381"/>
    </row>
    <row r="44" spans="1:13">
      <c r="A44" s="3124"/>
      <c r="B44" s="3124"/>
      <c r="C44" s="938" t="s">
        <v>156</v>
      </c>
      <c r="D44" s="1126">
        <f>'Ввод данных'!C123</f>
        <v>0</v>
      </c>
      <c r="E44" s="2388">
        <f>'Ввод данных'!D123</f>
        <v>0</v>
      </c>
      <c r="F44" s="938">
        <f t="shared" si="0"/>
        <v>0</v>
      </c>
      <c r="G44" s="936"/>
      <c r="H44" s="921"/>
      <c r="I44" s="936"/>
      <c r="J44" s="2381"/>
      <c r="K44" s="2381"/>
      <c r="L44" s="2381"/>
      <c r="M44" s="2381"/>
    </row>
    <row r="45" spans="1:13">
      <c r="A45" s="3124" t="s">
        <v>1869</v>
      </c>
      <c r="B45" s="3124"/>
      <c r="C45" s="938" t="s">
        <v>156</v>
      </c>
      <c r="D45" s="1126">
        <f>'Ввод данных'!C124</f>
        <v>3</v>
      </c>
      <c r="E45" s="2388">
        <f>'Ввод данных'!D124</f>
        <v>2</v>
      </c>
      <c r="F45" s="938">
        <f t="shared" si="0"/>
        <v>6</v>
      </c>
      <c r="G45" s="936"/>
      <c r="H45" s="921"/>
      <c r="I45" s="936"/>
      <c r="J45" s="2381"/>
      <c r="K45" s="2381"/>
      <c r="L45" s="2381"/>
      <c r="M45" s="2381"/>
    </row>
    <row r="46" spans="1:13">
      <c r="A46" s="3124"/>
      <c r="B46" s="3124"/>
      <c r="C46" s="938" t="s">
        <v>156</v>
      </c>
      <c r="D46" s="1126">
        <f>'Ввод данных'!C125</f>
        <v>0</v>
      </c>
      <c r="E46" s="2388">
        <f>'Ввод данных'!D125</f>
        <v>0</v>
      </c>
      <c r="F46" s="938">
        <f t="shared" si="0"/>
        <v>0</v>
      </c>
      <c r="G46" s="936"/>
      <c r="H46" s="505"/>
      <c r="I46" s="936"/>
      <c r="J46" s="2381"/>
      <c r="K46" s="2381"/>
      <c r="L46" s="2381"/>
      <c r="M46" s="2381"/>
    </row>
    <row r="47" spans="1:13">
      <c r="A47" s="3124"/>
      <c r="B47" s="3124"/>
      <c r="C47" s="938" t="s">
        <v>156</v>
      </c>
      <c r="D47" s="1126">
        <f>'Ввод данных'!C126</f>
        <v>0</v>
      </c>
      <c r="E47" s="2388">
        <f>'Ввод данных'!D126</f>
        <v>0</v>
      </c>
      <c r="F47" s="938">
        <f t="shared" si="0"/>
        <v>0</v>
      </c>
      <c r="G47" s="936"/>
      <c r="H47" s="505"/>
      <c r="I47" s="2151"/>
      <c r="J47" s="2381"/>
      <c r="K47" s="2381"/>
      <c r="L47" s="2381"/>
      <c r="M47" s="2381"/>
    </row>
    <row r="48" spans="1:13">
      <c r="A48" s="3124"/>
      <c r="B48" s="3124"/>
      <c r="C48" s="938" t="s">
        <v>156</v>
      </c>
      <c r="D48" s="1126">
        <f>'Ввод данных'!C127</f>
        <v>0</v>
      </c>
      <c r="E48" s="2388">
        <f>'Ввод данных'!D127</f>
        <v>0</v>
      </c>
      <c r="F48" s="938">
        <f t="shared" si="0"/>
        <v>0</v>
      </c>
      <c r="G48" s="936"/>
      <c r="H48" s="505"/>
      <c r="I48" s="936"/>
      <c r="J48" s="2381"/>
      <c r="K48" s="2381"/>
      <c r="L48" s="2381"/>
      <c r="M48" s="2381"/>
    </row>
    <row r="49" spans="1:13">
      <c r="A49" s="3124" t="s">
        <v>1870</v>
      </c>
      <c r="B49" s="3124"/>
      <c r="C49" s="938" t="s">
        <v>156</v>
      </c>
      <c r="D49" s="1126">
        <f>'Ввод данных'!C128</f>
        <v>3.5</v>
      </c>
      <c r="E49" s="2388">
        <f>'Ввод данных'!D128</f>
        <v>1</v>
      </c>
      <c r="F49" s="938">
        <f t="shared" si="0"/>
        <v>3.5</v>
      </c>
      <c r="G49" s="2389"/>
      <c r="H49" s="354"/>
      <c r="I49" s="936"/>
      <c r="J49" s="2381"/>
      <c r="K49" s="2381"/>
      <c r="L49" s="2381"/>
      <c r="M49" s="2381"/>
    </row>
    <row r="50" spans="1:13">
      <c r="A50" s="3124"/>
      <c r="B50" s="3124"/>
      <c r="C50" s="938" t="s">
        <v>156</v>
      </c>
      <c r="D50" s="1126">
        <f>'Ввод данных'!C129</f>
        <v>0</v>
      </c>
      <c r="E50" s="2388">
        <f>'Ввод данных'!D129</f>
        <v>0</v>
      </c>
      <c r="F50" s="938">
        <f t="shared" si="0"/>
        <v>0</v>
      </c>
      <c r="G50" s="2389"/>
      <c r="H50" s="354"/>
      <c r="I50" s="936"/>
      <c r="J50" s="2381"/>
      <c r="K50" s="2381"/>
      <c r="L50" s="2381"/>
      <c r="M50" s="2381"/>
    </row>
    <row r="51" spans="1:13">
      <c r="A51" s="3124"/>
      <c r="B51" s="3124"/>
      <c r="C51" s="938" t="s">
        <v>156</v>
      </c>
      <c r="D51" s="1126">
        <f>'Ввод данных'!C130</f>
        <v>0</v>
      </c>
      <c r="E51" s="2388">
        <f>'Ввод данных'!D130</f>
        <v>0</v>
      </c>
      <c r="F51" s="938">
        <f t="shared" si="0"/>
        <v>0</v>
      </c>
      <c r="G51" s="2389"/>
      <c r="H51" s="354"/>
      <c r="I51" s="936"/>
      <c r="J51" s="2381"/>
      <c r="K51" s="2381"/>
      <c r="L51" s="2381"/>
      <c r="M51" s="2381"/>
    </row>
    <row r="52" spans="1:13">
      <c r="A52" s="3124"/>
      <c r="B52" s="3124"/>
      <c r="C52" s="938" t="s">
        <v>156</v>
      </c>
      <c r="D52" s="1126">
        <f>'Ввод данных'!C131</f>
        <v>0</v>
      </c>
      <c r="E52" s="2388">
        <f>'Ввод данных'!D131</f>
        <v>0</v>
      </c>
      <c r="F52" s="938">
        <f t="shared" si="0"/>
        <v>0</v>
      </c>
      <c r="G52" s="936"/>
      <c r="H52" s="936"/>
      <c r="I52" s="936"/>
      <c r="J52" s="2381"/>
      <c r="K52" s="2381"/>
      <c r="L52" s="2381"/>
      <c r="M52" s="2381"/>
    </row>
    <row r="53" spans="1:13">
      <c r="A53" s="3124" t="s">
        <v>1872</v>
      </c>
      <c r="B53" s="3124"/>
      <c r="C53" s="938" t="s">
        <v>156</v>
      </c>
      <c r="D53" s="1126">
        <f>'Ввод данных'!C132</f>
        <v>0</v>
      </c>
      <c r="E53" s="2388">
        <f>'Ввод данных'!D132</f>
        <v>0</v>
      </c>
      <c r="F53" s="938">
        <f t="shared" si="0"/>
        <v>0</v>
      </c>
      <c r="G53" s="936"/>
      <c r="H53" s="505"/>
      <c r="I53" s="3208" t="s">
        <v>1906</v>
      </c>
      <c r="J53" s="2381"/>
      <c r="K53" s="2381"/>
      <c r="L53" s="2381"/>
      <c r="M53" s="2381"/>
    </row>
    <row r="54" spans="1:13">
      <c r="A54" s="3124"/>
      <c r="B54" s="3124"/>
      <c r="C54" s="938" t="s">
        <v>156</v>
      </c>
      <c r="D54" s="1126">
        <f>'Ввод данных'!C133</f>
        <v>0</v>
      </c>
      <c r="E54" s="2388">
        <f>'Ввод данных'!D133</f>
        <v>0</v>
      </c>
      <c r="F54" s="938">
        <f t="shared" si="0"/>
        <v>0</v>
      </c>
      <c r="G54" s="936"/>
      <c r="H54" s="505"/>
      <c r="I54" s="3208"/>
      <c r="J54" s="2381"/>
      <c r="K54" s="2381"/>
      <c r="L54" s="2381"/>
      <c r="M54" s="2381"/>
    </row>
    <row r="55" spans="1:13">
      <c r="A55" s="3124"/>
      <c r="B55" s="3124"/>
      <c r="C55" s="938" t="s">
        <v>156</v>
      </c>
      <c r="D55" s="1126">
        <f>'Ввод данных'!C134</f>
        <v>0</v>
      </c>
      <c r="E55" s="2388">
        <f>'Ввод данных'!D134</f>
        <v>0</v>
      </c>
      <c r="F55" s="938">
        <f t="shared" si="0"/>
        <v>0</v>
      </c>
      <c r="G55" s="936"/>
      <c r="H55" s="505"/>
      <c r="I55" s="3208"/>
      <c r="J55" s="2381"/>
      <c r="K55" s="2381"/>
      <c r="L55" s="2381"/>
      <c r="M55" s="2381"/>
    </row>
    <row r="56" spans="1:13">
      <c r="A56" s="3124"/>
      <c r="B56" s="3124"/>
      <c r="C56" s="938" t="s">
        <v>156</v>
      </c>
      <c r="D56" s="1126">
        <f>'Ввод данных'!C135</f>
        <v>0</v>
      </c>
      <c r="E56" s="2388">
        <f>'Ввод данных'!D135</f>
        <v>0</v>
      </c>
      <c r="F56" s="938">
        <f t="shared" si="0"/>
        <v>0</v>
      </c>
      <c r="G56" s="936"/>
      <c r="H56" s="472"/>
      <c r="I56" s="3208"/>
      <c r="J56" s="2381"/>
      <c r="K56" s="2381"/>
      <c r="L56" s="2381"/>
      <c r="M56" s="2381"/>
    </row>
    <row r="57" spans="1:13">
      <c r="A57" s="3124" t="s">
        <v>1875</v>
      </c>
      <c r="B57" s="3124"/>
      <c r="C57" s="938" t="s">
        <v>156</v>
      </c>
      <c r="D57" s="1126">
        <f>'Ввод данных'!C136</f>
        <v>4</v>
      </c>
      <c r="E57" s="2388">
        <f>'Ввод данных'!D136</f>
        <v>1</v>
      </c>
      <c r="F57" s="938">
        <f t="shared" si="0"/>
        <v>4</v>
      </c>
      <c r="G57" s="936"/>
      <c r="H57" s="472"/>
      <c r="I57" s="3208"/>
      <c r="J57" s="2381"/>
      <c r="K57" s="2381"/>
      <c r="L57" s="2381"/>
      <c r="M57" s="2381"/>
    </row>
    <row r="58" spans="1:13">
      <c r="A58" s="3124"/>
      <c r="B58" s="3124"/>
      <c r="C58" s="938" t="s">
        <v>156</v>
      </c>
      <c r="D58" s="1126">
        <f>'Ввод данных'!C137</f>
        <v>2</v>
      </c>
      <c r="E58" s="2388">
        <f>'Ввод данных'!D137</f>
        <v>1</v>
      </c>
      <c r="F58" s="938">
        <f t="shared" si="0"/>
        <v>2</v>
      </c>
      <c r="G58" s="936"/>
      <c r="H58" s="472"/>
      <c r="I58" s="3208"/>
      <c r="J58" s="2381"/>
      <c r="K58" s="2381"/>
      <c r="L58" s="2381"/>
      <c r="M58" s="2381"/>
    </row>
    <row r="59" spans="1:13">
      <c r="A59" s="3124"/>
      <c r="B59" s="3124"/>
      <c r="C59" s="938" t="s">
        <v>156</v>
      </c>
      <c r="D59" s="1126">
        <f>'Ввод данных'!C138</f>
        <v>3</v>
      </c>
      <c r="E59" s="2388">
        <f>'Ввод данных'!D138</f>
        <v>1</v>
      </c>
      <c r="F59" s="938">
        <f t="shared" si="0"/>
        <v>3</v>
      </c>
      <c r="G59" s="936"/>
      <c r="H59" s="472"/>
      <c r="I59" s="3208"/>
      <c r="J59" s="2381"/>
      <c r="K59" s="2381"/>
      <c r="L59" s="2381"/>
      <c r="M59" s="2381"/>
    </row>
    <row r="60" spans="1:13">
      <c r="A60" s="3124"/>
      <c r="B60" s="3124"/>
      <c r="C60" s="938" t="s">
        <v>156</v>
      </c>
      <c r="D60" s="1126">
        <f>'Ввод данных'!C139</f>
        <v>0</v>
      </c>
      <c r="E60" s="2388">
        <f>'Ввод данных'!D139</f>
        <v>0</v>
      </c>
      <c r="F60" s="938">
        <f t="shared" si="0"/>
        <v>0</v>
      </c>
      <c r="G60" s="936"/>
      <c r="H60" s="472"/>
      <c r="I60" s="3208"/>
      <c r="J60" s="2381"/>
      <c r="K60" s="2381"/>
      <c r="L60" s="2381"/>
      <c r="M60" s="2381"/>
    </row>
    <row r="61" spans="1:13">
      <c r="A61" s="3124" t="s">
        <v>1880</v>
      </c>
      <c r="B61" s="3124"/>
      <c r="C61" s="938" t="s">
        <v>156</v>
      </c>
      <c r="D61" s="1126">
        <f>'Ввод данных'!C140</f>
        <v>0</v>
      </c>
      <c r="E61" s="2388">
        <f>'Ввод данных'!D140</f>
        <v>0</v>
      </c>
      <c r="F61" s="938">
        <f t="shared" si="0"/>
        <v>0</v>
      </c>
      <c r="G61" s="936"/>
      <c r="H61" s="472"/>
      <c r="I61" s="936"/>
      <c r="J61" s="2381"/>
      <c r="K61" s="2381"/>
      <c r="L61" s="2381"/>
      <c r="M61" s="2381"/>
    </row>
    <row r="62" spans="1:13">
      <c r="A62" s="3124"/>
      <c r="B62" s="3124"/>
      <c r="C62" s="938" t="s">
        <v>156</v>
      </c>
      <c r="D62" s="1126">
        <f>'Ввод данных'!C141</f>
        <v>0</v>
      </c>
      <c r="E62" s="2388">
        <f>'Ввод данных'!D141</f>
        <v>0</v>
      </c>
      <c r="F62" s="938">
        <f t="shared" si="0"/>
        <v>0</v>
      </c>
      <c r="G62" s="936"/>
      <c r="H62" s="472"/>
      <c r="I62" s="936"/>
      <c r="J62" s="2381"/>
      <c r="K62" s="2381"/>
      <c r="L62" s="2381"/>
      <c r="M62" s="2381"/>
    </row>
    <row r="63" spans="1:13">
      <c r="A63" s="3124"/>
      <c r="B63" s="3124"/>
      <c r="C63" s="938" t="s">
        <v>156</v>
      </c>
      <c r="D63" s="1126">
        <f>'Ввод данных'!C142</f>
        <v>0</v>
      </c>
      <c r="E63" s="2388">
        <f>'Ввод данных'!D142</f>
        <v>0</v>
      </c>
      <c r="F63" s="938">
        <f t="shared" si="0"/>
        <v>0</v>
      </c>
      <c r="G63" s="936"/>
      <c r="H63" s="472"/>
      <c r="I63" s="936"/>
      <c r="J63" s="2381"/>
      <c r="K63" s="2381"/>
      <c r="L63" s="2381"/>
      <c r="M63" s="2381"/>
    </row>
    <row r="64" spans="1:13">
      <c r="A64" s="3124"/>
      <c r="B64" s="3124"/>
      <c r="C64" s="938" t="s">
        <v>156</v>
      </c>
      <c r="D64" s="1126">
        <f>'Ввод данных'!C143</f>
        <v>0</v>
      </c>
      <c r="E64" s="2388">
        <f>'Ввод данных'!D143</f>
        <v>0</v>
      </c>
      <c r="F64" s="938">
        <f t="shared" si="0"/>
        <v>0</v>
      </c>
      <c r="G64" s="936"/>
      <c r="H64" s="472"/>
      <c r="I64" s="2151"/>
      <c r="J64" s="2381"/>
      <c r="K64" s="2381"/>
      <c r="L64" s="2381"/>
      <c r="M64" s="2381"/>
    </row>
    <row r="65" spans="1:13">
      <c r="A65" s="3180" t="s">
        <v>3875</v>
      </c>
      <c r="B65" s="3180"/>
      <c r="C65" s="938" t="s">
        <v>133</v>
      </c>
      <c r="D65" s="939" t="e">
        <f>дома!#REF!</f>
        <v>#REF!</v>
      </c>
      <c r="E65" s="927"/>
      <c r="F65" s="2151"/>
      <c r="G65" s="936"/>
      <c r="H65" s="472"/>
      <c r="I65" s="936"/>
      <c r="J65" s="2381"/>
      <c r="K65" s="2381"/>
      <c r="L65" s="2381"/>
      <c r="M65" s="2381"/>
    </row>
    <row r="66" spans="1:13">
      <c r="A66" s="3180" t="s">
        <v>3876</v>
      </c>
      <c r="B66" s="3180"/>
      <c r="C66" s="938" t="s">
        <v>133</v>
      </c>
      <c r="D66" s="939" t="e">
        <f>дома!#REF!</f>
        <v>#REF!</v>
      </c>
      <c r="E66" s="927"/>
      <c r="F66" s="2151"/>
      <c r="G66" s="936"/>
      <c r="H66" s="472"/>
      <c r="I66" s="2151"/>
      <c r="J66" s="2381"/>
      <c r="K66" s="2381"/>
      <c r="L66" s="2381"/>
      <c r="M66" s="2381"/>
    </row>
    <row r="67" spans="1:13">
      <c r="A67" s="3180" t="s">
        <v>2908</v>
      </c>
      <c r="B67" s="3180"/>
      <c r="C67" s="938" t="s">
        <v>133</v>
      </c>
      <c r="D67" s="939" t="e">
        <f>дома!O75</f>
        <v>#REF!</v>
      </c>
      <c r="E67" s="927"/>
      <c r="F67" s="2151"/>
      <c r="G67" s="936"/>
      <c r="H67" s="472"/>
      <c r="I67" s="936"/>
      <c r="J67" s="2381"/>
      <c r="K67" s="2381"/>
      <c r="L67" s="2381"/>
      <c r="M67" s="2381"/>
    </row>
    <row r="68" spans="1:13">
      <c r="A68" s="3180" t="s">
        <v>2909</v>
      </c>
      <c r="B68" s="3180"/>
      <c r="C68" s="938" t="s">
        <v>133</v>
      </c>
      <c r="D68" s="939" t="e">
        <f>дома!O76</f>
        <v>#REF!</v>
      </c>
      <c r="E68" s="927"/>
      <c r="F68" s="2151"/>
      <c r="G68" s="936"/>
      <c r="H68" s="472"/>
      <c r="I68" s="936"/>
      <c r="J68" s="2381"/>
      <c r="K68" s="2381"/>
      <c r="L68" s="2381"/>
      <c r="M68" s="2381"/>
    </row>
    <row r="69" spans="1:13">
      <c r="A69" s="3180" t="s">
        <v>2910</v>
      </c>
      <c r="B69" s="3180"/>
      <c r="C69" s="938" t="s">
        <v>133</v>
      </c>
      <c r="D69" s="939" t="e">
        <f>дома!O77</f>
        <v>#REF!</v>
      </c>
      <c r="E69" s="927"/>
      <c r="F69" s="2151"/>
      <c r="G69" s="936"/>
      <c r="H69" s="472"/>
      <c r="I69" s="936"/>
      <c r="J69" s="2381"/>
      <c r="K69" s="2381"/>
      <c r="L69" s="2381"/>
      <c r="M69" s="2381"/>
    </row>
    <row r="70" spans="1:13">
      <c r="A70" s="3180" t="s">
        <v>3877</v>
      </c>
      <c r="B70" s="3180"/>
      <c r="C70" s="486" t="s">
        <v>133</v>
      </c>
      <c r="D70" s="939" t="e">
        <f>дома!#REF!</f>
        <v>#REF!</v>
      </c>
      <c r="E70" s="366"/>
      <c r="F70" s="452"/>
      <c r="G70" s="354"/>
      <c r="H70" s="472"/>
      <c r="I70" s="354"/>
      <c r="J70" s="2381"/>
      <c r="K70" s="2381"/>
      <c r="L70" s="2381"/>
      <c r="M70" s="2381"/>
    </row>
    <row r="71" spans="1:13">
      <c r="A71" s="3181" t="s">
        <v>2635</v>
      </c>
      <c r="B71" s="3181"/>
      <c r="C71" s="3181"/>
      <c r="D71" s="3181"/>
      <c r="E71" s="3181"/>
      <c r="F71" s="1126">
        <f>дома!J12</f>
        <v>1</v>
      </c>
      <c r="G71" s="927" t="s">
        <v>3568</v>
      </c>
      <c r="H71" s="472"/>
      <c r="I71" s="354"/>
      <c r="J71" s="2381"/>
      <c r="K71" s="2381"/>
      <c r="L71" s="2381"/>
      <c r="M71" s="2381"/>
    </row>
    <row r="72" spans="1:13">
      <c r="A72" s="3139" t="s">
        <v>2572</v>
      </c>
      <c r="B72" s="3139"/>
      <c r="C72" s="2154" t="s">
        <v>156</v>
      </c>
      <c r="D72" s="2390">
        <f>дома!C1113</f>
        <v>56</v>
      </c>
      <c r="E72" s="927"/>
      <c r="F72" s="927"/>
      <c r="G72" s="1276"/>
      <c r="H72" s="472"/>
      <c r="I72" s="354"/>
      <c r="J72" s="2381"/>
      <c r="K72" s="2381"/>
      <c r="L72" s="2381"/>
      <c r="M72" s="2381"/>
    </row>
    <row r="73" spans="1:13">
      <c r="A73" s="3139" t="s">
        <v>3427</v>
      </c>
      <c r="B73" s="3139"/>
      <c r="C73" s="965" t="s">
        <v>133</v>
      </c>
      <c r="D73" s="2390">
        <f>дома!C1114</f>
        <v>100</v>
      </c>
      <c r="E73" s="927"/>
      <c r="F73" s="927"/>
      <c r="G73" s="1276"/>
      <c r="H73" s="472"/>
      <c r="I73" s="354"/>
      <c r="J73" s="2381"/>
      <c r="K73" s="2381"/>
      <c r="L73" s="2381"/>
      <c r="M73" s="2381"/>
    </row>
    <row r="74" spans="1:13">
      <c r="A74" s="2151"/>
      <c r="B74" s="2151"/>
      <c r="C74" s="452"/>
      <c r="D74" s="366"/>
      <c r="E74" s="366"/>
      <c r="F74" s="452"/>
      <c r="G74" s="354"/>
      <c r="H74" s="472"/>
      <c r="I74" s="354"/>
      <c r="J74" s="2381"/>
      <c r="K74" s="2381"/>
      <c r="L74" s="2381"/>
      <c r="M74" s="2381"/>
    </row>
    <row r="75" spans="1:13">
      <c r="A75" s="3147" t="s">
        <v>1925</v>
      </c>
      <c r="B75" s="3147"/>
      <c r="C75" s="3147"/>
      <c r="D75" s="3147"/>
      <c r="E75" s="3147"/>
      <c r="F75" s="3147"/>
      <c r="G75" s="975" t="str">
        <f>'Ввод данных'!F237</f>
        <v>Не считать</v>
      </c>
      <c r="H75" s="354" t="s">
        <v>3823</v>
      </c>
      <c r="I75" s="354"/>
      <c r="J75" s="2381"/>
      <c r="K75" s="2381"/>
      <c r="L75" s="2381"/>
      <c r="M75" s="2381"/>
    </row>
    <row r="76" spans="1:13" ht="16">
      <c r="A76" s="3128" t="s">
        <v>2705</v>
      </c>
      <c r="B76" s="3128"/>
      <c r="C76" s="3128"/>
      <c r="D76" s="2160" t="s">
        <v>156</v>
      </c>
      <c r="E76" s="2160">
        <f>E79*4+E78*2</f>
        <v>47.724357521861535</v>
      </c>
      <c r="F76" s="2391"/>
      <c r="G76" s="354"/>
      <c r="H76" s="505"/>
      <c r="I76" s="354"/>
      <c r="J76" s="2381"/>
      <c r="K76" s="2381"/>
      <c r="L76" s="2381"/>
      <c r="M76" s="2381"/>
    </row>
    <row r="77" spans="1:13">
      <c r="A77" s="3120" t="s">
        <v>3441</v>
      </c>
      <c r="B77" s="3120"/>
      <c r="C77" s="3120"/>
      <c r="D77" s="3120"/>
      <c r="E77" s="1291">
        <f>E8</f>
        <v>4.8</v>
      </c>
      <c r="F77" s="354"/>
      <c r="G77" s="354"/>
      <c r="H77" s="505"/>
      <c r="I77" s="354"/>
      <c r="J77" s="2381"/>
      <c r="K77" s="2381"/>
      <c r="L77" s="2381"/>
      <c r="M77" s="2381"/>
    </row>
    <row r="78" spans="1:13" ht="16">
      <c r="A78" s="3081" t="s">
        <v>2743</v>
      </c>
      <c r="B78" s="3081"/>
      <c r="C78" s="3081"/>
      <c r="D78" s="263" t="s">
        <v>156</v>
      </c>
      <c r="E78" s="263">
        <f>E4</f>
        <v>10</v>
      </c>
      <c r="F78" s="480"/>
      <c r="G78" s="354"/>
      <c r="H78" s="505"/>
      <c r="I78" s="354"/>
      <c r="J78" s="2381"/>
      <c r="K78" s="2381"/>
      <c r="L78" s="2381"/>
      <c r="M78" s="2381"/>
    </row>
    <row r="79" spans="1:13" ht="16">
      <c r="A79" s="3081" t="s">
        <v>2600</v>
      </c>
      <c r="B79" s="3081"/>
      <c r="C79" s="3081"/>
      <c r="D79" s="263" t="s">
        <v>156</v>
      </c>
      <c r="E79" s="263">
        <f>SQRT((E3/2)*(E3/2)+E8*E8)</f>
        <v>6.9310893804653828</v>
      </c>
      <c r="F79" s="480"/>
      <c r="G79" s="354"/>
      <c r="H79" s="505"/>
      <c r="I79" s="354"/>
      <c r="J79" s="2381"/>
      <c r="K79" s="2381"/>
      <c r="L79" s="2381"/>
      <c r="M79" s="2381"/>
    </row>
    <row r="80" spans="1:13" ht="16">
      <c r="A80" s="3081" t="s">
        <v>1927</v>
      </c>
      <c r="B80" s="3081"/>
      <c r="C80" s="3081"/>
      <c r="D80" s="263" t="s">
        <v>156</v>
      </c>
      <c r="E80" s="2392">
        <f>'Ввод данных'!C206</f>
        <v>0.5</v>
      </c>
      <c r="F80" s="2161"/>
      <c r="G80" s="354"/>
      <c r="H80" s="505"/>
      <c r="I80" s="354"/>
      <c r="J80" s="2381"/>
      <c r="K80" s="2381"/>
      <c r="L80" s="2381"/>
      <c r="M80" s="2381"/>
    </row>
    <row r="81" spans="1:13" ht="16">
      <c r="A81" s="3081" t="s">
        <v>1896</v>
      </c>
      <c r="B81" s="3081"/>
      <c r="C81" s="3081"/>
      <c r="D81" s="263" t="s">
        <v>156</v>
      </c>
      <c r="E81" s="2392">
        <f>'Ввод данных'!C208</f>
        <v>0.8</v>
      </c>
      <c r="F81" s="2161"/>
      <c r="G81" s="354"/>
      <c r="H81" s="505"/>
      <c r="I81" s="354"/>
      <c r="J81" s="2381"/>
      <c r="K81" s="2381"/>
      <c r="L81" s="2381"/>
      <c r="M81" s="2381"/>
    </row>
    <row r="82" spans="1:13">
      <c r="A82" s="3119" t="s">
        <v>2765</v>
      </c>
      <c r="B82" s="3119"/>
      <c r="C82" s="3119"/>
      <c r="D82" s="486" t="s">
        <v>156</v>
      </c>
      <c r="E82" s="1291">
        <f>E79+E81</f>
        <v>7.7310893804653826</v>
      </c>
      <c r="F82" s="354"/>
      <c r="G82" s="354"/>
      <c r="H82" s="505"/>
      <c r="I82" s="354"/>
      <c r="J82" s="2381"/>
      <c r="K82" s="2381"/>
      <c r="L82" s="2381"/>
      <c r="M82" s="2381"/>
    </row>
    <row r="83" spans="1:13">
      <c r="A83" s="3119" t="s">
        <v>2768</v>
      </c>
      <c r="B83" s="3119"/>
      <c r="C83" s="3119"/>
      <c r="D83" s="486" t="s">
        <v>156</v>
      </c>
      <c r="E83" s="1291">
        <f>E78+E80+E80</f>
        <v>11</v>
      </c>
      <c r="F83" s="354"/>
      <c r="G83" s="354"/>
      <c r="H83" s="505"/>
      <c r="I83" s="354"/>
      <c r="J83" s="2381"/>
      <c r="K83" s="2381"/>
      <c r="L83" s="2381"/>
      <c r="M83" s="2381"/>
    </row>
    <row r="84" spans="1:13" ht="16">
      <c r="A84" s="3081" t="s">
        <v>2773</v>
      </c>
      <c r="B84" s="3081"/>
      <c r="C84" s="3081"/>
      <c r="D84" s="263" t="s">
        <v>133</v>
      </c>
      <c r="E84" s="263">
        <f>E79*E78*2</f>
        <v>138.62178760930766</v>
      </c>
      <c r="F84" s="2161"/>
      <c r="G84" s="354"/>
      <c r="H84" s="505"/>
      <c r="I84" s="354"/>
      <c r="J84" s="2381"/>
      <c r="K84" s="2381"/>
      <c r="L84" s="2381"/>
      <c r="M84" s="2381"/>
    </row>
    <row r="85" spans="1:13" ht="16">
      <c r="A85" s="3081" t="s">
        <v>2766</v>
      </c>
      <c r="B85" s="3081"/>
      <c r="C85" s="3081"/>
      <c r="D85" s="263" t="s">
        <v>133</v>
      </c>
      <c r="E85" s="263">
        <f>(E79*E80)*4+(E78+E80+E80)*E81*2</f>
        <v>31.462178760930769</v>
      </c>
      <c r="F85" s="618"/>
      <c r="G85" s="354"/>
      <c r="H85" s="505"/>
      <c r="I85" s="354"/>
      <c r="J85" s="2381"/>
      <c r="K85" s="2381"/>
      <c r="L85" s="2381"/>
      <c r="M85" s="2381"/>
    </row>
    <row r="86" spans="1:13" ht="16">
      <c r="A86" s="3081" t="s">
        <v>2781</v>
      </c>
      <c r="B86" s="3081"/>
      <c r="C86" s="3081"/>
      <c r="D86" s="263" t="s">
        <v>133</v>
      </c>
      <c r="E86" s="263">
        <f>E84+E85</f>
        <v>170.08396637023844</v>
      </c>
      <c r="F86" s="618"/>
      <c r="G86" s="354"/>
      <c r="H86" s="505"/>
      <c r="I86" s="354"/>
      <c r="J86" s="2381"/>
      <c r="K86" s="2381"/>
      <c r="L86" s="2381"/>
      <c r="M86" s="2381"/>
    </row>
    <row r="87" spans="1:13">
      <c r="A87" s="3119" t="s">
        <v>2628</v>
      </c>
      <c r="B87" s="3119"/>
      <c r="C87" s="3119"/>
      <c r="D87" s="486" t="s">
        <v>1820</v>
      </c>
      <c r="E87" s="486"/>
      <c r="F87" s="2393"/>
      <c r="G87" s="354"/>
      <c r="H87" s="505"/>
      <c r="I87" s="354"/>
      <c r="J87" s="2381"/>
      <c r="K87" s="2381"/>
      <c r="L87" s="2381"/>
      <c r="M87" s="2381"/>
    </row>
    <row r="88" spans="1:13" ht="16">
      <c r="A88" s="3080" t="s">
        <v>3518</v>
      </c>
      <c r="B88" s="3080"/>
      <c r="C88" s="3080"/>
      <c r="D88" s="263" t="s">
        <v>156</v>
      </c>
      <c r="E88" s="263">
        <v>0.15</v>
      </c>
      <c r="F88" s="2393"/>
      <c r="G88" s="354"/>
      <c r="H88" s="505"/>
      <c r="I88" s="354"/>
      <c r="J88" s="2381"/>
      <c r="K88" s="2381"/>
      <c r="L88" s="2381"/>
      <c r="M88" s="2381"/>
    </row>
    <row r="89" spans="1:13" ht="16">
      <c r="A89" s="3080"/>
      <c r="B89" s="3080"/>
      <c r="C89" s="3080"/>
      <c r="D89" s="263" t="s">
        <v>156</v>
      </c>
      <c r="E89" s="263">
        <v>0.2</v>
      </c>
      <c r="F89" s="2393"/>
      <c r="G89" s="354"/>
      <c r="H89" s="505"/>
      <c r="I89" s="354"/>
      <c r="J89" s="2381"/>
      <c r="K89" s="2381"/>
      <c r="L89" s="2381"/>
      <c r="M89" s="2381"/>
    </row>
    <row r="90" spans="1:13" ht="16">
      <c r="A90" s="3080" t="s">
        <v>2632</v>
      </c>
      <c r="B90" s="3080"/>
      <c r="C90" s="3080"/>
      <c r="D90" s="263" t="s">
        <v>156</v>
      </c>
      <c r="E90" s="263">
        <v>0.15</v>
      </c>
      <c r="F90" s="2393"/>
      <c r="G90" s="424"/>
      <c r="H90" s="505"/>
      <c r="I90" s="424"/>
      <c r="J90" s="2381"/>
      <c r="K90" s="2381"/>
      <c r="L90" s="2381"/>
      <c r="M90" s="2381"/>
    </row>
    <row r="91" spans="1:13" ht="16">
      <c r="A91" s="3080"/>
      <c r="B91" s="3080"/>
      <c r="C91" s="3080"/>
      <c r="D91" s="263" t="s">
        <v>156</v>
      </c>
      <c r="E91" s="263">
        <v>0.2</v>
      </c>
      <c r="F91" s="2393"/>
      <c r="G91" s="424"/>
      <c r="H91" s="505"/>
      <c r="I91" s="424"/>
      <c r="J91" s="2381"/>
      <c r="K91" s="2381"/>
      <c r="L91" s="2381"/>
      <c r="M91" s="2381"/>
    </row>
    <row r="92" spans="1:13">
      <c r="A92" s="424"/>
      <c r="B92" s="424"/>
      <c r="C92" s="424"/>
      <c r="D92" s="424"/>
      <c r="E92" s="424"/>
      <c r="F92" s="424"/>
      <c r="G92" s="424"/>
      <c r="H92" s="505"/>
      <c r="I92" s="424"/>
      <c r="J92" s="2381"/>
      <c r="K92" s="2381"/>
      <c r="L92" s="2381"/>
      <c r="M92" s="2381"/>
    </row>
    <row r="93" spans="1:13">
      <c r="A93" s="3147" t="s">
        <v>1942</v>
      </c>
      <c r="B93" s="3147"/>
      <c r="C93" s="3147"/>
      <c r="D93" s="3147"/>
      <c r="E93" s="3147"/>
      <c r="F93" s="3147"/>
      <c r="G93" s="975" t="str">
        <f>'Ввод данных'!F273</f>
        <v>Не считать</v>
      </c>
      <c r="H93" s="354" t="s">
        <v>3878</v>
      </c>
      <c r="I93" s="424"/>
      <c r="J93" s="2381"/>
      <c r="K93" s="2381"/>
      <c r="L93" s="2381"/>
      <c r="M93" s="2381"/>
    </row>
    <row r="94" spans="1:13" ht="24">
      <c r="A94" s="3128" t="s">
        <v>2705</v>
      </c>
      <c r="B94" s="3128"/>
      <c r="C94" s="3128"/>
      <c r="D94" s="1238" t="s">
        <v>156</v>
      </c>
      <c r="E94" s="2166">
        <f>E3+E4+E3+E4</f>
        <v>40</v>
      </c>
      <c r="F94" s="2167"/>
      <c r="G94" s="2168"/>
      <c r="H94" s="505"/>
      <c r="I94" s="424"/>
      <c r="J94" s="2381"/>
      <c r="K94" s="2381"/>
      <c r="L94" s="2381"/>
      <c r="M94" s="2381"/>
    </row>
    <row r="95" spans="1:13">
      <c r="A95" s="3119" t="s">
        <v>2739</v>
      </c>
      <c r="B95" s="3119"/>
      <c r="C95" s="3119"/>
      <c r="D95" s="699" t="s">
        <v>156</v>
      </c>
      <c r="E95" s="2169">
        <f>E4</f>
        <v>10</v>
      </c>
      <c r="F95" s="424"/>
      <c r="G95" s="424"/>
      <c r="H95" s="460"/>
      <c r="I95" s="424"/>
      <c r="J95" s="2381"/>
      <c r="K95" s="2381"/>
      <c r="L95" s="2381"/>
      <c r="M95" s="2381"/>
    </row>
    <row r="96" spans="1:13">
      <c r="A96" s="3119" t="s">
        <v>2744</v>
      </c>
      <c r="B96" s="3119"/>
      <c r="C96" s="3119"/>
      <c r="D96" s="699" t="s">
        <v>156</v>
      </c>
      <c r="E96" s="2169">
        <f>E3</f>
        <v>10</v>
      </c>
      <c r="F96" s="425"/>
      <c r="G96" s="425"/>
      <c r="H96" s="460"/>
      <c r="I96" s="424"/>
      <c r="J96" s="2381"/>
      <c r="K96" s="2381"/>
      <c r="L96" s="2381"/>
      <c r="M96" s="2381"/>
    </row>
    <row r="97" spans="1:13">
      <c r="A97" s="3120" t="s">
        <v>3441</v>
      </c>
      <c r="B97" s="3120"/>
      <c r="C97" s="3120"/>
      <c r="D97" s="3120"/>
      <c r="E97" s="2171">
        <f>E8</f>
        <v>4.8</v>
      </c>
      <c r="F97" s="425"/>
      <c r="G97" s="425"/>
      <c r="H97" s="460"/>
      <c r="I97" s="424"/>
      <c r="J97" s="2381"/>
      <c r="K97" s="2381"/>
      <c r="L97" s="2381"/>
      <c r="M97" s="2381"/>
    </row>
    <row r="98" spans="1:13" ht="16">
      <c r="A98" s="3081" t="s">
        <v>1943</v>
      </c>
      <c r="B98" s="3081"/>
      <c r="C98" s="3081"/>
      <c r="D98" s="261" t="s">
        <v>156</v>
      </c>
      <c r="E98" s="2394">
        <f>'Ввод данных'!C248</f>
        <v>5</v>
      </c>
      <c r="F98" s="2053"/>
      <c r="G98" s="2053"/>
      <c r="H98" s="460"/>
      <c r="I98" s="424"/>
      <c r="J98" s="2381"/>
      <c r="K98" s="2381"/>
      <c r="L98" s="2381"/>
      <c r="M98" s="2381"/>
    </row>
    <row r="99" spans="1:13" ht="16">
      <c r="A99" s="3081" t="s">
        <v>2752</v>
      </c>
      <c r="B99" s="3081"/>
      <c r="C99" s="3081"/>
      <c r="D99" s="261" t="s">
        <v>156</v>
      </c>
      <c r="E99" s="2172">
        <f>G99</f>
        <v>7.3</v>
      </c>
      <c r="F99" s="2053" t="s">
        <v>1946</v>
      </c>
      <c r="G99" s="2053">
        <f>SQRT(E97*E97+((E96/2)+E101)*((E96/2)+E101))</f>
        <v>7.3</v>
      </c>
      <c r="H99" s="460"/>
      <c r="I99" s="424"/>
      <c r="J99" s="2381"/>
      <c r="K99" s="2381"/>
      <c r="L99" s="2381"/>
      <c r="M99" s="2381"/>
    </row>
    <row r="100" spans="1:13" ht="16">
      <c r="A100" s="3081" t="s">
        <v>2755</v>
      </c>
      <c r="B100" s="3081"/>
      <c r="C100" s="3081"/>
      <c r="D100" s="261" t="s">
        <v>156</v>
      </c>
      <c r="E100" s="2172">
        <f>G100</f>
        <v>5.4120236510939232</v>
      </c>
      <c r="F100" s="2173" t="s">
        <v>1947</v>
      </c>
      <c r="G100" s="2174">
        <f>SQRT(E97*E97+((E95-E98)/2)*((E95-E98)/2))</f>
        <v>5.4120236510939232</v>
      </c>
      <c r="H100" s="460"/>
      <c r="I100" s="424"/>
      <c r="J100" s="2381"/>
      <c r="K100" s="2381"/>
      <c r="L100" s="2381"/>
      <c r="M100" s="2381"/>
    </row>
    <row r="101" spans="1:13" ht="16">
      <c r="A101" s="3081" t="s">
        <v>1927</v>
      </c>
      <c r="B101" s="3081"/>
      <c r="C101" s="3081"/>
      <c r="D101" s="261" t="s">
        <v>156</v>
      </c>
      <c r="E101" s="2394">
        <f>'Ввод данных'!C249</f>
        <v>0.5</v>
      </c>
      <c r="F101" s="2173"/>
      <c r="G101" s="2174"/>
      <c r="H101" s="460"/>
      <c r="I101" s="424"/>
      <c r="J101" s="2381"/>
      <c r="K101" s="2381"/>
      <c r="L101" s="2381"/>
      <c r="M101" s="2381"/>
    </row>
    <row r="102" spans="1:13" ht="16">
      <c r="A102" s="3081" t="s">
        <v>1896</v>
      </c>
      <c r="B102" s="3081"/>
      <c r="C102" s="3081"/>
      <c r="D102" s="261" t="s">
        <v>156</v>
      </c>
      <c r="E102" s="2394">
        <f>'Ввод данных'!C250</f>
        <v>0.5</v>
      </c>
      <c r="F102" s="2173"/>
      <c r="G102" s="2174"/>
      <c r="H102" s="460"/>
      <c r="I102" s="424"/>
      <c r="J102" s="2381"/>
      <c r="K102" s="2381"/>
      <c r="L102" s="2381"/>
      <c r="M102" s="2381"/>
    </row>
    <row r="103" spans="1:13">
      <c r="A103" s="3119" t="s">
        <v>2757</v>
      </c>
      <c r="B103" s="3119"/>
      <c r="C103" s="3119"/>
      <c r="D103" s="699" t="s">
        <v>156</v>
      </c>
      <c r="E103" s="2169">
        <f>G103</f>
        <v>7.7162166895441704</v>
      </c>
      <c r="F103" s="425" t="s">
        <v>1928</v>
      </c>
      <c r="G103" s="425">
        <f>SQRT(G100*G100+((E96/2)+E101)*((E96/2)+E101))</f>
        <v>7.7162166895441704</v>
      </c>
      <c r="H103" s="460"/>
      <c r="I103" s="424"/>
      <c r="J103" s="2381"/>
      <c r="K103" s="2381"/>
      <c r="L103" s="2381"/>
      <c r="M103" s="2381"/>
    </row>
    <row r="104" spans="1:13" ht="16">
      <c r="A104" s="3081" t="s">
        <v>2766</v>
      </c>
      <c r="B104" s="3081"/>
      <c r="C104" s="3081"/>
      <c r="D104" s="261" t="s">
        <v>133</v>
      </c>
      <c r="E104" s="2172">
        <f>(E96+E101+E101)*E102*2+E95*2*E101</f>
        <v>21</v>
      </c>
      <c r="F104" s="2175"/>
      <c r="G104" s="2174"/>
      <c r="H104" s="460"/>
      <c r="I104" s="354"/>
      <c r="J104" s="2381"/>
      <c r="K104" s="2381"/>
      <c r="L104" s="2381"/>
      <c r="M104" s="2381"/>
    </row>
    <row r="105" spans="1:13" ht="16">
      <c r="A105" s="3081" t="s">
        <v>2769</v>
      </c>
      <c r="B105" s="3081"/>
      <c r="C105" s="3081"/>
      <c r="D105" s="699" t="s">
        <v>133</v>
      </c>
      <c r="E105" s="2169">
        <f>((E96/2)+E101)*E100*2+((E95+E102+E102-E98)/2)*((E95+E102+E102-E98)/2)*4+E98*E99*2</f>
        <v>168.53226016203314</v>
      </c>
      <c r="F105" s="424"/>
      <c r="G105" s="424"/>
      <c r="H105" s="460"/>
      <c r="I105" s="354"/>
      <c r="J105" s="2381"/>
      <c r="K105" s="2381"/>
      <c r="L105" s="2381"/>
      <c r="M105" s="2381"/>
    </row>
    <row r="106" spans="1:13" ht="16">
      <c r="A106" s="3081" t="s">
        <v>4036</v>
      </c>
      <c r="B106" s="3081"/>
      <c r="C106" s="3081"/>
      <c r="D106" s="261" t="s">
        <v>133</v>
      </c>
      <c r="E106" s="2172">
        <f>E105*1.5</f>
        <v>252.79839024304971</v>
      </c>
      <c r="F106" s="2395"/>
      <c r="G106" s="2174"/>
      <c r="H106" s="460"/>
      <c r="I106" s="354"/>
      <c r="J106" s="2381"/>
      <c r="K106" s="2381"/>
      <c r="L106" s="2381"/>
      <c r="M106" s="2381"/>
    </row>
    <row r="107" spans="1:13">
      <c r="A107" s="3119" t="s">
        <v>2628</v>
      </c>
      <c r="B107" s="3119"/>
      <c r="C107" s="3119"/>
      <c r="D107" s="704" t="s">
        <v>1820</v>
      </c>
      <c r="E107" s="2171"/>
      <c r="F107" s="2395"/>
      <c r="G107" s="2174"/>
      <c r="H107" s="460"/>
      <c r="I107" s="354"/>
      <c r="J107" s="2381"/>
      <c r="K107" s="2381"/>
      <c r="L107" s="2381"/>
      <c r="M107" s="2381"/>
    </row>
    <row r="108" spans="1:13" ht="16">
      <c r="A108" s="3080" t="s">
        <v>3518</v>
      </c>
      <c r="B108" s="3080"/>
      <c r="C108" s="3080"/>
      <c r="D108" s="263" t="s">
        <v>156</v>
      </c>
      <c r="E108" s="1057">
        <v>0.15</v>
      </c>
      <c r="F108" s="2395"/>
      <c r="G108" s="2174"/>
      <c r="H108" s="460"/>
      <c r="I108" s="354"/>
      <c r="J108" s="2381"/>
      <c r="K108" s="2381"/>
      <c r="L108" s="2381"/>
      <c r="M108" s="2381"/>
    </row>
    <row r="109" spans="1:13" ht="16">
      <c r="A109" s="3080"/>
      <c r="B109" s="3080"/>
      <c r="C109" s="3080"/>
      <c r="D109" s="263" t="s">
        <v>156</v>
      </c>
      <c r="E109" s="1057">
        <v>0.2</v>
      </c>
      <c r="F109" s="2395"/>
      <c r="G109" s="2174"/>
      <c r="H109" s="460"/>
      <c r="I109" s="354"/>
      <c r="J109" s="2381"/>
      <c r="K109" s="2381"/>
      <c r="L109" s="2381"/>
      <c r="M109" s="2381"/>
    </row>
    <row r="110" spans="1:13" ht="16">
      <c r="A110" s="3080" t="s">
        <v>2632</v>
      </c>
      <c r="B110" s="3080"/>
      <c r="C110" s="3080"/>
      <c r="D110" s="263" t="s">
        <v>156</v>
      </c>
      <c r="E110" s="1057">
        <v>0.15</v>
      </c>
      <c r="F110" s="2395"/>
      <c r="G110" s="2174"/>
      <c r="H110" s="505"/>
      <c r="I110" s="354"/>
      <c r="J110" s="2381"/>
      <c r="K110" s="2381"/>
      <c r="L110" s="2381"/>
      <c r="M110" s="2381"/>
    </row>
    <row r="111" spans="1:13" ht="16">
      <c r="A111" s="3080"/>
      <c r="B111" s="3080"/>
      <c r="C111" s="3080"/>
      <c r="D111" s="263" t="s">
        <v>156</v>
      </c>
      <c r="E111" s="1057">
        <v>0.2</v>
      </c>
      <c r="F111" s="2395"/>
      <c r="G111" s="2174"/>
      <c r="H111" s="505"/>
      <c r="I111" s="354"/>
      <c r="J111" s="2381"/>
      <c r="K111" s="2381"/>
      <c r="L111" s="2381"/>
      <c r="M111" s="2381"/>
    </row>
    <row r="112" spans="1:13" ht="16">
      <c r="A112" s="492"/>
      <c r="B112" s="492"/>
      <c r="C112" s="941"/>
      <c r="D112" s="2176"/>
      <c r="E112" s="2176"/>
      <c r="F112" s="452"/>
      <c r="G112" s="354"/>
      <c r="H112" s="460"/>
      <c r="I112" s="354"/>
      <c r="J112" s="2381"/>
      <c r="K112" s="2381"/>
      <c r="L112" s="2381"/>
      <c r="M112" s="2381"/>
    </row>
    <row r="113" spans="1:13">
      <c r="A113" s="3147" t="s">
        <v>1965</v>
      </c>
      <c r="B113" s="3147"/>
      <c r="C113" s="3147"/>
      <c r="D113" s="3147"/>
      <c r="E113" s="3147"/>
      <c r="F113" s="3147"/>
      <c r="G113" s="975" t="str">
        <f>'Ввод данных'!F353</f>
        <v>Не считать</v>
      </c>
      <c r="H113" s="354" t="s">
        <v>3879</v>
      </c>
      <c r="I113" s="354"/>
      <c r="J113" s="2381"/>
      <c r="K113" s="2381"/>
      <c r="L113" s="2381"/>
      <c r="M113" s="2381"/>
    </row>
    <row r="114" spans="1:13">
      <c r="A114" s="3147" t="s">
        <v>1236</v>
      </c>
      <c r="B114" s="3147"/>
      <c r="C114" s="3147"/>
      <c r="D114" s="1208" t="s">
        <v>120</v>
      </c>
      <c r="E114" s="1208" t="s">
        <v>1802</v>
      </c>
      <c r="F114" s="2396"/>
      <c r="G114" s="366"/>
      <c r="H114" s="354"/>
      <c r="I114" s="354"/>
      <c r="J114" s="2381"/>
      <c r="K114" s="2381"/>
      <c r="L114" s="2381"/>
      <c r="M114" s="2381"/>
    </row>
    <row r="115" spans="1:13">
      <c r="A115" s="3119" t="s">
        <v>2902</v>
      </c>
      <c r="B115" s="3119"/>
      <c r="C115" s="3119"/>
      <c r="D115" s="725" t="s">
        <v>159</v>
      </c>
      <c r="E115" s="486">
        <v>1</v>
      </c>
      <c r="F115" s="975" t="e">
        <f>'Ввод данных'!#REF!</f>
        <v>#REF!</v>
      </c>
      <c r="G115" s="354"/>
      <c r="H115" s="354"/>
      <c r="I115" s="354"/>
      <c r="J115" s="2381"/>
      <c r="K115" s="2381"/>
      <c r="L115" s="2381"/>
      <c r="M115" s="2381"/>
    </row>
    <row r="116" spans="1:13" ht="24">
      <c r="A116" s="3182" t="s">
        <v>2903</v>
      </c>
      <c r="B116" s="3182"/>
      <c r="C116" s="3182"/>
      <c r="D116" s="1238" t="s">
        <v>159</v>
      </c>
      <c r="E116" s="2177">
        <v>1</v>
      </c>
      <c r="F116" s="975" t="e">
        <f>'Ввод данных'!#REF!</f>
        <v>#REF!</v>
      </c>
      <c r="G116" s="2168"/>
      <c r="H116" s="505"/>
      <c r="I116" s="354"/>
      <c r="J116" s="2381"/>
      <c r="K116" s="2381"/>
      <c r="L116" s="2381"/>
      <c r="M116" s="2381"/>
    </row>
    <row r="117" spans="1:13">
      <c r="A117" s="3119" t="s">
        <v>1978</v>
      </c>
      <c r="B117" s="3119"/>
      <c r="C117" s="3119"/>
      <c r="D117" s="699" t="s">
        <v>156</v>
      </c>
      <c r="E117" s="2397">
        <f>'Ввод данных'!C331</f>
        <v>1</v>
      </c>
      <c r="F117" s="424"/>
      <c r="G117" s="424"/>
      <c r="H117" s="460"/>
      <c r="I117" s="354"/>
      <c r="J117" s="2381"/>
      <c r="K117" s="2381"/>
      <c r="L117" s="2381"/>
      <c r="M117" s="2381"/>
    </row>
    <row r="118" spans="1:13">
      <c r="A118" s="3119" t="s">
        <v>1979</v>
      </c>
      <c r="B118" s="3119"/>
      <c r="C118" s="3119"/>
      <c r="D118" s="699" t="s">
        <v>156</v>
      </c>
      <c r="E118" s="2397">
        <f>'Ввод данных'!C332</f>
        <v>2</v>
      </c>
      <c r="F118" s="425"/>
      <c r="G118" s="425"/>
      <c r="H118" s="460"/>
      <c r="I118" s="354"/>
      <c r="J118" s="2381"/>
      <c r="K118" s="2381"/>
      <c r="L118" s="2381"/>
      <c r="M118" s="2381"/>
    </row>
    <row r="119" spans="1:13">
      <c r="A119" s="3183" t="s">
        <v>3500</v>
      </c>
      <c r="B119" s="3183"/>
      <c r="C119" s="3183"/>
      <c r="D119" s="761" t="s">
        <v>156</v>
      </c>
      <c r="E119" s="2397">
        <f>'Ввод данных'!C329</f>
        <v>2</v>
      </c>
      <c r="F119" s="425"/>
      <c r="G119" s="425"/>
      <c r="H119" s="460"/>
      <c r="I119" s="354"/>
      <c r="J119" s="2381"/>
      <c r="K119" s="2381"/>
      <c r="L119" s="2381"/>
      <c r="M119" s="2381"/>
    </row>
    <row r="120" spans="1:13" ht="16">
      <c r="A120" s="3081" t="s">
        <v>1943</v>
      </c>
      <c r="B120" s="3081"/>
      <c r="C120" s="3081"/>
      <c r="D120" s="261" t="s">
        <v>156</v>
      </c>
      <c r="E120" s="2397">
        <f>'Ввод данных'!C333</f>
        <v>2</v>
      </c>
      <c r="F120" s="2053"/>
      <c r="G120" s="2053"/>
      <c r="H120" s="460"/>
      <c r="I120" s="354"/>
      <c r="J120" s="2381"/>
      <c r="K120" s="2381"/>
      <c r="L120" s="2381"/>
      <c r="M120" s="2381"/>
    </row>
    <row r="121" spans="1:13" ht="16">
      <c r="A121" s="3081" t="s">
        <v>3504</v>
      </c>
      <c r="B121" s="3081"/>
      <c r="C121" s="3081"/>
      <c r="D121" s="261" t="s">
        <v>156</v>
      </c>
      <c r="E121" s="2172">
        <f>SQRT((E118/2)*(E118/2)+E119*E119)</f>
        <v>2.2360679774997898</v>
      </c>
      <c r="F121" s="2053"/>
      <c r="G121" s="2053"/>
      <c r="H121" s="460"/>
      <c r="I121" s="354"/>
      <c r="J121" s="2381"/>
      <c r="K121" s="2381"/>
      <c r="L121" s="2381"/>
      <c r="M121" s="2381"/>
    </row>
    <row r="122" spans="1:13">
      <c r="A122" s="547" t="s">
        <v>3505</v>
      </c>
      <c r="B122" s="1233"/>
      <c r="C122" s="784"/>
      <c r="D122" s="699" t="s">
        <v>156</v>
      </c>
      <c r="E122" s="2169">
        <f>SQRT((E120-E117)*(E120-E117)+E121*E121)</f>
        <v>2.4494897427831783</v>
      </c>
      <c r="F122" s="2173"/>
      <c r="G122" s="2174"/>
      <c r="H122" s="460"/>
      <c r="I122" s="354"/>
      <c r="J122" s="2381"/>
      <c r="K122" s="2381"/>
      <c r="L122" s="2381"/>
      <c r="M122" s="2381"/>
    </row>
    <row r="123" spans="1:13" ht="16">
      <c r="A123" s="547" t="s">
        <v>3507</v>
      </c>
      <c r="B123" s="1233"/>
      <c r="C123" s="784"/>
      <c r="D123" s="261" t="s">
        <v>156</v>
      </c>
      <c r="E123" s="2172">
        <f>SQRT(E120*E120+E121*E121)</f>
        <v>3</v>
      </c>
      <c r="F123" s="2173"/>
      <c r="G123" s="2174"/>
      <c r="H123" s="460"/>
      <c r="I123" s="354"/>
      <c r="J123" s="2381"/>
      <c r="K123" s="2381"/>
      <c r="L123" s="2381"/>
      <c r="M123" s="2381"/>
    </row>
    <row r="124" spans="1:13" ht="16">
      <c r="A124" s="3081" t="s">
        <v>3508</v>
      </c>
      <c r="B124" s="3081"/>
      <c r="C124" s="3081"/>
      <c r="D124" s="261" t="s">
        <v>133</v>
      </c>
      <c r="E124" s="2172">
        <f>E121*(E120-E117)+E121*E117*2</f>
        <v>6.7082039324993694</v>
      </c>
      <c r="F124" s="2173"/>
      <c r="G124" s="2174"/>
      <c r="H124" s="460"/>
      <c r="I124" s="354"/>
      <c r="J124" s="2381"/>
      <c r="K124" s="2381"/>
      <c r="L124" s="2381"/>
      <c r="M124" s="2381"/>
    </row>
    <row r="125" spans="1:13">
      <c r="A125" s="3119" t="s">
        <v>3880</v>
      </c>
      <c r="B125" s="3119"/>
      <c r="C125" s="3119"/>
      <c r="D125" s="725" t="s">
        <v>133</v>
      </c>
      <c r="E125" s="1291">
        <f>E121*E120</f>
        <v>4.4721359549995796</v>
      </c>
      <c r="F125" s="425"/>
      <c r="G125" s="425"/>
      <c r="H125" s="460"/>
      <c r="I125" s="354"/>
      <c r="J125" s="2381"/>
      <c r="K125" s="2381"/>
      <c r="L125" s="2381"/>
      <c r="M125" s="2381"/>
    </row>
    <row r="126" spans="1:13" ht="16">
      <c r="A126" s="3080" t="s">
        <v>3518</v>
      </c>
      <c r="B126" s="3080"/>
      <c r="C126" s="3080"/>
      <c r="D126" s="261" t="s">
        <v>156</v>
      </c>
      <c r="E126" s="1057">
        <v>0.15</v>
      </c>
      <c r="F126" s="2398">
        <f>'Ввод данных'!D336</f>
        <v>0</v>
      </c>
      <c r="G126" s="2174"/>
      <c r="H126" s="460"/>
      <c r="I126" s="354"/>
      <c r="J126" s="2381"/>
      <c r="K126" s="2381"/>
      <c r="L126" s="2381"/>
      <c r="M126" s="2381"/>
    </row>
    <row r="127" spans="1:13" ht="16">
      <c r="A127" s="3080"/>
      <c r="B127" s="3080"/>
      <c r="C127" s="3080"/>
      <c r="D127" s="261" t="s">
        <v>156</v>
      </c>
      <c r="E127" s="1057">
        <v>0.2</v>
      </c>
      <c r="F127" s="2398"/>
      <c r="G127" s="424"/>
      <c r="H127" s="460"/>
      <c r="I127" s="354"/>
      <c r="J127" s="2381"/>
      <c r="K127" s="2381"/>
      <c r="L127" s="2381"/>
      <c r="M127" s="2381"/>
    </row>
    <row r="128" spans="1:13" ht="16">
      <c r="A128" s="3080" t="s">
        <v>2632</v>
      </c>
      <c r="B128" s="3080"/>
      <c r="C128" s="3080"/>
      <c r="D128" s="261" t="s">
        <v>156</v>
      </c>
      <c r="E128" s="1057">
        <v>0.15</v>
      </c>
      <c r="F128" s="2398">
        <f>'Ввод данных'!D337</f>
        <v>0</v>
      </c>
      <c r="G128" s="2174"/>
      <c r="H128" s="460"/>
      <c r="I128" s="354"/>
      <c r="J128" s="2381"/>
      <c r="K128" s="2381"/>
      <c r="L128" s="2381"/>
      <c r="M128" s="2381"/>
    </row>
    <row r="129" spans="1:13" ht="16">
      <c r="A129" s="3080"/>
      <c r="B129" s="3080"/>
      <c r="C129" s="3080"/>
      <c r="D129" s="261" t="s">
        <v>156</v>
      </c>
      <c r="E129" s="1057">
        <v>0.2</v>
      </c>
      <c r="F129" s="2398" t="e">
        <f>'Ввод данных'!#REF!</f>
        <v>#REF!</v>
      </c>
      <c r="G129" s="2174"/>
      <c r="H129" s="460"/>
      <c r="I129" s="354"/>
      <c r="J129" s="2381"/>
      <c r="K129" s="2381"/>
      <c r="L129" s="2381"/>
      <c r="M129" s="2381"/>
    </row>
    <row r="130" spans="1:13">
      <c r="A130" s="3119" t="s">
        <v>4037</v>
      </c>
      <c r="B130" s="3119"/>
      <c r="C130" s="3119"/>
      <c r="D130" s="725" t="s">
        <v>133</v>
      </c>
      <c r="E130" s="486">
        <f>SQRT(E123*E123-(E118/2)*(E118/2))</f>
        <v>2.8284271247461903</v>
      </c>
      <c r="F130" s="354"/>
      <c r="G130" s="2174"/>
      <c r="H130" s="460"/>
      <c r="I130" s="354"/>
      <c r="J130" s="2381"/>
      <c r="K130" s="2381"/>
      <c r="L130" s="2381"/>
      <c r="M130" s="2381"/>
    </row>
    <row r="131" spans="1:13">
      <c r="A131" s="936"/>
      <c r="B131" s="936"/>
      <c r="C131" s="936"/>
      <c r="D131" s="936"/>
      <c r="E131" s="936"/>
      <c r="F131" s="936"/>
      <c r="G131" s="936"/>
      <c r="H131" s="472"/>
      <c r="I131" s="472"/>
      <c r="J131" s="2381"/>
      <c r="K131" s="2381"/>
      <c r="L131" s="2381"/>
      <c r="M131" s="2381"/>
    </row>
    <row r="132" spans="1:13">
      <c r="A132" s="922" t="s">
        <v>2544</v>
      </c>
      <c r="B132" s="2179"/>
      <c r="C132" s="933" t="s">
        <v>120</v>
      </c>
      <c r="D132" s="933" t="s">
        <v>1753</v>
      </c>
      <c r="E132" s="977">
        <f>пристройка!D2</f>
        <v>0</v>
      </c>
      <c r="F132" s="926" t="s">
        <v>2545</v>
      </c>
      <c r="G132" s="936"/>
      <c r="H132" s="472"/>
      <c r="I132" s="472"/>
      <c r="J132" s="2381"/>
      <c r="K132" s="2381"/>
      <c r="L132" s="2381"/>
      <c r="M132" s="2381"/>
    </row>
    <row r="133" spans="1:13">
      <c r="A133" s="3139" t="s">
        <v>2547</v>
      </c>
      <c r="B133" s="3139"/>
      <c r="C133" s="2133" t="s">
        <v>159</v>
      </c>
      <c r="D133" s="1124"/>
      <c r="E133" s="936"/>
      <c r="F133" s="936"/>
      <c r="G133" s="936"/>
      <c r="H133" s="936"/>
      <c r="I133" s="936"/>
      <c r="J133" s="2381"/>
      <c r="K133" s="2381"/>
      <c r="L133" s="2381"/>
      <c r="M133" s="2381"/>
    </row>
    <row r="134" spans="1:13">
      <c r="A134" s="3139" t="s">
        <v>2552</v>
      </c>
      <c r="B134" s="3139"/>
      <c r="C134" s="2133" t="s">
        <v>159</v>
      </c>
      <c r="D134" s="1124">
        <f>'Ввод данных'!E358</f>
        <v>1</v>
      </c>
      <c r="E134" s="936"/>
      <c r="F134" s="936"/>
      <c r="G134" s="936"/>
      <c r="H134" s="936"/>
      <c r="I134" s="936"/>
      <c r="J134" s="2381"/>
      <c r="K134" s="2381"/>
      <c r="L134" s="2381"/>
      <c r="M134" s="2381"/>
    </row>
    <row r="135" spans="1:13">
      <c r="A135" s="3139" t="s">
        <v>1236</v>
      </c>
      <c r="B135" s="3139"/>
      <c r="C135" s="936" t="s">
        <v>120</v>
      </c>
      <c r="D135" s="938" t="s">
        <v>1753</v>
      </c>
      <c r="E135" s="938" t="s">
        <v>293</v>
      </c>
      <c r="F135" s="938" t="s">
        <v>1820</v>
      </c>
      <c r="G135" s="936"/>
      <c r="H135" s="936"/>
      <c r="I135" s="936"/>
      <c r="J135" s="2381"/>
      <c r="K135" s="2381"/>
      <c r="L135" s="2381"/>
      <c r="M135" s="2381"/>
    </row>
    <row r="136" spans="1:13">
      <c r="A136" s="3139" t="s">
        <v>2001</v>
      </c>
      <c r="B136" s="3139"/>
      <c r="C136" s="986" t="s">
        <v>156</v>
      </c>
      <c r="D136" s="965"/>
      <c r="E136" s="1126" t="str">
        <f>связи1!E549</f>
        <v>№3</v>
      </c>
      <c r="F136" s="1126" t="e">
        <f>'Ввод данных'!#REF!</f>
        <v>#REF!</v>
      </c>
      <c r="G136" s="927" t="s">
        <v>3521</v>
      </c>
      <c r="H136" s="936"/>
      <c r="I136" s="936"/>
      <c r="J136" s="2381"/>
      <c r="K136" s="2381"/>
      <c r="L136" s="2381"/>
      <c r="M136" s="2381"/>
    </row>
    <row r="137" spans="1:13">
      <c r="A137" s="3139" t="s">
        <v>2557</v>
      </c>
      <c r="B137" s="3139"/>
      <c r="C137" s="986" t="s">
        <v>156</v>
      </c>
      <c r="D137" s="965"/>
      <c r="E137" s="1126">
        <f>связи1!E550</f>
        <v>1</v>
      </c>
      <c r="F137" s="1126" t="e">
        <f>'Ввод данных'!#REF!</f>
        <v>#REF!</v>
      </c>
      <c r="G137" s="927" t="s">
        <v>3522</v>
      </c>
      <c r="H137" s="936"/>
      <c r="I137" s="936"/>
      <c r="J137" s="2381"/>
      <c r="K137" s="2381"/>
      <c r="L137" s="2381"/>
      <c r="M137" s="2381"/>
    </row>
    <row r="138" spans="1:13">
      <c r="A138" s="3139" t="s">
        <v>2558</v>
      </c>
      <c r="B138" s="3139"/>
      <c r="C138" s="986" t="s">
        <v>156</v>
      </c>
      <c r="D138" s="965"/>
      <c r="E138" s="1126">
        <f>'Ввод данных'!E362</f>
        <v>0</v>
      </c>
      <c r="F138" s="1126">
        <f>'Ввод данных'!G366</f>
        <v>0</v>
      </c>
      <c r="G138" s="927" t="s">
        <v>3523</v>
      </c>
      <c r="H138" s="472"/>
      <c r="I138" s="472"/>
      <c r="J138" s="2381"/>
      <c r="K138" s="2381"/>
      <c r="L138" s="2381"/>
      <c r="M138" s="2381"/>
    </row>
    <row r="139" spans="1:13">
      <c r="A139" s="3139" t="s">
        <v>2071</v>
      </c>
      <c r="B139" s="3139"/>
      <c r="C139" s="2133" t="s">
        <v>156</v>
      </c>
      <c r="D139" s="2023">
        <f>пристройка!C34</f>
        <v>6</v>
      </c>
      <c r="E139" s="936"/>
      <c r="F139" s="936"/>
      <c r="G139" s="936"/>
      <c r="H139" s="472"/>
      <c r="I139" s="472"/>
      <c r="J139" s="2381"/>
      <c r="K139" s="2381"/>
      <c r="L139" s="2381"/>
      <c r="M139" s="2381"/>
    </row>
    <row r="140" spans="1:13">
      <c r="A140" s="3139" t="s">
        <v>2573</v>
      </c>
      <c r="B140" s="3139"/>
      <c r="C140" s="938" t="s">
        <v>156</v>
      </c>
      <c r="D140" s="2023">
        <f>пристройка!C33</f>
        <v>3</v>
      </c>
      <c r="E140" s="936"/>
      <c r="F140" s="936"/>
      <c r="G140" s="936"/>
      <c r="H140" s="927"/>
      <c r="I140" s="472"/>
      <c r="J140" s="2381"/>
      <c r="K140" s="2381"/>
      <c r="L140" s="2381"/>
      <c r="M140" s="2381"/>
    </row>
    <row r="141" spans="1:13">
      <c r="A141" s="3139" t="s">
        <v>3882</v>
      </c>
      <c r="B141" s="3139"/>
      <c r="C141" s="938" t="s">
        <v>156</v>
      </c>
      <c r="D141" s="2023">
        <f>пристройка!C38</f>
        <v>0</v>
      </c>
      <c r="E141" s="936"/>
      <c r="F141" s="936"/>
      <c r="G141" s="936"/>
      <c r="H141" s="927"/>
      <c r="I141" s="472"/>
      <c r="J141" s="2381"/>
      <c r="K141" s="2381"/>
      <c r="L141" s="2381"/>
      <c r="M141" s="2381"/>
    </row>
    <row r="142" spans="1:13">
      <c r="A142" s="3139" t="s">
        <v>3883</v>
      </c>
      <c r="B142" s="3139"/>
      <c r="C142" s="938" t="s">
        <v>156</v>
      </c>
      <c r="D142" s="2023">
        <f>пристройка!C35</f>
        <v>2.9</v>
      </c>
      <c r="E142" s="936"/>
      <c r="F142" s="936"/>
      <c r="G142" s="936"/>
      <c r="H142" s="927"/>
      <c r="I142" s="472"/>
      <c r="J142" s="2381"/>
      <c r="K142" s="2381"/>
      <c r="L142" s="2381"/>
      <c r="M142" s="2381"/>
    </row>
    <row r="143" spans="1:13">
      <c r="A143" s="3139" t="s">
        <v>3884</v>
      </c>
      <c r="B143" s="3139"/>
      <c r="C143" s="938" t="s">
        <v>156</v>
      </c>
      <c r="D143" s="2023">
        <f>пристройка!AE185</f>
        <v>4.6000000000000005</v>
      </c>
      <c r="E143" s="936"/>
      <c r="F143" s="936"/>
      <c r="G143" s="936"/>
      <c r="H143" s="936"/>
      <c r="I143" s="472"/>
      <c r="J143" s="2381"/>
      <c r="K143" s="2381"/>
      <c r="L143" s="2381"/>
      <c r="M143" s="2381"/>
    </row>
    <row r="144" spans="1:13">
      <c r="A144" s="3169" t="s">
        <v>3885</v>
      </c>
      <c r="B144" s="3169"/>
      <c r="C144" s="938" t="s">
        <v>156</v>
      </c>
      <c r="D144" s="2023">
        <f>пристройка!C39</f>
        <v>0</v>
      </c>
      <c r="E144" s="936"/>
      <c r="F144" s="936"/>
      <c r="G144" s="936"/>
      <c r="H144" s="936"/>
      <c r="I144" s="472"/>
      <c r="J144" s="2381"/>
      <c r="K144" s="2381"/>
      <c r="L144" s="2381"/>
      <c r="M144" s="2381"/>
    </row>
    <row r="145" spans="1:13">
      <c r="A145" s="3139" t="s">
        <v>3886</v>
      </c>
      <c r="B145" s="3139"/>
      <c r="C145" s="938" t="s">
        <v>156</v>
      </c>
      <c r="D145" s="2023" t="e">
        <f>пристройка!#REF!</f>
        <v>#REF!</v>
      </c>
      <c r="E145" s="936"/>
      <c r="F145" s="936"/>
      <c r="G145" s="936"/>
      <c r="H145" s="936"/>
      <c r="I145" s="472"/>
      <c r="J145" s="2381"/>
      <c r="K145" s="2381"/>
      <c r="L145" s="2381"/>
      <c r="M145" s="2381"/>
    </row>
    <row r="146" spans="1:13">
      <c r="A146" s="3139" t="s">
        <v>1093</v>
      </c>
      <c r="B146" s="3139"/>
      <c r="C146" s="936" t="s">
        <v>120</v>
      </c>
      <c r="D146" s="937" t="s">
        <v>853</v>
      </c>
      <c r="E146" s="938" t="s">
        <v>1802</v>
      </c>
      <c r="F146" s="939" t="s">
        <v>853</v>
      </c>
      <c r="G146" s="927"/>
      <c r="H146" s="927"/>
      <c r="I146" s="472"/>
      <c r="J146" s="2381"/>
      <c r="K146" s="2381"/>
      <c r="L146" s="2381"/>
      <c r="M146" s="2381"/>
    </row>
    <row r="147" spans="1:13">
      <c r="A147" s="3124" t="s">
        <v>2206</v>
      </c>
      <c r="B147" s="3124"/>
      <c r="C147" s="938" t="s">
        <v>156</v>
      </c>
      <c r="D147" s="1124">
        <f>связи1!D552</f>
        <v>3</v>
      </c>
      <c r="E147" s="1126">
        <f>связи1!E552</f>
        <v>3</v>
      </c>
      <c r="F147" s="939">
        <f t="shared" ref="F147:F152" si="1">D147*E147</f>
        <v>9</v>
      </c>
      <c r="G147" s="927"/>
      <c r="H147" s="927"/>
      <c r="I147" s="472"/>
      <c r="J147" s="2381"/>
      <c r="K147" s="2381"/>
      <c r="L147" s="2381"/>
      <c r="M147" s="2381"/>
    </row>
    <row r="148" spans="1:13">
      <c r="A148" s="3124"/>
      <c r="B148" s="3124"/>
      <c r="C148" s="938"/>
      <c r="D148" s="1124">
        <f>связи1!D553</f>
        <v>2.9</v>
      </c>
      <c r="E148" s="1126">
        <f>связи1!E553</f>
        <v>2.9</v>
      </c>
      <c r="F148" s="939">
        <f t="shared" si="1"/>
        <v>8.41</v>
      </c>
      <c r="G148" s="927"/>
      <c r="H148" s="927"/>
      <c r="I148" s="472"/>
      <c r="J148" s="2381"/>
      <c r="K148" s="2381"/>
      <c r="L148" s="2381"/>
      <c r="M148" s="2381"/>
    </row>
    <row r="149" spans="1:13">
      <c r="A149" s="3124"/>
      <c r="B149" s="3124"/>
      <c r="C149" s="938" t="s">
        <v>156</v>
      </c>
      <c r="D149" s="1124">
        <f>связи1!D556</f>
        <v>2.2000000000000002</v>
      </c>
      <c r="E149" s="1126">
        <f>связи1!E556</f>
        <v>2.2000000000000002</v>
      </c>
      <c r="F149" s="939">
        <f t="shared" si="1"/>
        <v>4.8400000000000007</v>
      </c>
      <c r="G149" s="927"/>
      <c r="H149" s="927"/>
      <c r="I149" s="472"/>
      <c r="J149" s="2381"/>
      <c r="K149" s="2381"/>
      <c r="L149" s="2381"/>
      <c r="M149" s="2381"/>
    </row>
    <row r="150" spans="1:13">
      <c r="A150" s="3124" t="s">
        <v>2207</v>
      </c>
      <c r="B150" s="3124"/>
      <c r="C150" s="938" t="s">
        <v>156</v>
      </c>
      <c r="D150" s="1124">
        <f>связи1!D557</f>
        <v>0.99999999999999978</v>
      </c>
      <c r="E150" s="1126">
        <f>связи1!E557</f>
        <v>2.9</v>
      </c>
      <c r="F150" s="939">
        <f t="shared" si="1"/>
        <v>2.8999999999999995</v>
      </c>
      <c r="G150" s="927"/>
      <c r="H150" s="927"/>
      <c r="I150" s="472"/>
      <c r="J150" s="2381"/>
      <c r="K150" s="2381"/>
      <c r="L150" s="2381"/>
      <c r="M150" s="2381"/>
    </row>
    <row r="151" spans="1:13">
      <c r="A151" s="3124"/>
      <c r="B151" s="3124"/>
      <c r="C151" s="938"/>
      <c r="D151" s="1124">
        <f>связи1!D558</f>
        <v>2.1</v>
      </c>
      <c r="E151" s="1126"/>
      <c r="F151" s="939">
        <f t="shared" si="1"/>
        <v>0</v>
      </c>
      <c r="G151" s="927"/>
      <c r="H151" s="472"/>
      <c r="I151" s="472"/>
      <c r="J151" s="2381"/>
      <c r="K151" s="2381"/>
      <c r="L151" s="2381"/>
      <c r="M151" s="2381"/>
    </row>
    <row r="152" spans="1:13">
      <c r="A152" s="3124"/>
      <c r="B152" s="3124"/>
      <c r="C152" s="938" t="s">
        <v>156</v>
      </c>
      <c r="D152" s="1124" t="e">
        <f>'Ввод данных'!#REF!</f>
        <v>#REF!</v>
      </c>
      <c r="E152" s="1126" t="e">
        <f>'Ввод данных'!#REF!</f>
        <v>#REF!</v>
      </c>
      <c r="F152" s="939" t="e">
        <f t="shared" si="1"/>
        <v>#REF!</v>
      </c>
      <c r="G152" s="927"/>
      <c r="H152" s="472"/>
      <c r="I152" s="472"/>
      <c r="J152" s="2176"/>
      <c r="K152" s="2176"/>
      <c r="L152" s="2176"/>
      <c r="M152" s="2176"/>
    </row>
    <row r="153" spans="1:13">
      <c r="A153" s="3141" t="s">
        <v>4038</v>
      </c>
      <c r="B153" s="3141"/>
      <c r="C153" s="3141"/>
      <c r="D153" s="3141"/>
      <c r="E153" s="3141"/>
      <c r="F153" s="939" t="e">
        <f>SUM(F147:F152)*E132</f>
        <v>#REF!</v>
      </c>
      <c r="G153" s="927"/>
      <c r="H153" s="472"/>
      <c r="I153" s="472"/>
      <c r="J153" s="2176"/>
      <c r="K153" s="2176"/>
      <c r="L153" s="2176"/>
      <c r="M153" s="2176"/>
    </row>
    <row r="154" spans="1:13">
      <c r="A154" s="988" t="s">
        <v>2208</v>
      </c>
      <c r="B154" s="989"/>
      <c r="C154" s="788" t="s">
        <v>120</v>
      </c>
      <c r="D154" s="788" t="s">
        <v>2580</v>
      </c>
      <c r="E154" s="788" t="s">
        <v>2581</v>
      </c>
      <c r="F154" s="788" t="s">
        <v>1802</v>
      </c>
      <c r="G154" s="933" t="s">
        <v>2548</v>
      </c>
      <c r="H154" s="472"/>
      <c r="I154" s="1048"/>
      <c r="J154" s="2176"/>
      <c r="K154" s="2176"/>
      <c r="L154" s="2176"/>
      <c r="M154" s="2176"/>
    </row>
    <row r="155" spans="1:13">
      <c r="A155" s="3124" t="s">
        <v>2210</v>
      </c>
      <c r="B155" s="3124"/>
      <c r="C155" s="725" t="s">
        <v>156</v>
      </c>
      <c r="D155" s="1124" t="e">
        <f>'Ввод данных'!#REF!</f>
        <v>#REF!</v>
      </c>
      <c r="E155" s="1126" t="e">
        <f>'Ввод данных'!#REF!</f>
        <v>#REF!</v>
      </c>
      <c r="F155" s="2399">
        <f>'Ввод данных'!G377</f>
        <v>0</v>
      </c>
      <c r="G155" s="507" t="e">
        <f t="shared" ref="G155:G160" si="2">D155*E155*F155</f>
        <v>#REF!</v>
      </c>
      <c r="H155" s="472"/>
      <c r="I155" s="921"/>
      <c r="J155" s="2176"/>
      <c r="K155" s="2176"/>
      <c r="L155" s="2176"/>
      <c r="M155" s="2176"/>
    </row>
    <row r="156" spans="1:13">
      <c r="A156" s="3124"/>
      <c r="B156" s="3124"/>
      <c r="C156" s="725" t="s">
        <v>156</v>
      </c>
      <c r="D156" s="1124" t="e">
        <f>'Ввод данных'!#REF!</f>
        <v>#REF!</v>
      </c>
      <c r="E156" s="1126" t="e">
        <f>'Ввод данных'!#REF!</f>
        <v>#REF!</v>
      </c>
      <c r="F156" s="2399">
        <f>'Ввод данных'!G378</f>
        <v>0</v>
      </c>
      <c r="G156" s="507" t="e">
        <f t="shared" si="2"/>
        <v>#REF!</v>
      </c>
      <c r="H156" s="472"/>
      <c r="I156" s="1048"/>
      <c r="J156" s="2176"/>
      <c r="K156" s="2176"/>
      <c r="L156" s="2176"/>
      <c r="M156" s="2176"/>
    </row>
    <row r="157" spans="1:13">
      <c r="A157" s="3124"/>
      <c r="B157" s="3124"/>
      <c r="C157" s="725" t="s">
        <v>156</v>
      </c>
      <c r="D157" s="1124" t="e">
        <f>'Ввод данных'!#REF!</f>
        <v>#REF!</v>
      </c>
      <c r="E157" s="1126" t="e">
        <f>'Ввод данных'!#REF!</f>
        <v>#REF!</v>
      </c>
      <c r="F157" s="2399">
        <f>'Ввод данных'!G379</f>
        <v>0</v>
      </c>
      <c r="G157" s="507" t="e">
        <f t="shared" si="2"/>
        <v>#REF!</v>
      </c>
      <c r="H157" s="1002"/>
      <c r="I157" s="1048"/>
      <c r="J157" s="2176"/>
      <c r="K157" s="2176"/>
      <c r="L157" s="2176"/>
      <c r="M157" s="2176"/>
    </row>
    <row r="158" spans="1:13">
      <c r="A158" s="3142" t="s">
        <v>2211</v>
      </c>
      <c r="B158" s="3142"/>
      <c r="C158" s="725" t="s">
        <v>156</v>
      </c>
      <c r="D158" s="1124" t="e">
        <f>'Ввод данных'!#REF!</f>
        <v>#REF!</v>
      </c>
      <c r="E158" s="1126"/>
      <c r="F158" s="2399" t="e">
        <f>'Ввод данных'!#REF!</f>
        <v>#REF!</v>
      </c>
      <c r="G158" s="507" t="e">
        <f t="shared" si="2"/>
        <v>#REF!</v>
      </c>
      <c r="H158" s="936"/>
      <c r="I158" s="1048"/>
      <c r="J158" s="2176"/>
      <c r="K158" s="2176"/>
      <c r="L158" s="2176"/>
      <c r="M158" s="2176"/>
    </row>
    <row r="159" spans="1:13">
      <c r="A159" s="3142"/>
      <c r="B159" s="3142"/>
      <c r="C159" s="725" t="s">
        <v>156</v>
      </c>
      <c r="D159" s="1124"/>
      <c r="E159" s="1126"/>
      <c r="F159" s="2399"/>
      <c r="G159" s="507">
        <f t="shared" si="2"/>
        <v>0</v>
      </c>
      <c r="H159" s="1002"/>
      <c r="I159" s="1048"/>
      <c r="J159" s="2176"/>
      <c r="K159" s="2176"/>
      <c r="L159" s="2176"/>
      <c r="M159" s="2176"/>
    </row>
    <row r="160" spans="1:13">
      <c r="A160" s="3124" t="s">
        <v>2213</v>
      </c>
      <c r="B160" s="3124"/>
      <c r="C160" s="961" t="s">
        <v>156</v>
      </c>
      <c r="D160" s="1124">
        <f>связи1!D561</f>
        <v>0.5</v>
      </c>
      <c r="E160" s="1126">
        <f>связи1!E561</f>
        <v>0.8</v>
      </c>
      <c r="F160" s="2399">
        <f>связи1!F548</f>
        <v>0</v>
      </c>
      <c r="G160" s="938">
        <f t="shared" si="2"/>
        <v>0</v>
      </c>
      <c r="H160" s="1261"/>
      <c r="I160" s="1262" t="s">
        <v>3887</v>
      </c>
      <c r="J160" s="2176"/>
      <c r="K160" s="2176"/>
      <c r="L160" s="2176"/>
      <c r="M160" s="2176"/>
    </row>
    <row r="161" spans="1:13">
      <c r="A161" s="3209" t="s">
        <v>2599</v>
      </c>
      <c r="B161" s="3209"/>
      <c r="C161" s="3209"/>
      <c r="D161" s="3209"/>
      <c r="E161" s="3209"/>
      <c r="F161" s="3209"/>
      <c r="G161" s="920" t="e">
        <f>SUM(G155:G160)*E132</f>
        <v>#REF!</v>
      </c>
      <c r="H161" s="1002"/>
      <c r="I161" s="1048"/>
      <c r="J161" s="2176"/>
      <c r="K161" s="2176"/>
      <c r="L161" s="2176"/>
      <c r="M161" s="2176"/>
    </row>
    <row r="162" spans="1:13">
      <c r="A162" s="2185" t="s">
        <v>2592</v>
      </c>
      <c r="B162" s="2186"/>
      <c r="C162" s="2187" t="s">
        <v>120</v>
      </c>
      <c r="D162" s="2187" t="s">
        <v>853</v>
      </c>
      <c r="E162" s="1126">
        <f>связи1!E558</f>
        <v>1.5</v>
      </c>
      <c r="F162" s="2188" t="s">
        <v>3890</v>
      </c>
      <c r="G162" s="921"/>
      <c r="H162" s="1002"/>
      <c r="I162" s="1048"/>
      <c r="J162" s="2176"/>
      <c r="K162" s="2176"/>
      <c r="L162" s="2176"/>
      <c r="M162" s="2176"/>
    </row>
    <row r="163" spans="1:13">
      <c r="A163" s="3172" t="s">
        <v>2820</v>
      </c>
      <c r="B163" s="3172"/>
      <c r="C163" s="1319" t="s">
        <v>156</v>
      </c>
      <c r="D163" s="1319">
        <f>SQRT(D140*D140+D144*D144)</f>
        <v>3</v>
      </c>
      <c r="E163" s="1276"/>
      <c r="F163" s="1276"/>
      <c r="G163" s="921"/>
      <c r="H163" s="1002"/>
      <c r="I163" s="1048"/>
      <c r="J163" s="2176"/>
      <c r="K163" s="2176"/>
      <c r="L163" s="2176"/>
      <c r="M163" s="2176"/>
    </row>
    <row r="164" spans="1:13">
      <c r="A164" s="3172" t="s">
        <v>3545</v>
      </c>
      <c r="B164" s="3172"/>
      <c r="C164" s="1319" t="s">
        <v>156</v>
      </c>
      <c r="D164" s="1124">
        <f>связи1!C559</f>
        <v>0.5</v>
      </c>
      <c r="E164" s="1276"/>
      <c r="F164" s="1276"/>
      <c r="G164" s="921"/>
      <c r="H164" s="1002"/>
      <c r="I164" s="1048"/>
      <c r="J164" s="2176"/>
      <c r="K164" s="2176"/>
      <c r="L164" s="2176"/>
      <c r="M164" s="2176"/>
    </row>
    <row r="165" spans="1:13">
      <c r="A165" s="3172" t="s">
        <v>3891</v>
      </c>
      <c r="B165" s="3172"/>
      <c r="C165" s="1319" t="s">
        <v>156</v>
      </c>
      <c r="D165" s="1124">
        <f>связи1!C561</f>
        <v>0.5</v>
      </c>
      <c r="E165" s="1276"/>
      <c r="F165" s="1276"/>
      <c r="G165" s="921"/>
      <c r="H165" s="1002"/>
      <c r="I165" s="1048"/>
      <c r="J165" s="2176"/>
      <c r="K165" s="2176"/>
      <c r="L165" s="2176"/>
      <c r="M165" s="2176"/>
    </row>
    <row r="166" spans="1:13">
      <c r="A166" s="3172" t="s">
        <v>2609</v>
      </c>
      <c r="B166" s="3172"/>
      <c r="C166" s="1319" t="s">
        <v>133</v>
      </c>
      <c r="D166" s="1319">
        <f>D163*D139</f>
        <v>18</v>
      </c>
      <c r="E166" s="1276"/>
      <c r="F166" s="1276"/>
      <c r="G166" s="921"/>
      <c r="H166" s="1002"/>
      <c r="I166" s="1048"/>
      <c r="J166" s="2176"/>
      <c r="K166" s="2176"/>
      <c r="L166" s="2176"/>
      <c r="M166" s="2176"/>
    </row>
    <row r="167" spans="1:13">
      <c r="A167" s="3172" t="s">
        <v>2610</v>
      </c>
      <c r="B167" s="3172"/>
      <c r="C167" s="1319" t="s">
        <v>133</v>
      </c>
      <c r="D167" s="1319">
        <f>(D163+D164)*(D139+D165+D165)</f>
        <v>24.5</v>
      </c>
      <c r="E167" s="1276"/>
      <c r="F167" s="1276"/>
      <c r="G167" s="921"/>
      <c r="H167" s="1002"/>
      <c r="I167" s="1048"/>
      <c r="J167" s="2176"/>
      <c r="K167" s="2176"/>
      <c r="L167" s="2176"/>
      <c r="M167" s="2176"/>
    </row>
    <row r="168" spans="1:13">
      <c r="A168" s="2204" t="s">
        <v>2635</v>
      </c>
      <c r="B168" s="2204"/>
      <c r="C168" s="2204"/>
      <c r="D168" s="2204"/>
      <c r="E168" s="1126" t="e">
        <f>'Ввод данных'!#REF!</f>
        <v>#REF!</v>
      </c>
      <c r="F168" s="927" t="s">
        <v>3568</v>
      </c>
      <c r="G168" s="921"/>
      <c r="H168" s="1002"/>
      <c r="I168" s="1048"/>
      <c r="J168" s="2176"/>
      <c r="K168" s="2176"/>
      <c r="L168" s="2176"/>
      <c r="M168" s="2176"/>
    </row>
    <row r="169" spans="1:13">
      <c r="A169" s="2400" t="s">
        <v>2572</v>
      </c>
      <c r="B169" s="2154" t="s">
        <v>156</v>
      </c>
      <c r="C169" s="2400">
        <f>пристройка!C85</f>
        <v>0</v>
      </c>
      <c r="D169" s="927"/>
      <c r="E169" s="927"/>
      <c r="F169" s="1276"/>
      <c r="G169" s="921"/>
      <c r="H169" s="1002"/>
      <c r="I169" s="1048"/>
      <c r="J169" s="2176"/>
      <c r="K169" s="2176"/>
      <c r="L169" s="2176"/>
      <c r="M169" s="2176"/>
    </row>
    <row r="170" spans="1:13">
      <c r="A170" s="939" t="s">
        <v>3427</v>
      </c>
      <c r="B170" s="965" t="s">
        <v>133</v>
      </c>
      <c r="C170" s="939">
        <f>пристройка!C33*пристройка!C34</f>
        <v>18</v>
      </c>
      <c r="D170" s="927"/>
      <c r="E170" s="927"/>
      <c r="F170" s="1276"/>
      <c r="G170" s="921"/>
      <c r="H170" s="1002"/>
      <c r="I170" s="1048"/>
      <c r="J170" s="2176"/>
      <c r="K170" s="2176"/>
      <c r="L170" s="2176"/>
      <c r="M170" s="2176"/>
    </row>
    <row r="171" spans="1:13">
      <c r="A171" s="936"/>
      <c r="B171" s="936"/>
      <c r="C171" s="936"/>
      <c r="D171" s="936"/>
      <c r="E171" s="936"/>
      <c r="F171" s="936"/>
      <c r="G171" s="936"/>
      <c r="H171" s="936"/>
      <c r="I171" s="1048"/>
      <c r="J171" s="2176"/>
      <c r="K171" s="2176"/>
      <c r="L171" s="2176"/>
      <c r="M171" s="2176"/>
    </row>
    <row r="172" spans="1:13">
      <c r="A172" s="2191" t="s">
        <v>2030</v>
      </c>
      <c r="B172" s="788" t="s">
        <v>120</v>
      </c>
      <c r="C172" s="788" t="s">
        <v>1753</v>
      </c>
      <c r="D172" s="1599">
        <f>дома!D1229</f>
        <v>0</v>
      </c>
      <c r="E172" s="2192" t="s">
        <v>3520</v>
      </c>
      <c r="F172" s="464"/>
      <c r="G172" s="355"/>
      <c r="H172" s="354"/>
      <c r="I172" s="1048"/>
      <c r="J172" s="2176"/>
      <c r="K172" s="2176"/>
      <c r="L172" s="2176"/>
      <c r="M172" s="2176"/>
    </row>
    <row r="173" spans="1:13">
      <c r="A173" s="486" t="s">
        <v>2547</v>
      </c>
      <c r="B173" s="486" t="s">
        <v>159</v>
      </c>
      <c r="C173" s="2194">
        <f>'Ввод данных'!E422</f>
        <v>0</v>
      </c>
      <c r="D173" s="354"/>
      <c r="E173" s="354"/>
      <c r="F173" s="354"/>
      <c r="G173" s="354"/>
      <c r="H173" s="354"/>
      <c r="I173" s="1048"/>
      <c r="J173" s="2176"/>
      <c r="K173" s="2176"/>
      <c r="L173" s="2176"/>
      <c r="M173" s="2176"/>
    </row>
    <row r="174" spans="1:13">
      <c r="A174" s="486" t="s">
        <v>2552</v>
      </c>
      <c r="B174" s="486" t="s">
        <v>159</v>
      </c>
      <c r="C174" s="2194">
        <f>'Ввод данных'!E423</f>
        <v>0</v>
      </c>
      <c r="D174" s="486" t="s">
        <v>2975</v>
      </c>
      <c r="E174" s="354"/>
      <c r="F174" s="354"/>
      <c r="G174" s="354"/>
      <c r="H174" s="354"/>
      <c r="I174" s="1048"/>
      <c r="J174" s="2176"/>
      <c r="K174" s="2176"/>
      <c r="L174" s="2176"/>
      <c r="M174" s="2176"/>
    </row>
    <row r="175" spans="1:13">
      <c r="A175" s="486" t="s">
        <v>2001</v>
      </c>
      <c r="B175" s="486" t="s">
        <v>159</v>
      </c>
      <c r="C175" s="486"/>
      <c r="D175" s="2194">
        <f>'Ввод данных'!D425</f>
        <v>0</v>
      </c>
      <c r="E175" s="2194" t="e">
        <f>'Ввод данных'!#REF!</f>
        <v>#REF!</v>
      </c>
      <c r="F175" s="366" t="s">
        <v>3521</v>
      </c>
      <c r="G175" s="354"/>
      <c r="H175" s="472"/>
      <c r="I175" s="1048"/>
      <c r="J175" s="2176"/>
      <c r="K175" s="2176"/>
      <c r="L175" s="2176"/>
      <c r="M175" s="2176"/>
    </row>
    <row r="176" spans="1:13">
      <c r="A176" s="486" t="s">
        <v>2557</v>
      </c>
      <c r="B176" s="486" t="s">
        <v>159</v>
      </c>
      <c r="C176" s="486"/>
      <c r="D176" s="2194">
        <f>'Ввод данных'!D426</f>
        <v>0</v>
      </c>
      <c r="E176" s="2194" t="e">
        <f>'Ввод данных'!#REF!</f>
        <v>#REF!</v>
      </c>
      <c r="F176" s="366" t="s">
        <v>3522</v>
      </c>
      <c r="G176" s="354"/>
      <c r="H176" s="472"/>
      <c r="I176" s="1048"/>
      <c r="J176" s="2176"/>
      <c r="K176" s="2176"/>
      <c r="L176" s="2176"/>
      <c r="M176" s="2176"/>
    </row>
    <row r="177" spans="1:13">
      <c r="A177" s="486" t="s">
        <v>2558</v>
      </c>
      <c r="B177" s="486" t="s">
        <v>159</v>
      </c>
      <c r="C177" s="486"/>
      <c r="D177" s="2194">
        <f>'Ввод данных'!D427</f>
        <v>0</v>
      </c>
      <c r="E177" s="2194" t="e">
        <f>'Ввод данных'!#REF!</f>
        <v>#REF!</v>
      </c>
      <c r="F177" s="366" t="s">
        <v>3523</v>
      </c>
      <c r="G177" s="355"/>
      <c r="H177" s="472"/>
      <c r="I177" s="1048"/>
      <c r="J177" s="2176"/>
      <c r="K177" s="2176"/>
      <c r="L177" s="2176"/>
      <c r="M177" s="2176"/>
    </row>
    <row r="178" spans="1:13">
      <c r="A178" s="704" t="s">
        <v>3524</v>
      </c>
      <c r="B178" s="725" t="s">
        <v>156</v>
      </c>
      <c r="C178" s="1599">
        <f>дома!C1238</f>
        <v>2</v>
      </c>
      <c r="D178" s="464"/>
      <c r="E178" s="2194"/>
      <c r="F178" s="464"/>
      <c r="G178" s="921"/>
      <c r="H178" s="1002"/>
      <c r="I178" s="1048"/>
      <c r="J178" s="2176"/>
      <c r="K178" s="2176"/>
      <c r="L178" s="2176"/>
      <c r="M178" s="2176"/>
    </row>
    <row r="179" spans="1:13">
      <c r="A179" s="704" t="s">
        <v>3525</v>
      </c>
      <c r="B179" s="725" t="s">
        <v>156</v>
      </c>
      <c r="C179" s="1599">
        <f>дома!C1239</f>
        <v>2.9154759474226504</v>
      </c>
      <c r="D179" s="464"/>
      <c r="E179" s="464"/>
      <c r="F179" s="464"/>
      <c r="G179" s="921"/>
      <c r="H179" s="1002"/>
      <c r="I179" s="1048"/>
      <c r="J179" s="2176"/>
      <c r="K179" s="2176"/>
      <c r="L179" s="2176"/>
      <c r="M179" s="2176"/>
    </row>
    <row r="180" spans="1:13">
      <c r="A180" s="704" t="s">
        <v>3526</v>
      </c>
      <c r="B180" s="725" t="s">
        <v>156</v>
      </c>
      <c r="C180" s="1599">
        <f>дома!C1240</f>
        <v>1.5</v>
      </c>
      <c r="D180" s="2194">
        <v>1</v>
      </c>
      <c r="E180" s="464"/>
      <c r="F180" s="464"/>
      <c r="G180" s="921"/>
      <c r="H180" s="1002"/>
      <c r="I180" s="1048"/>
      <c r="J180" s="2176"/>
      <c r="K180" s="2176"/>
      <c r="L180" s="2176"/>
      <c r="M180" s="2176"/>
    </row>
    <row r="181" spans="1:13">
      <c r="A181" s="704" t="s">
        <v>3892</v>
      </c>
      <c r="B181" s="725" t="s">
        <v>156</v>
      </c>
      <c r="C181" s="1599">
        <f>дома!C1241</f>
        <v>3.2</v>
      </c>
      <c r="D181" s="381"/>
      <c r="E181" s="464"/>
      <c r="F181" s="464"/>
      <c r="G181" s="921"/>
      <c r="H181" s="1002"/>
      <c r="I181" s="1048"/>
      <c r="J181" s="2176"/>
      <c r="K181" s="2176"/>
      <c r="L181" s="2176"/>
      <c r="M181" s="2176"/>
    </row>
    <row r="182" spans="1:13">
      <c r="A182" s="704" t="s">
        <v>3529</v>
      </c>
      <c r="B182" s="725" t="s">
        <v>156</v>
      </c>
      <c r="C182" s="1599">
        <f>дома!C1243</f>
        <v>2.1999999999999993</v>
      </c>
      <c r="D182" s="453"/>
      <c r="E182" s="464"/>
      <c r="F182" s="464"/>
      <c r="G182" s="921"/>
      <c r="H182" s="1002"/>
      <c r="I182" s="1048"/>
      <c r="J182" s="2176"/>
      <c r="K182" s="2176"/>
      <c r="L182" s="2176"/>
      <c r="M182" s="2176"/>
    </row>
    <row r="183" spans="1:13">
      <c r="A183" s="577" t="s">
        <v>3530</v>
      </c>
      <c r="B183" s="725" t="s">
        <v>156</v>
      </c>
      <c r="C183" s="1599">
        <f>дома!C1244</f>
        <v>4</v>
      </c>
      <c r="D183" s="464"/>
      <c r="E183" s="464"/>
      <c r="F183" s="464"/>
      <c r="G183" s="921"/>
      <c r="H183" s="1002"/>
      <c r="I183" s="1048"/>
      <c r="J183" s="2176"/>
      <c r="K183" s="2176"/>
      <c r="L183" s="2176"/>
      <c r="M183" s="2176"/>
    </row>
    <row r="184" spans="1:13">
      <c r="A184" s="577" t="s">
        <v>3531</v>
      </c>
      <c r="B184" s="725" t="s">
        <v>156</v>
      </c>
      <c r="C184" s="1599">
        <f>дома!C1245</f>
        <v>5</v>
      </c>
      <c r="D184" s="464"/>
      <c r="E184" s="464"/>
      <c r="F184" s="464"/>
      <c r="G184" s="921"/>
      <c r="H184" s="936"/>
      <c r="I184" s="1048"/>
      <c r="J184" s="2176"/>
      <c r="K184" s="2176"/>
      <c r="L184" s="2176"/>
      <c r="M184" s="2176"/>
    </row>
    <row r="185" spans="1:13">
      <c r="A185" s="2195" t="s">
        <v>3893</v>
      </c>
      <c r="B185" s="2196" t="s">
        <v>156</v>
      </c>
      <c r="C185" s="1599">
        <f>дома!C1246</f>
        <v>2.2000000000000002</v>
      </c>
      <c r="D185" s="936"/>
      <c r="E185" s="936"/>
      <c r="F185" s="936"/>
      <c r="G185" s="921"/>
      <c r="H185" s="1002"/>
      <c r="I185" s="1048"/>
      <c r="J185" s="2176"/>
      <c r="K185" s="2176"/>
      <c r="L185" s="2176"/>
      <c r="M185" s="2176"/>
    </row>
    <row r="186" spans="1:13">
      <c r="A186" s="2210" t="s">
        <v>1236</v>
      </c>
      <c r="B186" s="2210" t="s">
        <v>120</v>
      </c>
      <c r="C186" s="933" t="s">
        <v>2548</v>
      </c>
      <c r="D186" s="936"/>
      <c r="E186" s="936"/>
      <c r="F186" s="936"/>
      <c r="G186" s="936"/>
      <c r="H186" s="1002"/>
      <c r="I186" s="1048"/>
      <c r="J186" s="2176"/>
      <c r="K186" s="2176"/>
      <c r="L186" s="2176"/>
      <c r="M186" s="2176"/>
    </row>
    <row r="187" spans="1:13">
      <c r="A187" s="938" t="s">
        <v>3902</v>
      </c>
      <c r="B187" s="960" t="s">
        <v>133</v>
      </c>
      <c r="C187" s="938" t="e">
        <f>(C180*C184+(C183-C180)*C178+(C183-C180)*((C184-C178)/2)*2)*E175</f>
        <v>#REF!</v>
      </c>
      <c r="D187" s="936"/>
      <c r="E187" s="936"/>
      <c r="F187" s="936"/>
      <c r="G187" s="921"/>
      <c r="H187" s="1002"/>
      <c r="I187" s="1048"/>
      <c r="J187" s="2176"/>
      <c r="K187" s="2176"/>
      <c r="L187" s="2176"/>
      <c r="M187" s="2176"/>
    </row>
    <row r="188" spans="1:13">
      <c r="A188" s="938" t="s">
        <v>3903</v>
      </c>
      <c r="B188" s="960" t="s">
        <v>133</v>
      </c>
      <c r="C188" s="938" t="e">
        <f>(C180*C184+(C183-C180)*C178+(C183-C180)*((C184-C178)/2)*2)*E176</f>
        <v>#REF!</v>
      </c>
      <c r="D188" s="936"/>
      <c r="E188" s="936"/>
      <c r="F188" s="936"/>
      <c r="G188" s="921"/>
      <c r="H188" s="1002"/>
      <c r="I188" s="1048"/>
      <c r="J188" s="2176"/>
      <c r="K188" s="2176"/>
      <c r="L188" s="2176"/>
      <c r="M188" s="2176"/>
    </row>
    <row r="189" spans="1:13">
      <c r="A189" s="938" t="s">
        <v>3904</v>
      </c>
      <c r="B189" s="960" t="s">
        <v>133</v>
      </c>
      <c r="C189" s="938" t="e">
        <f>(C180*C184+(C183-C180)*C178+(C183-C180)*((C184-C178)/2)*2)*E177</f>
        <v>#REF!</v>
      </c>
      <c r="D189" s="936"/>
      <c r="E189" s="936"/>
      <c r="F189" s="936"/>
      <c r="G189" s="921"/>
      <c r="H189" s="1002"/>
      <c r="I189" s="1048"/>
      <c r="J189" s="2176"/>
      <c r="K189" s="2176"/>
      <c r="L189" s="2176"/>
      <c r="M189" s="2176"/>
    </row>
    <row r="190" spans="1:13">
      <c r="A190" s="2197" t="s">
        <v>1236</v>
      </c>
      <c r="B190" s="788" t="s">
        <v>120</v>
      </c>
      <c r="C190" s="788" t="s">
        <v>2580</v>
      </c>
      <c r="D190" s="788" t="s">
        <v>2581</v>
      </c>
      <c r="E190" s="788" t="s">
        <v>1802</v>
      </c>
      <c r="F190" s="923" t="s">
        <v>3894</v>
      </c>
      <c r="G190" s="921"/>
      <c r="H190" s="1002"/>
      <c r="I190" s="1048"/>
      <c r="J190" s="2176"/>
      <c r="K190" s="2176"/>
      <c r="L190" s="2176"/>
      <c r="M190" s="2176"/>
    </row>
    <row r="191" spans="1:13">
      <c r="A191" s="3124" t="s">
        <v>2210</v>
      </c>
      <c r="B191" s="725" t="s">
        <v>156</v>
      </c>
      <c r="C191" s="2194">
        <f>'Ввод данных'!C432</f>
        <v>2.7</v>
      </c>
      <c r="D191" s="2194">
        <f>'Ввод данных'!D429</f>
        <v>0</v>
      </c>
      <c r="E191" s="2194" t="e">
        <f>'Ввод данных'!#REF!</f>
        <v>#REF!</v>
      </c>
      <c r="F191" s="2198" t="e">
        <f>C191*D191*E191</f>
        <v>#REF!</v>
      </c>
      <c r="G191" s="921"/>
      <c r="H191" s="1002"/>
      <c r="I191" s="1048"/>
      <c r="J191" s="2176"/>
      <c r="K191" s="2176"/>
      <c r="L191" s="2176"/>
      <c r="M191" s="2176"/>
    </row>
    <row r="192" spans="1:13">
      <c r="A192" s="3124"/>
      <c r="B192" s="725" t="s">
        <v>156</v>
      </c>
      <c r="C192" s="2194"/>
      <c r="D192" s="2194">
        <f>'Ввод данных'!D430</f>
        <v>0</v>
      </c>
      <c r="E192" s="2194" t="e">
        <f>'Ввод данных'!#REF!</f>
        <v>#REF!</v>
      </c>
      <c r="F192" s="2198" t="e">
        <f>C192*D192*E192</f>
        <v>#REF!</v>
      </c>
      <c r="G192" s="921"/>
      <c r="H192" s="1002"/>
      <c r="I192" s="1048"/>
      <c r="J192" s="2176"/>
      <c r="K192" s="2176"/>
      <c r="L192" s="2176"/>
      <c r="M192" s="2176"/>
    </row>
    <row r="193" spans="1:13">
      <c r="A193" s="3124"/>
      <c r="B193" s="725" t="s">
        <v>156</v>
      </c>
      <c r="C193" s="2194"/>
      <c r="D193" s="2194">
        <f>'Ввод данных'!D431</f>
        <v>0</v>
      </c>
      <c r="E193" s="2194" t="e">
        <f>'Ввод данных'!#REF!</f>
        <v>#REF!</v>
      </c>
      <c r="F193" s="2198" t="e">
        <f>C193*D193*E193</f>
        <v>#REF!</v>
      </c>
      <c r="G193" s="921"/>
      <c r="H193" s="1002"/>
      <c r="I193" s="1048"/>
      <c r="J193" s="2176"/>
      <c r="K193" s="2176"/>
      <c r="L193" s="2176"/>
      <c r="M193" s="2176"/>
    </row>
    <row r="194" spans="1:13">
      <c r="A194" s="3124" t="s">
        <v>3895</v>
      </c>
      <c r="B194" s="725" t="s">
        <v>156</v>
      </c>
      <c r="C194" s="2194" t="e">
        <f>'Ввод данных'!#REF!</f>
        <v>#REF!</v>
      </c>
      <c r="D194" s="2194">
        <f>'Ввод данных'!D432</f>
        <v>0</v>
      </c>
      <c r="E194" s="2194" t="e">
        <f>'Ввод данных'!#REF!</f>
        <v>#REF!</v>
      </c>
      <c r="F194" s="2198" t="e">
        <f>C194*D194*E194</f>
        <v>#REF!</v>
      </c>
      <c r="G194" s="921"/>
      <c r="H194" s="1002"/>
      <c r="I194" s="1048"/>
      <c r="J194" s="2176"/>
      <c r="K194" s="2176"/>
      <c r="L194" s="2176"/>
      <c r="M194" s="2176"/>
    </row>
    <row r="195" spans="1:13">
      <c r="A195" s="3124"/>
      <c r="B195" s="725" t="s">
        <v>156</v>
      </c>
      <c r="C195" s="2194">
        <f>'Ввод данных'!C434</f>
        <v>0</v>
      </c>
      <c r="D195" s="2194">
        <f>'Ввод данных'!D433</f>
        <v>0</v>
      </c>
      <c r="E195" s="2194" t="e">
        <f>'Ввод данных'!#REF!</f>
        <v>#REF!</v>
      </c>
      <c r="F195" s="2198" t="e">
        <f>C195*D195*E195</f>
        <v>#REF!</v>
      </c>
      <c r="G195" s="921"/>
      <c r="H195" s="1002"/>
      <c r="I195" s="1048"/>
      <c r="J195" s="2176"/>
      <c r="K195" s="2176"/>
      <c r="L195" s="2176"/>
      <c r="M195" s="2176"/>
    </row>
    <row r="196" spans="1:13">
      <c r="A196" s="938" t="s">
        <v>3896</v>
      </c>
      <c r="B196" s="938" t="s">
        <v>133</v>
      </c>
      <c r="C196" s="938" t="e">
        <f>F191+F192+F195+F194+F193</f>
        <v>#REF!</v>
      </c>
      <c r="D196" s="936"/>
      <c r="E196" s="936"/>
      <c r="F196" s="936"/>
      <c r="G196" s="921"/>
      <c r="H196" s="1002"/>
      <c r="I196" s="1048"/>
      <c r="J196" s="2176"/>
      <c r="K196" s="2176"/>
      <c r="L196" s="2176"/>
      <c r="M196" s="2176"/>
    </row>
    <row r="197" spans="1:13">
      <c r="A197" s="938" t="s">
        <v>3541</v>
      </c>
      <c r="B197" s="938" t="s">
        <v>133</v>
      </c>
      <c r="C197" s="938" t="e">
        <f>(C180*2+C179*2+C178)*(C181+C185*C174+D175*E175+D176*E176+D177*E177)</f>
        <v>#REF!</v>
      </c>
      <c r="D197" s="936"/>
      <c r="E197" s="936"/>
      <c r="F197" s="936"/>
      <c r="G197" s="921"/>
      <c r="H197" s="1002"/>
      <c r="I197" s="1048"/>
      <c r="J197" s="2176"/>
      <c r="K197" s="2176"/>
      <c r="L197" s="2176"/>
      <c r="M197" s="2176"/>
    </row>
    <row r="198" spans="1:13">
      <c r="A198" s="938" t="s">
        <v>3542</v>
      </c>
      <c r="B198" s="938" t="s">
        <v>133</v>
      </c>
      <c r="C198" s="938" t="e">
        <f>C197-C196</f>
        <v>#REF!</v>
      </c>
      <c r="D198" s="936"/>
      <c r="E198" s="936"/>
      <c r="F198" s="936"/>
      <c r="G198" s="921"/>
      <c r="H198" s="1002"/>
      <c r="I198" s="1048"/>
      <c r="J198" s="2176"/>
      <c r="K198" s="2176"/>
      <c r="L198" s="2176"/>
      <c r="M198" s="2176"/>
    </row>
    <row r="199" spans="1:13">
      <c r="A199" s="2200" t="s">
        <v>3543</v>
      </c>
      <c r="B199" s="2200"/>
      <c r="C199" s="2187" t="s">
        <v>120</v>
      </c>
      <c r="D199" s="2187" t="s">
        <v>853</v>
      </c>
      <c r="E199" s="2194" t="e">
        <f>'Ввод данных'!#REF!</f>
        <v>#REF!</v>
      </c>
      <c r="F199" s="2188" t="s">
        <v>3555</v>
      </c>
      <c r="G199" s="921"/>
      <c r="H199" s="1002"/>
      <c r="I199" s="1048"/>
      <c r="J199" s="2176"/>
      <c r="K199" s="2176"/>
      <c r="L199" s="2176"/>
      <c r="M199" s="2176"/>
    </row>
    <row r="200" spans="1:13">
      <c r="A200" s="3139" t="s">
        <v>3544</v>
      </c>
      <c r="B200" s="3139"/>
      <c r="C200" s="961" t="s">
        <v>156</v>
      </c>
      <c r="D200" s="938">
        <f>SQRT((C184/2)*(C184/2)+C182*C182)</f>
        <v>3.3301651610693419</v>
      </c>
      <c r="E200" s="1276"/>
      <c r="F200" s="1276"/>
      <c r="G200" s="921"/>
      <c r="H200" s="1002"/>
      <c r="I200" s="1048"/>
      <c r="J200" s="2176"/>
      <c r="K200" s="2176"/>
      <c r="L200" s="2176"/>
      <c r="M200" s="2176"/>
    </row>
    <row r="201" spans="1:13">
      <c r="A201" s="3139" t="s">
        <v>3548</v>
      </c>
      <c r="B201" s="3139"/>
      <c r="C201" s="961" t="s">
        <v>156</v>
      </c>
      <c r="D201" s="938">
        <f>SQRT(D200*D200+C180*C180)</f>
        <v>3.6523964735499344</v>
      </c>
      <c r="E201" s="1276"/>
      <c r="F201" s="1276"/>
      <c r="G201" s="921"/>
      <c r="H201" s="1002"/>
      <c r="I201" s="1048"/>
      <c r="J201" s="2176"/>
      <c r="K201" s="2176"/>
      <c r="L201" s="2176"/>
      <c r="M201" s="2176"/>
    </row>
    <row r="202" spans="1:13">
      <c r="A202" s="3139" t="s">
        <v>3549</v>
      </c>
      <c r="B202" s="3139"/>
      <c r="C202" s="961" t="s">
        <v>156</v>
      </c>
      <c r="D202" s="938">
        <f>SQRT(D201*D201+C179*C179)</f>
        <v>4.6733285782191683</v>
      </c>
      <c r="E202" s="1276"/>
      <c r="F202" s="1276"/>
      <c r="G202" s="921"/>
      <c r="H202" s="1002"/>
      <c r="I202" s="1048"/>
      <c r="J202" s="2176"/>
      <c r="K202" s="2176"/>
      <c r="L202" s="2176"/>
      <c r="M202" s="2176"/>
    </row>
    <row r="203" spans="1:13">
      <c r="A203" s="3172" t="s">
        <v>2609</v>
      </c>
      <c r="B203" s="3172"/>
      <c r="C203" s="920" t="s">
        <v>133</v>
      </c>
      <c r="D203" s="1319">
        <f>D200*C180+D201*C179*1.1+(C178/2)*SQRT(C183*C183+C182*C182)*2</f>
        <v>25.838738986009432</v>
      </c>
      <c r="E203" s="1276"/>
      <c r="F203" s="1276"/>
      <c r="G203" s="921"/>
      <c r="H203" s="1002"/>
      <c r="I203" s="1048"/>
      <c r="J203" s="2176"/>
      <c r="K203" s="2176"/>
      <c r="L203" s="2176"/>
      <c r="M203" s="2176"/>
    </row>
    <row r="204" spans="1:13">
      <c r="A204" s="3172" t="s">
        <v>3545</v>
      </c>
      <c r="B204" s="3172"/>
      <c r="C204" s="920" t="s">
        <v>156</v>
      </c>
      <c r="D204" s="2194">
        <f>'Ввод данных'!C433</f>
        <v>0.8</v>
      </c>
      <c r="E204" s="1276"/>
      <c r="F204" s="1276"/>
      <c r="G204" s="921"/>
      <c r="H204" s="1002"/>
      <c r="I204" s="1048"/>
      <c r="J204" s="2176"/>
      <c r="K204" s="2176"/>
      <c r="L204" s="2176"/>
      <c r="M204" s="2176"/>
    </row>
    <row r="205" spans="1:13">
      <c r="A205" s="3139" t="s">
        <v>3550</v>
      </c>
      <c r="B205" s="3139"/>
      <c r="C205" s="938" t="s">
        <v>156</v>
      </c>
      <c r="D205" s="1246">
        <f>D200+D204</f>
        <v>4.1301651610693417</v>
      </c>
      <c r="E205" s="1276"/>
      <c r="F205" s="1276"/>
      <c r="G205" s="921"/>
      <c r="H205" s="1002"/>
      <c r="I205" s="1048"/>
      <c r="J205" s="2176"/>
      <c r="K205" s="2176"/>
      <c r="L205" s="2176"/>
      <c r="M205" s="2176"/>
    </row>
    <row r="206" spans="1:13">
      <c r="A206" s="3139" t="s">
        <v>3552</v>
      </c>
      <c r="B206" s="3139"/>
      <c r="C206" s="938" t="s">
        <v>156</v>
      </c>
      <c r="D206" s="1246">
        <f>D201+D204</f>
        <v>4.4523964735499346</v>
      </c>
      <c r="E206" s="1276"/>
      <c r="F206" s="1276"/>
      <c r="G206" s="921"/>
      <c r="H206" s="1002"/>
      <c r="I206" s="1048"/>
      <c r="J206" s="2176"/>
      <c r="K206" s="2176"/>
      <c r="L206" s="2176"/>
      <c r="M206" s="2176"/>
    </row>
    <row r="207" spans="1:13">
      <c r="A207" s="3139" t="s">
        <v>3554</v>
      </c>
      <c r="B207" s="3139"/>
      <c r="C207" s="938" t="s">
        <v>156</v>
      </c>
      <c r="D207" s="1246">
        <f>D202+D204</f>
        <v>5.4733285782191681</v>
      </c>
      <c r="E207" s="1276"/>
      <c r="F207" s="1276"/>
      <c r="G207" s="921"/>
      <c r="H207" s="1002"/>
      <c r="I207" s="1048"/>
      <c r="J207" s="2176"/>
      <c r="K207" s="2176"/>
      <c r="L207" s="2176"/>
      <c r="M207" s="2176"/>
    </row>
    <row r="208" spans="1:13">
      <c r="A208" s="3172" t="s">
        <v>2610</v>
      </c>
      <c r="B208" s="3172"/>
      <c r="C208" s="920" t="s">
        <v>133</v>
      </c>
      <c r="D208" s="1319" t="e">
        <f>((C180*D204*2+C179*D204*2+C178*D204)*1.1+D203)*E199</f>
        <v>#REF!</v>
      </c>
      <c r="E208" s="1276"/>
      <c r="F208" s="1276"/>
      <c r="G208" s="921"/>
      <c r="H208" s="1002"/>
      <c r="I208" s="1048"/>
      <c r="J208" s="2176"/>
      <c r="K208" s="2176"/>
      <c r="L208" s="2176"/>
      <c r="M208" s="2176"/>
    </row>
    <row r="209" spans="1:13">
      <c r="A209" s="3184" t="s">
        <v>2635</v>
      </c>
      <c r="B209" s="3184"/>
      <c r="C209" s="3184"/>
      <c r="D209" s="3184"/>
      <c r="E209" s="2194" t="e">
        <f>'Ввод данных'!#REF!</f>
        <v>#REF!</v>
      </c>
      <c r="F209" s="927" t="s">
        <v>3568</v>
      </c>
      <c r="G209" s="921"/>
      <c r="H209" s="1002"/>
      <c r="I209" s="1048"/>
      <c r="J209" s="2176"/>
      <c r="K209" s="2176"/>
      <c r="L209" s="2176"/>
      <c r="M209" s="2176"/>
    </row>
    <row r="210" spans="1:13">
      <c r="A210" s="2400" t="s">
        <v>2572</v>
      </c>
      <c r="B210" s="2154" t="s">
        <v>156</v>
      </c>
      <c r="C210" s="2400">
        <f>дома!C1275</f>
        <v>10.830951894845301</v>
      </c>
      <c r="D210" s="927"/>
      <c r="E210" s="927"/>
      <c r="F210" s="1276"/>
      <c r="G210" s="921"/>
      <c r="H210" s="1002"/>
      <c r="I210" s="1048"/>
      <c r="J210" s="2176"/>
      <c r="K210" s="2176"/>
      <c r="L210" s="2176"/>
      <c r="M210" s="2176"/>
    </row>
    <row r="211" spans="1:13">
      <c r="A211" s="939" t="s">
        <v>3427</v>
      </c>
      <c r="B211" s="965" t="s">
        <v>133</v>
      </c>
      <c r="C211" s="939">
        <f>дома!C1235</f>
        <v>16.25</v>
      </c>
      <c r="D211" s="927"/>
      <c r="E211" s="927"/>
      <c r="F211" s="1276"/>
      <c r="G211" s="921"/>
      <c r="H211" s="1002"/>
      <c r="I211" s="1048"/>
      <c r="J211" s="2176"/>
      <c r="K211" s="2176"/>
      <c r="L211" s="2176"/>
      <c r="M211" s="2176"/>
    </row>
    <row r="212" spans="1:13">
      <c r="A212" s="936"/>
      <c r="B212" s="936"/>
      <c r="C212" s="936"/>
      <c r="D212" s="936"/>
      <c r="E212" s="927"/>
      <c r="F212" s="927"/>
      <c r="G212" s="936"/>
      <c r="H212" s="1002"/>
      <c r="I212" s="1048"/>
      <c r="J212" s="2176"/>
      <c r="K212" s="2176"/>
      <c r="L212" s="2176"/>
      <c r="M212" s="2176"/>
    </row>
    <row r="213" spans="1:13">
      <c r="A213" s="2207" t="s">
        <v>2069</v>
      </c>
      <c r="B213" s="787" t="s">
        <v>120</v>
      </c>
      <c r="C213" s="789" t="s">
        <v>1753</v>
      </c>
      <c r="D213" s="2393" t="str">
        <f>'Ввод данных'!F512</f>
        <v>Не считать</v>
      </c>
      <c r="E213" s="927" t="s">
        <v>3897</v>
      </c>
      <c r="F213" s="927"/>
      <c r="G213" s="936"/>
      <c r="H213" s="1002"/>
      <c r="I213" s="1048"/>
      <c r="J213" s="2176"/>
      <c r="K213" s="2176"/>
      <c r="L213" s="2176"/>
      <c r="M213" s="2176"/>
    </row>
    <row r="214" spans="1:13">
      <c r="A214" s="939" t="s">
        <v>2058</v>
      </c>
      <c r="B214" s="961" t="s">
        <v>156</v>
      </c>
      <c r="C214" s="486">
        <v>3</v>
      </c>
      <c r="D214" s="366"/>
      <c r="E214" s="927"/>
      <c r="F214" s="927"/>
      <c r="G214" s="936"/>
      <c r="H214" s="1002"/>
      <c r="I214" s="1048"/>
      <c r="J214" s="2176"/>
      <c r="K214" s="2176"/>
      <c r="L214" s="2176"/>
      <c r="M214" s="2176"/>
    </row>
    <row r="215" spans="1:13">
      <c r="A215" s="939" t="s">
        <v>3898</v>
      </c>
      <c r="B215" s="961" t="s">
        <v>156</v>
      </c>
      <c r="C215" s="975">
        <f>'Ввод данных'!C467</f>
        <v>1</v>
      </c>
      <c r="D215" s="366"/>
      <c r="E215" s="927"/>
      <c r="F215" s="927"/>
      <c r="G215" s="936"/>
      <c r="H215" s="1002"/>
      <c r="I215" s="1048"/>
      <c r="J215" s="2176"/>
      <c r="K215" s="2176"/>
      <c r="L215" s="2176"/>
      <c r="M215" s="2176"/>
    </row>
    <row r="216" spans="1:13">
      <c r="A216" s="938" t="s">
        <v>3838</v>
      </c>
      <c r="B216" s="961" t="s">
        <v>156</v>
      </c>
      <c r="C216" s="975">
        <f>'Ввод данных'!C468</f>
        <v>0.9</v>
      </c>
      <c r="D216" s="366"/>
      <c r="E216" s="927"/>
      <c r="F216" s="927"/>
      <c r="G216" s="927"/>
      <c r="H216" s="1002"/>
      <c r="I216" s="1048"/>
      <c r="J216" s="2176"/>
      <c r="K216" s="2176"/>
      <c r="L216" s="2176"/>
      <c r="M216" s="2176"/>
    </row>
    <row r="217" spans="1:13">
      <c r="A217" s="939" t="s">
        <v>3899</v>
      </c>
      <c r="B217" s="965" t="s">
        <v>133</v>
      </c>
      <c r="C217" s="939">
        <f>C214*C215</f>
        <v>3</v>
      </c>
      <c r="D217" s="366"/>
      <c r="E217" s="927"/>
      <c r="F217" s="927"/>
      <c r="G217" s="927"/>
      <c r="H217" s="1002"/>
      <c r="I217" s="1048"/>
      <c r="J217" s="2176"/>
      <c r="K217" s="2176"/>
      <c r="L217" s="2176"/>
      <c r="M217" s="2176"/>
    </row>
    <row r="218" spans="1:13">
      <c r="A218" s="939" t="s">
        <v>3900</v>
      </c>
      <c r="B218" s="939" t="s">
        <v>133</v>
      </c>
      <c r="C218" s="939">
        <f>(C214+C215+C215)*C216</f>
        <v>4.5</v>
      </c>
      <c r="D218" s="366"/>
      <c r="E218" s="927"/>
      <c r="F218" s="927"/>
      <c r="G218" s="927"/>
      <c r="H218" s="1002"/>
      <c r="I218" s="1048"/>
      <c r="J218" s="2176"/>
      <c r="K218" s="2176"/>
      <c r="L218" s="2176"/>
      <c r="M218" s="2176"/>
    </row>
    <row r="219" spans="1:13">
      <c r="A219" s="936"/>
      <c r="B219" s="936"/>
      <c r="C219" s="936"/>
      <c r="D219" s="936"/>
      <c r="E219" s="927"/>
      <c r="F219" s="927"/>
      <c r="G219" s="927"/>
      <c r="H219" s="1002"/>
      <c r="I219" s="1048"/>
      <c r="J219" s="2176"/>
      <c r="K219" s="2176"/>
      <c r="L219" s="2176"/>
      <c r="M219" s="2176"/>
    </row>
    <row r="220" spans="1:13">
      <c r="A220" s="2208" t="s">
        <v>3812</v>
      </c>
      <c r="B220" s="2209" t="s">
        <v>120</v>
      </c>
      <c r="C220" s="787" t="s">
        <v>1753</v>
      </c>
      <c r="D220" s="1126">
        <v>0</v>
      </c>
      <c r="E220" s="927" t="s">
        <v>3813</v>
      </c>
      <c r="F220" s="927"/>
      <c r="G220" s="927"/>
      <c r="H220" s="1002"/>
      <c r="I220" s="1048"/>
      <c r="J220" s="2176"/>
      <c r="K220" s="2176"/>
      <c r="L220" s="2176"/>
      <c r="M220" s="2176"/>
    </row>
    <row r="221" spans="1:13">
      <c r="A221" s="938" t="s">
        <v>2002</v>
      </c>
      <c r="B221" s="938" t="s">
        <v>159</v>
      </c>
      <c r="C221" s="1124">
        <f>'Ввод данных'!E520</f>
        <v>0</v>
      </c>
      <c r="D221" s="2151"/>
      <c r="E221" s="927"/>
      <c r="F221" s="927"/>
      <c r="G221" s="927"/>
      <c r="H221" s="1002"/>
      <c r="I221" s="1048"/>
      <c r="J221" s="2176"/>
      <c r="K221" s="2176"/>
      <c r="L221" s="2176"/>
      <c r="M221" s="2176"/>
    </row>
    <row r="222" spans="1:13">
      <c r="A222" s="938" t="s">
        <v>3814</v>
      </c>
      <c r="B222" s="938" t="s">
        <v>159</v>
      </c>
      <c r="C222" s="1124">
        <f>'Ввод данных'!E521</f>
        <v>0</v>
      </c>
      <c r="D222" s="938" t="s">
        <v>2975</v>
      </c>
      <c r="E222" s="927"/>
      <c r="F222" s="927"/>
      <c r="G222" s="927"/>
      <c r="H222" s="1002"/>
      <c r="I222" s="1048"/>
      <c r="J222" s="2176"/>
      <c r="K222" s="2176"/>
      <c r="L222" s="2176"/>
      <c r="M222" s="2176"/>
    </row>
    <row r="223" spans="1:13">
      <c r="A223" s="938" t="s">
        <v>2001</v>
      </c>
      <c r="B223" s="938" t="s">
        <v>159</v>
      </c>
      <c r="C223" s="938"/>
      <c r="D223" s="1126" t="e">
        <f>'Ввод данных'!#REF!</f>
        <v>#REF!</v>
      </c>
      <c r="E223" s="1124" t="e">
        <f>'Ввод данных'!#REF!</f>
        <v>#REF!</v>
      </c>
      <c r="F223" s="927" t="s">
        <v>3521</v>
      </c>
      <c r="G223" s="927"/>
      <c r="H223" s="1002"/>
      <c r="I223" s="1048"/>
      <c r="J223" s="2176"/>
      <c r="K223" s="2176"/>
      <c r="L223" s="2176"/>
      <c r="M223" s="2176"/>
    </row>
    <row r="224" spans="1:13">
      <c r="A224" s="938" t="s">
        <v>2557</v>
      </c>
      <c r="B224" s="938" t="s">
        <v>159</v>
      </c>
      <c r="C224" s="938"/>
      <c r="D224" s="1126" t="e">
        <f>'Ввод данных'!#REF!</f>
        <v>#REF!</v>
      </c>
      <c r="E224" s="1124" t="e">
        <f>'Ввод данных'!#REF!</f>
        <v>#REF!</v>
      </c>
      <c r="F224" s="927" t="s">
        <v>3522</v>
      </c>
      <c r="G224" s="927"/>
      <c r="H224" s="1002"/>
      <c r="I224" s="1048"/>
      <c r="J224" s="2176"/>
      <c r="K224" s="2176"/>
      <c r="L224" s="2176"/>
      <c r="M224" s="2176"/>
    </row>
    <row r="225" spans="1:13">
      <c r="A225" s="938" t="s">
        <v>2558</v>
      </c>
      <c r="B225" s="938" t="s">
        <v>159</v>
      </c>
      <c r="C225" s="938"/>
      <c r="D225" s="1126" t="e">
        <f>'Ввод данных'!#REF!</f>
        <v>#REF!</v>
      </c>
      <c r="E225" s="1124" t="e">
        <f>'Ввод данных'!#REF!</f>
        <v>#REF!</v>
      </c>
      <c r="F225" s="927" t="s">
        <v>3523</v>
      </c>
      <c r="G225" s="927"/>
      <c r="H225" s="1002"/>
      <c r="I225" s="1048"/>
      <c r="J225" s="2176"/>
      <c r="K225" s="2176"/>
      <c r="L225" s="2176"/>
      <c r="M225" s="2176"/>
    </row>
    <row r="226" spans="1:13">
      <c r="A226" s="704" t="s">
        <v>2091</v>
      </c>
      <c r="B226" s="725" t="s">
        <v>156</v>
      </c>
      <c r="C226" s="1124">
        <f>'Ввод данных'!C522</f>
        <v>3</v>
      </c>
      <c r="D226" s="464"/>
      <c r="E226" s="927"/>
      <c r="F226" s="927"/>
      <c r="G226" s="927"/>
      <c r="H226" s="1002"/>
      <c r="I226" s="1048"/>
      <c r="J226" s="2176"/>
      <c r="K226" s="2176"/>
      <c r="L226" s="2176"/>
      <c r="M226" s="2176"/>
    </row>
    <row r="227" spans="1:13">
      <c r="A227" s="704" t="s">
        <v>3901</v>
      </c>
      <c r="B227" s="725" t="s">
        <v>156</v>
      </c>
      <c r="C227" s="1124">
        <f>'Ввод данных'!C523</f>
        <v>3</v>
      </c>
      <c r="D227" s="464"/>
      <c r="E227" s="927"/>
      <c r="F227" s="927"/>
      <c r="G227" s="927"/>
      <c r="H227" s="1002"/>
      <c r="I227" s="1048"/>
      <c r="J227" s="2176"/>
      <c r="K227" s="2176"/>
      <c r="L227" s="2176"/>
      <c r="M227" s="2176"/>
    </row>
    <row r="228" spans="1:13">
      <c r="A228" s="704" t="s">
        <v>2093</v>
      </c>
      <c r="B228" s="725" t="s">
        <v>156</v>
      </c>
      <c r="C228" s="1124">
        <f>'Ввод данных'!C524</f>
        <v>2.7</v>
      </c>
      <c r="D228" s="381"/>
      <c r="E228" s="927"/>
      <c r="F228" s="927"/>
      <c r="G228" s="927"/>
      <c r="H228" s="1002"/>
      <c r="I228" s="1048"/>
      <c r="J228" s="2176"/>
      <c r="K228" s="2176"/>
      <c r="L228" s="2176"/>
      <c r="M228" s="2176"/>
    </row>
    <row r="229" spans="1:13">
      <c r="A229" s="704" t="s">
        <v>2094</v>
      </c>
      <c r="B229" s="725" t="s">
        <v>156</v>
      </c>
      <c r="C229" s="1124">
        <f>'Ввод данных'!C525</f>
        <v>2.7</v>
      </c>
      <c r="D229" s="381"/>
      <c r="E229" s="927"/>
      <c r="F229" s="927"/>
      <c r="G229" s="927"/>
      <c r="H229" s="1002"/>
      <c r="I229" s="1048"/>
      <c r="J229" s="2176"/>
      <c r="K229" s="2176"/>
      <c r="L229" s="2176"/>
      <c r="M229" s="2176"/>
    </row>
    <row r="230" spans="1:13">
      <c r="A230" s="2210" t="s">
        <v>1236</v>
      </c>
      <c r="B230" s="2210" t="s">
        <v>120</v>
      </c>
      <c r="C230" s="933" t="s">
        <v>2548</v>
      </c>
      <c r="D230" s="936"/>
      <c r="E230" s="927"/>
      <c r="F230" s="927"/>
      <c r="G230" s="927"/>
      <c r="H230" s="1002"/>
      <c r="I230" s="1048"/>
      <c r="J230" s="2176"/>
      <c r="K230" s="2176"/>
      <c r="L230" s="2176"/>
      <c r="M230" s="2176"/>
    </row>
    <row r="231" spans="1:13">
      <c r="A231" s="938" t="s">
        <v>3902</v>
      </c>
      <c r="B231" s="960" t="s">
        <v>133</v>
      </c>
      <c r="C231" s="938" t="e">
        <f>C226*C227*E223</f>
        <v>#REF!</v>
      </c>
      <c r="D231" s="936"/>
      <c r="E231" s="927"/>
      <c r="F231" s="927"/>
      <c r="G231" s="927"/>
      <c r="H231" s="1002"/>
      <c r="I231" s="1048"/>
      <c r="J231" s="2176"/>
      <c r="K231" s="2176"/>
      <c r="L231" s="2176"/>
      <c r="M231" s="2176"/>
    </row>
    <row r="232" spans="1:13">
      <c r="A232" s="938" t="s">
        <v>3903</v>
      </c>
      <c r="B232" s="960" t="s">
        <v>133</v>
      </c>
      <c r="C232" s="938" t="e">
        <f>C226*C227*E224</f>
        <v>#REF!</v>
      </c>
      <c r="D232" s="936"/>
      <c r="E232" s="927"/>
      <c r="F232" s="927"/>
      <c r="G232" s="927"/>
      <c r="H232" s="1002"/>
      <c r="I232" s="1048"/>
      <c r="J232" s="2176"/>
      <c r="K232" s="2176"/>
      <c r="L232" s="2176"/>
      <c r="M232" s="2176"/>
    </row>
    <row r="233" spans="1:13">
      <c r="A233" s="938" t="s">
        <v>3904</v>
      </c>
      <c r="B233" s="960" t="s">
        <v>133</v>
      </c>
      <c r="C233" s="938" t="e">
        <f>C226*C227*E225</f>
        <v>#REF!</v>
      </c>
      <c r="D233" s="936"/>
      <c r="E233" s="927"/>
      <c r="F233" s="927"/>
      <c r="G233" s="927"/>
      <c r="H233" s="1002"/>
      <c r="I233" s="1048"/>
      <c r="J233" s="2176"/>
      <c r="K233" s="2176"/>
      <c r="L233" s="2176"/>
      <c r="M233" s="2176"/>
    </row>
    <row r="234" spans="1:13">
      <c r="A234" s="3184" t="s">
        <v>2635</v>
      </c>
      <c r="B234" s="3184"/>
      <c r="C234" s="3184"/>
      <c r="D234" s="3184"/>
      <c r="E234" s="1124" t="e">
        <f>'Ввод данных'!#REF!</f>
        <v>#REF!</v>
      </c>
      <c r="F234" s="927" t="s">
        <v>3568</v>
      </c>
      <c r="G234" s="927"/>
      <c r="H234" s="1002"/>
      <c r="I234" s="1048"/>
      <c r="J234" s="2176"/>
      <c r="K234" s="2176"/>
      <c r="L234" s="2176"/>
      <c r="M234" s="2176"/>
    </row>
    <row r="235" spans="1:13">
      <c r="A235" s="2400" t="s">
        <v>2572</v>
      </c>
      <c r="B235" s="2154" t="s">
        <v>156</v>
      </c>
      <c r="C235" s="2400">
        <f>дома!D2027</f>
        <v>9</v>
      </c>
      <c r="D235" s="927"/>
      <c r="E235" s="927"/>
      <c r="F235" s="927"/>
      <c r="G235" s="927"/>
      <c r="H235" s="1002"/>
      <c r="I235" s="1048"/>
      <c r="J235" s="2176"/>
      <c r="K235" s="2176"/>
      <c r="L235" s="2176"/>
      <c r="M235" s="2176"/>
    </row>
    <row r="236" spans="1:13">
      <c r="A236" s="939" t="s">
        <v>3427</v>
      </c>
      <c r="B236" s="965" t="s">
        <v>133</v>
      </c>
      <c r="C236" s="939">
        <f>дома!C2026*дома!C2027</f>
        <v>9</v>
      </c>
      <c r="D236" s="927"/>
      <c r="E236" s="927"/>
      <c r="F236" s="927"/>
      <c r="G236" s="927"/>
      <c r="H236" s="1002"/>
      <c r="I236" s="1048"/>
      <c r="J236" s="2176"/>
      <c r="K236" s="2176"/>
      <c r="L236" s="2176"/>
      <c r="M236" s="2176"/>
    </row>
    <row r="237" spans="1:13">
      <c r="A237" s="927"/>
      <c r="B237" s="2158"/>
      <c r="C237" s="927"/>
      <c r="D237" s="927"/>
      <c r="E237" s="927"/>
      <c r="F237" s="927"/>
      <c r="G237" s="927"/>
      <c r="H237" s="1002"/>
      <c r="I237" s="1048"/>
      <c r="J237" s="2176"/>
      <c r="K237" s="2176"/>
      <c r="L237" s="2176"/>
      <c r="M237" s="2176"/>
    </row>
    <row r="238" spans="1:13" ht="16">
      <c r="A238" s="3185" t="s">
        <v>3920</v>
      </c>
      <c r="B238" s="3185"/>
      <c r="C238" s="3185"/>
      <c r="D238" s="3185"/>
      <c r="E238" s="3185"/>
      <c r="F238" s="3185"/>
      <c r="G238" s="3185"/>
      <c r="H238" s="3185"/>
      <c r="I238" s="3185"/>
      <c r="J238" s="3185"/>
      <c r="K238" s="3185"/>
      <c r="L238" s="3186"/>
      <c r="M238" s="2263"/>
    </row>
    <row r="239" spans="1:13" ht="16">
      <c r="A239" s="3185"/>
      <c r="B239" s="3185"/>
      <c r="C239" s="3185"/>
      <c r="D239" s="3185"/>
      <c r="E239" s="3185"/>
      <c r="F239" s="3185"/>
      <c r="G239" s="3185"/>
      <c r="H239" s="3185"/>
      <c r="I239" s="3185"/>
      <c r="J239" s="3185"/>
      <c r="K239" s="3185"/>
      <c r="L239" s="3186"/>
      <c r="M239" s="2263"/>
    </row>
    <row r="240" spans="1:13" ht="16">
      <c r="A240" s="3210" t="s">
        <v>3570</v>
      </c>
      <c r="B240" s="3210"/>
      <c r="C240" s="3210"/>
      <c r="D240" s="3210"/>
      <c r="E240" s="3210"/>
      <c r="F240" s="3210"/>
      <c r="G240" s="3210" t="s">
        <v>3571</v>
      </c>
      <c r="H240" s="3210"/>
      <c r="I240" s="3210"/>
      <c r="J240" s="3210"/>
      <c r="K240" s="3210"/>
      <c r="L240" s="3210"/>
      <c r="M240" s="2263"/>
    </row>
    <row r="241" spans="1:13" ht="16">
      <c r="A241" s="2217" t="s">
        <v>1515</v>
      </c>
      <c r="B241" s="2217" t="s">
        <v>1800</v>
      </c>
      <c r="C241" s="2217" t="s">
        <v>293</v>
      </c>
      <c r="D241" s="2217" t="s">
        <v>1802</v>
      </c>
      <c r="E241" s="2217"/>
      <c r="F241" s="2217" t="s">
        <v>3572</v>
      </c>
      <c r="G241" s="2217" t="s">
        <v>2593</v>
      </c>
      <c r="H241" s="2217" t="s">
        <v>1800</v>
      </c>
      <c r="I241" s="2217" t="s">
        <v>293</v>
      </c>
      <c r="J241" s="2217" t="s">
        <v>1802</v>
      </c>
      <c r="K241" s="2217"/>
      <c r="L241" s="2217" t="s">
        <v>3573</v>
      </c>
      <c r="M241" s="2224"/>
    </row>
    <row r="242" spans="1:13" ht="16">
      <c r="A242" s="275" t="s">
        <v>2902</v>
      </c>
      <c r="B242" s="2308"/>
      <c r="C242" s="2308"/>
      <c r="D242" s="2308"/>
      <c r="E242" s="275"/>
      <c r="F242" s="275">
        <f>B242*C242*D242</f>
        <v>0</v>
      </c>
      <c r="G242" s="275" t="s">
        <v>2902</v>
      </c>
      <c r="H242" s="2308">
        <v>0.9</v>
      </c>
      <c r="I242" s="2308">
        <v>2</v>
      </c>
      <c r="J242" s="2308">
        <v>5</v>
      </c>
      <c r="K242" s="275"/>
      <c r="L242" s="275">
        <f>H242*I242*J242</f>
        <v>9</v>
      </c>
      <c r="M242" s="2224"/>
    </row>
    <row r="243" spans="1:13" ht="16">
      <c r="A243" s="275" t="s">
        <v>2903</v>
      </c>
      <c r="B243" s="2308"/>
      <c r="C243" s="2308"/>
      <c r="D243" s="2308"/>
      <c r="E243" s="275"/>
      <c r="F243" s="275">
        <f>B243*C243*D243</f>
        <v>0</v>
      </c>
      <c r="G243" s="275" t="s">
        <v>2903</v>
      </c>
      <c r="H243" s="2308">
        <v>1</v>
      </c>
      <c r="I243" s="2308">
        <v>2</v>
      </c>
      <c r="J243" s="2308">
        <v>2</v>
      </c>
      <c r="K243" s="275"/>
      <c r="L243" s="275">
        <f>H243*I243*J243</f>
        <v>4</v>
      </c>
      <c r="M243" s="2224"/>
    </row>
    <row r="244" spans="1:13" ht="16">
      <c r="A244" s="275" t="s">
        <v>2904</v>
      </c>
      <c r="B244" s="2308"/>
      <c r="C244" s="2308"/>
      <c r="D244" s="2308"/>
      <c r="E244" s="275"/>
      <c r="F244" s="275">
        <f>B244*C244*D244</f>
        <v>0</v>
      </c>
      <c r="G244" s="275" t="s">
        <v>2904</v>
      </c>
      <c r="H244" s="2308">
        <v>0.7</v>
      </c>
      <c r="I244" s="2308">
        <v>2</v>
      </c>
      <c r="J244" s="2308">
        <v>2</v>
      </c>
      <c r="K244" s="275"/>
      <c r="L244" s="275">
        <f>H244*I244*J244</f>
        <v>2.8</v>
      </c>
      <c r="M244" s="2224"/>
    </row>
    <row r="245" spans="1:13" ht="16">
      <c r="A245" s="275" t="s">
        <v>2905</v>
      </c>
      <c r="B245" s="2308"/>
      <c r="C245" s="2308"/>
      <c r="D245" s="2308"/>
      <c r="E245" s="275"/>
      <c r="F245" s="275">
        <f>B245*C245*D245</f>
        <v>0</v>
      </c>
      <c r="G245" s="275"/>
      <c r="H245" s="2308"/>
      <c r="I245" s="2308"/>
      <c r="J245" s="2308"/>
      <c r="K245" s="275"/>
      <c r="L245" s="275">
        <f>H245*I245*J245</f>
        <v>0</v>
      </c>
      <c r="M245" s="2224"/>
    </row>
    <row r="246" spans="1:13" ht="16">
      <c r="A246" s="3188" t="s">
        <v>3574</v>
      </c>
      <c r="B246" s="3188"/>
      <c r="C246" s="3188"/>
      <c r="D246" s="3188"/>
      <c r="E246" s="3188"/>
      <c r="F246" s="275">
        <f>SUM(F242:F245)</f>
        <v>0</v>
      </c>
      <c r="G246" s="3188" t="s">
        <v>3922</v>
      </c>
      <c r="H246" s="3188"/>
      <c r="I246" s="3188"/>
      <c r="J246" s="3188"/>
      <c r="K246" s="3188"/>
      <c r="L246" s="275">
        <f>SUM(L242:L244)</f>
        <v>15.8</v>
      </c>
      <c r="M246" s="2225"/>
    </row>
    <row r="247" spans="1:13" ht="16">
      <c r="A247" s="2217" t="s">
        <v>2069</v>
      </c>
      <c r="B247" s="2217" t="s">
        <v>209</v>
      </c>
      <c r="C247" s="2217" t="s">
        <v>273</v>
      </c>
      <c r="D247" s="2217" t="s">
        <v>1802</v>
      </c>
      <c r="E247" s="2217"/>
      <c r="F247" s="2217" t="s">
        <v>3581</v>
      </c>
      <c r="G247" s="2217" t="s">
        <v>1217</v>
      </c>
      <c r="H247" s="2217" t="s">
        <v>1800</v>
      </c>
      <c r="I247" s="2217" t="s">
        <v>293</v>
      </c>
      <c r="J247" s="2217" t="s">
        <v>1802</v>
      </c>
      <c r="K247" s="2217"/>
      <c r="L247" s="2217" t="s">
        <v>3573</v>
      </c>
      <c r="M247" s="2224"/>
    </row>
    <row r="248" spans="1:13" ht="16">
      <c r="A248" s="132" t="s">
        <v>2069</v>
      </c>
      <c r="B248" s="2308">
        <v>4</v>
      </c>
      <c r="C248" s="2308">
        <v>0.9</v>
      </c>
      <c r="D248" s="2308">
        <v>1</v>
      </c>
      <c r="E248" s="2308"/>
      <c r="F248" s="275">
        <f>B248*C248*D248</f>
        <v>3.6</v>
      </c>
      <c r="G248" s="275" t="s">
        <v>3582</v>
      </c>
      <c r="H248" s="2308">
        <v>1</v>
      </c>
      <c r="I248" s="2308">
        <v>2</v>
      </c>
      <c r="J248" s="2308">
        <v>2</v>
      </c>
      <c r="K248" s="275"/>
      <c r="L248" s="275">
        <f>H248*I248*J248</f>
        <v>4</v>
      </c>
      <c r="M248" s="2225"/>
    </row>
    <row r="249" spans="1:13" ht="16">
      <c r="A249" s="132"/>
      <c r="B249" s="132"/>
      <c r="C249" s="132"/>
      <c r="D249" s="132"/>
      <c r="E249" s="132"/>
      <c r="F249" s="275"/>
      <c r="G249" s="275" t="s">
        <v>1184</v>
      </c>
      <c r="H249" s="2308">
        <v>0.9</v>
      </c>
      <c r="I249" s="2308">
        <v>2</v>
      </c>
      <c r="J249" s="2308">
        <v>1</v>
      </c>
      <c r="K249" s="275"/>
      <c r="L249" s="275">
        <f>H249*I249*J249</f>
        <v>1.8</v>
      </c>
      <c r="M249" s="2225"/>
    </row>
    <row r="250" spans="1:13" ht="16">
      <c r="A250" s="3188" t="s">
        <v>3583</v>
      </c>
      <c r="B250" s="3188"/>
      <c r="C250" s="3188"/>
      <c r="D250" s="3188"/>
      <c r="E250" s="3188"/>
      <c r="F250" s="132">
        <f>F248</f>
        <v>3.6</v>
      </c>
      <c r="G250" s="3188" t="s">
        <v>3584</v>
      </c>
      <c r="H250" s="3188"/>
      <c r="I250" s="3188"/>
      <c r="J250" s="3188"/>
      <c r="K250" s="3188"/>
      <c r="L250" s="275">
        <f>SUM(L248:L249)</f>
        <v>5.8</v>
      </c>
      <c r="M250" s="2225"/>
    </row>
    <row r="251" spans="1:13" ht="16">
      <c r="A251" s="2229"/>
      <c r="B251" s="2229"/>
      <c r="C251" s="2229"/>
      <c r="D251" s="2229"/>
      <c r="E251" s="2229"/>
      <c r="F251" s="2401"/>
      <c r="G251" s="2233"/>
      <c r="H251" s="2233"/>
      <c r="I251" s="2233"/>
      <c r="J251" s="2233"/>
      <c r="K251" s="2233"/>
      <c r="L251" s="2402"/>
      <c r="M251" s="2225"/>
    </row>
    <row r="252" spans="1:13" ht="16">
      <c r="A252" s="3211" t="s">
        <v>4039</v>
      </c>
      <c r="B252" s="3212" t="s">
        <v>1800</v>
      </c>
      <c r="C252" s="3212"/>
      <c r="D252" s="3212" t="s">
        <v>853</v>
      </c>
      <c r="E252" s="3212"/>
      <c r="F252" s="2402"/>
      <c r="G252" s="2402"/>
      <c r="H252" s="2402"/>
      <c r="I252" s="2403"/>
      <c r="J252" s="2403"/>
      <c r="K252" s="2402"/>
      <c r="L252" s="2402"/>
      <c r="M252" s="2381"/>
    </row>
    <row r="253" spans="1:13">
      <c r="A253" s="3211"/>
      <c r="B253" s="3213">
        <f>'Ввод данных'!C11</f>
        <v>10</v>
      </c>
      <c r="C253" s="3213"/>
      <c r="D253" s="3213">
        <f>'Ввод данных'!C12</f>
        <v>10</v>
      </c>
      <c r="E253" s="3213"/>
      <c r="F253" s="2176"/>
      <c r="G253" s="2176"/>
      <c r="H253" s="2176"/>
      <c r="I253" s="2176"/>
      <c r="J253" s="2176"/>
      <c r="K253" s="2176"/>
      <c r="L253" s="2176"/>
      <c r="M253" s="2381"/>
    </row>
    <row r="254" spans="1:13" ht="16">
      <c r="A254" s="3211"/>
      <c r="B254" s="2404" t="s">
        <v>120</v>
      </c>
      <c r="C254" s="3214" t="s">
        <v>3924</v>
      </c>
      <c r="D254" s="3214"/>
      <c r="E254" s="2404" t="s">
        <v>1802</v>
      </c>
      <c r="F254" s="2402"/>
      <c r="G254" s="2402"/>
      <c r="H254" s="3215"/>
      <c r="I254" s="3215"/>
      <c r="J254" s="941"/>
      <c r="K254" s="941"/>
      <c r="L254" s="941"/>
      <c r="M254" s="2381"/>
    </row>
    <row r="255" spans="1:13" ht="16">
      <c r="A255" s="897"/>
      <c r="B255" s="2402"/>
      <c r="C255" s="2286"/>
      <c r="D255" s="2286"/>
      <c r="E255" s="941"/>
      <c r="F255" s="2402"/>
      <c r="G255" s="2405"/>
      <c r="H255" s="2405"/>
      <c r="I255" s="2402"/>
      <c r="J255" s="941"/>
      <c r="K255" s="941"/>
      <c r="L255" s="2402"/>
      <c r="M255" s="2381"/>
    </row>
    <row r="256" spans="1:13" ht="16">
      <c r="A256" s="897"/>
      <c r="B256" s="2402"/>
      <c r="C256" s="2286"/>
      <c r="D256" s="2286"/>
      <c r="E256" s="941"/>
      <c r="F256" s="2402"/>
      <c r="G256" s="2405"/>
      <c r="H256" s="2405"/>
      <c r="I256" s="2402"/>
      <c r="J256" s="941"/>
      <c r="K256" s="941"/>
      <c r="L256" s="2402"/>
      <c r="M256" s="2381"/>
    </row>
    <row r="257" spans="1:13">
      <c r="A257" s="2381"/>
      <c r="B257" s="2381"/>
      <c r="C257" s="2381"/>
      <c r="D257" s="2381"/>
      <c r="E257" s="2406"/>
      <c r="F257" s="2407"/>
      <c r="G257" s="2381"/>
      <c r="H257" s="2381"/>
      <c r="I257" s="2381"/>
      <c r="J257" s="2381"/>
      <c r="K257" s="2406"/>
      <c r="L257" s="2407"/>
      <c r="M257" s="2381"/>
    </row>
    <row r="258" spans="1:13" ht="16" outlineLevel="1">
      <c r="A258" s="3216" t="s">
        <v>852</v>
      </c>
      <c r="B258" s="3216"/>
      <c r="C258" s="3216"/>
      <c r="D258" s="3216"/>
      <c r="E258" s="3216"/>
      <c r="F258" s="3216"/>
      <c r="G258" s="3216"/>
      <c r="H258" s="3216"/>
      <c r="I258" s="3216"/>
      <c r="J258" s="3216"/>
      <c r="K258" s="3216"/>
      <c r="L258" s="2408"/>
      <c r="M258" s="2408"/>
    </row>
    <row r="259" spans="1:13" ht="16" outlineLevel="1">
      <c r="A259" s="3216"/>
      <c r="B259" s="3216"/>
      <c r="C259" s="3216"/>
      <c r="D259" s="3216"/>
      <c r="E259" s="3216"/>
      <c r="F259" s="3216"/>
      <c r="G259" s="3216"/>
      <c r="H259" s="3216"/>
      <c r="I259" s="3216"/>
      <c r="J259" s="3216"/>
      <c r="K259" s="3216"/>
      <c r="L259" s="2408"/>
      <c r="M259" s="2408"/>
    </row>
    <row r="260" spans="1:13" ht="16" outlineLevel="1">
      <c r="A260" s="3146" t="s">
        <v>1806</v>
      </c>
      <c r="B260" s="3146"/>
      <c r="C260" s="3146"/>
      <c r="D260" s="3146"/>
      <c r="E260" s="3146"/>
      <c r="F260" s="3146"/>
      <c r="G260" s="2409">
        <f>'Ввод данных'!E697</f>
        <v>1</v>
      </c>
      <c r="H260" s="2410">
        <f>'Ввод данных'!E698</f>
        <v>1</v>
      </c>
      <c r="I260" s="2410"/>
      <c r="J260" s="2410"/>
      <c r="K260" s="2410"/>
      <c r="L260" s="2411"/>
      <c r="M260" s="2411"/>
    </row>
    <row r="261" spans="1:13" ht="16" outlineLevel="1">
      <c r="A261" s="3146"/>
      <c r="B261" s="3146"/>
      <c r="C261" s="3146"/>
      <c r="D261" s="3146"/>
      <c r="E261" s="3146"/>
      <c r="F261" s="3146"/>
      <c r="G261" s="2412"/>
      <c r="H261" s="2410"/>
      <c r="I261" s="2410"/>
      <c r="J261" s="2410"/>
      <c r="K261" s="2410"/>
      <c r="L261" s="2411"/>
      <c r="M261" s="2411"/>
    </row>
    <row r="262" spans="1:13" ht="16" outlineLevel="1">
      <c r="A262" s="2413"/>
      <c r="B262" s="301"/>
      <c r="C262" s="2414"/>
      <c r="D262" s="301"/>
      <c r="E262" s="2414"/>
      <c r="F262" s="273"/>
      <c r="G262" s="3217"/>
      <c r="H262" s="3217"/>
      <c r="I262" s="3217"/>
      <c r="J262" s="3217"/>
      <c r="K262" s="3217"/>
      <c r="L262" s="3217"/>
      <c r="M262" s="3217"/>
    </row>
    <row r="263" spans="1:13" ht="16" outlineLevel="1">
      <c r="A263" s="2413" t="s">
        <v>4040</v>
      </c>
      <c r="B263" s="301" t="s">
        <v>156</v>
      </c>
      <c r="C263" s="275">
        <f>дома!C1113</f>
        <v>56</v>
      </c>
      <c r="D263" s="2415"/>
      <c r="E263" s="2415"/>
      <c r="F263" s="273"/>
      <c r="G263" s="273"/>
      <c r="H263" s="273"/>
      <c r="I263" s="273"/>
      <c r="J263" s="273"/>
      <c r="K263" s="273"/>
      <c r="L263" s="273"/>
      <c r="M263" s="273"/>
    </row>
    <row r="264" spans="1:13" ht="16" outlineLevel="1">
      <c r="A264" s="301" t="s">
        <v>3611</v>
      </c>
      <c r="B264" s="2416">
        <f>дома!O1343</f>
        <v>25</v>
      </c>
      <c r="C264" s="2408"/>
      <c r="D264" s="2408"/>
      <c r="E264" s="2408"/>
      <c r="F264" s="2408"/>
      <c r="G264" s="2408">
        <v>7500</v>
      </c>
      <c r="H264" s="2408">
        <f>G264*0.3</f>
        <v>2250</v>
      </c>
      <c r="I264" s="2408"/>
      <c r="J264" s="2408"/>
      <c r="K264" s="2408"/>
      <c r="L264" s="2408"/>
      <c r="M264" s="2408"/>
    </row>
    <row r="265" spans="1:13" ht="16" outlineLevel="1">
      <c r="A265" s="2417" t="s">
        <v>1447</v>
      </c>
      <c r="B265" s="2417" t="s">
        <v>3986</v>
      </c>
      <c r="C265" s="2417"/>
      <c r="D265" s="2414">
        <f>VLOOKUP('Ввод данных'!B704,связи1!A2:B3,2,0)</f>
        <v>1</v>
      </c>
      <c r="E265" s="2408"/>
      <c r="F265" s="2415"/>
      <c r="G265" s="2415"/>
      <c r="H265" s="2415"/>
      <c r="I265" s="2415"/>
      <c r="J265" s="2411"/>
      <c r="K265" s="2411"/>
      <c r="L265" s="2411"/>
      <c r="M265" s="2411"/>
    </row>
    <row r="266" spans="1:13" ht="16" outlineLevel="1">
      <c r="A266" s="2417" t="str">
        <f>связи1!F25</f>
        <v>Монтаж свай гидравлика</v>
      </c>
      <c r="B266" s="2417" t="s">
        <v>159</v>
      </c>
      <c r="C266" s="2418">
        <f>B264</f>
        <v>25</v>
      </c>
      <c r="D266" s="2414">
        <f>IF(A266='Ввод данных'!A703,1,0)</f>
        <v>1</v>
      </c>
      <c r="E266" s="2408">
        <f>VLOOKUP('Ввод данных'!A703,связи1!F25:G26,2,0)</f>
        <v>1</v>
      </c>
      <c r="F266" s="2415"/>
      <c r="G266" s="2415"/>
      <c r="H266" s="2415"/>
      <c r="I266" s="2415"/>
      <c r="J266" s="2411"/>
      <c r="K266" s="2411"/>
      <c r="L266" s="2411"/>
      <c r="M266" s="2411"/>
    </row>
    <row r="267" spans="1:13" ht="16" outlineLevel="1">
      <c r="A267" s="2417" t="str">
        <f>связи1!F26</f>
        <v>Монтаж свай вручную</v>
      </c>
      <c r="B267" s="2417" t="s">
        <v>159</v>
      </c>
      <c r="C267" s="2418">
        <f>B264</f>
        <v>25</v>
      </c>
      <c r="D267" s="2414">
        <f>IF(A267='Ввод данных'!A703,1,0)</f>
        <v>0</v>
      </c>
      <c r="E267" s="2408"/>
      <c r="F267" s="2415">
        <f>3.14*0.06*0.06*4</f>
        <v>4.5215999999999999E-2</v>
      </c>
      <c r="G267" s="2415"/>
      <c r="H267" s="2415"/>
      <c r="I267" s="2415"/>
      <c r="J267" s="2411"/>
      <c r="K267" s="2411"/>
      <c r="L267" s="2411"/>
      <c r="M267" s="2411"/>
    </row>
    <row r="268" spans="1:13" ht="16" outlineLevel="1">
      <c r="A268" s="2417" t="s">
        <v>2102</v>
      </c>
      <c r="B268" s="2417"/>
      <c r="C268" s="2417"/>
      <c r="D268" s="2414">
        <f>VLOOKUP('Ввод данных'!B705,связи1!A2:B3,2,0)</f>
        <v>1</v>
      </c>
      <c r="E268" s="2408"/>
      <c r="F268" s="2415"/>
      <c r="G268" s="2415"/>
      <c r="H268" s="2415"/>
      <c r="I268" s="2415"/>
      <c r="J268" s="2411"/>
      <c r="K268" s="2411"/>
      <c r="L268" s="2411"/>
      <c r="M268" s="2411"/>
    </row>
    <row r="269" spans="1:13" ht="16" outlineLevel="1">
      <c r="A269" s="3218" t="s">
        <v>2720</v>
      </c>
      <c r="B269" s="3218"/>
      <c r="C269" s="3218"/>
      <c r="D269" s="3218"/>
      <c r="E269" s="3218"/>
      <c r="F269" s="2402"/>
      <c r="G269" s="3218" t="s">
        <v>1409</v>
      </c>
      <c r="H269" s="3218"/>
      <c r="I269" s="3218"/>
      <c r="J269" s="3218"/>
      <c r="K269" s="3218"/>
      <c r="L269" s="3218"/>
      <c r="M269" s="2419"/>
    </row>
    <row r="270" spans="1:13" ht="16" outlineLevel="1">
      <c r="A270" s="2420"/>
      <c r="B270" s="275" t="s">
        <v>120</v>
      </c>
      <c r="C270" s="275" t="s">
        <v>1802</v>
      </c>
      <c r="D270" s="275" t="s">
        <v>1601</v>
      </c>
      <c r="E270" s="275" t="s">
        <v>2722</v>
      </c>
      <c r="F270" s="941"/>
      <c r="G270" s="3219"/>
      <c r="H270" s="3219"/>
      <c r="I270" s="275" t="s">
        <v>120</v>
      </c>
      <c r="J270" s="275" t="s">
        <v>1802</v>
      </c>
      <c r="K270" s="275" t="s">
        <v>1601</v>
      </c>
      <c r="L270" s="275" t="s">
        <v>2722</v>
      </c>
      <c r="M270" s="2419"/>
    </row>
    <row r="271" spans="1:13" ht="16" outlineLevel="1">
      <c r="A271" s="275" t="s">
        <v>1447</v>
      </c>
      <c r="B271" s="275" t="s">
        <v>159</v>
      </c>
      <c r="C271" s="179">
        <f>D265*G260</f>
        <v>1</v>
      </c>
      <c r="D271" s="275">
        <f>'Прайс лист'!G1636*G260</f>
        <v>5000</v>
      </c>
      <c r="E271" s="275">
        <f t="shared" ref="E271:E280" si="3">C271*D271</f>
        <v>5000</v>
      </c>
      <c r="F271" s="941"/>
      <c r="G271" s="3130" t="s">
        <v>4041</v>
      </c>
      <c r="H271" s="3130"/>
      <c r="I271" s="275" t="s">
        <v>159</v>
      </c>
      <c r="J271" s="275">
        <f>1*H260</f>
        <v>1</v>
      </c>
      <c r="K271" s="275">
        <f>'Прайс лист'!G1616</f>
        <v>7000</v>
      </c>
      <c r="L271" s="275">
        <f t="shared" ref="L271:L277" si="4">J271*K271</f>
        <v>7000</v>
      </c>
      <c r="M271" s="2419"/>
    </row>
    <row r="272" spans="1:13" ht="16" outlineLevel="1">
      <c r="A272" s="275" t="str">
        <f>'Ввод данных'!A701</f>
        <v>108мм, 2,5м длина, 1 лопасть</v>
      </c>
      <c r="B272" s="275" t="s">
        <v>159</v>
      </c>
      <c r="C272" s="179">
        <f>B264*G260</f>
        <v>25</v>
      </c>
      <c r="D272" s="275">
        <f>VLOOKUP(A272,'Прайс лист'!B908:G968,6,0)</f>
        <v>1950</v>
      </c>
      <c r="E272" s="275">
        <f t="shared" si="3"/>
        <v>48750</v>
      </c>
      <c r="F272" s="941"/>
      <c r="G272" s="3130" t="s">
        <v>4042</v>
      </c>
      <c r="H272" s="3130"/>
      <c r="I272" s="275" t="s">
        <v>159</v>
      </c>
      <c r="J272" s="275">
        <f>C266*D266*H260+C267*D267*H260</f>
        <v>25</v>
      </c>
      <c r="K272" s="275">
        <f>D266*'Прайс лист'!G1638+D267*'Прайс лист'!G1637</f>
        <v>1000</v>
      </c>
      <c r="L272" s="275">
        <f t="shared" si="4"/>
        <v>25000</v>
      </c>
      <c r="M272" s="2419"/>
    </row>
    <row r="273" spans="1:13" ht="16" outlineLevel="1">
      <c r="A273" s="275" t="str">
        <f>'Ввод данных'!A707</f>
        <v>Оголовкок для свай 200*200</v>
      </c>
      <c r="B273" s="275" t="s">
        <v>159</v>
      </c>
      <c r="C273" s="179">
        <f>C272*G260</f>
        <v>25</v>
      </c>
      <c r="D273" s="275">
        <f>VLOOKUP(A273,'Прайс лист'!B969:G972,6,0)</f>
        <v>250</v>
      </c>
      <c r="E273" s="275">
        <f t="shared" si="3"/>
        <v>6250</v>
      </c>
      <c r="F273" s="941"/>
      <c r="G273" s="3130" t="s">
        <v>1450</v>
      </c>
      <c r="H273" s="3130"/>
      <c r="I273" s="275" t="s">
        <v>159</v>
      </c>
      <c r="J273" s="275">
        <f>B264*H260</f>
        <v>25</v>
      </c>
      <c r="K273" s="275">
        <f>'Прайс лист'!G1639</f>
        <v>100</v>
      </c>
      <c r="L273" s="275">
        <f t="shared" si="4"/>
        <v>2500</v>
      </c>
      <c r="M273" s="2419"/>
    </row>
    <row r="274" spans="1:13" ht="16" outlineLevel="1">
      <c r="A274" s="275" t="s">
        <v>920</v>
      </c>
      <c r="B274" s="275" t="s">
        <v>156</v>
      </c>
      <c r="C274" s="179">
        <f>(E3+E3+E4+E4+F33+F34+F35+F36+F41+F42+F43+F44+C169*E132+C210*D172+C235*D220)*G260*D268</f>
        <v>56</v>
      </c>
      <c r="D274" s="275">
        <f>'Прайс лист'!G974</f>
        <v>100</v>
      </c>
      <c r="E274" s="275">
        <f t="shared" si="3"/>
        <v>5600</v>
      </c>
      <c r="F274" s="941"/>
      <c r="G274" s="3130" t="s">
        <v>920</v>
      </c>
      <c r="H274" s="3130"/>
      <c r="I274" s="275" t="s">
        <v>156</v>
      </c>
      <c r="J274" s="275">
        <f>C274*H260</f>
        <v>56</v>
      </c>
      <c r="K274" s="275">
        <f>'Прайс лист'!G1640</f>
        <v>100</v>
      </c>
      <c r="L274" s="275">
        <f t="shared" si="4"/>
        <v>5600</v>
      </c>
      <c r="M274" s="2419"/>
    </row>
    <row r="275" spans="1:13" ht="16" outlineLevel="1">
      <c r="A275" s="275" t="str">
        <f>'Прайс лист'!B229</f>
        <v>Раствор, м200</v>
      </c>
      <c r="B275" s="275" t="s">
        <v>135</v>
      </c>
      <c r="C275" s="179">
        <f>C272*F267*VLOOKUP('Ввод данных'!B706,связи1!A2:B3,2,0)</f>
        <v>1.1304000000000001</v>
      </c>
      <c r="D275" s="275">
        <f>'Прайс лист'!G229</f>
        <v>2100</v>
      </c>
      <c r="E275" s="275">
        <f t="shared" si="3"/>
        <v>2373.84</v>
      </c>
      <c r="F275" s="941"/>
      <c r="G275" s="3130" t="s">
        <v>4043</v>
      </c>
      <c r="H275" s="3130"/>
      <c r="I275" s="275" t="s">
        <v>159</v>
      </c>
      <c r="J275" s="275">
        <f>B264*VLOOKUP('Ввод данных'!B706,связи1!A2:B3,2,0)</f>
        <v>25</v>
      </c>
      <c r="K275" s="275">
        <f>'Прайс лист'!G1641</f>
        <v>200</v>
      </c>
      <c r="L275" s="275">
        <f t="shared" si="4"/>
        <v>5000</v>
      </c>
      <c r="M275" s="2419"/>
    </row>
    <row r="276" spans="1:13" ht="16" outlineLevel="1">
      <c r="A276" s="2421" t="str">
        <f>'Прайс лист'!B221</f>
        <v>Электроды ок 47</v>
      </c>
      <c r="B276" s="2421" t="str">
        <f>'Прайс лист'!C221</f>
        <v>шт</v>
      </c>
      <c r="C276" s="2422">
        <f>C273</f>
        <v>25</v>
      </c>
      <c r="D276" s="1055">
        <f>'Прайс лист'!G221</f>
        <v>10</v>
      </c>
      <c r="E276" s="275">
        <f t="shared" si="3"/>
        <v>250</v>
      </c>
      <c r="F276" s="941"/>
      <c r="G276" s="2301" t="s">
        <v>1436</v>
      </c>
      <c r="H276" s="2259"/>
      <c r="I276" s="275" t="s">
        <v>159</v>
      </c>
      <c r="J276" s="275">
        <f>C272</f>
        <v>25</v>
      </c>
      <c r="K276" s="275">
        <f>'Прайс лист'!G1623</f>
        <v>200</v>
      </c>
      <c r="L276" s="275">
        <f t="shared" si="4"/>
        <v>5000</v>
      </c>
      <c r="M276" s="2419"/>
    </row>
    <row r="277" spans="1:13" ht="16" outlineLevel="1">
      <c r="A277" s="101" t="str">
        <f>'Ввод данных'!A709</f>
        <v>Нет техники</v>
      </c>
      <c r="B277" s="101" t="str">
        <f>'Ввод данных'!B709</f>
        <v>ед.</v>
      </c>
      <c r="C277" s="2423">
        <f>'Ввод данных'!C709</f>
        <v>1</v>
      </c>
      <c r="D277" s="275">
        <f>VLOOKUP(A277,'Прайс лист'!B180:G194,6,0)</f>
        <v>0</v>
      </c>
      <c r="E277" s="275">
        <f t="shared" si="3"/>
        <v>0</v>
      </c>
      <c r="F277" s="941"/>
      <c r="G277" s="2301" t="s">
        <v>1437</v>
      </c>
      <c r="H277" s="2259"/>
      <c r="I277" s="275" t="s">
        <v>159</v>
      </c>
      <c r="J277" s="275">
        <f>C273</f>
        <v>25</v>
      </c>
      <c r="K277" s="275">
        <f>'Прайс лист'!G1624</f>
        <v>250</v>
      </c>
      <c r="L277" s="275">
        <f t="shared" si="4"/>
        <v>6250</v>
      </c>
      <c r="M277" s="2419"/>
    </row>
    <row r="278" spans="1:13" ht="16" outlineLevel="1">
      <c r="A278" s="101" t="str">
        <f>'Ввод данных'!A710</f>
        <v>Нет техники</v>
      </c>
      <c r="B278" s="101" t="str">
        <f>'Ввод данных'!B710</f>
        <v>ед.</v>
      </c>
      <c r="C278" s="2423">
        <f>'Ввод данных'!C710</f>
        <v>0</v>
      </c>
      <c r="D278" s="275">
        <f>VLOOKUP(A278,'Прайс лист'!B180:G194,6,0)</f>
        <v>0</v>
      </c>
      <c r="E278" s="275">
        <f t="shared" si="3"/>
        <v>0</v>
      </c>
      <c r="F278" s="941"/>
      <c r="G278" s="2258"/>
      <c r="H278" s="2259"/>
      <c r="I278" s="275"/>
      <c r="J278" s="275"/>
      <c r="K278" s="275"/>
      <c r="L278" s="275"/>
      <c r="M278" s="2419"/>
    </row>
    <row r="279" spans="1:13" ht="16" outlineLevel="1">
      <c r="A279" s="98" t="str">
        <f>'Ввод данных'!A711</f>
        <v>Нет техники</v>
      </c>
      <c r="B279" s="98" t="str">
        <f>'Ввод данных'!B711</f>
        <v>ед.</v>
      </c>
      <c r="C279" s="100">
        <f>'Ввод данных'!C711</f>
        <v>0</v>
      </c>
      <c r="D279" s="275">
        <f>VLOOKUP(A279,'Прайс лист'!B180:G194,6,0)</f>
        <v>0</v>
      </c>
      <c r="E279" s="275">
        <f t="shared" si="3"/>
        <v>0</v>
      </c>
      <c r="F279" s="941"/>
      <c r="G279" s="3199"/>
      <c r="H279" s="3199"/>
      <c r="I279" s="275"/>
      <c r="J279" s="275"/>
      <c r="K279" s="275"/>
      <c r="L279" s="275"/>
      <c r="M279" s="2419"/>
    </row>
    <row r="280" spans="1:13" ht="16" outlineLevel="1">
      <c r="A280" s="98" t="str">
        <f>'Ввод данных'!A712</f>
        <v>Расходные материалы винтовые сваи</v>
      </c>
      <c r="B280" s="98" t="str">
        <f>'Ввод данных'!B712</f>
        <v>рублей</v>
      </c>
      <c r="C280" s="100">
        <f>1</f>
        <v>1</v>
      </c>
      <c r="D280" s="275">
        <f>'Ввод данных'!C712</f>
        <v>6000</v>
      </c>
      <c r="E280" s="275">
        <f t="shared" si="3"/>
        <v>6000</v>
      </c>
      <c r="F280" s="941"/>
      <c r="G280" s="2260"/>
      <c r="H280" s="2261"/>
      <c r="I280" s="275"/>
      <c r="J280" s="275"/>
      <c r="K280" s="275"/>
      <c r="L280" s="275"/>
      <c r="M280" s="2419"/>
    </row>
    <row r="281" spans="1:13" ht="16" outlineLevel="1">
      <c r="A281" s="2176"/>
      <c r="B281" s="2176"/>
      <c r="C281" s="2176"/>
      <c r="D281" s="2176"/>
      <c r="E281" s="2301">
        <f>SUM(E271:E280)</f>
        <v>74223.839999999997</v>
      </c>
      <c r="F281" s="941"/>
      <c r="G281" s="2424"/>
      <c r="H281" s="2425"/>
      <c r="I281" s="2301"/>
      <c r="J281" s="2301"/>
      <c r="K281" s="2301"/>
      <c r="L281" s="2301"/>
      <c r="M281" s="2419"/>
    </row>
    <row r="282" spans="1:13" ht="16" outlineLevel="1">
      <c r="A282" s="2176"/>
      <c r="B282" s="2176"/>
      <c r="C282" s="2176"/>
      <c r="D282" s="2176"/>
      <c r="E282" s="941"/>
      <c r="F282" s="941"/>
      <c r="G282" s="2286"/>
      <c r="H282" s="2286"/>
      <c r="I282" s="941"/>
      <c r="J282" s="941"/>
      <c r="K282" s="941"/>
      <c r="L282" s="941"/>
      <c r="M282" s="2419"/>
    </row>
    <row r="283" spans="1:13" ht="16" outlineLevel="1">
      <c r="A283" s="969" t="str">
        <f>A263</f>
        <v>количество свай</v>
      </c>
      <c r="B283" s="969">
        <f>CEILING(IF('Ввод данных'!C522&lt;=2,2,IF('Ввод данных'!C522&gt;2,('Ввод данных'!C522/2+1)))+IF('Ввод данных'!C523&lt;=2,2,IF('Ввод данных'!C523&gt;2,('Ввод данных'!C523/2+1)*2)),1)</f>
        <v>8</v>
      </c>
      <c r="C283" s="969"/>
      <c r="D283" s="969"/>
      <c r="E283" s="941"/>
      <c r="F283" s="941"/>
      <c r="G283" s="2286"/>
      <c r="H283" s="2286"/>
      <c r="I283" s="941"/>
      <c r="J283" s="941"/>
      <c r="K283" s="941"/>
      <c r="L283" s="941"/>
      <c r="M283" s="2419"/>
    </row>
    <row r="284" spans="1:13" ht="16" outlineLevel="1">
      <c r="A284" s="969" t="str">
        <f>A265</f>
        <v>пробное забуривание</v>
      </c>
      <c r="B284" s="969">
        <f>VLOOKUP('Ввод данных'!B534,связи1!A2:B3,2,0)</f>
        <v>1</v>
      </c>
      <c r="C284" s="969"/>
      <c r="D284" s="969"/>
      <c r="E284" s="941"/>
      <c r="F284" s="941"/>
      <c r="G284" s="2286"/>
      <c r="H284" s="2286"/>
      <c r="I284" s="941"/>
      <c r="J284" s="941"/>
      <c r="K284" s="941"/>
      <c r="L284" s="941"/>
      <c r="M284" s="2419"/>
    </row>
    <row r="285" spans="1:13" ht="16" outlineLevel="1">
      <c r="A285" s="969" t="str">
        <f>A266</f>
        <v>Монтаж свай гидравлика</v>
      </c>
      <c r="B285" s="969">
        <f>VLOOKUP('Ввод данных'!B535,связи1!A2:B3,2,0)</f>
        <v>1</v>
      </c>
      <c r="C285" s="969"/>
      <c r="D285" s="969"/>
      <c r="E285" s="941"/>
      <c r="F285" s="941"/>
      <c r="G285" s="2286"/>
      <c r="H285" s="2286"/>
      <c r="I285" s="941"/>
      <c r="J285" s="941"/>
      <c r="K285" s="941"/>
      <c r="L285" s="941"/>
      <c r="M285" s="2419"/>
    </row>
    <row r="286" spans="1:13" ht="16" outlineLevel="1">
      <c r="A286" s="969" t="str">
        <f>A268</f>
        <v>обвязка металлом, 20/40/3000</v>
      </c>
      <c r="B286" s="969">
        <f>VLOOKUP('Ввод данных'!B535,связи1!A2:B3,2,0)</f>
        <v>1</v>
      </c>
      <c r="C286" s="969"/>
      <c r="D286" s="969"/>
      <c r="E286" s="941"/>
      <c r="F286" s="941"/>
      <c r="G286" s="2286"/>
      <c r="H286" s="2286"/>
      <c r="I286" s="941"/>
      <c r="J286" s="941"/>
      <c r="K286" s="941"/>
      <c r="L286" s="941"/>
      <c r="M286" s="2419"/>
    </row>
    <row r="287" spans="1:13" ht="16" outlineLevel="1">
      <c r="A287" s="2176" t="s">
        <v>4044</v>
      </c>
      <c r="B287" s="2176">
        <f>IF('Ввод данных'!A529=связи1!A481,1,0)</f>
        <v>1</v>
      </c>
      <c r="C287" s="2176"/>
      <c r="D287" s="2176"/>
      <c r="E287" s="941"/>
      <c r="F287" s="941"/>
      <c r="G287" s="2286"/>
      <c r="H287" s="2286"/>
      <c r="I287" s="941"/>
      <c r="J287" s="941"/>
      <c r="K287" s="941"/>
      <c r="L287" s="941"/>
      <c r="M287" s="2419"/>
    </row>
    <row r="288" spans="1:13" ht="16" outlineLevel="1">
      <c r="A288" s="2176" t="s">
        <v>4043</v>
      </c>
      <c r="B288" s="2176">
        <f>VLOOKUP('Ввод данных'!B536,связи1!A2:B3,2,0)</f>
        <v>1</v>
      </c>
      <c r="C288" s="2176"/>
      <c r="D288" s="2176"/>
      <c r="E288" s="941"/>
      <c r="F288" s="941"/>
      <c r="G288" s="2286"/>
      <c r="H288" s="2286"/>
      <c r="I288" s="941"/>
      <c r="J288" s="941"/>
      <c r="K288" s="941"/>
      <c r="L288" s="941"/>
      <c r="M288" s="2419"/>
    </row>
    <row r="289" spans="1:13" s="2426" customFormat="1" ht="16" outlineLevel="1">
      <c r="A289" s="3220" t="s">
        <v>4045</v>
      </c>
      <c r="B289" s="3220"/>
      <c r="C289" s="3220"/>
      <c r="D289" s="3220"/>
      <c r="E289" s="3220"/>
      <c r="F289" s="941"/>
      <c r="G289" s="2286"/>
      <c r="H289" s="2286"/>
      <c r="I289" s="941"/>
      <c r="J289" s="941"/>
      <c r="K289" s="941"/>
      <c r="L289" s="941"/>
      <c r="M289" s="2176"/>
    </row>
    <row r="290" spans="1:13" s="2426" customFormat="1" ht="16" outlineLevel="1">
      <c r="A290" s="2427" t="str">
        <f>A271</f>
        <v>пробное забуривание</v>
      </c>
      <c r="B290" s="2427" t="str">
        <f>B271</f>
        <v>шт</v>
      </c>
      <c r="C290" s="969">
        <f>B284</f>
        <v>1</v>
      </c>
      <c r="D290" s="2427">
        <f>D271</f>
        <v>5000</v>
      </c>
      <c r="E290" s="275">
        <f>C290*D290*B287</f>
        <v>5000</v>
      </c>
      <c r="F290" s="941"/>
      <c r="G290" s="98" t="str">
        <f>G271</f>
        <v>разбивка осей</v>
      </c>
      <c r="H290" s="99"/>
      <c r="I290" s="275" t="str">
        <f t="shared" ref="I290:I296" si="5">I271</f>
        <v>шт</v>
      </c>
      <c r="J290" s="275">
        <v>1</v>
      </c>
      <c r="K290" s="275">
        <f>K271</f>
        <v>7000</v>
      </c>
      <c r="L290" s="275">
        <f>J290*K290*B287</f>
        <v>7000</v>
      </c>
      <c r="M290" s="2176"/>
    </row>
    <row r="291" spans="1:13" s="2426" customFormat="1" ht="16" outlineLevel="1">
      <c r="A291" s="969" t="str">
        <f>'Ввод данных'!A531</f>
        <v>76мм, 3,5м длина, 2 лопасть</v>
      </c>
      <c r="B291" s="2427" t="str">
        <f>B272</f>
        <v>шт</v>
      </c>
      <c r="C291" s="969">
        <f>B283</f>
        <v>8</v>
      </c>
      <c r="D291" s="969">
        <f>VLOOKUP(A291,'Прайс лист'!B908:G968,6,0)</f>
        <v>2130</v>
      </c>
      <c r="E291" s="275">
        <f>C291*D291*B287</f>
        <v>17040</v>
      </c>
      <c r="F291" s="941"/>
      <c r="G291" s="98" t="str">
        <f>'Ввод данных'!A533</f>
        <v>монтаж свай гидравликой</v>
      </c>
      <c r="H291" s="99"/>
      <c r="I291" s="275" t="str">
        <f t="shared" si="5"/>
        <v>шт</v>
      </c>
      <c r="J291" s="275">
        <v>1</v>
      </c>
      <c r="K291" s="275">
        <f>VLOOKUP(G291,связи1!A483:B484,2,0)</f>
        <v>1000</v>
      </c>
      <c r="L291" s="275">
        <f>J291*K291*B287</f>
        <v>1000</v>
      </c>
      <c r="M291" s="2176"/>
    </row>
    <row r="292" spans="1:13" s="2426" customFormat="1" ht="16" outlineLevel="1">
      <c r="A292" s="969" t="str">
        <f>'Ввод данных'!A537</f>
        <v>Оголовкок для свай 250*250</v>
      </c>
      <c r="B292" s="2427" t="str">
        <f>B273</f>
        <v>шт</v>
      </c>
      <c r="C292" s="969">
        <f>C291</f>
        <v>8</v>
      </c>
      <c r="D292" s="969">
        <f>VLOOKUP(A292,'Прайс лист'!B969:G972,6,0)</f>
        <v>300</v>
      </c>
      <c r="E292" s="275">
        <f>C292*D292*B287</f>
        <v>2400</v>
      </c>
      <c r="F292" s="941"/>
      <c r="G292" s="98" t="str">
        <f>G273</f>
        <v>монтаж оголовков</v>
      </c>
      <c r="H292" s="99"/>
      <c r="I292" s="275" t="str">
        <f t="shared" si="5"/>
        <v>шт</v>
      </c>
      <c r="J292" s="275">
        <f>C292</f>
        <v>8</v>
      </c>
      <c r="K292" s="275">
        <f>K273</f>
        <v>100</v>
      </c>
      <c r="L292" s="275">
        <f>J292*K292*B287</f>
        <v>800</v>
      </c>
      <c r="M292" s="2176"/>
    </row>
    <row r="293" spans="1:13" s="2426" customFormat="1" ht="16" outlineLevel="1">
      <c r="A293" s="969" t="str">
        <f>'Ввод данных'!A535</f>
        <v>обвязка металлом, 20/40/3000</v>
      </c>
      <c r="B293" s="2427" t="str">
        <f>B274</f>
        <v>м.п.</v>
      </c>
      <c r="C293" s="969">
        <f>B283*B286</f>
        <v>8</v>
      </c>
      <c r="D293" s="2427">
        <f>'Прайс лист'!G974</f>
        <v>100</v>
      </c>
      <c r="E293" s="275">
        <f>C293*D293*B287</f>
        <v>800</v>
      </c>
      <c r="F293" s="941"/>
      <c r="G293" s="98" t="str">
        <f>G274</f>
        <v>обвязка металлом</v>
      </c>
      <c r="H293" s="99"/>
      <c r="I293" s="275" t="str">
        <f t="shared" si="5"/>
        <v>м.п.</v>
      </c>
      <c r="J293" s="275">
        <f>C293</f>
        <v>8</v>
      </c>
      <c r="K293" s="275">
        <f>K274</f>
        <v>100</v>
      </c>
      <c r="L293" s="275">
        <f>J293*K293*B287</f>
        <v>800</v>
      </c>
      <c r="M293" s="2176"/>
    </row>
    <row r="294" spans="1:13" s="2426" customFormat="1" ht="16" outlineLevel="1">
      <c r="A294" s="2427" t="str">
        <f>A275</f>
        <v>Раствор, м200</v>
      </c>
      <c r="B294" s="2427" t="str">
        <f>B275</f>
        <v>м3</v>
      </c>
      <c r="C294" s="969">
        <f>C291*F267*B288</f>
        <v>0.36172799999999999</v>
      </c>
      <c r="D294" s="2427">
        <f>D275</f>
        <v>2100</v>
      </c>
      <c r="E294" s="275">
        <f>C294*D294*B287</f>
        <v>759.62879999999996</v>
      </c>
      <c r="F294" s="941"/>
      <c r="G294" s="98" t="str">
        <f>G275</f>
        <v>заливка бетоном</v>
      </c>
      <c r="H294" s="99"/>
      <c r="I294" s="275" t="str">
        <f t="shared" si="5"/>
        <v>шт</v>
      </c>
      <c r="J294" s="275">
        <f>C291*B288</f>
        <v>8</v>
      </c>
      <c r="K294" s="275">
        <f>K275</f>
        <v>200</v>
      </c>
      <c r="L294" s="275">
        <f>J294*K294*B287</f>
        <v>1600</v>
      </c>
      <c r="M294" s="2176"/>
    </row>
    <row r="295" spans="1:13" s="2426" customFormat="1" ht="16" outlineLevel="1">
      <c r="A295" s="969" t="str">
        <f>A276</f>
        <v>Электроды ок 47</v>
      </c>
      <c r="B295" s="2427" t="str">
        <f>B276</f>
        <v>шт</v>
      </c>
      <c r="C295" s="969">
        <f>C291</f>
        <v>8</v>
      </c>
      <c r="D295" s="2427">
        <f>D276</f>
        <v>10</v>
      </c>
      <c r="E295" s="275">
        <f>C295*D295*B287</f>
        <v>80</v>
      </c>
      <c r="F295" s="941"/>
      <c r="G295" s="98" t="str">
        <f>G276</f>
        <v>Обрезка винтовых свай по невелиру</v>
      </c>
      <c r="H295" s="99"/>
      <c r="I295" s="275" t="str">
        <f t="shared" si="5"/>
        <v>шт</v>
      </c>
      <c r="J295" s="275">
        <f>C291</f>
        <v>8</v>
      </c>
      <c r="K295" s="275">
        <f>K276</f>
        <v>200</v>
      </c>
      <c r="L295" s="275">
        <f>J295*K295*B287</f>
        <v>1600</v>
      </c>
      <c r="M295" s="2176"/>
    </row>
    <row r="296" spans="1:13" s="2426" customFormat="1" ht="16" outlineLevel="1">
      <c r="A296" s="969"/>
      <c r="B296" s="969"/>
      <c r="C296" s="969"/>
      <c r="D296" s="969"/>
      <c r="E296" s="275"/>
      <c r="F296" s="941"/>
      <c r="G296" s="98" t="str">
        <f>G277</f>
        <v>Наварка оголовка</v>
      </c>
      <c r="H296" s="99"/>
      <c r="I296" s="275" t="str">
        <f t="shared" si="5"/>
        <v>шт</v>
      </c>
      <c r="J296" s="275">
        <f>C292</f>
        <v>8</v>
      </c>
      <c r="K296" s="275">
        <f>K277</f>
        <v>250</v>
      </c>
      <c r="L296" s="275">
        <f>J296*K296*B287</f>
        <v>2000</v>
      </c>
      <c r="M296" s="2176"/>
    </row>
    <row r="297" spans="1:13" s="2426" customFormat="1" ht="16" outlineLevel="1">
      <c r="A297" s="2176"/>
      <c r="B297" s="2176"/>
      <c r="C297" s="2176"/>
      <c r="D297" s="2176"/>
      <c r="E297" s="941"/>
      <c r="F297" s="941"/>
      <c r="G297" s="2286"/>
      <c r="H297" s="2286"/>
      <c r="I297" s="941"/>
      <c r="J297" s="941"/>
      <c r="K297" s="941"/>
      <c r="L297" s="941"/>
      <c r="M297" s="2176"/>
    </row>
    <row r="298" spans="1:13" s="2426" customFormat="1" ht="16" outlineLevel="1">
      <c r="A298" s="2176" t="str">
        <f t="shared" ref="A298:A303" si="6">A283</f>
        <v>количество свай</v>
      </c>
      <c r="B298" s="2176">
        <f>CEILING(IF('Ввод данных'!C624&lt;=2,2,IF('Ввод данных'!C624&gt;2,('Ввод данных'!C624/2+1)))+IF('Ввод данных'!C625&lt;=2,2,IF('Ввод данных'!C625&gt;2,('Ввод данных'!C625/2+1)*2)),1)</f>
        <v>5</v>
      </c>
      <c r="C298" s="2176"/>
      <c r="D298" s="2176"/>
      <c r="E298" s="941"/>
      <c r="F298" s="941"/>
      <c r="G298" s="2286"/>
      <c r="H298" s="2286"/>
      <c r="I298" s="941"/>
      <c r="J298" s="941"/>
      <c r="K298" s="941"/>
      <c r="L298" s="941"/>
      <c r="M298" s="2176"/>
    </row>
    <row r="299" spans="1:13" s="2426" customFormat="1" ht="16" outlineLevel="1">
      <c r="A299" s="2176" t="str">
        <f t="shared" si="6"/>
        <v>пробное забуривание</v>
      </c>
      <c r="B299" s="2176">
        <f>VLOOKUP('Ввод данных'!B666,связи1!A2:B3,2,0)</f>
        <v>1</v>
      </c>
      <c r="C299" s="2176"/>
      <c r="D299" s="2176"/>
      <c r="E299" s="941"/>
      <c r="F299" s="941"/>
      <c r="G299" s="2286"/>
      <c r="H299" s="2286"/>
      <c r="I299" s="941"/>
      <c r="J299" s="941"/>
      <c r="K299" s="941"/>
      <c r="L299" s="941"/>
      <c r="M299" s="2176"/>
    </row>
    <row r="300" spans="1:13" s="2426" customFormat="1" ht="16" outlineLevel="1">
      <c r="A300" s="2176" t="str">
        <f t="shared" si="6"/>
        <v>Монтаж свай гидравлика</v>
      </c>
      <c r="B300" s="2176"/>
      <c r="C300" s="2176"/>
      <c r="D300" s="2176"/>
      <c r="E300" s="941"/>
      <c r="F300" s="941"/>
      <c r="G300" s="2286"/>
      <c r="H300" s="2286"/>
      <c r="I300" s="941"/>
      <c r="J300" s="941"/>
      <c r="K300" s="941"/>
      <c r="L300" s="941"/>
      <c r="M300" s="2176"/>
    </row>
    <row r="301" spans="1:13" s="2426" customFormat="1" ht="16" outlineLevel="1">
      <c r="A301" s="2176" t="str">
        <f t="shared" si="6"/>
        <v>обвязка металлом, 20/40/3000</v>
      </c>
      <c r="B301" s="2176">
        <f>VLOOKUP('Ввод данных'!B667,связи1!A2:B3,2,0)</f>
        <v>1</v>
      </c>
      <c r="C301" s="2176"/>
      <c r="D301" s="2176"/>
      <c r="E301" s="941"/>
      <c r="F301" s="941"/>
      <c r="G301" s="2286"/>
      <c r="H301" s="2286"/>
      <c r="I301" s="941"/>
      <c r="J301" s="941"/>
      <c r="K301" s="941"/>
      <c r="L301" s="941"/>
      <c r="M301" s="2176"/>
    </row>
    <row r="302" spans="1:13" s="2426" customFormat="1" ht="16" outlineLevel="1">
      <c r="A302" s="2176" t="str">
        <f t="shared" si="6"/>
        <v>если винтовые сваи</v>
      </c>
      <c r="B302" s="2176">
        <f>IF('Ввод данных'!A661=связи1!A481,1,0)*IF('Ввод данных'!F693=связи1!A2,1,0)</f>
        <v>0</v>
      </c>
      <c r="C302" s="2176"/>
      <c r="D302" s="2176"/>
      <c r="E302" s="941"/>
      <c r="F302" s="941"/>
      <c r="G302" s="2286"/>
      <c r="H302" s="2286"/>
      <c r="I302" s="941"/>
      <c r="J302" s="941"/>
      <c r="K302" s="941"/>
      <c r="L302" s="941"/>
      <c r="M302" s="2176"/>
    </row>
    <row r="303" spans="1:13" s="2426" customFormat="1" ht="16" outlineLevel="1">
      <c r="A303" s="2176" t="str">
        <f t="shared" si="6"/>
        <v>заливка бетоном</v>
      </c>
      <c r="B303" s="2176">
        <f>VLOOKUP('Ввод данных'!B668,связи1!A2:B3,2,0)</f>
        <v>1</v>
      </c>
      <c r="C303" s="2176"/>
      <c r="D303" s="2176"/>
      <c r="E303" s="941"/>
      <c r="F303" s="941"/>
      <c r="G303" s="2286"/>
      <c r="H303" s="2286"/>
      <c r="I303" s="941"/>
      <c r="J303" s="941"/>
      <c r="K303" s="941"/>
      <c r="L303" s="941"/>
      <c r="M303" s="2176"/>
    </row>
    <row r="304" spans="1:13" s="2426" customFormat="1" ht="16" outlineLevel="1">
      <c r="A304" s="3196" t="s">
        <v>4046</v>
      </c>
      <c r="B304" s="3196"/>
      <c r="C304" s="3196"/>
      <c r="D304" s="3196"/>
      <c r="E304" s="3196"/>
      <c r="F304" s="941"/>
      <c r="G304" s="98" t="str">
        <f>G290</f>
        <v>разбивка осей</v>
      </c>
      <c r="H304" s="99"/>
      <c r="I304" s="275" t="str">
        <f t="shared" ref="I304:I310" si="7">I290</f>
        <v>шт</v>
      </c>
      <c r="J304" s="275">
        <v>1</v>
      </c>
      <c r="K304" s="275">
        <f>K290</f>
        <v>7000</v>
      </c>
      <c r="L304" s="275">
        <f>J304*K304*B302</f>
        <v>0</v>
      </c>
      <c r="M304" s="2176"/>
    </row>
    <row r="305" spans="1:13" s="2426" customFormat="1" ht="16" outlineLevel="1">
      <c r="A305" s="2427" t="str">
        <f>A290</f>
        <v>пробное забуривание</v>
      </c>
      <c r="B305" s="2427" t="str">
        <f>B290</f>
        <v>шт</v>
      </c>
      <c r="C305" s="969">
        <f>B299</f>
        <v>1</v>
      </c>
      <c r="D305" s="2427">
        <f>D290</f>
        <v>5000</v>
      </c>
      <c r="E305" s="275">
        <f>C305*D305*B302</f>
        <v>0</v>
      </c>
      <c r="F305" s="941"/>
      <c r="G305" s="98" t="str">
        <f>'Ввод данных'!A665</f>
        <v>монтаж свай гидравликой</v>
      </c>
      <c r="H305" s="99"/>
      <c r="I305" s="275" t="str">
        <f t="shared" si="7"/>
        <v>шт</v>
      </c>
      <c r="J305" s="275">
        <f>B298</f>
        <v>5</v>
      </c>
      <c r="K305" s="275">
        <f>VLOOKUP('Ввод данных'!A665,связи1!A483:B484,2,0)</f>
        <v>1000</v>
      </c>
      <c r="L305" s="275">
        <f>J305*K305*B302</f>
        <v>0</v>
      </c>
      <c r="M305" s="2176"/>
    </row>
    <row r="306" spans="1:13" s="2426" customFormat="1" ht="16" outlineLevel="1">
      <c r="A306" s="969" t="str">
        <f>'Ввод данных'!A663</f>
        <v>89мм, 4,5м длина, 2 лопасть</v>
      </c>
      <c r="B306" s="2427" t="str">
        <f>B291</f>
        <v>шт</v>
      </c>
      <c r="C306" s="969">
        <f>B298</f>
        <v>5</v>
      </c>
      <c r="D306" s="969">
        <f>VLOOKUP(A306,'Прайс лист'!B908:G968,6,0)</f>
        <v>2760</v>
      </c>
      <c r="E306" s="275">
        <f>C306*D306*B302</f>
        <v>0</v>
      </c>
      <c r="F306" s="941"/>
      <c r="G306" s="98" t="str">
        <f>G292</f>
        <v>монтаж оголовков</v>
      </c>
      <c r="H306" s="99"/>
      <c r="I306" s="275" t="str">
        <f t="shared" si="7"/>
        <v>шт</v>
      </c>
      <c r="J306" s="275">
        <f>C307</f>
        <v>5</v>
      </c>
      <c r="K306" s="275">
        <f>K292</f>
        <v>100</v>
      </c>
      <c r="L306" s="275">
        <f>J306*K306*B302</f>
        <v>0</v>
      </c>
      <c r="M306" s="2176"/>
    </row>
    <row r="307" spans="1:13" s="2426" customFormat="1" ht="16" outlineLevel="1">
      <c r="A307" s="969" t="str">
        <f>'Ввод данных'!A669</f>
        <v>Оголовкок для свай 200*200</v>
      </c>
      <c r="B307" s="2427" t="str">
        <f>B292</f>
        <v>шт</v>
      </c>
      <c r="C307" s="969">
        <f>B298</f>
        <v>5</v>
      </c>
      <c r="D307" s="969">
        <f>VLOOKUP(A307,'Прайс лист'!B969:G972,6,0)</f>
        <v>250</v>
      </c>
      <c r="E307" s="275">
        <f>C307*D307*B302</f>
        <v>0</v>
      </c>
      <c r="F307" s="941"/>
      <c r="G307" s="98" t="str">
        <f>G293</f>
        <v>обвязка металлом</v>
      </c>
      <c r="H307" s="99"/>
      <c r="I307" s="275" t="str">
        <f t="shared" si="7"/>
        <v>м.п.</v>
      </c>
      <c r="J307" s="275">
        <f>B301*C308</f>
        <v>5</v>
      </c>
      <c r="K307" s="275">
        <f>K293</f>
        <v>100</v>
      </c>
      <c r="L307" s="275">
        <f>J307*K307*B302</f>
        <v>0</v>
      </c>
      <c r="M307" s="2176"/>
    </row>
    <row r="308" spans="1:13" s="2426" customFormat="1" ht="16" outlineLevel="1">
      <c r="A308" s="969" t="str">
        <f>'Ввод данных'!A667</f>
        <v>обвязка металлом, 20/40/3000</v>
      </c>
      <c r="B308" s="2427" t="str">
        <f>B293</f>
        <v>м.п.</v>
      </c>
      <c r="C308" s="969">
        <f>('Ввод данных'!C624+'Ввод данных'!C625+'Ввод данных'!C625)*B301</f>
        <v>5</v>
      </c>
      <c r="D308" s="2427">
        <f>D293</f>
        <v>100</v>
      </c>
      <c r="E308" s="275">
        <f>C308*D308*B302</f>
        <v>0</v>
      </c>
      <c r="F308" s="941"/>
      <c r="G308" s="98" t="str">
        <f>G294</f>
        <v>заливка бетоном</v>
      </c>
      <c r="H308" s="99"/>
      <c r="I308" s="275" t="str">
        <f t="shared" si="7"/>
        <v>шт</v>
      </c>
      <c r="J308" s="275">
        <f>B303*B298</f>
        <v>5</v>
      </c>
      <c r="K308" s="275">
        <f>K294</f>
        <v>200</v>
      </c>
      <c r="L308" s="275">
        <f>J308*K308*B302</f>
        <v>0</v>
      </c>
      <c r="M308" s="2176"/>
    </row>
    <row r="309" spans="1:13" s="2426" customFormat="1" ht="16" outlineLevel="1">
      <c r="A309" s="2427" t="str">
        <f>A294</f>
        <v>Раствор, м200</v>
      </c>
      <c r="B309" s="2427" t="str">
        <f>B294</f>
        <v>м3</v>
      </c>
      <c r="C309" s="969">
        <f>B298*F267</f>
        <v>0.22608</v>
      </c>
      <c r="D309" s="2427">
        <f>D294</f>
        <v>2100</v>
      </c>
      <c r="E309" s="275">
        <f>C309*D309*B302</f>
        <v>0</v>
      </c>
      <c r="F309" s="941"/>
      <c r="G309" s="98" t="str">
        <f>G295</f>
        <v>Обрезка винтовых свай по невелиру</v>
      </c>
      <c r="H309" s="99"/>
      <c r="I309" s="275" t="str">
        <f t="shared" si="7"/>
        <v>шт</v>
      </c>
      <c r="J309" s="275">
        <f>B298</f>
        <v>5</v>
      </c>
      <c r="K309" s="275">
        <f>K295</f>
        <v>200</v>
      </c>
      <c r="L309" s="275">
        <f>J309*K309*B302</f>
        <v>0</v>
      </c>
      <c r="M309" s="2176"/>
    </row>
    <row r="310" spans="1:13" ht="16" outlineLevel="1">
      <c r="A310" s="2421" t="str">
        <f>A295</f>
        <v>Электроды ок 47</v>
      </c>
      <c r="B310" s="2427" t="str">
        <f>B295</f>
        <v>шт</v>
      </c>
      <c r="C310" s="2421">
        <f>C306</f>
        <v>5</v>
      </c>
      <c r="D310" s="1055">
        <f>D295</f>
        <v>10</v>
      </c>
      <c r="E310" s="275">
        <f>C310*D310*B302</f>
        <v>0</v>
      </c>
      <c r="F310" s="941"/>
      <c r="G310" s="98" t="str">
        <f>G296</f>
        <v>Наварка оголовка</v>
      </c>
      <c r="H310" s="2285"/>
      <c r="I310" s="275" t="str">
        <f t="shared" si="7"/>
        <v>шт</v>
      </c>
      <c r="J310" s="275">
        <f>B298</f>
        <v>5</v>
      </c>
      <c r="K310" s="275">
        <f>K296</f>
        <v>250</v>
      </c>
      <c r="L310" s="275">
        <f>J310*K310*B302</f>
        <v>0</v>
      </c>
      <c r="M310" s="2419"/>
    </row>
    <row r="311" spans="1:13" ht="16" outlineLevel="1">
      <c r="A311" s="2426"/>
      <c r="B311" s="2426"/>
      <c r="C311" s="2426"/>
      <c r="D311" s="2426"/>
      <c r="E311" s="2426"/>
      <c r="F311" s="2415"/>
      <c r="G311" s="2415"/>
      <c r="H311" s="2415"/>
      <c r="I311" s="2415"/>
      <c r="J311" s="2415"/>
      <c r="K311" s="2415"/>
      <c r="L311" s="941"/>
      <c r="M311" s="2419"/>
    </row>
    <row r="312" spans="1:13" ht="16" outlineLevel="1">
      <c r="A312" s="941"/>
      <c r="B312" s="941"/>
      <c r="C312" s="2176"/>
      <c r="D312" s="2176"/>
      <c r="E312" s="2176"/>
      <c r="F312" s="2176"/>
      <c r="G312" s="2176"/>
      <c r="H312" s="2176"/>
      <c r="I312" s="2176"/>
      <c r="J312" s="2419"/>
      <c r="K312" s="2419"/>
      <c r="L312" s="2419"/>
      <c r="M312" s="2419"/>
    </row>
    <row r="313" spans="1:13" ht="16" outlineLevel="1">
      <c r="A313" s="941"/>
      <c r="B313" s="941"/>
      <c r="C313" s="2176"/>
      <c r="D313" s="2176"/>
      <c r="E313" s="2176"/>
      <c r="F313" s="2176"/>
      <c r="G313" s="2176"/>
      <c r="H313" s="2176"/>
      <c r="I313" s="2176"/>
      <c r="J313" s="2419"/>
      <c r="K313" s="2419"/>
      <c r="L313" s="2419"/>
      <c r="M313" s="2419"/>
    </row>
    <row r="314" spans="1:13" ht="16" outlineLevel="1">
      <c r="A314" s="941"/>
      <c r="B314" s="941"/>
      <c r="C314" s="2176"/>
      <c r="D314" s="2176"/>
      <c r="E314" s="2176"/>
      <c r="F314" s="2176"/>
      <c r="G314" s="2176"/>
      <c r="H314" s="2176"/>
      <c r="I314" s="2176"/>
      <c r="J314" s="2419"/>
      <c r="K314" s="2419"/>
      <c r="L314" s="2419"/>
      <c r="M314" s="2419"/>
    </row>
    <row r="315" spans="1:13" ht="16">
      <c r="A315" s="2428" t="s">
        <v>2144</v>
      </c>
      <c r="B315" s="2429"/>
      <c r="C315" s="3221" t="s">
        <v>3663</v>
      </c>
      <c r="D315" s="3221"/>
      <c r="E315" s="3221"/>
      <c r="F315" s="3221"/>
      <c r="G315" s="2176"/>
      <c r="H315" s="2176"/>
      <c r="I315" s="2176"/>
      <c r="J315" s="2419"/>
      <c r="K315" s="2419"/>
      <c r="L315" s="2419"/>
      <c r="M315" s="2419"/>
    </row>
    <row r="316" spans="1:13">
      <c r="A316" s="2176"/>
      <c r="B316" s="2176"/>
      <c r="C316" s="2176"/>
      <c r="D316" s="2176"/>
      <c r="E316" s="2176"/>
      <c r="F316" s="2176"/>
      <c r="G316" s="2176"/>
      <c r="H316" s="2176"/>
      <c r="I316" s="2176"/>
      <c r="J316" s="2419"/>
      <c r="K316" s="2419"/>
      <c r="L316" s="2419"/>
      <c r="M316" s="2419"/>
    </row>
    <row r="317" spans="1:13" outlineLevel="1">
      <c r="A317" s="3222" t="s">
        <v>4047</v>
      </c>
      <c r="B317" s="3222"/>
      <c r="C317" s="3222"/>
      <c r="D317" s="3222"/>
      <c r="E317" s="3222"/>
      <c r="F317" s="3222"/>
      <c r="G317" s="3222"/>
      <c r="H317" s="3222"/>
      <c r="I317" s="3222"/>
      <c r="J317" s="2419"/>
      <c r="K317" s="2419"/>
      <c r="L317" s="2419"/>
      <c r="M317" s="2419"/>
    </row>
    <row r="318" spans="1:13" outlineLevel="1">
      <c r="A318" s="3222"/>
      <c r="B318" s="3222"/>
      <c r="C318" s="3222"/>
      <c r="D318" s="3222"/>
      <c r="E318" s="3222"/>
      <c r="F318" s="3222"/>
      <c r="G318" s="3222"/>
      <c r="H318" s="3222"/>
      <c r="I318" s="3222"/>
      <c r="J318" s="2381"/>
      <c r="K318" s="2381"/>
      <c r="L318" s="2381"/>
      <c r="M318" s="2381"/>
    </row>
    <row r="319" spans="1:13" ht="24" outlineLevel="1">
      <c r="A319" s="3198" t="s">
        <v>1806</v>
      </c>
      <c r="B319" s="3198"/>
      <c r="C319" s="3198"/>
      <c r="D319" s="3198"/>
      <c r="E319" s="3198"/>
      <c r="F319" s="3198"/>
      <c r="G319" s="3223">
        <f>'Ввод данных'!D718</f>
        <v>1.1000000000000001</v>
      </c>
      <c r="H319" s="2430">
        <f>'Ввод данных'!D719</f>
        <v>1.05</v>
      </c>
      <c r="I319" s="2430"/>
      <c r="J319" s="2419"/>
      <c r="K319" s="2419"/>
      <c r="L319" s="2419"/>
      <c r="M319" s="2419"/>
    </row>
    <row r="320" spans="1:13" ht="24" outlineLevel="1">
      <c r="A320" s="3198"/>
      <c r="B320" s="3198"/>
      <c r="C320" s="3198"/>
      <c r="D320" s="3198"/>
      <c r="E320" s="3198"/>
      <c r="F320" s="3198"/>
      <c r="G320" s="3223"/>
      <c r="H320" s="2430"/>
      <c r="I320" s="2430"/>
      <c r="J320" s="2419"/>
      <c r="K320" s="2419"/>
      <c r="L320" s="2419"/>
      <c r="M320" s="2419"/>
    </row>
    <row r="321" spans="1:13" ht="16" outlineLevel="1">
      <c r="A321" s="2431" t="s">
        <v>1236</v>
      </c>
      <c r="B321" s="2420" t="s">
        <v>208</v>
      </c>
      <c r="C321" s="3219" t="s">
        <v>4048</v>
      </c>
      <c r="D321" s="3219"/>
      <c r="E321" s="3219"/>
      <c r="F321" s="2420" t="s">
        <v>4049</v>
      </c>
      <c r="G321" s="2381"/>
      <c r="H321" s="2381"/>
      <c r="I321" s="2381"/>
      <c r="J321" s="2381"/>
      <c r="K321" s="2381"/>
      <c r="L321" s="2381"/>
      <c r="M321" s="2381"/>
    </row>
    <row r="322" spans="1:13" ht="16" outlineLevel="1">
      <c r="A322" s="275" t="s">
        <v>1172</v>
      </c>
      <c r="B322" s="275" t="s">
        <v>154</v>
      </c>
      <c r="C322" s="2432">
        <f>'Ввод данных'!C756</f>
        <v>4</v>
      </c>
      <c r="D322" s="2286"/>
      <c r="E322" s="2286"/>
      <c r="F322" s="941"/>
      <c r="G322" s="2381"/>
      <c r="H322" s="2381"/>
      <c r="I322" s="2381"/>
      <c r="J322" s="2381"/>
      <c r="K322" s="2381"/>
      <c r="L322" s="2381"/>
      <c r="M322" s="2381"/>
    </row>
    <row r="323" spans="1:13" ht="16" outlineLevel="1">
      <c r="A323" s="2265" t="s">
        <v>2147</v>
      </c>
      <c r="B323" s="2433" t="s">
        <v>156</v>
      </c>
      <c r="C323" s="2432">
        <f>'Ввод данных'!C722</f>
        <v>0.3</v>
      </c>
      <c r="D323" s="2381"/>
      <c r="E323" s="2381"/>
      <c r="F323" s="2381"/>
      <c r="G323" s="2381"/>
      <c r="H323" s="2381"/>
      <c r="I323" s="2381"/>
      <c r="J323" s="2381"/>
      <c r="K323" s="2381"/>
      <c r="L323" s="2381"/>
      <c r="M323" s="2381"/>
    </row>
    <row r="324" spans="1:13" ht="16" outlineLevel="1">
      <c r="A324" s="260" t="s">
        <v>2148</v>
      </c>
      <c r="B324" s="275" t="s">
        <v>156</v>
      </c>
      <c r="C324" s="2432">
        <f>'Ввод данных'!C723</f>
        <v>0.3</v>
      </c>
      <c r="D324" s="2381"/>
      <c r="E324" s="2381"/>
      <c r="F324" s="2381"/>
      <c r="G324" s="2381"/>
      <c r="H324" s="2381"/>
      <c r="I324" s="2381"/>
      <c r="J324" s="2381"/>
      <c r="K324" s="2381"/>
      <c r="L324" s="2381"/>
      <c r="M324" s="2381"/>
    </row>
    <row r="325" spans="1:13" ht="16" outlineLevel="1">
      <c r="A325" s="260" t="s">
        <v>2149</v>
      </c>
      <c r="B325" s="275" t="s">
        <v>156</v>
      </c>
      <c r="C325" s="2432">
        <f>'Ввод данных'!C724</f>
        <v>0.3</v>
      </c>
      <c r="D325" s="2381"/>
      <c r="E325" s="2381"/>
      <c r="F325" s="2381"/>
      <c r="G325" s="2381"/>
      <c r="H325" s="2381"/>
      <c r="I325" s="2381"/>
      <c r="J325" s="2381"/>
      <c r="K325" s="2381"/>
      <c r="L325" s="2381"/>
      <c r="M325" s="2381"/>
    </row>
    <row r="326" spans="1:13" ht="16" outlineLevel="1">
      <c r="A326" s="260" t="s">
        <v>2150</v>
      </c>
      <c r="B326" s="275" t="s">
        <v>156</v>
      </c>
      <c r="C326" s="2432">
        <f>'Ввод данных'!C725</f>
        <v>0.3</v>
      </c>
      <c r="D326" s="2381"/>
      <c r="E326" s="2381"/>
      <c r="F326" s="2381"/>
      <c r="G326" s="2381"/>
      <c r="H326" s="2381"/>
      <c r="I326" s="2381"/>
      <c r="J326" s="2381"/>
      <c r="K326" s="2381"/>
      <c r="L326" s="2381"/>
      <c r="M326" s="2381"/>
    </row>
    <row r="327" spans="1:13" ht="16" outlineLevel="1">
      <c r="A327" s="260" t="s">
        <v>2151</v>
      </c>
      <c r="B327" s="275" t="s">
        <v>156</v>
      </c>
      <c r="C327" s="2432">
        <f>'Ввод данных'!C726</f>
        <v>0.4</v>
      </c>
      <c r="D327" s="2381"/>
      <c r="E327" s="2381"/>
      <c r="F327" s="2381"/>
      <c r="G327" s="2381"/>
      <c r="H327" s="2381"/>
      <c r="I327" s="2381"/>
      <c r="J327" s="2381"/>
      <c r="K327" s="2381"/>
      <c r="L327" s="2381"/>
      <c r="M327" s="2381"/>
    </row>
    <row r="328" spans="1:13" ht="16" outlineLevel="1">
      <c r="A328" s="260" t="s">
        <v>2227</v>
      </c>
      <c r="B328" s="275" t="s">
        <v>156</v>
      </c>
      <c r="C328" s="2432">
        <f>VLOOKUP(A345,'Прайс лист'!B291:G303,4,0)</f>
        <v>0.04</v>
      </c>
      <c r="D328" s="2381"/>
      <c r="E328" s="2381"/>
      <c r="F328" s="2381"/>
      <c r="G328" s="2381"/>
      <c r="H328" s="2381"/>
      <c r="I328" s="2381"/>
      <c r="J328" s="2381"/>
      <c r="K328" s="2381"/>
      <c r="L328" s="2381"/>
      <c r="M328" s="2381"/>
    </row>
    <row r="329" spans="1:13" ht="16" outlineLevel="1">
      <c r="A329" s="260" t="s">
        <v>2228</v>
      </c>
      <c r="B329" s="275" t="s">
        <v>159</v>
      </c>
      <c r="C329" s="2432">
        <f>'Ввод данных'!C732</f>
        <v>6</v>
      </c>
      <c r="D329" s="2381"/>
      <c r="E329" s="2381"/>
      <c r="F329" s="2381"/>
      <c r="G329" s="2381"/>
      <c r="H329" s="2381"/>
      <c r="I329" s="2381"/>
      <c r="J329" s="2381"/>
      <c r="K329" s="2381"/>
      <c r="L329" s="2381"/>
      <c r="M329" s="2381"/>
    </row>
    <row r="330" spans="1:13" ht="16" outlineLevel="1">
      <c r="A330" s="98" t="s">
        <v>4050</v>
      </c>
      <c r="B330" s="132" t="s">
        <v>156</v>
      </c>
      <c r="C330" s="100">
        <f>C263</f>
        <v>56</v>
      </c>
      <c r="D330" s="2381"/>
      <c r="E330" s="2381"/>
      <c r="F330" s="2381"/>
      <c r="G330" s="2381"/>
      <c r="H330" s="2381"/>
      <c r="I330" s="2381"/>
      <c r="J330" s="2381"/>
      <c r="K330" s="2381"/>
      <c r="L330" s="2402"/>
      <c r="M330" s="2381"/>
    </row>
    <row r="331" spans="1:13" ht="16" outlineLevel="1">
      <c r="A331" s="306" t="s">
        <v>4051</v>
      </c>
      <c r="B331" s="132" t="s">
        <v>135</v>
      </c>
      <c r="C331" s="100">
        <f>C330*(C323+C324)*C325</f>
        <v>10.08</v>
      </c>
      <c r="D331" s="2381"/>
      <c r="E331" s="2381"/>
      <c r="F331" s="2381"/>
      <c r="G331" s="2381"/>
      <c r="H331" s="2381"/>
      <c r="I331" s="2381"/>
      <c r="J331" s="2381"/>
      <c r="K331" s="2381"/>
      <c r="L331" s="2381"/>
      <c r="M331" s="2381"/>
    </row>
    <row r="332" spans="1:13" ht="16" outlineLevel="1">
      <c r="A332" s="306" t="s">
        <v>4052</v>
      </c>
      <c r="B332" s="132" t="s">
        <v>133</v>
      </c>
      <c r="C332" s="100">
        <f>(E3+E3+E4+E4+E132*C169-E132*D139+D172*C210)*(C323+C324)+(дома!C2026+дома!C2027+дома!C2027-дома!C2026)*дома!D2019</f>
        <v>24</v>
      </c>
      <c r="D332" s="2434">
        <f>IF('Ввод данных'!A737='Прайс лист'!B744,0,1)</f>
        <v>0</v>
      </c>
      <c r="E332" s="2381"/>
      <c r="F332" s="2381"/>
      <c r="G332" s="2381"/>
      <c r="H332" s="2381"/>
      <c r="I332" s="2381"/>
      <c r="J332" s="2381"/>
      <c r="K332" s="2381"/>
      <c r="L332" s="2381"/>
      <c r="M332" s="2381"/>
    </row>
    <row r="333" spans="1:13" ht="16" outlineLevel="1">
      <c r="A333" s="306" t="s">
        <v>4053</v>
      </c>
      <c r="B333" s="132" t="s">
        <v>156</v>
      </c>
      <c r="C333" s="100">
        <f>VLOOKUP(A355,'Прайс лист'!B744:G783,3,0)</f>
        <v>0</v>
      </c>
      <c r="D333" s="2176"/>
      <c r="E333" s="2381"/>
      <c r="F333" s="2381"/>
      <c r="G333" s="2381"/>
      <c r="H333" s="2381"/>
      <c r="I333" s="2381"/>
      <c r="J333" s="2381"/>
      <c r="K333" s="2381"/>
      <c r="L333" s="2381"/>
      <c r="M333" s="2381"/>
    </row>
    <row r="334" spans="1:13" ht="16" outlineLevel="1">
      <c r="A334" s="306" t="s">
        <v>2157</v>
      </c>
      <c r="B334" s="132" t="s">
        <v>156</v>
      </c>
      <c r="C334" s="2432">
        <f>'Ввод данных'!C735</f>
        <v>10</v>
      </c>
      <c r="D334" s="2176"/>
      <c r="E334" s="2381"/>
      <c r="F334" s="2381"/>
      <c r="G334" s="2381"/>
      <c r="H334" s="2381"/>
      <c r="I334" s="2381"/>
      <c r="J334" s="2381"/>
      <c r="K334" s="2381"/>
      <c r="L334" s="2381"/>
      <c r="M334" s="2381"/>
    </row>
    <row r="335" spans="1:13" ht="16" outlineLevel="1">
      <c r="A335" s="3224" t="s">
        <v>2163</v>
      </c>
      <c r="B335" s="3224"/>
      <c r="C335" s="3224"/>
      <c r="D335" s="2381"/>
      <c r="E335" s="2406"/>
      <c r="F335" s="2407"/>
      <c r="G335" s="2381"/>
      <c r="H335" s="2381"/>
      <c r="I335" s="2381"/>
      <c r="J335" s="2381"/>
      <c r="K335" s="2406"/>
      <c r="L335" s="2407"/>
      <c r="M335" s="2381"/>
    </row>
    <row r="336" spans="1:13" ht="16" outlineLevel="1">
      <c r="A336" s="275" t="s">
        <v>2165</v>
      </c>
      <c r="B336" s="275" t="s">
        <v>156</v>
      </c>
      <c r="C336" s="2432">
        <f>C400</f>
        <v>0.8</v>
      </c>
      <c r="D336" s="2434">
        <f>VLOOKUP('Ввод данных'!C745,связи1!A2:B3,2,0)</f>
        <v>0</v>
      </c>
      <c r="E336" s="2435"/>
      <c r="F336" s="2407"/>
      <c r="G336" s="2381"/>
      <c r="H336" s="2381"/>
      <c r="I336" s="2381"/>
      <c r="J336" s="2381"/>
      <c r="K336" s="2406"/>
      <c r="L336" s="2407"/>
      <c r="M336" s="2381"/>
    </row>
    <row r="337" spans="1:13" ht="16" outlineLevel="1">
      <c r="A337" s="275" t="s">
        <v>4054</v>
      </c>
      <c r="B337" s="275" t="s">
        <v>133</v>
      </c>
      <c r="C337" s="2432">
        <f>C401</f>
        <v>0</v>
      </c>
      <c r="D337" s="2176"/>
      <c r="E337" s="2435"/>
      <c r="F337" s="2407"/>
      <c r="G337" s="2381"/>
      <c r="H337" s="2381"/>
      <c r="I337" s="2381"/>
      <c r="J337" s="2381"/>
      <c r="K337" s="2406"/>
      <c r="L337" s="2407"/>
      <c r="M337" s="2381"/>
    </row>
    <row r="338" spans="1:13" ht="16" outlineLevel="1">
      <c r="A338" s="275" t="s">
        <v>2166</v>
      </c>
      <c r="B338" s="275" t="s">
        <v>156</v>
      </c>
      <c r="C338" s="2432">
        <f>C402</f>
        <v>0.1</v>
      </c>
      <c r="D338" s="2381"/>
      <c r="E338" s="2406"/>
      <c r="F338" s="2407"/>
      <c r="G338" s="2381"/>
      <c r="H338" s="2381"/>
      <c r="I338" s="2381"/>
      <c r="J338" s="2381"/>
      <c r="K338" s="2406"/>
      <c r="L338" s="2407"/>
      <c r="M338" s="2381"/>
    </row>
    <row r="339" spans="1:13" ht="16" outlineLevel="1">
      <c r="A339" s="275" t="s">
        <v>4055</v>
      </c>
      <c r="B339" s="275" t="s">
        <v>156</v>
      </c>
      <c r="C339" s="2432">
        <f>VLOOKUP(A357,'Прайс лист'!B744:G783,3,0)</f>
        <v>0</v>
      </c>
      <c r="D339" s="2434">
        <f>1</f>
        <v>1</v>
      </c>
      <c r="E339" s="2381"/>
      <c r="F339" s="2407"/>
      <c r="G339" s="2381"/>
      <c r="H339" s="2381"/>
      <c r="I339" s="2381"/>
      <c r="J339" s="2381"/>
      <c r="K339" s="2406"/>
      <c r="L339" s="2407"/>
      <c r="M339" s="2381"/>
    </row>
    <row r="340" spans="1:13" ht="16" outlineLevel="1">
      <c r="A340" s="275" t="s">
        <v>2167</v>
      </c>
      <c r="B340" s="275" t="s">
        <v>156</v>
      </c>
      <c r="C340" s="2432">
        <f>C404</f>
        <v>0.2</v>
      </c>
      <c r="D340" s="2434">
        <v>1</v>
      </c>
      <c r="E340" s="2406"/>
      <c r="F340" s="2407"/>
      <c r="G340" s="2381"/>
      <c r="H340" s="2381"/>
      <c r="I340" s="2381"/>
      <c r="J340" s="2381"/>
      <c r="K340" s="2406"/>
      <c r="L340" s="2407"/>
      <c r="M340" s="2381"/>
    </row>
    <row r="341" spans="1:13" ht="16" outlineLevel="1">
      <c r="A341" s="275" t="s">
        <v>2168</v>
      </c>
      <c r="B341" s="275" t="s">
        <v>156</v>
      </c>
      <c r="C341" s="2432">
        <f>C405</f>
        <v>0.8</v>
      </c>
      <c r="D341" s="2381"/>
      <c r="E341" s="2406"/>
      <c r="F341" s="2407"/>
      <c r="G341" s="2381"/>
      <c r="H341" s="2381"/>
      <c r="I341" s="2381"/>
      <c r="J341" s="2381"/>
      <c r="K341" s="2406"/>
      <c r="L341" s="2407"/>
      <c r="M341" s="2381"/>
    </row>
    <row r="342" spans="1:13" ht="16" outlineLevel="1">
      <c r="A342" s="275" t="s">
        <v>4056</v>
      </c>
      <c r="B342" s="275" t="s">
        <v>135</v>
      </c>
      <c r="C342" s="2432">
        <f>C406</f>
        <v>0</v>
      </c>
      <c r="D342" s="2381"/>
      <c r="E342" s="2406"/>
      <c r="F342" s="2407"/>
      <c r="G342" s="2381"/>
      <c r="H342" s="2381"/>
      <c r="I342" s="2381"/>
      <c r="J342" s="2381"/>
      <c r="K342" s="2406"/>
      <c r="L342" s="2407"/>
      <c r="M342" s="2381"/>
    </row>
    <row r="343" spans="1:13" ht="16" outlineLevel="1">
      <c r="A343" s="3191" t="s">
        <v>2720</v>
      </c>
      <c r="B343" s="3191"/>
      <c r="C343" s="3191"/>
      <c r="D343" s="3191"/>
      <c r="E343" s="3191"/>
      <c r="F343" s="2402"/>
      <c r="G343" s="3191" t="s">
        <v>1409</v>
      </c>
      <c r="H343" s="3191"/>
      <c r="I343" s="3191"/>
      <c r="J343" s="3191"/>
      <c r="K343" s="3191"/>
      <c r="L343" s="3191"/>
      <c r="M343" s="2419"/>
    </row>
    <row r="344" spans="1:13" ht="16" outlineLevel="1">
      <c r="A344" s="2420"/>
      <c r="B344" s="275" t="s">
        <v>120</v>
      </c>
      <c r="C344" s="275" t="s">
        <v>1802</v>
      </c>
      <c r="D344" s="275" t="s">
        <v>1601</v>
      </c>
      <c r="E344" s="275" t="s">
        <v>2722</v>
      </c>
      <c r="F344" s="941"/>
      <c r="G344" s="3219"/>
      <c r="H344" s="3219"/>
      <c r="I344" s="275" t="s">
        <v>120</v>
      </c>
      <c r="J344" s="275" t="s">
        <v>1802</v>
      </c>
      <c r="K344" s="275" t="s">
        <v>1601</v>
      </c>
      <c r="L344" s="275" t="s">
        <v>2722</v>
      </c>
      <c r="M344" s="2419"/>
    </row>
    <row r="345" spans="1:13" ht="16" outlineLevel="1">
      <c r="A345" s="275" t="str">
        <f>'Ввод данных'!A730</f>
        <v>Сосна влаж,150*40мм</v>
      </c>
      <c r="B345" s="275" t="s">
        <v>135</v>
      </c>
      <c r="C345" s="275">
        <f>C330*(C323+C324)*2*1.3*C328*G319</f>
        <v>3.843840000000001</v>
      </c>
      <c r="D345" s="275">
        <f>VLOOKUP(A345,'Прайс лист'!B291:G303,6,0)</f>
        <v>6500</v>
      </c>
      <c r="E345" s="275">
        <f>C345*D345</f>
        <v>24984.960000000006</v>
      </c>
      <c r="F345" s="941"/>
      <c r="G345" s="3130" t="s">
        <v>4041</v>
      </c>
      <c r="H345" s="3130"/>
      <c r="I345" s="275" t="s">
        <v>159</v>
      </c>
      <c r="J345" s="275">
        <f>1*H319</f>
        <v>1.05</v>
      </c>
      <c r="K345" s="275">
        <f>'Прайс лист'!G1616</f>
        <v>7000</v>
      </c>
      <c r="L345" s="275">
        <f>J345*K345</f>
        <v>7350</v>
      </c>
      <c r="M345" s="2419"/>
    </row>
    <row r="346" spans="1:13" ht="16" outlineLevel="1">
      <c r="A346" s="275" t="str">
        <f>'Прайс лист'!B215</f>
        <v xml:space="preserve">Пленка гидроизоляционная </v>
      </c>
      <c r="B346" s="275" t="s">
        <v>133</v>
      </c>
      <c r="C346" s="275">
        <f>C330*(C323+C324)*2*1.3*G319</f>
        <v>96.096000000000018</v>
      </c>
      <c r="D346" s="275">
        <f>'Прайс лист'!G215</f>
        <v>15</v>
      </c>
      <c r="E346" s="275">
        <f>C346*D346</f>
        <v>1441.4400000000003</v>
      </c>
      <c r="F346" s="941"/>
      <c r="G346" s="3130" t="s">
        <v>1431</v>
      </c>
      <c r="H346" s="3130"/>
      <c r="I346" s="275" t="s">
        <v>133</v>
      </c>
      <c r="J346" s="275">
        <f>C330*(C323+C323+C324+C324)*H319</f>
        <v>70.56</v>
      </c>
      <c r="K346" s="275">
        <f>'Прайс лист'!G1617</f>
        <v>300</v>
      </c>
      <c r="L346" s="275">
        <f>J346*K346</f>
        <v>21168</v>
      </c>
      <c r="M346" s="2419"/>
    </row>
    <row r="347" spans="1:13" ht="16" outlineLevel="1">
      <c r="A347" s="275"/>
      <c r="B347" s="275"/>
      <c r="C347" s="275"/>
      <c r="D347" s="275"/>
      <c r="E347" s="275"/>
      <c r="F347" s="941"/>
      <c r="G347" s="3130" t="s">
        <v>1432</v>
      </c>
      <c r="H347" s="3130"/>
      <c r="I347" s="275" t="s">
        <v>133</v>
      </c>
      <c r="J347" s="275">
        <f>J346*H319</f>
        <v>74.088000000000008</v>
      </c>
      <c r="K347" s="275">
        <f>'Прайс лист'!G1618</f>
        <v>100</v>
      </c>
      <c r="L347" s="275">
        <f>J347*K347</f>
        <v>7408.8000000000011</v>
      </c>
      <c r="M347" s="2419"/>
    </row>
    <row r="348" spans="1:13" ht="16" outlineLevel="1">
      <c r="A348" s="275" t="str">
        <f>'Ввод данных'!A732</f>
        <v>Арматура стальная Ø 8</v>
      </c>
      <c r="B348" s="275" t="s">
        <v>1415</v>
      </c>
      <c r="C348" s="275">
        <f>C330*C329*1.2*G319</f>
        <v>443.52000000000004</v>
      </c>
      <c r="D348" s="275">
        <f>VLOOKUP(A348,'Прайс лист'!B199:G210,6,0)</f>
        <v>16.037000000000003</v>
      </c>
      <c r="E348" s="275">
        <f t="shared" ref="E348:E366" si="8">C348*D348</f>
        <v>7112.7302400000017</v>
      </c>
      <c r="F348" s="941"/>
      <c r="G348" s="3130" t="s">
        <v>1433</v>
      </c>
      <c r="H348" s="3130"/>
      <c r="I348" s="275" t="s">
        <v>133</v>
      </c>
      <c r="J348" s="275">
        <f>J347*H319</f>
        <v>77.792400000000015</v>
      </c>
      <c r="K348" s="275">
        <f>'Прайс лист'!G1619</f>
        <v>10</v>
      </c>
      <c r="L348" s="275">
        <f>J348*K348</f>
        <v>777.92400000000021</v>
      </c>
      <c r="M348" s="2419"/>
    </row>
    <row r="349" spans="1:13" ht="16" outlineLevel="1">
      <c r="A349" s="275" t="str">
        <f>'Ввод данных'!A734</f>
        <v>Арматура стальная Ø 6</v>
      </c>
      <c r="B349" s="275" t="s">
        <v>1415</v>
      </c>
      <c r="C349" s="275">
        <f>C330/'Ввод данных'!C734*(C323+C324+C325+C325+C323+C324)*1.1*G319</f>
        <v>304.92000000000007</v>
      </c>
      <c r="D349" s="275">
        <f>VLOOKUP(A349,'Прайс лист'!B199:G210,6,0)</f>
        <v>9.0131999999999994</v>
      </c>
      <c r="E349" s="275">
        <f t="shared" si="8"/>
        <v>2748.3049440000004</v>
      </c>
      <c r="F349" s="941"/>
      <c r="G349" s="3130"/>
      <c r="H349" s="3130"/>
      <c r="I349" s="275"/>
      <c r="J349" s="275"/>
      <c r="K349" s="275"/>
      <c r="L349" s="275"/>
      <c r="M349" s="2419"/>
    </row>
    <row r="350" spans="1:13" ht="16" outlineLevel="1">
      <c r="A350" s="275" t="str">
        <f>'Прайс лист'!B212</f>
        <v>Вязальная проволока</v>
      </c>
      <c r="B350" s="275" t="s">
        <v>188</v>
      </c>
      <c r="C350" s="275">
        <f>(C348+C349)/50*G319</f>
        <v>16.465680000000003</v>
      </c>
      <c r="D350" s="275">
        <f>'Прайс лист'!G212</f>
        <v>80</v>
      </c>
      <c r="E350" s="275">
        <f t="shared" si="8"/>
        <v>1317.2544000000003</v>
      </c>
      <c r="F350" s="941"/>
      <c r="G350" s="3130" t="s">
        <v>4057</v>
      </c>
      <c r="H350" s="3130"/>
      <c r="I350" s="275" t="s">
        <v>1415</v>
      </c>
      <c r="J350" s="275">
        <f>C330*C329*1.2*H319</f>
        <v>423.36</v>
      </c>
      <c r="K350" s="275">
        <f>'Прайс лист'!G1601</f>
        <v>30</v>
      </c>
      <c r="L350" s="275">
        <f t="shared" ref="L350:L359" si="9">J350*K350</f>
        <v>12700.800000000001</v>
      </c>
      <c r="M350" s="2419"/>
    </row>
    <row r="351" spans="1:13" ht="16" outlineLevel="1">
      <c r="A351" s="275" t="str">
        <f>'Прайс лист'!B890</f>
        <v xml:space="preserve">Гвозди строительные 3,5 x 90            </v>
      </c>
      <c r="B351" s="275" t="s">
        <v>188</v>
      </c>
      <c r="C351" s="275">
        <f>C345*5*G319</f>
        <v>21.141120000000008</v>
      </c>
      <c r="D351" s="275">
        <f>'Прайс лист'!G890</f>
        <v>70</v>
      </c>
      <c r="E351" s="275">
        <f t="shared" si="8"/>
        <v>1479.8784000000005</v>
      </c>
      <c r="F351" s="941"/>
      <c r="G351" s="3130" t="s">
        <v>4057</v>
      </c>
      <c r="H351" s="3130"/>
      <c r="I351" s="275" t="s">
        <v>156</v>
      </c>
      <c r="J351" s="275">
        <f>C330/0.6*(C323+C324+C325+C325+C323+C324)*1.1*H319</f>
        <v>194.04000000000005</v>
      </c>
      <c r="K351" s="275">
        <f>'Прайс лист'!G1603</f>
        <v>500</v>
      </c>
      <c r="L351" s="275">
        <f t="shared" si="9"/>
        <v>97020.000000000029</v>
      </c>
      <c r="M351" s="2419"/>
    </row>
    <row r="352" spans="1:13" ht="16" outlineLevel="1">
      <c r="A352" s="275" t="str">
        <f>'Прайс лист'!B788</f>
        <v>Гидроизол</v>
      </c>
      <c r="B352" s="275" t="s">
        <v>133</v>
      </c>
      <c r="C352" s="275">
        <f>C330*C325*1.1+C337*D336*G319</f>
        <v>18.480000000000004</v>
      </c>
      <c r="D352" s="275">
        <f>'Прайс лист'!G788</f>
        <v>70</v>
      </c>
      <c r="E352" s="275">
        <f t="shared" si="8"/>
        <v>1293.6000000000004</v>
      </c>
      <c r="F352" s="941"/>
      <c r="G352" s="98" t="s">
        <v>1438</v>
      </c>
      <c r="H352" s="98"/>
      <c r="I352" s="275" t="s">
        <v>133</v>
      </c>
      <c r="J352" s="275">
        <f>C330*C325*H319+C337*D336*H319</f>
        <v>17.64</v>
      </c>
      <c r="K352" s="275">
        <f>'Прайс лист'!G1626</f>
        <v>100</v>
      </c>
      <c r="L352" s="275">
        <f t="shared" si="9"/>
        <v>1764</v>
      </c>
      <c r="M352" s="2419"/>
    </row>
    <row r="353" spans="1:13" ht="16" outlineLevel="1">
      <c r="A353" s="275" t="str">
        <f>'Прайс лист'!B167</f>
        <v>ПГС, машина 13м3</v>
      </c>
      <c r="B353" s="275" t="s">
        <v>140</v>
      </c>
      <c r="C353" s="275">
        <f>(C330*C326*C327)/12*G319</f>
        <v>0.6160000000000001</v>
      </c>
      <c r="D353" s="275">
        <f>'Прайс лист'!G167</f>
        <v>10000</v>
      </c>
      <c r="E353" s="275">
        <f t="shared" si="8"/>
        <v>6160.0000000000009</v>
      </c>
      <c r="F353" s="941"/>
      <c r="G353" s="98" t="s">
        <v>4058</v>
      </c>
      <c r="H353" s="98"/>
      <c r="I353" s="275" t="s">
        <v>133</v>
      </c>
      <c r="J353" s="275">
        <f>J352*H319</f>
        <v>18.522000000000002</v>
      </c>
      <c r="K353" s="275">
        <f>'Прайс лист'!G1628</f>
        <v>350</v>
      </c>
      <c r="L353" s="275">
        <f t="shared" si="9"/>
        <v>6482.7000000000007</v>
      </c>
      <c r="M353" s="2419"/>
    </row>
    <row r="354" spans="1:13" ht="16" outlineLevel="1">
      <c r="A354" s="275" t="str">
        <f>'Ввод данных'!A728</f>
        <v>Бетон, м250</v>
      </c>
      <c r="B354" s="275" t="s">
        <v>135</v>
      </c>
      <c r="C354" s="275">
        <f>C331*G319</f>
        <v>11.088000000000001</v>
      </c>
      <c r="D354" s="275">
        <f>VLOOKUP(A354,Бетон__м200,6,0)</f>
        <v>2750</v>
      </c>
      <c r="E354" s="275">
        <f t="shared" si="8"/>
        <v>30492.000000000004</v>
      </c>
      <c r="F354" s="941"/>
      <c r="G354" s="3130" t="s">
        <v>1443</v>
      </c>
      <c r="H354" s="3130"/>
      <c r="I354" s="275" t="s">
        <v>135</v>
      </c>
      <c r="J354" s="275">
        <f>C330*C325*(C323+C324)*H319</f>
        <v>10.584000000000001</v>
      </c>
      <c r="K354" s="275">
        <f>'Прайс лист'!G1631</f>
        <v>1200</v>
      </c>
      <c r="L354" s="275">
        <f t="shared" si="9"/>
        <v>12700.800000000001</v>
      </c>
      <c r="M354" s="2419"/>
    </row>
    <row r="355" spans="1:13" ht="16" outlineLevel="1">
      <c r="A355" s="275" t="str">
        <f>'Ввод данных'!A737</f>
        <v>Нет</v>
      </c>
      <c r="B355" s="275" t="s">
        <v>135</v>
      </c>
      <c r="C355" s="275">
        <f>C332*D332*C333*(C324+C323)*G319</f>
        <v>0</v>
      </c>
      <c r="D355" s="275">
        <f>VLOOKUP(A355,'Прайс лист'!B744:G783,6,0)</f>
        <v>0</v>
      </c>
      <c r="E355" s="275">
        <f t="shared" si="8"/>
        <v>0</v>
      </c>
      <c r="F355" s="941"/>
      <c r="G355" s="3130" t="s">
        <v>1444</v>
      </c>
      <c r="H355" s="3130"/>
      <c r="I355" s="275" t="s">
        <v>133</v>
      </c>
      <c r="J355" s="275">
        <f>C332*D332*H319</f>
        <v>0</v>
      </c>
      <c r="K355" s="275">
        <f>'Прайс лист'!G1632</f>
        <v>200</v>
      </c>
      <c r="L355" s="275">
        <f t="shared" si="9"/>
        <v>0</v>
      </c>
      <c r="M355" s="2419"/>
    </row>
    <row r="356" spans="1:13" ht="16" outlineLevel="1">
      <c r="A356" s="275" t="str">
        <f>'Прайс лист'!B783</f>
        <v>Грибок для крепления утеплителя</v>
      </c>
      <c r="B356" s="275" t="s">
        <v>159</v>
      </c>
      <c r="C356" s="275">
        <f>C332*D332*5*G319</f>
        <v>0</v>
      </c>
      <c r="D356" s="275">
        <f>'Прайс лист'!G783</f>
        <v>15</v>
      </c>
      <c r="E356" s="275">
        <f t="shared" si="8"/>
        <v>0</v>
      </c>
      <c r="F356" s="941"/>
      <c r="G356" s="2284" t="s">
        <v>1445</v>
      </c>
      <c r="H356" s="2285"/>
      <c r="I356" s="275" t="s">
        <v>133</v>
      </c>
      <c r="J356" s="275">
        <f>C337*D339*D336*H319</f>
        <v>0</v>
      </c>
      <c r="K356" s="275">
        <f>'Прайс лист'!G1633</f>
        <v>200</v>
      </c>
      <c r="L356" s="275">
        <f t="shared" si="9"/>
        <v>0</v>
      </c>
      <c r="M356" s="2419"/>
    </row>
    <row r="357" spans="1:13" ht="16" outlineLevel="1">
      <c r="A357" s="275" t="str">
        <f>'Ввод данных'!A751</f>
        <v>Нет</v>
      </c>
      <c r="B357" s="275" t="s">
        <v>135</v>
      </c>
      <c r="C357" s="275">
        <f>C337*C339*D339*G319</f>
        <v>0</v>
      </c>
      <c r="D357" s="275">
        <f>VLOOKUP(A357,'Прайс лист'!B744:G783,6,0)</f>
        <v>0</v>
      </c>
      <c r="E357" s="275">
        <f t="shared" si="8"/>
        <v>0</v>
      </c>
      <c r="F357" s="941"/>
      <c r="G357" s="2284" t="s">
        <v>1441</v>
      </c>
      <c r="H357" s="2285"/>
      <c r="I357" s="275" t="s">
        <v>133</v>
      </c>
      <c r="J357" s="275">
        <f>C337*D336*D340*H319</f>
        <v>0</v>
      </c>
      <c r="K357" s="275">
        <f>'Прайс лист'!G1629</f>
        <v>600</v>
      </c>
      <c r="L357" s="275">
        <f t="shared" si="9"/>
        <v>0</v>
      </c>
      <c r="M357" s="2419"/>
    </row>
    <row r="358" spans="1:13" ht="16" outlineLevel="1">
      <c r="A358" s="275" t="str">
        <f>'Прайс лист'!B168</f>
        <v>ПГС, машина 5м3</v>
      </c>
      <c r="B358" s="275" t="s">
        <v>140</v>
      </c>
      <c r="C358" s="275">
        <f>(((E3+C341+C341)*2*C336+E4*C341*2+E132*(D139+D140*2-D139)*C341+D172*(C178+C179*2+C180*2*D180-C184)*C341+D220*(C226+C227*2-C226)*C341)*C340*D340)/5*G319*D336</f>
        <v>0</v>
      </c>
      <c r="D358" s="275">
        <f>'Прайс лист'!G168</f>
        <v>6000</v>
      </c>
      <c r="E358" s="275">
        <f t="shared" si="8"/>
        <v>0</v>
      </c>
      <c r="F358" s="941"/>
      <c r="G358" s="2284" t="s">
        <v>1446</v>
      </c>
      <c r="H358" s="2285"/>
      <c r="I358" s="275" t="s">
        <v>133</v>
      </c>
      <c r="J358" s="275">
        <f>C337*D336*H319</f>
        <v>0</v>
      </c>
      <c r="K358" s="275">
        <f>'Прайс лист'!G1635</f>
        <v>100</v>
      </c>
      <c r="L358" s="275">
        <f t="shared" si="9"/>
        <v>0</v>
      </c>
      <c r="M358" s="2419"/>
    </row>
    <row r="359" spans="1:13" ht="16" outlineLevel="1">
      <c r="A359" s="275" t="str">
        <f>'Прайс лист'!B211</f>
        <v>Кладочная сетка, 100*100/150*150/200*200мм</v>
      </c>
      <c r="B359" s="275" t="s">
        <v>133</v>
      </c>
      <c r="C359" s="275">
        <f>C337*1.1*G319*D336</f>
        <v>0</v>
      </c>
      <c r="D359" s="275">
        <f>'Прайс лист'!G211</f>
        <v>70</v>
      </c>
      <c r="E359" s="275">
        <f t="shared" si="8"/>
        <v>0</v>
      </c>
      <c r="F359" s="941"/>
      <c r="G359" s="2284" t="s">
        <v>1443</v>
      </c>
      <c r="H359" s="2285"/>
      <c r="I359" s="275" t="s">
        <v>133</v>
      </c>
      <c r="J359" s="275">
        <f>C342*D336*H319</f>
        <v>0</v>
      </c>
      <c r="K359" s="275">
        <f>'Прайс лист'!G1631</f>
        <v>1200</v>
      </c>
      <c r="L359" s="275">
        <f t="shared" si="9"/>
        <v>0</v>
      </c>
      <c r="M359" s="2419"/>
    </row>
    <row r="360" spans="1:13" ht="16" outlineLevel="1">
      <c r="A360" s="275" t="str">
        <f>'Ввод данных'!A753</f>
        <v>Бетон, м200</v>
      </c>
      <c r="B360" s="275" t="s">
        <v>135</v>
      </c>
      <c r="C360" s="275">
        <f>C342*D336*G319</f>
        <v>0</v>
      </c>
      <c r="D360" s="275">
        <f>VLOOKUP(A360,Бетон__м200,6,0)</f>
        <v>2500</v>
      </c>
      <c r="E360" s="275">
        <f t="shared" si="8"/>
        <v>0</v>
      </c>
      <c r="F360" s="941"/>
      <c r="G360" s="2421"/>
      <c r="H360" s="2421"/>
      <c r="I360" s="2421"/>
      <c r="J360" s="2421"/>
      <c r="K360" s="2421"/>
      <c r="L360" s="2421"/>
      <c r="M360" s="2419"/>
    </row>
    <row r="361" spans="1:13" ht="16" outlineLevel="1">
      <c r="A361" s="275" t="str">
        <f>'Ввод данных'!A762</f>
        <v>расходные материалы свайноростверковый фундамент</v>
      </c>
      <c r="B361" s="275" t="s">
        <v>159</v>
      </c>
      <c r="C361" s="275">
        <f>1</f>
        <v>1</v>
      </c>
      <c r="D361" s="275">
        <f>'Ввод данных'!C762</f>
        <v>8000</v>
      </c>
      <c r="E361" s="275">
        <f t="shared" si="8"/>
        <v>8000</v>
      </c>
      <c r="F361" s="941"/>
      <c r="G361" s="306" t="str">
        <f>'Ввод данных'!C751</f>
        <v>Труба теплого пола 3</v>
      </c>
      <c r="H361" s="2421"/>
      <c r="I361" s="291" t="s">
        <v>1415</v>
      </c>
      <c r="J361" s="2421">
        <f>VLOOKUP('Ввод данных'!G751,связи1!A2:B3,2,0)*(C330*5)*G319</f>
        <v>308</v>
      </c>
      <c r="K361" s="2421">
        <f>VLOOKUP(G361,'Прайс лист'!B1083:G1091,6,0)</f>
        <v>60</v>
      </c>
      <c r="L361" s="2421"/>
      <c r="M361" s="2436">
        <f>VLOOKUP('Ввод данных'!G751,связи1!A2:B3,2,0)</f>
        <v>1</v>
      </c>
    </row>
    <row r="362" spans="1:13" ht="16" outlineLevel="1">
      <c r="A362" s="275" t="str">
        <f>'Ввод данных'!A756</f>
        <v>Нет техники</v>
      </c>
      <c r="B362" s="275" t="s">
        <v>159</v>
      </c>
      <c r="C362" s="275">
        <f>'Ввод данных'!C756</f>
        <v>4</v>
      </c>
      <c r="D362" s="275">
        <f>VLOOKUP(A362,'Прайс лист'!B180:G194,6,0)</f>
        <v>0</v>
      </c>
      <c r="E362" s="275">
        <f t="shared" si="8"/>
        <v>0</v>
      </c>
      <c r="F362" s="941"/>
      <c r="G362" s="306" t="str">
        <f>'Ввод данных'!C753</f>
        <v>Коллектор 1</v>
      </c>
      <c r="H362" s="275"/>
      <c r="I362" s="291" t="s">
        <v>159</v>
      </c>
      <c r="J362" s="2418">
        <f>VLOOKUP('Ввод данных'!G753,связи1!A2:B3,2,0)*G319</f>
        <v>1.1000000000000001</v>
      </c>
      <c r="K362" s="275">
        <f>VLOOKUP(G362,'Прайс лист'!B1092:G1099,6,0)</f>
        <v>5000</v>
      </c>
      <c r="L362" s="275"/>
      <c r="M362" s="2436">
        <f>VLOOKUP('Ввод данных'!G753,связи1!A2:B3,2,0)</f>
        <v>1</v>
      </c>
    </row>
    <row r="363" spans="1:13" ht="16" outlineLevel="1">
      <c r="A363" s="275" t="str">
        <f>'Ввод данных'!A757</f>
        <v>Нет техники</v>
      </c>
      <c r="B363" s="275" t="s">
        <v>159</v>
      </c>
      <c r="C363" s="275">
        <f>'Ввод данных'!C757</f>
        <v>4</v>
      </c>
      <c r="D363" s="275">
        <f>VLOOKUP(A363,'Прайс лист'!B180:G194,6,0)</f>
        <v>0</v>
      </c>
      <c r="E363" s="275">
        <f t="shared" si="8"/>
        <v>0</v>
      </c>
      <c r="F363" s="941"/>
      <c r="G363" s="1055" t="str">
        <f>'Прайс лист'!B1643</f>
        <v>укладка теп. Пола</v>
      </c>
      <c r="H363" s="275"/>
      <c r="I363" s="291" t="s">
        <v>133</v>
      </c>
      <c r="J363" s="275">
        <f>(E3*E4+E132*C170+D172*C211+D220*C236)*M361*H319</f>
        <v>105</v>
      </c>
      <c r="K363" s="275">
        <f>'Прайс лист'!G1643</f>
        <v>600</v>
      </c>
      <c r="L363" s="275"/>
      <c r="M363" s="2419"/>
    </row>
    <row r="364" spans="1:13" ht="16" outlineLevel="1">
      <c r="A364" s="275" t="str">
        <f>'Ввод данных'!A758</f>
        <v>Нет техники</v>
      </c>
      <c r="B364" s="275" t="s">
        <v>159</v>
      </c>
      <c r="C364" s="275">
        <f>'Ввод данных'!C758</f>
        <v>6</v>
      </c>
      <c r="D364" s="275">
        <f>VLOOKUP(A364,'Прайс лист'!B180:G194,6,0)</f>
        <v>0</v>
      </c>
      <c r="E364" s="275">
        <f t="shared" si="8"/>
        <v>0</v>
      </c>
      <c r="F364" s="941"/>
      <c r="G364" s="275"/>
      <c r="H364" s="275"/>
      <c r="I364" s="275"/>
      <c r="J364" s="275"/>
      <c r="K364" s="275"/>
      <c r="L364" s="275"/>
      <c r="M364" s="2419"/>
    </row>
    <row r="365" spans="1:13" ht="16" outlineLevel="1">
      <c r="A365" s="275" t="str">
        <f>'Ввод данных'!A759</f>
        <v>Нет техники</v>
      </c>
      <c r="B365" s="275" t="s">
        <v>159</v>
      </c>
      <c r="C365" s="275">
        <f>'Ввод данных'!C759</f>
        <v>4</v>
      </c>
      <c r="D365" s="275">
        <f>VLOOKUP(A365,'Прайс лист'!B180:G194,6,0)</f>
        <v>0</v>
      </c>
      <c r="E365" s="275">
        <f t="shared" si="8"/>
        <v>0</v>
      </c>
      <c r="F365" s="941"/>
      <c r="G365" s="275"/>
      <c r="H365" s="275"/>
      <c r="I365" s="275"/>
      <c r="J365" s="275"/>
      <c r="K365" s="275"/>
      <c r="L365" s="275"/>
      <c r="M365" s="2419"/>
    </row>
    <row r="366" spans="1:13" ht="16" outlineLevel="1">
      <c r="A366" s="275" t="str">
        <f>'Ввод данных'!A760</f>
        <v>Нет техники</v>
      </c>
      <c r="B366" s="275" t="s">
        <v>159</v>
      </c>
      <c r="C366" s="275">
        <f>'Ввод данных'!C760</f>
        <v>0</v>
      </c>
      <c r="D366" s="275">
        <f>VLOOKUP(A366,'Прайс лист'!B180:G194,6,0)</f>
        <v>0</v>
      </c>
      <c r="E366" s="275">
        <f t="shared" si="8"/>
        <v>0</v>
      </c>
      <c r="F366" s="941"/>
      <c r="G366" s="275"/>
      <c r="H366" s="275"/>
      <c r="I366" s="275"/>
      <c r="J366" s="275"/>
      <c r="K366" s="275"/>
      <c r="L366" s="275"/>
      <c r="M366" s="2419"/>
    </row>
    <row r="367" spans="1:13" ht="16" outlineLevel="1">
      <c r="A367" s="941"/>
      <c r="B367" s="941"/>
      <c r="C367" s="941"/>
      <c r="D367" s="941"/>
      <c r="E367" s="275">
        <f>SUM(E345:E362)</f>
        <v>85030.167984000014</v>
      </c>
      <c r="F367" s="941"/>
      <c r="G367" s="941"/>
      <c r="H367" s="2176"/>
      <c r="I367" s="941"/>
      <c r="J367" s="941"/>
      <c r="K367" s="941"/>
      <c r="L367" s="2433">
        <f>SUM(L345:L363)</f>
        <v>167373.02400000003</v>
      </c>
      <c r="M367" s="2419"/>
    </row>
    <row r="368" spans="1:13" ht="16" outlineLevel="1">
      <c r="A368" s="275" t="s">
        <v>4059</v>
      </c>
      <c r="B368" s="275">
        <f>E367</f>
        <v>85030.167984000014</v>
      </c>
      <c r="C368" s="941"/>
      <c r="D368" s="941"/>
      <c r="E368" s="941"/>
      <c r="F368" s="941"/>
      <c r="G368" s="941"/>
      <c r="H368" s="941"/>
      <c r="I368" s="941"/>
      <c r="J368" s="941"/>
      <c r="K368" s="941"/>
      <c r="L368" s="1789"/>
      <c r="M368" s="2419"/>
    </row>
    <row r="369" spans="1:13" ht="16" outlineLevel="1">
      <c r="A369" s="275" t="s">
        <v>4060</v>
      </c>
      <c r="B369" s="275">
        <f>L367</f>
        <v>167373.02400000003</v>
      </c>
      <c r="C369" s="941"/>
      <c r="D369" s="941"/>
      <c r="E369" s="941"/>
      <c r="F369" s="941"/>
      <c r="G369" s="941"/>
      <c r="H369" s="941"/>
      <c r="I369" s="941"/>
      <c r="J369" s="941"/>
      <c r="K369" s="941"/>
      <c r="L369" s="1789"/>
      <c r="M369" s="2419"/>
    </row>
    <row r="370" spans="1:13" ht="16" outlineLevel="1">
      <c r="A370" s="275" t="s">
        <v>4061</v>
      </c>
      <c r="B370" s="275">
        <f>SUM(B368:B369)*B371</f>
        <v>0</v>
      </c>
      <c r="C370" s="941"/>
      <c r="D370" s="941"/>
      <c r="E370" s="941"/>
      <c r="F370" s="941"/>
      <c r="G370" s="941"/>
      <c r="H370" s="941"/>
      <c r="I370" s="941"/>
      <c r="J370" s="941"/>
      <c r="K370" s="941"/>
      <c r="L370" s="1789"/>
      <c r="M370" s="2419"/>
    </row>
    <row r="371" spans="1:13" ht="16">
      <c r="A371" s="2404" t="s">
        <v>4062</v>
      </c>
      <c r="B371" s="2434"/>
      <c r="C371" s="3196" t="s">
        <v>3663</v>
      </c>
      <c r="D371" s="3196"/>
      <c r="E371" s="3196"/>
      <c r="F371" s="3196"/>
      <c r="G371" s="2381"/>
      <c r="H371" s="2381"/>
      <c r="I371" s="2381"/>
      <c r="J371" s="2381"/>
      <c r="K371" s="2406"/>
      <c r="L371" s="2407"/>
      <c r="M371" s="2381"/>
    </row>
    <row r="372" spans="1:13" ht="16">
      <c r="A372" s="941"/>
      <c r="B372" s="2402"/>
      <c r="C372" s="2402"/>
      <c r="D372" s="2381"/>
      <c r="E372" s="2406"/>
      <c r="F372" s="2407"/>
      <c r="G372" s="2381"/>
      <c r="H372" s="2381"/>
      <c r="I372" s="2381"/>
      <c r="J372" s="2381"/>
      <c r="K372" s="2406"/>
      <c r="L372" s="2407"/>
      <c r="M372" s="2381"/>
    </row>
    <row r="373" spans="1:13" outlineLevel="1">
      <c r="A373" s="3225" t="s">
        <v>2145</v>
      </c>
      <c r="B373" s="3225"/>
      <c r="C373" s="3225"/>
      <c r="D373" s="3225"/>
      <c r="E373" s="3225"/>
      <c r="F373" s="3225"/>
      <c r="G373" s="3225"/>
      <c r="H373" s="3225"/>
      <c r="I373" s="3225"/>
      <c r="J373" s="2381"/>
      <c r="K373" s="2406"/>
      <c r="L373" s="2407"/>
      <c r="M373" s="2381"/>
    </row>
    <row r="374" spans="1:13" outlineLevel="1">
      <c r="A374" s="3225"/>
      <c r="B374" s="3225"/>
      <c r="C374" s="3225"/>
      <c r="D374" s="3225"/>
      <c r="E374" s="3225"/>
      <c r="F374" s="3225"/>
      <c r="G374" s="3225"/>
      <c r="H374" s="3225"/>
      <c r="I374" s="3225"/>
      <c r="J374" s="2381"/>
      <c r="K374" s="2406"/>
      <c r="L374" s="2407"/>
      <c r="M374" s="2381"/>
    </row>
    <row r="375" spans="1:13" ht="24" outlineLevel="1">
      <c r="A375" s="3226" t="s">
        <v>1806</v>
      </c>
      <c r="B375" s="3226"/>
      <c r="C375" s="3226"/>
      <c r="D375" s="3226"/>
      <c r="E375" s="3226"/>
      <c r="F375" s="3226"/>
      <c r="G375" s="2289">
        <f>'Ввод данных'!D718</f>
        <v>1.1000000000000001</v>
      </c>
      <c r="H375" s="2430">
        <f>'Ввод данных'!D719</f>
        <v>1.05</v>
      </c>
      <c r="I375" s="2430"/>
      <c r="J375" s="2419"/>
      <c r="K375" s="2403"/>
      <c r="L375" s="1789"/>
      <c r="M375" s="2419"/>
    </row>
    <row r="376" spans="1:13" ht="24" outlineLevel="1">
      <c r="A376" s="3226"/>
      <c r="B376" s="3226"/>
      <c r="C376" s="3226"/>
      <c r="D376" s="3226"/>
      <c r="E376" s="3226"/>
      <c r="F376" s="3226"/>
      <c r="G376" s="2253"/>
      <c r="H376" s="2430"/>
      <c r="I376" s="2430"/>
      <c r="J376" s="2419"/>
      <c r="K376" s="2403"/>
      <c r="L376" s="1789"/>
      <c r="M376" s="2419"/>
    </row>
    <row r="377" spans="1:13" ht="16" outlineLevel="1">
      <c r="A377" s="2437" t="s">
        <v>1236</v>
      </c>
      <c r="B377" s="2420" t="s">
        <v>208</v>
      </c>
      <c r="C377" s="3219" t="s">
        <v>4048</v>
      </c>
      <c r="D377" s="3219"/>
      <c r="E377" s="3219"/>
      <c r="F377" s="2420" t="s">
        <v>4049</v>
      </c>
      <c r="G377" s="2381"/>
      <c r="H377" s="2381"/>
      <c r="I377" s="2381"/>
      <c r="J377" s="2381"/>
      <c r="K377" s="2406"/>
      <c r="L377" s="2407"/>
      <c r="M377" s="2381"/>
    </row>
    <row r="378" spans="1:13" ht="16" outlineLevel="1">
      <c r="A378" s="2433" t="s">
        <v>1172</v>
      </c>
      <c r="B378" s="2433" t="s">
        <v>154</v>
      </c>
      <c r="C378" s="2438">
        <f>'Ввод данных'!C756</f>
        <v>4</v>
      </c>
      <c r="D378" s="2286"/>
      <c r="E378" s="2286"/>
      <c r="F378" s="941"/>
      <c r="G378" s="2381"/>
      <c r="H378" s="1353" t="s">
        <v>1172</v>
      </c>
      <c r="I378" s="1397" t="s">
        <v>154</v>
      </c>
      <c r="J378" s="2439">
        <v>6</v>
      </c>
      <c r="K378" s="2406"/>
      <c r="L378" s="2407"/>
      <c r="M378" s="2381"/>
    </row>
    <row r="379" spans="1:13" ht="16" outlineLevel="1">
      <c r="A379" s="2265" t="s">
        <v>2147</v>
      </c>
      <c r="B379" s="2433" t="s">
        <v>156</v>
      </c>
      <c r="C379" s="2438">
        <f>'Ввод данных'!C722</f>
        <v>0.3</v>
      </c>
      <c r="D379" s="2381"/>
      <c r="E379" s="2381"/>
      <c r="F379" s="2381"/>
      <c r="G379" s="2381"/>
      <c r="H379" s="564" t="s">
        <v>2147</v>
      </c>
      <c r="I379" s="2440" t="s">
        <v>156</v>
      </c>
      <c r="J379" s="2441">
        <v>0.3</v>
      </c>
      <c r="K379" s="2406"/>
      <c r="L379" s="2407"/>
      <c r="M379" s="2381"/>
    </row>
    <row r="380" spans="1:13" ht="16" outlineLevel="1">
      <c r="A380" s="260" t="s">
        <v>2148</v>
      </c>
      <c r="B380" s="275" t="s">
        <v>156</v>
      </c>
      <c r="C380" s="2438">
        <f>'Ввод данных'!C723</f>
        <v>0.3</v>
      </c>
      <c r="D380" s="2381"/>
      <c r="E380" s="2381"/>
      <c r="F380" s="2381"/>
      <c r="G380" s="2381"/>
      <c r="H380" s="564" t="s">
        <v>2148</v>
      </c>
      <c r="I380" s="1018" t="s">
        <v>156</v>
      </c>
      <c r="J380" s="2442">
        <v>0.3</v>
      </c>
      <c r="K380" s="2406"/>
      <c r="L380" s="2407"/>
      <c r="M380" s="2381"/>
    </row>
    <row r="381" spans="1:13" ht="16" outlineLevel="1">
      <c r="A381" s="260" t="s">
        <v>2149</v>
      </c>
      <c r="B381" s="275" t="s">
        <v>156</v>
      </c>
      <c r="C381" s="2438">
        <f>'Ввод данных'!C724</f>
        <v>0.3</v>
      </c>
      <c r="D381" s="2381"/>
      <c r="E381" s="2381"/>
      <c r="F381" s="2381"/>
      <c r="G381" s="2381"/>
      <c r="H381" s="564" t="s">
        <v>2149</v>
      </c>
      <c r="I381" s="1018" t="s">
        <v>156</v>
      </c>
      <c r="J381" s="2442">
        <v>0.4</v>
      </c>
      <c r="K381" s="2406"/>
      <c r="L381" s="2407"/>
      <c r="M381" s="2381"/>
    </row>
    <row r="382" spans="1:13" ht="16" outlineLevel="1">
      <c r="A382" s="260" t="s">
        <v>2150</v>
      </c>
      <c r="B382" s="275" t="s">
        <v>156</v>
      </c>
      <c r="C382" s="2438">
        <f>'Ввод данных'!C725</f>
        <v>0.3</v>
      </c>
      <c r="D382" s="2381"/>
      <c r="E382" s="2381"/>
      <c r="F382" s="2381"/>
      <c r="G382" s="2381"/>
      <c r="H382" s="564" t="s">
        <v>2150</v>
      </c>
      <c r="I382" s="1018" t="s">
        <v>156</v>
      </c>
      <c r="J382" s="2442">
        <v>0.3</v>
      </c>
      <c r="K382" s="2406"/>
      <c r="L382" s="2407"/>
      <c r="M382" s="2381"/>
    </row>
    <row r="383" spans="1:13" ht="16" outlineLevel="1">
      <c r="A383" s="260" t="s">
        <v>2151</v>
      </c>
      <c r="B383" s="275" t="s">
        <v>156</v>
      </c>
      <c r="C383" s="2438">
        <f>'Ввод данных'!C726</f>
        <v>0.4</v>
      </c>
      <c r="D383" s="2381"/>
      <c r="E383" s="2381"/>
      <c r="F383" s="2381"/>
      <c r="G383" s="2381"/>
      <c r="H383" s="564" t="s">
        <v>2151</v>
      </c>
      <c r="I383" s="1018" t="s">
        <v>156</v>
      </c>
      <c r="J383" s="2442">
        <v>0.6</v>
      </c>
      <c r="K383" s="2406"/>
      <c r="L383" s="2407"/>
      <c r="M383" s="2381"/>
    </row>
    <row r="384" spans="1:13" ht="16" outlineLevel="1">
      <c r="A384" s="260" t="s">
        <v>2227</v>
      </c>
      <c r="B384" s="275" t="s">
        <v>156</v>
      </c>
      <c r="C384" s="2438">
        <f>'Ввод данных'!C730</f>
        <v>0</v>
      </c>
      <c r="D384" s="2381"/>
      <c r="E384" s="2381"/>
      <c r="F384" s="2381"/>
      <c r="G384" s="2381"/>
      <c r="H384" s="564" t="s">
        <v>2227</v>
      </c>
      <c r="I384" s="1018" t="s">
        <v>156</v>
      </c>
      <c r="J384" s="2442">
        <v>0.04</v>
      </c>
      <c r="K384" s="2406"/>
      <c r="L384" s="2407"/>
      <c r="M384" s="2381"/>
    </row>
    <row r="385" spans="1:13" ht="16" outlineLevel="1">
      <c r="A385" s="260" t="s">
        <v>2228</v>
      </c>
      <c r="B385" s="275" t="s">
        <v>159</v>
      </c>
      <c r="C385" s="2438">
        <f>'Ввод данных'!C732</f>
        <v>6</v>
      </c>
      <c r="D385" s="2381"/>
      <c r="E385" s="2381"/>
      <c r="F385" s="2381"/>
      <c r="G385" s="2381"/>
      <c r="H385" s="564" t="s">
        <v>2228</v>
      </c>
      <c r="I385" s="1018" t="s">
        <v>159</v>
      </c>
      <c r="J385" s="2442">
        <v>6</v>
      </c>
      <c r="K385" s="2406"/>
      <c r="L385" s="2407"/>
      <c r="M385" s="2381"/>
    </row>
    <row r="386" spans="1:13" ht="16" outlineLevel="1">
      <c r="A386" s="98" t="s">
        <v>4050</v>
      </c>
      <c r="B386" s="132" t="s">
        <v>156</v>
      </c>
      <c r="C386" s="100">
        <f>C330</f>
        <v>56</v>
      </c>
      <c r="D386" s="2381"/>
      <c r="E386" s="2381"/>
      <c r="F386" s="2381"/>
      <c r="G386" s="2381"/>
      <c r="H386" s="1279" t="s">
        <v>163</v>
      </c>
      <c r="I386" s="1018" t="s">
        <v>154</v>
      </c>
      <c r="J386" s="2442">
        <v>4</v>
      </c>
      <c r="K386" s="2406"/>
      <c r="L386" s="2407"/>
      <c r="M386" s="2381"/>
    </row>
    <row r="387" spans="1:13" ht="16" outlineLevel="1">
      <c r="A387" s="306" t="s">
        <v>4051</v>
      </c>
      <c r="B387" s="132" t="s">
        <v>135</v>
      </c>
      <c r="C387" s="100">
        <f>C386*(C379+C380)*C381</f>
        <v>10.08</v>
      </c>
      <c r="D387" s="2381"/>
      <c r="E387" s="2381"/>
      <c r="F387" s="2381"/>
      <c r="G387" s="2381"/>
      <c r="H387" s="1344" t="s">
        <v>4052</v>
      </c>
      <c r="I387" s="1018" t="s">
        <v>1820</v>
      </c>
      <c r="J387" s="2442"/>
      <c r="K387" s="2406"/>
      <c r="L387" s="2407"/>
      <c r="M387" s="2381"/>
    </row>
    <row r="388" spans="1:13" ht="16" outlineLevel="1">
      <c r="A388" s="306" t="s">
        <v>4052</v>
      </c>
      <c r="B388" s="132" t="s">
        <v>133</v>
      </c>
      <c r="C388" s="100">
        <f>C332</f>
        <v>24</v>
      </c>
      <c r="D388" s="2434">
        <f>D332</f>
        <v>0</v>
      </c>
      <c r="E388" s="2381"/>
      <c r="F388" s="2381"/>
      <c r="G388" s="2381"/>
      <c r="H388" s="1279" t="s">
        <v>4053</v>
      </c>
      <c r="I388" s="1018" t="s">
        <v>156</v>
      </c>
      <c r="J388" s="2442">
        <v>0.1</v>
      </c>
      <c r="K388" s="2406"/>
      <c r="L388" s="2407"/>
      <c r="M388" s="2381"/>
    </row>
    <row r="389" spans="1:13" ht="16" outlineLevel="1">
      <c r="A389" s="306" t="s">
        <v>4063</v>
      </c>
      <c r="B389" s="132" t="s">
        <v>156</v>
      </c>
      <c r="C389" s="2432">
        <f>'Ввод данных'!C737</f>
        <v>0</v>
      </c>
      <c r="D389" s="2176"/>
      <c r="E389" s="2381"/>
      <c r="F389" s="2381"/>
      <c r="G389" s="2381"/>
      <c r="H389" s="1279" t="s">
        <v>2157</v>
      </c>
      <c r="I389" s="1018" t="s">
        <v>156</v>
      </c>
      <c r="J389" s="2442">
        <v>10</v>
      </c>
      <c r="K389" s="2406"/>
      <c r="L389" s="2407"/>
      <c r="M389" s="2381"/>
    </row>
    <row r="390" spans="1:13" ht="16" outlineLevel="1">
      <c r="A390" s="306" t="s">
        <v>2157</v>
      </c>
      <c r="B390" s="132" t="s">
        <v>1802</v>
      </c>
      <c r="C390" s="2432">
        <f>'Ввод данных'!C735</f>
        <v>10</v>
      </c>
      <c r="D390" s="2176"/>
      <c r="E390" s="2381"/>
      <c r="F390" s="2381"/>
      <c r="G390" s="2381"/>
      <c r="H390" s="1632" t="s">
        <v>3623</v>
      </c>
      <c r="I390" s="1397" t="s">
        <v>159</v>
      </c>
      <c r="J390" s="2443">
        <v>1</v>
      </c>
      <c r="K390" s="2381"/>
      <c r="L390" s="2381"/>
      <c r="M390" s="2381"/>
    </row>
    <row r="391" spans="1:13" ht="16" outlineLevel="1">
      <c r="A391" s="306" t="s">
        <v>163</v>
      </c>
      <c r="B391" s="132" t="s">
        <v>154</v>
      </c>
      <c r="C391" s="2432" t="e">
        <f>'Ввод данных'!#REF!</f>
        <v>#REF!</v>
      </c>
      <c r="D391" s="2176"/>
      <c r="E391" s="2381"/>
      <c r="F391" s="2381"/>
      <c r="G391" s="2381"/>
      <c r="H391" s="2054" t="s">
        <v>3625</v>
      </c>
      <c r="I391" s="2444" t="s">
        <v>159</v>
      </c>
      <c r="J391" s="2445">
        <v>2</v>
      </c>
      <c r="K391" s="2381"/>
      <c r="L391" s="2381"/>
      <c r="M391" s="2381"/>
    </row>
    <row r="392" spans="1:13" ht="16" outlineLevel="1">
      <c r="A392" s="3227" t="s">
        <v>4064</v>
      </c>
      <c r="B392" s="3227"/>
      <c r="C392" s="3227"/>
      <c r="D392" s="2446">
        <f>VLOOKUP('Ввод данных'!C739,связи1!A2:B3,2,0)</f>
        <v>1</v>
      </c>
      <c r="E392" s="2381"/>
      <c r="F392" s="2381"/>
      <c r="G392" s="2381"/>
      <c r="H392" s="2447" t="s">
        <v>4064</v>
      </c>
      <c r="I392" s="1018" t="s">
        <v>1820</v>
      </c>
      <c r="J392" s="2448">
        <v>0</v>
      </c>
      <c r="K392" s="2406"/>
      <c r="L392" s="2407"/>
      <c r="M392" s="2381"/>
    </row>
    <row r="393" spans="1:13" ht="16" outlineLevel="1">
      <c r="A393" s="275" t="s">
        <v>4065</v>
      </c>
      <c r="B393" s="275" t="s">
        <v>159</v>
      </c>
      <c r="C393" s="100">
        <f>CEILING(B264*D392,1)</f>
        <v>25</v>
      </c>
      <c r="D393" s="2176"/>
      <c r="E393" s="2381"/>
      <c r="F393" s="2381"/>
      <c r="G393" s="2381"/>
      <c r="H393" s="2449" t="s">
        <v>2160</v>
      </c>
      <c r="I393" s="2450" t="s">
        <v>1322</v>
      </c>
      <c r="J393" s="2451">
        <v>0.4</v>
      </c>
      <c r="K393" s="2406"/>
      <c r="L393" s="2407"/>
      <c r="M393" s="2381"/>
    </row>
    <row r="394" spans="1:13" ht="16" outlineLevel="1">
      <c r="A394" s="275" t="s">
        <v>2160</v>
      </c>
      <c r="B394" s="275" t="s">
        <v>1322</v>
      </c>
      <c r="C394" s="2438">
        <f>'Ввод данных'!C740*D392</f>
        <v>0.3</v>
      </c>
      <c r="D394" s="2176"/>
      <c r="E394" s="2381"/>
      <c r="F394" s="2381"/>
      <c r="G394" s="2381"/>
      <c r="H394" s="2449" t="s">
        <v>2161</v>
      </c>
      <c r="I394" s="2450" t="s">
        <v>1322</v>
      </c>
      <c r="J394" s="2451">
        <v>2</v>
      </c>
      <c r="K394" s="2406"/>
      <c r="L394" s="2407"/>
      <c r="M394" s="2381"/>
    </row>
    <row r="395" spans="1:13" ht="16" outlineLevel="1">
      <c r="A395" s="275" t="s">
        <v>2161</v>
      </c>
      <c r="B395" s="275" t="s">
        <v>1322</v>
      </c>
      <c r="C395" s="2438">
        <f>'Ввод данных'!C741*D392</f>
        <v>3</v>
      </c>
      <c r="D395" s="2176"/>
      <c r="E395" s="2381"/>
      <c r="F395" s="2381"/>
      <c r="G395" s="2381"/>
      <c r="H395" s="2284" t="s">
        <v>3623</v>
      </c>
      <c r="I395" s="2452" t="s">
        <v>159</v>
      </c>
      <c r="J395" s="2222">
        <v>1</v>
      </c>
      <c r="K395" s="2406"/>
      <c r="L395" s="2407"/>
      <c r="M395" s="2381"/>
    </row>
    <row r="396" spans="1:13" ht="16" outlineLevel="1">
      <c r="A396" s="275" t="s">
        <v>4066</v>
      </c>
      <c r="B396" s="275" t="s">
        <v>135</v>
      </c>
      <c r="C396" s="100">
        <f>3.14*(C394/2)*(C394/2)*C395*C393*D392</f>
        <v>5.2987499999999992</v>
      </c>
      <c r="D396" s="2176"/>
      <c r="E396" s="2381"/>
      <c r="F396" s="2381"/>
      <c r="G396" s="2381"/>
      <c r="H396" s="416" t="s">
        <v>3625</v>
      </c>
      <c r="I396" s="2453" t="s">
        <v>1802</v>
      </c>
      <c r="J396" s="2454">
        <v>3</v>
      </c>
      <c r="K396" s="2406"/>
      <c r="L396" s="2407"/>
      <c r="M396" s="2381"/>
    </row>
    <row r="397" spans="1:13" ht="32" outlineLevel="1">
      <c r="A397" s="101" t="s">
        <v>3623</v>
      </c>
      <c r="B397" s="275" t="s">
        <v>159</v>
      </c>
      <c r="C397" s="2308" t="e">
        <f>VLOOKUP('Ввод данных'!C762,связи1!A2:B3,2,0)*D392</f>
        <v>#N/A</v>
      </c>
      <c r="D397" s="2176"/>
      <c r="E397" s="2381"/>
      <c r="F397" s="2381"/>
      <c r="G397" s="2381"/>
      <c r="H397" s="2455" t="s">
        <v>2163</v>
      </c>
      <c r="I397" s="1018" t="s">
        <v>1820</v>
      </c>
      <c r="J397" s="2456"/>
      <c r="K397" s="2406"/>
      <c r="L397" s="2407"/>
      <c r="M397" s="2381"/>
    </row>
    <row r="398" spans="1:13" ht="16" outlineLevel="1">
      <c r="A398" s="1173" t="s">
        <v>3625</v>
      </c>
      <c r="B398" s="2301" t="s">
        <v>159</v>
      </c>
      <c r="C398" s="2308" t="e">
        <f>'Ввод данных'!#REF!*D392</f>
        <v>#REF!</v>
      </c>
      <c r="D398" s="2176"/>
      <c r="E398" s="2381"/>
      <c r="F398" s="2381"/>
      <c r="G398" s="2381"/>
      <c r="H398" s="970" t="s">
        <v>2165</v>
      </c>
      <c r="I398" s="1018" t="s">
        <v>156</v>
      </c>
      <c r="J398" s="2129">
        <v>0.8</v>
      </c>
      <c r="K398" s="2406"/>
      <c r="L398" s="2407"/>
      <c r="M398" s="2381"/>
    </row>
    <row r="399" spans="1:13" ht="16" outlineLevel="1">
      <c r="A399" s="3228" t="s">
        <v>2163</v>
      </c>
      <c r="B399" s="3228"/>
      <c r="C399" s="3228"/>
      <c r="D399" s="2381"/>
      <c r="E399" s="2406"/>
      <c r="F399" s="2407"/>
      <c r="G399" s="2381"/>
      <c r="H399" s="970" t="s">
        <v>2166</v>
      </c>
      <c r="I399" s="1018" t="s">
        <v>156</v>
      </c>
      <c r="J399" s="2129">
        <v>0.1</v>
      </c>
      <c r="K399" s="2381"/>
      <c r="L399" s="2381"/>
      <c r="M399" s="2381"/>
    </row>
    <row r="400" spans="1:13" ht="16" outlineLevel="1">
      <c r="A400" s="275" t="s">
        <v>2165</v>
      </c>
      <c r="B400" s="275" t="s">
        <v>156</v>
      </c>
      <c r="C400" s="2438">
        <f>'Ввод данных'!C746</f>
        <v>0.8</v>
      </c>
      <c r="D400" s="2434">
        <f>VLOOKUP('Ввод данных'!C745,связи1!A2:B3,2,0)</f>
        <v>0</v>
      </c>
      <c r="E400" s="2435"/>
      <c r="F400" s="2407"/>
      <c r="G400" s="2381"/>
      <c r="H400" s="970" t="s">
        <v>4055</v>
      </c>
      <c r="I400" s="1018" t="s">
        <v>156</v>
      </c>
      <c r="J400" s="2129">
        <v>0.05</v>
      </c>
      <c r="K400" s="2381"/>
      <c r="L400" s="2381"/>
      <c r="M400" s="2381"/>
    </row>
    <row r="401" spans="1:13" ht="16" outlineLevel="1">
      <c r="A401" s="275" t="s">
        <v>4054</v>
      </c>
      <c r="B401" s="275" t="s">
        <v>133</v>
      </c>
      <c r="C401" s="100">
        <f>((E3+C400+C400)*2*C400+E4*C400*2+E132*(D139+D140*2-D139)*C400+D172*(C178+C179*2+C180*2*D180-C184)*C400+D220*(C226+C227*2-C226)*C400)*D400</f>
        <v>0</v>
      </c>
      <c r="D401" s="2176"/>
      <c r="E401" s="2435"/>
      <c r="F401" s="2407"/>
      <c r="G401" s="2381"/>
      <c r="H401" s="971" t="s">
        <v>2167</v>
      </c>
      <c r="I401" s="1018" t="s">
        <v>156</v>
      </c>
      <c r="J401" s="2457">
        <v>0.2</v>
      </c>
      <c r="K401" s="2381"/>
      <c r="L401" s="2381"/>
      <c r="M401" s="2381"/>
    </row>
    <row r="402" spans="1:13" ht="16" outlineLevel="1">
      <c r="A402" s="275" t="s">
        <v>2166</v>
      </c>
      <c r="B402" s="275" t="s">
        <v>156</v>
      </c>
      <c r="C402" s="2438">
        <f>'Ввод данных'!C747</f>
        <v>0.1</v>
      </c>
      <c r="D402" s="2381"/>
      <c r="E402" s="2406"/>
      <c r="F402" s="2407"/>
      <c r="G402" s="2381"/>
      <c r="H402" s="971" t="s">
        <v>2168</v>
      </c>
      <c r="I402" s="1018" t="s">
        <v>156</v>
      </c>
      <c r="J402" s="2129">
        <v>0.8</v>
      </c>
      <c r="K402" s="2381"/>
      <c r="L402" s="2381"/>
      <c r="M402" s="2381"/>
    </row>
    <row r="403" spans="1:13" ht="16" outlineLevel="1">
      <c r="A403" s="275" t="s">
        <v>2198</v>
      </c>
      <c r="B403" s="275" t="s">
        <v>156</v>
      </c>
      <c r="C403" s="2438" t="str">
        <f>'Ввод данных'!C752</f>
        <v>Тип коллектора</v>
      </c>
      <c r="D403" s="2434">
        <v>1</v>
      </c>
      <c r="E403" s="2381"/>
      <c r="F403" s="2407"/>
      <c r="G403" s="2381"/>
      <c r="H403" s="2381"/>
      <c r="I403" s="2381"/>
      <c r="J403" s="2381"/>
      <c r="K403" s="2381"/>
      <c r="L403" s="2381"/>
      <c r="M403" s="2381"/>
    </row>
    <row r="404" spans="1:13" ht="16" outlineLevel="1">
      <c r="A404" s="275" t="s">
        <v>2167</v>
      </c>
      <c r="B404" s="275" t="s">
        <v>156</v>
      </c>
      <c r="C404" s="2438">
        <f>'Ввод данных'!C748</f>
        <v>0.2</v>
      </c>
      <c r="D404" s="2434">
        <v>1</v>
      </c>
      <c r="E404" s="2406"/>
      <c r="F404" s="2407"/>
      <c r="G404" s="2381"/>
      <c r="H404" s="2381"/>
      <c r="I404" s="2381"/>
      <c r="J404" s="2381"/>
      <c r="K404" s="2381"/>
      <c r="L404" s="2381"/>
      <c r="M404" s="2381"/>
    </row>
    <row r="405" spans="1:13" ht="16" outlineLevel="1">
      <c r="A405" s="275" t="s">
        <v>2168</v>
      </c>
      <c r="B405" s="275" t="s">
        <v>156</v>
      </c>
      <c r="C405" s="2438">
        <f>'Ввод данных'!C749</f>
        <v>0.8</v>
      </c>
      <c r="D405" s="2381"/>
      <c r="E405" s="2406"/>
      <c r="F405" s="2407"/>
      <c r="G405" s="2381"/>
      <c r="H405" s="2381"/>
      <c r="I405" s="2381"/>
      <c r="J405" s="2381"/>
      <c r="K405" s="2381"/>
      <c r="L405" s="2381"/>
      <c r="M405" s="2381"/>
    </row>
    <row r="406" spans="1:13" ht="16" outlineLevel="1">
      <c r="A406" s="275" t="s">
        <v>4056</v>
      </c>
      <c r="B406" s="275" t="s">
        <v>135</v>
      </c>
      <c r="C406" s="100">
        <f>C401*C402</f>
        <v>0</v>
      </c>
      <c r="D406" s="2381"/>
      <c r="E406" s="2406"/>
      <c r="F406" s="2407"/>
      <c r="G406" s="2381"/>
      <c r="H406" s="2381"/>
      <c r="I406" s="2381"/>
      <c r="J406" s="2381"/>
      <c r="K406" s="2381"/>
      <c r="L406" s="2381"/>
      <c r="M406" s="2381"/>
    </row>
    <row r="407" spans="1:13" ht="16" outlineLevel="1">
      <c r="A407" s="3229" t="s">
        <v>2720</v>
      </c>
      <c r="B407" s="3229"/>
      <c r="C407" s="3229"/>
      <c r="D407" s="3229"/>
      <c r="E407" s="3229"/>
      <c r="F407" s="2402"/>
      <c r="G407" s="3229" t="s">
        <v>1409</v>
      </c>
      <c r="H407" s="3229"/>
      <c r="I407" s="3229"/>
      <c r="J407" s="3229"/>
      <c r="K407" s="3229"/>
      <c r="L407" s="3229"/>
      <c r="M407" s="2419"/>
    </row>
    <row r="408" spans="1:13" ht="16" outlineLevel="1">
      <c r="A408" s="2458"/>
      <c r="B408" s="2301" t="s">
        <v>120</v>
      </c>
      <c r="C408" s="2301" t="s">
        <v>1802</v>
      </c>
      <c r="D408" s="2301" t="s">
        <v>1601</v>
      </c>
      <c r="E408" s="2301" t="s">
        <v>2722</v>
      </c>
      <c r="F408" s="941"/>
      <c r="G408" s="3219"/>
      <c r="H408" s="3219"/>
      <c r="I408" s="2301" t="s">
        <v>120</v>
      </c>
      <c r="J408" s="2301" t="s">
        <v>1802</v>
      </c>
      <c r="K408" s="2301" t="s">
        <v>1601</v>
      </c>
      <c r="L408" s="275" t="s">
        <v>2722</v>
      </c>
      <c r="M408" s="2419"/>
    </row>
    <row r="409" spans="1:13" ht="16" outlineLevel="1">
      <c r="A409" s="275" t="str">
        <f>'Прайс лист'!B182</f>
        <v>Экскаватор погрузчик, бурение</v>
      </c>
      <c r="B409" s="275" t="s">
        <v>159</v>
      </c>
      <c r="C409" s="275">
        <f>C393*G375*D392*C395</f>
        <v>82.500000000000014</v>
      </c>
      <c r="D409" s="275">
        <f>'Прайс лист'!G182</f>
        <v>300</v>
      </c>
      <c r="E409" s="275">
        <f>C409*D409</f>
        <v>24750.000000000004</v>
      </c>
      <c r="F409" s="275"/>
      <c r="G409" s="2284" t="str">
        <f>'Прайс лист'!B1631</f>
        <v>приемка бетона</v>
      </c>
      <c r="H409" s="2285"/>
      <c r="I409" s="275" t="s">
        <v>135</v>
      </c>
      <c r="J409" s="275">
        <f>C396*D392*H375</f>
        <v>5.5636874999999995</v>
      </c>
      <c r="K409" s="275">
        <f>'Прайс лист'!G1631</f>
        <v>1200</v>
      </c>
      <c r="L409" s="275">
        <f t="shared" ref="L409:L414" si="10">J409*K409</f>
        <v>6676.4249999999993</v>
      </c>
      <c r="M409" s="2419"/>
    </row>
    <row r="410" spans="1:13" ht="16" outlineLevel="1">
      <c r="A410" s="275" t="str">
        <f>'Ввод данных'!A743</f>
        <v>Бетон, м300</v>
      </c>
      <c r="B410" s="275" t="s">
        <v>135</v>
      </c>
      <c r="C410" s="275">
        <f>C396*G375*D392</f>
        <v>5.8286249999999997</v>
      </c>
      <c r="D410" s="2379">
        <f>VLOOKUP(A410,Бетон__м200,6,0)</f>
        <v>3000</v>
      </c>
      <c r="E410" s="275">
        <f>C410*D410</f>
        <v>17485.875</v>
      </c>
      <c r="F410" s="275"/>
      <c r="G410" s="2284" t="str">
        <f>'Прайс лист'!B1603</f>
        <v>армирование свай скелет из арматуры</v>
      </c>
      <c r="H410" s="2285"/>
      <c r="I410" s="275" t="s">
        <v>156</v>
      </c>
      <c r="J410" s="275">
        <f>C393*C395*D392*H375</f>
        <v>78.75</v>
      </c>
      <c r="K410" s="275">
        <f>'Прайс лист'!G1603</f>
        <v>500</v>
      </c>
      <c r="L410" s="275">
        <f t="shared" si="10"/>
        <v>39375</v>
      </c>
      <c r="M410" s="2419"/>
    </row>
    <row r="411" spans="1:13" ht="16" outlineLevel="1">
      <c r="A411" s="275" t="str">
        <f>'Прайс лист'!B216</f>
        <v>Арматурный скелет для свай</v>
      </c>
      <c r="B411" s="275" t="s">
        <v>156</v>
      </c>
      <c r="C411" s="275">
        <f>C409*C395*G375*D392</f>
        <v>272.25000000000006</v>
      </c>
      <c r="D411" s="275">
        <f>'Прайс лист'!G216</f>
        <v>500</v>
      </c>
      <c r="E411" s="275">
        <f>C411*D411</f>
        <v>136125.00000000003</v>
      </c>
      <c r="F411" s="275"/>
      <c r="G411" s="2284" t="s">
        <v>4041</v>
      </c>
      <c r="H411" s="2285"/>
      <c r="I411" s="2433" t="s">
        <v>159</v>
      </c>
      <c r="J411" s="275">
        <f>J345</f>
        <v>1.05</v>
      </c>
      <c r="K411" s="275">
        <f>'Прайс лист'!G1616</f>
        <v>7000</v>
      </c>
      <c r="L411" s="275">
        <f t="shared" si="10"/>
        <v>7350</v>
      </c>
      <c r="M411" s="2419"/>
    </row>
    <row r="412" spans="1:13" ht="16" outlineLevel="1">
      <c r="A412" s="275" t="str">
        <f t="shared" ref="A412:E413" si="11">A345</f>
        <v>Сосна влаж,150*40мм</v>
      </c>
      <c r="B412" s="275" t="str">
        <f t="shared" si="11"/>
        <v>м3</v>
      </c>
      <c r="C412" s="275">
        <f t="shared" si="11"/>
        <v>3.843840000000001</v>
      </c>
      <c r="D412" s="275">
        <f t="shared" si="11"/>
        <v>6500</v>
      </c>
      <c r="E412" s="275">
        <f t="shared" si="11"/>
        <v>24984.960000000006</v>
      </c>
      <c r="F412" s="275"/>
      <c r="G412" s="2284" t="s">
        <v>1431</v>
      </c>
      <c r="H412" s="2285"/>
      <c r="I412" s="275" t="s">
        <v>133</v>
      </c>
      <c r="J412" s="275">
        <f>J346</f>
        <v>70.56</v>
      </c>
      <c r="K412" s="275">
        <f>'Прайс лист'!G1617</f>
        <v>300</v>
      </c>
      <c r="L412" s="275">
        <f t="shared" si="10"/>
        <v>21168</v>
      </c>
      <c r="M412" s="2419"/>
    </row>
    <row r="413" spans="1:13" ht="16" outlineLevel="1">
      <c r="A413" s="275" t="str">
        <f t="shared" si="11"/>
        <v xml:space="preserve">Пленка гидроизоляционная </v>
      </c>
      <c r="B413" s="275" t="str">
        <f t="shared" si="11"/>
        <v>м2</v>
      </c>
      <c r="C413" s="275">
        <f t="shared" si="11"/>
        <v>96.096000000000018</v>
      </c>
      <c r="D413" s="275">
        <f t="shared" si="11"/>
        <v>15</v>
      </c>
      <c r="E413" s="275">
        <f t="shared" si="11"/>
        <v>1441.4400000000003</v>
      </c>
      <c r="F413" s="941"/>
      <c r="G413" s="2284" t="s">
        <v>1432</v>
      </c>
      <c r="H413" s="2285"/>
      <c r="I413" s="275" t="s">
        <v>133</v>
      </c>
      <c r="J413" s="275">
        <f>J347</f>
        <v>74.088000000000008</v>
      </c>
      <c r="K413" s="275">
        <f>'Прайс лист'!G1618</f>
        <v>100</v>
      </c>
      <c r="L413" s="275">
        <f t="shared" si="10"/>
        <v>7408.8000000000011</v>
      </c>
      <c r="M413" s="2419"/>
    </row>
    <row r="414" spans="1:13" ht="16" outlineLevel="1">
      <c r="A414" s="275"/>
      <c r="B414" s="275"/>
      <c r="C414" s="275"/>
      <c r="D414" s="275"/>
      <c r="E414" s="275"/>
      <c r="F414" s="941"/>
      <c r="G414" s="2284" t="s">
        <v>1433</v>
      </c>
      <c r="H414" s="2285"/>
      <c r="I414" s="275" t="s">
        <v>133</v>
      </c>
      <c r="J414" s="275">
        <f>J348</f>
        <v>77.792400000000015</v>
      </c>
      <c r="K414" s="275">
        <f>'Прайс лист'!G1619</f>
        <v>10</v>
      </c>
      <c r="L414" s="275">
        <f t="shared" si="10"/>
        <v>777.92400000000021</v>
      </c>
      <c r="M414" s="2419"/>
    </row>
    <row r="415" spans="1:13" ht="16" outlineLevel="1">
      <c r="A415" s="275" t="str">
        <f t="shared" ref="A415:E424" si="12">A348</f>
        <v>Арматура стальная Ø 8</v>
      </c>
      <c r="B415" s="275" t="str">
        <f t="shared" si="12"/>
        <v>м.п</v>
      </c>
      <c r="C415" s="275">
        <f t="shared" si="12"/>
        <v>443.52000000000004</v>
      </c>
      <c r="D415" s="275">
        <f t="shared" si="12"/>
        <v>16.037000000000003</v>
      </c>
      <c r="E415" s="275">
        <f t="shared" si="12"/>
        <v>7112.7302400000017</v>
      </c>
      <c r="F415" s="941"/>
      <c r="G415" s="2284"/>
      <c r="H415" s="2285"/>
      <c r="I415" s="275"/>
      <c r="J415" s="275"/>
      <c r="K415" s="275"/>
      <c r="L415" s="275"/>
      <c r="M415" s="2419"/>
    </row>
    <row r="416" spans="1:13" ht="16" outlineLevel="1">
      <c r="A416" s="275" t="str">
        <f t="shared" si="12"/>
        <v>Арматура стальная Ø 6</v>
      </c>
      <c r="B416" s="275" t="str">
        <f t="shared" si="12"/>
        <v>м.п</v>
      </c>
      <c r="C416" s="275">
        <f t="shared" si="12"/>
        <v>304.92000000000007</v>
      </c>
      <c r="D416" s="275">
        <f t="shared" si="12"/>
        <v>9.0131999999999994</v>
      </c>
      <c r="E416" s="275">
        <f t="shared" si="12"/>
        <v>2748.3049440000004</v>
      </c>
      <c r="F416" s="941"/>
      <c r="G416" s="2284" t="s">
        <v>4057</v>
      </c>
      <c r="H416" s="2285"/>
      <c r="I416" s="275" t="s">
        <v>1415</v>
      </c>
      <c r="J416" s="275">
        <f t="shared" ref="J416:J425" si="13">J350</f>
        <v>423.36</v>
      </c>
      <c r="K416" s="275">
        <f>'Прайс лист'!G1601</f>
        <v>30</v>
      </c>
      <c r="L416" s="275">
        <f t="shared" ref="L416:L425" si="14">J416*K416</f>
        <v>12700.800000000001</v>
      </c>
      <c r="M416" s="2419"/>
    </row>
    <row r="417" spans="1:13" ht="16" outlineLevel="1">
      <c r="A417" s="275" t="str">
        <f t="shared" si="12"/>
        <v>Вязальная проволока</v>
      </c>
      <c r="B417" s="275" t="str">
        <f t="shared" si="12"/>
        <v>кг</v>
      </c>
      <c r="C417" s="275">
        <f t="shared" si="12"/>
        <v>16.465680000000003</v>
      </c>
      <c r="D417" s="275">
        <f t="shared" si="12"/>
        <v>80</v>
      </c>
      <c r="E417" s="275">
        <f t="shared" si="12"/>
        <v>1317.2544000000003</v>
      </c>
      <c r="F417" s="941"/>
      <c r="G417" s="2284" t="s">
        <v>4057</v>
      </c>
      <c r="H417" s="2285"/>
      <c r="I417" s="275" t="s">
        <v>156</v>
      </c>
      <c r="J417" s="275">
        <f t="shared" si="13"/>
        <v>194.04000000000005</v>
      </c>
      <c r="K417" s="275">
        <f>'Прайс лист'!G1602</f>
        <v>30</v>
      </c>
      <c r="L417" s="275">
        <f t="shared" si="14"/>
        <v>5821.2000000000016</v>
      </c>
      <c r="M417" s="2419"/>
    </row>
    <row r="418" spans="1:13" ht="16" outlineLevel="1">
      <c r="A418" s="275" t="str">
        <f t="shared" si="12"/>
        <v xml:space="preserve">Гвозди строительные 3,5 x 90            </v>
      </c>
      <c r="B418" s="275" t="str">
        <f t="shared" si="12"/>
        <v>кг</v>
      </c>
      <c r="C418" s="275">
        <f t="shared" si="12"/>
        <v>21.141120000000008</v>
      </c>
      <c r="D418" s="275">
        <f t="shared" si="12"/>
        <v>70</v>
      </c>
      <c r="E418" s="275">
        <f t="shared" si="12"/>
        <v>1479.8784000000005</v>
      </c>
      <c r="F418" s="941"/>
      <c r="G418" s="2284" t="s">
        <v>1438</v>
      </c>
      <c r="H418" s="2285"/>
      <c r="I418" s="275" t="s">
        <v>133</v>
      </c>
      <c r="J418" s="275">
        <f t="shared" si="13"/>
        <v>17.64</v>
      </c>
      <c r="K418" s="275">
        <f>'Прайс лист'!G1626</f>
        <v>100</v>
      </c>
      <c r="L418" s="275">
        <f t="shared" si="14"/>
        <v>1764</v>
      </c>
      <c r="M418" s="2419"/>
    </row>
    <row r="419" spans="1:13" ht="16" outlineLevel="1">
      <c r="A419" s="275" t="str">
        <f t="shared" si="12"/>
        <v>Гидроизол</v>
      </c>
      <c r="B419" s="275" t="str">
        <f t="shared" si="12"/>
        <v>м2</v>
      </c>
      <c r="C419" s="275">
        <f t="shared" si="12"/>
        <v>18.480000000000004</v>
      </c>
      <c r="D419" s="275">
        <f t="shared" si="12"/>
        <v>70</v>
      </c>
      <c r="E419" s="275">
        <f t="shared" si="12"/>
        <v>1293.6000000000004</v>
      </c>
      <c r="F419" s="941"/>
      <c r="G419" s="2284" t="s">
        <v>4058</v>
      </c>
      <c r="H419" s="2285"/>
      <c r="I419" s="275" t="s">
        <v>133</v>
      </c>
      <c r="J419" s="275">
        <f t="shared" si="13"/>
        <v>18.522000000000002</v>
      </c>
      <c r="K419" s="275">
        <f>K423</f>
        <v>600</v>
      </c>
      <c r="L419" s="275">
        <f t="shared" si="14"/>
        <v>11113.2</v>
      </c>
      <c r="M419" s="2419"/>
    </row>
    <row r="420" spans="1:13" ht="16" outlineLevel="1">
      <c r="A420" s="275" t="str">
        <f t="shared" si="12"/>
        <v>ПГС, машина 13м3</v>
      </c>
      <c r="B420" s="275" t="str">
        <f t="shared" si="12"/>
        <v>маш</v>
      </c>
      <c r="C420" s="275">
        <f t="shared" si="12"/>
        <v>0.6160000000000001</v>
      </c>
      <c r="D420" s="275">
        <f t="shared" si="12"/>
        <v>10000</v>
      </c>
      <c r="E420" s="275">
        <f t="shared" si="12"/>
        <v>6160.0000000000009</v>
      </c>
      <c r="F420" s="941"/>
      <c r="G420" s="2284" t="s">
        <v>1443</v>
      </c>
      <c r="H420" s="2285"/>
      <c r="I420" s="275" t="s">
        <v>135</v>
      </c>
      <c r="J420" s="275">
        <f t="shared" si="13"/>
        <v>10.584000000000001</v>
      </c>
      <c r="K420" s="275">
        <f>'Прайс лист'!G1631</f>
        <v>1200</v>
      </c>
      <c r="L420" s="275">
        <f t="shared" si="14"/>
        <v>12700.800000000001</v>
      </c>
      <c r="M420" s="2419"/>
    </row>
    <row r="421" spans="1:13" ht="16" outlineLevel="1">
      <c r="A421" s="275" t="str">
        <f t="shared" si="12"/>
        <v>Бетон, м250</v>
      </c>
      <c r="B421" s="275" t="str">
        <f t="shared" si="12"/>
        <v>м3</v>
      </c>
      <c r="C421" s="275">
        <f t="shared" si="12"/>
        <v>11.088000000000001</v>
      </c>
      <c r="D421" s="275">
        <f t="shared" si="12"/>
        <v>2750</v>
      </c>
      <c r="E421" s="275">
        <f t="shared" si="12"/>
        <v>30492.000000000004</v>
      </c>
      <c r="F421" s="941"/>
      <c r="G421" s="2284" t="s">
        <v>1444</v>
      </c>
      <c r="H421" s="2285"/>
      <c r="I421" s="275" t="s">
        <v>133</v>
      </c>
      <c r="J421" s="275">
        <f t="shared" si="13"/>
        <v>0</v>
      </c>
      <c r="K421" s="275">
        <f>'Прайс лист'!G1632</f>
        <v>200</v>
      </c>
      <c r="L421" s="275">
        <f t="shared" si="14"/>
        <v>0</v>
      </c>
      <c r="M421" s="2419"/>
    </row>
    <row r="422" spans="1:13" ht="16" outlineLevel="1">
      <c r="A422" s="275" t="str">
        <f t="shared" si="12"/>
        <v>Нет</v>
      </c>
      <c r="B422" s="275" t="str">
        <f t="shared" si="12"/>
        <v>м3</v>
      </c>
      <c r="C422" s="275">
        <f t="shared" si="12"/>
        <v>0</v>
      </c>
      <c r="D422" s="275">
        <f t="shared" si="12"/>
        <v>0</v>
      </c>
      <c r="E422" s="275">
        <f t="shared" si="12"/>
        <v>0</v>
      </c>
      <c r="F422" s="941"/>
      <c r="G422" s="2284" t="s">
        <v>1445</v>
      </c>
      <c r="H422" s="2285"/>
      <c r="I422" s="275" t="s">
        <v>133</v>
      </c>
      <c r="J422" s="275">
        <f t="shared" si="13"/>
        <v>0</v>
      </c>
      <c r="K422" s="275">
        <f>'Прайс лист'!G1633</f>
        <v>200</v>
      </c>
      <c r="L422" s="275">
        <f t="shared" si="14"/>
        <v>0</v>
      </c>
      <c r="M422" s="2419"/>
    </row>
    <row r="423" spans="1:13" ht="16" outlineLevel="1">
      <c r="A423" s="275" t="str">
        <f t="shared" si="12"/>
        <v>Грибок для крепления утеплителя</v>
      </c>
      <c r="B423" s="275" t="str">
        <f t="shared" si="12"/>
        <v>шт</v>
      </c>
      <c r="C423" s="275">
        <f t="shared" si="12"/>
        <v>0</v>
      </c>
      <c r="D423" s="275">
        <f t="shared" si="12"/>
        <v>15</v>
      </c>
      <c r="E423" s="275">
        <f t="shared" si="12"/>
        <v>0</v>
      </c>
      <c r="F423" s="941"/>
      <c r="G423" s="2284" t="s">
        <v>1441</v>
      </c>
      <c r="H423" s="2285"/>
      <c r="I423" s="275" t="s">
        <v>133</v>
      </c>
      <c r="J423" s="275">
        <f t="shared" si="13"/>
        <v>0</v>
      </c>
      <c r="K423" s="275">
        <f>'Прайс лист'!G1629</f>
        <v>600</v>
      </c>
      <c r="L423" s="275">
        <f t="shared" si="14"/>
        <v>0</v>
      </c>
      <c r="M423" s="2419"/>
    </row>
    <row r="424" spans="1:13" ht="16" outlineLevel="1">
      <c r="A424" s="275" t="str">
        <f t="shared" si="12"/>
        <v>Нет</v>
      </c>
      <c r="B424" s="275" t="str">
        <f t="shared" si="12"/>
        <v>м3</v>
      </c>
      <c r="C424" s="275">
        <f t="shared" si="12"/>
        <v>0</v>
      </c>
      <c r="D424" s="275">
        <f t="shared" si="12"/>
        <v>0</v>
      </c>
      <c r="E424" s="275">
        <f t="shared" si="12"/>
        <v>0</v>
      </c>
      <c r="F424" s="941"/>
      <c r="G424" s="2284" t="s">
        <v>1446</v>
      </c>
      <c r="H424" s="2285"/>
      <c r="I424" s="275" t="s">
        <v>133</v>
      </c>
      <c r="J424" s="275">
        <f t="shared" si="13"/>
        <v>0</v>
      </c>
      <c r="K424" s="275">
        <f>'Прайс лист'!G1635</f>
        <v>100</v>
      </c>
      <c r="L424" s="275">
        <f t="shared" si="14"/>
        <v>0</v>
      </c>
      <c r="M424" s="2419"/>
    </row>
    <row r="425" spans="1:13" ht="16" outlineLevel="1">
      <c r="A425" s="275" t="str">
        <f t="shared" ref="A425:E434" si="15">A358</f>
        <v>ПГС, машина 5м3</v>
      </c>
      <c r="B425" s="275" t="str">
        <f t="shared" si="15"/>
        <v>маш</v>
      </c>
      <c r="C425" s="275">
        <f t="shared" si="15"/>
        <v>0</v>
      </c>
      <c r="D425" s="275">
        <f t="shared" si="15"/>
        <v>6000</v>
      </c>
      <c r="E425" s="275">
        <f t="shared" si="15"/>
        <v>0</v>
      </c>
      <c r="F425" s="941"/>
      <c r="G425" s="2284" t="s">
        <v>1443</v>
      </c>
      <c r="H425" s="2285"/>
      <c r="I425" s="275" t="s">
        <v>133</v>
      </c>
      <c r="J425" s="275">
        <f t="shared" si="13"/>
        <v>0</v>
      </c>
      <c r="K425" s="275">
        <f>K409</f>
        <v>1200</v>
      </c>
      <c r="L425" s="275">
        <f t="shared" si="14"/>
        <v>0</v>
      </c>
      <c r="M425" s="2419"/>
    </row>
    <row r="426" spans="1:13" ht="16" outlineLevel="1">
      <c r="A426" s="275" t="str">
        <f t="shared" si="15"/>
        <v>Кладочная сетка, 100*100/150*150/200*200мм</v>
      </c>
      <c r="B426" s="275" t="str">
        <f t="shared" si="15"/>
        <v>м2</v>
      </c>
      <c r="C426" s="275">
        <f t="shared" si="15"/>
        <v>0</v>
      </c>
      <c r="D426" s="275">
        <f t="shared" si="15"/>
        <v>70</v>
      </c>
      <c r="E426" s="275">
        <f t="shared" si="15"/>
        <v>0</v>
      </c>
      <c r="F426" s="941"/>
      <c r="G426" s="2284"/>
      <c r="H426" s="2285"/>
      <c r="I426" s="275"/>
      <c r="J426" s="275"/>
      <c r="K426" s="275"/>
      <c r="L426" s="275"/>
      <c r="M426" s="2419"/>
    </row>
    <row r="427" spans="1:13" ht="16" outlineLevel="1">
      <c r="A427" s="275" t="str">
        <f t="shared" si="15"/>
        <v>Бетон, м200</v>
      </c>
      <c r="B427" s="275" t="str">
        <f t="shared" si="15"/>
        <v>м3</v>
      </c>
      <c r="C427" s="275">
        <f t="shared" si="15"/>
        <v>0</v>
      </c>
      <c r="D427" s="275">
        <f t="shared" si="15"/>
        <v>2500</v>
      </c>
      <c r="E427" s="275">
        <f t="shared" si="15"/>
        <v>0</v>
      </c>
      <c r="F427" s="941"/>
      <c r="G427" s="306" t="str">
        <f>'Ввод данных'!C751</f>
        <v>Труба теплого пола 3</v>
      </c>
      <c r="I427" s="291" t="s">
        <v>1415</v>
      </c>
      <c r="J427" s="2379">
        <f>VLOOKUP('Ввод данных'!G751,связи1!A2:B3,2,0)*(C386*5)*G375</f>
        <v>308</v>
      </c>
      <c r="K427" s="2421">
        <f>VLOOKUP(G427,'Прайс лист'!B1083:G1091,6,0)</f>
        <v>60</v>
      </c>
      <c r="L427" s="2421"/>
      <c r="M427" s="2436">
        <f>VLOOKUP('Ввод данных'!G751,связи1!A2:B3,2,0)</f>
        <v>1</v>
      </c>
    </row>
    <row r="428" spans="1:13" ht="16" outlineLevel="1">
      <c r="A428" s="275" t="str">
        <f t="shared" si="15"/>
        <v>расходные материалы свайноростверковый фундамент</v>
      </c>
      <c r="B428" s="275" t="str">
        <f t="shared" si="15"/>
        <v>шт</v>
      </c>
      <c r="C428" s="275">
        <f t="shared" si="15"/>
        <v>1</v>
      </c>
      <c r="D428" s="275">
        <f t="shared" si="15"/>
        <v>8000</v>
      </c>
      <c r="E428" s="275">
        <f t="shared" si="15"/>
        <v>8000</v>
      </c>
      <c r="F428" s="941"/>
      <c r="G428" s="306" t="str">
        <f>'Ввод данных'!C753</f>
        <v>Коллектор 1</v>
      </c>
      <c r="I428" s="291" t="s">
        <v>159</v>
      </c>
      <c r="J428" s="2459">
        <f>VLOOKUP('Ввод данных'!G753,связи1!A2:B3,2,0)*G375</f>
        <v>1.1000000000000001</v>
      </c>
      <c r="K428" s="2421">
        <f>VLOOKUP(G428,'Прайс лист'!B1092:G1099,6,0)</f>
        <v>5000</v>
      </c>
      <c r="L428" s="2421"/>
      <c r="M428" s="2436">
        <f>VLOOKUP('Ввод данных'!G753,связи1!A2:B3,2,0)</f>
        <v>1</v>
      </c>
    </row>
    <row r="429" spans="1:13" ht="16" outlineLevel="1">
      <c r="A429" s="275" t="str">
        <f t="shared" si="15"/>
        <v>Нет техники</v>
      </c>
      <c r="B429" s="275" t="str">
        <f t="shared" si="15"/>
        <v>шт</v>
      </c>
      <c r="C429" s="275">
        <f t="shared" si="15"/>
        <v>4</v>
      </c>
      <c r="D429" s="275">
        <f t="shared" si="15"/>
        <v>0</v>
      </c>
      <c r="E429" s="275">
        <f t="shared" si="15"/>
        <v>0</v>
      </c>
      <c r="F429" s="941"/>
      <c r="G429" s="1055" t="str">
        <f>'Прайс лист'!B1643</f>
        <v>укладка теп. Пола</v>
      </c>
      <c r="H429" s="2421"/>
      <c r="I429" s="291" t="s">
        <v>133</v>
      </c>
      <c r="J429" s="291">
        <f>(E3*E4+E132*C170+D172*C211+D220*C236)*M427*H375</f>
        <v>105</v>
      </c>
      <c r="K429" s="1055">
        <f>'Прайс лист'!G1643</f>
        <v>600</v>
      </c>
      <c r="L429" s="2421"/>
      <c r="M429" s="2419"/>
    </row>
    <row r="430" spans="1:13" ht="16" outlineLevel="1">
      <c r="A430" s="275" t="str">
        <f t="shared" si="15"/>
        <v>Нет техники</v>
      </c>
      <c r="B430" s="275" t="str">
        <f t="shared" si="15"/>
        <v>шт</v>
      </c>
      <c r="C430" s="275">
        <f t="shared" si="15"/>
        <v>4</v>
      </c>
      <c r="D430" s="275">
        <f t="shared" si="15"/>
        <v>0</v>
      </c>
      <c r="E430" s="275">
        <f t="shared" si="15"/>
        <v>0</v>
      </c>
      <c r="F430" s="941"/>
      <c r="G430" s="2421"/>
      <c r="H430" s="2421"/>
      <c r="I430" s="2421"/>
      <c r="J430" s="2421"/>
      <c r="K430" s="2421"/>
      <c r="L430" s="2421"/>
      <c r="M430" s="2419"/>
    </row>
    <row r="431" spans="1:13" ht="16" outlineLevel="1">
      <c r="A431" s="275" t="str">
        <f t="shared" si="15"/>
        <v>Нет техники</v>
      </c>
      <c r="B431" s="275" t="str">
        <f t="shared" si="15"/>
        <v>шт</v>
      </c>
      <c r="C431" s="275">
        <f t="shared" si="15"/>
        <v>6</v>
      </c>
      <c r="D431" s="275">
        <f t="shared" si="15"/>
        <v>0</v>
      </c>
      <c r="E431" s="275">
        <f t="shared" si="15"/>
        <v>0</v>
      </c>
      <c r="F431" s="941"/>
      <c r="G431" s="275"/>
      <c r="H431" s="275"/>
      <c r="I431" s="275"/>
      <c r="J431" s="275"/>
      <c r="K431" s="275"/>
      <c r="L431" s="275"/>
      <c r="M431" s="2419"/>
    </row>
    <row r="432" spans="1:13" ht="16" outlineLevel="1">
      <c r="A432" s="275" t="str">
        <f t="shared" si="15"/>
        <v>Нет техники</v>
      </c>
      <c r="B432" s="275" t="str">
        <f t="shared" si="15"/>
        <v>шт</v>
      </c>
      <c r="C432" s="275">
        <f t="shared" si="15"/>
        <v>4</v>
      </c>
      <c r="D432" s="275">
        <f t="shared" si="15"/>
        <v>0</v>
      </c>
      <c r="E432" s="275">
        <f t="shared" si="15"/>
        <v>0</v>
      </c>
      <c r="F432" s="941"/>
      <c r="G432" s="275"/>
      <c r="H432" s="275"/>
      <c r="I432" s="275"/>
      <c r="J432" s="275"/>
      <c r="K432" s="275"/>
      <c r="L432" s="275"/>
      <c r="M432" s="2419"/>
    </row>
    <row r="433" spans="1:13" ht="16" outlineLevel="1">
      <c r="A433" s="275" t="str">
        <f t="shared" si="15"/>
        <v>Нет техники</v>
      </c>
      <c r="B433" s="275" t="str">
        <f t="shared" si="15"/>
        <v>шт</v>
      </c>
      <c r="C433" s="275">
        <f t="shared" si="15"/>
        <v>0</v>
      </c>
      <c r="D433" s="275">
        <f t="shared" si="15"/>
        <v>0</v>
      </c>
      <c r="E433" s="275">
        <f t="shared" si="15"/>
        <v>0</v>
      </c>
      <c r="F433" s="941"/>
      <c r="G433" s="275"/>
      <c r="H433" s="275"/>
      <c r="I433" s="275"/>
      <c r="J433" s="275"/>
      <c r="K433" s="275"/>
      <c r="L433" s="275"/>
      <c r="M433" s="2419"/>
    </row>
    <row r="434" spans="1:13" ht="16" outlineLevel="1">
      <c r="A434" s="941"/>
      <c r="B434" s="941"/>
      <c r="C434" s="941"/>
      <c r="D434" s="941"/>
      <c r="E434" s="2433">
        <f>SUM(E409:E431)</f>
        <v>263391.04298400006</v>
      </c>
      <c r="F434" s="941"/>
      <c r="G434" s="941"/>
      <c r="H434" s="2176"/>
      <c r="I434" s="941"/>
      <c r="J434" s="941"/>
      <c r="K434" s="941"/>
      <c r="L434" s="2433">
        <f>SUM(L409:L433)</f>
        <v>126856.149</v>
      </c>
      <c r="M434" s="2419"/>
    </row>
    <row r="435" spans="1:13" ht="16" outlineLevel="1">
      <c r="A435" s="275" t="s">
        <v>4059</v>
      </c>
      <c r="B435" s="275">
        <f>E434</f>
        <v>263391.04298400006</v>
      </c>
      <c r="C435" s="941"/>
      <c r="D435" s="941"/>
      <c r="E435" s="941"/>
      <c r="F435" s="941"/>
      <c r="G435" s="941"/>
      <c r="H435" s="941"/>
      <c r="I435" s="941"/>
      <c r="J435" s="941"/>
      <c r="K435" s="941"/>
      <c r="L435" s="1789"/>
      <c r="M435" s="2419"/>
    </row>
    <row r="436" spans="1:13" ht="16" outlineLevel="1">
      <c r="A436" s="275" t="s">
        <v>4060</v>
      </c>
      <c r="B436" s="275">
        <f>L434</f>
        <v>126856.149</v>
      </c>
      <c r="C436" s="941"/>
      <c r="D436" s="941"/>
      <c r="E436" s="941"/>
      <c r="F436" s="941"/>
      <c r="G436" s="941"/>
      <c r="H436" s="941"/>
      <c r="I436" s="941"/>
      <c r="J436" s="941"/>
      <c r="K436" s="941"/>
      <c r="L436" s="1789"/>
      <c r="M436" s="2419"/>
    </row>
    <row r="437" spans="1:13" ht="16" outlineLevel="1">
      <c r="A437" s="275" t="s">
        <v>4061</v>
      </c>
      <c r="B437" s="275">
        <f>SUM(B435:B436)*B438</f>
        <v>0</v>
      </c>
      <c r="C437" s="941"/>
      <c r="D437" s="941"/>
      <c r="E437" s="941"/>
      <c r="F437" s="941"/>
      <c r="G437" s="941"/>
      <c r="H437" s="941"/>
      <c r="I437" s="941"/>
      <c r="J437" s="941"/>
      <c r="K437" s="941"/>
      <c r="L437" s="1789"/>
      <c r="M437" s="2419"/>
    </row>
    <row r="438" spans="1:13" ht="16">
      <c r="A438" s="2460" t="s">
        <v>4067</v>
      </c>
      <c r="B438" s="2434"/>
      <c r="C438" s="3196" t="s">
        <v>3663</v>
      </c>
      <c r="D438" s="3196"/>
      <c r="E438" s="3196"/>
      <c r="F438" s="3196"/>
      <c r="G438" s="2381"/>
      <c r="H438" s="2381"/>
      <c r="I438" s="2381"/>
      <c r="J438" s="2381"/>
      <c r="K438" s="2381"/>
      <c r="L438" s="2381"/>
      <c r="M438" s="2381"/>
    </row>
    <row r="439" spans="1:13">
      <c r="A439" s="2381"/>
      <c r="B439" s="2381"/>
      <c r="C439" s="2381"/>
      <c r="D439" s="2381"/>
      <c r="E439" s="2381"/>
      <c r="F439" s="2381"/>
      <c r="G439" s="2381"/>
      <c r="H439" s="2381"/>
      <c r="I439" s="2381"/>
      <c r="J439" s="2381"/>
      <c r="K439" s="2381"/>
      <c r="L439" s="2381"/>
      <c r="M439" s="2381"/>
    </row>
    <row r="440" spans="1:13" outlineLevel="1">
      <c r="A440" s="3127" t="s">
        <v>2176</v>
      </c>
      <c r="B440" s="3127"/>
      <c r="C440" s="3127"/>
      <c r="D440" s="3127"/>
      <c r="E440" s="3127"/>
      <c r="F440" s="3127"/>
      <c r="G440" s="3127"/>
      <c r="H440" s="3127"/>
      <c r="I440" s="3127"/>
      <c r="J440" s="2381"/>
      <c r="K440" s="2381"/>
      <c r="L440" s="2381"/>
      <c r="M440" s="2381"/>
    </row>
    <row r="441" spans="1:13" outlineLevel="1">
      <c r="A441" s="3127"/>
      <c r="B441" s="3127"/>
      <c r="C441" s="3127"/>
      <c r="D441" s="3127"/>
      <c r="E441" s="3127"/>
      <c r="F441" s="3127"/>
      <c r="G441" s="3127"/>
      <c r="H441" s="3127"/>
      <c r="I441" s="3127"/>
      <c r="J441" s="2381"/>
      <c r="K441" s="2381"/>
      <c r="L441" s="2381"/>
      <c r="M441" s="2381"/>
    </row>
    <row r="442" spans="1:13" ht="24" outlineLevel="1">
      <c r="A442" s="3198" t="s">
        <v>1806</v>
      </c>
      <c r="B442" s="3198"/>
      <c r="C442" s="3198"/>
      <c r="D442" s="3198"/>
      <c r="E442" s="3198"/>
      <c r="F442" s="3198"/>
      <c r="G442" s="2461">
        <f>'Ввод данных'!D768</f>
        <v>1</v>
      </c>
      <c r="H442" s="888">
        <f>'Ввод данных'!D769</f>
        <v>1</v>
      </c>
      <c r="I442" s="888"/>
      <c r="J442" s="2419"/>
      <c r="K442" s="2419"/>
      <c r="L442" s="2419"/>
      <c r="M442" s="2419"/>
    </row>
    <row r="443" spans="1:13" ht="24" outlineLevel="1">
      <c r="A443" s="3198"/>
      <c r="B443" s="3198"/>
      <c r="C443" s="3198"/>
      <c r="D443" s="3198"/>
      <c r="E443" s="3198"/>
      <c r="F443" s="3198"/>
      <c r="G443" s="2462"/>
      <c r="H443" s="888"/>
      <c r="I443" s="888"/>
      <c r="J443" s="2419"/>
      <c r="K443" s="2419"/>
      <c r="L443" s="2419"/>
      <c r="M443" s="2419"/>
    </row>
    <row r="444" spans="1:13" ht="16" outlineLevel="1">
      <c r="A444" s="275" t="s">
        <v>2177</v>
      </c>
      <c r="B444" s="275" t="s">
        <v>156</v>
      </c>
      <c r="C444" s="2463">
        <f>'Ввод данных'!C772</f>
        <v>0.2</v>
      </c>
      <c r="D444" s="2464">
        <f>IF(C444&gt;0,1,0)</f>
        <v>1</v>
      </c>
      <c r="E444" s="2381"/>
      <c r="F444" s="2381"/>
      <c r="G444" s="2381"/>
      <c r="H444" s="2381"/>
      <c r="I444" s="2381"/>
      <c r="J444" s="2381"/>
      <c r="K444" s="2381"/>
      <c r="L444" s="2381"/>
      <c r="M444" s="2381"/>
    </row>
    <row r="445" spans="1:13" ht="16" outlineLevel="1">
      <c r="A445" s="275" t="s">
        <v>2178</v>
      </c>
      <c r="B445" s="275" t="s">
        <v>156</v>
      </c>
      <c r="C445" s="2463">
        <f>'Ввод данных'!C773</f>
        <v>0.2</v>
      </c>
      <c r="D445" s="2464">
        <f>IF(C445&gt;0,1,0)</f>
        <v>1</v>
      </c>
      <c r="E445" s="2381"/>
      <c r="F445" s="2381"/>
      <c r="G445" s="2381"/>
      <c r="H445" s="2381"/>
      <c r="I445" s="2381"/>
      <c r="J445" s="2381"/>
      <c r="K445" s="2381"/>
      <c r="L445" s="2381"/>
      <c r="M445" s="2381"/>
    </row>
    <row r="446" spans="1:13" ht="16" outlineLevel="1">
      <c r="A446" s="275" t="s">
        <v>2179</v>
      </c>
      <c r="B446" s="275" t="s">
        <v>156</v>
      </c>
      <c r="C446" s="2463">
        <f>'Ввод данных'!C774</f>
        <v>0.1</v>
      </c>
      <c r="D446" s="2464">
        <f>IF(C446&gt;0,1,0)</f>
        <v>1</v>
      </c>
      <c r="E446" s="2381"/>
      <c r="F446" s="2381"/>
      <c r="G446" s="2381"/>
      <c r="H446" s="2381"/>
      <c r="I446" s="2381"/>
      <c r="J446" s="2381"/>
      <c r="K446" s="2381"/>
      <c r="L446" s="2381"/>
      <c r="M446" s="2381"/>
    </row>
    <row r="447" spans="1:13" ht="16" outlineLevel="1">
      <c r="A447" s="275" t="s">
        <v>2182</v>
      </c>
      <c r="B447" s="275" t="s">
        <v>156</v>
      </c>
      <c r="C447" s="2463">
        <f>'Ввод данных'!C777</f>
        <v>0</v>
      </c>
      <c r="D447" s="2464"/>
      <c r="E447" s="2381"/>
      <c r="F447" s="2381"/>
      <c r="G447" s="2381"/>
      <c r="H447" s="2381"/>
      <c r="I447" s="2381"/>
      <c r="J447" s="2381"/>
      <c r="K447" s="2381"/>
      <c r="L447" s="2381"/>
      <c r="M447" s="2381"/>
    </row>
    <row r="448" spans="1:13" ht="16" outlineLevel="1">
      <c r="A448" s="275" t="s">
        <v>2183</v>
      </c>
      <c r="B448" s="275" t="s">
        <v>156</v>
      </c>
      <c r="C448" s="2463">
        <f>'Ввод данных'!C778</f>
        <v>0</v>
      </c>
      <c r="D448" s="2464"/>
      <c r="E448" s="2381"/>
      <c r="F448" s="2381"/>
      <c r="G448" s="2381"/>
      <c r="H448" s="2381"/>
      <c r="I448" s="2381"/>
      <c r="J448" s="2381"/>
      <c r="K448" s="2381"/>
      <c r="L448" s="2381"/>
      <c r="M448" s="2381"/>
    </row>
    <row r="449" spans="1:13" ht="16" outlineLevel="1">
      <c r="A449" s="275" t="s">
        <v>2184</v>
      </c>
      <c r="B449" s="275" t="s">
        <v>156</v>
      </c>
      <c r="C449" s="2463">
        <f>'Ввод данных'!C779</f>
        <v>0</v>
      </c>
      <c r="D449" s="2464"/>
      <c r="E449" s="2381"/>
      <c r="F449" s="2381"/>
      <c r="G449" s="2381"/>
      <c r="H449" s="2381"/>
      <c r="I449" s="2381"/>
      <c r="J449" s="2381"/>
      <c r="K449" s="2381"/>
      <c r="L449" s="2381"/>
      <c r="M449" s="2381"/>
    </row>
    <row r="450" spans="1:13" ht="16" outlineLevel="1">
      <c r="A450" s="275" t="s">
        <v>2227</v>
      </c>
      <c r="B450" s="275" t="s">
        <v>156</v>
      </c>
      <c r="C450" s="2463">
        <f>VLOOKUP(A481,'Прайс лист'!B291:G303,4,0)</f>
        <v>0.04</v>
      </c>
      <c r="D450" s="2464"/>
      <c r="E450" s="2381"/>
      <c r="F450" s="2381"/>
      <c r="G450" s="2381"/>
      <c r="H450" s="2381"/>
      <c r="I450" s="2381"/>
      <c r="J450" s="2381"/>
      <c r="K450" s="2381"/>
      <c r="L450" s="2381"/>
      <c r="M450" s="2381"/>
    </row>
    <row r="451" spans="1:13" ht="16" outlineLevel="1">
      <c r="A451" s="275" t="s">
        <v>2186</v>
      </c>
      <c r="B451" s="275" t="s">
        <v>156</v>
      </c>
      <c r="C451" s="2463">
        <f>'Ввод данных'!C784</f>
        <v>0</v>
      </c>
      <c r="D451" s="2464"/>
      <c r="E451" s="2381"/>
      <c r="F451" s="2381"/>
      <c r="G451" s="2381"/>
      <c r="H451" s="2381"/>
      <c r="I451" s="2381"/>
      <c r="J451" s="2381"/>
      <c r="K451" s="2381"/>
      <c r="L451" s="2381"/>
      <c r="M451" s="2381"/>
    </row>
    <row r="452" spans="1:13" ht="16" outlineLevel="1">
      <c r="A452" s="275" t="s">
        <v>2187</v>
      </c>
      <c r="B452" s="275" t="s">
        <v>156</v>
      </c>
      <c r="C452" s="2463">
        <f>'Ввод данных'!C785</f>
        <v>0</v>
      </c>
      <c r="D452" s="2464"/>
      <c r="E452" s="2381"/>
      <c r="F452" s="2381"/>
      <c r="G452" s="2381"/>
      <c r="H452" s="2381"/>
      <c r="I452" s="2381"/>
      <c r="J452" s="2381"/>
      <c r="K452" s="2381"/>
      <c r="L452" s="2381"/>
      <c r="M452" s="2381"/>
    </row>
    <row r="453" spans="1:13" ht="16" outlineLevel="1">
      <c r="A453" s="275" t="s">
        <v>4068</v>
      </c>
      <c r="B453" s="275" t="s">
        <v>156</v>
      </c>
      <c r="C453" s="275">
        <f>C263</f>
        <v>56</v>
      </c>
      <c r="D453" s="2464"/>
      <c r="E453" s="2381"/>
      <c r="F453" s="2381"/>
      <c r="G453" s="2381"/>
      <c r="H453" s="2381"/>
      <c r="I453" s="2381"/>
      <c r="J453" s="2381"/>
      <c r="K453" s="2381"/>
      <c r="L453" s="2381"/>
      <c r="M453" s="2381"/>
    </row>
    <row r="454" spans="1:13" ht="16" outlineLevel="1">
      <c r="A454" s="275" t="s">
        <v>4069</v>
      </c>
      <c r="B454" s="275" t="s">
        <v>135</v>
      </c>
      <c r="C454" s="275">
        <f>C453*C451*C452</f>
        <v>0</v>
      </c>
      <c r="D454" s="2464"/>
      <c r="E454" s="2381"/>
      <c r="F454" s="2381"/>
      <c r="G454" s="2381"/>
      <c r="H454" s="2381"/>
      <c r="I454" s="2381"/>
      <c r="J454" s="2381"/>
      <c r="K454" s="2381"/>
      <c r="L454" s="2381"/>
      <c r="M454" s="2381"/>
    </row>
    <row r="455" spans="1:13" ht="16" outlineLevel="1">
      <c r="A455" s="275" t="s">
        <v>4070</v>
      </c>
      <c r="B455" s="275" t="s">
        <v>159</v>
      </c>
      <c r="C455" s="2463">
        <f>'Ввод данных'!C788</f>
        <v>4</v>
      </c>
      <c r="D455" s="2464"/>
      <c r="E455" s="2381"/>
      <c r="F455" s="2381"/>
      <c r="G455" s="2381"/>
      <c r="H455" s="2381"/>
      <c r="I455" s="2381"/>
      <c r="J455" s="2381"/>
      <c r="K455" s="2381"/>
      <c r="L455" s="2381"/>
      <c r="M455" s="2381"/>
    </row>
    <row r="456" spans="1:13" ht="16" outlineLevel="1">
      <c r="A456" s="275" t="s">
        <v>2188</v>
      </c>
      <c r="B456" s="275" t="s">
        <v>156</v>
      </c>
      <c r="C456" s="2463">
        <f>'Ввод данных'!C786</f>
        <v>0</v>
      </c>
      <c r="D456" s="2464"/>
      <c r="E456" s="2381"/>
      <c r="F456" s="2381"/>
      <c r="G456" s="2381"/>
      <c r="H456" s="2381"/>
      <c r="I456" s="2381"/>
      <c r="J456" s="2381"/>
      <c r="K456" s="2381"/>
      <c r="L456" s="2381"/>
      <c r="M456" s="2381"/>
    </row>
    <row r="457" spans="1:13" ht="16" outlineLevel="1">
      <c r="A457" s="275" t="s">
        <v>4071</v>
      </c>
      <c r="B457" s="275" t="s">
        <v>135</v>
      </c>
      <c r="C457" s="275">
        <f>(дома!C16*дома!C17+дома!D1229*дома!C1235+дома!D2019*дома!C2026*дома!C2027*IF('Ввод данных'!A529=связи1!A480,1,0)+пристройка!D2*(пристройка!C32*пристройка!C9+пристройка!D32*пристройка!D9+пристройка!E32*пристройка!E9+пристройка!F32*пристройка!F9+пристройка!H32*пристройка!H9+пристройка!I32*пристройка!I9+пристройка!J32*пристройка!J9+пристройка!K32*пристройка!K9)+'Ввод данных'!C624*'Ввод данных'!C625*IF('Ввод данных'!A661=связи1!A480,1,0)*VLOOKUP('Ввод данных'!F693,связи1!A2:B3,2,0))*C456</f>
        <v>0</v>
      </c>
      <c r="D457" s="2464"/>
      <c r="E457" s="2381"/>
      <c r="F457" s="2381"/>
      <c r="G457" s="2381"/>
      <c r="H457" s="2381"/>
      <c r="I457" s="2381"/>
      <c r="J457" s="2381"/>
      <c r="K457" s="2381"/>
      <c r="L457" s="2381"/>
      <c r="M457" s="2381"/>
    </row>
    <row r="458" spans="1:13" ht="16" outlineLevel="1">
      <c r="A458" s="275" t="s">
        <v>2232</v>
      </c>
      <c r="B458" s="275" t="s">
        <v>156</v>
      </c>
      <c r="C458" s="2463">
        <f>'Ввод данных'!C792</f>
        <v>0.2</v>
      </c>
      <c r="D458" s="2464"/>
      <c r="E458" s="2381"/>
      <c r="F458" s="2381"/>
      <c r="G458" s="2381"/>
      <c r="H458" s="2381"/>
      <c r="I458" s="2381"/>
      <c r="J458" s="2381"/>
      <c r="K458" s="2381"/>
      <c r="L458" s="2381"/>
      <c r="M458" s="2381"/>
    </row>
    <row r="459" spans="1:13" ht="16" outlineLevel="1">
      <c r="A459" s="275" t="s">
        <v>2192</v>
      </c>
      <c r="B459" s="275"/>
      <c r="C459" s="2463">
        <f>'Ввод данных'!C793</f>
        <v>1</v>
      </c>
      <c r="D459" s="2464"/>
      <c r="E459" s="2381"/>
      <c r="F459" s="2381"/>
      <c r="G459" s="2381"/>
      <c r="H459" s="2381"/>
      <c r="I459" s="2381"/>
      <c r="J459" s="2381"/>
      <c r="K459" s="2381"/>
      <c r="L459" s="2381"/>
      <c r="M459" s="2381"/>
    </row>
    <row r="460" spans="1:13" ht="16" outlineLevel="1">
      <c r="A460" s="275" t="s">
        <v>4072</v>
      </c>
      <c r="B460" s="275" t="s">
        <v>135</v>
      </c>
      <c r="C460" s="275">
        <f>C454+C457</f>
        <v>0</v>
      </c>
      <c r="D460" s="2464"/>
      <c r="E460" s="2381"/>
      <c r="F460" s="2381"/>
      <c r="G460" s="2381"/>
      <c r="H460" s="2381"/>
      <c r="I460" s="2381"/>
      <c r="J460" s="2381"/>
      <c r="K460" s="2381"/>
      <c r="L460" s="2381"/>
      <c r="M460" s="2381"/>
    </row>
    <row r="461" spans="1:13" ht="16" outlineLevel="1">
      <c r="A461" s="275" t="s">
        <v>2224</v>
      </c>
      <c r="B461" s="275" t="s">
        <v>4073</v>
      </c>
      <c r="C461" s="2463" t="e">
        <f>'Ввод данных'!#REF!</f>
        <v>#REF!</v>
      </c>
      <c r="D461" s="2465">
        <v>1</v>
      </c>
      <c r="E461" s="2381"/>
      <c r="F461" s="2381"/>
      <c r="G461" s="2381"/>
      <c r="H461" s="2381"/>
      <c r="I461" s="2381"/>
      <c r="J461" s="2381"/>
      <c r="K461" s="2381"/>
      <c r="L461" s="2381"/>
      <c r="M461" s="2381"/>
    </row>
    <row r="462" spans="1:13" ht="16" outlineLevel="1">
      <c r="A462" s="275" t="s">
        <v>4074</v>
      </c>
      <c r="B462" s="275" t="s">
        <v>133</v>
      </c>
      <c r="C462" s="275">
        <f>(дома!C16*дома!C17+дома!D1229*дома!C1235+дома!D2019*дома!C2026*дома!C2027*IF('Ввод данных'!A529=связи1!A480,1,0)+пристройка!D2*(пристройка!C32*пристройка!C9+пристройка!D32*пристройка!D9+пристройка!E32*пристройка!E9+пристройка!F32*пристройка!F9+пристройка!H32*пристройка!H9+пристройка!I32*пристройка!I9+пристройка!J32*пристройка!J9+пристройка!K32*пристройка!K9)+'Ввод данных'!C624*'Ввод данных'!C625*IF('Ввод данных'!A661=связи1!A480,1,0)*VLOOKUP('Ввод данных'!F693,связи1!A2:B3,2,0))*1.15</f>
        <v>114.99999999999999</v>
      </c>
      <c r="D462" s="2464"/>
      <c r="E462" s="2381"/>
      <c r="F462" s="2381"/>
      <c r="G462" s="2381"/>
      <c r="H462" s="2381"/>
      <c r="I462" s="2381"/>
      <c r="J462" s="2381"/>
      <c r="K462" s="2381"/>
      <c r="L462" s="2381"/>
      <c r="M462" s="2381"/>
    </row>
    <row r="463" spans="1:13" ht="16" outlineLevel="1">
      <c r="A463" s="275" t="s">
        <v>4075</v>
      </c>
      <c r="B463" s="275" t="s">
        <v>156</v>
      </c>
      <c r="C463" s="275">
        <f>C453*5</f>
        <v>280</v>
      </c>
      <c r="D463" s="2465">
        <f>VLOOKUP('Ввод данных'!C795,связи1!A2:B3,2,0)</f>
        <v>1</v>
      </c>
      <c r="E463" s="2381"/>
      <c r="F463" s="2381"/>
      <c r="G463" s="2381"/>
      <c r="H463" s="2381"/>
      <c r="I463" s="2381"/>
      <c r="J463" s="2381"/>
      <c r="K463" s="2381"/>
      <c r="L463" s="2381"/>
      <c r="M463" s="2381"/>
    </row>
    <row r="464" spans="1:13" ht="16" outlineLevel="1">
      <c r="A464" s="275" t="s">
        <v>4076</v>
      </c>
      <c r="B464" s="275" t="s">
        <v>159</v>
      </c>
      <c r="C464" s="275">
        <v>1</v>
      </c>
      <c r="D464" s="2465">
        <f>VLOOKUP('Ввод данных'!C797,связи1!A2:B3,2,0)</f>
        <v>1</v>
      </c>
      <c r="E464" s="2381"/>
      <c r="F464" s="2381"/>
      <c r="G464" s="2381"/>
      <c r="H464" s="2381"/>
      <c r="I464" s="2381"/>
      <c r="J464" s="2381"/>
      <c r="K464" s="2381"/>
      <c r="L464" s="2381"/>
      <c r="M464" s="2381"/>
    </row>
    <row r="465" spans="1:13" ht="16" outlineLevel="1">
      <c r="A465" s="275" t="s">
        <v>4077</v>
      </c>
      <c r="B465" s="275" t="s">
        <v>156</v>
      </c>
      <c r="C465" s="2433"/>
      <c r="D465" s="2465">
        <f>'Ввод данных'!H798</f>
        <v>0</v>
      </c>
      <c r="E465" s="2381"/>
      <c r="F465" s="2381"/>
      <c r="G465" s="2381"/>
      <c r="H465" s="2381"/>
      <c r="I465" s="2381"/>
      <c r="J465" s="2381"/>
      <c r="K465" s="2381"/>
      <c r="L465" s="2381"/>
      <c r="M465" s="2381"/>
    </row>
    <row r="466" spans="1:13" ht="16" outlineLevel="1">
      <c r="A466" s="275" t="s">
        <v>4078</v>
      </c>
      <c r="B466" s="275" t="s">
        <v>159</v>
      </c>
      <c r="C466" s="2463">
        <f>'Ввод данных'!C800</f>
        <v>0</v>
      </c>
      <c r="D466" s="2465">
        <v>1</v>
      </c>
      <c r="E466" s="2381"/>
      <c r="F466" s="2381"/>
      <c r="G466" s="2381"/>
      <c r="H466" s="2381"/>
      <c r="I466" s="2381"/>
      <c r="J466" s="2381"/>
      <c r="K466" s="2381"/>
      <c r="L466" s="2381"/>
      <c r="M466" s="2381"/>
    </row>
    <row r="467" spans="1:13" ht="16" outlineLevel="1">
      <c r="A467" s="275" t="s">
        <v>2195</v>
      </c>
      <c r="B467" s="275" t="s">
        <v>156</v>
      </c>
      <c r="C467" s="2463">
        <f>'Ввод данных'!C802</f>
        <v>0</v>
      </c>
      <c r="D467" s="2465">
        <v>1</v>
      </c>
      <c r="E467" s="2381"/>
      <c r="F467" s="2381"/>
      <c r="G467" s="2381"/>
      <c r="H467" s="2381"/>
      <c r="I467" s="2381"/>
      <c r="J467" s="2381"/>
      <c r="K467" s="2381"/>
      <c r="L467" s="2381"/>
      <c r="M467" s="2381"/>
    </row>
    <row r="468" spans="1:13" ht="16" outlineLevel="1">
      <c r="A468" s="275" t="s">
        <v>2196</v>
      </c>
      <c r="B468" s="275" t="s">
        <v>156</v>
      </c>
      <c r="C468" s="2463">
        <f>'Ввод данных'!C803</f>
        <v>0</v>
      </c>
      <c r="D468" s="2465">
        <v>1</v>
      </c>
      <c r="E468" s="2381"/>
      <c r="F468" s="2381"/>
      <c r="G468" s="2381"/>
      <c r="H468" s="2381"/>
      <c r="I468" s="2381"/>
      <c r="J468" s="2381"/>
      <c r="K468" s="2381"/>
      <c r="L468" s="2381"/>
      <c r="M468" s="2381"/>
    </row>
    <row r="469" spans="1:13" ht="16" outlineLevel="1">
      <c r="A469" s="3230" t="s">
        <v>2163</v>
      </c>
      <c r="B469" s="3230"/>
      <c r="C469" s="3230"/>
      <c r="D469" s="2464"/>
      <c r="E469" s="2406"/>
      <c r="F469" s="2407"/>
      <c r="G469" s="2381"/>
      <c r="H469" s="2381"/>
      <c r="I469" s="2381"/>
      <c r="J469" s="2381"/>
      <c r="K469" s="2381"/>
      <c r="L469" s="2381"/>
      <c r="M469" s="2381"/>
    </row>
    <row r="470" spans="1:13" ht="16" outlineLevel="1">
      <c r="A470" s="275" t="s">
        <v>2165</v>
      </c>
      <c r="B470" s="275" t="s">
        <v>156</v>
      </c>
      <c r="C470" s="2463">
        <f>'Ввод данных'!C807</f>
        <v>0.8</v>
      </c>
      <c r="D470" s="2465">
        <f>VLOOKUP('Ввод данных'!C804,связи1!A2:B3,2,0)</f>
        <v>0</v>
      </c>
      <c r="E470" s="2435"/>
      <c r="F470" s="2407"/>
      <c r="G470" s="2381"/>
      <c r="H470" s="2381"/>
      <c r="I470" s="2381"/>
      <c r="J470" s="2381"/>
      <c r="K470" s="2381"/>
      <c r="L470" s="2381"/>
      <c r="M470" s="2381"/>
    </row>
    <row r="471" spans="1:13" ht="16" outlineLevel="1">
      <c r="A471" s="275" t="s">
        <v>2166</v>
      </c>
      <c r="B471" s="275" t="s">
        <v>156</v>
      </c>
      <c r="C471" s="2463">
        <f>'Ввод данных'!C808</f>
        <v>0.1</v>
      </c>
      <c r="D471" s="2464"/>
      <c r="E471" s="2406"/>
      <c r="F471" s="2407"/>
      <c r="G471" s="2381"/>
      <c r="H471" s="2381"/>
      <c r="I471" s="2381"/>
      <c r="J471" s="2381"/>
      <c r="K471" s="2381"/>
      <c r="L471" s="2381"/>
      <c r="M471" s="2381"/>
    </row>
    <row r="472" spans="1:13" ht="16" outlineLevel="1">
      <c r="A472" s="275" t="s">
        <v>2198</v>
      </c>
      <c r="B472" s="275" t="s">
        <v>156</v>
      </c>
      <c r="C472" s="2463">
        <f>'Ввод данных'!C809</f>
        <v>0.05</v>
      </c>
      <c r="D472" s="2465">
        <v>1</v>
      </c>
      <c r="E472" s="2381"/>
      <c r="F472" s="2407"/>
      <c r="G472" s="2381"/>
      <c r="H472" s="2381"/>
      <c r="I472" s="2381"/>
      <c r="J472" s="2381"/>
      <c r="K472" s="2381"/>
      <c r="L472" s="2381"/>
      <c r="M472" s="2381"/>
    </row>
    <row r="473" spans="1:13" ht="16" outlineLevel="1">
      <c r="A473" s="275" t="s">
        <v>2167</v>
      </c>
      <c r="B473" s="275" t="s">
        <v>156</v>
      </c>
      <c r="C473" s="2463">
        <f>'Ввод данных'!C810</f>
        <v>0.2</v>
      </c>
      <c r="D473" s="2464"/>
      <c r="E473" s="2406"/>
      <c r="F473" s="2407"/>
      <c r="G473" s="2381"/>
      <c r="H473" s="2381"/>
      <c r="I473" s="2381"/>
      <c r="J473" s="2381"/>
      <c r="K473" s="2381"/>
      <c r="L473" s="2381"/>
      <c r="M473" s="2381"/>
    </row>
    <row r="474" spans="1:13" ht="16" outlineLevel="1">
      <c r="A474" s="275" t="s">
        <v>2168</v>
      </c>
      <c r="B474" s="275" t="s">
        <v>156</v>
      </c>
      <c r="C474" s="2463">
        <f>'Ввод данных'!C811</f>
        <v>0.8</v>
      </c>
      <c r="D474" s="2464"/>
      <c r="E474" s="2406"/>
      <c r="F474" s="2407"/>
      <c r="G474" s="2381"/>
      <c r="H474" s="2381"/>
      <c r="I474" s="2381"/>
      <c r="J474" s="2381"/>
      <c r="K474" s="2381"/>
      <c r="L474" s="2381"/>
      <c r="M474" s="2381"/>
    </row>
    <row r="475" spans="1:13" ht="16" outlineLevel="1">
      <c r="A475" s="275" t="s">
        <v>4056</v>
      </c>
      <c r="B475" s="275" t="s">
        <v>135</v>
      </c>
      <c r="C475" s="275">
        <f>((E3+C470+C470)*2*C470+E4*C470*2+E132*(D139+D140*2-D139)*C400+D172*(C178+C179*2+C180*2*D180-C184)*C470+D220*(C226+C227*2-C226)*C470)*D470*C471</f>
        <v>0</v>
      </c>
      <c r="D475" s="2464"/>
      <c r="E475" s="2406"/>
      <c r="F475" s="2407"/>
      <c r="G475" s="2381"/>
      <c r="H475" s="2381"/>
      <c r="I475" s="2381"/>
      <c r="J475" s="2381"/>
      <c r="K475" s="2381"/>
      <c r="L475" s="2381"/>
      <c r="M475" s="2381"/>
    </row>
    <row r="476" spans="1:13" ht="16" outlineLevel="1">
      <c r="A476" s="3231" t="s">
        <v>2720</v>
      </c>
      <c r="B476" s="3231"/>
      <c r="C476" s="3231"/>
      <c r="D476" s="3231"/>
      <c r="E476" s="3231"/>
      <c r="F476" s="2408"/>
      <c r="G476" s="3231" t="s">
        <v>1409</v>
      </c>
      <c r="H476" s="3231"/>
      <c r="I476" s="3231"/>
      <c r="J476" s="3231"/>
      <c r="K476" s="3231"/>
      <c r="L476" s="3231"/>
      <c r="M476" s="2381"/>
    </row>
    <row r="477" spans="1:13" ht="16" outlineLevel="1">
      <c r="A477" s="306" t="s">
        <v>4079</v>
      </c>
      <c r="B477" s="291" t="s">
        <v>120</v>
      </c>
      <c r="C477" s="291" t="s">
        <v>1802</v>
      </c>
      <c r="D477" s="100" t="s">
        <v>4080</v>
      </c>
      <c r="E477" s="100" t="s">
        <v>4081</v>
      </c>
      <c r="F477" s="2263"/>
      <c r="G477" s="2466"/>
      <c r="H477" s="2467"/>
      <c r="I477" s="291" t="s">
        <v>120</v>
      </c>
      <c r="J477" s="291" t="s">
        <v>1802</v>
      </c>
      <c r="K477" s="100" t="s">
        <v>4080</v>
      </c>
      <c r="L477" s="100" t="s">
        <v>4081</v>
      </c>
      <c r="M477" s="2381"/>
    </row>
    <row r="478" spans="1:13" ht="16" outlineLevel="1">
      <c r="A478" s="306" t="str">
        <f>'Прайс лист'!B169</f>
        <v>Скальник, 1 маш 13м3</v>
      </c>
      <c r="B478" s="291" t="s">
        <v>140</v>
      </c>
      <c r="C478" s="291">
        <f>(((E3*E4+E132*C170+D172*C211+D220*C236)+(C475/C471)*D470)*C445)/13*G442</f>
        <v>1.5384615384615385</v>
      </c>
      <c r="D478" s="291">
        <f>'Прайс лист'!G169</f>
        <v>15000</v>
      </c>
      <c r="E478" s="291">
        <f t="shared" ref="E478:E506" si="16">C478*D478</f>
        <v>23076.923076923078</v>
      </c>
      <c r="F478" s="2263"/>
      <c r="G478" s="2466" t="str">
        <f>'Прайс лист'!B1616</f>
        <v>разбивка осей фундамента</v>
      </c>
      <c r="H478" s="2467"/>
      <c r="I478" s="291" t="s">
        <v>159</v>
      </c>
      <c r="J478" s="291">
        <f>1*H442</f>
        <v>1</v>
      </c>
      <c r="K478" s="291">
        <f>'Прайс лист'!G1616</f>
        <v>7000</v>
      </c>
      <c r="L478" s="291">
        <f t="shared" ref="L478:L495" si="17">K478*J478</f>
        <v>7000</v>
      </c>
      <c r="M478" s="2381"/>
    </row>
    <row r="479" spans="1:13" ht="16" outlineLevel="1">
      <c r="A479" s="306" t="str">
        <f>'Прайс лист'!B167</f>
        <v>ПГС, машина 13м3</v>
      </c>
      <c r="B479" s="291" t="s">
        <v>140</v>
      </c>
      <c r="C479" s="291">
        <f>(((E3*E4+E132*C170+D172*C211+D220*C236)+(C475/C471)*D470)*C444)/13*G442</f>
        <v>1.5384615384615385</v>
      </c>
      <c r="D479" s="291">
        <f>'Прайс лист'!G167</f>
        <v>10000</v>
      </c>
      <c r="E479" s="291">
        <f t="shared" si="16"/>
        <v>15384.615384615385</v>
      </c>
      <c r="F479" s="2263"/>
      <c r="G479" s="2466" t="str">
        <f>'Прайс лист'!B1629</f>
        <v>трамбовка пгс</v>
      </c>
      <c r="H479" s="2467"/>
      <c r="I479" s="291" t="s">
        <v>133</v>
      </c>
      <c r="J479" s="291">
        <f>(E3*E4+E132*C170+D172*C211+D220*C236+C475/C471*D470)*H442*D444</f>
        <v>100</v>
      </c>
      <c r="K479" s="291">
        <f>'Прайс лист'!G1629</f>
        <v>600</v>
      </c>
      <c r="L479" s="291">
        <f t="shared" si="17"/>
        <v>60000</v>
      </c>
      <c r="M479" s="2381"/>
    </row>
    <row r="480" spans="1:13" ht="16" outlineLevel="1">
      <c r="A480" s="306" t="str">
        <f>'Прайс лист'!B171</f>
        <v>Песок, машина 13м3</v>
      </c>
      <c r="B480" s="291" t="s">
        <v>140</v>
      </c>
      <c r="C480" s="291">
        <f>(((E3*E4+E132*C170+D172*C211+D220*C236)+(C475/C471)*D470)*C446)/13*G442</f>
        <v>0.76923076923076927</v>
      </c>
      <c r="D480" s="291">
        <f>'Прайс лист'!G171</f>
        <v>12000</v>
      </c>
      <c r="E480" s="291">
        <f t="shared" si="16"/>
        <v>9230.7692307692305</v>
      </c>
      <c r="F480" s="2263"/>
      <c r="G480" s="2466" t="str">
        <f>'Прайс лист'!B1630</f>
        <v>трамбовка скальник</v>
      </c>
      <c r="I480" s="291" t="s">
        <v>133</v>
      </c>
      <c r="J480" s="2421">
        <f>(E3*E4+E132*C170+D172*C211+D220*C236+C475/C471*D470)*H442*D445</f>
        <v>100</v>
      </c>
      <c r="K480" s="291">
        <f>'Прайс лист'!G1630</f>
        <v>400</v>
      </c>
      <c r="L480" s="291">
        <f t="shared" si="17"/>
        <v>40000</v>
      </c>
      <c r="M480" s="2381"/>
    </row>
    <row r="481" spans="1:13" ht="16" outlineLevel="1">
      <c r="A481" s="306" t="str">
        <f>'Ввод данных'!A781</f>
        <v>Сосна влаж,180*40мм</v>
      </c>
      <c r="B481" s="291" t="s">
        <v>135</v>
      </c>
      <c r="C481" s="291">
        <f>(пристройка!R85+дома!D1229*дома!C1275+дома!C16+дома!C17+дома!C16+дома!C17)*C450*IF((C447+C452)=0,C456,C447+C452+C456)*1.3*G442</f>
        <v>0</v>
      </c>
      <c r="D481" s="291">
        <f>VLOOKUP(A481,'Прайс лист'!B291:G303,6,0)</f>
        <v>6500</v>
      </c>
      <c r="E481" s="291">
        <f t="shared" si="16"/>
        <v>0</v>
      </c>
      <c r="F481" s="2263"/>
      <c r="G481" s="2466" t="str">
        <f>'Прайс лист'!B1628</f>
        <v>трамбовка песок</v>
      </c>
      <c r="I481" s="291" t="s">
        <v>133</v>
      </c>
      <c r="J481" s="2421">
        <f>(E3*E4+E132*C170+D172*C211+D220*C236+C475/C471*D470)*H442*D446</f>
        <v>100</v>
      </c>
      <c r="K481" s="1055">
        <f>'Прайс лист'!G1628</f>
        <v>350</v>
      </c>
      <c r="L481" s="291">
        <f t="shared" si="17"/>
        <v>35000</v>
      </c>
      <c r="M481" s="2381"/>
    </row>
    <row r="482" spans="1:13" ht="16" outlineLevel="1">
      <c r="A482" s="306" t="str">
        <f>'Ввод данных'!A776</f>
        <v>Нет утеплителя</v>
      </c>
      <c r="B482" s="291" t="s">
        <v>135</v>
      </c>
      <c r="C482" s="291">
        <f>C453*C447*C451+(E3*E4+E132*C170+D172*C211+D220*C236-C453*C451)*C448*G442</f>
        <v>0</v>
      </c>
      <c r="D482" s="291">
        <f>VLOOKUP(A482,связи1!A423:F430,6,0)</f>
        <v>0</v>
      </c>
      <c r="E482" s="291">
        <f t="shared" si="16"/>
        <v>0</v>
      </c>
      <c r="F482" s="2263"/>
      <c r="G482" s="2466" t="s">
        <v>4082</v>
      </c>
      <c r="H482" s="2467"/>
      <c r="I482" s="291" t="s">
        <v>133</v>
      </c>
      <c r="J482" s="291">
        <f>(D72+E132*C169-D139*E132+D172*C210-D172*C184+D220*C235-C226*D220)*(C447+C452)*H442</f>
        <v>0</v>
      </c>
      <c r="K482" s="291">
        <f>'Прайс лист'!G1617+'Прайс лист'!G1618</f>
        <v>400</v>
      </c>
      <c r="L482" s="291">
        <f t="shared" si="17"/>
        <v>0</v>
      </c>
      <c r="M482" s="2381"/>
    </row>
    <row r="483" spans="1:13" ht="16" outlineLevel="1">
      <c r="A483" s="306" t="str">
        <f>A482</f>
        <v>Нет утеплителя</v>
      </c>
      <c r="B483" s="291" t="s">
        <v>135</v>
      </c>
      <c r="C483" s="291">
        <f>C475/C471*C472*D472*G442</f>
        <v>0</v>
      </c>
      <c r="D483" s="291">
        <f>VLOOKUP(A483,связи1!A423:F430,6,0)</f>
        <v>0</v>
      </c>
      <c r="E483" s="291">
        <f t="shared" si="16"/>
        <v>0</v>
      </c>
      <c r="F483" s="2263"/>
      <c r="G483" s="2284" t="str">
        <f>'Прайс лист'!B1621</f>
        <v>укладка утеплителя под плиту</v>
      </c>
      <c r="H483" s="2285"/>
      <c r="I483" s="100" t="s">
        <v>133</v>
      </c>
      <c r="J483" s="100">
        <f>(E3*E4+E132*C170+D172*C211+D220*C236)*H442</f>
        <v>100</v>
      </c>
      <c r="K483" s="100">
        <f>'Прайс лист'!G1621</f>
        <v>200</v>
      </c>
      <c r="L483" s="100">
        <f t="shared" si="17"/>
        <v>20000</v>
      </c>
      <c r="M483" s="2381"/>
    </row>
    <row r="484" spans="1:13" ht="16" outlineLevel="1">
      <c r="A484" s="306" t="str">
        <f>'Прайс лист'!B215</f>
        <v xml:space="preserve">Пленка гидроизоляционная </v>
      </c>
      <c r="B484" s="291" t="s">
        <v>133</v>
      </c>
      <c r="C484" s="291">
        <f>(E3*E4+E132*C170+D172*C211+D220*C236)*1.3*G442</f>
        <v>130</v>
      </c>
      <c r="D484" s="291">
        <f>'Прайс лист'!G215</f>
        <v>15</v>
      </c>
      <c r="E484" s="291">
        <f t="shared" si="16"/>
        <v>1950</v>
      </c>
      <c r="F484" s="2263"/>
      <c r="G484" s="2284" t="str">
        <f>'Прайс лист'!B1622</f>
        <v>укладка утеплителя под отмостка</v>
      </c>
      <c r="H484" s="2285"/>
      <c r="I484" s="100" t="s">
        <v>133</v>
      </c>
      <c r="J484" s="100">
        <f>C475/C471*D472*H442</f>
        <v>0</v>
      </c>
      <c r="K484" s="100">
        <f>'Прайс лист'!G1622</f>
        <v>200</v>
      </c>
      <c r="L484" s="100">
        <f t="shared" si="17"/>
        <v>0</v>
      </c>
      <c r="M484" s="2381"/>
    </row>
    <row r="485" spans="1:13" ht="16" outlineLevel="1">
      <c r="A485" s="306" t="str">
        <f>'Прайс лист'!B211</f>
        <v>Кладочная сетка, 100*100/150*150/200*200мм</v>
      </c>
      <c r="B485" s="291" t="s">
        <v>133</v>
      </c>
      <c r="C485" s="291">
        <f>E3*E4+E132*C170+D172*C211+D220*C236*G442</f>
        <v>100</v>
      </c>
      <c r="D485" s="291">
        <f>'Прайс лист'!G211</f>
        <v>70</v>
      </c>
      <c r="E485" s="291">
        <f t="shared" si="16"/>
        <v>7000</v>
      </c>
      <c r="F485" s="2263"/>
      <c r="G485" s="2466" t="s">
        <v>4083</v>
      </c>
      <c r="H485" s="2467"/>
      <c r="I485" s="291" t="s">
        <v>133</v>
      </c>
      <c r="J485" s="291">
        <f>(E3*E4+E132*C170+D172*C211+D220*C236)*H442</f>
        <v>100</v>
      </c>
      <c r="K485" s="291">
        <f>'Прайс лист'!G1619</f>
        <v>10</v>
      </c>
      <c r="L485" s="291">
        <f t="shared" si="17"/>
        <v>1000</v>
      </c>
      <c r="M485" s="2381"/>
    </row>
    <row r="486" spans="1:13" ht="16" outlineLevel="1">
      <c r="A486" s="306" t="str">
        <f>'Прайс лист'!B213</f>
        <v>Стяжки пластиковые</v>
      </c>
      <c r="B486" s="291" t="s">
        <v>159</v>
      </c>
      <c r="C486" s="291">
        <f>C485*3*G442+C463*3*D463*G442</f>
        <v>1140</v>
      </c>
      <c r="D486" s="291">
        <f>'Прайс лист'!G213</f>
        <v>2</v>
      </c>
      <c r="E486" s="291">
        <f t="shared" si="16"/>
        <v>2280</v>
      </c>
      <c r="F486" s="2263"/>
      <c r="G486" s="2466" t="str">
        <f>'Прайс лист'!B1635</f>
        <v>кладка сетки</v>
      </c>
      <c r="H486" s="2467"/>
      <c r="I486" s="291" t="s">
        <v>133</v>
      </c>
      <c r="J486" s="291">
        <f>(E3*E4+E132*C170+D172*C211+D220*C236)*H442</f>
        <v>100</v>
      </c>
      <c r="K486" s="291">
        <f>'Прайс лист'!G1635</f>
        <v>100</v>
      </c>
      <c r="L486" s="291">
        <f t="shared" si="17"/>
        <v>10000</v>
      </c>
      <c r="M486" s="2381"/>
    </row>
    <row r="487" spans="1:13" ht="16" outlineLevel="1">
      <c r="A487" s="306" t="str">
        <f>'Ввод данных'!A783</f>
        <v>Бетон, м350</v>
      </c>
      <c r="B487" s="291" t="s">
        <v>135</v>
      </c>
      <c r="C487" s="291">
        <f>C460*G442</f>
        <v>0</v>
      </c>
      <c r="D487" s="291">
        <f>VLOOKUP(A487,Бетон__м200,6,0)</f>
        <v>3500</v>
      </c>
      <c r="E487" s="291">
        <f t="shared" si="16"/>
        <v>0</v>
      </c>
      <c r="F487" s="2263"/>
      <c r="G487" s="2466" t="str">
        <f>'Прайс лист'!B1643</f>
        <v>укладка теп. Пола</v>
      </c>
      <c r="H487" s="2467"/>
      <c r="I487" s="291" t="s">
        <v>133</v>
      </c>
      <c r="J487" s="291">
        <f>(E3*E4+E132*C170+D172*C211+D220*C236)*D463*H442</f>
        <v>100</v>
      </c>
      <c r="K487" s="291">
        <f>'Прайс лист'!G1643</f>
        <v>600</v>
      </c>
      <c r="L487" s="291">
        <f t="shared" si="17"/>
        <v>60000</v>
      </c>
      <c r="M487" s="2381"/>
    </row>
    <row r="488" spans="1:13" ht="16" outlineLevel="1">
      <c r="A488" s="306" t="str">
        <f>'Ввод данных'!A806</f>
        <v>Бетон, м250</v>
      </c>
      <c r="B488" s="291" t="s">
        <v>135</v>
      </c>
      <c r="C488" s="291">
        <f>C475*D470*G442</f>
        <v>0</v>
      </c>
      <c r="D488" s="291">
        <f>VLOOKUP(A488,Бетон__м200,6,0)</f>
        <v>2750</v>
      </c>
      <c r="E488" s="291">
        <f t="shared" si="16"/>
        <v>0</v>
      </c>
      <c r="F488" s="2263"/>
      <c r="G488" s="2466" t="str">
        <f>'Прайс лист'!B1605</f>
        <v>Заливка бетоном перекрытия/плиты</v>
      </c>
      <c r="H488" s="2467"/>
      <c r="I488" s="291" t="s">
        <v>133</v>
      </c>
      <c r="J488" s="291">
        <f>(E3*E4+E132*C170+D172*C211+D220*C236)*H442</f>
        <v>100</v>
      </c>
      <c r="K488" s="291">
        <f>'Прайс лист'!G1605</f>
        <v>350</v>
      </c>
      <c r="L488" s="291">
        <f t="shared" si="17"/>
        <v>35000</v>
      </c>
      <c r="M488" s="2381"/>
    </row>
    <row r="489" spans="1:13" ht="16" outlineLevel="1">
      <c r="A489" s="306" t="str">
        <f>'Ввод данных'!A795</f>
        <v>Труба теплого пола 3</v>
      </c>
      <c r="B489" s="291" t="s">
        <v>1415</v>
      </c>
      <c r="C489" s="291">
        <f>C463*D463*G442</f>
        <v>280</v>
      </c>
      <c r="D489" s="291">
        <f>VLOOKUP(A489,'Прайс лист'!B1083:G1091,6,0)</f>
        <v>60</v>
      </c>
      <c r="E489" s="291">
        <f t="shared" si="16"/>
        <v>16800</v>
      </c>
      <c r="F489" s="2263"/>
      <c r="G489" s="2466" t="str">
        <f>'Прайс лист'!B1642</f>
        <v>заливка бетоном отмостки</v>
      </c>
      <c r="H489" s="2467"/>
      <c r="I489" s="291" t="s">
        <v>133</v>
      </c>
      <c r="J489" s="291">
        <f>C475/C471*D470*H442</f>
        <v>0</v>
      </c>
      <c r="K489" s="291">
        <f>'Прайс лист'!G1642</f>
        <v>500</v>
      </c>
      <c r="L489" s="291">
        <f t="shared" si="17"/>
        <v>0</v>
      </c>
      <c r="M489" s="2381"/>
    </row>
    <row r="490" spans="1:13" ht="16" outlineLevel="1">
      <c r="A490" s="306" t="str">
        <f>'Ввод данных'!A797</f>
        <v>Коллектор 1</v>
      </c>
      <c r="B490" s="291" t="s">
        <v>159</v>
      </c>
      <c r="C490" s="291">
        <f>D464*G442</f>
        <v>1</v>
      </c>
      <c r="D490" s="291">
        <f>VLOOKUP(A490,'Прайс лист'!B1092:G1099,6,0)</f>
        <v>5000</v>
      </c>
      <c r="E490" s="291">
        <f t="shared" si="16"/>
        <v>5000</v>
      </c>
      <c r="F490" s="2263"/>
      <c r="G490" s="2466" t="s">
        <v>4084</v>
      </c>
      <c r="H490" s="2467"/>
      <c r="I490" s="291" t="s">
        <v>133</v>
      </c>
      <c r="J490" s="291">
        <f>(E3*E4+E132*C170+D172*C211+D220*C236)*H442</f>
        <v>100</v>
      </c>
      <c r="K490" s="291">
        <f>'Прайс лист'!G1600</f>
        <v>300</v>
      </c>
      <c r="L490" s="291">
        <f t="shared" si="17"/>
        <v>30000</v>
      </c>
      <c r="M490" s="2381"/>
    </row>
    <row r="491" spans="1:13" ht="16" outlineLevel="1">
      <c r="A491" s="306" t="str">
        <f>'Ввод данных'!A788</f>
        <v>Нет арматуры</v>
      </c>
      <c r="B491" s="291" t="s">
        <v>156</v>
      </c>
      <c r="C491" s="291">
        <f>C453*C455*1.1*G442</f>
        <v>246.40000000000003</v>
      </c>
      <c r="D491" s="291">
        <f>VLOOKUP(A491,'Прайс лист'!B199:G210,6,0)</f>
        <v>0</v>
      </c>
      <c r="E491" s="291">
        <f t="shared" si="16"/>
        <v>0</v>
      </c>
      <c r="F491" s="2263"/>
      <c r="G491" s="2466" t="str">
        <f>'Прайс лист'!B1604</f>
        <v>армирование отмостки</v>
      </c>
      <c r="H491" s="2467"/>
      <c r="I491" s="291" t="s">
        <v>133</v>
      </c>
      <c r="J491" s="291">
        <f>C475/C471*D470*H442</f>
        <v>0</v>
      </c>
      <c r="K491" s="291">
        <f>'Прайс лист'!G1604</f>
        <v>350</v>
      </c>
      <c r="L491" s="291">
        <f t="shared" si="17"/>
        <v>0</v>
      </c>
      <c r="M491" s="2381"/>
    </row>
    <row r="492" spans="1:13" ht="16" outlineLevel="1">
      <c r="A492" s="306" t="str">
        <f>'Ввод данных'!A792</f>
        <v>Нет арматуры</v>
      </c>
      <c r="B492" s="291" t="s">
        <v>156</v>
      </c>
      <c r="C492" s="291">
        <f>(E3*E4+E132*C170+D172*C211+D220*C236)*(1/C458)*2*G442*C459</f>
        <v>1000</v>
      </c>
      <c r="D492" s="291">
        <f>VLOOKUP(A492,'Прайс лист'!B199:G210,6,0)</f>
        <v>0</v>
      </c>
      <c r="E492" s="291">
        <f t="shared" si="16"/>
        <v>0</v>
      </c>
      <c r="F492" s="2263"/>
      <c r="G492" s="2466" t="str">
        <f>'Прайс лист'!B1644</f>
        <v>монтаж канализации</v>
      </c>
      <c r="H492" s="2467"/>
      <c r="I492" s="291" t="s">
        <v>156</v>
      </c>
      <c r="J492" s="291">
        <f>C467*D467*H442</f>
        <v>0</v>
      </c>
      <c r="K492" s="291">
        <f>'Прайс лист'!G1644</f>
        <v>200</v>
      </c>
      <c r="L492" s="291">
        <f t="shared" si="17"/>
        <v>0</v>
      </c>
      <c r="M492" s="2381"/>
    </row>
    <row r="493" spans="1:13" ht="16" outlineLevel="1">
      <c r="A493" s="306" t="str">
        <f>'Ввод данных'!A790</f>
        <v>Нет арматуры</v>
      </c>
      <c r="B493" s="291" t="s">
        <v>156</v>
      </c>
      <c r="C493" s="291">
        <f>(C453/'Ввод данных'!C790)*(C451+C452)*2*1.1*G442</f>
        <v>0</v>
      </c>
      <c r="D493" s="291">
        <f>VLOOKUP(A493,'Прайс лист'!B199:G210,6,0)</f>
        <v>0</v>
      </c>
      <c r="E493" s="291">
        <f t="shared" si="16"/>
        <v>0</v>
      </c>
      <c r="F493" s="2263"/>
      <c r="G493" s="2466" t="str">
        <f>'Прайс лист'!B1645</f>
        <v>укладка геотекстиля</v>
      </c>
      <c r="H493" s="2467"/>
      <c r="I493" s="291" t="s">
        <v>133</v>
      </c>
      <c r="J493" s="291">
        <f>(E3*E4+E132*C170+D172*C211+D220*C236+C475/C471*D470)*H442</f>
        <v>100</v>
      </c>
      <c r="K493" s="291">
        <f>'Прайс лист'!G1645</f>
        <v>200</v>
      </c>
      <c r="L493" s="291">
        <f t="shared" si="17"/>
        <v>20000</v>
      </c>
      <c r="M493" s="2381"/>
    </row>
    <row r="494" spans="1:13" ht="16" outlineLevel="1">
      <c r="A494" s="306" t="str">
        <f>'Прайс лист'!B212</f>
        <v>Вязальная проволока</v>
      </c>
      <c r="B494" s="291" t="s">
        <v>188</v>
      </c>
      <c r="C494" s="291">
        <f>(C491+C492+C493)/50*G442</f>
        <v>24.928000000000001</v>
      </c>
      <c r="D494" s="291">
        <f>'Прайс лист'!G212</f>
        <v>80</v>
      </c>
      <c r="E494" s="291">
        <f t="shared" si="16"/>
        <v>1994.24</v>
      </c>
      <c r="F494" s="2263"/>
      <c r="G494" s="2466" t="str">
        <f>'Прайс лист'!B1646</f>
        <v>укладка дренажа</v>
      </c>
      <c r="H494" s="2467"/>
      <c r="I494" s="291" t="s">
        <v>133</v>
      </c>
      <c r="J494" s="291">
        <f>(D72+E132*C169-D139*E132+D172*C210-D172*C184+D220*C235-C226*D220+5)*H442</f>
        <v>61</v>
      </c>
      <c r="K494" s="291">
        <f>'Прайс лист'!G1646</f>
        <v>200</v>
      </c>
      <c r="L494" s="291">
        <f t="shared" si="17"/>
        <v>12200</v>
      </c>
      <c r="M494" s="2381"/>
    </row>
    <row r="495" spans="1:13" ht="16" outlineLevel="1">
      <c r="A495" s="306" t="str">
        <f>'Прайс лист'!B214</f>
        <v>Подставка под арматурный каркас</v>
      </c>
      <c r="B495" s="291" t="s">
        <v>159</v>
      </c>
      <c r="C495" s="291">
        <f>(E3*E4+E132*C170+D172*C211+D220*C236)*3*G442</f>
        <v>300</v>
      </c>
      <c r="D495" s="291">
        <f>'Прайс лист'!G214</f>
        <v>5</v>
      </c>
      <c r="E495" s="291">
        <f t="shared" si="16"/>
        <v>1500</v>
      </c>
      <c r="F495" s="2263"/>
      <c r="G495" s="2466" t="str">
        <f>'Прайс лист'!B1647</f>
        <v>монтаж дренажного колодца</v>
      </c>
      <c r="H495" s="2467"/>
      <c r="I495" s="291" t="s">
        <v>159</v>
      </c>
      <c r="J495" s="291">
        <f>C466*D466*H442</f>
        <v>0</v>
      </c>
      <c r="K495" s="291">
        <f>'Прайс лист'!G1647</f>
        <v>300</v>
      </c>
      <c r="L495" s="291">
        <f t="shared" si="17"/>
        <v>0</v>
      </c>
      <c r="M495" s="2381"/>
    </row>
    <row r="496" spans="1:13" ht="16" outlineLevel="1">
      <c r="A496" s="306" t="str">
        <f>'Прайс лист'!B890</f>
        <v xml:space="preserve">Гвозди строительные 3,5 x 90            </v>
      </c>
      <c r="B496" s="291" t="s">
        <v>188</v>
      </c>
      <c r="C496" s="291">
        <f>C481*5*G442</f>
        <v>0</v>
      </c>
      <c r="D496" s="291">
        <f>'Прайс лист'!G890</f>
        <v>70</v>
      </c>
      <c r="E496" s="291">
        <f t="shared" si="16"/>
        <v>0</v>
      </c>
      <c r="F496" s="2263"/>
      <c r="G496" s="132"/>
      <c r="H496" s="132"/>
      <c r="I496" s="291"/>
      <c r="J496" s="291"/>
      <c r="K496" s="291"/>
      <c r="L496" s="291"/>
      <c r="M496" s="2381"/>
    </row>
    <row r="497" spans="1:13" ht="16" outlineLevel="1">
      <c r="A497" s="306" t="str">
        <f>'Прайс лист'!B791</f>
        <v>Геотекстиль</v>
      </c>
      <c r="B497" s="291" t="s">
        <v>133</v>
      </c>
      <c r="C497" s="291">
        <f>(E3*E4+E132*C170+D172*C211+D220*C236+C475/C471*D470)*1.15*G442</f>
        <v>114.99999999999999</v>
      </c>
      <c r="D497" s="291">
        <f>'Прайс лист'!G791</f>
        <v>100</v>
      </c>
      <c r="E497" s="291">
        <f t="shared" si="16"/>
        <v>11499.999999999998</v>
      </c>
      <c r="F497" s="2263"/>
      <c r="G497" s="132"/>
      <c r="H497" s="132"/>
      <c r="I497" s="291"/>
      <c r="J497" s="291"/>
      <c r="K497" s="291"/>
      <c r="L497" s="291"/>
      <c r="M497" s="2381"/>
    </row>
    <row r="498" spans="1:13" ht="16" outlineLevel="1">
      <c r="A498" s="306" t="str">
        <f>'Ввод данных'!A799</f>
        <v>Труба гофрированная одностенная d110</v>
      </c>
      <c r="B498" s="291" t="s">
        <v>156</v>
      </c>
      <c r="C498" s="291">
        <f>(D72+E132*C169-D139*E132+D172*C210-D172*C184+D220*C235-C226*D220+5)*G442</f>
        <v>61</v>
      </c>
      <c r="D498" s="291">
        <f>VLOOKUP(A498,'Прайс лист'!B1103:G1118,6,0)</f>
        <v>77</v>
      </c>
      <c r="E498" s="291">
        <f t="shared" si="16"/>
        <v>4697</v>
      </c>
      <c r="F498" s="2263"/>
      <c r="G498" s="132"/>
      <c r="H498" s="132"/>
      <c r="I498" s="291"/>
      <c r="J498" s="291"/>
      <c r="K498" s="291"/>
      <c r="L498" s="291"/>
      <c r="M498" s="2381"/>
    </row>
    <row r="499" spans="1:13" ht="16" outlineLevel="1">
      <c r="A499" s="306" t="str">
        <f>'Ввод данных'!A801</f>
        <v>Дренажный колодец D300</v>
      </c>
      <c r="B499" s="291" t="s">
        <v>159</v>
      </c>
      <c r="C499" s="291">
        <f>C466*D466</f>
        <v>0</v>
      </c>
      <c r="D499" s="291">
        <f>VLOOKUP(A499,'Прайс лист'!B1124:G1127,6,0)</f>
        <v>1500</v>
      </c>
      <c r="E499" s="291">
        <f t="shared" si="16"/>
        <v>0</v>
      </c>
      <c r="F499" s="2263"/>
      <c r="G499" s="132"/>
      <c r="H499" s="132"/>
      <c r="I499" s="291"/>
      <c r="J499" s="291"/>
      <c r="K499" s="291"/>
      <c r="L499" s="291"/>
      <c r="M499" s="2381"/>
    </row>
    <row r="500" spans="1:13" ht="16" outlineLevel="1">
      <c r="A500" s="306" t="str">
        <f>'Прайс лист'!B1119</f>
        <v>Труба канализационная D110</v>
      </c>
      <c r="B500" s="291" t="s">
        <v>159</v>
      </c>
      <c r="C500" s="291">
        <f>C467*D467*G442</f>
        <v>0</v>
      </c>
      <c r="D500" s="291">
        <f>'Прайс лист'!G1119</f>
        <v>70</v>
      </c>
      <c r="E500" s="291">
        <f t="shared" si="16"/>
        <v>0</v>
      </c>
      <c r="F500" s="2263"/>
      <c r="G500" s="132"/>
      <c r="H500" s="132"/>
      <c r="I500" s="291"/>
      <c r="J500" s="291"/>
      <c r="K500" s="291"/>
      <c r="L500" s="291"/>
      <c r="M500" s="2381"/>
    </row>
    <row r="501" spans="1:13" ht="16" outlineLevel="1">
      <c r="A501" s="1055" t="str">
        <f>'Ввод данных'!A814</f>
        <v>Нет техники</v>
      </c>
      <c r="B501" s="1339" t="str">
        <f>'Ввод данных'!B814</f>
        <v>ед.</v>
      </c>
      <c r="C501" s="1055">
        <f>'Ввод данных'!C814</f>
        <v>3</v>
      </c>
      <c r="D501" s="2421">
        <f>VLOOKUP(A501,'Прайс лист'!B180:G194,6,0)</f>
        <v>0</v>
      </c>
      <c r="E501" s="291">
        <f t="shared" si="16"/>
        <v>0</v>
      </c>
      <c r="F501" s="2263"/>
      <c r="G501" s="132"/>
      <c r="H501" s="132"/>
      <c r="I501" s="291"/>
      <c r="J501" s="291"/>
      <c r="K501" s="291"/>
      <c r="L501" s="291"/>
      <c r="M501" s="2381"/>
    </row>
    <row r="502" spans="1:13" ht="16" outlineLevel="1">
      <c r="A502" s="1055" t="str">
        <f>'Ввод данных'!A815</f>
        <v>Нет техники</v>
      </c>
      <c r="B502" s="1339" t="str">
        <f>'Ввод данных'!B815</f>
        <v>ед.</v>
      </c>
      <c r="C502" s="1055">
        <f>'Ввод данных'!C815</f>
        <v>0</v>
      </c>
      <c r="D502" s="2421">
        <f>VLOOKUP(A502,'Прайс лист'!B180:G194,6,0)</f>
        <v>0</v>
      </c>
      <c r="E502" s="291">
        <f t="shared" si="16"/>
        <v>0</v>
      </c>
      <c r="F502" s="2263"/>
      <c r="G502" s="2421"/>
      <c r="H502" s="2421"/>
      <c r="I502" s="2421"/>
      <c r="J502" s="2421"/>
      <c r="K502" s="2421"/>
      <c r="L502" s="2421"/>
      <c r="M502" s="2381"/>
    </row>
    <row r="503" spans="1:13" ht="16" outlineLevel="1">
      <c r="A503" s="1055" t="str">
        <f>'Ввод данных'!A816</f>
        <v>Нет техники</v>
      </c>
      <c r="B503" s="1339" t="str">
        <f>'Ввод данных'!B816</f>
        <v>ед.</v>
      </c>
      <c r="C503" s="1055">
        <f>'Ввод данных'!C816</f>
        <v>0</v>
      </c>
      <c r="D503" s="2421">
        <f>VLOOKUP(A503,'Прайс лист'!B180:G194,6,0)</f>
        <v>0</v>
      </c>
      <c r="E503" s="291">
        <f t="shared" si="16"/>
        <v>0</v>
      </c>
      <c r="F503" s="2263"/>
      <c r="G503" s="2421"/>
      <c r="H503" s="2421"/>
      <c r="I503" s="2421"/>
      <c r="J503" s="2421"/>
      <c r="K503" s="2421"/>
      <c r="L503" s="2421"/>
      <c r="M503" s="2381"/>
    </row>
    <row r="504" spans="1:13" ht="16" outlineLevel="1">
      <c r="A504" s="1055" t="str">
        <f>'Ввод данных'!A817</f>
        <v>Нет техники</v>
      </c>
      <c r="B504" s="1339" t="str">
        <f>'Ввод данных'!B817</f>
        <v>ед.</v>
      </c>
      <c r="C504" s="1055">
        <f>'Ввод данных'!C817</f>
        <v>0</v>
      </c>
      <c r="D504" s="2421">
        <f>VLOOKUP(A504,'Прайс лист'!B180:G194,6,0)</f>
        <v>0</v>
      </c>
      <c r="E504" s="291">
        <f t="shared" si="16"/>
        <v>0</v>
      </c>
      <c r="F504" s="2263"/>
      <c r="G504" s="2421"/>
      <c r="H504" s="2421"/>
      <c r="I504" s="2421"/>
      <c r="J504" s="2421"/>
      <c r="K504" s="2421"/>
      <c r="L504" s="2421"/>
      <c r="M504" s="2381"/>
    </row>
    <row r="505" spans="1:13" ht="16" outlineLevel="1">
      <c r="A505" s="1055" t="str">
        <f>'Ввод данных'!A818</f>
        <v>Нет техники</v>
      </c>
      <c r="B505" s="1339" t="str">
        <f>'Ввод данных'!B818</f>
        <v>ед.</v>
      </c>
      <c r="C505" s="1055">
        <f>'Ввод данных'!C818</f>
        <v>0</v>
      </c>
      <c r="D505" s="291">
        <f>VLOOKUP(A505,'Прайс лист'!B180:G194,6,0)</f>
        <v>0</v>
      </c>
      <c r="E505" s="291">
        <f t="shared" si="16"/>
        <v>0</v>
      </c>
      <c r="F505" s="2263"/>
      <c r="G505" s="2421"/>
      <c r="H505" s="2421"/>
      <c r="I505" s="2421"/>
      <c r="J505" s="2421"/>
      <c r="K505" s="2421"/>
      <c r="L505" s="2421"/>
      <c r="M505" s="2381"/>
    </row>
    <row r="506" spans="1:13" ht="16" outlineLevel="1">
      <c r="A506" s="1055" t="str">
        <f>'Ввод данных'!A820</f>
        <v>расходные материалы плита ушп</v>
      </c>
      <c r="B506" s="1339" t="s">
        <v>1796</v>
      </c>
      <c r="C506" s="1055">
        <f>1</f>
        <v>1</v>
      </c>
      <c r="D506" s="291">
        <f>'Ввод данных'!C820</f>
        <v>12000</v>
      </c>
      <c r="E506" s="291">
        <f t="shared" si="16"/>
        <v>12000</v>
      </c>
      <c r="F506" s="2263"/>
      <c r="G506" s="132"/>
      <c r="H506" s="132"/>
      <c r="I506" s="291"/>
      <c r="J506" s="291"/>
      <c r="K506" s="291"/>
      <c r="L506" s="291"/>
      <c r="M506" s="2381"/>
    </row>
    <row r="507" spans="1:13" ht="16" outlineLevel="1">
      <c r="A507" s="2468"/>
      <c r="B507" s="2225"/>
      <c r="C507" s="2225"/>
      <c r="D507" s="2225"/>
      <c r="E507" s="2469">
        <f>SUM(E478:E505)</f>
        <v>100413.54769230769</v>
      </c>
      <c r="F507" s="2263"/>
      <c r="G507" s="2468"/>
      <c r="H507" s="2225"/>
      <c r="I507" s="2225"/>
      <c r="J507" s="2225"/>
      <c r="K507" s="2225"/>
      <c r="L507" s="2254">
        <f>SUM(L478:L506)</f>
        <v>330200</v>
      </c>
      <c r="M507" s="2381"/>
    </row>
    <row r="508" spans="1:13" ht="16" outlineLevel="1">
      <c r="A508" s="275" t="s">
        <v>4059</v>
      </c>
      <c r="B508" s="275">
        <f>E507</f>
        <v>100413.54769230769</v>
      </c>
      <c r="C508" s="2224"/>
      <c r="D508" s="2224"/>
      <c r="E508" s="2225"/>
      <c r="F508" s="2224"/>
      <c r="G508" s="2224"/>
      <c r="H508" s="2224"/>
      <c r="I508" s="2224"/>
      <c r="J508" s="2224"/>
      <c r="K508" s="2225"/>
      <c r="L508" s="2470"/>
      <c r="M508" s="2471"/>
    </row>
    <row r="509" spans="1:13" ht="16" outlineLevel="1">
      <c r="A509" s="275" t="s">
        <v>4060</v>
      </c>
      <c r="B509" s="275">
        <f>L507</f>
        <v>330200</v>
      </c>
      <c r="C509" s="2224"/>
      <c r="D509" s="2224"/>
      <c r="E509" s="2225"/>
      <c r="F509" s="2224"/>
      <c r="G509" s="2468"/>
      <c r="H509" s="2225"/>
      <c r="I509" s="2225"/>
      <c r="J509" s="2225"/>
      <c r="K509" s="2225"/>
      <c r="L509" s="2470"/>
      <c r="M509" s="2471"/>
    </row>
    <row r="510" spans="1:13" ht="16" outlineLevel="1">
      <c r="A510" s="275" t="s">
        <v>4061</v>
      </c>
      <c r="B510" s="275">
        <f>SUM(B508:B509)*B511</f>
        <v>0</v>
      </c>
      <c r="C510" s="2470"/>
      <c r="D510" s="2470"/>
      <c r="E510" s="2470"/>
      <c r="F510" s="2470"/>
      <c r="G510" s="2470"/>
      <c r="H510" s="2470"/>
      <c r="I510" s="2470"/>
      <c r="J510" s="2470"/>
      <c r="K510" s="2470"/>
      <c r="L510" s="2470"/>
      <c r="M510" s="2471"/>
    </row>
    <row r="511" spans="1:13" ht="16">
      <c r="A511" s="2404" t="s">
        <v>4085</v>
      </c>
      <c r="B511" s="2434"/>
      <c r="C511" s="3196" t="s">
        <v>3663</v>
      </c>
      <c r="D511" s="3196"/>
      <c r="E511" s="3196"/>
      <c r="F511" s="3196"/>
      <c r="G511" s="2381"/>
      <c r="H511" s="2381"/>
      <c r="I511" s="2381"/>
      <c r="J511" s="2381"/>
      <c r="K511" s="2381"/>
      <c r="L511" s="2381"/>
      <c r="M511" s="2381"/>
    </row>
    <row r="512" spans="1:13">
      <c r="A512" s="2381"/>
      <c r="B512" s="2381"/>
      <c r="C512" s="2381"/>
      <c r="D512" s="2381"/>
      <c r="E512" s="2381"/>
      <c r="F512" s="2381"/>
      <c r="G512" s="2381"/>
      <c r="H512" s="2381"/>
      <c r="I512" s="2381"/>
      <c r="J512" s="2381"/>
      <c r="K512" s="2381"/>
      <c r="L512" s="2381"/>
      <c r="M512" s="2381"/>
    </row>
    <row r="513" spans="1:13">
      <c r="A513" s="2381"/>
      <c r="B513" s="2381"/>
      <c r="C513" s="2381"/>
      <c r="D513" s="2381"/>
      <c r="E513" s="2381"/>
      <c r="F513" s="2381"/>
      <c r="G513" s="2381"/>
      <c r="H513" s="2381"/>
      <c r="I513" s="2381"/>
      <c r="J513" s="2381"/>
      <c r="K513" s="2381"/>
      <c r="L513" s="2381"/>
      <c r="M513" s="2381"/>
    </row>
    <row r="514" spans="1:13">
      <c r="A514" s="3181" t="s">
        <v>3905</v>
      </c>
      <c r="B514" s="3181"/>
      <c r="C514" s="3181"/>
      <c r="D514" s="3181"/>
      <c r="E514" s="3181"/>
      <c r="F514" s="1126">
        <f>VLOOKUP('Ввод данных'!F890,связи1!A2:B3,2,0)</f>
        <v>0</v>
      </c>
      <c r="G514" s="926"/>
      <c r="H514" s="472"/>
      <c r="I514" s="472"/>
      <c r="J514" s="472"/>
      <c r="K514" s="1036"/>
      <c r="L514" s="2381"/>
      <c r="M514" s="2381"/>
    </row>
    <row r="515" spans="1:13">
      <c r="A515" s="2472" t="s">
        <v>4086</v>
      </c>
      <c r="B515" s="2473"/>
      <c r="C515" s="2152"/>
      <c r="D515" s="2152"/>
      <c r="E515" s="2152"/>
      <c r="F515" s="2048">
        <f>'Ввод данных'!E826</f>
        <v>1.1000000000000001</v>
      </c>
      <c r="G515" s="927">
        <f>F514*F515</f>
        <v>0</v>
      </c>
      <c r="H515" s="472"/>
      <c r="I515" s="472"/>
      <c r="J515" s="472"/>
      <c r="K515" s="1036"/>
      <c r="L515" s="2381"/>
      <c r="M515" s="2381"/>
    </row>
    <row r="516" spans="1:13">
      <c r="A516" s="3176" t="s">
        <v>1236</v>
      </c>
      <c r="B516" s="3176"/>
      <c r="C516" s="933" t="s">
        <v>120</v>
      </c>
      <c r="D516" s="933" t="s">
        <v>1552</v>
      </c>
      <c r="E516" s="933" t="s">
        <v>1820</v>
      </c>
      <c r="F516" s="927"/>
      <c r="G516" s="927"/>
      <c r="H516" s="927"/>
      <c r="I516" s="927"/>
      <c r="J516" s="936"/>
      <c r="K516" s="1036"/>
      <c r="L516" s="2381"/>
      <c r="M516" s="2381"/>
    </row>
    <row r="517" spans="1:13">
      <c r="A517" s="3139" t="s">
        <v>134</v>
      </c>
      <c r="B517" s="3139"/>
      <c r="C517" s="939" t="s">
        <v>156</v>
      </c>
      <c r="D517" s="2379">
        <f>'Ввод данных'!C830</f>
        <v>0.6</v>
      </c>
      <c r="E517" s="1124">
        <f>IF('Ввод данных'!A830=связи1!F22,1,0)</f>
        <v>0</v>
      </c>
      <c r="F517" s="927" t="s">
        <v>3907</v>
      </c>
      <c r="G517" s="927"/>
      <c r="H517" s="927"/>
      <c r="I517" s="927"/>
      <c r="J517" s="936"/>
      <c r="K517" s="1036"/>
      <c r="L517" s="2381"/>
      <c r="M517" s="2381"/>
    </row>
    <row r="518" spans="1:13">
      <c r="A518" s="3139" t="s">
        <v>3908</v>
      </c>
      <c r="B518" s="3139"/>
      <c r="C518" s="939" t="s">
        <v>156</v>
      </c>
      <c r="D518" s="2379">
        <f>'Ввод данных'!C830</f>
        <v>0.6</v>
      </c>
      <c r="E518" s="1124">
        <f>IF('Ввод данных'!A830=связи1!F23,1,0)</f>
        <v>1</v>
      </c>
      <c r="F518" s="927" t="s">
        <v>3909</v>
      </c>
      <c r="G518" s="927"/>
      <c r="H518" s="927"/>
      <c r="I518" s="927"/>
      <c r="J518" s="936"/>
      <c r="K518" s="1036"/>
      <c r="L518" s="2381"/>
      <c r="M518" s="2381"/>
    </row>
    <row r="519" spans="1:13">
      <c r="A519" s="2474" t="s">
        <v>4087</v>
      </c>
      <c r="B519" s="2475"/>
      <c r="C519" s="2476" t="s">
        <v>156</v>
      </c>
      <c r="D519" s="2477">
        <f>D534*2+(D535-E517-E517)*2</f>
        <v>18</v>
      </c>
      <c r="E519" s="1134">
        <f>E517</f>
        <v>0</v>
      </c>
      <c r="F519" s="927"/>
      <c r="G519" s="927"/>
      <c r="H519" s="927"/>
      <c r="I519" s="927"/>
      <c r="J519" s="936"/>
      <c r="K519" s="1036"/>
      <c r="L519" s="2381"/>
      <c r="M519" s="2381"/>
    </row>
    <row r="520" spans="1:13">
      <c r="A520" s="2474" t="s">
        <v>4088</v>
      </c>
      <c r="B520" s="2475"/>
      <c r="C520" s="2476" t="s">
        <v>156</v>
      </c>
      <c r="D520" s="2477">
        <f>F553</f>
        <v>0</v>
      </c>
      <c r="E520" s="939">
        <f>D519+D520</f>
        <v>18</v>
      </c>
      <c r="F520" s="927" t="s">
        <v>2572</v>
      </c>
      <c r="G520" s="927"/>
      <c r="H520" s="927"/>
      <c r="I520" s="927"/>
      <c r="J520" s="936"/>
      <c r="K520" s="1036"/>
      <c r="L520" s="2381"/>
      <c r="M520" s="2381"/>
    </row>
    <row r="521" spans="1:13">
      <c r="A521" s="2474" t="s">
        <v>4089</v>
      </c>
      <c r="B521" s="2475"/>
      <c r="C521" s="2476" t="s">
        <v>133</v>
      </c>
      <c r="D521" s="2477">
        <f>(D519+D520)*D536-G561</f>
        <v>54</v>
      </c>
      <c r="E521" s="939">
        <f>D521*E517*D517</f>
        <v>0</v>
      </c>
      <c r="F521" s="927" t="s">
        <v>1698</v>
      </c>
      <c r="G521" s="927"/>
      <c r="H521" s="927"/>
      <c r="I521" s="927"/>
      <c r="J521" s="936"/>
      <c r="K521" s="1036"/>
      <c r="L521" s="2381"/>
      <c r="M521" s="2381"/>
    </row>
    <row r="522" spans="1:13">
      <c r="A522" s="3232" t="s">
        <v>4090</v>
      </c>
      <c r="B522" s="3232"/>
      <c r="C522" s="2476" t="s">
        <v>156</v>
      </c>
      <c r="D522" s="2477">
        <f>D519+D520</f>
        <v>18</v>
      </c>
      <c r="E522" s="939"/>
      <c r="F522" s="927"/>
      <c r="G522" s="927"/>
      <c r="H522" s="472"/>
      <c r="I522" s="472"/>
      <c r="J522" s="472"/>
      <c r="K522" s="1036"/>
      <c r="L522" s="2381"/>
      <c r="M522" s="2381"/>
    </row>
    <row r="523" spans="1:13">
      <c r="A523" s="2474" t="s">
        <v>2216</v>
      </c>
      <c r="B523" s="2475"/>
      <c r="C523" s="2476" t="s">
        <v>156</v>
      </c>
      <c r="D523" s="2477">
        <f>'Ввод данных'!C851</f>
        <v>0.2</v>
      </c>
      <c r="E523" s="939">
        <f>D522*D523*E517</f>
        <v>0</v>
      </c>
      <c r="F523" s="927" t="s">
        <v>4091</v>
      </c>
      <c r="G523" s="927"/>
      <c r="H523" s="472"/>
      <c r="I523" s="472"/>
      <c r="J523" s="472"/>
      <c r="K523" s="1036"/>
      <c r="L523" s="2381"/>
      <c r="M523" s="2381"/>
    </row>
    <row r="524" spans="1:13">
      <c r="A524" s="2474" t="s">
        <v>2218</v>
      </c>
      <c r="B524" s="2475"/>
      <c r="C524" s="2476" t="s">
        <v>159</v>
      </c>
      <c r="D524" s="2477">
        <f>'Ввод данных'!C852</f>
        <v>4</v>
      </c>
      <c r="E524" s="939">
        <f>D522*D524*1.1</f>
        <v>79.2</v>
      </c>
      <c r="F524" s="927" t="s">
        <v>3245</v>
      </c>
      <c r="G524" s="927"/>
      <c r="H524" s="472"/>
      <c r="I524" s="472"/>
      <c r="J524" s="472"/>
      <c r="K524" s="1036"/>
      <c r="L524" s="2381"/>
      <c r="M524" s="2381"/>
    </row>
    <row r="525" spans="1:13">
      <c r="A525" s="2474" t="s">
        <v>2219</v>
      </c>
      <c r="B525" s="2475"/>
      <c r="C525" s="2476" t="s">
        <v>156</v>
      </c>
      <c r="D525" s="2477">
        <f>'Ввод данных'!C853</f>
        <v>0.4</v>
      </c>
      <c r="E525" s="939">
        <f>D522/D525*(E517+E517+D523+D523)</f>
        <v>18</v>
      </c>
      <c r="F525" s="927" t="s">
        <v>3245</v>
      </c>
      <c r="G525" s="927"/>
      <c r="H525" s="472"/>
      <c r="I525" s="472"/>
      <c r="J525" s="472"/>
      <c r="K525" s="1036"/>
      <c r="L525" s="2381"/>
      <c r="M525" s="2381"/>
    </row>
    <row r="526" spans="1:13">
      <c r="A526" s="2478" t="s">
        <v>4092</v>
      </c>
      <c r="B526" s="2479"/>
      <c r="C526" s="2480" t="s">
        <v>156</v>
      </c>
      <c r="D526" s="2481">
        <f>D534*2+(D535-E518-E518)*2</f>
        <v>14</v>
      </c>
      <c r="E526" s="1134">
        <f>E518</f>
        <v>1</v>
      </c>
      <c r="F526" s="927"/>
      <c r="G526" s="927"/>
      <c r="H526" s="927"/>
      <c r="I526" s="927"/>
      <c r="J526" s="936"/>
      <c r="K526" s="1036"/>
      <c r="L526" s="2381"/>
      <c r="M526" s="2381"/>
    </row>
    <row r="527" spans="1:13">
      <c r="A527" s="2478" t="s">
        <v>4093</v>
      </c>
      <c r="B527" s="2479"/>
      <c r="C527" s="2480" t="s">
        <v>156</v>
      </c>
      <c r="D527" s="2481">
        <f>F553</f>
        <v>0</v>
      </c>
      <c r="E527" s="939">
        <f>D526+D527</f>
        <v>14</v>
      </c>
      <c r="F527" s="927" t="s">
        <v>2572</v>
      </c>
      <c r="G527" s="927"/>
      <c r="H527" s="927"/>
      <c r="I527" s="927"/>
      <c r="J527" s="936"/>
      <c r="K527" s="1036"/>
      <c r="L527" s="2381"/>
      <c r="M527" s="2381"/>
    </row>
    <row r="528" spans="1:13">
      <c r="A528" s="2478" t="s">
        <v>4094</v>
      </c>
      <c r="B528" s="2479"/>
      <c r="C528" s="2480" t="s">
        <v>133</v>
      </c>
      <c r="D528" s="2481">
        <f>(D526+D527)*D536-G561</f>
        <v>42</v>
      </c>
      <c r="E528" s="939">
        <f>D528*E518*D518</f>
        <v>25.2</v>
      </c>
      <c r="F528" s="927" t="s">
        <v>1698</v>
      </c>
      <c r="G528" s="927"/>
      <c r="H528" s="927"/>
      <c r="I528" s="927"/>
      <c r="J528" s="936"/>
      <c r="K528" s="1036"/>
      <c r="L528" s="2381"/>
      <c r="M528" s="2381"/>
    </row>
    <row r="529" spans="1:13">
      <c r="A529" s="2478" t="s">
        <v>2221</v>
      </c>
      <c r="B529" s="2479"/>
      <c r="C529" s="2480" t="s">
        <v>156</v>
      </c>
      <c r="D529" s="2481">
        <v>0.05</v>
      </c>
      <c r="E529" s="927"/>
      <c r="F529" s="927"/>
      <c r="G529" s="927"/>
      <c r="H529" s="927"/>
      <c r="I529" s="927"/>
      <c r="J529" s="936"/>
      <c r="K529" s="1036"/>
      <c r="L529" s="2381"/>
      <c r="M529" s="2381"/>
    </row>
    <row r="530" spans="1:13">
      <c r="A530" s="2478" t="s">
        <v>2222</v>
      </c>
      <c r="B530" s="2479"/>
      <c r="C530" s="2480" t="s">
        <v>156</v>
      </c>
      <c r="D530" s="2481">
        <v>0.2</v>
      </c>
      <c r="E530" s="927"/>
      <c r="F530" s="927"/>
      <c r="G530" s="927"/>
      <c r="H530" s="927"/>
      <c r="I530" s="927"/>
      <c r="J530" s="936"/>
      <c r="K530" s="1036"/>
      <c r="L530" s="2381"/>
      <c r="M530" s="2381"/>
    </row>
    <row r="531" spans="1:13">
      <c r="A531" s="2478" t="s">
        <v>2223</v>
      </c>
      <c r="B531" s="2479"/>
      <c r="C531" s="2480" t="s">
        <v>159</v>
      </c>
      <c r="D531" s="2481">
        <v>2</v>
      </c>
      <c r="E531" s="927"/>
      <c r="F531" s="927"/>
      <c r="G531" s="927"/>
      <c r="H531" s="927"/>
      <c r="I531" s="927"/>
      <c r="J531" s="936"/>
      <c r="K531" s="1036"/>
      <c r="L531" s="2381"/>
      <c r="M531" s="2381"/>
    </row>
    <row r="532" spans="1:13">
      <c r="A532" s="3233" t="s">
        <v>4095</v>
      </c>
      <c r="B532" s="3233"/>
      <c r="C532" s="2480" t="s">
        <v>156</v>
      </c>
      <c r="D532" s="2482">
        <f>D526+D527</f>
        <v>14</v>
      </c>
      <c r="E532" s="2381"/>
      <c r="F532" s="2381"/>
      <c r="G532" s="2381"/>
      <c r="H532" s="2381"/>
      <c r="I532" s="2381"/>
      <c r="J532" s="2381"/>
      <c r="K532" s="2381"/>
      <c r="L532" s="2381"/>
      <c r="M532" s="2381"/>
    </row>
    <row r="533" spans="1:13">
      <c r="A533" s="2478" t="s">
        <v>2224</v>
      </c>
      <c r="B533" s="2479"/>
      <c r="C533" s="2483" t="s">
        <v>154</v>
      </c>
      <c r="D533" s="2484">
        <v>5</v>
      </c>
      <c r="E533" s="2381"/>
      <c r="F533" s="2381"/>
      <c r="G533" s="2381"/>
      <c r="H533" s="2381"/>
      <c r="I533" s="2381"/>
      <c r="J533" s="2381"/>
      <c r="K533" s="2381"/>
      <c r="L533" s="2381"/>
      <c r="M533" s="2381"/>
    </row>
    <row r="534" spans="1:13">
      <c r="A534" s="3139" t="s">
        <v>2203</v>
      </c>
      <c r="B534" s="3139"/>
      <c r="C534" s="2485" t="s">
        <v>156</v>
      </c>
      <c r="D534" s="2486">
        <f>'Ввод данных'!C832</f>
        <v>4</v>
      </c>
      <c r="E534" s="936"/>
      <c r="F534" s="936"/>
      <c r="G534" s="936"/>
      <c r="H534" s="472"/>
      <c r="I534" s="472"/>
      <c r="J534" s="472"/>
      <c r="K534" s="1036"/>
      <c r="L534" s="2381"/>
      <c r="M534" s="2381"/>
    </row>
    <row r="535" spans="1:13">
      <c r="A535" s="3139" t="s">
        <v>4096</v>
      </c>
      <c r="B535" s="3139"/>
      <c r="C535" s="938" t="s">
        <v>156</v>
      </c>
      <c r="D535" s="2486">
        <f>'Ввод данных'!C833</f>
        <v>5</v>
      </c>
      <c r="E535" s="936"/>
      <c r="F535" s="936"/>
      <c r="G535" s="936"/>
      <c r="H535" s="927"/>
      <c r="I535" s="472"/>
      <c r="J535" s="472"/>
      <c r="K535" s="1036"/>
      <c r="L535" s="2381"/>
      <c r="M535" s="2381"/>
    </row>
    <row r="536" spans="1:13">
      <c r="A536" s="3139" t="s">
        <v>2205</v>
      </c>
      <c r="B536" s="3139"/>
      <c r="C536" s="938" t="s">
        <v>156</v>
      </c>
      <c r="D536" s="2486">
        <f>'Ввод данных'!C834</f>
        <v>3</v>
      </c>
      <c r="E536" s="936"/>
      <c r="F536" s="936"/>
      <c r="G536" s="936"/>
      <c r="H536" s="927"/>
      <c r="I536" s="472"/>
      <c r="J536" s="472"/>
      <c r="K536" s="1036"/>
      <c r="L536" s="2381"/>
      <c r="M536" s="2381"/>
    </row>
    <row r="537" spans="1:13">
      <c r="A537" s="2381" t="s">
        <v>4097</v>
      </c>
      <c r="B537" s="2381"/>
      <c r="C537" s="2381"/>
      <c r="D537" s="2154">
        <f>D542-D543</f>
        <v>11.6</v>
      </c>
      <c r="E537" s="1126">
        <f>VLOOKUP('Ввод данных'!C868,связи1!A2:B3,2,0)</f>
        <v>1</v>
      </c>
      <c r="F537" s="936"/>
      <c r="G537" s="936"/>
      <c r="H537" s="927"/>
      <c r="I537" s="472"/>
      <c r="J537" s="472"/>
      <c r="K537" s="1036"/>
      <c r="L537" s="2381"/>
      <c r="M537" s="2381"/>
    </row>
    <row r="538" spans="1:13">
      <c r="A538" s="942" t="s">
        <v>4098</v>
      </c>
      <c r="B538" s="943"/>
      <c r="C538" s="938" t="s">
        <v>133</v>
      </c>
      <c r="D538" s="939">
        <f>((D534+D534)+(D535-E517*D517*2-E518*D518*2)*2+F553)*D536</f>
        <v>46.8</v>
      </c>
      <c r="F538" s="936"/>
      <c r="G538" s="936"/>
      <c r="H538" s="927"/>
      <c r="I538" s="472"/>
      <c r="J538" s="472"/>
      <c r="K538" s="1036"/>
      <c r="L538" s="2381"/>
      <c r="M538" s="2381"/>
    </row>
    <row r="539" spans="1:13">
      <c r="A539" s="942" t="s">
        <v>4099</v>
      </c>
      <c r="B539" s="943"/>
      <c r="C539" s="938" t="s">
        <v>133</v>
      </c>
      <c r="D539" s="939">
        <f>D538-G561</f>
        <v>46.8</v>
      </c>
      <c r="E539" s="936"/>
      <c r="F539" s="936"/>
      <c r="G539" s="936"/>
      <c r="H539" s="927"/>
      <c r="I539" s="472"/>
      <c r="J539" s="472"/>
      <c r="K539" s="1036"/>
      <c r="L539" s="2381"/>
      <c r="M539" s="2381"/>
    </row>
    <row r="540" spans="1:13">
      <c r="A540" s="3169" t="s">
        <v>3913</v>
      </c>
      <c r="B540" s="3169"/>
      <c r="C540" s="939" t="s">
        <v>135</v>
      </c>
      <c r="D540" s="939">
        <f>D539*(E517*D517+E518*D518)</f>
        <v>28.08</v>
      </c>
      <c r="E540" s="936"/>
      <c r="F540" s="936"/>
      <c r="G540" s="936"/>
      <c r="H540" s="936"/>
      <c r="I540" s="472"/>
      <c r="J540" s="472"/>
      <c r="K540" s="1036"/>
      <c r="L540" s="2381"/>
      <c r="M540" s="2381"/>
    </row>
    <row r="541" spans="1:13">
      <c r="A541" s="942" t="s">
        <v>4100</v>
      </c>
      <c r="B541" s="943"/>
      <c r="C541" s="938" t="s">
        <v>156</v>
      </c>
      <c r="D541" s="939">
        <f>0.05</f>
        <v>0.05</v>
      </c>
      <c r="E541" s="936">
        <v>1</v>
      </c>
      <c r="F541" s="936"/>
      <c r="G541" s="936"/>
      <c r="H541" s="927"/>
      <c r="I541" s="472"/>
      <c r="J541" s="472"/>
      <c r="K541" s="1036"/>
      <c r="L541" s="2381"/>
      <c r="M541" s="2381"/>
    </row>
    <row r="542" spans="1:13">
      <c r="A542" s="3139" t="s">
        <v>4101</v>
      </c>
      <c r="B542" s="3139"/>
      <c r="C542" s="939" t="s">
        <v>133</v>
      </c>
      <c r="D542" s="939">
        <f>D534*D535</f>
        <v>20</v>
      </c>
      <c r="E542" s="936"/>
      <c r="F542" s="936"/>
      <c r="G542" s="936"/>
      <c r="H542" s="927"/>
      <c r="I542" s="472"/>
      <c r="J542" s="472"/>
      <c r="K542" s="1036"/>
      <c r="L542" s="2381"/>
      <c r="M542" s="2381"/>
    </row>
    <row r="543" spans="1:13">
      <c r="A543" s="2487" t="s">
        <v>4102</v>
      </c>
      <c r="B543" s="2212"/>
      <c r="C543" s="939" t="s">
        <v>133</v>
      </c>
      <c r="D543" s="939">
        <f>(E520*E519+E527*E526)*(E517*D517+E518*D518)</f>
        <v>8.4</v>
      </c>
      <c r="E543" s="936"/>
      <c r="F543" s="936"/>
      <c r="G543" s="936"/>
      <c r="H543" s="927"/>
      <c r="I543" s="472"/>
      <c r="J543" s="472"/>
      <c r="K543" s="1036"/>
      <c r="L543" s="2381"/>
      <c r="M543" s="2381"/>
    </row>
    <row r="544" spans="1:13">
      <c r="A544" s="2487" t="s">
        <v>4103</v>
      </c>
      <c r="B544" s="2212"/>
      <c r="C544" s="939"/>
      <c r="D544" s="939">
        <f>D534*D535</f>
        <v>20</v>
      </c>
      <c r="E544" s="936"/>
      <c r="F544" s="936"/>
      <c r="G544" s="936"/>
      <c r="H544" s="927"/>
      <c r="I544" s="472"/>
      <c r="J544" s="472"/>
      <c r="K544" s="1036"/>
      <c r="L544" s="2381"/>
      <c r="M544" s="2381"/>
    </row>
    <row r="545" spans="1:13">
      <c r="A545" s="2487" t="s">
        <v>4104</v>
      </c>
      <c r="B545" s="2212"/>
      <c r="C545" s="939"/>
      <c r="D545" s="939">
        <f>D544-D543</f>
        <v>11.6</v>
      </c>
      <c r="E545" s="936"/>
      <c r="F545" s="936"/>
      <c r="G545" s="936"/>
      <c r="H545" s="927"/>
      <c r="I545" s="472"/>
      <c r="J545" s="472"/>
      <c r="K545" s="1036"/>
      <c r="L545" s="2381"/>
      <c r="M545" s="2381"/>
    </row>
    <row r="546" spans="1:13" ht="16">
      <c r="A546" s="306" t="s">
        <v>3623</v>
      </c>
      <c r="B546" s="2488"/>
      <c r="C546" s="290" t="s">
        <v>159</v>
      </c>
      <c r="D546" s="939">
        <v>1</v>
      </c>
      <c r="E546" s="936"/>
      <c r="F546" s="936"/>
      <c r="G546" s="936"/>
      <c r="H546" s="927"/>
      <c r="I546" s="472"/>
      <c r="J546" s="472"/>
      <c r="K546" s="1036"/>
      <c r="L546" s="2381"/>
      <c r="M546" s="2381"/>
    </row>
    <row r="547" spans="1:13" ht="16">
      <c r="A547" s="306" t="s">
        <v>4105</v>
      </c>
      <c r="B547" s="2488"/>
      <c r="C547" s="290" t="s">
        <v>159</v>
      </c>
      <c r="D547" s="2488">
        <v>5</v>
      </c>
      <c r="E547" s="2381"/>
      <c r="F547" s="2381"/>
      <c r="G547" s="2381"/>
      <c r="H547" s="2381"/>
      <c r="I547" s="2381"/>
      <c r="J547" s="2381"/>
      <c r="K547" s="2381"/>
      <c r="L547" s="2381"/>
      <c r="M547" s="2381"/>
    </row>
    <row r="548" spans="1:13">
      <c r="A548" s="3176" t="s">
        <v>1093</v>
      </c>
      <c r="B548" s="3176"/>
      <c r="C548" s="933" t="s">
        <v>120</v>
      </c>
      <c r="D548" s="933" t="s">
        <v>853</v>
      </c>
      <c r="E548" s="933" t="s">
        <v>1802</v>
      </c>
      <c r="F548" s="933" t="s">
        <v>853</v>
      </c>
      <c r="G548" s="933" t="s">
        <v>2548</v>
      </c>
      <c r="H548" s="936"/>
      <c r="I548" s="472"/>
      <c r="J548" s="472"/>
      <c r="K548" s="1036"/>
      <c r="L548" s="2381"/>
      <c r="M548" s="2381"/>
    </row>
    <row r="549" spans="1:13">
      <c r="A549" s="3124" t="s">
        <v>2206</v>
      </c>
      <c r="B549" s="3124"/>
      <c r="C549" s="938" t="s">
        <v>156</v>
      </c>
      <c r="D549" s="1126">
        <f>'Ввод данных'!C836</f>
        <v>3</v>
      </c>
      <c r="E549" s="1126">
        <f>'Ввод данных'!D836</f>
        <v>0</v>
      </c>
      <c r="F549" s="939">
        <f>D549*E549</f>
        <v>0</v>
      </c>
      <c r="G549" s="939">
        <f>F549*D536</f>
        <v>0</v>
      </c>
      <c r="H549" s="927"/>
      <c r="I549" s="472"/>
      <c r="J549" s="472"/>
      <c r="K549" s="1036"/>
      <c r="L549" s="2381"/>
      <c r="M549" s="2381"/>
    </row>
    <row r="550" spans="1:13">
      <c r="A550" s="3124"/>
      <c r="B550" s="3124"/>
      <c r="C550" s="938" t="s">
        <v>156</v>
      </c>
      <c r="D550" s="1126">
        <f>'Ввод данных'!C837</f>
        <v>1</v>
      </c>
      <c r="E550" s="1126">
        <f>'Ввод данных'!D837</f>
        <v>0</v>
      </c>
      <c r="F550" s="939">
        <f>D550*E550</f>
        <v>0</v>
      </c>
      <c r="G550" s="939">
        <f>F550*D536</f>
        <v>0</v>
      </c>
      <c r="H550" s="927"/>
      <c r="I550" s="472"/>
      <c r="J550" s="472"/>
      <c r="K550" s="1036"/>
      <c r="L550" s="2381"/>
      <c r="M550" s="2381"/>
    </row>
    <row r="551" spans="1:13">
      <c r="A551" s="3124" t="s">
        <v>2207</v>
      </c>
      <c r="B551" s="3124"/>
      <c r="C551" s="938" t="s">
        <v>156</v>
      </c>
      <c r="D551" s="1126">
        <f>'Ввод данных'!C838</f>
        <v>0</v>
      </c>
      <c r="E551" s="1126">
        <f>'Ввод данных'!D838</f>
        <v>0</v>
      </c>
      <c r="F551" s="939">
        <f>D551*E551</f>
        <v>0</v>
      </c>
      <c r="G551" s="939">
        <f>D536*F551</f>
        <v>0</v>
      </c>
      <c r="H551" s="927"/>
      <c r="I551" s="472"/>
      <c r="J551" s="472"/>
      <c r="K551" s="1036"/>
      <c r="L551" s="2381"/>
      <c r="M551" s="2381"/>
    </row>
    <row r="552" spans="1:13">
      <c r="A552" s="3124"/>
      <c r="B552" s="3124"/>
      <c r="C552" s="938" t="s">
        <v>156</v>
      </c>
      <c r="D552" s="1126">
        <f>'Ввод данных'!C839</f>
        <v>0</v>
      </c>
      <c r="E552" s="1126">
        <f>'Ввод данных'!D839</f>
        <v>0</v>
      </c>
      <c r="F552" s="939">
        <f>D552*E552</f>
        <v>0</v>
      </c>
      <c r="G552" s="939">
        <f>F552*D536</f>
        <v>0</v>
      </c>
      <c r="H552" s="927"/>
      <c r="I552" s="472"/>
      <c r="J552" s="472"/>
      <c r="K552" s="1036"/>
      <c r="L552" s="2381"/>
      <c r="M552" s="2381"/>
    </row>
    <row r="553" spans="1:13">
      <c r="A553" s="3119" t="s">
        <v>3914</v>
      </c>
      <c r="B553" s="3119"/>
      <c r="C553" s="3119"/>
      <c r="D553" s="3119"/>
      <c r="E553" s="3119"/>
      <c r="F553" s="939">
        <f>SUM(F549:F552)</f>
        <v>0</v>
      </c>
      <c r="G553" s="939">
        <f>SUM(G549:G552)</f>
        <v>0</v>
      </c>
      <c r="H553" s="927"/>
      <c r="I553" s="472"/>
      <c r="J553" s="472"/>
      <c r="K553" s="1036"/>
      <c r="L553" s="2381"/>
      <c r="M553" s="2381"/>
    </row>
    <row r="554" spans="1:13">
      <c r="A554" s="3147" t="s">
        <v>2208</v>
      </c>
      <c r="B554" s="3147"/>
      <c r="C554" s="788" t="s">
        <v>120</v>
      </c>
      <c r="D554" s="788" t="s">
        <v>2580</v>
      </c>
      <c r="E554" s="788" t="s">
        <v>2581</v>
      </c>
      <c r="F554" s="788" t="s">
        <v>1802</v>
      </c>
      <c r="G554" s="933" t="s">
        <v>2548</v>
      </c>
      <c r="H554" s="472"/>
      <c r="I554" s="1048"/>
      <c r="J554" s="472"/>
      <c r="K554" s="1036"/>
      <c r="L554" s="2381"/>
      <c r="M554" s="2381"/>
    </row>
    <row r="555" spans="1:13">
      <c r="A555" s="3124" t="s">
        <v>2210</v>
      </c>
      <c r="B555" s="3124"/>
      <c r="C555" s="725" t="s">
        <v>156</v>
      </c>
      <c r="D555" s="2399">
        <f>'Ввод данных'!C841</f>
        <v>0</v>
      </c>
      <c r="E555" s="2399">
        <f>'Ввод данных'!D841</f>
        <v>0</v>
      </c>
      <c r="F555" s="2399">
        <f>'Ввод данных'!E841</f>
        <v>0</v>
      </c>
      <c r="G555" s="507">
        <f t="shared" ref="G555:G560" si="18">D555*E555*F555</f>
        <v>0</v>
      </c>
      <c r="H555" s="472"/>
      <c r="I555" s="921"/>
      <c r="J555" s="472"/>
      <c r="K555" s="1036"/>
      <c r="L555" s="2381"/>
      <c r="M555" s="2381"/>
    </row>
    <row r="556" spans="1:13">
      <c r="A556" s="3124"/>
      <c r="B556" s="3124"/>
      <c r="C556" s="725" t="s">
        <v>156</v>
      </c>
      <c r="D556" s="2399">
        <f>'Ввод данных'!C842</f>
        <v>0</v>
      </c>
      <c r="E556" s="2399">
        <f>'Ввод данных'!D842</f>
        <v>0</v>
      </c>
      <c r="F556" s="2399">
        <f>'Ввод данных'!E842</f>
        <v>0</v>
      </c>
      <c r="G556" s="507">
        <f t="shared" si="18"/>
        <v>0</v>
      </c>
      <c r="H556" s="472"/>
      <c r="I556" s="1048"/>
      <c r="J556" s="472"/>
      <c r="K556" s="1036"/>
      <c r="L556" s="2381"/>
      <c r="M556" s="2381"/>
    </row>
    <row r="557" spans="1:13">
      <c r="A557" s="3124"/>
      <c r="B557" s="3124"/>
      <c r="C557" s="725" t="s">
        <v>156</v>
      </c>
      <c r="D557" s="2399">
        <f>'Ввод данных'!C843</f>
        <v>0</v>
      </c>
      <c r="E557" s="2399">
        <f>'Ввод данных'!D843</f>
        <v>0</v>
      </c>
      <c r="F557" s="2399">
        <f>'Ввод данных'!E843</f>
        <v>0</v>
      </c>
      <c r="G557" s="507">
        <f t="shared" si="18"/>
        <v>0</v>
      </c>
      <c r="H557" s="1002"/>
      <c r="I557" s="1048"/>
      <c r="J557" s="1262"/>
      <c r="K557" s="1036"/>
      <c r="L557" s="2381"/>
      <c r="M557" s="2381"/>
    </row>
    <row r="558" spans="1:13">
      <c r="A558" s="3142" t="s">
        <v>2211</v>
      </c>
      <c r="B558" s="3142"/>
      <c r="C558" s="725" t="s">
        <v>156</v>
      </c>
      <c r="D558" s="2399">
        <f>'Ввод данных'!C844</f>
        <v>1</v>
      </c>
      <c r="E558" s="2399">
        <f>'Ввод данных'!D844</f>
        <v>2</v>
      </c>
      <c r="F558" s="2399">
        <f>'Ввод данных'!E844</f>
        <v>0</v>
      </c>
      <c r="G558" s="507">
        <f t="shared" si="18"/>
        <v>0</v>
      </c>
      <c r="H558" s="936"/>
      <c r="I558" s="1048"/>
      <c r="J558" s="936"/>
      <c r="K558" s="1036"/>
      <c r="L558" s="2381"/>
      <c r="M558" s="2381"/>
    </row>
    <row r="559" spans="1:13">
      <c r="A559" s="3142"/>
      <c r="B559" s="3142"/>
      <c r="C559" s="725" t="s">
        <v>156</v>
      </c>
      <c r="D559" s="2399">
        <f>'Ввод данных'!C845</f>
        <v>0</v>
      </c>
      <c r="E559" s="2399">
        <f>'Ввод данных'!D845</f>
        <v>2.7</v>
      </c>
      <c r="F559" s="2399">
        <f>'Ввод данных'!E845</f>
        <v>0</v>
      </c>
      <c r="G559" s="507">
        <f t="shared" si="18"/>
        <v>0</v>
      </c>
      <c r="H559" s="1002"/>
      <c r="I559" s="1048"/>
      <c r="J559" s="1262"/>
      <c r="K559" s="1036"/>
      <c r="L559" s="2381"/>
      <c r="M559" s="2381"/>
    </row>
    <row r="560" spans="1:13">
      <c r="A560" s="3124" t="s">
        <v>2213</v>
      </c>
      <c r="B560" s="3124"/>
      <c r="C560" s="961" t="s">
        <v>156</v>
      </c>
      <c r="D560" s="2399">
        <f>'Ввод данных'!C846</f>
        <v>2</v>
      </c>
      <c r="E560" s="2399">
        <f>'Ввод данных'!D846</f>
        <v>2</v>
      </c>
      <c r="F560" s="2399">
        <f>'Ввод данных'!E846</f>
        <v>0</v>
      </c>
      <c r="G560" s="507">
        <f t="shared" si="18"/>
        <v>0</v>
      </c>
      <c r="H560" s="921"/>
      <c r="I560" s="2489"/>
      <c r="J560" s="1262"/>
      <c r="K560" s="1036"/>
      <c r="L560" s="2381"/>
      <c r="M560" s="2381"/>
    </row>
    <row r="561" spans="1:13">
      <c r="A561" s="3234" t="s">
        <v>3915</v>
      </c>
      <c r="B561" s="3234"/>
      <c r="C561" s="3234"/>
      <c r="D561" s="3234"/>
      <c r="E561" s="3234"/>
      <c r="F561" s="938">
        <f>SUM(F549:F553)</f>
        <v>0</v>
      </c>
      <c r="G561" s="938">
        <f>SUM(G555:G560)</f>
        <v>0</v>
      </c>
      <c r="H561" s="936"/>
      <c r="I561" s="936"/>
      <c r="J561" s="1262"/>
      <c r="K561" s="1036"/>
      <c r="L561" s="2381"/>
      <c r="M561" s="2381"/>
    </row>
    <row r="562" spans="1:13">
      <c r="A562" s="3176" t="s">
        <v>2225</v>
      </c>
      <c r="B562" s="3176"/>
      <c r="C562" s="3176"/>
      <c r="D562" s="938">
        <f>VLOOKUP('Ввод данных'!C859,связи1!A2:B3,2,0)</f>
        <v>1</v>
      </c>
      <c r="E562" s="2490"/>
      <c r="F562" s="2151"/>
      <c r="G562" s="2151"/>
      <c r="H562" s="936"/>
      <c r="I562" s="936"/>
      <c r="J562" s="1262"/>
      <c r="K562" s="1036"/>
      <c r="L562" s="2381"/>
      <c r="M562" s="2381"/>
    </row>
    <row r="563" spans="1:13" ht="16">
      <c r="A563" s="2433" t="s">
        <v>1172</v>
      </c>
      <c r="B563" s="2433" t="s">
        <v>154</v>
      </c>
      <c r="C563" s="2432">
        <f>'Ввод данных'!C860</f>
        <v>5</v>
      </c>
      <c r="D563" s="2286"/>
      <c r="E563" s="2490"/>
      <c r="F563" s="2151"/>
      <c r="G563" s="2151"/>
      <c r="H563" s="936"/>
      <c r="I563" s="936"/>
      <c r="J563" s="1262"/>
      <c r="K563" s="1036"/>
      <c r="L563" s="2381"/>
      <c r="M563" s="2381"/>
    </row>
    <row r="564" spans="1:13" ht="16">
      <c r="A564" s="260" t="s">
        <v>2226</v>
      </c>
      <c r="B564" s="275" t="s">
        <v>156</v>
      </c>
      <c r="C564" s="2432">
        <f>'Ввод данных'!C861</f>
        <v>0.4</v>
      </c>
      <c r="D564" s="2381"/>
      <c r="E564" s="2490"/>
      <c r="F564" s="2151"/>
      <c r="G564" s="2151"/>
      <c r="H564" s="936"/>
      <c r="I564" s="936"/>
      <c r="J564" s="1262"/>
      <c r="K564" s="1036"/>
      <c r="L564" s="2381"/>
      <c r="M564" s="2381"/>
    </row>
    <row r="565" spans="1:13" ht="16">
      <c r="A565" s="260" t="s">
        <v>2149</v>
      </c>
      <c r="B565" s="275" t="s">
        <v>156</v>
      </c>
      <c r="C565" s="2432">
        <f>'Ввод данных'!C862</f>
        <v>0.4</v>
      </c>
      <c r="D565" s="2381"/>
      <c r="E565" s="2490"/>
      <c r="F565" s="2151"/>
      <c r="G565" s="2151"/>
      <c r="H565" s="936"/>
      <c r="I565" s="936"/>
      <c r="J565" s="1262"/>
      <c r="K565" s="1036"/>
      <c r="L565" s="2381"/>
      <c r="M565" s="2381"/>
    </row>
    <row r="566" spans="1:13" ht="16">
      <c r="A566" s="260" t="s">
        <v>2150</v>
      </c>
      <c r="B566" s="275" t="s">
        <v>156</v>
      </c>
      <c r="C566" s="2432">
        <f>'Ввод данных'!C863</f>
        <v>0.2</v>
      </c>
      <c r="D566" s="2381"/>
      <c r="E566" s="2490"/>
      <c r="F566" s="2151"/>
      <c r="G566" s="2151"/>
      <c r="H566" s="936"/>
      <c r="I566" s="936"/>
      <c r="J566" s="1262"/>
      <c r="K566" s="1036"/>
      <c r="L566" s="2381"/>
      <c r="M566" s="2381"/>
    </row>
    <row r="567" spans="1:13" ht="16">
      <c r="A567" s="260" t="s">
        <v>2151</v>
      </c>
      <c r="B567" s="275" t="s">
        <v>156</v>
      </c>
      <c r="C567" s="2432">
        <f>'Ввод данных'!C864</f>
        <v>0.3</v>
      </c>
      <c r="D567" s="2381"/>
      <c r="E567" s="2490"/>
      <c r="F567" s="2151"/>
      <c r="G567" s="2151"/>
      <c r="H567" s="936"/>
      <c r="I567" s="936"/>
      <c r="J567" s="1262"/>
      <c r="K567" s="1036"/>
      <c r="L567" s="2381"/>
      <c r="M567" s="2381"/>
    </row>
    <row r="568" spans="1:13" ht="16">
      <c r="A568" s="260" t="s">
        <v>2227</v>
      </c>
      <c r="B568" s="275" t="s">
        <v>156</v>
      </c>
      <c r="C568" s="2432">
        <f>'Ввод данных'!C865</f>
        <v>0.04</v>
      </c>
      <c r="D568" s="2381"/>
      <c r="E568" s="2490"/>
      <c r="F568" s="2151"/>
      <c r="G568" s="2151"/>
      <c r="H568" s="936"/>
      <c r="I568" s="936"/>
      <c r="J568" s="1262"/>
      <c r="K568" s="1036"/>
      <c r="L568" s="2381"/>
      <c r="M568" s="2381"/>
    </row>
    <row r="569" spans="1:13" ht="16">
      <c r="A569" s="260" t="s">
        <v>2221</v>
      </c>
      <c r="B569" s="275" t="s">
        <v>133</v>
      </c>
      <c r="C569" s="2342">
        <f>C564*C574*2</f>
        <v>11.200000000000001</v>
      </c>
      <c r="D569" s="2381"/>
      <c r="E569" s="2490"/>
      <c r="F569" s="2151"/>
      <c r="G569" s="2151"/>
      <c r="H569" s="936"/>
      <c r="I569" s="936"/>
      <c r="J569" s="1262"/>
      <c r="K569" s="1036"/>
      <c r="L569" s="2381"/>
      <c r="M569" s="2381"/>
    </row>
    <row r="570" spans="1:13" ht="16">
      <c r="A570" s="260" t="s">
        <v>2228</v>
      </c>
      <c r="B570" s="275" t="s">
        <v>159</v>
      </c>
      <c r="C570" s="2438">
        <f>'Ввод данных'!C866</f>
        <v>4</v>
      </c>
      <c r="D570" s="2381"/>
      <c r="E570" s="2490"/>
      <c r="F570" s="2151"/>
      <c r="G570" s="2151"/>
      <c r="H570" s="936"/>
      <c r="I570" s="936"/>
      <c r="J570" s="1262"/>
      <c r="K570" s="1036"/>
      <c r="L570" s="2381"/>
      <c r="M570" s="2381"/>
    </row>
    <row r="571" spans="1:13" ht="16">
      <c r="A571" s="260" t="s">
        <v>4106</v>
      </c>
      <c r="B571" s="275" t="s">
        <v>156</v>
      </c>
      <c r="C571" s="2342">
        <f>C574*C570*1.1</f>
        <v>61.600000000000009</v>
      </c>
      <c r="D571" s="2381"/>
      <c r="E571" s="2490"/>
      <c r="F571" s="2151"/>
      <c r="G571" s="2151"/>
      <c r="H571" s="936"/>
      <c r="I571" s="936"/>
      <c r="J571" s="1262"/>
      <c r="K571" s="1036"/>
      <c r="L571" s="2381"/>
      <c r="M571" s="2381"/>
    </row>
    <row r="572" spans="1:13" ht="16">
      <c r="A572" s="260" t="s">
        <v>2229</v>
      </c>
      <c r="B572" s="275" t="s">
        <v>156</v>
      </c>
      <c r="C572" s="2438">
        <f>'Ввод данных'!C867</f>
        <v>0.6</v>
      </c>
      <c r="D572" s="2381"/>
      <c r="E572" s="2490"/>
      <c r="F572" s="2151"/>
      <c r="G572" s="2151"/>
      <c r="H572" s="936"/>
      <c r="I572" s="936"/>
      <c r="J572" s="1262"/>
      <c r="K572" s="1036"/>
      <c r="L572" s="2381"/>
      <c r="M572" s="2381"/>
    </row>
    <row r="573" spans="1:13" ht="16">
      <c r="A573" s="260" t="s">
        <v>4107</v>
      </c>
      <c r="B573" s="275" t="s">
        <v>156</v>
      </c>
      <c r="C573" s="2342">
        <f>(C574/C572)*(C564+C564+C565+C565)*1.1</f>
        <v>41.06666666666667</v>
      </c>
      <c r="D573" s="2381"/>
      <c r="E573" s="2490"/>
      <c r="F573" s="2151"/>
      <c r="G573" s="2151"/>
      <c r="H573" s="936"/>
      <c r="I573" s="936"/>
      <c r="J573" s="1262"/>
      <c r="K573" s="1036"/>
      <c r="L573" s="2381"/>
      <c r="M573" s="2381"/>
    </row>
    <row r="574" spans="1:13" ht="16">
      <c r="A574" s="98" t="s">
        <v>4050</v>
      </c>
      <c r="B574" s="132" t="s">
        <v>156</v>
      </c>
      <c r="C574" s="100">
        <f>E519*E520+E527*E526</f>
        <v>14</v>
      </c>
      <c r="D574" s="2381"/>
      <c r="E574" s="2490"/>
      <c r="F574" s="2151"/>
      <c r="G574" s="2151"/>
      <c r="H574" s="936"/>
      <c r="I574" s="936"/>
      <c r="J574" s="1262"/>
      <c r="K574" s="1036"/>
      <c r="L574" s="2381"/>
      <c r="M574" s="2381"/>
    </row>
    <row r="575" spans="1:13" ht="16">
      <c r="A575" s="306" t="s">
        <v>4051</v>
      </c>
      <c r="B575" s="132" t="s">
        <v>135</v>
      </c>
      <c r="C575" s="100">
        <f>C574*C564*C565</f>
        <v>2.2400000000000002</v>
      </c>
      <c r="D575" s="2381"/>
      <c r="E575" s="2490"/>
      <c r="F575" s="2151"/>
      <c r="G575" s="2151"/>
      <c r="H575" s="936"/>
      <c r="I575" s="936"/>
      <c r="J575" s="1262"/>
      <c r="K575" s="1036"/>
      <c r="L575" s="2381"/>
      <c r="M575" s="2381"/>
    </row>
    <row r="576" spans="1:13" ht="16">
      <c r="A576" s="306" t="s">
        <v>3623</v>
      </c>
      <c r="B576" s="290" t="s">
        <v>159</v>
      </c>
      <c r="C576" s="100">
        <v>1</v>
      </c>
      <c r="D576" s="2176"/>
      <c r="E576" s="2158"/>
      <c r="F576" s="927"/>
      <c r="G576" s="927"/>
      <c r="H576" s="928"/>
      <c r="I576" s="928"/>
      <c r="J576" s="1036"/>
      <c r="K576" s="1036"/>
      <c r="L576" s="2419"/>
      <c r="M576" s="2419"/>
    </row>
    <row r="577" spans="1:13" ht="16">
      <c r="A577" s="2301" t="s">
        <v>4108</v>
      </c>
      <c r="B577" s="2301" t="s">
        <v>1802</v>
      </c>
      <c r="C577" s="100">
        <v>3</v>
      </c>
      <c r="D577" s="2176"/>
      <c r="E577" s="2158"/>
      <c r="F577" s="927"/>
      <c r="G577" s="927"/>
      <c r="H577" s="928"/>
      <c r="I577" s="928"/>
      <c r="J577" s="1036"/>
      <c r="K577" s="1036"/>
      <c r="L577" s="2419"/>
      <c r="M577" s="2419"/>
    </row>
    <row r="578" spans="1:13">
      <c r="A578" s="3176" t="s">
        <v>4109</v>
      </c>
      <c r="B578" s="3176"/>
      <c r="C578" s="3176"/>
      <c r="D578" s="1135">
        <f>E537</f>
        <v>1</v>
      </c>
      <c r="E578" s="2490"/>
      <c r="F578" s="2151"/>
      <c r="G578" s="2151"/>
      <c r="H578" s="936"/>
      <c r="I578" s="936"/>
      <c r="J578" s="1262"/>
      <c r="K578" s="1036"/>
      <c r="L578" s="2381"/>
      <c r="M578" s="2381"/>
    </row>
    <row r="579" spans="1:13" ht="16">
      <c r="A579" s="275" t="s">
        <v>2177</v>
      </c>
      <c r="B579" s="275" t="s">
        <v>156</v>
      </c>
      <c r="C579" s="2432">
        <f>'Ввод данных'!C869</f>
        <v>0</v>
      </c>
      <c r="D579" s="2381"/>
      <c r="E579" s="2381"/>
      <c r="F579" s="2381"/>
      <c r="G579" s="2381"/>
      <c r="H579" s="2381"/>
      <c r="I579" s="2381"/>
      <c r="J579" s="2381"/>
      <c r="K579" s="2381"/>
      <c r="L579" s="2381"/>
      <c r="M579" s="2381"/>
    </row>
    <row r="580" spans="1:13" ht="16">
      <c r="A580" s="275" t="s">
        <v>2178</v>
      </c>
      <c r="B580" s="275" t="s">
        <v>156</v>
      </c>
      <c r="C580" s="2432">
        <f>'Ввод данных'!C870</f>
        <v>0</v>
      </c>
      <c r="D580" s="2381"/>
      <c r="E580" s="2381"/>
      <c r="F580" s="2381"/>
      <c r="G580" s="2381"/>
      <c r="H580" s="2381"/>
      <c r="I580" s="2381"/>
      <c r="J580" s="2381"/>
      <c r="K580" s="2381"/>
      <c r="L580" s="2381"/>
      <c r="M580" s="2381"/>
    </row>
    <row r="581" spans="1:13" ht="16">
      <c r="A581" s="275" t="s">
        <v>2179</v>
      </c>
      <c r="B581" s="275" t="s">
        <v>156</v>
      </c>
      <c r="C581" s="2432">
        <f>'Ввод данных'!C871</f>
        <v>0.2</v>
      </c>
      <c r="D581" s="2381"/>
      <c r="E581" s="2381"/>
      <c r="F581" s="2381"/>
      <c r="G581" s="2381"/>
      <c r="H581" s="2381"/>
      <c r="I581" s="2381"/>
      <c r="J581" s="2381"/>
      <c r="K581" s="2381"/>
      <c r="L581" s="2381"/>
      <c r="M581" s="2381"/>
    </row>
    <row r="582" spans="1:13" ht="16">
      <c r="A582" s="275" t="s">
        <v>4110</v>
      </c>
      <c r="B582" s="275" t="s">
        <v>156</v>
      </c>
      <c r="C582" s="2432">
        <f>'Ввод данных'!C872</f>
        <v>0.1</v>
      </c>
      <c r="D582" s="1135">
        <v>1</v>
      </c>
      <c r="E582" s="2381"/>
      <c r="F582" s="2381"/>
      <c r="G582" s="2381"/>
      <c r="H582" s="2381"/>
      <c r="I582" s="2381"/>
      <c r="J582" s="2381"/>
      <c r="K582" s="2381"/>
      <c r="L582" s="2381"/>
      <c r="M582" s="2381"/>
    </row>
    <row r="583" spans="1:13" ht="16">
      <c r="A583" s="275" t="s">
        <v>2231</v>
      </c>
      <c r="B583" s="275" t="s">
        <v>156</v>
      </c>
      <c r="C583" s="2432">
        <f>'Ввод данных'!C873</f>
        <v>0.25</v>
      </c>
      <c r="D583" s="2381"/>
      <c r="E583" s="2381"/>
      <c r="F583" s="2381"/>
      <c r="G583" s="2381"/>
      <c r="H583" s="2381"/>
      <c r="I583" s="2381"/>
      <c r="J583" s="2381"/>
      <c r="K583" s="2381"/>
      <c r="L583" s="2381"/>
      <c r="M583" s="2381"/>
    </row>
    <row r="584" spans="1:13" ht="16">
      <c r="A584" s="275" t="s">
        <v>4111</v>
      </c>
      <c r="B584" s="275" t="s">
        <v>135</v>
      </c>
      <c r="C584" s="2488">
        <f>D537*C583</f>
        <v>2.9</v>
      </c>
      <c r="D584" s="2381"/>
      <c r="E584" s="2381"/>
      <c r="F584" s="2381"/>
      <c r="G584" s="2381"/>
      <c r="H584" s="2381"/>
      <c r="I584" s="2381"/>
      <c r="J584" s="2381"/>
      <c r="K584" s="2381"/>
      <c r="L584" s="2381"/>
      <c r="M584" s="2381"/>
    </row>
    <row r="585" spans="1:13" ht="16">
      <c r="A585" s="275" t="s">
        <v>2232</v>
      </c>
      <c r="B585" s="275" t="s">
        <v>156</v>
      </c>
      <c r="C585" s="2432">
        <f>'Ввод данных'!C874</f>
        <v>0.2</v>
      </c>
      <c r="D585" s="2381"/>
      <c r="E585" s="2381"/>
      <c r="F585" s="2381"/>
      <c r="G585" s="2381"/>
      <c r="H585" s="2381"/>
      <c r="I585" s="2381"/>
      <c r="J585" s="2381"/>
      <c r="K585" s="2381"/>
      <c r="L585" s="2381"/>
      <c r="M585" s="2381"/>
    </row>
    <row r="586" spans="1:13" ht="16">
      <c r="A586" s="275" t="s">
        <v>2233</v>
      </c>
      <c r="B586" s="275" t="s">
        <v>159</v>
      </c>
      <c r="C586" s="2432">
        <f>'Ввод данных'!C875</f>
        <v>2</v>
      </c>
      <c r="D586" s="2381"/>
      <c r="E586" s="2381"/>
      <c r="F586" s="2381"/>
      <c r="G586" s="2381"/>
      <c r="H586" s="2381"/>
      <c r="I586" s="2381"/>
      <c r="J586" s="2381"/>
      <c r="K586" s="2381"/>
      <c r="L586" s="2381"/>
      <c r="M586" s="2381"/>
    </row>
    <row r="587" spans="1:13" ht="16">
      <c r="A587" s="275" t="s">
        <v>4112</v>
      </c>
      <c r="B587" s="275" t="s">
        <v>156</v>
      </c>
      <c r="C587" s="969">
        <f>1/C585*2*D545*C586</f>
        <v>232</v>
      </c>
      <c r="D587" s="2381"/>
      <c r="E587" s="2381"/>
      <c r="F587" s="2381"/>
      <c r="G587" s="2381"/>
      <c r="H587" s="2381"/>
      <c r="I587" s="2381"/>
      <c r="J587" s="2381"/>
      <c r="K587" s="2381"/>
      <c r="L587" s="2381"/>
      <c r="M587" s="2381"/>
    </row>
    <row r="588" spans="1:13" ht="16">
      <c r="A588" s="275" t="s">
        <v>4075</v>
      </c>
      <c r="B588" s="275" t="s">
        <v>156</v>
      </c>
      <c r="C588" s="2488">
        <f>D537*6</f>
        <v>69.599999999999994</v>
      </c>
      <c r="D588" s="1135">
        <f>VLOOKUP('Ввод данных'!C878,связи1!A2:B3,2,0)</f>
        <v>1</v>
      </c>
      <c r="E588" s="2381"/>
      <c r="F588" s="2381"/>
      <c r="G588" s="2381"/>
      <c r="H588" s="2381"/>
      <c r="I588" s="2381"/>
      <c r="J588" s="2381"/>
      <c r="K588" s="2381"/>
      <c r="L588" s="2381"/>
      <c r="M588" s="2381"/>
    </row>
    <row r="589" spans="1:13" ht="16">
      <c r="A589" s="275" t="s">
        <v>4076</v>
      </c>
      <c r="B589" s="275" t="s">
        <v>159</v>
      </c>
      <c r="C589" s="2432">
        <v>1</v>
      </c>
      <c r="D589" s="1135">
        <f>VLOOKUP('Ввод данных'!C879,связи1!A2:B3,2,0)</f>
        <v>0</v>
      </c>
      <c r="E589" s="2381"/>
      <c r="F589" s="2381"/>
      <c r="G589" s="2381"/>
      <c r="H589" s="2381"/>
      <c r="I589" s="2381"/>
      <c r="J589" s="2381"/>
      <c r="K589" s="2381"/>
      <c r="L589" s="2381"/>
      <c r="M589" s="2381"/>
    </row>
    <row r="590" spans="1:13" ht="16">
      <c r="A590" s="306" t="s">
        <v>4113</v>
      </c>
      <c r="B590" s="290" t="s">
        <v>159</v>
      </c>
      <c r="C590" s="2432">
        <f>'Ввод данных'!C880</f>
        <v>6</v>
      </c>
      <c r="D590" s="1135">
        <v>1</v>
      </c>
      <c r="E590" s="2381"/>
      <c r="F590" s="2381"/>
      <c r="G590" s="2381"/>
      <c r="H590" s="2381"/>
      <c r="I590" s="2381"/>
      <c r="J590" s="2381"/>
      <c r="K590" s="2381"/>
      <c r="L590" s="2381"/>
      <c r="M590" s="2381"/>
    </row>
    <row r="591" spans="1:13" ht="16">
      <c r="A591" s="306" t="s">
        <v>4114</v>
      </c>
      <c r="B591" s="290" t="s">
        <v>159</v>
      </c>
      <c r="C591" s="2432">
        <f>'Ввод данных'!C881</f>
        <v>2</v>
      </c>
      <c r="D591" s="1135">
        <v>1</v>
      </c>
      <c r="E591" s="2381"/>
      <c r="F591" s="2381"/>
      <c r="G591" s="2381"/>
      <c r="H591" s="2381"/>
      <c r="I591" s="2381"/>
      <c r="J591" s="2381"/>
      <c r="K591" s="2381"/>
      <c r="L591" s="2381"/>
      <c r="M591" s="2381"/>
    </row>
    <row r="592" spans="1:13">
      <c r="A592" s="3235" t="s">
        <v>4115</v>
      </c>
      <c r="B592" s="3235"/>
      <c r="C592" s="3235"/>
      <c r="D592" s="3235"/>
      <c r="E592" s="3235"/>
      <c r="F592" s="3235"/>
      <c r="G592" s="3235"/>
      <c r="H592" s="3235"/>
      <c r="I592" s="3235"/>
      <c r="J592" s="3235"/>
      <c r="K592" s="3235"/>
      <c r="L592" s="3235"/>
      <c r="M592" s="2381"/>
    </row>
    <row r="593" spans="1:13">
      <c r="A593" s="3235"/>
      <c r="B593" s="3235"/>
      <c r="C593" s="3235"/>
      <c r="D593" s="3235"/>
      <c r="E593" s="3235"/>
      <c r="F593" s="3235"/>
      <c r="G593" s="3235"/>
      <c r="H593" s="3235"/>
      <c r="I593" s="3235"/>
      <c r="J593" s="3235"/>
      <c r="K593" s="3235"/>
      <c r="L593" s="3235"/>
      <c r="M593" s="2381"/>
    </row>
    <row r="594" spans="1:13" ht="16">
      <c r="A594" s="3236" t="s">
        <v>2720</v>
      </c>
      <c r="B594" s="3236"/>
      <c r="C594" s="3236"/>
      <c r="D594" s="3236"/>
      <c r="E594" s="3236"/>
      <c r="F594" s="2402">
        <f>'Ввод данных'!E826</f>
        <v>1.1000000000000001</v>
      </c>
      <c r="G594" s="3236" t="s">
        <v>1409</v>
      </c>
      <c r="H594" s="3236"/>
      <c r="I594" s="3236"/>
      <c r="J594" s="3236"/>
      <c r="K594" s="3236"/>
      <c r="L594" s="3236"/>
      <c r="M594" s="2381"/>
    </row>
    <row r="595" spans="1:13" ht="16">
      <c r="A595" s="3206" t="s">
        <v>4116</v>
      </c>
      <c r="B595" s="3206"/>
      <c r="C595" s="3206"/>
      <c r="D595" s="3206"/>
      <c r="E595" s="3206"/>
      <c r="F595" s="3206"/>
      <c r="G595" s="3206"/>
      <c r="H595" s="3206"/>
      <c r="I595" s="3206"/>
      <c r="J595" s="3206"/>
      <c r="K595" s="3206"/>
      <c r="L595" s="3206"/>
      <c r="M595" s="2381"/>
    </row>
    <row r="596" spans="1:13" ht="16">
      <c r="A596" s="2341" t="s">
        <v>1236</v>
      </c>
      <c r="B596" s="2341" t="s">
        <v>208</v>
      </c>
      <c r="C596" s="2341" t="s">
        <v>1802</v>
      </c>
      <c r="D596" s="2341" t="s">
        <v>4117</v>
      </c>
      <c r="E596" s="2341" t="s">
        <v>3696</v>
      </c>
      <c r="F596" s="2286">
        <f>'Ввод данных'!E827</f>
        <v>1.2</v>
      </c>
      <c r="G596" s="2491" t="s">
        <v>1236</v>
      </c>
      <c r="H596" s="2492"/>
      <c r="I596" s="2341" t="s">
        <v>208</v>
      </c>
      <c r="J596" s="2341" t="s">
        <v>1802</v>
      </c>
      <c r="K596" s="2341" t="s">
        <v>4117</v>
      </c>
      <c r="L596" s="2341" t="s">
        <v>3696</v>
      </c>
      <c r="M596" s="2419"/>
    </row>
    <row r="597" spans="1:13" ht="16">
      <c r="A597" s="275" t="str">
        <f>'Прайс лист'!B297</f>
        <v>Сосна влаж,150*40мм</v>
      </c>
      <c r="B597" s="99" t="s">
        <v>135</v>
      </c>
      <c r="C597" s="275">
        <f>C569*C568*1.3*D562*F514*F515*F594</f>
        <v>0</v>
      </c>
      <c r="D597" s="2433">
        <f>'Прайс лист'!G297</f>
        <v>6500</v>
      </c>
      <c r="E597" s="275">
        <f t="shared" ref="E597:E605" si="19">C597*D597</f>
        <v>0</v>
      </c>
      <c r="F597" s="941"/>
      <c r="G597" s="3130" t="s">
        <v>1431</v>
      </c>
      <c r="H597" s="3130"/>
      <c r="I597" s="99" t="s">
        <v>133</v>
      </c>
      <c r="J597" s="275">
        <f>C569*D562*F514*F596</f>
        <v>0</v>
      </c>
      <c r="K597" s="2433">
        <f>'Прайс лист'!G1617</f>
        <v>300</v>
      </c>
      <c r="L597" s="275">
        <f t="shared" ref="L597:L604" si="20">J597*K597</f>
        <v>0</v>
      </c>
      <c r="M597" s="2381"/>
    </row>
    <row r="598" spans="1:13" ht="16">
      <c r="A598" s="275" t="str">
        <f>'Прайс лист'!B215</f>
        <v xml:space="preserve">Пленка гидроизоляционная </v>
      </c>
      <c r="B598" s="99" t="s">
        <v>133</v>
      </c>
      <c r="C598" s="275">
        <f>C569*1.3*D562*F514*F515*F594</f>
        <v>0</v>
      </c>
      <c r="D598" s="2433">
        <f>'Прайс лист'!G215</f>
        <v>15</v>
      </c>
      <c r="E598" s="275">
        <f t="shared" si="19"/>
        <v>0</v>
      </c>
      <c r="F598" s="941"/>
      <c r="G598" s="3130" t="s">
        <v>1432</v>
      </c>
      <c r="H598" s="3130"/>
      <c r="I598" s="99" t="s">
        <v>133</v>
      </c>
      <c r="J598" s="275">
        <f>J597*D562*F514*F596</f>
        <v>0</v>
      </c>
      <c r="K598" s="2433">
        <f>'Прайс лист'!G1618</f>
        <v>100</v>
      </c>
      <c r="L598" s="275">
        <f t="shared" si="20"/>
        <v>0</v>
      </c>
      <c r="M598" s="2381"/>
    </row>
    <row r="599" spans="1:13" ht="16">
      <c r="A599" s="275" t="str">
        <f>'Прайс лист'!B788</f>
        <v>Гидроизол</v>
      </c>
      <c r="B599" s="99" t="s">
        <v>133</v>
      </c>
      <c r="C599" s="275">
        <f>D543*1.1*D562*F514*F515*F594</f>
        <v>0</v>
      </c>
      <c r="D599" s="2433">
        <f>'Прайс лист'!G788</f>
        <v>70</v>
      </c>
      <c r="E599" s="275">
        <f t="shared" si="19"/>
        <v>0</v>
      </c>
      <c r="F599" s="941"/>
      <c r="G599" s="2258" t="s">
        <v>4058</v>
      </c>
      <c r="H599" s="2259"/>
      <c r="I599" s="99" t="s">
        <v>133</v>
      </c>
      <c r="J599" s="275">
        <f>C574*C567*D562*F514*F596</f>
        <v>0</v>
      </c>
      <c r="K599" s="2433">
        <f>'Прайс лист'!G1629</f>
        <v>600</v>
      </c>
      <c r="L599" s="275">
        <f t="shared" si="20"/>
        <v>0</v>
      </c>
      <c r="M599" s="2381"/>
    </row>
    <row r="600" spans="1:13" ht="16">
      <c r="A600" s="275" t="str">
        <f>'Прайс лист'!B206</f>
        <v>Арматура стальная Ø 12</v>
      </c>
      <c r="B600" s="99" t="s">
        <v>1415</v>
      </c>
      <c r="C600" s="275">
        <f>C571*D562*F514*F515*F594</f>
        <v>0</v>
      </c>
      <c r="D600" s="2433">
        <f>'Прайс лист'!G206</f>
        <v>29.215199999999999</v>
      </c>
      <c r="E600" s="275">
        <f t="shared" si="19"/>
        <v>0</v>
      </c>
      <c r="F600" s="941"/>
      <c r="G600" s="3130" t="s">
        <v>1433</v>
      </c>
      <c r="H600" s="3130"/>
      <c r="I600" s="99" t="s">
        <v>133</v>
      </c>
      <c r="J600" s="275">
        <f>J597*D562*F514*F596</f>
        <v>0</v>
      </c>
      <c r="K600" s="2433">
        <f>'Прайс лист'!G1619</f>
        <v>10</v>
      </c>
      <c r="L600" s="275">
        <f t="shared" si="20"/>
        <v>0</v>
      </c>
      <c r="M600" s="2381"/>
    </row>
    <row r="601" spans="1:13" ht="16">
      <c r="A601" s="275" t="str">
        <f>'Прайс лист'!B199</f>
        <v>Нет арматуры</v>
      </c>
      <c r="B601" s="99" t="s">
        <v>1415</v>
      </c>
      <c r="C601" s="275">
        <f>C573*D562*F514*F515*F594</f>
        <v>0</v>
      </c>
      <c r="D601" s="2433">
        <f>'Прайс лист'!G199</f>
        <v>0</v>
      </c>
      <c r="E601" s="275">
        <f t="shared" si="19"/>
        <v>0</v>
      </c>
      <c r="F601" s="941"/>
      <c r="G601" s="3130" t="s">
        <v>4057</v>
      </c>
      <c r="H601" s="3130"/>
      <c r="I601" s="99" t="s">
        <v>1415</v>
      </c>
      <c r="J601" s="275">
        <f>C600*D562*F514*F596</f>
        <v>0</v>
      </c>
      <c r="K601" s="2433">
        <f>'Прайс лист'!G1601</f>
        <v>30</v>
      </c>
      <c r="L601" s="275">
        <f t="shared" si="20"/>
        <v>0</v>
      </c>
      <c r="M601" s="2381"/>
    </row>
    <row r="602" spans="1:13" ht="16">
      <c r="A602" s="275" t="str">
        <f>'Прайс лист'!B212</f>
        <v>Вязальная проволока</v>
      </c>
      <c r="B602" s="99" t="s">
        <v>188</v>
      </c>
      <c r="C602" s="275">
        <f>C600*C601/2000*D562*F514*F515*F594</f>
        <v>0</v>
      </c>
      <c r="D602" s="2433">
        <f>'Прайс лист'!G212</f>
        <v>80</v>
      </c>
      <c r="E602" s="275">
        <f t="shared" si="19"/>
        <v>0</v>
      </c>
      <c r="F602" s="941"/>
      <c r="G602" s="3130" t="s">
        <v>4057</v>
      </c>
      <c r="H602" s="3130"/>
      <c r="I602" s="99" t="s">
        <v>156</v>
      </c>
      <c r="J602" s="275">
        <f>C601*D562*F514*F596</f>
        <v>0</v>
      </c>
      <c r="K602" s="2433">
        <f>'Прайс лист'!G1602</f>
        <v>30</v>
      </c>
      <c r="L602" s="275">
        <f t="shared" si="20"/>
        <v>0</v>
      </c>
      <c r="M602" s="2381"/>
    </row>
    <row r="603" spans="1:13" ht="16">
      <c r="A603" s="275" t="str">
        <f>'Прайс лист'!B890</f>
        <v xml:space="preserve">Гвозди строительные 3,5 x 90            </v>
      </c>
      <c r="B603" s="99" t="s">
        <v>188</v>
      </c>
      <c r="C603" s="275">
        <f>C597*10*D562*F514*F515*F594</f>
        <v>0</v>
      </c>
      <c r="D603" s="2433">
        <f>'Прайс лист'!G890</f>
        <v>70</v>
      </c>
      <c r="E603" s="275">
        <f t="shared" si="19"/>
        <v>0</v>
      </c>
      <c r="F603" s="941"/>
      <c r="G603" s="2258" t="s">
        <v>1438</v>
      </c>
      <c r="H603" s="2259"/>
      <c r="I603" s="99" t="s">
        <v>133</v>
      </c>
      <c r="J603" s="275">
        <f>C599*D562*F514*F596</f>
        <v>0</v>
      </c>
      <c r="K603" s="2433">
        <f>'Прайс лист'!G1626</f>
        <v>100</v>
      </c>
      <c r="L603" s="275">
        <f t="shared" si="20"/>
        <v>0</v>
      </c>
      <c r="M603" s="2381"/>
    </row>
    <row r="604" spans="1:13" ht="16">
      <c r="A604" s="275" t="str">
        <f>'Прайс лист'!B167</f>
        <v>ПГС, машина 13м3</v>
      </c>
      <c r="B604" s="99" t="s">
        <v>140</v>
      </c>
      <c r="C604" s="275">
        <f>(C566*C567*C574)/12*D562*F514*F515*F594</f>
        <v>0</v>
      </c>
      <c r="D604" s="2433">
        <f>'Прайс лист'!G167</f>
        <v>10000</v>
      </c>
      <c r="E604" s="275">
        <f t="shared" si="19"/>
        <v>0</v>
      </c>
      <c r="F604" s="941"/>
      <c r="G604" s="3130" t="s">
        <v>1443</v>
      </c>
      <c r="H604" s="3130"/>
      <c r="I604" s="99" t="s">
        <v>135</v>
      </c>
      <c r="J604" s="275">
        <f>C605*D562*F514*F596</f>
        <v>0</v>
      </c>
      <c r="K604" s="2433">
        <f>'Прайс лист'!G1631</f>
        <v>1200</v>
      </c>
      <c r="L604" s="275">
        <f t="shared" si="20"/>
        <v>0</v>
      </c>
      <c r="M604" s="2381"/>
    </row>
    <row r="605" spans="1:13" ht="16">
      <c r="A605" s="275" t="str">
        <f>'Прайс лист'!B225</f>
        <v>Бетон, м200</v>
      </c>
      <c r="B605" s="99" t="s">
        <v>135</v>
      </c>
      <c r="C605" s="275">
        <f>C575*D562*F514*F515*F594</f>
        <v>0</v>
      </c>
      <c r="D605" s="2433">
        <f>'Прайс лист'!G225</f>
        <v>2500</v>
      </c>
      <c r="E605" s="275">
        <f t="shared" si="19"/>
        <v>0</v>
      </c>
      <c r="F605" s="941"/>
      <c r="G605" s="3130"/>
      <c r="H605" s="3130"/>
      <c r="I605" s="99"/>
      <c r="J605" s="275"/>
      <c r="K605" s="275"/>
      <c r="L605" s="275"/>
      <c r="M605" s="2381"/>
    </row>
    <row r="606" spans="1:13" ht="16">
      <c r="A606" s="2468"/>
      <c r="B606" s="2225"/>
      <c r="C606" s="2225"/>
      <c r="D606" s="2225"/>
      <c r="E606" s="291">
        <f>SUM(E588:E605)</f>
        <v>0</v>
      </c>
      <c r="F606" s="2263"/>
      <c r="G606" s="2468"/>
      <c r="H606" s="2225"/>
      <c r="I606" s="2225"/>
      <c r="J606" s="2225"/>
      <c r="K606" s="2225"/>
      <c r="L606" s="132">
        <f>SUM(L588:L605)</f>
        <v>0</v>
      </c>
      <c r="M606" s="2381"/>
    </row>
    <row r="607" spans="1:13" ht="16">
      <c r="A607" s="275" t="s">
        <v>4059</v>
      </c>
      <c r="B607" s="275">
        <f>E606</f>
        <v>0</v>
      </c>
      <c r="C607" s="2224"/>
      <c r="D607" s="2224"/>
      <c r="E607" s="2225"/>
      <c r="F607" s="2224"/>
      <c r="G607" s="2224"/>
      <c r="H607" s="2224"/>
      <c r="I607" s="2224"/>
      <c r="J607" s="2224"/>
      <c r="K607" s="2225"/>
      <c r="L607" s="2470"/>
      <c r="M607" s="2381"/>
    </row>
    <row r="608" spans="1:13" ht="16">
      <c r="A608" s="275" t="s">
        <v>4060</v>
      </c>
      <c r="B608" s="275">
        <f>L606</f>
        <v>0</v>
      </c>
      <c r="C608" s="2224"/>
      <c r="D608" s="2224"/>
      <c r="E608" s="2225"/>
      <c r="F608" s="2224"/>
      <c r="G608" s="2468"/>
      <c r="H608" s="2225"/>
      <c r="I608" s="2225"/>
      <c r="J608" s="2225"/>
      <c r="K608" s="2225"/>
      <c r="L608" s="2470"/>
      <c r="M608" s="2381"/>
    </row>
    <row r="609" spans="1:13" ht="16">
      <c r="A609" s="2301" t="s">
        <v>4061</v>
      </c>
      <c r="B609" s="2301">
        <f>SUM(B607:B608)</f>
        <v>0</v>
      </c>
      <c r="C609" s="2470"/>
      <c r="D609" s="2470"/>
      <c r="E609" s="2470"/>
      <c r="F609" s="2470"/>
      <c r="G609" s="2470"/>
      <c r="H609" s="2470"/>
      <c r="I609" s="2470"/>
      <c r="J609" s="2470"/>
      <c r="K609" s="2470"/>
      <c r="L609" s="2470"/>
      <c r="M609" s="2381"/>
    </row>
    <row r="610" spans="1:13" ht="16">
      <c r="A610" s="3237" t="s">
        <v>4118</v>
      </c>
      <c r="B610" s="3237"/>
      <c r="C610" s="3237"/>
      <c r="D610" s="3237"/>
      <c r="E610" s="3237"/>
      <c r="F610" s="3237"/>
      <c r="G610" s="3237"/>
      <c r="H610" s="3237"/>
      <c r="I610" s="3237"/>
      <c r="J610" s="3237"/>
      <c r="K610" s="3237"/>
      <c r="L610" s="3237"/>
      <c r="M610" s="2381"/>
    </row>
    <row r="611" spans="1:13" ht="16">
      <c r="A611" s="3206" t="s">
        <v>4119</v>
      </c>
      <c r="B611" s="3206"/>
      <c r="C611" s="3206"/>
      <c r="D611" s="3206"/>
      <c r="E611" s="3206"/>
      <c r="F611" s="3206"/>
      <c r="G611" s="3206"/>
      <c r="H611" s="3206"/>
      <c r="I611" s="3206"/>
      <c r="J611" s="3206"/>
      <c r="K611" s="3206"/>
      <c r="L611" s="3206"/>
      <c r="M611" s="2381"/>
    </row>
    <row r="612" spans="1:13" ht="16">
      <c r="A612" s="2341" t="s">
        <v>1236</v>
      </c>
      <c r="B612" s="2341" t="s">
        <v>208</v>
      </c>
      <c r="C612" s="2341" t="s">
        <v>1802</v>
      </c>
      <c r="D612" s="2341" t="s">
        <v>4117</v>
      </c>
      <c r="E612" s="2341" t="s">
        <v>3696</v>
      </c>
      <c r="F612" s="2286"/>
      <c r="G612" s="2491" t="s">
        <v>1236</v>
      </c>
      <c r="H612" s="2492"/>
      <c r="I612" s="2341" t="s">
        <v>208</v>
      </c>
      <c r="J612" s="2341" t="s">
        <v>1802</v>
      </c>
      <c r="K612" s="2341" t="s">
        <v>4117</v>
      </c>
      <c r="L612" s="2341" t="s">
        <v>3696</v>
      </c>
      <c r="M612" s="2419"/>
    </row>
    <row r="613" spans="1:13" ht="16">
      <c r="A613" s="306" t="str">
        <f>'Прайс лист'!B169</f>
        <v>Скальник, 1 маш 13м3</v>
      </c>
      <c r="B613" s="290" t="s">
        <v>140</v>
      </c>
      <c r="C613" s="291">
        <f>C580*D537*E537*D578*F514*F515*F594</f>
        <v>0</v>
      </c>
      <c r="D613" s="2433">
        <f>'Прайс лист'!G169</f>
        <v>15000</v>
      </c>
      <c r="E613" s="2433">
        <f t="shared" ref="E613:E630" si="21">C613*D613</f>
        <v>0</v>
      </c>
      <c r="F613" s="2263"/>
      <c r="G613" s="3130" t="s">
        <v>1442</v>
      </c>
      <c r="H613" s="3130"/>
      <c r="I613" s="290" t="s">
        <v>133</v>
      </c>
      <c r="J613" s="291">
        <f>D537*E537*F514*F596</f>
        <v>0</v>
      </c>
      <c r="K613" s="2433">
        <f>'Прайс лист'!G1630</f>
        <v>400</v>
      </c>
      <c r="L613" s="2433">
        <f t="shared" ref="L613:L626" si="22">J613*K613</f>
        <v>0</v>
      </c>
      <c r="M613" s="2381"/>
    </row>
    <row r="614" spans="1:13" ht="16">
      <c r="A614" s="306" t="str">
        <f>'Прайс лист'!B167</f>
        <v>ПГС, машина 13м3</v>
      </c>
      <c r="B614" s="290" t="s">
        <v>140</v>
      </c>
      <c r="C614" s="291">
        <f>C579*D537*E537*D578*F514*F515*F594</f>
        <v>0</v>
      </c>
      <c r="D614" s="2433">
        <f>'Прайс лист'!G167</f>
        <v>10000</v>
      </c>
      <c r="E614" s="2433">
        <f t="shared" si="21"/>
        <v>0</v>
      </c>
      <c r="F614" s="2263"/>
      <c r="G614" s="3130" t="s">
        <v>1441</v>
      </c>
      <c r="H614" s="3130"/>
      <c r="I614" s="290" t="s">
        <v>133</v>
      </c>
      <c r="J614" s="291">
        <f>J613*E537*F514*F596</f>
        <v>0</v>
      </c>
      <c r="K614" s="2433">
        <f>'Прайс лист'!G1629</f>
        <v>600</v>
      </c>
      <c r="L614" s="2433">
        <f t="shared" si="22"/>
        <v>0</v>
      </c>
      <c r="M614" s="2381"/>
    </row>
    <row r="615" spans="1:13" ht="16">
      <c r="A615" s="306" t="str">
        <f>'Прайс лист'!B171</f>
        <v>Песок, машина 13м3</v>
      </c>
      <c r="B615" s="290" t="s">
        <v>140</v>
      </c>
      <c r="C615" s="291">
        <f>C581*D537*E537*D578*F514*F515*F594</f>
        <v>0</v>
      </c>
      <c r="D615" s="2433">
        <f>'Прайс лист'!G171</f>
        <v>12000</v>
      </c>
      <c r="E615" s="2433">
        <f t="shared" si="21"/>
        <v>0</v>
      </c>
      <c r="F615" s="2263"/>
      <c r="G615" s="3130" t="s">
        <v>1440</v>
      </c>
      <c r="H615" s="3130"/>
      <c r="I615" s="290" t="s">
        <v>133</v>
      </c>
      <c r="J615" s="291">
        <f>J613*E537*F514*F596</f>
        <v>0</v>
      </c>
      <c r="K615" s="2433">
        <f>'Прайс лист'!G1628</f>
        <v>350</v>
      </c>
      <c r="L615" s="2433">
        <f t="shared" si="22"/>
        <v>0</v>
      </c>
      <c r="M615" s="2381"/>
    </row>
    <row r="616" spans="1:13" ht="16">
      <c r="A616" s="306" t="str">
        <f>'Прайс лист'!B791</f>
        <v>Геотекстиль</v>
      </c>
      <c r="B616" s="290" t="s">
        <v>133</v>
      </c>
      <c r="C616" s="291">
        <f>D537*1.15*E537*D578*F514*F515*F594</f>
        <v>0</v>
      </c>
      <c r="D616" s="2433">
        <f>'Прайс лист'!G791</f>
        <v>100</v>
      </c>
      <c r="E616" s="2433">
        <f t="shared" si="21"/>
        <v>0</v>
      </c>
      <c r="F616" s="2263"/>
      <c r="G616" s="3130" t="s">
        <v>1456</v>
      </c>
      <c r="H616" s="3130"/>
      <c r="I616" s="290" t="s">
        <v>133</v>
      </c>
      <c r="J616" s="291">
        <f>J613*E537*F514*F596</f>
        <v>0</v>
      </c>
      <c r="K616" s="2433">
        <f>'Прайс лист'!G1645</f>
        <v>200</v>
      </c>
      <c r="L616" s="2433">
        <f t="shared" si="22"/>
        <v>0</v>
      </c>
      <c r="M616" s="2381"/>
    </row>
    <row r="617" spans="1:13" ht="16">
      <c r="A617" s="306" t="str">
        <f>'Ввод данных'!A872</f>
        <v>Плитный,28кг/м3, технониколь, 100мм</v>
      </c>
      <c r="B617" s="290" t="s">
        <v>135</v>
      </c>
      <c r="C617" s="291">
        <f>D537*E537*D578*F514*F515*F594*VLOOKUP(A617,'Прайс лист'!B744:G782,3,0)</f>
        <v>0</v>
      </c>
      <c r="D617" s="2433">
        <f>VLOOKUP(A617,'Прайс лист'!B744:G782,6,0)</f>
        <v>1700</v>
      </c>
      <c r="E617" s="2433">
        <f t="shared" si="21"/>
        <v>0</v>
      </c>
      <c r="F617" s="2263"/>
      <c r="G617" s="3130" t="s">
        <v>4120</v>
      </c>
      <c r="H617" s="3130"/>
      <c r="I617" s="290" t="s">
        <v>133</v>
      </c>
      <c r="J617" s="291">
        <f>J613*E537*F514*F596</f>
        <v>0</v>
      </c>
      <c r="K617" s="2433">
        <f>'Прайс лист'!G1621</f>
        <v>200</v>
      </c>
      <c r="L617" s="2433">
        <f t="shared" si="22"/>
        <v>0</v>
      </c>
      <c r="M617" s="2381"/>
    </row>
    <row r="618" spans="1:13" ht="16">
      <c r="A618" s="306" t="str">
        <f>A598</f>
        <v xml:space="preserve">Пленка гидроизоляционная </v>
      </c>
      <c r="B618" s="290" t="s">
        <v>133</v>
      </c>
      <c r="C618" s="291">
        <f>C616*E537*D578*F514*F515*F594</f>
        <v>0</v>
      </c>
      <c r="D618" s="2433">
        <f>D598</f>
        <v>15</v>
      </c>
      <c r="E618" s="2433">
        <f t="shared" si="21"/>
        <v>0</v>
      </c>
      <c r="F618" s="2263"/>
      <c r="G618" s="3130" t="s">
        <v>4083</v>
      </c>
      <c r="H618" s="3130"/>
      <c r="I618" s="290" t="s">
        <v>133</v>
      </c>
      <c r="J618" s="291">
        <f>J613*D588*E537*F514*F596</f>
        <v>0</v>
      </c>
      <c r="K618" s="2433">
        <f>'Прайс лист'!G1619</f>
        <v>10</v>
      </c>
      <c r="L618" s="2433">
        <f t="shared" si="22"/>
        <v>0</v>
      </c>
      <c r="M618" s="2381"/>
    </row>
    <row r="619" spans="1:13" ht="16">
      <c r="A619" s="306" t="str">
        <f>'Прайс лист'!B211</f>
        <v>Кладочная сетка, 100*100/150*150/200*200мм</v>
      </c>
      <c r="B619" s="290" t="s">
        <v>133</v>
      </c>
      <c r="C619" s="291">
        <f>D537*D588*1.1*E537*D578*F514*F515*F594</f>
        <v>0</v>
      </c>
      <c r="D619" s="2433">
        <f>'Прайс лист'!G211</f>
        <v>70</v>
      </c>
      <c r="E619" s="2433">
        <f t="shared" si="21"/>
        <v>0</v>
      </c>
      <c r="F619" s="2263"/>
      <c r="G619" s="3130" t="s">
        <v>4121</v>
      </c>
      <c r="H619" s="3130"/>
      <c r="I619" s="290" t="s">
        <v>133</v>
      </c>
      <c r="J619" s="291">
        <f>J613*D588*E537*F514*F596</f>
        <v>0</v>
      </c>
      <c r="K619" s="2433">
        <f>'Прайс лист'!G1635</f>
        <v>100</v>
      </c>
      <c r="L619" s="2433">
        <f t="shared" si="22"/>
        <v>0</v>
      </c>
      <c r="M619" s="2381"/>
    </row>
    <row r="620" spans="1:13" ht="16">
      <c r="A620" s="306" t="str">
        <f>'Прайс лист'!B213</f>
        <v>Стяжки пластиковые</v>
      </c>
      <c r="B620" s="290" t="s">
        <v>159</v>
      </c>
      <c r="C620" s="291">
        <f>C619*2*E537*D578*F514*F515*F594</f>
        <v>0</v>
      </c>
      <c r="D620" s="2433">
        <f>'Прайс лист'!G213</f>
        <v>2</v>
      </c>
      <c r="E620" s="2433">
        <f t="shared" si="21"/>
        <v>0</v>
      </c>
      <c r="F620" s="2263"/>
      <c r="G620" s="3130" t="s">
        <v>1454</v>
      </c>
      <c r="H620" s="3130"/>
      <c r="I620" s="290" t="s">
        <v>133</v>
      </c>
      <c r="J620" s="291">
        <f>J613*D588*E537*F514*F596</f>
        <v>0</v>
      </c>
      <c r="K620" s="2433">
        <f>'Прайс лист'!G1643</f>
        <v>600</v>
      </c>
      <c r="L620" s="2433">
        <f t="shared" si="22"/>
        <v>0</v>
      </c>
      <c r="M620" s="2381"/>
    </row>
    <row r="621" spans="1:13" ht="16">
      <c r="A621" s="306" t="str">
        <f>A620</f>
        <v>Стяжки пластиковые</v>
      </c>
      <c r="B621" s="290" t="s">
        <v>159</v>
      </c>
      <c r="C621" s="291">
        <f>C588*D588*2*E537*D578*F514*F515*F594</f>
        <v>0</v>
      </c>
      <c r="D621" s="2433">
        <f>D620</f>
        <v>2</v>
      </c>
      <c r="E621" s="2433">
        <f t="shared" si="21"/>
        <v>0</v>
      </c>
      <c r="F621" s="2263"/>
      <c r="G621" s="3130" t="s">
        <v>1459</v>
      </c>
      <c r="H621" s="3130"/>
      <c r="I621" s="290" t="s">
        <v>159</v>
      </c>
      <c r="J621" s="291">
        <f>C589*D589*E537*F514*F596</f>
        <v>0</v>
      </c>
      <c r="K621" s="2433">
        <f>'Прайс лист'!G1648</f>
        <v>1000</v>
      </c>
      <c r="L621" s="2433">
        <f t="shared" si="22"/>
        <v>0</v>
      </c>
      <c r="M621" s="2381"/>
    </row>
    <row r="622" spans="1:13" ht="16">
      <c r="A622" s="306" t="str">
        <f>'Ввод данных'!A878</f>
        <v>Труба теплого пола 3</v>
      </c>
      <c r="B622" s="290" t="s">
        <v>1415</v>
      </c>
      <c r="C622" s="291">
        <f>C588*D588*E537*D578*F514*F515*F594</f>
        <v>0</v>
      </c>
      <c r="D622" s="2433">
        <f>VLOOKUP(A622,'Прайс лист'!B1083:G1091,6,0)</f>
        <v>60</v>
      </c>
      <c r="E622" s="2433">
        <f t="shared" si="21"/>
        <v>0</v>
      </c>
      <c r="F622" s="2263"/>
      <c r="G622" s="3130" t="s">
        <v>4122</v>
      </c>
      <c r="H622" s="3130"/>
      <c r="I622" s="290" t="s">
        <v>133</v>
      </c>
      <c r="J622" s="291">
        <f>D537*E537*F514*F596</f>
        <v>0</v>
      </c>
      <c r="K622" s="2433">
        <f>'Прайс лист'!G1600</f>
        <v>300</v>
      </c>
      <c r="L622" s="2433">
        <f t="shared" si="22"/>
        <v>0</v>
      </c>
      <c r="M622" s="2381"/>
    </row>
    <row r="623" spans="1:13" ht="16">
      <c r="A623" s="306" t="str">
        <f>'Ввод данных'!A879</f>
        <v>Коллектор 6</v>
      </c>
      <c r="B623" s="290" t="s">
        <v>159</v>
      </c>
      <c r="C623" s="291">
        <f>C589*D589*E537*D578*F514*F515*F594</f>
        <v>0</v>
      </c>
      <c r="D623" s="2433">
        <f>VLOOKUP(A623,'Прайс лист'!B1092:G1099,6,0)</f>
        <v>15000</v>
      </c>
      <c r="E623" s="2433">
        <f t="shared" si="21"/>
        <v>0</v>
      </c>
      <c r="F623" s="2263"/>
      <c r="G623" s="3130" t="s">
        <v>4123</v>
      </c>
      <c r="H623" s="3130"/>
      <c r="I623" s="290" t="s">
        <v>156</v>
      </c>
      <c r="J623" s="291">
        <f>C590*D590*E537*F514*F596</f>
        <v>0</v>
      </c>
      <c r="K623" s="2433">
        <f>'Прайс лист'!G1646</f>
        <v>200</v>
      </c>
      <c r="L623" s="2433">
        <f t="shared" si="22"/>
        <v>0</v>
      </c>
      <c r="M623" s="2381"/>
    </row>
    <row r="624" spans="1:13" ht="16">
      <c r="A624" s="306" t="str">
        <f>'Прайс лист'!B205</f>
        <v>Арматура стальная Ø 10 </v>
      </c>
      <c r="B624" s="290" t="s">
        <v>156</v>
      </c>
      <c r="C624" s="291">
        <f>C587*E537*D578*F514*F515*F594</f>
        <v>0</v>
      </c>
      <c r="D624" s="2433">
        <f>'Прайс лист'!G205</f>
        <v>21.0397</v>
      </c>
      <c r="E624" s="2433">
        <f t="shared" si="21"/>
        <v>0</v>
      </c>
      <c r="F624" s="2263"/>
      <c r="G624" s="306" t="s">
        <v>4124</v>
      </c>
      <c r="H624" s="306"/>
      <c r="I624" s="290" t="s">
        <v>159</v>
      </c>
      <c r="J624" s="291">
        <f>C591*D591*E537*F514*F596</f>
        <v>0</v>
      </c>
      <c r="K624" s="2433">
        <f>'Прайс лист'!G1647</f>
        <v>300</v>
      </c>
      <c r="L624" s="2433">
        <f t="shared" si="22"/>
        <v>0</v>
      </c>
      <c r="M624" s="2381"/>
    </row>
    <row r="625" spans="1:13" ht="16">
      <c r="A625" s="306" t="str">
        <f>A602</f>
        <v>Вязальная проволока</v>
      </c>
      <c r="B625" s="290" t="s">
        <v>188</v>
      </c>
      <c r="C625" s="291">
        <f>C624/100*E537*D578*F514*F515*F594</f>
        <v>0</v>
      </c>
      <c r="D625" s="2433">
        <f>D602</f>
        <v>80</v>
      </c>
      <c r="E625" s="2433">
        <f t="shared" si="21"/>
        <v>0</v>
      </c>
      <c r="F625" s="2263"/>
      <c r="G625" s="3130" t="s">
        <v>4125</v>
      </c>
      <c r="H625" s="3130"/>
      <c r="I625" s="290" t="s">
        <v>133</v>
      </c>
      <c r="J625" s="291">
        <f>D537*E537*F596*F514</f>
        <v>0</v>
      </c>
      <c r="K625" s="2433">
        <f>'Прайс лист'!G1605</f>
        <v>350</v>
      </c>
      <c r="L625" s="2433">
        <f t="shared" si="22"/>
        <v>0</v>
      </c>
      <c r="M625" s="2381"/>
    </row>
    <row r="626" spans="1:13" ht="16">
      <c r="A626" s="306" t="str">
        <f>'Прайс лист'!B214</f>
        <v>Подставка под арматурный каркас</v>
      </c>
      <c r="B626" s="290" t="s">
        <v>159</v>
      </c>
      <c r="C626" s="291">
        <f>D537*3*E537*D578*F514*F515*F594</f>
        <v>0</v>
      </c>
      <c r="D626" s="2433">
        <f>'Прайс лист'!G214</f>
        <v>5</v>
      </c>
      <c r="E626" s="2433">
        <f t="shared" si="21"/>
        <v>0</v>
      </c>
      <c r="F626" s="2263"/>
      <c r="G626" s="2488" t="s">
        <v>4126</v>
      </c>
      <c r="H626" s="132"/>
      <c r="I626" s="290" t="s">
        <v>156</v>
      </c>
      <c r="J626" s="291">
        <f>C629*D578*F596</f>
        <v>0</v>
      </c>
      <c r="K626" s="2433">
        <f>'Прайс лист'!G1649</f>
        <v>100</v>
      </c>
      <c r="L626" s="2433">
        <f t="shared" si="22"/>
        <v>0</v>
      </c>
      <c r="M626" s="2381"/>
    </row>
    <row r="627" spans="1:13" ht="16">
      <c r="A627" s="306" t="str">
        <f>'Ввод данных'!A880</f>
        <v>труба дренажная d90 с перфорацией, в фильтре</v>
      </c>
      <c r="B627" s="290" t="s">
        <v>159</v>
      </c>
      <c r="C627" s="291">
        <f>C590*D590*E537*D578*F514*F515</f>
        <v>0</v>
      </c>
      <c r="D627" s="2433">
        <f>VLOOKUP(A627,'Прайс лист'!B1103:G1119,6,0)</f>
        <v>95</v>
      </c>
      <c r="E627" s="2433">
        <f t="shared" si="21"/>
        <v>0</v>
      </c>
      <c r="F627" s="2263"/>
      <c r="G627" s="2488"/>
      <c r="H627" s="2488"/>
      <c r="I627" s="2488"/>
      <c r="J627" s="291"/>
      <c r="K627" s="291"/>
      <c r="L627" s="291"/>
      <c r="M627" s="2381"/>
    </row>
    <row r="628" spans="1:13" ht="16">
      <c r="A628" s="306" t="str">
        <f>'Ввод данных'!A881</f>
        <v>Дренажный колодец D400</v>
      </c>
      <c r="B628" s="290" t="s">
        <v>159</v>
      </c>
      <c r="C628" s="291">
        <f>C591*D591*E537*D578*F514*F515</f>
        <v>0</v>
      </c>
      <c r="D628" s="2433">
        <f>VLOOKUP(A628,'Прайс лист'!B1124:G1127,6,0)</f>
        <v>2500</v>
      </c>
      <c r="E628" s="2433">
        <f t="shared" si="21"/>
        <v>0</v>
      </c>
      <c r="F628" s="2263"/>
      <c r="G628" s="2488"/>
      <c r="H628" s="2488"/>
      <c r="I628" s="2488"/>
      <c r="J628" s="291"/>
      <c r="K628" s="291"/>
      <c r="L628" s="291"/>
      <c r="M628" s="2381"/>
    </row>
    <row r="629" spans="1:13" ht="16">
      <c r="A629" s="2488" t="str">
        <f>'Прайс лист'!B217</f>
        <v>Демпферная лента</v>
      </c>
      <c r="B629" s="2493" t="s">
        <v>156</v>
      </c>
      <c r="C629" s="291">
        <f>((D519+D520*2)*E519+(D526+D527*2)*E526)*E537*D578*F514*F515*F594</f>
        <v>0</v>
      </c>
      <c r="D629" s="2433">
        <f>'Прайс лист'!G217</f>
        <v>50</v>
      </c>
      <c r="E629" s="2433">
        <f t="shared" si="21"/>
        <v>0</v>
      </c>
      <c r="F629" s="2263"/>
      <c r="G629" s="306"/>
      <c r="H629" s="306"/>
      <c r="I629" s="291"/>
      <c r="J629" s="291"/>
      <c r="K629" s="291"/>
      <c r="L629" s="291"/>
      <c r="M629" s="2381"/>
    </row>
    <row r="630" spans="1:13" ht="16">
      <c r="A630" s="306" t="str">
        <f>'Прайс лист'!B228</f>
        <v>Бетон, м350</v>
      </c>
      <c r="B630" s="290" t="s">
        <v>135</v>
      </c>
      <c r="C630" s="291">
        <f>D537*E537*C583*E537*D578*F514*F515*F594</f>
        <v>0</v>
      </c>
      <c r="D630" s="2433">
        <f>'Прайс лист'!G228</f>
        <v>3500</v>
      </c>
      <c r="E630" s="2433">
        <f t="shared" si="21"/>
        <v>0</v>
      </c>
      <c r="F630" s="2263"/>
      <c r="G630" s="2488"/>
      <c r="H630" s="2488"/>
      <c r="I630" s="2488"/>
      <c r="J630" s="291"/>
      <c r="K630" s="291"/>
      <c r="L630" s="291"/>
      <c r="M630" s="2381"/>
    </row>
    <row r="631" spans="1:13" ht="16">
      <c r="A631" s="2468"/>
      <c r="B631" s="2225"/>
      <c r="C631" s="2225"/>
      <c r="D631" s="2225"/>
      <c r="E631" s="291">
        <f>SUM(E613:E630)</f>
        <v>0</v>
      </c>
      <c r="F631" s="2263"/>
      <c r="G631" s="2468"/>
      <c r="H631" s="2225"/>
      <c r="I631" s="2225"/>
      <c r="J631" s="2225"/>
      <c r="K631" s="2225"/>
      <c r="L631" s="132">
        <f>SUM(L613:L630)</f>
        <v>0</v>
      </c>
      <c r="M631" s="2381"/>
    </row>
    <row r="632" spans="1:13" ht="16">
      <c r="A632" s="275" t="s">
        <v>4059</v>
      </c>
      <c r="B632" s="275">
        <f>E631</f>
        <v>0</v>
      </c>
      <c r="C632" s="2224"/>
      <c r="D632" s="2224"/>
      <c r="E632" s="2225"/>
      <c r="F632" s="2224"/>
      <c r="G632" s="2224"/>
      <c r="H632" s="2224"/>
      <c r="I632" s="2224"/>
      <c r="J632" s="2224"/>
      <c r="K632" s="2225"/>
      <c r="L632" s="2470"/>
      <c r="M632" s="2381"/>
    </row>
    <row r="633" spans="1:13" ht="16">
      <c r="A633" s="275" t="s">
        <v>4060</v>
      </c>
      <c r="B633" s="275">
        <f>L631</f>
        <v>0</v>
      </c>
      <c r="C633" s="2381"/>
      <c r="D633" s="2381"/>
      <c r="E633" s="2381"/>
      <c r="F633" s="2381"/>
      <c r="G633" s="2381"/>
      <c r="H633" s="2225"/>
      <c r="I633" s="2225"/>
      <c r="J633" s="2225"/>
      <c r="K633" s="2225"/>
      <c r="L633" s="2470"/>
      <c r="M633" s="2381"/>
    </row>
    <row r="634" spans="1:13" ht="16">
      <c r="A634" s="275" t="s">
        <v>4061</v>
      </c>
      <c r="B634" s="275">
        <f>SUM(B632:B633)</f>
        <v>0</v>
      </c>
      <c r="C634" s="2381"/>
      <c r="D634" s="2381"/>
      <c r="E634" s="2381"/>
      <c r="F634" s="2381"/>
      <c r="G634" s="2381"/>
      <c r="H634" s="2470"/>
      <c r="I634" s="2470"/>
      <c r="J634" s="2470"/>
      <c r="K634" s="2470"/>
      <c r="L634" s="2470"/>
      <c r="M634" s="2381"/>
    </row>
    <row r="635" spans="1:13" ht="16">
      <c r="A635" s="3206" t="s">
        <v>4119</v>
      </c>
      <c r="B635" s="3206"/>
      <c r="C635" s="3206"/>
      <c r="D635" s="3206"/>
      <c r="E635" s="3206"/>
      <c r="F635" s="3206"/>
      <c r="G635" s="3206"/>
      <c r="H635" s="3206"/>
      <c r="I635" s="3206"/>
      <c r="J635" s="3206"/>
      <c r="K635" s="3206"/>
      <c r="L635" s="3206"/>
      <c r="M635" s="2381"/>
    </row>
    <row r="636" spans="1:13" ht="16">
      <c r="A636" s="3238" t="s">
        <v>4127</v>
      </c>
      <c r="B636" s="3238"/>
      <c r="C636" s="3238"/>
      <c r="D636" s="3238"/>
      <c r="E636" s="3238"/>
      <c r="F636" s="3238"/>
      <c r="G636" s="3238"/>
      <c r="H636" s="3238"/>
      <c r="I636" s="3238"/>
      <c r="J636" s="3238"/>
      <c r="K636" s="3238"/>
      <c r="L636" s="3238"/>
      <c r="M636" s="2381"/>
    </row>
    <row r="637" spans="1:13" ht="16">
      <c r="A637" s="2341" t="s">
        <v>1236</v>
      </c>
      <c r="B637" s="2341" t="s">
        <v>208</v>
      </c>
      <c r="C637" s="2341" t="s">
        <v>1802</v>
      </c>
      <c r="D637" s="2341" t="s">
        <v>4117</v>
      </c>
      <c r="E637" s="2341" t="s">
        <v>3696</v>
      </c>
      <c r="F637" s="2286"/>
      <c r="G637" s="2491" t="s">
        <v>1236</v>
      </c>
      <c r="H637" s="2492"/>
      <c r="I637" s="2341" t="s">
        <v>208</v>
      </c>
      <c r="J637" s="2341" t="s">
        <v>1802</v>
      </c>
      <c r="K637" s="2341" t="s">
        <v>4117</v>
      </c>
      <c r="L637" s="2341" t="s">
        <v>3696</v>
      </c>
      <c r="M637" s="2419"/>
    </row>
    <row r="638" spans="1:13" ht="16">
      <c r="A638" s="2359" t="str">
        <f>'Прайс лист'!B218</f>
        <v xml:space="preserve">Праймер для обработки </v>
      </c>
      <c r="B638" s="2341" t="s">
        <v>396</v>
      </c>
      <c r="C638" s="2341">
        <f>D543/1.5*E517*F514*F515*F594</f>
        <v>0</v>
      </c>
      <c r="D638" s="2341">
        <f>'Прайс лист'!G218</f>
        <v>100</v>
      </c>
      <c r="E638" s="2341">
        <f t="shared" ref="E638:E651" si="23">C638*D638</f>
        <v>0</v>
      </c>
      <c r="F638" s="2286"/>
      <c r="G638" s="2491" t="s">
        <v>1461</v>
      </c>
      <c r="H638" s="2492"/>
      <c r="I638" s="2341" t="s">
        <v>133</v>
      </c>
      <c r="J638" s="2341">
        <f>D543*E517*F514*F596</f>
        <v>0</v>
      </c>
      <c r="K638" s="2341">
        <f>'Прайс лист'!G1650</f>
        <v>200</v>
      </c>
      <c r="L638" s="2341">
        <f t="shared" ref="L638:L646" si="24">J638*K638</f>
        <v>0</v>
      </c>
      <c r="M638" s="2381"/>
    </row>
    <row r="639" spans="1:13" ht="16">
      <c r="A639" s="275" t="str">
        <f>A599</f>
        <v>Гидроизол</v>
      </c>
      <c r="B639" s="99" t="s">
        <v>133</v>
      </c>
      <c r="C639" s="99">
        <f>C638*1.1*E517*F514*F515*F594</f>
        <v>0</v>
      </c>
      <c r="D639" s="2341">
        <f>D599</f>
        <v>70</v>
      </c>
      <c r="E639" s="2341">
        <f t="shared" si="23"/>
        <v>0</v>
      </c>
      <c r="F639" s="941"/>
      <c r="G639" s="2258" t="s">
        <v>1438</v>
      </c>
      <c r="H639" s="2259"/>
      <c r="I639" s="99" t="s">
        <v>133</v>
      </c>
      <c r="J639" s="99">
        <f>C639*E517*F514*F596</f>
        <v>0</v>
      </c>
      <c r="K639" s="2341">
        <f>'Прайс лист'!G1626</f>
        <v>100</v>
      </c>
      <c r="L639" s="2341">
        <f t="shared" si="24"/>
        <v>0</v>
      </c>
      <c r="M639" s="2381"/>
    </row>
    <row r="640" spans="1:13" ht="16">
      <c r="A640" s="275" t="str">
        <f>'Прайс лист'!B219</f>
        <v>Мастика битумная</v>
      </c>
      <c r="B640" s="99" t="s">
        <v>188</v>
      </c>
      <c r="C640" s="99">
        <f>C639/10*E517*F514*F515*F594</f>
        <v>0</v>
      </c>
      <c r="D640" s="2341">
        <f>'Прайс лист'!G219</f>
        <v>100</v>
      </c>
      <c r="E640" s="2341">
        <f t="shared" si="23"/>
        <v>0</v>
      </c>
      <c r="F640" s="941"/>
      <c r="G640" s="2258" t="str">
        <f>'Прайс лист'!B1652</f>
        <v>Кладка блоков ФБС</v>
      </c>
      <c r="H640" s="2261"/>
      <c r="I640" s="99" t="s">
        <v>135</v>
      </c>
      <c r="J640" s="99">
        <f>C641*E517*F514*F596</f>
        <v>0</v>
      </c>
      <c r="K640" s="2341">
        <f>'Прайс лист'!G1652</f>
        <v>1000</v>
      </c>
      <c r="L640" s="2341">
        <f t="shared" si="24"/>
        <v>0</v>
      </c>
      <c r="M640" s="2381"/>
    </row>
    <row r="641" spans="1:13" ht="16">
      <c r="A641" s="98" t="str">
        <f>'Прайс лист'!B162</f>
        <v>Блоки ФБС</v>
      </c>
      <c r="B641" s="99" t="s">
        <v>135</v>
      </c>
      <c r="C641" s="99">
        <f>E521*E517*F514*F515*F594</f>
        <v>0</v>
      </c>
      <c r="D641" s="2341">
        <f>'Прайс лист'!G162</f>
        <v>1200</v>
      </c>
      <c r="E641" s="2341">
        <f t="shared" si="23"/>
        <v>0</v>
      </c>
      <c r="F641" s="2286"/>
      <c r="G641" s="3130" t="s">
        <v>4121</v>
      </c>
      <c r="H641" s="3130"/>
      <c r="I641" s="290" t="s">
        <v>133</v>
      </c>
      <c r="J641" s="99">
        <f>C642*E517*F514*F596</f>
        <v>0</v>
      </c>
      <c r="K641" s="2341">
        <f>'Прайс лист'!G1635</f>
        <v>100</v>
      </c>
      <c r="L641" s="2341">
        <f t="shared" si="24"/>
        <v>0</v>
      </c>
      <c r="M641" s="2419"/>
    </row>
    <row r="642" spans="1:13" ht="16">
      <c r="A642" s="306" t="str">
        <f>'Прайс лист'!B211</f>
        <v>Кладочная сетка, 100*100/150*150/200*200мм</v>
      </c>
      <c r="B642" s="290" t="s">
        <v>133</v>
      </c>
      <c r="C642" s="290">
        <f>D536/0.6*D522*E517*E517*F514*F515*F594</f>
        <v>0</v>
      </c>
      <c r="D642" s="2341">
        <f>'Прайс лист'!G211</f>
        <v>70</v>
      </c>
      <c r="E642" s="2341">
        <f t="shared" si="23"/>
        <v>0</v>
      </c>
      <c r="F642" s="2263"/>
      <c r="G642" s="2488" t="s">
        <v>1462</v>
      </c>
      <c r="H642" s="2488"/>
      <c r="I642" s="290" t="s">
        <v>133</v>
      </c>
      <c r="J642" s="290">
        <f>D519*D536*E517*F514*F596</f>
        <v>0</v>
      </c>
      <c r="K642" s="2341">
        <f>'Прайс лист'!G1651</f>
        <v>200</v>
      </c>
      <c r="L642" s="2341">
        <f t="shared" si="24"/>
        <v>0</v>
      </c>
      <c r="M642" s="2381"/>
    </row>
    <row r="643" spans="1:13" ht="16">
      <c r="A643" s="275" t="str">
        <f>'Прайс лист'!B212</f>
        <v>Вязальная проволока</v>
      </c>
      <c r="B643" s="99" t="s">
        <v>188</v>
      </c>
      <c r="C643" s="99">
        <f>C642/20*E517*F514*F515*F594</f>
        <v>0</v>
      </c>
      <c r="D643" s="2341">
        <f>'Прайс лист'!G212</f>
        <v>80</v>
      </c>
      <c r="E643" s="2341">
        <f t="shared" si="23"/>
        <v>0</v>
      </c>
      <c r="F643" s="941"/>
      <c r="G643" s="3130" t="str">
        <f>'Прайс лист'!B1613</f>
        <v>Монтаж утеплителя стен наружних</v>
      </c>
      <c r="H643" s="3130"/>
      <c r="I643" s="2493" t="s">
        <v>133</v>
      </c>
      <c r="J643" s="99">
        <f>J642*E541*E517*F514*F596</f>
        <v>0</v>
      </c>
      <c r="K643" s="2341">
        <f>'Прайс лист'!G1613</f>
        <v>200</v>
      </c>
      <c r="L643" s="2341">
        <f t="shared" si="24"/>
        <v>0</v>
      </c>
      <c r="M643" s="2381"/>
    </row>
    <row r="644" spans="1:13" ht="16">
      <c r="A644" s="2301" t="str">
        <f>'Прайс лист'!B230</f>
        <v>Раствор, м250</v>
      </c>
      <c r="B644" s="1171" t="s">
        <v>135</v>
      </c>
      <c r="C644" s="1171">
        <f>C642*0.015*(D521/0.43*0.015)*E517*F514*F594</f>
        <v>0</v>
      </c>
      <c r="D644" s="2341">
        <f>'Прайс лист'!G230</f>
        <v>2500</v>
      </c>
      <c r="E644" s="2341">
        <f t="shared" si="23"/>
        <v>0</v>
      </c>
      <c r="F644" s="941"/>
      <c r="G644" s="2258" t="s">
        <v>1431</v>
      </c>
      <c r="H644" s="2261"/>
      <c r="I644" s="99" t="s">
        <v>133</v>
      </c>
      <c r="J644" s="1171">
        <f>E520*2*(D523+0.3)*E517*F514*F596</f>
        <v>0</v>
      </c>
      <c r="K644" s="2341">
        <f>'Прайс лист'!G1617</f>
        <v>300</v>
      </c>
      <c r="L644" s="2341">
        <f t="shared" si="24"/>
        <v>0</v>
      </c>
      <c r="M644" s="2381"/>
    </row>
    <row r="645" spans="1:13" ht="16">
      <c r="A645" s="2301" t="str">
        <f>A597</f>
        <v>Сосна влаж,150*40мм</v>
      </c>
      <c r="B645" s="1171" t="s">
        <v>135</v>
      </c>
      <c r="C645" s="1171">
        <f>E520*2*(D523+0.3)*0.05*1.3*E517*F514*F515*F594</f>
        <v>0</v>
      </c>
      <c r="D645" s="2341">
        <f>D597</f>
        <v>6500</v>
      </c>
      <c r="E645" s="2341">
        <f t="shared" si="23"/>
        <v>0</v>
      </c>
      <c r="F645" s="941"/>
      <c r="G645" s="2488" t="s">
        <v>1432</v>
      </c>
      <c r="H645" s="2488"/>
      <c r="I645" s="290" t="s">
        <v>133</v>
      </c>
      <c r="J645" s="1171">
        <f>E521*2*(D524+0.3)*E517*F596*F514</f>
        <v>0</v>
      </c>
      <c r="K645" s="2341">
        <f>'Прайс лист'!G1618</f>
        <v>100</v>
      </c>
      <c r="L645" s="2341">
        <f t="shared" si="24"/>
        <v>0</v>
      </c>
      <c r="M645" s="2381"/>
    </row>
    <row r="646" spans="1:13" ht="16">
      <c r="A646" s="2301" t="str">
        <f>'Прайс лист'!B205</f>
        <v>Арматура стальная Ø 10 </v>
      </c>
      <c r="B646" s="1171" t="s">
        <v>156</v>
      </c>
      <c r="C646" s="1171">
        <f>E524*F514*F515*F594*E517</f>
        <v>0</v>
      </c>
      <c r="D646" s="2341">
        <f>'Прайс лист'!G205</f>
        <v>21.0397</v>
      </c>
      <c r="E646" s="2341">
        <f t="shared" si="23"/>
        <v>0</v>
      </c>
      <c r="F646" s="941"/>
      <c r="G646" s="2488" t="s">
        <v>1443</v>
      </c>
      <c r="H646" s="2488"/>
      <c r="I646" s="2493" t="s">
        <v>135</v>
      </c>
      <c r="J646" s="1171">
        <f>C648*F514*F596*E517</f>
        <v>0</v>
      </c>
      <c r="K646" s="2341">
        <f>'Прайс лист'!G1605</f>
        <v>350</v>
      </c>
      <c r="L646" s="2341">
        <f t="shared" si="24"/>
        <v>0</v>
      </c>
      <c r="M646" s="2381"/>
    </row>
    <row r="647" spans="1:13" ht="16">
      <c r="A647" s="2301" t="str">
        <f>'Прайс лист'!B199</f>
        <v>Нет арматуры</v>
      </c>
      <c r="B647" s="1171" t="s">
        <v>156</v>
      </c>
      <c r="C647" s="1171">
        <f>E525*F514*F515*F594*E517</f>
        <v>0</v>
      </c>
      <c r="D647" s="2341">
        <f>'Прайс лист'!G199</f>
        <v>0</v>
      </c>
      <c r="E647" s="2341">
        <f t="shared" si="23"/>
        <v>0</v>
      </c>
      <c r="F647" s="941"/>
      <c r="G647" s="2494"/>
      <c r="H647" s="2494"/>
      <c r="I647" s="2301"/>
      <c r="J647" s="1171"/>
      <c r="K647" s="2301"/>
      <c r="L647" s="2301"/>
      <c r="M647" s="2381"/>
    </row>
    <row r="648" spans="1:13" ht="16">
      <c r="A648" s="2301" t="str">
        <f>'Прайс лист'!B227</f>
        <v>Бетон, м300</v>
      </c>
      <c r="B648" s="1171" t="s">
        <v>135</v>
      </c>
      <c r="C648" s="1171">
        <f>E523*E517*F514*F515*F594</f>
        <v>0</v>
      </c>
      <c r="D648" s="2341">
        <f>'Прайс лист'!G227</f>
        <v>3000</v>
      </c>
      <c r="E648" s="2341">
        <f t="shared" si="23"/>
        <v>0</v>
      </c>
      <c r="F648" s="941"/>
      <c r="G648" s="2494"/>
      <c r="H648" s="2494"/>
      <c r="I648" s="2301"/>
      <c r="J648" s="1171"/>
      <c r="K648" s="2301"/>
      <c r="L648" s="2301"/>
      <c r="M648" s="2381"/>
    </row>
    <row r="649" spans="1:13" ht="16">
      <c r="A649" s="2488" t="str">
        <f>'Прайс лист'!B218</f>
        <v xml:space="preserve">Праймер для обработки </v>
      </c>
      <c r="B649" s="2493" t="s">
        <v>396</v>
      </c>
      <c r="C649" s="2493">
        <f>D519*D536/1.5*E517*F514*F515*F594</f>
        <v>0</v>
      </c>
      <c r="D649" s="2341">
        <f>'Прайс лист'!G218</f>
        <v>100</v>
      </c>
      <c r="E649" s="2341">
        <f t="shared" si="23"/>
        <v>0</v>
      </c>
      <c r="F649" s="2471"/>
      <c r="G649" s="2488"/>
      <c r="H649" s="2488"/>
      <c r="I649" s="2488"/>
      <c r="J649" s="2493"/>
      <c r="K649" s="2488"/>
      <c r="L649" s="2488"/>
      <c r="M649" s="2381"/>
    </row>
    <row r="650" spans="1:13" ht="16">
      <c r="A650" s="2495" t="str">
        <f>'Ввод данных'!A877</f>
        <v>Плитный,28кг/м3, технониколь, 100мм</v>
      </c>
      <c r="B650" s="2493" t="s">
        <v>135</v>
      </c>
      <c r="C650" s="2493">
        <f>D519*D536*D541*E517*F514*F515*F594</f>
        <v>0</v>
      </c>
      <c r="D650" s="2341">
        <f>VLOOKUP(A650,'Прайс лист'!B744:G782,6,0)</f>
        <v>1700</v>
      </c>
      <c r="E650" s="2341">
        <f t="shared" si="23"/>
        <v>0</v>
      </c>
      <c r="F650" s="2471"/>
      <c r="G650" s="2488"/>
      <c r="H650" s="2488"/>
      <c r="I650" s="2488"/>
      <c r="J650" s="2493"/>
      <c r="K650" s="2488"/>
      <c r="L650" s="2488"/>
      <c r="M650" s="2381"/>
    </row>
    <row r="651" spans="1:13" ht="16">
      <c r="A651" s="2495" t="str">
        <f>'Прайс лист'!B783</f>
        <v>Грибок для крепления утеплителя</v>
      </c>
      <c r="B651" s="2493" t="s">
        <v>159</v>
      </c>
      <c r="C651" s="2493">
        <f>D519*D536*5*E517*F514*F515*F594</f>
        <v>0</v>
      </c>
      <c r="D651" s="2341">
        <f>'Прайс лист'!G783</f>
        <v>15</v>
      </c>
      <c r="E651" s="2341">
        <f t="shared" si="23"/>
        <v>0</v>
      </c>
      <c r="F651" s="2471"/>
      <c r="G651" s="98"/>
      <c r="H651" s="98"/>
      <c r="I651" s="2488"/>
      <c r="J651" s="2493"/>
      <c r="K651" s="2488"/>
      <c r="L651" s="2488"/>
      <c r="M651" s="2381"/>
    </row>
    <row r="652" spans="1:13" ht="16">
      <c r="A652" s="2468"/>
      <c r="B652" s="2225"/>
      <c r="C652" s="2225"/>
      <c r="D652" s="2225"/>
      <c r="E652" s="2496">
        <f>SUM(E638:E651)</f>
        <v>0</v>
      </c>
      <c r="F652" s="2263"/>
      <c r="G652" s="2468"/>
      <c r="H652" s="2225"/>
      <c r="I652" s="2225"/>
      <c r="J652" s="2497"/>
      <c r="K652" s="2225"/>
      <c r="L652" s="2254">
        <f>SUM(L638:L651)</f>
        <v>0</v>
      </c>
      <c r="M652" s="2381"/>
    </row>
    <row r="653" spans="1:13" ht="16">
      <c r="A653" s="275" t="s">
        <v>4059</v>
      </c>
      <c r="B653" s="275">
        <f>E652</f>
        <v>0</v>
      </c>
      <c r="C653" s="2224"/>
      <c r="D653" s="2224"/>
      <c r="E653" s="2225"/>
      <c r="F653" s="2224"/>
      <c r="G653" s="2224"/>
      <c r="H653" s="2224"/>
      <c r="I653" s="2224"/>
      <c r="J653" s="2224"/>
      <c r="K653" s="2225"/>
      <c r="L653" s="2470"/>
      <c r="M653" s="2381"/>
    </row>
    <row r="654" spans="1:13" ht="16">
      <c r="A654" s="275" t="s">
        <v>4060</v>
      </c>
      <c r="B654" s="275">
        <f>L652</f>
        <v>0</v>
      </c>
      <c r="C654" s="2224"/>
      <c r="D654" s="2224"/>
      <c r="E654" s="2225"/>
      <c r="F654" s="2224"/>
      <c r="G654" s="2468"/>
      <c r="H654" s="2225"/>
      <c r="I654" s="2225"/>
      <c r="J654" s="2225"/>
      <c r="K654" s="2225"/>
      <c r="L654" s="2470"/>
      <c r="M654" s="2381"/>
    </row>
    <row r="655" spans="1:13" ht="16">
      <c r="A655" s="275" t="s">
        <v>4061</v>
      </c>
      <c r="B655" s="275">
        <f>SUM(B653:B654)</f>
        <v>0</v>
      </c>
      <c r="C655" s="2470"/>
      <c r="D655" s="2470"/>
      <c r="E655" s="2470"/>
      <c r="F655" s="2470"/>
      <c r="G655" s="2470"/>
      <c r="H655" s="2470"/>
      <c r="I655" s="2470"/>
      <c r="J655" s="2470"/>
      <c r="K655" s="2470"/>
      <c r="L655" s="2470"/>
      <c r="M655" s="2381"/>
    </row>
    <row r="656" spans="1:13" ht="16">
      <c r="A656" s="3238" t="s">
        <v>4127</v>
      </c>
      <c r="B656" s="3238"/>
      <c r="C656" s="3238"/>
      <c r="D656" s="3238"/>
      <c r="E656" s="3238"/>
      <c r="F656" s="3238"/>
      <c r="G656" s="3238"/>
      <c r="H656" s="3238"/>
      <c r="I656" s="3238"/>
      <c r="J656" s="3238"/>
      <c r="K656" s="3238"/>
      <c r="L656" s="3238"/>
      <c r="M656" s="2381"/>
    </row>
    <row r="657" spans="1:13" ht="16">
      <c r="A657" s="3206" t="s">
        <v>4128</v>
      </c>
      <c r="B657" s="3206"/>
      <c r="C657" s="3206"/>
      <c r="D657" s="3206"/>
      <c r="E657" s="3206"/>
      <c r="F657" s="3206"/>
      <c r="G657" s="3206"/>
      <c r="H657" s="3206"/>
      <c r="I657" s="3206"/>
      <c r="J657" s="3206"/>
      <c r="K657" s="3206"/>
      <c r="L657" s="3206"/>
      <c r="M657" s="2381"/>
    </row>
    <row r="658" spans="1:13" ht="16">
      <c r="A658" s="2341" t="s">
        <v>1236</v>
      </c>
      <c r="B658" s="2341" t="s">
        <v>208</v>
      </c>
      <c r="C658" s="2341" t="s">
        <v>1802</v>
      </c>
      <c r="D658" s="2341" t="s">
        <v>4117</v>
      </c>
      <c r="E658" s="2341" t="s">
        <v>3696</v>
      </c>
      <c r="F658" s="2286"/>
      <c r="G658" s="2491" t="s">
        <v>1236</v>
      </c>
      <c r="H658" s="2492"/>
      <c r="I658" s="2341" t="s">
        <v>208</v>
      </c>
      <c r="J658" s="2341" t="s">
        <v>1802</v>
      </c>
      <c r="K658" s="2341" t="s">
        <v>4117</v>
      </c>
      <c r="L658" s="2341" t="s">
        <v>3696</v>
      </c>
      <c r="M658" s="2381"/>
    </row>
    <row r="659" spans="1:13" ht="16">
      <c r="A659" s="2359" t="str">
        <f>A638</f>
        <v xml:space="preserve">Праймер для обработки </v>
      </c>
      <c r="B659" s="2341" t="s">
        <v>396</v>
      </c>
      <c r="C659" s="2341">
        <f>E527*E518/1.5*F514*F515*F594</f>
        <v>0</v>
      </c>
      <c r="D659" s="2341">
        <f>D638</f>
        <v>100</v>
      </c>
      <c r="E659" s="2341">
        <f t="shared" ref="E659:E669" si="25">C659*D659</f>
        <v>0</v>
      </c>
      <c r="F659" s="2286"/>
      <c r="G659" s="2491" t="s">
        <v>1461</v>
      </c>
      <c r="H659" s="2492"/>
      <c r="I659" s="2341" t="s">
        <v>133</v>
      </c>
      <c r="J659" s="2341">
        <f>D543*F514*F596*E518</f>
        <v>0</v>
      </c>
      <c r="K659" s="2341">
        <f>K638</f>
        <v>200</v>
      </c>
      <c r="L659" s="2341">
        <f t="shared" ref="L659:L666" si="26">J659*K659</f>
        <v>0</v>
      </c>
      <c r="M659" s="2381"/>
    </row>
    <row r="660" spans="1:13" ht="16">
      <c r="A660" s="275" t="str">
        <f>A639</f>
        <v>Гидроизол</v>
      </c>
      <c r="B660" s="99" t="s">
        <v>133</v>
      </c>
      <c r="C660" s="99">
        <f>E527*E518*1.1*F514*F515*F594</f>
        <v>0</v>
      </c>
      <c r="D660" s="2341">
        <f>D639</f>
        <v>70</v>
      </c>
      <c r="E660" s="2341">
        <f t="shared" si="25"/>
        <v>0</v>
      </c>
      <c r="F660" s="941"/>
      <c r="G660" s="2258" t="s">
        <v>1438</v>
      </c>
      <c r="H660" s="2259"/>
      <c r="I660" s="99" t="s">
        <v>133</v>
      </c>
      <c r="J660" s="99">
        <f>J659*F514*F596*E518</f>
        <v>0</v>
      </c>
      <c r="K660" s="2341">
        <f>K639</f>
        <v>100</v>
      </c>
      <c r="L660" s="2341">
        <f t="shared" si="26"/>
        <v>0</v>
      </c>
      <c r="M660" s="2381"/>
    </row>
    <row r="661" spans="1:13" ht="16">
      <c r="A661" s="275" t="str">
        <f>A640</f>
        <v>Мастика битумная</v>
      </c>
      <c r="B661" s="99" t="s">
        <v>188</v>
      </c>
      <c r="C661" s="99">
        <f>C660/10*F514*F515*F594*E518</f>
        <v>0</v>
      </c>
      <c r="D661" s="2341">
        <f>D640</f>
        <v>100</v>
      </c>
      <c r="E661" s="2341">
        <f t="shared" si="25"/>
        <v>0</v>
      </c>
      <c r="F661" s="941"/>
      <c r="G661" s="2258" t="s">
        <v>4129</v>
      </c>
      <c r="H661" s="2261"/>
      <c r="I661" s="99" t="s">
        <v>156</v>
      </c>
      <c r="J661" s="99">
        <f>C664*F514*F596*E518</f>
        <v>0</v>
      </c>
      <c r="K661" s="2341">
        <f>'Прайс лист'!G1600</f>
        <v>300</v>
      </c>
      <c r="L661" s="2341">
        <f t="shared" si="26"/>
        <v>0</v>
      </c>
      <c r="M661" s="2381"/>
    </row>
    <row r="662" spans="1:13" ht="16">
      <c r="A662" s="275" t="str">
        <f>A645</f>
        <v>Сосна влаж,150*40мм</v>
      </c>
      <c r="B662" s="99" t="s">
        <v>135</v>
      </c>
      <c r="C662" s="99">
        <f>D528*2*D529*1.3*F514*F515*F594*E518</f>
        <v>0</v>
      </c>
      <c r="D662" s="2341">
        <f>D645</f>
        <v>6500</v>
      </c>
      <c r="E662" s="2341">
        <f t="shared" si="25"/>
        <v>0</v>
      </c>
      <c r="F662" s="941"/>
      <c r="G662" s="2258" t="s">
        <v>1431</v>
      </c>
      <c r="H662" s="2261"/>
      <c r="I662" s="99" t="s">
        <v>133</v>
      </c>
      <c r="J662" s="99">
        <f>D528*2*F514*F596*E518</f>
        <v>0</v>
      </c>
      <c r="K662" s="2341">
        <f>K644</f>
        <v>300</v>
      </c>
      <c r="L662" s="2341">
        <f t="shared" si="26"/>
        <v>0</v>
      </c>
      <c r="M662" s="2381"/>
    </row>
    <row r="663" spans="1:13" ht="16">
      <c r="A663" s="275" t="str">
        <f>'Прайс лист'!B220</f>
        <v>Крепления для опалубки</v>
      </c>
      <c r="B663" s="99" t="s">
        <v>159</v>
      </c>
      <c r="C663" s="99">
        <f>D528*20*F514*F515*F594*E518</f>
        <v>0</v>
      </c>
      <c r="D663" s="2341">
        <f>'Прайс лист'!G220</f>
        <v>20</v>
      </c>
      <c r="E663" s="2341">
        <f t="shared" si="25"/>
        <v>0</v>
      </c>
      <c r="F663" s="941"/>
      <c r="G663" s="2488" t="s">
        <v>1432</v>
      </c>
      <c r="H663" s="2488"/>
      <c r="I663" s="290" t="s">
        <v>133</v>
      </c>
      <c r="J663" s="99">
        <f>J662*F514*F596*E518</f>
        <v>0</v>
      </c>
      <c r="K663" s="2341">
        <f>K645</f>
        <v>100</v>
      </c>
      <c r="L663" s="2341">
        <f t="shared" si="26"/>
        <v>0</v>
      </c>
      <c r="M663" s="2381"/>
    </row>
    <row r="664" spans="1:13" ht="16">
      <c r="A664" s="98" t="str">
        <f>'Прайс лист'!B206</f>
        <v>Арматура стальная Ø 12</v>
      </c>
      <c r="B664" s="99" t="s">
        <v>156</v>
      </c>
      <c r="C664" s="99">
        <f>E527/D530*D536*2*D531*1.2*F514*F515*F594*E518</f>
        <v>0</v>
      </c>
      <c r="D664" s="2341">
        <f>'Прайс лист'!G206</f>
        <v>29.215199999999999</v>
      </c>
      <c r="E664" s="2341">
        <f t="shared" si="25"/>
        <v>0</v>
      </c>
      <c r="F664" s="2286"/>
      <c r="G664" s="2488" t="s">
        <v>1443</v>
      </c>
      <c r="H664" s="2488"/>
      <c r="I664" s="2493" t="s">
        <v>135</v>
      </c>
      <c r="J664" s="99">
        <f>C666*F514*F596*E518</f>
        <v>0</v>
      </c>
      <c r="K664" s="2341">
        <f>'Прайс лист'!G1631</f>
        <v>1200</v>
      </c>
      <c r="L664" s="2341">
        <f t="shared" si="26"/>
        <v>0</v>
      </c>
      <c r="M664" s="2381"/>
    </row>
    <row r="665" spans="1:13" ht="16">
      <c r="A665" s="275" t="str">
        <f>'Прайс лист'!B212</f>
        <v>Вязальная проволока</v>
      </c>
      <c r="B665" s="99" t="s">
        <v>188</v>
      </c>
      <c r="C665" s="99">
        <f>C664/60*F514*F515*F594*E518</f>
        <v>0</v>
      </c>
      <c r="D665" s="2341">
        <f>'Прайс лист'!G212</f>
        <v>80</v>
      </c>
      <c r="E665" s="2341">
        <f t="shared" si="25"/>
        <v>0</v>
      </c>
      <c r="F665" s="941"/>
      <c r="G665" s="2488" t="s">
        <v>1462</v>
      </c>
      <c r="H665" s="2488"/>
      <c r="I665" s="2493" t="s">
        <v>133</v>
      </c>
      <c r="J665" s="99">
        <f>D526*D536*F514*F596*E518</f>
        <v>0</v>
      </c>
      <c r="K665" s="2341">
        <f>K642</f>
        <v>200</v>
      </c>
      <c r="L665" s="2341">
        <f t="shared" si="26"/>
        <v>0</v>
      </c>
      <c r="M665" s="2381"/>
    </row>
    <row r="666" spans="1:13" ht="16">
      <c r="A666" s="2301" t="str">
        <f>'Прайс лист'!B227</f>
        <v>Бетон, м300</v>
      </c>
      <c r="B666" s="1171" t="s">
        <v>135</v>
      </c>
      <c r="C666" s="1171">
        <f>E528*F514*F594*E518</f>
        <v>0</v>
      </c>
      <c r="D666" s="2341">
        <f>'Прайс лист'!G227</f>
        <v>3000</v>
      </c>
      <c r="E666" s="2341">
        <f t="shared" si="25"/>
        <v>0</v>
      </c>
      <c r="F666" s="941"/>
      <c r="G666" s="98" t="s">
        <v>1444</v>
      </c>
      <c r="H666" s="98"/>
      <c r="I666" s="1171" t="s">
        <v>133</v>
      </c>
      <c r="J666" s="1171">
        <f>D526*D536*E541*F514*F596*E518</f>
        <v>0</v>
      </c>
      <c r="K666" s="2341">
        <f>K643</f>
        <v>200</v>
      </c>
      <c r="L666" s="2341">
        <f t="shared" si="26"/>
        <v>0</v>
      </c>
      <c r="M666" s="2381"/>
    </row>
    <row r="667" spans="1:13" ht="16">
      <c r="A667" s="2488" t="str">
        <f>A649</f>
        <v xml:space="preserve">Праймер для обработки </v>
      </c>
      <c r="B667" s="2493" t="s">
        <v>188</v>
      </c>
      <c r="C667" s="2493">
        <f>D526*D536/1.5*F514*F515*F594*E518</f>
        <v>0</v>
      </c>
      <c r="D667" s="2341">
        <f>D649</f>
        <v>100</v>
      </c>
      <c r="E667" s="2341">
        <f t="shared" si="25"/>
        <v>0</v>
      </c>
      <c r="F667" s="2471"/>
      <c r="G667" s="2488"/>
      <c r="H667" s="2488"/>
      <c r="I667" s="2488"/>
      <c r="J667" s="2488"/>
      <c r="K667" s="2488"/>
      <c r="L667" s="2493"/>
      <c r="M667" s="2381"/>
    </row>
    <row r="668" spans="1:13" ht="16">
      <c r="A668" s="2495" t="str">
        <f>'Ввод данных'!A877</f>
        <v>Плитный,28кг/м3, технониколь, 100мм</v>
      </c>
      <c r="B668" s="2493" t="s">
        <v>135</v>
      </c>
      <c r="C668" s="2493">
        <f>D526*D541*E541*D536*F514*F515*F594*E518</f>
        <v>0</v>
      </c>
      <c r="D668" s="2341">
        <f>VLOOKUP(A668,'Прайс лист'!B744:G782,6,0)</f>
        <v>1700</v>
      </c>
      <c r="E668" s="2341">
        <f t="shared" si="25"/>
        <v>0</v>
      </c>
      <c r="F668" s="2471"/>
      <c r="G668" s="2488"/>
      <c r="H668" s="2488"/>
      <c r="I668" s="2488"/>
      <c r="J668" s="2488"/>
      <c r="K668" s="2488"/>
      <c r="L668" s="2493"/>
      <c r="M668" s="2381"/>
    </row>
    <row r="669" spans="1:13" ht="16">
      <c r="A669" s="2495" t="str">
        <f>A651</f>
        <v>Грибок для крепления утеплителя</v>
      </c>
      <c r="B669" s="2493" t="s">
        <v>159</v>
      </c>
      <c r="C669" s="2493">
        <f>D526*D536*E541*5*F514*F515*F594*E518</f>
        <v>0</v>
      </c>
      <c r="D669" s="2341">
        <f>D651</f>
        <v>15</v>
      </c>
      <c r="E669" s="2341">
        <f t="shared" si="25"/>
        <v>0</v>
      </c>
      <c r="F669" s="2471"/>
      <c r="G669" s="98"/>
      <c r="H669" s="98"/>
      <c r="I669" s="2488"/>
      <c r="J669" s="2488"/>
      <c r="K669" s="2488"/>
      <c r="L669" s="2493"/>
      <c r="M669" s="2381"/>
    </row>
    <row r="670" spans="1:13" ht="16">
      <c r="A670" s="2468"/>
      <c r="B670" s="2225"/>
      <c r="C670" s="2225"/>
      <c r="D670" s="2225"/>
      <c r="E670" s="2496">
        <f>SUM(E659:E669)</f>
        <v>0</v>
      </c>
      <c r="F670" s="2263"/>
      <c r="G670" s="2468"/>
      <c r="H670" s="2225"/>
      <c r="I670" s="2225"/>
      <c r="J670" s="2225"/>
      <c r="K670" s="2225"/>
      <c r="L670" s="2496">
        <f>SUM(L659:L669)</f>
        <v>0</v>
      </c>
      <c r="M670" s="2381"/>
    </row>
    <row r="671" spans="1:13" ht="16">
      <c r="A671" s="275" t="s">
        <v>4059</v>
      </c>
      <c r="B671" s="275">
        <f>E670</f>
        <v>0</v>
      </c>
      <c r="C671" s="2224"/>
      <c r="D671" s="2224"/>
      <c r="E671" s="2225"/>
      <c r="F671" s="2224"/>
      <c r="G671" s="2224"/>
      <c r="H671" s="2224"/>
      <c r="I671" s="2224"/>
      <c r="J671" s="2224"/>
      <c r="K671" s="2225"/>
      <c r="L671" s="2470"/>
      <c r="M671" s="2381"/>
    </row>
    <row r="672" spans="1:13" ht="16">
      <c r="A672" s="275" t="s">
        <v>4060</v>
      </c>
      <c r="B672" s="275">
        <f>L670</f>
        <v>0</v>
      </c>
      <c r="C672" s="2224"/>
      <c r="D672" s="2224"/>
      <c r="E672" s="2225"/>
      <c r="F672" s="2224"/>
      <c r="G672" s="2468"/>
      <c r="H672" s="2225"/>
      <c r="I672" s="2225"/>
      <c r="J672" s="2225"/>
      <c r="K672" s="2225"/>
      <c r="L672" s="2470"/>
      <c r="M672" s="2381"/>
    </row>
    <row r="673" spans="1:13" ht="16">
      <c r="A673" s="275" t="s">
        <v>4061</v>
      </c>
      <c r="B673" s="275">
        <f>SUM(B671:B672)</f>
        <v>0</v>
      </c>
      <c r="C673" s="2470"/>
      <c r="D673" s="2470"/>
      <c r="E673" s="2470"/>
      <c r="F673" s="2470"/>
      <c r="G673" s="2470"/>
      <c r="H673" s="2470"/>
      <c r="I673" s="2470"/>
      <c r="J673" s="2470"/>
      <c r="K673" s="2470"/>
      <c r="L673" s="2470"/>
      <c r="M673" s="2381"/>
    </row>
    <row r="674" spans="1:13" ht="16">
      <c r="A674" s="3206" t="s">
        <v>4128</v>
      </c>
      <c r="B674" s="3206"/>
      <c r="C674" s="3206"/>
      <c r="D674" s="3206"/>
      <c r="E674" s="3206"/>
      <c r="F674" s="3206"/>
      <c r="G674" s="3206"/>
      <c r="H674" s="3206"/>
      <c r="I674" s="3206"/>
      <c r="J674" s="3206"/>
      <c r="K674" s="3206"/>
      <c r="L674" s="3206"/>
      <c r="M674" s="2381"/>
    </row>
    <row r="675" spans="1:13">
      <c r="A675" s="2381"/>
      <c r="B675" s="2381"/>
      <c r="C675" s="2381"/>
      <c r="D675" s="2381"/>
      <c r="E675" s="2381"/>
      <c r="F675" s="2381"/>
      <c r="G675" s="2381"/>
      <c r="H675" s="2381"/>
      <c r="I675" s="2381"/>
      <c r="J675" s="2381"/>
      <c r="K675" s="2381"/>
      <c r="L675" s="2381"/>
      <c r="M675" s="2381"/>
    </row>
    <row r="676" spans="1:13">
      <c r="A676" s="2381"/>
      <c r="B676" s="2381"/>
      <c r="C676" s="2381"/>
      <c r="D676" s="2381"/>
      <c r="E676" s="2381"/>
      <c r="F676" s="2381"/>
      <c r="G676" s="2381"/>
      <c r="H676" s="2381"/>
      <c r="I676" s="2381"/>
      <c r="J676" s="2381"/>
      <c r="K676" s="2381"/>
      <c r="L676" s="2381"/>
      <c r="M676" s="2381"/>
    </row>
    <row r="677" spans="1:13">
      <c r="A677" s="2381" t="s">
        <v>1922</v>
      </c>
      <c r="B677" s="2381"/>
      <c r="C677" s="2381"/>
      <c r="D677" s="2381"/>
      <c r="E677" s="2381"/>
      <c r="F677" s="2381"/>
      <c r="G677" s="2381"/>
      <c r="H677" s="2381"/>
      <c r="I677" s="2381"/>
      <c r="J677" s="2381"/>
      <c r="K677" s="2381"/>
      <c r="L677" s="2381"/>
      <c r="M677" s="2381"/>
    </row>
    <row r="678" spans="1:13">
      <c r="A678" s="2488" t="str">
        <f>'Ввод данных'!A883</f>
        <v>Нет техники</v>
      </c>
      <c r="B678" s="2488" t="str">
        <f>'Ввод данных'!B883</f>
        <v>ед.</v>
      </c>
      <c r="C678" s="2488">
        <f>'Ввод данных'!C883*F514</f>
        <v>0</v>
      </c>
      <c r="D678" s="2488">
        <f>VLOOKUP(A678,'Прайс лист'!B180:G194,6,0)</f>
        <v>0</v>
      </c>
      <c r="E678" s="2488">
        <f>C678*D678</f>
        <v>0</v>
      </c>
      <c r="F678" s="2381"/>
      <c r="G678" s="2381"/>
      <c r="H678" s="2381"/>
      <c r="I678" s="2381"/>
      <c r="J678" s="2381"/>
      <c r="K678" s="2381"/>
      <c r="L678" s="2381"/>
      <c r="M678" s="2381"/>
    </row>
    <row r="679" spans="1:13">
      <c r="A679" s="2488" t="str">
        <f>'Ввод данных'!A884</f>
        <v>Нет техники</v>
      </c>
      <c r="B679" s="2488" t="str">
        <f>'Ввод данных'!B884</f>
        <v>ед.</v>
      </c>
      <c r="C679" s="2488">
        <f>'Ввод данных'!C884*F514</f>
        <v>0</v>
      </c>
      <c r="D679" s="2488">
        <f>VLOOKUP(A679,'Прайс лист'!B180:G194,6,0)</f>
        <v>0</v>
      </c>
      <c r="E679" s="2488">
        <f>C679*D679</f>
        <v>0</v>
      </c>
      <c r="F679" s="2381"/>
      <c r="G679" s="2381"/>
      <c r="H679" s="2381"/>
      <c r="I679" s="2381"/>
      <c r="J679" s="2381"/>
      <c r="K679" s="2381"/>
      <c r="L679" s="2381"/>
      <c r="M679" s="2381"/>
    </row>
    <row r="680" spans="1:13">
      <c r="A680" s="2488" t="str">
        <f>'Ввод данных'!A885</f>
        <v>Нет техники</v>
      </c>
      <c r="B680" s="2488" t="str">
        <f>'Ввод данных'!B885</f>
        <v>ед.</v>
      </c>
      <c r="C680" s="2488">
        <f>'Ввод данных'!C885*F514</f>
        <v>0</v>
      </c>
      <c r="D680" s="2488">
        <f>VLOOKUP(A680,'Прайс лист'!B180:G194,6,0)</f>
        <v>0</v>
      </c>
      <c r="E680" s="2488">
        <f>C680*D680</f>
        <v>0</v>
      </c>
      <c r="F680" s="2381"/>
      <c r="G680" s="2381"/>
      <c r="H680" s="2381"/>
      <c r="I680" s="2381"/>
      <c r="J680" s="2381"/>
      <c r="K680" s="2381"/>
      <c r="L680" s="2381"/>
      <c r="M680" s="2381"/>
    </row>
    <row r="681" spans="1:13">
      <c r="A681" s="2488" t="str">
        <f>'Ввод данных'!A886</f>
        <v>Нет техники</v>
      </c>
      <c r="B681" s="2488" t="str">
        <f>'Ввод данных'!B886</f>
        <v>ед.</v>
      </c>
      <c r="C681" s="2488">
        <f>'Ввод данных'!C886*F514</f>
        <v>0</v>
      </c>
      <c r="D681" s="2488">
        <f>VLOOKUP(A681,'Прайс лист'!B180:G194,6,0)</f>
        <v>0</v>
      </c>
      <c r="E681" s="2488">
        <f>C681*D681</f>
        <v>0</v>
      </c>
      <c r="F681" s="2381"/>
      <c r="G681" s="2381"/>
      <c r="H681" s="2381"/>
      <c r="I681" s="2381"/>
      <c r="J681" s="2381"/>
      <c r="K681" s="2381"/>
      <c r="L681" s="2381"/>
      <c r="M681" s="2381"/>
    </row>
    <row r="682" spans="1:13">
      <c r="A682" s="2488" t="str">
        <f>'Ввод данных'!A888</f>
        <v>расходные материалы цокольный этаж</v>
      </c>
      <c r="B682" s="2488" t="str">
        <f>'Ввод данных'!B888</f>
        <v>рублей</v>
      </c>
      <c r="C682" s="2488">
        <f>1*F514</f>
        <v>0</v>
      </c>
      <c r="D682" s="2488">
        <f>'Ввод данных'!C888</f>
        <v>5000</v>
      </c>
      <c r="E682" s="2488">
        <f>C682*D682</f>
        <v>0</v>
      </c>
      <c r="F682" s="2381"/>
      <c r="G682" s="2381"/>
      <c r="H682" s="2381"/>
      <c r="I682" s="2381"/>
      <c r="J682" s="2381"/>
      <c r="K682" s="2381"/>
      <c r="L682" s="2381"/>
      <c r="M682" s="2381"/>
    </row>
    <row r="683" spans="1:13">
      <c r="A683" s="2381"/>
      <c r="B683" s="2381"/>
      <c r="C683" s="2381"/>
      <c r="D683" s="2381"/>
      <c r="E683" s="2381"/>
      <c r="F683" s="2381"/>
      <c r="G683" s="2381"/>
      <c r="H683" s="2381"/>
      <c r="I683" s="2381"/>
      <c r="J683" s="2381"/>
      <c r="K683" s="2381"/>
      <c r="L683" s="2381"/>
      <c r="M683" s="2381"/>
    </row>
    <row r="684" spans="1:13">
      <c r="A684" s="2381"/>
      <c r="B684" s="2381"/>
      <c r="C684" s="2381"/>
      <c r="D684" s="2381"/>
      <c r="E684" s="2381"/>
      <c r="F684" s="2381"/>
      <c r="G684" s="2381"/>
      <c r="H684" s="2381"/>
      <c r="I684" s="2381"/>
      <c r="J684" s="2381"/>
      <c r="K684" s="2381"/>
      <c r="L684" s="2381"/>
      <c r="M684" s="2381"/>
    </row>
    <row r="685" spans="1:13">
      <c r="A685" s="2381"/>
      <c r="B685" s="2381"/>
      <c r="C685" s="2381"/>
      <c r="D685" s="2381"/>
      <c r="E685" s="2381"/>
      <c r="F685" s="2381"/>
      <c r="G685" s="2381"/>
      <c r="H685" s="2381"/>
      <c r="I685" s="2381"/>
      <c r="J685" s="2381"/>
      <c r="K685" s="2381"/>
      <c r="L685" s="2381"/>
      <c r="M685" s="2381"/>
    </row>
  </sheetData>
  <mergeCells count="250">
    <mergeCell ref="A657:L657"/>
    <mergeCell ref="A674:L674"/>
    <mergeCell ref="G621:H621"/>
    <mergeCell ref="G622:H622"/>
    <mergeCell ref="G623:H623"/>
    <mergeCell ref="G625:H625"/>
    <mergeCell ref="A635:L635"/>
    <mergeCell ref="A636:L636"/>
    <mergeCell ref="G641:H641"/>
    <mergeCell ref="G643:H643"/>
    <mergeCell ref="A656:L656"/>
    <mergeCell ref="A611:L611"/>
    <mergeCell ref="G613:H613"/>
    <mergeCell ref="G614:H614"/>
    <mergeCell ref="G615:H615"/>
    <mergeCell ref="G616:H616"/>
    <mergeCell ref="G617:H617"/>
    <mergeCell ref="G618:H618"/>
    <mergeCell ref="G619:H619"/>
    <mergeCell ref="G620:H620"/>
    <mergeCell ref="A595:L595"/>
    <mergeCell ref="G597:H597"/>
    <mergeCell ref="G598:H598"/>
    <mergeCell ref="G600:H600"/>
    <mergeCell ref="G601:H601"/>
    <mergeCell ref="G602:H602"/>
    <mergeCell ref="G604:H604"/>
    <mergeCell ref="G605:H605"/>
    <mergeCell ref="A610:L610"/>
    <mergeCell ref="A554:B554"/>
    <mergeCell ref="A555:B557"/>
    <mergeCell ref="A558:B559"/>
    <mergeCell ref="A560:B560"/>
    <mergeCell ref="A561:E561"/>
    <mergeCell ref="A562:C562"/>
    <mergeCell ref="A578:C578"/>
    <mergeCell ref="A592:L593"/>
    <mergeCell ref="A594:E594"/>
    <mergeCell ref="G594:L594"/>
    <mergeCell ref="A534:B534"/>
    <mergeCell ref="A535:B535"/>
    <mergeCell ref="A536:B536"/>
    <mergeCell ref="A540:B540"/>
    <mergeCell ref="A542:B542"/>
    <mergeCell ref="A548:B548"/>
    <mergeCell ref="A549:B550"/>
    <mergeCell ref="A551:B552"/>
    <mergeCell ref="A553:E553"/>
    <mergeCell ref="A476:E476"/>
    <mergeCell ref="G476:L476"/>
    <mergeCell ref="C511:F511"/>
    <mergeCell ref="A514:E514"/>
    <mergeCell ref="A516:B516"/>
    <mergeCell ref="A517:B517"/>
    <mergeCell ref="A518:B518"/>
    <mergeCell ref="A522:B522"/>
    <mergeCell ref="A532:B532"/>
    <mergeCell ref="A392:C392"/>
    <mergeCell ref="A399:C399"/>
    <mergeCell ref="A407:E407"/>
    <mergeCell ref="G407:L407"/>
    <mergeCell ref="G408:H408"/>
    <mergeCell ref="C438:F438"/>
    <mergeCell ref="A440:I441"/>
    <mergeCell ref="A442:F443"/>
    <mergeCell ref="A469:C469"/>
    <mergeCell ref="G349:H349"/>
    <mergeCell ref="G350:H350"/>
    <mergeCell ref="G351:H351"/>
    <mergeCell ref="G354:H354"/>
    <mergeCell ref="G355:H355"/>
    <mergeCell ref="C371:F371"/>
    <mergeCell ref="A373:I374"/>
    <mergeCell ref="A375:F376"/>
    <mergeCell ref="C377:E377"/>
    <mergeCell ref="C321:E321"/>
    <mergeCell ref="A335:C335"/>
    <mergeCell ref="A343:E343"/>
    <mergeCell ref="G343:L343"/>
    <mergeCell ref="G344:H344"/>
    <mergeCell ref="G345:H345"/>
    <mergeCell ref="G346:H346"/>
    <mergeCell ref="G347:H347"/>
    <mergeCell ref="G348:H348"/>
    <mergeCell ref="G274:H274"/>
    <mergeCell ref="G275:H275"/>
    <mergeCell ref="G279:H279"/>
    <mergeCell ref="A289:E289"/>
    <mergeCell ref="A304:E304"/>
    <mergeCell ref="C315:F315"/>
    <mergeCell ref="A317:I318"/>
    <mergeCell ref="A319:F320"/>
    <mergeCell ref="G319:G320"/>
    <mergeCell ref="A258:K259"/>
    <mergeCell ref="A260:F261"/>
    <mergeCell ref="G262:M262"/>
    <mergeCell ref="A269:E269"/>
    <mergeCell ref="G269:L269"/>
    <mergeCell ref="G270:H270"/>
    <mergeCell ref="G271:H271"/>
    <mergeCell ref="G272:H272"/>
    <mergeCell ref="G273:H273"/>
    <mergeCell ref="A240:F240"/>
    <mergeCell ref="G240:L240"/>
    <mergeCell ref="A246:E246"/>
    <mergeCell ref="G246:K246"/>
    <mergeCell ref="A250:E250"/>
    <mergeCell ref="G250:K250"/>
    <mergeCell ref="A252:A254"/>
    <mergeCell ref="B252:C252"/>
    <mergeCell ref="D252:E252"/>
    <mergeCell ref="B253:C253"/>
    <mergeCell ref="D253:E253"/>
    <mergeCell ref="C254:D254"/>
    <mergeCell ref="H254:I254"/>
    <mergeCell ref="A204:B204"/>
    <mergeCell ref="A205:B205"/>
    <mergeCell ref="A206:B206"/>
    <mergeCell ref="A207:B207"/>
    <mergeCell ref="A208:B208"/>
    <mergeCell ref="A209:D209"/>
    <mergeCell ref="A234:D234"/>
    <mergeCell ref="A238:K239"/>
    <mergeCell ref="L238:L239"/>
    <mergeCell ref="A165:B165"/>
    <mergeCell ref="A166:B166"/>
    <mergeCell ref="A167:B167"/>
    <mergeCell ref="A191:A193"/>
    <mergeCell ref="A194:A195"/>
    <mergeCell ref="A200:B200"/>
    <mergeCell ref="A201:B201"/>
    <mergeCell ref="A202:B202"/>
    <mergeCell ref="A203:B203"/>
    <mergeCell ref="A147:B149"/>
    <mergeCell ref="A150:B152"/>
    <mergeCell ref="A153:E153"/>
    <mergeCell ref="A155:B157"/>
    <mergeCell ref="A158:B159"/>
    <mergeCell ref="A160:B160"/>
    <mergeCell ref="A161:F161"/>
    <mergeCell ref="A163:B163"/>
    <mergeCell ref="A164:B164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25:C125"/>
    <mergeCell ref="A126:C127"/>
    <mergeCell ref="A128:C129"/>
    <mergeCell ref="A130:C130"/>
    <mergeCell ref="A133:B133"/>
    <mergeCell ref="A134:B134"/>
    <mergeCell ref="A135:B135"/>
    <mergeCell ref="A136:B136"/>
    <mergeCell ref="A137:B137"/>
    <mergeCell ref="A114:C114"/>
    <mergeCell ref="A115:C115"/>
    <mergeCell ref="A116:C116"/>
    <mergeCell ref="A117:C117"/>
    <mergeCell ref="A118:C118"/>
    <mergeCell ref="A119:C119"/>
    <mergeCell ref="A120:C120"/>
    <mergeCell ref="A121:C121"/>
    <mergeCell ref="A124:C124"/>
    <mergeCell ref="A102:C102"/>
    <mergeCell ref="A103:C103"/>
    <mergeCell ref="A104:C104"/>
    <mergeCell ref="A105:C105"/>
    <mergeCell ref="A106:C106"/>
    <mergeCell ref="A107:C107"/>
    <mergeCell ref="A108:C109"/>
    <mergeCell ref="A110:C111"/>
    <mergeCell ref="A113:F113"/>
    <mergeCell ref="A93:F93"/>
    <mergeCell ref="A94:C94"/>
    <mergeCell ref="A95:C95"/>
    <mergeCell ref="A96:C96"/>
    <mergeCell ref="A97:D97"/>
    <mergeCell ref="A98:C98"/>
    <mergeCell ref="A99:C99"/>
    <mergeCell ref="A100:C100"/>
    <mergeCell ref="A101:C101"/>
    <mergeCell ref="A81:C81"/>
    <mergeCell ref="A82:C82"/>
    <mergeCell ref="A83:C83"/>
    <mergeCell ref="A84:C84"/>
    <mergeCell ref="A85:C85"/>
    <mergeCell ref="A86:C86"/>
    <mergeCell ref="A87:C87"/>
    <mergeCell ref="A88:C89"/>
    <mergeCell ref="A90:C91"/>
    <mergeCell ref="A71:E71"/>
    <mergeCell ref="A72:B72"/>
    <mergeCell ref="A73:B73"/>
    <mergeCell ref="A75:F75"/>
    <mergeCell ref="A76:C76"/>
    <mergeCell ref="A77:D77"/>
    <mergeCell ref="A78:C78"/>
    <mergeCell ref="A79:C79"/>
    <mergeCell ref="A80:C80"/>
    <mergeCell ref="I53:I60"/>
    <mergeCell ref="A57:B60"/>
    <mergeCell ref="A61:B64"/>
    <mergeCell ref="A65:B65"/>
    <mergeCell ref="A66:B66"/>
    <mergeCell ref="A67:B67"/>
    <mergeCell ref="A68:B68"/>
    <mergeCell ref="A69:B69"/>
    <mergeCell ref="A70:B70"/>
    <mergeCell ref="A29:C29"/>
    <mergeCell ref="A30:F30"/>
    <mergeCell ref="A32:B32"/>
    <mergeCell ref="A33:B36"/>
    <mergeCell ref="A37:B40"/>
    <mergeCell ref="A41:B44"/>
    <mergeCell ref="A45:B48"/>
    <mergeCell ref="A49:B52"/>
    <mergeCell ref="A53:B56"/>
    <mergeCell ref="A20:C20"/>
    <mergeCell ref="A21:C21"/>
    <mergeCell ref="A22:C22"/>
    <mergeCell ref="A23:C23"/>
    <mergeCell ref="A24:C24"/>
    <mergeCell ref="A25:F25"/>
    <mergeCell ref="A26:C26"/>
    <mergeCell ref="A27:C27"/>
    <mergeCell ref="A28:C28"/>
    <mergeCell ref="A11:C11"/>
    <mergeCell ref="A12:C12"/>
    <mergeCell ref="A13:C13"/>
    <mergeCell ref="A14:C14"/>
    <mergeCell ref="A15:C15"/>
    <mergeCell ref="A16:C16"/>
    <mergeCell ref="A17:C17"/>
    <mergeCell ref="A18:C18"/>
    <mergeCell ref="A19:F19"/>
    <mergeCell ref="A2:C2"/>
    <mergeCell ref="A3:C3"/>
    <mergeCell ref="A4:C4"/>
    <mergeCell ref="A5:C5"/>
    <mergeCell ref="A6:C6"/>
    <mergeCell ref="A7:C7"/>
    <mergeCell ref="A8:C8"/>
    <mergeCell ref="A9:C9"/>
    <mergeCell ref="A10:C10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J706"/>
  <sheetViews>
    <sheetView topLeftCell="A4" zoomScale="60" zoomScaleNormal="60" workbookViewId="0">
      <selection activeCell="E2" sqref="E2"/>
    </sheetView>
  </sheetViews>
  <sheetFormatPr baseColWidth="10" defaultColWidth="9.1640625" defaultRowHeight="16" outlineLevelRow="1"/>
  <cols>
    <col min="1" max="1" width="39.5" style="16" customWidth="1"/>
    <col min="2" max="2" width="8.83203125" style="16" customWidth="1"/>
    <col min="3" max="3" width="15.5" style="16" customWidth="1"/>
    <col min="4" max="4" width="18.1640625" style="16" customWidth="1"/>
    <col min="5" max="5" width="12.83203125" style="16" customWidth="1"/>
    <col min="6" max="6" width="4.6640625" style="16" customWidth="1"/>
    <col min="7" max="7" width="24.6640625" style="16" customWidth="1"/>
    <col min="8" max="10" width="9.1640625" style="16"/>
    <col min="11" max="11" width="12.6640625" style="16" customWidth="1"/>
    <col min="12" max="12" width="12.1640625" style="16" customWidth="1"/>
    <col min="13" max="1024" width="9.1640625" style="16"/>
  </cols>
  <sheetData>
    <row r="1" spans="1:21" ht="15" customHeight="1" outlineLevel="1">
      <c r="A1" s="2498" t="s">
        <v>1093</v>
      </c>
      <c r="B1" s="2498"/>
      <c r="C1" s="2498"/>
      <c r="D1" s="2499" t="s">
        <v>120</v>
      </c>
      <c r="E1" s="2499" t="s">
        <v>1753</v>
      </c>
      <c r="F1" s="2500"/>
      <c r="G1" s="2501"/>
      <c r="H1" s="2501"/>
      <c r="I1" s="2501"/>
      <c r="J1" s="2501"/>
      <c r="K1" s="1195"/>
      <c r="L1" s="1195"/>
      <c r="M1" s="1195"/>
      <c r="N1" s="1195"/>
      <c r="O1" s="1195"/>
      <c r="P1" s="1195"/>
      <c r="Q1" s="1195"/>
      <c r="R1" s="1195"/>
      <c r="S1" s="1195"/>
      <c r="T1" s="1195"/>
      <c r="U1" s="1195"/>
    </row>
    <row r="2" spans="1:21" ht="15" customHeight="1" outlineLevel="1">
      <c r="A2" s="3074" t="s">
        <v>2779</v>
      </c>
      <c r="B2" s="3074"/>
      <c r="C2" s="3074"/>
      <c r="D2" s="2502"/>
      <c r="E2" s="2451" t="e">
        <f>'Ввод данных'!#REF!</f>
        <v>#REF!</v>
      </c>
      <c r="F2" s="2503"/>
      <c r="G2" s="2500"/>
      <c r="H2" s="2504"/>
      <c r="I2" s="2505"/>
      <c r="J2" s="2505"/>
      <c r="K2" s="1195"/>
      <c r="L2" s="1195"/>
      <c r="M2" s="1195"/>
      <c r="N2" s="1195"/>
      <c r="O2" s="1195"/>
      <c r="P2" s="1195"/>
      <c r="Q2" s="1195"/>
      <c r="R2" s="1195"/>
      <c r="S2" s="1195"/>
      <c r="T2" s="1195"/>
      <c r="U2" s="1195"/>
    </row>
    <row r="3" spans="1:21" ht="15" customHeight="1" outlineLevel="1">
      <c r="A3" s="3239" t="s">
        <v>2746</v>
      </c>
      <c r="B3" s="3239"/>
      <c r="C3" s="3239"/>
      <c r="D3" s="2502" t="s">
        <v>156</v>
      </c>
      <c r="E3" s="2451">
        <f>'Ввод данных'!C11</f>
        <v>10</v>
      </c>
      <c r="F3" s="2504"/>
      <c r="G3" s="2500"/>
      <c r="H3" s="2504"/>
      <c r="I3" s="2505"/>
      <c r="J3" s="2505"/>
      <c r="K3" s="1195"/>
      <c r="L3" s="1195"/>
      <c r="M3" s="1195"/>
      <c r="N3" s="1195"/>
      <c r="O3" s="1195"/>
      <c r="P3" s="1195"/>
      <c r="Q3" s="1195"/>
      <c r="R3" s="1195"/>
      <c r="S3" s="1195"/>
      <c r="T3" s="1195"/>
      <c r="U3" s="1195"/>
    </row>
    <row r="4" spans="1:21" ht="15" customHeight="1" outlineLevel="1">
      <c r="A4" s="3239" t="s">
        <v>2782</v>
      </c>
      <c r="B4" s="3239"/>
      <c r="C4" s="3239"/>
      <c r="D4" s="2502" t="s">
        <v>156</v>
      </c>
      <c r="E4" s="2451">
        <f>'Ввод данных'!C12</f>
        <v>10</v>
      </c>
      <c r="F4" s="2504"/>
      <c r="G4" s="2504"/>
      <c r="H4" s="2504"/>
      <c r="I4" s="2506"/>
      <c r="J4" s="2506"/>
      <c r="K4" s="1195"/>
      <c r="L4" s="1195"/>
      <c r="M4" s="1195"/>
      <c r="N4" s="1195"/>
      <c r="O4" s="1195"/>
      <c r="P4" s="1195"/>
      <c r="Q4" s="1195"/>
      <c r="R4" s="1195"/>
      <c r="S4" s="1195"/>
      <c r="T4" s="1195"/>
      <c r="U4" s="1195"/>
    </row>
    <row r="5" spans="1:21" ht="15" customHeight="1" outlineLevel="1">
      <c r="A5" s="3239" t="s">
        <v>2783</v>
      </c>
      <c r="B5" s="3239"/>
      <c r="C5" s="3239"/>
      <c r="D5" s="2502" t="s">
        <v>156</v>
      </c>
      <c r="E5" s="2451">
        <f>'Ввод данных'!C13</f>
        <v>3</v>
      </c>
      <c r="F5" s="2504"/>
      <c r="G5" s="2504"/>
      <c r="H5" s="2504"/>
      <c r="I5" s="2507"/>
      <c r="J5" s="2507"/>
      <c r="K5" s="1195"/>
      <c r="L5" s="1195"/>
      <c r="M5" s="1195"/>
      <c r="N5" s="1195"/>
      <c r="O5" s="1195"/>
      <c r="P5" s="1195"/>
      <c r="Q5" s="1195"/>
      <c r="R5" s="1195"/>
      <c r="S5" s="1195"/>
      <c r="T5" s="1195"/>
      <c r="U5" s="1195"/>
    </row>
    <row r="6" spans="1:21" ht="15" customHeight="1" outlineLevel="1">
      <c r="A6" s="3239" t="s">
        <v>2793</v>
      </c>
      <c r="B6" s="3239"/>
      <c r="C6" s="3239"/>
      <c r="D6" s="2502" t="s">
        <v>156</v>
      </c>
      <c r="E6" s="2451">
        <f>связи1!K207</f>
        <v>1.2</v>
      </c>
      <c r="F6" s="2504"/>
      <c r="G6" s="2504"/>
      <c r="H6" s="2504"/>
      <c r="I6" s="2508"/>
      <c r="J6" s="2507"/>
      <c r="K6" s="1195"/>
      <c r="L6" s="1195"/>
      <c r="M6" s="1195"/>
      <c r="N6" s="1195"/>
      <c r="O6" s="1195"/>
      <c r="P6" s="1195"/>
      <c r="Q6" s="1195"/>
      <c r="R6" s="1195"/>
      <c r="S6" s="1195"/>
      <c r="T6" s="1195"/>
      <c r="U6" s="1195"/>
    </row>
    <row r="7" spans="1:21" ht="15" customHeight="1" outlineLevel="1">
      <c r="A7" s="3239" t="s">
        <v>3870</v>
      </c>
      <c r="B7" s="3239"/>
      <c r="C7" s="3239"/>
      <c r="D7" s="2509" t="s">
        <v>156</v>
      </c>
      <c r="E7" s="2451">
        <f>'Ввод данных'!C16</f>
        <v>2.2000000000000002</v>
      </c>
      <c r="F7" s="2510"/>
      <c r="G7" s="2504"/>
      <c r="H7" s="2508"/>
      <c r="I7" s="2508"/>
      <c r="J7" s="2507"/>
      <c r="K7" s="1195"/>
      <c r="L7" s="1195"/>
      <c r="M7" s="1195"/>
      <c r="N7" s="1195"/>
      <c r="O7" s="1195"/>
      <c r="P7" s="1195"/>
      <c r="Q7" s="1195"/>
      <c r="R7" s="1195"/>
      <c r="S7" s="1195"/>
      <c r="T7" s="1195"/>
      <c r="U7" s="1195"/>
    </row>
    <row r="8" spans="1:21" ht="15" customHeight="1" outlineLevel="1">
      <c r="A8" s="3239" t="s">
        <v>3871</v>
      </c>
      <c r="B8" s="3239"/>
      <c r="C8" s="3239"/>
      <c r="D8" s="2502" t="s">
        <v>156</v>
      </c>
      <c r="E8" s="2451">
        <f>связи1!K206</f>
        <v>4.8</v>
      </c>
      <c r="F8" s="2504"/>
      <c r="G8" s="2510"/>
      <c r="H8" s="2500"/>
      <c r="I8" s="2500"/>
      <c r="J8" s="2500"/>
      <c r="K8" s="1195"/>
      <c r="L8" s="1195"/>
      <c r="M8" s="1195"/>
      <c r="N8" s="1195"/>
      <c r="O8" s="1195"/>
      <c r="P8" s="1195"/>
      <c r="Q8" s="1195"/>
      <c r="R8" s="1195"/>
      <c r="S8" s="1195"/>
      <c r="T8" s="1195"/>
      <c r="U8" s="1195"/>
    </row>
    <row r="9" spans="1:21" ht="15" customHeight="1" outlineLevel="1">
      <c r="A9" s="3240" t="s">
        <v>3872</v>
      </c>
      <c r="B9" s="3240"/>
      <c r="C9" s="3240"/>
      <c r="D9" s="2512" t="s">
        <v>1820</v>
      </c>
      <c r="E9" s="2451"/>
      <c r="F9" s="2504" t="s">
        <v>3873</v>
      </c>
      <c r="G9" s="2506"/>
      <c r="H9" s="2504"/>
      <c r="I9" s="2513"/>
      <c r="J9" s="2513"/>
      <c r="K9" s="1195"/>
      <c r="L9" s="1195"/>
      <c r="M9" s="1195"/>
      <c r="N9" s="1195"/>
      <c r="O9" s="1195"/>
      <c r="P9" s="1195"/>
      <c r="Q9" s="1195"/>
      <c r="R9" s="1195"/>
      <c r="S9" s="1195"/>
      <c r="T9" s="1195"/>
      <c r="U9" s="1195"/>
    </row>
    <row r="10" spans="1:21" ht="15" customHeight="1" outlineLevel="1">
      <c r="A10" s="3241" t="s">
        <v>2854</v>
      </c>
      <c r="B10" s="3241"/>
      <c r="C10" s="3241"/>
      <c r="D10" s="2514" t="s">
        <v>120</v>
      </c>
      <c r="E10" s="2515" t="s">
        <v>293</v>
      </c>
      <c r="F10" s="2516"/>
      <c r="G10" s="2506"/>
      <c r="H10" s="2504"/>
      <c r="I10" s="2513"/>
      <c r="J10" s="2513"/>
      <c r="K10" s="1195"/>
      <c r="L10" s="1195"/>
      <c r="M10" s="1195"/>
      <c r="N10" s="1195"/>
      <c r="O10" s="1195"/>
      <c r="P10" s="1195"/>
      <c r="Q10" s="1195"/>
      <c r="R10" s="1195"/>
      <c r="S10" s="1195"/>
      <c r="T10" s="1195"/>
      <c r="U10" s="1195"/>
    </row>
    <row r="11" spans="1:21" ht="15" customHeight="1" outlineLevel="1">
      <c r="A11" s="3239" t="s">
        <v>2001</v>
      </c>
      <c r="B11" s="3239"/>
      <c r="C11" s="3239"/>
      <c r="D11" s="2517" t="s">
        <v>156</v>
      </c>
      <c r="E11" s="2451"/>
      <c r="F11" s="2518">
        <f>дома!AA38</f>
        <v>7.8</v>
      </c>
      <c r="G11" s="2503" t="s">
        <v>3521</v>
      </c>
      <c r="H11" s="2504"/>
      <c r="I11" s="2513"/>
      <c r="J11" s="2513"/>
      <c r="K11" s="1195"/>
      <c r="L11" s="1195"/>
      <c r="M11" s="1195"/>
      <c r="N11" s="1195"/>
      <c r="O11" s="1195"/>
      <c r="P11" s="1195"/>
      <c r="Q11" s="1195"/>
      <c r="R11" s="1195"/>
      <c r="S11" s="1195"/>
      <c r="T11" s="1195"/>
      <c r="U11" s="1195"/>
    </row>
    <row r="12" spans="1:21" ht="15" customHeight="1" outlineLevel="1">
      <c r="A12" s="3239" t="s">
        <v>2557</v>
      </c>
      <c r="B12" s="3239"/>
      <c r="C12" s="3239"/>
      <c r="D12" s="2517" t="s">
        <v>156</v>
      </c>
      <c r="E12" s="2451"/>
      <c r="F12" s="2518">
        <f>дома!AA42</f>
        <v>7.8</v>
      </c>
      <c r="G12" s="2503" t="s">
        <v>3522</v>
      </c>
      <c r="H12" s="2504"/>
      <c r="I12" s="2513"/>
      <c r="J12" s="2513"/>
      <c r="K12" s="1195"/>
      <c r="L12" s="1195"/>
      <c r="M12" s="1195"/>
      <c r="N12" s="1195"/>
      <c r="O12" s="1195"/>
      <c r="P12" s="1195"/>
      <c r="Q12" s="1195"/>
      <c r="R12" s="1195"/>
      <c r="S12" s="1195"/>
      <c r="T12" s="1195"/>
      <c r="U12" s="1195"/>
    </row>
    <row r="13" spans="1:21" ht="15" customHeight="1" outlineLevel="1">
      <c r="A13" s="3239" t="s">
        <v>2558</v>
      </c>
      <c r="B13" s="3239"/>
      <c r="C13" s="3239"/>
      <c r="D13" s="2517" t="s">
        <v>156</v>
      </c>
      <c r="E13" s="2451"/>
      <c r="F13" s="2518">
        <f>дома!AA51</f>
        <v>0</v>
      </c>
      <c r="G13" s="2503" t="s">
        <v>3523</v>
      </c>
      <c r="H13" s="2504"/>
      <c r="I13" s="2513"/>
      <c r="J13" s="2513"/>
      <c r="K13" s="1195"/>
      <c r="L13" s="1195"/>
      <c r="M13" s="1195"/>
      <c r="N13" s="1195"/>
      <c r="O13" s="1195"/>
      <c r="P13" s="1195"/>
      <c r="Q13" s="1195"/>
      <c r="R13" s="1195"/>
      <c r="S13" s="1195"/>
      <c r="T13" s="1195"/>
      <c r="U13" s="1195"/>
    </row>
    <row r="14" spans="1:21" ht="15" customHeight="1" outlineLevel="1">
      <c r="A14" s="3242" t="s">
        <v>1515</v>
      </c>
      <c r="B14" s="3242"/>
      <c r="C14" s="3242"/>
      <c r="D14" s="2520" t="s">
        <v>1800</v>
      </c>
      <c r="E14" s="2520" t="s">
        <v>293</v>
      </c>
      <c r="F14" s="2515" t="s">
        <v>1802</v>
      </c>
      <c r="G14" s="2521" t="s">
        <v>2866</v>
      </c>
      <c r="H14" s="2503"/>
      <c r="I14" s="2513"/>
      <c r="J14" s="2513"/>
      <c r="K14" s="1195"/>
      <c r="L14" s="1195"/>
      <c r="M14" s="1195"/>
      <c r="N14" s="1195"/>
      <c r="O14" s="1195"/>
      <c r="P14" s="1195"/>
      <c r="Q14" s="1195"/>
      <c r="R14" s="1195"/>
      <c r="S14" s="1195"/>
      <c r="T14" s="1195"/>
      <c r="U14" s="1195"/>
    </row>
    <row r="15" spans="1:21" ht="15" customHeight="1" outlineLevel="1">
      <c r="A15" s="3243" t="s">
        <v>2902</v>
      </c>
      <c r="B15" s="3243"/>
      <c r="C15" s="3243"/>
      <c r="D15" s="2522">
        <f>'Ввод данных'!C68</f>
        <v>1</v>
      </c>
      <c r="E15" s="2451">
        <f>'Ввод данных'!D68</f>
        <v>1.2</v>
      </c>
      <c r="F15" s="2518">
        <f>'Ввод данных'!E68</f>
        <v>1</v>
      </c>
      <c r="G15" s="2523">
        <f>D15*E15*F15</f>
        <v>1.2</v>
      </c>
      <c r="H15" s="2503"/>
      <c r="I15" s="2513"/>
      <c r="J15" s="2513"/>
      <c r="K15" s="1195"/>
      <c r="L15" s="1195"/>
      <c r="M15" s="1195"/>
      <c r="N15" s="1195"/>
      <c r="O15" s="1195"/>
      <c r="P15" s="1195"/>
      <c r="Q15" s="1195"/>
      <c r="R15" s="1195"/>
      <c r="S15" s="1195"/>
      <c r="T15" s="1195"/>
      <c r="U15" s="1195"/>
    </row>
    <row r="16" spans="1:21" ht="15" customHeight="1" outlineLevel="1">
      <c r="A16" s="3243" t="s">
        <v>2903</v>
      </c>
      <c r="B16" s="3243"/>
      <c r="C16" s="3243"/>
      <c r="D16" s="2522">
        <f>'Ввод данных'!C69</f>
        <v>0.6</v>
      </c>
      <c r="E16" s="2451">
        <f>'Ввод данных'!D69</f>
        <v>0.6</v>
      </c>
      <c r="F16" s="2518">
        <f>'Ввод данных'!E69</f>
        <v>0</v>
      </c>
      <c r="G16" s="2523">
        <f>D16*E16*F16</f>
        <v>0</v>
      </c>
      <c r="H16" s="2503"/>
      <c r="I16" s="2513"/>
      <c r="J16" s="2513"/>
      <c r="K16" s="1195"/>
      <c r="L16" s="1195"/>
      <c r="M16" s="1195"/>
      <c r="N16" s="1195"/>
      <c r="O16" s="1195"/>
      <c r="P16" s="1195"/>
      <c r="Q16" s="1195"/>
      <c r="R16" s="1195"/>
      <c r="S16" s="1195"/>
      <c r="T16" s="1195"/>
      <c r="U16" s="1195"/>
    </row>
    <row r="17" spans="1:21" ht="15" customHeight="1" outlineLevel="1">
      <c r="A17" s="3243" t="s">
        <v>2904</v>
      </c>
      <c r="B17" s="3243"/>
      <c r="C17" s="3243"/>
      <c r="D17" s="2522">
        <f>'Ввод данных'!C70</f>
        <v>1</v>
      </c>
      <c r="E17" s="2451">
        <f>'Ввод данных'!D70</f>
        <v>2</v>
      </c>
      <c r="F17" s="2518">
        <f>'Ввод данных'!E70</f>
        <v>0</v>
      </c>
      <c r="G17" s="2523">
        <f>D17*E17*F17</f>
        <v>0</v>
      </c>
      <c r="H17" s="2503"/>
      <c r="I17" s="2513"/>
      <c r="J17" s="2513"/>
      <c r="K17" s="1195"/>
      <c r="L17" s="1195"/>
      <c r="M17" s="1195"/>
      <c r="N17" s="1195"/>
      <c r="O17" s="1195"/>
      <c r="P17" s="1195"/>
      <c r="Q17" s="1195"/>
      <c r="R17" s="1195"/>
      <c r="S17" s="1195"/>
      <c r="T17" s="1195"/>
      <c r="U17" s="1195"/>
    </row>
    <row r="18" spans="1:21" ht="15" customHeight="1" outlineLevel="1">
      <c r="A18" s="3243" t="s">
        <v>2894</v>
      </c>
      <c r="B18" s="3243"/>
      <c r="C18" s="3243"/>
      <c r="D18" s="2522">
        <f>'Ввод данных'!C73</f>
        <v>0.8</v>
      </c>
      <c r="E18" s="2451">
        <f>'Ввод данных'!D73</f>
        <v>2.1</v>
      </c>
      <c r="F18" s="2518">
        <f>'Ввод данных'!E73</f>
        <v>0</v>
      </c>
      <c r="G18" s="2523">
        <f>D18*E18*F18</f>
        <v>0</v>
      </c>
      <c r="H18" s="2503"/>
      <c r="I18" s="2513"/>
      <c r="J18" s="2513"/>
      <c r="K18" s="1195"/>
      <c r="L18" s="1195"/>
      <c r="M18" s="1195"/>
      <c r="N18" s="1195"/>
      <c r="O18" s="1195"/>
      <c r="P18" s="1195"/>
      <c r="Q18" s="1195"/>
      <c r="R18" s="1195"/>
      <c r="S18" s="1195"/>
      <c r="T18" s="1195"/>
      <c r="U18" s="1195"/>
    </row>
    <row r="19" spans="1:21" ht="15" customHeight="1" outlineLevel="1">
      <c r="A19" s="3244" t="s">
        <v>2898</v>
      </c>
      <c r="B19" s="3244"/>
      <c r="C19" s="3244"/>
      <c r="D19" s="3244"/>
      <c r="E19" s="3244"/>
      <c r="F19" s="3244"/>
      <c r="G19" s="2523">
        <f>SUM(G15:G18)</f>
        <v>1.2</v>
      </c>
      <c r="H19" s="2503"/>
      <c r="I19" s="2513"/>
      <c r="J19" s="2513"/>
      <c r="K19" s="1195"/>
      <c r="L19" s="1195"/>
      <c r="M19" s="1195"/>
      <c r="N19" s="1195"/>
      <c r="O19" s="1195"/>
      <c r="P19" s="1195"/>
      <c r="Q19" s="1195"/>
      <c r="R19" s="1195"/>
      <c r="S19" s="1195"/>
      <c r="T19" s="1195"/>
      <c r="U19" s="1195"/>
    </row>
    <row r="20" spans="1:21" ht="15" customHeight="1" outlineLevel="1">
      <c r="A20" s="3245" t="s">
        <v>2593</v>
      </c>
      <c r="B20" s="3245"/>
      <c r="C20" s="3245"/>
      <c r="D20" s="2524" t="s">
        <v>1800</v>
      </c>
      <c r="E20" s="2524" t="s">
        <v>293</v>
      </c>
      <c r="F20" s="2524" t="s">
        <v>1802</v>
      </c>
      <c r="G20" s="2524" t="s">
        <v>2900</v>
      </c>
      <c r="H20" s="2503"/>
      <c r="I20" s="2513"/>
      <c r="J20" s="2513"/>
      <c r="K20" s="1195"/>
      <c r="L20" s="1195"/>
      <c r="M20" s="1195"/>
      <c r="N20" s="1195"/>
      <c r="O20" s="1195"/>
      <c r="P20" s="1195"/>
      <c r="Q20" s="1195"/>
      <c r="R20" s="1195"/>
      <c r="S20" s="1195"/>
      <c r="T20" s="1195"/>
      <c r="U20" s="1195"/>
    </row>
    <row r="21" spans="1:21" ht="15" customHeight="1" outlineLevel="1">
      <c r="A21" s="3246" t="s">
        <v>2902</v>
      </c>
      <c r="B21" s="3246"/>
      <c r="C21" s="3246"/>
      <c r="D21" s="2522">
        <f>'Ввод данных'!C91</f>
        <v>0.8</v>
      </c>
      <c r="E21" s="2451">
        <f>'Ввод данных'!D91</f>
        <v>2.1</v>
      </c>
      <c r="F21" s="2518">
        <f>'Ввод данных'!E91</f>
        <v>0</v>
      </c>
      <c r="G21" s="2525">
        <f>D21*E21*F21</f>
        <v>0</v>
      </c>
      <c r="H21" s="2503"/>
      <c r="I21" s="2513"/>
      <c r="J21" s="2513"/>
      <c r="K21" s="1195"/>
      <c r="L21" s="1195"/>
      <c r="M21" s="1195"/>
      <c r="N21" s="1195"/>
      <c r="O21" s="1195"/>
      <c r="P21" s="1195"/>
      <c r="Q21" s="1195"/>
      <c r="R21" s="1195"/>
      <c r="S21" s="1195"/>
      <c r="T21" s="1195"/>
      <c r="U21" s="1195"/>
    </row>
    <row r="22" spans="1:21" ht="15" customHeight="1" outlineLevel="1">
      <c r="A22" s="3246" t="s">
        <v>2903</v>
      </c>
      <c r="B22" s="3246"/>
      <c r="C22" s="3246"/>
      <c r="D22" s="2522">
        <f>'Ввод данных'!C92</f>
        <v>0.6</v>
      </c>
      <c r="E22" s="2451">
        <f>'Ввод данных'!D92</f>
        <v>2</v>
      </c>
      <c r="F22" s="2518">
        <f>'Ввод данных'!E92</f>
        <v>0</v>
      </c>
      <c r="G22" s="2525">
        <f>D22*E22*F22</f>
        <v>0</v>
      </c>
      <c r="H22" s="2503"/>
      <c r="I22" s="2513"/>
      <c r="J22" s="2513"/>
      <c r="K22" s="1195"/>
      <c r="L22" s="1195"/>
      <c r="M22" s="1195"/>
      <c r="N22" s="1195"/>
      <c r="O22" s="1195"/>
      <c r="P22" s="1195"/>
      <c r="Q22" s="1195"/>
      <c r="R22" s="1195"/>
      <c r="S22" s="1195"/>
      <c r="T22" s="1195"/>
      <c r="U22" s="1195"/>
    </row>
    <row r="23" spans="1:21" ht="15" customHeight="1" outlineLevel="1">
      <c r="A23" s="3246" t="s">
        <v>2904</v>
      </c>
      <c r="B23" s="3246"/>
      <c r="C23" s="3246"/>
      <c r="D23" s="2522">
        <f>'Ввод данных'!C95</f>
        <v>0.9</v>
      </c>
      <c r="E23" s="2451">
        <f>'Ввод данных'!D95</f>
        <v>2.1</v>
      </c>
      <c r="F23" s="2518">
        <f>'Ввод данных'!E95</f>
        <v>0</v>
      </c>
      <c r="G23" s="2525">
        <f>D23*E23*F23</f>
        <v>0</v>
      </c>
      <c r="H23" s="2503"/>
      <c r="I23" s="2513"/>
      <c r="J23" s="2513"/>
      <c r="K23" s="1195"/>
      <c r="L23" s="1195"/>
      <c r="M23" s="1195"/>
      <c r="N23" s="1195"/>
      <c r="O23" s="1195"/>
      <c r="P23" s="1195"/>
      <c r="Q23" s="1195"/>
      <c r="R23" s="1195"/>
      <c r="S23" s="1195"/>
      <c r="T23" s="1195"/>
      <c r="U23" s="1195"/>
    </row>
    <row r="24" spans="1:21" ht="15" customHeight="1" outlineLevel="1">
      <c r="A24" s="3246" t="s">
        <v>2905</v>
      </c>
      <c r="B24" s="3246"/>
      <c r="C24" s="3246"/>
      <c r="D24" s="2522">
        <f>'Ввод данных'!C99</f>
        <v>0.8</v>
      </c>
      <c r="E24" s="2451">
        <f>'Ввод данных'!D99</f>
        <v>2.1</v>
      </c>
      <c r="F24" s="2518">
        <f>'Ввод данных'!E99</f>
        <v>0</v>
      </c>
      <c r="G24" s="2525">
        <f>D24*E24*F24</f>
        <v>0</v>
      </c>
      <c r="H24" s="2503"/>
      <c r="I24" s="2513"/>
      <c r="J24" s="2513"/>
      <c r="K24" s="1195"/>
      <c r="L24" s="1195"/>
      <c r="M24" s="1195"/>
      <c r="N24" s="1195"/>
      <c r="O24" s="1195"/>
      <c r="P24" s="1195"/>
      <c r="Q24" s="1195"/>
      <c r="R24" s="1195"/>
      <c r="S24" s="1195"/>
      <c r="T24" s="1195"/>
      <c r="U24" s="1195"/>
    </row>
    <row r="25" spans="1:21" ht="15" customHeight="1" outlineLevel="1">
      <c r="A25" s="3244" t="s">
        <v>3874</v>
      </c>
      <c r="B25" s="3244"/>
      <c r="C25" s="3244"/>
      <c r="D25" s="3244"/>
      <c r="E25" s="3244"/>
      <c r="F25" s="3244"/>
      <c r="G25" s="2525">
        <f>SUM(G21:G24)</f>
        <v>0</v>
      </c>
      <c r="H25" s="2503"/>
      <c r="I25" s="2513"/>
      <c r="J25" s="2513"/>
      <c r="K25" s="1195"/>
      <c r="L25" s="1195"/>
      <c r="M25" s="1195"/>
      <c r="N25" s="1195"/>
      <c r="O25" s="1195"/>
      <c r="P25" s="1195"/>
      <c r="Q25" s="1195"/>
      <c r="R25" s="1195"/>
      <c r="S25" s="1195"/>
      <c r="T25" s="1195"/>
      <c r="U25" s="1195"/>
    </row>
    <row r="26" spans="1:21" ht="15" customHeight="1" outlineLevel="1">
      <c r="A26" s="3245" t="s">
        <v>1217</v>
      </c>
      <c r="B26" s="3245"/>
      <c r="C26" s="3245"/>
      <c r="D26" s="2524" t="s">
        <v>1800</v>
      </c>
      <c r="E26" s="2524" t="s">
        <v>293</v>
      </c>
      <c r="F26" s="2524" t="s">
        <v>1802</v>
      </c>
      <c r="G26" s="2524" t="s">
        <v>2900</v>
      </c>
      <c r="H26" s="2503"/>
      <c r="I26" s="2513"/>
      <c r="J26" s="2513"/>
      <c r="K26" s="1195"/>
      <c r="L26" s="1195"/>
      <c r="M26" s="1195"/>
      <c r="N26" s="1195"/>
      <c r="O26" s="1195"/>
      <c r="P26" s="1195"/>
      <c r="Q26" s="1195"/>
      <c r="R26" s="1195"/>
      <c r="S26" s="1195"/>
      <c r="T26" s="1195"/>
      <c r="U26" s="1195"/>
    </row>
    <row r="27" spans="1:21" ht="15" customHeight="1" outlineLevel="1">
      <c r="A27" s="3246" t="s">
        <v>2902</v>
      </c>
      <c r="B27" s="3246"/>
      <c r="C27" s="3246"/>
      <c r="D27" s="2522">
        <f>'Ввод данных'!C85</f>
        <v>0.8</v>
      </c>
      <c r="E27" s="2451">
        <f>'Ввод данных'!D85</f>
        <v>2</v>
      </c>
      <c r="F27" s="2518">
        <f>'Ввод данных'!E85</f>
        <v>0</v>
      </c>
      <c r="G27" s="2525">
        <f>D27*E27*F27</f>
        <v>0</v>
      </c>
      <c r="H27" s="2503"/>
      <c r="I27" s="2513"/>
      <c r="J27" s="2513"/>
      <c r="K27" s="1195"/>
      <c r="L27" s="1195"/>
      <c r="M27" s="1195"/>
      <c r="N27" s="1195"/>
      <c r="O27" s="1195"/>
      <c r="P27" s="1195"/>
      <c r="Q27" s="1195"/>
      <c r="R27" s="1195"/>
      <c r="S27" s="1195"/>
      <c r="T27" s="1195"/>
      <c r="U27" s="1195"/>
    </row>
    <row r="28" spans="1:21" ht="15" customHeight="1" outlineLevel="1">
      <c r="A28" s="3246" t="s">
        <v>2903</v>
      </c>
      <c r="B28" s="3246"/>
      <c r="C28" s="3246"/>
      <c r="D28" s="2522">
        <f>'Ввод данных'!C86</f>
        <v>0.9</v>
      </c>
      <c r="E28" s="2451">
        <f>'Ввод данных'!D86</f>
        <v>2.1</v>
      </c>
      <c r="F28" s="2518">
        <f>'Ввод данных'!E86</f>
        <v>0</v>
      </c>
      <c r="G28" s="2525">
        <f>D28*E28*F28</f>
        <v>0</v>
      </c>
      <c r="H28" s="2503"/>
      <c r="I28" s="2513"/>
      <c r="J28" s="2513"/>
      <c r="K28" s="1195"/>
      <c r="L28" s="1195"/>
      <c r="M28" s="1195"/>
      <c r="N28" s="1195"/>
      <c r="O28" s="1195"/>
      <c r="P28" s="1195"/>
      <c r="Q28" s="1195"/>
      <c r="R28" s="1195"/>
      <c r="S28" s="1195"/>
      <c r="T28" s="1195"/>
      <c r="U28" s="1195"/>
    </row>
    <row r="29" spans="1:21" ht="15" customHeight="1" outlineLevel="1">
      <c r="A29" s="3246" t="s">
        <v>2904</v>
      </c>
      <c r="B29" s="3246"/>
      <c r="C29" s="3246"/>
      <c r="D29" s="2522">
        <f>'Ввод данных'!C87</f>
        <v>1</v>
      </c>
      <c r="E29" s="2451">
        <f>'Ввод данных'!D87</f>
        <v>2</v>
      </c>
      <c r="F29" s="2518">
        <f>'Ввод данных'!E87</f>
        <v>0</v>
      </c>
      <c r="G29" s="2525">
        <f>D29*E29*F29</f>
        <v>0</v>
      </c>
      <c r="H29" s="2503"/>
      <c r="I29" s="2513"/>
      <c r="J29" s="2513"/>
      <c r="K29" s="1195"/>
      <c r="L29" s="1195"/>
      <c r="M29" s="1195"/>
      <c r="N29" s="1195"/>
      <c r="O29" s="1195"/>
      <c r="P29" s="1195"/>
      <c r="Q29" s="1195"/>
      <c r="R29" s="1195"/>
      <c r="S29" s="1195"/>
      <c r="T29" s="1195"/>
      <c r="U29" s="1195"/>
    </row>
    <row r="30" spans="1:21" ht="15" customHeight="1" outlineLevel="1">
      <c r="A30" s="3244" t="s">
        <v>2898</v>
      </c>
      <c r="B30" s="3244"/>
      <c r="C30" s="3244"/>
      <c r="D30" s="3244"/>
      <c r="E30" s="3244"/>
      <c r="F30" s="3244"/>
      <c r="G30" s="2525">
        <f>SUM(G27:G29)</f>
        <v>0</v>
      </c>
      <c r="H30" s="2503"/>
      <c r="I30" s="2513"/>
      <c r="J30" s="2513"/>
      <c r="K30" s="1195"/>
      <c r="L30" s="1195"/>
      <c r="M30" s="1195"/>
      <c r="N30" s="1195"/>
      <c r="O30" s="1195"/>
      <c r="P30" s="1195"/>
      <c r="Q30" s="1195"/>
      <c r="R30" s="1195"/>
      <c r="S30" s="1195"/>
      <c r="T30" s="1195"/>
      <c r="U30" s="1195"/>
    </row>
    <row r="31" spans="1:21" ht="15" customHeight="1" outlineLevel="1">
      <c r="A31" s="2526"/>
      <c r="B31" s="2526"/>
      <c r="C31" s="2526"/>
      <c r="D31" s="2526"/>
      <c r="E31" s="2504"/>
      <c r="F31" s="2504"/>
      <c r="G31" s="2504"/>
      <c r="H31" s="2513"/>
      <c r="I31" s="2513"/>
      <c r="J31" s="2513"/>
      <c r="K31" s="1195"/>
      <c r="L31" s="1195"/>
      <c r="M31" s="1195"/>
      <c r="N31" s="1195"/>
      <c r="O31" s="1195"/>
      <c r="P31" s="1195"/>
      <c r="Q31" s="1195"/>
      <c r="R31" s="1195"/>
      <c r="S31" s="1195"/>
      <c r="T31" s="1195"/>
      <c r="U31" s="1195"/>
    </row>
    <row r="32" spans="1:21" ht="15" customHeight="1" outlineLevel="1">
      <c r="A32" s="3247" t="s">
        <v>1236</v>
      </c>
      <c r="B32" s="3247"/>
      <c r="C32" s="2515" t="s">
        <v>208</v>
      </c>
      <c r="D32" s="2515" t="s">
        <v>853</v>
      </c>
      <c r="E32" s="2527" t="s">
        <v>1802</v>
      </c>
      <c r="F32" s="2520" t="s">
        <v>853</v>
      </c>
      <c r="G32" s="2504"/>
      <c r="H32" s="2513"/>
      <c r="I32" s="2513"/>
      <c r="J32" s="2513"/>
      <c r="K32" s="1195"/>
      <c r="L32" s="1195"/>
      <c r="M32" s="1195"/>
      <c r="N32" s="1195"/>
      <c r="O32" s="1195"/>
      <c r="P32" s="1195"/>
      <c r="Q32" s="1195"/>
      <c r="R32" s="1195"/>
      <c r="S32" s="1195"/>
      <c r="T32" s="1195"/>
      <c r="U32" s="1195"/>
    </row>
    <row r="33" spans="1:21" ht="15" customHeight="1" outlineLevel="1">
      <c r="A33" s="3248" t="s">
        <v>1862</v>
      </c>
      <c r="B33" s="3248"/>
      <c r="C33" s="2528" t="s">
        <v>156</v>
      </c>
      <c r="D33" s="2522">
        <f>'Ввод данных'!C112</f>
        <v>6</v>
      </c>
      <c r="E33" s="2451">
        <f>'Ввод данных'!D112</f>
        <v>2</v>
      </c>
      <c r="F33" s="2525">
        <f t="shared" ref="F33:F64" si="0">D33*E33</f>
        <v>12</v>
      </c>
      <c r="G33" s="2504"/>
      <c r="H33" s="2513"/>
      <c r="I33" s="2513"/>
      <c r="J33" s="2513"/>
      <c r="K33" s="1195"/>
      <c r="L33" s="1195"/>
      <c r="M33" s="1195"/>
      <c r="N33" s="1195"/>
      <c r="O33" s="1195"/>
      <c r="P33" s="1195"/>
      <c r="Q33" s="1195"/>
      <c r="R33" s="1195"/>
      <c r="S33" s="1195"/>
      <c r="T33" s="1195"/>
      <c r="U33" s="1195"/>
    </row>
    <row r="34" spans="1:21" ht="15" customHeight="1" outlineLevel="1">
      <c r="A34" s="3248"/>
      <c r="B34" s="3248"/>
      <c r="C34" s="2528" t="s">
        <v>156</v>
      </c>
      <c r="D34" s="2522">
        <f>'Ввод данных'!C113</f>
        <v>4</v>
      </c>
      <c r="E34" s="2451">
        <f>'Ввод данных'!D113</f>
        <v>1</v>
      </c>
      <c r="F34" s="2525">
        <f t="shared" si="0"/>
        <v>4</v>
      </c>
      <c r="G34" s="2504"/>
      <c r="H34" s="2513"/>
      <c r="I34" s="2513"/>
      <c r="J34" s="2513"/>
      <c r="K34" s="1195"/>
      <c r="L34" s="1195"/>
      <c r="M34" s="1195"/>
      <c r="N34" s="1195"/>
      <c r="O34" s="1195"/>
      <c r="P34" s="1195"/>
      <c r="Q34" s="1195"/>
      <c r="R34" s="1195"/>
      <c r="S34" s="1195"/>
      <c r="T34" s="1195"/>
      <c r="U34" s="1195"/>
    </row>
    <row r="35" spans="1:21" ht="15" customHeight="1" outlineLevel="1">
      <c r="A35" s="3248"/>
      <c r="B35" s="3248"/>
      <c r="C35" s="2528" t="s">
        <v>156</v>
      </c>
      <c r="D35" s="2522">
        <f>'Ввод данных'!C114</f>
        <v>0</v>
      </c>
      <c r="E35" s="2451">
        <f>'Ввод данных'!D114</f>
        <v>0</v>
      </c>
      <c r="F35" s="2525">
        <f t="shared" si="0"/>
        <v>0</v>
      </c>
      <c r="G35" s="2504"/>
      <c r="H35" s="2513"/>
      <c r="I35" s="2513"/>
      <c r="J35" s="2513"/>
      <c r="K35" s="1195"/>
      <c r="L35" s="1195"/>
      <c r="M35" s="1195"/>
      <c r="N35" s="1195"/>
      <c r="O35" s="1195"/>
      <c r="P35" s="1195"/>
      <c r="Q35" s="1195"/>
      <c r="R35" s="1195"/>
      <c r="S35" s="1195"/>
      <c r="T35" s="1195"/>
      <c r="U35" s="1195"/>
    </row>
    <row r="36" spans="1:21" ht="15" customHeight="1" outlineLevel="1">
      <c r="A36" s="3248"/>
      <c r="B36" s="3248"/>
      <c r="C36" s="2528" t="s">
        <v>156</v>
      </c>
      <c r="D36" s="2522">
        <f>'Ввод данных'!C115</f>
        <v>0</v>
      </c>
      <c r="E36" s="2451">
        <f>'Ввод данных'!D115</f>
        <v>0</v>
      </c>
      <c r="F36" s="2525">
        <f t="shared" si="0"/>
        <v>0</v>
      </c>
      <c r="G36" s="2504"/>
      <c r="H36" s="2513"/>
      <c r="I36" s="2513"/>
      <c r="J36" s="2513"/>
      <c r="K36" s="1195"/>
      <c r="L36" s="1195"/>
      <c r="M36" s="1195"/>
      <c r="N36" s="1195"/>
      <c r="O36" s="1195"/>
      <c r="P36" s="1195"/>
      <c r="Q36" s="1195"/>
      <c r="R36" s="1195"/>
      <c r="S36" s="1195"/>
      <c r="T36" s="1195"/>
      <c r="U36" s="1195"/>
    </row>
    <row r="37" spans="1:21" ht="15" customHeight="1" outlineLevel="1">
      <c r="A37" s="3248" t="s">
        <v>1866</v>
      </c>
      <c r="B37" s="3248"/>
      <c r="C37" s="2528" t="s">
        <v>156</v>
      </c>
      <c r="D37" s="2522">
        <f>'Ввод данных'!C116</f>
        <v>1.8</v>
      </c>
      <c r="E37" s="2451">
        <f>'Ввод данных'!D116</f>
        <v>1</v>
      </c>
      <c r="F37" s="2525">
        <f t="shared" si="0"/>
        <v>1.8</v>
      </c>
      <c r="G37" s="2504"/>
      <c r="H37" s="2513"/>
      <c r="I37" s="2513"/>
      <c r="J37" s="2504"/>
      <c r="K37" s="1195"/>
      <c r="L37" s="1195"/>
      <c r="M37" s="1195"/>
      <c r="N37" s="1195"/>
      <c r="O37" s="1195"/>
      <c r="P37" s="1195"/>
      <c r="Q37" s="1195"/>
      <c r="R37" s="1195"/>
      <c r="S37" s="1195"/>
      <c r="T37" s="1195"/>
      <c r="U37" s="1195"/>
    </row>
    <row r="38" spans="1:21" ht="15" customHeight="1" outlineLevel="1">
      <c r="A38" s="3248"/>
      <c r="B38" s="3248"/>
      <c r="C38" s="2528" t="s">
        <v>156</v>
      </c>
      <c r="D38" s="2522">
        <f>'Ввод данных'!C117</f>
        <v>0</v>
      </c>
      <c r="E38" s="2451">
        <f>'Ввод данных'!D117</f>
        <v>0</v>
      </c>
      <c r="F38" s="2525">
        <f t="shared" si="0"/>
        <v>0</v>
      </c>
      <c r="G38" s="2504"/>
      <c r="H38" s="2513"/>
      <c r="I38" s="2504"/>
      <c r="J38" s="2504"/>
      <c r="K38" s="1195"/>
      <c r="L38" s="1195"/>
      <c r="M38" s="1195"/>
      <c r="N38" s="1195"/>
      <c r="O38" s="1195"/>
      <c r="P38" s="1195"/>
      <c r="Q38" s="1195"/>
      <c r="R38" s="1195"/>
      <c r="S38" s="1195"/>
      <c r="T38" s="1195"/>
      <c r="U38" s="1195"/>
    </row>
    <row r="39" spans="1:21" ht="15" customHeight="1" outlineLevel="1">
      <c r="A39" s="3248"/>
      <c r="B39" s="3248"/>
      <c r="C39" s="2528" t="s">
        <v>156</v>
      </c>
      <c r="D39" s="2522">
        <f>'Ввод данных'!C118</f>
        <v>0</v>
      </c>
      <c r="E39" s="2451">
        <f>'Ввод данных'!D118</f>
        <v>0</v>
      </c>
      <c r="F39" s="2525">
        <f t="shared" si="0"/>
        <v>0</v>
      </c>
      <c r="G39" s="2504"/>
      <c r="H39" s="2513"/>
      <c r="I39" s="2513"/>
      <c r="J39" s="2504"/>
      <c r="K39" s="1195"/>
      <c r="L39" s="1195"/>
      <c r="M39" s="1195"/>
      <c r="N39" s="1195"/>
      <c r="O39" s="1195"/>
      <c r="P39" s="1195"/>
      <c r="Q39" s="1195"/>
      <c r="R39" s="1195"/>
      <c r="S39" s="1195"/>
      <c r="T39" s="1195"/>
      <c r="U39" s="1195"/>
    </row>
    <row r="40" spans="1:21" ht="15" customHeight="1" outlineLevel="1">
      <c r="A40" s="3248"/>
      <c r="B40" s="3248"/>
      <c r="C40" s="2528" t="s">
        <v>156</v>
      </c>
      <c r="D40" s="2522">
        <f>'Ввод данных'!C119</f>
        <v>0</v>
      </c>
      <c r="E40" s="2451">
        <f>'Ввод данных'!D119</f>
        <v>0</v>
      </c>
      <c r="F40" s="2525">
        <f t="shared" si="0"/>
        <v>0</v>
      </c>
      <c r="G40" s="2504"/>
      <c r="H40" s="2513"/>
      <c r="I40" s="2504"/>
      <c r="J40" s="2504"/>
      <c r="K40" s="1195"/>
      <c r="L40" s="1195"/>
      <c r="M40" s="1195"/>
      <c r="N40" s="1195"/>
      <c r="O40" s="1195"/>
      <c r="P40" s="1195"/>
      <c r="Q40" s="1195"/>
      <c r="R40" s="1195"/>
      <c r="S40" s="1195"/>
      <c r="T40" s="1195"/>
      <c r="U40" s="1195"/>
    </row>
    <row r="41" spans="1:21" ht="15" customHeight="1" outlineLevel="1">
      <c r="A41" s="3248" t="s">
        <v>1867</v>
      </c>
      <c r="B41" s="3248"/>
      <c r="C41" s="2528" t="s">
        <v>156</v>
      </c>
      <c r="D41" s="2522">
        <f>'Ввод данных'!C120</f>
        <v>0</v>
      </c>
      <c r="E41" s="2451">
        <f>'Ввод данных'!D120</f>
        <v>0</v>
      </c>
      <c r="F41" s="2525">
        <f t="shared" si="0"/>
        <v>0</v>
      </c>
      <c r="G41" s="2504"/>
      <c r="H41" s="2513"/>
      <c r="I41" s="2504"/>
      <c r="J41" s="2504"/>
      <c r="K41" s="1195"/>
      <c r="L41" s="1195"/>
      <c r="M41" s="1195"/>
      <c r="N41" s="1195"/>
      <c r="O41" s="1195"/>
      <c r="P41" s="1195"/>
      <c r="Q41" s="1195"/>
      <c r="R41" s="1195"/>
      <c r="S41" s="1195"/>
      <c r="T41" s="1195"/>
      <c r="U41" s="1195"/>
    </row>
    <row r="42" spans="1:21" ht="15" customHeight="1" outlineLevel="1">
      <c r="A42" s="3248"/>
      <c r="B42" s="3248"/>
      <c r="C42" s="2528" t="s">
        <v>156</v>
      </c>
      <c r="D42" s="2522">
        <f>'Ввод данных'!C121</f>
        <v>0</v>
      </c>
      <c r="E42" s="2451">
        <f>'Ввод данных'!D121</f>
        <v>0</v>
      </c>
      <c r="F42" s="2525">
        <f t="shared" si="0"/>
        <v>0</v>
      </c>
      <c r="G42" s="2504"/>
      <c r="H42" s="2513"/>
      <c r="I42" s="2504"/>
      <c r="J42" s="2504"/>
      <c r="K42" s="1195"/>
      <c r="L42" s="1195"/>
      <c r="M42" s="1195"/>
      <c r="N42" s="1195"/>
      <c r="O42" s="1195"/>
      <c r="P42" s="1195"/>
      <c r="Q42" s="1195"/>
      <c r="R42" s="1195"/>
      <c r="S42" s="1195"/>
      <c r="T42" s="1195"/>
      <c r="U42" s="1195"/>
    </row>
    <row r="43" spans="1:21" ht="15" customHeight="1" outlineLevel="1">
      <c r="A43" s="3248"/>
      <c r="B43" s="3248"/>
      <c r="C43" s="2528" t="s">
        <v>156</v>
      </c>
      <c r="D43" s="2522">
        <f>'Ввод данных'!C122</f>
        <v>0</v>
      </c>
      <c r="E43" s="2451">
        <f>'Ввод данных'!D122</f>
        <v>0</v>
      </c>
      <c r="F43" s="2525">
        <f t="shared" si="0"/>
        <v>0</v>
      </c>
      <c r="G43" s="2504"/>
      <c r="H43" s="2513"/>
      <c r="I43" s="2529"/>
      <c r="J43" s="2504"/>
      <c r="K43" s="1195"/>
      <c r="L43" s="1195"/>
      <c r="M43" s="1195"/>
      <c r="N43" s="1195"/>
      <c r="O43" s="1195"/>
      <c r="P43" s="1195"/>
      <c r="Q43" s="1195"/>
      <c r="R43" s="1195"/>
      <c r="S43" s="1195"/>
      <c r="T43" s="1195"/>
      <c r="U43" s="1195"/>
    </row>
    <row r="44" spans="1:21" ht="15" customHeight="1" outlineLevel="1">
      <c r="A44" s="3248"/>
      <c r="B44" s="3248"/>
      <c r="C44" s="2528" t="s">
        <v>156</v>
      </c>
      <c r="D44" s="2522">
        <f>'Ввод данных'!C123</f>
        <v>0</v>
      </c>
      <c r="E44" s="2451">
        <f>'Ввод данных'!D123</f>
        <v>0</v>
      </c>
      <c r="F44" s="2525">
        <f t="shared" si="0"/>
        <v>0</v>
      </c>
      <c r="G44" s="2504"/>
      <c r="H44" s="2513"/>
      <c r="I44" s="2504"/>
      <c r="J44" s="2504"/>
      <c r="K44" s="1195"/>
      <c r="L44" s="1195"/>
      <c r="M44" s="1195"/>
      <c r="N44" s="1195"/>
      <c r="O44" s="1195"/>
      <c r="P44" s="1195"/>
      <c r="Q44" s="1195"/>
      <c r="R44" s="1195"/>
      <c r="S44" s="1195"/>
      <c r="T44" s="1195"/>
      <c r="U44" s="1195"/>
    </row>
    <row r="45" spans="1:21" ht="15" customHeight="1" outlineLevel="1">
      <c r="A45" s="3248" t="s">
        <v>1869</v>
      </c>
      <c r="B45" s="3248"/>
      <c r="C45" s="2528" t="s">
        <v>156</v>
      </c>
      <c r="D45" s="2522">
        <f>'Ввод данных'!C124</f>
        <v>3</v>
      </c>
      <c r="E45" s="2451">
        <f>'Ввод данных'!D124</f>
        <v>2</v>
      </c>
      <c r="F45" s="2525">
        <f t="shared" si="0"/>
        <v>6</v>
      </c>
      <c r="G45" s="2504"/>
      <c r="H45" s="2513"/>
      <c r="I45" s="2504"/>
      <c r="J45" s="2504"/>
      <c r="K45" s="1195"/>
      <c r="L45" s="1195"/>
      <c r="M45" s="1195"/>
      <c r="N45" s="1195"/>
      <c r="O45" s="1195"/>
      <c r="P45" s="1195"/>
      <c r="Q45" s="1195"/>
      <c r="R45" s="1195"/>
      <c r="S45" s="1195"/>
      <c r="T45" s="1195"/>
      <c r="U45" s="1195"/>
    </row>
    <row r="46" spans="1:21" ht="15" customHeight="1" outlineLevel="1">
      <c r="A46" s="3248"/>
      <c r="B46" s="3248"/>
      <c r="C46" s="2528" t="s">
        <v>156</v>
      </c>
      <c r="D46" s="2522">
        <f>'Ввод данных'!C125</f>
        <v>0</v>
      </c>
      <c r="E46" s="2451">
        <f>'Ввод данных'!D125</f>
        <v>0</v>
      </c>
      <c r="F46" s="2525">
        <f t="shared" si="0"/>
        <v>0</v>
      </c>
      <c r="G46" s="2504"/>
      <c r="H46" s="2530"/>
      <c r="I46" s="2504"/>
      <c r="J46" s="2504"/>
      <c r="K46" s="1195"/>
      <c r="L46" s="1195"/>
      <c r="M46" s="1195"/>
      <c r="N46" s="1195"/>
      <c r="O46" s="1195"/>
      <c r="P46" s="1195"/>
      <c r="Q46" s="1195"/>
      <c r="R46" s="1195"/>
      <c r="S46" s="1195"/>
      <c r="T46" s="1195"/>
      <c r="U46" s="1195"/>
    </row>
    <row r="47" spans="1:21" ht="15" customHeight="1" outlineLevel="1">
      <c r="A47" s="3248"/>
      <c r="B47" s="3248"/>
      <c r="C47" s="2528" t="s">
        <v>156</v>
      </c>
      <c r="D47" s="2522">
        <f>'Ввод данных'!C126</f>
        <v>0</v>
      </c>
      <c r="E47" s="2451">
        <f>'Ввод данных'!D126</f>
        <v>0</v>
      </c>
      <c r="F47" s="2525">
        <f t="shared" si="0"/>
        <v>0</v>
      </c>
      <c r="G47" s="2504"/>
      <c r="H47" s="2530"/>
      <c r="I47" s="2504"/>
      <c r="J47" s="2504"/>
      <c r="K47" s="1195"/>
      <c r="L47" s="1195"/>
      <c r="M47" s="1195"/>
      <c r="N47" s="1195"/>
      <c r="O47" s="1195"/>
      <c r="P47" s="1195"/>
      <c r="Q47" s="1195"/>
      <c r="R47" s="1195"/>
      <c r="S47" s="1195"/>
      <c r="T47" s="1195"/>
      <c r="U47" s="1195"/>
    </row>
    <row r="48" spans="1:21" ht="15" customHeight="1" outlineLevel="1">
      <c r="A48" s="3248"/>
      <c r="B48" s="3248"/>
      <c r="C48" s="2528" t="s">
        <v>156</v>
      </c>
      <c r="D48" s="2522">
        <f>'Ввод данных'!C127</f>
        <v>0</v>
      </c>
      <c r="E48" s="2451">
        <f>'Ввод данных'!D127</f>
        <v>0</v>
      </c>
      <c r="F48" s="2525">
        <f t="shared" si="0"/>
        <v>0</v>
      </c>
      <c r="G48" s="2504"/>
      <c r="H48" s="2530"/>
      <c r="I48" s="2504"/>
      <c r="J48" s="2504"/>
      <c r="K48" s="1195"/>
      <c r="L48" s="1195"/>
      <c r="M48" s="1195"/>
      <c r="N48" s="1195"/>
      <c r="O48" s="1195"/>
      <c r="P48" s="1195"/>
      <c r="Q48" s="1195"/>
      <c r="R48" s="1195"/>
      <c r="S48" s="1195"/>
      <c r="T48" s="1195"/>
      <c r="U48" s="1195"/>
    </row>
    <row r="49" spans="1:21" ht="15" customHeight="1" outlineLevel="1">
      <c r="A49" s="3248" t="s">
        <v>1870</v>
      </c>
      <c r="B49" s="3248"/>
      <c r="C49" s="2528" t="s">
        <v>156</v>
      </c>
      <c r="D49" s="2522">
        <f>'Ввод данных'!C128</f>
        <v>3.5</v>
      </c>
      <c r="E49" s="2451">
        <f>'Ввод данных'!D128</f>
        <v>1</v>
      </c>
      <c r="F49" s="2525">
        <f t="shared" si="0"/>
        <v>3.5</v>
      </c>
      <c r="G49" s="2531"/>
      <c r="H49" s="2532"/>
      <c r="I49" s="3249" t="s">
        <v>1906</v>
      </c>
      <c r="J49" s="2504"/>
      <c r="K49" s="1195"/>
      <c r="L49" s="1195"/>
      <c r="M49" s="1195"/>
      <c r="N49" s="1195"/>
      <c r="O49" s="1195"/>
      <c r="P49" s="1195"/>
      <c r="Q49" s="1195"/>
      <c r="R49" s="1195"/>
      <c r="S49" s="1195"/>
      <c r="T49" s="1195"/>
      <c r="U49" s="1195"/>
    </row>
    <row r="50" spans="1:21" ht="15" customHeight="1" outlineLevel="1">
      <c r="A50" s="3248"/>
      <c r="B50" s="3248"/>
      <c r="C50" s="2528" t="s">
        <v>156</v>
      </c>
      <c r="D50" s="2522">
        <f>'Ввод данных'!C129</f>
        <v>0</v>
      </c>
      <c r="E50" s="2451">
        <f>'Ввод данных'!D129</f>
        <v>0</v>
      </c>
      <c r="F50" s="2525">
        <f t="shared" si="0"/>
        <v>0</v>
      </c>
      <c r="G50" s="2531"/>
      <c r="H50" s="2532"/>
      <c r="I50" s="3249"/>
      <c r="J50" s="2504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</row>
    <row r="51" spans="1:21" ht="15" customHeight="1" outlineLevel="1">
      <c r="A51" s="3248"/>
      <c r="B51" s="3248"/>
      <c r="C51" s="2528" t="s">
        <v>156</v>
      </c>
      <c r="D51" s="2522">
        <f>'Ввод данных'!C130</f>
        <v>0</v>
      </c>
      <c r="E51" s="2451">
        <f>'Ввод данных'!D130</f>
        <v>0</v>
      </c>
      <c r="F51" s="2525">
        <f t="shared" si="0"/>
        <v>0</v>
      </c>
      <c r="G51" s="2531"/>
      <c r="H51" s="2532"/>
      <c r="I51" s="3249"/>
      <c r="J51" s="2504"/>
      <c r="K51" s="1195"/>
      <c r="L51" s="1195"/>
      <c r="M51" s="1195"/>
      <c r="N51" s="1195"/>
      <c r="O51" s="1195"/>
      <c r="P51" s="1195"/>
      <c r="Q51" s="1195"/>
      <c r="R51" s="1195"/>
      <c r="S51" s="1195"/>
      <c r="T51" s="1195"/>
      <c r="U51" s="1195"/>
    </row>
    <row r="52" spans="1:21" ht="15" customHeight="1" outlineLevel="1">
      <c r="A52" s="3248"/>
      <c r="B52" s="3248"/>
      <c r="C52" s="2528" t="s">
        <v>156</v>
      </c>
      <c r="D52" s="2522">
        <f>'Ввод данных'!C131</f>
        <v>0</v>
      </c>
      <c r="E52" s="2451">
        <f>'Ввод данных'!D131</f>
        <v>0</v>
      </c>
      <c r="F52" s="2525">
        <f t="shared" si="0"/>
        <v>0</v>
      </c>
      <c r="G52" s="2533"/>
      <c r="H52" s="2533"/>
      <c r="I52" s="3249"/>
      <c r="J52" s="2504"/>
      <c r="K52" s="1195"/>
      <c r="L52" s="1195"/>
      <c r="M52" s="1195"/>
      <c r="N52" s="1195"/>
      <c r="O52" s="1195"/>
      <c r="P52" s="1195"/>
      <c r="Q52" s="1195"/>
      <c r="R52" s="1195"/>
      <c r="S52" s="1195"/>
      <c r="T52" s="1195"/>
      <c r="U52" s="1195"/>
    </row>
    <row r="53" spans="1:21" ht="15" customHeight="1" outlineLevel="1">
      <c r="A53" s="3248" t="s">
        <v>1872</v>
      </c>
      <c r="B53" s="3248"/>
      <c r="C53" s="2528" t="s">
        <v>156</v>
      </c>
      <c r="D53" s="2522">
        <f>'Ввод данных'!C132</f>
        <v>0</v>
      </c>
      <c r="E53" s="2451">
        <f>'Ввод данных'!D132</f>
        <v>0</v>
      </c>
      <c r="F53" s="2525">
        <f t="shared" si="0"/>
        <v>0</v>
      </c>
      <c r="G53" s="2504"/>
      <c r="H53" s="2530"/>
      <c r="I53" s="3249"/>
      <c r="J53" s="2504"/>
      <c r="K53" s="1195"/>
      <c r="L53" s="1195"/>
      <c r="M53" s="1195"/>
      <c r="N53" s="1195"/>
      <c r="O53" s="1195"/>
      <c r="P53" s="1195"/>
      <c r="Q53" s="1195"/>
      <c r="R53" s="1195"/>
      <c r="S53" s="1195"/>
      <c r="T53" s="1195"/>
      <c r="U53" s="1195"/>
    </row>
    <row r="54" spans="1:21" ht="15" customHeight="1" outlineLevel="1">
      <c r="A54" s="3248"/>
      <c r="B54" s="3248"/>
      <c r="C54" s="2528" t="s">
        <v>156</v>
      </c>
      <c r="D54" s="2522">
        <f>'Ввод данных'!C133</f>
        <v>0</v>
      </c>
      <c r="E54" s="2451">
        <f>'Ввод данных'!D133</f>
        <v>0</v>
      </c>
      <c r="F54" s="2525">
        <f t="shared" si="0"/>
        <v>0</v>
      </c>
      <c r="G54" s="2504"/>
      <c r="H54" s="2530"/>
      <c r="I54" s="3249"/>
      <c r="J54" s="2504"/>
      <c r="K54" s="1195"/>
      <c r="L54" s="1195"/>
      <c r="M54" s="1195"/>
      <c r="N54" s="1195"/>
      <c r="O54" s="1195"/>
      <c r="P54" s="1195"/>
      <c r="Q54" s="1195"/>
      <c r="R54" s="1195"/>
      <c r="S54" s="1195"/>
      <c r="T54" s="1195"/>
      <c r="U54" s="1195"/>
    </row>
    <row r="55" spans="1:21" ht="15" customHeight="1" outlineLevel="1">
      <c r="A55" s="3248"/>
      <c r="B55" s="3248"/>
      <c r="C55" s="2528" t="s">
        <v>156</v>
      </c>
      <c r="D55" s="2522">
        <f>'Ввод данных'!C134</f>
        <v>0</v>
      </c>
      <c r="E55" s="2451">
        <f>'Ввод данных'!D134</f>
        <v>0</v>
      </c>
      <c r="F55" s="2525">
        <f t="shared" si="0"/>
        <v>0</v>
      </c>
      <c r="G55" s="2504"/>
      <c r="H55" s="2530"/>
      <c r="I55" s="3249"/>
      <c r="J55" s="2504"/>
      <c r="K55" s="1195"/>
      <c r="L55" s="1195"/>
      <c r="M55" s="1195"/>
      <c r="N55" s="1195"/>
      <c r="O55" s="1195"/>
      <c r="P55" s="1195"/>
      <c r="Q55" s="1195"/>
      <c r="R55" s="1195"/>
      <c r="S55" s="1195"/>
      <c r="T55" s="1195"/>
      <c r="U55" s="1195"/>
    </row>
    <row r="56" spans="1:21" ht="15" customHeight="1" outlineLevel="1">
      <c r="A56" s="3248"/>
      <c r="B56" s="3248"/>
      <c r="C56" s="2528" t="s">
        <v>156</v>
      </c>
      <c r="D56" s="2522">
        <f>'Ввод данных'!C135</f>
        <v>0</v>
      </c>
      <c r="E56" s="2451">
        <f>'Ввод данных'!D135</f>
        <v>0</v>
      </c>
      <c r="F56" s="2525">
        <f t="shared" si="0"/>
        <v>0</v>
      </c>
      <c r="G56" s="2504"/>
      <c r="H56" s="2534"/>
      <c r="I56" s="3249"/>
      <c r="J56" s="2504"/>
      <c r="K56" s="1195"/>
      <c r="L56" s="1195"/>
      <c r="M56" s="1195"/>
      <c r="N56" s="1195"/>
      <c r="O56" s="1195"/>
      <c r="P56" s="1195"/>
      <c r="Q56" s="1195"/>
      <c r="R56" s="1195"/>
      <c r="S56" s="1195"/>
      <c r="T56" s="1195"/>
      <c r="U56" s="1195"/>
    </row>
    <row r="57" spans="1:21" ht="15" customHeight="1" outlineLevel="1">
      <c r="A57" s="3248" t="s">
        <v>1875</v>
      </c>
      <c r="B57" s="3248"/>
      <c r="C57" s="2528" t="s">
        <v>156</v>
      </c>
      <c r="D57" s="2522">
        <f>'Ввод данных'!C136</f>
        <v>4</v>
      </c>
      <c r="E57" s="2451">
        <f>'Ввод данных'!D136</f>
        <v>1</v>
      </c>
      <c r="F57" s="2525">
        <f t="shared" si="0"/>
        <v>4</v>
      </c>
      <c r="G57" s="2504"/>
      <c r="H57" s="2534"/>
      <c r="I57" s="2504"/>
      <c r="J57" s="2504"/>
      <c r="K57" s="1195"/>
      <c r="L57" s="1195"/>
      <c r="M57" s="1195"/>
      <c r="N57" s="1195"/>
      <c r="O57" s="1195"/>
      <c r="P57" s="1195"/>
      <c r="Q57" s="1195"/>
      <c r="R57" s="1195"/>
      <c r="S57" s="1195"/>
      <c r="T57" s="1195"/>
      <c r="U57" s="1195"/>
    </row>
    <row r="58" spans="1:21" ht="15" customHeight="1" outlineLevel="1">
      <c r="A58" s="3248"/>
      <c r="B58" s="3248"/>
      <c r="C58" s="2528" t="s">
        <v>156</v>
      </c>
      <c r="D58" s="2522">
        <f>'Ввод данных'!C137</f>
        <v>2</v>
      </c>
      <c r="E58" s="2451">
        <f>'Ввод данных'!D137</f>
        <v>1</v>
      </c>
      <c r="F58" s="2525">
        <f t="shared" si="0"/>
        <v>2</v>
      </c>
      <c r="G58" s="2504"/>
      <c r="H58" s="2534"/>
      <c r="I58" s="2504"/>
      <c r="J58" s="2504"/>
      <c r="K58" s="1195"/>
      <c r="L58" s="1195"/>
      <c r="M58" s="1195"/>
      <c r="N58" s="1195"/>
      <c r="O58" s="1195"/>
      <c r="P58" s="1195"/>
      <c r="Q58" s="1195"/>
      <c r="R58" s="1195"/>
      <c r="S58" s="1195"/>
      <c r="T58" s="1195"/>
      <c r="U58" s="1195"/>
    </row>
    <row r="59" spans="1:21" ht="15" customHeight="1" outlineLevel="1">
      <c r="A59" s="3248"/>
      <c r="B59" s="3248"/>
      <c r="C59" s="2528" t="s">
        <v>156</v>
      </c>
      <c r="D59" s="2522">
        <f>'Ввод данных'!C138</f>
        <v>3</v>
      </c>
      <c r="E59" s="2451">
        <f>'Ввод данных'!D138</f>
        <v>1</v>
      </c>
      <c r="F59" s="2525">
        <f t="shared" si="0"/>
        <v>3</v>
      </c>
      <c r="G59" s="2504"/>
      <c r="H59" s="2534"/>
      <c r="I59" s="2504"/>
      <c r="J59" s="2504"/>
      <c r="K59" s="1195"/>
      <c r="L59" s="1195"/>
      <c r="M59" s="1195"/>
      <c r="N59" s="1195"/>
      <c r="O59" s="1195"/>
      <c r="P59" s="1195"/>
      <c r="Q59" s="1195"/>
      <c r="R59" s="1195"/>
      <c r="S59" s="1195"/>
      <c r="T59" s="1195"/>
      <c r="U59" s="1195"/>
    </row>
    <row r="60" spans="1:21" ht="15" customHeight="1" outlineLevel="1">
      <c r="A60" s="3248"/>
      <c r="B60" s="3248"/>
      <c r="C60" s="2528" t="s">
        <v>156</v>
      </c>
      <c r="D60" s="2522">
        <f>'Ввод данных'!C139</f>
        <v>0</v>
      </c>
      <c r="E60" s="2451">
        <f>'Ввод данных'!D139</f>
        <v>0</v>
      </c>
      <c r="F60" s="2525">
        <f t="shared" si="0"/>
        <v>0</v>
      </c>
      <c r="G60" s="2504"/>
      <c r="H60" s="2534"/>
      <c r="I60" s="2529"/>
      <c r="J60" s="2504"/>
      <c r="K60" s="1195"/>
      <c r="L60" s="1195"/>
      <c r="M60" s="1195"/>
      <c r="N60" s="1195"/>
      <c r="O60" s="1195"/>
      <c r="P60" s="1195"/>
      <c r="Q60" s="1195"/>
      <c r="R60" s="1195"/>
      <c r="S60" s="1195"/>
      <c r="T60" s="1195"/>
      <c r="U60" s="1195"/>
    </row>
    <row r="61" spans="1:21" ht="15" customHeight="1" outlineLevel="1">
      <c r="A61" s="3248" t="s">
        <v>1880</v>
      </c>
      <c r="B61" s="3248"/>
      <c r="C61" s="2528" t="s">
        <v>156</v>
      </c>
      <c r="D61" s="2522">
        <f>'Ввод данных'!C140</f>
        <v>0</v>
      </c>
      <c r="E61" s="2451">
        <f>'Ввод данных'!D140</f>
        <v>0</v>
      </c>
      <c r="F61" s="2525">
        <f t="shared" si="0"/>
        <v>0</v>
      </c>
      <c r="G61" s="2504"/>
      <c r="H61" s="2534"/>
      <c r="I61" s="2504"/>
      <c r="J61" s="2535"/>
      <c r="K61" s="1195"/>
      <c r="L61" s="1195"/>
      <c r="M61" s="1195"/>
      <c r="N61" s="1195"/>
      <c r="O61" s="1195"/>
      <c r="P61" s="1195"/>
      <c r="Q61" s="1195"/>
      <c r="R61" s="1195"/>
      <c r="S61" s="1195"/>
      <c r="T61" s="1195"/>
      <c r="U61" s="1195"/>
    </row>
    <row r="62" spans="1:21" ht="15" customHeight="1" outlineLevel="1">
      <c r="A62" s="3248"/>
      <c r="B62" s="3248"/>
      <c r="C62" s="2528" t="s">
        <v>156</v>
      </c>
      <c r="D62" s="2522">
        <f>'Ввод данных'!C141</f>
        <v>0</v>
      </c>
      <c r="E62" s="2451">
        <f>'Ввод данных'!D141</f>
        <v>0</v>
      </c>
      <c r="F62" s="2525">
        <f t="shared" si="0"/>
        <v>0</v>
      </c>
      <c r="G62" s="2504"/>
      <c r="H62" s="2534"/>
      <c r="I62" s="2529"/>
      <c r="J62" s="2535"/>
      <c r="K62" s="1195"/>
      <c r="L62" s="1195"/>
      <c r="M62" s="1195"/>
      <c r="N62" s="1195"/>
      <c r="O62" s="1195"/>
      <c r="P62" s="1195"/>
      <c r="Q62" s="1195"/>
      <c r="R62" s="1195"/>
      <c r="S62" s="1195"/>
      <c r="T62" s="1195"/>
      <c r="U62" s="1195"/>
    </row>
    <row r="63" spans="1:21" ht="15" customHeight="1" outlineLevel="1">
      <c r="A63" s="3248"/>
      <c r="B63" s="3248"/>
      <c r="C63" s="2528" t="s">
        <v>156</v>
      </c>
      <c r="D63" s="2522">
        <f>'Ввод данных'!C142</f>
        <v>0</v>
      </c>
      <c r="E63" s="2451">
        <f>'Ввод данных'!D142</f>
        <v>0</v>
      </c>
      <c r="F63" s="2525">
        <f t="shared" si="0"/>
        <v>0</v>
      </c>
      <c r="G63" s="2504"/>
      <c r="H63" s="2534"/>
      <c r="I63" s="2504"/>
      <c r="J63" s="2504"/>
      <c r="K63" s="1195"/>
      <c r="L63" s="1195"/>
      <c r="M63" s="1195"/>
      <c r="N63" s="1195"/>
      <c r="O63" s="1195"/>
      <c r="P63" s="1195"/>
      <c r="Q63" s="1195"/>
      <c r="R63" s="1195"/>
      <c r="S63" s="1195"/>
      <c r="T63" s="1195"/>
      <c r="U63" s="1195"/>
    </row>
    <row r="64" spans="1:21" ht="15" customHeight="1" outlineLevel="1">
      <c r="A64" s="3248"/>
      <c r="B64" s="3248"/>
      <c r="C64" s="2528" t="s">
        <v>156</v>
      </c>
      <c r="D64" s="2522">
        <f>'Ввод данных'!C143</f>
        <v>0</v>
      </c>
      <c r="E64" s="2451">
        <f>'Ввод данных'!D143</f>
        <v>0</v>
      </c>
      <c r="F64" s="2525">
        <f t="shared" si="0"/>
        <v>0</v>
      </c>
      <c r="G64" s="2504"/>
      <c r="H64" s="2534"/>
      <c r="I64" s="2504"/>
      <c r="J64" s="2504"/>
      <c r="K64" s="1195"/>
      <c r="L64" s="1195"/>
      <c r="M64" s="1195"/>
      <c r="N64" s="1195"/>
      <c r="O64" s="1195"/>
      <c r="P64" s="1195"/>
      <c r="Q64" s="1195"/>
      <c r="R64" s="1195"/>
      <c r="S64" s="1195"/>
      <c r="T64" s="1195"/>
      <c r="U64" s="1195"/>
    </row>
    <row r="65" spans="1:21" ht="15" customHeight="1" outlineLevel="1">
      <c r="A65" s="3250" t="s">
        <v>3875</v>
      </c>
      <c r="B65" s="3250"/>
      <c r="C65" s="2525" t="s">
        <v>133</v>
      </c>
      <c r="D65" s="2523">
        <f>(E3+E4+E3+E4)*E5+(E3+E4+E3+E4)*E6+(E3/2)*E8*2*E9+(E3+E4+E3+E4)*E11*F11+(E3+E4+E3+E4)*E12*F12+(E3+E4+E3+E4)*E13*F13</f>
        <v>168</v>
      </c>
      <c r="E65" s="2536"/>
      <c r="F65" s="2535"/>
      <c r="G65" s="2504"/>
      <c r="H65" s="2534"/>
      <c r="I65" s="2504"/>
      <c r="J65" s="2504"/>
      <c r="K65" s="1195"/>
      <c r="L65" s="1195"/>
      <c r="M65" s="1195"/>
      <c r="N65" s="1195"/>
      <c r="O65" s="1195"/>
      <c r="P65" s="1195"/>
      <c r="Q65" s="1195"/>
      <c r="R65" s="1195"/>
      <c r="S65" s="1195"/>
      <c r="T65" s="1195"/>
      <c r="U65" s="1195"/>
    </row>
    <row r="66" spans="1:21" ht="15" customHeight="1" outlineLevel="1">
      <c r="A66" s="3250" t="s">
        <v>3876</v>
      </c>
      <c r="B66" s="3250"/>
      <c r="C66" s="2525" t="s">
        <v>133</v>
      </c>
      <c r="D66" s="2523">
        <f>D65-G30-G19</f>
        <v>166.8</v>
      </c>
      <c r="E66" s="2536"/>
      <c r="F66" s="2535"/>
      <c r="G66" s="2504"/>
      <c r="H66" s="2534"/>
      <c r="I66" s="2504"/>
      <c r="J66" s="2504"/>
      <c r="K66" s="1195"/>
      <c r="L66" s="1195"/>
      <c r="M66" s="1195"/>
      <c r="N66" s="1195"/>
      <c r="O66" s="1195"/>
      <c r="P66" s="1195"/>
      <c r="Q66" s="1195"/>
      <c r="R66" s="1195"/>
      <c r="S66" s="1195"/>
      <c r="T66" s="1195"/>
      <c r="U66" s="1195"/>
    </row>
    <row r="67" spans="1:21" ht="15" customHeight="1" outlineLevel="1">
      <c r="A67" s="3250" t="s">
        <v>2908</v>
      </c>
      <c r="B67" s="3250"/>
      <c r="C67" s="2525" t="s">
        <v>133</v>
      </c>
      <c r="D67" s="2523" t="e">
        <f>(F33+F34+F35+F36+F41+F42+F43+F44)*E5+(F49+F50+F51+F52)*(E2-1)*E7+(F57+F58+F59+F60)*((E6+E7)/1.7)*(E2-1)</f>
        <v>#REF!</v>
      </c>
      <c r="E67" s="2536"/>
      <c r="F67" s="2535"/>
      <c r="G67" s="2504"/>
      <c r="H67" s="2534"/>
      <c r="I67" s="2504"/>
      <c r="J67" s="2504"/>
      <c r="K67" s="1195"/>
      <c r="L67" s="1195"/>
      <c r="M67" s="1195"/>
      <c r="N67" s="1195"/>
      <c r="O67" s="1195"/>
      <c r="P67" s="1195"/>
      <c r="Q67" s="1195"/>
      <c r="R67" s="1195"/>
      <c r="S67" s="1195"/>
      <c r="T67" s="1195"/>
      <c r="U67" s="1195"/>
    </row>
    <row r="68" spans="1:21" ht="15" customHeight="1" outlineLevel="1">
      <c r="A68" s="3250" t="s">
        <v>2909</v>
      </c>
      <c r="B68" s="3250"/>
      <c r="C68" s="2525" t="s">
        <v>133</v>
      </c>
      <c r="D68" s="2523" t="e">
        <f>(F37+F38+F39+F40+F45+F46+F47+F48)*E5+(F53+F54+F55+F56)*(E2-1)*E7+(F61+F62+F63+F64)*((E6+E7)/1.7)*(E2-1)</f>
        <v>#REF!</v>
      </c>
      <c r="E68" s="2536"/>
      <c r="F68" s="2535"/>
      <c r="G68" s="2504"/>
      <c r="H68" s="2534"/>
      <c r="I68" s="2504"/>
      <c r="J68" s="2504"/>
      <c r="K68" s="1195"/>
      <c r="L68" s="1195"/>
      <c r="M68" s="1195"/>
      <c r="N68" s="1195"/>
      <c r="O68" s="1195"/>
      <c r="P68" s="1195"/>
      <c r="Q68" s="1195"/>
      <c r="R68" s="1195"/>
      <c r="S68" s="1195"/>
      <c r="T68" s="1195"/>
      <c r="U68" s="1195"/>
    </row>
    <row r="69" spans="1:21" ht="15" customHeight="1" outlineLevel="1">
      <c r="A69" s="3251" t="s">
        <v>2910</v>
      </c>
      <c r="B69" s="3251"/>
      <c r="C69" s="2525" t="s">
        <v>133</v>
      </c>
      <c r="D69" s="2523" t="e">
        <f>(D68+D67)-G25</f>
        <v>#REF!</v>
      </c>
      <c r="E69" s="2536"/>
      <c r="F69" s="2535"/>
      <c r="G69" s="2504"/>
      <c r="H69" s="2534"/>
      <c r="I69" s="2504"/>
      <c r="J69" s="2504"/>
      <c r="K69" s="1195"/>
      <c r="L69" s="1195"/>
      <c r="M69" s="1195"/>
      <c r="N69" s="1195"/>
      <c r="O69" s="1195"/>
      <c r="P69" s="1195"/>
      <c r="Q69" s="1195"/>
      <c r="R69" s="1195"/>
      <c r="S69" s="1195"/>
      <c r="T69" s="1195"/>
      <c r="U69" s="1195"/>
    </row>
    <row r="70" spans="1:21" ht="15" customHeight="1" outlineLevel="1">
      <c r="A70" s="3250" t="s">
        <v>3877</v>
      </c>
      <c r="B70" s="3250"/>
      <c r="C70" s="376" t="s">
        <v>133</v>
      </c>
      <c r="D70" s="392" t="e">
        <f>D66+D69</f>
        <v>#REF!</v>
      </c>
      <c r="E70" s="365"/>
      <c r="F70" s="2537"/>
      <c r="G70" s="363"/>
      <c r="H70" s="2534"/>
      <c r="I70" s="363"/>
      <c r="J70" s="363"/>
      <c r="K70" s="1195"/>
      <c r="L70" s="1195"/>
      <c r="M70" s="1195"/>
      <c r="N70" s="1195"/>
      <c r="O70" s="1195"/>
      <c r="P70" s="1195"/>
      <c r="Q70" s="1195"/>
      <c r="R70" s="1195"/>
      <c r="S70" s="1195"/>
      <c r="T70" s="1195"/>
      <c r="U70" s="1195"/>
    </row>
    <row r="71" spans="1:21" ht="15" customHeight="1" outlineLevel="1">
      <c r="A71" s="3252" t="s">
        <v>2635</v>
      </c>
      <c r="B71" s="3252"/>
      <c r="C71" s="3252"/>
      <c r="D71" s="3252"/>
      <c r="E71" s="3252"/>
      <c r="F71" s="2518">
        <f>дома!J12</f>
        <v>1</v>
      </c>
      <c r="G71" s="2503" t="s">
        <v>3568</v>
      </c>
      <c r="H71" s="2534"/>
      <c r="I71" s="363"/>
      <c r="J71" s="363"/>
      <c r="K71" s="1195"/>
      <c r="L71" s="1195"/>
      <c r="M71" s="1195"/>
      <c r="N71" s="1195"/>
      <c r="O71" s="1195"/>
      <c r="P71" s="1195"/>
      <c r="Q71" s="1195"/>
      <c r="R71" s="1195"/>
      <c r="S71" s="1195"/>
      <c r="T71" s="1195"/>
      <c r="U71" s="1195"/>
    </row>
    <row r="72" spans="1:21" ht="15" customHeight="1" outlineLevel="1">
      <c r="A72" s="3239" t="s">
        <v>3426</v>
      </c>
      <c r="B72" s="3239"/>
      <c r="C72" s="2538" t="s">
        <v>156</v>
      </c>
      <c r="D72" s="2539">
        <f>E3+E3+E4+E4+F33+F34+F35+F36+F41+F42+F43+F44</f>
        <v>56</v>
      </c>
      <c r="E72" s="2503"/>
      <c r="F72" s="2503"/>
      <c r="G72" s="2507"/>
      <c r="H72" s="2534"/>
      <c r="I72" s="363"/>
      <c r="J72" s="363"/>
      <c r="K72" s="1195"/>
      <c r="L72" s="1195"/>
      <c r="M72" s="1195"/>
      <c r="N72" s="1195"/>
      <c r="O72" s="1195"/>
      <c r="P72" s="1195"/>
      <c r="Q72" s="1195"/>
      <c r="R72" s="1195"/>
      <c r="S72" s="1195"/>
      <c r="T72" s="1195"/>
      <c r="U72" s="1195"/>
    </row>
    <row r="73" spans="1:21" ht="15" customHeight="1" outlineLevel="1">
      <c r="A73" s="3239" t="s">
        <v>3427</v>
      </c>
      <c r="B73" s="3239"/>
      <c r="C73" s="305" t="s">
        <v>133</v>
      </c>
      <c r="D73" s="2540" t="e">
        <f>E3*E4*E2</f>
        <v>#REF!</v>
      </c>
      <c r="E73" s="2503"/>
      <c r="F73" s="2503"/>
      <c r="G73" s="2507"/>
      <c r="H73" s="2534"/>
      <c r="I73" s="363"/>
      <c r="J73" s="363"/>
      <c r="K73" s="1195"/>
      <c r="L73" s="1195"/>
      <c r="M73" s="1195"/>
      <c r="N73" s="1195"/>
      <c r="O73" s="1195"/>
      <c r="P73" s="1195"/>
      <c r="Q73" s="1195"/>
      <c r="R73" s="1195"/>
      <c r="S73" s="1195"/>
      <c r="T73" s="1195"/>
      <c r="U73" s="1195"/>
    </row>
    <row r="74" spans="1:21" ht="15" customHeight="1" outlineLevel="1">
      <c r="A74" s="2541"/>
      <c r="B74" s="2541"/>
      <c r="C74" s="2542"/>
      <c r="D74" s="2503"/>
      <c r="E74" s="2503"/>
      <c r="F74" s="2503"/>
      <c r="G74" s="2507"/>
      <c r="H74" s="2534"/>
      <c r="I74" s="363"/>
      <c r="J74" s="363"/>
      <c r="K74" s="1195"/>
      <c r="L74" s="1195"/>
      <c r="M74" s="1195"/>
      <c r="N74" s="1195"/>
      <c r="O74" s="1195"/>
      <c r="P74" s="1195"/>
      <c r="Q74" s="1195"/>
      <c r="R74" s="1195"/>
      <c r="S74" s="1195"/>
      <c r="T74" s="1195"/>
      <c r="U74" s="1195"/>
    </row>
    <row r="75" spans="1:21" ht="15" customHeight="1" outlineLevel="1">
      <c r="A75" s="2543"/>
      <c r="B75" s="2543"/>
      <c r="C75" s="2537"/>
      <c r="D75" s="365"/>
      <c r="E75" s="365"/>
      <c r="F75" s="2537"/>
      <c r="G75" s="363"/>
      <c r="H75" s="2534"/>
      <c r="I75" s="363"/>
      <c r="J75" s="363"/>
      <c r="K75" s="1195"/>
      <c r="L75" s="1195"/>
      <c r="M75" s="1195"/>
      <c r="N75" s="1195"/>
      <c r="O75" s="1195"/>
      <c r="P75" s="1195"/>
      <c r="Q75" s="1195"/>
      <c r="R75" s="1195"/>
      <c r="S75" s="1195"/>
      <c r="T75" s="1195"/>
      <c r="U75" s="1195"/>
    </row>
    <row r="76" spans="1:21" ht="15" customHeight="1" outlineLevel="1">
      <c r="A76" s="3253" t="s">
        <v>1925</v>
      </c>
      <c r="B76" s="3253"/>
      <c r="C76" s="3253"/>
      <c r="D76" s="3253"/>
      <c r="E76" s="3253"/>
      <c r="F76" s="3253"/>
      <c r="G76" s="2545" t="str">
        <f>'Ввод данных'!F237</f>
        <v>Не считать</v>
      </c>
      <c r="H76" s="363" t="s">
        <v>3823</v>
      </c>
      <c r="I76" s="363"/>
      <c r="J76" s="363"/>
      <c r="K76" s="1195"/>
      <c r="L76" s="1195"/>
      <c r="M76" s="1195"/>
      <c r="N76" s="1195"/>
      <c r="O76" s="1195"/>
      <c r="P76" s="1195"/>
      <c r="Q76" s="1195"/>
      <c r="R76" s="1195"/>
      <c r="S76" s="1195"/>
      <c r="T76" s="1195"/>
      <c r="U76" s="1195"/>
    </row>
    <row r="77" spans="1:21" ht="15" customHeight="1" outlineLevel="1">
      <c r="A77" s="3128" t="s">
        <v>2705</v>
      </c>
      <c r="B77" s="3128"/>
      <c r="C77" s="3128"/>
      <c r="D77" s="2160" t="s">
        <v>156</v>
      </c>
      <c r="E77" s="2160">
        <f>E80*4+E79*2</f>
        <v>47.724357521861535</v>
      </c>
      <c r="F77" s="2518"/>
      <c r="G77" s="363"/>
      <c r="H77" s="2530"/>
      <c r="I77" s="363"/>
      <c r="J77" s="363"/>
      <c r="K77" s="1195"/>
      <c r="L77" s="1195"/>
      <c r="M77" s="1195"/>
      <c r="N77" s="1195"/>
      <c r="O77" s="1195"/>
      <c r="P77" s="1195"/>
      <c r="Q77" s="1195"/>
      <c r="R77" s="1195"/>
      <c r="S77" s="1195"/>
      <c r="T77" s="1195"/>
      <c r="U77" s="1195"/>
    </row>
    <row r="78" spans="1:21" ht="15" customHeight="1" outlineLevel="1">
      <c r="A78" s="3254" t="s">
        <v>3441</v>
      </c>
      <c r="B78" s="3254"/>
      <c r="C78" s="3254"/>
      <c r="D78" s="3254"/>
      <c r="E78" s="1230">
        <f>E8</f>
        <v>4.8</v>
      </c>
      <c r="F78" s="363"/>
      <c r="G78" s="363"/>
      <c r="H78" s="2530"/>
      <c r="I78" s="363"/>
      <c r="J78" s="363"/>
      <c r="K78" s="1195"/>
      <c r="L78" s="1195"/>
      <c r="M78" s="1195"/>
      <c r="N78" s="1195"/>
      <c r="O78" s="1195"/>
      <c r="P78" s="1195"/>
      <c r="Q78" s="1195"/>
      <c r="R78" s="1195"/>
      <c r="S78" s="1195"/>
      <c r="T78" s="1195"/>
      <c r="U78" s="1195"/>
    </row>
    <row r="79" spans="1:21" ht="15" customHeight="1" outlineLevel="1">
      <c r="A79" s="3081" t="s">
        <v>2743</v>
      </c>
      <c r="B79" s="3081"/>
      <c r="C79" s="3081"/>
      <c r="D79" s="263" t="s">
        <v>156</v>
      </c>
      <c r="E79" s="263">
        <f>E4</f>
        <v>10</v>
      </c>
      <c r="F79" s="480"/>
      <c r="G79" s="363"/>
      <c r="H79" s="2530"/>
      <c r="I79" s="363"/>
      <c r="J79" s="363"/>
      <c r="K79" s="1195"/>
      <c r="L79" s="1195"/>
      <c r="M79" s="1195"/>
      <c r="N79" s="1195"/>
      <c r="O79" s="1195"/>
      <c r="P79" s="1195"/>
      <c r="Q79" s="1195"/>
      <c r="R79" s="1195"/>
      <c r="S79" s="1195"/>
      <c r="T79" s="1195"/>
      <c r="U79" s="1195"/>
    </row>
    <row r="80" spans="1:21" ht="15" customHeight="1" outlineLevel="1">
      <c r="A80" s="3081" t="s">
        <v>2600</v>
      </c>
      <c r="B80" s="3081"/>
      <c r="C80" s="3081"/>
      <c r="D80" s="263" t="s">
        <v>156</v>
      </c>
      <c r="E80" s="263">
        <f>SQRT((E3/2)*(E3/2)+E8*E8)</f>
        <v>6.9310893804653828</v>
      </c>
      <c r="F80" s="480"/>
      <c r="G80" s="363"/>
      <c r="H80" s="2530"/>
      <c r="I80" s="363"/>
      <c r="J80" s="363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</row>
    <row r="81" spans="1:21" ht="15" customHeight="1" outlineLevel="1">
      <c r="A81" s="3081" t="s">
        <v>1927</v>
      </c>
      <c r="B81" s="3081"/>
      <c r="C81" s="3081"/>
      <c r="D81" s="263" t="s">
        <v>156</v>
      </c>
      <c r="E81" s="2451">
        <f>'Ввод данных'!C206</f>
        <v>0.5</v>
      </c>
      <c r="F81" s="2161"/>
      <c r="G81" s="363"/>
      <c r="H81" s="2530"/>
      <c r="I81" s="363"/>
      <c r="J81" s="363"/>
      <c r="K81" s="1195"/>
      <c r="L81" s="1195"/>
      <c r="M81" s="1195"/>
      <c r="N81" s="1195"/>
      <c r="O81" s="1195"/>
      <c r="P81" s="1195"/>
      <c r="Q81" s="1195"/>
      <c r="R81" s="1195"/>
      <c r="S81" s="1195"/>
      <c r="T81" s="1195"/>
      <c r="U81" s="1195"/>
    </row>
    <row r="82" spans="1:21" ht="15" customHeight="1" outlineLevel="1">
      <c r="A82" s="3081" t="s">
        <v>1896</v>
      </c>
      <c r="B82" s="3081"/>
      <c r="C82" s="3081"/>
      <c r="D82" s="263" t="s">
        <v>156</v>
      </c>
      <c r="E82" s="2451">
        <f>'Ввод данных'!C208</f>
        <v>0.8</v>
      </c>
      <c r="F82" s="2161"/>
      <c r="G82" s="363"/>
      <c r="H82" s="2530"/>
      <c r="I82" s="363"/>
      <c r="J82" s="363"/>
      <c r="K82" s="1195"/>
      <c r="L82" s="1195"/>
      <c r="M82" s="1195"/>
      <c r="N82" s="1195"/>
      <c r="O82" s="1195"/>
      <c r="P82" s="1195"/>
      <c r="Q82" s="1195"/>
      <c r="R82" s="1195"/>
      <c r="S82" s="1195"/>
      <c r="T82" s="1195"/>
      <c r="U82" s="1195"/>
    </row>
    <row r="83" spans="1:21" ht="15" customHeight="1" outlineLevel="1">
      <c r="A83" s="3255" t="s">
        <v>2765</v>
      </c>
      <c r="B83" s="3255"/>
      <c r="C83" s="3255"/>
      <c r="D83" s="376" t="s">
        <v>156</v>
      </c>
      <c r="E83" s="1230">
        <f>E80+E82</f>
        <v>7.7310893804653826</v>
      </c>
      <c r="F83" s="363"/>
      <c r="G83" s="363"/>
      <c r="H83" s="2530"/>
      <c r="I83" s="363"/>
      <c r="J83" s="363"/>
      <c r="K83" s="1195"/>
      <c r="L83" s="1195"/>
      <c r="M83" s="1195"/>
      <c r="N83" s="1195"/>
      <c r="O83" s="1195"/>
      <c r="P83" s="1195"/>
      <c r="Q83" s="1195"/>
      <c r="R83" s="1195"/>
      <c r="S83" s="1195"/>
      <c r="T83" s="1195"/>
      <c r="U83" s="1195"/>
    </row>
    <row r="84" spans="1:21" ht="15" customHeight="1" outlineLevel="1">
      <c r="A84" s="3255" t="s">
        <v>2768</v>
      </c>
      <c r="B84" s="3255"/>
      <c r="C84" s="3255"/>
      <c r="D84" s="376" t="s">
        <v>156</v>
      </c>
      <c r="E84" s="1230">
        <f>E79+E81+E81</f>
        <v>11</v>
      </c>
      <c r="F84" s="363"/>
      <c r="G84" s="363"/>
      <c r="H84" s="2530"/>
      <c r="I84" s="363"/>
      <c r="J84" s="363"/>
      <c r="K84" s="1195"/>
      <c r="L84" s="1195"/>
      <c r="M84" s="1195"/>
      <c r="N84" s="1195"/>
      <c r="O84" s="1195"/>
      <c r="P84" s="1195"/>
      <c r="Q84" s="1195"/>
      <c r="R84" s="1195"/>
      <c r="S84" s="1195"/>
      <c r="T84" s="1195"/>
      <c r="U84" s="1195"/>
    </row>
    <row r="85" spans="1:21" ht="15" customHeight="1" outlineLevel="1">
      <c r="A85" s="3081" t="s">
        <v>2773</v>
      </c>
      <c r="B85" s="3081"/>
      <c r="C85" s="3081"/>
      <c r="D85" s="263" t="s">
        <v>133</v>
      </c>
      <c r="E85" s="263">
        <f>E80*E79*2</f>
        <v>138.62178760930766</v>
      </c>
      <c r="F85" s="2161"/>
      <c r="G85" s="363"/>
      <c r="H85" s="2530"/>
      <c r="I85" s="363"/>
      <c r="J85" s="363"/>
      <c r="K85" s="1195"/>
      <c r="L85" s="1195"/>
      <c r="M85" s="1195"/>
      <c r="N85" s="1195"/>
      <c r="O85" s="1195"/>
      <c r="P85" s="1195"/>
      <c r="Q85" s="1195"/>
      <c r="R85" s="1195"/>
      <c r="S85" s="1195"/>
      <c r="T85" s="1195"/>
      <c r="U85" s="1195"/>
    </row>
    <row r="86" spans="1:21" ht="15" customHeight="1" outlineLevel="1">
      <c r="A86" s="3081" t="s">
        <v>2766</v>
      </c>
      <c r="B86" s="3081"/>
      <c r="C86" s="3081"/>
      <c r="D86" s="263" t="s">
        <v>133</v>
      </c>
      <c r="E86" s="263">
        <f>(E80*E81)*4+(E79+E81+E81)*E82*2</f>
        <v>31.462178760930769</v>
      </c>
      <c r="F86" s="618"/>
      <c r="G86" s="363"/>
      <c r="H86" s="2530"/>
      <c r="I86" s="363"/>
      <c r="J86" s="363"/>
      <c r="K86" s="1195"/>
      <c r="L86" s="1195"/>
      <c r="M86" s="1195"/>
      <c r="N86" s="1195"/>
      <c r="O86" s="1195"/>
      <c r="P86" s="1195"/>
      <c r="Q86" s="1195"/>
      <c r="R86" s="1195"/>
      <c r="S86" s="1195"/>
      <c r="T86" s="1195"/>
      <c r="U86" s="1195"/>
    </row>
    <row r="87" spans="1:21" ht="15" customHeight="1" outlineLevel="1">
      <c r="A87" s="3081" t="s">
        <v>2781</v>
      </c>
      <c r="B87" s="3081"/>
      <c r="C87" s="3081"/>
      <c r="D87" s="263" t="s">
        <v>133</v>
      </c>
      <c r="E87" s="263" t="e">
        <f>(E85+E86)*G76</f>
        <v>#VALUE!</v>
      </c>
      <c r="F87" s="618"/>
      <c r="G87" s="363"/>
      <c r="H87" s="2530"/>
      <c r="I87" s="363"/>
      <c r="J87" s="363"/>
      <c r="K87" s="1195"/>
      <c r="L87" s="1195"/>
      <c r="M87" s="1195"/>
      <c r="N87" s="1195"/>
      <c r="O87" s="1195"/>
      <c r="P87" s="1195"/>
      <c r="Q87" s="1195"/>
      <c r="R87" s="1195"/>
      <c r="S87" s="1195"/>
      <c r="T87" s="1195"/>
      <c r="U87" s="1195"/>
    </row>
    <row r="88" spans="1:21" ht="15" customHeight="1" outlineLevel="1">
      <c r="A88" s="376" t="s">
        <v>2774</v>
      </c>
      <c r="B88" s="376"/>
      <c r="C88" s="376"/>
      <c r="D88" s="376" t="s">
        <v>133</v>
      </c>
      <c r="E88" s="376" t="e">
        <f>(E87*1.2)*G76</f>
        <v>#VALUE!</v>
      </c>
      <c r="F88" s="363"/>
      <c r="G88" s="363"/>
      <c r="H88" s="2530"/>
      <c r="I88" s="363"/>
      <c r="J88" s="363"/>
      <c r="K88" s="1195"/>
      <c r="L88" s="1195"/>
      <c r="M88" s="1195"/>
      <c r="N88" s="1195"/>
      <c r="O88" s="1195"/>
      <c r="P88" s="1195"/>
      <c r="Q88" s="1195"/>
      <c r="R88" s="1195"/>
      <c r="S88" s="1195"/>
      <c r="T88" s="1195"/>
      <c r="U88" s="1195"/>
    </row>
    <row r="89" spans="1:21" ht="15" customHeight="1" outlineLevel="1">
      <c r="A89" s="2547" t="s">
        <v>2628</v>
      </c>
      <c r="B89" s="2548"/>
      <c r="C89" s="2549"/>
      <c r="D89" s="376" t="s">
        <v>1820</v>
      </c>
      <c r="E89" s="376"/>
      <c r="F89" s="2518"/>
      <c r="G89" s="363"/>
      <c r="H89" s="2530"/>
      <c r="I89" s="363"/>
      <c r="J89" s="363"/>
      <c r="K89" s="1195"/>
      <c r="L89" s="1195"/>
      <c r="M89" s="1195"/>
      <c r="N89" s="1195"/>
      <c r="O89" s="1195"/>
      <c r="P89" s="1195"/>
      <c r="Q89" s="1195"/>
      <c r="R89" s="1195"/>
      <c r="S89" s="1195"/>
      <c r="T89" s="1195"/>
      <c r="U89" s="1195"/>
    </row>
    <row r="90" spans="1:21" ht="15" customHeight="1" outlineLevel="1">
      <c r="A90" s="1061" t="s">
        <v>3518</v>
      </c>
      <c r="B90" s="2162"/>
      <c r="C90" s="2163"/>
      <c r="D90" s="263" t="s">
        <v>156</v>
      </c>
      <c r="E90" s="263">
        <v>0.15</v>
      </c>
      <c r="F90" s="2518"/>
      <c r="G90" s="363"/>
      <c r="H90" s="2530"/>
      <c r="I90" s="363"/>
      <c r="J90" s="363"/>
      <c r="K90" s="1195"/>
      <c r="L90" s="1195"/>
      <c r="M90" s="1195"/>
      <c r="N90" s="1195"/>
      <c r="O90" s="1195"/>
      <c r="P90" s="1195"/>
      <c r="Q90" s="1195"/>
      <c r="R90" s="1195"/>
      <c r="S90" s="1195"/>
      <c r="T90" s="1195"/>
      <c r="U90" s="1195"/>
    </row>
    <row r="91" spans="1:21" ht="15" customHeight="1" outlineLevel="1">
      <c r="A91" s="1056"/>
      <c r="B91" s="2164"/>
      <c r="C91" s="2165"/>
      <c r="D91" s="263" t="s">
        <v>156</v>
      </c>
      <c r="E91" s="263">
        <v>0.2</v>
      </c>
      <c r="F91" s="2518"/>
      <c r="G91" s="371"/>
      <c r="H91" s="2530"/>
      <c r="I91" s="371"/>
      <c r="J91" s="371"/>
      <c r="K91" s="1195"/>
      <c r="L91" s="1195"/>
      <c r="M91" s="1195"/>
      <c r="N91" s="1195"/>
      <c r="O91" s="1195"/>
      <c r="P91" s="1195"/>
      <c r="Q91" s="1195"/>
      <c r="R91" s="1195"/>
      <c r="S91" s="1195"/>
      <c r="T91" s="1195"/>
      <c r="U91" s="1195"/>
    </row>
    <row r="92" spans="1:21" ht="15" customHeight="1" outlineLevel="1">
      <c r="A92" s="1061" t="s">
        <v>2632</v>
      </c>
      <c r="B92" s="2162"/>
      <c r="C92" s="2163"/>
      <c r="D92" s="263" t="s">
        <v>156</v>
      </c>
      <c r="E92" s="263">
        <v>0.15</v>
      </c>
      <c r="F92" s="2518"/>
      <c r="G92" s="371"/>
      <c r="H92" s="2530"/>
      <c r="I92" s="371"/>
      <c r="J92" s="371"/>
      <c r="K92" s="1195"/>
      <c r="L92" s="1195"/>
      <c r="M92" s="1195"/>
      <c r="N92" s="1195"/>
      <c r="O92" s="1195"/>
      <c r="P92" s="1195"/>
      <c r="Q92" s="1195"/>
      <c r="R92" s="1195"/>
      <c r="S92" s="1195"/>
      <c r="T92" s="1195"/>
      <c r="U92" s="1195"/>
    </row>
    <row r="93" spans="1:21" ht="15" customHeight="1" outlineLevel="1">
      <c r="A93" s="1056"/>
      <c r="B93" s="2164"/>
      <c r="C93" s="2165"/>
      <c r="D93" s="263" t="s">
        <v>156</v>
      </c>
      <c r="E93" s="263">
        <v>0.2</v>
      </c>
      <c r="F93" s="2518"/>
      <c r="G93" s="371"/>
      <c r="H93" s="2530"/>
      <c r="I93" s="371"/>
      <c r="J93" s="371"/>
      <c r="K93" s="1195"/>
      <c r="L93" s="1195"/>
      <c r="M93" s="1195"/>
      <c r="N93" s="1195"/>
      <c r="O93" s="1195"/>
      <c r="P93" s="1195"/>
      <c r="Q93" s="1195"/>
      <c r="R93" s="1195"/>
      <c r="S93" s="1195"/>
      <c r="T93" s="1195"/>
      <c r="U93" s="1195"/>
    </row>
    <row r="94" spans="1:21" ht="15" customHeight="1" outlineLevel="1">
      <c r="A94" s="371"/>
      <c r="B94" s="371"/>
      <c r="C94" s="371"/>
      <c r="D94" s="371"/>
      <c r="E94" s="371"/>
      <c r="F94" s="371"/>
      <c r="G94" s="371"/>
      <c r="H94" s="2530"/>
      <c r="I94" s="371"/>
      <c r="J94" s="371"/>
      <c r="K94" s="1195"/>
      <c r="L94" s="1195"/>
      <c r="M94" s="1195"/>
      <c r="N94" s="1195"/>
      <c r="O94" s="1195"/>
      <c r="P94" s="1195"/>
      <c r="Q94" s="1195"/>
      <c r="R94" s="1195"/>
      <c r="S94" s="1195"/>
      <c r="T94" s="1195"/>
      <c r="U94" s="1195"/>
    </row>
    <row r="95" spans="1:21" ht="15" customHeight="1" outlineLevel="1">
      <c r="A95" s="371"/>
      <c r="B95" s="371"/>
      <c r="C95" s="371"/>
      <c r="D95" s="371"/>
      <c r="E95" s="371"/>
      <c r="F95" s="371"/>
      <c r="G95" s="371"/>
      <c r="H95" s="2530"/>
      <c r="I95" s="371"/>
      <c r="J95" s="371"/>
      <c r="K95" s="1195"/>
      <c r="L95" s="1195"/>
      <c r="M95" s="1195"/>
      <c r="N95" s="1195"/>
      <c r="O95" s="1195"/>
      <c r="P95" s="1195"/>
      <c r="Q95" s="1195"/>
      <c r="R95" s="1195"/>
      <c r="S95" s="1195"/>
      <c r="T95" s="1195"/>
      <c r="U95" s="1195"/>
    </row>
    <row r="96" spans="1:21" ht="15" customHeight="1" outlineLevel="1">
      <c r="A96" s="3253" t="s">
        <v>1942</v>
      </c>
      <c r="B96" s="3253"/>
      <c r="C96" s="3253"/>
      <c r="D96" s="3253"/>
      <c r="E96" s="3253"/>
      <c r="F96" s="3253"/>
      <c r="G96" s="2545" t="str">
        <f>'Ввод данных'!F273</f>
        <v>Не считать</v>
      </c>
      <c r="H96" s="363" t="s">
        <v>3878</v>
      </c>
      <c r="I96" s="371"/>
      <c r="J96" s="371"/>
      <c r="K96" s="1195"/>
      <c r="L96" s="1195"/>
      <c r="M96" s="1195"/>
      <c r="N96" s="1195"/>
      <c r="O96" s="1195"/>
      <c r="P96" s="1195"/>
      <c r="Q96" s="1195"/>
      <c r="R96" s="1195"/>
      <c r="S96" s="1195"/>
      <c r="T96" s="1195"/>
      <c r="U96" s="1195"/>
    </row>
    <row r="97" spans="1:21" ht="15" customHeight="1" outlineLevel="1">
      <c r="A97" s="3128" t="s">
        <v>2705</v>
      </c>
      <c r="B97" s="3128"/>
      <c r="C97" s="3128"/>
      <c r="D97" s="1238" t="s">
        <v>156</v>
      </c>
      <c r="E97" s="522">
        <f>E3+E4+E3+E4</f>
        <v>40</v>
      </c>
      <c r="F97" s="2167"/>
      <c r="G97" s="2550"/>
      <c r="H97" s="2530"/>
      <c r="I97" s="371"/>
      <c r="J97" s="371"/>
      <c r="K97" s="1195"/>
      <c r="L97" s="1195"/>
      <c r="M97" s="1195"/>
      <c r="N97" s="1195"/>
      <c r="O97" s="1195"/>
      <c r="P97" s="1195"/>
      <c r="Q97" s="1195"/>
      <c r="R97" s="1195"/>
      <c r="S97" s="1195"/>
      <c r="T97" s="1195"/>
      <c r="U97" s="1195"/>
    </row>
    <row r="98" spans="1:21" ht="15" customHeight="1" outlineLevel="1">
      <c r="A98" s="3255" t="s">
        <v>2739</v>
      </c>
      <c r="B98" s="3255"/>
      <c r="C98" s="3255"/>
      <c r="D98" s="2552" t="s">
        <v>156</v>
      </c>
      <c r="E98" s="2553">
        <f>E4</f>
        <v>10</v>
      </c>
      <c r="F98" s="371"/>
      <c r="G98" s="371"/>
      <c r="H98" s="2554"/>
      <c r="I98" s="371"/>
      <c r="J98" s="371"/>
      <c r="K98" s="1195"/>
      <c r="L98" s="1195"/>
      <c r="M98" s="1195"/>
      <c r="N98" s="1195"/>
      <c r="O98" s="1195"/>
      <c r="P98" s="1195"/>
      <c r="Q98" s="1195"/>
      <c r="R98" s="1195"/>
      <c r="S98" s="1195"/>
      <c r="T98" s="1195"/>
      <c r="U98" s="1195"/>
    </row>
    <row r="99" spans="1:21" ht="15" customHeight="1" outlineLevel="1">
      <c r="A99" s="3255" t="s">
        <v>2744</v>
      </c>
      <c r="B99" s="3255"/>
      <c r="C99" s="3255"/>
      <c r="D99" s="2552" t="s">
        <v>156</v>
      </c>
      <c r="E99" s="2553">
        <f>E3</f>
        <v>10</v>
      </c>
      <c r="F99" s="2555"/>
      <c r="G99" s="2555"/>
      <c r="H99" s="2554"/>
      <c r="I99" s="371"/>
      <c r="J99" s="371"/>
      <c r="K99" s="1195"/>
      <c r="L99" s="1195"/>
      <c r="M99" s="1195"/>
      <c r="N99" s="1195"/>
      <c r="O99" s="1195"/>
      <c r="P99" s="1195"/>
      <c r="Q99" s="1195"/>
      <c r="R99" s="1195"/>
      <c r="S99" s="1195"/>
      <c r="T99" s="1195"/>
      <c r="U99" s="1195"/>
    </row>
    <row r="100" spans="1:21" ht="15" customHeight="1" outlineLevel="1">
      <c r="A100" s="3254" t="s">
        <v>3441</v>
      </c>
      <c r="B100" s="3254"/>
      <c r="C100" s="3254"/>
      <c r="D100" s="3254"/>
      <c r="E100" s="2556">
        <f>E8</f>
        <v>4.8</v>
      </c>
      <c r="F100" s="2555"/>
      <c r="G100" s="2555"/>
      <c r="H100" s="2554"/>
      <c r="I100" s="371"/>
      <c r="J100" s="371"/>
      <c r="K100" s="1195"/>
      <c r="L100" s="1195"/>
      <c r="M100" s="1195"/>
      <c r="N100" s="1195"/>
      <c r="O100" s="1195"/>
      <c r="P100" s="1195"/>
      <c r="Q100" s="1195"/>
      <c r="R100" s="1195"/>
      <c r="S100" s="1195"/>
      <c r="T100" s="1195"/>
      <c r="U100" s="1195"/>
    </row>
    <row r="101" spans="1:21" ht="15" customHeight="1" outlineLevel="1">
      <c r="A101" s="3081" t="s">
        <v>1943</v>
      </c>
      <c r="B101" s="3081"/>
      <c r="C101" s="3081"/>
      <c r="D101" s="261" t="s">
        <v>156</v>
      </c>
      <c r="E101" s="2451">
        <f>'Ввод данных'!C248</f>
        <v>5</v>
      </c>
      <c r="F101" s="480"/>
      <c r="G101" s="480"/>
      <c r="H101" s="2554"/>
      <c r="I101" s="371"/>
      <c r="J101" s="371"/>
      <c r="K101" s="1195"/>
      <c r="L101" s="1195"/>
      <c r="M101" s="1195"/>
      <c r="N101" s="1195"/>
      <c r="O101" s="1195"/>
      <c r="P101" s="1195"/>
      <c r="Q101" s="1195"/>
      <c r="R101" s="1195"/>
      <c r="S101" s="1195"/>
      <c r="T101" s="1195"/>
      <c r="U101" s="1195"/>
    </row>
    <row r="102" spans="1:21" ht="15" customHeight="1" outlineLevel="1">
      <c r="A102" s="3081" t="s">
        <v>2752</v>
      </c>
      <c r="B102" s="3081"/>
      <c r="C102" s="3081"/>
      <c r="D102" s="261" t="s">
        <v>156</v>
      </c>
      <c r="E102" s="484">
        <f>SQRT(E100*E100+((E99/2)+E104)*((E99/2)+E104))</f>
        <v>7.3</v>
      </c>
      <c r="F102" s="480"/>
      <c r="G102" s="480"/>
      <c r="H102" s="2554"/>
      <c r="I102" s="371"/>
      <c r="J102" s="371"/>
      <c r="K102" s="1195"/>
      <c r="L102" s="1195"/>
      <c r="M102" s="1195"/>
      <c r="N102" s="1195"/>
      <c r="O102" s="1195"/>
      <c r="P102" s="1195"/>
      <c r="Q102" s="1195"/>
      <c r="R102" s="1195"/>
      <c r="S102" s="1195"/>
      <c r="T102" s="1195"/>
      <c r="U102" s="1195"/>
    </row>
    <row r="103" spans="1:21" ht="15" customHeight="1" outlineLevel="1">
      <c r="A103" s="3081" t="s">
        <v>2755</v>
      </c>
      <c r="B103" s="3081"/>
      <c r="C103" s="3081"/>
      <c r="D103" s="261" t="s">
        <v>156</v>
      </c>
      <c r="E103" s="484">
        <f>SQRT(E100*E100+((E98-E101)/2)*((E98-E101)/2))</f>
        <v>5.4120236510939232</v>
      </c>
      <c r="F103" s="2557"/>
      <c r="G103" s="2558"/>
      <c r="H103" s="2554"/>
      <c r="I103" s="371"/>
      <c r="J103" s="371"/>
      <c r="K103" s="1195"/>
      <c r="L103" s="1195"/>
      <c r="M103" s="1195"/>
      <c r="N103" s="1195"/>
      <c r="O103" s="1195"/>
      <c r="P103" s="1195"/>
      <c r="Q103" s="1195"/>
      <c r="R103" s="1195"/>
      <c r="S103" s="1195"/>
      <c r="T103" s="1195"/>
      <c r="U103" s="1195"/>
    </row>
    <row r="104" spans="1:21" ht="15" customHeight="1" outlineLevel="1">
      <c r="A104" s="3081" t="s">
        <v>1927</v>
      </c>
      <c r="B104" s="3081"/>
      <c r="C104" s="3081"/>
      <c r="D104" s="261" t="s">
        <v>156</v>
      </c>
      <c r="E104" s="2451">
        <f>'Ввод данных'!C249</f>
        <v>0.5</v>
      </c>
      <c r="F104" s="2557"/>
      <c r="G104" s="2558"/>
      <c r="H104" s="2554"/>
      <c r="I104" s="371"/>
      <c r="J104" s="371"/>
      <c r="K104" s="1195"/>
      <c r="L104" s="1195"/>
      <c r="M104" s="1195"/>
      <c r="N104" s="1195"/>
      <c r="O104" s="1195"/>
      <c r="P104" s="1195"/>
      <c r="Q104" s="1195"/>
      <c r="R104" s="1195"/>
      <c r="S104" s="1195"/>
      <c r="T104" s="1195"/>
      <c r="U104" s="1195"/>
    </row>
    <row r="105" spans="1:21" ht="15" customHeight="1" outlineLevel="1">
      <c r="A105" s="3081" t="s">
        <v>1896</v>
      </c>
      <c r="B105" s="3081"/>
      <c r="C105" s="3081"/>
      <c r="D105" s="261" t="s">
        <v>156</v>
      </c>
      <c r="E105" s="2451">
        <f>'Ввод данных'!C250</f>
        <v>0.5</v>
      </c>
      <c r="F105" s="2557"/>
      <c r="G105" s="2558"/>
      <c r="H105" s="2554"/>
      <c r="I105" s="371"/>
      <c r="J105" s="371"/>
      <c r="K105" s="1195"/>
      <c r="L105" s="1195"/>
      <c r="M105" s="1195"/>
      <c r="N105" s="1195"/>
      <c r="O105" s="1195"/>
      <c r="P105" s="1195"/>
      <c r="Q105" s="1195"/>
      <c r="R105" s="1195"/>
      <c r="S105" s="1195"/>
      <c r="T105" s="1195"/>
      <c r="U105" s="1195"/>
    </row>
    <row r="106" spans="1:21" ht="15" customHeight="1" outlineLevel="1">
      <c r="A106" s="3255" t="s">
        <v>2757</v>
      </c>
      <c r="B106" s="3255"/>
      <c r="C106" s="3255"/>
      <c r="D106" s="2552" t="s">
        <v>156</v>
      </c>
      <c r="E106" s="2553">
        <f>SQRT(G103*G103+((E99/2)+E104)*((E99/2)+E104))</f>
        <v>5.5</v>
      </c>
      <c r="F106" s="2555"/>
      <c r="G106" s="2555"/>
      <c r="H106" s="2554"/>
      <c r="I106" s="371"/>
      <c r="J106" s="371"/>
      <c r="K106" s="1195"/>
      <c r="L106" s="1195"/>
      <c r="M106" s="1195"/>
      <c r="N106" s="1195"/>
      <c r="O106" s="1195"/>
      <c r="P106" s="1195"/>
      <c r="Q106" s="1195"/>
      <c r="R106" s="1195"/>
      <c r="S106" s="1195"/>
      <c r="T106" s="1195"/>
      <c r="U106" s="1195"/>
    </row>
    <row r="107" spans="1:21" ht="15" customHeight="1" outlineLevel="1">
      <c r="A107" s="3081" t="s">
        <v>2766</v>
      </c>
      <c r="B107" s="3081"/>
      <c r="C107" s="3081"/>
      <c r="D107" s="261" t="s">
        <v>133</v>
      </c>
      <c r="E107" s="484">
        <f>(E99+E104+E104)*E105*2+E98*2*E104</f>
        <v>21</v>
      </c>
      <c r="F107" s="618"/>
      <c r="G107" s="2558"/>
      <c r="H107" s="2554"/>
      <c r="I107" s="363"/>
      <c r="J107" s="363"/>
      <c r="K107" s="1195"/>
      <c r="L107" s="1195"/>
      <c r="M107" s="1195"/>
      <c r="N107" s="1195"/>
      <c r="O107" s="1195"/>
      <c r="P107" s="1195"/>
      <c r="Q107" s="1195"/>
      <c r="R107" s="1195"/>
      <c r="S107" s="1195"/>
      <c r="T107" s="1195"/>
      <c r="U107" s="1195"/>
    </row>
    <row r="108" spans="1:21" ht="15" customHeight="1" outlineLevel="1">
      <c r="A108" s="3081" t="s">
        <v>2769</v>
      </c>
      <c r="B108" s="3081"/>
      <c r="C108" s="3081"/>
      <c r="D108" s="2552" t="s">
        <v>133</v>
      </c>
      <c r="E108" s="2553">
        <f>((E99/2)+E104)*E103*2+((E98+E105+E105-E101)/2)*((E98+E105+E105-E101)/2)*4+E101*E102*2</f>
        <v>168.53226016203314</v>
      </c>
      <c r="F108" s="371"/>
      <c r="G108" s="371"/>
      <c r="H108" s="2554"/>
      <c r="I108" s="363"/>
      <c r="J108" s="363"/>
      <c r="K108" s="1195"/>
      <c r="L108" s="1195"/>
      <c r="M108" s="1195"/>
      <c r="N108" s="1195"/>
      <c r="O108" s="1195"/>
      <c r="P108" s="1195"/>
      <c r="Q108" s="1195"/>
      <c r="R108" s="1195"/>
      <c r="S108" s="1195"/>
      <c r="T108" s="1195"/>
      <c r="U108" s="1195"/>
    </row>
    <row r="109" spans="1:21" ht="15" customHeight="1" outlineLevel="1">
      <c r="A109" s="3081" t="s">
        <v>2774</v>
      </c>
      <c r="B109" s="3081"/>
      <c r="C109" s="3081"/>
      <c r="D109" s="261" t="s">
        <v>133</v>
      </c>
      <c r="E109" s="484">
        <f>E108*1.5</f>
        <v>252.79839024304971</v>
      </c>
      <c r="F109" s="2518"/>
      <c r="G109" s="2558"/>
      <c r="H109" s="2554"/>
      <c r="I109" s="363"/>
      <c r="J109" s="363"/>
      <c r="K109" s="1195"/>
      <c r="L109" s="1195"/>
      <c r="M109" s="1195"/>
      <c r="N109" s="1195"/>
      <c r="O109" s="1195"/>
      <c r="P109" s="1195"/>
      <c r="Q109" s="1195"/>
      <c r="R109" s="1195"/>
      <c r="S109" s="1195"/>
      <c r="T109" s="1195"/>
      <c r="U109" s="1195"/>
    </row>
    <row r="110" spans="1:21" ht="15" customHeight="1" outlineLevel="1">
      <c r="A110" s="3255" t="s">
        <v>2628</v>
      </c>
      <c r="B110" s="3255"/>
      <c r="C110" s="3255"/>
      <c r="D110" s="2546" t="s">
        <v>1820</v>
      </c>
      <c r="E110" s="2556"/>
      <c r="F110" s="2518"/>
      <c r="G110" s="2558"/>
      <c r="H110" s="2554"/>
      <c r="I110" s="363"/>
      <c r="J110" s="363"/>
      <c r="K110" s="1195"/>
      <c r="L110" s="1195"/>
      <c r="M110" s="1195"/>
      <c r="N110" s="1195"/>
      <c r="O110" s="1195"/>
      <c r="P110" s="1195"/>
      <c r="Q110" s="1195"/>
      <c r="R110" s="1195"/>
      <c r="S110" s="1195"/>
      <c r="T110" s="1195"/>
      <c r="U110" s="1195"/>
    </row>
    <row r="111" spans="1:21" ht="15" customHeight="1" outlineLevel="1">
      <c r="A111" s="3080" t="s">
        <v>3518</v>
      </c>
      <c r="B111" s="3080"/>
      <c r="C111" s="3080"/>
      <c r="D111" s="263" t="s">
        <v>156</v>
      </c>
      <c r="E111" s="263">
        <v>0.15</v>
      </c>
      <c r="F111" s="2518"/>
      <c r="G111" s="2558"/>
      <c r="H111" s="2554"/>
      <c r="I111" s="363"/>
      <c r="J111" s="363"/>
      <c r="K111" s="1195"/>
      <c r="L111" s="1195"/>
      <c r="M111" s="1195"/>
      <c r="N111" s="1195"/>
      <c r="O111" s="1195"/>
      <c r="P111" s="1195"/>
      <c r="Q111" s="1195"/>
      <c r="R111" s="1195"/>
      <c r="S111" s="1195"/>
      <c r="T111" s="1195"/>
      <c r="U111" s="1195"/>
    </row>
    <row r="112" spans="1:21" ht="15" customHeight="1" outlineLevel="1">
      <c r="A112" s="3080"/>
      <c r="B112" s="3080"/>
      <c r="C112" s="3080"/>
      <c r="D112" s="263" t="s">
        <v>156</v>
      </c>
      <c r="E112" s="263">
        <v>0.2</v>
      </c>
      <c r="F112" s="2518"/>
      <c r="G112" s="2558"/>
      <c r="H112" s="2554"/>
      <c r="I112" s="363"/>
      <c r="J112" s="363"/>
      <c r="K112" s="1195"/>
      <c r="L112" s="1195"/>
      <c r="M112" s="1195"/>
      <c r="N112" s="1195"/>
      <c r="O112" s="1195"/>
      <c r="P112" s="1195"/>
      <c r="Q112" s="1195"/>
      <c r="R112" s="1195"/>
      <c r="S112" s="1195"/>
      <c r="T112" s="1195"/>
      <c r="U112" s="1195"/>
    </row>
    <row r="113" spans="1:21" ht="15" customHeight="1" outlineLevel="1">
      <c r="A113" s="3080" t="s">
        <v>2632</v>
      </c>
      <c r="B113" s="3080"/>
      <c r="C113" s="3080"/>
      <c r="D113" s="263" t="s">
        <v>156</v>
      </c>
      <c r="E113" s="263">
        <v>0.15</v>
      </c>
      <c r="F113" s="2518"/>
      <c r="G113" s="2558"/>
      <c r="H113" s="2530"/>
      <c r="I113" s="363"/>
      <c r="J113" s="363"/>
      <c r="K113" s="1195"/>
      <c r="L113" s="1195"/>
      <c r="M113" s="1195"/>
      <c r="N113" s="1195"/>
      <c r="O113" s="1195"/>
      <c r="P113" s="1195"/>
      <c r="Q113" s="1195"/>
      <c r="R113" s="1195"/>
      <c r="S113" s="1195"/>
      <c r="T113" s="1195"/>
      <c r="U113" s="1195"/>
    </row>
    <row r="114" spans="1:21" ht="15" customHeight="1" outlineLevel="1">
      <c r="A114" s="3080"/>
      <c r="B114" s="3080"/>
      <c r="C114" s="3080"/>
      <c r="D114" s="263" t="s">
        <v>156</v>
      </c>
      <c r="E114" s="263">
        <v>0.2</v>
      </c>
      <c r="F114" s="2518"/>
      <c r="G114" s="2558"/>
      <c r="H114" s="2530"/>
      <c r="I114" s="363"/>
      <c r="J114" s="363"/>
      <c r="K114" s="1195"/>
      <c r="L114" s="1195"/>
      <c r="M114" s="1195"/>
      <c r="N114" s="1195"/>
      <c r="O114" s="1195"/>
      <c r="P114" s="1195"/>
      <c r="Q114" s="1195"/>
      <c r="R114" s="1195"/>
      <c r="S114" s="1195"/>
      <c r="T114" s="1195"/>
      <c r="U114" s="1195"/>
    </row>
    <row r="115" spans="1:21" ht="15" customHeight="1" outlineLevel="1">
      <c r="A115" s="490"/>
      <c r="B115" s="490"/>
      <c r="C115" s="490"/>
      <c r="D115" s="492"/>
      <c r="E115" s="492"/>
      <c r="F115" s="618"/>
      <c r="G115" s="2558"/>
      <c r="H115" s="2530"/>
      <c r="I115" s="363"/>
      <c r="J115" s="363"/>
      <c r="K115" s="1195"/>
      <c r="L115" s="1195"/>
      <c r="M115" s="1195"/>
      <c r="N115" s="1195"/>
      <c r="O115" s="1195"/>
      <c r="P115" s="1195"/>
      <c r="Q115" s="1195"/>
      <c r="R115" s="1195"/>
      <c r="S115" s="1195"/>
      <c r="T115" s="1195"/>
      <c r="U115" s="1195"/>
    </row>
    <row r="116" spans="1:21" ht="15" customHeight="1" outlineLevel="1">
      <c r="A116" s="490"/>
      <c r="B116" s="490"/>
      <c r="C116" s="490"/>
      <c r="D116" s="492"/>
      <c r="E116" s="492"/>
      <c r="F116" s="618"/>
      <c r="G116" s="2558"/>
      <c r="H116" s="2530"/>
      <c r="I116" s="363"/>
      <c r="J116" s="363"/>
      <c r="K116" s="1195"/>
      <c r="L116" s="1195"/>
      <c r="M116" s="1195"/>
      <c r="N116" s="1195"/>
      <c r="O116" s="1195"/>
      <c r="P116" s="1195"/>
      <c r="Q116" s="1195"/>
      <c r="R116" s="1195"/>
      <c r="S116" s="1195"/>
      <c r="T116" s="1195"/>
      <c r="U116" s="1195"/>
    </row>
    <row r="117" spans="1:21" ht="15" customHeight="1" outlineLevel="1">
      <c r="A117" s="363"/>
      <c r="B117" s="363"/>
      <c r="C117" s="363"/>
      <c r="D117" s="363"/>
      <c r="E117" s="363"/>
      <c r="F117" s="363"/>
      <c r="G117" s="2558"/>
      <c r="H117" s="2530"/>
      <c r="I117" s="363"/>
      <c r="J117" s="363"/>
      <c r="K117" s="1195"/>
      <c r="L117" s="1195"/>
      <c r="M117" s="1195"/>
      <c r="N117" s="1195"/>
      <c r="O117" s="1195"/>
      <c r="P117" s="1195"/>
      <c r="Q117" s="1195"/>
      <c r="R117" s="1195"/>
      <c r="S117" s="1195"/>
      <c r="T117" s="1195"/>
      <c r="U117" s="1195"/>
    </row>
    <row r="118" spans="1:21" ht="15" customHeight="1" outlineLevel="1">
      <c r="A118" s="492"/>
      <c r="B118" s="492"/>
      <c r="C118" s="941"/>
      <c r="D118" s="2415"/>
      <c r="E118" s="2415"/>
      <c r="F118" s="2537"/>
      <c r="G118" s="363"/>
      <c r="H118" s="2554"/>
      <c r="I118" s="363"/>
      <c r="J118" s="363"/>
      <c r="K118" s="1195"/>
      <c r="L118" s="1195"/>
      <c r="M118" s="1195"/>
      <c r="N118" s="1195"/>
      <c r="O118" s="1195"/>
      <c r="P118" s="1195"/>
      <c r="Q118" s="1195"/>
      <c r="R118" s="1195"/>
      <c r="S118" s="1195"/>
      <c r="T118" s="1195"/>
      <c r="U118" s="1195"/>
    </row>
    <row r="119" spans="1:21" ht="15" customHeight="1" outlineLevel="1">
      <c r="A119" s="3253" t="s">
        <v>1965</v>
      </c>
      <c r="B119" s="3253"/>
      <c r="C119" s="3253"/>
      <c r="D119" s="3253"/>
      <c r="E119" s="3253"/>
      <c r="F119" s="3253"/>
      <c r="G119" s="2545" t="str">
        <f>'Ввод данных'!F353</f>
        <v>Не считать</v>
      </c>
      <c r="H119" s="363" t="s">
        <v>3879</v>
      </c>
      <c r="I119" s="363"/>
      <c r="J119" s="363"/>
      <c r="K119" s="1195"/>
      <c r="L119" s="1195"/>
      <c r="M119" s="1195"/>
      <c r="N119" s="1195"/>
      <c r="O119" s="1195"/>
      <c r="P119" s="1195"/>
      <c r="Q119" s="1195"/>
      <c r="R119" s="1195"/>
      <c r="S119" s="1195"/>
      <c r="T119" s="1195"/>
      <c r="U119" s="1195"/>
    </row>
    <row r="120" spans="1:21" ht="15" customHeight="1" outlineLevel="1">
      <c r="A120" s="3253" t="s">
        <v>1236</v>
      </c>
      <c r="B120" s="3253"/>
      <c r="C120" s="3253"/>
      <c r="D120" s="2544" t="s">
        <v>120</v>
      </c>
      <c r="E120" s="2544" t="s">
        <v>1802</v>
      </c>
      <c r="F120" s="2544"/>
      <c r="G120" s="365"/>
      <c r="H120" s="363"/>
      <c r="I120" s="363"/>
      <c r="J120" s="363"/>
      <c r="K120" s="1195"/>
      <c r="L120" s="1195"/>
      <c r="M120" s="1195"/>
      <c r="N120" s="1195"/>
      <c r="O120" s="1195"/>
      <c r="P120" s="1195"/>
      <c r="Q120" s="1195"/>
      <c r="R120" s="1195"/>
      <c r="S120" s="1195"/>
      <c r="T120" s="1195"/>
      <c r="U120" s="1195"/>
    </row>
    <row r="121" spans="1:21" ht="15" customHeight="1" outlineLevel="1">
      <c r="A121" s="3255" t="s">
        <v>2902</v>
      </c>
      <c r="B121" s="3255"/>
      <c r="C121" s="3255"/>
      <c r="D121" s="455" t="s">
        <v>159</v>
      </c>
      <c r="E121" s="376">
        <v>1</v>
      </c>
      <c r="F121" s="2518" t="e">
        <f>'Ввод данных'!#REF!</f>
        <v>#REF!</v>
      </c>
      <c r="G121" s="363"/>
      <c r="H121" s="363"/>
      <c r="I121" s="363"/>
      <c r="J121" s="363"/>
      <c r="K121" s="1195"/>
      <c r="L121" s="1195"/>
      <c r="M121" s="1195"/>
      <c r="N121" s="1195"/>
      <c r="O121" s="1195"/>
      <c r="P121" s="1195"/>
      <c r="Q121" s="1195"/>
      <c r="R121" s="1195"/>
      <c r="S121" s="1195"/>
      <c r="T121" s="1195"/>
      <c r="U121" s="1195"/>
    </row>
    <row r="122" spans="1:21" ht="15" customHeight="1" outlineLevel="1">
      <c r="A122" s="3128" t="s">
        <v>2903</v>
      </c>
      <c r="B122" s="3128"/>
      <c r="C122" s="3128"/>
      <c r="D122" s="1238" t="s">
        <v>159</v>
      </c>
      <c r="E122" s="2559">
        <v>1</v>
      </c>
      <c r="F122" s="2518" t="e">
        <f>'Ввод данных'!#REF!</f>
        <v>#REF!</v>
      </c>
      <c r="G122" s="2550"/>
      <c r="H122" s="2530"/>
      <c r="I122" s="363"/>
      <c r="J122" s="363"/>
      <c r="K122" s="1195"/>
      <c r="L122" s="1195"/>
      <c r="M122" s="1195"/>
      <c r="N122" s="1195"/>
      <c r="O122" s="1195"/>
      <c r="P122" s="1195"/>
      <c r="Q122" s="1195"/>
      <c r="R122" s="1195"/>
      <c r="S122" s="1195"/>
      <c r="T122" s="1195"/>
      <c r="U122" s="1195"/>
    </row>
    <row r="123" spans="1:21" ht="15" customHeight="1" outlineLevel="1">
      <c r="A123" s="3255" t="s">
        <v>1978</v>
      </c>
      <c r="B123" s="3255"/>
      <c r="C123" s="3255"/>
      <c r="D123" s="2552" t="s">
        <v>156</v>
      </c>
      <c r="E123" s="2451">
        <f>'Ввод данных'!C331</f>
        <v>1</v>
      </c>
      <c r="F123" s="371"/>
      <c r="G123" s="371"/>
      <c r="H123" s="2554"/>
      <c r="I123" s="363"/>
      <c r="J123" s="363"/>
      <c r="K123" s="1195"/>
      <c r="L123" s="1195"/>
      <c r="M123" s="1195"/>
      <c r="N123" s="1195"/>
      <c r="O123" s="1195"/>
      <c r="P123" s="1195"/>
      <c r="Q123" s="1195"/>
      <c r="R123" s="1195"/>
      <c r="S123" s="1195"/>
      <c r="T123" s="1195"/>
      <c r="U123" s="1195"/>
    </row>
    <row r="124" spans="1:21" ht="15" customHeight="1" outlineLevel="1">
      <c r="A124" s="3255" t="s">
        <v>1979</v>
      </c>
      <c r="B124" s="3255"/>
      <c r="C124" s="3255"/>
      <c r="D124" s="2552" t="s">
        <v>156</v>
      </c>
      <c r="E124" s="2451">
        <f>'Ввод данных'!C332</f>
        <v>2</v>
      </c>
      <c r="F124" s="2555"/>
      <c r="G124" s="2555"/>
      <c r="H124" s="2554"/>
      <c r="I124" s="363"/>
      <c r="J124" s="363"/>
      <c r="K124" s="2500"/>
      <c r="L124" s="1195"/>
      <c r="M124" s="1195"/>
      <c r="N124" s="1195"/>
      <c r="O124" s="1195"/>
      <c r="P124" s="1195"/>
      <c r="Q124" s="1195"/>
      <c r="R124" s="1195"/>
      <c r="S124" s="1195"/>
      <c r="T124" s="1195"/>
      <c r="U124" s="1195"/>
    </row>
    <row r="125" spans="1:21" ht="15" customHeight="1" outlineLevel="1">
      <c r="A125" s="3256" t="s">
        <v>3500</v>
      </c>
      <c r="B125" s="3256"/>
      <c r="C125" s="3256"/>
      <c r="D125" s="2560" t="s">
        <v>156</v>
      </c>
      <c r="E125" s="2451">
        <f>'Ввод данных'!C329</f>
        <v>2</v>
      </c>
      <c r="F125" s="2555"/>
      <c r="G125" s="2555"/>
      <c r="H125" s="2554"/>
      <c r="I125" s="363"/>
      <c r="J125" s="363"/>
      <c r="K125" s="2503"/>
      <c r="L125" s="1195"/>
      <c r="M125" s="1195"/>
      <c r="N125" s="1195"/>
      <c r="O125" s="1195"/>
      <c r="P125" s="1195"/>
      <c r="Q125" s="1195"/>
      <c r="R125" s="1195"/>
      <c r="S125" s="1195"/>
      <c r="T125" s="1195"/>
      <c r="U125" s="1195"/>
    </row>
    <row r="126" spans="1:21" ht="15" customHeight="1" outlineLevel="1">
      <c r="A126" s="3081" t="s">
        <v>1943</v>
      </c>
      <c r="B126" s="3081"/>
      <c r="C126" s="3081"/>
      <c r="D126" s="261" t="s">
        <v>156</v>
      </c>
      <c r="E126" s="2451">
        <f>'Ввод данных'!C333</f>
        <v>2</v>
      </c>
      <c r="F126" s="480"/>
      <c r="G126" s="480"/>
      <c r="H126" s="2554"/>
      <c r="I126" s="363"/>
      <c r="J126" s="363"/>
      <c r="K126" s="2503"/>
      <c r="L126" s="1195"/>
      <c r="M126" s="1195"/>
      <c r="N126" s="1195"/>
      <c r="O126" s="1195"/>
      <c r="P126" s="1195"/>
      <c r="Q126" s="1195"/>
      <c r="R126" s="1195"/>
      <c r="S126" s="1195"/>
      <c r="T126" s="1195"/>
      <c r="U126" s="1195"/>
    </row>
    <row r="127" spans="1:21" ht="15" customHeight="1" outlineLevel="1">
      <c r="A127" s="3081" t="s">
        <v>3504</v>
      </c>
      <c r="B127" s="3081"/>
      <c r="C127" s="3081"/>
      <c r="D127" s="261" t="s">
        <v>156</v>
      </c>
      <c r="E127" s="484">
        <f>SQRT((E124/2)*(E124/2)+E125*E125)</f>
        <v>2.2360679774997898</v>
      </c>
      <c r="F127" s="480"/>
      <c r="G127" s="480"/>
      <c r="H127" s="2554"/>
      <c r="I127" s="363"/>
      <c r="J127" s="363"/>
      <c r="K127" s="2503"/>
      <c r="L127" s="1195"/>
      <c r="M127" s="1195"/>
      <c r="N127" s="1195"/>
      <c r="O127" s="1195"/>
      <c r="P127" s="1195"/>
      <c r="Q127" s="1195"/>
      <c r="R127" s="1195"/>
      <c r="S127" s="1195"/>
      <c r="T127" s="1195"/>
      <c r="U127" s="1195"/>
    </row>
    <row r="128" spans="1:21" ht="15" customHeight="1" outlineLevel="1">
      <c r="A128" s="2561" t="s">
        <v>3505</v>
      </c>
      <c r="B128" s="2562"/>
      <c r="C128" s="2563"/>
      <c r="D128" s="2552" t="s">
        <v>156</v>
      </c>
      <c r="E128" s="2553">
        <f>SQRT((E126-E123)*(E126-E123)+E127*E127)</f>
        <v>2.4494897427831783</v>
      </c>
      <c r="F128" s="2557"/>
      <c r="G128" s="2558"/>
      <c r="H128" s="2554"/>
      <c r="I128" s="363"/>
      <c r="J128" s="363"/>
      <c r="K128" s="2503"/>
      <c r="L128" s="1195"/>
      <c r="M128" s="1195"/>
      <c r="N128" s="1195"/>
      <c r="O128" s="1195"/>
      <c r="P128" s="1195"/>
      <c r="Q128" s="1195"/>
      <c r="R128" s="1195"/>
      <c r="S128" s="1195"/>
      <c r="T128" s="1195"/>
      <c r="U128" s="1195"/>
    </row>
    <row r="129" spans="1:21" ht="15" customHeight="1" outlineLevel="1">
      <c r="A129" s="2561" t="s">
        <v>3507</v>
      </c>
      <c r="B129" s="2562"/>
      <c r="C129" s="2563"/>
      <c r="D129" s="261" t="s">
        <v>156</v>
      </c>
      <c r="E129" s="484">
        <f>SQRT(E126*E126+E127*E127)</f>
        <v>3</v>
      </c>
      <c r="F129" s="2557"/>
      <c r="G129" s="2558"/>
      <c r="H129" s="2554"/>
      <c r="I129" s="363"/>
      <c r="J129" s="363"/>
      <c r="K129" s="2503"/>
      <c r="L129" s="1195"/>
      <c r="M129" s="1195"/>
      <c r="N129" s="1195"/>
      <c r="O129" s="1195"/>
      <c r="P129" s="1195"/>
      <c r="Q129" s="1195"/>
      <c r="R129" s="1195"/>
      <c r="S129" s="1195"/>
      <c r="T129" s="1195"/>
      <c r="U129" s="1195"/>
    </row>
    <row r="130" spans="1:21" ht="15" customHeight="1" outlineLevel="1">
      <c r="A130" s="3081" t="s">
        <v>3508</v>
      </c>
      <c r="B130" s="3081"/>
      <c r="C130" s="3081"/>
      <c r="D130" s="261" t="s">
        <v>133</v>
      </c>
      <c r="E130" s="484">
        <f>E127*(E126-E123)+E127*E123*2</f>
        <v>6.7082039324993694</v>
      </c>
      <c r="F130" s="2557"/>
      <c r="G130" s="2558"/>
      <c r="H130" s="2554"/>
      <c r="I130" s="363"/>
      <c r="J130" s="363"/>
      <c r="K130" s="2536"/>
      <c r="L130" s="1195"/>
      <c r="M130" s="1195"/>
      <c r="N130" s="1195"/>
      <c r="O130" s="1195"/>
      <c r="P130" s="1195"/>
      <c r="Q130" s="1195"/>
      <c r="R130" s="1195"/>
      <c r="S130" s="1195"/>
      <c r="T130" s="1195"/>
      <c r="U130" s="1195"/>
    </row>
    <row r="131" spans="1:21" ht="15" customHeight="1" outlineLevel="1">
      <c r="A131" s="3255" t="s">
        <v>3880</v>
      </c>
      <c r="B131" s="3255"/>
      <c r="C131" s="3255"/>
      <c r="D131" s="455" t="s">
        <v>133</v>
      </c>
      <c r="E131" s="1230">
        <f>E127*E126</f>
        <v>4.4721359549995796</v>
      </c>
      <c r="F131" s="2555"/>
      <c r="G131" s="2555"/>
      <c r="H131" s="2554"/>
      <c r="I131" s="363"/>
      <c r="J131" s="363"/>
      <c r="K131" s="2503"/>
      <c r="L131" s="1195"/>
      <c r="M131" s="1195"/>
      <c r="N131" s="1195"/>
      <c r="O131" s="1195"/>
      <c r="P131" s="1195"/>
      <c r="Q131" s="1195"/>
      <c r="R131" s="1195"/>
      <c r="S131" s="1195"/>
      <c r="T131" s="1195"/>
      <c r="U131" s="1195"/>
    </row>
    <row r="132" spans="1:21" ht="15" customHeight="1" outlineLevel="1">
      <c r="A132" s="3255" t="s">
        <v>3510</v>
      </c>
      <c r="B132" s="3255"/>
      <c r="C132" s="3255"/>
      <c r="D132" s="455" t="s">
        <v>133</v>
      </c>
      <c r="E132" s="376">
        <f>SQRT(E129*E129-(E124/2)*(E124/2))</f>
        <v>2.8284271247461903</v>
      </c>
      <c r="F132" s="363"/>
      <c r="G132" s="2558"/>
      <c r="H132" s="2554"/>
      <c r="I132" s="363"/>
      <c r="J132" s="363"/>
      <c r="K132" s="2513"/>
      <c r="L132" s="1195"/>
      <c r="M132" s="1195"/>
      <c r="N132" s="1195"/>
      <c r="O132" s="1195"/>
      <c r="P132" s="1195"/>
      <c r="Q132" s="1195"/>
      <c r="R132" s="1195"/>
      <c r="S132" s="1195"/>
      <c r="T132" s="1195"/>
      <c r="U132" s="1195"/>
    </row>
    <row r="133" spans="1:21" ht="15" customHeight="1" outlineLevel="1">
      <c r="A133" s="3081" t="s">
        <v>3512</v>
      </c>
      <c r="B133" s="3081"/>
      <c r="C133" s="3081"/>
      <c r="D133" s="376" t="s">
        <v>133</v>
      </c>
      <c r="E133" s="376">
        <f>E130*1.35</f>
        <v>9.0560753088741492</v>
      </c>
      <c r="F133" s="363"/>
      <c r="G133" s="371"/>
      <c r="H133" s="2554"/>
      <c r="I133" s="363"/>
      <c r="J133" s="363"/>
      <c r="K133" s="2516"/>
      <c r="L133" s="1195"/>
      <c r="M133" s="1195"/>
      <c r="N133" s="1195"/>
      <c r="O133" s="1195"/>
      <c r="P133" s="1195"/>
      <c r="Q133" s="1195"/>
      <c r="R133" s="1195"/>
      <c r="S133" s="1195"/>
      <c r="T133" s="1195"/>
      <c r="U133" s="1195"/>
    </row>
    <row r="134" spans="1:21" ht="15" customHeight="1" outlineLevel="1">
      <c r="A134" s="3081" t="s">
        <v>3881</v>
      </c>
      <c r="B134" s="3081"/>
      <c r="C134" s="3081"/>
      <c r="D134" s="392" t="s">
        <v>133</v>
      </c>
      <c r="E134" s="392">
        <f>E131*1.35</f>
        <v>6.0373835392494328</v>
      </c>
      <c r="F134" s="363"/>
      <c r="G134" s="2558"/>
      <c r="H134" s="2554"/>
      <c r="I134" s="363"/>
      <c r="J134" s="363"/>
      <c r="K134" s="2516"/>
      <c r="L134" s="1195"/>
      <c r="M134" s="1195"/>
      <c r="N134" s="1195"/>
      <c r="O134" s="1195"/>
      <c r="P134" s="1195"/>
      <c r="Q134" s="1195"/>
      <c r="R134" s="1195"/>
      <c r="S134" s="1195"/>
      <c r="T134" s="1195"/>
      <c r="U134" s="1195"/>
    </row>
    <row r="135" spans="1:21" ht="15" customHeight="1" outlineLevel="1">
      <c r="A135" s="3255" t="s">
        <v>2628</v>
      </c>
      <c r="B135" s="3255"/>
      <c r="C135" s="3255"/>
      <c r="D135" s="2546" t="s">
        <v>1820</v>
      </c>
      <c r="E135" s="2556"/>
      <c r="F135" s="2518"/>
      <c r="G135" s="2558"/>
      <c r="H135" s="2554"/>
      <c r="I135" s="363"/>
      <c r="J135" s="363"/>
      <c r="K135" s="2503"/>
      <c r="L135" s="1195"/>
      <c r="M135" s="1195"/>
      <c r="N135" s="1195"/>
      <c r="O135" s="1195"/>
      <c r="P135" s="1195"/>
      <c r="Q135" s="1195"/>
      <c r="R135" s="1195"/>
      <c r="S135" s="1195"/>
      <c r="T135" s="1195"/>
      <c r="U135" s="1195"/>
    </row>
    <row r="136" spans="1:21" ht="15" customHeight="1" outlineLevel="1">
      <c r="A136" s="3080" t="s">
        <v>3518</v>
      </c>
      <c r="B136" s="3080"/>
      <c r="C136" s="3080"/>
      <c r="D136" s="261" t="s">
        <v>156</v>
      </c>
      <c r="E136" s="263">
        <v>0.15</v>
      </c>
      <c r="F136" s="2518"/>
      <c r="G136" s="2558"/>
      <c r="H136" s="2554"/>
      <c r="I136" s="363"/>
      <c r="J136" s="363"/>
      <c r="K136" s="2503"/>
      <c r="L136" s="1195"/>
      <c r="M136" s="1195"/>
      <c r="N136" s="1195"/>
      <c r="O136" s="1195"/>
      <c r="P136" s="1195"/>
      <c r="Q136" s="1195"/>
      <c r="R136" s="1195"/>
      <c r="S136" s="1195"/>
      <c r="T136" s="1195"/>
      <c r="U136" s="1195"/>
    </row>
    <row r="137" spans="1:21" ht="15" customHeight="1" outlineLevel="1">
      <c r="A137" s="3080"/>
      <c r="B137" s="3080"/>
      <c r="C137" s="3080"/>
      <c r="D137" s="261" t="s">
        <v>156</v>
      </c>
      <c r="E137" s="263">
        <v>0.2</v>
      </c>
      <c r="F137" s="2518"/>
      <c r="G137" s="2558"/>
      <c r="H137" s="2554"/>
      <c r="I137" s="363"/>
      <c r="J137" s="363"/>
      <c r="K137" s="2503"/>
      <c r="L137" s="1195"/>
      <c r="M137" s="1195"/>
      <c r="N137" s="1195"/>
      <c r="O137" s="1195"/>
      <c r="P137" s="1195"/>
      <c r="Q137" s="1195"/>
      <c r="R137" s="1195"/>
      <c r="S137" s="1195"/>
      <c r="T137" s="1195"/>
      <c r="U137" s="1195"/>
    </row>
    <row r="138" spans="1:21" ht="15" customHeight="1" outlineLevel="1">
      <c r="A138" s="3080" t="s">
        <v>2632</v>
      </c>
      <c r="B138" s="3080"/>
      <c r="C138" s="3080"/>
      <c r="D138" s="261" t="s">
        <v>156</v>
      </c>
      <c r="E138" s="263">
        <v>0.15</v>
      </c>
      <c r="F138" s="2518"/>
      <c r="G138" s="363"/>
      <c r="H138" s="2534"/>
      <c r="I138" s="363"/>
      <c r="J138" s="363"/>
      <c r="K138" s="2503"/>
      <c r="L138" s="1195"/>
      <c r="M138" s="1195"/>
      <c r="N138" s="1195"/>
      <c r="O138" s="1195"/>
      <c r="P138" s="1195"/>
      <c r="Q138" s="1195"/>
      <c r="R138" s="1195"/>
      <c r="S138" s="1195"/>
      <c r="T138" s="1195"/>
      <c r="U138" s="1195"/>
    </row>
    <row r="139" spans="1:21" ht="15" customHeight="1" outlineLevel="1">
      <c r="A139" s="3080"/>
      <c r="B139" s="3080"/>
      <c r="C139" s="3080"/>
      <c r="D139" s="261" t="s">
        <v>156</v>
      </c>
      <c r="E139" s="263">
        <v>0.2</v>
      </c>
      <c r="F139" s="2518"/>
      <c r="G139" s="363"/>
      <c r="H139" s="2534"/>
      <c r="I139" s="363"/>
      <c r="J139" s="363"/>
      <c r="K139" s="2503"/>
      <c r="L139" s="1195"/>
      <c r="M139" s="1195"/>
      <c r="N139" s="1195"/>
      <c r="O139" s="1195"/>
      <c r="P139" s="1195"/>
      <c r="Q139" s="1195"/>
      <c r="R139" s="1195"/>
      <c r="S139" s="1195"/>
      <c r="T139" s="1195"/>
      <c r="U139" s="1195"/>
    </row>
    <row r="140" spans="1:21" ht="15" customHeight="1" outlineLevel="1">
      <c r="A140" s="363"/>
      <c r="B140" s="363"/>
      <c r="C140" s="363"/>
      <c r="D140" s="363"/>
      <c r="E140" s="363"/>
      <c r="F140" s="2537"/>
      <c r="G140" s="363"/>
      <c r="H140" s="2534"/>
      <c r="I140" s="363"/>
      <c r="J140" s="363"/>
      <c r="K140" s="2506"/>
      <c r="L140" s="1195"/>
      <c r="M140" s="1195"/>
      <c r="N140" s="1195"/>
      <c r="O140" s="1195"/>
      <c r="P140" s="1195"/>
      <c r="Q140" s="1195"/>
      <c r="R140" s="1195"/>
      <c r="S140" s="1195"/>
      <c r="T140" s="1195"/>
      <c r="U140" s="1195"/>
    </row>
    <row r="141" spans="1:21" ht="15" customHeight="1" outlineLevel="1">
      <c r="A141" s="2504"/>
      <c r="B141" s="2504"/>
      <c r="C141" s="2504"/>
      <c r="D141" s="2504"/>
      <c r="E141" s="2503"/>
      <c r="F141" s="2542"/>
      <c r="G141" s="2504"/>
      <c r="H141" s="2534"/>
      <c r="I141" s="2534"/>
      <c r="J141" s="2534"/>
      <c r="K141" s="2506"/>
      <c r="L141" s="1195"/>
      <c r="M141" s="1195"/>
      <c r="N141" s="1195"/>
      <c r="O141" s="1195"/>
      <c r="P141" s="1195"/>
      <c r="Q141" s="1195"/>
      <c r="R141" s="1195"/>
      <c r="S141" s="1195"/>
      <c r="T141" s="1195"/>
      <c r="U141" s="1195"/>
    </row>
    <row r="142" spans="1:21" ht="15" customHeight="1" outlineLevel="1">
      <c r="A142" s="2504"/>
      <c r="B142" s="2504"/>
      <c r="C142" s="2504"/>
      <c r="D142" s="2504"/>
      <c r="E142" s="2504"/>
      <c r="F142" s="2504"/>
      <c r="G142" s="2504"/>
      <c r="H142" s="2534"/>
      <c r="I142" s="2534"/>
      <c r="J142" s="2534"/>
      <c r="K142" s="2506"/>
      <c r="L142" s="1195"/>
      <c r="M142" s="1195"/>
      <c r="N142" s="1195"/>
      <c r="O142" s="1195"/>
      <c r="P142" s="1195"/>
      <c r="Q142" s="1195"/>
      <c r="R142" s="1195"/>
      <c r="S142" s="1195"/>
      <c r="T142" s="1195"/>
      <c r="U142" s="1195"/>
    </row>
    <row r="143" spans="1:21" ht="15" customHeight="1" outlineLevel="1">
      <c r="A143" s="2564" t="s">
        <v>2544</v>
      </c>
      <c r="B143" s="2565"/>
      <c r="C143" s="2515" t="s">
        <v>120</v>
      </c>
      <c r="D143" s="2515" t="s">
        <v>1753</v>
      </c>
      <c r="E143" s="2451" t="str">
        <f>'Ввод данных'!F416</f>
        <v>Не считать</v>
      </c>
      <c r="F143" s="2566" t="s">
        <v>2545</v>
      </c>
      <c r="G143" s="2504"/>
      <c r="H143" s="2534"/>
      <c r="I143" s="2534"/>
      <c r="J143" s="2534"/>
      <c r="K143" s="2506"/>
      <c r="L143" s="1195"/>
      <c r="M143" s="1195"/>
      <c r="N143" s="1195"/>
      <c r="O143" s="1195"/>
      <c r="P143" s="1195"/>
      <c r="Q143" s="1195"/>
      <c r="R143" s="1195"/>
      <c r="S143" s="1195"/>
      <c r="T143" s="1195"/>
      <c r="U143" s="1195"/>
    </row>
    <row r="144" spans="1:21" ht="15" customHeight="1" outlineLevel="1">
      <c r="A144" s="3255" t="s">
        <v>2547</v>
      </c>
      <c r="B144" s="3255"/>
      <c r="C144" s="2549" t="s">
        <v>159</v>
      </c>
      <c r="D144" s="2522"/>
      <c r="E144" s="2504"/>
      <c r="F144" s="2504"/>
      <c r="G144" s="2504"/>
      <c r="H144" s="2504"/>
      <c r="I144" s="2504"/>
      <c r="J144" s="2504"/>
      <c r="K144" s="2536"/>
      <c r="L144" s="1195"/>
      <c r="M144" s="1195"/>
      <c r="N144" s="1195"/>
      <c r="O144" s="1195"/>
      <c r="P144" s="1195"/>
      <c r="Q144" s="1195"/>
      <c r="R144" s="1195"/>
      <c r="S144" s="1195"/>
      <c r="T144" s="1195"/>
      <c r="U144" s="1195"/>
    </row>
    <row r="145" spans="1:21" ht="15" customHeight="1" outlineLevel="1">
      <c r="A145" s="3255" t="s">
        <v>2552</v>
      </c>
      <c r="B145" s="3255"/>
      <c r="C145" s="2549" t="s">
        <v>159</v>
      </c>
      <c r="D145" s="2522">
        <f>'Ввод данных'!E358</f>
        <v>1</v>
      </c>
      <c r="E145" s="2504"/>
      <c r="F145" s="2504"/>
      <c r="G145" s="2504"/>
      <c r="H145" s="2504"/>
      <c r="I145" s="2504"/>
      <c r="J145" s="2504"/>
      <c r="K145" s="2536"/>
      <c r="L145" s="1195"/>
      <c r="M145" s="1195"/>
      <c r="N145" s="1195"/>
      <c r="O145" s="1195"/>
      <c r="P145" s="1195"/>
      <c r="Q145" s="1195"/>
      <c r="R145" s="1195"/>
      <c r="S145" s="1195"/>
      <c r="T145" s="1195"/>
      <c r="U145" s="1195"/>
    </row>
    <row r="146" spans="1:21" ht="15" customHeight="1" outlineLevel="1">
      <c r="A146" s="3255" t="s">
        <v>1236</v>
      </c>
      <c r="B146" s="3255"/>
      <c r="C146" s="363" t="s">
        <v>120</v>
      </c>
      <c r="D146" s="376" t="s">
        <v>1753</v>
      </c>
      <c r="E146" s="376" t="s">
        <v>293</v>
      </c>
      <c r="F146" s="376" t="s">
        <v>1820</v>
      </c>
      <c r="G146" s="2504"/>
      <c r="H146" s="2504"/>
      <c r="I146" s="2504"/>
      <c r="J146" s="2504"/>
      <c r="K146" s="2536"/>
      <c r="L146" s="1195"/>
      <c r="M146" s="1195"/>
      <c r="N146" s="1195"/>
      <c r="O146" s="1195"/>
      <c r="P146" s="1195"/>
      <c r="Q146" s="1195"/>
      <c r="R146" s="1195"/>
      <c r="S146" s="1195"/>
      <c r="T146" s="1195"/>
      <c r="U146" s="1195"/>
    </row>
    <row r="147" spans="1:21" ht="15" customHeight="1" outlineLevel="1">
      <c r="A147" s="3255" t="s">
        <v>2001</v>
      </c>
      <c r="B147" s="3255"/>
      <c r="C147" s="2548" t="s">
        <v>156</v>
      </c>
      <c r="D147" s="2552"/>
      <c r="E147" s="2451" t="str">
        <f>связи1!E549</f>
        <v>№3</v>
      </c>
      <c r="F147" s="2518" t="e">
        <f>'Ввод данных'!#REF!</f>
        <v>#REF!</v>
      </c>
      <c r="G147" s="365" t="s">
        <v>3521</v>
      </c>
      <c r="H147" s="363"/>
      <c r="I147" s="2504"/>
      <c r="J147" s="2504"/>
      <c r="K147" s="2536"/>
      <c r="L147" s="1195"/>
      <c r="M147" s="1195"/>
      <c r="N147" s="1195"/>
      <c r="O147" s="1195"/>
      <c r="P147" s="1195"/>
      <c r="Q147" s="1195"/>
      <c r="R147" s="1195"/>
      <c r="S147" s="1195"/>
      <c r="T147" s="1195"/>
      <c r="U147" s="1195"/>
    </row>
    <row r="148" spans="1:21" ht="15" customHeight="1" outlineLevel="1">
      <c r="A148" s="3255" t="s">
        <v>2557</v>
      </c>
      <c r="B148" s="3255"/>
      <c r="C148" s="2548" t="s">
        <v>156</v>
      </c>
      <c r="D148" s="2552"/>
      <c r="E148" s="2451">
        <f>связи1!E550</f>
        <v>1</v>
      </c>
      <c r="F148" s="2518" t="e">
        <f>'Ввод данных'!#REF!</f>
        <v>#REF!</v>
      </c>
      <c r="G148" s="365" t="s">
        <v>3522</v>
      </c>
      <c r="H148" s="363"/>
      <c r="I148" s="2504"/>
      <c r="J148" s="2504"/>
      <c r="K148" s="2536"/>
      <c r="L148" s="1195"/>
      <c r="M148" s="1195"/>
      <c r="N148" s="1195"/>
      <c r="O148" s="1195"/>
      <c r="P148" s="1195"/>
      <c r="Q148" s="1195"/>
      <c r="R148" s="1195"/>
      <c r="S148" s="1195"/>
      <c r="T148" s="1195"/>
      <c r="U148" s="1195"/>
    </row>
    <row r="149" spans="1:21" ht="15" customHeight="1" outlineLevel="1">
      <c r="A149" s="3239" t="s">
        <v>2558</v>
      </c>
      <c r="B149" s="3239"/>
      <c r="C149" s="2567" t="s">
        <v>156</v>
      </c>
      <c r="D149" s="305"/>
      <c r="E149" s="2451">
        <f>'Ввод данных'!E362</f>
        <v>0</v>
      </c>
      <c r="F149" s="2518">
        <f>'Ввод данных'!G366</f>
        <v>0</v>
      </c>
      <c r="G149" s="365" t="s">
        <v>3523</v>
      </c>
      <c r="H149" s="2534"/>
      <c r="I149" s="2534"/>
      <c r="J149" s="2534"/>
      <c r="K149" s="2536"/>
      <c r="L149" s="1195"/>
      <c r="M149" s="1195"/>
      <c r="N149" s="1195"/>
      <c r="O149" s="1195"/>
      <c r="P149" s="1195"/>
      <c r="Q149" s="1195"/>
      <c r="R149" s="1195"/>
      <c r="S149" s="1195"/>
      <c r="T149" s="1195"/>
      <c r="U149" s="1195"/>
    </row>
    <row r="150" spans="1:21" ht="15" customHeight="1" outlineLevel="1">
      <c r="A150" s="3239" t="s">
        <v>2071</v>
      </c>
      <c r="B150" s="3239"/>
      <c r="C150" s="2502" t="s">
        <v>156</v>
      </c>
      <c r="D150" s="2522"/>
      <c r="E150" s="2504"/>
      <c r="F150" s="2504"/>
      <c r="G150" s="2504"/>
      <c r="H150" s="2534"/>
      <c r="I150" s="2534"/>
      <c r="J150" s="2534"/>
      <c r="K150" s="2536"/>
      <c r="L150" s="1195"/>
      <c r="M150" s="1195"/>
      <c r="N150" s="1195"/>
      <c r="O150" s="1195"/>
      <c r="P150" s="1195"/>
      <c r="Q150" s="1195"/>
      <c r="R150" s="1195"/>
      <c r="S150" s="1195"/>
      <c r="T150" s="1195"/>
      <c r="U150" s="1195"/>
    </row>
    <row r="151" spans="1:21" ht="15" customHeight="1" outlineLevel="1">
      <c r="A151" s="3239" t="s">
        <v>2573</v>
      </c>
      <c r="B151" s="3239"/>
      <c r="C151" s="2528" t="s">
        <v>156</v>
      </c>
      <c r="D151" s="2522"/>
      <c r="E151" s="2504"/>
      <c r="F151" s="2504"/>
      <c r="G151" s="2504"/>
      <c r="H151" s="2503"/>
      <c r="I151" s="2534"/>
      <c r="J151" s="2534"/>
      <c r="K151" s="2536"/>
      <c r="L151" s="1195"/>
      <c r="M151" s="1195"/>
      <c r="N151" s="1195"/>
      <c r="O151" s="1195"/>
      <c r="P151" s="1195"/>
      <c r="Q151" s="1195"/>
      <c r="R151" s="1195"/>
      <c r="S151" s="1195"/>
      <c r="T151" s="1195"/>
      <c r="U151" s="1195"/>
    </row>
    <row r="152" spans="1:21" ht="15" customHeight="1" outlineLevel="1">
      <c r="A152" s="3239" t="s">
        <v>3882</v>
      </c>
      <c r="B152" s="3239"/>
      <c r="C152" s="2528" t="s">
        <v>156</v>
      </c>
      <c r="D152" s="2522"/>
      <c r="E152" s="2504"/>
      <c r="F152" s="2504"/>
      <c r="G152" s="2504"/>
      <c r="H152" s="2503"/>
      <c r="I152" s="2534"/>
      <c r="J152" s="2534"/>
      <c r="K152" s="2536"/>
      <c r="L152" s="1195"/>
      <c r="M152" s="1195"/>
      <c r="N152" s="1195"/>
      <c r="O152" s="1195"/>
      <c r="P152" s="1195"/>
      <c r="Q152" s="1195"/>
      <c r="R152" s="1195"/>
      <c r="S152" s="1195"/>
      <c r="T152" s="1195"/>
      <c r="U152" s="1195"/>
    </row>
    <row r="153" spans="1:21" ht="15" customHeight="1" outlineLevel="1">
      <c r="A153" s="3239" t="s">
        <v>3883</v>
      </c>
      <c r="B153" s="3239"/>
      <c r="C153" s="2528" t="s">
        <v>156</v>
      </c>
      <c r="D153" s="2522"/>
      <c r="E153" s="2504"/>
      <c r="F153" s="2504"/>
      <c r="G153" s="2504"/>
      <c r="H153" s="2503"/>
      <c r="I153" s="2534"/>
      <c r="J153" s="2534"/>
      <c r="K153" s="2536"/>
      <c r="L153" s="1195"/>
      <c r="M153" s="1195"/>
      <c r="N153" s="1195"/>
      <c r="O153" s="1195"/>
      <c r="P153" s="1195"/>
      <c r="Q153" s="1195"/>
      <c r="R153" s="1195"/>
      <c r="S153" s="1195"/>
      <c r="T153" s="1195"/>
      <c r="U153" s="1195"/>
    </row>
    <row r="154" spans="1:21" ht="15" customHeight="1" outlineLevel="1">
      <c r="A154" s="3239" t="s">
        <v>3884</v>
      </c>
      <c r="B154" s="3239"/>
      <c r="C154" s="2528" t="s">
        <v>156</v>
      </c>
      <c r="D154" s="2522"/>
      <c r="E154" s="2504"/>
      <c r="F154" s="2504"/>
      <c r="G154" s="2504"/>
      <c r="H154" s="2504"/>
      <c r="I154" s="2534"/>
      <c r="J154" s="2534"/>
      <c r="K154" s="2536"/>
      <c r="L154" s="1195"/>
      <c r="M154" s="1195"/>
      <c r="N154" s="1195"/>
      <c r="O154" s="1195"/>
      <c r="P154" s="1195"/>
      <c r="Q154" s="1195"/>
      <c r="R154" s="1195"/>
      <c r="S154" s="1195"/>
      <c r="T154" s="1195"/>
      <c r="U154" s="1195"/>
    </row>
    <row r="155" spans="1:21" ht="15" customHeight="1" outlineLevel="1">
      <c r="A155" s="3240" t="s">
        <v>3885</v>
      </c>
      <c r="B155" s="3240"/>
      <c r="C155" s="2528" t="s">
        <v>156</v>
      </c>
      <c r="D155" s="2540"/>
      <c r="E155" s="2504"/>
      <c r="F155" s="2504"/>
      <c r="G155" s="2504"/>
      <c r="H155" s="2504"/>
      <c r="I155" s="2534"/>
      <c r="J155" s="2534"/>
      <c r="K155" s="2536"/>
      <c r="L155" s="1195"/>
      <c r="M155" s="1195"/>
      <c r="N155" s="1195"/>
      <c r="O155" s="1195"/>
      <c r="P155" s="1195"/>
      <c r="Q155" s="1195"/>
      <c r="R155" s="1195"/>
      <c r="S155" s="1195"/>
      <c r="T155" s="1195"/>
      <c r="U155" s="1195"/>
    </row>
    <row r="156" spans="1:21" ht="15" customHeight="1" outlineLevel="1">
      <c r="A156" s="3239" t="s">
        <v>3886</v>
      </c>
      <c r="B156" s="3239"/>
      <c r="C156" s="2528" t="s">
        <v>156</v>
      </c>
      <c r="D156" s="2528"/>
      <c r="E156" s="2504"/>
      <c r="F156" s="2504"/>
      <c r="G156" s="2504"/>
      <c r="H156" s="2504"/>
      <c r="I156" s="2534"/>
      <c r="J156" s="2534"/>
      <c r="K156" s="2536"/>
      <c r="L156" s="1195"/>
      <c r="M156" s="1195"/>
      <c r="N156" s="1195"/>
      <c r="O156" s="1195"/>
      <c r="P156" s="1195"/>
      <c r="Q156" s="1195"/>
      <c r="R156" s="1195"/>
      <c r="S156" s="1195"/>
      <c r="T156" s="1195"/>
      <c r="U156" s="1195"/>
    </row>
    <row r="157" spans="1:21" ht="15" customHeight="1" outlineLevel="1">
      <c r="A157" s="3239" t="s">
        <v>1093</v>
      </c>
      <c r="B157" s="3239"/>
      <c r="C157" s="2504" t="s">
        <v>120</v>
      </c>
      <c r="D157" s="2568" t="s">
        <v>853</v>
      </c>
      <c r="E157" s="2528" t="s">
        <v>1802</v>
      </c>
      <c r="F157" s="2540" t="s">
        <v>853</v>
      </c>
      <c r="G157" s="2540" t="s">
        <v>2548</v>
      </c>
      <c r="H157" s="2503"/>
      <c r="I157" s="2534"/>
      <c r="J157" s="2534"/>
      <c r="K157" s="2569"/>
      <c r="L157" s="1195"/>
      <c r="M157" s="1195"/>
      <c r="N157" s="1195"/>
      <c r="O157" s="1195"/>
      <c r="P157" s="1195"/>
      <c r="Q157" s="1195"/>
      <c r="R157" s="1195"/>
      <c r="S157" s="1195"/>
      <c r="T157" s="1195"/>
      <c r="U157" s="1195"/>
    </row>
    <row r="158" spans="1:21" ht="15" customHeight="1" outlineLevel="1">
      <c r="A158" s="3086" t="s">
        <v>2553</v>
      </c>
      <c r="B158" s="3086"/>
      <c r="C158" s="2528" t="s">
        <v>156</v>
      </c>
      <c r="D158" s="2522">
        <f>связи1!D552</f>
        <v>3</v>
      </c>
      <c r="E158" s="2451">
        <f>связи1!E552</f>
        <v>3</v>
      </c>
      <c r="F158" s="2540">
        <f t="shared" ref="F158:F165" si="1">D158*E158</f>
        <v>9</v>
      </c>
      <c r="G158" s="2540">
        <f>F158*D153</f>
        <v>0</v>
      </c>
      <c r="H158" s="2503"/>
      <c r="I158" s="2534"/>
      <c r="J158" s="2534"/>
      <c r="K158" s="2542"/>
      <c r="L158" s="1195"/>
      <c r="M158" s="1195"/>
      <c r="N158" s="1195"/>
      <c r="O158" s="1195"/>
      <c r="P158" s="1195"/>
      <c r="Q158" s="1195"/>
      <c r="R158" s="1195"/>
      <c r="S158" s="1195"/>
      <c r="T158" s="1195"/>
      <c r="U158" s="1195"/>
    </row>
    <row r="159" spans="1:21" ht="15" customHeight="1" outlineLevel="1">
      <c r="A159" s="3086"/>
      <c r="B159" s="3086"/>
      <c r="C159" s="2528" t="s">
        <v>1322</v>
      </c>
      <c r="D159" s="2522">
        <f>связи1!D553</f>
        <v>2.9</v>
      </c>
      <c r="E159" s="2451">
        <f>связи1!E553</f>
        <v>2.9</v>
      </c>
      <c r="F159" s="2540">
        <f t="shared" si="1"/>
        <v>8.41</v>
      </c>
      <c r="G159" s="2540">
        <f>F159*D153</f>
        <v>0</v>
      </c>
      <c r="H159" s="2503"/>
      <c r="I159" s="2534"/>
      <c r="J159" s="2534"/>
      <c r="K159" s="2536"/>
      <c r="L159" s="1195"/>
      <c r="M159" s="1195"/>
      <c r="N159" s="1195"/>
      <c r="O159" s="1195"/>
      <c r="P159" s="1195"/>
      <c r="Q159" s="1195"/>
      <c r="R159" s="1195"/>
      <c r="S159" s="1195"/>
      <c r="T159" s="1195"/>
      <c r="U159" s="1195"/>
    </row>
    <row r="160" spans="1:21" ht="15" customHeight="1" outlineLevel="1">
      <c r="A160" s="3086" t="s">
        <v>2556</v>
      </c>
      <c r="B160" s="3086"/>
      <c r="C160" s="2528" t="s">
        <v>156</v>
      </c>
      <c r="D160" s="2522">
        <f>связи1!D556</f>
        <v>2.2000000000000002</v>
      </c>
      <c r="E160" s="2451">
        <f>связи1!E556</f>
        <v>2.2000000000000002</v>
      </c>
      <c r="F160" s="2540">
        <f t="shared" si="1"/>
        <v>4.8400000000000007</v>
      </c>
      <c r="G160" s="2540">
        <f>F160*D153</f>
        <v>0</v>
      </c>
      <c r="H160" s="2503"/>
      <c r="I160" s="2534"/>
      <c r="J160" s="2534"/>
      <c r="K160" s="2536"/>
      <c r="L160" s="1195"/>
      <c r="M160" s="1195"/>
      <c r="N160" s="1195"/>
      <c r="O160" s="1195"/>
      <c r="P160" s="1195"/>
      <c r="Q160" s="1195"/>
      <c r="R160" s="1195"/>
      <c r="S160" s="1195"/>
      <c r="T160" s="1195"/>
      <c r="U160" s="1195"/>
    </row>
    <row r="161" spans="1:21" ht="15" customHeight="1" outlineLevel="1">
      <c r="A161" s="3086"/>
      <c r="B161" s="3086"/>
      <c r="C161" s="2528" t="s">
        <v>156</v>
      </c>
      <c r="D161" s="2522">
        <f>связи1!D557</f>
        <v>0.99999999999999978</v>
      </c>
      <c r="E161" s="2451">
        <f>связи1!E557</f>
        <v>2.9</v>
      </c>
      <c r="F161" s="2540">
        <f t="shared" si="1"/>
        <v>2.8999999999999995</v>
      </c>
      <c r="G161" s="2540">
        <f>F161*D153</f>
        <v>0</v>
      </c>
      <c r="H161" s="2503"/>
      <c r="I161" s="2534"/>
      <c r="J161" s="2534"/>
      <c r="K161" s="2536"/>
      <c r="L161" s="1195"/>
      <c r="M161" s="1195"/>
      <c r="N161" s="1195"/>
      <c r="O161" s="1195"/>
      <c r="P161" s="1195"/>
      <c r="Q161" s="1195"/>
      <c r="R161" s="1195"/>
      <c r="S161" s="1195"/>
      <c r="T161" s="1195"/>
      <c r="U161" s="1195"/>
    </row>
    <row r="162" spans="1:21" ht="15" customHeight="1" outlineLevel="1">
      <c r="A162" s="3086" t="s">
        <v>2559</v>
      </c>
      <c r="B162" s="3086"/>
      <c r="C162" s="2528" t="s">
        <v>1322</v>
      </c>
      <c r="D162" s="2522">
        <f>связи1!D558</f>
        <v>2.1</v>
      </c>
      <c r="E162" s="2451"/>
      <c r="F162" s="2540">
        <f t="shared" si="1"/>
        <v>0</v>
      </c>
      <c r="G162" s="2540">
        <f>F162*D152*D145</f>
        <v>0</v>
      </c>
      <c r="H162" s="2534"/>
      <c r="I162" s="2534"/>
      <c r="J162" s="2534"/>
      <c r="K162" s="2536"/>
      <c r="L162" s="1195"/>
      <c r="M162" s="1195"/>
      <c r="N162" s="1195"/>
      <c r="O162" s="1195"/>
      <c r="P162" s="1195"/>
      <c r="Q162" s="1195"/>
      <c r="R162" s="1195"/>
      <c r="S162" s="1195"/>
      <c r="T162" s="1195"/>
      <c r="U162" s="1195"/>
    </row>
    <row r="163" spans="1:21" ht="15" customHeight="1" outlineLevel="1">
      <c r="A163" s="3086"/>
      <c r="B163" s="3086"/>
      <c r="C163" s="2528" t="s">
        <v>156</v>
      </c>
      <c r="D163" s="2522" t="e">
        <f>'Ввод данных'!#REF!</f>
        <v>#REF!</v>
      </c>
      <c r="E163" s="2451" t="e">
        <f>'Ввод данных'!#REF!</f>
        <v>#REF!</v>
      </c>
      <c r="F163" s="2540" t="e">
        <f t="shared" si="1"/>
        <v>#REF!</v>
      </c>
      <c r="G163" s="2540" t="e">
        <f>F163*D152*D145</f>
        <v>#REF!</v>
      </c>
      <c r="H163" s="2534"/>
      <c r="I163" s="2534"/>
      <c r="J163" s="2534"/>
      <c r="K163" s="2536"/>
      <c r="L163" s="1195"/>
      <c r="M163" s="1195"/>
      <c r="N163" s="1195"/>
      <c r="O163" s="1195"/>
      <c r="P163" s="1195"/>
      <c r="Q163" s="1195"/>
      <c r="R163" s="1195"/>
      <c r="S163" s="1195"/>
      <c r="T163" s="1195"/>
      <c r="U163" s="1195"/>
    </row>
    <row r="164" spans="1:21" ht="15" customHeight="1" outlineLevel="1">
      <c r="A164" s="3086" t="s">
        <v>2559</v>
      </c>
      <c r="B164" s="3086"/>
      <c r="C164" s="2528" t="s">
        <v>156</v>
      </c>
      <c r="D164" s="2522" t="e">
        <f>'Ввод данных'!#REF!</f>
        <v>#REF!</v>
      </c>
      <c r="E164" s="2451" t="e">
        <f>'Ввод данных'!#REF!</f>
        <v>#REF!</v>
      </c>
      <c r="F164" s="2540" t="e">
        <f t="shared" si="1"/>
        <v>#REF!</v>
      </c>
      <c r="G164" s="2525" t="e">
        <f>F164*D152*D145</f>
        <v>#REF!</v>
      </c>
      <c r="H164" s="2510"/>
      <c r="I164" s="2510"/>
      <c r="J164" s="2534"/>
      <c r="K164" s="2536"/>
      <c r="L164" s="1195"/>
      <c r="M164" s="1195"/>
      <c r="N164" s="1195"/>
      <c r="O164" s="1195"/>
      <c r="P164" s="1195"/>
      <c r="Q164" s="1195"/>
      <c r="R164" s="1195"/>
      <c r="S164" s="1195"/>
      <c r="T164" s="1195"/>
      <c r="U164" s="1195"/>
    </row>
    <row r="165" spans="1:21" ht="15" customHeight="1" outlineLevel="1">
      <c r="A165" s="3086"/>
      <c r="B165" s="3086"/>
      <c r="C165" s="2528" t="s">
        <v>156</v>
      </c>
      <c r="D165" s="2522" t="e">
        <f>'Ввод данных'!#REF!</f>
        <v>#REF!</v>
      </c>
      <c r="E165" s="2451" t="e">
        <f>'Ввод данных'!#REF!</f>
        <v>#REF!</v>
      </c>
      <c r="F165" s="2540" t="e">
        <f t="shared" si="1"/>
        <v>#REF!</v>
      </c>
      <c r="G165" s="2525" t="e">
        <f>F165*D152*D145</f>
        <v>#REF!</v>
      </c>
      <c r="H165" s="2510"/>
      <c r="I165" s="2510"/>
      <c r="J165" s="2570"/>
      <c r="K165" s="2536"/>
      <c r="L165" s="1195"/>
      <c r="M165" s="1195"/>
      <c r="N165" s="1195"/>
      <c r="O165" s="1195"/>
      <c r="P165" s="1195"/>
      <c r="Q165" s="1195"/>
      <c r="R165" s="1195"/>
      <c r="S165" s="1195"/>
      <c r="T165" s="1195"/>
      <c r="U165" s="1195"/>
    </row>
    <row r="166" spans="1:21" ht="15" customHeight="1" outlineLevel="1">
      <c r="A166" s="3257" t="s">
        <v>2578</v>
      </c>
      <c r="B166" s="3257"/>
      <c r="C166" s="3257"/>
      <c r="D166" s="3257"/>
      <c r="E166" s="3257"/>
      <c r="F166" s="2540" t="e">
        <f>SUM(F158:F165)</f>
        <v>#REF!</v>
      </c>
      <c r="G166" s="2540" t="e">
        <f>SUM(G158:G165)</f>
        <v>#REF!</v>
      </c>
      <c r="H166" s="2534"/>
      <c r="I166" s="2534"/>
      <c r="J166" s="2510"/>
      <c r="K166" s="2536"/>
      <c r="L166" s="1195"/>
      <c r="M166" s="1195"/>
      <c r="N166" s="1195"/>
      <c r="O166" s="1195"/>
      <c r="P166" s="1195"/>
      <c r="Q166" s="1195"/>
      <c r="R166" s="1195"/>
      <c r="S166" s="1195"/>
      <c r="T166" s="1195"/>
      <c r="U166" s="1195"/>
    </row>
    <row r="167" spans="1:21" ht="15" customHeight="1" outlineLevel="1">
      <c r="A167" s="2571" t="s">
        <v>2208</v>
      </c>
      <c r="B167" s="2572"/>
      <c r="C167" s="2573" t="s">
        <v>120</v>
      </c>
      <c r="D167" s="2573" t="s">
        <v>2580</v>
      </c>
      <c r="E167" s="2573" t="s">
        <v>2581</v>
      </c>
      <c r="F167" s="2573" t="s">
        <v>1802</v>
      </c>
      <c r="G167" s="2515" t="s">
        <v>2548</v>
      </c>
      <c r="H167" s="2534"/>
      <c r="I167" s="2574"/>
      <c r="J167" s="2570"/>
      <c r="K167" s="2536"/>
      <c r="L167" s="1195"/>
      <c r="M167" s="1195"/>
      <c r="N167" s="1195"/>
      <c r="O167" s="1195"/>
      <c r="P167" s="1195"/>
      <c r="Q167" s="1195"/>
      <c r="R167" s="1195"/>
      <c r="S167" s="1195"/>
      <c r="T167" s="1195"/>
      <c r="U167" s="1195"/>
    </row>
    <row r="168" spans="1:21" ht="15" customHeight="1" outlineLevel="1">
      <c r="A168" s="3086" t="s">
        <v>2210</v>
      </c>
      <c r="B168" s="3086"/>
      <c r="C168" s="455" t="s">
        <v>156</v>
      </c>
      <c r="D168" s="2522" t="e">
        <f>'Ввод данных'!#REF!</f>
        <v>#REF!</v>
      </c>
      <c r="E168" s="2451" t="e">
        <f>'Ввод данных'!#REF!</f>
        <v>#REF!</v>
      </c>
      <c r="F168" s="2518">
        <f>'Ввод данных'!G377</f>
        <v>0</v>
      </c>
      <c r="G168" s="387" t="e">
        <f t="shared" ref="G168:G174" si="2">D168*E168*F168</f>
        <v>#REF!</v>
      </c>
      <c r="H168" s="2534"/>
      <c r="I168" s="2513"/>
      <c r="J168" s="2570"/>
      <c r="K168" s="2536"/>
      <c r="L168" s="1195"/>
      <c r="M168" s="1195"/>
      <c r="N168" s="1195"/>
      <c r="O168" s="1195"/>
      <c r="P168" s="1195"/>
      <c r="Q168" s="1195"/>
      <c r="R168" s="1195"/>
      <c r="S168" s="1195"/>
      <c r="T168" s="1195"/>
      <c r="U168" s="1195"/>
    </row>
    <row r="169" spans="1:21" ht="15" customHeight="1" outlineLevel="1">
      <c r="A169" s="3086"/>
      <c r="B169" s="3086"/>
      <c r="C169" s="455" t="s">
        <v>156</v>
      </c>
      <c r="D169" s="2522" t="e">
        <f>'Ввод данных'!#REF!</f>
        <v>#REF!</v>
      </c>
      <c r="E169" s="2451" t="e">
        <f>'Ввод данных'!#REF!</f>
        <v>#REF!</v>
      </c>
      <c r="F169" s="2518">
        <f>'Ввод данных'!G378</f>
        <v>0</v>
      </c>
      <c r="G169" s="387" t="e">
        <f t="shared" si="2"/>
        <v>#REF!</v>
      </c>
      <c r="H169" s="2534"/>
      <c r="I169" s="2574"/>
      <c r="J169" s="2570"/>
      <c r="K169" s="2536"/>
      <c r="L169" s="1195"/>
      <c r="M169" s="1195"/>
      <c r="N169" s="1195"/>
      <c r="O169" s="1195"/>
      <c r="P169" s="1195"/>
      <c r="Q169" s="1195"/>
      <c r="R169" s="1195"/>
      <c r="S169" s="1195"/>
      <c r="T169" s="1195"/>
      <c r="U169" s="1195"/>
    </row>
    <row r="170" spans="1:21" ht="15" customHeight="1" outlineLevel="1">
      <c r="A170" s="3086"/>
      <c r="B170" s="3086"/>
      <c r="C170" s="455" t="s">
        <v>156</v>
      </c>
      <c r="D170" s="2522" t="e">
        <f>'Ввод данных'!#REF!</f>
        <v>#REF!</v>
      </c>
      <c r="E170" s="2451" t="e">
        <f>'Ввод данных'!#REF!</f>
        <v>#REF!</v>
      </c>
      <c r="F170" s="2518">
        <f>'Ввод данных'!G379</f>
        <v>0</v>
      </c>
      <c r="G170" s="387" t="e">
        <f t="shared" si="2"/>
        <v>#REF!</v>
      </c>
      <c r="H170" s="2575"/>
      <c r="I170" s="2574"/>
      <c r="J170" s="2570"/>
      <c r="K170" s="2536"/>
      <c r="L170" s="1195"/>
      <c r="M170" s="1195"/>
      <c r="N170" s="1195"/>
      <c r="O170" s="1195"/>
      <c r="P170" s="1195"/>
      <c r="Q170" s="1195"/>
      <c r="R170" s="1195"/>
      <c r="S170" s="1195"/>
      <c r="T170" s="1195"/>
      <c r="U170" s="1195"/>
    </row>
    <row r="171" spans="1:21" ht="15" customHeight="1" outlineLevel="1">
      <c r="A171" s="3258" t="s">
        <v>2593</v>
      </c>
      <c r="B171" s="3258"/>
      <c r="C171" s="455" t="s">
        <v>156</v>
      </c>
      <c r="D171" s="2522" t="e">
        <f>'Ввод данных'!#REF!</f>
        <v>#REF!</v>
      </c>
      <c r="E171" s="2451"/>
      <c r="F171" s="2518" t="e">
        <f>'Ввод данных'!#REF!</f>
        <v>#REF!</v>
      </c>
      <c r="G171" s="387" t="e">
        <f t="shared" si="2"/>
        <v>#REF!</v>
      </c>
      <c r="H171" s="2510"/>
      <c r="I171" s="2574"/>
      <c r="J171" s="2570"/>
      <c r="K171" s="2536"/>
      <c r="L171" s="1195"/>
      <c r="M171" s="1195"/>
      <c r="N171" s="1195"/>
      <c r="O171" s="1195"/>
      <c r="P171" s="1195"/>
      <c r="Q171" s="1195"/>
      <c r="R171" s="1195"/>
      <c r="S171" s="1195"/>
      <c r="T171" s="1195"/>
      <c r="U171" s="1195"/>
    </row>
    <row r="172" spans="1:21" ht="15" customHeight="1" outlineLevel="1">
      <c r="A172" s="3258"/>
      <c r="B172" s="3258"/>
      <c r="C172" s="455" t="s">
        <v>156</v>
      </c>
      <c r="D172" s="2522"/>
      <c r="E172" s="2451"/>
      <c r="F172" s="2518"/>
      <c r="G172" s="387">
        <f t="shared" si="2"/>
        <v>0</v>
      </c>
      <c r="H172" s="2575"/>
      <c r="I172" s="2574"/>
      <c r="J172" s="2570"/>
      <c r="K172" s="2536"/>
      <c r="L172" s="1195"/>
      <c r="M172" s="1195"/>
      <c r="N172" s="1195"/>
      <c r="O172" s="1195"/>
      <c r="P172" s="1195"/>
      <c r="Q172" s="1195"/>
      <c r="R172" s="1195"/>
      <c r="S172" s="1195"/>
      <c r="T172" s="1195"/>
      <c r="U172" s="1195"/>
    </row>
    <row r="173" spans="1:21" ht="15" customHeight="1" outlineLevel="1">
      <c r="A173" s="3239" t="s">
        <v>1217</v>
      </c>
      <c r="B173" s="3239"/>
      <c r="C173" s="2576" t="s">
        <v>156</v>
      </c>
      <c r="D173" s="2522">
        <f>связи1!D559</f>
        <v>0.6</v>
      </c>
      <c r="E173" s="2451">
        <f>связи1!E559</f>
        <v>0.6</v>
      </c>
      <c r="F173" s="2518" t="e">
        <f>'Ввод данных'!#REF!</f>
        <v>#REF!</v>
      </c>
      <c r="G173" s="2525" t="e">
        <f t="shared" si="2"/>
        <v>#REF!</v>
      </c>
      <c r="H173" s="2510"/>
      <c r="I173" s="2510"/>
      <c r="J173" s="2570"/>
      <c r="K173" s="2536"/>
      <c r="L173" s="1195"/>
      <c r="M173" s="1195"/>
      <c r="N173" s="1195"/>
      <c r="O173" s="1195"/>
      <c r="P173" s="1195"/>
      <c r="Q173" s="1195"/>
      <c r="R173" s="1195"/>
      <c r="S173" s="1195"/>
      <c r="T173" s="1195"/>
      <c r="U173" s="1195"/>
    </row>
    <row r="174" spans="1:21" ht="15" customHeight="1" outlineLevel="1">
      <c r="A174" s="3255" t="s">
        <v>2213</v>
      </c>
      <c r="B174" s="3255"/>
      <c r="C174" s="2576" t="s">
        <v>156</v>
      </c>
      <c r="D174" s="2522">
        <f>связи1!D561</f>
        <v>0.5</v>
      </c>
      <c r="E174" s="2451">
        <f>связи1!E561</f>
        <v>0.8</v>
      </c>
      <c r="F174" s="2518">
        <f>связи1!F548</f>
        <v>0</v>
      </c>
      <c r="G174" s="2525">
        <f t="shared" si="2"/>
        <v>0</v>
      </c>
      <c r="H174" s="2577"/>
      <c r="I174" s="2570" t="s">
        <v>3887</v>
      </c>
      <c r="J174" s="2570"/>
      <c r="K174" s="2536"/>
      <c r="L174" s="1195"/>
      <c r="M174" s="1195"/>
      <c r="N174" s="1195"/>
      <c r="O174" s="1195"/>
      <c r="P174" s="1195"/>
      <c r="Q174" s="1195"/>
      <c r="R174" s="1195"/>
      <c r="S174" s="1195"/>
      <c r="T174" s="1195"/>
      <c r="U174" s="1195"/>
    </row>
    <row r="175" spans="1:21" ht="15" customHeight="1" outlineLevel="1">
      <c r="A175" s="2449" t="s">
        <v>2599</v>
      </c>
      <c r="B175" s="2578"/>
      <c r="C175" s="2578"/>
      <c r="D175" s="2578"/>
      <c r="E175" s="2578"/>
      <c r="F175" s="1166"/>
      <c r="G175" s="2579" t="e">
        <f>SUM(G168:G174)*E143</f>
        <v>#REF!</v>
      </c>
      <c r="H175" s="2575"/>
      <c r="I175" s="2574"/>
      <c r="J175" s="2570"/>
      <c r="K175" s="2536"/>
      <c r="L175" s="1195"/>
      <c r="M175" s="1195"/>
      <c r="N175" s="1195"/>
      <c r="O175" s="1195"/>
      <c r="P175" s="1195"/>
      <c r="Q175" s="1195"/>
      <c r="R175" s="1195"/>
      <c r="S175" s="1195"/>
      <c r="T175" s="1195"/>
      <c r="U175" s="1195"/>
    </row>
    <row r="176" spans="1:21" ht="15" customHeight="1" outlineLevel="1">
      <c r="A176" s="2525" t="s">
        <v>3888</v>
      </c>
      <c r="B176" s="2525"/>
      <c r="C176" s="2525" t="s">
        <v>133</v>
      </c>
      <c r="D176" s="2525" t="e">
        <f>G166-G171-G172</f>
        <v>#REF!</v>
      </c>
      <c r="E176" s="2510"/>
      <c r="F176" s="2510"/>
      <c r="G176" s="2513"/>
      <c r="H176" s="2575"/>
      <c r="I176" s="2574"/>
      <c r="J176" s="2570"/>
      <c r="K176" s="2536"/>
      <c r="L176" s="1195"/>
      <c r="M176" s="1195"/>
      <c r="N176" s="1195"/>
      <c r="O176" s="1195"/>
      <c r="P176" s="1195"/>
      <c r="Q176" s="1195"/>
      <c r="R176" s="1195"/>
      <c r="S176" s="1195"/>
      <c r="T176" s="1195"/>
      <c r="U176" s="1195"/>
    </row>
    <row r="177" spans="1:21" ht="15" customHeight="1" outlineLevel="1">
      <c r="A177" s="2525" t="s">
        <v>2648</v>
      </c>
      <c r="B177" s="2525"/>
      <c r="C177" s="2525" t="s">
        <v>133</v>
      </c>
      <c r="D177" s="2525" t="e">
        <f>(D153*D144+D152*D145+E147*F147+E148*F148+E149*F149)*(D151+D151+D150)-G168-G169-G170-G173-G174*H174</f>
        <v>#VALUE!</v>
      </c>
      <c r="E177" s="2510"/>
      <c r="F177" s="2510"/>
      <c r="G177" s="2513"/>
      <c r="H177" s="2575"/>
      <c r="I177" s="2574"/>
      <c r="J177" s="2570"/>
      <c r="K177" s="2536"/>
      <c r="L177" s="1195"/>
      <c r="M177" s="1195"/>
      <c r="N177" s="1195"/>
      <c r="O177" s="1195"/>
      <c r="P177" s="1195"/>
      <c r="Q177" s="1195"/>
      <c r="R177" s="1195"/>
      <c r="S177" s="1195"/>
      <c r="T177" s="1195"/>
      <c r="U177" s="1195"/>
    </row>
    <row r="178" spans="1:21" ht="15" customHeight="1" outlineLevel="1">
      <c r="A178" s="2525" t="s">
        <v>3889</v>
      </c>
      <c r="B178" s="2525"/>
      <c r="C178" s="2525" t="s">
        <v>133</v>
      </c>
      <c r="D178" s="2525" t="e">
        <f>D176*2+D177</f>
        <v>#REF!</v>
      </c>
      <c r="E178" s="2510"/>
      <c r="F178" s="2510"/>
      <c r="G178" s="2513"/>
      <c r="H178" s="2575"/>
      <c r="I178" s="2574"/>
      <c r="J178" s="2570"/>
      <c r="K178" s="2536"/>
      <c r="L178" s="1195"/>
      <c r="M178" s="1195"/>
      <c r="N178" s="1195"/>
      <c r="O178" s="1195"/>
      <c r="P178" s="1195"/>
      <c r="Q178" s="1195"/>
      <c r="R178" s="1195"/>
      <c r="S178" s="1195"/>
      <c r="T178" s="1195"/>
      <c r="U178" s="1195"/>
    </row>
    <row r="179" spans="1:21" ht="15" customHeight="1" outlineLevel="1">
      <c r="A179" s="2580" t="s">
        <v>2592</v>
      </c>
      <c r="B179" s="2581"/>
      <c r="C179" s="2582" t="s">
        <v>120</v>
      </c>
      <c r="D179" s="2582" t="s">
        <v>853</v>
      </c>
      <c r="E179" s="2451">
        <f>связи1!E558</f>
        <v>1.5</v>
      </c>
      <c r="F179" s="2583" t="s">
        <v>3890</v>
      </c>
      <c r="G179" s="2513"/>
      <c r="H179" s="2575"/>
      <c r="I179" s="2574"/>
      <c r="J179" s="2570"/>
      <c r="K179" s="2536"/>
      <c r="L179" s="1195"/>
      <c r="M179" s="1195"/>
      <c r="N179" s="1195"/>
      <c r="O179" s="1195"/>
      <c r="P179" s="1195"/>
      <c r="Q179" s="1195"/>
      <c r="R179" s="1195"/>
      <c r="S179" s="1195"/>
      <c r="T179" s="1195"/>
      <c r="U179" s="1195"/>
    </row>
    <row r="180" spans="1:21" ht="15" customHeight="1" outlineLevel="1">
      <c r="A180" s="2584" t="s">
        <v>2820</v>
      </c>
      <c r="B180" s="2585"/>
      <c r="C180" s="894" t="s">
        <v>156</v>
      </c>
      <c r="D180" s="894">
        <f>SQRT(D151*D151+D155*D155)</f>
        <v>0</v>
      </c>
      <c r="E180" s="801"/>
      <c r="F180" s="801"/>
      <c r="G180" s="2513"/>
      <c r="H180" s="2575"/>
      <c r="I180" s="2574"/>
      <c r="J180" s="2570"/>
      <c r="K180" s="2536"/>
      <c r="L180" s="1195"/>
      <c r="M180" s="1195"/>
      <c r="N180" s="1195"/>
      <c r="O180" s="1195"/>
      <c r="P180" s="1195"/>
      <c r="Q180" s="1195"/>
      <c r="R180" s="1195"/>
      <c r="S180" s="1195"/>
      <c r="T180" s="1195"/>
      <c r="U180" s="1195"/>
    </row>
    <row r="181" spans="1:21" ht="15" customHeight="1" outlineLevel="1">
      <c r="A181" s="2584" t="s">
        <v>3545</v>
      </c>
      <c r="B181" s="2585"/>
      <c r="C181" s="894" t="s">
        <v>156</v>
      </c>
      <c r="D181" s="2522">
        <f>связи1!C559</f>
        <v>0.5</v>
      </c>
      <c r="E181" s="801"/>
      <c r="F181" s="801"/>
      <c r="G181" s="2513"/>
      <c r="H181" s="2575"/>
      <c r="I181" s="2574"/>
      <c r="J181" s="2570"/>
      <c r="K181" s="2536"/>
      <c r="L181" s="1195"/>
      <c r="M181" s="1195"/>
      <c r="N181" s="1195"/>
      <c r="O181" s="1195"/>
      <c r="P181" s="1195"/>
      <c r="Q181" s="1195"/>
      <c r="R181" s="1195"/>
      <c r="S181" s="1195"/>
      <c r="T181" s="1195"/>
      <c r="U181" s="1195"/>
    </row>
    <row r="182" spans="1:21" ht="15" customHeight="1" outlineLevel="1">
      <c r="A182" s="2584" t="s">
        <v>3891</v>
      </c>
      <c r="B182" s="2585"/>
      <c r="C182" s="894" t="s">
        <v>156</v>
      </c>
      <c r="D182" s="2522">
        <f>связи1!C561</f>
        <v>0.5</v>
      </c>
      <c r="E182" s="801"/>
      <c r="F182" s="801"/>
      <c r="G182" s="2513"/>
      <c r="H182" s="3255" t="s">
        <v>2547</v>
      </c>
      <c r="I182" s="3255"/>
      <c r="J182" s="2549" t="s">
        <v>159</v>
      </c>
      <c r="K182" s="2522" t="e">
        <f>'Ввод данных'!#REF!</f>
        <v>#REF!</v>
      </c>
      <c r="L182" s="1195"/>
      <c r="M182" s="1195"/>
      <c r="N182" s="1195"/>
      <c r="O182" s="1195"/>
      <c r="P182" s="1195"/>
      <c r="Q182" s="1195"/>
      <c r="R182" s="1195"/>
      <c r="S182" s="1195"/>
      <c r="T182" s="1195"/>
      <c r="U182" s="1195"/>
    </row>
    <row r="183" spans="1:21" ht="15" customHeight="1" outlineLevel="1">
      <c r="A183" s="2584" t="s">
        <v>2609</v>
      </c>
      <c r="B183" s="2585"/>
      <c r="C183" s="894" t="s">
        <v>133</v>
      </c>
      <c r="D183" s="894">
        <f>D180*D150</f>
        <v>0</v>
      </c>
      <c r="E183" s="801"/>
      <c r="F183" s="801"/>
      <c r="G183" s="2513"/>
      <c r="H183" s="3255" t="s">
        <v>2552</v>
      </c>
      <c r="I183" s="3255"/>
      <c r="J183" s="2549" t="s">
        <v>159</v>
      </c>
      <c r="K183" s="2522" t="e">
        <f>'Ввод данных'!#REF!</f>
        <v>#REF!</v>
      </c>
      <c r="L183" s="1195"/>
      <c r="M183" s="1195"/>
      <c r="N183" s="1195"/>
      <c r="O183" s="1195"/>
      <c r="P183" s="1195"/>
      <c r="Q183" s="1195"/>
      <c r="R183" s="1195"/>
      <c r="S183" s="1195"/>
      <c r="T183" s="1195"/>
      <c r="U183" s="1195"/>
    </row>
    <row r="184" spans="1:21" ht="15" customHeight="1" outlineLevel="1">
      <c r="A184" s="2584" t="s">
        <v>2610</v>
      </c>
      <c r="B184" s="2585"/>
      <c r="C184" s="894" t="s">
        <v>133</v>
      </c>
      <c r="D184" s="894">
        <f>(D180+D181)*(D150+D182+D182)</f>
        <v>0.5</v>
      </c>
      <c r="E184" s="801"/>
      <c r="F184" s="801"/>
      <c r="G184" s="2513"/>
      <c r="H184" s="392" t="s">
        <v>2638</v>
      </c>
      <c r="I184" s="2552" t="s">
        <v>133</v>
      </c>
      <c r="J184" s="392">
        <f>K142*K143*K136+K142*K143*K137</f>
        <v>0</v>
      </c>
      <c r="K184" s="2536"/>
      <c r="L184" s="1195"/>
      <c r="M184" s="1195"/>
      <c r="N184" s="1195"/>
      <c r="O184" s="1195"/>
      <c r="P184" s="1195"/>
      <c r="Q184" s="1195"/>
      <c r="R184" s="1195"/>
      <c r="S184" s="1195"/>
      <c r="T184" s="1195"/>
      <c r="U184" s="1195"/>
    </row>
    <row r="185" spans="1:21" ht="15" customHeight="1" outlineLevel="1">
      <c r="A185" s="3255" t="s">
        <v>2628</v>
      </c>
      <c r="B185" s="3255"/>
      <c r="C185" s="3255"/>
      <c r="D185" s="2546" t="s">
        <v>1820</v>
      </c>
      <c r="E185" s="2556" t="s">
        <v>293</v>
      </c>
      <c r="F185" s="2518"/>
      <c r="G185" s="2510"/>
      <c r="H185" s="2525" t="s">
        <v>3888</v>
      </c>
      <c r="I185" s="2525"/>
      <c r="J185" s="2525" t="s">
        <v>133</v>
      </c>
      <c r="K185" s="2525">
        <f>N175-N180-N181</f>
        <v>0</v>
      </c>
      <c r="L185" s="1195"/>
      <c r="M185" s="1195"/>
      <c r="N185" s="1195"/>
      <c r="O185" s="1195"/>
      <c r="P185" s="1195"/>
      <c r="Q185" s="1195"/>
      <c r="R185" s="1195"/>
      <c r="S185" s="1195"/>
      <c r="T185" s="1195"/>
      <c r="U185" s="1195"/>
    </row>
    <row r="186" spans="1:21" ht="15" customHeight="1" outlineLevel="1">
      <c r="A186" s="3080" t="s">
        <v>3518</v>
      </c>
      <c r="B186" s="3080"/>
      <c r="C186" s="3080"/>
      <c r="D186" s="261" t="s">
        <v>156</v>
      </c>
      <c r="E186" s="263">
        <v>0.15</v>
      </c>
      <c r="F186" s="2518">
        <f>связи1!F551</f>
        <v>3</v>
      </c>
      <c r="G186" s="2510"/>
      <c r="H186" s="2525" t="s">
        <v>2648</v>
      </c>
      <c r="I186" s="2525"/>
      <c r="J186" s="2525" t="s">
        <v>133</v>
      </c>
      <c r="K186" s="2525">
        <f>(K162*K153+K161*K154+L156*M156+L157*M157+L158*M158)*(K160+K160+K159)-N177-N178-N179-N182-N183*O183</f>
        <v>0</v>
      </c>
      <c r="L186" s="1195"/>
      <c r="M186" s="1195"/>
      <c r="N186" s="1195"/>
      <c r="O186" s="1195"/>
      <c r="P186" s="1195"/>
      <c r="Q186" s="1195"/>
      <c r="R186" s="1195"/>
      <c r="S186" s="1195"/>
      <c r="T186" s="1195"/>
      <c r="U186" s="1195"/>
    </row>
    <row r="187" spans="1:21" ht="15" customHeight="1" outlineLevel="1">
      <c r="A187" s="3080"/>
      <c r="B187" s="3080"/>
      <c r="C187" s="3080"/>
      <c r="D187" s="261" t="s">
        <v>156</v>
      </c>
      <c r="E187" s="263">
        <v>0.2</v>
      </c>
      <c r="F187" s="2518">
        <f>связи1!F552</f>
        <v>5</v>
      </c>
      <c r="G187" s="2510"/>
      <c r="H187" s="2525" t="s">
        <v>3889</v>
      </c>
      <c r="I187" s="2525"/>
      <c r="J187" s="2525" t="s">
        <v>133</v>
      </c>
      <c r="K187" s="2525">
        <f>K185*2+K186</f>
        <v>0</v>
      </c>
      <c r="L187" s="1195"/>
      <c r="M187" s="1195"/>
      <c r="N187" s="1195"/>
      <c r="O187" s="1195"/>
      <c r="P187" s="1195"/>
      <c r="Q187" s="1195"/>
      <c r="R187" s="1195"/>
      <c r="S187" s="1195"/>
      <c r="T187" s="1195"/>
      <c r="U187" s="1195"/>
    </row>
    <row r="188" spans="1:21" ht="15" customHeight="1" outlineLevel="1">
      <c r="A188" s="3080" t="s">
        <v>2632</v>
      </c>
      <c r="B188" s="3080"/>
      <c r="C188" s="3080"/>
      <c r="D188" s="261" t="s">
        <v>156</v>
      </c>
      <c r="E188" s="263">
        <v>0.15</v>
      </c>
      <c r="F188" s="2518">
        <f>связи1!F553</f>
        <v>3</v>
      </c>
      <c r="G188" s="2510"/>
      <c r="H188" s="2449" t="s">
        <v>2599</v>
      </c>
      <c r="I188" s="2578"/>
      <c r="J188" s="2578"/>
      <c r="K188" s="2578"/>
      <c r="L188" s="1195"/>
      <c r="M188" s="1195"/>
      <c r="N188" s="1195"/>
      <c r="O188" s="1195"/>
      <c r="P188" s="1195"/>
      <c r="Q188" s="1195"/>
      <c r="R188" s="1195"/>
      <c r="S188" s="1195"/>
      <c r="T188" s="1195"/>
      <c r="U188" s="1195"/>
    </row>
    <row r="189" spans="1:21" ht="15" customHeight="1" outlineLevel="1">
      <c r="A189" s="3080"/>
      <c r="B189" s="3080"/>
      <c r="C189" s="3080"/>
      <c r="D189" s="261" t="s">
        <v>156</v>
      </c>
      <c r="E189" s="263">
        <v>0.2</v>
      </c>
      <c r="F189" s="2518">
        <f>связи1!F554</f>
        <v>4</v>
      </c>
      <c r="G189" s="2510"/>
      <c r="H189" s="3239" t="s">
        <v>2071</v>
      </c>
      <c r="I189" s="3239"/>
      <c r="J189" s="2502" t="s">
        <v>156</v>
      </c>
      <c r="K189" s="2522"/>
      <c r="L189" s="1195"/>
      <c r="M189" s="1195"/>
      <c r="N189" s="1195"/>
      <c r="O189" s="1195"/>
      <c r="P189" s="1195"/>
      <c r="Q189" s="1195"/>
      <c r="R189" s="1195"/>
      <c r="S189" s="1195"/>
      <c r="T189" s="1195"/>
      <c r="U189" s="1195"/>
    </row>
    <row r="190" spans="1:21" ht="15" customHeight="1" outlineLevel="1">
      <c r="A190" s="2586" t="s">
        <v>2635</v>
      </c>
      <c r="B190" s="2586"/>
      <c r="C190" s="2586"/>
      <c r="D190" s="2586"/>
      <c r="E190" s="2451" t="e">
        <f>'Ввод данных'!#REF!</f>
        <v>#REF!</v>
      </c>
      <c r="F190" s="365" t="s">
        <v>3568</v>
      </c>
      <c r="G190" s="2587"/>
      <c r="H190" s="3239" t="s">
        <v>2573</v>
      </c>
      <c r="I190" s="3239"/>
      <c r="J190" s="2528" t="s">
        <v>156</v>
      </c>
      <c r="K190" s="2522"/>
      <c r="L190" s="1195"/>
      <c r="M190" s="1195"/>
      <c r="N190" s="1195"/>
      <c r="O190" s="1195"/>
      <c r="P190" s="1195"/>
      <c r="Q190" s="1195"/>
      <c r="R190" s="1195"/>
      <c r="S190" s="1195"/>
      <c r="T190" s="1195"/>
      <c r="U190" s="1195"/>
    </row>
    <row r="191" spans="1:21" ht="15" customHeight="1" outlineLevel="1">
      <c r="A191" s="392" t="s">
        <v>2572</v>
      </c>
      <c r="B191" s="2552" t="s">
        <v>156</v>
      </c>
      <c r="C191" s="392">
        <f>D150+D151*2</f>
        <v>0</v>
      </c>
      <c r="D191" s="365"/>
      <c r="E191" s="365"/>
      <c r="F191" s="801"/>
      <c r="G191" s="2587"/>
      <c r="H191" s="3239" t="s">
        <v>3882</v>
      </c>
      <c r="I191" s="3239"/>
      <c r="J191" s="2528" t="s">
        <v>156</v>
      </c>
      <c r="K191" s="2522"/>
      <c r="L191" s="1195"/>
      <c r="M191" s="1195"/>
      <c r="N191" s="1195"/>
      <c r="O191" s="1195"/>
      <c r="P191" s="1195"/>
      <c r="Q191" s="1195"/>
      <c r="R191" s="1195"/>
      <c r="S191" s="1195"/>
      <c r="T191" s="1195"/>
      <c r="U191" s="1195"/>
    </row>
    <row r="192" spans="1:21" ht="15" customHeight="1" outlineLevel="1">
      <c r="A192" s="392" t="s">
        <v>2638</v>
      </c>
      <c r="B192" s="2552" t="s">
        <v>133</v>
      </c>
      <c r="C192" s="392">
        <f>D150*D151*D144+D150*D151*D145</f>
        <v>0</v>
      </c>
      <c r="D192" s="365"/>
      <c r="E192" s="365"/>
      <c r="F192" s="801"/>
      <c r="G192" s="2587"/>
      <c r="H192" s="3239" t="s">
        <v>3883</v>
      </c>
      <c r="I192" s="3239"/>
      <c r="J192" s="2528" t="s">
        <v>156</v>
      </c>
      <c r="K192" s="2522" t="e">
        <f>'Ввод данных'!#REF!</f>
        <v>#REF!</v>
      </c>
      <c r="L192" s="1195"/>
      <c r="M192" s="1195"/>
      <c r="N192" s="1195"/>
      <c r="O192" s="1195"/>
      <c r="P192" s="1195"/>
      <c r="Q192" s="1195"/>
      <c r="R192" s="1195"/>
      <c r="S192" s="1195"/>
      <c r="T192" s="1195"/>
      <c r="U192" s="1195"/>
    </row>
    <row r="193" spans="1:21" ht="15" customHeight="1" outlineLevel="1">
      <c r="A193" s="365"/>
      <c r="B193" s="397"/>
      <c r="C193" s="365"/>
      <c r="D193" s="365"/>
      <c r="E193" s="365"/>
      <c r="F193" s="801"/>
      <c r="G193" s="2587"/>
      <c r="H193" s="3239" t="s">
        <v>3884</v>
      </c>
      <c r="I193" s="3239"/>
      <c r="J193" s="2528" t="s">
        <v>156</v>
      </c>
      <c r="K193" s="2522"/>
      <c r="L193" s="1195"/>
      <c r="M193" s="1195"/>
      <c r="N193" s="1195"/>
      <c r="O193" s="1195"/>
      <c r="P193" s="1195"/>
      <c r="Q193" s="1195"/>
      <c r="R193" s="1195"/>
      <c r="S193" s="1195"/>
      <c r="T193" s="1195"/>
      <c r="U193" s="1195"/>
    </row>
    <row r="194" spans="1:21" ht="15" customHeight="1" outlineLevel="1">
      <c r="A194" s="365"/>
      <c r="B194" s="397"/>
      <c r="C194" s="365"/>
      <c r="D194" s="365"/>
      <c r="E194" s="365"/>
      <c r="F194" s="801"/>
      <c r="G194" s="2587"/>
      <c r="H194" s="3240" t="s">
        <v>3885</v>
      </c>
      <c r="I194" s="3240"/>
      <c r="J194" s="2528" t="s">
        <v>156</v>
      </c>
      <c r="K194" s="2540">
        <f>K193-K191</f>
        <v>0</v>
      </c>
      <c r="L194" s="1195"/>
      <c r="M194" s="1195"/>
      <c r="N194" s="1195"/>
      <c r="O194" s="1195"/>
      <c r="P194" s="1195"/>
      <c r="Q194" s="1195"/>
      <c r="R194" s="1195"/>
      <c r="S194" s="1195"/>
      <c r="T194" s="1195"/>
      <c r="U194" s="1195"/>
    </row>
    <row r="195" spans="1:21" ht="15" customHeight="1" outlineLevel="1">
      <c r="A195" s="2586" t="s">
        <v>2030</v>
      </c>
      <c r="B195" s="2573" t="s">
        <v>120</v>
      </c>
      <c r="C195" s="2573" t="s">
        <v>1753</v>
      </c>
      <c r="D195" s="2522" t="str">
        <f>'Ввод данных'!F458</f>
        <v>Не считать</v>
      </c>
      <c r="E195" s="2588" t="s">
        <v>3520</v>
      </c>
      <c r="F195" s="473"/>
      <c r="G195" s="2589"/>
      <c r="H195" s="3255" t="s">
        <v>2001</v>
      </c>
      <c r="I195" s="3255"/>
      <c r="J195" s="2548" t="s">
        <v>156</v>
      </c>
      <c r="K195" s="2552">
        <f>K198*K199*M195</f>
        <v>0</v>
      </c>
      <c r="L195" s="1195"/>
      <c r="M195" s="1195"/>
      <c r="N195" s="1195"/>
      <c r="O195" s="1195"/>
      <c r="P195" s="1195"/>
      <c r="Q195" s="1195"/>
      <c r="R195" s="1195"/>
      <c r="S195" s="1195"/>
      <c r="T195" s="1195"/>
      <c r="U195" s="1195"/>
    </row>
    <row r="196" spans="1:21" ht="15" customHeight="1" outlineLevel="1">
      <c r="A196" s="376" t="s">
        <v>2547</v>
      </c>
      <c r="B196" s="376" t="s">
        <v>159</v>
      </c>
      <c r="C196" s="2590">
        <f>'Ввод данных'!E422</f>
        <v>0</v>
      </c>
      <c r="D196" s="363"/>
      <c r="E196" s="363"/>
      <c r="F196" s="363"/>
      <c r="G196" s="363"/>
      <c r="H196" s="3255" t="s">
        <v>2557</v>
      </c>
      <c r="I196" s="3255"/>
      <c r="J196" s="2548" t="s">
        <v>156</v>
      </c>
      <c r="K196" s="2552">
        <f>K198*K199*M196</f>
        <v>0</v>
      </c>
      <c r="L196" s="1195"/>
      <c r="M196" s="1195"/>
      <c r="N196" s="1195"/>
      <c r="O196" s="1195"/>
      <c r="P196" s="1195"/>
      <c r="Q196" s="1195"/>
      <c r="R196" s="1195"/>
      <c r="S196" s="1195"/>
      <c r="T196" s="1195"/>
      <c r="U196" s="1195"/>
    </row>
    <row r="197" spans="1:21" ht="15" customHeight="1" outlineLevel="1">
      <c r="A197" s="376" t="s">
        <v>2552</v>
      </c>
      <c r="B197" s="376" t="s">
        <v>159</v>
      </c>
      <c r="C197" s="2590">
        <f>'Ввод данных'!E423</f>
        <v>0</v>
      </c>
      <c r="D197" s="2510"/>
      <c r="E197" s="363"/>
      <c r="F197" s="363"/>
      <c r="G197" s="363"/>
      <c r="H197" s="3239" t="s">
        <v>2558</v>
      </c>
      <c r="I197" s="3239"/>
      <c r="J197" s="2567" t="s">
        <v>156</v>
      </c>
      <c r="K197" s="305">
        <f>K198*K199*M197</f>
        <v>0</v>
      </c>
      <c r="L197" s="1195"/>
      <c r="M197" s="1195"/>
      <c r="N197" s="1195"/>
      <c r="O197" s="1195"/>
      <c r="P197" s="1195"/>
      <c r="Q197" s="1195"/>
      <c r="R197" s="1195"/>
      <c r="S197" s="1195"/>
      <c r="T197" s="1195"/>
      <c r="U197" s="1195"/>
    </row>
    <row r="198" spans="1:21" ht="15" customHeight="1" outlineLevel="1">
      <c r="A198" s="473" t="s">
        <v>1236</v>
      </c>
      <c r="B198" s="473" t="s">
        <v>120</v>
      </c>
      <c r="C198" s="473" t="s">
        <v>2548</v>
      </c>
      <c r="D198" s="376" t="s">
        <v>2975</v>
      </c>
      <c r="E198" s="2510"/>
      <c r="F198" s="2510"/>
      <c r="G198" s="363"/>
      <c r="H198" s="2534"/>
      <c r="I198" s="2574"/>
      <c r="J198" s="2570"/>
      <c r="K198" s="2503"/>
      <c r="L198" s="1195"/>
      <c r="M198" s="1195"/>
      <c r="N198" s="1195"/>
      <c r="O198" s="1195"/>
      <c r="P198" s="1195"/>
      <c r="Q198" s="1195"/>
      <c r="R198" s="1195"/>
      <c r="S198" s="1195"/>
      <c r="T198" s="1195"/>
      <c r="U198" s="1195"/>
    </row>
    <row r="199" spans="1:21" ht="15" customHeight="1" outlineLevel="1">
      <c r="A199" s="376" t="s">
        <v>2001</v>
      </c>
      <c r="B199" s="376" t="s">
        <v>159</v>
      </c>
      <c r="C199" s="2525" t="e">
        <f>(C204*C208+(C207-C204)*C202+(C207-C204)*((C208-C202)/2)*2)*E199</f>
        <v>#REF!</v>
      </c>
      <c r="D199" s="2522">
        <f>'Ввод данных'!D425</f>
        <v>0</v>
      </c>
      <c r="E199" s="2451" t="e">
        <f>'Ввод данных'!#REF!</f>
        <v>#REF!</v>
      </c>
      <c r="F199" s="365" t="s">
        <v>3521</v>
      </c>
      <c r="G199" s="363"/>
      <c r="H199" s="2534"/>
      <c r="I199" s="2574"/>
      <c r="J199" s="2570"/>
      <c r="K199" s="2503"/>
      <c r="L199" s="1195"/>
      <c r="M199" s="1195"/>
      <c r="N199" s="1195"/>
      <c r="O199" s="1195"/>
      <c r="P199" s="1195"/>
      <c r="Q199" s="1195"/>
      <c r="R199" s="1195"/>
      <c r="S199" s="1195"/>
      <c r="T199" s="1195"/>
      <c r="U199" s="1195"/>
    </row>
    <row r="200" spans="1:21" ht="15" customHeight="1" outlineLevel="1">
      <c r="A200" s="376" t="s">
        <v>2557</v>
      </c>
      <c r="B200" s="376" t="s">
        <v>159</v>
      </c>
      <c r="C200" s="2525" t="e">
        <f>(C204*C208+(C207-C204)*C202+(C207-C204)*((C208-C202)/2)*2)*E200</f>
        <v>#REF!</v>
      </c>
      <c r="D200" s="2522">
        <f>'Ввод данных'!D426</f>
        <v>0</v>
      </c>
      <c r="E200" s="2451" t="e">
        <f>'Ввод данных'!#REF!</f>
        <v>#REF!</v>
      </c>
      <c r="F200" s="365" t="s">
        <v>3522</v>
      </c>
      <c r="G200" s="2589"/>
      <c r="H200" s="2534"/>
      <c r="I200" s="2574"/>
      <c r="J200" s="2570"/>
      <c r="K200" s="2503"/>
      <c r="L200" s="1195"/>
      <c r="M200" s="1195"/>
      <c r="N200" s="1195"/>
      <c r="O200" s="1195"/>
      <c r="P200" s="1195"/>
      <c r="Q200" s="1195"/>
      <c r="R200" s="1195"/>
      <c r="S200" s="1195"/>
      <c r="T200" s="1195"/>
      <c r="U200" s="1195"/>
    </row>
    <row r="201" spans="1:21" ht="15" customHeight="1" outlineLevel="1">
      <c r="A201" s="376" t="s">
        <v>2558</v>
      </c>
      <c r="B201" s="376" t="s">
        <v>159</v>
      </c>
      <c r="C201" s="2525" t="e">
        <f>(C204*C208+(C207-C204)*C202+(C207-C204)*((C208-C202)/2)*2)*E201</f>
        <v>#REF!</v>
      </c>
      <c r="D201" s="2522">
        <f>'Ввод данных'!D427</f>
        <v>0</v>
      </c>
      <c r="E201" s="2451" t="e">
        <f>'Ввод данных'!#REF!</f>
        <v>#REF!</v>
      </c>
      <c r="F201" s="365" t="s">
        <v>3523</v>
      </c>
      <c r="G201" s="2513"/>
      <c r="H201" s="2575"/>
      <c r="I201" s="2574"/>
      <c r="J201" s="2570"/>
      <c r="K201" s="2503"/>
      <c r="L201" s="1195"/>
      <c r="M201" s="1195"/>
      <c r="N201" s="1195"/>
      <c r="O201" s="1195"/>
      <c r="P201" s="1195"/>
      <c r="Q201" s="1195"/>
      <c r="R201" s="1195"/>
      <c r="S201" s="1195"/>
      <c r="T201" s="1195"/>
      <c r="U201" s="1195"/>
    </row>
    <row r="202" spans="1:21" ht="15" customHeight="1" outlineLevel="1">
      <c r="A202" s="2546" t="s">
        <v>3524</v>
      </c>
      <c r="B202" s="455" t="s">
        <v>156</v>
      </c>
      <c r="C202" s="2590"/>
      <c r="D202" s="473"/>
      <c r="E202" s="473"/>
      <c r="F202" s="473"/>
      <c r="G202" s="2513"/>
      <c r="H202" s="2575"/>
      <c r="I202" s="2574"/>
      <c r="J202" s="2570"/>
      <c r="K202" s="2503"/>
      <c r="L202" s="1195"/>
      <c r="M202" s="1195"/>
      <c r="N202" s="1195"/>
      <c r="O202" s="1195"/>
      <c r="P202" s="1195"/>
      <c r="Q202" s="1195"/>
      <c r="R202" s="1195"/>
      <c r="S202" s="1195"/>
      <c r="T202" s="1195"/>
      <c r="U202" s="1195"/>
    </row>
    <row r="203" spans="1:21" ht="15" customHeight="1" outlineLevel="1">
      <c r="A203" s="2546" t="s">
        <v>3525</v>
      </c>
      <c r="B203" s="455" t="s">
        <v>156</v>
      </c>
      <c r="C203" s="2552">
        <f>SQRT((C208-C202)/2*(C208-C202)/2+(C207-C204)*(C207-C204))</f>
        <v>0</v>
      </c>
      <c r="D203" s="473"/>
      <c r="E203" s="473"/>
      <c r="F203" s="473"/>
      <c r="G203" s="2513"/>
      <c r="H203" s="2575"/>
      <c r="I203" s="2574"/>
      <c r="J203" s="2570"/>
      <c r="K203" s="2503"/>
      <c r="L203" s="1195"/>
      <c r="M203" s="1195"/>
      <c r="N203" s="1195"/>
      <c r="O203" s="1195"/>
      <c r="P203" s="1195"/>
      <c r="Q203" s="1195"/>
      <c r="R203" s="1195"/>
      <c r="S203" s="1195"/>
      <c r="T203" s="1195"/>
      <c r="U203" s="1195"/>
    </row>
    <row r="204" spans="1:21" ht="15" customHeight="1" outlineLevel="1">
      <c r="A204" s="2546" t="s">
        <v>3526</v>
      </c>
      <c r="B204" s="455" t="s">
        <v>156</v>
      </c>
      <c r="C204" s="2590"/>
      <c r="D204" s="2522"/>
      <c r="E204" s="473"/>
      <c r="F204" s="473"/>
      <c r="G204" s="2513"/>
      <c r="H204" s="2575"/>
      <c r="I204" s="2574"/>
      <c r="J204" s="2570"/>
      <c r="K204" s="2503"/>
      <c r="L204" s="1195"/>
      <c r="M204" s="1195"/>
      <c r="N204" s="1195"/>
      <c r="O204" s="1195"/>
      <c r="P204" s="1195"/>
      <c r="Q204" s="1195"/>
      <c r="R204" s="1195"/>
      <c r="S204" s="1195"/>
      <c r="T204" s="1195"/>
      <c r="U204" s="1195"/>
    </row>
    <row r="205" spans="1:21" ht="15" customHeight="1" outlineLevel="1">
      <c r="A205" s="2546" t="s">
        <v>3892</v>
      </c>
      <c r="B205" s="455" t="s">
        <v>156</v>
      </c>
      <c r="C205" s="2590"/>
      <c r="D205" s="397"/>
      <c r="E205" s="473"/>
      <c r="F205" s="473"/>
      <c r="G205" s="2513"/>
      <c r="H205" s="2575"/>
      <c r="I205" s="2574"/>
      <c r="J205" s="2570"/>
      <c r="K205" s="2503"/>
      <c r="L205" s="1195"/>
      <c r="M205" s="1195"/>
      <c r="N205" s="1195"/>
      <c r="O205" s="1195"/>
      <c r="P205" s="1195"/>
      <c r="Q205" s="1195"/>
      <c r="R205" s="1195"/>
      <c r="S205" s="1195"/>
      <c r="T205" s="1195"/>
      <c r="U205" s="1195"/>
    </row>
    <row r="206" spans="1:21" ht="15" customHeight="1" outlineLevel="1">
      <c r="A206" s="2546" t="s">
        <v>3529</v>
      </c>
      <c r="B206" s="455" t="s">
        <v>156</v>
      </c>
      <c r="C206" s="2590"/>
      <c r="D206" s="2591"/>
      <c r="E206" s="473"/>
      <c r="F206" s="473"/>
      <c r="G206" s="2513"/>
      <c r="H206" s="2575"/>
      <c r="I206" s="2574"/>
      <c r="J206" s="2570"/>
      <c r="K206" s="2503"/>
      <c r="L206" s="1195"/>
      <c r="M206" s="1195"/>
      <c r="N206" s="1195"/>
      <c r="O206" s="1195"/>
      <c r="P206" s="1195"/>
      <c r="Q206" s="1195"/>
      <c r="R206" s="1195"/>
      <c r="S206" s="1195"/>
      <c r="T206" s="1195"/>
      <c r="U206" s="1195"/>
    </row>
    <row r="207" spans="1:21" ht="15" customHeight="1" outlineLevel="1">
      <c r="A207" s="2551" t="s">
        <v>3530</v>
      </c>
      <c r="B207" s="455" t="s">
        <v>156</v>
      </c>
      <c r="C207" s="2590"/>
      <c r="D207" s="473"/>
      <c r="E207" s="473"/>
      <c r="F207" s="473"/>
      <c r="G207" s="2513"/>
      <c r="H207" s="2510"/>
      <c r="I207" s="2574"/>
      <c r="J207" s="2570"/>
      <c r="K207" s="2503"/>
      <c r="L207" s="1195"/>
      <c r="M207" s="1195"/>
      <c r="N207" s="1195"/>
      <c r="O207" s="1195"/>
      <c r="P207" s="1195"/>
      <c r="Q207" s="1195"/>
      <c r="R207" s="1195"/>
      <c r="S207" s="1195"/>
      <c r="T207" s="1195"/>
      <c r="U207" s="1195"/>
    </row>
    <row r="208" spans="1:21" ht="15" customHeight="1" outlineLevel="1">
      <c r="A208" s="2551" t="s">
        <v>3531</v>
      </c>
      <c r="B208" s="455" t="s">
        <v>156</v>
      </c>
      <c r="C208" s="2590"/>
      <c r="D208" s="473"/>
      <c r="E208" s="473"/>
      <c r="F208" s="473"/>
      <c r="G208" s="2513"/>
      <c r="H208" s="2575"/>
      <c r="I208" s="2574"/>
      <c r="J208" s="2570"/>
      <c r="K208" s="2503"/>
      <c r="L208" s="1195"/>
      <c r="M208" s="1195"/>
      <c r="N208" s="1195"/>
      <c r="O208" s="1195"/>
      <c r="P208" s="1195"/>
      <c r="Q208" s="1195"/>
      <c r="R208" s="1195"/>
      <c r="S208" s="1195"/>
      <c r="T208" s="1195"/>
      <c r="U208" s="1195"/>
    </row>
    <row r="209" spans="1:21" ht="15" customHeight="1" outlineLevel="1">
      <c r="A209" s="2592" t="s">
        <v>3893</v>
      </c>
      <c r="B209" s="2593" t="s">
        <v>156</v>
      </c>
      <c r="C209" s="2590"/>
      <c r="D209" s="2504"/>
      <c r="E209" s="2504"/>
      <c r="F209" s="2504"/>
      <c r="G209" s="2510"/>
      <c r="H209" s="2575"/>
      <c r="I209" s="2574"/>
      <c r="J209" s="2570"/>
      <c r="K209" s="2503"/>
      <c r="L209" s="1195"/>
      <c r="M209" s="1195"/>
      <c r="N209" s="1195"/>
      <c r="O209" s="1195"/>
      <c r="P209" s="1195"/>
      <c r="Q209" s="1195"/>
      <c r="R209" s="1195"/>
      <c r="S209" s="1195"/>
      <c r="T209" s="1195"/>
      <c r="U209" s="1195"/>
    </row>
    <row r="210" spans="1:21" ht="15" customHeight="1" outlineLevel="1">
      <c r="A210" s="2594" t="s">
        <v>1236</v>
      </c>
      <c r="B210" s="2573" t="s">
        <v>120</v>
      </c>
      <c r="C210" s="2573" t="s">
        <v>2580</v>
      </c>
      <c r="D210" s="2573" t="s">
        <v>2581</v>
      </c>
      <c r="E210" s="2573" t="s">
        <v>1802</v>
      </c>
      <c r="F210" s="2520" t="s">
        <v>3894</v>
      </c>
      <c r="G210" s="2513"/>
      <c r="H210" s="2575"/>
      <c r="I210" s="2574"/>
      <c r="J210" s="2570"/>
      <c r="K210" s="2503"/>
      <c r="L210" s="1195"/>
      <c r="M210" s="1195"/>
      <c r="N210" s="1195"/>
      <c r="O210" s="1195"/>
      <c r="P210" s="1195"/>
      <c r="Q210" s="1195"/>
      <c r="R210" s="1195"/>
      <c r="S210" s="1195"/>
      <c r="T210" s="1195"/>
      <c r="U210" s="1195"/>
    </row>
    <row r="211" spans="1:21" ht="15" customHeight="1" outlineLevel="1">
      <c r="A211" s="2595" t="s">
        <v>2210</v>
      </c>
      <c r="B211" s="455" t="s">
        <v>156</v>
      </c>
      <c r="C211" s="2590">
        <f>'Ввод данных'!C432</f>
        <v>2.7</v>
      </c>
      <c r="D211" s="2522">
        <f>'Ввод данных'!D429</f>
        <v>0</v>
      </c>
      <c r="E211" s="2451" t="e">
        <f>'Ввод данных'!#REF!</f>
        <v>#REF!</v>
      </c>
      <c r="F211" s="2596" t="e">
        <f>C211*D211*E211</f>
        <v>#REF!</v>
      </c>
      <c r="G211" s="2513"/>
      <c r="H211" s="2575"/>
      <c r="I211" s="2574"/>
      <c r="J211" s="2570"/>
      <c r="K211" s="2503"/>
      <c r="L211" s="1195"/>
      <c r="M211" s="1195"/>
      <c r="N211" s="1195"/>
      <c r="O211" s="1195"/>
      <c r="P211" s="1195"/>
      <c r="Q211" s="1195"/>
      <c r="R211" s="1195"/>
      <c r="S211" s="1195"/>
      <c r="T211" s="1195"/>
      <c r="U211" s="1195"/>
    </row>
    <row r="212" spans="1:21" ht="15" customHeight="1" outlineLevel="1">
      <c r="A212" s="2597"/>
      <c r="B212" s="455" t="s">
        <v>156</v>
      </c>
      <c r="C212" s="2590"/>
      <c r="D212" s="2522">
        <f>'Ввод данных'!D430</f>
        <v>0</v>
      </c>
      <c r="E212" s="2451" t="e">
        <f>'Ввод данных'!#REF!</f>
        <v>#REF!</v>
      </c>
      <c r="F212" s="2596" t="e">
        <f>C212*D212*E212</f>
        <v>#REF!</v>
      </c>
      <c r="G212" s="2513"/>
      <c r="H212" s="2575"/>
      <c r="I212" s="2574"/>
      <c r="J212" s="2570"/>
      <c r="K212" s="2503"/>
      <c r="L212" s="1195"/>
      <c r="M212" s="1195"/>
      <c r="N212" s="1195"/>
      <c r="O212" s="1195"/>
      <c r="P212" s="1195"/>
      <c r="Q212" s="1195"/>
      <c r="R212" s="1195"/>
      <c r="S212" s="1195"/>
      <c r="T212" s="1195"/>
      <c r="U212" s="1195"/>
    </row>
    <row r="213" spans="1:21" ht="15" customHeight="1" outlineLevel="1">
      <c r="A213" s="2598"/>
      <c r="B213" s="455" t="s">
        <v>156</v>
      </c>
      <c r="C213" s="2590"/>
      <c r="D213" s="2522">
        <f>'Ввод данных'!D431</f>
        <v>0</v>
      </c>
      <c r="E213" s="2451" t="e">
        <f>'Ввод данных'!#REF!</f>
        <v>#REF!</v>
      </c>
      <c r="F213" s="2596" t="e">
        <f>C213*D213*E213</f>
        <v>#REF!</v>
      </c>
      <c r="G213" s="2513"/>
      <c r="H213" s="2575"/>
      <c r="I213" s="2574"/>
      <c r="J213" s="2570"/>
      <c r="K213" s="2503"/>
      <c r="L213" s="1195"/>
      <c r="M213" s="1195"/>
      <c r="N213" s="1195"/>
      <c r="O213" s="1195"/>
      <c r="P213" s="1195"/>
      <c r="Q213" s="1195"/>
      <c r="R213" s="1195"/>
      <c r="S213" s="1195"/>
      <c r="T213" s="1195"/>
      <c r="U213" s="1195"/>
    </row>
    <row r="214" spans="1:21" ht="15" customHeight="1" outlineLevel="1">
      <c r="A214" s="2595" t="s">
        <v>3895</v>
      </c>
      <c r="B214" s="455" t="s">
        <v>156</v>
      </c>
      <c r="C214" s="2590" t="e">
        <f>'Ввод данных'!#REF!</f>
        <v>#REF!</v>
      </c>
      <c r="D214" s="2522">
        <f>'Ввод данных'!D432</f>
        <v>0</v>
      </c>
      <c r="E214" s="2451" t="e">
        <f>'Ввод данных'!#REF!</f>
        <v>#REF!</v>
      </c>
      <c r="F214" s="2596" t="e">
        <f>C214*D214*E214</f>
        <v>#REF!</v>
      </c>
      <c r="G214" s="2513"/>
      <c r="H214" s="2575"/>
      <c r="I214" s="2574"/>
      <c r="J214" s="2570"/>
      <c r="K214" s="2503"/>
      <c r="L214" s="1195"/>
      <c r="M214" s="1195"/>
      <c r="N214" s="1195"/>
      <c r="O214" s="1195"/>
      <c r="P214" s="1195"/>
      <c r="Q214" s="1195"/>
      <c r="R214" s="1195"/>
      <c r="S214" s="1195"/>
      <c r="T214" s="1195"/>
      <c r="U214" s="1195"/>
    </row>
    <row r="215" spans="1:21" ht="15" customHeight="1" outlineLevel="1">
      <c r="A215" s="2598"/>
      <c r="B215" s="455" t="s">
        <v>156</v>
      </c>
      <c r="C215" s="2590">
        <f>'Ввод данных'!C434</f>
        <v>0</v>
      </c>
      <c r="D215" s="2522">
        <f>'Ввод данных'!D433</f>
        <v>0</v>
      </c>
      <c r="E215" s="2451" t="e">
        <f>'Ввод данных'!#REF!</f>
        <v>#REF!</v>
      </c>
      <c r="F215" s="2596" t="e">
        <f>C215*D215*E215</f>
        <v>#REF!</v>
      </c>
      <c r="G215" s="2513"/>
      <c r="H215" s="2575"/>
      <c r="I215" s="2574"/>
      <c r="J215" s="2570"/>
      <c r="K215" s="2503"/>
      <c r="L215" s="1195"/>
      <c r="M215" s="1195"/>
      <c r="N215" s="1195"/>
      <c r="O215" s="1195"/>
      <c r="P215" s="1195"/>
      <c r="Q215" s="1195"/>
      <c r="R215" s="1195"/>
      <c r="S215" s="1195"/>
      <c r="T215" s="1195"/>
      <c r="U215" s="1195"/>
    </row>
    <row r="216" spans="1:21" ht="15" customHeight="1" outlineLevel="1">
      <c r="A216" s="2525" t="s">
        <v>3896</v>
      </c>
      <c r="B216" s="2525" t="s">
        <v>133</v>
      </c>
      <c r="C216" s="2525" t="e">
        <f>F211+F212+F215+F214+F213</f>
        <v>#REF!</v>
      </c>
      <c r="D216" s="2510"/>
      <c r="E216" s="2510"/>
      <c r="F216" s="2510"/>
      <c r="G216" s="2513"/>
      <c r="H216" s="2575"/>
      <c r="I216" s="2574"/>
      <c r="J216" s="2570"/>
      <c r="K216" s="2503"/>
      <c r="L216" s="1195"/>
      <c r="M216" s="1195"/>
      <c r="N216" s="1195"/>
      <c r="O216" s="1195"/>
      <c r="P216" s="1195"/>
      <c r="Q216" s="1195"/>
      <c r="R216" s="1195"/>
      <c r="S216" s="1195"/>
      <c r="T216" s="1195"/>
      <c r="U216" s="1195"/>
    </row>
    <row r="217" spans="1:21" ht="15" customHeight="1" outlineLevel="1">
      <c r="A217" s="2525" t="s">
        <v>3541</v>
      </c>
      <c r="B217" s="2525" t="s">
        <v>133</v>
      </c>
      <c r="C217" s="2525" t="e">
        <f>(C204*2+C203*2+C202)*(C205+C209*C197+D199*E199+D200*E200+D201*E201)</f>
        <v>#REF!</v>
      </c>
      <c r="D217" s="2510"/>
      <c r="E217" s="2510"/>
      <c r="F217" s="2510"/>
      <c r="G217" s="2513"/>
      <c r="H217" s="2575"/>
      <c r="I217" s="2574"/>
      <c r="J217" s="2570"/>
      <c r="K217" s="2503"/>
      <c r="L217" s="1195"/>
      <c r="M217" s="1195"/>
      <c r="N217" s="1195"/>
      <c r="O217" s="1195"/>
      <c r="P217" s="1195"/>
      <c r="Q217" s="1195"/>
      <c r="R217" s="1195"/>
      <c r="S217" s="1195"/>
      <c r="T217" s="1195"/>
      <c r="U217" s="1195"/>
    </row>
    <row r="218" spans="1:21" ht="15" customHeight="1" outlineLevel="1">
      <c r="A218" s="2525" t="s">
        <v>3542</v>
      </c>
      <c r="B218" s="2525" t="s">
        <v>133</v>
      </c>
      <c r="C218" s="2525" t="e">
        <f>C217-C216</f>
        <v>#REF!</v>
      </c>
      <c r="D218" s="2510"/>
      <c r="E218" s="2510"/>
      <c r="F218" s="2510"/>
      <c r="G218" s="2513"/>
      <c r="H218" s="2575"/>
      <c r="I218" s="2574"/>
      <c r="J218" s="2570"/>
      <c r="K218" s="2503"/>
      <c r="L218" s="1195"/>
      <c r="M218" s="1195"/>
      <c r="N218" s="1195"/>
      <c r="O218" s="1195"/>
      <c r="P218" s="1195"/>
      <c r="Q218" s="1195"/>
      <c r="R218" s="1195"/>
      <c r="S218" s="1195"/>
      <c r="T218" s="1195"/>
      <c r="U218" s="1195"/>
    </row>
    <row r="219" spans="1:21" ht="15" customHeight="1" outlineLevel="1">
      <c r="A219" s="2599" t="s">
        <v>3543</v>
      </c>
      <c r="B219" s="2599"/>
      <c r="C219" s="2582" t="s">
        <v>120</v>
      </c>
      <c r="D219" s="2582" t="s">
        <v>853</v>
      </c>
      <c r="E219" s="2451" t="e">
        <f>'Ввод данных'!#REF!</f>
        <v>#REF!</v>
      </c>
      <c r="F219" s="2583" t="s">
        <v>3555</v>
      </c>
      <c r="G219" s="2513"/>
      <c r="H219" s="2575"/>
      <c r="I219" s="2574"/>
      <c r="J219" s="2570"/>
      <c r="K219" s="2503"/>
      <c r="L219" s="1195"/>
      <c r="M219" s="1195"/>
      <c r="N219" s="1195"/>
      <c r="O219" s="1195"/>
      <c r="P219" s="1195"/>
      <c r="Q219" s="1195"/>
      <c r="R219" s="1195"/>
      <c r="S219" s="1195"/>
      <c r="T219" s="1195"/>
      <c r="U219" s="1195"/>
    </row>
    <row r="220" spans="1:21" ht="15" customHeight="1" outlineLevel="1">
      <c r="A220" s="2600" t="s">
        <v>3544</v>
      </c>
      <c r="B220" s="2511"/>
      <c r="C220" s="2576" t="s">
        <v>156</v>
      </c>
      <c r="D220" s="2525">
        <f>SQRT((C208/2)*(C208/2)+C206*C206)</f>
        <v>0</v>
      </c>
      <c r="E220" s="2507"/>
      <c r="F220" s="2507"/>
      <c r="G220" s="2513"/>
      <c r="H220" s="2575"/>
      <c r="I220" s="2574"/>
      <c r="J220" s="2570"/>
      <c r="K220" s="2503"/>
      <c r="L220" s="1195"/>
      <c r="M220" s="1195"/>
      <c r="N220" s="1195"/>
      <c r="O220" s="1195"/>
      <c r="P220" s="1195"/>
      <c r="Q220" s="1195"/>
      <c r="R220" s="1195"/>
      <c r="S220" s="1195"/>
      <c r="T220" s="1195"/>
      <c r="U220" s="1195"/>
    </row>
    <row r="221" spans="1:21" ht="15" customHeight="1" outlineLevel="1">
      <c r="A221" s="2600" t="s">
        <v>3548</v>
      </c>
      <c r="B221" s="2511"/>
      <c r="C221" s="2576" t="s">
        <v>156</v>
      </c>
      <c r="D221" s="2525">
        <f>SQRT(D220*D220+C204*C204)</f>
        <v>0</v>
      </c>
      <c r="E221" s="2507"/>
      <c r="F221" s="2507"/>
      <c r="G221" s="2513"/>
      <c r="H221" s="2575"/>
      <c r="I221" s="2574"/>
      <c r="J221" s="2570"/>
      <c r="K221" s="2503"/>
      <c r="L221" s="1195"/>
      <c r="M221" s="1195"/>
      <c r="N221" s="1195"/>
      <c r="O221" s="1195"/>
      <c r="P221" s="1195"/>
      <c r="Q221" s="1195"/>
      <c r="R221" s="1195"/>
      <c r="S221" s="1195"/>
      <c r="T221" s="1195"/>
      <c r="U221" s="1195"/>
    </row>
    <row r="222" spans="1:21" ht="15" customHeight="1" outlineLevel="1">
      <c r="A222" s="2600" t="s">
        <v>3549</v>
      </c>
      <c r="B222" s="2511"/>
      <c r="C222" s="2576" t="s">
        <v>156</v>
      </c>
      <c r="D222" s="2525">
        <f>SQRT(D221*D221+C203*C203)</f>
        <v>0</v>
      </c>
      <c r="E222" s="2507"/>
      <c r="F222" s="2507"/>
      <c r="G222" s="2513"/>
      <c r="H222" s="2575"/>
      <c r="I222" s="2574"/>
      <c r="J222" s="2570"/>
      <c r="K222" s="2503"/>
      <c r="L222" s="1195"/>
      <c r="M222" s="1195"/>
      <c r="N222" s="1195"/>
      <c r="O222" s="1195"/>
      <c r="P222" s="1195"/>
      <c r="Q222" s="1195"/>
      <c r="R222" s="1195"/>
      <c r="S222" s="1195"/>
      <c r="T222" s="1195"/>
      <c r="U222" s="1195"/>
    </row>
    <row r="223" spans="1:21" ht="15" customHeight="1" outlineLevel="1">
      <c r="A223" s="2601" t="s">
        <v>2609</v>
      </c>
      <c r="B223" s="2602"/>
      <c r="C223" s="227" t="s">
        <v>133</v>
      </c>
      <c r="D223" s="69">
        <f>D220*C204+D221*C203*1.1+(C202/2)*SQRT(C207*C207+C206*C206)*2</f>
        <v>0</v>
      </c>
      <c r="E223" s="2507"/>
      <c r="F223" s="2507"/>
      <c r="G223" s="2513"/>
      <c r="H223" s="2575"/>
      <c r="I223" s="2574"/>
      <c r="J223" s="2570"/>
      <c r="K223" s="397"/>
      <c r="L223" s="1195"/>
      <c r="M223" s="1195"/>
      <c r="N223" s="1195"/>
      <c r="O223" s="1195"/>
      <c r="P223" s="1195"/>
      <c r="Q223" s="1195"/>
      <c r="R223" s="1195"/>
      <c r="S223" s="1195"/>
      <c r="T223" s="1195"/>
      <c r="U223" s="1195"/>
    </row>
    <row r="224" spans="1:21" ht="15" customHeight="1" outlineLevel="1">
      <c r="A224" s="2601" t="s">
        <v>3545</v>
      </c>
      <c r="B224" s="2602"/>
      <c r="C224" s="227" t="s">
        <v>156</v>
      </c>
      <c r="D224" s="2522">
        <f>'Ввод данных'!C433</f>
        <v>0.8</v>
      </c>
      <c r="E224" s="2507"/>
      <c r="F224" s="2507"/>
      <c r="G224" s="2513"/>
      <c r="H224" s="2575"/>
      <c r="I224" s="2574"/>
      <c r="J224" s="2570"/>
      <c r="K224" s="402"/>
      <c r="L224" s="1195"/>
      <c r="M224" s="1195"/>
      <c r="N224" s="1195"/>
      <c r="O224" s="1195"/>
      <c r="P224" s="1195"/>
      <c r="Q224" s="1195"/>
      <c r="R224" s="1195"/>
      <c r="S224" s="1195"/>
      <c r="T224" s="1195"/>
      <c r="U224" s="1195"/>
    </row>
    <row r="225" spans="1:21" ht="15" customHeight="1" outlineLevel="1">
      <c r="A225" s="2600" t="s">
        <v>3550</v>
      </c>
      <c r="B225" s="2511"/>
      <c r="C225" s="2525" t="s">
        <v>156</v>
      </c>
      <c r="D225" s="2603">
        <f>D220+D224</f>
        <v>0.8</v>
      </c>
      <c r="E225" s="2507"/>
      <c r="F225" s="2507"/>
      <c r="G225" s="2513"/>
      <c r="H225" s="2575"/>
      <c r="I225" s="2574"/>
      <c r="J225" s="2570"/>
      <c r="K225" s="402"/>
      <c r="L225" s="1195"/>
      <c r="M225" s="1195"/>
      <c r="N225" s="1195"/>
      <c r="O225" s="1195"/>
      <c r="P225" s="1195"/>
      <c r="Q225" s="1195"/>
      <c r="R225" s="1195"/>
      <c r="S225" s="1195"/>
      <c r="T225" s="1195"/>
      <c r="U225" s="1195"/>
    </row>
    <row r="226" spans="1:21" ht="15" customHeight="1" outlineLevel="1">
      <c r="A226" s="2600" t="s">
        <v>3552</v>
      </c>
      <c r="B226" s="2511"/>
      <c r="C226" s="2525" t="s">
        <v>156</v>
      </c>
      <c r="D226" s="2603">
        <f>D221+D224</f>
        <v>0.8</v>
      </c>
      <c r="E226" s="2507"/>
      <c r="F226" s="2507"/>
      <c r="G226" s="2513"/>
      <c r="H226" s="2575"/>
      <c r="I226" s="2574"/>
      <c r="J226" s="2570"/>
      <c r="K226" s="402"/>
      <c r="L226" s="1195"/>
      <c r="M226" s="1195"/>
      <c r="N226" s="1195"/>
      <c r="O226" s="1195"/>
      <c r="P226" s="1195"/>
      <c r="Q226" s="1195"/>
      <c r="R226" s="1195"/>
      <c r="S226" s="1195"/>
      <c r="T226" s="1195"/>
      <c r="U226" s="1195"/>
    </row>
    <row r="227" spans="1:21" ht="15" customHeight="1" outlineLevel="1">
      <c r="A227" s="2600" t="s">
        <v>3554</v>
      </c>
      <c r="B227" s="2511"/>
      <c r="C227" s="2525" t="s">
        <v>156</v>
      </c>
      <c r="D227" s="2603">
        <f>D222+D224</f>
        <v>0.8</v>
      </c>
      <c r="E227" s="2507"/>
      <c r="F227" s="2507"/>
      <c r="G227" s="2513"/>
      <c r="H227" s="2575"/>
      <c r="I227" s="2574"/>
      <c r="J227" s="2570"/>
      <c r="K227" s="402"/>
      <c r="L227" s="1195"/>
      <c r="M227" s="1195"/>
      <c r="N227" s="1195"/>
      <c r="O227" s="1195"/>
      <c r="P227" s="1195"/>
      <c r="Q227" s="1195"/>
      <c r="R227" s="1195"/>
      <c r="S227" s="1195"/>
      <c r="T227" s="1195"/>
      <c r="U227" s="1195"/>
    </row>
    <row r="228" spans="1:21" ht="15" customHeight="1" outlineLevel="1">
      <c r="A228" s="2601" t="s">
        <v>2610</v>
      </c>
      <c r="B228" s="2602"/>
      <c r="C228" s="227" t="s">
        <v>133</v>
      </c>
      <c r="D228" s="69" t="e">
        <f>((C204*D224*2+C203*D224*2+C202*D224)*1.1+D223)*E219</f>
        <v>#REF!</v>
      </c>
      <c r="E228" s="2507"/>
      <c r="F228" s="2507"/>
      <c r="G228" s="2513"/>
      <c r="H228" s="2575"/>
      <c r="I228" s="2574"/>
      <c r="J228" s="2570"/>
      <c r="K228" s="402"/>
      <c r="L228" s="1195"/>
      <c r="M228" s="1195"/>
      <c r="N228" s="1195"/>
      <c r="O228" s="1195"/>
      <c r="P228" s="1195"/>
      <c r="Q228" s="1195"/>
      <c r="R228" s="1195"/>
      <c r="S228" s="1195"/>
      <c r="T228" s="1195"/>
      <c r="U228" s="1195"/>
    </row>
    <row r="229" spans="1:21" ht="15" customHeight="1" outlineLevel="1">
      <c r="A229" s="2604" t="s">
        <v>2635</v>
      </c>
      <c r="B229" s="2604"/>
      <c r="C229" s="2604"/>
      <c r="D229" s="2604"/>
      <c r="E229" s="2451" t="e">
        <f>'Ввод данных'!#REF!</f>
        <v>#REF!</v>
      </c>
      <c r="F229" s="2503" t="s">
        <v>3568</v>
      </c>
      <c r="G229" s="2513"/>
      <c r="H229" s="2575"/>
      <c r="I229" s="2574"/>
      <c r="J229" s="2570"/>
      <c r="K229" s="2536"/>
      <c r="L229" s="1195"/>
      <c r="M229" s="1195"/>
      <c r="N229" s="1195"/>
      <c r="O229" s="1195"/>
      <c r="P229" s="1195"/>
      <c r="Q229" s="1195"/>
      <c r="R229" s="1195"/>
      <c r="S229" s="1195"/>
      <c r="T229" s="1195"/>
      <c r="U229" s="1195"/>
    </row>
    <row r="230" spans="1:21" ht="15" customHeight="1" outlineLevel="1">
      <c r="A230" s="2605" t="s">
        <v>2572</v>
      </c>
      <c r="B230" s="2538" t="s">
        <v>156</v>
      </c>
      <c r="C230" s="2605">
        <f>C204*2+C203*2+C202</f>
        <v>0</v>
      </c>
      <c r="D230" s="2503"/>
      <c r="E230" s="2503"/>
      <c r="F230" s="2507"/>
      <c r="G230" s="2513"/>
      <c r="H230" s="2575"/>
      <c r="I230" s="2574"/>
      <c r="J230" s="2570"/>
      <c r="K230" s="2506"/>
      <c r="L230" s="1195"/>
      <c r="M230" s="1195"/>
      <c r="N230" s="1195"/>
      <c r="O230" s="1195"/>
      <c r="P230" s="1195"/>
      <c r="Q230" s="1195"/>
      <c r="R230" s="1195"/>
      <c r="S230" s="1195"/>
      <c r="T230" s="1195"/>
      <c r="U230" s="1195"/>
    </row>
    <row r="231" spans="1:21" ht="15" customHeight="1" outlineLevel="1">
      <c r="A231" s="2540" t="s">
        <v>3427</v>
      </c>
      <c r="B231" s="305" t="s">
        <v>133</v>
      </c>
      <c r="C231" s="2540" t="e">
        <f>C199+C200</f>
        <v>#REF!</v>
      </c>
      <c r="D231" s="2503"/>
      <c r="E231" s="2503"/>
      <c r="F231" s="2507"/>
      <c r="G231" s="2513"/>
      <c r="H231" s="2575"/>
      <c r="I231" s="2574"/>
      <c r="J231" s="2570"/>
      <c r="K231" s="2583"/>
      <c r="L231" s="1195"/>
      <c r="M231" s="1195"/>
      <c r="N231" s="1195"/>
      <c r="O231" s="1195"/>
      <c r="P231" s="1195"/>
      <c r="Q231" s="1195"/>
      <c r="R231" s="1195"/>
      <c r="S231" s="1195"/>
      <c r="T231" s="1195"/>
      <c r="U231" s="1195"/>
    </row>
    <row r="232" spans="1:21" ht="15" customHeight="1" outlineLevel="1">
      <c r="A232" s="2510"/>
      <c r="B232" s="2510"/>
      <c r="C232" s="2510"/>
      <c r="D232" s="2510"/>
      <c r="E232" s="2510"/>
      <c r="F232" s="2510"/>
      <c r="G232" s="2513"/>
      <c r="H232" s="2575"/>
      <c r="I232" s="2574"/>
      <c r="J232" s="2570"/>
      <c r="K232" s="2507"/>
      <c r="L232" s="1195"/>
      <c r="M232" s="1195"/>
      <c r="N232" s="1195"/>
      <c r="O232" s="1195"/>
      <c r="P232" s="1195"/>
      <c r="Q232" s="1195"/>
      <c r="R232" s="1195"/>
      <c r="S232" s="1195"/>
      <c r="T232" s="1195"/>
      <c r="U232" s="1195"/>
    </row>
    <row r="233" spans="1:21" ht="15" customHeight="1" outlineLevel="1">
      <c r="A233" s="2229"/>
      <c r="B233" s="2229"/>
      <c r="C233" s="2230"/>
      <c r="D233" s="2230"/>
      <c r="E233" s="2229"/>
      <c r="F233" s="2231"/>
      <c r="G233" s="2232"/>
      <c r="H233" s="2233"/>
      <c r="I233" s="2233"/>
      <c r="J233" s="2233"/>
      <c r="K233" s="2606"/>
      <c r="L233" s="2234"/>
      <c r="M233" s="2225"/>
      <c r="N233" s="2234"/>
      <c r="O233" s="2234"/>
      <c r="P233" s="2234"/>
      <c r="Q233" s="2234"/>
      <c r="R233" s="2234"/>
      <c r="S233" s="2234"/>
      <c r="T233" s="2220"/>
      <c r="U233" s="2220"/>
    </row>
    <row r="234" spans="1:21" ht="15" customHeight="1">
      <c r="A234" s="3187" t="s">
        <v>3586</v>
      </c>
      <c r="B234" s="3187"/>
      <c r="C234" s="3187"/>
      <c r="D234" s="3187"/>
      <c r="E234" s="3187"/>
      <c r="F234" s="3187"/>
      <c r="G234" s="3187"/>
      <c r="H234" s="3187"/>
      <c r="I234" s="3187"/>
      <c r="J234" s="2233"/>
      <c r="K234" s="2606"/>
      <c r="L234" s="2234"/>
      <c r="M234" s="2225"/>
      <c r="N234" s="2234"/>
      <c r="O234" s="2234"/>
      <c r="P234" s="2234"/>
      <c r="Q234" s="2234"/>
      <c r="R234" s="2234"/>
      <c r="S234" s="2234"/>
      <c r="T234" s="2220"/>
      <c r="U234" s="2220"/>
    </row>
    <row r="235" spans="1:21" ht="15" customHeight="1">
      <c r="A235" s="2217" t="s">
        <v>1093</v>
      </c>
      <c r="B235" s="2218" t="s">
        <v>3587</v>
      </c>
      <c r="C235" s="2219" t="s">
        <v>1800</v>
      </c>
      <c r="D235" s="2219" t="s">
        <v>853</v>
      </c>
      <c r="E235" s="2218" t="s">
        <v>1992</v>
      </c>
      <c r="F235" s="2219" t="s">
        <v>1931</v>
      </c>
      <c r="G235" s="2235" t="s">
        <v>2751</v>
      </c>
      <c r="H235" s="3189" t="s">
        <v>3923</v>
      </c>
      <c r="I235" s="3189"/>
      <c r="J235" s="1195"/>
      <c r="K235" s="2268"/>
      <c r="L235" s="2228"/>
      <c r="M235" s="2220"/>
      <c r="N235" s="2228"/>
      <c r="O235" s="2228"/>
      <c r="P235" s="2228"/>
      <c r="Q235" s="2228"/>
      <c r="R235" s="2228"/>
      <c r="S235" s="2234"/>
      <c r="T235" s="1195"/>
      <c r="U235" s="1195"/>
    </row>
    <row r="236" spans="1:21" ht="15" customHeight="1">
      <c r="A236" s="275" t="s">
        <v>3589</v>
      </c>
      <c r="B236" s="2236">
        <f>дома!B1319</f>
        <v>1</v>
      </c>
      <c r="C236" s="2237">
        <f>дома!C1319</f>
        <v>10</v>
      </c>
      <c r="D236" s="2237">
        <f>дома!D1319</f>
        <v>10</v>
      </c>
      <c r="E236" s="2236">
        <f>дома!E1319</f>
        <v>3</v>
      </c>
      <c r="F236" s="2237">
        <f>дома!F1319</f>
        <v>0</v>
      </c>
      <c r="G236" s="2237">
        <f>дома!G1319</f>
        <v>0</v>
      </c>
      <c r="H236" s="2236">
        <f>дома!I1319</f>
        <v>0</v>
      </c>
      <c r="I236" s="2238"/>
      <c r="J236" s="1195"/>
      <c r="K236" s="2268"/>
      <c r="L236" s="2228"/>
      <c r="M236" s="2220"/>
      <c r="N236" s="2228"/>
      <c r="O236" s="2228"/>
      <c r="P236" s="2228"/>
      <c r="Q236" s="2228"/>
      <c r="R236" s="2228"/>
      <c r="S236" s="2234"/>
      <c r="T236" s="1195"/>
      <c r="U236" s="1195"/>
    </row>
    <row r="237" spans="1:21" s="910" customFormat="1" ht="15" customHeight="1">
      <c r="A237" s="2239" t="s">
        <v>1236</v>
      </c>
      <c r="B237" s="2239" t="s">
        <v>120</v>
      </c>
      <c r="C237" s="3191" t="s">
        <v>3924</v>
      </c>
      <c r="D237" s="3191"/>
      <c r="E237" s="2239" t="s">
        <v>1802</v>
      </c>
      <c r="F237" s="2239" t="s">
        <v>3591</v>
      </c>
      <c r="G237" s="3191" t="s">
        <v>1236</v>
      </c>
      <c r="H237" s="3191"/>
      <c r="I237" s="2239" t="s">
        <v>3593</v>
      </c>
      <c r="J237" s="2239" t="s">
        <v>3594</v>
      </c>
      <c r="K237" s="2607" t="s">
        <v>1802</v>
      </c>
      <c r="L237" s="2239" t="s">
        <v>3573</v>
      </c>
      <c r="M237" s="941"/>
      <c r="N237" s="941"/>
      <c r="O237" s="941"/>
      <c r="P237" s="941"/>
      <c r="Q237" s="941"/>
      <c r="R237" s="941"/>
      <c r="S237" s="2402"/>
      <c r="T237" s="941"/>
      <c r="U237" s="941"/>
    </row>
    <row r="238" spans="1:21" ht="15" customHeight="1">
      <c r="A238" s="941"/>
      <c r="B238" s="2234"/>
      <c r="C238" s="2608"/>
      <c r="D238" s="2608"/>
      <c r="E238" s="2234"/>
      <c r="F238" s="2608"/>
      <c r="G238" s="2608"/>
      <c r="H238" s="2234"/>
      <c r="I238" s="2234"/>
      <c r="J238" s="2228"/>
      <c r="K238" s="2268"/>
      <c r="L238" s="2228"/>
      <c r="M238" s="2228"/>
      <c r="N238" s="2228"/>
      <c r="O238" s="2228"/>
      <c r="P238" s="2228"/>
      <c r="Q238" s="2228"/>
      <c r="R238" s="2228"/>
      <c r="S238" s="2228"/>
      <c r="T238" s="2228"/>
      <c r="U238" s="2228"/>
    </row>
    <row r="239" spans="1:21" ht="15" customHeight="1" outlineLevel="1">
      <c r="A239" s="3259" t="s">
        <v>1925</v>
      </c>
      <c r="B239" s="3259"/>
      <c r="C239" s="3259"/>
      <c r="D239" s="3259"/>
      <c r="E239" s="3259"/>
      <c r="F239" s="3259"/>
      <c r="G239" s="3259"/>
      <c r="H239" s="3259"/>
      <c r="I239" s="3259"/>
      <c r="J239" s="2609"/>
      <c r="K239" s="2609"/>
      <c r="L239" s="2610"/>
      <c r="M239" s="2228"/>
      <c r="N239" s="2228"/>
      <c r="O239" s="2228"/>
      <c r="P239" s="2228"/>
      <c r="Q239" s="2228"/>
      <c r="R239" s="2228"/>
      <c r="S239" s="2228"/>
      <c r="T239" s="2228"/>
      <c r="U239" s="2228"/>
    </row>
    <row r="240" spans="1:21" ht="15" customHeight="1" outlineLevel="1">
      <c r="A240" s="3146" t="s">
        <v>1806</v>
      </c>
      <c r="B240" s="3146"/>
      <c r="C240" s="3146"/>
      <c r="D240" s="3146"/>
      <c r="E240" s="3146"/>
      <c r="F240" s="3146"/>
      <c r="G240" s="2611">
        <f>'Ввод данных'!E198</f>
        <v>1</v>
      </c>
      <c r="H240" s="1138">
        <f>'Ввод данных'!E199</f>
        <v>1</v>
      </c>
      <c r="I240" s="1138"/>
      <c r="J240" s="1138"/>
      <c r="K240" s="1138"/>
      <c r="L240" s="1138"/>
      <c r="M240" s="2228"/>
      <c r="N240" s="2228"/>
      <c r="O240" s="2228"/>
      <c r="P240" s="2228"/>
      <c r="Q240" s="2228"/>
      <c r="R240" s="2228"/>
      <c r="S240" s="2228"/>
      <c r="T240" s="2228"/>
      <c r="U240" s="2228"/>
    </row>
    <row r="241" spans="1:21" ht="15" customHeight="1" outlineLevel="1">
      <c r="A241" s="2612" t="s">
        <v>2705</v>
      </c>
      <c r="B241" s="2613" t="s">
        <v>156</v>
      </c>
      <c r="C241" s="2613">
        <f>дома!C1130</f>
        <v>48.284271247461902</v>
      </c>
      <c r="D241" s="2614">
        <f>дома!D1130</f>
        <v>1</v>
      </c>
      <c r="E241" s="2615"/>
      <c r="F241" s="2615"/>
      <c r="G241" s="2615"/>
      <c r="H241" s="1138"/>
      <c r="I241" s="1138"/>
      <c r="J241" s="1138"/>
      <c r="K241" s="1138"/>
      <c r="L241" s="1138"/>
      <c r="M241" s="2228"/>
      <c r="N241" s="2228"/>
      <c r="O241" s="2228"/>
      <c r="P241" s="2228"/>
      <c r="Q241" s="2228"/>
      <c r="R241" s="2228"/>
      <c r="S241" s="2228"/>
      <c r="T241" s="2228"/>
      <c r="U241" s="2228"/>
    </row>
    <row r="242" spans="1:21" ht="15" customHeight="1" outlineLevel="1">
      <c r="A242" s="2612" t="s">
        <v>3829</v>
      </c>
      <c r="B242" s="2613" t="s">
        <v>156</v>
      </c>
      <c r="C242" s="2613">
        <f>'Ввод данных'!C204</f>
        <v>0</v>
      </c>
      <c r="D242" s="2616"/>
      <c r="E242" s="2615"/>
      <c r="F242" s="2615"/>
      <c r="G242" s="2615"/>
      <c r="H242" s="1138"/>
      <c r="I242" s="1138"/>
      <c r="J242" s="1138"/>
      <c r="K242" s="1138"/>
      <c r="L242" s="1138"/>
      <c r="M242" s="2228"/>
      <c r="N242" s="2228"/>
      <c r="O242" s="2228"/>
      <c r="P242" s="2228"/>
      <c r="Q242" s="2228"/>
      <c r="R242" s="2228"/>
      <c r="S242" s="2228"/>
      <c r="T242" s="2228"/>
      <c r="U242" s="2228"/>
    </row>
    <row r="243" spans="1:21" ht="15" customHeight="1" outlineLevel="1">
      <c r="A243" s="2612" t="s">
        <v>3830</v>
      </c>
      <c r="B243" s="2613" t="s">
        <v>156</v>
      </c>
      <c r="C243" s="2613">
        <f>'Ввод данных'!C205</f>
        <v>0</v>
      </c>
      <c r="D243" s="2616"/>
      <c r="E243" s="2615"/>
      <c r="F243" s="2615"/>
      <c r="G243" s="2615"/>
      <c r="H243" s="1138"/>
      <c r="I243" s="1138"/>
      <c r="J243" s="1138"/>
      <c r="K243" s="1138"/>
      <c r="L243" s="1138"/>
      <c r="M243" s="2228"/>
      <c r="N243" s="2228"/>
      <c r="O243" s="2228"/>
      <c r="P243" s="2228"/>
      <c r="Q243" s="2228"/>
      <c r="R243" s="2228"/>
      <c r="S243" s="2228"/>
      <c r="T243" s="2228"/>
      <c r="U243" s="2228"/>
    </row>
    <row r="244" spans="1:21" ht="15" customHeight="1" outlineLevel="1">
      <c r="A244" s="263" t="s">
        <v>3831</v>
      </c>
      <c r="B244" s="1165" t="s">
        <v>159</v>
      </c>
      <c r="C244" s="2617">
        <f>IF('Ввод данных'!A203=связи1!A6,1,0)</f>
        <v>0</v>
      </c>
      <c r="D244" s="2618"/>
      <c r="E244" s="2619"/>
      <c r="F244" s="2619"/>
      <c r="G244" s="2228"/>
      <c r="H244" s="2228"/>
      <c r="I244" s="2234"/>
      <c r="J244" s="2228"/>
      <c r="K244" s="2268"/>
      <c r="L244" s="2228"/>
      <c r="M244" s="2228"/>
      <c r="N244" s="2228"/>
      <c r="O244" s="2228"/>
      <c r="P244" s="2228"/>
      <c r="Q244" s="2228"/>
      <c r="R244" s="2228"/>
      <c r="S244" s="2228"/>
      <c r="T244" s="2228"/>
      <c r="U244" s="2228"/>
    </row>
    <row r="245" spans="1:21" ht="15" customHeight="1" outlineLevel="1">
      <c r="A245" s="2620" t="s">
        <v>3832</v>
      </c>
      <c r="B245" s="229" t="s">
        <v>159</v>
      </c>
      <c r="C245" s="2617">
        <f>IF('Ввод данных'!A203=связи1!A7,1,0)</f>
        <v>0</v>
      </c>
      <c r="D245" s="2618"/>
      <c r="E245" s="2619"/>
      <c r="F245" s="2619"/>
      <c r="G245" s="2228"/>
      <c r="H245" s="2228"/>
      <c r="I245" s="2234"/>
      <c r="J245" s="2228"/>
      <c r="K245" s="2268"/>
      <c r="L245" s="2228"/>
      <c r="M245" s="2228"/>
      <c r="N245" s="2228"/>
      <c r="O245" s="2228"/>
      <c r="P245" s="2228"/>
      <c r="Q245" s="2228"/>
      <c r="R245" s="2228"/>
      <c r="S245" s="2228"/>
      <c r="T245" s="2228"/>
      <c r="U245" s="2228"/>
    </row>
    <row r="246" spans="1:21" ht="15" customHeight="1" outlineLevel="1">
      <c r="A246" s="2620" t="s">
        <v>3833</v>
      </c>
      <c r="B246" s="229" t="s">
        <v>159</v>
      </c>
      <c r="C246" s="2617">
        <f>IF('Ввод данных'!A203=связи1!A8,1,0)</f>
        <v>1</v>
      </c>
      <c r="D246" s="2618"/>
      <c r="E246" s="2619"/>
      <c r="F246" s="2619"/>
      <c r="G246" s="2228"/>
      <c r="H246" s="2228"/>
      <c r="I246" s="2234"/>
      <c r="J246" s="2228"/>
      <c r="K246" s="2268"/>
      <c r="L246" s="2228"/>
      <c r="M246" s="2228"/>
      <c r="N246" s="2228"/>
      <c r="O246" s="2228"/>
      <c r="P246" s="2228"/>
      <c r="Q246" s="2228"/>
      <c r="R246" s="2228"/>
      <c r="S246" s="2228"/>
      <c r="T246" s="2228"/>
      <c r="U246" s="2228"/>
    </row>
    <row r="247" spans="1:21" ht="15" customHeight="1" outlineLevel="1">
      <c r="A247" s="229" t="s">
        <v>2623</v>
      </c>
      <c r="B247" s="229" t="s">
        <v>133</v>
      </c>
      <c r="C247" s="229">
        <f>дома!E1181+('Ввод данных'!C212*'Ввод данных'!D212)</f>
        <v>179.30702044232368</v>
      </c>
      <c r="D247" s="2619"/>
      <c r="E247" s="2619"/>
      <c r="F247" s="2619"/>
      <c r="G247" s="2228"/>
      <c r="H247" s="2228"/>
      <c r="I247" s="2234"/>
      <c r="J247" s="2228"/>
      <c r="K247" s="2268"/>
      <c r="L247" s="2228"/>
      <c r="M247" s="2228"/>
      <c r="N247" s="2228"/>
      <c r="O247" s="2228"/>
      <c r="P247" s="2228"/>
      <c r="Q247" s="2228"/>
      <c r="R247" s="2228"/>
      <c r="S247" s="2228"/>
      <c r="T247" s="2228"/>
      <c r="U247" s="2228"/>
    </row>
    <row r="248" spans="1:21" ht="15" customHeight="1" outlineLevel="1">
      <c r="A248" s="229" t="s">
        <v>1546</v>
      </c>
      <c r="B248" s="229" t="s">
        <v>156</v>
      </c>
      <c r="C248" s="229">
        <f>дома!E1164</f>
        <v>11.600000000000001</v>
      </c>
      <c r="D248" s="2619"/>
      <c r="E248" s="2619"/>
      <c r="F248" s="2619"/>
      <c r="G248" s="2228"/>
      <c r="H248" s="2228"/>
      <c r="I248" s="2234"/>
      <c r="J248" s="2228"/>
      <c r="K248" s="2268"/>
      <c r="L248" s="2228"/>
      <c r="M248" s="2228"/>
      <c r="N248" s="2228"/>
      <c r="O248" s="2228"/>
      <c r="P248" s="2228"/>
      <c r="Q248" s="2228"/>
      <c r="R248" s="2228"/>
      <c r="S248" s="2228"/>
      <c r="T248" s="2228"/>
      <c r="U248" s="2228"/>
    </row>
    <row r="249" spans="1:21" ht="15" customHeight="1" outlineLevel="1">
      <c r="A249" s="229" t="s">
        <v>3502</v>
      </c>
      <c r="B249" s="229" t="s">
        <v>156</v>
      </c>
      <c r="C249" s="229">
        <f>дома!E1167</f>
        <v>7.7287508811346406</v>
      </c>
      <c r="D249" s="2619"/>
      <c r="E249" s="2619"/>
      <c r="F249" s="2619"/>
      <c r="G249" s="2228"/>
      <c r="H249" s="2228"/>
      <c r="I249" s="2234"/>
      <c r="J249" s="2228"/>
      <c r="K249" s="2268"/>
      <c r="L249" s="2228"/>
      <c r="M249" s="2228"/>
      <c r="N249" s="2228"/>
      <c r="O249" s="2228"/>
      <c r="P249" s="2228"/>
      <c r="Q249" s="2228"/>
      <c r="R249" s="2228"/>
      <c r="S249" s="2228"/>
      <c r="T249" s="2228"/>
      <c r="U249" s="2228"/>
    </row>
    <row r="250" spans="1:21" ht="15" customHeight="1" outlineLevel="1">
      <c r="A250" s="3080" t="s">
        <v>1972</v>
      </c>
      <c r="B250" s="229" t="s">
        <v>156</v>
      </c>
      <c r="C250" s="2222">
        <f>'Ввод данных'!C206</f>
        <v>0.5</v>
      </c>
      <c r="D250" s="2619"/>
      <c r="E250" s="2619"/>
      <c r="F250" s="2619"/>
      <c r="G250" s="2228"/>
      <c r="H250" s="2228"/>
      <c r="I250" s="2234"/>
      <c r="J250" s="2228"/>
      <c r="K250" s="2268"/>
      <c r="L250" s="2228"/>
      <c r="M250" s="2228"/>
      <c r="N250" s="2228"/>
      <c r="O250" s="2228"/>
      <c r="P250" s="2228"/>
      <c r="Q250" s="2228"/>
      <c r="R250" s="2228"/>
      <c r="S250" s="2228"/>
      <c r="T250" s="2228"/>
      <c r="U250" s="2228"/>
    </row>
    <row r="251" spans="1:21" ht="15" customHeight="1" outlineLevel="1">
      <c r="A251" s="3080"/>
      <c r="B251" s="259"/>
      <c r="C251" s="2222">
        <f>'Ввод данных'!C207</f>
        <v>0.5</v>
      </c>
      <c r="D251" s="2619"/>
      <c r="E251" s="2619"/>
      <c r="F251" s="2619"/>
      <c r="G251" s="2228"/>
      <c r="H251" s="2228"/>
      <c r="I251" s="2234"/>
      <c r="J251" s="2228"/>
      <c r="K251" s="2268"/>
      <c r="L251" s="2228"/>
      <c r="M251" s="2228"/>
      <c r="N251" s="2228"/>
      <c r="O251" s="2228"/>
      <c r="P251" s="2228"/>
      <c r="Q251" s="2228"/>
      <c r="R251" s="2228"/>
      <c r="S251" s="2228"/>
      <c r="T251" s="2228"/>
      <c r="U251" s="2228"/>
    </row>
    <row r="252" spans="1:21" ht="15" customHeight="1" outlineLevel="1">
      <c r="A252" s="259" t="s">
        <v>1975</v>
      </c>
      <c r="B252" s="259" t="s">
        <v>156</v>
      </c>
      <c r="C252" s="2222">
        <f>'Ввод данных'!C208</f>
        <v>0.8</v>
      </c>
      <c r="D252" s="2619"/>
      <c r="E252" s="2619"/>
      <c r="F252" s="2619"/>
      <c r="G252" s="2228"/>
      <c r="H252" s="2228"/>
      <c r="I252" s="2234"/>
      <c r="J252" s="2228"/>
      <c r="K252" s="2268"/>
      <c r="L252" s="2228"/>
      <c r="M252" s="2228"/>
      <c r="N252" s="2228"/>
      <c r="O252" s="2228"/>
      <c r="P252" s="2228"/>
      <c r="Q252" s="2228"/>
      <c r="R252" s="2228"/>
      <c r="S252" s="2228"/>
      <c r="T252" s="2228"/>
      <c r="U252" s="2228"/>
    </row>
    <row r="253" spans="1:21" ht="15" customHeight="1" outlineLevel="1">
      <c r="A253" s="259" t="s">
        <v>1975</v>
      </c>
      <c r="B253" s="259" t="s">
        <v>156</v>
      </c>
      <c r="C253" s="2222">
        <f>'Ввод данных'!C209</f>
        <v>0.8</v>
      </c>
      <c r="D253" s="2619"/>
      <c r="E253" s="2619"/>
      <c r="F253" s="2619"/>
      <c r="G253" s="2228"/>
      <c r="H253" s="2228"/>
      <c r="I253" s="2234"/>
      <c r="J253" s="2228"/>
      <c r="K253" s="2268"/>
      <c r="L253" s="2228"/>
      <c r="M253" s="2228"/>
      <c r="N253" s="2228"/>
      <c r="O253" s="2228"/>
      <c r="P253" s="2228"/>
      <c r="Q253" s="2228"/>
      <c r="R253" s="2228"/>
      <c r="S253" s="2228"/>
      <c r="T253" s="2228"/>
      <c r="U253" s="2228"/>
    </row>
    <row r="254" spans="1:21" ht="15" customHeight="1" outlineLevel="1">
      <c r="A254" s="3081" t="s">
        <v>2632</v>
      </c>
      <c r="B254" s="259" t="s">
        <v>156</v>
      </c>
      <c r="C254" s="259">
        <f>'Ввод данных'!C224</f>
        <v>0</v>
      </c>
      <c r="D254" s="2614">
        <v>1</v>
      </c>
      <c r="E254" s="2619"/>
      <c r="F254" s="2619"/>
      <c r="G254" s="2228"/>
      <c r="H254" s="2228"/>
      <c r="I254" s="2234"/>
      <c r="J254" s="2228"/>
      <c r="K254" s="2268"/>
      <c r="L254" s="2228"/>
      <c r="M254" s="2228"/>
      <c r="N254" s="2228"/>
      <c r="O254" s="2228"/>
      <c r="P254" s="2228"/>
      <c r="Q254" s="2228"/>
      <c r="R254" s="2228"/>
      <c r="S254" s="2228"/>
      <c r="T254" s="2228"/>
      <c r="U254" s="2228"/>
    </row>
    <row r="255" spans="1:21" ht="15" customHeight="1" outlineLevel="1">
      <c r="A255" s="3081"/>
      <c r="B255" s="259" t="s">
        <v>156</v>
      </c>
      <c r="C255" s="259">
        <f>'Ввод данных'!E217</f>
        <v>0</v>
      </c>
      <c r="D255" s="2614">
        <v>0</v>
      </c>
      <c r="E255" s="2619"/>
      <c r="F255" s="2619"/>
      <c r="G255" s="2228"/>
      <c r="H255" s="2228"/>
      <c r="I255" s="2234"/>
      <c r="J255" s="2228"/>
      <c r="K255" s="2268"/>
      <c r="L255" s="2228"/>
      <c r="M255" s="2228"/>
      <c r="N255" s="2228"/>
      <c r="O255" s="2228"/>
      <c r="P255" s="2228"/>
      <c r="Q255" s="2228"/>
      <c r="R255" s="2228"/>
      <c r="S255" s="2228"/>
      <c r="T255" s="2228"/>
      <c r="U255" s="2228"/>
    </row>
    <row r="256" spans="1:21" ht="15" customHeight="1" outlineLevel="1">
      <c r="A256" s="3081" t="s">
        <v>3518</v>
      </c>
      <c r="B256" s="259" t="s">
        <v>156</v>
      </c>
      <c r="C256" s="259">
        <f>м.п.</f>
        <v>0</v>
      </c>
      <c r="D256" s="2614">
        <v>1</v>
      </c>
      <c r="E256" s="2619"/>
      <c r="F256" s="2619"/>
      <c r="G256" s="2228"/>
      <c r="H256" s="2228"/>
      <c r="I256" s="2234"/>
      <c r="J256" s="2228"/>
      <c r="K256" s="2268"/>
      <c r="L256" s="2228"/>
      <c r="M256" s="2228"/>
      <c r="N256" s="2228"/>
      <c r="O256" s="2228"/>
      <c r="P256" s="2228"/>
      <c r="Q256" s="2228"/>
      <c r="R256" s="2228"/>
      <c r="S256" s="2228"/>
      <c r="T256" s="2228"/>
      <c r="U256" s="2228"/>
    </row>
    <row r="257" spans="1:21" ht="15" customHeight="1" outlineLevel="1">
      <c r="A257" s="3081"/>
      <c r="B257" s="259" t="s">
        <v>156</v>
      </c>
      <c r="C257" s="259">
        <v>0</v>
      </c>
      <c r="D257" s="2614">
        <v>0</v>
      </c>
      <c r="E257" s="2619"/>
      <c r="F257" s="2619"/>
      <c r="G257" s="2228"/>
      <c r="H257" s="2228"/>
      <c r="I257" s="2234"/>
      <c r="J257" s="2228"/>
      <c r="K257" s="2268"/>
      <c r="L257" s="2228"/>
      <c r="M257" s="2228"/>
      <c r="N257" s="2228"/>
      <c r="O257" s="2228"/>
      <c r="P257" s="2228"/>
      <c r="Q257" s="2228"/>
      <c r="R257" s="2228"/>
      <c r="S257" s="2228"/>
      <c r="T257" s="2228"/>
      <c r="U257" s="2228"/>
    </row>
    <row r="258" spans="1:21" ht="15" customHeight="1" outlineLevel="1">
      <c r="A258" s="2265" t="s">
        <v>1089</v>
      </c>
      <c r="B258" s="259" t="s">
        <v>159</v>
      </c>
      <c r="C258" s="1172">
        <f>'Ввод данных'!C225</f>
        <v>0</v>
      </c>
      <c r="D258" s="2619"/>
      <c r="E258" s="2619"/>
      <c r="F258" s="2619"/>
      <c r="G258" s="2228"/>
      <c r="H258" s="2228"/>
      <c r="I258" s="2234"/>
      <c r="J258" s="2228"/>
      <c r="K258" s="2268"/>
      <c r="L258" s="2228"/>
      <c r="M258" s="2228"/>
      <c r="N258" s="2228"/>
      <c r="O258" s="2228"/>
      <c r="P258" s="2228"/>
      <c r="Q258" s="2228"/>
      <c r="R258" s="2228"/>
      <c r="S258" s="2228"/>
      <c r="T258" s="2228"/>
      <c r="U258" s="2228"/>
    </row>
    <row r="259" spans="1:21" ht="15" customHeight="1" outlineLevel="1">
      <c r="A259" s="2265" t="s">
        <v>1090</v>
      </c>
      <c r="B259" s="259" t="s">
        <v>159</v>
      </c>
      <c r="C259" s="1172">
        <f>'Ввод данных'!C226</f>
        <v>0</v>
      </c>
      <c r="D259" s="2619"/>
      <c r="E259" s="2619"/>
      <c r="F259" s="2619"/>
      <c r="G259" s="2228"/>
      <c r="H259" s="2228"/>
      <c r="I259" s="2234"/>
      <c r="J259" s="2228"/>
      <c r="K259" s="2268"/>
      <c r="L259" s="2228"/>
      <c r="M259" s="2228"/>
      <c r="N259" s="2228"/>
      <c r="O259" s="2228"/>
      <c r="P259" s="2228"/>
      <c r="Q259" s="2228"/>
      <c r="R259" s="2228"/>
      <c r="S259" s="2228"/>
      <c r="T259" s="2228"/>
      <c r="U259" s="2228"/>
    </row>
    <row r="260" spans="1:21" ht="15" customHeight="1" outlineLevel="1">
      <c r="A260" s="2265" t="s">
        <v>1091</v>
      </c>
      <c r="B260" s="259" t="s">
        <v>159</v>
      </c>
      <c r="C260" s="1172">
        <f>'Ввод данных'!C227</f>
        <v>0</v>
      </c>
      <c r="D260" s="2619"/>
      <c r="E260" s="2619"/>
      <c r="F260" s="2619"/>
      <c r="G260" s="2228"/>
      <c r="H260" s="2228"/>
      <c r="I260" s="2234"/>
      <c r="J260" s="2228"/>
      <c r="K260" s="2268"/>
      <c r="L260" s="2228"/>
      <c r="M260" s="2228"/>
      <c r="N260" s="2228"/>
      <c r="O260" s="2228"/>
      <c r="P260" s="2228"/>
      <c r="Q260" s="2228"/>
      <c r="R260" s="2228"/>
      <c r="S260" s="2228"/>
      <c r="T260" s="2228"/>
      <c r="U260" s="2228"/>
    </row>
    <row r="261" spans="1:21" ht="15" customHeight="1" outlineLevel="1">
      <c r="A261" s="2266" t="s">
        <v>2720</v>
      </c>
      <c r="B261" s="2266" t="s">
        <v>1094</v>
      </c>
      <c r="C261" s="2266" t="s">
        <v>1802</v>
      </c>
      <c r="D261" s="2266" t="s">
        <v>2721</v>
      </c>
      <c r="E261" s="2266" t="s">
        <v>2722</v>
      </c>
      <c r="F261" s="1194"/>
      <c r="G261" s="3206" t="s">
        <v>1409</v>
      </c>
      <c r="H261" s="3206"/>
      <c r="I261" s="2266" t="s">
        <v>1094</v>
      </c>
      <c r="J261" s="2266" t="s">
        <v>1802</v>
      </c>
      <c r="K261" s="2621" t="s">
        <v>1601</v>
      </c>
      <c r="L261" s="2266" t="s">
        <v>2722</v>
      </c>
      <c r="M261" s="1194"/>
      <c r="N261" s="1194"/>
      <c r="O261" s="1194"/>
      <c r="P261" s="1194"/>
      <c r="Q261" s="1194"/>
      <c r="R261" s="1194"/>
      <c r="S261" s="1194"/>
      <c r="T261" s="1194"/>
      <c r="U261" s="1194"/>
    </row>
    <row r="262" spans="1:21" ht="15" customHeight="1" outlineLevel="1">
      <c r="A262" s="229" t="str">
        <f>'Ввод данных'!A205</f>
        <v>нет</v>
      </c>
      <c r="B262" s="229" t="s">
        <v>135</v>
      </c>
      <c r="C262" s="229">
        <f>C241*D241*VLOOKUP(A262,связи1!F203:H213,3,0)*G240</f>
        <v>0</v>
      </c>
      <c r="D262" s="229">
        <f>VLOOKUP(A262,связи1!F203:H213,2,0)</f>
        <v>0</v>
      </c>
      <c r="E262" s="229">
        <f t="shared" ref="E262:E293" si="3">C262*D262</f>
        <v>0</v>
      </c>
      <c r="F262" s="1194"/>
      <c r="G262" s="2260"/>
      <c r="H262" s="2261"/>
      <c r="I262" s="229"/>
      <c r="J262" s="229"/>
      <c r="K262" s="2267"/>
      <c r="L262" s="229"/>
      <c r="M262" s="1194"/>
      <c r="N262" s="1194"/>
      <c r="O262" s="1194"/>
      <c r="P262" s="1194"/>
      <c r="Q262" s="1194"/>
      <c r="R262" s="1194"/>
      <c r="S262" s="1194"/>
      <c r="T262" s="1194"/>
      <c r="U262" s="1194"/>
    </row>
    <row r="263" spans="1:21" ht="15" customHeight="1" outlineLevel="1">
      <c r="A263" s="229" t="str">
        <f>'Прайс лист'!B864</f>
        <v xml:space="preserve">Болты анкерные с гайкой 12,0 х 280          </v>
      </c>
      <c r="B263" s="229" t="s">
        <v>159</v>
      </c>
      <c r="C263" s="2262">
        <f>C241*D241*1*G240</f>
        <v>48.284271247461902</v>
      </c>
      <c r="D263" s="229">
        <f>'Прайс лист'!G864</f>
        <v>27.1</v>
      </c>
      <c r="E263" s="229">
        <f t="shared" si="3"/>
        <v>1308.5037508062176</v>
      </c>
      <c r="F263" s="1194"/>
      <c r="G263" s="3130" t="s">
        <v>4130</v>
      </c>
      <c r="H263" s="3130"/>
      <c r="I263" s="229" t="s">
        <v>156</v>
      </c>
      <c r="J263" s="229">
        <f>C241*D241*H240</f>
        <v>48.284271247461902</v>
      </c>
      <c r="K263" s="2267">
        <f>'Прайс лист'!G1735</f>
        <v>250</v>
      </c>
      <c r="L263" s="229">
        <f t="shared" ref="L263:L268" si="4">J263*K263</f>
        <v>12071.067811865476</v>
      </c>
      <c r="M263" s="1194"/>
      <c r="N263" s="1194"/>
      <c r="O263" s="1194"/>
      <c r="P263" s="1194"/>
      <c r="Q263" s="1194"/>
      <c r="R263" s="1194"/>
      <c r="S263" s="1194"/>
      <c r="T263" s="1194"/>
      <c r="U263" s="1194"/>
    </row>
    <row r="264" spans="1:21" ht="15" customHeight="1" outlineLevel="1">
      <c r="A264" s="229" t="str">
        <f>'Ввод данных'!A216</f>
        <v>Доска сухая, 200*50мм</v>
      </c>
      <c r="B264" s="229" t="s">
        <v>135</v>
      </c>
      <c r="C264" s="229">
        <f>(((C248/0.6)+1)*C249*2*VLOOKUP(A264,связи1!A407:E416,5,0)*1.1*G240*+(C248*3+C249*4)*VLOOKUP(A264,связи1!A407:E416,5,0))*1.3*G240+'Ввод данных'!C212/0.6*'Ввод данных'!D212*VLOOKUP(A264,связи1!A407:E416,5,0)*G240</f>
        <v>2.9535780917534957</v>
      </c>
      <c r="D264" s="229">
        <f>VLOOKUP(A264,связи1!A407:E416,2,0)</f>
        <v>9000</v>
      </c>
      <c r="E264" s="229">
        <f t="shared" si="3"/>
        <v>26582.20282578146</v>
      </c>
      <c r="F264" s="1194"/>
      <c r="G264" s="3130" t="s">
        <v>1533</v>
      </c>
      <c r="H264" s="3130"/>
      <c r="I264" s="229" t="s">
        <v>133</v>
      </c>
      <c r="J264" s="229">
        <f>C247*(C244+C245+C246)*H240*IF(A264=связи1!A407,0,1)</f>
        <v>179.30702044232368</v>
      </c>
      <c r="K264" s="2267">
        <f>'Прайс лист'!G1736</f>
        <v>450</v>
      </c>
      <c r="L264" s="229">
        <f t="shared" si="4"/>
        <v>80688.159199045651</v>
      </c>
      <c r="M264" s="1194"/>
      <c r="N264" s="1194"/>
      <c r="O264" s="1194"/>
      <c r="P264" s="1194"/>
      <c r="Q264" s="1194"/>
      <c r="R264" s="1194"/>
      <c r="S264" s="1194"/>
      <c r="T264" s="1194"/>
      <c r="U264" s="1194"/>
    </row>
    <row r="265" spans="1:21" ht="15" customHeight="1" outlineLevel="1">
      <c r="A265" s="229" t="s">
        <v>2723</v>
      </c>
      <c r="B265" s="229" t="s">
        <v>135</v>
      </c>
      <c r="C265" s="229">
        <f>((C248/0.6)+1)*3*1.3*G240*VLOOKUP(A264,связи1!A407:E416,5,0)</f>
        <v>0.79300000000000026</v>
      </c>
      <c r="D265" s="229">
        <f>VLOOKUP(A264,связи1!A407:E416,2,0)</f>
        <v>9000</v>
      </c>
      <c r="E265" s="229">
        <f t="shared" si="3"/>
        <v>7137.0000000000027</v>
      </c>
      <c r="F265" s="1194"/>
      <c r="G265" s="3130" t="s">
        <v>1534</v>
      </c>
      <c r="H265" s="3130"/>
      <c r="I265" s="229" t="s">
        <v>133</v>
      </c>
      <c r="J265" s="229">
        <f>C247*(C244+C245+C246)*H240*IF(A267=связи1!A432,0,1)</f>
        <v>179.30702044232368</v>
      </c>
      <c r="K265" s="2267">
        <f>'Прайс лист'!G1737</f>
        <v>100</v>
      </c>
      <c r="L265" s="229">
        <f t="shared" si="4"/>
        <v>17930.702044232366</v>
      </c>
      <c r="M265" s="1194"/>
      <c r="N265" s="1194"/>
      <c r="O265" s="1194"/>
      <c r="P265" s="1194"/>
      <c r="Q265" s="1194"/>
      <c r="R265" s="1194"/>
      <c r="S265" s="1194"/>
      <c r="T265" s="1194"/>
      <c r="U265" s="1194"/>
    </row>
    <row r="266" spans="1:21" ht="15" customHeight="1" outlineLevel="1">
      <c r="A266" s="229" t="s">
        <v>4131</v>
      </c>
      <c r="B266" s="229" t="s">
        <v>135</v>
      </c>
      <c r="C266" s="229">
        <f>((C248/0.6)*H236*VLOOKUP(A264,связи1!A407:E416,5,0)*G240)</f>
        <v>0</v>
      </c>
      <c r="D266" s="229">
        <f>VLOOKUP(A264,связи1!A407:E416,2,0)</f>
        <v>9000</v>
      </c>
      <c r="E266" s="229">
        <f t="shared" si="3"/>
        <v>0</v>
      </c>
      <c r="F266" s="1194"/>
      <c r="G266" s="3130" t="s">
        <v>1535</v>
      </c>
      <c r="H266" s="3130"/>
      <c r="I266" s="229" t="s">
        <v>133</v>
      </c>
      <c r="J266" s="229">
        <f>C247*(C244+C245+C246)*H240*IF(A268=связи1!A418,0,1)</f>
        <v>179.30702044232368</v>
      </c>
      <c r="K266" s="2267">
        <f>'Прайс лист'!G1738</f>
        <v>100</v>
      </c>
      <c r="L266" s="229">
        <f t="shared" si="4"/>
        <v>17930.702044232366</v>
      </c>
      <c r="M266" s="1194"/>
      <c r="N266" s="1194"/>
      <c r="O266" s="1194"/>
      <c r="P266" s="1194"/>
      <c r="Q266" s="1194"/>
      <c r="R266" s="1194"/>
      <c r="S266" s="1194"/>
      <c r="T266" s="1194"/>
      <c r="U266" s="1194"/>
    </row>
    <row r="267" spans="1:21" ht="15" customHeight="1" outlineLevel="1">
      <c r="A267" s="229" t="str">
        <f>'Ввод данных'!A218</f>
        <v>Сосна влаж,100*25мм</v>
      </c>
      <c r="B267" s="229" t="s">
        <v>135</v>
      </c>
      <c r="C267" s="229">
        <f>(C249/0.25)*C248*2*G240*VLOOKUP(A267,связи1!A432:F440,5,0)</f>
        <v>1.7930702044232372</v>
      </c>
      <c r="D267" s="229">
        <f>VLOOKUP(A267,связи1!A432:F440,6,0)</f>
        <v>6500</v>
      </c>
      <c r="E267" s="229">
        <f t="shared" si="3"/>
        <v>11654.956328751041</v>
      </c>
      <c r="F267" s="1194"/>
      <c r="G267" s="19" t="str">
        <f>'Прайс лист'!B1742</f>
        <v>Монтаж металлочерепицы</v>
      </c>
      <c r="H267" s="17"/>
      <c r="I267" s="17" t="s">
        <v>133</v>
      </c>
      <c r="J267" s="17">
        <f>C247*C244</f>
        <v>0</v>
      </c>
      <c r="K267" s="19">
        <f>'Прайс лист'!G1742</f>
        <v>300</v>
      </c>
      <c r="L267" s="229">
        <f t="shared" si="4"/>
        <v>0</v>
      </c>
      <c r="M267" s="1194"/>
      <c r="N267" s="1194"/>
      <c r="O267" s="1194"/>
      <c r="P267" s="1194"/>
      <c r="Q267" s="1194"/>
      <c r="R267" s="1194"/>
      <c r="S267" s="1194"/>
      <c r="T267" s="1194"/>
      <c r="U267" s="1194"/>
    </row>
    <row r="268" spans="1:21" ht="15" customHeight="1" outlineLevel="1">
      <c r="A268" s="229" t="str">
        <f>'Ввод данных'!A220</f>
        <v>Доска сухая, калибр., 35*45мм</v>
      </c>
      <c r="B268" s="229" t="s">
        <v>159</v>
      </c>
      <c r="C268" s="229">
        <f>((C248/0.6)+1)*C249*2*G240*VLOOKUP(A268,связи1!A418:E421,5,0)</f>
        <v>0.38502060639519076</v>
      </c>
      <c r="D268" s="229">
        <f>VLOOKUP(A268,связи1!A418:D421,2,0)</f>
        <v>12500</v>
      </c>
      <c r="E268" s="229">
        <f t="shared" si="3"/>
        <v>4812.7575799398846</v>
      </c>
      <c r="F268" s="1194"/>
      <c r="G268" s="19" t="str">
        <f>'Прайс лист'!B1743</f>
        <v>Монтаж ондулина</v>
      </c>
      <c r="H268" s="17"/>
      <c r="I268" s="17" t="s">
        <v>133</v>
      </c>
      <c r="J268" s="17">
        <f>C247*C245</f>
        <v>0</v>
      </c>
      <c r="K268" s="19">
        <f>'Прайс лист'!G1743</f>
        <v>300</v>
      </c>
      <c r="L268" s="229">
        <f t="shared" si="4"/>
        <v>0</v>
      </c>
      <c r="M268" s="1194"/>
      <c r="N268" s="1194"/>
      <c r="O268" s="1194"/>
      <c r="P268" s="1194"/>
      <c r="Q268" s="1194"/>
      <c r="R268" s="1194"/>
      <c r="S268" s="1194"/>
      <c r="T268" s="1194"/>
      <c r="U268" s="1194"/>
    </row>
    <row r="269" spans="1:21" ht="15" customHeight="1" outlineLevel="1">
      <c r="A269" s="229" t="str">
        <f>'Ввод данных'!A214</f>
        <v>Сосна влаж, 150*150мм</v>
      </c>
      <c r="B269" s="229" t="s">
        <v>156</v>
      </c>
      <c r="C269" s="229">
        <f>'Ввод данных'!C170*VLOOKUP(A269,'Прайс лист'!B333:G419,5,0)*'Ввод данных'!D214</f>
        <v>0</v>
      </c>
      <c r="D269" s="229">
        <f>VLOOKUP(A269,'Прайс лист'!B333:G419,6,0)</f>
        <v>6500</v>
      </c>
      <c r="E269" s="229">
        <f t="shared" si="3"/>
        <v>0</v>
      </c>
      <c r="F269" s="1194"/>
      <c r="G269" s="2622"/>
      <c r="H269" s="141"/>
      <c r="I269" s="17"/>
      <c r="J269" s="17"/>
      <c r="K269" s="19"/>
      <c r="L269" s="229"/>
      <c r="M269" s="1194"/>
      <c r="N269" s="1194"/>
      <c r="O269" s="1194"/>
      <c r="P269" s="1194"/>
      <c r="Q269" s="1194"/>
      <c r="R269" s="1194"/>
      <c r="S269" s="1194"/>
      <c r="T269" s="1194"/>
      <c r="U269" s="1194"/>
    </row>
    <row r="270" spans="1:21" ht="15" customHeight="1" outlineLevel="1">
      <c r="A270" s="229" t="str">
        <f>'Прайс лист'!B530</f>
        <v>Гидрокомпенсатор</v>
      </c>
      <c r="B270" s="229"/>
      <c r="C270" s="229">
        <f>'Ввод данных'!D214</f>
        <v>0</v>
      </c>
      <c r="D270" s="229">
        <f>'Прайс лист'!G530</f>
        <v>450</v>
      </c>
      <c r="E270" s="229">
        <f t="shared" si="3"/>
        <v>0</v>
      </c>
      <c r="F270" s="1194"/>
      <c r="G270" s="2622"/>
      <c r="H270" s="141"/>
      <c r="I270" s="17"/>
      <c r="J270" s="17"/>
      <c r="K270" s="19"/>
      <c r="L270" s="229"/>
      <c r="M270" s="1194"/>
      <c r="N270" s="1194"/>
      <c r="O270" s="1194"/>
      <c r="P270" s="1194"/>
      <c r="Q270" s="1194"/>
      <c r="R270" s="1194"/>
      <c r="S270" s="1194"/>
      <c r="T270" s="1194"/>
      <c r="U270" s="1194"/>
    </row>
    <row r="271" spans="1:21" ht="15" customHeight="1" outlineLevel="1">
      <c r="A271" s="229" t="str">
        <f>'Ввод данных'!A229</f>
        <v>Пленка Д110 Стандарт</v>
      </c>
      <c r="B271" s="229" t="s">
        <v>133</v>
      </c>
      <c r="C271" s="229">
        <f>C247*1.2*G240</f>
        <v>215.1684245307884</v>
      </c>
      <c r="D271" s="229">
        <f>VLOOKUP(A271,'Прайс лист'!B793:G819,6,0)</f>
        <v>24</v>
      </c>
      <c r="E271" s="229">
        <f t="shared" si="3"/>
        <v>5164.0421887389221</v>
      </c>
      <c r="F271" s="1194"/>
      <c r="G271" s="2284" t="s">
        <v>1536</v>
      </c>
      <c r="H271" s="2285"/>
      <c r="I271" s="229" t="s">
        <v>133</v>
      </c>
      <c r="J271" s="229">
        <f>C247*(C244+C245+C246)*H240*IF(A271='Прайс лист'!B793,0,1)</f>
        <v>179.30702044232368</v>
      </c>
      <c r="K271" s="2267">
        <f>'Прайс лист'!G1739</f>
        <v>100</v>
      </c>
      <c r="L271" s="229">
        <f t="shared" ref="L271:L281" si="5">J271*K271</f>
        <v>17930.702044232366</v>
      </c>
      <c r="M271" s="1194"/>
      <c r="N271" s="1194"/>
      <c r="O271" s="1194"/>
      <c r="P271" s="1194"/>
      <c r="Q271" s="1194"/>
      <c r="R271" s="1194"/>
      <c r="S271" s="1194"/>
      <c r="T271" s="1194"/>
      <c r="U271" s="1194"/>
    </row>
    <row r="272" spans="1:21" ht="15" customHeight="1" outlineLevel="1">
      <c r="A272" s="229" t="str">
        <f>'Ввод данных'!A231</f>
        <v>Мембрана Tyvek AirGuard SD5</v>
      </c>
      <c r="B272" s="229" t="s">
        <v>133</v>
      </c>
      <c r="C272" s="229">
        <f>C247*1.1*G240</f>
        <v>197.23772248655607</v>
      </c>
      <c r="D272" s="229">
        <f>VLOOKUP(A272,'Прайс лист'!B820:G831,6,0)</f>
        <v>132</v>
      </c>
      <c r="E272" s="229">
        <f t="shared" si="3"/>
        <v>26035.3793682254</v>
      </c>
      <c r="F272" s="1194"/>
      <c r="G272" s="2284" t="s">
        <v>1537</v>
      </c>
      <c r="H272" s="2285"/>
      <c r="I272" s="229" t="s">
        <v>133</v>
      </c>
      <c r="J272" s="229">
        <f>J264*(C244+C245)*H240*IF(A272='Прайс лист'!B820,0,1)</f>
        <v>0</v>
      </c>
      <c r="K272" s="2267">
        <f>'Прайс лист'!G1740</f>
        <v>100</v>
      </c>
      <c r="L272" s="229">
        <f t="shared" si="5"/>
        <v>0</v>
      </c>
      <c r="M272" s="1194"/>
      <c r="N272" s="1194"/>
      <c r="O272" s="1194"/>
      <c r="P272" s="1194"/>
      <c r="Q272" s="1194"/>
      <c r="R272" s="1194"/>
      <c r="S272" s="1194"/>
      <c r="T272" s="1194"/>
      <c r="U272" s="1194"/>
    </row>
    <row r="273" spans="1:21" ht="15" customHeight="1" outlineLevel="1">
      <c r="A273" s="229" t="str">
        <f>'Ввод данных'!A224</f>
        <v>Плитный,28кг/м3, технониколь, 200мм</v>
      </c>
      <c r="B273" s="229" t="s">
        <v>135</v>
      </c>
      <c r="C273" s="229">
        <f>((C249-C250)*(C248-C252-C253)+(C249-C251)*(C248-C252-C253))*VLOOKUP(A273,'Прайс лист'!B744:G782,3,0)*G240</f>
        <v>28.915003524538566</v>
      </c>
      <c r="D273" s="229">
        <f>VLOOKUP(A273,'Прайс лист'!B744:G782,6,0)</f>
        <v>1700</v>
      </c>
      <c r="E273" s="229">
        <f t="shared" si="3"/>
        <v>49155.50599171556</v>
      </c>
      <c r="F273" s="1194"/>
      <c r="G273" s="2284" t="s">
        <v>1538</v>
      </c>
      <c r="H273" s="2285"/>
      <c r="I273" s="229" t="s">
        <v>133</v>
      </c>
      <c r="J273" s="229">
        <f>J264*H240*IF(A273='Прайс лист'!B744,0,1)</f>
        <v>179.30702044232368</v>
      </c>
      <c r="K273" s="2267">
        <f>'Прайс лист'!G1741</f>
        <v>200</v>
      </c>
      <c r="L273" s="229">
        <f t="shared" si="5"/>
        <v>35861.404088464733</v>
      </c>
      <c r="M273" s="1194"/>
      <c r="N273" s="1194"/>
      <c r="O273" s="1194"/>
      <c r="P273" s="1194"/>
      <c r="Q273" s="1194"/>
      <c r="R273" s="1194"/>
      <c r="S273" s="1194"/>
      <c r="T273" s="1194"/>
      <c r="U273" s="1194"/>
    </row>
    <row r="274" spans="1:21" ht="15" customHeight="1" outlineLevel="1">
      <c r="A274" s="229" t="str">
        <f>'Прайс лист'!B1131</f>
        <v>Металлочерепица</v>
      </c>
      <c r="B274" s="229" t="s">
        <v>133</v>
      </c>
      <c r="C274" s="229">
        <f>C247*G240*C244</f>
        <v>0</v>
      </c>
      <c r="D274" s="229">
        <f>'Прайс лист'!G1131</f>
        <v>250</v>
      </c>
      <c r="E274" s="229">
        <f t="shared" si="3"/>
        <v>0</v>
      </c>
      <c r="F274" s="1194"/>
      <c r="G274" s="2284" t="s">
        <v>1541</v>
      </c>
      <c r="H274" s="2285"/>
      <c r="I274" s="229" t="s">
        <v>133</v>
      </c>
      <c r="J274" s="275">
        <f>C275*H240</f>
        <v>0</v>
      </c>
      <c r="K274" s="2267">
        <f>'Прайс лист'!G1744</f>
        <v>100</v>
      </c>
      <c r="L274" s="229">
        <f t="shared" si="5"/>
        <v>0</v>
      </c>
      <c r="M274" s="1194"/>
      <c r="N274" s="1194"/>
      <c r="O274" s="1194"/>
      <c r="P274" s="1194"/>
      <c r="Q274" s="1194"/>
      <c r="R274" s="1194"/>
      <c r="S274" s="1194"/>
      <c r="T274" s="1194"/>
      <c r="U274" s="1194"/>
    </row>
    <row r="275" spans="1:21" ht="15" customHeight="1" outlineLevel="1">
      <c r="A275" s="229" t="str">
        <f>'Прайс лист'!B1144</f>
        <v>Карнизная планка</v>
      </c>
      <c r="B275" s="229" t="s">
        <v>156</v>
      </c>
      <c r="C275" s="229">
        <f>C248*2*G240*C244</f>
        <v>0</v>
      </c>
      <c r="D275" s="229">
        <f>'Прайс лист'!G1144</f>
        <v>190</v>
      </c>
      <c r="E275" s="229">
        <f t="shared" si="3"/>
        <v>0</v>
      </c>
      <c r="F275" s="1194"/>
      <c r="G275" s="2284" t="s">
        <v>1542</v>
      </c>
      <c r="H275" s="2285"/>
      <c r="I275" s="229" t="s">
        <v>133</v>
      </c>
      <c r="J275" s="275">
        <f>C276*H240</f>
        <v>0</v>
      </c>
      <c r="K275" s="2267">
        <f>'Прайс лист'!G1745</f>
        <v>100</v>
      </c>
      <c r="L275" s="229">
        <f t="shared" si="5"/>
        <v>0</v>
      </c>
      <c r="M275" s="1194"/>
      <c r="N275" s="1194"/>
      <c r="O275" s="1194"/>
      <c r="P275" s="1194"/>
      <c r="Q275" s="1194"/>
      <c r="R275" s="1194"/>
      <c r="S275" s="1194"/>
      <c r="T275" s="1194"/>
      <c r="U275" s="1194"/>
    </row>
    <row r="276" spans="1:21" ht="15" customHeight="1" outlineLevel="1">
      <c r="A276" s="229" t="str">
        <f>'Прайс лист'!B1145</f>
        <v>Торцевая планка</v>
      </c>
      <c r="B276" s="229" t="s">
        <v>156</v>
      </c>
      <c r="C276" s="229">
        <f>C249*4*G240*C244</f>
        <v>0</v>
      </c>
      <c r="D276" s="229">
        <f>'Прайс лист'!G1145</f>
        <v>190</v>
      </c>
      <c r="E276" s="229">
        <f t="shared" si="3"/>
        <v>0</v>
      </c>
      <c r="F276" s="1194"/>
      <c r="G276" s="19" t="str">
        <f>'Прайс лист'!B1750</f>
        <v>конек</v>
      </c>
      <c r="H276" s="17"/>
      <c r="I276" s="17" t="s">
        <v>156</v>
      </c>
      <c r="J276" s="17">
        <f>C248*(C244+C245+C246)</f>
        <v>11.600000000000001</v>
      </c>
      <c r="K276" s="19">
        <f>'Прайс лист'!G1750</f>
        <v>300</v>
      </c>
      <c r="L276" s="229">
        <f t="shared" si="5"/>
        <v>3480.0000000000005</v>
      </c>
      <c r="M276" s="1194"/>
      <c r="N276" s="1194"/>
      <c r="O276" s="1194"/>
      <c r="P276" s="1194"/>
      <c r="Q276" s="1194"/>
      <c r="R276" s="1194"/>
      <c r="S276" s="1194"/>
      <c r="T276" s="1194"/>
      <c r="U276" s="1194"/>
    </row>
    <row r="277" spans="1:21" ht="15" customHeight="1" outlineLevel="1">
      <c r="A277" s="229" t="str">
        <f>'Прайс лист'!B1146</f>
        <v>Конек</v>
      </c>
      <c r="B277" s="229" t="s">
        <v>156</v>
      </c>
      <c r="C277" s="229">
        <f>C248*G240*C244</f>
        <v>0</v>
      </c>
      <c r="D277" s="229">
        <f>'Прайс лист'!G1146</f>
        <v>200</v>
      </c>
      <c r="E277" s="229">
        <f t="shared" si="3"/>
        <v>0</v>
      </c>
      <c r="F277" s="1194"/>
      <c r="G277" s="2258" t="s">
        <v>1544</v>
      </c>
      <c r="H277" s="2259"/>
      <c r="I277" s="229" t="s">
        <v>156</v>
      </c>
      <c r="J277" s="275">
        <f>C297*H240</f>
        <v>23.200000000000003</v>
      </c>
      <c r="K277" s="2267">
        <f>'Прайс лист'!G1747</f>
        <v>300</v>
      </c>
      <c r="L277" s="229">
        <f t="shared" si="5"/>
        <v>6960.0000000000009</v>
      </c>
      <c r="M277" s="1195"/>
      <c r="N277" s="1195"/>
      <c r="O277" s="1195"/>
      <c r="P277" s="1195"/>
      <c r="Q277" s="1195"/>
      <c r="R277" s="1195"/>
      <c r="S277" s="1195"/>
      <c r="T277" s="1195"/>
      <c r="U277" s="1195"/>
    </row>
    <row r="278" spans="1:21" ht="15" customHeight="1" outlineLevel="1">
      <c r="A278" s="229" t="s">
        <v>2725</v>
      </c>
      <c r="B278" s="229" t="s">
        <v>133</v>
      </c>
      <c r="C278" s="229">
        <f>C247*1.1*G240*C245</f>
        <v>0</v>
      </c>
      <c r="D278" s="229">
        <f>'Прайс лист'!G1143</f>
        <v>180</v>
      </c>
      <c r="E278" s="229">
        <f t="shared" si="3"/>
        <v>0</v>
      </c>
      <c r="F278" s="1194"/>
      <c r="G278" s="2258" t="s">
        <v>1082</v>
      </c>
      <c r="H278" s="2259"/>
      <c r="I278" s="229" t="s">
        <v>156</v>
      </c>
      <c r="J278" s="275">
        <f>C299*H240</f>
        <v>8</v>
      </c>
      <c r="K278" s="2267">
        <f>'Прайс лист'!G1748</f>
        <v>300</v>
      </c>
      <c r="L278" s="229">
        <f t="shared" si="5"/>
        <v>2400</v>
      </c>
      <c r="M278" s="1195"/>
      <c r="N278" s="1195"/>
      <c r="O278" s="1195"/>
      <c r="P278" s="1195"/>
      <c r="Q278" s="1195"/>
      <c r="R278" s="1195"/>
      <c r="S278" s="1195"/>
      <c r="T278" s="1195"/>
      <c r="U278" s="1195"/>
    </row>
    <row r="279" spans="1:21" ht="15" customHeight="1" outlineLevel="1">
      <c r="A279" s="19" t="str">
        <f>'Прайс лист'!B1144</f>
        <v>Карнизная планка</v>
      </c>
      <c r="B279" s="17" t="s">
        <v>156</v>
      </c>
      <c r="C279" s="17">
        <f>C248*2*G240*C245</f>
        <v>0</v>
      </c>
      <c r="D279" s="229">
        <f>'Прайс лист'!G1144</f>
        <v>190</v>
      </c>
      <c r="E279" s="229">
        <f t="shared" si="3"/>
        <v>0</v>
      </c>
      <c r="F279" s="1194"/>
      <c r="G279" s="132" t="str">
        <f>'Прайс лист'!B1751</f>
        <v>Монтаж фанеры/osb</v>
      </c>
      <c r="H279" s="132"/>
      <c r="I279" s="2226" t="s">
        <v>133</v>
      </c>
      <c r="J279" s="275">
        <f>C286/1.1*IF(A286='Прайс лист'!B1027,0,1)</f>
        <v>179.30702044232368</v>
      </c>
      <c r="K279" s="2267">
        <f>'Прайс лист'!G1751</f>
        <v>200</v>
      </c>
      <c r="L279" s="229">
        <f t="shared" si="5"/>
        <v>35861.404088464733</v>
      </c>
      <c r="M279" s="1195"/>
      <c r="N279" s="1195"/>
      <c r="O279" s="1195"/>
      <c r="P279" s="1195"/>
      <c r="Q279" s="1195"/>
      <c r="R279" s="1195"/>
      <c r="S279" s="1195"/>
      <c r="T279" s="1195"/>
      <c r="U279" s="1195"/>
    </row>
    <row r="280" spans="1:21" ht="15" customHeight="1" outlineLevel="1">
      <c r="A280" s="19" t="str">
        <f>'Прайс лист'!B1145</f>
        <v>Торцевая планка</v>
      </c>
      <c r="B280" s="229" t="s">
        <v>156</v>
      </c>
      <c r="C280" s="229">
        <f>C249*4*G240*C245</f>
        <v>0</v>
      </c>
      <c r="D280" s="229">
        <f>'Прайс лист'!G1145</f>
        <v>190</v>
      </c>
      <c r="E280" s="229">
        <f t="shared" si="3"/>
        <v>0</v>
      </c>
      <c r="F280" s="1194"/>
      <c r="G280" s="132" t="str">
        <f>'Прайс лист'!B1752</f>
        <v>монтаж подкладочного ковра</v>
      </c>
      <c r="H280" s="17"/>
      <c r="I280" s="17" t="s">
        <v>133</v>
      </c>
      <c r="J280" s="19">
        <f>C289/1.1</f>
        <v>163.00638222029423</v>
      </c>
      <c r="K280" s="2267">
        <f>'Прайс лист'!G1752</f>
        <v>150</v>
      </c>
      <c r="L280" s="229">
        <f t="shared" si="5"/>
        <v>24450.957333044134</v>
      </c>
      <c r="M280" s="1195"/>
      <c r="N280" s="1195"/>
      <c r="O280" s="1195"/>
      <c r="P280" s="1195"/>
      <c r="Q280" s="1195"/>
      <c r="R280" s="1195"/>
      <c r="S280" s="1195"/>
      <c r="T280" s="1195"/>
      <c r="U280" s="1195"/>
    </row>
    <row r="281" spans="1:21" ht="15" customHeight="1" outlineLevel="1">
      <c r="A281" s="19" t="str">
        <f>'Прайс лист'!B1146</f>
        <v>Конек</v>
      </c>
      <c r="B281" s="229" t="s">
        <v>1415</v>
      </c>
      <c r="C281" s="229">
        <f>C248*G240*C245</f>
        <v>0</v>
      </c>
      <c r="D281" s="229">
        <f>'Прайс лист'!G1146</f>
        <v>200</v>
      </c>
      <c r="E281" s="229">
        <f t="shared" si="3"/>
        <v>0</v>
      </c>
      <c r="F281" s="1194"/>
      <c r="G281" s="132" t="str">
        <f>'Прайс лист'!B1753</f>
        <v>Монтаж мягкой кровли</v>
      </c>
      <c r="H281" s="17"/>
      <c r="I281" s="17" t="s">
        <v>133</v>
      </c>
      <c r="J281" s="19">
        <f>C287/1.1</f>
        <v>158.78820040211244</v>
      </c>
      <c r="K281" s="2267">
        <f>'Прайс лист'!G1753</f>
        <v>350</v>
      </c>
      <c r="L281" s="229">
        <f t="shared" si="5"/>
        <v>55575.870140739353</v>
      </c>
      <c r="M281" s="1195"/>
      <c r="N281" s="1195"/>
      <c r="O281" s="1195"/>
      <c r="P281" s="1195"/>
      <c r="Q281" s="1195"/>
      <c r="R281" s="1195"/>
      <c r="S281" s="1195"/>
      <c r="T281" s="1195"/>
      <c r="U281" s="1195"/>
    </row>
    <row r="282" spans="1:21" ht="15" customHeight="1" outlineLevel="1">
      <c r="A282" s="19" t="str">
        <f>'Прайс лист'!B1147</f>
        <v>Ендова нижняя</v>
      </c>
      <c r="B282" s="229" t="s">
        <v>156</v>
      </c>
      <c r="C282" s="229"/>
      <c r="D282" s="229">
        <f>'Прайс лист'!G1147</f>
        <v>160</v>
      </c>
      <c r="E282" s="229">
        <f t="shared" si="3"/>
        <v>0</v>
      </c>
      <c r="F282" s="1194"/>
      <c r="M282" s="1195"/>
      <c r="N282" s="1195"/>
      <c r="O282" s="1195"/>
      <c r="P282" s="1195"/>
      <c r="Q282" s="1195"/>
      <c r="R282" s="1195"/>
      <c r="S282" s="1195"/>
      <c r="T282" s="1195"/>
      <c r="U282" s="1195"/>
    </row>
    <row r="283" spans="1:21" ht="15" customHeight="1" outlineLevel="1">
      <c r="A283" s="19" t="str">
        <f>'Прайс лист'!B1148</f>
        <v>Ендова верхняя</v>
      </c>
      <c r="B283" s="229" t="s">
        <v>156</v>
      </c>
      <c r="C283" s="229"/>
      <c r="D283" s="229">
        <f>'Прайс лист'!G1148</f>
        <v>190</v>
      </c>
      <c r="E283" s="229">
        <f t="shared" si="3"/>
        <v>0</v>
      </c>
      <c r="F283" s="1194"/>
      <c r="M283" s="1195"/>
      <c r="N283" s="1195"/>
      <c r="O283" s="1195"/>
      <c r="P283" s="1195"/>
      <c r="Q283" s="1195"/>
      <c r="R283" s="1195"/>
      <c r="S283" s="1195"/>
      <c r="T283" s="1195"/>
      <c r="U283" s="1195"/>
    </row>
    <row r="284" spans="1:21" ht="15" customHeight="1" outlineLevel="1">
      <c r="A284" s="19" t="str">
        <f>'Прайс лист'!B1149</f>
        <v>Планка примыкания</v>
      </c>
      <c r="B284" s="229" t="s">
        <v>156</v>
      </c>
      <c r="C284" s="229"/>
      <c r="D284" s="229">
        <f>'Прайс лист'!G1149</f>
        <v>190</v>
      </c>
      <c r="E284" s="229">
        <f t="shared" si="3"/>
        <v>0</v>
      </c>
      <c r="F284" s="1194"/>
      <c r="M284" s="1195"/>
      <c r="N284" s="1195"/>
      <c r="O284" s="1195"/>
      <c r="P284" s="1195"/>
      <c r="Q284" s="1195"/>
      <c r="R284" s="1195"/>
      <c r="S284" s="1195"/>
      <c r="T284" s="1195"/>
      <c r="U284" s="1195"/>
    </row>
    <row r="285" spans="1:21" ht="15" customHeight="1" outlineLevel="1">
      <c r="A285" s="19" t="str">
        <f>'Прайс лист'!B1150</f>
        <v>Крепеж для ондулина</v>
      </c>
      <c r="B285" s="229" t="s">
        <v>159</v>
      </c>
      <c r="C285" s="229">
        <f>C247*12*C245*G240</f>
        <v>0</v>
      </c>
      <c r="D285" s="229">
        <f>'Прайс лист'!G1150</f>
        <v>4.5</v>
      </c>
      <c r="E285" s="229">
        <f t="shared" si="3"/>
        <v>0</v>
      </c>
      <c r="F285" s="1194"/>
      <c r="M285" s="1195"/>
      <c r="N285" s="1195"/>
      <c r="O285" s="1195"/>
      <c r="P285" s="1195"/>
      <c r="Q285" s="1195"/>
      <c r="R285" s="1195"/>
      <c r="S285" s="1195"/>
      <c r="T285" s="1195"/>
      <c r="U285" s="1195"/>
    </row>
    <row r="286" spans="1:21" ht="15" customHeight="1" outlineLevel="1">
      <c r="A286" s="19" t="str">
        <f>'Ввод данных'!A222</f>
        <v>Kronospan - OSB-3, 9мм</v>
      </c>
      <c r="B286" s="229" t="s">
        <v>133</v>
      </c>
      <c r="C286" s="229">
        <f>C248*C249*2*1.1*G240</f>
        <v>197.23772248655607</v>
      </c>
      <c r="D286" s="229">
        <f>VLOOKUP(A286,'Прайс лист'!B1027:G1078,6,0)</f>
        <v>220</v>
      </c>
      <c r="E286" s="229">
        <f t="shared" si="3"/>
        <v>43392.298947042334</v>
      </c>
      <c r="F286" s="1194"/>
      <c r="M286" s="1195"/>
      <c r="N286" s="1195"/>
      <c r="O286" s="1195"/>
      <c r="P286" s="1195"/>
      <c r="Q286" s="1195"/>
      <c r="R286" s="1195"/>
      <c r="S286" s="1195"/>
      <c r="T286" s="1195"/>
      <c r="U286" s="1195"/>
    </row>
    <row r="287" spans="1:21" ht="15" customHeight="1" outlineLevel="1">
      <c r="A287" s="19" t="str">
        <f>'Прайс лист'!B1155</f>
        <v>Рядовая черепица</v>
      </c>
      <c r="B287" s="19" t="str">
        <f>'Прайс лист'!C1155</f>
        <v>м2</v>
      </c>
      <c r="C287" s="229">
        <f>(C247-C248*2*0.2)*G240*C246</f>
        <v>174.66702044232369</v>
      </c>
      <c r="D287" s="229">
        <f>'Прайс лист'!G1155</f>
        <v>360</v>
      </c>
      <c r="E287" s="229">
        <f t="shared" si="3"/>
        <v>62880.127359236525</v>
      </c>
      <c r="F287" s="1194"/>
      <c r="M287" s="1195"/>
      <c r="N287" s="1195"/>
      <c r="O287" s="1195"/>
      <c r="P287" s="1195"/>
      <c r="Q287" s="1195"/>
      <c r="R287" s="1195"/>
      <c r="S287" s="1195"/>
      <c r="T287" s="1195"/>
      <c r="U287" s="1195"/>
    </row>
    <row r="288" spans="1:21" ht="15" customHeight="1" outlineLevel="1">
      <c r="A288" s="19" t="str">
        <f>'Прайс лист'!B1156</f>
        <v>Металл оцинк защита (карниз)</v>
      </c>
      <c r="B288" s="19" t="str">
        <f>'Прайс лист'!C1156</f>
        <v>м.п.</v>
      </c>
      <c r="C288" s="229">
        <f>(C248+C248+C249*4)*C246*G240</f>
        <v>54.115003524538565</v>
      </c>
      <c r="D288" s="229">
        <f>'Прайс лист'!G1156</f>
        <v>200</v>
      </c>
      <c r="E288" s="229">
        <f t="shared" si="3"/>
        <v>10823.000704907714</v>
      </c>
      <c r="F288" s="1194"/>
      <c r="M288" s="1195"/>
      <c r="N288" s="1195"/>
      <c r="O288" s="1195"/>
      <c r="P288" s="1195"/>
      <c r="Q288" s="1195"/>
      <c r="R288" s="1195"/>
      <c r="S288" s="1195"/>
      <c r="T288" s="1195"/>
      <c r="U288" s="1195"/>
    </row>
    <row r="289" spans="1:21" ht="15" customHeight="1" outlineLevel="1">
      <c r="A289" s="19" t="str">
        <f>'Прайс лист'!B1157</f>
        <v>Подкладочный ковер</v>
      </c>
      <c r="B289" s="19" t="str">
        <f>'Прайс лист'!C1157</f>
        <v>м.п.</v>
      </c>
      <c r="C289" s="229">
        <f>C247*G240*C246</f>
        <v>179.30702044232368</v>
      </c>
      <c r="D289" s="229">
        <f>'Прайс лист'!G1157</f>
        <v>220</v>
      </c>
      <c r="E289" s="229">
        <f t="shared" si="3"/>
        <v>39447.54449731121</v>
      </c>
      <c r="F289" s="1194"/>
      <c r="M289" s="1195"/>
      <c r="N289" s="1195"/>
      <c r="O289" s="1195"/>
      <c r="P289" s="1195"/>
      <c r="Q289" s="1195"/>
      <c r="R289" s="1195"/>
      <c r="S289" s="1195"/>
      <c r="T289" s="1195"/>
      <c r="U289" s="1195"/>
    </row>
    <row r="290" spans="1:21" ht="15" customHeight="1" outlineLevel="1">
      <c r="A290" s="19" t="str">
        <f>'Прайс лист'!B1158</f>
        <v>Карнизная самоклеющаяся черепица</v>
      </c>
      <c r="B290" s="19" t="str">
        <f>'Прайс лист'!C1158</f>
        <v>м.п.</v>
      </c>
      <c r="C290" s="229">
        <f>C248*2*C246*G240</f>
        <v>23.200000000000003</v>
      </c>
      <c r="D290" s="229">
        <f>'Прайс лист'!G1158</f>
        <v>220</v>
      </c>
      <c r="E290" s="229">
        <f t="shared" si="3"/>
        <v>5104.0000000000009</v>
      </c>
      <c r="F290" s="1194"/>
      <c r="M290" s="1195"/>
      <c r="N290" s="1195"/>
      <c r="O290" s="1195"/>
      <c r="P290" s="1195"/>
      <c r="Q290" s="1195"/>
      <c r="R290" s="1195"/>
      <c r="S290" s="1195"/>
      <c r="T290" s="1195"/>
      <c r="U290" s="1195"/>
    </row>
    <row r="291" spans="1:21" ht="15" customHeight="1" outlineLevel="1">
      <c r="A291" s="19" t="str">
        <f>'Прайс лист'!B1159</f>
        <v>Спец ковер ендова нижняя</v>
      </c>
      <c r="B291" s="19" t="str">
        <f>'Прайс лист'!C1159</f>
        <v>м.п.</v>
      </c>
      <c r="C291" s="229"/>
      <c r="D291" s="229">
        <f>'Прайс лист'!G1159</f>
        <v>200</v>
      </c>
      <c r="E291" s="229">
        <f t="shared" si="3"/>
        <v>0</v>
      </c>
      <c r="F291" s="1194"/>
      <c r="M291" s="1195"/>
      <c r="N291" s="1195"/>
      <c r="O291" s="1195"/>
      <c r="P291" s="1195"/>
      <c r="Q291" s="1195"/>
      <c r="R291" s="1195"/>
      <c r="S291" s="1195"/>
      <c r="T291" s="1195"/>
      <c r="U291" s="1195"/>
    </row>
    <row r="292" spans="1:21" ht="15" customHeight="1" outlineLevel="1">
      <c r="A292" s="19" t="str">
        <f>'Прайс лист'!B1160</f>
        <v>Коньковой элемент</v>
      </c>
      <c r="B292" s="19" t="str">
        <f>'Прайс лист'!C1160</f>
        <v>м.п.</v>
      </c>
      <c r="C292" s="229">
        <f>C248*1.05*C246*G240</f>
        <v>12.180000000000001</v>
      </c>
      <c r="D292" s="229">
        <f>'Прайс лист'!G1160</f>
        <v>250</v>
      </c>
      <c r="E292" s="229">
        <f t="shared" si="3"/>
        <v>3045.0000000000005</v>
      </c>
      <c r="F292" s="1194"/>
      <c r="M292" s="1195"/>
      <c r="N292" s="1195"/>
      <c r="O292" s="1195"/>
      <c r="P292" s="1195"/>
      <c r="Q292" s="1195"/>
      <c r="R292" s="1195"/>
      <c r="S292" s="1195"/>
      <c r="T292" s="1195"/>
      <c r="U292" s="1195"/>
    </row>
    <row r="293" spans="1:21" ht="15" customHeight="1" outlineLevel="1">
      <c r="A293" s="19" t="str">
        <f>'Прайс лист'!B1161</f>
        <v>Планка премыкания</v>
      </c>
      <c r="B293" s="19" t="str">
        <f>'Прайс лист'!C1161</f>
        <v>м.п.</v>
      </c>
      <c r="C293" s="229"/>
      <c r="D293" s="229">
        <f>'Прайс лист'!G1161</f>
        <v>200</v>
      </c>
      <c r="E293" s="229">
        <f t="shared" si="3"/>
        <v>0</v>
      </c>
      <c r="F293" s="1194"/>
      <c r="M293" s="1195"/>
      <c r="N293" s="1195"/>
      <c r="O293" s="1195"/>
      <c r="P293" s="1195"/>
      <c r="Q293" s="1195"/>
      <c r="R293" s="1195"/>
      <c r="S293" s="1195"/>
      <c r="T293" s="1195"/>
      <c r="U293" s="1195"/>
    </row>
    <row r="294" spans="1:21" ht="15" customHeight="1" outlineLevel="1">
      <c r="A294" s="19" t="str">
        <f>'Прайс лист'!B1162</f>
        <v>Гвозди для крепления подкладочного ковра</v>
      </c>
      <c r="B294" s="19" t="str">
        <f>'Прайс лист'!C1162</f>
        <v>шт</v>
      </c>
      <c r="C294" s="229">
        <f>C289*10*G240</f>
        <v>1793.0702044232366</v>
      </c>
      <c r="D294" s="229">
        <f>'Прайс лист'!G1162</f>
        <v>1.2E-2</v>
      </c>
      <c r="E294" s="229">
        <f t="shared" ref="E294:E325" si="6">C294*D294</f>
        <v>21.516842453078841</v>
      </c>
      <c r="F294" s="1194"/>
      <c r="M294" s="1195"/>
      <c r="N294" s="1195"/>
      <c r="O294" s="1195"/>
      <c r="P294" s="1195"/>
      <c r="Q294" s="1195"/>
      <c r="R294" s="1195"/>
      <c r="S294" s="1195"/>
      <c r="T294" s="1195"/>
      <c r="U294" s="1195"/>
    </row>
    <row r="295" spans="1:21" ht="15" customHeight="1" outlineLevel="1">
      <c r="A295" s="19" t="str">
        <f>'Прайс лист'!B1163</f>
        <v>Гвозди для крепления черепицы</v>
      </c>
      <c r="B295" s="19" t="str">
        <f>'Прайс лист'!C1163</f>
        <v>шт</v>
      </c>
      <c r="C295" s="229">
        <f>C287*50*G240</f>
        <v>8733.351022116185</v>
      </c>
      <c r="D295" s="229">
        <f>'Прайс лист'!G1163</f>
        <v>0.25</v>
      </c>
      <c r="E295" s="229">
        <f t="shared" si="6"/>
        <v>2183.3377555290463</v>
      </c>
      <c r="F295" s="1194"/>
      <c r="M295" s="1195"/>
      <c r="N295" s="1195"/>
      <c r="O295" s="1195"/>
      <c r="P295" s="1195"/>
      <c r="Q295" s="1195"/>
      <c r="R295" s="1195"/>
      <c r="S295" s="1195"/>
      <c r="T295" s="1195"/>
      <c r="U295" s="1195"/>
    </row>
    <row r="296" spans="1:21" ht="15" customHeight="1" outlineLevel="1">
      <c r="A296" s="19" t="str">
        <f>'Прайс лист'!B1164</f>
        <v>Клей для монтажа черепицы</v>
      </c>
      <c r="B296" s="19" t="str">
        <f>'Прайс лист'!C1164</f>
        <v>кг</v>
      </c>
      <c r="C296" s="229">
        <f>C289*G240</f>
        <v>179.30702044232368</v>
      </c>
      <c r="D296" s="229">
        <f>'Прайс лист'!G1164</f>
        <v>250</v>
      </c>
      <c r="E296" s="229">
        <f t="shared" si="6"/>
        <v>44826.755110580918</v>
      </c>
      <c r="F296" s="1194"/>
      <c r="M296" s="1195"/>
      <c r="N296" s="1195"/>
      <c r="O296" s="1195"/>
      <c r="P296" s="1195"/>
      <c r="Q296" s="1195"/>
      <c r="R296" s="1195"/>
      <c r="S296" s="1195"/>
      <c r="T296" s="1195"/>
      <c r="U296" s="1195"/>
    </row>
    <row r="297" spans="1:21" ht="15" customHeight="1" outlineLevel="1">
      <c r="A297" s="229" t="str">
        <f>'Прайс лист'!B1169</f>
        <v>желоб</v>
      </c>
      <c r="B297" s="229" t="s">
        <v>1415</v>
      </c>
      <c r="C297" s="229">
        <f>C248*2*G240</f>
        <v>23.200000000000003</v>
      </c>
      <c r="D297" s="229">
        <f>'Прайс лист'!G1169</f>
        <v>300</v>
      </c>
      <c r="E297" s="229">
        <f t="shared" si="6"/>
        <v>6960.0000000000009</v>
      </c>
      <c r="F297" s="1194"/>
      <c r="G297" s="3199"/>
      <c r="H297" s="3199"/>
      <c r="I297" s="229"/>
      <c r="J297" s="275"/>
      <c r="K297" s="2267"/>
      <c r="L297" s="229"/>
      <c r="M297" s="1195"/>
      <c r="N297" s="1195"/>
      <c r="O297" s="1195"/>
      <c r="P297" s="1195"/>
      <c r="Q297" s="1195"/>
      <c r="R297" s="1195"/>
      <c r="S297" s="1195"/>
      <c r="T297" s="1195"/>
      <c r="U297" s="1195"/>
    </row>
    <row r="298" spans="1:21" ht="15" customHeight="1" outlineLevel="1">
      <c r="A298" s="229" t="str">
        <f>'Прайс лист'!B1170</f>
        <v>отвод</v>
      </c>
      <c r="B298" s="229" t="s">
        <v>159</v>
      </c>
      <c r="C298" s="229">
        <v>4</v>
      </c>
      <c r="D298" s="229">
        <f>'Прайс лист'!G1170</f>
        <v>250</v>
      </c>
      <c r="E298" s="229">
        <f t="shared" si="6"/>
        <v>1000</v>
      </c>
      <c r="F298" s="1194"/>
      <c r="G298" s="3199"/>
      <c r="H298" s="3199"/>
      <c r="I298" s="229"/>
      <c r="J298" s="275"/>
      <c r="K298" s="2267"/>
      <c r="L298" s="229"/>
      <c r="M298" s="1195"/>
      <c r="N298" s="1195"/>
      <c r="O298" s="1195"/>
      <c r="P298" s="1195"/>
      <c r="Q298" s="1195"/>
      <c r="R298" s="1195"/>
      <c r="S298" s="1195"/>
      <c r="T298" s="1195"/>
      <c r="U298" s="1195"/>
    </row>
    <row r="299" spans="1:21" ht="15" customHeight="1" outlineLevel="1">
      <c r="A299" s="229" t="str">
        <f>'Прайс лист'!B1171</f>
        <v>труба водосточная</v>
      </c>
      <c r="B299" s="229" t="s">
        <v>156</v>
      </c>
      <c r="C299" s="229">
        <f>(E236+F236+1)*2*G240</f>
        <v>8</v>
      </c>
      <c r="D299" s="229">
        <f>'Прайс лист'!G1171</f>
        <v>300</v>
      </c>
      <c r="E299" s="229">
        <f t="shared" si="6"/>
        <v>2400</v>
      </c>
      <c r="F299" s="1194"/>
      <c r="G299" s="3199"/>
      <c r="H299" s="3199"/>
      <c r="I299" s="229"/>
      <c r="J299" s="275"/>
      <c r="K299" s="2267"/>
      <c r="L299" s="229"/>
      <c r="M299" s="1195"/>
      <c r="N299" s="1195"/>
      <c r="O299" s="1195"/>
      <c r="P299" s="1195"/>
      <c r="Q299" s="1195"/>
      <c r="R299" s="1195"/>
      <c r="S299" s="1195"/>
      <c r="T299" s="1195"/>
      <c r="U299" s="1195"/>
    </row>
    <row r="300" spans="1:21" ht="15" customHeight="1" outlineLevel="1">
      <c r="A300" s="229" t="str">
        <f>'Прайс лист'!B1172</f>
        <v>заглушка для желоба</v>
      </c>
      <c r="B300" s="229" t="s">
        <v>159</v>
      </c>
      <c r="C300" s="229">
        <v>4</v>
      </c>
      <c r="D300" s="229">
        <f>'Прайс лист'!G1172</f>
        <v>190</v>
      </c>
      <c r="E300" s="229">
        <f t="shared" si="6"/>
        <v>760</v>
      </c>
      <c r="F300" s="1194"/>
      <c r="G300" s="3199"/>
      <c r="H300" s="3199"/>
      <c r="I300" s="275"/>
      <c r="J300" s="275"/>
      <c r="K300" s="2267"/>
      <c r="L300" s="229"/>
      <c r="M300" s="1195"/>
      <c r="N300" s="1195"/>
      <c r="O300" s="1195"/>
      <c r="P300" s="1195"/>
      <c r="Q300" s="1195"/>
      <c r="R300" s="1195"/>
      <c r="S300" s="1195"/>
      <c r="T300" s="1195"/>
      <c r="U300" s="1195"/>
    </row>
    <row r="301" spans="1:21" ht="15" customHeight="1" outlineLevel="1">
      <c r="A301" s="229" t="str">
        <f>'Прайс лист'!B1173</f>
        <v>соеденитель для желоба</v>
      </c>
      <c r="B301" s="229" t="s">
        <v>159</v>
      </c>
      <c r="C301" s="229">
        <f>(C248/2)*2*G240</f>
        <v>11.600000000000001</v>
      </c>
      <c r="D301" s="229">
        <f>'Прайс лист'!G1173</f>
        <v>180</v>
      </c>
      <c r="E301" s="229">
        <f t="shared" si="6"/>
        <v>2088.0000000000005</v>
      </c>
      <c r="F301" s="1194"/>
      <c r="G301" s="3199"/>
      <c r="H301" s="3199"/>
      <c r="I301" s="2226"/>
      <c r="J301" s="2226"/>
      <c r="K301" s="2267"/>
      <c r="L301" s="229"/>
      <c r="M301" s="1195"/>
      <c r="N301" s="1195"/>
      <c r="O301" s="1195"/>
      <c r="P301" s="1195"/>
      <c r="Q301" s="1195"/>
      <c r="R301" s="1195"/>
      <c r="S301" s="1195"/>
      <c r="T301" s="1195"/>
      <c r="U301" s="1195"/>
    </row>
    <row r="302" spans="1:21" ht="15" customHeight="1" outlineLevel="1">
      <c r="A302" s="229" t="str">
        <f>'Прайс лист'!B1174</f>
        <v>кронштейн для желоба</v>
      </c>
      <c r="B302" s="229" t="s">
        <v>159</v>
      </c>
      <c r="C302" s="229">
        <f>(C248/0.6)*2*1.2*G240</f>
        <v>46.400000000000006</v>
      </c>
      <c r="D302" s="229">
        <f>'Прайс лист'!G1174</f>
        <v>130</v>
      </c>
      <c r="E302" s="229">
        <f t="shared" si="6"/>
        <v>6032.0000000000009</v>
      </c>
      <c r="F302" s="1194"/>
      <c r="G302" s="3199"/>
      <c r="H302" s="3199"/>
      <c r="I302" s="2226"/>
      <c r="J302" s="2226"/>
      <c r="K302" s="2267"/>
      <c r="L302" s="229"/>
      <c r="M302" s="1195"/>
      <c r="N302" s="1195"/>
      <c r="O302" s="1195"/>
      <c r="P302" s="1195"/>
      <c r="Q302" s="1195"/>
      <c r="R302" s="1195"/>
      <c r="S302" s="1195"/>
      <c r="T302" s="1195"/>
      <c r="U302" s="1195"/>
    </row>
    <row r="303" spans="1:21" ht="15" customHeight="1" outlineLevel="1">
      <c r="A303" s="229" t="str">
        <f>'Прайс лист'!B1175</f>
        <v>переход из желоба в трубу</v>
      </c>
      <c r="B303" s="229" t="s">
        <v>159</v>
      </c>
      <c r="C303" s="229">
        <v>2</v>
      </c>
      <c r="D303" s="229">
        <f>'Прайс лист'!G1175</f>
        <v>350</v>
      </c>
      <c r="E303" s="229">
        <f t="shared" si="6"/>
        <v>700</v>
      </c>
      <c r="F303" s="1194"/>
      <c r="G303" s="3199"/>
      <c r="H303" s="3199"/>
      <c r="I303" s="2226"/>
      <c r="J303" s="2226"/>
      <c r="K303" s="2267"/>
      <c r="L303" s="229"/>
      <c r="M303" s="1195"/>
      <c r="N303" s="1195"/>
      <c r="O303" s="1195"/>
      <c r="P303" s="1195"/>
      <c r="Q303" s="1195"/>
      <c r="R303" s="1195"/>
      <c r="S303" s="1195"/>
      <c r="T303" s="1195"/>
      <c r="U303" s="1195"/>
    </row>
    <row r="304" spans="1:21" ht="15" customHeight="1" outlineLevel="1">
      <c r="A304" s="229" t="str">
        <f>'Прайс лист'!B1176</f>
        <v>лента дельта мульти бэнд</v>
      </c>
      <c r="B304" s="229" t="s">
        <v>159</v>
      </c>
      <c r="C304" s="229">
        <f>CEILING(C247/12,1)</f>
        <v>15</v>
      </c>
      <c r="D304" s="229">
        <f>'Прайс лист'!G1176</f>
        <v>1200</v>
      </c>
      <c r="E304" s="229">
        <f t="shared" si="6"/>
        <v>18000</v>
      </c>
      <c r="F304" s="1194"/>
      <c r="G304" s="3199"/>
      <c r="H304" s="3199"/>
      <c r="I304" s="2226"/>
      <c r="J304" s="2226"/>
      <c r="K304" s="2267"/>
      <c r="L304" s="229"/>
      <c r="M304" s="1195"/>
      <c r="N304" s="1195"/>
      <c r="O304" s="1195"/>
      <c r="P304" s="1195"/>
      <c r="Q304" s="1195"/>
      <c r="R304" s="1195"/>
      <c r="S304" s="1195"/>
      <c r="T304" s="1195"/>
      <c r="U304" s="1195"/>
    </row>
    <row r="305" spans="1:21" ht="15" customHeight="1" outlineLevel="1">
      <c r="A305" s="229" t="str">
        <f>'Прайс лист'!B1177</f>
        <v>лента дельта sb-60</v>
      </c>
      <c r="B305" s="229" t="s">
        <v>159</v>
      </c>
      <c r="C305" s="229">
        <f>CEILING(C247/25,1)</f>
        <v>8</v>
      </c>
      <c r="D305" s="229">
        <f>'Прайс лист'!G1177</f>
        <v>1100</v>
      </c>
      <c r="E305" s="229">
        <f t="shared" si="6"/>
        <v>8800</v>
      </c>
      <c r="F305" s="1194"/>
      <c r="G305" s="3199"/>
      <c r="H305" s="3199"/>
      <c r="I305" s="2226"/>
      <c r="J305" s="2226"/>
      <c r="K305" s="2267"/>
      <c r="L305" s="229"/>
      <c r="M305" s="1195"/>
      <c r="N305" s="1195"/>
      <c r="O305" s="1195"/>
      <c r="P305" s="1195"/>
      <c r="Q305" s="1195"/>
      <c r="R305" s="1195"/>
      <c r="S305" s="1195"/>
      <c r="T305" s="1195"/>
      <c r="U305" s="1195"/>
    </row>
    <row r="306" spans="1:21" ht="15" customHeight="1" outlineLevel="1">
      <c r="A306" s="229" t="str">
        <f>'Прайс лист'!B1178</f>
        <v>проходка кровельная, канализационная</v>
      </c>
      <c r="B306" s="259" t="s">
        <v>159</v>
      </c>
      <c r="C306" s="229">
        <f>C258</f>
        <v>0</v>
      </c>
      <c r="D306" s="229">
        <f>'Прайс лист'!G1178</f>
        <v>3500</v>
      </c>
      <c r="E306" s="229">
        <f t="shared" si="6"/>
        <v>0</v>
      </c>
      <c r="F306" s="1194"/>
      <c r="G306" s="3199"/>
      <c r="H306" s="3199"/>
      <c r="I306" s="2226"/>
      <c r="J306" s="2226"/>
      <c r="K306" s="2267"/>
      <c r="L306" s="229"/>
      <c r="M306" s="1195"/>
      <c r="N306" s="1195"/>
      <c r="O306" s="1195"/>
      <c r="P306" s="1195"/>
      <c r="Q306" s="1195"/>
      <c r="R306" s="1195"/>
      <c r="S306" s="1195"/>
      <c r="T306" s="1195"/>
      <c r="U306" s="1195"/>
    </row>
    <row r="307" spans="1:21" ht="15" customHeight="1" outlineLevel="1">
      <c r="A307" s="229" t="str">
        <f>'Прайс лист'!B1179</f>
        <v>проходка кровельная, вентиляционная</v>
      </c>
      <c r="B307" s="259" t="s">
        <v>159</v>
      </c>
      <c r="C307" s="229">
        <f>C259</f>
        <v>0</v>
      </c>
      <c r="D307" s="229">
        <f>'Прайс лист'!G1179</f>
        <v>3500</v>
      </c>
      <c r="E307" s="229">
        <f t="shared" si="6"/>
        <v>0</v>
      </c>
      <c r="F307" s="1194"/>
      <c r="G307" s="3199"/>
      <c r="H307" s="3199"/>
      <c r="I307" s="2226"/>
      <c r="J307" s="2226"/>
      <c r="K307" s="2267"/>
      <c r="L307" s="229"/>
      <c r="M307" s="1195"/>
      <c r="N307" s="1195"/>
      <c r="O307" s="1195"/>
      <c r="P307" s="1195"/>
      <c r="Q307" s="1195"/>
      <c r="R307" s="1195"/>
      <c r="S307" s="1195"/>
      <c r="T307" s="1195"/>
      <c r="U307" s="1195"/>
    </row>
    <row r="308" spans="1:21" ht="15" customHeight="1" outlineLevel="1">
      <c r="A308" s="229" t="str">
        <f>'Прайс лист'!B1180</f>
        <v>проодка кровельная, труба котел</v>
      </c>
      <c r="B308" s="259" t="s">
        <v>159</v>
      </c>
      <c r="C308" s="229">
        <f>C260</f>
        <v>0</v>
      </c>
      <c r="D308" s="229">
        <f>'Прайс лист'!G1180</f>
        <v>4500</v>
      </c>
      <c r="E308" s="229">
        <f t="shared" si="6"/>
        <v>0</v>
      </c>
      <c r="F308" s="1194"/>
      <c r="G308" s="3199"/>
      <c r="H308" s="3199"/>
      <c r="I308" s="2226"/>
      <c r="J308" s="2226"/>
      <c r="K308" s="2267"/>
      <c r="L308" s="229"/>
      <c r="M308" s="1195"/>
      <c r="N308" s="1195"/>
      <c r="O308" s="1195"/>
      <c r="P308" s="1195"/>
      <c r="Q308" s="1195"/>
      <c r="R308" s="1195"/>
      <c r="S308" s="1195"/>
      <c r="T308" s="1195"/>
      <c r="U308" s="1195"/>
    </row>
    <row r="309" spans="1:21" ht="15" customHeight="1" outlineLevel="1">
      <c r="A309" s="229" t="str">
        <f>'Прайс лист'!B1138</f>
        <v>Кровельный саморез</v>
      </c>
      <c r="B309" s="229" t="s">
        <v>159</v>
      </c>
      <c r="C309" s="229">
        <f>C247*12*C244*G240</f>
        <v>0</v>
      </c>
      <c r="D309" s="229">
        <f>'Прайс лист'!G1138</f>
        <v>2</v>
      </c>
      <c r="E309" s="229">
        <f t="shared" si="6"/>
        <v>0</v>
      </c>
      <c r="F309" s="1194"/>
      <c r="G309" s="3199"/>
      <c r="H309" s="3199"/>
      <c r="I309" s="2226"/>
      <c r="J309" s="2226"/>
      <c r="K309" s="2267"/>
      <c r="L309" s="229"/>
      <c r="M309" s="1195"/>
      <c r="N309" s="1195"/>
      <c r="O309" s="1195"/>
      <c r="P309" s="1195"/>
      <c r="Q309" s="1195"/>
      <c r="R309" s="1195"/>
      <c r="S309" s="1195"/>
      <c r="T309" s="1195"/>
      <c r="U309" s="1195"/>
    </row>
    <row r="310" spans="1:21" ht="15" customHeight="1" outlineLevel="1">
      <c r="A310" s="229" t="str">
        <f>'Прайс лист'!B897</f>
        <v xml:space="preserve">Гвозди ершоные 3,4 x 60            </v>
      </c>
      <c r="B310" s="229" t="s">
        <v>188</v>
      </c>
      <c r="C310" s="229">
        <f>C268*15</f>
        <v>5.7753090959278612</v>
      </c>
      <c r="D310" s="229">
        <f>'Прайс лист'!G897</f>
        <v>75.510000000000005</v>
      </c>
      <c r="E310" s="229">
        <f t="shared" si="6"/>
        <v>436.09358983351285</v>
      </c>
      <c r="F310" s="1194"/>
      <c r="G310" s="3199"/>
      <c r="H310" s="3199"/>
      <c r="I310" s="2226"/>
      <c r="J310" s="2226"/>
      <c r="K310" s="2267"/>
      <c r="L310" s="229"/>
      <c r="M310" s="1195"/>
      <c r="N310" s="1195"/>
      <c r="O310" s="1195"/>
      <c r="P310" s="1195"/>
      <c r="Q310" s="1195"/>
      <c r="R310" s="1195"/>
      <c r="S310" s="1195"/>
      <c r="T310" s="1195"/>
      <c r="U310" s="1195"/>
    </row>
    <row r="311" spans="1:21" ht="15" customHeight="1" outlineLevel="1">
      <c r="A311" s="229" t="str">
        <f>'Прайс лист'!B898</f>
        <v xml:space="preserve">Гвозди ершоные 2,8 х 90            </v>
      </c>
      <c r="B311" s="229" t="s">
        <v>188</v>
      </c>
      <c r="C311" s="229">
        <f>(C264+C265+C266)*10*G240</f>
        <v>37.465780917534957</v>
      </c>
      <c r="D311" s="229">
        <f>'Прайс лист'!G898</f>
        <v>76.489999999999995</v>
      </c>
      <c r="E311" s="229">
        <f t="shared" si="6"/>
        <v>2865.7575823822485</v>
      </c>
      <c r="F311" s="1194"/>
      <c r="G311" s="3199"/>
      <c r="H311" s="3199"/>
      <c r="I311" s="2226"/>
      <c r="J311" s="2226"/>
      <c r="K311" s="2267"/>
      <c r="L311" s="229"/>
      <c r="M311" s="1195"/>
      <c r="N311" s="1195"/>
      <c r="O311" s="1195"/>
      <c r="P311" s="1195"/>
      <c r="Q311" s="1195"/>
      <c r="R311" s="1195"/>
      <c r="S311" s="1195"/>
      <c r="T311" s="1195"/>
      <c r="U311" s="1195"/>
    </row>
    <row r="312" spans="1:21" ht="15" customHeight="1" outlineLevel="1">
      <c r="A312" s="229" t="str">
        <f>'Прайс лист'!B846</f>
        <v xml:space="preserve">Пластина соеденительная 100х240х2           </v>
      </c>
      <c r="B312" s="229" t="s">
        <v>159</v>
      </c>
      <c r="C312" s="2262">
        <f>((C248/0.6)+1)*2</f>
        <v>40.666666666666671</v>
      </c>
      <c r="D312" s="229">
        <f>'Прайс лист'!G846</f>
        <v>31.54</v>
      </c>
      <c r="E312" s="229">
        <f t="shared" si="6"/>
        <v>1282.6266666666668</v>
      </c>
      <c r="F312" s="1194"/>
      <c r="G312" s="3199"/>
      <c r="H312" s="3199"/>
      <c r="I312" s="2226"/>
      <c r="J312" s="2226"/>
      <c r="K312" s="2267"/>
      <c r="L312" s="229"/>
      <c r="M312" s="1195"/>
      <c r="N312" s="1195"/>
      <c r="O312" s="1195"/>
      <c r="P312" s="1195"/>
      <c r="Q312" s="1195"/>
      <c r="R312" s="1195"/>
      <c r="S312" s="1195"/>
      <c r="T312" s="1195"/>
      <c r="U312" s="1195"/>
    </row>
    <row r="313" spans="1:21" ht="15" customHeight="1" outlineLevel="1">
      <c r="A313" s="229" t="str">
        <f>'Прайс лист'!B838</f>
        <v xml:space="preserve">Уголок усиленный 90х70х55х2,5        </v>
      </c>
      <c r="B313" s="229" t="s">
        <v>159</v>
      </c>
      <c r="C313" s="2262">
        <f>((C248/0.6)+1)*2</f>
        <v>40.666666666666671</v>
      </c>
      <c r="D313" s="229">
        <f>'Прайс лист'!G838</f>
        <v>30</v>
      </c>
      <c r="E313" s="229">
        <f t="shared" si="6"/>
        <v>1220.0000000000002</v>
      </c>
      <c r="F313" s="1194"/>
      <c r="G313" s="3199"/>
      <c r="H313" s="3199"/>
      <c r="I313" s="2226"/>
      <c r="J313" s="2226"/>
      <c r="K313" s="2267"/>
      <c r="L313" s="229"/>
      <c r="M313" s="1195"/>
      <c r="N313" s="1195"/>
      <c r="O313" s="1195"/>
      <c r="P313" s="1195"/>
      <c r="Q313" s="1195"/>
      <c r="R313" s="1195"/>
      <c r="S313" s="1195"/>
      <c r="T313" s="1195"/>
      <c r="U313" s="1195"/>
    </row>
    <row r="314" spans="1:21" ht="15" customHeight="1" outlineLevel="1">
      <c r="A314" s="229" t="str">
        <f>'Ввод данных'!A233</f>
        <v>Нет техники</v>
      </c>
      <c r="B314" s="229" t="s">
        <v>1793</v>
      </c>
      <c r="C314" s="2262">
        <f>'Ввод данных'!C233</f>
        <v>4</v>
      </c>
      <c r="D314" s="229">
        <f>VLOOKUP(A314,'Прайс лист'!B180:G194,6,0)</f>
        <v>0</v>
      </c>
      <c r="E314" s="229">
        <f t="shared" si="6"/>
        <v>0</v>
      </c>
      <c r="F314" s="1194"/>
      <c r="G314" s="2286"/>
      <c r="H314" s="2286"/>
      <c r="I314" s="2220"/>
      <c r="J314" s="2220"/>
      <c r="K314" s="2268"/>
      <c r="L314" s="229"/>
      <c r="M314" s="1195"/>
      <c r="N314" s="1195"/>
      <c r="O314" s="1195"/>
      <c r="P314" s="1195"/>
      <c r="Q314" s="1195"/>
      <c r="R314" s="1195"/>
      <c r="S314" s="1195"/>
      <c r="T314" s="1195"/>
      <c r="U314" s="1195"/>
    </row>
    <row r="315" spans="1:21" ht="15" customHeight="1" outlineLevel="1">
      <c r="A315" s="229" t="str">
        <f>'Ввод данных'!A234</f>
        <v>Нет техники</v>
      </c>
      <c r="B315" s="229" t="s">
        <v>1793</v>
      </c>
      <c r="C315" s="2262">
        <f>'Ввод данных'!C234</f>
        <v>0</v>
      </c>
      <c r="D315" s="229">
        <f>VLOOKUP(A315,'Прайс лист'!B180:G194,6,0)</f>
        <v>0</v>
      </c>
      <c r="E315" s="229">
        <f t="shared" si="6"/>
        <v>0</v>
      </c>
      <c r="F315" s="1194"/>
      <c r="G315" s="2286"/>
      <c r="H315" s="2286"/>
      <c r="I315" s="2220"/>
      <c r="J315" s="2220"/>
      <c r="K315" s="2268"/>
      <c r="L315" s="229"/>
      <c r="M315" s="1195"/>
      <c r="N315" s="1195"/>
      <c r="O315" s="1195"/>
      <c r="P315" s="1195"/>
      <c r="Q315" s="1195"/>
      <c r="R315" s="1195"/>
      <c r="S315" s="1195"/>
      <c r="T315" s="1195"/>
      <c r="U315" s="1195"/>
    </row>
    <row r="316" spans="1:21" ht="15" customHeight="1" outlineLevel="1">
      <c r="A316" s="229" t="str">
        <f>'Ввод данных'!A236</f>
        <v>расходные материалы двускатная кровля</v>
      </c>
      <c r="B316" s="229" t="s">
        <v>1796</v>
      </c>
      <c r="C316" s="2262">
        <f>1</f>
        <v>1</v>
      </c>
      <c r="D316" s="229">
        <f>'Ввод данных'!C236</f>
        <v>0</v>
      </c>
      <c r="E316" s="229">
        <f t="shared" si="6"/>
        <v>0</v>
      </c>
      <c r="F316" s="1194"/>
      <c r="G316" s="2286"/>
      <c r="H316" s="2286"/>
      <c r="I316" s="2220"/>
      <c r="J316" s="2220"/>
      <c r="K316" s="2268"/>
      <c r="L316" s="229"/>
      <c r="M316" s="1195"/>
      <c r="N316" s="1195"/>
      <c r="O316" s="1195"/>
      <c r="P316" s="1195"/>
      <c r="Q316" s="1195"/>
      <c r="R316" s="1195"/>
      <c r="S316" s="1195"/>
      <c r="T316" s="1195"/>
      <c r="U316" s="1195"/>
    </row>
    <row r="317" spans="1:21" ht="15" customHeight="1" outlineLevel="1">
      <c r="A317" s="1194"/>
      <c r="B317" s="1194"/>
      <c r="C317" s="1194"/>
      <c r="D317" s="1194"/>
      <c r="E317" s="229">
        <f>SUM(E264:E316)</f>
        <v>394809.90333909559</v>
      </c>
      <c r="F317" s="1194"/>
      <c r="G317" s="1194"/>
      <c r="H317" s="1195"/>
      <c r="I317" s="1195"/>
      <c r="J317" s="1195"/>
      <c r="K317" s="2623"/>
      <c r="L317" s="2226">
        <f>SUM(L264:L313)</f>
        <v>299069.90098245576</v>
      </c>
      <c r="M317" s="1195"/>
      <c r="N317" s="1195"/>
      <c r="O317" s="1195"/>
      <c r="P317" s="1195"/>
      <c r="Q317" s="1195"/>
      <c r="R317" s="1195"/>
      <c r="S317" s="1195"/>
      <c r="T317" s="1195"/>
      <c r="U317" s="1195"/>
    </row>
    <row r="318" spans="1:21" ht="15" customHeight="1" outlineLevel="1">
      <c r="A318" s="229" t="s">
        <v>2726</v>
      </c>
      <c r="B318" s="2262">
        <f>E317</f>
        <v>394809.90333909559</v>
      </c>
      <c r="C318" s="1194"/>
      <c r="D318" s="1194"/>
      <c r="E318" s="1194"/>
      <c r="F318" s="1194"/>
      <c r="G318" s="1194"/>
      <c r="H318" s="1195"/>
      <c r="I318" s="1195"/>
      <c r="J318" s="1195"/>
      <c r="K318" s="2623"/>
      <c r="L318" s="1195"/>
      <c r="M318" s="1195"/>
      <c r="N318" s="1195"/>
      <c r="O318" s="1195"/>
      <c r="P318" s="1195"/>
      <c r="Q318" s="1195"/>
      <c r="R318" s="1195"/>
      <c r="S318" s="1195"/>
      <c r="T318" s="1195"/>
      <c r="U318" s="1195"/>
    </row>
    <row r="319" spans="1:21" ht="15" customHeight="1" outlineLevel="1">
      <c r="A319" s="229" t="s">
        <v>2727</v>
      </c>
      <c r="B319" s="2262">
        <f>L317</f>
        <v>299069.90098245576</v>
      </c>
      <c r="C319" s="1194"/>
      <c r="D319" s="1194"/>
      <c r="E319" s="1194"/>
      <c r="F319" s="1194"/>
      <c r="G319" s="1194"/>
      <c r="H319" s="1195"/>
      <c r="I319" s="1195"/>
      <c r="J319" s="1195"/>
      <c r="K319" s="2623"/>
      <c r="L319" s="1195"/>
      <c r="M319" s="1195"/>
      <c r="N319" s="1195"/>
      <c r="O319" s="1195"/>
      <c r="P319" s="1195"/>
      <c r="Q319" s="1195"/>
      <c r="R319" s="1195"/>
      <c r="S319" s="1195"/>
      <c r="T319" s="1195"/>
      <c r="U319" s="1195"/>
    </row>
    <row r="320" spans="1:21" ht="15" customHeight="1" outlineLevel="1">
      <c r="A320" s="259" t="s">
        <v>2728</v>
      </c>
      <c r="B320" s="2624">
        <f>SUM(B318:B319)</f>
        <v>693879.80432155135</v>
      </c>
      <c r="C320" s="1194"/>
      <c r="D320" s="1194"/>
      <c r="E320" s="1194"/>
      <c r="F320" s="1194"/>
      <c r="G320" s="1194"/>
      <c r="H320" s="1195"/>
      <c r="I320" s="1195"/>
      <c r="J320" s="1195"/>
      <c r="K320" s="2623"/>
      <c r="L320" s="1195"/>
      <c r="M320" s="1195"/>
      <c r="N320" s="1195"/>
      <c r="O320" s="1195"/>
      <c r="P320" s="1195"/>
      <c r="Q320" s="1195"/>
      <c r="R320" s="1195"/>
      <c r="S320" s="1195"/>
      <c r="T320" s="1195"/>
      <c r="U320" s="1195"/>
    </row>
    <row r="321" spans="1:21" s="85" customFormat="1" ht="15" customHeight="1">
      <c r="A321" s="941" t="s">
        <v>1941</v>
      </c>
      <c r="B321" s="2569"/>
      <c r="C321" s="3260"/>
      <c r="D321" s="3260"/>
      <c r="E321" s="3260"/>
      <c r="F321" s="3260"/>
      <c r="G321" s="2277"/>
      <c r="H321" s="2228"/>
      <c r="I321" s="2228"/>
      <c r="J321" s="2228"/>
      <c r="K321" s="2268"/>
      <c r="L321" s="2228"/>
      <c r="M321" s="2228"/>
      <c r="N321" s="2228"/>
      <c r="O321" s="2228"/>
      <c r="P321" s="2228"/>
      <c r="Q321" s="2228"/>
      <c r="R321" s="2228"/>
      <c r="S321" s="2228"/>
      <c r="T321" s="2228"/>
      <c r="U321" s="2228"/>
    </row>
    <row r="322" spans="1:21" ht="15" customHeight="1">
      <c r="A322" s="2263"/>
      <c r="B322" s="1195"/>
      <c r="C322" s="2257"/>
      <c r="D322" s="2257"/>
      <c r="E322" s="1195"/>
      <c r="F322" s="2257"/>
      <c r="G322" s="2257"/>
      <c r="H322" s="1195"/>
      <c r="I322" s="1195"/>
      <c r="J322" s="1195"/>
      <c r="K322" s="2623"/>
      <c r="L322" s="1195"/>
      <c r="M322" s="1195"/>
      <c r="N322" s="1195"/>
      <c r="O322" s="1195"/>
      <c r="P322" s="1195"/>
      <c r="Q322" s="1195"/>
      <c r="R322" s="1195"/>
      <c r="S322" s="1195"/>
      <c r="T322" s="1195"/>
      <c r="U322" s="1195"/>
    </row>
    <row r="323" spans="1:21" ht="15" customHeight="1" outlineLevel="1">
      <c r="A323" s="3261" t="s">
        <v>4132</v>
      </c>
      <c r="B323" s="3261"/>
      <c r="C323" s="3261"/>
      <c r="D323" s="3261"/>
      <c r="E323" s="3261"/>
      <c r="F323" s="3261"/>
      <c r="G323" s="3261"/>
      <c r="H323" s="3261"/>
      <c r="I323" s="3261"/>
      <c r="J323" s="3261"/>
      <c r="K323" s="3261"/>
      <c r="L323" s="3261"/>
      <c r="M323" s="1195"/>
      <c r="N323" s="1195"/>
      <c r="O323" s="1195"/>
      <c r="P323" s="1195"/>
      <c r="Q323" s="1195"/>
      <c r="R323" s="1195"/>
      <c r="S323" s="1195"/>
      <c r="T323" s="1195"/>
      <c r="U323" s="1195"/>
    </row>
    <row r="324" spans="1:21" ht="15" customHeight="1" outlineLevel="1">
      <c r="A324" s="3261"/>
      <c r="B324" s="3261"/>
      <c r="C324" s="3261"/>
      <c r="D324" s="3261"/>
      <c r="E324" s="3261"/>
      <c r="F324" s="3261"/>
      <c r="G324" s="3261"/>
      <c r="H324" s="3261"/>
      <c r="I324" s="3261"/>
      <c r="J324" s="3261"/>
      <c r="K324" s="3261"/>
      <c r="L324" s="3261"/>
      <c r="M324" s="1195"/>
      <c r="N324" s="1195"/>
      <c r="O324" s="1195"/>
      <c r="P324" s="1195"/>
      <c r="Q324" s="1195"/>
      <c r="R324" s="1195"/>
      <c r="S324" s="1195"/>
      <c r="T324" s="1195"/>
      <c r="U324" s="1195"/>
    </row>
    <row r="325" spans="1:21" ht="15" customHeight="1" outlineLevel="1">
      <c r="A325" s="3146" t="s">
        <v>1806</v>
      </c>
      <c r="B325" s="3146"/>
      <c r="C325" s="3146"/>
      <c r="D325" s="3146"/>
      <c r="E325" s="3146"/>
      <c r="F325" s="3146"/>
      <c r="G325" s="2611">
        <f>'Ввод данных'!E240</f>
        <v>1</v>
      </c>
      <c r="H325" s="1138"/>
      <c r="I325" s="1138"/>
      <c r="J325" s="1138"/>
      <c r="K325" s="1138"/>
      <c r="L325" s="1138"/>
      <c r="M325" s="1194"/>
      <c r="N325" s="1194"/>
      <c r="O325" s="1194"/>
      <c r="P325" s="1194"/>
      <c r="Q325" s="1194"/>
      <c r="R325" s="1194"/>
      <c r="S325" s="1194"/>
      <c r="T325" s="1194"/>
      <c r="U325" s="1194"/>
    </row>
    <row r="326" spans="1:21" ht="15" customHeight="1" outlineLevel="1">
      <c r="A326" s="3146"/>
      <c r="B326" s="3146"/>
      <c r="C326" s="3146"/>
      <c r="D326" s="3146"/>
      <c r="E326" s="3146"/>
      <c r="F326" s="3146"/>
      <c r="G326" s="2625"/>
      <c r="H326" s="1138">
        <f>'Ввод данных'!E241</f>
        <v>1</v>
      </c>
      <c r="I326" s="1138"/>
      <c r="J326" s="1138"/>
      <c r="K326" s="1138"/>
      <c r="L326" s="1138"/>
      <c r="M326" s="1194"/>
      <c r="N326" s="1194"/>
      <c r="O326" s="1194"/>
      <c r="P326" s="1194"/>
      <c r="Q326" s="1194"/>
      <c r="R326" s="1194"/>
      <c r="S326" s="1194"/>
      <c r="T326" s="1194"/>
      <c r="U326" s="1194"/>
    </row>
    <row r="327" spans="1:21" ht="15" customHeight="1" outlineLevel="1">
      <c r="A327" s="2626" t="s">
        <v>3831</v>
      </c>
      <c r="B327" s="1165" t="s">
        <v>159</v>
      </c>
      <c r="C327" s="2627">
        <f>IF('Ввод данных'!A245=связи1!A6,1,0)</f>
        <v>1</v>
      </c>
      <c r="D327" s="2628" t="s">
        <v>4133</v>
      </c>
      <c r="E327" s="2629"/>
      <c r="F327" s="2629"/>
      <c r="G327" s="2630"/>
      <c r="H327" s="2630"/>
      <c r="I327" s="2631"/>
      <c r="J327" s="2228"/>
      <c r="K327" s="2268"/>
      <c r="L327" s="2228"/>
      <c r="M327" s="1195"/>
      <c r="N327" s="1195"/>
      <c r="O327" s="1195"/>
      <c r="P327" s="1195"/>
      <c r="Q327" s="1195"/>
      <c r="R327" s="1195"/>
      <c r="S327" s="1195"/>
      <c r="T327" s="1195"/>
      <c r="U327" s="1195"/>
    </row>
    <row r="328" spans="1:21" ht="15" customHeight="1" outlineLevel="1">
      <c r="A328" s="2620" t="s">
        <v>3832</v>
      </c>
      <c r="B328" s="229" t="s">
        <v>159</v>
      </c>
      <c r="C328" s="2627">
        <f>IF('Ввод данных'!A245=связи1!A7,1,0)</f>
        <v>0</v>
      </c>
      <c r="D328" s="2628" t="s">
        <v>4134</v>
      </c>
      <c r="E328" s="2629"/>
      <c r="F328" s="2629"/>
      <c r="G328" s="2630"/>
      <c r="H328" s="2630"/>
      <c r="I328" s="2631"/>
      <c r="J328" s="2228"/>
      <c r="K328" s="2268"/>
      <c r="L328" s="2228"/>
      <c r="M328" s="1195"/>
      <c r="N328" s="1195"/>
      <c r="O328" s="1195"/>
      <c r="P328" s="1195"/>
      <c r="Q328" s="1195"/>
      <c r="R328" s="1195"/>
      <c r="S328" s="1195"/>
      <c r="T328" s="1195"/>
      <c r="U328" s="1195"/>
    </row>
    <row r="329" spans="1:21" ht="15" customHeight="1" outlineLevel="1">
      <c r="A329" s="2620" t="s">
        <v>4135</v>
      </c>
      <c r="B329" s="229"/>
      <c r="C329" s="2627">
        <f>IF('Ввод данных'!A245=связи1!A8,1,0)</f>
        <v>0</v>
      </c>
      <c r="D329" s="2628"/>
      <c r="E329" s="2629"/>
      <c r="F329" s="2629"/>
      <c r="G329" s="2630"/>
      <c r="H329" s="2630"/>
      <c r="I329" s="2631"/>
      <c r="J329" s="2228"/>
      <c r="K329" s="2268"/>
      <c r="L329" s="2228"/>
      <c r="M329" s="1195"/>
      <c r="N329" s="1195"/>
      <c r="O329" s="1195"/>
      <c r="P329" s="1195"/>
      <c r="Q329" s="1195"/>
      <c r="R329" s="1195"/>
      <c r="S329" s="1195"/>
      <c r="T329" s="1195"/>
      <c r="U329" s="1195"/>
    </row>
    <row r="330" spans="1:21" ht="15" customHeight="1" outlineLevel="1">
      <c r="A330" s="2620" t="s">
        <v>4136</v>
      </c>
      <c r="B330" s="229" t="s">
        <v>156</v>
      </c>
      <c r="C330" s="2632">
        <f>'Ввод данных'!C252</f>
        <v>0</v>
      </c>
      <c r="D330" s="2628" t="s">
        <v>4137</v>
      </c>
      <c r="E330" s="2629"/>
      <c r="F330" s="2629"/>
      <c r="G330" s="2630"/>
      <c r="H330" s="2630"/>
      <c r="I330" s="2631"/>
      <c r="J330" s="2228"/>
      <c r="K330" s="2268"/>
      <c r="L330" s="2228"/>
      <c r="M330" s="1195"/>
      <c r="N330" s="1195"/>
      <c r="O330" s="1195"/>
      <c r="P330" s="1195"/>
      <c r="Q330" s="1195"/>
      <c r="R330" s="1195"/>
      <c r="S330" s="1195"/>
      <c r="T330" s="1195"/>
      <c r="U330" s="1195"/>
    </row>
    <row r="331" spans="1:21" ht="15" customHeight="1" outlineLevel="1">
      <c r="A331" s="2620" t="s">
        <v>4138</v>
      </c>
      <c r="B331" s="229" t="s">
        <v>156</v>
      </c>
      <c r="C331" s="2632">
        <v>0.05</v>
      </c>
      <c r="D331" s="2628" t="s">
        <v>4139</v>
      </c>
      <c r="E331" s="2629"/>
      <c r="F331" s="2629"/>
      <c r="G331" s="2630"/>
      <c r="H331" s="2630"/>
      <c r="I331" s="2631"/>
      <c r="J331" s="2228"/>
      <c r="K331" s="2268"/>
      <c r="L331" s="2228"/>
      <c r="M331" s="1195"/>
      <c r="N331" s="1195"/>
      <c r="O331" s="1195"/>
      <c r="P331" s="1195"/>
      <c r="Q331" s="1195"/>
      <c r="R331" s="1195"/>
      <c r="S331" s="1195"/>
      <c r="T331" s="1195"/>
      <c r="U331" s="1195"/>
    </row>
    <row r="332" spans="1:21" ht="15" customHeight="1" outlineLevel="1">
      <c r="A332" s="2620" t="s">
        <v>4140</v>
      </c>
      <c r="B332" s="229" t="s">
        <v>156</v>
      </c>
      <c r="C332" s="2632">
        <f>'Ввод данных'!C248</f>
        <v>5</v>
      </c>
      <c r="D332" s="2628" t="s">
        <v>4141</v>
      </c>
      <c r="E332" s="2629"/>
      <c r="F332" s="2629"/>
      <c r="G332" s="2630"/>
      <c r="H332" s="2630"/>
      <c r="I332" s="2631"/>
      <c r="J332" s="2228"/>
      <c r="K332" s="2268"/>
      <c r="L332" s="2228"/>
      <c r="M332" s="1195"/>
      <c r="N332" s="1195"/>
      <c r="O332" s="1195"/>
      <c r="P332" s="1195"/>
      <c r="Q332" s="1195"/>
      <c r="R332" s="1195"/>
      <c r="S332" s="1195"/>
      <c r="T332" s="1195"/>
      <c r="U332" s="1195"/>
    </row>
    <row r="333" spans="1:21" ht="15" customHeight="1" outlineLevel="1">
      <c r="A333" s="2620" t="s">
        <v>4142</v>
      </c>
      <c r="B333" s="229" t="s">
        <v>156</v>
      </c>
      <c r="C333" s="2633">
        <f>дома!F1135*дома!J1113+дома!G1135*дома!J1112</f>
        <v>5</v>
      </c>
      <c r="D333" s="2628" t="s">
        <v>4143</v>
      </c>
      <c r="E333" s="2629"/>
      <c r="F333" s="2629"/>
      <c r="G333" s="2630"/>
      <c r="H333" s="2630"/>
      <c r="I333" s="2631"/>
      <c r="J333" s="2228"/>
      <c r="K333" s="2268"/>
      <c r="L333" s="2228"/>
      <c r="M333" s="1195"/>
      <c r="N333" s="1195"/>
      <c r="O333" s="1195"/>
      <c r="P333" s="1195"/>
      <c r="Q333" s="1195"/>
      <c r="R333" s="1195"/>
      <c r="S333" s="1195"/>
      <c r="T333" s="1195"/>
      <c r="U333" s="1195"/>
    </row>
    <row r="334" spans="1:21" ht="15" customHeight="1" outlineLevel="1">
      <c r="A334" s="2620" t="s">
        <v>4144</v>
      </c>
      <c r="B334" s="229"/>
      <c r="C334" s="2634">
        <f>'Ввод данных'!C12</f>
        <v>10</v>
      </c>
      <c r="D334" s="2628"/>
      <c r="E334" s="2629"/>
      <c r="F334" s="2629"/>
      <c r="G334" s="2630"/>
      <c r="H334" s="2630"/>
      <c r="I334" s="2631"/>
      <c r="J334" s="2228"/>
      <c r="K334" s="2268"/>
      <c r="L334" s="2228"/>
      <c r="M334" s="1195"/>
      <c r="N334" s="1195"/>
      <c r="O334" s="1195"/>
      <c r="P334" s="1195"/>
      <c r="Q334" s="1195"/>
      <c r="R334" s="1195"/>
      <c r="S334" s="1195"/>
      <c r="T334" s="1195"/>
      <c r="U334" s="1195"/>
    </row>
    <row r="335" spans="1:21" ht="15" customHeight="1" outlineLevel="1">
      <c r="A335" s="2620" t="s">
        <v>1903</v>
      </c>
      <c r="B335" s="229"/>
      <c r="C335" s="2634">
        <f>'Ввод данных'!C11</f>
        <v>10</v>
      </c>
      <c r="D335" s="2628"/>
      <c r="E335" s="2629"/>
      <c r="F335" s="2629"/>
      <c r="G335" s="2630"/>
      <c r="H335" s="2630"/>
      <c r="I335" s="2631"/>
      <c r="J335" s="2228"/>
      <c r="K335" s="2268"/>
      <c r="L335" s="2228"/>
      <c r="M335" s="1195"/>
      <c r="N335" s="1195"/>
      <c r="O335" s="1195"/>
      <c r="P335" s="1195"/>
      <c r="Q335" s="1195"/>
      <c r="R335" s="1195"/>
      <c r="S335" s="1195"/>
      <c r="T335" s="1195"/>
      <c r="U335" s="1195"/>
    </row>
    <row r="336" spans="1:21" ht="15" customHeight="1" outlineLevel="1">
      <c r="A336" s="229" t="s">
        <v>1972</v>
      </c>
      <c r="B336" s="229" t="s">
        <v>156</v>
      </c>
      <c r="C336" s="2632">
        <f>E104</f>
        <v>0.5</v>
      </c>
      <c r="D336" s="2628" t="s">
        <v>4145</v>
      </c>
      <c r="E336" s="2629"/>
      <c r="F336" s="2629"/>
      <c r="G336" s="2630"/>
      <c r="H336" s="2630"/>
      <c r="I336" s="2631"/>
      <c r="J336" s="2228"/>
      <c r="K336" s="2268"/>
      <c r="L336" s="2228"/>
      <c r="M336" s="1195"/>
      <c r="N336" s="1195"/>
      <c r="O336" s="1195"/>
      <c r="P336" s="1195"/>
      <c r="Q336" s="1195"/>
      <c r="R336" s="1195"/>
      <c r="S336" s="1195"/>
      <c r="T336" s="1195"/>
      <c r="U336" s="1195"/>
    </row>
    <row r="337" spans="1:21" ht="15" customHeight="1" outlineLevel="1">
      <c r="A337" s="259" t="s">
        <v>1975</v>
      </c>
      <c r="B337" s="259" t="s">
        <v>156</v>
      </c>
      <c r="C337" s="2632">
        <f>E105</f>
        <v>0.5</v>
      </c>
      <c r="D337" s="2628" t="s">
        <v>4146</v>
      </c>
      <c r="E337" s="2629"/>
      <c r="F337" s="2629"/>
      <c r="G337" s="2630"/>
      <c r="H337" s="2630"/>
      <c r="I337" s="2631"/>
      <c r="J337" s="2228"/>
      <c r="K337" s="2268"/>
      <c r="L337" s="2228"/>
      <c r="M337" s="1195"/>
      <c r="N337" s="1195"/>
      <c r="O337" s="1195"/>
      <c r="P337" s="1195"/>
      <c r="Q337" s="1195"/>
      <c r="R337" s="1195"/>
      <c r="S337" s="1195"/>
      <c r="T337" s="1195"/>
      <c r="U337" s="1195"/>
    </row>
    <row r="338" spans="1:21" ht="15" customHeight="1" outlineLevel="1">
      <c r="A338" s="2620" t="s">
        <v>4147</v>
      </c>
      <c r="B338" s="229"/>
      <c r="C338" s="2633">
        <f>дома!I1170</f>
        <v>8.5875002007282504</v>
      </c>
      <c r="D338" s="2618"/>
      <c r="E338" s="2629"/>
      <c r="F338" s="2629"/>
      <c r="G338" s="2630"/>
      <c r="H338" s="2630"/>
      <c r="I338" s="2631"/>
      <c r="J338" s="2228"/>
      <c r="K338" s="2268"/>
      <c r="L338" s="2228"/>
      <c r="M338" s="1195"/>
      <c r="N338" s="1195"/>
      <c r="O338" s="1195"/>
      <c r="P338" s="1195"/>
      <c r="Q338" s="1195"/>
      <c r="R338" s="1195"/>
      <c r="S338" s="1195"/>
      <c r="T338" s="1195"/>
      <c r="U338" s="1195"/>
    </row>
    <row r="339" spans="1:21" ht="15" customHeight="1" outlineLevel="1">
      <c r="A339" s="2620" t="s">
        <v>4148</v>
      </c>
      <c r="B339" s="229"/>
      <c r="C339" s="2633">
        <f>дома!F1167</f>
        <v>7.433034373659253</v>
      </c>
      <c r="D339" s="2618"/>
      <c r="E339" s="2629"/>
      <c r="F339" s="2629"/>
      <c r="G339" s="2630"/>
      <c r="H339" s="2630"/>
      <c r="I339" s="2631"/>
      <c r="J339" s="2228"/>
      <c r="K339" s="2268"/>
      <c r="L339" s="2228"/>
      <c r="M339" s="1195"/>
      <c r="N339" s="1195"/>
      <c r="O339" s="1195"/>
      <c r="P339" s="1195"/>
      <c r="Q339" s="1195"/>
      <c r="R339" s="1195"/>
      <c r="S339" s="1195"/>
      <c r="T339" s="1195"/>
      <c r="U339" s="1195"/>
    </row>
    <row r="340" spans="1:21" ht="15" customHeight="1" outlineLevel="1">
      <c r="A340" s="2620" t="s">
        <v>1546</v>
      </c>
      <c r="B340" s="229"/>
      <c r="C340" s="2633">
        <f>дома!I1164</f>
        <v>5</v>
      </c>
      <c r="D340" s="2618"/>
      <c r="E340" s="2629"/>
      <c r="F340" s="2629"/>
      <c r="G340" s="2630"/>
      <c r="H340" s="2630"/>
      <c r="I340" s="2631"/>
      <c r="J340" s="2228"/>
      <c r="K340" s="2268"/>
      <c r="L340" s="2228"/>
      <c r="M340" s="1195"/>
      <c r="N340" s="1195"/>
      <c r="O340" s="1195"/>
      <c r="P340" s="1195"/>
      <c r="Q340" s="1195"/>
      <c r="R340" s="1195"/>
      <c r="S340" s="1195"/>
      <c r="T340" s="1195"/>
      <c r="U340" s="1195"/>
    </row>
    <row r="341" spans="1:21" ht="15" customHeight="1" outlineLevel="1">
      <c r="A341" s="229" t="s">
        <v>2769</v>
      </c>
      <c r="B341" s="229" t="s">
        <v>133</v>
      </c>
      <c r="C341" s="229">
        <f>дома!I1181</f>
        <v>191.47449627052521</v>
      </c>
      <c r="D341" s="2619"/>
      <c r="E341" s="2629"/>
      <c r="F341" s="2629"/>
      <c r="G341" s="2630"/>
      <c r="H341" s="2630"/>
      <c r="I341" s="2631"/>
      <c r="J341" s="2228"/>
      <c r="K341" s="2268"/>
      <c r="L341" s="2228"/>
      <c r="M341" s="1195"/>
      <c r="N341" s="1195"/>
      <c r="O341" s="1195"/>
      <c r="P341" s="1195"/>
      <c r="Q341" s="1195"/>
      <c r="R341" s="1195"/>
      <c r="S341" s="1195"/>
      <c r="T341" s="1195"/>
      <c r="U341" s="1195"/>
    </row>
    <row r="342" spans="1:21" ht="15" customHeight="1" outlineLevel="1">
      <c r="A342" s="229" t="s">
        <v>4036</v>
      </c>
      <c r="B342" s="229" t="s">
        <v>133</v>
      </c>
      <c r="C342" s="229">
        <f>дома!I1183</f>
        <v>268.0642947787353</v>
      </c>
      <c r="D342" s="2432">
        <v>1</v>
      </c>
      <c r="E342" s="2619"/>
      <c r="F342" s="2619"/>
      <c r="G342" s="2228"/>
      <c r="H342" s="2228"/>
      <c r="I342" s="2234"/>
      <c r="J342" s="2228"/>
      <c r="K342" s="2268"/>
      <c r="L342" s="2228"/>
      <c r="M342" s="1195"/>
      <c r="N342" s="1195"/>
      <c r="O342" s="1195"/>
      <c r="P342" s="1195"/>
      <c r="Q342" s="1195"/>
      <c r="R342" s="1195"/>
      <c r="S342" s="1195"/>
      <c r="T342" s="1195"/>
      <c r="U342" s="1195"/>
    </row>
    <row r="343" spans="1:21" ht="15" customHeight="1" outlineLevel="1">
      <c r="A343" s="2265" t="s">
        <v>1089</v>
      </c>
      <c r="B343" s="259" t="s">
        <v>159</v>
      </c>
      <c r="C343" s="1172">
        <f>'Ввод данных'!C261</f>
        <v>0</v>
      </c>
      <c r="D343" s="2619"/>
      <c r="E343" s="2619"/>
      <c r="F343" s="2619"/>
      <c r="G343" s="2228"/>
      <c r="H343" s="2228"/>
      <c r="I343" s="2234"/>
      <c r="J343" s="2228"/>
      <c r="K343" s="2268"/>
      <c r="L343" s="2228"/>
      <c r="M343" s="1195"/>
      <c r="N343" s="1195"/>
      <c r="O343" s="1195"/>
      <c r="P343" s="1195"/>
      <c r="Q343" s="1195"/>
      <c r="R343" s="1195"/>
      <c r="S343" s="1195"/>
      <c r="T343" s="1195"/>
      <c r="U343" s="1195"/>
    </row>
    <row r="344" spans="1:21" ht="15" customHeight="1" outlineLevel="1">
      <c r="A344" s="2265" t="s">
        <v>1090</v>
      </c>
      <c r="B344" s="259" t="s">
        <v>159</v>
      </c>
      <c r="C344" s="1172">
        <f>'Ввод данных'!C262</f>
        <v>0</v>
      </c>
      <c r="D344" s="2619"/>
      <c r="E344" s="2619"/>
      <c r="F344" s="2619"/>
      <c r="G344" s="2228"/>
      <c r="H344" s="2228"/>
      <c r="I344" s="2234"/>
      <c r="J344" s="2228"/>
      <c r="K344" s="2268"/>
      <c r="L344" s="2228"/>
      <c r="M344" s="1195"/>
      <c r="N344" s="1195"/>
      <c r="O344" s="1195"/>
      <c r="P344" s="1195"/>
      <c r="Q344" s="1195"/>
      <c r="R344" s="1195"/>
      <c r="S344" s="1195"/>
      <c r="T344" s="1195"/>
      <c r="U344" s="1195"/>
    </row>
    <row r="345" spans="1:21" ht="15" customHeight="1" outlineLevel="1">
      <c r="A345" s="2265" t="s">
        <v>1091</v>
      </c>
      <c r="B345" s="259" t="s">
        <v>159</v>
      </c>
      <c r="C345" s="1172">
        <f>'Ввод данных'!C263</f>
        <v>0</v>
      </c>
      <c r="D345" s="2619"/>
      <c r="E345" s="2619"/>
      <c r="F345" s="2619"/>
      <c r="G345" s="2228"/>
      <c r="H345" s="2228"/>
      <c r="I345" s="2234"/>
      <c r="J345" s="2228"/>
      <c r="K345" s="2268"/>
      <c r="L345" s="2228"/>
      <c r="M345" s="1195"/>
      <c r="N345" s="1195"/>
      <c r="O345" s="1195"/>
      <c r="P345" s="1195"/>
      <c r="Q345" s="1195"/>
      <c r="R345" s="1195"/>
      <c r="S345" s="1195"/>
      <c r="T345" s="1195"/>
      <c r="U345" s="1195"/>
    </row>
    <row r="346" spans="1:21" ht="15" customHeight="1" outlineLevel="1">
      <c r="A346" s="2635" t="s">
        <v>2720</v>
      </c>
      <c r="B346" s="2635" t="s">
        <v>1094</v>
      </c>
      <c r="C346" s="2635" t="s">
        <v>1802</v>
      </c>
      <c r="D346" s="2635" t="s">
        <v>2721</v>
      </c>
      <c r="E346" s="2635" t="s">
        <v>2722</v>
      </c>
      <c r="F346" s="1194"/>
      <c r="G346" s="3262" t="s">
        <v>1409</v>
      </c>
      <c r="H346" s="3262"/>
      <c r="I346" s="2635" t="s">
        <v>1094</v>
      </c>
      <c r="J346" s="2635" t="s">
        <v>1802</v>
      </c>
      <c r="K346" s="2636" t="s">
        <v>1601</v>
      </c>
      <c r="L346" s="2635" t="s">
        <v>2722</v>
      </c>
      <c r="M346" s="1195"/>
      <c r="N346" s="1195"/>
      <c r="O346" s="1195"/>
      <c r="P346" s="1195"/>
      <c r="Q346" s="1195"/>
      <c r="R346" s="1195"/>
      <c r="S346" s="1195"/>
      <c r="T346" s="1195"/>
      <c r="U346" s="1195"/>
    </row>
    <row r="347" spans="1:21" ht="15" customHeight="1" outlineLevel="1">
      <c r="A347" s="229" t="str">
        <f>'Ввод данных'!A247</f>
        <v>нет</v>
      </c>
      <c r="B347" s="229" t="s">
        <v>135</v>
      </c>
      <c r="C347" s="229">
        <f>('Ввод данных'!C11+'Ввод данных'!C11+'Ввод данных'!C12+'Ввод данных'!C12)*G325*VLOOKUP(A347,связи1!F203:H213,3,0)</f>
        <v>0</v>
      </c>
      <c r="D347" s="229">
        <f>VLOOKUP(A347,связи1!F203:H213,2,0)</f>
        <v>0</v>
      </c>
      <c r="E347" s="229">
        <f t="shared" ref="E347:E394" si="7">C347*D347</f>
        <v>0</v>
      </c>
      <c r="F347" s="1194"/>
      <c r="G347" s="3199"/>
      <c r="H347" s="3199"/>
      <c r="I347" s="229"/>
      <c r="J347" s="229"/>
      <c r="K347" s="2267"/>
      <c r="L347" s="229"/>
      <c r="M347" s="1194"/>
      <c r="N347" s="1194"/>
      <c r="O347" s="1194"/>
      <c r="P347" s="1194"/>
      <c r="Q347" s="1194"/>
      <c r="R347" s="1194"/>
      <c r="S347" s="1194"/>
      <c r="T347" s="1194"/>
      <c r="U347" s="1194"/>
    </row>
    <row r="348" spans="1:21" ht="15" customHeight="1" outlineLevel="1">
      <c r="A348" s="229" t="str">
        <f>'Прайс лист'!B864</f>
        <v xml:space="preserve">Болты анкерные с гайкой 12,0 х 280          </v>
      </c>
      <c r="B348" s="229" t="s">
        <v>159</v>
      </c>
      <c r="C348" s="229">
        <f>('Ввод данных'!C11+'Ввод данных'!C11+'Ввод данных'!C12+'Ввод данных'!C12)*G325*1.1</f>
        <v>44</v>
      </c>
      <c r="D348" s="229">
        <f>'Прайс лист'!G864</f>
        <v>27.1</v>
      </c>
      <c r="E348" s="229">
        <f t="shared" si="7"/>
        <v>1192.4000000000001</v>
      </c>
      <c r="F348" s="1194"/>
      <c r="G348" s="2284" t="str">
        <f>'Прайс лист'!B1735</f>
        <v>монтаж мауэрлат</v>
      </c>
      <c r="H348" s="2285"/>
      <c r="I348" s="229" t="s">
        <v>156</v>
      </c>
      <c r="J348" s="229">
        <f>('Ввод данных'!C11+'Ввод данных'!C11+'Ввод данных'!C12+'Ввод данных'!C12)</f>
        <v>40</v>
      </c>
      <c r="K348" s="2267">
        <f>'Прайс лист'!G1735</f>
        <v>250</v>
      </c>
      <c r="L348" s="2262">
        <f t="shared" ref="L348:L363" si="8">J348*K348</f>
        <v>10000</v>
      </c>
      <c r="M348" s="1194"/>
      <c r="N348" s="1194"/>
      <c r="O348" s="1194"/>
      <c r="P348" s="1194"/>
      <c r="Q348" s="1194"/>
      <c r="R348" s="1194"/>
      <c r="S348" s="1194"/>
      <c r="T348" s="1194"/>
      <c r="U348" s="1194"/>
    </row>
    <row r="349" spans="1:21" ht="15" customHeight="1" outlineLevel="1">
      <c r="A349" s="229" t="str">
        <f>'Ввод данных'!A252</f>
        <v>Доска сухая, 200*50мм</v>
      </c>
      <c r="B349" s="229" t="s">
        <v>135</v>
      </c>
      <c r="C349" s="229">
        <f>((C338*8+C332+(((C332/0.6)+1)*C339)*2)+(C236*C340*2+C339*3)+C334+C334+C335+C335+C336*4+C337*4)*1.1*G325*VLOOKUP(A349,связи1!A407:E416,5,0)</f>
        <v>4.1662398767195423</v>
      </c>
      <c r="D349" s="229">
        <f>VLOOKUP(A349,связи1!A407:E416,2,0)</f>
        <v>9000</v>
      </c>
      <c r="E349" s="229">
        <f t="shared" si="7"/>
        <v>37496.158890475883</v>
      </c>
      <c r="F349" s="1194"/>
      <c r="G349" s="2284" t="str">
        <f>'Прайс лист'!B1736</f>
        <v>монтаж стропил</v>
      </c>
      <c r="H349" s="2285"/>
      <c r="I349" s="229" t="s">
        <v>133</v>
      </c>
      <c r="J349" s="229">
        <f>C341*H326*IF(A349=связи1!A407,0,1)</f>
        <v>191.47449627052521</v>
      </c>
      <c r="K349" s="2267">
        <f>'Прайс лист'!G1736</f>
        <v>450</v>
      </c>
      <c r="L349" s="2262">
        <f t="shared" si="8"/>
        <v>86163.523321736342</v>
      </c>
      <c r="M349" s="1195"/>
      <c r="N349" s="1195"/>
      <c r="O349" s="1195"/>
      <c r="P349" s="1195"/>
      <c r="Q349" s="1195"/>
      <c r="R349" s="1195"/>
      <c r="S349" s="1195"/>
      <c r="T349" s="1195"/>
      <c r="U349" s="1195"/>
    </row>
    <row r="350" spans="1:21" ht="15" customHeight="1" outlineLevel="1">
      <c r="A350" s="229" t="s">
        <v>2723</v>
      </c>
      <c r="B350" s="229" t="s">
        <v>135</v>
      </c>
      <c r="C350" s="229">
        <f>(((C332/0.6)+1)*3)*VLOOKUP(A349,связи1!A407:E416,5,0)*G325</f>
        <v>0.28000000000000003</v>
      </c>
      <c r="D350" s="229">
        <f>VLOOKUP(A349,связи1!A407:E416,2,0)</f>
        <v>9000</v>
      </c>
      <c r="E350" s="229">
        <f t="shared" si="7"/>
        <v>2520.0000000000005</v>
      </c>
      <c r="F350" s="1194"/>
      <c r="G350" s="2284" t="str">
        <f>'Прайс лист'!B1737</f>
        <v>обрешетка</v>
      </c>
      <c r="H350" s="2285"/>
      <c r="I350" s="229" t="s">
        <v>133</v>
      </c>
      <c r="J350" s="229">
        <f>J349*H326*IF(A352=связи1!A432,0,1)</f>
        <v>191.47449627052521</v>
      </c>
      <c r="K350" s="2267">
        <f>'Прайс лист'!G1737</f>
        <v>100</v>
      </c>
      <c r="L350" s="2262">
        <f t="shared" si="8"/>
        <v>19147.44962705252</v>
      </c>
      <c r="M350" s="1195"/>
      <c r="N350" s="1195"/>
      <c r="O350" s="1195"/>
      <c r="P350" s="1195"/>
      <c r="Q350" s="1195"/>
      <c r="R350" s="1195"/>
      <c r="S350" s="1195"/>
      <c r="T350" s="1195"/>
      <c r="U350" s="1195"/>
    </row>
    <row r="351" spans="1:21" ht="15" customHeight="1" outlineLevel="1">
      <c r="A351" s="229" t="s">
        <v>4131</v>
      </c>
      <c r="B351" s="229" t="s">
        <v>135</v>
      </c>
      <c r="C351" s="229">
        <f>(((C332/2)+1)*C333)*VLOOKUP(A349,связи1!A407:E416,5,0)*G325</f>
        <v>0.17500000000000004</v>
      </c>
      <c r="D351" s="229">
        <f>VLOOKUP(A349,связи1!A407:E416,2,0)</f>
        <v>9000</v>
      </c>
      <c r="E351" s="229">
        <f t="shared" si="7"/>
        <v>1575.0000000000005</v>
      </c>
      <c r="F351" s="1194"/>
      <c r="G351" s="2284" t="str">
        <f>'Прайс лист'!B1738</f>
        <v>контробеш</v>
      </c>
      <c r="H351" s="2285"/>
      <c r="I351" s="229" t="s">
        <v>133</v>
      </c>
      <c r="J351" s="229">
        <f>J349*H326*IF(A353=связи1!A418,0,1)</f>
        <v>191.47449627052521</v>
      </c>
      <c r="K351" s="2267">
        <f>'Прайс лист'!G1738</f>
        <v>100</v>
      </c>
      <c r="L351" s="2262">
        <f t="shared" si="8"/>
        <v>19147.44962705252</v>
      </c>
      <c r="M351" s="1195"/>
      <c r="N351" s="1195"/>
      <c r="O351" s="1195"/>
      <c r="P351" s="1195"/>
      <c r="Q351" s="1195"/>
      <c r="R351" s="1195"/>
      <c r="S351" s="1195"/>
      <c r="T351" s="1195"/>
      <c r="U351" s="1195"/>
    </row>
    <row r="352" spans="1:21" ht="15" customHeight="1" outlineLevel="1">
      <c r="A352" s="229" t="str">
        <f>'Ввод данных'!A254</f>
        <v>Сосна влаж,180*25мм</v>
      </c>
      <c r="B352" s="229" t="s">
        <v>135</v>
      </c>
      <c r="C352" s="229">
        <f>C342*3*G325*VLOOKUP(A352,связи1!A432:F440,5,0)</f>
        <v>3.6188679795129262</v>
      </c>
      <c r="D352" s="229">
        <f>VLOOKUP(A352,связи1!A432:F440,6,0)</f>
        <v>6500</v>
      </c>
      <c r="E352" s="229">
        <f t="shared" si="7"/>
        <v>23522.641866834019</v>
      </c>
      <c r="F352" s="1194"/>
      <c r="G352" s="2284" t="str">
        <f>'Прайс лист'!B1739</f>
        <v>мембрана</v>
      </c>
      <c r="H352" s="2285"/>
      <c r="I352" s="229" t="s">
        <v>133</v>
      </c>
      <c r="J352" s="229">
        <f>J349*H326*IF(A354='Прайс лист'!B793,0,1)</f>
        <v>191.47449627052521</v>
      </c>
      <c r="K352" s="2267">
        <f>'Прайс лист'!G1739</f>
        <v>100</v>
      </c>
      <c r="L352" s="2262">
        <f t="shared" si="8"/>
        <v>19147.44962705252</v>
      </c>
      <c r="M352" s="1195"/>
      <c r="N352" s="1195"/>
      <c r="O352" s="1195"/>
      <c r="P352" s="1195"/>
      <c r="Q352" s="1195"/>
      <c r="R352" s="1195"/>
      <c r="S352" s="1195"/>
      <c r="T352" s="1195"/>
      <c r="U352" s="1195"/>
    </row>
    <row r="353" spans="1:21" ht="15" customHeight="1" outlineLevel="1">
      <c r="A353" s="229" t="str">
        <f>'Ввод данных'!A256</f>
        <v>Сосна влаж, 50*50мм</v>
      </c>
      <c r="B353" s="229" t="s">
        <v>135</v>
      </c>
      <c r="C353" s="229">
        <f>C342*3*G325*VLOOKUP(A353,связи1!A418:E421,5,0)</f>
        <v>2.0104822108405154</v>
      </c>
      <c r="D353" s="229">
        <f>VLOOKUP(A353,связи1!A418:D421,2,0)</f>
        <v>6500</v>
      </c>
      <c r="E353" s="229">
        <f t="shared" si="7"/>
        <v>13068.134370463349</v>
      </c>
      <c r="F353" s="1194"/>
      <c r="G353" s="2284" t="str">
        <f>'Прайс лист'!B1740</f>
        <v>пароизоляц</v>
      </c>
      <c r="H353" s="2285"/>
      <c r="I353" s="229" t="s">
        <v>133</v>
      </c>
      <c r="J353" s="229">
        <f>J349*H326*IF(A355='Прайс лист'!B820,0,1)</f>
        <v>191.47449627052521</v>
      </c>
      <c r="K353" s="2267">
        <f>'Прайс лист'!G1740</f>
        <v>100</v>
      </c>
      <c r="L353" s="2262">
        <f t="shared" si="8"/>
        <v>19147.44962705252</v>
      </c>
      <c r="M353" s="1195"/>
      <c r="N353" s="1195"/>
      <c r="O353" s="1195"/>
      <c r="P353" s="1195"/>
      <c r="Q353" s="1195"/>
      <c r="R353" s="1195"/>
      <c r="S353" s="1195"/>
      <c r="T353" s="1195"/>
      <c r="U353" s="1195"/>
    </row>
    <row r="354" spans="1:21" ht="15" customHeight="1" outlineLevel="1">
      <c r="A354" s="229" t="str">
        <f>'Ввод данных'!A265</f>
        <v>Мембрана MD90</v>
      </c>
      <c r="B354" s="229" t="s">
        <v>133</v>
      </c>
      <c r="C354" s="229">
        <f>C342*G325</f>
        <v>268.0642947787353</v>
      </c>
      <c r="D354" s="229">
        <f>VLOOKUP(A354,'Прайс лист'!B793:G819,6,0)</f>
        <v>34</v>
      </c>
      <c r="E354" s="229">
        <f t="shared" si="7"/>
        <v>9114.1860224770007</v>
      </c>
      <c r="F354" s="1194"/>
      <c r="G354" s="2284" t="str">
        <f>'Прайс лист'!B1741</f>
        <v>утеплитель</v>
      </c>
      <c r="H354" s="2285"/>
      <c r="I354" s="229" t="s">
        <v>133</v>
      </c>
      <c r="J354" s="229">
        <f>C341*H326*IF(A356='Прайс лист'!B744,0,1)</f>
        <v>191.47449627052521</v>
      </c>
      <c r="K354" s="2267">
        <f>'Прайс лист'!G1741</f>
        <v>200</v>
      </c>
      <c r="L354" s="2262">
        <f t="shared" si="8"/>
        <v>38294.899254105039</v>
      </c>
      <c r="M354" s="1195"/>
      <c r="N354" s="1195"/>
      <c r="O354" s="1195"/>
      <c r="P354" s="1195"/>
      <c r="Q354" s="1195"/>
      <c r="R354" s="1195"/>
      <c r="S354" s="1195"/>
      <c r="T354" s="1195"/>
      <c r="U354" s="1195"/>
    </row>
    <row r="355" spans="1:21" ht="15" customHeight="1" outlineLevel="1">
      <c r="A355" s="229" t="str">
        <f>'Ввод данных'!A267</f>
        <v>Мембрана Tyvek AirGuard Reflective</v>
      </c>
      <c r="B355" s="229" t="s">
        <v>133</v>
      </c>
      <c r="C355" s="229">
        <f>C342*D342*G325</f>
        <v>268.0642947787353</v>
      </c>
      <c r="D355" s="229">
        <f>VLOOKUP(A355,'Прайс лист'!B820:G831,6,0)</f>
        <v>174</v>
      </c>
      <c r="E355" s="229">
        <f t="shared" si="7"/>
        <v>46643.18729149994</v>
      </c>
      <c r="F355" s="1194"/>
      <c r="G355" s="2284" t="str">
        <f>'Прайс лист'!B1742</f>
        <v>Монтаж металлочерепицы</v>
      </c>
      <c r="H355" s="2285"/>
      <c r="I355" s="229" t="s">
        <v>133</v>
      </c>
      <c r="J355" s="229">
        <f>C341*H326*C327/1.1</f>
        <v>174.06772388229564</v>
      </c>
      <c r="K355" s="2267">
        <f>'Прайс лист'!G1742</f>
        <v>300</v>
      </c>
      <c r="L355" s="2262">
        <f t="shared" si="8"/>
        <v>52220.317164688691</v>
      </c>
      <c r="M355" s="1195"/>
      <c r="N355" s="1195"/>
      <c r="O355" s="1195"/>
      <c r="P355" s="1195"/>
      <c r="Q355" s="1195"/>
      <c r="R355" s="1195"/>
      <c r="S355" s="1195"/>
      <c r="T355" s="1195"/>
      <c r="U355" s="1195"/>
    </row>
    <row r="356" spans="1:21" ht="15" customHeight="1" outlineLevel="1">
      <c r="A356" s="229" t="str">
        <f>'Ввод данных'!A260</f>
        <v>Плитный,28кг/м3, технониколь, 200мм</v>
      </c>
      <c r="B356" s="229" t="s">
        <v>135</v>
      </c>
      <c r="C356" s="229">
        <f>C341*G325*VLOOKUP(A356,'Прайс лист'!B744:G782,3,0)</f>
        <v>38.29489925410504</v>
      </c>
      <c r="D356" s="229">
        <f>VLOOKUP(A356,'Прайс лист'!B744:G782,6,0)</f>
        <v>1700</v>
      </c>
      <c r="E356" s="229">
        <f t="shared" si="7"/>
        <v>65101.328731978567</v>
      </c>
      <c r="F356" s="1194"/>
      <c r="G356" s="2284" t="str">
        <f>'Прайс лист'!B1743</f>
        <v>Монтаж ондулина</v>
      </c>
      <c r="I356" s="16" t="s">
        <v>133</v>
      </c>
      <c r="J356" s="16">
        <f>C342*C328/1.1</f>
        <v>0</v>
      </c>
      <c r="K356" s="2267">
        <f>'Прайс лист'!G1743</f>
        <v>300</v>
      </c>
      <c r="L356" s="2262">
        <f t="shared" si="8"/>
        <v>0</v>
      </c>
      <c r="M356" s="1195"/>
      <c r="N356" s="1195"/>
      <c r="O356" s="1195"/>
      <c r="P356" s="1195"/>
      <c r="Q356" s="1195"/>
      <c r="R356" s="1195"/>
      <c r="S356" s="1195"/>
      <c r="T356" s="1195"/>
      <c r="U356" s="1195"/>
    </row>
    <row r="357" spans="1:21" ht="15" customHeight="1" outlineLevel="1">
      <c r="A357" s="229" t="s">
        <v>2724</v>
      </c>
      <c r="B357" s="229" t="s">
        <v>133</v>
      </c>
      <c r="C357" s="229">
        <f>C342*C327*G325</f>
        <v>268.0642947787353</v>
      </c>
      <c r="D357" s="229">
        <f>'Прайс лист'!G1131</f>
        <v>250</v>
      </c>
      <c r="E357" s="229">
        <f t="shared" si="7"/>
        <v>67016.07369468383</v>
      </c>
      <c r="F357" s="1194"/>
      <c r="G357" s="2284" t="s">
        <v>4149</v>
      </c>
      <c r="H357" s="2285"/>
      <c r="I357" s="229" t="s">
        <v>156</v>
      </c>
      <c r="J357" s="275">
        <f>C359*H326</f>
        <v>88</v>
      </c>
      <c r="K357" s="2267">
        <f>'Прайс лист'!G1745</f>
        <v>100</v>
      </c>
      <c r="L357" s="2262">
        <f t="shared" si="8"/>
        <v>8800</v>
      </c>
      <c r="M357" s="1195"/>
      <c r="N357" s="1195"/>
      <c r="O357" s="1195"/>
      <c r="P357" s="1195"/>
      <c r="Q357" s="1195"/>
      <c r="R357" s="1195"/>
      <c r="S357" s="1195"/>
      <c r="T357" s="1195"/>
      <c r="U357" s="1195"/>
    </row>
    <row r="358" spans="1:21" ht="15" customHeight="1" outlineLevel="1">
      <c r="A358" s="229" t="str">
        <f>'Прайс лист'!B1134</f>
        <v>Конек</v>
      </c>
      <c r="B358" s="229" t="s">
        <v>156</v>
      </c>
      <c r="C358" s="229">
        <f>(C338*4+C340)*C327*G325</f>
        <v>39.350000802913002</v>
      </c>
      <c r="D358" s="229">
        <f>'Прайс лист'!G1146</f>
        <v>200</v>
      </c>
      <c r="E358" s="229">
        <f t="shared" si="7"/>
        <v>7870.0001605826001</v>
      </c>
      <c r="F358" s="1194"/>
      <c r="G358" s="2258" t="s">
        <v>1544</v>
      </c>
      <c r="H358" s="2259"/>
      <c r="I358" s="229" t="s">
        <v>156</v>
      </c>
      <c r="J358" s="275">
        <f>C375*H326</f>
        <v>42</v>
      </c>
      <c r="K358" s="2267">
        <f>'Прайс лист'!G1747</f>
        <v>300</v>
      </c>
      <c r="L358" s="2262">
        <f t="shared" si="8"/>
        <v>12600</v>
      </c>
      <c r="M358" s="1195"/>
      <c r="N358" s="1195"/>
      <c r="O358" s="1195"/>
      <c r="P358" s="1195"/>
      <c r="Q358" s="1195"/>
      <c r="R358" s="1195"/>
      <c r="S358" s="1195"/>
      <c r="T358" s="1195"/>
      <c r="U358" s="1195"/>
    </row>
    <row r="359" spans="1:21" ht="15" customHeight="1" outlineLevel="1">
      <c r="A359" s="229" t="str">
        <f>'Прайс лист'!B1144</f>
        <v>Карнизная планка</v>
      </c>
      <c r="B359" s="229" t="s">
        <v>156</v>
      </c>
      <c r="C359" s="229">
        <f>(C236+C336+C336+D236+C337+C337)*4*G325*C327</f>
        <v>88</v>
      </c>
      <c r="D359" s="229">
        <f>'Прайс лист'!G1144</f>
        <v>190</v>
      </c>
      <c r="E359" s="229">
        <f t="shared" si="7"/>
        <v>16720</v>
      </c>
      <c r="F359" s="1194"/>
      <c r="G359" s="2284" t="s">
        <v>1082</v>
      </c>
      <c r="H359" s="2285"/>
      <c r="I359" s="229" t="s">
        <v>156</v>
      </c>
      <c r="J359" s="275">
        <f>C377*H326</f>
        <v>6.6000000000000005</v>
      </c>
      <c r="K359" s="2267">
        <f>'Прайс лист'!G1748</f>
        <v>300</v>
      </c>
      <c r="L359" s="2262">
        <f t="shared" si="8"/>
        <v>1980.0000000000002</v>
      </c>
      <c r="M359" s="1195"/>
      <c r="N359" s="1195"/>
      <c r="O359" s="1195"/>
      <c r="P359" s="1195"/>
      <c r="Q359" s="1195"/>
      <c r="R359" s="1195"/>
      <c r="S359" s="1195"/>
      <c r="T359" s="1195"/>
      <c r="U359" s="1195"/>
    </row>
    <row r="360" spans="1:21" ht="15" customHeight="1" outlineLevel="1">
      <c r="A360" s="229" t="s">
        <v>2725</v>
      </c>
      <c r="B360" s="229" t="s">
        <v>133</v>
      </c>
      <c r="C360" s="229">
        <f>C342*C328*G325</f>
        <v>0</v>
      </c>
      <c r="D360" s="229">
        <f>'Прайс лист'!G1143</f>
        <v>180</v>
      </c>
      <c r="E360" s="229">
        <f t="shared" si="7"/>
        <v>0</v>
      </c>
      <c r="F360" s="1194"/>
      <c r="G360" s="2466" t="s">
        <v>1546</v>
      </c>
      <c r="H360" s="2467"/>
      <c r="I360" s="2226" t="s">
        <v>156</v>
      </c>
      <c r="J360" s="275">
        <f>C358+C362+C370</f>
        <v>39.350000802913002</v>
      </c>
      <c r="K360" s="2267">
        <f>'Прайс лист'!G1750</f>
        <v>300</v>
      </c>
      <c r="L360" s="2262">
        <f t="shared" si="8"/>
        <v>11805.0002408739</v>
      </c>
      <c r="M360" s="1195"/>
      <c r="N360" s="1195"/>
      <c r="O360" s="1195"/>
      <c r="P360" s="1195"/>
      <c r="Q360" s="1195"/>
      <c r="R360" s="1195"/>
      <c r="S360" s="1195"/>
      <c r="T360" s="1195"/>
      <c r="U360" s="1195"/>
    </row>
    <row r="361" spans="1:21" ht="15" customHeight="1" outlineLevel="1">
      <c r="A361" s="229" t="str">
        <f>'Прайс лист'!B1144</f>
        <v>Карнизная планка</v>
      </c>
      <c r="B361" s="229" t="s">
        <v>156</v>
      </c>
      <c r="C361" s="229">
        <f>(C236+C336+C336+D236+C337+C337)*4*G325*C328</f>
        <v>0</v>
      </c>
      <c r="D361" s="229">
        <f>'Прайс лист'!G1144</f>
        <v>190</v>
      </c>
      <c r="E361" s="229">
        <f t="shared" si="7"/>
        <v>0</v>
      </c>
      <c r="F361" s="1194"/>
      <c r="G361" s="2258" t="str">
        <f>'Прайс лист'!B1751</f>
        <v>Монтаж фанеры/osb</v>
      </c>
      <c r="H361" s="2259"/>
      <c r="I361" s="229" t="s">
        <v>133</v>
      </c>
      <c r="J361" s="275">
        <f>C364*C329/1.1*IF(A364='Прайс лист'!B1027,0,1)</f>
        <v>0</v>
      </c>
      <c r="K361" s="2267">
        <f>'Прайс лист'!G1751</f>
        <v>200</v>
      </c>
      <c r="L361" s="2262">
        <f t="shared" si="8"/>
        <v>0</v>
      </c>
      <c r="M361" s="1195"/>
      <c r="N361" s="1195"/>
      <c r="O361" s="1195"/>
      <c r="P361" s="1195"/>
      <c r="Q361" s="1195"/>
      <c r="R361" s="1195"/>
      <c r="S361" s="1195"/>
      <c r="T361" s="1195"/>
      <c r="U361" s="1195"/>
    </row>
    <row r="362" spans="1:21" ht="15" customHeight="1" outlineLevel="1">
      <c r="A362" s="229" t="str">
        <f>'Прайс лист'!B1146</f>
        <v>Конек</v>
      </c>
      <c r="B362" s="229" t="s">
        <v>156</v>
      </c>
      <c r="C362" s="229">
        <f>(C338*4+C340)*C328*G325</f>
        <v>0</v>
      </c>
      <c r="D362" s="229">
        <f>'Прайс лист'!G1146</f>
        <v>200</v>
      </c>
      <c r="E362" s="229">
        <f t="shared" si="7"/>
        <v>0</v>
      </c>
      <c r="F362" s="1194"/>
      <c r="G362" s="2258" t="str">
        <f>'Прайс лист'!B1752</f>
        <v>монтаж подкладочного ковра</v>
      </c>
      <c r="H362" s="2259"/>
      <c r="I362" s="229" t="s">
        <v>133</v>
      </c>
      <c r="J362" s="275">
        <f>C367*C329/1.1</f>
        <v>0</v>
      </c>
      <c r="K362" s="2267">
        <f>'Прайс лист'!G1752</f>
        <v>150</v>
      </c>
      <c r="L362" s="2262">
        <f t="shared" si="8"/>
        <v>0</v>
      </c>
      <c r="M362" s="1195"/>
      <c r="N362" s="1195"/>
      <c r="O362" s="1195"/>
      <c r="P362" s="1195"/>
      <c r="Q362" s="1195"/>
      <c r="R362" s="1195"/>
      <c r="S362" s="1195"/>
      <c r="T362" s="1195"/>
      <c r="U362" s="1195"/>
    </row>
    <row r="363" spans="1:21" ht="15" customHeight="1" outlineLevel="1">
      <c r="A363" s="19" t="str">
        <f>'Прайс лист'!B1150</f>
        <v>Крепеж для ондулина</v>
      </c>
      <c r="B363" s="17" t="s">
        <v>159</v>
      </c>
      <c r="C363" s="17">
        <f>C341*12*C328*G325</f>
        <v>0</v>
      </c>
      <c r="D363" s="19">
        <f>'Прайс лист'!G1150</f>
        <v>4.5</v>
      </c>
      <c r="E363" s="229">
        <f t="shared" si="7"/>
        <v>0</v>
      </c>
      <c r="F363" s="1194"/>
      <c r="G363" s="2258" t="str">
        <f>'Прайс лист'!B1753</f>
        <v>Монтаж мягкой кровли</v>
      </c>
      <c r="H363" s="2259"/>
      <c r="I363" s="229" t="s">
        <v>133</v>
      </c>
      <c r="J363" s="275">
        <f>C342*C329/1.1</f>
        <v>0</v>
      </c>
      <c r="K363" s="2267">
        <f>'Прайс лист'!G1753</f>
        <v>350</v>
      </c>
      <c r="L363" s="2262">
        <f t="shared" si="8"/>
        <v>0</v>
      </c>
      <c r="M363" s="1195"/>
      <c r="N363" s="1195"/>
      <c r="O363" s="1195"/>
      <c r="P363" s="1195"/>
      <c r="Q363" s="1195"/>
      <c r="R363" s="1195"/>
      <c r="S363" s="1195"/>
      <c r="T363" s="1195"/>
      <c r="U363" s="1195"/>
    </row>
    <row r="364" spans="1:21" ht="15" customHeight="1" outlineLevel="1">
      <c r="A364" s="19" t="str">
        <f>'Ввод данных'!A258</f>
        <v>нет</v>
      </c>
      <c r="B364" s="17"/>
      <c r="C364" s="17">
        <f>C342*G325</f>
        <v>268.0642947787353</v>
      </c>
      <c r="D364" s="19">
        <f>VLOOKUP(A364,'Прайс лист'!B1027:G1078,6,0)</f>
        <v>0</v>
      </c>
      <c r="E364" s="229">
        <f t="shared" si="7"/>
        <v>0</v>
      </c>
      <c r="F364" s="1194"/>
      <c r="M364" s="1195"/>
      <c r="N364" s="1195"/>
      <c r="O364" s="1195"/>
      <c r="P364" s="1195"/>
      <c r="Q364" s="1195"/>
      <c r="R364" s="1195"/>
      <c r="S364" s="1195"/>
      <c r="T364" s="1195"/>
      <c r="U364" s="1195"/>
    </row>
    <row r="365" spans="1:21" ht="15" customHeight="1" outlineLevel="1">
      <c r="A365" s="229" t="str">
        <f>'Прайс лист'!B1155</f>
        <v>Рядовая черепица</v>
      </c>
      <c r="B365" s="17" t="s">
        <v>156</v>
      </c>
      <c r="C365" s="17">
        <f>C342*C329*G325</f>
        <v>0</v>
      </c>
      <c r="D365" s="19">
        <f>'Прайс лист'!G1155</f>
        <v>360</v>
      </c>
      <c r="E365" s="229">
        <f t="shared" si="7"/>
        <v>0</v>
      </c>
      <c r="F365" s="1194"/>
      <c r="G365" s="2258"/>
      <c r="H365" s="2259"/>
      <c r="I365" s="229"/>
      <c r="J365" s="275"/>
      <c r="K365" s="2267"/>
      <c r="L365" s="2262"/>
      <c r="M365" s="1195"/>
      <c r="N365" s="1195"/>
      <c r="O365" s="1195"/>
      <c r="P365" s="1195"/>
      <c r="Q365" s="1195"/>
      <c r="R365" s="1195"/>
      <c r="S365" s="1195"/>
      <c r="T365" s="1195"/>
      <c r="U365" s="1195"/>
    </row>
    <row r="366" spans="1:21" ht="15" customHeight="1" outlineLevel="1">
      <c r="A366" s="229" t="str">
        <f>'Прайс лист'!B1156</f>
        <v>Металл оцинк защита (карниз)</v>
      </c>
      <c r="B366" s="17" t="s">
        <v>156</v>
      </c>
      <c r="C366" s="17">
        <f>((C334+C336*2)*2+(C335+C337*2)*2)*C329*G325</f>
        <v>0</v>
      </c>
      <c r="D366" s="19">
        <f>'Прайс лист'!G1156</f>
        <v>200</v>
      </c>
      <c r="E366" s="229">
        <f t="shared" si="7"/>
        <v>0</v>
      </c>
      <c r="F366" s="1194"/>
      <c r="M366" s="1195"/>
      <c r="N366" s="1195"/>
      <c r="O366" s="1195"/>
      <c r="P366" s="1195"/>
      <c r="Q366" s="1195"/>
      <c r="R366" s="1195"/>
      <c r="S366" s="1195"/>
      <c r="T366" s="1195"/>
      <c r="U366" s="1195"/>
    </row>
    <row r="367" spans="1:21" ht="15" customHeight="1" outlineLevel="1">
      <c r="A367" s="229" t="str">
        <f>'Прайс лист'!B1157</f>
        <v>Подкладочный ковер</v>
      </c>
      <c r="B367" s="17" t="s">
        <v>133</v>
      </c>
      <c r="C367" s="17">
        <f>C342*C329*G325</f>
        <v>0</v>
      </c>
      <c r="D367" s="19">
        <f>'Прайс лист'!G1157</f>
        <v>220</v>
      </c>
      <c r="E367" s="229">
        <f t="shared" si="7"/>
        <v>0</v>
      </c>
      <c r="F367" s="1194"/>
      <c r="M367" s="1195"/>
      <c r="N367" s="1195"/>
      <c r="O367" s="1195"/>
      <c r="P367" s="1195"/>
      <c r="Q367" s="1195"/>
      <c r="R367" s="1195"/>
      <c r="S367" s="1195"/>
      <c r="T367" s="1195"/>
      <c r="U367" s="1195"/>
    </row>
    <row r="368" spans="1:21" ht="15" customHeight="1" outlineLevel="1">
      <c r="A368" s="229" t="str">
        <f>'Прайс лист'!B1158</f>
        <v>Карнизная самоклеющаяся черепица</v>
      </c>
      <c r="B368" s="17" t="s">
        <v>133</v>
      </c>
      <c r="C368" s="17">
        <f>((C334+C336*2)*2+(C335+C337*2)*2)*C329*G325</f>
        <v>0</v>
      </c>
      <c r="D368" s="19">
        <f>'Прайс лист'!G1158</f>
        <v>220</v>
      </c>
      <c r="E368" s="229">
        <f t="shared" si="7"/>
        <v>0</v>
      </c>
      <c r="F368" s="1194"/>
      <c r="M368" s="1195"/>
      <c r="N368" s="1195"/>
      <c r="O368" s="1195"/>
      <c r="P368" s="1195"/>
      <c r="Q368" s="1195"/>
      <c r="R368" s="1195"/>
      <c r="S368" s="1195"/>
      <c r="T368" s="1195"/>
      <c r="U368" s="1195"/>
    </row>
    <row r="369" spans="1:21" ht="15" customHeight="1" outlineLevel="1">
      <c r="A369" s="229" t="str">
        <f>'Прайс лист'!B1159</f>
        <v>Спец ковер ендова нижняя</v>
      </c>
      <c r="B369" s="17" t="s">
        <v>1415</v>
      </c>
      <c r="C369" s="17"/>
      <c r="D369" s="19">
        <f>'Прайс лист'!G1159</f>
        <v>200</v>
      </c>
      <c r="E369" s="229">
        <f t="shared" si="7"/>
        <v>0</v>
      </c>
      <c r="F369" s="1194"/>
      <c r="G369" s="2637"/>
      <c r="H369" s="2638"/>
      <c r="I369" s="2226"/>
      <c r="J369" s="275"/>
      <c r="K369" s="2267"/>
      <c r="L369" s="2262"/>
      <c r="M369" s="1195"/>
      <c r="N369" s="1195"/>
      <c r="O369" s="1195"/>
      <c r="P369" s="1195"/>
      <c r="Q369" s="1195"/>
      <c r="R369" s="1195"/>
      <c r="S369" s="1195"/>
      <c r="T369" s="1195"/>
      <c r="U369" s="1195"/>
    </row>
    <row r="370" spans="1:21" ht="15" customHeight="1" outlineLevel="1">
      <c r="A370" s="229" t="str">
        <f>'Прайс лист'!B1160</f>
        <v>Коньковой элемент</v>
      </c>
      <c r="B370" s="17" t="s">
        <v>1415</v>
      </c>
      <c r="C370" s="17">
        <f>(C338*4+C340)*C329*G325</f>
        <v>0</v>
      </c>
      <c r="D370" s="19">
        <f>'Прайс лист'!G1160</f>
        <v>250</v>
      </c>
      <c r="E370" s="229">
        <f t="shared" si="7"/>
        <v>0</v>
      </c>
      <c r="F370" s="1194"/>
      <c r="G370" s="2637"/>
      <c r="H370" s="2638"/>
      <c r="I370" s="2226"/>
      <c r="J370" s="275"/>
      <c r="K370" s="2267"/>
      <c r="L370" s="2262"/>
      <c r="M370" s="1195"/>
      <c r="N370" s="1195"/>
      <c r="O370" s="1195"/>
      <c r="P370" s="1195"/>
      <c r="Q370" s="1195"/>
      <c r="R370" s="1195"/>
      <c r="S370" s="1195"/>
      <c r="T370" s="1195"/>
      <c r="U370" s="1195"/>
    </row>
    <row r="371" spans="1:21" ht="15" customHeight="1" outlineLevel="1">
      <c r="A371" s="229" t="str">
        <f>'Прайс лист'!B1161</f>
        <v>Планка премыкания</v>
      </c>
      <c r="B371" s="17"/>
      <c r="C371" s="17"/>
      <c r="D371" s="19">
        <f>'Прайс лист'!G1161</f>
        <v>200</v>
      </c>
      <c r="E371" s="229">
        <f t="shared" si="7"/>
        <v>0</v>
      </c>
      <c r="F371" s="1194"/>
      <c r="G371" s="2637"/>
      <c r="H371" s="2638"/>
      <c r="I371" s="2226"/>
      <c r="J371" s="275"/>
      <c r="K371" s="2267"/>
      <c r="L371" s="2262"/>
      <c r="M371" s="1195"/>
      <c r="N371" s="1195"/>
      <c r="O371" s="1195"/>
      <c r="P371" s="1195"/>
      <c r="Q371" s="1195"/>
      <c r="R371" s="1195"/>
      <c r="S371" s="1195"/>
      <c r="T371" s="1195"/>
      <c r="U371" s="1195"/>
    </row>
    <row r="372" spans="1:21" ht="15" customHeight="1" outlineLevel="1">
      <c r="A372" s="229" t="str">
        <f>'Прайс лист'!B1162</f>
        <v>Гвозди для крепления подкладочного ковра</v>
      </c>
      <c r="B372" s="17" t="s">
        <v>159</v>
      </c>
      <c r="C372" s="17">
        <f>C342*10*C329*G325</f>
        <v>0</v>
      </c>
      <c r="D372" s="19">
        <f>'Прайс лист'!G1162</f>
        <v>1.2E-2</v>
      </c>
      <c r="E372" s="229">
        <f t="shared" si="7"/>
        <v>0</v>
      </c>
      <c r="F372" s="1194"/>
      <c r="G372" s="2637"/>
      <c r="H372" s="2638"/>
      <c r="I372" s="2226"/>
      <c r="J372" s="275"/>
      <c r="K372" s="2267"/>
      <c r="L372" s="2262"/>
      <c r="M372" s="1195"/>
      <c r="N372" s="1195"/>
      <c r="O372" s="1195"/>
      <c r="P372" s="1195"/>
      <c r="Q372" s="1195"/>
      <c r="R372" s="1195"/>
      <c r="S372" s="1195"/>
      <c r="T372" s="1195"/>
      <c r="U372" s="1195"/>
    </row>
    <row r="373" spans="1:21" ht="15" customHeight="1" outlineLevel="1">
      <c r="A373" s="229" t="str">
        <f>'Прайс лист'!B1163</f>
        <v>Гвозди для крепления черепицы</v>
      </c>
      <c r="B373" s="17" t="s">
        <v>159</v>
      </c>
      <c r="C373" s="17">
        <f>C342*C329*20*G325</f>
        <v>0</v>
      </c>
      <c r="D373" s="19">
        <f>'Прайс лист'!G1163</f>
        <v>0.25</v>
      </c>
      <c r="E373" s="229">
        <f t="shared" si="7"/>
        <v>0</v>
      </c>
      <c r="F373" s="1194"/>
      <c r="G373" s="2637"/>
      <c r="H373" s="2638"/>
      <c r="I373" s="2226"/>
      <c r="J373" s="275"/>
      <c r="K373" s="2267"/>
      <c r="L373" s="2262"/>
      <c r="M373" s="1195"/>
      <c r="N373" s="1195"/>
      <c r="O373" s="1195"/>
      <c r="P373" s="1195"/>
      <c r="Q373" s="1195"/>
      <c r="R373" s="1195"/>
      <c r="S373" s="1195"/>
      <c r="T373" s="1195"/>
      <c r="U373" s="1195"/>
    </row>
    <row r="374" spans="1:21" ht="15" customHeight="1" outlineLevel="1">
      <c r="A374" s="229" t="str">
        <f>'Прайс лист'!B1164</f>
        <v>Клей для монтажа черепицы</v>
      </c>
      <c r="B374" s="17" t="s">
        <v>188</v>
      </c>
      <c r="C374" s="17">
        <f>C341*C329*G325</f>
        <v>0</v>
      </c>
      <c r="D374" s="19">
        <f>'Прайс лист'!G1164</f>
        <v>250</v>
      </c>
      <c r="E374" s="229">
        <f t="shared" si="7"/>
        <v>0</v>
      </c>
      <c r="F374" s="1194"/>
      <c r="G374" s="2637"/>
      <c r="H374" s="2638"/>
      <c r="I374" s="2226"/>
      <c r="J374" s="275"/>
      <c r="K374" s="2267"/>
      <c r="L374" s="2262"/>
      <c r="M374" s="1195"/>
      <c r="N374" s="1195"/>
      <c r="O374" s="1195"/>
      <c r="P374" s="1195"/>
      <c r="Q374" s="1195"/>
      <c r="R374" s="1195"/>
      <c r="S374" s="1195"/>
      <c r="T374" s="1195"/>
      <c r="U374" s="1195"/>
    </row>
    <row r="375" spans="1:21" ht="15" customHeight="1" outlineLevel="1">
      <c r="A375" s="229" t="str">
        <f>'Прайс лист'!B1169</f>
        <v>желоб</v>
      </c>
      <c r="B375" s="229" t="s">
        <v>1415</v>
      </c>
      <c r="C375" s="229">
        <f>дома!I1195*G325</f>
        <v>42</v>
      </c>
      <c r="D375" s="229">
        <f>'Прайс лист'!G1169</f>
        <v>300</v>
      </c>
      <c r="E375" s="229">
        <f t="shared" si="7"/>
        <v>12600</v>
      </c>
      <c r="F375" s="1194"/>
      <c r="G375" s="2637"/>
      <c r="H375" s="2638"/>
      <c r="I375" s="2226"/>
      <c r="J375" s="275"/>
      <c r="K375" s="2267"/>
      <c r="L375" s="2262"/>
      <c r="M375" s="1195"/>
      <c r="N375" s="1195"/>
      <c r="O375" s="1195"/>
      <c r="P375" s="1195"/>
      <c r="Q375" s="1195"/>
      <c r="R375" s="1195"/>
      <c r="S375" s="1195"/>
      <c r="T375" s="1195"/>
      <c r="U375" s="1195"/>
    </row>
    <row r="376" spans="1:21" ht="15" customHeight="1" outlineLevel="1">
      <c r="A376" s="229" t="str">
        <f>'Прайс лист'!B1170</f>
        <v>отвод</v>
      </c>
      <c r="B376" s="229" t="s">
        <v>159</v>
      </c>
      <c r="C376" s="229">
        <v>4</v>
      </c>
      <c r="D376" s="229">
        <f>'Прайс лист'!G1170</f>
        <v>250</v>
      </c>
      <c r="E376" s="229">
        <f t="shared" si="7"/>
        <v>1000</v>
      </c>
      <c r="F376" s="1194"/>
      <c r="G376" s="2637"/>
      <c r="H376" s="2638"/>
      <c r="I376" s="2226"/>
      <c r="J376" s="275"/>
      <c r="K376" s="2267"/>
      <c r="L376" s="2262"/>
      <c r="M376" s="1195"/>
      <c r="N376" s="1195"/>
      <c r="O376" s="1195"/>
      <c r="P376" s="1195"/>
      <c r="Q376" s="1195"/>
      <c r="R376" s="1195"/>
      <c r="S376" s="1195"/>
      <c r="T376" s="1195"/>
      <c r="U376" s="1195"/>
    </row>
    <row r="377" spans="1:21" ht="15" customHeight="1" outlineLevel="1">
      <c r="A377" s="229" t="str">
        <f>'Прайс лист'!B1171</f>
        <v>труба водосточная</v>
      </c>
      <c r="B377" s="229" t="s">
        <v>156</v>
      </c>
      <c r="C377" s="229">
        <f>(E236+F236)*2*G325*1.1</f>
        <v>6.6000000000000005</v>
      </c>
      <c r="D377" s="229">
        <f>'Прайс лист'!G1171</f>
        <v>300</v>
      </c>
      <c r="E377" s="229">
        <f t="shared" si="7"/>
        <v>1980.0000000000002</v>
      </c>
      <c r="F377" s="1194"/>
      <c r="G377" s="3199"/>
      <c r="H377" s="3199"/>
      <c r="I377" s="229"/>
      <c r="J377" s="275"/>
      <c r="K377" s="2267"/>
      <c r="L377" s="2262"/>
      <c r="M377" s="1195"/>
      <c r="N377" s="1195"/>
      <c r="O377" s="1195"/>
      <c r="P377" s="1195"/>
      <c r="Q377" s="1195"/>
      <c r="R377" s="1195"/>
      <c r="S377" s="1195"/>
      <c r="T377" s="1195"/>
      <c r="U377" s="1195"/>
    </row>
    <row r="378" spans="1:21" ht="15" customHeight="1" outlineLevel="1">
      <c r="A378" s="229" t="str">
        <f>'Прайс лист'!B1172</f>
        <v>заглушка для желоба</v>
      </c>
      <c r="B378" s="229" t="s">
        <v>159</v>
      </c>
      <c r="C378" s="229">
        <f>4</f>
        <v>4</v>
      </c>
      <c r="D378" s="229">
        <f>'Прайс лист'!G1172</f>
        <v>190</v>
      </c>
      <c r="E378" s="229">
        <f t="shared" si="7"/>
        <v>760</v>
      </c>
      <c r="F378" s="1194"/>
      <c r="G378" s="3199"/>
      <c r="H378" s="3199"/>
      <c r="I378" s="229"/>
      <c r="J378" s="275"/>
      <c r="K378" s="2267"/>
      <c r="L378" s="2262"/>
      <c r="M378" s="1195"/>
      <c r="N378" s="1195"/>
      <c r="O378" s="1195"/>
      <c r="P378" s="1195"/>
      <c r="Q378" s="1195"/>
      <c r="R378" s="1195"/>
      <c r="S378" s="1195"/>
      <c r="T378" s="1195"/>
      <c r="U378" s="1195"/>
    </row>
    <row r="379" spans="1:21" ht="15" customHeight="1" outlineLevel="1">
      <c r="A379" s="229" t="str">
        <f>'Прайс лист'!B1173</f>
        <v>соеденитель для желоба</v>
      </c>
      <c r="B379" s="229" t="s">
        <v>159</v>
      </c>
      <c r="C379" s="229">
        <f>(C375/3)+1</f>
        <v>15</v>
      </c>
      <c r="D379" s="229">
        <f>'Прайс лист'!G1173</f>
        <v>180</v>
      </c>
      <c r="E379" s="229">
        <f t="shared" si="7"/>
        <v>2700</v>
      </c>
      <c r="F379" s="1194"/>
      <c r="G379" s="3199"/>
      <c r="H379" s="3199"/>
      <c r="I379" s="229"/>
      <c r="J379" s="275"/>
      <c r="K379" s="2267"/>
      <c r="L379" s="2262"/>
      <c r="M379" s="1195"/>
      <c r="N379" s="1195"/>
      <c r="O379" s="1195"/>
      <c r="P379" s="1195"/>
      <c r="Q379" s="1195"/>
      <c r="R379" s="1195"/>
      <c r="S379" s="1195"/>
      <c r="T379" s="1195"/>
      <c r="U379" s="1195"/>
    </row>
    <row r="380" spans="1:21" ht="15" customHeight="1" outlineLevel="1">
      <c r="A380" s="229" t="str">
        <f>'Прайс лист'!B1174</f>
        <v>кронштейн для желоба</v>
      </c>
      <c r="B380" s="229" t="s">
        <v>159</v>
      </c>
      <c r="C380" s="229">
        <f>C375/0.3</f>
        <v>140</v>
      </c>
      <c r="D380" s="229">
        <f>'Прайс лист'!G1174</f>
        <v>130</v>
      </c>
      <c r="E380" s="229">
        <f t="shared" si="7"/>
        <v>18200</v>
      </c>
      <c r="F380" s="1194"/>
      <c r="G380" s="3199"/>
      <c r="H380" s="3199"/>
      <c r="I380" s="275"/>
      <c r="J380" s="275"/>
      <c r="K380" s="2267"/>
      <c r="L380" s="2262"/>
      <c r="M380" s="1195"/>
      <c r="N380" s="1195"/>
      <c r="O380" s="1195"/>
      <c r="P380" s="1195"/>
      <c r="Q380" s="1195"/>
      <c r="R380" s="1195"/>
      <c r="S380" s="1195"/>
      <c r="T380" s="1195"/>
      <c r="U380" s="1195"/>
    </row>
    <row r="381" spans="1:21" ht="15" customHeight="1" outlineLevel="1">
      <c r="A381" s="229" t="str">
        <f>'Прайс лист'!B1175</f>
        <v>переход из желоба в трубу</v>
      </c>
      <c r="B381" s="229" t="s">
        <v>159</v>
      </c>
      <c r="C381" s="229">
        <v>2</v>
      </c>
      <c r="D381" s="229">
        <f>'Прайс лист'!G1175</f>
        <v>350</v>
      </c>
      <c r="E381" s="229">
        <f t="shared" si="7"/>
        <v>700</v>
      </c>
      <c r="F381" s="1194"/>
      <c r="G381" s="3199"/>
      <c r="H381" s="3199"/>
      <c r="I381" s="2226"/>
      <c r="J381" s="2226"/>
      <c r="K381" s="2267"/>
      <c r="L381" s="2262"/>
      <c r="M381" s="1195"/>
      <c r="N381" s="1195"/>
      <c r="O381" s="1195"/>
      <c r="P381" s="1195"/>
      <c r="Q381" s="1195"/>
      <c r="R381" s="1195"/>
      <c r="S381" s="1195"/>
      <c r="T381" s="1195"/>
      <c r="U381" s="1195"/>
    </row>
    <row r="382" spans="1:21" ht="15" customHeight="1" outlineLevel="1">
      <c r="A382" s="229" t="str">
        <f>'Прайс лист'!B1176</f>
        <v>лента дельта мульти бэнд</v>
      </c>
      <c r="B382" s="229" t="s">
        <v>159</v>
      </c>
      <c r="C382" s="229">
        <v>1</v>
      </c>
      <c r="D382" s="229">
        <f>'Прайс лист'!G1176</f>
        <v>1200</v>
      </c>
      <c r="E382" s="229">
        <f t="shared" si="7"/>
        <v>1200</v>
      </c>
      <c r="F382" s="1194"/>
      <c r="G382" s="3199"/>
      <c r="H382" s="3199"/>
      <c r="I382" s="2226"/>
      <c r="J382" s="2226"/>
      <c r="K382" s="2267"/>
      <c r="L382" s="2262"/>
      <c r="M382" s="1195"/>
      <c r="N382" s="1195"/>
      <c r="O382" s="1195"/>
      <c r="P382" s="1195"/>
      <c r="Q382" s="1195"/>
      <c r="R382" s="1195"/>
      <c r="S382" s="1195"/>
      <c r="T382" s="1195"/>
      <c r="U382" s="1195"/>
    </row>
    <row r="383" spans="1:21" ht="15" customHeight="1" outlineLevel="1">
      <c r="A383" s="229" t="str">
        <f>'Прайс лист'!B1177</f>
        <v>лента дельта sb-60</v>
      </c>
      <c r="B383" s="229" t="s">
        <v>159</v>
      </c>
      <c r="C383" s="229">
        <f>C341/15</f>
        <v>12.764966418035014</v>
      </c>
      <c r="D383" s="229">
        <f>'Прайс лист'!G1177</f>
        <v>1100</v>
      </c>
      <c r="E383" s="229">
        <f t="shared" si="7"/>
        <v>14041.463059838516</v>
      </c>
      <c r="F383" s="1194"/>
      <c r="G383" s="3199"/>
      <c r="H383" s="3199"/>
      <c r="I383" s="2226"/>
      <c r="J383" s="2226"/>
      <c r="K383" s="2267"/>
      <c r="L383" s="2262"/>
      <c r="M383" s="1195"/>
      <c r="N383" s="1195"/>
      <c r="O383" s="1195"/>
      <c r="P383" s="1195"/>
      <c r="Q383" s="1195"/>
      <c r="R383" s="1195"/>
      <c r="S383" s="1195"/>
      <c r="T383" s="1195"/>
      <c r="U383" s="1195"/>
    </row>
    <row r="384" spans="1:21" ht="15" customHeight="1" outlineLevel="1">
      <c r="A384" s="229" t="str">
        <f>'Прайс лист'!B1178</f>
        <v>проходка кровельная, канализационная</v>
      </c>
      <c r="B384" s="259" t="s">
        <v>159</v>
      </c>
      <c r="C384" s="229">
        <f>C343</f>
        <v>0</v>
      </c>
      <c r="D384" s="229">
        <f>'Прайс лист'!G1178</f>
        <v>3500</v>
      </c>
      <c r="E384" s="229">
        <f t="shared" si="7"/>
        <v>0</v>
      </c>
      <c r="F384" s="1194"/>
      <c r="G384" s="3199"/>
      <c r="H384" s="3199"/>
      <c r="I384" s="2226"/>
      <c r="J384" s="2226"/>
      <c r="K384" s="2267"/>
      <c r="L384" s="2262"/>
      <c r="M384" s="1195"/>
      <c r="N384" s="1195"/>
      <c r="O384" s="1195"/>
      <c r="P384" s="1195"/>
      <c r="Q384" s="1195"/>
      <c r="R384" s="1195"/>
      <c r="S384" s="1195"/>
      <c r="T384" s="1195"/>
      <c r="U384" s="1195"/>
    </row>
    <row r="385" spans="1:21" ht="15" customHeight="1" outlineLevel="1">
      <c r="A385" s="229" t="str">
        <f>'Прайс лист'!B1179</f>
        <v>проходка кровельная, вентиляционная</v>
      </c>
      <c r="B385" s="259" t="s">
        <v>159</v>
      </c>
      <c r="C385" s="229">
        <f>C344</f>
        <v>0</v>
      </c>
      <c r="D385" s="229">
        <f>'Прайс лист'!G1179</f>
        <v>3500</v>
      </c>
      <c r="E385" s="229">
        <f t="shared" si="7"/>
        <v>0</v>
      </c>
      <c r="F385" s="1194"/>
      <c r="G385" s="3199"/>
      <c r="H385" s="3199"/>
      <c r="I385" s="2226"/>
      <c r="J385" s="2226"/>
      <c r="K385" s="2267"/>
      <c r="L385" s="2262"/>
      <c r="M385" s="1195"/>
      <c r="N385" s="1195"/>
      <c r="O385" s="1195"/>
      <c r="P385" s="1195"/>
      <c r="Q385" s="1195"/>
      <c r="R385" s="1195"/>
      <c r="S385" s="1195"/>
      <c r="T385" s="1195"/>
      <c r="U385" s="1195"/>
    </row>
    <row r="386" spans="1:21" ht="15" customHeight="1" outlineLevel="1">
      <c r="A386" s="229" t="str">
        <f>'Прайс лист'!B1180</f>
        <v>проодка кровельная, труба котел</v>
      </c>
      <c r="B386" s="259" t="s">
        <v>159</v>
      </c>
      <c r="C386" s="229">
        <f>C345</f>
        <v>0</v>
      </c>
      <c r="D386" s="229">
        <f>'Прайс лист'!G1180</f>
        <v>4500</v>
      </c>
      <c r="E386" s="229">
        <f t="shared" si="7"/>
        <v>0</v>
      </c>
      <c r="F386" s="1194"/>
      <c r="G386" s="3199"/>
      <c r="H386" s="3199"/>
      <c r="I386" s="2226"/>
      <c r="J386" s="2226"/>
      <c r="K386" s="2267"/>
      <c r="L386" s="2262"/>
      <c r="M386" s="1195"/>
      <c r="N386" s="1195"/>
      <c r="O386" s="1195"/>
      <c r="P386" s="1195"/>
      <c r="Q386" s="1195"/>
      <c r="R386" s="1195"/>
      <c r="S386" s="1195"/>
      <c r="T386" s="1195"/>
      <c r="U386" s="1195"/>
    </row>
    <row r="387" spans="1:21" ht="15" customHeight="1" outlineLevel="1">
      <c r="A387" s="229" t="str">
        <f>'Прайс лист'!B1138</f>
        <v>Кровельный саморез</v>
      </c>
      <c r="B387" s="229" t="s">
        <v>159</v>
      </c>
      <c r="C387" s="229">
        <f>C341*12*C327</f>
        <v>2297.6939552463027</v>
      </c>
      <c r="D387" s="229">
        <f>'Прайс лист'!G1138</f>
        <v>2</v>
      </c>
      <c r="E387" s="229">
        <f t="shared" si="7"/>
        <v>4595.3879104926054</v>
      </c>
      <c r="F387" s="1194"/>
      <c r="G387" s="3199"/>
      <c r="H387" s="3199"/>
      <c r="I387" s="2226"/>
      <c r="J387" s="2226"/>
      <c r="K387" s="2267"/>
      <c r="L387" s="2262"/>
      <c r="M387" s="1195"/>
      <c r="N387" s="1195"/>
      <c r="O387" s="1195"/>
      <c r="P387" s="1195"/>
      <c r="Q387" s="1195"/>
      <c r="R387" s="1195"/>
      <c r="S387" s="1195"/>
      <c r="T387" s="1195"/>
      <c r="U387" s="1195"/>
    </row>
    <row r="388" spans="1:21" ht="15" customHeight="1" outlineLevel="1">
      <c r="A388" s="229" t="str">
        <f>'Прайс лист'!B897</f>
        <v xml:space="preserve">Гвозди ершоные 3,4 x 60            </v>
      </c>
      <c r="B388" s="229" t="s">
        <v>188</v>
      </c>
      <c r="C388" s="229">
        <f>C352*10</f>
        <v>36.188679795129261</v>
      </c>
      <c r="D388" s="229">
        <f>'Прайс лист'!G897</f>
        <v>75.510000000000005</v>
      </c>
      <c r="E388" s="229">
        <f t="shared" si="7"/>
        <v>2732.6072113302107</v>
      </c>
      <c r="F388" s="1194"/>
      <c r="G388" s="3199"/>
      <c r="H388" s="3199"/>
      <c r="I388" s="2226"/>
      <c r="J388" s="2226"/>
      <c r="K388" s="2267"/>
      <c r="L388" s="2262"/>
      <c r="M388" s="1195"/>
      <c r="N388" s="1195"/>
      <c r="O388" s="1195"/>
      <c r="P388" s="1195"/>
      <c r="Q388" s="1195"/>
      <c r="R388" s="1195"/>
      <c r="S388" s="1195"/>
      <c r="T388" s="1195"/>
      <c r="U388" s="1195"/>
    </row>
    <row r="389" spans="1:21" ht="15" customHeight="1" outlineLevel="1">
      <c r="A389" s="229" t="str">
        <f>'Прайс лист'!B890</f>
        <v xml:space="preserve">Гвозди строительные 3,5 x 90            </v>
      </c>
      <c r="B389" s="229" t="s">
        <v>188</v>
      </c>
      <c r="C389" s="229">
        <f>(C349+C350+C351)*6</f>
        <v>27.727439260317254</v>
      </c>
      <c r="D389" s="229">
        <f>'Прайс лист'!G898</f>
        <v>76.489999999999995</v>
      </c>
      <c r="E389" s="229">
        <f t="shared" si="7"/>
        <v>2120.8718290216666</v>
      </c>
      <c r="F389" s="1194"/>
      <c r="G389" s="3199"/>
      <c r="H389" s="3199"/>
      <c r="I389" s="2226"/>
      <c r="J389" s="2226"/>
      <c r="K389" s="2267"/>
      <c r="L389" s="2262"/>
      <c r="M389" s="1195"/>
      <c r="N389" s="1195"/>
      <c r="O389" s="1195"/>
      <c r="P389" s="1195"/>
      <c r="Q389" s="1195"/>
      <c r="R389" s="1195"/>
      <c r="S389" s="1195"/>
      <c r="T389" s="1195"/>
      <c r="U389" s="1195"/>
    </row>
    <row r="390" spans="1:21" ht="15" customHeight="1" outlineLevel="1">
      <c r="A390" s="229" t="str">
        <f>'Прайс лист'!B846</f>
        <v xml:space="preserve">Пластина соеденительная 100х240х2           </v>
      </c>
      <c r="B390" s="229" t="s">
        <v>159</v>
      </c>
      <c r="C390" s="2262">
        <f>C341/7</f>
        <v>27.353499467217887</v>
      </c>
      <c r="D390" s="229">
        <f>'Прайс лист'!G846</f>
        <v>31.54</v>
      </c>
      <c r="E390" s="229">
        <f t="shared" si="7"/>
        <v>862.72937319605217</v>
      </c>
      <c r="F390" s="1194"/>
      <c r="G390" s="3199"/>
      <c r="H390" s="3199"/>
      <c r="I390" s="2226"/>
      <c r="J390" s="2226"/>
      <c r="K390" s="2267"/>
      <c r="L390" s="2262"/>
      <c r="M390" s="1195"/>
      <c r="N390" s="1195"/>
      <c r="O390" s="1195"/>
      <c r="P390" s="1195"/>
      <c r="Q390" s="1195"/>
      <c r="R390" s="1195"/>
      <c r="S390" s="1195"/>
      <c r="T390" s="1195"/>
      <c r="U390" s="1195"/>
    </row>
    <row r="391" spans="1:21" ht="15" customHeight="1" outlineLevel="1">
      <c r="A391" s="229" t="str">
        <f>'Прайс лист'!B838</f>
        <v xml:space="preserve">Уголок усиленный 90х70х55х2,5        </v>
      </c>
      <c r="B391" s="229" t="s">
        <v>159</v>
      </c>
      <c r="C391" s="2262">
        <f>C341*2</f>
        <v>382.94899254105042</v>
      </c>
      <c r="D391" s="229">
        <f>'Прайс лист'!G838</f>
        <v>30</v>
      </c>
      <c r="E391" s="229">
        <f t="shared" si="7"/>
        <v>11488.469776231512</v>
      </c>
      <c r="F391" s="1194"/>
      <c r="G391" s="3199"/>
      <c r="H391" s="3199"/>
      <c r="I391" s="2226"/>
      <c r="J391" s="2226"/>
      <c r="K391" s="2267"/>
      <c r="L391" s="2262"/>
      <c r="M391" s="1195"/>
      <c r="N391" s="1195"/>
      <c r="O391" s="1195"/>
      <c r="P391" s="1195"/>
      <c r="Q391" s="1195"/>
      <c r="R391" s="1195"/>
      <c r="S391" s="1195"/>
      <c r="T391" s="1195"/>
      <c r="U391" s="1195"/>
    </row>
    <row r="392" spans="1:21" ht="15" customHeight="1" outlineLevel="1">
      <c r="A392" s="229" t="str">
        <f>'Ввод данных'!A269</f>
        <v>Нет техники</v>
      </c>
      <c r="B392" s="229" t="str">
        <f>'Ввод данных'!B269</f>
        <v>ед.</v>
      </c>
      <c r="C392" s="229">
        <f>'Ввод данных'!C269</f>
        <v>4</v>
      </c>
      <c r="D392" s="229">
        <f>VLOOKUP(A392,'Прайс лист'!B180:G194,6,0)</f>
        <v>0</v>
      </c>
      <c r="E392" s="229">
        <f t="shared" si="7"/>
        <v>0</v>
      </c>
      <c r="F392" s="1194"/>
      <c r="G392" s="3199"/>
      <c r="H392" s="3199"/>
      <c r="I392" s="2226"/>
      <c r="J392" s="2226"/>
      <c r="K392" s="2267"/>
      <c r="L392" s="2262"/>
      <c r="M392" s="1195"/>
      <c r="N392" s="1195"/>
      <c r="O392" s="1195"/>
      <c r="P392" s="1195"/>
      <c r="Q392" s="1195"/>
      <c r="R392" s="1195"/>
      <c r="S392" s="1195"/>
      <c r="T392" s="1195"/>
      <c r="U392" s="1195"/>
    </row>
    <row r="393" spans="1:21" ht="15" customHeight="1" outlineLevel="1">
      <c r="A393" s="229" t="str">
        <f>'Ввод данных'!A270</f>
        <v>Нет техники</v>
      </c>
      <c r="B393" s="229" t="str">
        <f>'Ввод данных'!B270</f>
        <v>ед.</v>
      </c>
      <c r="C393" s="229">
        <f>'Ввод данных'!C270</f>
        <v>0</v>
      </c>
      <c r="D393" s="229">
        <f>VLOOKUP(A393,'Прайс лист'!B180:G194,6,0)</f>
        <v>0</v>
      </c>
      <c r="E393" s="229">
        <f t="shared" si="7"/>
        <v>0</v>
      </c>
      <c r="F393" s="1194"/>
      <c r="G393" s="17"/>
      <c r="H393" s="17"/>
      <c r="I393" s="17"/>
      <c r="J393" s="17"/>
      <c r="K393" s="17"/>
      <c r="L393" s="17"/>
      <c r="M393" s="1195"/>
      <c r="N393" s="1195"/>
      <c r="O393" s="1195"/>
      <c r="P393" s="1195"/>
      <c r="Q393" s="1195"/>
      <c r="R393" s="1195"/>
      <c r="S393" s="1195"/>
      <c r="T393" s="1195"/>
      <c r="U393" s="1195"/>
    </row>
    <row r="394" spans="1:21" ht="15" customHeight="1" outlineLevel="1">
      <c r="A394" s="229" t="str">
        <f>'Ввод данных'!A272</f>
        <v>расходные материалы вальмовая кровля</v>
      </c>
      <c r="B394" s="229" t="str">
        <f>'Ввод данных'!B272</f>
        <v>рублей</v>
      </c>
      <c r="C394" s="2262">
        <f>1</f>
        <v>1</v>
      </c>
      <c r="D394" s="229">
        <f>'Ввод данных'!C272</f>
        <v>10000</v>
      </c>
      <c r="E394" s="229">
        <f t="shared" si="7"/>
        <v>10000</v>
      </c>
      <c r="F394" s="1194"/>
      <c r="G394" s="3199"/>
      <c r="H394" s="3199"/>
      <c r="I394" s="2226"/>
      <c r="J394" s="2226"/>
      <c r="K394" s="2267"/>
      <c r="L394" s="2262"/>
      <c r="M394" s="1195"/>
      <c r="N394" s="1195"/>
      <c r="O394" s="1195"/>
      <c r="P394" s="1195"/>
      <c r="Q394" s="1195"/>
      <c r="R394" s="1195"/>
      <c r="S394" s="1195"/>
      <c r="T394" s="1195"/>
      <c r="U394" s="1195"/>
    </row>
    <row r="395" spans="1:21" ht="15" customHeight="1" outlineLevel="1">
      <c r="A395" s="1194"/>
      <c r="B395" s="1194"/>
      <c r="C395" s="1194"/>
      <c r="D395" s="1194"/>
      <c r="E395" s="229">
        <f>SUM(E349:E394)</f>
        <v>375628.24018910568</v>
      </c>
      <c r="F395" s="1194"/>
      <c r="G395" s="1194"/>
      <c r="H395" s="1195"/>
      <c r="I395" s="1195"/>
      <c r="J395" s="1195"/>
      <c r="K395" s="2623"/>
      <c r="L395" s="2639">
        <f>SUM(L349:L394)</f>
        <v>288453.53848961403</v>
      </c>
      <c r="M395" s="1195"/>
      <c r="N395" s="1195"/>
      <c r="O395" s="1195"/>
      <c r="P395" s="1195"/>
      <c r="Q395" s="1195"/>
      <c r="R395" s="1195"/>
      <c r="S395" s="1195"/>
      <c r="T395" s="1195"/>
      <c r="U395" s="1195"/>
    </row>
    <row r="396" spans="1:21" ht="15" customHeight="1" outlineLevel="1">
      <c r="F396" s="1194"/>
      <c r="M396" s="1195"/>
      <c r="N396" s="1195"/>
      <c r="O396" s="1195"/>
      <c r="P396" s="1195"/>
      <c r="Q396" s="1195"/>
      <c r="R396" s="1195"/>
      <c r="S396" s="1195"/>
      <c r="T396" s="1195"/>
      <c r="U396" s="1195"/>
    </row>
    <row r="397" spans="1:21" ht="15" customHeight="1" outlineLevel="1">
      <c r="F397" s="1194"/>
      <c r="M397" s="1195"/>
      <c r="N397" s="1195"/>
      <c r="O397" s="1195"/>
      <c r="P397" s="1195"/>
      <c r="Q397" s="1195"/>
      <c r="R397" s="1195"/>
      <c r="S397" s="1195"/>
      <c r="T397" s="1195"/>
      <c r="U397" s="1195"/>
    </row>
    <row r="398" spans="1:21" ht="15" customHeight="1" outlineLevel="1">
      <c r="A398" s="229" t="s">
        <v>2726</v>
      </c>
      <c r="B398" s="2262">
        <f>E395</f>
        <v>375628.24018910568</v>
      </c>
      <c r="C398" s="1194"/>
      <c r="D398" s="1194"/>
      <c r="E398" s="1194"/>
      <c r="F398" s="1194"/>
      <c r="G398" s="1194"/>
      <c r="H398" s="1195"/>
      <c r="I398" s="1195"/>
      <c r="J398" s="1195"/>
      <c r="K398" s="2623"/>
      <c r="L398" s="1195"/>
      <c r="M398" s="1195"/>
      <c r="N398" s="1195"/>
      <c r="O398" s="1195"/>
      <c r="P398" s="1195"/>
      <c r="Q398" s="1195"/>
      <c r="R398" s="1195"/>
      <c r="S398" s="1195"/>
      <c r="T398" s="1195"/>
      <c r="U398" s="1195"/>
    </row>
    <row r="399" spans="1:21" ht="15" customHeight="1" outlineLevel="1">
      <c r="A399" s="229" t="s">
        <v>2727</v>
      </c>
      <c r="B399" s="2262">
        <f>L395</f>
        <v>288453.53848961403</v>
      </c>
      <c r="C399" s="1194"/>
      <c r="D399" s="1194"/>
      <c r="E399" s="1194"/>
      <c r="F399" s="1194"/>
      <c r="G399" s="1194"/>
      <c r="H399" s="1195"/>
      <c r="I399" s="1195"/>
      <c r="J399" s="1195"/>
      <c r="K399" s="2623"/>
      <c r="L399" s="1195"/>
      <c r="M399" s="1195"/>
      <c r="N399" s="1195"/>
      <c r="O399" s="1195"/>
      <c r="P399" s="1195"/>
      <c r="Q399" s="1195"/>
      <c r="R399" s="1195"/>
      <c r="S399" s="1195"/>
      <c r="T399" s="1195"/>
      <c r="U399" s="1195"/>
    </row>
    <row r="400" spans="1:21" ht="15" customHeight="1" outlineLevel="1">
      <c r="A400" s="229" t="s">
        <v>2728</v>
      </c>
      <c r="B400" s="2262">
        <f>SUM(B398:B399)</f>
        <v>664081.77867871965</v>
      </c>
      <c r="C400" s="1194"/>
      <c r="D400" s="1194"/>
      <c r="E400" s="1194"/>
      <c r="F400" s="1194"/>
      <c r="G400" s="1194"/>
      <c r="H400" s="1195"/>
      <c r="I400" s="1195"/>
      <c r="J400" s="1195"/>
      <c r="K400" s="2623"/>
      <c r="L400" s="1195"/>
      <c r="M400" s="1195"/>
      <c r="N400" s="1195"/>
      <c r="O400" s="1195"/>
      <c r="P400" s="1195"/>
      <c r="Q400" s="1195"/>
      <c r="R400" s="1195"/>
      <c r="S400" s="1195"/>
      <c r="T400" s="1195"/>
      <c r="U400" s="1195"/>
    </row>
    <row r="401" spans="1:21" s="85" customFormat="1" ht="15" customHeight="1">
      <c r="A401" s="941" t="s">
        <v>4150</v>
      </c>
      <c r="B401" s="2569"/>
      <c r="C401" s="3260"/>
      <c r="D401" s="3260"/>
      <c r="E401" s="3260"/>
      <c r="F401" s="3260"/>
      <c r="G401" s="2277"/>
      <c r="H401" s="2228"/>
      <c r="I401" s="2228"/>
      <c r="J401" s="2228"/>
      <c r="K401" s="2268"/>
      <c r="L401" s="2228"/>
      <c r="M401" s="2228"/>
      <c r="N401" s="2228"/>
      <c r="O401" s="2228"/>
      <c r="P401" s="2228"/>
      <c r="Q401" s="2228"/>
      <c r="R401" s="2228"/>
      <c r="S401" s="2228"/>
      <c r="T401" s="2228"/>
      <c r="U401" s="2228"/>
    </row>
    <row r="402" spans="1:21" ht="15" customHeight="1">
      <c r="A402" s="2263"/>
      <c r="B402" s="1195"/>
      <c r="C402" s="2257"/>
      <c r="D402" s="2257"/>
      <c r="E402" s="1195"/>
      <c r="F402" s="2257"/>
      <c r="G402" s="2257"/>
      <c r="H402" s="1195"/>
      <c r="I402" s="1195"/>
      <c r="J402" s="1195"/>
      <c r="K402" s="2623"/>
      <c r="L402" s="1195"/>
      <c r="M402" s="1195"/>
      <c r="N402" s="1195"/>
      <c r="O402" s="1195"/>
      <c r="P402" s="1195"/>
      <c r="Q402" s="1195"/>
      <c r="R402" s="1195"/>
      <c r="S402" s="1195"/>
      <c r="T402" s="1195"/>
      <c r="U402" s="1195"/>
    </row>
    <row r="403" spans="1:21" ht="15" customHeight="1" outlineLevel="1">
      <c r="A403" s="3261" t="s">
        <v>4151</v>
      </c>
      <c r="B403" s="3261"/>
      <c r="C403" s="3261"/>
      <c r="D403" s="3261"/>
      <c r="E403" s="3261"/>
      <c r="F403" s="3261"/>
      <c r="G403" s="3261"/>
      <c r="H403" s="3261"/>
      <c r="I403" s="3261"/>
      <c r="J403" s="3261"/>
      <c r="K403" s="3261"/>
      <c r="L403" s="3261"/>
      <c r="M403" s="1195"/>
      <c r="N403" s="1195"/>
      <c r="O403" s="1195"/>
      <c r="P403" s="1195"/>
      <c r="Q403" s="1195"/>
      <c r="R403" s="1195"/>
      <c r="S403" s="1195"/>
      <c r="T403" s="1195"/>
      <c r="U403" s="1195"/>
    </row>
    <row r="404" spans="1:21" ht="15" customHeight="1" outlineLevel="1">
      <c r="A404" s="3261"/>
      <c r="B404" s="3261"/>
      <c r="C404" s="3261"/>
      <c r="D404" s="3261"/>
      <c r="E404" s="3261"/>
      <c r="F404" s="3261"/>
      <c r="G404" s="3261"/>
      <c r="H404" s="3261"/>
      <c r="I404" s="3261"/>
      <c r="J404" s="3261"/>
      <c r="K404" s="3261"/>
      <c r="L404" s="3261"/>
      <c r="M404" s="1195"/>
      <c r="N404" s="1195"/>
      <c r="O404" s="1195"/>
      <c r="P404" s="1195"/>
      <c r="Q404" s="1195"/>
      <c r="R404" s="1195"/>
      <c r="S404" s="1195"/>
      <c r="T404" s="1195"/>
      <c r="U404" s="1195"/>
    </row>
    <row r="405" spans="1:21" ht="15" customHeight="1" outlineLevel="1">
      <c r="A405" s="3146" t="s">
        <v>1806</v>
      </c>
      <c r="B405" s="3146"/>
      <c r="C405" s="3146"/>
      <c r="D405" s="3146"/>
      <c r="E405" s="3146"/>
      <c r="F405" s="3146"/>
      <c r="G405" s="2611">
        <f>'Ввод данных'!E277</f>
        <v>1</v>
      </c>
      <c r="H405" s="1138"/>
      <c r="I405" s="1138"/>
      <c r="J405" s="1138"/>
      <c r="K405" s="1138"/>
      <c r="L405" s="1138"/>
      <c r="M405" s="1195"/>
      <c r="N405" s="1195"/>
      <c r="O405" s="1195"/>
      <c r="P405" s="1195"/>
      <c r="Q405" s="1195"/>
      <c r="R405" s="1195"/>
      <c r="S405" s="1195"/>
      <c r="T405" s="1195"/>
      <c r="U405" s="1195"/>
    </row>
    <row r="406" spans="1:21" ht="15" customHeight="1" outlineLevel="1">
      <c r="A406" s="3146"/>
      <c r="B406" s="3146"/>
      <c r="C406" s="3146"/>
      <c r="D406" s="3146"/>
      <c r="E406" s="3146"/>
      <c r="F406" s="3146"/>
      <c r="G406" s="2625"/>
      <c r="H406" s="1138">
        <f>'Ввод данных'!E278</f>
        <v>1</v>
      </c>
      <c r="I406" s="1138"/>
      <c r="J406" s="1138"/>
      <c r="K406" s="1138"/>
      <c r="L406" s="1138"/>
      <c r="M406" s="1195"/>
      <c r="N406" s="1195"/>
      <c r="O406" s="1195"/>
      <c r="P406" s="1195"/>
      <c r="Q406" s="1195"/>
      <c r="R406" s="1195"/>
      <c r="S406" s="1195"/>
      <c r="T406" s="1195"/>
      <c r="U406" s="1195"/>
    </row>
    <row r="407" spans="1:21" ht="15" customHeight="1" outlineLevel="1">
      <c r="A407" s="2612" t="s">
        <v>2705</v>
      </c>
      <c r="B407" s="2613" t="s">
        <v>156</v>
      </c>
      <c r="C407" s="2613">
        <f>дома!K1130+дома!L1130*(1-дома!Q1112)</f>
        <v>139.09265127310908</v>
      </c>
      <c r="D407" s="2640">
        <v>1</v>
      </c>
      <c r="E407" s="1138"/>
      <c r="F407" s="1138"/>
      <c r="G407" s="1138"/>
      <c r="H407" s="1138"/>
      <c r="I407" s="1138"/>
      <c r="J407" s="1138"/>
      <c r="K407" s="1138"/>
      <c r="L407" s="1138"/>
      <c r="M407" s="1195"/>
      <c r="N407" s="1195"/>
      <c r="O407" s="1195"/>
      <c r="P407" s="1195"/>
      <c r="Q407" s="1195"/>
      <c r="R407" s="1195"/>
      <c r="S407" s="1195"/>
      <c r="T407" s="1195"/>
      <c r="U407" s="1195"/>
    </row>
    <row r="408" spans="1:21" ht="15" customHeight="1" outlineLevel="1">
      <c r="A408" s="2612" t="s">
        <v>3829</v>
      </c>
      <c r="B408" s="2613" t="s">
        <v>156</v>
      </c>
      <c r="C408" s="2613">
        <f>'Ввод данных'!C283</f>
        <v>0</v>
      </c>
      <c r="D408" s="1138"/>
      <c r="E408" s="1138"/>
      <c r="F408" s="1138"/>
      <c r="G408" s="1138"/>
      <c r="H408" s="1138"/>
      <c r="I408" s="1138"/>
      <c r="J408" s="1138"/>
      <c r="K408" s="1138"/>
      <c r="L408" s="1138"/>
      <c r="M408" s="1195"/>
      <c r="N408" s="1195"/>
      <c r="O408" s="1195"/>
      <c r="P408" s="1195"/>
      <c r="Q408" s="1195"/>
      <c r="R408" s="1195"/>
      <c r="S408" s="1195"/>
      <c r="T408" s="1195"/>
      <c r="U408" s="1195"/>
    </row>
    <row r="409" spans="1:21" ht="15" customHeight="1" outlineLevel="1">
      <c r="A409" s="2612" t="s">
        <v>3830</v>
      </c>
      <c r="B409" s="2613" t="s">
        <v>156</v>
      </c>
      <c r="C409" s="2613">
        <f>'Ввод данных'!C284</f>
        <v>0</v>
      </c>
      <c r="D409" s="1138"/>
      <c r="E409" s="1138"/>
      <c r="F409" s="1138"/>
      <c r="G409" s="1138"/>
      <c r="H409" s="1138"/>
      <c r="I409" s="1138"/>
      <c r="J409" s="1138"/>
      <c r="K409" s="1138"/>
      <c r="L409" s="1138"/>
      <c r="M409" s="1195"/>
      <c r="N409" s="1195"/>
      <c r="O409" s="1195"/>
      <c r="P409" s="1195"/>
      <c r="Q409" s="1195"/>
      <c r="R409" s="1195"/>
      <c r="S409" s="1195"/>
      <c r="T409" s="1195"/>
      <c r="U409" s="1195"/>
    </row>
    <row r="410" spans="1:21" ht="15" customHeight="1" outlineLevel="1">
      <c r="A410" s="2626" t="s">
        <v>3831</v>
      </c>
      <c r="B410" s="1165" t="s">
        <v>159</v>
      </c>
      <c r="C410" s="2641">
        <f>IF('Ввод данных'!A282=связи1!A6,1,0)</f>
        <v>1</v>
      </c>
      <c r="D410" s="2642" t="s">
        <v>4133</v>
      </c>
      <c r="E410" s="2643"/>
      <c r="F410" s="2643" t="s">
        <v>853</v>
      </c>
      <c r="G410" s="2630">
        <f>дома!J1132</f>
        <v>10</v>
      </c>
      <c r="H410" s="2630"/>
      <c r="I410" s="2631"/>
      <c r="J410" s="2228"/>
      <c r="K410" s="2228"/>
      <c r="L410" s="2228"/>
      <c r="M410" s="1195"/>
      <c r="N410" s="1195"/>
      <c r="O410" s="1195"/>
      <c r="P410" s="1195"/>
      <c r="Q410" s="1195"/>
      <c r="R410" s="1195"/>
      <c r="S410" s="1195"/>
      <c r="T410" s="1195"/>
      <c r="U410" s="1195"/>
    </row>
    <row r="411" spans="1:21" ht="15" customHeight="1" outlineLevel="1">
      <c r="A411" s="2620" t="s">
        <v>3832</v>
      </c>
      <c r="B411" s="229" t="s">
        <v>159</v>
      </c>
      <c r="C411" s="2641">
        <f>IF('Ввод данных'!A282=связи1!A7,1,0)</f>
        <v>0</v>
      </c>
      <c r="D411" s="2642" t="s">
        <v>4134</v>
      </c>
      <c r="E411" s="2643"/>
      <c r="F411" s="2643" t="s">
        <v>1800</v>
      </c>
      <c r="G411" s="2630">
        <f>дома!J1133</f>
        <v>10</v>
      </c>
      <c r="H411" s="2630"/>
      <c r="I411" s="2631"/>
      <c r="J411" s="2228"/>
      <c r="K411" s="2228"/>
      <c r="L411" s="2228"/>
      <c r="M411" s="1195"/>
      <c r="N411" s="1195"/>
      <c r="O411" s="1195"/>
      <c r="P411" s="1195"/>
      <c r="Q411" s="1195"/>
      <c r="R411" s="1195"/>
      <c r="S411" s="1195"/>
      <c r="T411" s="1195"/>
      <c r="U411" s="1195"/>
    </row>
    <row r="412" spans="1:21" ht="15" customHeight="1" outlineLevel="1">
      <c r="A412" s="2620" t="s">
        <v>3868</v>
      </c>
      <c r="B412" s="229" t="s">
        <v>4152</v>
      </c>
      <c r="C412" s="2641">
        <f>IF('Ввод данных'!A282=связи1!A8,1,0)</f>
        <v>0</v>
      </c>
      <c r="D412" s="2642"/>
      <c r="E412" s="2643"/>
      <c r="F412" s="2643"/>
      <c r="G412" s="2630"/>
      <c r="H412" s="2630"/>
      <c r="I412" s="2631"/>
      <c r="J412" s="2228"/>
      <c r="K412" s="2228"/>
      <c r="L412" s="2228"/>
      <c r="M412" s="1195"/>
      <c r="N412" s="1195"/>
      <c r="O412" s="1195"/>
      <c r="P412" s="1195"/>
      <c r="Q412" s="1195"/>
      <c r="R412" s="1195"/>
      <c r="S412" s="1195"/>
      <c r="T412" s="1195"/>
      <c r="U412" s="1195"/>
    </row>
    <row r="413" spans="1:21" ht="15" customHeight="1" outlineLevel="1">
      <c r="A413" s="2620" t="s">
        <v>4136</v>
      </c>
      <c r="B413" s="229" t="s">
        <v>156</v>
      </c>
      <c r="C413" s="2644">
        <f>'Ввод данных'!C290</f>
        <v>0</v>
      </c>
      <c r="D413" s="2642" t="s">
        <v>4137</v>
      </c>
      <c r="E413" s="2643"/>
      <c r="F413" s="2643"/>
      <c r="G413" s="2630">
        <f>дома!J1138</f>
        <v>0.5</v>
      </c>
      <c r="H413" s="2630"/>
      <c r="I413" s="2631"/>
      <c r="J413" s="2228"/>
      <c r="K413" s="2228"/>
      <c r="L413" s="2228"/>
      <c r="M413" s="1195"/>
      <c r="N413" s="1195"/>
      <c r="O413" s="1195"/>
      <c r="P413" s="1195"/>
      <c r="Q413" s="1195"/>
      <c r="R413" s="1195"/>
      <c r="S413" s="1195"/>
      <c r="T413" s="1195"/>
      <c r="U413" s="1195"/>
    </row>
    <row r="414" spans="1:21" ht="15" customHeight="1" outlineLevel="1">
      <c r="A414" s="2620" t="s">
        <v>4138</v>
      </c>
      <c r="B414" s="229" t="s">
        <v>156</v>
      </c>
      <c r="C414" s="2644">
        <v>0.05</v>
      </c>
      <c r="D414" s="2642" t="s">
        <v>4139</v>
      </c>
      <c r="E414" s="2643"/>
      <c r="F414" s="2643"/>
      <c r="G414" s="2630">
        <f>дома!J1135</f>
        <v>5</v>
      </c>
      <c r="H414" s="2630"/>
      <c r="I414" s="2631"/>
      <c r="J414" s="2228"/>
      <c r="K414" s="2228"/>
      <c r="L414" s="2228"/>
      <c r="M414" s="1195"/>
      <c r="N414" s="1195"/>
      <c r="O414" s="1195"/>
      <c r="P414" s="1195"/>
      <c r="Q414" s="1195"/>
      <c r="R414" s="1195"/>
      <c r="S414" s="1195"/>
      <c r="T414" s="1195"/>
      <c r="U414" s="1195"/>
    </row>
    <row r="415" spans="1:21" ht="15" customHeight="1" outlineLevel="1">
      <c r="A415" s="2620" t="s">
        <v>4140</v>
      </c>
      <c r="B415" s="229" t="s">
        <v>156</v>
      </c>
      <c r="C415" s="2243">
        <f>дома!L1164</f>
        <v>6</v>
      </c>
      <c r="D415" s="2642" t="s">
        <v>4141</v>
      </c>
      <c r="E415" s="2643"/>
      <c r="F415" s="2643"/>
      <c r="G415" s="2630">
        <f>дома!J1164</f>
        <v>6</v>
      </c>
      <c r="H415" s="2630"/>
      <c r="I415" s="2631"/>
      <c r="J415" s="2228"/>
      <c r="K415" s="2228"/>
      <c r="L415" s="2228"/>
      <c r="M415" s="1195"/>
      <c r="N415" s="1195"/>
      <c r="O415" s="1195"/>
      <c r="P415" s="1195"/>
      <c r="Q415" s="1195"/>
      <c r="R415" s="1195"/>
      <c r="S415" s="1195"/>
      <c r="T415" s="1195"/>
      <c r="U415" s="1195"/>
    </row>
    <row r="416" spans="1:21" ht="15" customHeight="1" outlineLevel="1">
      <c r="A416" s="2620" t="s">
        <v>4142</v>
      </c>
      <c r="B416" s="229" t="s">
        <v>156</v>
      </c>
      <c r="C416" s="2223">
        <f>дома!J1137</f>
        <v>5</v>
      </c>
      <c r="D416" s="2642" t="s">
        <v>4143</v>
      </c>
      <c r="E416" s="2643"/>
      <c r="F416" s="2643"/>
      <c r="G416" s="2630">
        <f>дома!J1167</f>
        <v>5.024937810560445</v>
      </c>
      <c r="H416" s="2630"/>
      <c r="I416" s="2631"/>
      <c r="J416" s="2228"/>
      <c r="K416" s="2228"/>
      <c r="L416" s="2228"/>
      <c r="M416" s="1195"/>
      <c r="N416" s="1195"/>
      <c r="O416" s="1195"/>
      <c r="P416" s="1195"/>
      <c r="Q416" s="1195"/>
      <c r="R416" s="1195"/>
      <c r="S416" s="1195"/>
      <c r="T416" s="1195"/>
      <c r="U416" s="1195"/>
    </row>
    <row r="417" spans="1:21" ht="15" customHeight="1" outlineLevel="1">
      <c r="A417" s="229" t="s">
        <v>1972</v>
      </c>
      <c r="B417" s="229" t="s">
        <v>156</v>
      </c>
      <c r="C417" s="2644">
        <f>дома!J1138</f>
        <v>0.5</v>
      </c>
      <c r="D417" s="2642" t="s">
        <v>4145</v>
      </c>
      <c r="E417" s="2643"/>
      <c r="F417" s="2643"/>
      <c r="G417" s="2630"/>
      <c r="H417" s="2630"/>
      <c r="I417" s="2631"/>
      <c r="J417" s="2228"/>
      <c r="K417" s="2228"/>
      <c r="L417" s="2228"/>
      <c r="M417" s="1195"/>
      <c r="N417" s="1195"/>
      <c r="O417" s="1195"/>
      <c r="P417" s="1195"/>
      <c r="Q417" s="1195"/>
      <c r="R417" s="1195"/>
      <c r="S417" s="1195"/>
      <c r="T417" s="1195"/>
      <c r="U417" s="1195"/>
    </row>
    <row r="418" spans="1:21" ht="15" customHeight="1" outlineLevel="1">
      <c r="A418" s="259" t="s">
        <v>1975</v>
      </c>
      <c r="B418" s="259" t="s">
        <v>156</v>
      </c>
      <c r="C418" s="2644">
        <f>дома!J1152</f>
        <v>0.5</v>
      </c>
      <c r="D418" s="2642" t="s">
        <v>4146</v>
      </c>
      <c r="E418" s="2643"/>
      <c r="F418" s="2643"/>
      <c r="G418" s="2630"/>
      <c r="H418" s="2630"/>
      <c r="I418" s="2631"/>
      <c r="J418" s="2228"/>
      <c r="K418" s="2228"/>
      <c r="L418" s="2228"/>
      <c r="M418" s="1195"/>
      <c r="N418" s="1195"/>
      <c r="O418" s="1195"/>
      <c r="P418" s="1195"/>
      <c r="Q418" s="1195"/>
      <c r="R418" s="1195"/>
      <c r="S418" s="1195"/>
      <c r="T418" s="1195"/>
      <c r="U418" s="1195"/>
    </row>
    <row r="419" spans="1:21" ht="15" customHeight="1" outlineLevel="1">
      <c r="A419" s="2620" t="s">
        <v>4153</v>
      </c>
      <c r="B419" s="229"/>
      <c r="C419" s="2223">
        <f>дома!L1170</f>
        <v>7.6769838154958343</v>
      </c>
      <c r="D419" s="1195"/>
      <c r="E419" s="2643"/>
      <c r="F419" s="2643"/>
      <c r="G419" s="2630"/>
      <c r="H419" s="2630"/>
      <c r="I419" s="2631"/>
      <c r="J419" s="2228"/>
      <c r="K419" s="2228"/>
      <c r="L419" s="2228"/>
      <c r="M419" s="1195"/>
      <c r="N419" s="1195"/>
      <c r="O419" s="1195"/>
      <c r="P419" s="1195"/>
      <c r="Q419" s="1195"/>
      <c r="R419" s="1195"/>
      <c r="S419" s="1195"/>
      <c r="T419" s="1195"/>
      <c r="U419" s="1195"/>
    </row>
    <row r="420" spans="1:21" ht="15" customHeight="1" outlineLevel="1">
      <c r="A420" s="2620" t="s">
        <v>4154</v>
      </c>
      <c r="B420" s="229"/>
      <c r="C420" s="2223">
        <f>дома!L1169</f>
        <v>6.7268120235368549</v>
      </c>
      <c r="D420" s="1195"/>
      <c r="E420" s="2643"/>
      <c r="F420" s="2643"/>
      <c r="G420" s="2630"/>
      <c r="H420" s="2630"/>
      <c r="I420" s="2631"/>
      <c r="J420" s="2228"/>
      <c r="K420" s="2228"/>
      <c r="L420" s="2228"/>
      <c r="M420" s="1195"/>
      <c r="N420" s="1195"/>
      <c r="O420" s="1195"/>
      <c r="P420" s="1195"/>
      <c r="Q420" s="1195"/>
      <c r="R420" s="1195"/>
      <c r="S420" s="1195"/>
      <c r="T420" s="1195"/>
      <c r="U420" s="1195"/>
    </row>
    <row r="421" spans="1:21" ht="15" customHeight="1" outlineLevel="1">
      <c r="A421" s="2620" t="s">
        <v>4148</v>
      </c>
      <c r="B421" s="229"/>
      <c r="C421" s="2223">
        <f>дома!L1167</f>
        <v>5.024937810560445</v>
      </c>
      <c r="D421" s="1195"/>
      <c r="E421" s="2643"/>
      <c r="F421" s="2643"/>
      <c r="G421" s="2630"/>
      <c r="H421" s="2630"/>
      <c r="I421" s="2631"/>
      <c r="J421" s="2228"/>
      <c r="K421" s="2228"/>
      <c r="L421" s="2228"/>
      <c r="M421" s="1195"/>
      <c r="N421" s="1195"/>
      <c r="O421" s="1195"/>
      <c r="P421" s="1195"/>
      <c r="Q421" s="1195"/>
      <c r="R421" s="1195"/>
      <c r="S421" s="1195"/>
      <c r="T421" s="1195"/>
      <c r="U421" s="1195"/>
    </row>
    <row r="422" spans="1:21" ht="15" customHeight="1" outlineLevel="1">
      <c r="A422" s="2620" t="s">
        <v>4155</v>
      </c>
      <c r="B422" s="229"/>
      <c r="C422" s="2223">
        <f>дома!L1159</f>
        <v>5.3851648071345037</v>
      </c>
      <c r="D422" s="1195"/>
      <c r="E422" s="2643"/>
      <c r="F422" s="2643"/>
      <c r="G422" s="2630"/>
      <c r="H422" s="2630"/>
      <c r="I422" s="2631"/>
      <c r="J422" s="2228"/>
      <c r="K422" s="2228"/>
      <c r="L422" s="2228"/>
      <c r="M422" s="1195"/>
      <c r="N422" s="1195"/>
      <c r="O422" s="1195"/>
      <c r="P422" s="1195"/>
      <c r="Q422" s="1195"/>
      <c r="R422" s="1195"/>
      <c r="S422" s="1195"/>
      <c r="T422" s="1195"/>
      <c r="U422" s="1195"/>
    </row>
    <row r="423" spans="1:21" ht="15" customHeight="1" outlineLevel="1">
      <c r="A423" s="229" t="s">
        <v>2769</v>
      </c>
      <c r="B423" s="229" t="s">
        <v>133</v>
      </c>
      <c r="C423" s="229">
        <f>дома!L1181</f>
        <v>237.83525422226938</v>
      </c>
      <c r="D423" s="2286"/>
      <c r="E423" s="2643"/>
      <c r="F423" s="2643"/>
      <c r="G423" s="2630"/>
      <c r="H423" s="2630"/>
      <c r="I423" s="2631"/>
      <c r="J423" s="2228"/>
      <c r="K423" s="2228"/>
      <c r="L423" s="2228"/>
      <c r="M423" s="1195"/>
      <c r="N423" s="1195"/>
      <c r="O423" s="1195"/>
      <c r="P423" s="1195"/>
      <c r="Q423" s="1195"/>
      <c r="R423" s="1195"/>
      <c r="S423" s="1195"/>
      <c r="T423" s="1195"/>
      <c r="U423" s="1195"/>
    </row>
    <row r="424" spans="1:21" ht="15" customHeight="1" outlineLevel="1">
      <c r="A424" s="229" t="s">
        <v>4036</v>
      </c>
      <c r="B424" s="229" t="s">
        <v>133</v>
      </c>
      <c r="C424" s="229">
        <f>C423*1.4</f>
        <v>332.9693559111771</v>
      </c>
      <c r="D424" s="2432">
        <v>1</v>
      </c>
      <c r="E424" s="2286"/>
      <c r="F424" s="2286"/>
      <c r="G424" s="2228"/>
      <c r="H424" s="2228"/>
      <c r="I424" s="2234"/>
      <c r="J424" s="2228"/>
      <c r="K424" s="2228"/>
      <c r="L424" s="2228"/>
      <c r="M424" s="1195"/>
      <c r="N424" s="1195"/>
      <c r="O424" s="1195"/>
      <c r="P424" s="1195"/>
      <c r="Q424" s="1195"/>
      <c r="R424" s="1195"/>
      <c r="S424" s="1195"/>
      <c r="T424" s="1195"/>
      <c r="U424" s="1195"/>
    </row>
    <row r="425" spans="1:21" ht="15" customHeight="1" outlineLevel="1">
      <c r="A425" s="3081" t="s">
        <v>2632</v>
      </c>
      <c r="B425" s="259" t="s">
        <v>156</v>
      </c>
      <c r="C425" s="259">
        <f>'Ввод данных'!C291</f>
        <v>0</v>
      </c>
      <c r="D425" s="2432">
        <v>1</v>
      </c>
      <c r="E425" s="2286"/>
      <c r="F425" s="2286"/>
      <c r="G425" s="2228"/>
      <c r="H425" s="2228"/>
      <c r="I425" s="2234"/>
      <c r="J425" s="2228"/>
      <c r="K425" s="2228"/>
      <c r="L425" s="2228"/>
      <c r="M425" s="1195"/>
      <c r="N425" s="1195"/>
      <c r="O425" s="1195"/>
      <c r="P425" s="1195"/>
      <c r="Q425" s="1195"/>
      <c r="R425" s="1195"/>
      <c r="S425" s="1195"/>
      <c r="T425" s="1195"/>
      <c r="U425" s="1195"/>
    </row>
    <row r="426" spans="1:21" ht="15" customHeight="1" outlineLevel="1">
      <c r="A426" s="3081"/>
      <c r="B426" s="259" t="s">
        <v>156</v>
      </c>
      <c r="C426" s="259">
        <v>0</v>
      </c>
      <c r="D426" s="2432" t="e">
        <f>'Ввод данных'!#REF!</f>
        <v>#REF!</v>
      </c>
      <c r="E426" s="2286"/>
      <c r="F426" s="2286"/>
      <c r="G426" s="2228"/>
      <c r="H426" s="2228"/>
      <c r="I426" s="2234"/>
      <c r="J426" s="2228"/>
      <c r="K426" s="2228"/>
      <c r="L426" s="2228"/>
      <c r="M426" s="1195"/>
      <c r="N426" s="1195"/>
      <c r="O426" s="1195"/>
      <c r="P426" s="1195"/>
      <c r="Q426" s="1195"/>
      <c r="R426" s="1195"/>
      <c r="S426" s="1195"/>
      <c r="T426" s="1195"/>
      <c r="U426" s="1195"/>
    </row>
    <row r="427" spans="1:21" ht="15" customHeight="1" outlineLevel="1">
      <c r="A427" s="2265" t="s">
        <v>1089</v>
      </c>
      <c r="B427" s="259" t="s">
        <v>159</v>
      </c>
      <c r="C427" s="2222">
        <f>'Ввод данных'!C300</f>
        <v>0</v>
      </c>
      <c r="D427" s="2286"/>
      <c r="E427" s="2286"/>
      <c r="F427" s="2286"/>
      <c r="G427" s="2228"/>
      <c r="H427" s="2228"/>
      <c r="I427" s="2234"/>
      <c r="J427" s="2228"/>
      <c r="K427" s="2228"/>
      <c r="L427" s="2228"/>
      <c r="M427" s="1195"/>
      <c r="N427" s="1195"/>
      <c r="O427" s="1195"/>
      <c r="P427" s="1195"/>
      <c r="Q427" s="1195"/>
      <c r="R427" s="1195"/>
      <c r="S427" s="1195"/>
      <c r="T427" s="1195"/>
      <c r="U427" s="1195"/>
    </row>
    <row r="428" spans="1:21" ht="15" customHeight="1" outlineLevel="1">
      <c r="A428" s="2265" t="s">
        <v>1090</v>
      </c>
      <c r="B428" s="259" t="s">
        <v>159</v>
      </c>
      <c r="C428" s="2222">
        <f>'Ввод данных'!C301</f>
        <v>0</v>
      </c>
      <c r="D428" s="2286"/>
      <c r="E428" s="2286"/>
      <c r="F428" s="2286"/>
      <c r="G428" s="2228"/>
      <c r="H428" s="2228"/>
      <c r="I428" s="2234"/>
      <c r="J428" s="2228"/>
      <c r="K428" s="2228"/>
      <c r="L428" s="2228"/>
      <c r="M428" s="1195"/>
      <c r="N428" s="1195"/>
      <c r="O428" s="1195"/>
      <c r="P428" s="1195"/>
      <c r="Q428" s="1195"/>
      <c r="R428" s="1195"/>
      <c r="S428" s="1195"/>
      <c r="T428" s="1195"/>
      <c r="U428" s="1195"/>
    </row>
    <row r="429" spans="1:21" ht="15" customHeight="1" outlineLevel="1">
      <c r="A429" s="2265" t="s">
        <v>1091</v>
      </c>
      <c r="B429" s="259" t="s">
        <v>159</v>
      </c>
      <c r="C429" s="2222">
        <f>'Ввод данных'!C302</f>
        <v>0</v>
      </c>
      <c r="D429" s="2286"/>
      <c r="E429" s="2286"/>
      <c r="F429" s="2286"/>
      <c r="G429" s="2228"/>
      <c r="H429" s="2228"/>
      <c r="I429" s="2234"/>
      <c r="J429" s="2228"/>
      <c r="K429" s="2228"/>
      <c r="L429" s="2228"/>
      <c r="M429" s="1195"/>
      <c r="N429" s="1195"/>
      <c r="O429" s="1195"/>
      <c r="P429" s="1195"/>
      <c r="Q429" s="1195"/>
      <c r="R429" s="1195"/>
      <c r="S429" s="1195"/>
      <c r="T429" s="1195"/>
      <c r="U429" s="1195"/>
    </row>
    <row r="430" spans="1:21" ht="15" customHeight="1" outlineLevel="1">
      <c r="A430" s="2635" t="s">
        <v>2720</v>
      </c>
      <c r="B430" s="2635" t="s">
        <v>1094</v>
      </c>
      <c r="C430" s="2635" t="s">
        <v>1802</v>
      </c>
      <c r="D430" s="2635" t="s">
        <v>2721</v>
      </c>
      <c r="E430" s="2635" t="s">
        <v>2722</v>
      </c>
      <c r="F430" s="1194"/>
      <c r="G430" s="2645" t="s">
        <v>1409</v>
      </c>
      <c r="H430" s="2646"/>
      <c r="I430" s="2635" t="s">
        <v>1094</v>
      </c>
      <c r="J430" s="2635" t="s">
        <v>1802</v>
      </c>
      <c r="K430" s="2635" t="s">
        <v>1601</v>
      </c>
      <c r="L430" s="2635" t="s">
        <v>2722</v>
      </c>
      <c r="M430" s="1195"/>
      <c r="N430" s="1195"/>
      <c r="O430" s="1195"/>
      <c r="P430" s="1195"/>
      <c r="Q430" s="1195"/>
      <c r="R430" s="1195"/>
      <c r="S430" s="1195"/>
      <c r="T430" s="1195"/>
      <c r="U430" s="1195"/>
    </row>
    <row r="431" spans="1:21" ht="15" customHeight="1" outlineLevel="1">
      <c r="A431" s="229" t="str">
        <f>'Ввод данных'!A284</f>
        <v>нет</v>
      </c>
      <c r="B431" s="229" t="s">
        <v>135</v>
      </c>
      <c r="C431" s="229">
        <f>C407*D407*VLOOKUP(A431,связи1!F203:H213,3,0)*G405</f>
        <v>0</v>
      </c>
      <c r="D431" s="229">
        <f>VLOOKUP(A431,связи1!F203:H213,2,0)</f>
        <v>0</v>
      </c>
      <c r="E431" s="229">
        <f t="shared" ref="E431:E462" si="9">C431*D431</f>
        <v>0</v>
      </c>
      <c r="F431" s="1194"/>
      <c r="G431" s="2260"/>
      <c r="H431" s="2261"/>
      <c r="I431" s="229"/>
      <c r="J431" s="229"/>
      <c r="K431" s="229"/>
      <c r="L431" s="229"/>
      <c r="M431" s="1195"/>
      <c r="N431" s="1195"/>
      <c r="O431" s="1195"/>
      <c r="P431" s="1195"/>
      <c r="Q431" s="1195"/>
      <c r="R431" s="1195"/>
      <c r="S431" s="1195"/>
      <c r="T431" s="1195"/>
      <c r="U431" s="1195"/>
    </row>
    <row r="432" spans="1:21" ht="15" customHeight="1" outlineLevel="1">
      <c r="A432" s="229" t="str">
        <f>'Прайс лист'!B864</f>
        <v xml:space="preserve">Болты анкерные с гайкой 12,0 х 280          </v>
      </c>
      <c r="B432" s="229" t="s">
        <v>159</v>
      </c>
      <c r="C432" s="229">
        <f>C407*D407*G405</f>
        <v>139.09265127310908</v>
      </c>
      <c r="D432" s="229">
        <f>'Прайс лист'!G864</f>
        <v>27.1</v>
      </c>
      <c r="E432" s="229">
        <f t="shared" si="9"/>
        <v>3769.4108495012565</v>
      </c>
      <c r="F432" s="1194"/>
      <c r="G432" s="2258" t="s">
        <v>1532</v>
      </c>
      <c r="H432" s="2259"/>
      <c r="I432" s="229" t="s">
        <v>156</v>
      </c>
      <c r="J432" s="229">
        <f>C407*D407*H406</f>
        <v>139.09265127310908</v>
      </c>
      <c r="K432" s="229">
        <f>'Прайс лист'!G1735</f>
        <v>250</v>
      </c>
      <c r="L432" s="229">
        <f t="shared" ref="L432:L449" si="10">J432*K432</f>
        <v>34773.162818277269</v>
      </c>
      <c r="M432" s="1195"/>
      <c r="N432" s="1195"/>
      <c r="O432" s="1195"/>
      <c r="P432" s="1195"/>
      <c r="Q432" s="1195"/>
      <c r="R432" s="1195"/>
      <c r="S432" s="1195"/>
      <c r="T432" s="1195"/>
      <c r="U432" s="1195"/>
    </row>
    <row r="433" spans="1:21" ht="15" customHeight="1" outlineLevel="1">
      <c r="A433" s="229" t="str">
        <f>'Ввод данных'!A291</f>
        <v>Доска сырая, 150*50мм</v>
      </c>
      <c r="B433" s="229" t="s">
        <v>135</v>
      </c>
      <c r="C433" s="229">
        <f>((C419*8+C415+(((C415/0.6)+3)*C421)*2)+C415*2+(G411/0.6+1)*C422*2+G411*2+(G410-C415)/0.6*3+G410+G410+G411+G411)*G405*VLOOKUP(A433,связи1!A407:E416,5,0)*1.3</f>
        <v>4.6833157486435848</v>
      </c>
      <c r="D433" s="229">
        <f>VLOOKUP(A433,связи1!A407:E416,2,0)</f>
        <v>6500</v>
      </c>
      <c r="E433" s="229">
        <f t="shared" si="9"/>
        <v>30441.552366183299</v>
      </c>
      <c r="F433" s="1194"/>
      <c r="G433" s="2258" t="s">
        <v>1533</v>
      </c>
      <c r="H433" s="2259"/>
      <c r="I433" s="229" t="s">
        <v>133</v>
      </c>
      <c r="J433" s="229">
        <f>C423*H406*IF(A433=связи1!A407,0,1)</f>
        <v>237.83525422226938</v>
      </c>
      <c r="K433" s="229">
        <f>'Прайс лист'!G1736</f>
        <v>450</v>
      </c>
      <c r="L433" s="229">
        <f t="shared" si="10"/>
        <v>107025.86440002122</v>
      </c>
      <c r="M433" s="1195"/>
      <c r="N433" s="1195"/>
      <c r="O433" s="1195"/>
      <c r="P433" s="1195"/>
      <c r="Q433" s="1195"/>
      <c r="R433" s="1195"/>
      <c r="S433" s="1195"/>
      <c r="T433" s="1195"/>
      <c r="U433" s="1195"/>
    </row>
    <row r="434" spans="1:21" ht="15" customHeight="1" outlineLevel="1">
      <c r="A434" s="229" t="s">
        <v>2723</v>
      </c>
      <c r="B434" s="229" t="s">
        <v>135</v>
      </c>
      <c r="C434" s="229">
        <f>(((C415/0.6)+1)*3*2)*VLOOKUP(A433,связи1!A407:E416,5,0)*G405</f>
        <v>0.495</v>
      </c>
      <c r="D434" s="229">
        <f>VLOOKUP(A433,связи1!A407:E416,2,0)</f>
        <v>6500</v>
      </c>
      <c r="E434" s="229">
        <f t="shared" si="9"/>
        <v>3217.5</v>
      </c>
      <c r="F434" s="1194"/>
      <c r="G434" s="2258" t="s">
        <v>1534</v>
      </c>
      <c r="H434" s="2259"/>
      <c r="I434" s="229" t="s">
        <v>133</v>
      </c>
      <c r="J434" s="229">
        <f>J433*H406*IF(A436=связи1!A432,0,1)</f>
        <v>237.83525422226938</v>
      </c>
      <c r="K434" s="229">
        <f>'Прайс лист'!G1737</f>
        <v>100</v>
      </c>
      <c r="L434" s="229">
        <f t="shared" si="10"/>
        <v>23783.52542222694</v>
      </c>
      <c r="M434" s="1195"/>
      <c r="N434" s="1195"/>
      <c r="O434" s="1195"/>
      <c r="P434" s="1195"/>
      <c r="Q434" s="1195"/>
      <c r="R434" s="1195"/>
      <c r="S434" s="1195"/>
      <c r="T434" s="1195"/>
      <c r="U434" s="1195"/>
    </row>
    <row r="435" spans="1:21" ht="15" customHeight="1" outlineLevel="1">
      <c r="A435" s="229" t="s">
        <v>4131</v>
      </c>
      <c r="B435" s="229" t="s">
        <v>135</v>
      </c>
      <c r="C435" s="229">
        <f>(((C415/2)+1)*C416)*VLOOKUP(A433,связи1!A407:E416,5,0)*G405</f>
        <v>0.15</v>
      </c>
      <c r="D435" s="229">
        <f>VLOOKUP(A433,связи1!A407:E416,2,0)</f>
        <v>6500</v>
      </c>
      <c r="E435" s="229">
        <f t="shared" si="9"/>
        <v>975</v>
      </c>
      <c r="F435" s="1194"/>
      <c r="G435" s="2258" t="s">
        <v>1535</v>
      </c>
      <c r="H435" s="2259"/>
      <c r="I435" s="229" t="s">
        <v>133</v>
      </c>
      <c r="J435" s="229">
        <f>J433*H406*IF(A437=связи1!A418,0,1)</f>
        <v>237.83525422226938</v>
      </c>
      <c r="K435" s="229">
        <f>'Прайс лист'!G1738</f>
        <v>100</v>
      </c>
      <c r="L435" s="229">
        <f t="shared" si="10"/>
        <v>23783.52542222694</v>
      </c>
      <c r="M435" s="1195"/>
      <c r="N435" s="1195"/>
      <c r="O435" s="1195"/>
      <c r="P435" s="1195"/>
      <c r="Q435" s="1195"/>
      <c r="R435" s="1195"/>
      <c r="S435" s="1195"/>
      <c r="T435" s="1195"/>
      <c r="U435" s="1195"/>
    </row>
    <row r="436" spans="1:21" ht="15" customHeight="1" outlineLevel="1">
      <c r="A436" s="229" t="str">
        <f>'Ввод данных'!A293</f>
        <v>Сосна влаж,100*25мм</v>
      </c>
      <c r="B436" s="229" t="s">
        <v>135</v>
      </c>
      <c r="C436" s="229">
        <f>C423*3*G405*VLOOKUP(A436,связи1!A432:F440,5,0)*1.3</f>
        <v>2.3188937286671267</v>
      </c>
      <c r="D436" s="229">
        <f>VLOOKUP(A436,связи1!A432:F440,6,0)</f>
        <v>6500</v>
      </c>
      <c r="E436" s="229">
        <f t="shared" si="9"/>
        <v>15072.809236336323</v>
      </c>
      <c r="F436" s="1194"/>
      <c r="G436" s="2258" t="s">
        <v>1536</v>
      </c>
      <c r="H436" s="2259"/>
      <c r="I436" s="229" t="s">
        <v>133</v>
      </c>
      <c r="J436" s="229">
        <f>J433*H406*IF(A438='Прайс лист'!B793,0,1)</f>
        <v>237.83525422226938</v>
      </c>
      <c r="K436" s="229">
        <f>'Прайс лист'!G1739</f>
        <v>100</v>
      </c>
      <c r="L436" s="229">
        <f t="shared" si="10"/>
        <v>23783.52542222694</v>
      </c>
      <c r="M436" s="1195"/>
      <c r="N436" s="1195"/>
      <c r="O436" s="1195"/>
      <c r="P436" s="1195"/>
      <c r="Q436" s="1195"/>
      <c r="R436" s="1195"/>
      <c r="S436" s="1195"/>
      <c r="T436" s="1195"/>
      <c r="U436" s="1195"/>
    </row>
    <row r="437" spans="1:21" ht="15" customHeight="1" outlineLevel="1">
      <c r="A437" s="229" t="str">
        <f>'Ввод данных'!A295</f>
        <v>Доска сухая, калибр., 35*45мм</v>
      </c>
      <c r="B437" s="229" t="s">
        <v>135</v>
      </c>
      <c r="C437" s="229">
        <f>C423*3*G405*VLOOKUP(A437,связи1!A418:E421,5,0)</f>
        <v>0.87404455926683999</v>
      </c>
      <c r="D437" s="229">
        <f>VLOOKUP(A437,связи1!A418:D421,2,0)</f>
        <v>12500</v>
      </c>
      <c r="E437" s="229">
        <f t="shared" si="9"/>
        <v>10925.556990835499</v>
      </c>
      <c r="F437" s="1194"/>
      <c r="G437" s="2258" t="s">
        <v>1537</v>
      </c>
      <c r="H437" s="2259"/>
      <c r="I437" s="229" t="s">
        <v>133</v>
      </c>
      <c r="J437" s="229">
        <f>J433*H406*IF(A439='Прайс лист'!B820,0,1)</f>
        <v>237.83525422226938</v>
      </c>
      <c r="K437" s="229">
        <f>'Прайс лист'!G1740</f>
        <v>100</v>
      </c>
      <c r="L437" s="229">
        <f t="shared" si="10"/>
        <v>23783.52542222694</v>
      </c>
      <c r="M437" s="1195"/>
      <c r="N437" s="1195"/>
      <c r="O437" s="1195"/>
      <c r="P437" s="1195"/>
      <c r="Q437" s="1195"/>
      <c r="R437" s="1195"/>
      <c r="S437" s="1195"/>
      <c r="T437" s="1195"/>
      <c r="U437" s="1195"/>
    </row>
    <row r="438" spans="1:21" ht="15" customHeight="1" outlineLevel="1">
      <c r="A438" s="229" t="str">
        <f>'Ввод данных'!A304</f>
        <v>Мембраны  Tyvek Housewrap</v>
      </c>
      <c r="B438" s="229" t="s">
        <v>133</v>
      </c>
      <c r="C438" s="229">
        <f>C424*G405</f>
        <v>332.9693559111771</v>
      </c>
      <c r="D438" s="229">
        <f>VLOOKUP(A438,'Прайс лист'!B793:G819,6,0)</f>
        <v>90</v>
      </c>
      <c r="E438" s="229">
        <f t="shared" si="9"/>
        <v>29967.242032005939</v>
      </c>
      <c r="F438" s="1194"/>
      <c r="G438" s="2258" t="s">
        <v>1538</v>
      </c>
      <c r="H438" s="2259"/>
      <c r="I438" s="229" t="s">
        <v>133</v>
      </c>
      <c r="J438" s="229">
        <f>C423*H406*IF(A440='Прайс лист'!B744,0,1)</f>
        <v>237.83525422226938</v>
      </c>
      <c r="K438" s="229">
        <f>'Прайс лист'!G1741</f>
        <v>200</v>
      </c>
      <c r="L438" s="229">
        <f t="shared" si="10"/>
        <v>47567.050844453879</v>
      </c>
      <c r="M438" s="1195"/>
      <c r="N438" s="1195"/>
      <c r="O438" s="1195"/>
      <c r="P438" s="1195"/>
      <c r="Q438" s="1195"/>
      <c r="R438" s="1195"/>
      <c r="S438" s="1195"/>
      <c r="T438" s="1195"/>
      <c r="U438" s="1195"/>
    </row>
    <row r="439" spans="1:21" ht="15" customHeight="1" outlineLevel="1">
      <c r="A439" s="229" t="str">
        <f>'Ввод данных'!A306</f>
        <v>Мембрана Tyvek AirGuard Reflective</v>
      </c>
      <c r="B439" s="229" t="s">
        <v>133</v>
      </c>
      <c r="C439" s="229">
        <f>C424*D424*G405</f>
        <v>332.9693559111771</v>
      </c>
      <c r="D439" s="229">
        <f>VLOOKUP(A439,'Прайс лист'!B820:G831,6,0)</f>
        <v>174</v>
      </c>
      <c r="E439" s="229">
        <f t="shared" si="9"/>
        <v>57936.667928544819</v>
      </c>
      <c r="F439" s="1194"/>
      <c r="G439" s="2258" t="str">
        <f>'Прайс лист'!B1742</f>
        <v>Монтаж металлочерепицы</v>
      </c>
      <c r="H439" s="2259"/>
      <c r="I439" s="229" t="s">
        <v>133</v>
      </c>
      <c r="J439" s="229">
        <f>C423*H406</f>
        <v>237.83525422226938</v>
      </c>
      <c r="K439" s="229">
        <f>'Прайс лист'!G1742</f>
        <v>300</v>
      </c>
      <c r="L439" s="229">
        <f t="shared" si="10"/>
        <v>71350.576266680815</v>
      </c>
      <c r="M439" s="1195"/>
      <c r="N439" s="1195"/>
      <c r="O439" s="1195"/>
      <c r="P439" s="1195"/>
      <c r="Q439" s="1195"/>
      <c r="R439" s="1195"/>
      <c r="S439" s="1195"/>
      <c r="T439" s="1195"/>
      <c r="U439" s="1195"/>
    </row>
    <row r="440" spans="1:21" ht="15" customHeight="1" outlineLevel="1">
      <c r="A440" s="229" t="str">
        <f>'Ввод данных'!A299</f>
        <v>Плитный,28кг/м3, технониколь, 50мм</v>
      </c>
      <c r="B440" s="229" t="s">
        <v>135</v>
      </c>
      <c r="C440" s="229">
        <f>C423*G405*VLOOKUP(A440,'Прайс лист'!B744:G782,3,0)</f>
        <v>11.89176271111347</v>
      </c>
      <c r="D440" s="229">
        <f>VLOOKUP(A440,'Прайс лист'!B744:G782,6,0)</f>
        <v>1700</v>
      </c>
      <c r="E440" s="229">
        <f t="shared" si="9"/>
        <v>20215.9966088929</v>
      </c>
      <c r="F440" s="1194"/>
      <c r="G440" s="2258" t="s">
        <v>4156</v>
      </c>
      <c r="H440" s="2259"/>
      <c r="I440" s="229" t="s">
        <v>156</v>
      </c>
      <c r="J440" s="275">
        <f>C448*H406</f>
        <v>0</v>
      </c>
      <c r="K440" s="229">
        <f>'Прайс лист'!G1744</f>
        <v>100</v>
      </c>
      <c r="L440" s="229">
        <f t="shared" si="10"/>
        <v>0</v>
      </c>
      <c r="M440" s="1195"/>
      <c r="N440" s="1195"/>
      <c r="O440" s="1195"/>
      <c r="P440" s="1195"/>
      <c r="Q440" s="1195"/>
      <c r="R440" s="1195"/>
      <c r="S440" s="1195"/>
      <c r="T440" s="1195"/>
      <c r="U440" s="1195"/>
    </row>
    <row r="441" spans="1:21" ht="15" customHeight="1" outlineLevel="1">
      <c r="A441" s="229" t="s">
        <v>2724</v>
      </c>
      <c r="B441" s="229" t="s">
        <v>133</v>
      </c>
      <c r="C441" s="229">
        <f>C424*C410*G405</f>
        <v>332.9693559111771</v>
      </c>
      <c r="D441" s="229">
        <f>'Прайс лист'!G1131</f>
        <v>250</v>
      </c>
      <c r="E441" s="229">
        <f t="shared" si="9"/>
        <v>83242.338977794279</v>
      </c>
      <c r="F441" s="1194"/>
      <c r="G441" s="2258" t="s">
        <v>4149</v>
      </c>
      <c r="H441" s="2259"/>
      <c r="I441" s="229" t="s">
        <v>156</v>
      </c>
      <c r="J441" s="275">
        <f>C442*H406</f>
        <v>62</v>
      </c>
      <c r="K441" s="229">
        <f>'Прайс лист'!G1745</f>
        <v>100</v>
      </c>
      <c r="L441" s="229">
        <f t="shared" si="10"/>
        <v>6200</v>
      </c>
      <c r="M441" s="1195"/>
      <c r="N441" s="1195"/>
      <c r="O441" s="1195"/>
      <c r="P441" s="1195"/>
      <c r="Q441" s="1195"/>
      <c r="R441" s="1195"/>
      <c r="S441" s="1195"/>
      <c r="T441" s="1195"/>
      <c r="U441" s="1195"/>
    </row>
    <row r="442" spans="1:21" ht="15" customHeight="1" outlineLevel="1">
      <c r="A442" s="229" t="str">
        <f>'Прайс лист'!B1132</f>
        <v>Карнизная планка</v>
      </c>
      <c r="B442" s="229" t="s">
        <v>156</v>
      </c>
      <c r="C442" s="229">
        <f>(G410+C418+C418+G411+G411)*2*G405*C410</f>
        <v>62</v>
      </c>
      <c r="D442" s="229">
        <f>'Прайс лист'!G1132</f>
        <v>200</v>
      </c>
      <c r="E442" s="229">
        <f t="shared" si="9"/>
        <v>12400</v>
      </c>
      <c r="F442" s="1194"/>
      <c r="G442" s="2258" t="s">
        <v>1544</v>
      </c>
      <c r="H442" s="2259"/>
      <c r="I442" s="229" t="s">
        <v>156</v>
      </c>
      <c r="J442" s="275">
        <f>C464*H406</f>
        <v>51.666666666666671</v>
      </c>
      <c r="K442" s="229">
        <f>'Прайс лист'!G1747</f>
        <v>300</v>
      </c>
      <c r="L442" s="229">
        <f t="shared" si="10"/>
        <v>15500.000000000002</v>
      </c>
      <c r="M442" s="1195"/>
      <c r="N442" s="1195"/>
      <c r="O442" s="1195"/>
      <c r="P442" s="1195"/>
      <c r="Q442" s="1195"/>
      <c r="R442" s="1195"/>
      <c r="S442" s="1195"/>
      <c r="T442" s="1195"/>
      <c r="U442" s="1195"/>
    </row>
    <row r="443" spans="1:21" ht="15" customHeight="1" outlineLevel="1">
      <c r="A443" s="229" t="str">
        <f>'Прайс лист'!B1133</f>
        <v>Торцевая планка</v>
      </c>
      <c r="B443" s="229" t="s">
        <v>156</v>
      </c>
      <c r="C443" s="229">
        <f>C420*4*G405*C410</f>
        <v>26.90724809414742</v>
      </c>
      <c r="D443" s="229">
        <f>'Прайс лист'!G1133</f>
        <v>200</v>
      </c>
      <c r="E443" s="229">
        <f t="shared" si="9"/>
        <v>5381.4496188294843</v>
      </c>
      <c r="F443" s="1194"/>
      <c r="G443" s="2258" t="s">
        <v>1082</v>
      </c>
      <c r="H443" s="2259"/>
      <c r="I443" s="229" t="s">
        <v>156</v>
      </c>
      <c r="J443" s="275">
        <f>C466*H406</f>
        <v>62</v>
      </c>
      <c r="K443" s="229">
        <f>'Прайс лист'!G1748</f>
        <v>300</v>
      </c>
      <c r="L443" s="229">
        <f t="shared" si="10"/>
        <v>18600</v>
      </c>
      <c r="M443" s="1195"/>
      <c r="N443" s="1195"/>
      <c r="O443" s="1195"/>
      <c r="P443" s="1195"/>
      <c r="Q443" s="1195"/>
      <c r="R443" s="1195"/>
      <c r="S443" s="1195"/>
      <c r="T443" s="1195"/>
      <c r="U443" s="1195"/>
    </row>
    <row r="444" spans="1:21" ht="15" customHeight="1" outlineLevel="1">
      <c r="A444" s="229" t="str">
        <f>'Прайс лист'!B1134</f>
        <v>Конек</v>
      </c>
      <c r="B444" s="229" t="s">
        <v>156</v>
      </c>
      <c r="C444" s="229">
        <f>C415*G405*C410+C419*4*G405*1.1*C410</f>
        <v>39.778728788181674</v>
      </c>
      <c r="D444" s="229">
        <f>'Прайс лист'!G1134</f>
        <v>230</v>
      </c>
      <c r="E444" s="229">
        <f t="shared" si="9"/>
        <v>9149.1076212817843</v>
      </c>
      <c r="F444" s="1194"/>
      <c r="G444" s="2258" t="s">
        <v>1541</v>
      </c>
      <c r="H444" s="2259"/>
      <c r="I444" s="229" t="s">
        <v>156</v>
      </c>
      <c r="J444" s="275">
        <f>C443*H406</f>
        <v>26.90724809414742</v>
      </c>
      <c r="K444" s="229">
        <f>'Прайс лист'!G1749</f>
        <v>300</v>
      </c>
      <c r="L444" s="229">
        <f t="shared" si="10"/>
        <v>8072.174428244226</v>
      </c>
      <c r="M444" s="1195"/>
      <c r="N444" s="1195"/>
      <c r="O444" s="1195"/>
      <c r="P444" s="1195"/>
      <c r="Q444" s="1195"/>
      <c r="R444" s="1195"/>
      <c r="S444" s="1195"/>
      <c r="T444" s="1195"/>
      <c r="U444" s="1195"/>
    </row>
    <row r="445" spans="1:21" ht="15" customHeight="1" outlineLevel="1">
      <c r="A445" s="229" t="s">
        <v>2725</v>
      </c>
      <c r="B445" s="229" t="s">
        <v>133</v>
      </c>
      <c r="C445" s="229">
        <f>C424*C411*G405</f>
        <v>0</v>
      </c>
      <c r="D445" s="229">
        <f>'Прайс лист'!G1143</f>
        <v>180</v>
      </c>
      <c r="E445" s="229">
        <f t="shared" si="9"/>
        <v>0</v>
      </c>
      <c r="F445" s="1194"/>
      <c r="G445" s="2637" t="s">
        <v>1546</v>
      </c>
      <c r="H445" s="2638"/>
      <c r="I445" s="2226" t="s">
        <v>156</v>
      </c>
      <c r="J445" s="275">
        <f>C415*H406</f>
        <v>6</v>
      </c>
      <c r="K445" s="229">
        <f>'Прайс лист'!G1750</f>
        <v>300</v>
      </c>
      <c r="L445" s="229">
        <f t="shared" si="10"/>
        <v>1800</v>
      </c>
      <c r="M445" s="1195"/>
      <c r="N445" s="1195"/>
      <c r="O445" s="1195"/>
      <c r="P445" s="1195"/>
      <c r="Q445" s="1195"/>
      <c r="R445" s="1195"/>
      <c r="S445" s="1195"/>
      <c r="T445" s="1195"/>
      <c r="U445" s="1195"/>
    </row>
    <row r="446" spans="1:21" ht="15" customHeight="1" outlineLevel="1">
      <c r="A446" s="229" t="str">
        <f>'Прайс лист'!B1144</f>
        <v>Карнизная планка</v>
      </c>
      <c r="B446" s="229" t="str">
        <f>'Прайс лист'!C1144</f>
        <v>м.п.</v>
      </c>
      <c r="C446" s="229">
        <f>(G410+C418+C418+G411+G411)*2*G405*C411</f>
        <v>0</v>
      </c>
      <c r="D446" s="229">
        <f>'Прайс лист'!G1144</f>
        <v>190</v>
      </c>
      <c r="E446" s="229">
        <f t="shared" si="9"/>
        <v>0</v>
      </c>
      <c r="F446" s="1194"/>
      <c r="G446" s="2258" t="str">
        <f>'Прайс лист'!B1743</f>
        <v>Монтаж ондулина</v>
      </c>
      <c r="H446" s="2259"/>
      <c r="I446" s="229" t="s">
        <v>133</v>
      </c>
      <c r="J446" s="275">
        <f>C423*C411</f>
        <v>0</v>
      </c>
      <c r="K446" s="229">
        <f>'Прайс лист'!G1743</f>
        <v>300</v>
      </c>
      <c r="L446" s="229">
        <f t="shared" si="10"/>
        <v>0</v>
      </c>
      <c r="M446" s="1195"/>
      <c r="N446" s="1195"/>
      <c r="O446" s="1195"/>
      <c r="P446" s="1195"/>
      <c r="Q446" s="1195"/>
      <c r="R446" s="1195"/>
      <c r="S446" s="1195"/>
      <c r="T446" s="1195"/>
      <c r="U446" s="1195"/>
    </row>
    <row r="447" spans="1:21" ht="15" customHeight="1" outlineLevel="1">
      <c r="A447" s="229" t="str">
        <f>'Прайс лист'!B1145</f>
        <v>Торцевая планка</v>
      </c>
      <c r="B447" s="229" t="str">
        <f>'Прайс лист'!C1145</f>
        <v>м.п.</v>
      </c>
      <c r="C447" s="17">
        <f>C420*4*G405*C411</f>
        <v>0</v>
      </c>
      <c r="D447" s="229">
        <f>'Прайс лист'!G1145</f>
        <v>190</v>
      </c>
      <c r="E447" s="229">
        <f t="shared" si="9"/>
        <v>0</v>
      </c>
      <c r="F447" s="1194"/>
      <c r="G447" s="98" t="str">
        <f>'Прайс лист'!B1751</f>
        <v>Монтаж фанеры/osb</v>
      </c>
      <c r="H447" s="98"/>
      <c r="I447" s="229" t="s">
        <v>133</v>
      </c>
      <c r="J447" s="275">
        <f>C423*H406*IF(A453='Прайс лист'!B1027,0,1)</f>
        <v>0</v>
      </c>
      <c r="K447" s="229">
        <f>'Прайс лист'!G1751</f>
        <v>200</v>
      </c>
      <c r="L447" s="229">
        <f t="shared" si="10"/>
        <v>0</v>
      </c>
      <c r="M447" s="1195"/>
      <c r="N447" s="1195"/>
      <c r="O447" s="1195"/>
      <c r="P447" s="1195"/>
      <c r="Q447" s="1195"/>
      <c r="R447" s="1195"/>
      <c r="S447" s="1195"/>
      <c r="T447" s="1195"/>
      <c r="U447" s="1195"/>
    </row>
    <row r="448" spans="1:21" ht="15" customHeight="1" outlineLevel="1">
      <c r="A448" s="229" t="str">
        <f>'Прайс лист'!B1146</f>
        <v>Конек</v>
      </c>
      <c r="B448" s="229" t="str">
        <f>'Прайс лист'!C1146</f>
        <v>м.п.</v>
      </c>
      <c r="C448" s="229">
        <f>C415*G405*C411+C419*4*G405*1.1*C411</f>
        <v>0</v>
      </c>
      <c r="D448" s="229">
        <f>'Прайс лист'!G1146</f>
        <v>200</v>
      </c>
      <c r="E448" s="229">
        <f t="shared" si="9"/>
        <v>0</v>
      </c>
      <c r="F448" s="1194"/>
      <c r="G448" s="98" t="str">
        <f>'Прайс лист'!B1752</f>
        <v>монтаж подкладочного ковра</v>
      </c>
      <c r="H448" s="17"/>
      <c r="I448" s="229" t="s">
        <v>133</v>
      </c>
      <c r="J448" s="17">
        <f>C456</f>
        <v>0</v>
      </c>
      <c r="K448" s="229">
        <f>'Прайс лист'!G1752</f>
        <v>150</v>
      </c>
      <c r="L448" s="229">
        <f t="shared" si="10"/>
        <v>0</v>
      </c>
      <c r="M448" s="1195"/>
      <c r="N448" s="1195"/>
      <c r="O448" s="1195"/>
      <c r="P448" s="1195"/>
      <c r="Q448" s="1195"/>
      <c r="R448" s="1195"/>
      <c r="S448" s="1195"/>
      <c r="T448" s="1195"/>
      <c r="U448" s="1195"/>
    </row>
    <row r="449" spans="1:21" ht="15" customHeight="1" outlineLevel="1">
      <c r="A449" s="229" t="str">
        <f>'Прайс лист'!B1147</f>
        <v>Ендова нижняя</v>
      </c>
      <c r="B449" s="229" t="str">
        <f>'Прайс лист'!C1147</f>
        <v>м.п.</v>
      </c>
      <c r="C449" s="17"/>
      <c r="D449" s="229">
        <f>'Прайс лист'!G1147</f>
        <v>160</v>
      </c>
      <c r="E449" s="229">
        <f t="shared" si="9"/>
        <v>0</v>
      </c>
      <c r="F449" s="1194"/>
      <c r="G449" s="98" t="str">
        <f>'Прайс лист'!B1753</f>
        <v>Монтаж мягкой кровли</v>
      </c>
      <c r="H449" s="17"/>
      <c r="I449" s="229" t="s">
        <v>133</v>
      </c>
      <c r="J449" s="17">
        <f>C423*C412</f>
        <v>0</v>
      </c>
      <c r="K449" s="229">
        <f>'Прайс лист'!G1753</f>
        <v>350</v>
      </c>
      <c r="L449" s="229">
        <f t="shared" si="10"/>
        <v>0</v>
      </c>
      <c r="M449" s="1195"/>
      <c r="N449" s="1195"/>
      <c r="O449" s="1195"/>
      <c r="P449" s="1195"/>
      <c r="Q449" s="1195"/>
      <c r="R449" s="1195"/>
      <c r="S449" s="1195"/>
      <c r="T449" s="1195"/>
      <c r="U449" s="1195"/>
    </row>
    <row r="450" spans="1:21" ht="15" customHeight="1" outlineLevel="1">
      <c r="A450" s="229" t="str">
        <f>'Прайс лист'!B1148</f>
        <v>Ендова верхняя</v>
      </c>
      <c r="B450" s="229" t="str">
        <f>'Прайс лист'!C1148</f>
        <v>м.п.</v>
      </c>
      <c r="C450" s="17"/>
      <c r="D450" s="229">
        <f>'Прайс лист'!G1148</f>
        <v>190</v>
      </c>
      <c r="E450" s="229">
        <f t="shared" si="9"/>
        <v>0</v>
      </c>
      <c r="F450" s="1194"/>
      <c r="M450" s="1195"/>
      <c r="N450" s="1195"/>
      <c r="O450" s="1195"/>
      <c r="P450" s="1195"/>
      <c r="Q450" s="1195"/>
      <c r="R450" s="1195"/>
      <c r="S450" s="1195"/>
      <c r="T450" s="1195"/>
      <c r="U450" s="1195"/>
    </row>
    <row r="451" spans="1:21" ht="15" customHeight="1" outlineLevel="1">
      <c r="A451" s="229" t="str">
        <f>'Прайс лист'!B1149</f>
        <v>Планка примыкания</v>
      </c>
      <c r="B451" s="229" t="str">
        <f>'Прайс лист'!C1149</f>
        <v>м.п.</v>
      </c>
      <c r="C451" s="17"/>
      <c r="D451" s="229">
        <f>'Прайс лист'!G1149</f>
        <v>190</v>
      </c>
      <c r="E451" s="229">
        <f t="shared" si="9"/>
        <v>0</v>
      </c>
      <c r="F451" s="1194"/>
      <c r="M451" s="1195"/>
      <c r="N451" s="1195"/>
      <c r="O451" s="1195"/>
      <c r="P451" s="1195"/>
      <c r="Q451" s="1195"/>
      <c r="R451" s="1195"/>
      <c r="S451" s="1195"/>
      <c r="T451" s="1195"/>
      <c r="U451" s="1195"/>
    </row>
    <row r="452" spans="1:21" ht="15" customHeight="1" outlineLevel="1">
      <c r="A452" s="229" t="str">
        <f>'Прайс лист'!B1150</f>
        <v>Крепеж для ондулина</v>
      </c>
      <c r="B452" s="229" t="str">
        <f>'Прайс лист'!C1150</f>
        <v>шт</v>
      </c>
      <c r="C452" s="17">
        <f>C423*12*G405*C411</f>
        <v>0</v>
      </c>
      <c r="D452" s="229">
        <f>'Прайс лист'!G1150</f>
        <v>4.5</v>
      </c>
      <c r="E452" s="229">
        <f t="shared" si="9"/>
        <v>0</v>
      </c>
      <c r="F452" s="1194"/>
      <c r="G452" s="2637"/>
      <c r="H452" s="2638"/>
      <c r="I452" s="2226"/>
      <c r="J452" s="275"/>
      <c r="K452" s="229"/>
      <c r="L452" s="229"/>
      <c r="M452" s="1195"/>
      <c r="N452" s="1195"/>
      <c r="O452" s="1195"/>
      <c r="P452" s="1195"/>
      <c r="Q452" s="1195"/>
      <c r="R452" s="1195"/>
      <c r="S452" s="1195"/>
      <c r="T452" s="1195"/>
      <c r="U452" s="1195"/>
    </row>
    <row r="453" spans="1:21" ht="15" customHeight="1" outlineLevel="1">
      <c r="A453" s="229" t="str">
        <f>'Ввод данных'!A297</f>
        <v>нет</v>
      </c>
      <c r="B453" s="229" t="s">
        <v>133</v>
      </c>
      <c r="C453" s="17">
        <f>C423*G405*1.15</f>
        <v>273.51054235560974</v>
      </c>
      <c r="D453" s="229">
        <f>VLOOKUP(A453,'Прайс лист'!B1027:G1078,6,0)</f>
        <v>0</v>
      </c>
      <c r="E453" s="229">
        <f t="shared" si="9"/>
        <v>0</v>
      </c>
      <c r="F453" s="1194"/>
      <c r="G453" s="2637"/>
      <c r="H453" s="2638"/>
      <c r="I453" s="2226"/>
      <c r="J453" s="275"/>
      <c r="K453" s="229"/>
      <c r="L453" s="229"/>
      <c r="M453" s="1195"/>
      <c r="N453" s="1195"/>
      <c r="O453" s="1195"/>
      <c r="P453" s="1195"/>
      <c r="Q453" s="1195"/>
      <c r="R453" s="1195"/>
      <c r="S453" s="1195"/>
      <c r="T453" s="1195"/>
      <c r="U453" s="1195"/>
    </row>
    <row r="454" spans="1:21" ht="15" customHeight="1" outlineLevel="1">
      <c r="A454" s="229" t="str">
        <f>'Прайс лист'!B1155</f>
        <v>Рядовая черепица</v>
      </c>
      <c r="B454" s="229" t="str">
        <f>'Прайс лист'!C1155</f>
        <v>м2</v>
      </c>
      <c r="C454" s="17">
        <f>C423*C412*G405*1.1-(G410+G410+C418*4+G411+G411)*C412*0.2</f>
        <v>0</v>
      </c>
      <c r="D454" s="229">
        <f>'Прайс лист'!G1155</f>
        <v>360</v>
      </c>
      <c r="E454" s="229">
        <f t="shared" si="9"/>
        <v>0</v>
      </c>
      <c r="F454" s="1194"/>
      <c r="G454" s="2637"/>
      <c r="H454" s="2638"/>
      <c r="I454" s="2226"/>
      <c r="J454" s="275"/>
      <c r="K454" s="229"/>
      <c r="L454" s="229"/>
      <c r="M454" s="1195"/>
      <c r="N454" s="1195"/>
      <c r="O454" s="1195"/>
      <c r="P454" s="1195"/>
      <c r="Q454" s="1195"/>
      <c r="R454" s="1195"/>
      <c r="S454" s="1195"/>
      <c r="T454" s="1195"/>
      <c r="U454" s="1195"/>
    </row>
    <row r="455" spans="1:21" ht="15" customHeight="1" outlineLevel="1">
      <c r="A455" s="229" t="str">
        <f>'Прайс лист'!B1156</f>
        <v>Металл оцинк защита (карниз)</v>
      </c>
      <c r="B455" s="229" t="str">
        <f>'Прайс лист'!C1156</f>
        <v>м.п.</v>
      </c>
      <c r="C455" s="17">
        <f>(G410+G410+C418*4+G411+G411)*C412</f>
        <v>0</v>
      </c>
      <c r="D455" s="229">
        <f>'Прайс лист'!G1156</f>
        <v>200</v>
      </c>
      <c r="E455" s="229">
        <f t="shared" si="9"/>
        <v>0</v>
      </c>
      <c r="F455" s="1194"/>
      <c r="G455" s="2637"/>
      <c r="H455" s="2638"/>
      <c r="I455" s="2226"/>
      <c r="J455" s="275"/>
      <c r="K455" s="229"/>
      <c r="L455" s="229"/>
      <c r="M455" s="1195"/>
      <c r="N455" s="1195"/>
      <c r="O455" s="1195"/>
      <c r="P455" s="1195"/>
      <c r="Q455" s="1195"/>
      <c r="R455" s="1195"/>
      <c r="S455" s="1195"/>
      <c r="T455" s="1195"/>
      <c r="U455" s="1195"/>
    </row>
    <row r="456" spans="1:21" ht="15" customHeight="1" outlineLevel="1">
      <c r="A456" s="229" t="str">
        <f>'Прайс лист'!B1157</f>
        <v>Подкладочный ковер</v>
      </c>
      <c r="B456" s="229" t="str">
        <f>'Прайс лист'!C1157</f>
        <v>м.п.</v>
      </c>
      <c r="C456" s="17">
        <f>C424*C412</f>
        <v>0</v>
      </c>
      <c r="D456" s="229">
        <f>'Прайс лист'!G1157</f>
        <v>220</v>
      </c>
      <c r="E456" s="229">
        <f t="shared" si="9"/>
        <v>0</v>
      </c>
      <c r="F456" s="1194"/>
      <c r="G456" s="2637"/>
      <c r="H456" s="2638"/>
      <c r="I456" s="2226"/>
      <c r="J456" s="275"/>
      <c r="K456" s="229"/>
      <c r="L456" s="229"/>
      <c r="M456" s="1195"/>
      <c r="N456" s="1195"/>
      <c r="O456" s="1195"/>
      <c r="P456" s="1195"/>
      <c r="Q456" s="1195"/>
      <c r="R456" s="1195"/>
      <c r="S456" s="1195"/>
      <c r="T456" s="1195"/>
      <c r="U456" s="1195"/>
    </row>
    <row r="457" spans="1:21" ht="15" customHeight="1" outlineLevel="1">
      <c r="A457" s="229" t="str">
        <f>'Прайс лист'!B1158</f>
        <v>Карнизная самоклеющаяся черепица</v>
      </c>
      <c r="B457" s="229" t="str">
        <f>'Прайс лист'!C1158</f>
        <v>м.п.</v>
      </c>
      <c r="C457" s="17">
        <f>(G410+G410+C418*4+G411+G411)*C412</f>
        <v>0</v>
      </c>
      <c r="D457" s="229">
        <f>'Прайс лист'!G1158</f>
        <v>220</v>
      </c>
      <c r="E457" s="229">
        <f t="shared" si="9"/>
        <v>0</v>
      </c>
      <c r="F457" s="1194"/>
      <c r="G457" s="2637"/>
      <c r="H457" s="2638"/>
      <c r="I457" s="2226"/>
      <c r="J457" s="275"/>
      <c r="K457" s="229"/>
      <c r="L457" s="229"/>
      <c r="M457" s="1195"/>
      <c r="N457" s="1195"/>
      <c r="O457" s="1195"/>
      <c r="P457" s="1195"/>
      <c r="Q457" s="1195"/>
      <c r="R457" s="1195"/>
      <c r="S457" s="1195"/>
      <c r="T457" s="1195"/>
      <c r="U457" s="1195"/>
    </row>
    <row r="458" spans="1:21" ht="15" customHeight="1" outlineLevel="1">
      <c r="A458" s="229" t="str">
        <f>'Прайс лист'!B1159</f>
        <v>Спец ковер ендова нижняя</v>
      </c>
      <c r="B458" s="229" t="str">
        <f>'Прайс лист'!C1159</f>
        <v>м.п.</v>
      </c>
      <c r="C458" s="17"/>
      <c r="D458" s="229">
        <f>'Прайс лист'!G1159</f>
        <v>200</v>
      </c>
      <c r="E458" s="229">
        <f t="shared" si="9"/>
        <v>0</v>
      </c>
      <c r="F458" s="1194"/>
      <c r="G458" s="2637"/>
      <c r="H458" s="2638"/>
      <c r="I458" s="2226"/>
      <c r="J458" s="275"/>
      <c r="K458" s="229"/>
      <c r="L458" s="229"/>
      <c r="M458" s="1195"/>
      <c r="N458" s="1195"/>
      <c r="O458" s="1195"/>
      <c r="P458" s="1195"/>
      <c r="Q458" s="1195"/>
      <c r="R458" s="1195"/>
      <c r="S458" s="1195"/>
      <c r="T458" s="1195"/>
      <c r="U458" s="1195"/>
    </row>
    <row r="459" spans="1:21" ht="15" customHeight="1" outlineLevel="1">
      <c r="A459" s="229" t="str">
        <f>'Прайс лист'!B1160</f>
        <v>Коньковой элемент</v>
      </c>
      <c r="B459" s="229" t="str">
        <f>'Прайс лист'!C1160</f>
        <v>м.п.</v>
      </c>
      <c r="C459" s="17">
        <f>C415*G405*C412+C419*4*G405*1.1*C412</f>
        <v>0</v>
      </c>
      <c r="D459" s="229">
        <f>'Прайс лист'!G1160</f>
        <v>250</v>
      </c>
      <c r="E459" s="229">
        <f t="shared" si="9"/>
        <v>0</v>
      </c>
      <c r="F459" s="1194"/>
      <c r="G459" s="2637"/>
      <c r="H459" s="2638"/>
      <c r="I459" s="2226"/>
      <c r="J459" s="275"/>
      <c r="K459" s="229"/>
      <c r="L459" s="229"/>
      <c r="M459" s="1195"/>
      <c r="N459" s="1195"/>
      <c r="O459" s="1195"/>
      <c r="P459" s="1195"/>
      <c r="Q459" s="1195"/>
      <c r="R459" s="1195"/>
      <c r="S459" s="1195"/>
      <c r="T459" s="1195"/>
      <c r="U459" s="1195"/>
    </row>
    <row r="460" spans="1:21" ht="15" customHeight="1" outlineLevel="1">
      <c r="A460" s="229" t="str">
        <f>'Прайс лист'!B1161</f>
        <v>Планка премыкания</v>
      </c>
      <c r="B460" s="229" t="str">
        <f>'Прайс лист'!C1161</f>
        <v>м.п.</v>
      </c>
      <c r="C460" s="17"/>
      <c r="D460" s="229">
        <f>'Прайс лист'!G1161</f>
        <v>200</v>
      </c>
      <c r="E460" s="229">
        <f t="shared" si="9"/>
        <v>0</v>
      </c>
      <c r="F460" s="1194"/>
      <c r="G460" s="2637"/>
      <c r="H460" s="2638"/>
      <c r="I460" s="2226"/>
      <c r="J460" s="275"/>
      <c r="K460" s="229"/>
      <c r="L460" s="229"/>
      <c r="M460" s="1195"/>
      <c r="N460" s="1195"/>
      <c r="O460" s="1195"/>
      <c r="P460" s="1195"/>
      <c r="Q460" s="1195"/>
      <c r="R460" s="1195"/>
      <c r="S460" s="1195"/>
      <c r="T460" s="1195"/>
      <c r="U460" s="1195"/>
    </row>
    <row r="461" spans="1:21" ht="15" customHeight="1" outlineLevel="1">
      <c r="A461" s="229" t="str">
        <f>'Прайс лист'!B1162</f>
        <v>Гвозди для крепления подкладочного ковра</v>
      </c>
      <c r="B461" s="229" t="str">
        <f>'Прайс лист'!C1162</f>
        <v>шт</v>
      </c>
      <c r="C461" s="17">
        <f>C456*12</f>
        <v>0</v>
      </c>
      <c r="D461" s="229">
        <f>'Прайс лист'!G1162</f>
        <v>1.2E-2</v>
      </c>
      <c r="E461" s="229">
        <f t="shared" si="9"/>
        <v>0</v>
      </c>
      <c r="F461" s="1194"/>
      <c r="G461" s="2637"/>
      <c r="H461" s="2638"/>
      <c r="I461" s="2226"/>
      <c r="J461" s="275"/>
      <c r="K461" s="229"/>
      <c r="L461" s="229"/>
      <c r="M461" s="1195"/>
      <c r="N461" s="1195"/>
      <c r="O461" s="1195"/>
      <c r="P461" s="1195"/>
      <c r="Q461" s="1195"/>
      <c r="R461" s="1195"/>
      <c r="S461" s="1195"/>
      <c r="T461" s="1195"/>
      <c r="U461" s="1195"/>
    </row>
    <row r="462" spans="1:21" ht="15" customHeight="1" outlineLevel="1">
      <c r="A462" s="229" t="str">
        <f>'Прайс лист'!B1163</f>
        <v>Гвозди для крепления черепицы</v>
      </c>
      <c r="B462" s="229" t="str">
        <f>'Прайс лист'!C1163</f>
        <v>шт</v>
      </c>
      <c r="C462" s="17">
        <f>C424*C412*20</f>
        <v>0</v>
      </c>
      <c r="D462" s="229">
        <f>'Прайс лист'!G1163</f>
        <v>0.25</v>
      </c>
      <c r="E462" s="229">
        <f t="shared" si="9"/>
        <v>0</v>
      </c>
      <c r="F462" s="1194"/>
      <c r="G462" s="2637"/>
      <c r="H462" s="2638"/>
      <c r="I462" s="2226"/>
      <c r="J462" s="275"/>
      <c r="K462" s="229"/>
      <c r="L462" s="229"/>
      <c r="M462" s="1195"/>
      <c r="N462" s="1195"/>
      <c r="O462" s="1195"/>
      <c r="P462" s="1195"/>
      <c r="Q462" s="1195"/>
      <c r="R462" s="1195"/>
      <c r="S462" s="1195"/>
      <c r="T462" s="1195"/>
      <c r="U462" s="1195"/>
    </row>
    <row r="463" spans="1:21" ht="15" customHeight="1" outlineLevel="1">
      <c r="A463" s="229" t="str">
        <f>'Прайс лист'!B1164</f>
        <v>Клей для монтажа черепицы</v>
      </c>
      <c r="B463" s="229" t="str">
        <f>'Прайс лист'!C1164</f>
        <v>кг</v>
      </c>
      <c r="C463" s="17">
        <f>C424*C412</f>
        <v>0</v>
      </c>
      <c r="D463" s="229">
        <f>'Прайс лист'!G1164</f>
        <v>250</v>
      </c>
      <c r="E463" s="229">
        <f t="shared" ref="E463:E494" si="11">C463*D463</f>
        <v>0</v>
      </c>
      <c r="F463" s="1194"/>
      <c r="G463" s="2637"/>
      <c r="H463" s="2638"/>
      <c r="I463" s="2226"/>
      <c r="J463" s="275"/>
      <c r="K463" s="229"/>
      <c r="L463" s="229"/>
      <c r="M463" s="1195"/>
      <c r="N463" s="1195"/>
      <c r="O463" s="1195"/>
      <c r="P463" s="1195"/>
      <c r="Q463" s="1195"/>
      <c r="R463" s="1195"/>
      <c r="S463" s="1195"/>
      <c r="T463" s="1195"/>
      <c r="U463" s="1195"/>
    </row>
    <row r="464" spans="1:21" ht="15" customHeight="1" outlineLevel="1">
      <c r="A464" s="229" t="str">
        <f>'Прайс лист'!B1169</f>
        <v>желоб</v>
      </c>
      <c r="B464" s="229" t="s">
        <v>1415</v>
      </c>
      <c r="C464" s="229">
        <f>C442/1.2*G405</f>
        <v>51.666666666666671</v>
      </c>
      <c r="D464" s="229">
        <f>'Прайс лист'!G1169</f>
        <v>300</v>
      </c>
      <c r="E464" s="229">
        <f t="shared" si="11"/>
        <v>15500.000000000002</v>
      </c>
      <c r="F464" s="1194"/>
      <c r="G464" s="2637"/>
      <c r="H464" s="2638"/>
      <c r="I464" s="2226"/>
      <c r="J464" s="275"/>
      <c r="K464" s="229"/>
      <c r="L464" s="229"/>
      <c r="M464" s="1195"/>
      <c r="N464" s="1195"/>
      <c r="O464" s="1195"/>
      <c r="P464" s="1195"/>
      <c r="Q464" s="1195"/>
      <c r="R464" s="1195"/>
      <c r="S464" s="1195"/>
      <c r="T464" s="1195"/>
      <c r="U464" s="1195"/>
    </row>
    <row r="465" spans="1:21" ht="15" customHeight="1" outlineLevel="1">
      <c r="A465" s="229" t="str">
        <f>'Прайс лист'!B1170</f>
        <v>отвод</v>
      </c>
      <c r="B465" s="229" t="s">
        <v>159</v>
      </c>
      <c r="C465" s="229">
        <v>4</v>
      </c>
      <c r="D465" s="229">
        <f>'Прайс лист'!G1170</f>
        <v>250</v>
      </c>
      <c r="E465" s="229">
        <f t="shared" si="11"/>
        <v>1000</v>
      </c>
      <c r="F465" s="1194"/>
      <c r="G465" s="2260"/>
      <c r="H465" s="2261"/>
      <c r="I465" s="229"/>
      <c r="J465" s="275"/>
      <c r="K465" s="229"/>
      <c r="L465" s="229"/>
      <c r="M465" s="1195"/>
      <c r="N465" s="1195"/>
      <c r="O465" s="1195"/>
      <c r="P465" s="1195"/>
      <c r="Q465" s="1195"/>
      <c r="R465" s="1195"/>
      <c r="S465" s="1195"/>
      <c r="T465" s="1195"/>
      <c r="U465" s="1195"/>
    </row>
    <row r="466" spans="1:21" ht="15" customHeight="1" outlineLevel="1">
      <c r="A466" s="229" t="str">
        <f>'Прайс лист'!B1171</f>
        <v>труба водосточная</v>
      </c>
      <c r="B466" s="229" t="s">
        <v>156</v>
      </c>
      <c r="C466" s="229">
        <f>C442*G405</f>
        <v>62</v>
      </c>
      <c r="D466" s="229">
        <f>'Прайс лист'!G1171</f>
        <v>300</v>
      </c>
      <c r="E466" s="229">
        <f t="shared" si="11"/>
        <v>18600</v>
      </c>
      <c r="F466" s="1194"/>
      <c r="G466" s="2260"/>
      <c r="H466" s="2261"/>
      <c r="I466" s="229"/>
      <c r="J466" s="275"/>
      <c r="K466" s="229"/>
      <c r="L466" s="229"/>
      <c r="M466" s="1195"/>
      <c r="N466" s="1195"/>
      <c r="O466" s="1195"/>
      <c r="P466" s="1195"/>
      <c r="Q466" s="1195"/>
      <c r="R466" s="1195"/>
      <c r="S466" s="1195"/>
      <c r="T466" s="1195"/>
      <c r="U466" s="1195"/>
    </row>
    <row r="467" spans="1:21" ht="15" customHeight="1" outlineLevel="1">
      <c r="A467" s="229" t="str">
        <f>'Прайс лист'!B1172</f>
        <v>заглушка для желоба</v>
      </c>
      <c r="B467" s="229" t="s">
        <v>159</v>
      </c>
      <c r="C467" s="229">
        <v>4</v>
      </c>
      <c r="D467" s="229">
        <f>'Прайс лист'!G1172</f>
        <v>190</v>
      </c>
      <c r="E467" s="229">
        <f t="shared" si="11"/>
        <v>760</v>
      </c>
      <c r="F467" s="1194"/>
      <c r="G467" s="2260"/>
      <c r="H467" s="2261"/>
      <c r="I467" s="229"/>
      <c r="J467" s="275"/>
      <c r="K467" s="229"/>
      <c r="L467" s="229"/>
      <c r="M467" s="1195"/>
      <c r="N467" s="1195"/>
      <c r="O467" s="1195"/>
      <c r="P467" s="1195"/>
      <c r="Q467" s="1195"/>
      <c r="R467" s="1195"/>
      <c r="S467" s="1195"/>
      <c r="T467" s="1195"/>
      <c r="U467" s="1195"/>
    </row>
    <row r="468" spans="1:21" ht="15" customHeight="1" outlineLevel="1">
      <c r="A468" s="229" t="str">
        <f>'Прайс лист'!B1173</f>
        <v>соеденитель для желоба</v>
      </c>
      <c r="B468" s="229" t="s">
        <v>159</v>
      </c>
      <c r="C468" s="229">
        <f>((C464/3)+1)*G405</f>
        <v>18.222222222222225</v>
      </c>
      <c r="D468" s="229">
        <f>'Прайс лист'!G1173</f>
        <v>180</v>
      </c>
      <c r="E468" s="229">
        <f t="shared" si="11"/>
        <v>3280.0000000000005</v>
      </c>
      <c r="F468" s="1194"/>
      <c r="G468" s="2260"/>
      <c r="H468" s="2261"/>
      <c r="I468" s="275"/>
      <c r="J468" s="275"/>
      <c r="K468" s="229"/>
      <c r="L468" s="229"/>
      <c r="M468" s="1195"/>
      <c r="N468" s="1195"/>
      <c r="O468" s="1195"/>
      <c r="P468" s="1195"/>
      <c r="Q468" s="1195"/>
      <c r="R468" s="1195"/>
      <c r="S468" s="1195"/>
      <c r="T468" s="1195"/>
      <c r="U468" s="1195"/>
    </row>
    <row r="469" spans="1:21" ht="15" customHeight="1" outlineLevel="1">
      <c r="A469" s="229" t="str">
        <f>'Прайс лист'!B1174</f>
        <v>кронштейн для желоба</v>
      </c>
      <c r="B469" s="229" t="s">
        <v>159</v>
      </c>
      <c r="C469" s="229">
        <f>C464/0.4*G405</f>
        <v>129.16666666666666</v>
      </c>
      <c r="D469" s="229">
        <f>'Прайс лист'!G1174</f>
        <v>130</v>
      </c>
      <c r="E469" s="229">
        <f t="shared" si="11"/>
        <v>16791.666666666664</v>
      </c>
      <c r="F469" s="1194"/>
      <c r="G469" s="2260"/>
      <c r="H469" s="2261"/>
      <c r="I469" s="2226"/>
      <c r="J469" s="2226"/>
      <c r="K469" s="229"/>
      <c r="L469" s="229"/>
      <c r="M469" s="1195"/>
      <c r="N469" s="1195"/>
      <c r="O469" s="1195"/>
      <c r="P469" s="1195"/>
      <c r="Q469" s="1195"/>
      <c r="R469" s="1195"/>
      <c r="S469" s="1195"/>
      <c r="T469" s="1195"/>
      <c r="U469" s="1195"/>
    </row>
    <row r="470" spans="1:21" ht="15" customHeight="1" outlineLevel="1">
      <c r="A470" s="229" t="str">
        <f>'Прайс лист'!B1175</f>
        <v>переход из желоба в трубу</v>
      </c>
      <c r="B470" s="229" t="s">
        <v>159</v>
      </c>
      <c r="C470" s="229">
        <v>4</v>
      </c>
      <c r="D470" s="229">
        <f>'Прайс лист'!G1175</f>
        <v>350</v>
      </c>
      <c r="E470" s="229">
        <f t="shared" si="11"/>
        <v>1400</v>
      </c>
      <c r="F470" s="1194"/>
      <c r="G470" s="2260"/>
      <c r="H470" s="2261"/>
      <c r="I470" s="2226"/>
      <c r="J470" s="2226"/>
      <c r="K470" s="229"/>
      <c r="L470" s="229"/>
      <c r="M470" s="1195"/>
      <c r="N470" s="1195"/>
      <c r="O470" s="1195"/>
      <c r="P470" s="1195"/>
      <c r="Q470" s="1195"/>
      <c r="R470" s="1195"/>
      <c r="S470" s="1195"/>
      <c r="T470" s="1195"/>
      <c r="U470" s="1195"/>
    </row>
    <row r="471" spans="1:21" ht="15" customHeight="1" outlineLevel="1">
      <c r="A471" s="229" t="str">
        <f>'Прайс лист'!B1176</f>
        <v>лента дельта мульти бэнд</v>
      </c>
      <c r="B471" s="229" t="s">
        <v>159</v>
      </c>
      <c r="C471" s="229">
        <v>1</v>
      </c>
      <c r="D471" s="229">
        <f>'Прайс лист'!G1176</f>
        <v>1200</v>
      </c>
      <c r="E471" s="229">
        <f t="shared" si="11"/>
        <v>1200</v>
      </c>
      <c r="F471" s="1194"/>
      <c r="G471" s="2260"/>
      <c r="H471" s="2261"/>
      <c r="I471" s="2226"/>
      <c r="J471" s="2226"/>
      <c r="K471" s="229"/>
      <c r="L471" s="229"/>
      <c r="M471" s="1195"/>
      <c r="N471" s="1195"/>
      <c r="O471" s="1195"/>
      <c r="P471" s="1195"/>
      <c r="Q471" s="1195"/>
      <c r="R471" s="1195"/>
      <c r="S471" s="1195"/>
      <c r="T471" s="1195"/>
      <c r="U471" s="1195"/>
    </row>
    <row r="472" spans="1:21" ht="15" customHeight="1" outlineLevel="1">
      <c r="A472" s="229" t="str">
        <f>'Прайс лист'!B1177</f>
        <v>лента дельта sb-60</v>
      </c>
      <c r="B472" s="229" t="s">
        <v>159</v>
      </c>
      <c r="C472" s="229">
        <f>C423/15*G405</f>
        <v>15.855683614817959</v>
      </c>
      <c r="D472" s="229">
        <f>'Прайс лист'!G1177</f>
        <v>1100</v>
      </c>
      <c r="E472" s="229">
        <f t="shared" si="11"/>
        <v>17441.251976299754</v>
      </c>
      <c r="F472" s="1194"/>
      <c r="G472" s="2260"/>
      <c r="H472" s="2261"/>
      <c r="I472" s="2226"/>
      <c r="J472" s="2226"/>
      <c r="K472" s="229"/>
      <c r="L472" s="229"/>
      <c r="M472" s="1195"/>
      <c r="N472" s="1195"/>
      <c r="O472" s="1195"/>
      <c r="P472" s="1195"/>
      <c r="Q472" s="1195"/>
      <c r="R472" s="1195"/>
      <c r="S472" s="1195"/>
      <c r="T472" s="1195"/>
      <c r="U472" s="1195"/>
    </row>
    <row r="473" spans="1:21" ht="15" customHeight="1" outlineLevel="1">
      <c r="A473" s="229" t="str">
        <f>'Прайс лист'!B1178</f>
        <v>проходка кровельная, канализационная</v>
      </c>
      <c r="B473" s="259" t="s">
        <v>159</v>
      </c>
      <c r="C473" s="229">
        <f>C427</f>
        <v>0</v>
      </c>
      <c r="D473" s="229">
        <f>'Прайс лист'!G1178</f>
        <v>3500</v>
      </c>
      <c r="E473" s="229">
        <f t="shared" si="11"/>
        <v>0</v>
      </c>
      <c r="F473" s="1194"/>
      <c r="G473" s="2260"/>
      <c r="H473" s="2261"/>
      <c r="I473" s="2226"/>
      <c r="J473" s="2226"/>
      <c r="K473" s="229"/>
      <c r="L473" s="229"/>
      <c r="M473" s="1195"/>
      <c r="N473" s="1195"/>
      <c r="O473" s="1195"/>
      <c r="P473" s="1195"/>
      <c r="Q473" s="1195"/>
      <c r="R473" s="1195"/>
      <c r="S473" s="1195"/>
      <c r="T473" s="1195"/>
      <c r="U473" s="1195"/>
    </row>
    <row r="474" spans="1:21" ht="15" customHeight="1" outlineLevel="1">
      <c r="A474" s="229" t="str">
        <f>'Прайс лист'!B1179</f>
        <v>проходка кровельная, вентиляционная</v>
      </c>
      <c r="B474" s="259" t="s">
        <v>159</v>
      </c>
      <c r="C474" s="229">
        <f>C428</f>
        <v>0</v>
      </c>
      <c r="D474" s="229">
        <f>'Прайс лист'!G1179</f>
        <v>3500</v>
      </c>
      <c r="E474" s="229">
        <f t="shared" si="11"/>
        <v>0</v>
      </c>
      <c r="F474" s="1194"/>
      <c r="G474" s="2260"/>
      <c r="H474" s="2261"/>
      <c r="I474" s="2226"/>
      <c r="J474" s="2226"/>
      <c r="K474" s="229"/>
      <c r="L474" s="229"/>
      <c r="M474" s="1195"/>
      <c r="N474" s="1195"/>
      <c r="O474" s="1195"/>
      <c r="P474" s="1195"/>
      <c r="Q474" s="1195"/>
      <c r="R474" s="1195"/>
      <c r="S474" s="1195"/>
      <c r="T474" s="1195"/>
      <c r="U474" s="1195"/>
    </row>
    <row r="475" spans="1:21" ht="15" customHeight="1" outlineLevel="1">
      <c r="A475" s="229" t="str">
        <f>'Прайс лист'!B1180</f>
        <v>проодка кровельная, труба котел</v>
      </c>
      <c r="B475" s="259" t="s">
        <v>159</v>
      </c>
      <c r="C475" s="229">
        <f>C429</f>
        <v>0</v>
      </c>
      <c r="D475" s="229">
        <f>'Прайс лист'!G1180</f>
        <v>4500</v>
      </c>
      <c r="E475" s="229">
        <f t="shared" si="11"/>
        <v>0</v>
      </c>
      <c r="F475" s="1194"/>
      <c r="G475" s="2260"/>
      <c r="H475" s="2261"/>
      <c r="I475" s="2226"/>
      <c r="J475" s="2226"/>
      <c r="K475" s="229"/>
      <c r="L475" s="229"/>
      <c r="M475" s="1195"/>
      <c r="N475" s="1195"/>
      <c r="O475" s="1195"/>
      <c r="P475" s="1195"/>
      <c r="Q475" s="1195"/>
      <c r="R475" s="1195"/>
      <c r="S475" s="1195"/>
      <c r="T475" s="1195"/>
      <c r="U475" s="1195"/>
    </row>
    <row r="476" spans="1:21" ht="15" customHeight="1" outlineLevel="1">
      <c r="A476" s="229" t="str">
        <f>'Прайс лист'!B1138</f>
        <v>Кровельный саморез</v>
      </c>
      <c r="B476" s="229" t="s">
        <v>159</v>
      </c>
      <c r="C476" s="229">
        <f>C423*12*G405*C410</f>
        <v>2854.0230506672324</v>
      </c>
      <c r="D476" s="229">
        <f>'Прайс лист'!G1138</f>
        <v>2</v>
      </c>
      <c r="E476" s="229">
        <f t="shared" si="11"/>
        <v>5708.0461013344648</v>
      </c>
      <c r="F476" s="1194"/>
      <c r="G476" s="2260"/>
      <c r="H476" s="2261"/>
      <c r="I476" s="2226"/>
      <c r="J476" s="2226"/>
      <c r="K476" s="229"/>
      <c r="L476" s="229"/>
      <c r="M476" s="1195"/>
      <c r="N476" s="1195"/>
      <c r="O476" s="1195"/>
      <c r="P476" s="1195"/>
      <c r="Q476" s="1195"/>
      <c r="R476" s="1195"/>
      <c r="S476" s="1195"/>
      <c r="T476" s="1195"/>
      <c r="U476" s="1195"/>
    </row>
    <row r="477" spans="1:21" ht="15" customHeight="1" outlineLevel="1">
      <c r="A477" s="229" t="str">
        <f>'Прайс лист'!B897</f>
        <v xml:space="preserve">Гвозди ершоные 3,4 x 60            </v>
      </c>
      <c r="B477" s="229" t="s">
        <v>188</v>
      </c>
      <c r="C477" s="229">
        <f>C436*10*G405</f>
        <v>23.188937286671269</v>
      </c>
      <c r="D477" s="229">
        <f>'Прайс лист'!G897</f>
        <v>75.510000000000005</v>
      </c>
      <c r="E477" s="229">
        <f t="shared" si="11"/>
        <v>1750.9966545165476</v>
      </c>
      <c r="F477" s="1194"/>
      <c r="G477" s="2260"/>
      <c r="H477" s="2261"/>
      <c r="I477" s="2226"/>
      <c r="J477" s="2226"/>
      <c r="K477" s="229"/>
      <c r="L477" s="229"/>
      <c r="M477" s="1195"/>
      <c r="N477" s="1195"/>
      <c r="O477" s="1195"/>
      <c r="P477" s="1195"/>
      <c r="Q477" s="1195"/>
      <c r="R477" s="1195"/>
      <c r="S477" s="1195"/>
      <c r="T477" s="1195"/>
      <c r="U477" s="1195"/>
    </row>
    <row r="478" spans="1:21" ht="15" customHeight="1" outlineLevel="1">
      <c r="A478" s="229" t="str">
        <f>'Прайс лист'!B898</f>
        <v xml:space="preserve">Гвозди ершоные 2,8 х 90            </v>
      </c>
      <c r="B478" s="229" t="s">
        <v>188</v>
      </c>
      <c r="C478" s="229">
        <f>(C433+C434+C435)*6*G405</f>
        <v>31.96989449186151</v>
      </c>
      <c r="D478" s="229">
        <f>'Прайс лист'!G898</f>
        <v>76.489999999999995</v>
      </c>
      <c r="E478" s="229">
        <f t="shared" si="11"/>
        <v>2445.3772296824868</v>
      </c>
      <c r="F478" s="1194"/>
      <c r="G478" s="2260"/>
      <c r="H478" s="2261"/>
      <c r="I478" s="2226"/>
      <c r="J478" s="2226"/>
      <c r="K478" s="229"/>
      <c r="L478" s="229"/>
      <c r="M478" s="1195"/>
      <c r="N478" s="1195"/>
      <c r="O478" s="1195"/>
      <c r="P478" s="1195"/>
      <c r="Q478" s="1195"/>
      <c r="R478" s="1195"/>
      <c r="S478" s="1195"/>
      <c r="T478" s="1195"/>
      <c r="U478" s="1195"/>
    </row>
    <row r="479" spans="1:21" ht="15" customHeight="1" outlineLevel="1">
      <c r="A479" s="229" t="str">
        <f>'Прайс лист'!B846</f>
        <v xml:space="preserve">Пластина соеденительная 100х240х2           </v>
      </c>
      <c r="B479" s="229" t="s">
        <v>159</v>
      </c>
      <c r="C479" s="229">
        <f>C423/7*G405</f>
        <v>33.976464888895627</v>
      </c>
      <c r="D479" s="229">
        <f>'Прайс лист'!G846</f>
        <v>31.54</v>
      </c>
      <c r="E479" s="229">
        <f t="shared" si="11"/>
        <v>1071.6177025957682</v>
      </c>
      <c r="F479" s="1194"/>
      <c r="G479" s="2260"/>
      <c r="H479" s="2261"/>
      <c r="I479" s="2226"/>
      <c r="J479" s="2226"/>
      <c r="K479" s="229"/>
      <c r="L479" s="229"/>
      <c r="M479" s="1195"/>
      <c r="N479" s="1195"/>
      <c r="O479" s="1195"/>
      <c r="P479" s="1195"/>
      <c r="Q479" s="1195"/>
      <c r="R479" s="1195"/>
      <c r="S479" s="1195"/>
      <c r="T479" s="1195"/>
      <c r="U479" s="1195"/>
    </row>
    <row r="480" spans="1:21" ht="15" customHeight="1" outlineLevel="1">
      <c r="A480" s="229" t="str">
        <f>'Прайс лист'!B838</f>
        <v xml:space="preserve">Уголок усиленный 90х70х55х2,5        </v>
      </c>
      <c r="B480" s="229" t="s">
        <v>159</v>
      </c>
      <c r="C480" s="229">
        <f>C423*2*G405</f>
        <v>475.67050844453877</v>
      </c>
      <c r="D480" s="229">
        <f>'Прайс лист'!G838</f>
        <v>30</v>
      </c>
      <c r="E480" s="229">
        <f t="shared" si="11"/>
        <v>14270.115253336164</v>
      </c>
      <c r="F480" s="1194"/>
      <c r="G480" s="2260"/>
      <c r="H480" s="2261"/>
      <c r="I480" s="2226"/>
      <c r="J480" s="2226"/>
      <c r="K480" s="229"/>
      <c r="L480" s="229"/>
      <c r="M480" s="1195"/>
      <c r="N480" s="1195"/>
      <c r="O480" s="1195"/>
      <c r="P480" s="1195"/>
      <c r="Q480" s="1195"/>
      <c r="R480" s="1195"/>
      <c r="S480" s="1195"/>
      <c r="T480" s="1195"/>
      <c r="U480" s="1195"/>
    </row>
    <row r="481" spans="1:21" ht="15" customHeight="1" outlineLevel="1">
      <c r="A481" s="229" t="str">
        <f>'Ввод данных'!A308</f>
        <v>Манипулятор 5т</v>
      </c>
      <c r="B481" s="229" t="str">
        <f>'Ввод данных'!B308</f>
        <v>ед.</v>
      </c>
      <c r="C481" s="229">
        <f>'Ввод данных'!C308</f>
        <v>4</v>
      </c>
      <c r="D481" s="229">
        <f>VLOOKUP(A481,'Прайс лист'!B180:G194,6,0)</f>
        <v>2500</v>
      </c>
      <c r="E481" s="229">
        <f t="shared" si="11"/>
        <v>10000</v>
      </c>
      <c r="F481" s="1194"/>
      <c r="G481" s="2260"/>
      <c r="H481" s="2261"/>
      <c r="I481" s="2226"/>
      <c r="J481" s="2226"/>
      <c r="K481" s="229"/>
      <c r="L481" s="229"/>
      <c r="M481" s="1195"/>
      <c r="N481" s="1195"/>
      <c r="O481" s="1195"/>
      <c r="P481" s="1195"/>
      <c r="Q481" s="1195"/>
      <c r="R481" s="1195"/>
      <c r="S481" s="1195"/>
      <c r="T481" s="1195"/>
      <c r="U481" s="1195"/>
    </row>
    <row r="482" spans="1:21" ht="15" customHeight="1" outlineLevel="1">
      <c r="A482" s="229" t="str">
        <f>'Ввод данных'!A309</f>
        <v>Нет техники</v>
      </c>
      <c r="B482" s="229" t="str">
        <f>'Ввод данных'!B309</f>
        <v>ед.</v>
      </c>
      <c r="C482" s="229">
        <f>'Ввод данных'!C309</f>
        <v>0</v>
      </c>
      <c r="D482" s="17">
        <f>VLOOKUP(A482,'Прайс лист'!B180:G194,6,0)</f>
        <v>0</v>
      </c>
      <c r="E482" s="229">
        <f t="shared" si="11"/>
        <v>0</v>
      </c>
      <c r="F482" s="1194"/>
      <c r="G482" s="2260"/>
      <c r="H482" s="2261"/>
      <c r="I482" s="2226"/>
      <c r="J482" s="2226"/>
      <c r="K482" s="229"/>
      <c r="L482" s="229"/>
      <c r="M482" s="1195"/>
      <c r="N482" s="1195"/>
      <c r="O482" s="1195"/>
      <c r="P482" s="1195"/>
      <c r="Q482" s="1195"/>
      <c r="R482" s="1195"/>
      <c r="S482" s="1195"/>
      <c r="T482" s="1195"/>
      <c r="U482" s="1195"/>
    </row>
    <row r="483" spans="1:21" ht="15" customHeight="1" outlineLevel="1">
      <c r="A483" s="229" t="str">
        <f>'Ввод данных'!A311</f>
        <v>расходные материалы полувальмовая кровля</v>
      </c>
      <c r="B483" s="229" t="str">
        <f>'Ввод данных'!B311</f>
        <v>рублей</v>
      </c>
      <c r="C483" s="229">
        <f>1</f>
        <v>1</v>
      </c>
      <c r="D483" s="229">
        <f>'Ввод данных'!C311</f>
        <v>10000</v>
      </c>
      <c r="E483" s="229">
        <f t="shared" si="11"/>
        <v>10000</v>
      </c>
      <c r="F483" s="1194"/>
      <c r="G483" s="2286"/>
      <c r="H483" s="2286"/>
      <c r="I483" s="2220"/>
      <c r="J483" s="2220"/>
      <c r="K483" s="2228"/>
      <c r="L483" s="229"/>
      <c r="M483" s="1195"/>
      <c r="N483" s="1195"/>
      <c r="O483" s="1195"/>
      <c r="P483" s="1195"/>
      <c r="Q483" s="1195"/>
      <c r="R483" s="1195"/>
      <c r="S483" s="1195"/>
      <c r="T483" s="1195"/>
      <c r="U483" s="1195"/>
    </row>
    <row r="484" spans="1:21" ht="15" customHeight="1" outlineLevel="1">
      <c r="A484" s="1194"/>
      <c r="B484" s="1194"/>
      <c r="C484" s="1194"/>
      <c r="D484" s="1194"/>
      <c r="E484" s="2262">
        <f>SUM(E431:E483)</f>
        <v>403913.70381463732</v>
      </c>
      <c r="F484" s="1194"/>
      <c r="G484" s="1194"/>
      <c r="H484" s="1195"/>
      <c r="I484" s="1195"/>
      <c r="J484" s="1195"/>
      <c r="K484" s="1195"/>
      <c r="L484" s="2226">
        <f>SUM(L433:L482)</f>
        <v>371249.76762830792</v>
      </c>
      <c r="M484" s="1195"/>
      <c r="N484" s="1195"/>
      <c r="O484" s="1195"/>
      <c r="P484" s="1195"/>
      <c r="Q484" s="1195"/>
      <c r="R484" s="1195"/>
      <c r="S484" s="1195"/>
      <c r="T484" s="1195"/>
      <c r="U484" s="1195"/>
    </row>
    <row r="485" spans="1:21" ht="15" customHeight="1" outlineLevel="1">
      <c r="A485" s="229" t="s">
        <v>2726</v>
      </c>
      <c r="B485" s="2262">
        <f>E484</f>
        <v>403913.70381463732</v>
      </c>
      <c r="C485" s="1194"/>
      <c r="D485" s="1194"/>
      <c r="E485" s="1194"/>
      <c r="F485" s="1194"/>
      <c r="G485" s="1194"/>
      <c r="H485" s="1195"/>
      <c r="I485" s="1195"/>
      <c r="J485" s="1195"/>
      <c r="K485" s="1195"/>
      <c r="L485" s="1195"/>
      <c r="M485" s="1195"/>
      <c r="N485" s="1195"/>
      <c r="O485" s="1195"/>
      <c r="P485" s="1195"/>
      <c r="Q485" s="1195"/>
      <c r="R485" s="1195"/>
      <c r="S485" s="1195"/>
      <c r="T485" s="1195"/>
      <c r="U485" s="1195"/>
    </row>
    <row r="486" spans="1:21" ht="15" customHeight="1" outlineLevel="1">
      <c r="A486" s="229" t="s">
        <v>2727</v>
      </c>
      <c r="B486" s="2262">
        <f>L484</f>
        <v>371249.76762830792</v>
      </c>
      <c r="C486" s="1194"/>
      <c r="D486" s="1194"/>
      <c r="E486" s="1194"/>
      <c r="F486" s="1194"/>
      <c r="G486" s="1194"/>
      <c r="H486" s="1195"/>
      <c r="I486" s="1195"/>
      <c r="J486" s="1195"/>
      <c r="K486" s="1195"/>
      <c r="L486" s="1195"/>
      <c r="M486" s="1195"/>
      <c r="N486" s="1195"/>
      <c r="O486" s="1195"/>
      <c r="P486" s="1195"/>
      <c r="Q486" s="1195"/>
      <c r="R486" s="1195"/>
      <c r="S486" s="1195"/>
      <c r="T486" s="1195"/>
      <c r="U486" s="1195"/>
    </row>
    <row r="487" spans="1:21" ht="15" customHeight="1" outlineLevel="1">
      <c r="A487" s="259" t="s">
        <v>2728</v>
      </c>
      <c r="B487" s="2624">
        <f>(SUM(B485:B486))</f>
        <v>775163.4714429453</v>
      </c>
      <c r="C487" s="1194"/>
      <c r="D487" s="1194"/>
      <c r="E487" s="1194"/>
      <c r="F487" s="1194"/>
      <c r="G487" s="1194"/>
      <c r="H487" s="1195"/>
      <c r="I487" s="1195"/>
      <c r="J487" s="1195"/>
      <c r="K487" s="1195"/>
      <c r="L487" s="1195"/>
      <c r="M487" s="1195"/>
      <c r="N487" s="1195"/>
      <c r="O487" s="1195"/>
      <c r="P487" s="1195"/>
      <c r="Q487" s="1195"/>
      <c r="R487" s="1195"/>
      <c r="S487" s="1195"/>
      <c r="T487" s="1195"/>
      <c r="U487" s="1195"/>
    </row>
    <row r="488" spans="1:21" ht="15" customHeight="1">
      <c r="A488" s="941" t="s">
        <v>4151</v>
      </c>
      <c r="B488" s="2569"/>
      <c r="C488" s="3260"/>
      <c r="D488" s="3260"/>
      <c r="E488" s="3260"/>
      <c r="F488" s="3260"/>
      <c r="G488" s="2257"/>
      <c r="H488" s="1195"/>
      <c r="I488" s="1195"/>
      <c r="J488" s="1195"/>
      <c r="K488" s="2623"/>
      <c r="L488" s="1195"/>
      <c r="M488" s="1195"/>
      <c r="N488" s="1195"/>
      <c r="O488" s="1195"/>
      <c r="P488" s="1195"/>
      <c r="Q488" s="1195"/>
      <c r="R488" s="1195"/>
      <c r="S488" s="1195"/>
      <c r="T488" s="1195"/>
      <c r="U488" s="1195"/>
    </row>
    <row r="489" spans="1:21" ht="15" customHeight="1">
      <c r="A489" s="2263"/>
      <c r="B489" s="1195"/>
      <c r="C489" s="2257"/>
      <c r="D489" s="2257"/>
      <c r="E489" s="1195"/>
      <c r="F489" s="2257"/>
      <c r="G489" s="2257"/>
      <c r="H489" s="1195"/>
      <c r="I489" s="1195"/>
      <c r="J489" s="1195"/>
      <c r="K489" s="2623"/>
      <c r="L489" s="1195"/>
      <c r="M489" s="1195"/>
      <c r="N489" s="1195"/>
      <c r="O489" s="1195"/>
      <c r="P489" s="1195"/>
      <c r="Q489" s="1195"/>
      <c r="R489" s="1195"/>
      <c r="S489" s="1195"/>
      <c r="T489" s="1195"/>
      <c r="U489" s="1195"/>
    </row>
    <row r="490" spans="1:21" ht="15" customHeight="1" outlineLevel="1">
      <c r="A490" s="3144" t="s">
        <v>4157</v>
      </c>
      <c r="B490" s="3144"/>
      <c r="C490" s="3144"/>
      <c r="D490" s="3144"/>
      <c r="E490" s="3144"/>
      <c r="F490" s="3144"/>
      <c r="G490" s="3144"/>
      <c r="H490" s="3144"/>
      <c r="I490" s="3144"/>
      <c r="J490" s="3144"/>
      <c r="K490" s="3144"/>
      <c r="L490" s="3144"/>
      <c r="M490" s="1195"/>
      <c r="N490" s="1195"/>
      <c r="O490" s="1195"/>
      <c r="P490" s="1195"/>
      <c r="Q490" s="1195"/>
      <c r="R490" s="1195"/>
      <c r="S490" s="1195"/>
      <c r="T490" s="1195"/>
      <c r="U490" s="1195"/>
    </row>
    <row r="491" spans="1:21" ht="15" customHeight="1" outlineLevel="1">
      <c r="A491" s="3144"/>
      <c r="B491" s="3144"/>
      <c r="C491" s="3144"/>
      <c r="D491" s="3144"/>
      <c r="E491" s="3144"/>
      <c r="F491" s="3144"/>
      <c r="G491" s="3144"/>
      <c r="H491" s="3144"/>
      <c r="I491" s="3144"/>
      <c r="J491" s="3144"/>
      <c r="K491" s="3144"/>
      <c r="L491" s="3144"/>
      <c r="M491" s="1195"/>
      <c r="N491" s="1195"/>
      <c r="O491" s="1195"/>
      <c r="P491" s="1195"/>
      <c r="Q491" s="1195"/>
      <c r="R491" s="1195"/>
      <c r="S491" s="1195"/>
      <c r="T491" s="1195"/>
      <c r="U491" s="1195"/>
    </row>
    <row r="492" spans="1:21" ht="15" customHeight="1" outlineLevel="1">
      <c r="A492" s="3146" t="s">
        <v>1806</v>
      </c>
      <c r="B492" s="3146"/>
      <c r="C492" s="3146"/>
      <c r="D492" s="3146"/>
      <c r="E492" s="3146"/>
      <c r="F492" s="3146"/>
      <c r="G492" s="2647">
        <f>'Ввод данных'!E316</f>
        <v>1</v>
      </c>
      <c r="H492" s="1138"/>
      <c r="I492" s="1138"/>
      <c r="J492" s="1138"/>
      <c r="K492" s="1138"/>
      <c r="L492" s="1138"/>
      <c r="M492" s="1195"/>
      <c r="N492" s="1195"/>
      <c r="O492" s="1195"/>
      <c r="P492" s="1195"/>
      <c r="Q492" s="1195"/>
      <c r="R492" s="1195"/>
      <c r="S492" s="1195"/>
      <c r="T492" s="1195"/>
      <c r="U492" s="1195"/>
    </row>
    <row r="493" spans="1:21" ht="15" customHeight="1" outlineLevel="1">
      <c r="A493" s="3146"/>
      <c r="B493" s="3146"/>
      <c r="C493" s="3146"/>
      <c r="D493" s="3146"/>
      <c r="E493" s="3146"/>
      <c r="F493" s="3146"/>
      <c r="G493" s="2625"/>
      <c r="H493" s="1138">
        <f>'Ввод данных'!E317</f>
        <v>1</v>
      </c>
      <c r="I493" s="1138"/>
      <c r="J493" s="1138"/>
      <c r="K493" s="1138"/>
      <c r="L493" s="1138"/>
      <c r="M493" s="1195"/>
      <c r="N493" s="1195"/>
      <c r="O493" s="1195"/>
      <c r="P493" s="1195"/>
      <c r="Q493" s="1195"/>
      <c r="R493" s="1195"/>
      <c r="S493" s="1195"/>
      <c r="T493" s="1195"/>
      <c r="U493" s="1195"/>
    </row>
    <row r="494" spans="1:21" ht="15" customHeight="1" outlineLevel="1">
      <c r="A494" s="263" t="s">
        <v>3831</v>
      </c>
      <c r="B494" s="1165" t="s">
        <v>159</v>
      </c>
      <c r="C494" s="2648">
        <f>IF('Ввод данных'!A320=связи1!A6,1,0)</f>
        <v>1</v>
      </c>
      <c r="D494" s="2618"/>
      <c r="E494" s="2619"/>
      <c r="F494" s="2619"/>
      <c r="G494" s="2228"/>
      <c r="H494" s="2228"/>
      <c r="I494" s="2234"/>
      <c r="J494" s="2228"/>
      <c r="K494" s="2268"/>
      <c r="L494" s="2228"/>
      <c r="M494" s="1195"/>
      <c r="N494" s="1195"/>
      <c r="O494" s="1195"/>
      <c r="P494" s="1195"/>
      <c r="Q494" s="1195"/>
      <c r="R494" s="1195"/>
      <c r="S494" s="1195"/>
      <c r="T494" s="1195"/>
      <c r="U494" s="1195"/>
    </row>
    <row r="495" spans="1:21" ht="15" customHeight="1" outlineLevel="1">
      <c r="A495" s="2620" t="s">
        <v>3832</v>
      </c>
      <c r="B495" s="229" t="s">
        <v>159</v>
      </c>
      <c r="C495" s="2648">
        <f>IF('Ввод данных'!A320=связи1!A7,1,0)</f>
        <v>0</v>
      </c>
      <c r="D495" s="2618"/>
      <c r="E495" s="2619"/>
      <c r="F495" s="2619"/>
      <c r="G495" s="2228"/>
      <c r="H495" s="2228"/>
      <c r="I495" s="2234"/>
      <c r="J495" s="2228"/>
      <c r="K495" s="2268"/>
      <c r="L495" s="2228"/>
      <c r="M495" s="1195"/>
      <c r="N495" s="1195"/>
      <c r="O495" s="1195"/>
      <c r="P495" s="1195"/>
      <c r="Q495" s="1195"/>
      <c r="R495" s="1195"/>
      <c r="S495" s="1195"/>
      <c r="T495" s="1195"/>
      <c r="U495" s="1195"/>
    </row>
    <row r="496" spans="1:21" ht="15" customHeight="1" outlineLevel="1">
      <c r="A496" s="2620" t="s">
        <v>3833</v>
      </c>
      <c r="B496" s="229" t="s">
        <v>159</v>
      </c>
      <c r="C496" s="2648">
        <f>IF('Ввод данных'!A320=связи1!A8,1,0)</f>
        <v>0</v>
      </c>
      <c r="D496" s="2618"/>
      <c r="E496" s="2619"/>
      <c r="F496" s="2619"/>
      <c r="G496" s="2228"/>
      <c r="H496" s="2228"/>
      <c r="I496" s="2234"/>
      <c r="J496" s="2228"/>
      <c r="K496" s="2268"/>
      <c r="L496" s="2228"/>
      <c r="M496" s="1195"/>
      <c r="N496" s="1195"/>
      <c r="O496" s="1195"/>
      <c r="P496" s="1195"/>
      <c r="Q496" s="1195"/>
      <c r="R496" s="1195"/>
      <c r="S496" s="1195"/>
      <c r="T496" s="1195"/>
      <c r="U496" s="1195"/>
    </row>
    <row r="497" spans="1:21" ht="15" customHeight="1" outlineLevel="1">
      <c r="A497" s="229" t="s">
        <v>2623</v>
      </c>
      <c r="B497" s="229" t="s">
        <v>133</v>
      </c>
      <c r="C497" s="2649">
        <f>дома!J1215+дома!K1215</f>
        <v>20.034116628998401</v>
      </c>
      <c r="D497" s="2619"/>
      <c r="E497" s="2619"/>
      <c r="F497" s="2619"/>
      <c r="G497" s="2228"/>
      <c r="H497" s="2228"/>
      <c r="I497" s="2234"/>
      <c r="J497" s="2228"/>
      <c r="K497" s="2268"/>
      <c r="L497" s="2228"/>
      <c r="M497" s="1195"/>
      <c r="N497" s="1195"/>
      <c r="O497" s="1195"/>
      <c r="P497" s="1195"/>
      <c r="Q497" s="1195"/>
      <c r="R497" s="1195"/>
      <c r="S497" s="1195"/>
      <c r="T497" s="1195"/>
      <c r="U497" s="1195"/>
    </row>
    <row r="498" spans="1:21" ht="15" customHeight="1" outlineLevel="1">
      <c r="A498" s="229" t="s">
        <v>1546</v>
      </c>
      <c r="B498" s="229" t="s">
        <v>156</v>
      </c>
      <c r="C498" s="2649">
        <f>дома!J1216+дома!K1216</f>
        <v>4.8</v>
      </c>
      <c r="D498" s="2619"/>
      <c r="E498" s="2619"/>
      <c r="F498" s="2619"/>
      <c r="G498" s="2228"/>
      <c r="H498" s="2228"/>
      <c r="I498" s="2234"/>
      <c r="J498" s="2228"/>
      <c r="K498" s="2268"/>
      <c r="L498" s="2228"/>
      <c r="M498" s="1195"/>
      <c r="N498" s="1195"/>
      <c r="O498" s="1195"/>
      <c r="P498" s="1195"/>
      <c r="Q498" s="1195"/>
      <c r="R498" s="1195"/>
      <c r="S498" s="1195"/>
      <c r="T498" s="1195"/>
      <c r="U498" s="1195"/>
    </row>
    <row r="499" spans="1:21" ht="15" customHeight="1" outlineLevel="1">
      <c r="A499" s="229" t="s">
        <v>3502</v>
      </c>
      <c r="B499" s="229" t="s">
        <v>156</v>
      </c>
      <c r="C499" s="2649">
        <f>дома!J1213+дома!K1213</f>
        <v>5.2721359549995794</v>
      </c>
      <c r="D499" s="2619"/>
      <c r="E499" s="2619"/>
      <c r="F499" s="2619"/>
      <c r="G499" s="2228"/>
      <c r="H499" s="2228"/>
      <c r="I499" s="2234"/>
      <c r="J499" s="2228"/>
      <c r="K499" s="2268"/>
      <c r="L499" s="2228"/>
      <c r="M499" s="1195"/>
      <c r="N499" s="1195"/>
      <c r="O499" s="1195"/>
      <c r="P499" s="1195"/>
      <c r="Q499" s="1195"/>
      <c r="R499" s="1195"/>
      <c r="S499" s="1195"/>
      <c r="T499" s="1195"/>
      <c r="U499" s="1195"/>
    </row>
    <row r="500" spans="1:21" ht="15" customHeight="1" outlineLevel="1">
      <c r="A500" s="229" t="s">
        <v>1972</v>
      </c>
      <c r="B500" s="229" t="s">
        <v>156</v>
      </c>
      <c r="C500" s="2650">
        <f>'Ввод данных'!C327</f>
        <v>0.4</v>
      </c>
      <c r="D500" s="2619"/>
      <c r="E500" s="2619"/>
      <c r="F500" s="2619"/>
      <c r="G500" s="2228"/>
      <c r="H500" s="2228"/>
      <c r="I500" s="2234"/>
      <c r="J500" s="2228"/>
      <c r="K500" s="2268"/>
      <c r="L500" s="2228"/>
      <c r="M500" s="1195"/>
      <c r="N500" s="1195"/>
      <c r="O500" s="1195"/>
      <c r="P500" s="1195"/>
      <c r="Q500" s="1195"/>
      <c r="R500" s="1195"/>
      <c r="S500" s="1195"/>
      <c r="T500" s="1195"/>
      <c r="U500" s="1195"/>
    </row>
    <row r="501" spans="1:21" ht="15" customHeight="1" outlineLevel="1">
      <c r="A501" s="259" t="s">
        <v>1975</v>
      </c>
      <c r="B501" s="259" t="s">
        <v>156</v>
      </c>
      <c r="C501" s="2650">
        <f>'Ввод данных'!C328</f>
        <v>0.4</v>
      </c>
      <c r="D501" s="2619"/>
      <c r="E501" s="2619"/>
      <c r="F501" s="2619"/>
      <c r="G501" s="2228"/>
      <c r="H501" s="2228"/>
      <c r="I501" s="2234"/>
      <c r="J501" s="2228"/>
      <c r="K501" s="2268"/>
      <c r="L501" s="2228"/>
      <c r="M501" s="1195"/>
      <c r="N501" s="1195"/>
      <c r="O501" s="1195"/>
      <c r="P501" s="1195"/>
      <c r="Q501" s="1195"/>
      <c r="R501" s="1195"/>
      <c r="S501" s="1195"/>
      <c r="T501" s="1195"/>
      <c r="U501" s="1195"/>
    </row>
    <row r="502" spans="1:21" ht="15" customHeight="1" outlineLevel="1">
      <c r="A502" s="229" t="s">
        <v>4158</v>
      </c>
      <c r="B502" s="229" t="s">
        <v>156</v>
      </c>
      <c r="C502" s="2650"/>
      <c r="D502" s="2619"/>
      <c r="E502" s="2619"/>
      <c r="F502" s="2619"/>
      <c r="G502" s="2228"/>
      <c r="H502" s="2228"/>
      <c r="I502" s="2234"/>
      <c r="J502" s="2228"/>
      <c r="K502" s="2268"/>
      <c r="L502" s="2228"/>
      <c r="M502" s="1195"/>
      <c r="N502" s="1195"/>
      <c r="O502" s="1195"/>
      <c r="P502" s="1195"/>
      <c r="Q502" s="1195"/>
      <c r="R502" s="1195"/>
      <c r="S502" s="1195"/>
      <c r="T502" s="1195"/>
      <c r="U502" s="1195"/>
    </row>
    <row r="503" spans="1:21" ht="15" customHeight="1" outlineLevel="1">
      <c r="A503" s="259" t="s">
        <v>4159</v>
      </c>
      <c r="B503" s="259" t="s">
        <v>156</v>
      </c>
      <c r="C503" s="2650">
        <f>(дома!C1216*дома!C1206+дома!D1216*дома!D1206)*(1-дома!B1)+дома!E1216*дома!C1206+дома!F1216*дома!D1206</f>
        <v>17.704027542493328</v>
      </c>
      <c r="D503" s="2619"/>
      <c r="E503" s="2619"/>
      <c r="F503" s="2619"/>
      <c r="G503" s="2228"/>
      <c r="H503" s="2228"/>
      <c r="I503" s="2234"/>
      <c r="J503" s="2228"/>
      <c r="K503" s="2268"/>
      <c r="L503" s="2228"/>
      <c r="M503" s="1195"/>
      <c r="N503" s="1195"/>
      <c r="O503" s="1195"/>
      <c r="P503" s="1195"/>
      <c r="Q503" s="1195"/>
      <c r="R503" s="1195"/>
      <c r="S503" s="1195"/>
      <c r="T503" s="1195"/>
      <c r="U503" s="1195"/>
    </row>
    <row r="504" spans="1:21" ht="15" customHeight="1" outlineLevel="1">
      <c r="A504" s="2265" t="s">
        <v>1089</v>
      </c>
      <c r="B504" s="259" t="s">
        <v>159</v>
      </c>
      <c r="C504" s="2650">
        <v>0</v>
      </c>
      <c r="D504" s="2619"/>
      <c r="E504" s="2619"/>
      <c r="F504" s="2619"/>
      <c r="G504" s="2228"/>
      <c r="H504" s="2228"/>
      <c r="I504" s="2234"/>
      <c r="J504" s="2228"/>
      <c r="K504" s="2268"/>
      <c r="L504" s="2228"/>
      <c r="M504" s="1195"/>
      <c r="N504" s="1195"/>
      <c r="O504" s="1195"/>
      <c r="P504" s="1195"/>
      <c r="Q504" s="1195"/>
      <c r="R504" s="1195"/>
      <c r="S504" s="1195"/>
      <c r="T504" s="1195"/>
      <c r="U504" s="1195"/>
    </row>
    <row r="505" spans="1:21" ht="15" customHeight="1" outlineLevel="1">
      <c r="A505" s="2265" t="s">
        <v>1090</v>
      </c>
      <c r="B505" s="259" t="s">
        <v>159</v>
      </c>
      <c r="C505" s="2650">
        <v>0</v>
      </c>
      <c r="D505" s="2619"/>
      <c r="E505" s="2619"/>
      <c r="F505" s="2619"/>
      <c r="G505" s="2228"/>
      <c r="H505" s="2228"/>
      <c r="I505" s="2234"/>
      <c r="J505" s="2228"/>
      <c r="K505" s="2268"/>
      <c r="L505" s="2228"/>
      <c r="M505" s="1195"/>
      <c r="N505" s="1195"/>
      <c r="O505" s="1195"/>
      <c r="P505" s="1195"/>
      <c r="Q505" s="1195"/>
      <c r="R505" s="1195"/>
      <c r="S505" s="1195"/>
      <c r="T505" s="1195"/>
      <c r="U505" s="1195"/>
    </row>
    <row r="506" spans="1:21" ht="15" customHeight="1" outlineLevel="1">
      <c r="A506" s="2265" t="s">
        <v>1091</v>
      </c>
      <c r="B506" s="259" t="s">
        <v>159</v>
      </c>
      <c r="C506" s="2650">
        <v>0</v>
      </c>
      <c r="D506" s="2619"/>
      <c r="E506" s="2619"/>
      <c r="F506" s="2619"/>
      <c r="G506" s="2228"/>
      <c r="H506" s="2228"/>
      <c r="I506" s="2234"/>
      <c r="J506" s="2228"/>
      <c r="K506" s="2268"/>
      <c r="L506" s="2228"/>
      <c r="M506" s="1195"/>
      <c r="N506" s="1195"/>
      <c r="O506" s="1195"/>
      <c r="P506" s="1195"/>
      <c r="Q506" s="1195"/>
      <c r="R506" s="1195"/>
      <c r="S506" s="1195"/>
      <c r="T506" s="1195"/>
      <c r="U506" s="1195"/>
    </row>
    <row r="507" spans="1:21" ht="15" customHeight="1" outlineLevel="1">
      <c r="A507" s="2266" t="s">
        <v>2720</v>
      </c>
      <c r="B507" s="2266" t="s">
        <v>1094</v>
      </c>
      <c r="C507" s="2266" t="s">
        <v>1802</v>
      </c>
      <c r="D507" s="2266" t="s">
        <v>2721</v>
      </c>
      <c r="E507" s="2266" t="s">
        <v>2722</v>
      </c>
      <c r="F507" s="1194"/>
      <c r="G507" s="3206" t="s">
        <v>1409</v>
      </c>
      <c r="H507" s="3206"/>
      <c r="I507" s="2266" t="s">
        <v>1094</v>
      </c>
      <c r="J507" s="2266" t="s">
        <v>1802</v>
      </c>
      <c r="K507" s="2621" t="s">
        <v>1601</v>
      </c>
      <c r="L507" s="2266" t="s">
        <v>2722</v>
      </c>
      <c r="M507" s="1195"/>
      <c r="N507" s="1195"/>
      <c r="O507" s="1195"/>
      <c r="P507" s="1195"/>
      <c r="Q507" s="1195"/>
      <c r="R507" s="1195"/>
      <c r="S507" s="1195"/>
      <c r="T507" s="1195"/>
      <c r="U507" s="1195"/>
    </row>
    <row r="508" spans="1:21" ht="15" customHeight="1" outlineLevel="1">
      <c r="A508" s="229" t="str">
        <f>'Ввод данных'!A335</f>
        <v>Доска сухая, 200*50мм</v>
      </c>
      <c r="B508" s="229" t="s">
        <v>135</v>
      </c>
      <c r="C508" s="229">
        <f>((C498/0.6)+1)*C499*2*VLOOKUP(A508,связи1!A407:E416,5,0)*(C494+C495)+(C498*3+C499*2)*(C494+C495)*VLOOKUP(A508,связи1!A407:E416,5,0)*1.1*G492</f>
        <v>1.2233714629099153</v>
      </c>
      <c r="D508" s="229">
        <f>VLOOKUP(A508,связи1!A407:E416,2,0)</f>
        <v>9000</v>
      </c>
      <c r="E508" s="229">
        <f t="shared" ref="E508:E550" si="12">C508*D508</f>
        <v>11010.343166189237</v>
      </c>
      <c r="F508" s="1194"/>
      <c r="G508" s="3130" t="str">
        <f>'Прайс лист'!B1736</f>
        <v>монтаж стропил</v>
      </c>
      <c r="H508" s="3130"/>
      <c r="I508" s="229" t="s">
        <v>133</v>
      </c>
      <c r="J508" s="229">
        <f>C497*(C494+C495+C496)*H493*IF(A508=связи1!A407,0,1)</f>
        <v>20.034116628998401</v>
      </c>
      <c r="K508" s="2267">
        <f>'Прайс лист'!G1736</f>
        <v>450</v>
      </c>
      <c r="L508" s="229">
        <f t="shared" ref="L508:L520" si="13">J508*K508</f>
        <v>9015.3524830492806</v>
      </c>
      <c r="M508" s="1195"/>
      <c r="N508" s="1195"/>
      <c r="O508" s="1195"/>
      <c r="P508" s="1195"/>
      <c r="Q508" s="1195"/>
      <c r="R508" s="1195"/>
      <c r="S508" s="1195"/>
      <c r="T508" s="1195"/>
      <c r="U508" s="1195"/>
    </row>
    <row r="509" spans="1:21" ht="15" customHeight="1" outlineLevel="1">
      <c r="A509" s="229" t="s">
        <v>2723</v>
      </c>
      <c r="B509" s="229" t="s">
        <v>135</v>
      </c>
      <c r="C509" s="229">
        <f>((C498/0.6)+1)*3*1.1*G492*VLOOKUP(A508,связи1!A407:E416,5,0)*(C494+C495)</f>
        <v>0.2970000000000001</v>
      </c>
      <c r="D509" s="229">
        <f>VLOOKUP(A508,связи1!A407:E416,2,0)</f>
        <v>9000</v>
      </c>
      <c r="E509" s="229">
        <f t="shared" si="12"/>
        <v>2673.0000000000009</v>
      </c>
      <c r="F509" s="1194"/>
      <c r="G509" s="2284" t="str">
        <f>'Прайс лист'!B1737</f>
        <v>обрешетка</v>
      </c>
      <c r="H509" s="2285"/>
      <c r="I509" s="229" t="s">
        <v>133</v>
      </c>
      <c r="J509" s="229">
        <f>C497*(C494+C495+C496)*H493*IF(A511=связи1!A432,0,1)</f>
        <v>20.034116628998401</v>
      </c>
      <c r="K509" s="2267">
        <f>'Прайс лист'!G1737</f>
        <v>100</v>
      </c>
      <c r="L509" s="229">
        <f t="shared" si="13"/>
        <v>2003.4116628998402</v>
      </c>
      <c r="M509" s="1195"/>
      <c r="N509" s="1195"/>
      <c r="O509" s="1195"/>
      <c r="P509" s="1195"/>
      <c r="Q509" s="1195"/>
      <c r="R509" s="1195"/>
      <c r="S509" s="1195"/>
      <c r="T509" s="1195"/>
      <c r="U509" s="1195"/>
    </row>
    <row r="510" spans="1:21" ht="15" customHeight="1" outlineLevel="1">
      <c r="A510" s="229" t="s">
        <v>4131</v>
      </c>
      <c r="B510" s="229" t="s">
        <v>135</v>
      </c>
      <c r="C510" s="229">
        <f>((C498/0.6)*C499*VLOOKUP(A508,связи1!A407:E416,5,0)*G492)</f>
        <v>0.42177087639996641</v>
      </c>
      <c r="D510" s="229">
        <f>VLOOKUP(A508,связи1!A407:E416,2,0)</f>
        <v>9000</v>
      </c>
      <c r="E510" s="229">
        <f t="shared" si="12"/>
        <v>3795.9378875996977</v>
      </c>
      <c r="F510" s="1194"/>
      <c r="G510" s="2284" t="str">
        <f>'Прайс лист'!B1738</f>
        <v>контробеш</v>
      </c>
      <c r="H510" s="2285"/>
      <c r="I510" s="229" t="s">
        <v>133</v>
      </c>
      <c r="J510" s="229">
        <f>C497*(C494+C495+C496)*H493*IF(A512=связи1!A418,0,1)</f>
        <v>20.034116628998401</v>
      </c>
      <c r="K510" s="2267">
        <f>'Прайс лист'!G1738</f>
        <v>100</v>
      </c>
      <c r="L510" s="229">
        <f t="shared" si="13"/>
        <v>2003.4116628998402</v>
      </c>
      <c r="M510" s="1195"/>
      <c r="N510" s="1195"/>
      <c r="O510" s="1195"/>
      <c r="P510" s="1195"/>
      <c r="Q510" s="1195"/>
      <c r="R510" s="1195"/>
      <c r="S510" s="1195"/>
      <c r="T510" s="1195"/>
      <c r="U510" s="1195"/>
    </row>
    <row r="511" spans="1:21" ht="15" customHeight="1" outlineLevel="1">
      <c r="A511" s="229" t="str">
        <f>'Ввод данных'!A337</f>
        <v>Сосна влаж,100*25мм</v>
      </c>
      <c r="B511" s="229" t="s">
        <v>135</v>
      </c>
      <c r="C511" s="229">
        <f>(C499/0.25)*C498*2*G492*VLOOKUP(A511,связи1!A432:F440,5,0)</f>
        <v>0.50612505167995969</v>
      </c>
      <c r="D511" s="229">
        <f>VLOOKUP(A511,связи1!A432:F440,6,0)</f>
        <v>6500</v>
      </c>
      <c r="E511" s="229">
        <f t="shared" si="12"/>
        <v>3289.8128359197381</v>
      </c>
      <c r="F511" s="1194"/>
      <c r="G511" s="2284" t="str">
        <f>'Прайс лист'!B1739</f>
        <v>мембрана</v>
      </c>
      <c r="H511" s="2285"/>
      <c r="I511" s="229" t="s">
        <v>133</v>
      </c>
      <c r="J511" s="229">
        <f>C497*(C494+C495+C496)*H493*IF(A513='Прайс лист'!B793,0,1)</f>
        <v>0</v>
      </c>
      <c r="K511" s="2267">
        <f>'Прайс лист'!G1739</f>
        <v>100</v>
      </c>
      <c r="L511" s="229">
        <f t="shared" si="13"/>
        <v>0</v>
      </c>
      <c r="M511" s="1195"/>
      <c r="N511" s="1195"/>
      <c r="O511" s="1195"/>
      <c r="P511" s="1195"/>
      <c r="Q511" s="1195"/>
      <c r="R511" s="1195"/>
      <c r="S511" s="1195"/>
      <c r="T511" s="1195"/>
      <c r="U511" s="1195"/>
    </row>
    <row r="512" spans="1:21" ht="15" customHeight="1" outlineLevel="1">
      <c r="A512" s="229" t="str">
        <f>'Ввод данных'!A339</f>
        <v>Доска сухая, калибр., 35*45мм</v>
      </c>
      <c r="B512" s="229" t="s">
        <v>159</v>
      </c>
      <c r="C512" s="229">
        <f>((C498/0.6)+1)*C499*2*G492*VLOOKUP(A512,связи1!A418:E421,5,0)</f>
        <v>0.11625059780774073</v>
      </c>
      <c r="D512" s="229">
        <f>VLOOKUP(A512,связи1!A418:D421,2,0)</f>
        <v>12500</v>
      </c>
      <c r="E512" s="229">
        <f t="shared" si="12"/>
        <v>1453.132472596759</v>
      </c>
      <c r="F512" s="1194"/>
      <c r="G512" s="2284" t="str">
        <f>'Прайс лист'!B1740</f>
        <v>пароизоляц</v>
      </c>
      <c r="H512" s="2285"/>
      <c r="I512" s="229" t="s">
        <v>133</v>
      </c>
      <c r="J512" s="229">
        <f>J508*(C494+C495+C496)*H493*IF(A514='Прайс лист'!B820,0,1)</f>
        <v>0</v>
      </c>
      <c r="K512" s="2267">
        <f>'Прайс лист'!G1740</f>
        <v>100</v>
      </c>
      <c r="L512" s="229">
        <f t="shared" si="13"/>
        <v>0</v>
      </c>
      <c r="M512" s="1195"/>
      <c r="N512" s="1195"/>
      <c r="O512" s="1195"/>
      <c r="P512" s="1195"/>
      <c r="Q512" s="1195"/>
      <c r="R512" s="1195"/>
      <c r="S512" s="1195"/>
      <c r="T512" s="1195"/>
      <c r="U512" s="1195"/>
    </row>
    <row r="513" spans="1:21" ht="15" customHeight="1" outlineLevel="1">
      <c r="A513" s="229" t="str">
        <f>'Ввод данных'!A345</f>
        <v>нет ветроизоляции</v>
      </c>
      <c r="B513" s="229" t="s">
        <v>133</v>
      </c>
      <c r="C513" s="229">
        <f>C497*1.2*G492</f>
        <v>24.04093995479808</v>
      </c>
      <c r="D513" s="229">
        <f>VLOOKUP(A513,'Прайс лист'!B793:G819,6,0)</f>
        <v>0</v>
      </c>
      <c r="E513" s="229">
        <f t="shared" si="12"/>
        <v>0</v>
      </c>
      <c r="F513" s="1194"/>
      <c r="G513" s="2284" t="str">
        <f>'Прайс лист'!B1741</f>
        <v>утеплитель</v>
      </c>
      <c r="H513" s="2285"/>
      <c r="I513" s="229" t="s">
        <v>133</v>
      </c>
      <c r="J513" s="229">
        <f>J508*(C494+C495+C496)*H493*IF(A515='Прайс лист'!B744,0,1)</f>
        <v>20.034116628998401</v>
      </c>
      <c r="K513" s="2267">
        <f>'Прайс лист'!G1741</f>
        <v>200</v>
      </c>
      <c r="L513" s="229">
        <f t="shared" si="13"/>
        <v>4006.8233257996803</v>
      </c>
      <c r="M513" s="1195"/>
      <c r="N513" s="1195"/>
      <c r="O513" s="1195"/>
      <c r="P513" s="1195"/>
      <c r="Q513" s="1195"/>
      <c r="R513" s="1195"/>
      <c r="S513" s="1195"/>
      <c r="T513" s="1195"/>
      <c r="U513" s="1195"/>
    </row>
    <row r="514" spans="1:21" ht="15" customHeight="1" outlineLevel="1">
      <c r="A514" s="229" t="str">
        <f>'Ввод данных'!A347</f>
        <v>нет пароизоляции</v>
      </c>
      <c r="B514" s="229" t="s">
        <v>133</v>
      </c>
      <c r="C514" s="229">
        <f>C497*1.1*G492*(C494+C495)</f>
        <v>22.037528291898244</v>
      </c>
      <c r="D514" s="229">
        <f>VLOOKUP(A514,'Прайс лист'!B820:G831,6,0)</f>
        <v>0</v>
      </c>
      <c r="E514" s="229">
        <f t="shared" si="12"/>
        <v>0</v>
      </c>
      <c r="F514" s="1194"/>
      <c r="G514" s="2284" t="str">
        <f>'Прайс лист'!B1742</f>
        <v>Монтаж металлочерепицы</v>
      </c>
      <c r="H514" s="2285"/>
      <c r="I514" s="229" t="s">
        <v>133</v>
      </c>
      <c r="J514" s="229">
        <f>C497*(C494)*H493</f>
        <v>20.034116628998401</v>
      </c>
      <c r="K514" s="2267">
        <f>'Прайс лист'!G1742</f>
        <v>300</v>
      </c>
      <c r="L514" s="229">
        <f t="shared" si="13"/>
        <v>6010.2349886995207</v>
      </c>
      <c r="M514" s="1195"/>
      <c r="N514" s="1195"/>
      <c r="O514" s="1195"/>
      <c r="P514" s="1195"/>
      <c r="Q514" s="1195"/>
      <c r="R514" s="1195"/>
      <c r="S514" s="1195"/>
      <c r="T514" s="1195"/>
      <c r="U514" s="1195"/>
    </row>
    <row r="515" spans="1:21" ht="15" customHeight="1" outlineLevel="1">
      <c r="A515" s="229" t="str">
        <f>'Ввод данных'!A343</f>
        <v>Плитный,28кг/м3, технониколь, 100мм</v>
      </c>
      <c r="B515" s="229" t="s">
        <v>135</v>
      </c>
      <c r="C515" s="229">
        <f>C497*VLOOKUP(A515,'Прайс лист'!B744:G782,3,0)*(C494+C495)*G492</f>
        <v>2.0034116628998402</v>
      </c>
      <c r="D515" s="229">
        <f>VLOOKUP(A515,'Прайс лист'!B744:G782,6,0)</f>
        <v>1700</v>
      </c>
      <c r="E515" s="229">
        <f t="shared" si="12"/>
        <v>3405.7998269297282</v>
      </c>
      <c r="F515" s="1194"/>
      <c r="G515" s="2284" t="str">
        <f>'Прайс лист'!B1744</f>
        <v>карнизная планка</v>
      </c>
      <c r="H515" s="2285"/>
      <c r="I515" s="229" t="s">
        <v>133</v>
      </c>
      <c r="J515" s="275">
        <f>C517*H493</f>
        <v>4</v>
      </c>
      <c r="K515" s="2267">
        <f>'Прайс лист'!G1744</f>
        <v>100</v>
      </c>
      <c r="L515" s="229">
        <f t="shared" si="13"/>
        <v>400</v>
      </c>
      <c r="M515" s="1195"/>
      <c r="N515" s="1195"/>
      <c r="O515" s="1195"/>
      <c r="P515" s="1195"/>
      <c r="Q515" s="1195"/>
      <c r="R515" s="1195"/>
      <c r="S515" s="1195"/>
      <c r="T515" s="1195"/>
      <c r="U515" s="1195"/>
    </row>
    <row r="516" spans="1:21" ht="15" customHeight="1" outlineLevel="1">
      <c r="A516" s="229" t="str">
        <f>'Прайс лист'!B1131</f>
        <v>Металлочерепица</v>
      </c>
      <c r="B516" s="229" t="s">
        <v>133</v>
      </c>
      <c r="C516" s="229">
        <f>C497*1.4*G492*C494</f>
        <v>28.04776328059776</v>
      </c>
      <c r="D516" s="229">
        <f>'Прайс лист'!G1131</f>
        <v>250</v>
      </c>
      <c r="E516" s="229">
        <f t="shared" si="12"/>
        <v>7011.9408201494398</v>
      </c>
      <c r="F516" s="1194"/>
      <c r="G516" s="2284" t="str">
        <f>'Прайс лист'!B1745</f>
        <v>торцевая планка</v>
      </c>
      <c r="H516" s="2285"/>
      <c r="I516" s="229" t="s">
        <v>133</v>
      </c>
      <c r="J516" s="275">
        <f>C518*H493</f>
        <v>10.544271909999159</v>
      </c>
      <c r="K516" s="2267">
        <f>'Прайс лист'!G1745</f>
        <v>100</v>
      </c>
      <c r="L516" s="229">
        <f t="shared" si="13"/>
        <v>1054.4271909999159</v>
      </c>
      <c r="M516" s="1195"/>
      <c r="N516" s="1195"/>
      <c r="O516" s="1195"/>
      <c r="P516" s="1195"/>
      <c r="Q516" s="1195"/>
      <c r="R516" s="1195"/>
      <c r="S516" s="1195"/>
      <c r="T516" s="1195"/>
      <c r="U516" s="1195"/>
    </row>
    <row r="517" spans="1:21" ht="15" customHeight="1" outlineLevel="1">
      <c r="A517" s="229" t="str">
        <f>'Прайс лист'!B1132</f>
        <v>Карнизная планка</v>
      </c>
      <c r="B517" s="229" t="s">
        <v>156</v>
      </c>
      <c r="C517" s="229">
        <f>(дома!C1207*2*дома!C1206)*G492*(C494+C496)</f>
        <v>4</v>
      </c>
      <c r="D517" s="229">
        <f>'Прайс лист'!G1132</f>
        <v>200</v>
      </c>
      <c r="E517" s="229">
        <f t="shared" si="12"/>
        <v>800</v>
      </c>
      <c r="F517" s="1194"/>
      <c r="G517" s="2284" t="str">
        <f>'Прайс лист'!B1743</f>
        <v>Монтаж ондулина</v>
      </c>
      <c r="H517" s="2259"/>
      <c r="I517" s="229" t="s">
        <v>133</v>
      </c>
      <c r="J517" s="275">
        <f>C497*C495</f>
        <v>0</v>
      </c>
      <c r="K517" s="2267">
        <f>'Прайс лист'!G1743</f>
        <v>300</v>
      </c>
      <c r="L517" s="229">
        <f t="shared" si="13"/>
        <v>0</v>
      </c>
      <c r="M517" s="1195"/>
      <c r="N517" s="1195"/>
      <c r="O517" s="1195"/>
      <c r="P517" s="1195"/>
      <c r="Q517" s="1195"/>
      <c r="R517" s="1195"/>
      <c r="S517" s="1195"/>
      <c r="T517" s="1195"/>
      <c r="U517" s="1195"/>
    </row>
    <row r="518" spans="1:21" ht="15" customHeight="1" outlineLevel="1">
      <c r="A518" s="229" t="str">
        <f>'Прайс лист'!B1133</f>
        <v>Торцевая планка</v>
      </c>
      <c r="B518" s="229" t="s">
        <v>156</v>
      </c>
      <c r="C518" s="229">
        <f>C499*2*G492*(C494+C496)</f>
        <v>10.544271909999159</v>
      </c>
      <c r="D518" s="229">
        <f>'Прайс лист'!G1133</f>
        <v>200</v>
      </c>
      <c r="E518" s="229">
        <f t="shared" si="12"/>
        <v>2108.8543819998317</v>
      </c>
      <c r="F518" s="1194"/>
      <c r="G518" s="2284" t="str">
        <f>'Прайс лист'!B1751</f>
        <v>Монтаж фанеры/osb</v>
      </c>
      <c r="H518" s="2259"/>
      <c r="I518" s="229" t="s">
        <v>133</v>
      </c>
      <c r="J518" s="275">
        <f>C497*IF('Ввод данных'!A341='Прайс лист'!B1027,0,1)</f>
        <v>20.034116628998401</v>
      </c>
      <c r="K518" s="2267">
        <f>'Прайс лист'!G1751</f>
        <v>200</v>
      </c>
      <c r="L518" s="229">
        <f t="shared" si="13"/>
        <v>4006.8233257996803</v>
      </c>
      <c r="M518" s="1195"/>
      <c r="N518" s="1195"/>
      <c r="O518" s="1195"/>
      <c r="P518" s="1195"/>
      <c r="Q518" s="1195"/>
      <c r="R518" s="1195"/>
      <c r="S518" s="1195"/>
      <c r="T518" s="1195"/>
      <c r="U518" s="1195"/>
    </row>
    <row r="519" spans="1:21" ht="15" customHeight="1" outlineLevel="1">
      <c r="A519" s="229" t="str">
        <f>'Прайс лист'!B1134</f>
        <v>Конек</v>
      </c>
      <c r="B519" s="229" t="s">
        <v>156</v>
      </c>
      <c r="C519" s="229">
        <f>C498*G492*(C494)</f>
        <v>4.8</v>
      </c>
      <c r="D519" s="229">
        <f>'Прайс лист'!G1134</f>
        <v>230</v>
      </c>
      <c r="E519" s="229">
        <f t="shared" si="12"/>
        <v>1104</v>
      </c>
      <c r="F519" s="1194"/>
      <c r="G519" s="2284" t="str">
        <f>'Прайс лист'!B1752</f>
        <v>монтаж подкладочного ковра</v>
      </c>
      <c r="H519" s="2651"/>
      <c r="I519" s="229" t="s">
        <v>133</v>
      </c>
      <c r="J519" s="275">
        <f>C497*C496</f>
        <v>0</v>
      </c>
      <c r="K519" s="2267">
        <f>'Прайс лист'!G1752</f>
        <v>150</v>
      </c>
      <c r="L519" s="229">
        <f t="shared" si="13"/>
        <v>0</v>
      </c>
      <c r="M519" s="1195"/>
      <c r="N519" s="1195"/>
      <c r="O519" s="1195"/>
      <c r="P519" s="1195"/>
      <c r="Q519" s="1195"/>
      <c r="R519" s="1195"/>
      <c r="S519" s="1195"/>
      <c r="T519" s="1195"/>
      <c r="U519" s="1195"/>
    </row>
    <row r="520" spans="1:21" ht="15" customHeight="1" outlineLevel="1">
      <c r="A520" s="229" t="str">
        <f>'Прайс лист'!B1135</f>
        <v>Ендова нижняя</v>
      </c>
      <c r="B520" s="229" t="s">
        <v>156</v>
      </c>
      <c r="C520" s="229">
        <f>(дома!J1218+дома!K1218+дома!J1214+дома!K1214)*1.1*G492*C494</f>
        <v>12.142616803324158</v>
      </c>
      <c r="D520" s="229">
        <f>'Прайс лист'!G1135</f>
        <v>160</v>
      </c>
      <c r="E520" s="229">
        <f t="shared" si="12"/>
        <v>1942.8186885318653</v>
      </c>
      <c r="F520" s="1194"/>
      <c r="G520" s="2284" t="str">
        <f>'Прайс лист'!B1753</f>
        <v>Монтаж мягкой кровли</v>
      </c>
      <c r="H520" s="2652"/>
      <c r="I520" s="2226" t="s">
        <v>133</v>
      </c>
      <c r="J520" s="275">
        <f>C497*C496</f>
        <v>0</v>
      </c>
      <c r="K520" s="2267">
        <f>'Прайс лист'!G1753</f>
        <v>350</v>
      </c>
      <c r="L520" s="229">
        <f t="shared" si="13"/>
        <v>0</v>
      </c>
      <c r="M520" s="1195"/>
      <c r="N520" s="1195"/>
      <c r="O520" s="1195"/>
      <c r="P520" s="1195"/>
      <c r="Q520" s="1195"/>
      <c r="R520" s="1195"/>
      <c r="S520" s="1195"/>
      <c r="T520" s="1195"/>
      <c r="U520" s="1195"/>
    </row>
    <row r="521" spans="1:21" ht="15" customHeight="1" outlineLevel="1">
      <c r="A521" s="229" t="str">
        <f>'Прайс лист'!B1136</f>
        <v>Ендова верхняя</v>
      </c>
      <c r="B521" s="229" t="s">
        <v>156</v>
      </c>
      <c r="C521" s="229">
        <f>C520</f>
        <v>12.142616803324158</v>
      </c>
      <c r="D521" s="229">
        <f>'Прайс лист'!G1136</f>
        <v>190</v>
      </c>
      <c r="E521" s="229">
        <f t="shared" si="12"/>
        <v>2307.0971926315901</v>
      </c>
      <c r="F521" s="1194"/>
      <c r="G521" s="2653"/>
      <c r="H521" s="2654"/>
      <c r="I521" s="2226"/>
      <c r="J521" s="275"/>
      <c r="K521" s="2267"/>
      <c r="L521" s="229"/>
      <c r="M521" s="1195"/>
      <c r="N521" s="1195"/>
      <c r="O521" s="1195"/>
      <c r="P521" s="1195"/>
      <c r="Q521" s="1195"/>
      <c r="R521" s="1195"/>
      <c r="S521" s="1195"/>
      <c r="T521" s="1195"/>
      <c r="U521" s="1195"/>
    </row>
    <row r="522" spans="1:21" ht="15" customHeight="1" outlineLevel="1">
      <c r="A522" s="229" t="s">
        <v>2725</v>
      </c>
      <c r="B522" s="229" t="s">
        <v>133</v>
      </c>
      <c r="C522" s="229">
        <f>C497*1.4*G492*C495</f>
        <v>0</v>
      </c>
      <c r="D522" s="229">
        <f>'Прайс лист'!G1143</f>
        <v>180</v>
      </c>
      <c r="E522" s="229">
        <f t="shared" si="12"/>
        <v>0</v>
      </c>
      <c r="F522" s="1194"/>
      <c r="G522" s="2653"/>
      <c r="H522" s="2654"/>
      <c r="I522" s="2226"/>
      <c r="J522" s="275"/>
      <c r="K522" s="2267"/>
      <c r="L522" s="229"/>
      <c r="M522" s="1195"/>
      <c r="N522" s="1195"/>
      <c r="O522" s="1195"/>
      <c r="P522" s="1195"/>
      <c r="Q522" s="1195"/>
      <c r="R522" s="1195"/>
      <c r="S522" s="1195"/>
      <c r="T522" s="1195"/>
      <c r="U522" s="1195"/>
    </row>
    <row r="523" spans="1:21" ht="15" customHeight="1" outlineLevel="1">
      <c r="A523" s="19" t="str">
        <f>'Прайс лист'!B1144</f>
        <v>Карнизная планка</v>
      </c>
      <c r="B523" s="19" t="str">
        <f>'Прайс лист'!C1144</f>
        <v>м.п.</v>
      </c>
      <c r="C523" s="17">
        <f>(дома!C1207*2*дома!C1206)*G492*C495</f>
        <v>0</v>
      </c>
      <c r="D523" s="229">
        <f>'Прайс лист'!G1144</f>
        <v>190</v>
      </c>
      <c r="E523" s="229">
        <f t="shared" si="12"/>
        <v>0</v>
      </c>
      <c r="F523" s="1194"/>
      <c r="G523" s="2653"/>
      <c r="H523" s="2654"/>
      <c r="I523" s="2226"/>
      <c r="J523" s="275"/>
      <c r="K523" s="2267"/>
      <c r="L523" s="229"/>
      <c r="M523" s="1195"/>
      <c r="N523" s="1195"/>
      <c r="O523" s="1195"/>
      <c r="P523" s="1195"/>
      <c r="Q523" s="1195"/>
      <c r="R523" s="1195"/>
      <c r="S523" s="1195"/>
      <c r="T523" s="1195"/>
      <c r="U523" s="1195"/>
    </row>
    <row r="524" spans="1:21" ht="15" customHeight="1" outlineLevel="1">
      <c r="A524" s="19" t="str">
        <f>'Прайс лист'!B1145</f>
        <v>Торцевая планка</v>
      </c>
      <c r="B524" s="19" t="str">
        <f>'Прайс лист'!C1145</f>
        <v>м.п.</v>
      </c>
      <c r="C524" s="229">
        <f>C499*2*G492*C495</f>
        <v>0</v>
      </c>
      <c r="D524" s="229">
        <f>'Прайс лист'!G1145</f>
        <v>190</v>
      </c>
      <c r="E524" s="229">
        <f t="shared" si="12"/>
        <v>0</v>
      </c>
      <c r="F524" s="1194"/>
      <c r="G524" s="2653"/>
      <c r="H524" s="2654"/>
      <c r="I524" s="2226"/>
      <c r="J524" s="275"/>
      <c r="K524" s="2267"/>
      <c r="L524" s="229"/>
      <c r="M524" s="1195"/>
      <c r="N524" s="1195"/>
      <c r="O524" s="1195"/>
      <c r="P524" s="1195"/>
      <c r="Q524" s="1195"/>
      <c r="R524" s="1195"/>
      <c r="S524" s="1195"/>
      <c r="T524" s="1195"/>
      <c r="U524" s="1195"/>
    </row>
    <row r="525" spans="1:21" ht="15" customHeight="1" outlineLevel="1">
      <c r="A525" s="19" t="str">
        <f>'Прайс лист'!B1146</f>
        <v>Конек</v>
      </c>
      <c r="B525" s="19" t="str">
        <f>'Прайс лист'!C1146</f>
        <v>м.п.</v>
      </c>
      <c r="C525" s="229">
        <f>C498*G492*(C495)</f>
        <v>0</v>
      </c>
      <c r="D525" s="229">
        <f>'Прайс лист'!G1146</f>
        <v>200</v>
      </c>
      <c r="E525" s="229">
        <f t="shared" si="12"/>
        <v>0</v>
      </c>
      <c r="F525" s="1194"/>
      <c r="G525" s="2653"/>
      <c r="H525" s="2654"/>
      <c r="I525" s="2226"/>
      <c r="J525" s="275"/>
      <c r="K525" s="2267"/>
      <c r="L525" s="229"/>
      <c r="M525" s="1195"/>
      <c r="N525" s="1195"/>
      <c r="O525" s="1195"/>
      <c r="P525" s="1195"/>
      <c r="Q525" s="1195"/>
      <c r="R525" s="1195"/>
      <c r="S525" s="1195"/>
      <c r="T525" s="1195"/>
      <c r="U525" s="1195"/>
    </row>
    <row r="526" spans="1:21" ht="15" customHeight="1" outlineLevel="1">
      <c r="A526" s="19" t="str">
        <f>'Прайс лист'!B1147</f>
        <v>Ендова нижняя</v>
      </c>
      <c r="B526" s="19" t="str">
        <f>'Прайс лист'!C1147</f>
        <v>м.п.</v>
      </c>
      <c r="C526" s="229">
        <f>(дома!J1218+дома!K1218+дома!J1214+дома!K1214)*1.1*G492*C495</f>
        <v>0</v>
      </c>
      <c r="D526" s="229">
        <f>'Прайс лист'!G1147</f>
        <v>160</v>
      </c>
      <c r="E526" s="229">
        <f t="shared" si="12"/>
        <v>0</v>
      </c>
      <c r="F526" s="1194"/>
      <c r="G526" s="2653"/>
      <c r="H526" s="2654"/>
      <c r="I526" s="2226"/>
      <c r="J526" s="275"/>
      <c r="K526" s="2267"/>
      <c r="L526" s="229"/>
      <c r="M526" s="1195"/>
      <c r="N526" s="1195"/>
      <c r="O526" s="1195"/>
      <c r="P526" s="1195"/>
      <c r="Q526" s="1195"/>
      <c r="R526" s="1195"/>
      <c r="S526" s="1195"/>
      <c r="T526" s="1195"/>
      <c r="U526" s="1195"/>
    </row>
    <row r="527" spans="1:21" ht="15" customHeight="1" outlineLevel="1">
      <c r="A527" s="19" t="str">
        <f>'Прайс лист'!B1148</f>
        <v>Ендова верхняя</v>
      </c>
      <c r="B527" s="19" t="str">
        <f>'Прайс лист'!C1148</f>
        <v>м.п.</v>
      </c>
      <c r="C527" s="229">
        <f>C526</f>
        <v>0</v>
      </c>
      <c r="D527" s="229">
        <f>'Прайс лист'!G1148</f>
        <v>190</v>
      </c>
      <c r="E527" s="229">
        <f t="shared" si="12"/>
        <v>0</v>
      </c>
      <c r="F527" s="1194"/>
      <c r="G527" s="2653"/>
      <c r="H527" s="2654"/>
      <c r="I527" s="2226"/>
      <c r="J527" s="275"/>
      <c r="K527" s="2267"/>
      <c r="L527" s="229"/>
      <c r="M527" s="1195"/>
      <c r="N527" s="1195"/>
      <c r="O527" s="1195"/>
      <c r="P527" s="1195"/>
      <c r="Q527" s="1195"/>
      <c r="R527" s="1195"/>
      <c r="S527" s="1195"/>
      <c r="T527" s="1195"/>
      <c r="U527" s="1195"/>
    </row>
    <row r="528" spans="1:21" ht="15" customHeight="1" outlineLevel="1">
      <c r="A528" s="19" t="str">
        <f>'Прайс лист'!B1149</f>
        <v>Планка примыкания</v>
      </c>
      <c r="B528" s="19" t="str">
        <f>'Прайс лист'!C1149</f>
        <v>м.п.</v>
      </c>
      <c r="C528" s="229"/>
      <c r="D528" s="229">
        <f>'Прайс лист'!G1149</f>
        <v>190</v>
      </c>
      <c r="E528" s="229">
        <f t="shared" si="12"/>
        <v>0</v>
      </c>
      <c r="F528" s="1194"/>
      <c r="G528" s="2653"/>
      <c r="H528" s="2654"/>
      <c r="I528" s="2226"/>
      <c r="J528" s="275"/>
      <c r="K528" s="2267"/>
      <c r="L528" s="229"/>
      <c r="M528" s="1195"/>
      <c r="N528" s="1195"/>
      <c r="O528" s="1195"/>
      <c r="P528" s="1195"/>
      <c r="Q528" s="1195"/>
      <c r="R528" s="1195"/>
      <c r="S528" s="1195"/>
      <c r="T528" s="1195"/>
      <c r="U528" s="1195"/>
    </row>
    <row r="529" spans="1:21" ht="15" customHeight="1" outlineLevel="1">
      <c r="A529" s="19" t="str">
        <f>'Прайс лист'!B1150</f>
        <v>Крепеж для ондулина</v>
      </c>
      <c r="B529" s="19" t="str">
        <f>'Прайс лист'!C1150</f>
        <v>шт</v>
      </c>
      <c r="C529" s="229">
        <f>C497*12*(C495)*G492</f>
        <v>0</v>
      </c>
      <c r="D529" s="229">
        <f>'Прайс лист'!G1150</f>
        <v>4.5</v>
      </c>
      <c r="E529" s="229">
        <f t="shared" si="12"/>
        <v>0</v>
      </c>
      <c r="F529" s="1194"/>
      <c r="G529" s="2653"/>
      <c r="H529" s="2654"/>
      <c r="I529" s="2226"/>
      <c r="J529" s="275"/>
      <c r="K529" s="2267"/>
      <c r="L529" s="229"/>
      <c r="M529" s="1195"/>
      <c r="N529" s="1195"/>
      <c r="O529" s="1195"/>
      <c r="P529" s="1195"/>
      <c r="Q529" s="1195"/>
      <c r="R529" s="1195"/>
      <c r="S529" s="1195"/>
      <c r="T529" s="1195"/>
      <c r="U529" s="1195"/>
    </row>
    <row r="530" spans="1:21" ht="15" customHeight="1" outlineLevel="1">
      <c r="A530" s="19" t="str">
        <f>'Ввод данных'!A341</f>
        <v xml:space="preserve">Фанера Березовая марка ФК - влагостойкая,  18 мм </v>
      </c>
      <c r="B530" s="19" t="s">
        <v>133</v>
      </c>
      <c r="C530" s="229">
        <f>C497*1.1*G492</f>
        <v>22.037528291898244</v>
      </c>
      <c r="D530" s="229">
        <f>VLOOKUP(A530,'Прайс лист'!B1027:G1078,6,0)</f>
        <v>533.33333333333337</v>
      </c>
      <c r="E530" s="229">
        <f t="shared" si="12"/>
        <v>11753.348422345731</v>
      </c>
      <c r="F530" s="1194"/>
      <c r="G530" s="2653"/>
      <c r="H530" s="2654"/>
      <c r="I530" s="2226"/>
      <c r="J530" s="275"/>
      <c r="K530" s="2267"/>
      <c r="L530" s="229"/>
      <c r="M530" s="1195"/>
      <c r="N530" s="1195"/>
      <c r="O530" s="1195"/>
      <c r="P530" s="1195"/>
      <c r="Q530" s="1195"/>
      <c r="R530" s="1195"/>
      <c r="S530" s="1195"/>
      <c r="T530" s="1195"/>
      <c r="U530" s="1195"/>
    </row>
    <row r="531" spans="1:21" ht="15" customHeight="1" outlineLevel="1">
      <c r="A531" s="19" t="str">
        <f>'Прайс лист'!B1155</f>
        <v>Рядовая черепица</v>
      </c>
      <c r="B531" s="19" t="str">
        <f>'Прайс лист'!C1155</f>
        <v>м2</v>
      </c>
      <c r="C531" s="229">
        <f>C497*1.2*G492*C496</f>
        <v>0</v>
      </c>
      <c r="D531" s="229">
        <f>'Прайс лист'!G1155</f>
        <v>360</v>
      </c>
      <c r="E531" s="229">
        <f t="shared" si="12"/>
        <v>0</v>
      </c>
      <c r="F531" s="1194"/>
      <c r="G531" s="2653"/>
      <c r="H531" s="2654"/>
      <c r="I531" s="2226"/>
      <c r="J531" s="275"/>
      <c r="K531" s="2267"/>
      <c r="L531" s="229"/>
      <c r="M531" s="1195"/>
      <c r="N531" s="1195"/>
      <c r="O531" s="1195"/>
      <c r="P531" s="1195"/>
      <c r="Q531" s="1195"/>
      <c r="R531" s="1195"/>
      <c r="S531" s="1195"/>
      <c r="T531" s="1195"/>
      <c r="U531" s="1195"/>
    </row>
    <row r="532" spans="1:21" ht="15" customHeight="1" outlineLevel="1">
      <c r="A532" s="19" t="str">
        <f>'Прайс лист'!B1156</f>
        <v>Металл оцинк защита (карниз)</v>
      </c>
      <c r="B532" s="19" t="str">
        <f>'Прайс лист'!C1156</f>
        <v>м.п.</v>
      </c>
      <c r="C532" s="229"/>
      <c r="D532" s="229">
        <f>'Прайс лист'!G1156</f>
        <v>200</v>
      </c>
      <c r="E532" s="229">
        <f t="shared" si="12"/>
        <v>0</v>
      </c>
      <c r="F532" s="1194"/>
      <c r="G532" s="2653"/>
      <c r="H532" s="2654"/>
      <c r="I532" s="2226"/>
      <c r="J532" s="275"/>
      <c r="K532" s="2267"/>
      <c r="L532" s="229"/>
      <c r="M532" s="1195"/>
      <c r="N532" s="1195"/>
      <c r="O532" s="1195"/>
      <c r="P532" s="1195"/>
      <c r="Q532" s="1195"/>
      <c r="R532" s="1195"/>
      <c r="S532" s="1195"/>
      <c r="T532" s="1195"/>
      <c r="U532" s="1195"/>
    </row>
    <row r="533" spans="1:21" ht="15" customHeight="1" outlineLevel="1">
      <c r="A533" s="19" t="str">
        <f>'Прайс лист'!B1157</f>
        <v>Подкладочный ковер</v>
      </c>
      <c r="B533" s="19" t="str">
        <f>'Прайс лист'!C1157</f>
        <v>м.п.</v>
      </c>
      <c r="C533" s="229">
        <f>C531</f>
        <v>0</v>
      </c>
      <c r="D533" s="229">
        <f>'Прайс лист'!G1157</f>
        <v>220</v>
      </c>
      <c r="E533" s="229">
        <f t="shared" si="12"/>
        <v>0</v>
      </c>
      <c r="F533" s="1194"/>
      <c r="G533" s="2653"/>
      <c r="H533" s="2654"/>
      <c r="I533" s="2226"/>
      <c r="J533" s="275"/>
      <c r="K533" s="2267"/>
      <c r="L533" s="229"/>
      <c r="M533" s="1195"/>
      <c r="N533" s="1195"/>
      <c r="O533" s="1195"/>
      <c r="P533" s="1195"/>
      <c r="Q533" s="1195"/>
      <c r="R533" s="1195"/>
      <c r="S533" s="1195"/>
      <c r="T533" s="1195"/>
      <c r="U533" s="1195"/>
    </row>
    <row r="534" spans="1:21" ht="15" customHeight="1" outlineLevel="1">
      <c r="A534" s="19" t="str">
        <f>'Прайс лист'!B1158</f>
        <v>Карнизная самоклеющаяся черепица</v>
      </c>
      <c r="B534" s="19" t="str">
        <f>'Прайс лист'!C1158</f>
        <v>м.п.</v>
      </c>
      <c r="C534" s="229"/>
      <c r="D534" s="229">
        <f>'Прайс лист'!G1158</f>
        <v>220</v>
      </c>
      <c r="E534" s="229">
        <f t="shared" si="12"/>
        <v>0</v>
      </c>
      <c r="F534" s="1194"/>
      <c r="G534" s="2653"/>
      <c r="H534" s="2654"/>
      <c r="I534" s="2226"/>
      <c r="J534" s="275"/>
      <c r="K534" s="2267"/>
      <c r="L534" s="229"/>
      <c r="M534" s="1195"/>
      <c r="N534" s="1195"/>
      <c r="O534" s="1195"/>
      <c r="P534" s="1195"/>
      <c r="Q534" s="1195"/>
      <c r="R534" s="1195"/>
      <c r="S534" s="1195"/>
      <c r="T534" s="1195"/>
      <c r="U534" s="1195"/>
    </row>
    <row r="535" spans="1:21" ht="15" customHeight="1" outlineLevel="1">
      <c r="A535" s="19" t="str">
        <f>'Прайс лист'!B1159</f>
        <v>Спец ковер ендова нижняя</v>
      </c>
      <c r="B535" s="19" t="str">
        <f>'Прайс лист'!C1159</f>
        <v>м.п.</v>
      </c>
      <c r="C535" s="229">
        <f>(дома!J1218+дома!K1218+дома!J1214+дома!K1214)*1.1*G492*C496</f>
        <v>0</v>
      </c>
      <c r="D535" s="229">
        <f>'Прайс лист'!G1159</f>
        <v>200</v>
      </c>
      <c r="E535" s="229">
        <f t="shared" si="12"/>
        <v>0</v>
      </c>
      <c r="F535" s="1194"/>
      <c r="G535" s="2653"/>
      <c r="H535" s="2654"/>
      <c r="I535" s="2226"/>
      <c r="J535" s="275"/>
      <c r="K535" s="2267"/>
      <c r="L535" s="229"/>
      <c r="M535" s="1195"/>
      <c r="N535" s="1195"/>
      <c r="O535" s="1195"/>
      <c r="P535" s="1195"/>
      <c r="Q535" s="1195"/>
      <c r="R535" s="1195"/>
      <c r="S535" s="1195"/>
      <c r="T535" s="1195"/>
      <c r="U535" s="1195"/>
    </row>
    <row r="536" spans="1:21" ht="15" customHeight="1" outlineLevel="1">
      <c r="A536" s="19" t="str">
        <f>'Прайс лист'!B1160</f>
        <v>Коньковой элемент</v>
      </c>
      <c r="B536" s="19" t="str">
        <f>'Прайс лист'!C1160</f>
        <v>м.п.</v>
      </c>
      <c r="C536" s="229">
        <f>C498*G492*(C496)</f>
        <v>0</v>
      </c>
      <c r="D536" s="229">
        <f>'Прайс лист'!G1160</f>
        <v>250</v>
      </c>
      <c r="E536" s="229">
        <f t="shared" si="12"/>
        <v>0</v>
      </c>
      <c r="F536" s="1194"/>
      <c r="G536" s="2653"/>
      <c r="H536" s="2654"/>
      <c r="I536" s="2226"/>
      <c r="J536" s="275"/>
      <c r="K536" s="2267"/>
      <c r="L536" s="229"/>
      <c r="M536" s="1195"/>
      <c r="N536" s="1195"/>
      <c r="O536" s="1195"/>
      <c r="P536" s="1195"/>
      <c r="Q536" s="1195"/>
      <c r="R536" s="1195"/>
      <c r="S536" s="1195"/>
      <c r="T536" s="1195"/>
      <c r="U536" s="1195"/>
    </row>
    <row r="537" spans="1:21" ht="15" customHeight="1" outlineLevel="1">
      <c r="A537" s="19" t="str">
        <f>'Прайс лист'!B1161</f>
        <v>Планка премыкания</v>
      </c>
      <c r="B537" s="19" t="str">
        <f>'Прайс лист'!C1161</f>
        <v>м.п.</v>
      </c>
      <c r="C537" s="229"/>
      <c r="D537" s="229">
        <f>'Прайс лист'!G1161</f>
        <v>200</v>
      </c>
      <c r="E537" s="229">
        <f t="shared" si="12"/>
        <v>0</v>
      </c>
      <c r="F537" s="1194"/>
      <c r="G537" s="2653"/>
      <c r="H537" s="2654"/>
      <c r="I537" s="2226"/>
      <c r="J537" s="275"/>
      <c r="K537" s="2267"/>
      <c r="L537" s="229"/>
      <c r="M537" s="1195"/>
      <c r="N537" s="1195"/>
      <c r="O537" s="1195"/>
      <c r="P537" s="1195"/>
      <c r="Q537" s="1195"/>
      <c r="R537" s="1195"/>
      <c r="S537" s="1195"/>
      <c r="T537" s="1195"/>
      <c r="U537" s="1195"/>
    </row>
    <row r="538" spans="1:21" ht="15" customHeight="1" outlineLevel="1">
      <c r="A538" s="19" t="str">
        <f>'Прайс лист'!B1162</f>
        <v>Гвозди для крепления подкладочного ковра</v>
      </c>
      <c r="B538" s="19" t="str">
        <f>'Прайс лист'!C1162</f>
        <v>шт</v>
      </c>
      <c r="C538" s="229">
        <f>C533*12</f>
        <v>0</v>
      </c>
      <c r="D538" s="229">
        <f>'Прайс лист'!G1162</f>
        <v>1.2E-2</v>
      </c>
      <c r="E538" s="229">
        <f t="shared" si="12"/>
        <v>0</v>
      </c>
      <c r="F538" s="1194"/>
      <c r="G538" s="2653"/>
      <c r="H538" s="2654"/>
      <c r="I538" s="2226"/>
      <c r="J538" s="275"/>
      <c r="K538" s="2267"/>
      <c r="L538" s="229"/>
      <c r="M538" s="1195"/>
      <c r="N538" s="1195"/>
      <c r="O538" s="1195"/>
      <c r="P538" s="1195"/>
      <c r="Q538" s="1195"/>
      <c r="R538" s="1195"/>
      <c r="S538" s="1195"/>
      <c r="T538" s="1195"/>
      <c r="U538" s="1195"/>
    </row>
    <row r="539" spans="1:21" ht="15" customHeight="1" outlineLevel="1">
      <c r="A539" s="19" t="str">
        <f>'Прайс лист'!B1163</f>
        <v>Гвозди для крепления черепицы</v>
      </c>
      <c r="B539" s="19" t="str">
        <f>'Прайс лист'!C1163</f>
        <v>шт</v>
      </c>
      <c r="C539" s="229">
        <f>C531*20</f>
        <v>0</v>
      </c>
      <c r="D539" s="229">
        <f>'Прайс лист'!G1163</f>
        <v>0.25</v>
      </c>
      <c r="E539" s="229">
        <f t="shared" si="12"/>
        <v>0</v>
      </c>
      <c r="F539" s="1194"/>
      <c r="G539" s="2653"/>
      <c r="H539" s="2654"/>
      <c r="I539" s="2226"/>
      <c r="J539" s="275"/>
      <c r="K539" s="2267"/>
      <c r="L539" s="229"/>
      <c r="M539" s="1195"/>
      <c r="N539" s="1195"/>
      <c r="O539" s="1195"/>
      <c r="P539" s="1195"/>
      <c r="Q539" s="1195"/>
      <c r="R539" s="1195"/>
      <c r="S539" s="1195"/>
      <c r="T539" s="1195"/>
      <c r="U539" s="1195"/>
    </row>
    <row r="540" spans="1:21" ht="15" customHeight="1" outlineLevel="1">
      <c r="A540" s="19" t="str">
        <f>'Прайс лист'!B1164</f>
        <v>Клей для монтажа черепицы</v>
      </c>
      <c r="B540" s="19" t="str">
        <f>'Прайс лист'!C1164</f>
        <v>кг</v>
      </c>
      <c r="C540" s="229">
        <f>C497*C496</f>
        <v>0</v>
      </c>
      <c r="D540" s="229">
        <f>'Прайс лист'!G1164</f>
        <v>250</v>
      </c>
      <c r="E540" s="229">
        <f t="shared" si="12"/>
        <v>0</v>
      </c>
      <c r="F540" s="1194"/>
      <c r="G540" s="2653"/>
      <c r="H540" s="2654"/>
      <c r="I540" s="2226"/>
      <c r="J540" s="275"/>
      <c r="K540" s="2267"/>
      <c r="L540" s="229"/>
      <c r="M540" s="1195"/>
      <c r="N540" s="1195"/>
      <c r="O540" s="1195"/>
      <c r="P540" s="1195"/>
      <c r="Q540" s="1195"/>
      <c r="R540" s="1195"/>
      <c r="S540" s="1195"/>
      <c r="T540" s="1195"/>
      <c r="U540" s="1195"/>
    </row>
    <row r="541" spans="1:21" ht="15" customHeight="1" outlineLevel="1">
      <c r="A541" s="229" t="str">
        <f>'Прайс лист'!B1176</f>
        <v>лента дельта мульти бэнд</v>
      </c>
      <c r="B541" s="229" t="s">
        <v>159</v>
      </c>
      <c r="C541" s="229">
        <f>C497/12*G492</f>
        <v>1.6695097190832</v>
      </c>
      <c r="D541" s="229">
        <f>'Прайс лист'!G1176</f>
        <v>1200</v>
      </c>
      <c r="E541" s="229">
        <f t="shared" si="12"/>
        <v>2003.4116628998399</v>
      </c>
      <c r="F541" s="1194"/>
      <c r="G541" s="3199"/>
      <c r="H541" s="3199"/>
      <c r="I541" s="2226"/>
      <c r="J541" s="2226"/>
      <c r="K541" s="2267"/>
      <c r="L541" s="229"/>
      <c r="M541" s="1195"/>
      <c r="N541" s="1195"/>
      <c r="O541" s="1195"/>
      <c r="P541" s="1195"/>
      <c r="Q541" s="1195"/>
      <c r="R541" s="1195"/>
      <c r="S541" s="1195"/>
      <c r="T541" s="1195"/>
      <c r="U541" s="1195"/>
    </row>
    <row r="542" spans="1:21" ht="15" customHeight="1" outlineLevel="1">
      <c r="A542" s="229" t="str">
        <f>'Прайс лист'!B1177</f>
        <v>лента дельта sb-60</v>
      </c>
      <c r="B542" s="229" t="s">
        <v>159</v>
      </c>
      <c r="C542" s="229">
        <f>C497/25*G492</f>
        <v>0.80136466515993598</v>
      </c>
      <c r="D542" s="229">
        <f>'Прайс лист'!G1177</f>
        <v>1100</v>
      </c>
      <c r="E542" s="229">
        <f t="shared" si="12"/>
        <v>881.50113167592963</v>
      </c>
      <c r="F542" s="1194"/>
      <c r="G542" s="3199"/>
      <c r="H542" s="3199"/>
      <c r="I542" s="2226"/>
      <c r="J542" s="2226"/>
      <c r="K542" s="2267"/>
      <c r="L542" s="229"/>
      <c r="M542" s="1195"/>
      <c r="N542" s="1195"/>
      <c r="O542" s="1195"/>
      <c r="P542" s="1195"/>
      <c r="Q542" s="1195"/>
      <c r="R542" s="1195"/>
      <c r="S542" s="1195"/>
      <c r="T542" s="1195"/>
      <c r="U542" s="1195"/>
    </row>
    <row r="543" spans="1:21" ht="15" customHeight="1" outlineLevel="1">
      <c r="A543" s="229" t="str">
        <f>'Прайс лист'!B1138</f>
        <v>Кровельный саморез</v>
      </c>
      <c r="B543" s="229" t="s">
        <v>159</v>
      </c>
      <c r="C543" s="229">
        <f>C497*12*(C494)*G492</f>
        <v>240.4093995479808</v>
      </c>
      <c r="D543" s="229">
        <f>'Прайс лист'!G1138</f>
        <v>2</v>
      </c>
      <c r="E543" s="229">
        <f t="shared" si="12"/>
        <v>480.81879909596159</v>
      </c>
      <c r="F543" s="1194"/>
      <c r="G543" s="3199"/>
      <c r="H543" s="3199"/>
      <c r="I543" s="2226"/>
      <c r="J543" s="2226"/>
      <c r="K543" s="2267"/>
      <c r="L543" s="229"/>
      <c r="M543" s="1195"/>
      <c r="N543" s="1195"/>
      <c r="O543" s="1195"/>
      <c r="P543" s="1195"/>
      <c r="Q543" s="1195"/>
      <c r="R543" s="1195"/>
      <c r="S543" s="1195"/>
      <c r="T543" s="1195"/>
      <c r="U543" s="1195"/>
    </row>
    <row r="544" spans="1:21" ht="15" customHeight="1" outlineLevel="1">
      <c r="A544" s="229" t="str">
        <f>'Прайс лист'!B897</f>
        <v xml:space="preserve">Гвозди ершоные 3,4 x 60            </v>
      </c>
      <c r="B544" s="229" t="s">
        <v>188</v>
      </c>
      <c r="C544" s="229">
        <f>C511*15*G492</f>
        <v>7.5918757751993953</v>
      </c>
      <c r="D544" s="229">
        <f>'Прайс лист'!G897</f>
        <v>75.510000000000005</v>
      </c>
      <c r="E544" s="229">
        <f t="shared" si="12"/>
        <v>573.26253978530633</v>
      </c>
      <c r="F544" s="1194"/>
      <c r="G544" s="3199"/>
      <c r="H544" s="3199"/>
      <c r="I544" s="2226"/>
      <c r="J544" s="2226"/>
      <c r="K544" s="2267"/>
      <c r="L544" s="229"/>
      <c r="M544" s="1195"/>
      <c r="N544" s="1195"/>
      <c r="O544" s="1195"/>
      <c r="P544" s="1195"/>
      <c r="Q544" s="1195"/>
      <c r="R544" s="1195"/>
      <c r="S544" s="1195"/>
      <c r="T544" s="1195"/>
      <c r="U544" s="1195"/>
    </row>
    <row r="545" spans="1:21" ht="15" customHeight="1" outlineLevel="1">
      <c r="A545" s="229" t="str">
        <f>'Прайс лист'!B898</f>
        <v xml:space="preserve">Гвозди ершоные 2,8 х 90            </v>
      </c>
      <c r="B545" s="229" t="s">
        <v>188</v>
      </c>
      <c r="C545" s="229">
        <f>(C508+C509+C510)*10*G492</f>
        <v>19.421423393098816</v>
      </c>
      <c r="D545" s="229">
        <f>'Прайс лист'!G898</f>
        <v>76.489999999999995</v>
      </c>
      <c r="E545" s="229">
        <f t="shared" si="12"/>
        <v>1485.5446753381284</v>
      </c>
      <c r="F545" s="1194"/>
      <c r="G545" s="3199"/>
      <c r="H545" s="3199"/>
      <c r="I545" s="2226"/>
      <c r="J545" s="2226"/>
      <c r="K545" s="2267"/>
      <c r="L545" s="229"/>
      <c r="M545" s="1195"/>
      <c r="N545" s="1195"/>
      <c r="O545" s="1195"/>
      <c r="P545" s="1195"/>
      <c r="Q545" s="1195"/>
      <c r="R545" s="1195"/>
      <c r="S545" s="1195"/>
      <c r="T545" s="1195"/>
      <c r="U545" s="1195"/>
    </row>
    <row r="546" spans="1:21" ht="15" customHeight="1" outlineLevel="1">
      <c r="A546" s="229" t="str">
        <f>'Прайс лист'!B846</f>
        <v xml:space="preserve">Пластина соеденительная 100х240х2           </v>
      </c>
      <c r="B546" s="229" t="s">
        <v>159</v>
      </c>
      <c r="C546" s="2262">
        <f>((C498/0.6)+1)*2*G492</f>
        <v>18</v>
      </c>
      <c r="D546" s="229">
        <f>'Прайс лист'!G846</f>
        <v>31.54</v>
      </c>
      <c r="E546" s="229">
        <f t="shared" si="12"/>
        <v>567.72</v>
      </c>
      <c r="F546" s="1194"/>
      <c r="G546" s="3199"/>
      <c r="H546" s="3199"/>
      <c r="I546" s="2226"/>
      <c r="J546" s="2226"/>
      <c r="K546" s="2267"/>
      <c r="L546" s="229"/>
      <c r="M546" s="1195"/>
      <c r="N546" s="1195"/>
      <c r="O546" s="1195"/>
      <c r="P546" s="1195"/>
      <c r="Q546" s="1195"/>
      <c r="R546" s="1195"/>
      <c r="S546" s="1195"/>
      <c r="T546" s="1195"/>
      <c r="U546" s="1195"/>
    </row>
    <row r="547" spans="1:21" ht="15" customHeight="1" outlineLevel="1">
      <c r="A547" s="229" t="str">
        <f>'Прайс лист'!B838</f>
        <v xml:space="preserve">Уголок усиленный 90х70х55х2,5        </v>
      </c>
      <c r="B547" s="229" t="s">
        <v>159</v>
      </c>
      <c r="C547" s="2262">
        <f>((C498/0.6)+1)*2*G492</f>
        <v>18</v>
      </c>
      <c r="D547" s="229">
        <f>'Прайс лист'!G838</f>
        <v>30</v>
      </c>
      <c r="E547" s="229">
        <f t="shared" si="12"/>
        <v>540</v>
      </c>
      <c r="F547" s="1194"/>
      <c r="G547" s="3199"/>
      <c r="H547" s="3199"/>
      <c r="I547" s="2226"/>
      <c r="J547" s="2226"/>
      <c r="K547" s="2267"/>
      <c r="L547" s="229"/>
      <c r="M547" s="1195"/>
      <c r="N547" s="1195"/>
      <c r="O547" s="1195"/>
      <c r="P547" s="1195"/>
      <c r="Q547" s="1195"/>
      <c r="R547" s="1195"/>
      <c r="S547" s="1195"/>
      <c r="T547" s="1195"/>
      <c r="U547" s="1195"/>
    </row>
    <row r="548" spans="1:21" ht="15" customHeight="1" outlineLevel="1">
      <c r="A548" s="229" t="str">
        <f>'Ввод данных'!A349</f>
        <v>Нет техники</v>
      </c>
      <c r="B548" s="229" t="str">
        <f>'Ввод данных'!B349</f>
        <v>ед.</v>
      </c>
      <c r="C548" s="229">
        <f>'Ввод данных'!C349</f>
        <v>4</v>
      </c>
      <c r="D548" s="229">
        <f>VLOOKUP(A548,'Прайс лист'!B180:G194,6,0)</f>
        <v>0</v>
      </c>
      <c r="E548" s="229">
        <f t="shared" si="12"/>
        <v>0</v>
      </c>
      <c r="F548" s="1194"/>
      <c r="G548" s="3199"/>
      <c r="H548" s="3199"/>
      <c r="I548" s="2226"/>
      <c r="J548" s="2226"/>
      <c r="K548" s="2267"/>
      <c r="L548" s="229"/>
      <c r="M548" s="1195"/>
      <c r="N548" s="1195"/>
      <c r="O548" s="1195"/>
      <c r="P548" s="1195"/>
      <c r="Q548" s="1195"/>
      <c r="R548" s="1195"/>
      <c r="S548" s="1195"/>
      <c r="T548" s="1195"/>
      <c r="U548" s="1195"/>
    </row>
    <row r="549" spans="1:21" ht="15" customHeight="1" outlineLevel="1">
      <c r="A549" s="229" t="str">
        <f>'Ввод данных'!A350</f>
        <v>Нет техники</v>
      </c>
      <c r="B549" s="229" t="str">
        <f>'Ввод данных'!B350</f>
        <v>ед.</v>
      </c>
      <c r="C549" s="229">
        <f>'Ввод данных'!C350</f>
        <v>0</v>
      </c>
      <c r="D549" s="229">
        <f>VLOOKUP(A549,'Прайс лист'!B180:G194,6,0)</f>
        <v>0</v>
      </c>
      <c r="E549" s="229">
        <f t="shared" si="12"/>
        <v>0</v>
      </c>
      <c r="F549" s="1194"/>
      <c r="G549" s="99"/>
      <c r="H549" s="99"/>
      <c r="I549" s="2226"/>
      <c r="J549" s="2226"/>
      <c r="K549" s="2267"/>
      <c r="L549" s="229"/>
      <c r="M549" s="1195"/>
      <c r="N549" s="1195"/>
      <c r="O549" s="1195"/>
      <c r="P549" s="1195"/>
      <c r="Q549" s="1195"/>
      <c r="R549" s="1195"/>
      <c r="S549" s="1195"/>
      <c r="T549" s="1195"/>
      <c r="U549" s="1195"/>
    </row>
    <row r="550" spans="1:21" ht="15" customHeight="1" outlineLevel="1">
      <c r="A550" s="229" t="str">
        <f>'Ввод данных'!A352</f>
        <v>расходные материалы элементы кровель</v>
      </c>
      <c r="B550" s="229" t="str">
        <f>'Ввод данных'!B352</f>
        <v>рублей</v>
      </c>
      <c r="C550" s="229">
        <f>1</f>
        <v>1</v>
      </c>
      <c r="D550" s="229">
        <f>'Ввод данных'!C352</f>
        <v>10000</v>
      </c>
      <c r="E550" s="229">
        <f t="shared" si="12"/>
        <v>10000</v>
      </c>
      <c r="F550" s="1194"/>
      <c r="G550" s="99"/>
      <c r="H550" s="99"/>
      <c r="I550" s="2226"/>
      <c r="J550" s="2226"/>
      <c r="K550" s="2267"/>
      <c r="L550" s="229"/>
      <c r="M550" s="1195"/>
      <c r="N550" s="1195"/>
      <c r="O550" s="1195"/>
      <c r="P550" s="1195"/>
      <c r="Q550" s="1195"/>
      <c r="R550" s="1195"/>
      <c r="S550" s="1195"/>
      <c r="T550" s="1195"/>
      <c r="U550" s="1195"/>
    </row>
    <row r="551" spans="1:21" ht="15" customHeight="1" outlineLevel="1">
      <c r="A551" s="1194"/>
      <c r="B551" s="1194"/>
      <c r="C551" s="1194"/>
      <c r="D551" s="1194"/>
      <c r="E551" s="1165">
        <f>SUM(E508:E548)</f>
        <v>59188.344503688786</v>
      </c>
      <c r="F551" s="1194"/>
      <c r="G551" s="1194"/>
      <c r="H551" s="1195"/>
      <c r="I551" s="1195"/>
      <c r="J551" s="1195"/>
      <c r="K551" s="2623"/>
      <c r="L551" s="2226">
        <f>SUM(L508:L548)</f>
        <v>28500.484640147759</v>
      </c>
      <c r="M551" s="1195"/>
      <c r="N551" s="1195"/>
      <c r="O551" s="1195"/>
      <c r="P551" s="1195"/>
      <c r="Q551" s="1195"/>
      <c r="R551" s="1195"/>
      <c r="S551" s="1195"/>
      <c r="T551" s="1195"/>
      <c r="U551" s="1195"/>
    </row>
    <row r="552" spans="1:21" ht="15" customHeight="1" outlineLevel="1">
      <c r="A552" s="229" t="s">
        <v>2726</v>
      </c>
      <c r="B552" s="2262">
        <f>E551</f>
        <v>59188.344503688786</v>
      </c>
      <c r="C552" s="1194"/>
      <c r="D552" s="1194"/>
      <c r="E552" s="1194"/>
      <c r="F552" s="1194"/>
      <c r="G552" s="1194"/>
      <c r="H552" s="1195"/>
      <c r="I552" s="1195"/>
      <c r="J552" s="1195"/>
      <c r="K552" s="2623"/>
      <c r="L552" s="1195"/>
      <c r="M552" s="1195"/>
      <c r="N552" s="1195"/>
      <c r="O552" s="1195"/>
      <c r="P552" s="1195"/>
      <c r="Q552" s="1195"/>
      <c r="R552" s="1195"/>
      <c r="S552" s="1195"/>
      <c r="T552" s="1195"/>
      <c r="U552" s="1195"/>
    </row>
    <row r="553" spans="1:21" ht="15" customHeight="1" outlineLevel="1">
      <c r="A553" s="229" t="s">
        <v>2727</v>
      </c>
      <c r="B553" s="2262">
        <f>L551</f>
        <v>28500.484640147759</v>
      </c>
      <c r="C553" s="1194"/>
      <c r="D553" s="1194"/>
      <c r="E553" s="1194"/>
      <c r="F553" s="1194"/>
      <c r="G553" s="1194"/>
      <c r="H553" s="1195"/>
      <c r="I553" s="1195"/>
      <c r="J553" s="1195"/>
      <c r="K553" s="2623"/>
      <c r="L553" s="1195"/>
      <c r="M553" s="1195"/>
      <c r="N553" s="1195"/>
      <c r="O553" s="1195"/>
      <c r="P553" s="1195"/>
      <c r="Q553" s="1195"/>
      <c r="R553" s="1195"/>
      <c r="S553" s="1195"/>
      <c r="T553" s="1195"/>
      <c r="U553" s="1195"/>
    </row>
    <row r="554" spans="1:21" ht="15" customHeight="1" outlineLevel="1">
      <c r="A554" s="229" t="s">
        <v>2728</v>
      </c>
      <c r="B554" s="2262">
        <f>SUM(B552:B553)</f>
        <v>87688.829143836541</v>
      </c>
      <c r="C554" s="1194"/>
      <c r="D554" s="1194"/>
      <c r="E554" s="1194"/>
      <c r="F554" s="1194"/>
      <c r="G554" s="1194"/>
      <c r="H554" s="1195"/>
      <c r="I554" s="1195"/>
      <c r="J554" s="1195"/>
      <c r="K554" s="2623"/>
      <c r="L554" s="1195"/>
      <c r="M554" s="1195"/>
      <c r="N554" s="1195"/>
      <c r="O554" s="1195"/>
      <c r="P554" s="1195"/>
      <c r="Q554" s="1195"/>
      <c r="R554" s="1195"/>
      <c r="S554" s="1195"/>
      <c r="T554" s="1195"/>
      <c r="U554" s="1195"/>
    </row>
    <row r="555" spans="1:21" ht="15" customHeight="1">
      <c r="A555" s="2228" t="s">
        <v>4157</v>
      </c>
      <c r="B555" s="2287"/>
      <c r="C555" s="1194"/>
      <c r="D555" s="1194"/>
      <c r="E555" s="1194"/>
      <c r="F555" s="1194"/>
      <c r="G555" s="1194"/>
      <c r="H555" s="1195"/>
      <c r="I555" s="1195"/>
      <c r="J555" s="1195"/>
      <c r="K555" s="2623"/>
      <c r="L555" s="1195"/>
      <c r="M555" s="1195"/>
      <c r="N555" s="1195"/>
      <c r="O555" s="1195"/>
      <c r="P555" s="1195"/>
      <c r="Q555" s="1195"/>
      <c r="R555" s="1195"/>
      <c r="S555" s="1195"/>
      <c r="T555" s="1195"/>
      <c r="U555" s="1195"/>
    </row>
    <row r="556" spans="1:21" ht="15" customHeight="1">
      <c r="A556" s="2263"/>
      <c r="B556" s="1195"/>
      <c r="C556" s="2257"/>
      <c r="D556" s="2257"/>
      <c r="E556" s="1195"/>
      <c r="F556" s="2257"/>
      <c r="G556" s="2257"/>
      <c r="H556" s="1195"/>
      <c r="I556" s="1195"/>
      <c r="J556" s="1195"/>
      <c r="K556" s="2623"/>
      <c r="L556" s="1195"/>
      <c r="M556" s="1195"/>
      <c r="N556" s="1195"/>
      <c r="O556" s="1195"/>
      <c r="P556" s="1195"/>
      <c r="Q556" s="1195"/>
      <c r="R556" s="1195"/>
      <c r="S556" s="1195"/>
      <c r="T556" s="1195"/>
      <c r="U556" s="1195"/>
    </row>
    <row r="557" spans="1:21" ht="15" customHeight="1" outlineLevel="1">
      <c r="A557" s="3144" t="s">
        <v>4160</v>
      </c>
      <c r="B557" s="3144"/>
      <c r="C557" s="3144"/>
      <c r="D557" s="3144"/>
      <c r="E557" s="3144"/>
      <c r="F557" s="3144"/>
      <c r="G557" s="3144"/>
      <c r="H557" s="3144"/>
      <c r="I557" s="3144"/>
      <c r="J557" s="3144"/>
      <c r="K557" s="3144"/>
      <c r="L557" s="3144"/>
      <c r="M557" s="1195"/>
      <c r="N557" s="1195"/>
      <c r="O557" s="1195"/>
      <c r="P557" s="1195"/>
      <c r="Q557" s="1195"/>
      <c r="R557" s="1195"/>
      <c r="S557" s="1195"/>
      <c r="T557" s="1195"/>
      <c r="U557" s="1195"/>
    </row>
    <row r="558" spans="1:21" ht="15" customHeight="1" outlineLevel="1">
      <c r="A558" s="3146" t="s">
        <v>1806</v>
      </c>
      <c r="B558" s="3146"/>
      <c r="C558" s="3146"/>
      <c r="D558" s="3146"/>
      <c r="E558" s="3146"/>
      <c r="F558" s="3146"/>
      <c r="G558" s="2647">
        <f>'Ввод данных'!E420</f>
        <v>1.1499999999999999</v>
      </c>
      <c r="H558" s="1138">
        <f>'Ввод данных'!E421</f>
        <v>1</v>
      </c>
      <c r="I558" s="1138"/>
      <c r="J558" s="1138"/>
      <c r="K558" s="1138"/>
      <c r="L558" s="1138"/>
      <c r="M558" s="1195"/>
      <c r="N558" s="1195"/>
      <c r="O558" s="1195"/>
      <c r="P558" s="1195"/>
      <c r="Q558" s="1195"/>
      <c r="R558" s="1195"/>
      <c r="S558" s="1195"/>
      <c r="T558" s="1195"/>
      <c r="U558" s="1195"/>
    </row>
    <row r="559" spans="1:21" ht="15" customHeight="1" outlineLevel="1">
      <c r="A559" s="2612" t="s">
        <v>2705</v>
      </c>
      <c r="B559" s="2613" t="s">
        <v>156</v>
      </c>
      <c r="C559" s="2613">
        <f>дома!D1229*(дома!C1275+дома!C1245)</f>
        <v>0</v>
      </c>
      <c r="D559" s="2614">
        <v>1</v>
      </c>
      <c r="E559" s="2615"/>
      <c r="F559" s="2615"/>
      <c r="G559" s="2615"/>
      <c r="H559" s="1138"/>
      <c r="I559" s="1138"/>
      <c r="J559" s="1138"/>
      <c r="K559" s="1138"/>
      <c r="L559" s="1138"/>
      <c r="M559" s="1195"/>
      <c r="N559" s="1195"/>
      <c r="O559" s="1195"/>
      <c r="P559" s="1195"/>
      <c r="Q559" s="1195"/>
      <c r="R559" s="1195"/>
      <c r="S559" s="1195"/>
      <c r="T559" s="1195"/>
      <c r="U559" s="1195"/>
    </row>
    <row r="560" spans="1:21" ht="15" customHeight="1" outlineLevel="1">
      <c r="A560" s="2612" t="s">
        <v>3829</v>
      </c>
      <c r="B560" s="2613" t="s">
        <v>156</v>
      </c>
      <c r="C560" s="2613">
        <v>0.05</v>
      </c>
      <c r="D560" s="2616"/>
      <c r="E560" s="2615"/>
      <c r="F560" s="2615"/>
      <c r="G560" s="2615"/>
      <c r="H560" s="1138"/>
      <c r="I560" s="1138"/>
      <c r="J560" s="1138"/>
      <c r="K560" s="1138"/>
      <c r="L560" s="1138"/>
      <c r="M560" s="1195"/>
      <c r="N560" s="1195"/>
      <c r="O560" s="1195"/>
      <c r="P560" s="1195"/>
      <c r="Q560" s="1195"/>
      <c r="R560" s="1195"/>
      <c r="S560" s="1195"/>
      <c r="T560" s="1195"/>
      <c r="U560" s="1195"/>
    </row>
    <row r="561" spans="1:21" ht="15" customHeight="1" outlineLevel="1">
      <c r="A561" s="2612" t="s">
        <v>3830</v>
      </c>
      <c r="B561" s="2613" t="s">
        <v>156</v>
      </c>
      <c r="C561" s="2613">
        <v>0.15</v>
      </c>
      <c r="D561" s="2616"/>
      <c r="E561" s="2615"/>
      <c r="F561" s="2615"/>
      <c r="G561" s="2615"/>
      <c r="H561" s="1138"/>
      <c r="I561" s="1138"/>
      <c r="J561" s="1138"/>
      <c r="K561" s="1138"/>
      <c r="L561" s="1138"/>
      <c r="M561" s="1195"/>
      <c r="N561" s="1195"/>
      <c r="O561" s="1195"/>
      <c r="P561" s="1195"/>
      <c r="Q561" s="1195"/>
      <c r="R561" s="1195"/>
      <c r="S561" s="1195"/>
      <c r="T561" s="1195"/>
      <c r="U561" s="1195"/>
    </row>
    <row r="562" spans="1:21" ht="15" customHeight="1" outlineLevel="1">
      <c r="A562" s="263" t="s">
        <v>3831</v>
      </c>
      <c r="B562" s="1165" t="s">
        <v>159</v>
      </c>
      <c r="C562" s="2617">
        <f>IF('Ввод данных'!A436=связи1!A6,1,0)</f>
        <v>1</v>
      </c>
      <c r="D562" s="2618"/>
      <c r="E562" s="2619"/>
      <c r="F562" s="2619"/>
      <c r="G562" s="2228"/>
      <c r="H562" s="2228"/>
      <c r="I562" s="2234"/>
      <c r="J562" s="2228"/>
      <c r="K562" s="2268"/>
      <c r="L562" s="2228"/>
      <c r="M562" s="1195"/>
      <c r="N562" s="1195"/>
      <c r="O562" s="1195"/>
      <c r="P562" s="1195"/>
      <c r="Q562" s="1195"/>
      <c r="R562" s="1195"/>
      <c r="S562" s="1195"/>
      <c r="T562" s="1195"/>
      <c r="U562" s="1195"/>
    </row>
    <row r="563" spans="1:21" ht="15" customHeight="1" outlineLevel="1">
      <c r="A563" s="2620" t="s">
        <v>3832</v>
      </c>
      <c r="B563" s="229" t="s">
        <v>159</v>
      </c>
      <c r="C563" s="2617">
        <f>IF('Ввод данных'!A436=связи1!A7,1,0)</f>
        <v>0</v>
      </c>
      <c r="D563" s="2618"/>
      <c r="E563" s="2619"/>
      <c r="F563" s="2619"/>
      <c r="G563" s="2228"/>
      <c r="H563" s="2228"/>
      <c r="I563" s="2234"/>
      <c r="J563" s="2228"/>
      <c r="K563" s="2268"/>
      <c r="L563" s="2228"/>
      <c r="M563" s="1195"/>
      <c r="N563" s="1195"/>
      <c r="O563" s="1195"/>
      <c r="P563" s="1195"/>
      <c r="Q563" s="1195"/>
      <c r="R563" s="1195"/>
      <c r="S563" s="1195"/>
      <c r="T563" s="1195"/>
      <c r="U563" s="1195"/>
    </row>
    <row r="564" spans="1:21" ht="15" customHeight="1" outlineLevel="1">
      <c r="A564" s="2620" t="s">
        <v>3833</v>
      </c>
      <c r="B564" s="229" t="s">
        <v>159</v>
      </c>
      <c r="C564" s="2617">
        <f>IF('Ввод данных'!A436=связи1!A8,1,0)</f>
        <v>0</v>
      </c>
      <c r="D564" s="2618"/>
      <c r="E564" s="1161" t="e">
        <f>дома!#REF!</f>
        <v>#REF!</v>
      </c>
      <c r="F564" s="2619"/>
      <c r="G564" s="2228"/>
      <c r="H564" s="2228"/>
      <c r="I564" s="2234"/>
      <c r="J564" s="2228"/>
      <c r="K564" s="2268"/>
      <c r="L564" s="2228"/>
      <c r="M564" s="1195"/>
      <c r="N564" s="1195"/>
      <c r="O564" s="1195"/>
      <c r="P564" s="1195"/>
      <c r="Q564" s="1195"/>
      <c r="R564" s="1195"/>
      <c r="S564" s="1195"/>
      <c r="T564" s="1195"/>
      <c r="U564" s="1195"/>
    </row>
    <row r="565" spans="1:21" ht="15" customHeight="1" outlineLevel="1">
      <c r="A565" s="229" t="s">
        <v>2623</v>
      </c>
      <c r="B565" s="229" t="s">
        <v>133</v>
      </c>
      <c r="C565" s="229">
        <f>дома!D1229*дома!C1285</f>
        <v>0</v>
      </c>
      <c r="D565" s="2619"/>
      <c r="E565" s="1161" t="e">
        <f>дома!#REF!</f>
        <v>#REF!</v>
      </c>
      <c r="F565" s="2619"/>
      <c r="G565" s="2228"/>
      <c r="H565" s="2228"/>
      <c r="I565" s="2234"/>
      <c r="J565" s="2228"/>
      <c r="K565" s="2268"/>
      <c r="L565" s="2228"/>
      <c r="M565" s="1195"/>
      <c r="N565" s="1195"/>
      <c r="O565" s="1195"/>
      <c r="P565" s="1195"/>
      <c r="Q565" s="1195"/>
      <c r="R565" s="1195"/>
      <c r="S565" s="1195"/>
      <c r="T565" s="1195"/>
      <c r="U565" s="1195"/>
    </row>
    <row r="566" spans="1:21" ht="15" customHeight="1" outlineLevel="1">
      <c r="A566" s="229" t="s">
        <v>2714</v>
      </c>
      <c r="B566" s="229" t="s">
        <v>133</v>
      </c>
      <c r="C566" s="229">
        <v>0</v>
      </c>
      <c r="D566" s="2619"/>
      <c r="E566" s="2619"/>
      <c r="F566" s="2619"/>
      <c r="G566" s="2228"/>
      <c r="H566" s="2228"/>
      <c r="I566" s="2234"/>
      <c r="J566" s="2228"/>
      <c r="K566" s="2268"/>
      <c r="L566" s="2228"/>
      <c r="M566" s="1195"/>
      <c r="N566" s="1195"/>
      <c r="O566" s="1195"/>
      <c r="P566" s="1195"/>
      <c r="Q566" s="1195"/>
      <c r="R566" s="1195"/>
      <c r="S566" s="1195"/>
      <c r="T566" s="1195"/>
      <c r="U566" s="1195"/>
    </row>
    <row r="567" spans="1:21" ht="15" customHeight="1" outlineLevel="1">
      <c r="A567" s="229" t="s">
        <v>4161</v>
      </c>
      <c r="B567" s="229" t="s">
        <v>133</v>
      </c>
      <c r="C567" s="229">
        <f>((дома!D1268*2+дома!D1269*2+дома!D1270*2+дома!C1275*1.5+дома!C1245+дома!C1245/0.5*дома!C1238)*дома!D1229)</f>
        <v>0</v>
      </c>
      <c r="D567" s="2619"/>
      <c r="E567" s="2619"/>
      <c r="F567" s="2619"/>
      <c r="G567" s="2228"/>
      <c r="H567" s="2228"/>
      <c r="I567" s="2234"/>
      <c r="J567" s="2228"/>
      <c r="K567" s="2268"/>
      <c r="L567" s="2228"/>
      <c r="M567" s="1195"/>
      <c r="N567" s="1195"/>
      <c r="O567" s="1195"/>
      <c r="P567" s="1195"/>
      <c r="Q567" s="1195"/>
      <c r="R567" s="1195"/>
      <c r="S567" s="1195"/>
      <c r="T567" s="1195"/>
      <c r="U567" s="1195"/>
    </row>
    <row r="568" spans="1:21" ht="15" customHeight="1" outlineLevel="1">
      <c r="A568" s="229" t="s">
        <v>2716</v>
      </c>
      <c r="B568" s="229" t="s">
        <v>156</v>
      </c>
      <c r="C568" s="229">
        <f>дома!D1229*дома!C1275*2.1</f>
        <v>0</v>
      </c>
      <c r="D568" s="2619"/>
      <c r="E568" s="2619"/>
      <c r="F568" s="2619"/>
      <c r="G568" s="2228"/>
      <c r="H568" s="2228"/>
      <c r="I568" s="2234"/>
      <c r="J568" s="2228"/>
      <c r="K568" s="2268"/>
      <c r="L568" s="2228"/>
      <c r="M568" s="1195"/>
      <c r="N568" s="1195"/>
      <c r="O568" s="1195"/>
      <c r="P568" s="1195"/>
      <c r="Q568" s="1195"/>
      <c r="R568" s="1195"/>
      <c r="S568" s="1195"/>
      <c r="T568" s="1195"/>
      <c r="U568" s="1195"/>
    </row>
    <row r="569" spans="1:21" ht="15" customHeight="1" outlineLevel="1">
      <c r="A569" s="229" t="s">
        <v>4158</v>
      </c>
      <c r="B569" s="229" t="s">
        <v>156</v>
      </c>
      <c r="C569" s="1172">
        <f>D569</f>
        <v>0</v>
      </c>
      <c r="D569" s="2619">
        <f>дома!D1229*дома!C1281</f>
        <v>0</v>
      </c>
      <c r="E569" s="2619"/>
      <c r="F569" s="2619"/>
      <c r="G569" s="2228"/>
      <c r="H569" s="2228"/>
      <c r="I569" s="2234"/>
      <c r="J569" s="2228"/>
      <c r="K569" s="2268"/>
      <c r="L569" s="2228"/>
      <c r="M569" s="1195"/>
      <c r="N569" s="1195"/>
      <c r="O569" s="1195"/>
      <c r="P569" s="1195"/>
      <c r="Q569" s="1195"/>
      <c r="R569" s="1195"/>
      <c r="S569" s="1195"/>
      <c r="T569" s="1195"/>
      <c r="U569" s="1195"/>
    </row>
    <row r="570" spans="1:21" ht="15" customHeight="1" outlineLevel="1">
      <c r="A570" s="259" t="s">
        <v>4159</v>
      </c>
      <c r="B570" s="259" t="s">
        <v>156</v>
      </c>
      <c r="C570" s="1172">
        <f>дома!C1280*дома!D1229</f>
        <v>0</v>
      </c>
      <c r="D570" s="2619"/>
      <c r="E570" s="2619"/>
      <c r="F570" s="2619"/>
      <c r="G570" s="2228"/>
      <c r="H570" s="2228"/>
      <c r="I570" s="2234"/>
      <c r="J570" s="2228"/>
      <c r="K570" s="2268"/>
      <c r="L570" s="2228"/>
      <c r="M570" s="1195"/>
      <c r="N570" s="1195"/>
      <c r="O570" s="1195"/>
      <c r="P570" s="1195"/>
      <c r="Q570" s="1195"/>
      <c r="R570" s="1195"/>
      <c r="S570" s="1195"/>
      <c r="T570" s="1195"/>
      <c r="U570" s="1195"/>
    </row>
    <row r="571" spans="1:21" ht="15" customHeight="1" outlineLevel="1">
      <c r="A571" s="2265" t="s">
        <v>1089</v>
      </c>
      <c r="B571" s="259" t="s">
        <v>159</v>
      </c>
      <c r="C571" s="1172">
        <v>0</v>
      </c>
      <c r="D571" s="2619"/>
      <c r="E571" s="2619"/>
      <c r="F571" s="2619"/>
      <c r="G571" s="2228"/>
      <c r="H571" s="2228"/>
      <c r="I571" s="2234"/>
      <c r="J571" s="2228"/>
      <c r="K571" s="2268"/>
      <c r="L571" s="2228"/>
      <c r="M571" s="1195"/>
      <c r="N571" s="1195"/>
      <c r="O571" s="1195"/>
      <c r="P571" s="1195"/>
      <c r="Q571" s="1195"/>
      <c r="R571" s="1195"/>
      <c r="S571" s="1195"/>
      <c r="T571" s="1195"/>
      <c r="U571" s="1195"/>
    </row>
    <row r="572" spans="1:21" ht="15" customHeight="1" outlineLevel="1">
      <c r="A572" s="2265" t="s">
        <v>1090</v>
      </c>
      <c r="B572" s="259" t="s">
        <v>159</v>
      </c>
      <c r="C572" s="1172">
        <v>0</v>
      </c>
      <c r="D572" s="2619"/>
      <c r="E572" s="2619"/>
      <c r="F572" s="2619"/>
      <c r="G572" s="2228"/>
      <c r="H572" s="2228"/>
      <c r="I572" s="2234"/>
      <c r="J572" s="2228"/>
      <c r="K572" s="2268"/>
      <c r="L572" s="2228"/>
      <c r="M572" s="1195"/>
      <c r="N572" s="1195"/>
      <c r="O572" s="1195"/>
      <c r="P572" s="1195"/>
      <c r="Q572" s="1195"/>
      <c r="R572" s="1195"/>
      <c r="S572" s="1195"/>
      <c r="T572" s="1195"/>
      <c r="U572" s="1195"/>
    </row>
    <row r="573" spans="1:21" ht="15" customHeight="1" outlineLevel="1">
      <c r="A573" s="2265" t="s">
        <v>1091</v>
      </c>
      <c r="B573" s="259" t="s">
        <v>159</v>
      </c>
      <c r="C573" s="1172">
        <v>0</v>
      </c>
      <c r="D573" s="2619"/>
      <c r="E573" s="2619"/>
      <c r="F573" s="2286">
        <v>1</v>
      </c>
      <c r="G573" s="2228"/>
      <c r="H573" s="2228"/>
      <c r="I573" s="2234"/>
      <c r="J573" s="2228"/>
      <c r="K573" s="2268"/>
      <c r="L573" s="2228"/>
      <c r="M573" s="1195"/>
      <c r="N573" s="1195"/>
      <c r="O573" s="1195"/>
      <c r="P573" s="1195"/>
      <c r="Q573" s="1195"/>
      <c r="R573" s="1195"/>
      <c r="S573" s="1195"/>
      <c r="T573" s="1195"/>
      <c r="U573" s="1195"/>
    </row>
    <row r="574" spans="1:21" ht="15" customHeight="1" outlineLevel="1">
      <c r="A574" s="2266" t="s">
        <v>2720</v>
      </c>
      <c r="B574" s="2266" t="s">
        <v>1094</v>
      </c>
      <c r="C574" s="2266" t="s">
        <v>1802</v>
      </c>
      <c r="D574" s="2266" t="s">
        <v>2721</v>
      </c>
      <c r="E574" s="2266" t="s">
        <v>2722</v>
      </c>
      <c r="F574" s="1194">
        <v>1</v>
      </c>
      <c r="G574" s="3206" t="s">
        <v>1409</v>
      </c>
      <c r="H574" s="3206"/>
      <c r="I574" s="2266" t="s">
        <v>1094</v>
      </c>
      <c r="J574" s="2266" t="s">
        <v>1802</v>
      </c>
      <c r="K574" s="2621" t="s">
        <v>1601</v>
      </c>
      <c r="L574" s="2266" t="s">
        <v>2722</v>
      </c>
      <c r="M574" s="1195"/>
      <c r="N574" s="1195"/>
      <c r="O574" s="1195"/>
      <c r="P574" s="1195"/>
      <c r="Q574" s="1195"/>
      <c r="R574" s="1195"/>
      <c r="S574" s="1195"/>
      <c r="T574" s="1195"/>
      <c r="U574" s="1195"/>
    </row>
    <row r="575" spans="1:21" ht="15" customHeight="1" outlineLevel="1">
      <c r="A575" s="229" t="str">
        <f>'Ввод данных'!A438</f>
        <v>Брус естественной влажности, 100*100мм</v>
      </c>
      <c r="B575" s="229" t="s">
        <v>135</v>
      </c>
      <c r="C575" s="229">
        <f>C559*D559*G558*VLOOKUP(A575,связи1!F203:H213,3,0)</f>
        <v>0</v>
      </c>
      <c r="D575" s="229">
        <f>VLOOKUP(A575,связи1!F203:H213,2,0)</f>
        <v>6500</v>
      </c>
      <c r="E575" s="229">
        <f t="shared" ref="E575:E606" si="14">C575*D575</f>
        <v>0</v>
      </c>
      <c r="F575" s="1194"/>
      <c r="G575" s="2260"/>
      <c r="H575" s="2261"/>
      <c r="I575" s="229"/>
      <c r="J575" s="229"/>
      <c r="K575" s="2267"/>
      <c r="L575" s="229"/>
      <c r="M575" s="1195"/>
      <c r="N575" s="1195"/>
      <c r="O575" s="1195"/>
      <c r="P575" s="1195"/>
      <c r="Q575" s="1195"/>
      <c r="R575" s="1195"/>
      <c r="S575" s="1195"/>
      <c r="T575" s="1195"/>
      <c r="U575" s="1195"/>
    </row>
    <row r="576" spans="1:21" ht="15" customHeight="1" outlineLevel="1">
      <c r="A576" s="229" t="str">
        <f>'Прайс лист'!B864</f>
        <v xml:space="preserve">Болты анкерные с гайкой 12,0 х 280          </v>
      </c>
      <c r="B576" s="229" t="s">
        <v>159</v>
      </c>
      <c r="C576" s="2262">
        <f>C559*D559*1*G558</f>
        <v>0</v>
      </c>
      <c r="D576" s="229">
        <f>'Прайс лист'!G864</f>
        <v>27.1</v>
      </c>
      <c r="E576" s="229">
        <f t="shared" si="14"/>
        <v>0</v>
      </c>
      <c r="F576" s="1194"/>
      <c r="G576" s="2284" t="str">
        <f>'Прайс лист'!B1735</f>
        <v>монтаж мауэрлат</v>
      </c>
      <c r="H576" s="2285"/>
      <c r="I576" s="229" t="s">
        <v>156</v>
      </c>
      <c r="J576" s="229">
        <f>C559*D559*H558</f>
        <v>0</v>
      </c>
      <c r="K576" s="2267">
        <f>'Прайс лист'!G1735</f>
        <v>250</v>
      </c>
      <c r="L576" s="229">
        <f t="shared" ref="L576:L590" si="15">J576*K576</f>
        <v>0</v>
      </c>
      <c r="M576" s="1195"/>
      <c r="N576" s="1195"/>
      <c r="O576" s="1195"/>
      <c r="P576" s="1195"/>
      <c r="Q576" s="1195"/>
      <c r="R576" s="1195"/>
      <c r="S576" s="1195"/>
      <c r="T576" s="1195"/>
      <c r="U576" s="1195"/>
    </row>
    <row r="577" spans="1:21" ht="15" customHeight="1" outlineLevel="1">
      <c r="A577" s="229" t="str">
        <f>'Ввод данных'!A440</f>
        <v>Доска сухая, 200*50мм</v>
      </c>
      <c r="B577" s="229" t="s">
        <v>135</v>
      </c>
      <c r="C577" s="229">
        <f>(C567)*G558*VLOOKUP(A577,связи1!A407:E416,5,0)*1.4</f>
        <v>0</v>
      </c>
      <c r="D577" s="229">
        <f>VLOOKUP(A577,связи1!A407:E416,2,0)</f>
        <v>9000</v>
      </c>
      <c r="E577" s="229">
        <f t="shared" si="14"/>
        <v>0</v>
      </c>
      <c r="F577" s="1194"/>
      <c r="G577" s="2284" t="str">
        <f>'Прайс лист'!B1736</f>
        <v>монтаж стропил</v>
      </c>
      <c r="H577" s="2285"/>
      <c r="I577" s="229" t="s">
        <v>133</v>
      </c>
      <c r="J577" s="229">
        <f>C565*(C562+C563+C564)*H558*IF(A577=связи1!A407,0,1)</f>
        <v>0</v>
      </c>
      <c r="K577" s="2267">
        <f>'Прайс лист'!G1736</f>
        <v>450</v>
      </c>
      <c r="L577" s="229">
        <f t="shared" si="15"/>
        <v>0</v>
      </c>
      <c r="M577" s="1195"/>
      <c r="N577" s="1195"/>
      <c r="O577" s="1195"/>
      <c r="P577" s="1195"/>
      <c r="Q577" s="1195"/>
      <c r="R577" s="1195"/>
      <c r="S577" s="1195"/>
      <c r="T577" s="1195"/>
      <c r="U577" s="1195"/>
    </row>
    <row r="578" spans="1:21" ht="15" customHeight="1" outlineLevel="1">
      <c r="A578" s="229" t="str">
        <f>'Ввод данных'!A442</f>
        <v>Сосна влаж,100*25мм</v>
      </c>
      <c r="B578" s="229" t="s">
        <v>135</v>
      </c>
      <c r="C578" s="229">
        <f>C565*3.5*VLOOKUP(A578,связи1!A432:F440,5,0)*G558*F574*F573</f>
        <v>0</v>
      </c>
      <c r="D578" s="229">
        <f>VLOOKUP(A578,связи1!A432:F440,6,0)</f>
        <v>6500</v>
      </c>
      <c r="E578" s="229">
        <f t="shared" si="14"/>
        <v>0</v>
      </c>
      <c r="F578" s="1194"/>
      <c r="G578" s="2284" t="str">
        <f>'Прайс лист'!B1737</f>
        <v>обрешетка</v>
      </c>
      <c r="H578" s="2285"/>
      <c r="I578" s="229" t="s">
        <v>133</v>
      </c>
      <c r="J578" s="229">
        <f>C565*(C562+C563+C564)*H558*IF(A578=связи1!A432,0,1)</f>
        <v>0</v>
      </c>
      <c r="K578" s="2267">
        <f>'Прайс лист'!G1737</f>
        <v>100</v>
      </c>
      <c r="L578" s="229">
        <f t="shared" si="15"/>
        <v>0</v>
      </c>
      <c r="M578" s="1195"/>
      <c r="N578" s="1195"/>
      <c r="O578" s="1195"/>
      <c r="P578" s="1195"/>
      <c r="Q578" s="1195"/>
      <c r="R578" s="1195"/>
      <c r="S578" s="1195"/>
      <c r="T578" s="1195"/>
      <c r="U578" s="1195"/>
    </row>
    <row r="579" spans="1:21" ht="15" customHeight="1" outlineLevel="1">
      <c r="A579" s="229" t="str">
        <f>'Ввод данных'!A444</f>
        <v>Доска сухая, калибр., 35*45мм</v>
      </c>
      <c r="B579" s="229" t="s">
        <v>159</v>
      </c>
      <c r="C579" s="229">
        <f>C565*1.7*VLOOKUP(A579,связи1!A418:E421,5,0)*G558*F574*F573</f>
        <v>0</v>
      </c>
      <c r="D579" s="229">
        <f>VLOOKUP(A579,связи1!A418:D421,2,0)</f>
        <v>12500</v>
      </c>
      <c r="E579" s="229">
        <f t="shared" si="14"/>
        <v>0</v>
      </c>
      <c r="F579" s="1194"/>
      <c r="G579" s="2284" t="str">
        <f>'Прайс лист'!B1738</f>
        <v>контробеш</v>
      </c>
      <c r="H579" s="2285"/>
      <c r="I579" s="229" t="s">
        <v>133</v>
      </c>
      <c r="J579" s="229">
        <f>C565*(C562+C563+C564)*H558*IF(A579=связи1!A418,0,1)</f>
        <v>0</v>
      </c>
      <c r="K579" s="2267">
        <f>'Прайс лист'!G1738</f>
        <v>100</v>
      </c>
      <c r="L579" s="229">
        <f t="shared" si="15"/>
        <v>0</v>
      </c>
      <c r="M579" s="1195"/>
      <c r="N579" s="1195"/>
      <c r="O579" s="1195"/>
      <c r="P579" s="1195"/>
      <c r="Q579" s="1195"/>
      <c r="R579" s="1195"/>
      <c r="S579" s="1195"/>
      <c r="T579" s="1195"/>
      <c r="U579" s="1195"/>
    </row>
    <row r="580" spans="1:21" ht="15" customHeight="1" outlineLevel="1">
      <c r="A580" s="229" t="str">
        <f>'Ввод данных'!A450</f>
        <v>нет ветроизоляции</v>
      </c>
      <c r="B580" s="229" t="s">
        <v>133</v>
      </c>
      <c r="C580" s="229">
        <f>C565*1.3*G558*F574*F573</f>
        <v>0</v>
      </c>
      <c r="D580" s="229">
        <f>VLOOKUP(A580,'Прайс лист'!B793:G819,6,0)</f>
        <v>0</v>
      </c>
      <c r="E580" s="229">
        <f t="shared" si="14"/>
        <v>0</v>
      </c>
      <c r="F580" s="1194"/>
      <c r="G580" s="2284" t="str">
        <f>'Прайс лист'!B1739</f>
        <v>мембрана</v>
      </c>
      <c r="H580" s="2285"/>
      <c r="I580" s="229" t="s">
        <v>133</v>
      </c>
      <c r="J580" s="229">
        <f>C565*(C562+C563+C564)*H558*IF(A580='Прайс лист'!B793,0,1)</f>
        <v>0</v>
      </c>
      <c r="K580" s="2267">
        <f>'Прайс лист'!G1739</f>
        <v>100</v>
      </c>
      <c r="L580" s="229">
        <f t="shared" si="15"/>
        <v>0</v>
      </c>
      <c r="M580" s="1195"/>
      <c r="N580" s="1195"/>
      <c r="O580" s="1195"/>
      <c r="P580" s="1195"/>
      <c r="Q580" s="1195"/>
      <c r="R580" s="1195"/>
      <c r="S580" s="1195"/>
      <c r="T580" s="1195"/>
      <c r="U580" s="1195"/>
    </row>
    <row r="581" spans="1:21" ht="15" customHeight="1" outlineLevel="1">
      <c r="A581" s="229" t="str">
        <f>'Ввод данных'!A452</f>
        <v>нет пароизоляции</v>
      </c>
      <c r="B581" s="229" t="s">
        <v>133</v>
      </c>
      <c r="C581" s="229">
        <f>C580*G558*F574*F573</f>
        <v>0</v>
      </c>
      <c r="D581" s="229">
        <f>VLOOKUP(A581,'Прайс лист'!B820:G831,6,0)</f>
        <v>0</v>
      </c>
      <c r="E581" s="229">
        <f t="shared" si="14"/>
        <v>0</v>
      </c>
      <c r="F581" s="1194"/>
      <c r="G581" s="2284" t="str">
        <f>'Прайс лист'!B1740</f>
        <v>пароизоляц</v>
      </c>
      <c r="H581" s="2285"/>
      <c r="I581" s="229" t="s">
        <v>133</v>
      </c>
      <c r="J581" s="229">
        <f>J577*(C562+C563+C564)*H558*IF(A581='Прайс лист'!B820,0,1)</f>
        <v>0</v>
      </c>
      <c r="K581" s="2267">
        <f>'Прайс лист'!G1740</f>
        <v>100</v>
      </c>
      <c r="L581" s="229">
        <f t="shared" si="15"/>
        <v>0</v>
      </c>
      <c r="M581" s="1195"/>
      <c r="N581" s="1195"/>
      <c r="O581" s="1195"/>
      <c r="P581" s="1195"/>
      <c r="Q581" s="1195"/>
      <c r="R581" s="1195"/>
      <c r="S581" s="1195"/>
      <c r="T581" s="1195"/>
      <c r="U581" s="1195"/>
    </row>
    <row r="582" spans="1:21" ht="15" customHeight="1" outlineLevel="1">
      <c r="A582" s="229" t="str">
        <f>'Ввод данных'!A448</f>
        <v>Плитный,28кг/м3, технониколь, 100мм</v>
      </c>
      <c r="B582" s="229" t="s">
        <v>135</v>
      </c>
      <c r="C582" s="229">
        <f>дома!C1284*0.9*G558*VLOOKUP(A582,'Прайс лист'!B744:G782,3,0)</f>
        <v>1.1256598192648954</v>
      </c>
      <c r="D582" s="229">
        <f>VLOOKUP(A582,'Прайс лист'!B744:G782,6,0)</f>
        <v>1700</v>
      </c>
      <c r="E582" s="229">
        <f t="shared" si="14"/>
        <v>1913.6216927503222</v>
      </c>
      <c r="F582" s="1194"/>
      <c r="G582" s="2284" t="str">
        <f>'Прайс лист'!B1741</f>
        <v>утеплитель</v>
      </c>
      <c r="H582" s="2285"/>
      <c r="I582" s="229" t="s">
        <v>133</v>
      </c>
      <c r="J582" s="229">
        <f>J577*(C562+C563+C564)*H558*IF(A582='Прайс лист'!B744,0,1)</f>
        <v>0</v>
      </c>
      <c r="K582" s="2267">
        <f>'Прайс лист'!G1741</f>
        <v>200</v>
      </c>
      <c r="L582" s="229">
        <f t="shared" si="15"/>
        <v>0</v>
      </c>
      <c r="M582" s="1195"/>
      <c r="N582" s="1195"/>
      <c r="O582" s="1195"/>
      <c r="P582" s="1195"/>
      <c r="Q582" s="1195"/>
      <c r="R582" s="1195"/>
      <c r="S582" s="1195"/>
      <c r="T582" s="1195"/>
      <c r="U582" s="1195"/>
    </row>
    <row r="583" spans="1:21" ht="15" customHeight="1" outlineLevel="1">
      <c r="A583" s="229" t="s">
        <v>2724</v>
      </c>
      <c r="B583" s="229" t="s">
        <v>133</v>
      </c>
      <c r="C583" s="229">
        <f>C565*1.5*G558*(C562+C564)*F574*F573</f>
        <v>0</v>
      </c>
      <c r="D583" s="229">
        <f>'Прайс лист'!G1131</f>
        <v>250</v>
      </c>
      <c r="E583" s="229">
        <f t="shared" si="14"/>
        <v>0</v>
      </c>
      <c r="F583" s="1194"/>
      <c r="G583" s="2284" t="str">
        <f>'Прайс лист'!B1742</f>
        <v>Монтаж металлочерепицы</v>
      </c>
      <c r="H583" s="2285"/>
      <c r="I583" s="229" t="s">
        <v>133</v>
      </c>
      <c r="J583" s="229">
        <f>C565*(C562)*H558</f>
        <v>0</v>
      </c>
      <c r="K583" s="2267">
        <f>'Прайс лист'!G1742</f>
        <v>300</v>
      </c>
      <c r="L583" s="229">
        <f t="shared" si="15"/>
        <v>0</v>
      </c>
      <c r="M583" s="1195"/>
      <c r="N583" s="1195"/>
      <c r="O583" s="1195"/>
      <c r="P583" s="1195"/>
      <c r="Q583" s="1195"/>
      <c r="R583" s="1195"/>
      <c r="S583" s="1195"/>
      <c r="T583" s="1195"/>
      <c r="U583" s="1195"/>
    </row>
    <row r="584" spans="1:21" ht="15" customHeight="1" outlineLevel="1">
      <c r="A584" s="229" t="str">
        <f>'Прайс лист'!B1132</f>
        <v>Карнизная планка</v>
      </c>
      <c r="B584" s="229" t="s">
        <v>156</v>
      </c>
      <c r="C584" s="229">
        <f>C568*G558*(C562+C564)</f>
        <v>0</v>
      </c>
      <c r="D584" s="229">
        <f>'Прайс лист'!G1132</f>
        <v>200</v>
      </c>
      <c r="E584" s="229">
        <f t="shared" si="14"/>
        <v>0</v>
      </c>
      <c r="F584" s="1194"/>
      <c r="G584" s="2284" t="str">
        <f>'Прайс лист'!B1744</f>
        <v>карнизная планка</v>
      </c>
      <c r="H584" s="2285"/>
      <c r="I584" s="229" t="s">
        <v>133</v>
      </c>
      <c r="J584" s="275">
        <f>C584*H558+C589*H558</f>
        <v>0</v>
      </c>
      <c r="K584" s="2267">
        <f>'Прайс лист'!G1744</f>
        <v>100</v>
      </c>
      <c r="L584" s="229">
        <f t="shared" si="15"/>
        <v>0</v>
      </c>
      <c r="M584" s="1195"/>
      <c r="N584" s="1195"/>
      <c r="O584" s="1195"/>
      <c r="P584" s="1195"/>
      <c r="Q584" s="1195"/>
      <c r="R584" s="1195"/>
      <c r="S584" s="1195"/>
      <c r="T584" s="1195"/>
      <c r="U584" s="1195"/>
    </row>
    <row r="585" spans="1:21" ht="15" customHeight="1" outlineLevel="1">
      <c r="A585" s="229" t="str">
        <f>'Прайс лист'!B1134</f>
        <v>Конек</v>
      </c>
      <c r="B585" s="229" t="s">
        <v>156</v>
      </c>
      <c r="C585" s="229">
        <f>C569*1.1*G558*C562</f>
        <v>0</v>
      </c>
      <c r="D585" s="229">
        <f>'Прайс лист'!G1134</f>
        <v>230</v>
      </c>
      <c r="E585" s="229">
        <f t="shared" si="14"/>
        <v>0</v>
      </c>
      <c r="F585" s="1194"/>
      <c r="G585" s="2284" t="str">
        <f>'Прайс лист'!B1747</f>
        <v>желоб водосточный</v>
      </c>
      <c r="H585" s="2259"/>
      <c r="I585" s="229" t="s">
        <v>156</v>
      </c>
      <c r="J585" s="275">
        <f>C607*H558</f>
        <v>0</v>
      </c>
      <c r="K585" s="2267">
        <f>'Прайс лист'!G1747</f>
        <v>300</v>
      </c>
      <c r="L585" s="229">
        <f t="shared" si="15"/>
        <v>0</v>
      </c>
      <c r="M585" s="1195"/>
      <c r="N585" s="1195"/>
      <c r="O585" s="1195"/>
      <c r="P585" s="1195"/>
      <c r="Q585" s="1195"/>
      <c r="R585" s="1195"/>
      <c r="S585" s="1195"/>
      <c r="T585" s="1195"/>
      <c r="U585" s="1195"/>
    </row>
    <row r="586" spans="1:21" ht="15" customHeight="1" outlineLevel="1">
      <c r="A586" s="229" t="str">
        <f>'Прайс лист'!B1135</f>
        <v>Ендова нижняя</v>
      </c>
      <c r="B586" s="229" t="s">
        <v>1415</v>
      </c>
      <c r="C586" s="229">
        <f>C570*1.1*G558*C562</f>
        <v>0</v>
      </c>
      <c r="D586" s="229">
        <f>'Прайс лист'!G1135</f>
        <v>160</v>
      </c>
      <c r="E586" s="229">
        <f t="shared" si="14"/>
        <v>0</v>
      </c>
      <c r="F586" s="1194"/>
      <c r="G586" s="2284" t="str">
        <f>'Прайс лист'!B1748</f>
        <v>труба водосточная</v>
      </c>
      <c r="H586" s="2285"/>
      <c r="I586" s="229" t="s">
        <v>156</v>
      </c>
      <c r="J586" s="275">
        <f>C609*H558</f>
        <v>0</v>
      </c>
      <c r="K586" s="2267">
        <f>'Прайс лист'!G1748</f>
        <v>300</v>
      </c>
      <c r="L586" s="229">
        <f t="shared" si="15"/>
        <v>0</v>
      </c>
      <c r="M586" s="1195"/>
      <c r="N586" s="1195"/>
      <c r="O586" s="1195"/>
      <c r="P586" s="1195"/>
      <c r="Q586" s="1195"/>
      <c r="R586" s="1195"/>
      <c r="S586" s="1195"/>
      <c r="T586" s="1195"/>
      <c r="U586" s="1195"/>
    </row>
    <row r="587" spans="1:21" ht="15" customHeight="1" outlineLevel="1">
      <c r="A587" s="2296" t="str">
        <f>'Прайс лист'!B1137</f>
        <v>Планка примыкания</v>
      </c>
      <c r="B587" s="229" t="s">
        <v>1415</v>
      </c>
      <c r="C587" s="19">
        <f>C586</f>
        <v>0</v>
      </c>
      <c r="D587" s="19">
        <f>'Прайс лист'!G1137</f>
        <v>190</v>
      </c>
      <c r="E587" s="229">
        <f t="shared" si="14"/>
        <v>0</v>
      </c>
      <c r="F587" s="1194"/>
      <c r="G587" s="2284" t="str">
        <f>'Прайс лист'!B1749</f>
        <v>ендова внутр/наружн</v>
      </c>
      <c r="H587" s="2467"/>
      <c r="I587" s="2226" t="s">
        <v>156</v>
      </c>
      <c r="J587" s="275">
        <f>(C585+C586+C587+C589+C592+C594+C603+C600)*H558</f>
        <v>0</v>
      </c>
      <c r="K587" s="2267">
        <f>'Прайс лист'!G1749</f>
        <v>300</v>
      </c>
      <c r="L587" s="229">
        <f t="shared" si="15"/>
        <v>0</v>
      </c>
      <c r="M587" s="1195"/>
      <c r="N587" s="1195"/>
      <c r="O587" s="1195"/>
      <c r="P587" s="1195"/>
      <c r="Q587" s="1195"/>
      <c r="R587" s="1195"/>
      <c r="S587" s="1195"/>
      <c r="T587" s="1195"/>
      <c r="U587" s="1195"/>
    </row>
    <row r="588" spans="1:21" ht="15" customHeight="1" outlineLevel="1">
      <c r="A588" s="229" t="s">
        <v>2725</v>
      </c>
      <c r="B588" s="229" t="s">
        <v>133</v>
      </c>
      <c r="C588" s="229">
        <f>C565*1.5*G558*(C563+C564)*F574*F573</f>
        <v>0</v>
      </c>
      <c r="D588" s="229">
        <f>'Прайс лист'!G1143</f>
        <v>180</v>
      </c>
      <c r="E588" s="229">
        <f t="shared" si="14"/>
        <v>0</v>
      </c>
      <c r="F588" s="1194"/>
      <c r="G588" s="2637" t="str">
        <f>'Прайс лист'!B1751</f>
        <v>Монтаж фанеры/osb</v>
      </c>
      <c r="H588" s="2654"/>
      <c r="I588" s="2226" t="s">
        <v>133</v>
      </c>
      <c r="J588" s="275">
        <f>C596*IF(A596='Прайс лист'!B1027,0,1)</f>
        <v>0</v>
      </c>
      <c r="K588" s="2267">
        <f>'Прайс лист'!G1751</f>
        <v>200</v>
      </c>
      <c r="L588" s="229">
        <f t="shared" si="15"/>
        <v>0</v>
      </c>
      <c r="M588" s="1195"/>
      <c r="N588" s="1195"/>
      <c r="O588" s="1195"/>
      <c r="P588" s="1195"/>
      <c r="Q588" s="1195"/>
      <c r="R588" s="1195"/>
      <c r="S588" s="1195"/>
      <c r="T588" s="1195"/>
      <c r="U588" s="1195"/>
    </row>
    <row r="589" spans="1:21" ht="15" customHeight="1" outlineLevel="1">
      <c r="A589" s="229" t="str">
        <f>'Прайс лист'!B1144</f>
        <v>Карнизная планка</v>
      </c>
      <c r="B589" s="229" t="str">
        <f>'Прайс лист'!C1144</f>
        <v>м.п.</v>
      </c>
      <c r="C589" s="229">
        <f>C568*G558*C563</f>
        <v>0</v>
      </c>
      <c r="D589" s="229">
        <f>'Прайс лист'!G1144</f>
        <v>190</v>
      </c>
      <c r="E589" s="229">
        <f t="shared" si="14"/>
        <v>0</v>
      </c>
      <c r="F589" s="1194"/>
      <c r="G589" s="2637" t="str">
        <f>'Прайс лист'!B1752</f>
        <v>монтаж подкладочного ковра</v>
      </c>
      <c r="H589" s="2285"/>
      <c r="I589" s="229" t="s">
        <v>133</v>
      </c>
      <c r="J589" s="275">
        <f>C599</f>
        <v>0</v>
      </c>
      <c r="K589" s="2267">
        <f>'Прайс лист'!G1752</f>
        <v>150</v>
      </c>
      <c r="L589" s="229">
        <f t="shared" si="15"/>
        <v>0</v>
      </c>
      <c r="M589" s="1195"/>
      <c r="N589" s="1195"/>
      <c r="O589" s="1195"/>
      <c r="P589" s="1195"/>
      <c r="Q589" s="1195"/>
      <c r="R589" s="1195"/>
      <c r="S589" s="1195"/>
      <c r="T589" s="1195"/>
      <c r="U589" s="1195"/>
    </row>
    <row r="590" spans="1:21" ht="15" customHeight="1" outlineLevel="1">
      <c r="A590" s="229" t="str">
        <f>'Прайс лист'!B1145</f>
        <v>Торцевая планка</v>
      </c>
      <c r="B590" s="2655" t="str">
        <f>'Прайс лист'!C1145</f>
        <v>м.п.</v>
      </c>
      <c r="C590" s="17"/>
      <c r="D590" s="229">
        <f>'Прайс лист'!G1145</f>
        <v>190</v>
      </c>
      <c r="E590" s="229">
        <f t="shared" si="14"/>
        <v>0</v>
      </c>
      <c r="F590" s="1194"/>
      <c r="G590" s="2637" t="str">
        <f>'Прайс лист'!B1753</f>
        <v>Монтаж мягкой кровли</v>
      </c>
      <c r="H590" s="2285"/>
      <c r="I590" s="229" t="s">
        <v>133</v>
      </c>
      <c r="J590" s="275">
        <f>C565*C564</f>
        <v>0</v>
      </c>
      <c r="K590" s="2267">
        <f>'Прайс лист'!G1753</f>
        <v>350</v>
      </c>
      <c r="L590" s="229">
        <f t="shared" si="15"/>
        <v>0</v>
      </c>
      <c r="M590" s="1195"/>
      <c r="N590" s="1195"/>
      <c r="O590" s="1195"/>
      <c r="P590" s="1195"/>
      <c r="Q590" s="1195"/>
      <c r="R590" s="1195"/>
      <c r="S590" s="1195"/>
      <c r="T590" s="1195"/>
      <c r="U590" s="1195"/>
    </row>
    <row r="591" spans="1:21" ht="15" customHeight="1" outlineLevel="1">
      <c r="A591" s="229" t="str">
        <f>'Прайс лист'!B1146</f>
        <v>Конек</v>
      </c>
      <c r="B591" s="2655" t="str">
        <f>'Прайс лист'!C1146</f>
        <v>м.п.</v>
      </c>
      <c r="C591" s="17">
        <f>C569*1.1*G558*C563</f>
        <v>0</v>
      </c>
      <c r="D591" s="229">
        <f>'Прайс лист'!G1146</f>
        <v>200</v>
      </c>
      <c r="E591" s="229">
        <f t="shared" si="14"/>
        <v>0</v>
      </c>
      <c r="F591" s="1194"/>
      <c r="G591" s="17"/>
      <c r="H591" s="17"/>
      <c r="I591" s="17"/>
      <c r="J591" s="17"/>
      <c r="K591" s="17"/>
      <c r="L591" s="17"/>
      <c r="M591" s="1195"/>
      <c r="N591" s="1195"/>
      <c r="O591" s="1195"/>
      <c r="P591" s="1195"/>
      <c r="Q591" s="1195"/>
      <c r="R591" s="1195"/>
      <c r="S591" s="1195"/>
      <c r="T591" s="1195"/>
      <c r="U591" s="1195"/>
    </row>
    <row r="592" spans="1:21" ht="15" customHeight="1" outlineLevel="1">
      <c r="A592" s="229" t="str">
        <f>'Прайс лист'!B1147</f>
        <v>Ендова нижняя</v>
      </c>
      <c r="B592" s="2655" t="str">
        <f>'Прайс лист'!C1147</f>
        <v>м.п.</v>
      </c>
      <c r="C592" s="17">
        <f>C570*1.1*G558*C563</f>
        <v>0</v>
      </c>
      <c r="D592" s="229">
        <f>'Прайс лист'!G1147</f>
        <v>160</v>
      </c>
      <c r="E592" s="229">
        <f t="shared" si="14"/>
        <v>0</v>
      </c>
      <c r="F592" s="1194"/>
      <c r="G592" s="17"/>
      <c r="H592" s="17"/>
      <c r="I592" s="17"/>
      <c r="J592" s="17"/>
      <c r="K592" s="17"/>
      <c r="L592" s="17"/>
      <c r="M592" s="1195"/>
      <c r="N592" s="1195"/>
      <c r="O592" s="1195"/>
      <c r="P592" s="1195"/>
      <c r="Q592" s="1195"/>
      <c r="R592" s="1195"/>
      <c r="S592" s="1195"/>
      <c r="T592" s="1195"/>
      <c r="U592" s="1195"/>
    </row>
    <row r="593" spans="1:21" ht="15" customHeight="1" outlineLevel="1">
      <c r="A593" s="229" t="str">
        <f>'Прайс лист'!B1148</f>
        <v>Ендова верхняя</v>
      </c>
      <c r="B593" s="2655" t="str">
        <f>'Прайс лист'!C1148</f>
        <v>м.п.</v>
      </c>
      <c r="C593" s="17"/>
      <c r="D593" s="229">
        <f>'Прайс лист'!G1148</f>
        <v>190</v>
      </c>
      <c r="E593" s="229">
        <f t="shared" si="14"/>
        <v>0</v>
      </c>
      <c r="F593" s="1194"/>
      <c r="G593" s="2260"/>
      <c r="H593" s="2261"/>
      <c r="I593" s="229"/>
      <c r="J593" s="275"/>
      <c r="K593" s="2267"/>
      <c r="L593" s="229"/>
      <c r="M593" s="1195"/>
      <c r="N593" s="1195"/>
      <c r="O593" s="1195"/>
      <c r="P593" s="1195"/>
      <c r="Q593" s="1195"/>
      <c r="R593" s="1195"/>
      <c r="S593" s="1195"/>
      <c r="T593" s="1195"/>
      <c r="U593" s="1195"/>
    </row>
    <row r="594" spans="1:21" ht="15" customHeight="1" outlineLevel="1">
      <c r="A594" s="229" t="str">
        <f>'Прайс лист'!B1149</f>
        <v>Планка примыкания</v>
      </c>
      <c r="B594" s="2655" t="str">
        <f>'Прайс лист'!C1149</f>
        <v>м.п.</v>
      </c>
      <c r="C594" s="17">
        <f>C592</f>
        <v>0</v>
      </c>
      <c r="D594" s="229">
        <f>'Прайс лист'!G1149</f>
        <v>190</v>
      </c>
      <c r="E594" s="229">
        <f t="shared" si="14"/>
        <v>0</v>
      </c>
      <c r="F594" s="1194"/>
      <c r="G594" s="2260"/>
      <c r="H594" s="2261"/>
      <c r="I594" s="229"/>
      <c r="J594" s="275"/>
      <c r="K594" s="2267"/>
      <c r="L594" s="229"/>
      <c r="M594" s="1195"/>
      <c r="N594" s="1195"/>
      <c r="O594" s="1195"/>
      <c r="P594" s="1195"/>
      <c r="Q594" s="1195"/>
      <c r="R594" s="1195"/>
      <c r="S594" s="1195"/>
      <c r="T594" s="1195"/>
      <c r="U594" s="1195"/>
    </row>
    <row r="595" spans="1:21" ht="15" customHeight="1" outlineLevel="1">
      <c r="A595" s="229" t="str">
        <f>'Прайс лист'!B1150</f>
        <v>Крепеж для ондулина</v>
      </c>
      <c r="B595" s="2655" t="str">
        <f>'Прайс лист'!C1150</f>
        <v>шт</v>
      </c>
      <c r="C595" s="17"/>
      <c r="D595" s="229">
        <f>'Прайс лист'!G1150</f>
        <v>4.5</v>
      </c>
      <c r="E595" s="229">
        <f t="shared" si="14"/>
        <v>0</v>
      </c>
      <c r="F595" s="1194"/>
      <c r="G595" s="2260"/>
      <c r="H595" s="2261"/>
      <c r="I595" s="229"/>
      <c r="J595" s="275"/>
      <c r="K595" s="2267"/>
      <c r="L595" s="229"/>
      <c r="M595" s="1195"/>
      <c r="N595" s="1195"/>
      <c r="O595" s="1195"/>
      <c r="P595" s="1195"/>
      <c r="Q595" s="1195"/>
      <c r="R595" s="1195"/>
      <c r="S595" s="1195"/>
      <c r="T595" s="1195"/>
      <c r="U595" s="1195"/>
    </row>
    <row r="596" spans="1:21" ht="15" customHeight="1" outlineLevel="1">
      <c r="A596" s="229" t="str">
        <f>'Ввод данных'!A446</f>
        <v>нет</v>
      </c>
      <c r="B596" s="16" t="s">
        <v>133</v>
      </c>
      <c r="C596" s="17">
        <f>C565*1.1*G558</f>
        <v>0</v>
      </c>
      <c r="D596" s="229">
        <f>VLOOKUP(A596,'Прайс лист'!B1027:G1078,6,0)</f>
        <v>0</v>
      </c>
      <c r="E596" s="229">
        <f t="shared" si="14"/>
        <v>0</v>
      </c>
      <c r="F596" s="1194"/>
      <c r="G596" s="2260"/>
      <c r="H596" s="2261"/>
      <c r="I596" s="229"/>
      <c r="J596" s="275"/>
      <c r="K596" s="2267"/>
      <c r="L596" s="229"/>
      <c r="M596" s="1195"/>
      <c r="N596" s="1195"/>
      <c r="O596" s="1195"/>
      <c r="P596" s="1195"/>
      <c r="Q596" s="1195"/>
      <c r="R596" s="1195"/>
      <c r="S596" s="1195"/>
      <c r="T596" s="1195"/>
      <c r="U596" s="1195"/>
    </row>
    <row r="597" spans="1:21" ht="15" customHeight="1" outlineLevel="1">
      <c r="A597" s="229" t="str">
        <f>'Прайс лист'!B1155</f>
        <v>Рядовая черепица</v>
      </c>
      <c r="B597" s="2655" t="str">
        <f>'Прайс лист'!C1155</f>
        <v>м2</v>
      </c>
      <c r="C597" s="17">
        <f>C565*C564</f>
        <v>0</v>
      </c>
      <c r="D597" s="229">
        <f>'Прайс лист'!G1155</f>
        <v>360</v>
      </c>
      <c r="E597" s="229">
        <f t="shared" si="14"/>
        <v>0</v>
      </c>
      <c r="F597" s="1194"/>
      <c r="G597" s="2260"/>
      <c r="H597" s="2261"/>
      <c r="I597" s="229"/>
      <c r="J597" s="275"/>
      <c r="K597" s="2267"/>
      <c r="L597" s="229"/>
      <c r="M597" s="1195"/>
      <c r="N597" s="1195"/>
      <c r="O597" s="1195"/>
      <c r="P597" s="1195"/>
      <c r="Q597" s="1195"/>
      <c r="R597" s="1195"/>
      <c r="S597" s="1195"/>
      <c r="T597" s="1195"/>
      <c r="U597" s="1195"/>
    </row>
    <row r="598" spans="1:21" ht="15" customHeight="1" outlineLevel="1">
      <c r="A598" s="229" t="str">
        <f>'Прайс лист'!B1156</f>
        <v>Металл оцинк защита (карниз)</v>
      </c>
      <c r="B598" s="2655" t="str">
        <f>'Прайс лист'!C1156</f>
        <v>м.п.</v>
      </c>
      <c r="C598" s="17">
        <f>C559*C564</f>
        <v>0</v>
      </c>
      <c r="D598" s="229">
        <f>'Прайс лист'!G1156</f>
        <v>200</v>
      </c>
      <c r="E598" s="229">
        <f t="shared" si="14"/>
        <v>0</v>
      </c>
      <c r="F598" s="1194"/>
      <c r="G598" s="2260"/>
      <c r="H598" s="2261"/>
      <c r="I598" s="229"/>
      <c r="J598" s="275"/>
      <c r="K598" s="2267"/>
      <c r="L598" s="229"/>
      <c r="M598" s="1195"/>
      <c r="N598" s="1195"/>
      <c r="O598" s="1195"/>
      <c r="P598" s="1195"/>
      <c r="Q598" s="1195"/>
      <c r="R598" s="1195"/>
      <c r="S598" s="1195"/>
      <c r="T598" s="1195"/>
      <c r="U598" s="1195"/>
    </row>
    <row r="599" spans="1:21" ht="15" customHeight="1" outlineLevel="1">
      <c r="A599" s="229" t="str">
        <f>'Прайс лист'!B1157</f>
        <v>Подкладочный ковер</v>
      </c>
      <c r="B599" s="2655" t="str">
        <f>'Прайс лист'!C1157</f>
        <v>м.п.</v>
      </c>
      <c r="C599" s="17">
        <f>C565*C564</f>
        <v>0</v>
      </c>
      <c r="D599" s="229">
        <f>'Прайс лист'!G1157</f>
        <v>220</v>
      </c>
      <c r="E599" s="229">
        <f t="shared" si="14"/>
        <v>0</v>
      </c>
      <c r="F599" s="1194"/>
      <c r="G599" s="2260"/>
      <c r="H599" s="2261"/>
      <c r="I599" s="229"/>
      <c r="J599" s="275"/>
      <c r="K599" s="2267"/>
      <c r="L599" s="229"/>
      <c r="M599" s="1195"/>
      <c r="N599" s="1195"/>
      <c r="O599" s="1195"/>
      <c r="P599" s="1195"/>
      <c r="Q599" s="1195"/>
      <c r="R599" s="1195"/>
      <c r="S599" s="1195"/>
      <c r="T599" s="1195"/>
      <c r="U599" s="1195"/>
    </row>
    <row r="600" spans="1:21" ht="15" customHeight="1" outlineLevel="1">
      <c r="A600" s="229" t="str">
        <f>'Прайс лист'!B1158</f>
        <v>Карнизная самоклеющаяся черепица</v>
      </c>
      <c r="B600" s="2655" t="str">
        <f>'Прайс лист'!C1158</f>
        <v>м.п.</v>
      </c>
      <c r="C600" s="17">
        <f>C559*C564</f>
        <v>0</v>
      </c>
      <c r="D600" s="229">
        <f>'Прайс лист'!G1158</f>
        <v>220</v>
      </c>
      <c r="E600" s="229">
        <f t="shared" si="14"/>
        <v>0</v>
      </c>
      <c r="F600" s="1194"/>
      <c r="G600" s="2260"/>
      <c r="H600" s="2261"/>
      <c r="I600" s="229"/>
      <c r="J600" s="275"/>
      <c r="K600" s="2267"/>
      <c r="L600" s="229"/>
      <c r="M600" s="1195"/>
      <c r="N600" s="1195"/>
      <c r="O600" s="1195"/>
      <c r="P600" s="1195"/>
      <c r="Q600" s="1195"/>
      <c r="R600" s="1195"/>
      <c r="S600" s="1195"/>
      <c r="T600" s="1195"/>
      <c r="U600" s="1195"/>
    </row>
    <row r="601" spans="1:21" ht="15" customHeight="1" outlineLevel="1">
      <c r="A601" s="229" t="str">
        <f>'Прайс лист'!B1159</f>
        <v>Спец ковер ендова нижняя</v>
      </c>
      <c r="B601" s="2655" t="str">
        <f>'Прайс лист'!C1159</f>
        <v>м.п.</v>
      </c>
      <c r="C601" s="17">
        <f>C570*1.1*G558*C564</f>
        <v>0</v>
      </c>
      <c r="D601" s="229">
        <f>'Прайс лист'!G1159</f>
        <v>200</v>
      </c>
      <c r="E601" s="229">
        <f t="shared" si="14"/>
        <v>0</v>
      </c>
      <c r="F601" s="1194"/>
      <c r="G601" s="2260"/>
      <c r="H601" s="2261"/>
      <c r="I601" s="229"/>
      <c r="J601" s="275"/>
      <c r="K601" s="2267"/>
      <c r="L601" s="229"/>
      <c r="M601" s="1195"/>
      <c r="N601" s="1195"/>
      <c r="O601" s="1195"/>
      <c r="P601" s="1195"/>
      <c r="Q601" s="1195"/>
      <c r="R601" s="1195"/>
      <c r="S601" s="1195"/>
      <c r="T601" s="1195"/>
      <c r="U601" s="1195"/>
    </row>
    <row r="602" spans="1:21" ht="15" customHeight="1" outlineLevel="1">
      <c r="A602" s="229" t="str">
        <f>'Прайс лист'!B1160</f>
        <v>Коньковой элемент</v>
      </c>
      <c r="B602" s="2655" t="str">
        <f>'Прайс лист'!C1160</f>
        <v>м.п.</v>
      </c>
      <c r="C602" s="17">
        <f>C569*1.1*G558*C564</f>
        <v>0</v>
      </c>
      <c r="D602" s="229">
        <f>'Прайс лист'!G1160</f>
        <v>250</v>
      </c>
      <c r="E602" s="229">
        <f t="shared" si="14"/>
        <v>0</v>
      </c>
      <c r="F602" s="1194"/>
      <c r="G602" s="2260"/>
      <c r="H602" s="2261"/>
      <c r="I602" s="229"/>
      <c r="J602" s="275"/>
      <c r="K602" s="2267"/>
      <c r="L602" s="229"/>
      <c r="M602" s="1195"/>
      <c r="N602" s="1195"/>
      <c r="O602" s="1195"/>
      <c r="P602" s="1195"/>
      <c r="Q602" s="1195"/>
      <c r="R602" s="1195"/>
      <c r="S602" s="1195"/>
      <c r="T602" s="1195"/>
      <c r="U602" s="1195"/>
    </row>
    <row r="603" spans="1:21" ht="15" customHeight="1" outlineLevel="1">
      <c r="A603" s="229" t="str">
        <f>'Прайс лист'!B1161</f>
        <v>Планка премыкания</v>
      </c>
      <c r="B603" s="2655" t="str">
        <f>'Прайс лист'!C1161</f>
        <v>м.п.</v>
      </c>
      <c r="C603" s="17">
        <f>C601</f>
        <v>0</v>
      </c>
      <c r="D603" s="229">
        <f>'Прайс лист'!G1161</f>
        <v>200</v>
      </c>
      <c r="E603" s="229">
        <f t="shared" si="14"/>
        <v>0</v>
      </c>
      <c r="F603" s="1194"/>
      <c r="G603" s="2260"/>
      <c r="H603" s="2261"/>
      <c r="I603" s="229"/>
      <c r="J603" s="275"/>
      <c r="K603" s="2267"/>
      <c r="L603" s="229"/>
      <c r="M603" s="1195"/>
      <c r="N603" s="1195"/>
      <c r="O603" s="1195"/>
      <c r="P603" s="1195"/>
      <c r="Q603" s="1195"/>
      <c r="R603" s="1195"/>
      <c r="S603" s="1195"/>
      <c r="T603" s="1195"/>
      <c r="U603" s="1195"/>
    </row>
    <row r="604" spans="1:21" ht="15" customHeight="1" outlineLevel="1">
      <c r="A604" s="229" t="str">
        <f>'Прайс лист'!B1162</f>
        <v>Гвозди для крепления подкладочного ковра</v>
      </c>
      <c r="B604" s="2655" t="str">
        <f>'Прайс лист'!C1162</f>
        <v>шт</v>
      </c>
      <c r="C604" s="17">
        <f>C599*12</f>
        <v>0</v>
      </c>
      <c r="D604" s="229">
        <f>'Прайс лист'!G1162</f>
        <v>1.2E-2</v>
      </c>
      <c r="E604" s="229">
        <f t="shared" si="14"/>
        <v>0</v>
      </c>
      <c r="F604" s="1194"/>
      <c r="G604" s="2260"/>
      <c r="H604" s="2261"/>
      <c r="I604" s="229"/>
      <c r="J604" s="275"/>
      <c r="K604" s="2267"/>
      <c r="L604" s="229"/>
      <c r="M604" s="1195"/>
      <c r="N604" s="1195"/>
      <c r="O604" s="1195"/>
      <c r="P604" s="1195"/>
      <c r="Q604" s="1195"/>
      <c r="R604" s="1195"/>
      <c r="S604" s="1195"/>
      <c r="T604" s="1195"/>
      <c r="U604" s="1195"/>
    </row>
    <row r="605" spans="1:21" ht="15" customHeight="1" outlineLevel="1">
      <c r="A605" s="229" t="str">
        <f>'Прайс лист'!B1163</f>
        <v>Гвозди для крепления черепицы</v>
      </c>
      <c r="B605" s="2655" t="str">
        <f>'Прайс лист'!C1163</f>
        <v>шт</v>
      </c>
      <c r="C605" s="17">
        <f>C565*C564*20</f>
        <v>0</v>
      </c>
      <c r="D605" s="229">
        <f>'Прайс лист'!G1163</f>
        <v>0.25</v>
      </c>
      <c r="E605" s="229">
        <f t="shared" si="14"/>
        <v>0</v>
      </c>
      <c r="F605" s="1194"/>
      <c r="G605" s="2260"/>
      <c r="H605" s="2261"/>
      <c r="I605" s="229"/>
      <c r="J605" s="275"/>
      <c r="K605" s="2267"/>
      <c r="L605" s="229"/>
      <c r="M605" s="1195"/>
      <c r="N605" s="1195"/>
      <c r="O605" s="1195"/>
      <c r="P605" s="1195"/>
      <c r="Q605" s="1195"/>
      <c r="R605" s="1195"/>
      <c r="S605" s="1195"/>
      <c r="T605" s="1195"/>
      <c r="U605" s="1195"/>
    </row>
    <row r="606" spans="1:21" ht="15" customHeight="1" outlineLevel="1">
      <c r="A606" s="229" t="str">
        <f>'Прайс лист'!B1164</f>
        <v>Клей для монтажа черепицы</v>
      </c>
      <c r="B606" s="2655" t="str">
        <f>'Прайс лист'!C1164</f>
        <v>кг</v>
      </c>
      <c r="C606" s="17"/>
      <c r="D606" s="229">
        <f>'Прайс лист'!G1164</f>
        <v>250</v>
      </c>
      <c r="E606" s="229">
        <f t="shared" si="14"/>
        <v>0</v>
      </c>
      <c r="F606" s="1194"/>
      <c r="G606" s="2260"/>
      <c r="H606" s="2261"/>
      <c r="I606" s="229"/>
      <c r="J606" s="275"/>
      <c r="K606" s="2267"/>
      <c r="L606" s="229"/>
      <c r="M606" s="1195"/>
      <c r="N606" s="1195"/>
      <c r="O606" s="1195"/>
      <c r="P606" s="1195"/>
      <c r="Q606" s="1195"/>
      <c r="R606" s="1195"/>
      <c r="S606" s="1195"/>
      <c r="T606" s="1195"/>
      <c r="U606" s="1195"/>
    </row>
    <row r="607" spans="1:21" ht="15" customHeight="1" outlineLevel="1">
      <c r="A607" s="229" t="str">
        <f>'Прайс лист'!B1169</f>
        <v>желоб</v>
      </c>
      <c r="B607" s="229" t="s">
        <v>1415</v>
      </c>
      <c r="C607" s="229">
        <f>дома!C1283*дома!D1229</f>
        <v>0</v>
      </c>
      <c r="D607" s="229">
        <f>'Прайс лист'!G1169</f>
        <v>300</v>
      </c>
      <c r="E607" s="229">
        <f t="shared" ref="E607:E638" si="16">C607*D607</f>
        <v>0</v>
      </c>
      <c r="F607" s="1194"/>
      <c r="G607" s="3199"/>
      <c r="H607" s="3199"/>
      <c r="I607" s="229"/>
      <c r="J607" s="275"/>
      <c r="K607" s="2267"/>
      <c r="L607" s="229"/>
      <c r="M607" s="1195"/>
      <c r="N607" s="1195"/>
      <c r="O607" s="1195"/>
      <c r="P607" s="1195"/>
      <c r="Q607" s="1195"/>
      <c r="R607" s="1195"/>
      <c r="S607" s="1195"/>
      <c r="T607" s="1195"/>
      <c r="U607" s="1195"/>
    </row>
    <row r="608" spans="1:21" ht="15" customHeight="1" outlineLevel="1">
      <c r="A608" s="229" t="str">
        <f>'Прайс лист'!B1170</f>
        <v>отвод</v>
      </c>
      <c r="B608" s="229" t="s">
        <v>159</v>
      </c>
      <c r="C608" s="229">
        <v>4</v>
      </c>
      <c r="D608" s="229">
        <f>'Прайс лист'!G1170</f>
        <v>250</v>
      </c>
      <c r="E608" s="229">
        <f t="shared" si="16"/>
        <v>1000</v>
      </c>
      <c r="F608" s="1194"/>
      <c r="G608" s="3199"/>
      <c r="H608" s="3199"/>
      <c r="I608" s="275"/>
      <c r="J608" s="275"/>
      <c r="K608" s="2267"/>
      <c r="L608" s="229"/>
      <c r="M608" s="1195"/>
      <c r="N608" s="1195"/>
      <c r="O608" s="1195"/>
      <c r="P608" s="1195"/>
      <c r="Q608" s="1195"/>
      <c r="R608" s="1195"/>
      <c r="S608" s="1195"/>
      <c r="T608" s="1195"/>
      <c r="U608" s="1195"/>
    </row>
    <row r="609" spans="1:21" ht="15" customHeight="1" outlineLevel="1">
      <c r="A609" s="229" t="str">
        <f>'Прайс лист'!B1171</f>
        <v>труба водосточная</v>
      </c>
      <c r="B609" s="229" t="s">
        <v>156</v>
      </c>
      <c r="C609" s="229">
        <f>дома!D1229*(дома!C1232*дома!C1241+дома!C1233)</f>
        <v>0</v>
      </c>
      <c r="D609" s="229">
        <f>'Прайс лист'!G1171</f>
        <v>300</v>
      </c>
      <c r="E609" s="229">
        <f t="shared" si="16"/>
        <v>0</v>
      </c>
      <c r="F609" s="1194"/>
      <c r="G609" s="3199"/>
      <c r="H609" s="3199"/>
      <c r="I609" s="2226"/>
      <c r="J609" s="2226"/>
      <c r="K609" s="2267"/>
      <c r="L609" s="229"/>
      <c r="M609" s="1195"/>
      <c r="N609" s="1195"/>
      <c r="O609" s="1195"/>
      <c r="P609" s="1195"/>
      <c r="Q609" s="1195"/>
      <c r="R609" s="1195"/>
      <c r="S609" s="1195"/>
      <c r="T609" s="1195"/>
      <c r="U609" s="1195"/>
    </row>
    <row r="610" spans="1:21" ht="15" customHeight="1" outlineLevel="1">
      <c r="A610" s="229" t="str">
        <f>'Прайс лист'!B1172</f>
        <v>заглушка для желоба</v>
      </c>
      <c r="B610" s="229" t="s">
        <v>159</v>
      </c>
      <c r="C610" s="229">
        <f>2*дома!D1229</f>
        <v>0</v>
      </c>
      <c r="D610" s="229">
        <f>'Прайс лист'!G1172</f>
        <v>190</v>
      </c>
      <c r="E610" s="229">
        <f t="shared" si="16"/>
        <v>0</v>
      </c>
      <c r="F610" s="1194"/>
      <c r="G610" s="3199"/>
      <c r="H610" s="3199"/>
      <c r="I610" s="2226"/>
      <c r="J610" s="2226"/>
      <c r="K610" s="2267"/>
      <c r="L610" s="229"/>
      <c r="M610" s="1195"/>
      <c r="N610" s="1195"/>
      <c r="O610" s="1195"/>
      <c r="P610" s="1195"/>
      <c r="Q610" s="1195"/>
      <c r="R610" s="1195"/>
      <c r="S610" s="1195"/>
      <c r="T610" s="1195"/>
      <c r="U610" s="1195"/>
    </row>
    <row r="611" spans="1:21" ht="15" customHeight="1" outlineLevel="1">
      <c r="A611" s="229" t="str">
        <f>'Прайс лист'!B1173</f>
        <v>соеденитель для желоба</v>
      </c>
      <c r="B611" s="229" t="s">
        <v>159</v>
      </c>
      <c r="C611" s="229">
        <f>C607/2*G558*F573</f>
        <v>0</v>
      </c>
      <c r="D611" s="229">
        <f>'Прайс лист'!G1173</f>
        <v>180</v>
      </c>
      <c r="E611" s="229">
        <f t="shared" si="16"/>
        <v>0</v>
      </c>
      <c r="F611" s="1194"/>
      <c r="G611" s="3199"/>
      <c r="H611" s="3199"/>
      <c r="I611" s="2226"/>
      <c r="J611" s="2226"/>
      <c r="K611" s="2267"/>
      <c r="L611" s="229"/>
      <c r="M611" s="1195"/>
      <c r="N611" s="1195"/>
      <c r="O611" s="1195"/>
      <c r="P611" s="1195"/>
      <c r="Q611" s="1195"/>
      <c r="R611" s="1195"/>
      <c r="S611" s="1195"/>
      <c r="T611" s="1195"/>
      <c r="U611" s="1195"/>
    </row>
    <row r="612" spans="1:21" ht="15" customHeight="1" outlineLevel="1">
      <c r="A612" s="229" t="str">
        <f>'Прайс лист'!B1174</f>
        <v>кронштейн для желоба</v>
      </c>
      <c r="B612" s="229" t="s">
        <v>159</v>
      </c>
      <c r="C612" s="229">
        <f>C607/0.3*G558*F574*F573</f>
        <v>0</v>
      </c>
      <c r="D612" s="229">
        <f>'Прайс лист'!G1174</f>
        <v>130</v>
      </c>
      <c r="E612" s="229">
        <f t="shared" si="16"/>
        <v>0</v>
      </c>
      <c r="F612" s="1194"/>
      <c r="G612" s="3199"/>
      <c r="H612" s="3199"/>
      <c r="I612" s="2226"/>
      <c r="J612" s="2226"/>
      <c r="K612" s="2267"/>
      <c r="L612" s="229"/>
      <c r="M612" s="1195"/>
      <c r="N612" s="1195"/>
      <c r="O612" s="1195"/>
      <c r="P612" s="1195"/>
      <c r="Q612" s="1195"/>
      <c r="R612" s="1195"/>
      <c r="S612" s="1195"/>
      <c r="T612" s="1195"/>
      <c r="U612" s="1195"/>
    </row>
    <row r="613" spans="1:21" ht="15" customHeight="1" outlineLevel="1">
      <c r="A613" s="229" t="str">
        <f>'Прайс лист'!B1175</f>
        <v>переход из желоба в трубу</v>
      </c>
      <c r="B613" s="229" t="s">
        <v>159</v>
      </c>
      <c r="C613" s="229">
        <f>2</f>
        <v>2</v>
      </c>
      <c r="D613" s="229">
        <f>'Прайс лист'!G1175</f>
        <v>350</v>
      </c>
      <c r="E613" s="229">
        <f t="shared" si="16"/>
        <v>700</v>
      </c>
      <c r="F613" s="1194"/>
      <c r="G613" s="3199"/>
      <c r="H613" s="3199"/>
      <c r="I613" s="2226"/>
      <c r="J613" s="2226"/>
      <c r="K613" s="2267"/>
      <c r="L613" s="229"/>
      <c r="M613" s="1195"/>
      <c r="N613" s="1195"/>
      <c r="O613" s="1195"/>
      <c r="P613" s="1195"/>
      <c r="Q613" s="1195"/>
      <c r="R613" s="1195"/>
      <c r="S613" s="1195"/>
      <c r="T613" s="1195"/>
      <c r="U613" s="1195"/>
    </row>
    <row r="614" spans="1:21" ht="15" customHeight="1" outlineLevel="1">
      <c r="A614" s="229" t="str">
        <f>'Прайс лист'!B1176</f>
        <v>лента дельта мульти бэнд</v>
      </c>
      <c r="B614" s="229" t="s">
        <v>159</v>
      </c>
      <c r="C614" s="229">
        <f>C565/12*G558*F573</f>
        <v>0</v>
      </c>
      <c r="D614" s="229">
        <f>'Прайс лист'!G1176</f>
        <v>1200</v>
      </c>
      <c r="E614" s="229">
        <f t="shared" si="16"/>
        <v>0</v>
      </c>
      <c r="F614" s="1194"/>
      <c r="G614" s="3199"/>
      <c r="H614" s="3199"/>
      <c r="I614" s="2226"/>
      <c r="J614" s="2226"/>
      <c r="K614" s="2267"/>
      <c r="L614" s="229"/>
      <c r="M614" s="1195"/>
      <c r="N614" s="1195"/>
      <c r="O614" s="1195"/>
      <c r="P614" s="1195"/>
      <c r="Q614" s="1195"/>
      <c r="R614" s="1195"/>
      <c r="S614" s="1195"/>
      <c r="T614" s="1195"/>
      <c r="U614" s="1195"/>
    </row>
    <row r="615" spans="1:21" ht="15" customHeight="1" outlineLevel="1">
      <c r="A615" s="229" t="str">
        <f>'Прайс лист'!B1177</f>
        <v>лента дельта sb-60</v>
      </c>
      <c r="B615" s="229" t="s">
        <v>159</v>
      </c>
      <c r="C615" s="229">
        <f>C565/25*G558</f>
        <v>0</v>
      </c>
      <c r="D615" s="229">
        <f>'Прайс лист'!G1177</f>
        <v>1100</v>
      </c>
      <c r="E615" s="229">
        <f t="shared" si="16"/>
        <v>0</v>
      </c>
      <c r="F615" s="1194"/>
      <c r="G615" s="3199"/>
      <c r="H615" s="3199"/>
      <c r="I615" s="2226"/>
      <c r="J615" s="2226"/>
      <c r="K615" s="2267"/>
      <c r="L615" s="229"/>
      <c r="M615" s="1195"/>
      <c r="N615" s="1195"/>
      <c r="O615" s="1195"/>
      <c r="P615" s="1195"/>
      <c r="Q615" s="1195"/>
      <c r="R615" s="1195"/>
      <c r="S615" s="1195"/>
      <c r="T615" s="1195"/>
      <c r="U615" s="1195"/>
    </row>
    <row r="616" spans="1:21" ht="15" customHeight="1" outlineLevel="1">
      <c r="A616" s="229" t="str">
        <f>'Прайс лист'!B1138</f>
        <v>Кровельный саморез</v>
      </c>
      <c r="B616" s="229" t="s">
        <v>159</v>
      </c>
      <c r="C616" s="229">
        <f>C565*12*(C562+C564)*G558*F574*F573</f>
        <v>0</v>
      </c>
      <c r="D616" s="229">
        <f>'Прайс лист'!G1138</f>
        <v>2</v>
      </c>
      <c r="E616" s="229">
        <f t="shared" si="16"/>
        <v>0</v>
      </c>
      <c r="F616" s="1194"/>
      <c r="G616" s="3199"/>
      <c r="H616" s="3199"/>
      <c r="I616" s="2226"/>
      <c r="J616" s="2226"/>
      <c r="K616" s="2267"/>
      <c r="L616" s="229"/>
      <c r="M616" s="1195"/>
      <c r="N616" s="1195"/>
      <c r="O616" s="1195"/>
      <c r="P616" s="1195"/>
      <c r="Q616" s="1195"/>
      <c r="R616" s="1195"/>
      <c r="S616" s="1195"/>
      <c r="T616" s="1195"/>
      <c r="U616" s="1195"/>
    </row>
    <row r="617" spans="1:21" ht="15" customHeight="1" outlineLevel="1">
      <c r="A617" s="229" t="str">
        <f>'Прайс лист'!B897</f>
        <v xml:space="preserve">Гвозди ершоные 3,4 x 60            </v>
      </c>
      <c r="B617" s="229" t="s">
        <v>188</v>
      </c>
      <c r="C617" s="229">
        <f>C578*15*G558*F574*F573</f>
        <v>0</v>
      </c>
      <c r="D617" s="229">
        <f>'Прайс лист'!G897</f>
        <v>75.510000000000005</v>
      </c>
      <c r="E617" s="229">
        <f t="shared" si="16"/>
        <v>0</v>
      </c>
      <c r="F617" s="1194"/>
      <c r="G617" s="3199"/>
      <c r="H617" s="3199"/>
      <c r="I617" s="2226"/>
      <c r="J617" s="2226"/>
      <c r="K617" s="2267"/>
      <c r="L617" s="229"/>
      <c r="M617" s="1195"/>
      <c r="N617" s="1195"/>
      <c r="O617" s="1195"/>
      <c r="P617" s="1195"/>
      <c r="Q617" s="1195"/>
      <c r="R617" s="1195"/>
      <c r="S617" s="1195"/>
      <c r="T617" s="1195"/>
      <c r="U617" s="1195"/>
    </row>
    <row r="618" spans="1:21" ht="15" customHeight="1" outlineLevel="1">
      <c r="A618" s="229" t="str">
        <f>'Прайс лист'!B898</f>
        <v xml:space="preserve">Гвозди ершоные 2,8 х 90            </v>
      </c>
      <c r="B618" s="229" t="s">
        <v>188</v>
      </c>
      <c r="C618" s="229">
        <f>(C577)*10*G558</f>
        <v>0</v>
      </c>
      <c r="D618" s="229">
        <f>'Прайс лист'!G898</f>
        <v>76.489999999999995</v>
      </c>
      <c r="E618" s="229">
        <f t="shared" si="16"/>
        <v>0</v>
      </c>
      <c r="F618" s="1194"/>
      <c r="G618" s="3199"/>
      <c r="H618" s="3199"/>
      <c r="I618" s="2226"/>
      <c r="J618" s="2226"/>
      <c r="K618" s="2267"/>
      <c r="L618" s="229"/>
      <c r="M618" s="1195"/>
      <c r="N618" s="1195"/>
      <c r="O618" s="1195"/>
      <c r="P618" s="1195"/>
      <c r="Q618" s="1195"/>
      <c r="R618" s="1195"/>
      <c r="S618" s="1195"/>
      <c r="T618" s="1195"/>
      <c r="U618" s="1195"/>
    </row>
    <row r="619" spans="1:21" ht="15" customHeight="1" outlineLevel="1">
      <c r="A619" s="229" t="str">
        <f>'Прайс лист'!B846</f>
        <v xml:space="preserve">Пластина соеденительная 100х240х2           </v>
      </c>
      <c r="B619" s="229" t="s">
        <v>159</v>
      </c>
      <c r="C619" s="2262">
        <f>(((C566+C567)/0.6)+1)*2*G558*F574*F573</f>
        <v>2.2999999999999998</v>
      </c>
      <c r="D619" s="229">
        <f>'Прайс лист'!G846</f>
        <v>31.54</v>
      </c>
      <c r="E619" s="229">
        <f t="shared" si="16"/>
        <v>72.541999999999987</v>
      </c>
      <c r="F619" s="1194"/>
      <c r="G619" s="3199"/>
      <c r="H619" s="3199"/>
      <c r="I619" s="2226"/>
      <c r="J619" s="2226"/>
      <c r="K619" s="2267"/>
      <c r="L619" s="229"/>
      <c r="M619" s="1195"/>
      <c r="N619" s="1195"/>
      <c r="O619" s="1195"/>
      <c r="P619" s="1195"/>
      <c r="Q619" s="1195"/>
      <c r="R619" s="1195"/>
      <c r="S619" s="1195"/>
      <c r="T619" s="1195"/>
      <c r="U619" s="1195"/>
    </row>
    <row r="620" spans="1:21" ht="15" customHeight="1" outlineLevel="1">
      <c r="A620" s="229" t="str">
        <f>'Прайс лист'!B838</f>
        <v xml:space="preserve">Уголок усиленный 90х70х55х2,5        </v>
      </c>
      <c r="B620" s="229" t="s">
        <v>159</v>
      </c>
      <c r="C620" s="2262">
        <f>(((C566+C567)/0.6)+1)*3*G558*F574*F573</f>
        <v>3.4499999999999997</v>
      </c>
      <c r="D620" s="229">
        <f>'Прайс лист'!G838</f>
        <v>30</v>
      </c>
      <c r="E620" s="229">
        <f t="shared" si="16"/>
        <v>103.49999999999999</v>
      </c>
      <c r="F620" s="1194"/>
      <c r="G620" s="2286"/>
      <c r="H620" s="2286"/>
      <c r="I620" s="2220"/>
      <c r="J620" s="2220"/>
      <c r="K620" s="2268"/>
      <c r="L620" s="229"/>
      <c r="M620" s="1195"/>
      <c r="N620" s="1195"/>
      <c r="O620" s="1195"/>
      <c r="P620" s="1195"/>
      <c r="Q620" s="1195"/>
      <c r="R620" s="1195"/>
      <c r="S620" s="1195"/>
      <c r="T620" s="1195"/>
      <c r="U620" s="1195"/>
    </row>
    <row r="621" spans="1:21" ht="15" customHeight="1" outlineLevel="1">
      <c r="A621" s="229" t="str">
        <f>'Ввод данных'!A454</f>
        <v>Нет техники</v>
      </c>
      <c r="B621" s="229" t="str">
        <f>'Ввод данных'!B454</f>
        <v>ед.</v>
      </c>
      <c r="C621" s="229">
        <f>'Ввод данных'!C454</f>
        <v>1</v>
      </c>
      <c r="D621" s="229">
        <f>VLOOKUP(A621,'Прайс лист'!B180:G194,6,0)</f>
        <v>0</v>
      </c>
      <c r="E621" s="229">
        <f t="shared" si="16"/>
        <v>0</v>
      </c>
      <c r="F621" s="1194"/>
      <c r="G621" s="2286"/>
      <c r="H621" s="2286"/>
      <c r="I621" s="2220"/>
      <c r="J621" s="2220"/>
      <c r="K621" s="2268"/>
      <c r="L621" s="229"/>
      <c r="M621" s="1195"/>
      <c r="N621" s="1195"/>
      <c r="O621" s="1195"/>
      <c r="P621" s="1195"/>
      <c r="Q621" s="1195"/>
      <c r="R621" s="1195"/>
      <c r="S621" s="1195"/>
      <c r="T621" s="1195"/>
      <c r="U621" s="1195"/>
    </row>
    <row r="622" spans="1:21" ht="15" customHeight="1" outlineLevel="1">
      <c r="A622" s="229" t="str">
        <f>'Ввод данных'!A455</f>
        <v>Нет техники</v>
      </c>
      <c r="B622" s="229" t="str">
        <f>'Ввод данных'!B455</f>
        <v>ед.</v>
      </c>
      <c r="C622" s="229">
        <f>'Ввод данных'!C455</f>
        <v>0</v>
      </c>
      <c r="D622" s="229">
        <f>VLOOKUP(A622,'Прайс лист'!B180:G194,6,0)</f>
        <v>0</v>
      </c>
      <c r="E622" s="229">
        <f t="shared" si="16"/>
        <v>0</v>
      </c>
      <c r="F622" s="1194"/>
      <c r="G622" s="2286"/>
      <c r="H622" s="2286"/>
      <c r="I622" s="2220"/>
      <c r="J622" s="2220"/>
      <c r="K622" s="2268"/>
      <c r="L622" s="229"/>
      <c r="M622" s="1195"/>
      <c r="N622" s="1195"/>
      <c r="O622" s="1195"/>
      <c r="P622" s="1195"/>
      <c r="Q622" s="1195"/>
      <c r="R622" s="1195"/>
      <c r="S622" s="1195"/>
      <c r="T622" s="1195"/>
      <c r="U622" s="1195"/>
    </row>
    <row r="623" spans="1:21" ht="15" customHeight="1" outlineLevel="1">
      <c r="A623" s="229" t="str">
        <f>'Ввод данных'!A457</f>
        <v>расходные материалы эркер</v>
      </c>
      <c r="B623" s="229" t="str">
        <f>'Ввод данных'!B457</f>
        <v>рублей</v>
      </c>
      <c r="C623" s="229">
        <f>1</f>
        <v>1</v>
      </c>
      <c r="D623" s="229">
        <f>'Ввод данных'!C457</f>
        <v>3000</v>
      </c>
      <c r="E623" s="229">
        <f t="shared" si="16"/>
        <v>3000</v>
      </c>
      <c r="F623" s="1194"/>
      <c r="G623" s="2286"/>
      <c r="H623" s="2286"/>
      <c r="I623" s="2220"/>
      <c r="J623" s="2220"/>
      <c r="K623" s="2268"/>
      <c r="L623" s="229"/>
      <c r="M623" s="1195"/>
      <c r="N623" s="1195"/>
      <c r="O623" s="1195"/>
      <c r="P623" s="1195"/>
      <c r="Q623" s="1195"/>
      <c r="R623" s="1195"/>
      <c r="S623" s="1195"/>
      <c r="T623" s="1195"/>
      <c r="U623" s="1195"/>
    </row>
    <row r="624" spans="1:21" ht="15" customHeight="1" outlineLevel="1">
      <c r="A624" s="1194"/>
      <c r="B624" s="1194"/>
      <c r="C624" s="1194"/>
      <c r="D624" s="1194"/>
      <c r="E624" s="229">
        <f>SUM(E577:E621)</f>
        <v>3789.6636927503218</v>
      </c>
      <c r="F624" s="1194"/>
      <c r="G624" s="2286"/>
      <c r="H624" s="2286"/>
      <c r="I624" s="2220"/>
      <c r="J624" s="2220"/>
      <c r="K624" s="2268"/>
      <c r="L624" s="2226">
        <f>SUM(L577:L619)</f>
        <v>0</v>
      </c>
      <c r="M624" s="1195"/>
      <c r="N624" s="1195"/>
      <c r="O624" s="1195"/>
      <c r="P624" s="1195"/>
      <c r="Q624" s="1195"/>
      <c r="R624" s="1195"/>
      <c r="S624" s="1195"/>
      <c r="T624" s="1195"/>
      <c r="U624" s="1195"/>
    </row>
    <row r="625" spans="1:21" ht="15" customHeight="1" outlineLevel="1">
      <c r="F625" s="1194"/>
      <c r="G625" s="1194"/>
      <c r="H625" s="1195"/>
      <c r="I625" s="1195"/>
      <c r="J625" s="1195"/>
      <c r="K625" s="2623"/>
      <c r="M625" s="1195"/>
      <c r="N625" s="1195"/>
      <c r="O625" s="1195"/>
      <c r="P625" s="1195"/>
      <c r="Q625" s="1195"/>
      <c r="R625" s="1195"/>
      <c r="S625" s="1195"/>
      <c r="T625" s="1195"/>
      <c r="U625" s="1195"/>
    </row>
    <row r="626" spans="1:21" ht="15" customHeight="1" outlineLevel="1">
      <c r="A626" s="229" t="s">
        <v>2726</v>
      </c>
      <c r="B626" s="2262">
        <f>E624</f>
        <v>3789.6636927503218</v>
      </c>
      <c r="C626" s="1194"/>
      <c r="D626" s="1194"/>
      <c r="E626" s="1194"/>
      <c r="F626" s="1194"/>
      <c r="G626" s="1194"/>
      <c r="H626" s="1195"/>
      <c r="I626" s="1195"/>
      <c r="J626" s="1195"/>
      <c r="K626" s="2623"/>
      <c r="L626" s="1195"/>
      <c r="M626" s="1195"/>
      <c r="N626" s="1195"/>
      <c r="O626" s="1195"/>
      <c r="P626" s="1195"/>
      <c r="Q626" s="1195"/>
      <c r="R626" s="1195"/>
      <c r="S626" s="1195"/>
      <c r="T626" s="1195"/>
      <c r="U626" s="1195"/>
    </row>
    <row r="627" spans="1:21" ht="15" customHeight="1" outlineLevel="1">
      <c r="A627" s="229" t="s">
        <v>2727</v>
      </c>
      <c r="B627" s="2262">
        <f>L624</f>
        <v>0</v>
      </c>
      <c r="C627" s="1194"/>
      <c r="D627" s="1194"/>
      <c r="E627" s="1194"/>
      <c r="F627" s="1194"/>
      <c r="G627" s="1194"/>
      <c r="H627" s="1195"/>
      <c r="I627" s="1195"/>
      <c r="J627" s="1195"/>
      <c r="K627" s="2623"/>
      <c r="L627" s="1195"/>
      <c r="M627" s="1195"/>
      <c r="N627" s="1195"/>
      <c r="O627" s="1195"/>
      <c r="P627" s="1195"/>
      <c r="Q627" s="1195"/>
      <c r="R627" s="1195"/>
      <c r="S627" s="1195"/>
      <c r="T627" s="1195"/>
      <c r="U627" s="1195"/>
    </row>
    <row r="628" spans="1:21" ht="15" customHeight="1" outlineLevel="1">
      <c r="A628" s="229" t="s">
        <v>2728</v>
      </c>
      <c r="B628" s="2262">
        <f>SUM(B626:B627)</f>
        <v>3789.6636927503218</v>
      </c>
      <c r="C628" s="1194"/>
      <c r="D628" s="1194"/>
      <c r="E628" s="1194"/>
      <c r="F628" s="1194"/>
      <c r="G628" s="1194"/>
      <c r="H628" s="1195"/>
      <c r="I628" s="1195"/>
      <c r="J628" s="1195"/>
      <c r="K628" s="2623"/>
      <c r="L628" s="1195"/>
      <c r="M628" s="1195"/>
      <c r="N628" s="1195"/>
      <c r="O628" s="1195"/>
      <c r="P628" s="1195"/>
      <c r="Q628" s="1195"/>
      <c r="R628" s="1195"/>
      <c r="S628" s="1195"/>
      <c r="T628" s="1195"/>
      <c r="U628" s="1195"/>
    </row>
    <row r="629" spans="1:21" ht="15" customHeight="1">
      <c r="A629" s="2263" t="s">
        <v>4160</v>
      </c>
      <c r="B629" s="1195"/>
      <c r="C629" s="2257"/>
      <c r="D629" s="2257"/>
      <c r="E629" s="1195"/>
      <c r="F629" s="2257"/>
      <c r="G629" s="2257"/>
      <c r="H629" s="1195"/>
      <c r="I629" s="1195"/>
      <c r="J629" s="1195"/>
      <c r="K629" s="2623"/>
      <c r="L629" s="1195"/>
      <c r="M629" s="1195"/>
      <c r="N629" s="1195"/>
      <c r="O629" s="1195"/>
      <c r="P629" s="1195"/>
      <c r="Q629" s="1195"/>
      <c r="R629" s="1195"/>
      <c r="S629" s="1195"/>
      <c r="T629" s="1195"/>
      <c r="U629" s="1195"/>
    </row>
    <row r="630" spans="1:21" ht="15" customHeight="1">
      <c r="A630" s="2263"/>
      <c r="B630" s="1195"/>
      <c r="C630" s="2257"/>
      <c r="D630" s="2257"/>
      <c r="E630" s="1195"/>
      <c r="F630" s="2257"/>
      <c r="G630" s="2257"/>
      <c r="H630" s="1195"/>
      <c r="I630" s="1195"/>
      <c r="J630" s="1195"/>
      <c r="K630" s="2623"/>
      <c r="L630" s="1195"/>
      <c r="M630" s="1195"/>
      <c r="N630" s="1195"/>
      <c r="O630" s="1195"/>
      <c r="P630" s="1195"/>
      <c r="Q630" s="1195"/>
      <c r="R630" s="1195"/>
      <c r="S630" s="1195"/>
      <c r="T630" s="1195"/>
      <c r="U630" s="1195"/>
    </row>
    <row r="631" spans="1:21" ht="15" customHeight="1">
      <c r="A631" s="3259" t="s">
        <v>1883</v>
      </c>
      <c r="B631" s="3259"/>
      <c r="C631" s="3259"/>
      <c r="D631" s="3259"/>
      <c r="E631" s="3259"/>
      <c r="F631" s="3259"/>
      <c r="G631" s="3259"/>
      <c r="H631" s="3259"/>
      <c r="I631" s="3259"/>
      <c r="J631" s="2609"/>
      <c r="K631" s="2609"/>
      <c r="L631" s="2610"/>
      <c r="M631" s="1195"/>
      <c r="N631" s="1195"/>
      <c r="O631" s="1195"/>
      <c r="P631" s="1195"/>
      <c r="Q631" s="1195"/>
      <c r="R631" s="1195"/>
      <c r="S631" s="1195"/>
      <c r="T631" s="1195"/>
      <c r="U631" s="1195"/>
    </row>
    <row r="632" spans="1:21" ht="15" customHeight="1">
      <c r="A632" s="3146" t="s">
        <v>1806</v>
      </c>
      <c r="B632" s="3146"/>
      <c r="C632" s="3146"/>
      <c r="D632" s="3146"/>
      <c r="E632" s="3146"/>
      <c r="F632" s="3146"/>
      <c r="G632" s="2611">
        <f>'Ввод данных'!E150</f>
        <v>1</v>
      </c>
      <c r="H632" s="1138">
        <f>'Ввод данных'!E151</f>
        <v>1</v>
      </c>
      <c r="I632" s="1138"/>
      <c r="J632" s="1138"/>
      <c r="K632" s="1138"/>
      <c r="L632" s="1138"/>
      <c r="M632" s="1195"/>
      <c r="N632" s="1195"/>
      <c r="O632" s="1195"/>
      <c r="P632" s="1195"/>
      <c r="Q632" s="1195"/>
      <c r="R632" s="1195"/>
      <c r="S632" s="1195"/>
      <c r="T632" s="1195"/>
      <c r="U632" s="1195"/>
    </row>
    <row r="633" spans="1:21" ht="15" customHeight="1">
      <c r="A633" s="2612" t="s">
        <v>2705</v>
      </c>
      <c r="B633" s="2613" t="s">
        <v>156</v>
      </c>
      <c r="C633" s="2613">
        <f>дома!P1130+дома!Q1131</f>
        <v>42.360679774997898</v>
      </c>
      <c r="D633" s="2614"/>
      <c r="E633" s="2615"/>
      <c r="F633" s="2615"/>
      <c r="G633" s="2615"/>
      <c r="H633" s="1138"/>
      <c r="I633" s="1138"/>
      <c r="J633" s="1138"/>
      <c r="K633" s="1138"/>
      <c r="L633" s="1138"/>
      <c r="M633" s="1195"/>
      <c r="N633" s="1195"/>
      <c r="O633" s="1195"/>
      <c r="P633" s="1195"/>
      <c r="Q633" s="1195"/>
      <c r="R633" s="1195"/>
      <c r="S633" s="1195"/>
      <c r="T633" s="1195"/>
      <c r="U633" s="1195"/>
    </row>
    <row r="634" spans="1:21" ht="15" customHeight="1">
      <c r="A634" s="263" t="s">
        <v>3831</v>
      </c>
      <c r="B634" s="1165" t="s">
        <v>159</v>
      </c>
      <c r="C634" s="2617">
        <f>IF('Ввод данных'!A157=связи1!A6,1,0)</f>
        <v>1</v>
      </c>
      <c r="D634" s="2618"/>
      <c r="E634" s="2619"/>
      <c r="F634" s="2619"/>
      <c r="G634" s="2228"/>
      <c r="H634" s="2228"/>
      <c r="I634" s="2234"/>
      <c r="J634" s="2228"/>
      <c r="K634" s="2268"/>
      <c r="L634" s="2228"/>
      <c r="M634" s="1195"/>
      <c r="N634" s="1195"/>
      <c r="O634" s="1195"/>
      <c r="P634" s="1195"/>
      <c r="Q634" s="1195"/>
      <c r="R634" s="1195"/>
      <c r="S634" s="1195"/>
      <c r="T634" s="1195"/>
      <c r="U634" s="1195"/>
    </row>
    <row r="635" spans="1:21" ht="15" customHeight="1">
      <c r="A635" s="2620" t="s">
        <v>3832</v>
      </c>
      <c r="B635" s="229" t="s">
        <v>159</v>
      </c>
      <c r="C635" s="2617">
        <f>IF('Ввод данных'!A157=связи1!A7,1,0)</f>
        <v>0</v>
      </c>
      <c r="D635" s="2618"/>
      <c r="E635" s="2619"/>
      <c r="F635" s="2619"/>
      <c r="G635" s="2228"/>
      <c r="H635" s="2228"/>
      <c r="I635" s="2234"/>
      <c r="J635" s="2228"/>
      <c r="K635" s="2268"/>
      <c r="L635" s="2228"/>
      <c r="M635" s="1195"/>
      <c r="N635" s="1195"/>
      <c r="O635" s="1195"/>
      <c r="P635" s="1195"/>
      <c r="Q635" s="1195"/>
      <c r="R635" s="1195"/>
      <c r="S635" s="1195"/>
      <c r="T635" s="1195"/>
      <c r="U635" s="1195"/>
    </row>
    <row r="636" spans="1:21" ht="15" customHeight="1">
      <c r="A636" s="2620" t="s">
        <v>3833</v>
      </c>
      <c r="B636" s="229" t="s">
        <v>159</v>
      </c>
      <c r="C636" s="2617">
        <f>IF('Ввод данных'!A157=связи1!A8,1,0)</f>
        <v>0</v>
      </c>
      <c r="D636" s="2618"/>
      <c r="E636" s="2619"/>
      <c r="F636" s="2619"/>
      <c r="G636" s="2228"/>
      <c r="H636" s="2228"/>
      <c r="I636" s="2234"/>
      <c r="J636" s="2228"/>
      <c r="K636" s="2268"/>
      <c r="L636" s="2228"/>
      <c r="M636" s="1195"/>
      <c r="N636" s="1195"/>
      <c r="O636" s="1195"/>
      <c r="P636" s="1195"/>
      <c r="Q636" s="1195"/>
      <c r="R636" s="1195"/>
      <c r="S636" s="1195"/>
      <c r="T636" s="1195"/>
      <c r="U636" s="1195"/>
    </row>
    <row r="637" spans="1:21" ht="15" customHeight="1">
      <c r="A637" s="229" t="s">
        <v>2623</v>
      </c>
      <c r="B637" s="229" t="s">
        <v>133</v>
      </c>
      <c r="C637" s="229">
        <f>дома!P1181+дома!Q1182+'Ввод данных'!C166*'Ввод данных'!D166</f>
        <v>160.78625885461804</v>
      </c>
      <c r="D637" s="2619"/>
      <c r="E637" s="2619"/>
      <c r="F637" s="2619"/>
      <c r="G637" s="2228"/>
      <c r="H637" s="2228"/>
      <c r="I637" s="2234"/>
      <c r="J637" s="2228"/>
      <c r="K637" s="2268"/>
      <c r="L637" s="2228"/>
      <c r="M637" s="1195"/>
      <c r="N637" s="1195"/>
      <c r="O637" s="1195"/>
      <c r="P637" s="1195"/>
      <c r="Q637" s="1195"/>
      <c r="R637" s="1195"/>
      <c r="S637" s="1195"/>
      <c r="T637" s="1195"/>
      <c r="U637" s="1195"/>
    </row>
    <row r="638" spans="1:21" ht="15" customHeight="1">
      <c r="A638" s="229" t="s">
        <v>2773</v>
      </c>
      <c r="B638" s="229"/>
      <c r="C638" s="229">
        <f>дома!P1177+дома!Q1178</f>
        <v>111.80339887498948</v>
      </c>
      <c r="D638" s="2619"/>
      <c r="E638" s="2619"/>
      <c r="F638" s="2619"/>
      <c r="G638" s="2228"/>
      <c r="H638" s="2228"/>
      <c r="I638" s="2234"/>
      <c r="J638" s="2228"/>
      <c r="K638" s="2268"/>
      <c r="L638" s="2228"/>
      <c r="M638" s="1195"/>
      <c r="N638" s="1195"/>
      <c r="O638" s="1195"/>
      <c r="P638" s="1195"/>
      <c r="Q638" s="1195"/>
      <c r="R638" s="1195"/>
      <c r="S638" s="1195"/>
      <c r="T638" s="1195"/>
      <c r="U638" s="1195"/>
    </row>
    <row r="639" spans="1:21" ht="15" customHeight="1">
      <c r="A639" s="229" t="s">
        <v>1546</v>
      </c>
      <c r="B639" s="229" t="s">
        <v>156</v>
      </c>
      <c r="C639" s="229">
        <f>дома!P1164+дома!Q1165</f>
        <v>11.8</v>
      </c>
      <c r="D639" s="2619"/>
      <c r="E639" s="2619"/>
      <c r="F639" s="2619"/>
      <c r="G639" s="2228"/>
      <c r="H639" s="2228"/>
      <c r="I639" s="2234"/>
      <c r="J639" s="2228"/>
      <c r="K639" s="2268"/>
      <c r="L639" s="2228"/>
      <c r="M639" s="1195"/>
      <c r="N639" s="1195"/>
      <c r="O639" s="1195"/>
      <c r="P639" s="1195"/>
      <c r="Q639" s="1195"/>
      <c r="R639" s="1195"/>
      <c r="S639" s="1195"/>
      <c r="T639" s="1195"/>
      <c r="U639" s="1195"/>
    </row>
    <row r="640" spans="1:21" ht="15" customHeight="1">
      <c r="A640" s="229" t="s">
        <v>3502</v>
      </c>
      <c r="B640" s="229" t="s">
        <v>156</v>
      </c>
      <c r="C640" s="229">
        <f>дома!P1168+дома!Q1169</f>
        <v>13.117479563950683</v>
      </c>
      <c r="D640" s="2619"/>
      <c r="E640" s="2619"/>
      <c r="F640" s="2619"/>
      <c r="G640" s="2228"/>
      <c r="H640" s="2228"/>
      <c r="I640" s="2234"/>
      <c r="J640" s="2228"/>
      <c r="K640" s="2268"/>
      <c r="L640" s="2228"/>
      <c r="M640" s="1195"/>
      <c r="N640" s="1195"/>
      <c r="O640" s="1195"/>
      <c r="P640" s="1195"/>
      <c r="Q640" s="1195"/>
      <c r="R640" s="1195"/>
      <c r="S640" s="1195"/>
      <c r="T640" s="1195"/>
      <c r="U640" s="1195"/>
    </row>
    <row r="641" spans="1:21" ht="15" customHeight="1">
      <c r="A641" s="1165" t="s">
        <v>1906</v>
      </c>
      <c r="B641" s="259"/>
      <c r="C641" s="229">
        <f>дома!P1132+дома!Q1133</f>
        <v>10</v>
      </c>
      <c r="D641" s="2619"/>
      <c r="E641" s="2619"/>
      <c r="F641" s="2619"/>
      <c r="G641" s="2228"/>
      <c r="H641" s="2228"/>
      <c r="I641" s="2234"/>
      <c r="J641" s="2228"/>
      <c r="K641" s="2268"/>
      <c r="L641" s="2228"/>
      <c r="M641" s="1195"/>
      <c r="N641" s="1195"/>
      <c r="O641" s="1195"/>
      <c r="P641" s="1195"/>
      <c r="Q641" s="1195"/>
      <c r="R641" s="1195"/>
      <c r="S641" s="1195"/>
      <c r="T641" s="1195"/>
      <c r="U641" s="1195"/>
    </row>
    <row r="642" spans="1:21" ht="15" customHeight="1">
      <c r="A642" s="1165" t="s">
        <v>4162</v>
      </c>
      <c r="B642" s="259"/>
      <c r="C642" s="229">
        <f>дома!O1135</f>
        <v>5</v>
      </c>
      <c r="D642" s="2619"/>
      <c r="E642" s="2619"/>
      <c r="F642" s="2619"/>
      <c r="G642" s="2228"/>
      <c r="H642" s="2228"/>
      <c r="I642" s="2234"/>
      <c r="J642" s="2228"/>
      <c r="K642" s="2268"/>
      <c r="L642" s="2228"/>
      <c r="M642" s="1195"/>
      <c r="N642" s="1195"/>
      <c r="O642" s="1195"/>
      <c r="P642" s="1195"/>
      <c r="Q642" s="1195"/>
      <c r="R642" s="1195"/>
      <c r="S642" s="1195"/>
      <c r="T642" s="1195"/>
      <c r="U642" s="1195"/>
    </row>
    <row r="643" spans="1:21" ht="15" customHeight="1">
      <c r="A643" s="2265" t="s">
        <v>1089</v>
      </c>
      <c r="B643" s="259" t="s">
        <v>159</v>
      </c>
      <c r="C643" s="1172">
        <f>'Ввод данных'!C181</f>
        <v>0</v>
      </c>
      <c r="D643" s="2619"/>
      <c r="E643" s="2619"/>
      <c r="F643" s="2619"/>
      <c r="G643" s="2228"/>
      <c r="H643" s="2228"/>
      <c r="I643" s="2234"/>
      <c r="J643" s="2228"/>
      <c r="K643" s="2268"/>
      <c r="L643" s="2228"/>
      <c r="M643" s="1195"/>
      <c r="N643" s="1195"/>
      <c r="O643" s="1195"/>
      <c r="P643" s="1195"/>
      <c r="Q643" s="1195"/>
      <c r="R643" s="1195"/>
      <c r="S643" s="1195"/>
      <c r="T643" s="1195"/>
      <c r="U643" s="1195"/>
    </row>
    <row r="644" spans="1:21" ht="15" customHeight="1">
      <c r="A644" s="2265" t="s">
        <v>1090</v>
      </c>
      <c r="B644" s="259" t="s">
        <v>159</v>
      </c>
      <c r="C644" s="1172">
        <f>'Ввод данных'!C182</f>
        <v>0</v>
      </c>
      <c r="D644" s="2619"/>
      <c r="E644" s="2619"/>
      <c r="F644" s="2619"/>
      <c r="G644" s="2228"/>
      <c r="H644" s="2228"/>
      <c r="I644" s="2234"/>
      <c r="J644" s="2228"/>
      <c r="K644" s="2268"/>
      <c r="L644" s="2228"/>
      <c r="M644" s="1195"/>
      <c r="N644" s="1195"/>
      <c r="O644" s="1195"/>
      <c r="P644" s="1195"/>
      <c r="Q644" s="1195"/>
      <c r="R644" s="1195"/>
      <c r="S644" s="1195"/>
      <c r="T644" s="1195"/>
      <c r="U644" s="1195"/>
    </row>
    <row r="645" spans="1:21" ht="15" customHeight="1">
      <c r="A645" s="2265" t="s">
        <v>1091</v>
      </c>
      <c r="B645" s="259" t="s">
        <v>159</v>
      </c>
      <c r="C645" s="1172">
        <f>'Ввод данных'!C183</f>
        <v>0</v>
      </c>
      <c r="D645" s="2619"/>
      <c r="E645" s="2619"/>
      <c r="F645" s="2619"/>
      <c r="G645" s="2228"/>
      <c r="H645" s="2228"/>
      <c r="I645" s="2234"/>
      <c r="J645" s="2228"/>
      <c r="K645" s="2268"/>
      <c r="L645" s="2228"/>
      <c r="M645" s="1195"/>
      <c r="N645" s="1195"/>
      <c r="O645" s="1195"/>
      <c r="P645" s="1195"/>
      <c r="Q645" s="1195"/>
      <c r="R645" s="1195"/>
      <c r="S645" s="1195"/>
      <c r="T645" s="1195"/>
      <c r="U645" s="1195"/>
    </row>
    <row r="646" spans="1:21" ht="15" customHeight="1">
      <c r="A646" s="2266" t="s">
        <v>2720</v>
      </c>
      <c r="B646" s="2266" t="s">
        <v>1094</v>
      </c>
      <c r="C646" s="2266" t="s">
        <v>1802</v>
      </c>
      <c r="D646" s="2266" t="s">
        <v>2721</v>
      </c>
      <c r="E646" s="2266" t="s">
        <v>2722</v>
      </c>
      <c r="F646" s="1194"/>
      <c r="G646" s="2656" t="s">
        <v>1409</v>
      </c>
      <c r="H646" s="2266" t="s">
        <v>1094</v>
      </c>
      <c r="I646" s="2266" t="s">
        <v>1802</v>
      </c>
      <c r="J646" s="2621" t="s">
        <v>1601</v>
      </c>
      <c r="K646" s="2266" t="s">
        <v>2722</v>
      </c>
      <c r="M646" s="1195"/>
      <c r="N646" s="1195"/>
      <c r="O646" s="1195"/>
      <c r="P646" s="1195"/>
      <c r="Q646" s="1195"/>
      <c r="R646" s="1195"/>
      <c r="S646" s="1195"/>
      <c r="T646" s="1195"/>
      <c r="U646" s="1195"/>
    </row>
    <row r="647" spans="1:21" ht="15" customHeight="1">
      <c r="A647" s="229" t="str">
        <f>'Ввод данных'!A159</f>
        <v>нет</v>
      </c>
      <c r="B647" s="229" t="str">
        <f t="shared" ref="B647:B652" si="17">B262</f>
        <v>м3</v>
      </c>
      <c r="C647" s="229">
        <f>VLOOKUP(A647,связи1!F203:H213,3,0)*C633*G632</f>
        <v>0</v>
      </c>
      <c r="D647" s="229">
        <f>VLOOKUP(A647,связи1!F203:H213,2,0)</f>
        <v>0</v>
      </c>
      <c r="E647" s="229">
        <f t="shared" ref="E647:E678" si="18">C647*D647</f>
        <v>0</v>
      </c>
      <c r="F647" s="1194"/>
      <c r="G647" s="2260"/>
      <c r="H647" s="229"/>
      <c r="I647" s="229"/>
      <c r="J647" s="2267"/>
      <c r="K647" s="229"/>
      <c r="M647" s="1195"/>
      <c r="N647" s="1195"/>
      <c r="O647" s="1195"/>
      <c r="P647" s="1195"/>
      <c r="Q647" s="1195"/>
      <c r="R647" s="1195"/>
      <c r="S647" s="1195"/>
      <c r="T647" s="1195"/>
      <c r="U647" s="1195"/>
    </row>
    <row r="648" spans="1:21" ht="15" customHeight="1">
      <c r="A648" s="229" t="str">
        <f>A263</f>
        <v xml:space="preserve">Болты анкерные с гайкой 12,0 х 280          </v>
      </c>
      <c r="B648" s="229" t="str">
        <f t="shared" si="17"/>
        <v>шт</v>
      </c>
      <c r="C648" s="229">
        <f>C263*G632</f>
        <v>48.284271247461902</v>
      </c>
      <c r="D648" s="229">
        <f>D263</f>
        <v>27.1</v>
      </c>
      <c r="E648" s="229">
        <f t="shared" si="18"/>
        <v>1308.5037508062176</v>
      </c>
      <c r="F648" s="1194"/>
      <c r="G648" s="2284" t="str">
        <f t="shared" ref="G648:G653" si="19">G263</f>
        <v>монтаж мауэрлата</v>
      </c>
      <c r="H648" s="2284" t="str">
        <f t="shared" ref="H648:H653" si="20">I263</f>
        <v>м.п.</v>
      </c>
      <c r="I648" s="2284">
        <f>C633*H632</f>
        <v>42.360679774997898</v>
      </c>
      <c r="J648" s="2284">
        <f t="shared" ref="J648:J653" si="21">K263</f>
        <v>250</v>
      </c>
      <c r="K648" s="275">
        <f t="shared" ref="K648:K653" si="22">I648*J648</f>
        <v>10590.169943749475</v>
      </c>
      <c r="M648" s="1195"/>
      <c r="N648" s="1195"/>
      <c r="O648" s="1195"/>
      <c r="P648" s="1195"/>
      <c r="Q648" s="1195"/>
      <c r="R648" s="1195"/>
      <c r="S648" s="1195"/>
      <c r="T648" s="1195"/>
      <c r="U648" s="1195"/>
    </row>
    <row r="649" spans="1:21" ht="15" customHeight="1">
      <c r="A649" s="229" t="str">
        <f>'Ввод данных'!A172</f>
        <v>Доска сухая, 200*50мм</v>
      </c>
      <c r="B649" s="229" t="str">
        <f t="shared" si="17"/>
        <v>м3</v>
      </c>
      <c r="C649" s="229">
        <f>(C639/0.6+2+C639+C639)*C640*VLOOKUP(A649,связи1!A407:E416,5,0)*1.2*G632+('Ввод данных'!C166/0.6+1)*'Ввод данных'!D166*VLOOKUP(A649,связи1!A407:E416,5,0)*G632</f>
        <v>7.2454148991380123</v>
      </c>
      <c r="D649" s="229">
        <f>VLOOKUP(A649,связи1!A407:E416,2,0)</f>
        <v>9000</v>
      </c>
      <c r="E649" s="229">
        <f t="shared" si="18"/>
        <v>65208.734092242114</v>
      </c>
      <c r="F649" s="1194"/>
      <c r="G649" s="2284" t="str">
        <f t="shared" si="19"/>
        <v>монтаж стропил</v>
      </c>
      <c r="H649" s="2284" t="str">
        <f t="shared" si="20"/>
        <v>м2</v>
      </c>
      <c r="I649" s="2284">
        <f>C637*IF(A649=связи1!A407,0,1)*H632</f>
        <v>160.78625885461804</v>
      </c>
      <c r="J649" s="2284">
        <f t="shared" si="21"/>
        <v>450</v>
      </c>
      <c r="K649" s="275">
        <f t="shared" si="22"/>
        <v>72353.816484578114</v>
      </c>
      <c r="M649" s="1195"/>
      <c r="N649" s="1195"/>
      <c r="O649" s="1195"/>
      <c r="P649" s="1195"/>
      <c r="Q649" s="1195"/>
      <c r="R649" s="1195"/>
      <c r="S649" s="1195"/>
      <c r="T649" s="1195"/>
      <c r="U649" s="1195"/>
    </row>
    <row r="650" spans="1:21" ht="15" customHeight="1">
      <c r="A650" s="229" t="str">
        <f>A265</f>
        <v xml:space="preserve">бугель, доска </v>
      </c>
      <c r="B650" s="229" t="str">
        <f t="shared" si="17"/>
        <v>м3</v>
      </c>
      <c r="C650" s="229">
        <f>(C639/0.6+2)*C641*VLOOKUP(A649,связи1!A407:E416,5,0)*1.2*G632</f>
        <v>2.600000000000001</v>
      </c>
      <c r="D650" s="229">
        <f>VLOOKUP(A649,связи1!A407:E416,2,0)</f>
        <v>9000</v>
      </c>
      <c r="E650" s="229">
        <f t="shared" si="18"/>
        <v>23400.000000000007</v>
      </c>
      <c r="F650" s="1194"/>
      <c r="G650" s="2284" t="str">
        <f t="shared" si="19"/>
        <v>обрешетка</v>
      </c>
      <c r="H650" s="2284" t="str">
        <f t="shared" si="20"/>
        <v>м2</v>
      </c>
      <c r="I650" s="2284">
        <f>C637*IF(A652=связи1!A432,0,1)*H632</f>
        <v>160.78625885461804</v>
      </c>
      <c r="J650" s="2284">
        <f t="shared" si="21"/>
        <v>100</v>
      </c>
      <c r="K650" s="275">
        <f t="shared" si="22"/>
        <v>16078.625885461805</v>
      </c>
      <c r="M650" s="1195"/>
      <c r="N650" s="1195"/>
      <c r="O650" s="1195"/>
      <c r="P650" s="1195"/>
      <c r="Q650" s="1195"/>
      <c r="R650" s="1195"/>
      <c r="S650" s="1195"/>
      <c r="T650" s="1195"/>
      <c r="U650" s="1195"/>
    </row>
    <row r="651" spans="1:21" ht="15" customHeight="1">
      <c r="A651" s="229" t="str">
        <f>A266</f>
        <v>стойка под конек</v>
      </c>
      <c r="B651" s="229" t="str">
        <f t="shared" si="17"/>
        <v>м3</v>
      </c>
      <c r="C651" s="229">
        <f>(C639/0.6+2)*C642*VLOOKUP(A649,связи1!A407:E416,5,0)*1.2*G632</f>
        <v>1.3000000000000005</v>
      </c>
      <c r="D651" s="229">
        <f>VLOOKUP(A649,связи1!A407:E416,2,0)</f>
        <v>9000</v>
      </c>
      <c r="E651" s="229">
        <f t="shared" si="18"/>
        <v>11700.000000000004</v>
      </c>
      <c r="F651" s="1194"/>
      <c r="G651" s="2284" t="str">
        <f t="shared" si="19"/>
        <v>контробеш</v>
      </c>
      <c r="H651" s="2284" t="str">
        <f t="shared" si="20"/>
        <v>м2</v>
      </c>
      <c r="I651" s="2284">
        <f>C637*IF(A653=связи1!A418,0,1)*H632</f>
        <v>160.78625885461804</v>
      </c>
      <c r="J651" s="2284">
        <f t="shared" si="21"/>
        <v>100</v>
      </c>
      <c r="K651" s="275">
        <f t="shared" si="22"/>
        <v>16078.625885461805</v>
      </c>
      <c r="M651" s="1195"/>
      <c r="N651" s="1195"/>
      <c r="O651" s="1195"/>
      <c r="P651" s="1195"/>
      <c r="Q651" s="1195"/>
      <c r="R651" s="1195"/>
      <c r="S651" s="1195"/>
      <c r="T651" s="1195"/>
      <c r="U651" s="1195"/>
    </row>
    <row r="652" spans="1:21" ht="15" customHeight="1">
      <c r="A652" s="229" t="str">
        <f>'Ввод данных'!A174</f>
        <v>Сосна влаж,100*25мм</v>
      </c>
      <c r="B652" s="229" t="str">
        <f t="shared" si="17"/>
        <v>м3</v>
      </c>
      <c r="C652" s="229">
        <f>C637*3*VLOOKUP(A652,связи1!A432:F440,5,0)*G632</f>
        <v>1.2058969414096354</v>
      </c>
      <c r="D652" s="229">
        <f>VLOOKUP(A652,связи1!A432:F440,6,0)</f>
        <v>6500</v>
      </c>
      <c r="E652" s="229">
        <f t="shared" si="18"/>
        <v>7838.3301191626306</v>
      </c>
      <c r="F652" s="1194"/>
      <c r="G652" s="2284" t="str">
        <f t="shared" si="19"/>
        <v>Монтаж металлочерепицы</v>
      </c>
      <c r="H652" s="2284" t="str">
        <f t="shared" si="20"/>
        <v>м2</v>
      </c>
      <c r="I652" s="2284">
        <f>C637*C634*H632</f>
        <v>160.78625885461804</v>
      </c>
      <c r="J652" s="2284">
        <f t="shared" si="21"/>
        <v>300</v>
      </c>
      <c r="K652" s="275">
        <f t="shared" si="22"/>
        <v>48235.877656385412</v>
      </c>
      <c r="M652" s="1195"/>
      <c r="N652" s="1195"/>
      <c r="O652" s="1195"/>
      <c r="P652" s="1195"/>
      <c r="Q652" s="1195"/>
      <c r="R652" s="1195"/>
      <c r="S652" s="1195"/>
      <c r="T652" s="1195"/>
      <c r="U652" s="1195"/>
    </row>
    <row r="653" spans="1:21" ht="15" customHeight="1">
      <c r="A653" s="229" t="str">
        <f>'Ввод данных'!A176</f>
        <v>Сосна влаж, 50*50мм</v>
      </c>
      <c r="B653" s="229" t="s">
        <v>135</v>
      </c>
      <c r="C653" s="229">
        <f>C637*2.5*VLOOKUP(A653,связи1!A418:E421,5,0)*G632</f>
        <v>1.004914117841363</v>
      </c>
      <c r="D653" s="229">
        <f>VLOOKUP(A653,связи1!A418:D421,2,0)</f>
        <v>6500</v>
      </c>
      <c r="E653" s="229">
        <f t="shared" si="18"/>
        <v>6531.9417659688597</v>
      </c>
      <c r="F653" s="1194"/>
      <c r="G653" s="2284" t="str">
        <f t="shared" si="19"/>
        <v>Монтаж ондулина</v>
      </c>
      <c r="H653" s="2284" t="str">
        <f t="shared" si="20"/>
        <v>м2</v>
      </c>
      <c r="I653" s="2284">
        <f>C637*C635*H632</f>
        <v>0</v>
      </c>
      <c r="J653" s="2284">
        <f t="shared" si="21"/>
        <v>300</v>
      </c>
      <c r="K653" s="275">
        <f t="shared" si="22"/>
        <v>0</v>
      </c>
      <c r="M653" s="1195"/>
      <c r="N653" s="1195"/>
      <c r="O653" s="1195"/>
      <c r="P653" s="1195"/>
      <c r="Q653" s="1195"/>
      <c r="R653" s="1195"/>
      <c r="S653" s="1195"/>
      <c r="T653" s="1195"/>
      <c r="U653" s="1195"/>
    </row>
    <row r="654" spans="1:21" ht="15" customHeight="1">
      <c r="A654" s="229" t="str">
        <f>'Ввод данных'!A170</f>
        <v>Нет</v>
      </c>
      <c r="B654" s="229" t="s">
        <v>135</v>
      </c>
      <c r="C654" s="229">
        <f>VLOOKUP(A654,'Прайс лист'!B333:G419,5,0)*'Ввод данных'!C170*'Ввод данных'!D170</f>
        <v>0</v>
      </c>
      <c r="D654" s="229">
        <f>VLOOKUP(A654,'Прайс лист'!B333:G419,6,0)</f>
        <v>0</v>
      </c>
      <c r="E654" s="229">
        <f t="shared" si="18"/>
        <v>0</v>
      </c>
      <c r="F654" s="1194"/>
      <c r="G654" s="2284"/>
      <c r="H654" s="2284"/>
      <c r="I654" s="2284"/>
      <c r="J654" s="2284"/>
      <c r="K654" s="275"/>
      <c r="M654" s="1195"/>
      <c r="N654" s="1195"/>
      <c r="O654" s="1195"/>
      <c r="P654" s="1195"/>
      <c r="Q654" s="1195"/>
      <c r="R654" s="1195"/>
      <c r="S654" s="1195"/>
      <c r="T654" s="1195"/>
      <c r="U654" s="1195"/>
    </row>
    <row r="655" spans="1:21" ht="15" customHeight="1">
      <c r="A655" s="229" t="str">
        <f>'Прайс лист'!B530</f>
        <v>Гидрокомпенсатор</v>
      </c>
      <c r="B655" s="229" t="s">
        <v>159</v>
      </c>
      <c r="C655" s="229">
        <f>'Ввод данных'!D170</f>
        <v>0</v>
      </c>
      <c r="D655" s="229">
        <f>'Прайс лист'!G530</f>
        <v>450</v>
      </c>
      <c r="E655" s="229">
        <f t="shared" si="18"/>
        <v>0</v>
      </c>
      <c r="F655" s="1194"/>
      <c r="G655" s="2284"/>
      <c r="H655" s="2284"/>
      <c r="I655" s="2284"/>
      <c r="J655" s="2284"/>
      <c r="K655" s="275"/>
      <c r="M655" s="1195"/>
      <c r="N655" s="1195"/>
      <c r="O655" s="1195"/>
      <c r="P655" s="1195"/>
      <c r="Q655" s="1195"/>
      <c r="R655" s="1195"/>
      <c r="S655" s="1195"/>
      <c r="T655" s="1195"/>
      <c r="U655" s="1195"/>
    </row>
    <row r="656" spans="1:21" ht="15" customHeight="1">
      <c r="A656" s="229" t="str">
        <f>'Ввод данных'!A185</f>
        <v>Мембрана MD90</v>
      </c>
      <c r="B656" s="229" t="str">
        <f t="shared" ref="B656:B698" si="23">B271</f>
        <v>м2</v>
      </c>
      <c r="C656" s="229">
        <f>C637*1.2*G632</f>
        <v>192.94351062554165</v>
      </c>
      <c r="D656" s="229">
        <f>VLOOKUP(A656,'Прайс лист'!B793:G819,6,0)</f>
        <v>34</v>
      </c>
      <c r="E656" s="229">
        <f t="shared" si="18"/>
        <v>6560.0793612684156</v>
      </c>
      <c r="F656" s="1194"/>
      <c r="G656" s="2284" t="str">
        <f t="shared" ref="G656:G666" si="24">G271</f>
        <v>мембрана</v>
      </c>
      <c r="H656" s="2284" t="str">
        <f t="shared" ref="H656:H666" si="25">I271</f>
        <v>м2</v>
      </c>
      <c r="I656" s="2284">
        <f>C637*H632*IF(A656='Прайс лист'!B793,0,1)</f>
        <v>160.78625885461804</v>
      </c>
      <c r="J656" s="2284">
        <f t="shared" ref="J656:J666" si="26">K271</f>
        <v>100</v>
      </c>
      <c r="K656" s="275">
        <f t="shared" ref="K656:K666" si="27">I656*J656</f>
        <v>16078.625885461805</v>
      </c>
      <c r="M656" s="1195"/>
      <c r="N656" s="1195"/>
      <c r="O656" s="1195"/>
      <c r="P656" s="1195"/>
      <c r="Q656" s="1195"/>
      <c r="R656" s="1195"/>
      <c r="S656" s="1195"/>
      <c r="T656" s="1195"/>
      <c r="U656" s="1195"/>
    </row>
    <row r="657" spans="1:21" ht="15" customHeight="1">
      <c r="A657" s="229" t="str">
        <f>'Ввод данных'!A187</f>
        <v>Мембрана Tyvek AirGuard Reflective</v>
      </c>
      <c r="B657" s="229" t="str">
        <f t="shared" si="23"/>
        <v>м2</v>
      </c>
      <c r="C657" s="229">
        <f>C638*1.25*G632</f>
        <v>139.75424859373686</v>
      </c>
      <c r="D657" s="229">
        <f>VLOOKUP(A657,'Прайс лист'!B820:G831,6,0)</f>
        <v>174</v>
      </c>
      <c r="E657" s="229">
        <f t="shared" si="18"/>
        <v>24317.239255310215</v>
      </c>
      <c r="F657" s="1194"/>
      <c r="G657" s="2284" t="str">
        <f t="shared" si="24"/>
        <v>пароизоляц</v>
      </c>
      <c r="H657" s="2284" t="str">
        <f t="shared" si="25"/>
        <v>м2</v>
      </c>
      <c r="I657" s="2284">
        <f>C637*H632*IF(A657='Прайс лист'!B820,0,1)</f>
        <v>160.78625885461804</v>
      </c>
      <c r="J657" s="2284">
        <f t="shared" si="26"/>
        <v>100</v>
      </c>
      <c r="K657" s="275">
        <f t="shared" si="27"/>
        <v>16078.625885461805</v>
      </c>
      <c r="M657" s="1195"/>
      <c r="N657" s="1195"/>
      <c r="O657" s="1195"/>
      <c r="P657" s="1195"/>
      <c r="Q657" s="1195"/>
      <c r="R657" s="1195"/>
      <c r="S657" s="1195"/>
      <c r="T657" s="1195"/>
      <c r="U657" s="1195"/>
    </row>
    <row r="658" spans="1:21" ht="15" customHeight="1">
      <c r="A658" s="229" t="str">
        <f>'Ввод данных'!A180</f>
        <v>Плитный,28кг/м3, технониколь, 200мм</v>
      </c>
      <c r="B658" s="229" t="str">
        <f t="shared" si="23"/>
        <v>м3</v>
      </c>
      <c r="C658" s="229">
        <f>VLOOKUP(A658,'Прайс лист'!B744:G782,3,0)*C638*G632</f>
        <v>22.360679774997898</v>
      </c>
      <c r="D658" s="229">
        <f>VLOOKUP(A658,'Прайс лист'!B744:G782,6,0)</f>
        <v>1700</v>
      </c>
      <c r="E658" s="229">
        <f t="shared" si="18"/>
        <v>38013.155617496428</v>
      </c>
      <c r="F658" s="1194"/>
      <c r="G658" s="2284" t="str">
        <f t="shared" si="24"/>
        <v>утеплитель</v>
      </c>
      <c r="H658" s="2284" t="str">
        <f t="shared" si="25"/>
        <v>м2</v>
      </c>
      <c r="I658" s="2284">
        <f>C638*IF(A658='Прайс лист'!B744,0,1)*H632</f>
        <v>111.80339887498948</v>
      </c>
      <c r="J658" s="2284">
        <f t="shared" si="26"/>
        <v>200</v>
      </c>
      <c r="K658" s="275">
        <f t="shared" si="27"/>
        <v>22360.679774997898</v>
      </c>
      <c r="M658" s="1195"/>
      <c r="N658" s="1195"/>
      <c r="O658" s="1195"/>
      <c r="P658" s="1195"/>
      <c r="Q658" s="1195"/>
      <c r="R658" s="1195"/>
      <c r="S658" s="1195"/>
      <c r="T658" s="1195"/>
      <c r="U658" s="1195"/>
    </row>
    <row r="659" spans="1:21" ht="15" customHeight="1">
      <c r="A659" s="229" t="str">
        <f t="shared" ref="A659:A670" si="28">A274</f>
        <v>Металлочерепица</v>
      </c>
      <c r="B659" s="229" t="str">
        <f t="shared" si="23"/>
        <v>м2</v>
      </c>
      <c r="C659" s="229">
        <f>C637*1.2*C634*G632</f>
        <v>192.94351062554165</v>
      </c>
      <c r="D659" s="229">
        <f t="shared" ref="D659:D670" si="29">D274</f>
        <v>250</v>
      </c>
      <c r="E659" s="229">
        <f t="shared" si="18"/>
        <v>48235.877656385412</v>
      </c>
      <c r="F659" s="1194"/>
      <c r="G659" s="2284" t="str">
        <f t="shared" si="24"/>
        <v>карнизная планка</v>
      </c>
      <c r="H659" s="2284" t="str">
        <f t="shared" si="25"/>
        <v>м2</v>
      </c>
      <c r="I659" s="2284">
        <f>C660*H632+C664*H632</f>
        <v>14.278000000000004</v>
      </c>
      <c r="J659" s="2284">
        <f t="shared" si="26"/>
        <v>100</v>
      </c>
      <c r="K659" s="275">
        <f t="shared" si="27"/>
        <v>1427.8000000000004</v>
      </c>
    </row>
    <row r="660" spans="1:21" ht="15" customHeight="1">
      <c r="A660" s="229" t="str">
        <f t="shared" si="28"/>
        <v>Карнизная планка</v>
      </c>
      <c r="B660" s="229" t="str">
        <f t="shared" si="23"/>
        <v>м.п.</v>
      </c>
      <c r="C660" s="229">
        <f>(дома!P1197+дома!Q1198)*1.1*(C634+C636)*G632</f>
        <v>14.278000000000004</v>
      </c>
      <c r="D660" s="229">
        <f t="shared" si="29"/>
        <v>190</v>
      </c>
      <c r="E660" s="229">
        <f t="shared" si="18"/>
        <v>2712.8200000000006</v>
      </c>
      <c r="F660" s="1194"/>
      <c r="G660" s="2284" t="str">
        <f t="shared" si="24"/>
        <v>торцевая планка</v>
      </c>
      <c r="H660" s="2284" t="str">
        <f t="shared" si="25"/>
        <v>м2</v>
      </c>
      <c r="I660" s="2284">
        <f>C661*H632+C665*H632</f>
        <v>41.838455040691507</v>
      </c>
      <c r="J660" s="2284">
        <f t="shared" si="26"/>
        <v>100</v>
      </c>
      <c r="K660" s="275">
        <f t="shared" si="27"/>
        <v>4183.8455040691506</v>
      </c>
    </row>
    <row r="661" spans="1:21" ht="15" customHeight="1">
      <c r="A661" s="229" t="str">
        <f t="shared" si="28"/>
        <v>Торцевая планка</v>
      </c>
      <c r="B661" s="229" t="str">
        <f t="shared" si="23"/>
        <v>м.п.</v>
      </c>
      <c r="C661" s="229">
        <f>(дома!P1199+дома!Q1200)*1.1*(C634+C636)*G632</f>
        <v>41.838455040691507</v>
      </c>
      <c r="D661" s="229">
        <f t="shared" si="29"/>
        <v>190</v>
      </c>
      <c r="E661" s="229">
        <f t="shared" si="18"/>
        <v>7949.3064577313862</v>
      </c>
      <c r="F661" s="1194"/>
      <c r="G661" s="2284" t="str">
        <f t="shared" si="24"/>
        <v>конек</v>
      </c>
      <c r="H661" s="2284" t="str">
        <f t="shared" si="25"/>
        <v>м.п.</v>
      </c>
      <c r="I661" s="2284">
        <f>C662*H632+C666*H632</f>
        <v>12.980000000000002</v>
      </c>
      <c r="J661" s="2284">
        <f t="shared" si="26"/>
        <v>300</v>
      </c>
      <c r="K661" s="275">
        <f t="shared" si="27"/>
        <v>3894.0000000000005</v>
      </c>
    </row>
    <row r="662" spans="1:21" ht="15" customHeight="1">
      <c r="A662" s="229" t="str">
        <f t="shared" si="28"/>
        <v>Конек</v>
      </c>
      <c r="B662" s="229" t="str">
        <f t="shared" si="23"/>
        <v>м.п.</v>
      </c>
      <c r="C662" s="229">
        <f>C639*1.1*(C634)*G632</f>
        <v>12.980000000000002</v>
      </c>
      <c r="D662" s="229">
        <f t="shared" si="29"/>
        <v>200</v>
      </c>
      <c r="E662" s="229">
        <f t="shared" si="18"/>
        <v>2596.0000000000005</v>
      </c>
      <c r="F662" s="1194"/>
      <c r="G662" s="2284" t="str">
        <f t="shared" si="24"/>
        <v>желоб водосточный</v>
      </c>
      <c r="H662" s="2284" t="str">
        <f t="shared" si="25"/>
        <v>м.п.</v>
      </c>
      <c r="I662" s="2284">
        <f>C682*H632</f>
        <v>11.8</v>
      </c>
      <c r="J662" s="2284">
        <f t="shared" si="26"/>
        <v>300</v>
      </c>
      <c r="K662" s="275">
        <f t="shared" si="27"/>
        <v>3540</v>
      </c>
    </row>
    <row r="663" spans="1:21" ht="15" customHeight="1">
      <c r="A663" s="229" t="str">
        <f t="shared" si="28"/>
        <v>ондулин</v>
      </c>
      <c r="B663" s="229" t="str">
        <f t="shared" si="23"/>
        <v>м2</v>
      </c>
      <c r="C663" s="229">
        <f>C637*1.2*C635*G632</f>
        <v>0</v>
      </c>
      <c r="D663" s="229">
        <f t="shared" si="29"/>
        <v>180</v>
      </c>
      <c r="E663" s="229">
        <f t="shared" si="18"/>
        <v>0</v>
      </c>
      <c r="F663" s="1194"/>
      <c r="G663" s="2284" t="str">
        <f t="shared" si="24"/>
        <v>труба водосточная</v>
      </c>
      <c r="H663" s="2284" t="str">
        <f t="shared" si="25"/>
        <v>м.п.</v>
      </c>
      <c r="I663" s="2284">
        <f>C684*H632</f>
        <v>8.4</v>
      </c>
      <c r="J663" s="2284">
        <f t="shared" si="26"/>
        <v>300</v>
      </c>
      <c r="K663" s="275">
        <f t="shared" si="27"/>
        <v>2520</v>
      </c>
    </row>
    <row r="664" spans="1:21" ht="15" customHeight="1">
      <c r="A664" s="229" t="str">
        <f t="shared" si="28"/>
        <v>Карнизная планка</v>
      </c>
      <c r="B664" s="229" t="str">
        <f t="shared" si="23"/>
        <v>м.п.</v>
      </c>
      <c r="C664" s="229">
        <f>(дома!P1197+дома!Q1198)*1.1*(C635)*G632</f>
        <v>0</v>
      </c>
      <c r="D664" s="229">
        <f t="shared" si="29"/>
        <v>190</v>
      </c>
      <c r="E664" s="229">
        <f t="shared" si="18"/>
        <v>0</v>
      </c>
      <c r="F664" s="1194"/>
      <c r="G664" s="2284" t="str">
        <f t="shared" si="24"/>
        <v>Монтаж фанеры/osb</v>
      </c>
      <c r="H664" s="2284" t="str">
        <f t="shared" si="25"/>
        <v>м2</v>
      </c>
      <c r="I664" s="2284">
        <f>C637*IF(A671='Прайс лист'!B1027,0,1)*H632</f>
        <v>0</v>
      </c>
      <c r="J664" s="2284">
        <f t="shared" si="26"/>
        <v>200</v>
      </c>
      <c r="K664" s="275">
        <f t="shared" si="27"/>
        <v>0</v>
      </c>
    </row>
    <row r="665" spans="1:21" ht="15" customHeight="1">
      <c r="A665" s="229" t="str">
        <f t="shared" si="28"/>
        <v>Торцевая планка</v>
      </c>
      <c r="B665" s="229" t="str">
        <f t="shared" si="23"/>
        <v>м.п.</v>
      </c>
      <c r="C665" s="229">
        <f>(дома!P1199+дома!Q1200)*1.1*(C635)*G632</f>
        <v>0</v>
      </c>
      <c r="D665" s="229">
        <f t="shared" si="29"/>
        <v>190</v>
      </c>
      <c r="E665" s="229">
        <f t="shared" si="18"/>
        <v>0</v>
      </c>
      <c r="F665" s="1194"/>
      <c r="G665" s="2284" t="str">
        <f t="shared" si="24"/>
        <v>монтаж подкладочного ковра</v>
      </c>
      <c r="H665" s="2284" t="str">
        <f t="shared" si="25"/>
        <v>м2</v>
      </c>
      <c r="I665" s="2284">
        <f>C637*C636*H632</f>
        <v>0</v>
      </c>
      <c r="J665" s="2284">
        <f t="shared" si="26"/>
        <v>150</v>
      </c>
      <c r="K665" s="275">
        <f t="shared" si="27"/>
        <v>0</v>
      </c>
    </row>
    <row r="666" spans="1:21" ht="15" customHeight="1">
      <c r="A666" s="229" t="str">
        <f t="shared" si="28"/>
        <v>Конек</v>
      </c>
      <c r="B666" s="229" t="str">
        <f t="shared" si="23"/>
        <v>м.п</v>
      </c>
      <c r="C666" s="229">
        <f>C639*1.1*C635*G632</f>
        <v>0</v>
      </c>
      <c r="D666" s="229">
        <f t="shared" si="29"/>
        <v>200</v>
      </c>
      <c r="E666" s="229">
        <f t="shared" si="18"/>
        <v>0</v>
      </c>
      <c r="F666" s="1194"/>
      <c r="G666" s="2284" t="str">
        <f t="shared" si="24"/>
        <v>Монтаж мягкой кровли</v>
      </c>
      <c r="H666" s="2284" t="str">
        <f t="shared" si="25"/>
        <v>м2</v>
      </c>
      <c r="I666" s="2284">
        <f>C637*C636*H632</f>
        <v>0</v>
      </c>
      <c r="J666" s="2284">
        <f t="shared" si="26"/>
        <v>350</v>
      </c>
      <c r="K666" s="275">
        <f t="shared" si="27"/>
        <v>0</v>
      </c>
    </row>
    <row r="667" spans="1:21" ht="15" customHeight="1">
      <c r="A667" s="229" t="str">
        <f t="shared" si="28"/>
        <v>Ендова нижняя</v>
      </c>
      <c r="B667" s="229" t="str">
        <f t="shared" si="23"/>
        <v>м.п.</v>
      </c>
      <c r="C667" s="229">
        <v>0</v>
      </c>
      <c r="D667" s="229">
        <f t="shared" si="29"/>
        <v>160</v>
      </c>
      <c r="E667" s="229">
        <f t="shared" si="18"/>
        <v>0</v>
      </c>
      <c r="F667" s="1194"/>
    </row>
    <row r="668" spans="1:21" ht="15" customHeight="1">
      <c r="A668" s="229" t="str">
        <f t="shared" si="28"/>
        <v>Ендова верхняя</v>
      </c>
      <c r="B668" s="229" t="str">
        <f t="shared" si="23"/>
        <v>м.п.</v>
      </c>
      <c r="C668" s="229">
        <v>0</v>
      </c>
      <c r="D668" s="229">
        <f t="shared" si="29"/>
        <v>190</v>
      </c>
      <c r="E668" s="229">
        <f t="shared" si="18"/>
        <v>0</v>
      </c>
      <c r="F668" s="1194"/>
      <c r="G668" s="2284"/>
      <c r="H668" s="2284"/>
      <c r="I668" s="2284"/>
      <c r="J668" s="2284"/>
      <c r="K668" s="275"/>
    </row>
    <row r="669" spans="1:21" ht="15" customHeight="1">
      <c r="A669" s="229" t="str">
        <f t="shared" si="28"/>
        <v>Планка примыкания</v>
      </c>
      <c r="B669" s="229" t="str">
        <f t="shared" si="23"/>
        <v>м.п.</v>
      </c>
      <c r="C669" s="229">
        <v>0</v>
      </c>
      <c r="D669" s="229">
        <f t="shared" si="29"/>
        <v>190</v>
      </c>
      <c r="E669" s="229">
        <f t="shared" si="18"/>
        <v>0</v>
      </c>
      <c r="F669" s="1194"/>
      <c r="G669" s="2284"/>
      <c r="H669" s="2284"/>
      <c r="I669" s="2284"/>
      <c r="J669" s="2284"/>
      <c r="K669" s="275"/>
    </row>
    <row r="670" spans="1:21" ht="15" customHeight="1">
      <c r="A670" s="229" t="str">
        <f t="shared" si="28"/>
        <v>Крепеж для ондулина</v>
      </c>
      <c r="B670" s="229" t="str">
        <f t="shared" si="23"/>
        <v>шт</v>
      </c>
      <c r="C670" s="229">
        <f>C663*12*G632</f>
        <v>0</v>
      </c>
      <c r="D670" s="229">
        <f t="shared" si="29"/>
        <v>4.5</v>
      </c>
      <c r="E670" s="229">
        <f t="shared" si="18"/>
        <v>0</v>
      </c>
      <c r="F670" s="1194"/>
      <c r="G670" s="2284"/>
      <c r="H670" s="2284"/>
      <c r="I670" s="2284"/>
      <c r="J670" s="2284"/>
      <c r="K670" s="275"/>
    </row>
    <row r="671" spans="1:21" ht="15" customHeight="1">
      <c r="A671" s="229" t="str">
        <f>'Ввод данных'!A178</f>
        <v>нет</v>
      </c>
      <c r="B671" s="229" t="str">
        <f t="shared" si="23"/>
        <v>м2</v>
      </c>
      <c r="C671" s="229">
        <f>C286*G632</f>
        <v>197.23772248655607</v>
      </c>
      <c r="D671" s="229">
        <f>VLOOKUP(A671,'Прайс лист'!B1027:G1078,6,0)</f>
        <v>0</v>
      </c>
      <c r="E671" s="229">
        <f t="shared" si="18"/>
        <v>0</v>
      </c>
      <c r="F671" s="1194"/>
    </row>
    <row r="672" spans="1:21" ht="15" customHeight="1">
      <c r="A672" s="229" t="str">
        <f t="shared" ref="A672:A698" si="30">A287</f>
        <v>Рядовая черепица</v>
      </c>
      <c r="B672" s="229" t="str">
        <f t="shared" si="23"/>
        <v>м2</v>
      </c>
      <c r="C672" s="229">
        <f>C637*1.05*C636*G632-C675*0.2*G632</f>
        <v>0</v>
      </c>
      <c r="D672" s="229">
        <f t="shared" ref="D672:D698" si="31">D287</f>
        <v>360</v>
      </c>
      <c r="E672" s="229">
        <f t="shared" si="18"/>
        <v>0</v>
      </c>
      <c r="F672" s="1194"/>
    </row>
    <row r="673" spans="1:12" ht="15" customHeight="1">
      <c r="A673" s="229" t="str">
        <f t="shared" si="30"/>
        <v>Металл оцинк защита (карниз)</v>
      </c>
      <c r="B673" s="229" t="str">
        <f t="shared" si="23"/>
        <v>м.п.</v>
      </c>
      <c r="C673" s="229">
        <f>C639*C636*G632</f>
        <v>0</v>
      </c>
      <c r="D673" s="229">
        <f t="shared" si="31"/>
        <v>200</v>
      </c>
      <c r="E673" s="229">
        <f t="shared" si="18"/>
        <v>0</v>
      </c>
      <c r="F673" s="1194"/>
    </row>
    <row r="674" spans="1:12" ht="15" customHeight="1">
      <c r="A674" s="229" t="str">
        <f t="shared" si="30"/>
        <v>Подкладочный ковер</v>
      </c>
      <c r="B674" s="229" t="str">
        <f t="shared" si="23"/>
        <v>м.п.</v>
      </c>
      <c r="C674" s="229">
        <f>C637*1.2*C636*G632</f>
        <v>0</v>
      </c>
      <c r="D674" s="229">
        <f t="shared" si="31"/>
        <v>220</v>
      </c>
      <c r="E674" s="229">
        <f t="shared" si="18"/>
        <v>0</v>
      </c>
      <c r="F674" s="1194"/>
    </row>
    <row r="675" spans="1:12" ht="15" customHeight="1">
      <c r="A675" s="229" t="str">
        <f t="shared" si="30"/>
        <v>Карнизная самоклеющаяся черепица</v>
      </c>
      <c r="B675" s="229" t="str">
        <f t="shared" si="23"/>
        <v>м.п.</v>
      </c>
      <c r="C675" s="229">
        <f>C673*G632</f>
        <v>0</v>
      </c>
      <c r="D675" s="229">
        <f t="shared" si="31"/>
        <v>220</v>
      </c>
      <c r="E675" s="229">
        <f t="shared" si="18"/>
        <v>0</v>
      </c>
      <c r="F675" s="1194"/>
    </row>
    <row r="676" spans="1:12" ht="15" customHeight="1">
      <c r="A676" s="229" t="str">
        <f t="shared" si="30"/>
        <v>Спец ковер ендова нижняя</v>
      </c>
      <c r="B676" s="229" t="str">
        <f t="shared" si="23"/>
        <v>м.п.</v>
      </c>
      <c r="C676" s="229">
        <v>0</v>
      </c>
      <c r="D676" s="229">
        <f t="shared" si="31"/>
        <v>200</v>
      </c>
      <c r="E676" s="229">
        <f t="shared" si="18"/>
        <v>0</v>
      </c>
      <c r="F676" s="1194"/>
    </row>
    <row r="677" spans="1:12" ht="15" customHeight="1">
      <c r="A677" s="229" t="str">
        <f t="shared" si="30"/>
        <v>Коньковой элемент</v>
      </c>
      <c r="B677" s="229" t="str">
        <f t="shared" si="23"/>
        <v>м.п.</v>
      </c>
      <c r="C677" s="229">
        <f>C639*1.1*C636*G632</f>
        <v>0</v>
      </c>
      <c r="D677" s="229">
        <f t="shared" si="31"/>
        <v>250</v>
      </c>
      <c r="E677" s="229">
        <f t="shared" si="18"/>
        <v>0</v>
      </c>
      <c r="F677" s="1194"/>
    </row>
    <row r="678" spans="1:12" ht="15" customHeight="1">
      <c r="A678" s="229" t="str">
        <f t="shared" si="30"/>
        <v>Планка премыкания</v>
      </c>
      <c r="B678" s="229" t="str">
        <f t="shared" si="23"/>
        <v>м.п.</v>
      </c>
      <c r="C678" s="229">
        <v>0</v>
      </c>
      <c r="D678" s="229">
        <f t="shared" si="31"/>
        <v>200</v>
      </c>
      <c r="E678" s="229">
        <f t="shared" si="18"/>
        <v>0</v>
      </c>
      <c r="F678" s="1194"/>
    </row>
    <row r="679" spans="1:12" ht="15" customHeight="1">
      <c r="A679" s="229" t="str">
        <f t="shared" si="30"/>
        <v>Гвозди для крепления подкладочного ковра</v>
      </c>
      <c r="B679" s="229" t="str">
        <f t="shared" si="23"/>
        <v>шт</v>
      </c>
      <c r="C679" s="229">
        <f>C674*12*G632</f>
        <v>0</v>
      </c>
      <c r="D679" s="229">
        <f t="shared" si="31"/>
        <v>1.2E-2</v>
      </c>
      <c r="E679" s="229">
        <f t="shared" ref="E679:E710" si="32">C679*D679</f>
        <v>0</v>
      </c>
      <c r="F679" s="1194"/>
    </row>
    <row r="680" spans="1:12" ht="15" customHeight="1">
      <c r="A680" s="229" t="str">
        <f t="shared" si="30"/>
        <v>Гвозди для крепления черепицы</v>
      </c>
      <c r="B680" s="229" t="str">
        <f t="shared" si="23"/>
        <v>шт</v>
      </c>
      <c r="C680" s="229">
        <f>C637*1.2*22*C636*G632</f>
        <v>0</v>
      </c>
      <c r="D680" s="229">
        <f t="shared" si="31"/>
        <v>0.25</v>
      </c>
      <c r="E680" s="229">
        <f t="shared" si="32"/>
        <v>0</v>
      </c>
      <c r="F680" s="1194"/>
    </row>
    <row r="681" spans="1:12" ht="15" customHeight="1">
      <c r="A681" s="229" t="str">
        <f t="shared" si="30"/>
        <v>Клей для монтажа черепицы</v>
      </c>
      <c r="B681" s="229" t="str">
        <f t="shared" si="23"/>
        <v>кг</v>
      </c>
      <c r="C681" s="229">
        <f>C637*C636*G632</f>
        <v>0</v>
      </c>
      <c r="D681" s="229">
        <f t="shared" si="31"/>
        <v>250</v>
      </c>
      <c r="E681" s="229">
        <f t="shared" si="32"/>
        <v>0</v>
      </c>
      <c r="F681" s="1194"/>
    </row>
    <row r="682" spans="1:12" ht="15" customHeight="1">
      <c r="A682" s="229" t="str">
        <f t="shared" si="30"/>
        <v>желоб</v>
      </c>
      <c r="B682" s="229" t="str">
        <f t="shared" si="23"/>
        <v>м.п</v>
      </c>
      <c r="C682" s="229">
        <f>(дома!P1195+дома!Q1196)*G632</f>
        <v>11.8</v>
      </c>
      <c r="D682" s="229">
        <f t="shared" si="31"/>
        <v>300</v>
      </c>
      <c r="E682" s="229">
        <f t="shared" si="32"/>
        <v>3540</v>
      </c>
      <c r="F682" s="1194"/>
      <c r="G682" s="3199"/>
      <c r="H682" s="3199"/>
      <c r="I682" s="229"/>
      <c r="J682" s="275"/>
      <c r="K682" s="2267"/>
      <c r="L682" s="229"/>
    </row>
    <row r="683" spans="1:12" ht="15" customHeight="1">
      <c r="A683" s="229" t="str">
        <f t="shared" si="30"/>
        <v>отвод</v>
      </c>
      <c r="B683" s="229" t="str">
        <f t="shared" si="23"/>
        <v>шт</v>
      </c>
      <c r="C683" s="229">
        <f>IF(AND(C639&lt;6,C639=6),1,2)*G632</f>
        <v>2</v>
      </c>
      <c r="D683" s="229">
        <f t="shared" si="31"/>
        <v>250</v>
      </c>
      <c r="E683" s="229">
        <f t="shared" si="32"/>
        <v>500</v>
      </c>
      <c r="F683" s="1194"/>
      <c r="G683" s="3199"/>
      <c r="H683" s="3199"/>
      <c r="I683" s="229"/>
      <c r="J683" s="275"/>
      <c r="K683" s="2267"/>
      <c r="L683" s="229"/>
    </row>
    <row r="684" spans="1:12" ht="15" customHeight="1">
      <c r="A684" s="229" t="str">
        <f t="shared" si="30"/>
        <v>труба водосточная</v>
      </c>
      <c r="B684" s="229" t="str">
        <f t="shared" si="23"/>
        <v>м.п.</v>
      </c>
      <c r="C684" s="229">
        <f>IF(C683=1,(E236+F236+1)*1.1,(E236+F236+1)*2.1)*G632</f>
        <v>8.4</v>
      </c>
      <c r="D684" s="229">
        <f t="shared" si="31"/>
        <v>300</v>
      </c>
      <c r="E684" s="229">
        <f t="shared" si="32"/>
        <v>2520</v>
      </c>
      <c r="F684" s="1194"/>
      <c r="G684" s="3199"/>
      <c r="H684" s="3199"/>
      <c r="I684" s="229"/>
      <c r="J684" s="275"/>
      <c r="K684" s="2267"/>
      <c r="L684" s="229"/>
    </row>
    <row r="685" spans="1:12" ht="15" customHeight="1">
      <c r="A685" s="229" t="str">
        <f t="shared" si="30"/>
        <v>заглушка для желоба</v>
      </c>
      <c r="B685" s="229" t="str">
        <f t="shared" si="23"/>
        <v>шт</v>
      </c>
      <c r="C685" s="229">
        <f>2</f>
        <v>2</v>
      </c>
      <c r="D685" s="229">
        <f t="shared" si="31"/>
        <v>190</v>
      </c>
      <c r="E685" s="229">
        <f t="shared" si="32"/>
        <v>380</v>
      </c>
      <c r="F685" s="1194"/>
      <c r="G685" s="3199"/>
      <c r="H685" s="3199"/>
      <c r="I685" s="275"/>
      <c r="J685" s="275"/>
      <c r="K685" s="2267"/>
      <c r="L685" s="229"/>
    </row>
    <row r="686" spans="1:12" ht="15" customHeight="1">
      <c r="A686" s="229" t="str">
        <f t="shared" si="30"/>
        <v>соеденитель для желоба</v>
      </c>
      <c r="B686" s="229" t="str">
        <f t="shared" si="23"/>
        <v>шт</v>
      </c>
      <c r="C686" s="229">
        <f>CEILING(C682/2+1,1)</f>
        <v>7</v>
      </c>
      <c r="D686" s="229">
        <f t="shared" si="31"/>
        <v>180</v>
      </c>
      <c r="E686" s="229">
        <f t="shared" si="32"/>
        <v>1260</v>
      </c>
      <c r="F686" s="1194"/>
      <c r="G686" s="3199"/>
      <c r="H686" s="3199"/>
      <c r="I686" s="2226"/>
      <c r="J686" s="2226"/>
      <c r="K686" s="2267"/>
      <c r="L686" s="229"/>
    </row>
    <row r="687" spans="1:12" ht="15" customHeight="1">
      <c r="A687" s="229" t="str">
        <f t="shared" si="30"/>
        <v>кронштейн для желоба</v>
      </c>
      <c r="B687" s="229" t="str">
        <f t="shared" si="23"/>
        <v>шт</v>
      </c>
      <c r="C687" s="229">
        <f>(C682/0.4+4)*G632</f>
        <v>33.5</v>
      </c>
      <c r="D687" s="229">
        <f t="shared" si="31"/>
        <v>130</v>
      </c>
      <c r="E687" s="229">
        <f t="shared" si="32"/>
        <v>4355</v>
      </c>
      <c r="F687" s="1194"/>
      <c r="G687" s="3199"/>
      <c r="H687" s="3199"/>
      <c r="I687" s="2226"/>
      <c r="J687" s="2226"/>
      <c r="K687" s="2267"/>
      <c r="L687" s="229"/>
    </row>
    <row r="688" spans="1:12" ht="15" customHeight="1">
      <c r="A688" s="229" t="str">
        <f t="shared" si="30"/>
        <v>переход из желоба в трубу</v>
      </c>
      <c r="B688" s="229" t="str">
        <f t="shared" si="23"/>
        <v>шт</v>
      </c>
      <c r="C688" s="229">
        <f>C683</f>
        <v>2</v>
      </c>
      <c r="D688" s="229">
        <f t="shared" si="31"/>
        <v>350</v>
      </c>
      <c r="E688" s="229">
        <f t="shared" si="32"/>
        <v>700</v>
      </c>
      <c r="F688" s="1194"/>
      <c r="G688" s="3199"/>
      <c r="H688" s="3199"/>
      <c r="I688" s="2226"/>
      <c r="J688" s="2226"/>
      <c r="K688" s="2267"/>
      <c r="L688" s="229"/>
    </row>
    <row r="689" spans="1:12" ht="15" customHeight="1">
      <c r="A689" s="229" t="str">
        <f t="shared" si="30"/>
        <v>лента дельта мульти бэнд</v>
      </c>
      <c r="B689" s="229" t="str">
        <f t="shared" si="23"/>
        <v>шт</v>
      </c>
      <c r="C689" s="229">
        <f>CEILING(C633/20*1.1,1)</f>
        <v>3</v>
      </c>
      <c r="D689" s="229">
        <f t="shared" si="31"/>
        <v>1200</v>
      </c>
      <c r="E689" s="229">
        <f t="shared" si="32"/>
        <v>3600</v>
      </c>
      <c r="F689" s="1194"/>
      <c r="G689" s="3199"/>
      <c r="H689" s="3199"/>
      <c r="I689" s="2226"/>
      <c r="J689" s="2226"/>
      <c r="K689" s="2267"/>
      <c r="L689" s="229"/>
    </row>
    <row r="690" spans="1:12" ht="15" customHeight="1">
      <c r="A690" s="229" t="str">
        <f t="shared" si="30"/>
        <v>лента дельта sb-60</v>
      </c>
      <c r="B690" s="229" t="str">
        <f t="shared" si="23"/>
        <v>шт</v>
      </c>
      <c r="C690" s="229">
        <f>CEILING(C637/17,1)</f>
        <v>10</v>
      </c>
      <c r="D690" s="229">
        <f t="shared" si="31"/>
        <v>1100</v>
      </c>
      <c r="E690" s="229">
        <f t="shared" si="32"/>
        <v>11000</v>
      </c>
      <c r="F690" s="1194"/>
      <c r="G690" s="3199"/>
      <c r="H690" s="3199"/>
      <c r="I690" s="2226"/>
      <c r="J690" s="2226"/>
      <c r="K690" s="2267"/>
      <c r="L690" s="229"/>
    </row>
    <row r="691" spans="1:12" ht="15" customHeight="1">
      <c r="A691" s="229" t="str">
        <f t="shared" si="30"/>
        <v>проходка кровельная, канализационная</v>
      </c>
      <c r="B691" s="229" t="str">
        <f t="shared" si="23"/>
        <v>шт</v>
      </c>
      <c r="C691" s="229">
        <f>C643</f>
        <v>0</v>
      </c>
      <c r="D691" s="229">
        <f t="shared" si="31"/>
        <v>3500</v>
      </c>
      <c r="E691" s="229">
        <f t="shared" si="32"/>
        <v>0</v>
      </c>
      <c r="F691" s="1194"/>
      <c r="G691" s="3199"/>
      <c r="H691" s="3199"/>
      <c r="I691" s="2226"/>
      <c r="J691" s="2226"/>
      <c r="K691" s="2267"/>
      <c r="L691" s="229"/>
    </row>
    <row r="692" spans="1:12" ht="15" customHeight="1">
      <c r="A692" s="229" t="str">
        <f t="shared" si="30"/>
        <v>проходка кровельная, вентиляционная</v>
      </c>
      <c r="B692" s="229" t="str">
        <f t="shared" si="23"/>
        <v>шт</v>
      </c>
      <c r="C692" s="229">
        <f>C644</f>
        <v>0</v>
      </c>
      <c r="D692" s="229">
        <f t="shared" si="31"/>
        <v>3500</v>
      </c>
      <c r="E692" s="229">
        <f t="shared" si="32"/>
        <v>0</v>
      </c>
      <c r="F692" s="1194"/>
      <c r="G692" s="3199"/>
      <c r="H692" s="3199"/>
      <c r="I692" s="2226"/>
      <c r="J692" s="2226"/>
      <c r="K692" s="2267"/>
      <c r="L692" s="229"/>
    </row>
    <row r="693" spans="1:12" ht="15" customHeight="1">
      <c r="A693" s="229" t="str">
        <f t="shared" si="30"/>
        <v>проодка кровельная, труба котел</v>
      </c>
      <c r="B693" s="229" t="str">
        <f t="shared" si="23"/>
        <v>шт</v>
      </c>
      <c r="C693" s="229">
        <f>C645</f>
        <v>0</v>
      </c>
      <c r="D693" s="229">
        <f t="shared" si="31"/>
        <v>4500</v>
      </c>
      <c r="E693" s="229">
        <f t="shared" si="32"/>
        <v>0</v>
      </c>
      <c r="F693" s="1194"/>
      <c r="G693" s="3199"/>
      <c r="H693" s="3199"/>
      <c r="I693" s="2226"/>
      <c r="J693" s="2226"/>
      <c r="K693" s="2267"/>
      <c r="L693" s="229"/>
    </row>
    <row r="694" spans="1:12" ht="15" customHeight="1">
      <c r="A694" s="229" t="str">
        <f t="shared" si="30"/>
        <v>Кровельный саморез</v>
      </c>
      <c r="B694" s="229" t="str">
        <f t="shared" si="23"/>
        <v>шт</v>
      </c>
      <c r="C694" s="229">
        <f>C659*12*G632</f>
        <v>2315.3221275064998</v>
      </c>
      <c r="D694" s="229">
        <f t="shared" si="31"/>
        <v>2</v>
      </c>
      <c r="E694" s="229">
        <f t="shared" si="32"/>
        <v>4630.6442550129996</v>
      </c>
      <c r="F694" s="1194"/>
      <c r="G694" s="3199"/>
      <c r="H694" s="3199"/>
      <c r="I694" s="2226"/>
      <c r="J694" s="2226"/>
      <c r="K694" s="2267"/>
      <c r="L694" s="229"/>
    </row>
    <row r="695" spans="1:12" ht="15" customHeight="1">
      <c r="A695" s="229" t="str">
        <f t="shared" si="30"/>
        <v xml:space="preserve">Гвозди ершоные 3,4 x 60            </v>
      </c>
      <c r="B695" s="229" t="str">
        <f t="shared" si="23"/>
        <v>кг</v>
      </c>
      <c r="C695" s="229">
        <f>C637*0.1*G632</f>
        <v>16.078625885461804</v>
      </c>
      <c r="D695" s="229">
        <f t="shared" si="31"/>
        <v>75.510000000000005</v>
      </c>
      <c r="E695" s="229">
        <f t="shared" si="32"/>
        <v>1214.097040611221</v>
      </c>
      <c r="F695" s="1194"/>
      <c r="G695" s="3199"/>
      <c r="H695" s="3199"/>
      <c r="I695" s="2226"/>
      <c r="J695" s="2226"/>
      <c r="K695" s="2267"/>
      <c r="L695" s="229"/>
    </row>
    <row r="696" spans="1:12" ht="15" customHeight="1">
      <c r="A696" s="229" t="str">
        <f t="shared" si="30"/>
        <v xml:space="preserve">Гвозди ершоные 2,8 х 90            </v>
      </c>
      <c r="B696" s="229" t="str">
        <f t="shared" si="23"/>
        <v>кг</v>
      </c>
      <c r="C696" s="229">
        <f>(C649+C650+C651+C653)*3*G632</f>
        <v>36.450987050938132</v>
      </c>
      <c r="D696" s="229">
        <f t="shared" si="31"/>
        <v>76.489999999999995</v>
      </c>
      <c r="E696" s="229">
        <f t="shared" si="32"/>
        <v>2788.1359995262574</v>
      </c>
      <c r="F696" s="1194"/>
      <c r="G696" s="3199"/>
      <c r="H696" s="3199"/>
      <c r="I696" s="2226"/>
      <c r="J696" s="2226"/>
      <c r="K696" s="2267"/>
      <c r="L696" s="229"/>
    </row>
    <row r="697" spans="1:12" ht="15" customHeight="1">
      <c r="A697" s="229" t="str">
        <f t="shared" si="30"/>
        <v xml:space="preserve">Пластина соеденительная 100х240х2           </v>
      </c>
      <c r="B697" s="229" t="str">
        <f t="shared" si="23"/>
        <v>шт</v>
      </c>
      <c r="C697" s="229">
        <v>0</v>
      </c>
      <c r="D697" s="229">
        <f t="shared" si="31"/>
        <v>31.54</v>
      </c>
      <c r="E697" s="229">
        <f t="shared" si="32"/>
        <v>0</v>
      </c>
      <c r="F697" s="1194"/>
      <c r="G697" s="3199"/>
      <c r="H697" s="3199"/>
      <c r="I697" s="2226"/>
      <c r="J697" s="2226"/>
      <c r="K697" s="2267"/>
      <c r="L697" s="229"/>
    </row>
    <row r="698" spans="1:12" ht="15" customHeight="1">
      <c r="A698" s="229" t="str">
        <f t="shared" si="30"/>
        <v xml:space="preserve">Уголок усиленный 90х70х55х2,5        </v>
      </c>
      <c r="B698" s="229" t="str">
        <f t="shared" si="23"/>
        <v>шт</v>
      </c>
      <c r="C698" s="229">
        <f>CEILING((C639/0.6+2)*3,1)</f>
        <v>65</v>
      </c>
      <c r="D698" s="229">
        <f t="shared" si="31"/>
        <v>30</v>
      </c>
      <c r="E698" s="229">
        <f t="shared" si="32"/>
        <v>1950</v>
      </c>
      <c r="F698" s="1194"/>
      <c r="G698" s="3199"/>
      <c r="H698" s="3199"/>
      <c r="I698" s="2226"/>
      <c r="J698" s="2226"/>
      <c r="K698" s="2267"/>
      <c r="L698" s="229"/>
    </row>
    <row r="699" spans="1:12" ht="15" customHeight="1">
      <c r="A699" s="229" t="str">
        <f>'Ввод данных'!A190</f>
        <v>Нет техники</v>
      </c>
      <c r="B699" s="229" t="str">
        <f>'Ввод данных'!B190</f>
        <v>ед.</v>
      </c>
      <c r="C699" s="229">
        <f>'Ввод данных'!C190</f>
        <v>4</v>
      </c>
      <c r="D699" s="229">
        <f>VLOOKUP(A699,'Прайс лист'!B180:G194,6,0)</f>
        <v>0</v>
      </c>
      <c r="E699" s="229">
        <f t="shared" si="32"/>
        <v>0</v>
      </c>
      <c r="F699" s="1194"/>
      <c r="G699" s="2286"/>
      <c r="H699" s="2286"/>
      <c r="I699" s="2220"/>
      <c r="J699" s="2220"/>
      <c r="K699" s="2268"/>
      <c r="L699" s="229"/>
    </row>
    <row r="700" spans="1:12" ht="15" customHeight="1">
      <c r="A700" s="229" t="str">
        <f>'Ввод данных'!A191</f>
        <v>Нет техники</v>
      </c>
      <c r="B700" s="229" t="str">
        <f>'Ввод данных'!B191</f>
        <v>ед.</v>
      </c>
      <c r="C700" s="229">
        <f>'Ввод данных'!C191</f>
        <v>0</v>
      </c>
      <c r="D700" s="229">
        <f>VLOOKUP(A700,'Прайс лист'!B180:G194,6,0)</f>
        <v>0</v>
      </c>
      <c r="E700" s="229">
        <f t="shared" si="32"/>
        <v>0</v>
      </c>
      <c r="F700" s="1194"/>
      <c r="G700" s="2286"/>
      <c r="H700" s="2286"/>
      <c r="I700" s="2220"/>
      <c r="J700" s="2220"/>
      <c r="K700" s="2268"/>
      <c r="L700" s="229"/>
    </row>
    <row r="701" spans="1:12" ht="15" customHeight="1">
      <c r="A701" s="229" t="str">
        <f>'Ввод данных'!A193</f>
        <v>расходные материалы односкатная кровля</v>
      </c>
      <c r="B701" s="229" t="str">
        <f>'Ввод данных'!B193</f>
        <v>рублей</v>
      </c>
      <c r="C701" s="229">
        <f>1</f>
        <v>1</v>
      </c>
      <c r="D701" s="229">
        <f>'Ввод данных'!C193</f>
        <v>10000</v>
      </c>
      <c r="E701" s="229">
        <f t="shared" si="32"/>
        <v>10000</v>
      </c>
      <c r="F701" s="1194"/>
      <c r="G701" s="2286"/>
      <c r="H701" s="2286"/>
      <c r="I701" s="2220"/>
      <c r="J701" s="2220"/>
      <c r="K701" s="2268"/>
      <c r="L701" s="229"/>
    </row>
    <row r="702" spans="1:12" ht="15" customHeight="1">
      <c r="A702" s="1194"/>
      <c r="B702" s="1194"/>
      <c r="C702" s="1194"/>
      <c r="D702" s="1194"/>
      <c r="E702" s="229">
        <f>SUM(E649:E701)</f>
        <v>293501.36162071594</v>
      </c>
      <c r="F702" s="1194"/>
      <c r="G702" s="1194"/>
      <c r="H702" s="1195"/>
      <c r="I702" s="1195"/>
      <c r="J702" s="1195"/>
      <c r="K702" s="2623"/>
      <c r="L702" s="2226"/>
    </row>
    <row r="703" spans="1:12" ht="15" customHeight="1">
      <c r="A703" s="229" t="s">
        <v>2726</v>
      </c>
      <c r="B703" s="2262">
        <f>E702</f>
        <v>293501.36162071594</v>
      </c>
      <c r="C703" s="1194"/>
      <c r="D703" s="1194"/>
      <c r="E703" s="1194"/>
      <c r="F703" s="1194"/>
      <c r="G703" s="1194"/>
      <c r="H703" s="1195"/>
      <c r="I703" s="1195"/>
      <c r="J703" s="1195"/>
      <c r="K703" s="2623"/>
      <c r="L703" s="1195"/>
    </row>
    <row r="704" spans="1:12" ht="15" customHeight="1">
      <c r="A704" s="229" t="s">
        <v>2727</v>
      </c>
      <c r="B704" s="2262">
        <f>L702</f>
        <v>0</v>
      </c>
      <c r="C704" s="1194"/>
      <c r="D704" s="1194"/>
      <c r="E704" s="1194"/>
      <c r="F704" s="1194"/>
      <c r="G704" s="1194"/>
      <c r="H704" s="1195"/>
      <c r="I704" s="1195"/>
      <c r="J704" s="1195"/>
      <c r="K704" s="2623"/>
      <c r="L704" s="1195"/>
    </row>
    <row r="705" spans="1:12" ht="15" customHeight="1">
      <c r="A705" s="259" t="s">
        <v>2728</v>
      </c>
      <c r="B705" s="2624">
        <f>SUM(B703:B704)</f>
        <v>293501.36162071594</v>
      </c>
      <c r="C705" s="1194"/>
      <c r="D705" s="1194"/>
      <c r="E705" s="1194"/>
      <c r="F705" s="1194"/>
      <c r="G705" s="1194"/>
      <c r="H705" s="1195"/>
      <c r="I705" s="1195"/>
      <c r="J705" s="1195"/>
      <c r="K705" s="2623"/>
      <c r="L705" s="1195"/>
    </row>
    <row r="706" spans="1:12" ht="15" customHeight="1">
      <c r="A706" s="275" t="s">
        <v>1883</v>
      </c>
      <c r="B706" s="2569"/>
      <c r="C706" s="3260"/>
      <c r="D706" s="3260"/>
      <c r="E706" s="3260"/>
      <c r="F706" s="3260"/>
      <c r="G706" s="2277"/>
      <c r="H706" s="2228"/>
      <c r="I706" s="2228"/>
      <c r="J706" s="2228"/>
      <c r="K706" s="2268"/>
      <c r="L706" s="2228"/>
    </row>
  </sheetData>
  <mergeCells count="237">
    <mergeCell ref="G698:H698"/>
    <mergeCell ref="C706:F706"/>
    <mergeCell ref="G689:H689"/>
    <mergeCell ref="G690:H690"/>
    <mergeCell ref="G691:H691"/>
    <mergeCell ref="G692:H692"/>
    <mergeCell ref="G693:H693"/>
    <mergeCell ref="G694:H694"/>
    <mergeCell ref="G695:H695"/>
    <mergeCell ref="G696:H696"/>
    <mergeCell ref="G697:H697"/>
    <mergeCell ref="A631:I631"/>
    <mergeCell ref="A632:F632"/>
    <mergeCell ref="G682:H682"/>
    <mergeCell ref="G683:H683"/>
    <mergeCell ref="G684:H684"/>
    <mergeCell ref="G685:H685"/>
    <mergeCell ref="G686:H686"/>
    <mergeCell ref="G687:H687"/>
    <mergeCell ref="G688:H688"/>
    <mergeCell ref="G611:H611"/>
    <mergeCell ref="G612:H612"/>
    <mergeCell ref="G613:H613"/>
    <mergeCell ref="G614:H614"/>
    <mergeCell ref="G615:H615"/>
    <mergeCell ref="G616:H616"/>
    <mergeCell ref="G617:H617"/>
    <mergeCell ref="G618:H618"/>
    <mergeCell ref="G619:H619"/>
    <mergeCell ref="G547:H547"/>
    <mergeCell ref="G548:H548"/>
    <mergeCell ref="A557:L557"/>
    <mergeCell ref="A558:F558"/>
    <mergeCell ref="G574:H574"/>
    <mergeCell ref="G607:H607"/>
    <mergeCell ref="G608:H608"/>
    <mergeCell ref="G609:H609"/>
    <mergeCell ref="G610:H610"/>
    <mergeCell ref="A492:F493"/>
    <mergeCell ref="G507:H507"/>
    <mergeCell ref="G508:H508"/>
    <mergeCell ref="G541:H541"/>
    <mergeCell ref="G542:H542"/>
    <mergeCell ref="G543:H543"/>
    <mergeCell ref="G544:H544"/>
    <mergeCell ref="G545:H545"/>
    <mergeCell ref="G546:H546"/>
    <mergeCell ref="G391:H391"/>
    <mergeCell ref="G392:H392"/>
    <mergeCell ref="G394:H394"/>
    <mergeCell ref="C401:F401"/>
    <mergeCell ref="A403:L404"/>
    <mergeCell ref="A405:F406"/>
    <mergeCell ref="A425:A426"/>
    <mergeCell ref="C488:F488"/>
    <mergeCell ref="A490:L491"/>
    <mergeCell ref="G382:H382"/>
    <mergeCell ref="G383:H383"/>
    <mergeCell ref="G384:H384"/>
    <mergeCell ref="G385:H385"/>
    <mergeCell ref="G386:H386"/>
    <mergeCell ref="G387:H387"/>
    <mergeCell ref="G388:H388"/>
    <mergeCell ref="G389:H389"/>
    <mergeCell ref="G390:H390"/>
    <mergeCell ref="A323:L324"/>
    <mergeCell ref="A325:F326"/>
    <mergeCell ref="G346:H346"/>
    <mergeCell ref="G347:H347"/>
    <mergeCell ref="G377:H377"/>
    <mergeCell ref="G378:H378"/>
    <mergeCell ref="G379:H379"/>
    <mergeCell ref="G380:H380"/>
    <mergeCell ref="G381:H381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C321:F321"/>
    <mergeCell ref="G297:H297"/>
    <mergeCell ref="G298:H298"/>
    <mergeCell ref="G299:H299"/>
    <mergeCell ref="G300:H300"/>
    <mergeCell ref="G301:H301"/>
    <mergeCell ref="G302:H302"/>
    <mergeCell ref="G303:H303"/>
    <mergeCell ref="G304:H304"/>
    <mergeCell ref="G305:H305"/>
    <mergeCell ref="A240:F240"/>
    <mergeCell ref="A250:A251"/>
    <mergeCell ref="A254:A255"/>
    <mergeCell ref="A256:A257"/>
    <mergeCell ref="G261:H261"/>
    <mergeCell ref="G263:H263"/>
    <mergeCell ref="G264:H264"/>
    <mergeCell ref="G265:H265"/>
    <mergeCell ref="G266:H266"/>
    <mergeCell ref="H194:I194"/>
    <mergeCell ref="H195:I195"/>
    <mergeCell ref="H196:I196"/>
    <mergeCell ref="H197:I197"/>
    <mergeCell ref="A234:I234"/>
    <mergeCell ref="H235:I235"/>
    <mergeCell ref="C237:D237"/>
    <mergeCell ref="G237:H237"/>
    <mergeCell ref="A239:I239"/>
    <mergeCell ref="H183:I183"/>
    <mergeCell ref="A185:C185"/>
    <mergeCell ref="A186:C187"/>
    <mergeCell ref="A188:C189"/>
    <mergeCell ref="H189:I189"/>
    <mergeCell ref="H190:I190"/>
    <mergeCell ref="H191:I191"/>
    <mergeCell ref="H192:I192"/>
    <mergeCell ref="H193:I193"/>
    <mergeCell ref="A160:B161"/>
    <mergeCell ref="A162:B163"/>
    <mergeCell ref="A164:B165"/>
    <mergeCell ref="A166:E166"/>
    <mergeCell ref="A168:B170"/>
    <mergeCell ref="A171:B172"/>
    <mergeCell ref="A173:B173"/>
    <mergeCell ref="A174:B174"/>
    <mergeCell ref="H182:I182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9"/>
    <mergeCell ref="A135:C135"/>
    <mergeCell ref="A136:C137"/>
    <mergeCell ref="A138:C139"/>
    <mergeCell ref="A144:B144"/>
    <mergeCell ref="A145:B145"/>
    <mergeCell ref="A146:B146"/>
    <mergeCell ref="A147:B147"/>
    <mergeCell ref="A148:B148"/>
    <mergeCell ref="A149:B149"/>
    <mergeCell ref="A124:C124"/>
    <mergeCell ref="A125:C125"/>
    <mergeCell ref="A126:C126"/>
    <mergeCell ref="A127:C127"/>
    <mergeCell ref="A130:C130"/>
    <mergeCell ref="A131:C131"/>
    <mergeCell ref="A132:C132"/>
    <mergeCell ref="A133:C133"/>
    <mergeCell ref="A134:C134"/>
    <mergeCell ref="A109:C109"/>
    <mergeCell ref="A110:C110"/>
    <mergeCell ref="A111:C112"/>
    <mergeCell ref="A113:C114"/>
    <mergeCell ref="A119:F119"/>
    <mergeCell ref="A120:C120"/>
    <mergeCell ref="A121:C121"/>
    <mergeCell ref="A122:C122"/>
    <mergeCell ref="A123:C123"/>
    <mergeCell ref="A100:D100"/>
    <mergeCell ref="A101:C101"/>
    <mergeCell ref="A102:C102"/>
    <mergeCell ref="A103:C103"/>
    <mergeCell ref="A104:C104"/>
    <mergeCell ref="A105:C105"/>
    <mergeCell ref="A106:C106"/>
    <mergeCell ref="A107:C107"/>
    <mergeCell ref="A108:C108"/>
    <mergeCell ref="A83:C83"/>
    <mergeCell ref="A84:C84"/>
    <mergeCell ref="A85:C85"/>
    <mergeCell ref="A86:C86"/>
    <mergeCell ref="A87:C87"/>
    <mergeCell ref="A96:F96"/>
    <mergeCell ref="A97:C97"/>
    <mergeCell ref="A98:C98"/>
    <mergeCell ref="A99:C99"/>
    <mergeCell ref="A72:B72"/>
    <mergeCell ref="A73:B73"/>
    <mergeCell ref="A76:F76"/>
    <mergeCell ref="A77:C77"/>
    <mergeCell ref="A78:D78"/>
    <mergeCell ref="A79:C79"/>
    <mergeCell ref="A80:C80"/>
    <mergeCell ref="A81:C81"/>
    <mergeCell ref="A82:C82"/>
    <mergeCell ref="A57:B60"/>
    <mergeCell ref="A61:B64"/>
    <mergeCell ref="A65:B65"/>
    <mergeCell ref="A66:B66"/>
    <mergeCell ref="A67:B67"/>
    <mergeCell ref="A68:B68"/>
    <mergeCell ref="A69:B69"/>
    <mergeCell ref="A70:B70"/>
    <mergeCell ref="A71:E71"/>
    <mergeCell ref="A29:C29"/>
    <mergeCell ref="A30:F30"/>
    <mergeCell ref="A32:B32"/>
    <mergeCell ref="A33:B36"/>
    <mergeCell ref="A37:B40"/>
    <mergeCell ref="A41:B44"/>
    <mergeCell ref="A45:B48"/>
    <mergeCell ref="A49:B52"/>
    <mergeCell ref="I49:I56"/>
    <mergeCell ref="A53:B56"/>
    <mergeCell ref="A20:C20"/>
    <mergeCell ref="A21:C21"/>
    <mergeCell ref="A22:C22"/>
    <mergeCell ref="A23:C23"/>
    <mergeCell ref="A24:C24"/>
    <mergeCell ref="A25:F25"/>
    <mergeCell ref="A26:C26"/>
    <mergeCell ref="A27:C27"/>
    <mergeCell ref="A28:C28"/>
    <mergeCell ref="A11:C11"/>
    <mergeCell ref="A12:C12"/>
    <mergeCell ref="A13:C13"/>
    <mergeCell ref="A14:C14"/>
    <mergeCell ref="A15:C15"/>
    <mergeCell ref="A16:C16"/>
    <mergeCell ref="A17:C17"/>
    <mergeCell ref="A18:C18"/>
    <mergeCell ref="A19:F19"/>
    <mergeCell ref="A2:C2"/>
    <mergeCell ref="A3:C3"/>
    <mergeCell ref="A4:C4"/>
    <mergeCell ref="A5:C5"/>
    <mergeCell ref="A6:C6"/>
    <mergeCell ref="A7:C7"/>
    <mergeCell ref="A8:C8"/>
    <mergeCell ref="A9:C9"/>
    <mergeCell ref="A10:C10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AMJ872"/>
  <sheetViews>
    <sheetView zoomScale="60" zoomScaleNormal="60" workbookViewId="0">
      <selection activeCell="C696" sqref="C696"/>
    </sheetView>
  </sheetViews>
  <sheetFormatPr baseColWidth="10" defaultColWidth="9.1640625" defaultRowHeight="15"/>
  <cols>
    <col min="1" max="1" width="63.5" style="1006" customWidth="1"/>
    <col min="2" max="2" width="8.33203125" style="1969" customWidth="1"/>
    <col min="3" max="5" width="9.1640625" style="2657"/>
    <col min="6" max="6" width="10.5" style="2657" customWidth="1"/>
    <col min="7" max="8" width="9.1640625" style="2657"/>
    <col min="9" max="1024" width="9.1640625" style="1006"/>
  </cols>
  <sheetData>
    <row r="1" spans="1:8" ht="18.75" customHeight="1">
      <c r="A1" s="3263" t="s">
        <v>4163</v>
      </c>
      <c r="B1" s="3263"/>
      <c r="C1" s="3263"/>
      <c r="D1" s="3263"/>
      <c r="E1" s="3264" t="s">
        <v>4164</v>
      </c>
      <c r="F1" s="3264"/>
      <c r="G1" s="3264"/>
      <c r="H1" s="2658">
        <f>'Смета Внутр'!H5</f>
        <v>100</v>
      </c>
    </row>
    <row r="2" spans="1:8" ht="18.75" customHeight="1">
      <c r="A2" s="3263"/>
      <c r="B2" s="3263"/>
      <c r="C2" s="3263"/>
      <c r="D2" s="3263"/>
      <c r="E2" s="3265" t="s">
        <v>4165</v>
      </c>
      <c r="F2" s="3265"/>
      <c r="G2" s="3265"/>
      <c r="H2" s="2659">
        <f>'Смета Внутр'!H6</f>
        <v>100</v>
      </c>
    </row>
    <row r="3" spans="1:8" s="2663" customFormat="1" ht="18.75" customHeight="1">
      <c r="A3" s="2660"/>
      <c r="B3" s="2660"/>
      <c r="C3" s="2660"/>
      <c r="D3" s="2660"/>
      <c r="E3" s="2661"/>
      <c r="F3" s="2661"/>
      <c r="G3" s="2661"/>
      <c r="H3" s="2662"/>
    </row>
    <row r="4" spans="1:8" ht="16">
      <c r="A4" s="2664" t="s">
        <v>1093</v>
      </c>
      <c r="B4" s="2665" t="s">
        <v>120</v>
      </c>
      <c r="C4" s="2666" t="s">
        <v>1800</v>
      </c>
      <c r="D4" s="2666" t="s">
        <v>2975</v>
      </c>
      <c r="E4" s="2664" t="s">
        <v>3006</v>
      </c>
      <c r="F4" s="2664" t="s">
        <v>1802</v>
      </c>
      <c r="G4" s="2664" t="s">
        <v>4166</v>
      </c>
      <c r="H4" s="2667">
        <f>H5</f>
        <v>0</v>
      </c>
    </row>
    <row r="5" spans="1:8" ht="21">
      <c r="A5" s="3266" t="s">
        <v>4167</v>
      </c>
      <c r="B5" s="3266"/>
      <c r="C5" s="3266"/>
      <c r="D5" s="3266"/>
      <c r="E5" s="3266"/>
      <c r="F5" s="3266"/>
      <c r="G5" s="2668"/>
      <c r="H5" s="2669">
        <f>SUM(H6:H209)</f>
        <v>0</v>
      </c>
    </row>
    <row r="6" spans="1:8">
      <c r="A6" s="2670" t="str">
        <f>дома!A143</f>
        <v>Стойки каркаса передней/задней стены 1 эт</v>
      </c>
      <c r="B6" s="2671" t="str">
        <f>дома!B143</f>
        <v>м.п.</v>
      </c>
      <c r="C6" s="2672">
        <f>дома!C143</f>
        <v>0.15</v>
      </c>
      <c r="D6" s="2672">
        <f>дома!D143</f>
        <v>0.05</v>
      </c>
      <c r="E6" s="2672">
        <f>дома!E143</f>
        <v>0</v>
      </c>
      <c r="F6" s="2672">
        <f>дома!F143</f>
        <v>0</v>
      </c>
      <c r="G6" s="2672">
        <f>E6*F6*IF('Ввод данных'!$A$8=связи1!$A$150,1,0)</f>
        <v>0</v>
      </c>
      <c r="H6" s="2672">
        <f>дома!G143*IF('Ввод данных'!$A$8=связи1!$A$150,1,0)</f>
        <v>0</v>
      </c>
    </row>
    <row r="7" spans="1:8">
      <c r="A7" s="2670" t="str">
        <f>дома!A144</f>
        <v>Стойки каркаса, левая сторона 1 эт</v>
      </c>
      <c r="B7" s="2671" t="str">
        <f>дома!B144</f>
        <v>м.п.</v>
      </c>
      <c r="C7" s="2672">
        <f>дома!C144</f>
        <v>0.15</v>
      </c>
      <c r="D7" s="2672">
        <f>дома!D144</f>
        <v>0.05</v>
      </c>
      <c r="E7" s="2672">
        <f>дома!E144</f>
        <v>0</v>
      </c>
      <c r="F7" s="2672">
        <f>дома!F144</f>
        <v>0</v>
      </c>
      <c r="G7" s="2672">
        <f>E7*F7*IF('Ввод данных'!$A$8=связи1!$A$150,1,0)</f>
        <v>0</v>
      </c>
      <c r="H7" s="2672">
        <f>дома!G144*IF('Ввод данных'!$A$8=связи1!$A$150,1,0)</f>
        <v>0</v>
      </c>
    </row>
    <row r="8" spans="1:8">
      <c r="A8" s="2670" t="str">
        <f>дома!A145</f>
        <v>Стойки каркаса, правая сторона, 1 эт</v>
      </c>
      <c r="B8" s="2671" t="str">
        <f>дома!B145</f>
        <v>м.п.</v>
      </c>
      <c r="C8" s="2672">
        <f>дома!C145</f>
        <v>0.15</v>
      </c>
      <c r="D8" s="2672">
        <f>дома!D145</f>
        <v>0.05</v>
      </c>
      <c r="E8" s="2672">
        <f>дома!E145</f>
        <v>0</v>
      </c>
      <c r="F8" s="2672">
        <f>дома!F145</f>
        <v>0</v>
      </c>
      <c r="G8" s="2672">
        <f>E8*F8*IF('Ввод данных'!$A$8=связи1!$A$150,1,0)</f>
        <v>0</v>
      </c>
      <c r="H8" s="2672">
        <f>дома!G145*IF('Ввод данных'!$A$8=связи1!$A$150,1,0)</f>
        <v>0</v>
      </c>
    </row>
    <row r="9" spans="1:8">
      <c r="A9" s="2670" t="str">
        <f>дома!A146</f>
        <v>Стойки каркаса левой боковой стены 1 эт</v>
      </c>
      <c r="B9" s="2671" t="str">
        <f>дома!B146</f>
        <v>м.п.</v>
      </c>
      <c r="C9" s="2672">
        <f>дома!C146</f>
        <v>0.15</v>
      </c>
      <c r="D9" s="2672">
        <f>дома!D146</f>
        <v>0.05</v>
      </c>
      <c r="E9" s="2672">
        <f>дома!E146</f>
        <v>0</v>
      </c>
      <c r="F9" s="2672">
        <f>дома!F146</f>
        <v>0</v>
      </c>
      <c r="G9" s="2672">
        <f>E9*F9*IF('Ввод данных'!$A$8=связи1!$A$150,1,0)</f>
        <v>0</v>
      </c>
      <c r="H9" s="2672">
        <f>дома!G146*IF('Ввод данных'!$A$8=связи1!$A$150,1,0)</f>
        <v>0</v>
      </c>
    </row>
    <row r="10" spans="1:8">
      <c r="A10" s="2670" t="str">
        <f>дома!A147</f>
        <v>Стойки каркаса правой боковой стены 1 эт</v>
      </c>
      <c r="B10" s="2671" t="str">
        <f>дома!B147</f>
        <v>м.п.</v>
      </c>
      <c r="C10" s="2672">
        <f>дома!C147</f>
        <v>0.15</v>
      </c>
      <c r="D10" s="2672">
        <f>дома!D147</f>
        <v>0.05</v>
      </c>
      <c r="E10" s="2672">
        <f>дома!E147</f>
        <v>0</v>
      </c>
      <c r="F10" s="2672">
        <f>дома!F147</f>
        <v>0</v>
      </c>
      <c r="G10" s="2672">
        <f>E10*F10*IF('Ввод данных'!$A$8=связи1!$A$150,1,0)</f>
        <v>0</v>
      </c>
      <c r="H10" s="2672">
        <f>дома!G147*IF('Ввод данных'!$A$8=связи1!$A$150,1,0)</f>
        <v>0</v>
      </c>
    </row>
    <row r="11" spans="1:8">
      <c r="A11" s="2670" t="str">
        <f>дома!A149</f>
        <v>Обвязка каркаса верхняя/нижняя наружние стены 1 эт</v>
      </c>
      <c r="B11" s="2671" t="str">
        <f>дома!B149</f>
        <v>м.п.</v>
      </c>
      <c r="C11" s="2672">
        <f>дома!C149</f>
        <v>0.15</v>
      </c>
      <c r="D11" s="2672">
        <f>дома!D149</f>
        <v>0.05</v>
      </c>
      <c r="E11" s="2672">
        <f>дома!E149</f>
        <v>0</v>
      </c>
      <c r="F11" s="2672">
        <f>дома!F149</f>
        <v>1</v>
      </c>
      <c r="G11" s="2672">
        <f>E11*F11*IF('Ввод данных'!$A$8=связи1!$A$150,1,0)</f>
        <v>0</v>
      </c>
      <c r="H11" s="2672">
        <f>дома!G148*IF('Ввод данных'!$A$8=связи1!$A$150,1,0)</f>
        <v>0</v>
      </c>
    </row>
    <row r="12" spans="1:8">
      <c r="A12" s="2670" t="str">
        <f>дома!A150</f>
        <v>Ригель каркаса наружние стены 1 эт</v>
      </c>
      <c r="B12" s="2671" t="str">
        <f>дома!B150</f>
        <v>м.п.</v>
      </c>
      <c r="C12" s="2672">
        <f>дома!C150</f>
        <v>0.15</v>
      </c>
      <c r="D12" s="2672">
        <f>дома!D150</f>
        <v>0.05</v>
      </c>
      <c r="E12" s="2672">
        <f>дома!E150</f>
        <v>0</v>
      </c>
      <c r="F12" s="2672">
        <f>дома!F150</f>
        <v>1</v>
      </c>
      <c r="G12" s="2672">
        <f>E12*F12*IF('Ввод данных'!$A$8=связи1!$A$150,1,0)</f>
        <v>0</v>
      </c>
      <c r="H12" s="2672">
        <f>дома!G149*IF('Ввод данных'!$A$8=связи1!$A$150,1,0)</f>
        <v>0</v>
      </c>
    </row>
    <row r="13" spans="1:8">
      <c r="A13" s="2670" t="str">
        <f>дома!A151</f>
        <v>Стойка каркаса, несущие перегородки, 1 этаж, №1</v>
      </c>
      <c r="B13" s="2671" t="str">
        <f>дома!B151</f>
        <v>м.п.</v>
      </c>
      <c r="C13" s="2672">
        <f>дома!C151</f>
        <v>0.12</v>
      </c>
      <c r="D13" s="2672">
        <f>дома!D151</f>
        <v>0.05</v>
      </c>
      <c r="E13" s="2672">
        <f>дома!E151</f>
        <v>0</v>
      </c>
      <c r="F13" s="2672">
        <f>дома!F151</f>
        <v>0</v>
      </c>
      <c r="G13" s="2672">
        <f>E13*F13*IF('Ввод данных'!$A$8=связи1!$A$150,1,0)</f>
        <v>0</v>
      </c>
      <c r="H13" s="2672">
        <f>дома!G150*IF('Ввод данных'!$A$8=связи1!$A$150,1,0)</f>
        <v>0</v>
      </c>
    </row>
    <row r="14" spans="1:8">
      <c r="A14" s="2670" t="str">
        <f>дома!A178</f>
        <v>Обвязка несущих перегородок верх/низ, 1 этаж</v>
      </c>
      <c r="B14" s="2671" t="str">
        <f>дома!B178</f>
        <v>м.п.</v>
      </c>
      <c r="C14" s="2672">
        <f>дома!C178</f>
        <v>0.12</v>
      </c>
      <c r="D14" s="2672">
        <f>дома!D178</f>
        <v>0.05</v>
      </c>
      <c r="E14" s="2672">
        <f>дома!E178</f>
        <v>0</v>
      </c>
      <c r="F14" s="2672">
        <f>дома!F178</f>
        <v>1</v>
      </c>
      <c r="G14" s="2672">
        <f>E14*F14*IF('Ввод данных'!$A$8=связи1!$A$150,1,0)</f>
        <v>0</v>
      </c>
      <c r="H14" s="2672">
        <f>дома!G151*IF('Ввод данных'!$A$8=связи1!$A$150,1,0)</f>
        <v>0</v>
      </c>
    </row>
    <row r="15" spans="1:8">
      <c r="A15" s="2670" t="str">
        <f>дома!A179</f>
        <v>Ригель несущих перегородок, 1 этаж</v>
      </c>
      <c r="B15" s="2671" t="str">
        <f>дома!B179</f>
        <v>м.п.</v>
      </c>
      <c r="C15" s="2672">
        <f>дома!C179</f>
        <v>0.12</v>
      </c>
      <c r="D15" s="2672">
        <f>дома!D179</f>
        <v>0.05</v>
      </c>
      <c r="E15" s="2672">
        <f>дома!E179</f>
        <v>0</v>
      </c>
      <c r="F15" s="2672">
        <f>дома!F179</f>
        <v>1</v>
      </c>
      <c r="G15" s="2672">
        <f>E15*F15*IF('Ввод данных'!$A$8=связи1!$A$150,1,0)</f>
        <v>0</v>
      </c>
      <c r="H15" s="2672">
        <f>дома!G152*IF('Ввод данных'!$A$8=связи1!$A$150,1,0)</f>
        <v>0</v>
      </c>
    </row>
    <row r="16" spans="1:8">
      <c r="A16" s="2670" t="str">
        <f>дома!A180</f>
        <v>Стойка каркаса, перегородки, 1 этаж</v>
      </c>
      <c r="B16" s="2671" t="str">
        <f>дома!B180</f>
        <v>м.п.</v>
      </c>
      <c r="C16" s="2672">
        <f>дома!C180</f>
        <v>0.17</v>
      </c>
      <c r="D16" s="2672">
        <f>дома!D180</f>
        <v>0.05</v>
      </c>
      <c r="E16" s="2672">
        <f>дома!E180</f>
        <v>3</v>
      </c>
      <c r="F16" s="2672">
        <f>дома!F180</f>
        <v>0</v>
      </c>
      <c r="G16" s="2672">
        <f>E16*F16*IF('Ввод данных'!$A$8=связи1!$A$150,1,0)</f>
        <v>0</v>
      </c>
      <c r="H16" s="2672">
        <f>дома!G153*IF('Ввод данных'!$A$8=связи1!$A$150,1,0)</f>
        <v>0</v>
      </c>
    </row>
    <row r="17" spans="1:8">
      <c r="A17" s="2670" t="str">
        <f>дома!A181</f>
        <v>Обвязка перегородок верх/низ, 1 этаж</v>
      </c>
      <c r="B17" s="2671" t="str">
        <f>дома!B181</f>
        <v>м.п.</v>
      </c>
      <c r="C17" s="2672">
        <f>дома!C181</f>
        <v>0.17</v>
      </c>
      <c r="D17" s="2672">
        <f>дома!D181</f>
        <v>0.05</v>
      </c>
      <c r="E17" s="2672">
        <f>дома!E181</f>
        <v>0</v>
      </c>
      <c r="F17" s="2672">
        <f>дома!F181</f>
        <v>1</v>
      </c>
      <c r="G17" s="2672">
        <f>E17*F17*IF('Ввод данных'!$A$8=связи1!$A$150,1,0)</f>
        <v>0</v>
      </c>
      <c r="H17" s="2672">
        <f>дома!G154*IF('Ввод данных'!$A$8=связи1!$A$150,1,0)</f>
        <v>0</v>
      </c>
    </row>
    <row r="18" spans="1:8">
      <c r="A18" s="2670" t="str">
        <f>дома!A182</f>
        <v>Укосина наружних стен, усиление 1 этаж</v>
      </c>
      <c r="B18" s="2671" t="str">
        <f>дома!B182</f>
        <v>м.п.</v>
      </c>
      <c r="C18" s="2672">
        <f>дома!C182</f>
        <v>0.15</v>
      </c>
      <c r="D18" s="2672">
        <f>дома!D182</f>
        <v>0.05</v>
      </c>
      <c r="E18" s="2672">
        <f>дома!E182</f>
        <v>2</v>
      </c>
      <c r="F18" s="2672">
        <f>дома!F182</f>
        <v>28</v>
      </c>
      <c r="G18" s="2672">
        <f>E18*F18*IF('Ввод данных'!$A$8=связи1!$A$150,1,0)</f>
        <v>0</v>
      </c>
      <c r="H18" s="2672">
        <f>дома!G155*IF('Ввод данных'!$A$8=связи1!$A$150,1,0)</f>
        <v>0</v>
      </c>
    </row>
    <row r="19" spans="1:8">
      <c r="A19" s="2670" t="str">
        <f>дома!A183</f>
        <v>Стойка каркаса по фронтону, левая сторона 1</v>
      </c>
      <c r="B19" s="2671" t="str">
        <f>дома!B183</f>
        <v>м.п.</v>
      </c>
      <c r="C19" s="2672">
        <f>дома!C183</f>
        <v>0.15</v>
      </c>
      <c r="D19" s="2672">
        <f>дома!D183</f>
        <v>0.05</v>
      </c>
      <c r="E19" s="2672">
        <f>дома!E183</f>
        <v>8.1</v>
      </c>
      <c r="F19" s="2672">
        <f>дома!F183</f>
        <v>0</v>
      </c>
      <c r="G19" s="2672">
        <f>E19*F19*IF('Ввод данных'!$A$8=связи1!$A$150,1,0)</f>
        <v>0</v>
      </c>
      <c r="H19" s="2672">
        <f>дома!G156*IF('Ввод данных'!$A$8=связи1!$A$150,1,0)</f>
        <v>0</v>
      </c>
    </row>
    <row r="20" spans="1:8">
      <c r="A20" s="2670" t="str">
        <f>дома!A184</f>
        <v>Стойка каркаса по фронтону, левая сторона 2</v>
      </c>
      <c r="B20" s="2671" t="str">
        <f>дома!B184</f>
        <v>м.п.</v>
      </c>
      <c r="C20" s="2672">
        <f>дома!C184</f>
        <v>0.15</v>
      </c>
      <c r="D20" s="2672">
        <f>дома!D184</f>
        <v>0.05</v>
      </c>
      <c r="E20" s="2672">
        <f>дома!E184</f>
        <v>7.2611111111111111</v>
      </c>
      <c r="F20" s="2672">
        <f>дома!F184</f>
        <v>0</v>
      </c>
      <c r="G20" s="2672">
        <f>E20*F20*IF('Ввод данных'!$A$8=связи1!$A$150,1,0)</f>
        <v>0</v>
      </c>
      <c r="H20" s="2672">
        <f>дома!G157*IF('Ввод данных'!$A$8=связи1!$A$150,1,0)</f>
        <v>0</v>
      </c>
    </row>
    <row r="21" spans="1:8">
      <c r="A21" s="2670" t="str">
        <f>дома!A185</f>
        <v>Стойка каркаса по фронтону, левая сторона 3</v>
      </c>
      <c r="B21" s="2671" t="str">
        <f>дома!B185</f>
        <v>м.п.</v>
      </c>
      <c r="C21" s="2672">
        <f>дома!C185</f>
        <v>0.15</v>
      </c>
      <c r="D21" s="2672">
        <f>дома!D185</f>
        <v>0.05</v>
      </c>
      <c r="E21" s="2672">
        <f>дома!E185</f>
        <v>6.4222222222222225</v>
      </c>
      <c r="F21" s="2672">
        <f>дома!F185</f>
        <v>0</v>
      </c>
      <c r="G21" s="2672">
        <f>E21*F21*IF('Ввод данных'!$A$8=связи1!$A$150,1,0)</f>
        <v>0</v>
      </c>
      <c r="H21" s="2672">
        <f>дома!G158*IF('Ввод данных'!$A$8=связи1!$A$150,1,0)</f>
        <v>0</v>
      </c>
    </row>
    <row r="22" spans="1:8">
      <c r="A22" s="2670" t="str">
        <f>дома!A186</f>
        <v>Стойка каркаса по фронтону, левая сторона 4</v>
      </c>
      <c r="B22" s="2671" t="str">
        <f>дома!B186</f>
        <v>м.п.</v>
      </c>
      <c r="C22" s="2672">
        <f>дома!C186</f>
        <v>0.15</v>
      </c>
      <c r="D22" s="2672">
        <f>дома!D186</f>
        <v>0.05</v>
      </c>
      <c r="E22" s="2672">
        <f>дома!E186</f>
        <v>5.5833333333333339</v>
      </c>
      <c r="F22" s="2672">
        <f>дома!F186</f>
        <v>0</v>
      </c>
      <c r="G22" s="2672">
        <f>E22*F22*IF('Ввод данных'!$A$8=связи1!$A$150,1,0)</f>
        <v>0</v>
      </c>
      <c r="H22" s="2672">
        <f>дома!G159*IF('Ввод данных'!$A$8=связи1!$A$150,1,0)</f>
        <v>0</v>
      </c>
    </row>
    <row r="23" spans="1:8">
      <c r="A23" s="2670" t="str">
        <f>дома!A187</f>
        <v>Стойка каркаса по фронтону, левая сторона 5</v>
      </c>
      <c r="B23" s="2671" t="str">
        <f>дома!B187</f>
        <v>м.п.</v>
      </c>
      <c r="C23" s="2672">
        <f>дома!C187</f>
        <v>0.15</v>
      </c>
      <c r="D23" s="2672">
        <f>дома!D187</f>
        <v>0.05</v>
      </c>
      <c r="E23" s="2672">
        <f>дома!E187</f>
        <v>4.7444444444444454</v>
      </c>
      <c r="F23" s="2672">
        <f>дома!F187</f>
        <v>0</v>
      </c>
      <c r="G23" s="2672">
        <f>E23*F23*IF('Ввод данных'!$A$8=связи1!$A$150,1,0)</f>
        <v>0</v>
      </c>
      <c r="H23" s="2672">
        <f>дома!G160*IF('Ввод данных'!$A$8=связи1!$A$150,1,0)</f>
        <v>0</v>
      </c>
    </row>
    <row r="24" spans="1:8">
      <c r="A24" s="2670" t="str">
        <f>дома!A188</f>
        <v>Стойка каркаса по фронтону, левая сторона 6</v>
      </c>
      <c r="B24" s="2671" t="str">
        <f>дома!B188</f>
        <v>м.п.</v>
      </c>
      <c r="C24" s="2672">
        <f>дома!C188</f>
        <v>0.15</v>
      </c>
      <c r="D24" s="2672">
        <f>дома!D188</f>
        <v>0.05</v>
      </c>
      <c r="E24" s="2672">
        <f>дома!E188</f>
        <v>3.9055555555555563</v>
      </c>
      <c r="F24" s="2672">
        <f>дома!F188</f>
        <v>0</v>
      </c>
      <c r="G24" s="2672">
        <f>E24*F24*IF('Ввод данных'!$A$8=связи1!$A$150,1,0)</f>
        <v>0</v>
      </c>
      <c r="H24" s="2672">
        <f>дома!G161*IF('Ввод данных'!$A$8=связи1!$A$150,1,0)</f>
        <v>0</v>
      </c>
    </row>
    <row r="25" spans="1:8">
      <c r="A25" s="2670" t="str">
        <f>дома!A189</f>
        <v>Стойка каркаса по фронтону, левая сторона 7</v>
      </c>
      <c r="B25" s="2671" t="str">
        <f>дома!B189</f>
        <v>м.п.</v>
      </c>
      <c r="C25" s="2672">
        <f>дома!C189</f>
        <v>0.15</v>
      </c>
      <c r="D25" s="2672">
        <f>дома!D189</f>
        <v>0.05</v>
      </c>
      <c r="E25" s="2672">
        <f>дома!E189</f>
        <v>3.0666666666666673</v>
      </c>
      <c r="F25" s="2672">
        <f>дома!F189</f>
        <v>0</v>
      </c>
      <c r="G25" s="2672">
        <f>E25*F25*IF('Ввод данных'!$A$8=связи1!$A$150,1,0)</f>
        <v>0</v>
      </c>
      <c r="H25" s="2672">
        <f>дома!G162*IF('Ввод данных'!$A$8=связи1!$A$150,1,0)</f>
        <v>0</v>
      </c>
    </row>
    <row r="26" spans="1:8">
      <c r="A26" s="2670" t="str">
        <f>дома!A190</f>
        <v>Стойка каркаса по фронтону, левая сторона 8</v>
      </c>
      <c r="B26" s="2671" t="str">
        <f>дома!B190</f>
        <v>м.п.</v>
      </c>
      <c r="C26" s="2672">
        <f>дома!C190</f>
        <v>0.15</v>
      </c>
      <c r="D26" s="2672">
        <f>дома!D190</f>
        <v>0.05</v>
      </c>
      <c r="E26" s="2672">
        <f>дома!E190</f>
        <v>2.2277777777777783</v>
      </c>
      <c r="F26" s="2672">
        <f>дома!F190</f>
        <v>0</v>
      </c>
      <c r="G26" s="2672">
        <f>E26*F26*IF('Ввод данных'!$A$8=связи1!$A$150,1,0)</f>
        <v>0</v>
      </c>
      <c r="H26" s="2672">
        <f>дома!G163*IF('Ввод данных'!$A$8=связи1!$A$150,1,0)</f>
        <v>0</v>
      </c>
    </row>
    <row r="27" spans="1:8">
      <c r="A27" s="2670" t="str">
        <f>дома!A191</f>
        <v>Стойка каркаса по фронтону, левая сторона 9</v>
      </c>
      <c r="B27" s="2671" t="str">
        <f>дома!B191</f>
        <v>м.п.</v>
      </c>
      <c r="C27" s="2672">
        <f>дома!C191</f>
        <v>0.15</v>
      </c>
      <c r="D27" s="2672">
        <f>дома!D191</f>
        <v>0.05</v>
      </c>
      <c r="E27" s="2672">
        <f>дома!E191</f>
        <v>1.3888888888888893</v>
      </c>
      <c r="F27" s="2672">
        <f>дома!F191</f>
        <v>0</v>
      </c>
      <c r="G27" s="2672">
        <f>E27*F27*IF('Ввод данных'!$A$8=связи1!$A$150,1,0)</f>
        <v>0</v>
      </c>
      <c r="H27" s="2672">
        <f>дома!G164*IF('Ввод данных'!$A$8=связи1!$A$150,1,0)</f>
        <v>0</v>
      </c>
    </row>
    <row r="28" spans="1:8">
      <c r="A28" s="2670" t="str">
        <f>дома!A192</f>
        <v>Стойка каркаса по фронтону, левая сторона 10</v>
      </c>
      <c r="B28" s="2671" t="str">
        <f>дома!B192</f>
        <v>м.п.</v>
      </c>
      <c r="C28" s="2672">
        <f>дома!C192</f>
        <v>0.15</v>
      </c>
      <c r="D28" s="2672">
        <f>дома!D192</f>
        <v>0.05</v>
      </c>
      <c r="E28" s="2672">
        <f>дома!E192</f>
        <v>0.55000000000000049</v>
      </c>
      <c r="F28" s="2672">
        <f>дома!F192</f>
        <v>0</v>
      </c>
      <c r="G28" s="2672">
        <f>E28*F28*IF('Ввод данных'!$A$8=связи1!$A$150,1,0)</f>
        <v>0</v>
      </c>
      <c r="H28" s="2672">
        <f>дома!G165*IF('Ввод данных'!$A$8=связи1!$A$150,1,0)</f>
        <v>0</v>
      </c>
    </row>
    <row r="29" spans="1:8">
      <c r="A29" s="2670" t="str">
        <f>дома!A193</f>
        <v>Стойка каркаса по фронтону, левая сторона 11</v>
      </c>
      <c r="B29" s="2671" t="str">
        <f>дома!B193</f>
        <v>м.п.</v>
      </c>
      <c r="C29" s="2672">
        <f>дома!C193</f>
        <v>0.15</v>
      </c>
      <c r="D29" s="2672">
        <f>дома!D193</f>
        <v>0.05</v>
      </c>
      <c r="E29" s="2672">
        <f>дома!E193</f>
        <v>0</v>
      </c>
      <c r="F29" s="2672">
        <f>дома!F193</f>
        <v>0</v>
      </c>
      <c r="G29" s="2672">
        <f>E29*F29*IF('Ввод данных'!$A$8=связи1!$A$150,1,0)</f>
        <v>0</v>
      </c>
      <c r="H29" s="2672">
        <f>дома!G166*IF('Ввод данных'!$A$8=связи1!$A$150,1,0)</f>
        <v>0</v>
      </c>
    </row>
    <row r="30" spans="1:8">
      <c r="A30" s="2670" t="str">
        <f>дома!A194</f>
        <v>Стойка каркаса по фронтону, левая сторона 12</v>
      </c>
      <c r="B30" s="2671" t="str">
        <f>дома!B194</f>
        <v>м.п.</v>
      </c>
      <c r="C30" s="2672">
        <f>дома!C194</f>
        <v>0.15</v>
      </c>
      <c r="D30" s="2672">
        <f>дома!D194</f>
        <v>0.05</v>
      </c>
      <c r="E30" s="2672">
        <f>дома!E194</f>
        <v>0</v>
      </c>
      <c r="F30" s="2672">
        <f>дома!F194</f>
        <v>0</v>
      </c>
      <c r="G30" s="2672">
        <f>E30*F30*IF('Ввод данных'!$A$8=связи1!$A$150,1,0)</f>
        <v>0</v>
      </c>
      <c r="H30" s="2672">
        <f>дома!G167*IF('Ввод данных'!$A$8=связи1!$A$150,1,0)</f>
        <v>0</v>
      </c>
    </row>
    <row r="31" spans="1:8">
      <c r="A31" s="2670" t="str">
        <f>дома!A195</f>
        <v>Стойка каркаса по фронтону, левая сторона 13</v>
      </c>
      <c r="B31" s="2671" t="str">
        <f>дома!B195</f>
        <v>м.п.</v>
      </c>
      <c r="C31" s="2672">
        <f>дома!C195</f>
        <v>0.15</v>
      </c>
      <c r="D31" s="2672">
        <f>дома!D195</f>
        <v>0.05</v>
      </c>
      <c r="E31" s="2672">
        <f>дома!E195</f>
        <v>0</v>
      </c>
      <c r="F31" s="2672">
        <f>дома!F195</f>
        <v>0</v>
      </c>
      <c r="G31" s="2672">
        <f>E31*F31*IF('Ввод данных'!$A$8=связи1!$A$150,1,0)</f>
        <v>0</v>
      </c>
      <c r="H31" s="2672">
        <f>дома!G168*IF('Ввод данных'!$A$8=связи1!$A$150,1,0)</f>
        <v>0</v>
      </c>
    </row>
    <row r="32" spans="1:8">
      <c r="A32" s="2670" t="str">
        <f>дома!A196</f>
        <v>Стойка каркаса по фронтону, левая сторона 14</v>
      </c>
      <c r="B32" s="2671" t="str">
        <f>дома!B196</f>
        <v>м.п.</v>
      </c>
      <c r="C32" s="2672">
        <f>дома!C196</f>
        <v>0.15</v>
      </c>
      <c r="D32" s="2672">
        <f>дома!D196</f>
        <v>0.05</v>
      </c>
      <c r="E32" s="2672">
        <f>дома!E196</f>
        <v>0</v>
      </c>
      <c r="F32" s="2672">
        <f>дома!F196</f>
        <v>0</v>
      </c>
      <c r="G32" s="2672">
        <f>E32*F32*IF('Ввод данных'!$A$8=связи1!$A$150,1,0)</f>
        <v>0</v>
      </c>
      <c r="H32" s="2672">
        <f>дома!G169*IF('Ввод данных'!$A$8=связи1!$A$150,1,0)</f>
        <v>0</v>
      </c>
    </row>
    <row r="33" spans="1:8">
      <c r="A33" s="2670" t="str">
        <f>дома!A197</f>
        <v>Стойка каркаса по фронтону, левая сторона 15</v>
      </c>
      <c r="B33" s="2671" t="str">
        <f>дома!B197</f>
        <v>м.п.</v>
      </c>
      <c r="C33" s="2672">
        <f>дома!C197</f>
        <v>0.15</v>
      </c>
      <c r="D33" s="2672">
        <f>дома!D197</f>
        <v>0.05</v>
      </c>
      <c r="E33" s="2672">
        <f>дома!E197</f>
        <v>0</v>
      </c>
      <c r="F33" s="2672">
        <f>дома!F197</f>
        <v>0</v>
      </c>
      <c r="G33" s="2672">
        <f>E33*F33*IF('Ввод данных'!$A$8=связи1!$A$150,1,0)</f>
        <v>0</v>
      </c>
      <c r="H33" s="2672">
        <f>дома!G170*IF('Ввод данных'!$A$8=связи1!$A$150,1,0)</f>
        <v>0</v>
      </c>
    </row>
    <row r="34" spans="1:8">
      <c r="A34" s="2670" t="str">
        <f>дома!A198</f>
        <v>Стойка каркаса по фронтону, левая сторона 16</v>
      </c>
      <c r="B34" s="2671" t="str">
        <f>дома!B198</f>
        <v>м.п.</v>
      </c>
      <c r="C34" s="2672">
        <f>дома!C198</f>
        <v>0.15</v>
      </c>
      <c r="D34" s="2672">
        <f>дома!D198</f>
        <v>0.05</v>
      </c>
      <c r="E34" s="2672">
        <f>дома!E198</f>
        <v>0</v>
      </c>
      <c r="F34" s="2672">
        <f>дома!F198</f>
        <v>0</v>
      </c>
      <c r="G34" s="2672">
        <f>E34*F34*IF('Ввод данных'!$A$8=связи1!$A$150,1,0)</f>
        <v>0</v>
      </c>
      <c r="H34" s="2672">
        <f>дома!G171*IF('Ввод данных'!$A$8=связи1!$A$150,1,0)</f>
        <v>0</v>
      </c>
    </row>
    <row r="35" spans="1:8">
      <c r="A35" s="2670" t="str">
        <f>дома!A199</f>
        <v>Стойка каркаса по фронтону, левая сторона 17</v>
      </c>
      <c r="B35" s="2671" t="str">
        <f>дома!B199</f>
        <v>м.п.</v>
      </c>
      <c r="C35" s="2672">
        <f>дома!C199</f>
        <v>0.15</v>
      </c>
      <c r="D35" s="2672">
        <f>дома!D199</f>
        <v>0.05</v>
      </c>
      <c r="E35" s="2672">
        <f>дома!E199</f>
        <v>0</v>
      </c>
      <c r="F35" s="2672">
        <f>дома!F199</f>
        <v>0</v>
      </c>
      <c r="G35" s="2672">
        <f>E35*F35*IF('Ввод данных'!$A$8=связи1!$A$150,1,0)</f>
        <v>0</v>
      </c>
      <c r="H35" s="2672">
        <f>дома!G172*IF('Ввод данных'!$A$8=связи1!$A$150,1,0)</f>
        <v>0</v>
      </c>
    </row>
    <row r="36" spans="1:8">
      <c r="A36" s="2670" t="str">
        <f>дома!A200</f>
        <v>Стойка каркаса по фронтону, левая сторона 18</v>
      </c>
      <c r="B36" s="2671" t="str">
        <f>дома!B200</f>
        <v>м.п.</v>
      </c>
      <c r="C36" s="2672">
        <f>дома!C200</f>
        <v>0.15</v>
      </c>
      <c r="D36" s="2672">
        <f>дома!D200</f>
        <v>0.05</v>
      </c>
      <c r="E36" s="2672">
        <f>дома!E200</f>
        <v>0</v>
      </c>
      <c r="F36" s="2672">
        <f>дома!F200</f>
        <v>0</v>
      </c>
      <c r="G36" s="2672">
        <f>E36*F36*IF('Ввод данных'!$A$8=связи1!$A$150,1,0)</f>
        <v>0</v>
      </c>
      <c r="H36" s="2672">
        <f>дома!G173*IF('Ввод данных'!$A$8=связи1!$A$150,1,0)</f>
        <v>0</v>
      </c>
    </row>
    <row r="37" spans="1:8">
      <c r="A37" s="2670" t="str">
        <f>дома!A201</f>
        <v>Стойка каркаса по фронтону, левая сторона 19</v>
      </c>
      <c r="B37" s="2671" t="str">
        <f>дома!B201</f>
        <v>м.п.</v>
      </c>
      <c r="C37" s="2672">
        <f>дома!C201</f>
        <v>0.15</v>
      </c>
      <c r="D37" s="2672">
        <f>дома!D201</f>
        <v>0.05</v>
      </c>
      <c r="E37" s="2672">
        <f>дома!E201</f>
        <v>0</v>
      </c>
      <c r="F37" s="2672">
        <f>дома!F201</f>
        <v>0</v>
      </c>
      <c r="G37" s="2672">
        <f>E37*F37*IF('Ввод данных'!$A$8=связи1!$A$150,1,0)</f>
        <v>0</v>
      </c>
      <c r="H37" s="2672">
        <f>дома!G174*IF('Ввод данных'!$A$8=связи1!$A$150,1,0)</f>
        <v>0</v>
      </c>
    </row>
    <row r="38" spans="1:8">
      <c r="A38" s="2670" t="str">
        <f>дома!A202</f>
        <v>Стойка каркаса по фронтону, левая сторона 20</v>
      </c>
      <c r="B38" s="2671" t="str">
        <f>дома!B202</f>
        <v>м.п.</v>
      </c>
      <c r="C38" s="2672">
        <f>дома!C202</f>
        <v>0.15</v>
      </c>
      <c r="D38" s="2672">
        <f>дома!D202</f>
        <v>0.05</v>
      </c>
      <c r="E38" s="2672">
        <f>дома!E202</f>
        <v>0</v>
      </c>
      <c r="F38" s="2672">
        <f>дома!F202</f>
        <v>0</v>
      </c>
      <c r="G38" s="2672">
        <f>E38*F38*IF('Ввод данных'!$A$8=связи1!$A$150,1,0)</f>
        <v>0</v>
      </c>
      <c r="H38" s="2672">
        <f>дома!G175*IF('Ввод данных'!$A$8=связи1!$A$150,1,0)</f>
        <v>0</v>
      </c>
    </row>
    <row r="39" spans="1:8">
      <c r="A39" s="2670" t="str">
        <f>дома!A203</f>
        <v>Стойка каркаса по фронтону, левая сторона 21</v>
      </c>
      <c r="B39" s="2671" t="str">
        <f>дома!B203</f>
        <v>м.п.</v>
      </c>
      <c r="C39" s="2672">
        <f>дома!C203</f>
        <v>0.15</v>
      </c>
      <c r="D39" s="2672">
        <f>дома!D203</f>
        <v>0.05</v>
      </c>
      <c r="E39" s="2672">
        <f>дома!E203</f>
        <v>0</v>
      </c>
      <c r="F39" s="2672">
        <f>дома!F203</f>
        <v>0</v>
      </c>
      <c r="G39" s="2672">
        <f>E39*F39*IF('Ввод данных'!$A$8=связи1!$A$150,1,0)</f>
        <v>0</v>
      </c>
      <c r="H39" s="2672">
        <f>дома!G176*IF('Ввод данных'!$A$8=связи1!$A$150,1,0)</f>
        <v>0</v>
      </c>
    </row>
    <row r="40" spans="1:8">
      <c r="A40" s="2670" t="str">
        <f>дома!A204</f>
        <v>Стойка каркаса по фронтону, левая сторона 22</v>
      </c>
      <c r="B40" s="2671" t="str">
        <f>дома!B204</f>
        <v>м.п.</v>
      </c>
      <c r="C40" s="2672">
        <f>дома!C204</f>
        <v>0.15</v>
      </c>
      <c r="D40" s="2672">
        <f>дома!D204</f>
        <v>0.05</v>
      </c>
      <c r="E40" s="2672">
        <f>дома!E204</f>
        <v>0</v>
      </c>
      <c r="F40" s="2672">
        <f>дома!F204</f>
        <v>0</v>
      </c>
      <c r="G40" s="2672">
        <f>E40*F40*IF('Ввод данных'!$A$8=связи1!$A$150,1,0)</f>
        <v>0</v>
      </c>
      <c r="H40" s="2672">
        <f>дома!G177*IF('Ввод данных'!$A$8=связи1!$A$150,1,0)</f>
        <v>0</v>
      </c>
    </row>
    <row r="41" spans="1:8">
      <c r="A41" s="2670" t="str">
        <f>дома!A205</f>
        <v>Стойка каркаса по фронтону, левая сторона 23</v>
      </c>
      <c r="B41" s="2671" t="str">
        <f>дома!B205</f>
        <v>м.п.</v>
      </c>
      <c r="C41" s="2672">
        <f>дома!C205</f>
        <v>0.15</v>
      </c>
      <c r="D41" s="2672">
        <f>дома!D205</f>
        <v>0.05</v>
      </c>
      <c r="E41" s="2672">
        <f>дома!E205</f>
        <v>0</v>
      </c>
      <c r="F41" s="2672">
        <f>дома!F205</f>
        <v>0</v>
      </c>
      <c r="G41" s="2672">
        <f>E41*F41*IF('Ввод данных'!$A$8=связи1!$A$150,1,0)</f>
        <v>0</v>
      </c>
      <c r="H41" s="2672">
        <f>дома!G178*IF('Ввод данных'!$A$8=связи1!$A$150,1,0)</f>
        <v>0</v>
      </c>
    </row>
    <row r="42" spans="1:8">
      <c r="A42" s="2670" t="str">
        <f>дома!A206</f>
        <v>Стойка каркаса по фронтону, левая сторона 24</v>
      </c>
      <c r="B42" s="2671" t="str">
        <f>дома!B206</f>
        <v>м.п.</v>
      </c>
      <c r="C42" s="2672">
        <f>дома!C206</f>
        <v>0.15</v>
      </c>
      <c r="D42" s="2672">
        <f>дома!D206</f>
        <v>0.05</v>
      </c>
      <c r="E42" s="2672">
        <f>дома!E206</f>
        <v>0</v>
      </c>
      <c r="F42" s="2672">
        <f>дома!F206</f>
        <v>0</v>
      </c>
      <c r="G42" s="2672">
        <f>E42*F42*IF('Ввод данных'!$A$8=связи1!$A$150,1,0)</f>
        <v>0</v>
      </c>
      <c r="H42" s="2672">
        <f>дома!G179*IF('Ввод данных'!$A$8=связи1!$A$150,1,0)</f>
        <v>0</v>
      </c>
    </row>
    <row r="43" spans="1:8">
      <c r="A43" s="2670" t="str">
        <f>дома!A207</f>
        <v>Стойка каркаса по фронтону, левая сторона 25</v>
      </c>
      <c r="B43" s="2671" t="str">
        <f>дома!B207</f>
        <v>м.п.</v>
      </c>
      <c r="C43" s="2672">
        <f>дома!C207</f>
        <v>0.15</v>
      </c>
      <c r="D43" s="2672">
        <f>дома!D207</f>
        <v>0.05</v>
      </c>
      <c r="E43" s="2672">
        <f>дома!E207</f>
        <v>0</v>
      </c>
      <c r="F43" s="2672">
        <f>дома!F207</f>
        <v>0</v>
      </c>
      <c r="G43" s="2672">
        <f>E43*F43*IF('Ввод данных'!$A$8=связи1!$A$150,1,0)</f>
        <v>0</v>
      </c>
      <c r="H43" s="2672">
        <f>дома!G180*IF('Ввод данных'!$A$8=связи1!$A$150,1,0)</f>
        <v>0</v>
      </c>
    </row>
    <row r="44" spans="1:8">
      <c r="A44" s="2670" t="str">
        <f>дома!A208</f>
        <v>Стойка каркаса по фронтону, левая сторона 26</v>
      </c>
      <c r="B44" s="2671" t="str">
        <f>дома!B208</f>
        <v>м.п.</v>
      </c>
      <c r="C44" s="2672">
        <f>дома!C208</f>
        <v>0.15</v>
      </c>
      <c r="D44" s="2672">
        <f>дома!D208</f>
        <v>0.05</v>
      </c>
      <c r="E44" s="2672">
        <f>дома!E208</f>
        <v>0</v>
      </c>
      <c r="F44" s="2672">
        <f>дома!F208</f>
        <v>0</v>
      </c>
      <c r="G44" s="2672">
        <f>E44*F44*IF('Ввод данных'!$A$8=связи1!$A$150,1,0)</f>
        <v>0</v>
      </c>
      <c r="H44" s="2672">
        <f>дома!G181*IF('Ввод данных'!$A$8=связи1!$A$150,1,0)</f>
        <v>0</v>
      </c>
    </row>
    <row r="45" spans="1:8">
      <c r="A45" s="2670" t="str">
        <f>дома!A209</f>
        <v>Стойка каркаса по фронтону, левая сторона 27</v>
      </c>
      <c r="B45" s="2671" t="str">
        <f>дома!B209</f>
        <v>м.п.</v>
      </c>
      <c r="C45" s="2672">
        <f>дома!C209</f>
        <v>0.15</v>
      </c>
      <c r="D45" s="2672">
        <f>дома!D209</f>
        <v>0.05</v>
      </c>
      <c r="E45" s="2672">
        <f>дома!E209</f>
        <v>0</v>
      </c>
      <c r="F45" s="2672">
        <f>дома!F209</f>
        <v>0</v>
      </c>
      <c r="G45" s="2672">
        <f>E45*F45*IF('Ввод данных'!$A$8=связи1!$A$150,1,0)</f>
        <v>0</v>
      </c>
      <c r="H45" s="2672">
        <f>дома!G182*IF('Ввод данных'!$A$8=связи1!$A$150,1,0)</f>
        <v>0</v>
      </c>
    </row>
    <row r="46" spans="1:8">
      <c r="A46" s="2670" t="str">
        <f>дома!A210</f>
        <v>Стойка каркаса по фронтону, левая сторона 28</v>
      </c>
      <c r="B46" s="2671" t="str">
        <f>дома!B210</f>
        <v>м.п.</v>
      </c>
      <c r="C46" s="2672">
        <f>дома!C210</f>
        <v>0.15</v>
      </c>
      <c r="D46" s="2672">
        <f>дома!D210</f>
        <v>0.05</v>
      </c>
      <c r="E46" s="2672">
        <f>дома!E210</f>
        <v>0</v>
      </c>
      <c r="F46" s="2672">
        <f>дома!F210</f>
        <v>0</v>
      </c>
      <c r="G46" s="2672">
        <f>E46*F46*IF('Ввод данных'!$A$8=связи1!$A$150,1,0)</f>
        <v>0</v>
      </c>
      <c r="H46" s="2672">
        <f>дома!G183*IF('Ввод данных'!$A$8=связи1!$A$150,1,0)</f>
        <v>0</v>
      </c>
    </row>
    <row r="47" spans="1:8">
      <c r="A47" s="2670" t="str">
        <f>дома!A211</f>
        <v>Стойка каркаса по фронтону, левая сторона 29</v>
      </c>
      <c r="B47" s="2671" t="str">
        <f>дома!B211</f>
        <v>м.п.</v>
      </c>
      <c r="C47" s="2672">
        <f>дома!C211</f>
        <v>0.15</v>
      </c>
      <c r="D47" s="2672">
        <f>дома!D211</f>
        <v>0.05</v>
      </c>
      <c r="E47" s="2672">
        <f>дома!E211</f>
        <v>0</v>
      </c>
      <c r="F47" s="2672">
        <f>дома!F211</f>
        <v>0</v>
      </c>
      <c r="G47" s="2672">
        <f>E47*F47*IF('Ввод данных'!$A$8=связи1!$A$150,1,0)</f>
        <v>0</v>
      </c>
      <c r="H47" s="2672">
        <f>дома!G184*IF('Ввод данных'!$A$8=связи1!$A$150,1,0)</f>
        <v>0</v>
      </c>
    </row>
    <row r="48" spans="1:8">
      <c r="A48" s="2670" t="str">
        <f>дома!A212</f>
        <v>Стойка каркаса по фронтону, левая сторона 30</v>
      </c>
      <c r="B48" s="2671" t="str">
        <f>дома!B212</f>
        <v>м.п.</v>
      </c>
      <c r="C48" s="2672">
        <f>дома!C212</f>
        <v>0.15</v>
      </c>
      <c r="D48" s="2672">
        <f>дома!D212</f>
        <v>0.05</v>
      </c>
      <c r="E48" s="2672">
        <f>дома!E212</f>
        <v>0</v>
      </c>
      <c r="F48" s="2672">
        <f>дома!F212</f>
        <v>0</v>
      </c>
      <c r="G48" s="2672">
        <f>E48*F48*IF('Ввод данных'!$A$8=связи1!$A$150,1,0)</f>
        <v>0</v>
      </c>
      <c r="H48" s="2672">
        <f>дома!G185*IF('Ввод данных'!$A$8=связи1!$A$150,1,0)</f>
        <v>0</v>
      </c>
    </row>
    <row r="49" spans="1:8">
      <c r="A49" s="2670" t="str">
        <f>дома!A213</f>
        <v>Стойка каркаса по фронтону, левая сторона 31</v>
      </c>
      <c r="B49" s="2671" t="str">
        <f>дома!B213</f>
        <v>м.п.</v>
      </c>
      <c r="C49" s="2672">
        <f>дома!C213</f>
        <v>0.15</v>
      </c>
      <c r="D49" s="2672">
        <f>дома!D213</f>
        <v>0.05</v>
      </c>
      <c r="E49" s="2672">
        <f>дома!E213</f>
        <v>0</v>
      </c>
      <c r="F49" s="2672">
        <f>дома!F213</f>
        <v>0</v>
      </c>
      <c r="G49" s="2672">
        <f>E49*F49*IF('Ввод данных'!$A$8=связи1!$A$150,1,0)</f>
        <v>0</v>
      </c>
      <c r="H49" s="2672">
        <f>дома!G186*IF('Ввод данных'!$A$8=связи1!$A$150,1,0)</f>
        <v>0</v>
      </c>
    </row>
    <row r="50" spans="1:8">
      <c r="A50" s="2670" t="str">
        <f>дома!A214</f>
        <v>Обвязка каркаса фронтона верхняя</v>
      </c>
      <c r="B50" s="2671" t="str">
        <f>дома!B214</f>
        <v>м.п.</v>
      </c>
      <c r="C50" s="2672">
        <f>дома!C214</f>
        <v>0.15</v>
      </c>
      <c r="D50" s="2672">
        <f>дома!D214</f>
        <v>0.05</v>
      </c>
      <c r="E50" s="2672">
        <f>дома!E214</f>
        <v>7.4246212024587495</v>
      </c>
      <c r="F50" s="2672">
        <f>дома!F214</f>
        <v>0</v>
      </c>
      <c r="G50" s="2672">
        <f>E50*F50*IF('Ввод данных'!$A$8=связи1!$A$150,1,0)</f>
        <v>0</v>
      </c>
      <c r="H50" s="2672">
        <f>дома!G187*IF('Ввод данных'!$A$8=связи1!$A$150,1,0)</f>
        <v>0</v>
      </c>
    </row>
    <row r="51" spans="1:8">
      <c r="A51" s="2670" t="str">
        <f>дома!A215</f>
        <v>Обвязка каркаса фронтона нижняя</v>
      </c>
      <c r="B51" s="2671" t="str">
        <f>дома!B215</f>
        <v>м.п.</v>
      </c>
      <c r="C51" s="2672">
        <f>дома!C215</f>
        <v>0.15</v>
      </c>
      <c r="D51" s="2672">
        <f>дома!D215</f>
        <v>0.05</v>
      </c>
      <c r="E51" s="2672">
        <f>дома!E215</f>
        <v>5</v>
      </c>
      <c r="F51" s="2672">
        <f>дома!F215</f>
        <v>0</v>
      </c>
      <c r="G51" s="2672">
        <f>E51*F51*IF('Ввод данных'!$A$8=связи1!$A$150,1,0)</f>
        <v>0</v>
      </c>
      <c r="H51" s="2672">
        <f>дома!G188*IF('Ввод данных'!$A$8=связи1!$A$150,1,0)</f>
        <v>0</v>
      </c>
    </row>
    <row r="52" spans="1:8">
      <c r="A52" s="2670" t="str">
        <f>дома!A216</f>
        <v>Ригель каркаса фронтона</v>
      </c>
      <c r="B52" s="2671" t="str">
        <f>дома!B216</f>
        <v>м.п.</v>
      </c>
      <c r="C52" s="2672">
        <f>дома!C216</f>
        <v>0.15</v>
      </c>
      <c r="D52" s="2672">
        <f>дома!D216</f>
        <v>0.05</v>
      </c>
      <c r="E52" s="2672">
        <f>дома!E216</f>
        <v>7.4246212024587495</v>
      </c>
      <c r="F52" s="2672">
        <f>дома!F216</f>
        <v>0</v>
      </c>
      <c r="G52" s="2672">
        <f>E52*F52*IF('Ввод данных'!$A$8=связи1!$A$150,1,0)</f>
        <v>0</v>
      </c>
      <c r="H52" s="2672">
        <f>дома!G189*IF('Ввод данных'!$A$8=связи1!$A$150,1,0)</f>
        <v>0</v>
      </c>
    </row>
    <row r="53" spans="1:8">
      <c r="A53" s="2670" t="str">
        <f>дома!A217</f>
        <v>Стойка каркаса по фронтону правая сторона 32</v>
      </c>
      <c r="B53" s="2671" t="str">
        <f>дома!B217</f>
        <v>м.п.</v>
      </c>
      <c r="C53" s="2672">
        <f>дома!C217</f>
        <v>0.15</v>
      </c>
      <c r="D53" s="2672">
        <f>дома!D217</f>
        <v>0.05</v>
      </c>
      <c r="E53" s="2672">
        <f>дома!E217</f>
        <v>8.1</v>
      </c>
      <c r="F53" s="2672">
        <f>дома!F217</f>
        <v>0</v>
      </c>
      <c r="G53" s="2672">
        <f>E53*F53*IF('Ввод данных'!$A$8=связи1!$A$150,1,0)</f>
        <v>0</v>
      </c>
      <c r="H53" s="2672">
        <f>дома!G190*IF('Ввод данных'!$A$8=связи1!$A$150,1,0)</f>
        <v>0</v>
      </c>
    </row>
    <row r="54" spans="1:8">
      <c r="A54" s="2670" t="str">
        <f>дома!A218</f>
        <v>Стойка каркаса по фронтону правая сторона 33</v>
      </c>
      <c r="B54" s="2671" t="str">
        <f>дома!B218</f>
        <v>м.п.</v>
      </c>
      <c r="C54" s="2672">
        <f>дома!C218</f>
        <v>0.15</v>
      </c>
      <c r="D54" s="2672">
        <f>дома!D218</f>
        <v>0.05</v>
      </c>
      <c r="E54" s="2672">
        <f>дома!E218</f>
        <v>7.2611111111111111</v>
      </c>
      <c r="F54" s="2672">
        <f>дома!F218</f>
        <v>0</v>
      </c>
      <c r="G54" s="2672">
        <f>E54*F54*IF('Ввод данных'!$A$8=связи1!$A$150,1,0)</f>
        <v>0</v>
      </c>
      <c r="H54" s="2672">
        <f>дома!G191*IF('Ввод данных'!$A$8=связи1!$A$150,1,0)</f>
        <v>0</v>
      </c>
    </row>
    <row r="55" spans="1:8">
      <c r="A55" s="2670" t="str">
        <f>дома!A219</f>
        <v>Стойка каркаса по фронтону правая сторона 34</v>
      </c>
      <c r="B55" s="2671" t="str">
        <f>дома!B219</f>
        <v>м.п.</v>
      </c>
      <c r="C55" s="2672">
        <f>дома!C219</f>
        <v>0.15</v>
      </c>
      <c r="D55" s="2672">
        <f>дома!D219</f>
        <v>0.05</v>
      </c>
      <c r="E55" s="2672">
        <f>дома!E219</f>
        <v>6.4222222222222225</v>
      </c>
      <c r="F55" s="2672">
        <f>дома!F219</f>
        <v>0</v>
      </c>
      <c r="G55" s="2672">
        <f>E55*F55*IF('Ввод данных'!$A$8=связи1!$A$150,1,0)</f>
        <v>0</v>
      </c>
      <c r="H55" s="2672">
        <f>дома!G192*IF('Ввод данных'!$A$8=связи1!$A$150,1,0)</f>
        <v>0</v>
      </c>
    </row>
    <row r="56" spans="1:8">
      <c r="A56" s="2670" t="str">
        <f>дома!A220</f>
        <v>Стойка каркаса по фронтону правая сторона 35</v>
      </c>
      <c r="B56" s="2671" t="str">
        <f>дома!B220</f>
        <v>м.п.</v>
      </c>
      <c r="C56" s="2672">
        <f>дома!C220</f>
        <v>0.15</v>
      </c>
      <c r="D56" s="2672">
        <f>дома!D220</f>
        <v>0.05</v>
      </c>
      <c r="E56" s="2672">
        <f>дома!E220</f>
        <v>5.5833333333333339</v>
      </c>
      <c r="F56" s="2672">
        <f>дома!F220</f>
        <v>0</v>
      </c>
      <c r="G56" s="2672">
        <f>E56*F56*IF('Ввод данных'!$A$8=связи1!$A$150,1,0)</f>
        <v>0</v>
      </c>
      <c r="H56" s="2672">
        <f>дома!G193*IF('Ввод данных'!$A$8=связи1!$A$150,1,0)</f>
        <v>0</v>
      </c>
    </row>
    <row r="57" spans="1:8">
      <c r="A57" s="2670" t="str">
        <f>дома!A221</f>
        <v>Стойка каркаса по фронтону правая сторона 36</v>
      </c>
      <c r="B57" s="2671" t="str">
        <f>дома!B221</f>
        <v>м.п.</v>
      </c>
      <c r="C57" s="2672">
        <f>дома!C221</f>
        <v>0.15</v>
      </c>
      <c r="D57" s="2672">
        <f>дома!D221</f>
        <v>0.05</v>
      </c>
      <c r="E57" s="2672">
        <f>дома!E221</f>
        <v>4.7444444444444454</v>
      </c>
      <c r="F57" s="2672">
        <f>дома!F221</f>
        <v>0</v>
      </c>
      <c r="G57" s="2672">
        <f>E57*F57*IF('Ввод данных'!$A$8=связи1!$A$150,1,0)</f>
        <v>0</v>
      </c>
      <c r="H57" s="2672">
        <f>дома!G194*IF('Ввод данных'!$A$8=связи1!$A$150,1,0)</f>
        <v>0</v>
      </c>
    </row>
    <row r="58" spans="1:8">
      <c r="A58" s="2670" t="str">
        <f>дома!A222</f>
        <v>Стойка каркаса по фронтону правая сторона 37</v>
      </c>
      <c r="B58" s="2671" t="str">
        <f>дома!B222</f>
        <v>м.п.</v>
      </c>
      <c r="C58" s="2672">
        <f>дома!C222</f>
        <v>0.15</v>
      </c>
      <c r="D58" s="2672">
        <f>дома!D222</f>
        <v>0.05</v>
      </c>
      <c r="E58" s="2672">
        <f>дома!E222</f>
        <v>3.9055555555555563</v>
      </c>
      <c r="F58" s="2672">
        <f>дома!F222</f>
        <v>0</v>
      </c>
      <c r="G58" s="2672">
        <f>E58*F58*IF('Ввод данных'!$A$8=связи1!$A$150,1,0)</f>
        <v>0</v>
      </c>
      <c r="H58" s="2672">
        <f>дома!G195*IF('Ввод данных'!$A$8=связи1!$A$150,1,0)</f>
        <v>0</v>
      </c>
    </row>
    <row r="59" spans="1:8">
      <c r="A59" s="2670" t="str">
        <f>дома!A223</f>
        <v>Стойка каркаса по фронтону правая сторона 38</v>
      </c>
      <c r="B59" s="2671" t="str">
        <f>дома!B223</f>
        <v>м.п.</v>
      </c>
      <c r="C59" s="2672">
        <f>дома!C223</f>
        <v>0.15</v>
      </c>
      <c r="D59" s="2672">
        <f>дома!D223</f>
        <v>0.05</v>
      </c>
      <c r="E59" s="2672">
        <f>дома!E223</f>
        <v>3.0666666666666673</v>
      </c>
      <c r="F59" s="2672">
        <f>дома!F223</f>
        <v>0</v>
      </c>
      <c r="G59" s="2672">
        <f>E59*F59*IF('Ввод данных'!$A$8=связи1!$A$150,1,0)</f>
        <v>0</v>
      </c>
      <c r="H59" s="2672">
        <f>дома!G196*IF('Ввод данных'!$A$8=связи1!$A$150,1,0)</f>
        <v>0</v>
      </c>
    </row>
    <row r="60" spans="1:8">
      <c r="A60" s="2670" t="str">
        <f>дома!A224</f>
        <v>Стойка каркаса по фронтону правая сторона 39</v>
      </c>
      <c r="B60" s="2671" t="str">
        <f>дома!B224</f>
        <v>м.п.</v>
      </c>
      <c r="C60" s="2672">
        <f>дома!C224</f>
        <v>0.15</v>
      </c>
      <c r="D60" s="2672">
        <f>дома!D224</f>
        <v>0.05</v>
      </c>
      <c r="E60" s="2672">
        <f>дома!E224</f>
        <v>2.2277777777777783</v>
      </c>
      <c r="F60" s="2672">
        <f>дома!F224</f>
        <v>0</v>
      </c>
      <c r="G60" s="2672">
        <f>E60*F60*IF('Ввод данных'!$A$8=связи1!$A$150,1,0)</f>
        <v>0</v>
      </c>
      <c r="H60" s="2672">
        <f>дома!G197*IF('Ввод данных'!$A$8=связи1!$A$150,1,0)</f>
        <v>0</v>
      </c>
    </row>
    <row r="61" spans="1:8">
      <c r="A61" s="2670" t="str">
        <f>дома!A225</f>
        <v>Стойка каркаса по фронтону правая сторона 40</v>
      </c>
      <c r="B61" s="2671" t="str">
        <f>дома!B225</f>
        <v>м.п.</v>
      </c>
      <c r="C61" s="2672">
        <f>дома!C225</f>
        <v>0.15</v>
      </c>
      <c r="D61" s="2672">
        <f>дома!D225</f>
        <v>0.05</v>
      </c>
      <c r="E61" s="2672">
        <f>дома!E225</f>
        <v>1.3888888888888893</v>
      </c>
      <c r="F61" s="2672">
        <f>дома!F225</f>
        <v>0</v>
      </c>
      <c r="G61" s="2672">
        <f>E61*F61*IF('Ввод данных'!$A$8=связи1!$A$150,1,0)</f>
        <v>0</v>
      </c>
      <c r="H61" s="2672">
        <f>дома!G198*IF('Ввод данных'!$A$8=связи1!$A$150,1,0)</f>
        <v>0</v>
      </c>
    </row>
    <row r="62" spans="1:8">
      <c r="A62" s="2670" t="str">
        <f>дома!A226</f>
        <v>Стойка каркаса по фронтону правая сторона 41</v>
      </c>
      <c r="B62" s="2671" t="str">
        <f>дома!B226</f>
        <v>м.п.</v>
      </c>
      <c r="C62" s="2672">
        <f>дома!C226</f>
        <v>0.15</v>
      </c>
      <c r="D62" s="2672">
        <f>дома!D226</f>
        <v>0.05</v>
      </c>
      <c r="E62" s="2672">
        <f>дома!E226</f>
        <v>0.55000000000000049</v>
      </c>
      <c r="F62" s="2672">
        <f>дома!F226</f>
        <v>0</v>
      </c>
      <c r="G62" s="2672">
        <f>E62*F62*IF('Ввод данных'!$A$8=связи1!$A$150,1,0)</f>
        <v>0</v>
      </c>
      <c r="H62" s="2672">
        <f>дома!G199*IF('Ввод данных'!$A$8=связи1!$A$150,1,0)</f>
        <v>0</v>
      </c>
    </row>
    <row r="63" spans="1:8">
      <c r="A63" s="2670" t="str">
        <f>дома!A227</f>
        <v>Стойка каркаса по фронтону правая сторона 42</v>
      </c>
      <c r="B63" s="2671" t="str">
        <f>дома!B227</f>
        <v>м.п.</v>
      </c>
      <c r="C63" s="2672">
        <f>дома!C227</f>
        <v>0.15</v>
      </c>
      <c r="D63" s="2672">
        <f>дома!D227</f>
        <v>0.05</v>
      </c>
      <c r="E63" s="2672">
        <f>дома!E227</f>
        <v>0</v>
      </c>
      <c r="F63" s="2672">
        <f>дома!F227</f>
        <v>0</v>
      </c>
      <c r="G63" s="2672">
        <f>E63*F63*IF('Ввод данных'!$A$8=связи1!$A$150,1,0)</f>
        <v>0</v>
      </c>
      <c r="H63" s="2672">
        <f>дома!G200*IF('Ввод данных'!$A$8=связи1!$A$150,1,0)</f>
        <v>0</v>
      </c>
    </row>
    <row r="64" spans="1:8">
      <c r="A64" s="2670" t="str">
        <f>дома!A228</f>
        <v>Стойка каркаса по фронтону правая сторона 43</v>
      </c>
      <c r="B64" s="2671" t="str">
        <f>дома!B228</f>
        <v>м.п.</v>
      </c>
      <c r="C64" s="2672">
        <f>дома!C228</f>
        <v>0.15</v>
      </c>
      <c r="D64" s="2672">
        <f>дома!D228</f>
        <v>0.05</v>
      </c>
      <c r="E64" s="2672">
        <f>дома!E228</f>
        <v>0</v>
      </c>
      <c r="F64" s="2672">
        <f>дома!F228</f>
        <v>0</v>
      </c>
      <c r="G64" s="2672">
        <f>E64*F64*IF('Ввод данных'!$A$8=связи1!$A$150,1,0)</f>
        <v>0</v>
      </c>
      <c r="H64" s="2672">
        <f>дома!G201*IF('Ввод данных'!$A$8=связи1!$A$150,1,0)</f>
        <v>0</v>
      </c>
    </row>
    <row r="65" spans="1:8">
      <c r="A65" s="2670" t="str">
        <f>дома!A229</f>
        <v>Стойка каркаса по фронтону правая сторона 44</v>
      </c>
      <c r="B65" s="2671" t="str">
        <f>дома!B229</f>
        <v>м.п.</v>
      </c>
      <c r="C65" s="2672">
        <f>дома!C229</f>
        <v>0.15</v>
      </c>
      <c r="D65" s="2672">
        <f>дома!D229</f>
        <v>0.05</v>
      </c>
      <c r="E65" s="2672">
        <f>дома!E229</f>
        <v>0</v>
      </c>
      <c r="F65" s="2672">
        <f>дома!F229</f>
        <v>0</v>
      </c>
      <c r="G65" s="2672">
        <f>E65*F65*IF('Ввод данных'!$A$8=связи1!$A$150,1,0)</f>
        <v>0</v>
      </c>
      <c r="H65" s="2672">
        <f>дома!G202*IF('Ввод данных'!$A$8=связи1!$A$150,1,0)</f>
        <v>0</v>
      </c>
    </row>
    <row r="66" spans="1:8">
      <c r="A66" s="2670" t="str">
        <f>дома!A230</f>
        <v>Стойка каркаса по фронтону правая сторона 45</v>
      </c>
      <c r="B66" s="2671" t="str">
        <f>дома!B230</f>
        <v>м.п.</v>
      </c>
      <c r="C66" s="2672">
        <f>дома!C230</f>
        <v>0.15</v>
      </c>
      <c r="D66" s="2672">
        <f>дома!D230</f>
        <v>0.05</v>
      </c>
      <c r="E66" s="2672">
        <f>дома!E230</f>
        <v>0</v>
      </c>
      <c r="F66" s="2672">
        <f>дома!F230</f>
        <v>0</v>
      </c>
      <c r="G66" s="2672">
        <f>E66*F66*IF('Ввод данных'!$A$8=связи1!$A$150,1,0)</f>
        <v>0</v>
      </c>
      <c r="H66" s="2672">
        <f>дома!G203*IF('Ввод данных'!$A$8=связи1!$A$150,1,0)</f>
        <v>0</v>
      </c>
    </row>
    <row r="67" spans="1:8">
      <c r="A67" s="2670" t="str">
        <f>дома!A231</f>
        <v>Стойка каркаса по фронтону правая сторона 46</v>
      </c>
      <c r="B67" s="2671" t="str">
        <f>дома!B231</f>
        <v>м.п.</v>
      </c>
      <c r="C67" s="2672">
        <f>дома!C231</f>
        <v>0.15</v>
      </c>
      <c r="D67" s="2672">
        <f>дома!D231</f>
        <v>0.05</v>
      </c>
      <c r="E67" s="2672">
        <f>дома!E231</f>
        <v>0</v>
      </c>
      <c r="F67" s="2672">
        <f>дома!F231</f>
        <v>0</v>
      </c>
      <c r="G67" s="2672">
        <f>E67*F67*IF('Ввод данных'!$A$8=связи1!$A$150,1,0)</f>
        <v>0</v>
      </c>
      <c r="H67" s="2672">
        <f>дома!G204*IF('Ввод данных'!$A$8=связи1!$A$150,1,0)</f>
        <v>0</v>
      </c>
    </row>
    <row r="68" spans="1:8">
      <c r="A68" s="2670" t="str">
        <f>дома!A232</f>
        <v>Стойка каркаса по фронтону правая сторона 47</v>
      </c>
      <c r="B68" s="2671" t="str">
        <f>дома!B232</f>
        <v>м.п.</v>
      </c>
      <c r="C68" s="2672">
        <f>дома!C232</f>
        <v>0.15</v>
      </c>
      <c r="D68" s="2672">
        <f>дома!D232</f>
        <v>0.05</v>
      </c>
      <c r="E68" s="2672">
        <f>дома!E232</f>
        <v>0</v>
      </c>
      <c r="F68" s="2672">
        <f>дома!F232</f>
        <v>0</v>
      </c>
      <c r="G68" s="2672">
        <f>E68*F68*IF('Ввод данных'!$A$8=связи1!$A$150,1,0)</f>
        <v>0</v>
      </c>
      <c r="H68" s="2672">
        <f>дома!G205*IF('Ввод данных'!$A$8=связи1!$A$150,1,0)</f>
        <v>0</v>
      </c>
    </row>
    <row r="69" spans="1:8">
      <c r="A69" s="2670" t="str">
        <f>дома!A233</f>
        <v>Стойка каркаса по фронтону правая сторона 48</v>
      </c>
      <c r="B69" s="2671" t="str">
        <f>дома!B233</f>
        <v>м.п.</v>
      </c>
      <c r="C69" s="2672">
        <f>дома!C233</f>
        <v>0.15</v>
      </c>
      <c r="D69" s="2672">
        <f>дома!D233</f>
        <v>0.05</v>
      </c>
      <c r="E69" s="2672">
        <f>дома!E233</f>
        <v>0</v>
      </c>
      <c r="F69" s="2672">
        <f>дома!F233</f>
        <v>0</v>
      </c>
      <c r="G69" s="2672">
        <f>E69*F69*IF('Ввод данных'!$A$8=связи1!$A$150,1,0)</f>
        <v>0</v>
      </c>
      <c r="H69" s="2672">
        <f>дома!G206*IF('Ввод данных'!$A$8=связи1!$A$150,1,0)</f>
        <v>0</v>
      </c>
    </row>
    <row r="70" spans="1:8">
      <c r="A70" s="2670" t="str">
        <f>дома!A234</f>
        <v>Стойка каркаса по фронтону правая сторона 49</v>
      </c>
      <c r="B70" s="2671" t="str">
        <f>дома!B234</f>
        <v>м.п.</v>
      </c>
      <c r="C70" s="2672">
        <f>дома!C234</f>
        <v>0.15</v>
      </c>
      <c r="D70" s="2672">
        <f>дома!D234</f>
        <v>0.05</v>
      </c>
      <c r="E70" s="2672">
        <f>дома!E234</f>
        <v>0</v>
      </c>
      <c r="F70" s="2672">
        <f>дома!F234</f>
        <v>0</v>
      </c>
      <c r="G70" s="2672">
        <f>E70*F70*IF('Ввод данных'!$A$8=связи1!$A$150,1,0)</f>
        <v>0</v>
      </c>
      <c r="H70" s="2672">
        <f>дома!G207*IF('Ввод данных'!$A$8=связи1!$A$150,1,0)</f>
        <v>0</v>
      </c>
    </row>
    <row r="71" spans="1:8">
      <c r="A71" s="2670" t="str">
        <f>дома!A235</f>
        <v>Стойка каркаса по фронтону правая сторона 50</v>
      </c>
      <c r="B71" s="2671" t="str">
        <f>дома!B235</f>
        <v>м.п.</v>
      </c>
      <c r="C71" s="2672">
        <f>дома!C235</f>
        <v>0.15</v>
      </c>
      <c r="D71" s="2672">
        <f>дома!D235</f>
        <v>0.05</v>
      </c>
      <c r="E71" s="2672">
        <f>дома!E235</f>
        <v>0</v>
      </c>
      <c r="F71" s="2672">
        <f>дома!F235</f>
        <v>0</v>
      </c>
      <c r="G71" s="2672">
        <f>E71*F71*IF('Ввод данных'!$A$8=связи1!$A$150,1,0)</f>
        <v>0</v>
      </c>
      <c r="H71" s="2672">
        <f>дома!G208*IF('Ввод данных'!$A$8=связи1!$A$150,1,0)</f>
        <v>0</v>
      </c>
    </row>
    <row r="72" spans="1:8">
      <c r="A72" s="2670" t="str">
        <f>дома!A236</f>
        <v>Стойка каркаса по фронтону правая сторона 51</v>
      </c>
      <c r="B72" s="2671" t="str">
        <f>дома!B236</f>
        <v>м.п.</v>
      </c>
      <c r="C72" s="2672">
        <f>дома!C236</f>
        <v>0.15</v>
      </c>
      <c r="D72" s="2672">
        <f>дома!D236</f>
        <v>0.05</v>
      </c>
      <c r="E72" s="2672">
        <f>дома!E236</f>
        <v>0</v>
      </c>
      <c r="F72" s="2672">
        <f>дома!F236</f>
        <v>0</v>
      </c>
      <c r="G72" s="2672">
        <f>E72*F72*IF('Ввод данных'!$A$8=связи1!$A$150,1,0)</f>
        <v>0</v>
      </c>
      <c r="H72" s="2672">
        <f>дома!G209*IF('Ввод данных'!$A$8=связи1!$A$150,1,0)</f>
        <v>0</v>
      </c>
    </row>
    <row r="73" spans="1:8">
      <c r="A73" s="2670" t="str">
        <f>дома!A237</f>
        <v>Стойка каркаса по фронтону правая сторона 52</v>
      </c>
      <c r="B73" s="2671" t="str">
        <f>дома!B237</f>
        <v>м.п.</v>
      </c>
      <c r="C73" s="2672">
        <f>дома!C237</f>
        <v>0.15</v>
      </c>
      <c r="D73" s="2672">
        <f>дома!D237</f>
        <v>0.05</v>
      </c>
      <c r="E73" s="2672">
        <f>дома!E237</f>
        <v>0</v>
      </c>
      <c r="F73" s="2672">
        <f>дома!F237</f>
        <v>0</v>
      </c>
      <c r="G73" s="2672">
        <f>E73*F73*IF('Ввод данных'!$A$8=связи1!$A$150,1,0)</f>
        <v>0</v>
      </c>
      <c r="H73" s="2672">
        <f>дома!G210*IF('Ввод данных'!$A$8=связи1!$A$150,1,0)</f>
        <v>0</v>
      </c>
    </row>
    <row r="74" spans="1:8">
      <c r="A74" s="2670" t="str">
        <f>дома!A238</f>
        <v>Стойка каркаса по фронтону правая сторона 53</v>
      </c>
      <c r="B74" s="2671" t="str">
        <f>дома!B238</f>
        <v>м.п.</v>
      </c>
      <c r="C74" s="2672">
        <f>дома!C238</f>
        <v>0.15</v>
      </c>
      <c r="D74" s="2672">
        <f>дома!D238</f>
        <v>0.05</v>
      </c>
      <c r="E74" s="2672">
        <f>дома!E238</f>
        <v>0</v>
      </c>
      <c r="F74" s="2672">
        <f>дома!F238</f>
        <v>0</v>
      </c>
      <c r="G74" s="2672">
        <f>E74*F74*IF('Ввод данных'!$A$8=связи1!$A$150,1,0)</f>
        <v>0</v>
      </c>
      <c r="H74" s="2672">
        <f>дома!G211*IF('Ввод данных'!$A$8=связи1!$A$150,1,0)</f>
        <v>0</v>
      </c>
    </row>
    <row r="75" spans="1:8">
      <c r="A75" s="2670" t="str">
        <f>дома!A239</f>
        <v>Стойка каркаса по фронтону правая сторона 54</v>
      </c>
      <c r="B75" s="2671" t="str">
        <f>дома!B239</f>
        <v>м.п.</v>
      </c>
      <c r="C75" s="2672">
        <f>дома!C239</f>
        <v>0.15</v>
      </c>
      <c r="D75" s="2672">
        <f>дома!D239</f>
        <v>0.05</v>
      </c>
      <c r="E75" s="2672">
        <f>дома!E239</f>
        <v>0</v>
      </c>
      <c r="F75" s="2672">
        <f>дома!F239</f>
        <v>0</v>
      </c>
      <c r="G75" s="2672">
        <f>E75*F75*IF('Ввод данных'!$A$8=связи1!$A$150,1,0)</f>
        <v>0</v>
      </c>
      <c r="H75" s="2672">
        <f>дома!G212*IF('Ввод данных'!$A$8=связи1!$A$150,1,0)</f>
        <v>0</v>
      </c>
    </row>
    <row r="76" spans="1:8">
      <c r="A76" s="2670" t="str">
        <f>дома!A240</f>
        <v>Стойка каркаса по фронтону правая сторона 55</v>
      </c>
      <c r="B76" s="2671" t="str">
        <f>дома!B240</f>
        <v>м.п.</v>
      </c>
      <c r="C76" s="2672">
        <f>дома!C240</f>
        <v>0.15</v>
      </c>
      <c r="D76" s="2672">
        <f>дома!D240</f>
        <v>0.05</v>
      </c>
      <c r="E76" s="2672">
        <f>дома!E240</f>
        <v>0</v>
      </c>
      <c r="F76" s="2672">
        <f>дома!F240</f>
        <v>0</v>
      </c>
      <c r="G76" s="2672">
        <f>E76*F76*IF('Ввод данных'!$A$8=связи1!$A$150,1,0)</f>
        <v>0</v>
      </c>
      <c r="H76" s="2672">
        <f>дома!G213*IF('Ввод данных'!$A$8=связи1!$A$150,1,0)</f>
        <v>0</v>
      </c>
    </row>
    <row r="77" spans="1:8">
      <c r="A77" s="2670" t="str">
        <f>дома!A241</f>
        <v>Стойка каркаса по фронтону правая сторона 56</v>
      </c>
      <c r="B77" s="2671" t="str">
        <f>дома!B241</f>
        <v>м.п.</v>
      </c>
      <c r="C77" s="2672">
        <f>дома!C241</f>
        <v>0.15</v>
      </c>
      <c r="D77" s="2672">
        <f>дома!D241</f>
        <v>0.05</v>
      </c>
      <c r="E77" s="2672">
        <f>дома!E241</f>
        <v>0</v>
      </c>
      <c r="F77" s="2672">
        <f>дома!F241</f>
        <v>0</v>
      </c>
      <c r="G77" s="2672">
        <f>E77*F77*IF('Ввод данных'!$A$8=связи1!$A$150,1,0)</f>
        <v>0</v>
      </c>
      <c r="H77" s="2672">
        <f>дома!G214*IF('Ввод данных'!$A$8=связи1!$A$150,1,0)</f>
        <v>0</v>
      </c>
    </row>
    <row r="78" spans="1:8">
      <c r="A78" s="2670" t="str">
        <f>дома!A242</f>
        <v>Стойка каркаса по фронтону правая сторона 57</v>
      </c>
      <c r="B78" s="2671" t="str">
        <f>дома!B242</f>
        <v>м.п.</v>
      </c>
      <c r="C78" s="2672">
        <f>дома!C242</f>
        <v>0.15</v>
      </c>
      <c r="D78" s="2672">
        <f>дома!D242</f>
        <v>0.05</v>
      </c>
      <c r="E78" s="2672">
        <f>дома!E242</f>
        <v>0</v>
      </c>
      <c r="F78" s="2672">
        <f>дома!F242</f>
        <v>0</v>
      </c>
      <c r="G78" s="2672">
        <f>E78*F78*IF('Ввод данных'!$A$8=связи1!$A$150,1,0)</f>
        <v>0</v>
      </c>
      <c r="H78" s="2672">
        <f>дома!G215*IF('Ввод данных'!$A$8=связи1!$A$150,1,0)</f>
        <v>0</v>
      </c>
    </row>
    <row r="79" spans="1:8">
      <c r="A79" s="2670" t="str">
        <f>дома!A243</f>
        <v>Стойка каркаса по фронтону правая сторона 58</v>
      </c>
      <c r="B79" s="2671" t="str">
        <f>дома!B243</f>
        <v>м.п.</v>
      </c>
      <c r="C79" s="2672">
        <f>дома!C243</f>
        <v>0.15</v>
      </c>
      <c r="D79" s="2672">
        <f>дома!D243</f>
        <v>0.05</v>
      </c>
      <c r="E79" s="2672">
        <f>дома!E243</f>
        <v>0</v>
      </c>
      <c r="F79" s="2672">
        <f>дома!F243</f>
        <v>0</v>
      </c>
      <c r="G79" s="2672">
        <f>E79*F79*IF('Ввод данных'!$A$8=связи1!$A$150,1,0)</f>
        <v>0</v>
      </c>
      <c r="H79" s="2672">
        <f>дома!G216*IF('Ввод данных'!$A$8=связи1!$A$150,1,0)</f>
        <v>0</v>
      </c>
    </row>
    <row r="80" spans="1:8">
      <c r="A80" s="2670" t="str">
        <f>дома!A244</f>
        <v>Стойка каркаса по фронтону правая сторона 59</v>
      </c>
      <c r="B80" s="2671" t="str">
        <f>дома!B244</f>
        <v>м.п.</v>
      </c>
      <c r="C80" s="2672">
        <f>дома!C244</f>
        <v>0.15</v>
      </c>
      <c r="D80" s="2672">
        <f>дома!D244</f>
        <v>0.05</v>
      </c>
      <c r="E80" s="2672">
        <f>дома!E244</f>
        <v>0</v>
      </c>
      <c r="F80" s="2672">
        <f>дома!F244</f>
        <v>0</v>
      </c>
      <c r="G80" s="2672">
        <f>E80*F80*IF('Ввод данных'!$A$8=связи1!$A$150,1,0)</f>
        <v>0</v>
      </c>
      <c r="H80" s="2672">
        <f>дома!G217*IF('Ввод данных'!$A$8=связи1!$A$150,1,0)</f>
        <v>0</v>
      </c>
    </row>
    <row r="81" spans="1:8">
      <c r="A81" s="2670" t="str">
        <f>дома!A245</f>
        <v>Стойка каркаса по фронтону правая сторона 60</v>
      </c>
      <c r="B81" s="2671" t="str">
        <f>дома!B245</f>
        <v>м.п.</v>
      </c>
      <c r="C81" s="2672">
        <f>дома!C245</f>
        <v>0.15</v>
      </c>
      <c r="D81" s="2672">
        <f>дома!D245</f>
        <v>0.05</v>
      </c>
      <c r="E81" s="2672">
        <f>дома!E245</f>
        <v>0</v>
      </c>
      <c r="F81" s="2672">
        <f>дома!F245</f>
        <v>0</v>
      </c>
      <c r="G81" s="2672">
        <f>E81*F81*IF('Ввод данных'!$A$8=связи1!$A$150,1,0)</f>
        <v>0</v>
      </c>
      <c r="H81" s="2672">
        <f>дома!G218*IF('Ввод данных'!$A$8=связи1!$A$150,1,0)</f>
        <v>0</v>
      </c>
    </row>
    <row r="82" spans="1:8">
      <c r="A82" s="2670" t="str">
        <f>дома!A246</f>
        <v>Стойка каркаса по фронтону правая сторона 61</v>
      </c>
      <c r="B82" s="2671" t="str">
        <f>дома!B246</f>
        <v>м.п.</v>
      </c>
      <c r="C82" s="2672">
        <f>дома!C246</f>
        <v>0.15</v>
      </c>
      <c r="D82" s="2672">
        <f>дома!D246</f>
        <v>0.05</v>
      </c>
      <c r="E82" s="2672">
        <f>дома!E246</f>
        <v>0</v>
      </c>
      <c r="F82" s="2672">
        <f>дома!F246</f>
        <v>0</v>
      </c>
      <c r="G82" s="2672">
        <f>E82*F82*IF('Ввод данных'!$A$8=связи1!$A$150,1,0)</f>
        <v>0</v>
      </c>
      <c r="H82" s="2672">
        <f>дома!G219*IF('Ввод данных'!$A$8=связи1!$A$150,1,0)</f>
        <v>0</v>
      </c>
    </row>
    <row r="83" spans="1:8">
      <c r="A83" s="2670" t="str">
        <f>дома!A247</f>
        <v>Стойка каркаса по фронтону правая сторона 62</v>
      </c>
      <c r="B83" s="2671" t="str">
        <f>дома!B247</f>
        <v>м.п.</v>
      </c>
      <c r="C83" s="2672">
        <f>дома!C247</f>
        <v>0.15</v>
      </c>
      <c r="D83" s="2672">
        <f>дома!D247</f>
        <v>0.05</v>
      </c>
      <c r="E83" s="2672">
        <f>дома!E247</f>
        <v>0</v>
      </c>
      <c r="F83" s="2672">
        <f>дома!F247</f>
        <v>0</v>
      </c>
      <c r="G83" s="2672">
        <f>E83*F83*IF('Ввод данных'!$A$8=связи1!$A$150,1,0)</f>
        <v>0</v>
      </c>
      <c r="H83" s="2672">
        <f>дома!G220*IF('Ввод данных'!$A$8=связи1!$A$150,1,0)</f>
        <v>0</v>
      </c>
    </row>
    <row r="84" spans="1:8">
      <c r="A84" s="2670" t="str">
        <f>дома!A248</f>
        <v>Обвязка каркаса фронтона верхняя</v>
      </c>
      <c r="B84" s="2671" t="str">
        <f>дома!B248</f>
        <v>м.п.</v>
      </c>
      <c r="C84" s="2672">
        <f>дома!C248</f>
        <v>0.15</v>
      </c>
      <c r="D84" s="2672">
        <f>дома!D248</f>
        <v>0.05</v>
      </c>
      <c r="E84" s="2672">
        <f>дома!E248</f>
        <v>7.4246212024587495</v>
      </c>
      <c r="F84" s="2672">
        <f>дома!F248</f>
        <v>0</v>
      </c>
      <c r="G84" s="2672">
        <f>E84*F84*IF('Ввод данных'!$A$8=связи1!$A$150,1,0)</f>
        <v>0</v>
      </c>
      <c r="H84" s="2672">
        <f>дома!G221*IF('Ввод данных'!$A$8=связи1!$A$150,1,0)</f>
        <v>0</v>
      </c>
    </row>
    <row r="85" spans="1:8">
      <c r="A85" s="2670" t="str">
        <f>дома!A249</f>
        <v>Обвязка каркаса фронтона нижняя</v>
      </c>
      <c r="B85" s="2671" t="str">
        <f>дома!B249</f>
        <v>м.п.</v>
      </c>
      <c r="C85" s="2672">
        <f>дома!C249</f>
        <v>0.15</v>
      </c>
      <c r="D85" s="2672">
        <f>дома!D249</f>
        <v>0.05</v>
      </c>
      <c r="E85" s="2672">
        <f>дома!E249</f>
        <v>5</v>
      </c>
      <c r="F85" s="2672">
        <f>дома!F249</f>
        <v>0</v>
      </c>
      <c r="G85" s="2672">
        <f>E85*F85*IF('Ввод данных'!$A$8=связи1!$A$150,1,0)</f>
        <v>0</v>
      </c>
      <c r="H85" s="2672">
        <f>дома!G222*IF('Ввод данных'!$A$8=связи1!$A$150,1,0)</f>
        <v>0</v>
      </c>
    </row>
    <row r="86" spans="1:8">
      <c r="A86" s="2670" t="str">
        <f>дома!A250</f>
        <v>Ригель каркаса фронтона</v>
      </c>
      <c r="B86" s="2671" t="str">
        <f>дома!B250</f>
        <v>м.п.</v>
      </c>
      <c r="C86" s="2672">
        <f>дома!C250</f>
        <v>0.15</v>
      </c>
      <c r="D86" s="2672">
        <f>дома!D250</f>
        <v>0.05</v>
      </c>
      <c r="E86" s="2672">
        <f>дома!E250</f>
        <v>7.4246212024587495</v>
      </c>
      <c r="F86" s="2672">
        <f>дома!F250</f>
        <v>0</v>
      </c>
      <c r="G86" s="2672">
        <f>E86*F86*IF('Ввод данных'!$A$8=связи1!$A$150,1,0)</f>
        <v>0</v>
      </c>
      <c r="H86" s="2672">
        <f>дома!G223*IF('Ввод данных'!$A$8=связи1!$A$150,1,0)</f>
        <v>0</v>
      </c>
    </row>
    <row r="87" spans="1:8">
      <c r="A87" s="2670" t="str">
        <f>дома!A251</f>
        <v>Стойки каркаса левой боковой стены 1 этаж</v>
      </c>
      <c r="B87" s="2671" t="str">
        <f>дома!B251</f>
        <v>м.п.</v>
      </c>
      <c r="C87" s="2672">
        <f>дома!C251</f>
        <v>0.15</v>
      </c>
      <c r="D87" s="2672">
        <f>дома!D251</f>
        <v>0.05</v>
      </c>
      <c r="E87" s="2672">
        <f>дома!E251</f>
        <v>3</v>
      </c>
      <c r="F87" s="2672">
        <f>дома!F251</f>
        <v>0</v>
      </c>
      <c r="G87" s="2672">
        <f>E87*F87*IF('Ввод данных'!$A$8=связи1!$A$150,1,0)</f>
        <v>0</v>
      </c>
      <c r="H87" s="2672">
        <f>дома!G224*IF('Ввод данных'!$A$8=связи1!$A$150,1,0)</f>
        <v>0</v>
      </c>
    </row>
    <row r="88" spans="1:8">
      <c r="A88" s="2670" t="str">
        <f>дома!A252</f>
        <v>Стойки каркаса правой боковой стены 1 этаж</v>
      </c>
      <c r="B88" s="2671" t="str">
        <f>дома!B252</f>
        <v>м.п.</v>
      </c>
      <c r="C88" s="2672">
        <f>дома!C252</f>
        <v>0.15</v>
      </c>
      <c r="D88" s="2672">
        <f>дома!D252</f>
        <v>0.05</v>
      </c>
      <c r="E88" s="2672">
        <f>дома!E252</f>
        <v>3</v>
      </c>
      <c r="F88" s="2672">
        <f>дома!F252</f>
        <v>0</v>
      </c>
      <c r="G88" s="2672">
        <f>E88*F88*IF('Ввод данных'!$A$8=связи1!$A$150,1,0)</f>
        <v>0</v>
      </c>
      <c r="H88" s="2672">
        <f>дома!G225*IF('Ввод данных'!$A$8=связи1!$A$150,1,0)</f>
        <v>0</v>
      </c>
    </row>
    <row r="89" spans="1:8">
      <c r="A89" s="2670" t="str">
        <f>дома!A253</f>
        <v>Стойка каркаса по фронтону, полувальмовая кровля №1</v>
      </c>
      <c r="B89" s="2671" t="str">
        <f>дома!B253</f>
        <v>м.п.</v>
      </c>
      <c r="C89" s="2672">
        <f>дома!C253</f>
        <v>0.15</v>
      </c>
      <c r="D89" s="2672">
        <f>дома!D253</f>
        <v>0.05</v>
      </c>
      <c r="E89" s="2672">
        <f>дома!E253</f>
        <v>3</v>
      </c>
      <c r="F89" s="2672">
        <f>дома!F253</f>
        <v>0</v>
      </c>
      <c r="G89" s="2672">
        <f>E89*F89*IF('Ввод данных'!$A$8=связи1!$A$150,1,0)</f>
        <v>0</v>
      </c>
      <c r="H89" s="2672">
        <f>дома!G226*IF('Ввод данных'!$A$8=связи1!$A$150,1,0)</f>
        <v>0</v>
      </c>
    </row>
    <row r="90" spans="1:8">
      <c r="A90" s="2670" t="str">
        <f>дома!A254</f>
        <v>Стойка каркаса по фронтону, полувальмовая кровля №2</v>
      </c>
      <c r="B90" s="2671" t="str">
        <f>дома!B254</f>
        <v>м.п.</v>
      </c>
      <c r="C90" s="2672">
        <f>дома!C254</f>
        <v>0.15</v>
      </c>
      <c r="D90" s="2672">
        <f>дома!D254</f>
        <v>0.05</v>
      </c>
      <c r="E90" s="2672">
        <f>дома!E254</f>
        <v>3</v>
      </c>
      <c r="F90" s="2672">
        <f>дома!F254</f>
        <v>0</v>
      </c>
      <c r="G90" s="2672">
        <f>E90*F90*IF('Ввод данных'!$A$8=связи1!$A$150,1,0)</f>
        <v>0</v>
      </c>
      <c r="H90" s="2672">
        <f>дома!G227*IF('Ввод данных'!$A$8=связи1!$A$150,1,0)</f>
        <v>0</v>
      </c>
    </row>
    <row r="91" spans="1:8">
      <c r="A91" s="2670" t="str">
        <f>дома!A255</f>
        <v>Обвязка каркаса нижняя 1 этаж</v>
      </c>
      <c r="B91" s="2671" t="str">
        <f>дома!B255</f>
        <v>м.п.</v>
      </c>
      <c r="C91" s="2672">
        <f>дома!C255</f>
        <v>0.15</v>
      </c>
      <c r="D91" s="2672">
        <f>дома!D255</f>
        <v>0.05</v>
      </c>
      <c r="E91" s="2672">
        <f>дома!E255</f>
        <v>0</v>
      </c>
      <c r="F91" s="2672">
        <f>дома!F255</f>
        <v>0</v>
      </c>
      <c r="G91" s="2672">
        <f>E91*F91*IF('Ввод данных'!$A$8=связи1!$A$150,1,0)</f>
        <v>0</v>
      </c>
      <c r="H91" s="2672">
        <f>дома!G228*IF('Ввод данных'!$A$8=связи1!$A$150,1,0)</f>
        <v>0</v>
      </c>
    </row>
    <row r="92" spans="1:8">
      <c r="A92" s="2670" t="str">
        <f>дома!A256</f>
        <v>Обвязка каркаса верхняя 1 этаж</v>
      </c>
      <c r="B92" s="2671" t="str">
        <f>дома!B256</f>
        <v>м.п.</v>
      </c>
      <c r="C92" s="2672">
        <f>дома!C256</f>
        <v>0.15</v>
      </c>
      <c r="D92" s="2672">
        <f>дома!D256</f>
        <v>0.05</v>
      </c>
      <c r="E92" s="2672">
        <f>дома!E256</f>
        <v>20.95486318323298</v>
      </c>
      <c r="F92" s="2672">
        <f>дома!F256</f>
        <v>0</v>
      </c>
      <c r="G92" s="2672">
        <f>E92*F92*IF('Ввод данных'!$A$8=связи1!$A$150,1,0)</f>
        <v>0</v>
      </c>
      <c r="H92" s="2672">
        <f>дома!G229*IF('Ввод данных'!$A$8=связи1!$A$150,1,0)</f>
        <v>0</v>
      </c>
    </row>
    <row r="93" spans="1:8">
      <c r="A93" s="2670" t="str">
        <f>дома!A257</f>
        <v>Ригель каркаса фронтона 1 этаж</v>
      </c>
      <c r="B93" s="2671" t="str">
        <f>дома!B257</f>
        <v>м.п.</v>
      </c>
      <c r="C93" s="2672">
        <f>дома!C257</f>
        <v>0.15</v>
      </c>
      <c r="D93" s="2672">
        <f>дома!D257</f>
        <v>0.05</v>
      </c>
      <c r="E93" s="2672">
        <f>дома!E257</f>
        <v>20.95486318323298</v>
      </c>
      <c r="F93" s="2672">
        <f>дома!F257</f>
        <v>0</v>
      </c>
      <c r="G93" s="2672">
        <f>E93*F93*IF('Ввод данных'!$A$8=связи1!$A$150,1,0)</f>
        <v>0</v>
      </c>
      <c r="H93" s="2672">
        <f>дома!G230*IF('Ввод данных'!$A$8=связи1!$A$150,1,0)</f>
        <v>0</v>
      </c>
    </row>
    <row r="94" spans="1:8">
      <c r="A94" s="2670" t="str">
        <f>дома!A258</f>
        <v>Обвязка каркаса нижняя, односкатная кровля</v>
      </c>
      <c r="B94" s="2671" t="str">
        <f>дома!B258</f>
        <v>м.п.</v>
      </c>
      <c r="C94" s="2672">
        <f>дома!C258</f>
        <v>0.15</v>
      </c>
      <c r="D94" s="2672">
        <f>дома!D258</f>
        <v>0.05</v>
      </c>
      <c r="E94" s="2672">
        <f>дома!E258</f>
        <v>0</v>
      </c>
      <c r="F94" s="2672">
        <f>дома!F258</f>
        <v>0</v>
      </c>
      <c r="G94" s="2672">
        <f>E94*F94*IF('Ввод данных'!$A$8=связи1!$A$150,1,0)</f>
        <v>0</v>
      </c>
      <c r="H94" s="2672">
        <f>дома!G231*IF('Ввод данных'!$A$8=связи1!$A$150,1,0)</f>
        <v>0</v>
      </c>
    </row>
    <row r="95" spans="1:8">
      <c r="A95" s="2670" t="str">
        <f>дома!A259</f>
        <v>Обвязка каркаса верхняя, односкатная кровля</v>
      </c>
      <c r="B95" s="2671" t="str">
        <f>дома!B259</f>
        <v>м.п.</v>
      </c>
      <c r="C95" s="2672">
        <f>дома!C259</f>
        <v>0.15</v>
      </c>
      <c r="D95" s="2672">
        <f>дома!D259</f>
        <v>0.05</v>
      </c>
      <c r="E95" s="2672">
        <f>дома!E259</f>
        <v>24.596747752497691</v>
      </c>
      <c r="F95" s="2672">
        <f>дома!F259</f>
        <v>0</v>
      </c>
      <c r="G95" s="2672">
        <f>E95*F95*IF('Ввод данных'!$A$8=связи1!$A$150,1,0)</f>
        <v>0</v>
      </c>
      <c r="H95" s="2672">
        <f>дома!G232*IF('Ввод данных'!$A$8=связи1!$A$150,1,0)</f>
        <v>0</v>
      </c>
    </row>
    <row r="96" spans="1:8">
      <c r="A96" s="2670" t="str">
        <f>дома!A260</f>
        <v>Ригель каркаса фронтона, односкатная кровля</v>
      </c>
      <c r="B96" s="2671" t="str">
        <f>дома!B260</f>
        <v>м.п.</v>
      </c>
      <c r="C96" s="2672">
        <f>дома!C260</f>
        <v>0.15</v>
      </c>
      <c r="D96" s="2672">
        <f>дома!D260</f>
        <v>0.05</v>
      </c>
      <c r="E96" s="2672">
        <f>дома!E260</f>
        <v>24.596747752497691</v>
      </c>
      <c r="F96" s="2672">
        <f>дома!F260</f>
        <v>0</v>
      </c>
      <c r="G96" s="2672">
        <f>E96*F96*IF('Ввод данных'!$A$8=связи1!$A$150,1,0)</f>
        <v>0</v>
      </c>
      <c r="H96" s="2672">
        <f>дома!G233*IF('Ввод данных'!$A$8=связи1!$A$150,1,0)</f>
        <v>0</v>
      </c>
    </row>
    <row r="97" spans="1:8">
      <c r="A97" s="2670" t="str">
        <f>дома!A261</f>
        <v>Стойки каркаса передней стены 1 этаж</v>
      </c>
      <c r="B97" s="2671" t="str">
        <f>дома!B261</f>
        <v>м.п.</v>
      </c>
      <c r="C97" s="2672">
        <f>дома!C261</f>
        <v>0.15</v>
      </c>
      <c r="D97" s="2672">
        <f>дома!D261</f>
        <v>0.05</v>
      </c>
      <c r="E97" s="2672">
        <f>дома!E261</f>
        <v>3</v>
      </c>
      <c r="F97" s="2672">
        <f>дома!F261</f>
        <v>0</v>
      </c>
      <c r="G97" s="2672">
        <f>E97*F97*IF('Ввод данных'!$A$8=связи1!$A$150,1,0)</f>
        <v>0</v>
      </c>
      <c r="H97" s="2672">
        <f>дома!G234*IF('Ввод данных'!$A$8=связи1!$A$150,1,0)</f>
        <v>0</v>
      </c>
    </row>
    <row r="98" spans="1:8">
      <c r="A98" s="2670" t="str">
        <f>дома!A262</f>
        <v>Стойки каркаса задней стены 1 этаж</v>
      </c>
      <c r="B98" s="2671" t="str">
        <f>дома!B262</f>
        <v>м.п.</v>
      </c>
      <c r="C98" s="2672">
        <f>дома!C262</f>
        <v>0.15</v>
      </c>
      <c r="D98" s="2672">
        <f>дома!D262</f>
        <v>0.05</v>
      </c>
      <c r="E98" s="2672">
        <f>дома!E262</f>
        <v>3</v>
      </c>
      <c r="F98" s="2672">
        <f>дома!F262</f>
        <v>0</v>
      </c>
      <c r="G98" s="2672">
        <f>E98*F98*IF('Ввод данных'!$A$8=связи1!$A$150,1,0)</f>
        <v>0</v>
      </c>
      <c r="H98" s="2672">
        <f>дома!G235*IF('Ввод данных'!$A$8=связи1!$A$150,1,0)</f>
        <v>0</v>
      </c>
    </row>
    <row r="99" spans="1:8">
      <c r="A99" s="2670" t="str">
        <f>дома!A263</f>
        <v>Стойки каркаса, левая/правая сторона 1 этаж</v>
      </c>
      <c r="B99" s="2671" t="str">
        <f>дома!B263</f>
        <v>м.п.</v>
      </c>
      <c r="C99" s="2672">
        <f>дома!C263</f>
        <v>0.15</v>
      </c>
      <c r="D99" s="2672">
        <f>дома!D263</f>
        <v>0.05</v>
      </c>
      <c r="E99" s="2672">
        <f>дома!E263</f>
        <v>3</v>
      </c>
      <c r="F99" s="2672">
        <f>дома!F263</f>
        <v>0</v>
      </c>
      <c r="G99" s="2672">
        <f>E99*F99*IF('Ввод данных'!$A$8=связи1!$A$150,1,0)</f>
        <v>0</v>
      </c>
      <c r="H99" s="2672">
        <f>дома!G236*IF('Ввод данных'!$A$8=связи1!$A$150,1,0)</f>
        <v>0</v>
      </c>
    </row>
    <row r="100" spans="1:8">
      <c r="A100" s="2670" t="str">
        <f>дома!A264</f>
        <v>Стойка каркаса по фронтону, односкатная кровля №0</v>
      </c>
      <c r="B100" s="2671" t="str">
        <f>дома!B264</f>
        <v>м.п.</v>
      </c>
      <c r="C100" s="2672">
        <f>дома!C264</f>
        <v>0.15</v>
      </c>
      <c r="D100" s="2672">
        <f>дома!D264</f>
        <v>0.05</v>
      </c>
      <c r="E100" s="2672">
        <f>дома!E264</f>
        <v>5</v>
      </c>
      <c r="F100" s="2672">
        <f>дома!F264</f>
        <v>0</v>
      </c>
      <c r="G100" s="2672">
        <f>E100*F100*IF('Ввод данных'!$A$8=связи1!$A$150,1,0)</f>
        <v>0</v>
      </c>
      <c r="H100" s="2672">
        <f>дома!G237*IF('Ввод данных'!$A$8=связи1!$A$150,1,0)</f>
        <v>0</v>
      </c>
    </row>
    <row r="101" spans="1:8">
      <c r="A101" s="2670" t="str">
        <f>дома!A265</f>
        <v>Стойка каркаса по фронтону, односкатная кровля №1</v>
      </c>
      <c r="B101" s="2671" t="str">
        <f>дома!B265</f>
        <v>м.п.</v>
      </c>
      <c r="C101" s="2672">
        <f>дома!C265</f>
        <v>0.15</v>
      </c>
      <c r="D101" s="2672">
        <f>дома!D265</f>
        <v>0.05</v>
      </c>
      <c r="E101" s="2672">
        <f>дома!E265</f>
        <v>4.8</v>
      </c>
      <c r="F101" s="2672">
        <f>дома!F265</f>
        <v>0</v>
      </c>
      <c r="G101" s="2672">
        <f>E101*F101*IF('Ввод данных'!$A$8=связи1!$A$150,1,0)</f>
        <v>0</v>
      </c>
      <c r="H101" s="2672">
        <f>дома!G238*IF('Ввод данных'!$A$8=связи1!$A$150,1,0)</f>
        <v>0</v>
      </c>
    </row>
    <row r="102" spans="1:8">
      <c r="A102" s="2670" t="str">
        <f>дома!A266</f>
        <v>Стойка каркаса по фронтону, односкатная кровля №2</v>
      </c>
      <c r="B102" s="2671" t="str">
        <f>дома!B266</f>
        <v>м.п.</v>
      </c>
      <c r="C102" s="2672">
        <f>дома!C266</f>
        <v>0.15</v>
      </c>
      <c r="D102" s="2672">
        <f>дома!D266</f>
        <v>0.05</v>
      </c>
      <c r="E102" s="2672">
        <f>дома!E266</f>
        <v>4.5999999999999996</v>
      </c>
      <c r="F102" s="2672">
        <f>дома!F266</f>
        <v>0</v>
      </c>
      <c r="G102" s="2672">
        <f>E102*F102*IF('Ввод данных'!$A$8=связи1!$A$150,1,0)</f>
        <v>0</v>
      </c>
      <c r="H102" s="2672">
        <f>дома!G239*IF('Ввод данных'!$A$8=связи1!$A$150,1,0)</f>
        <v>0</v>
      </c>
    </row>
    <row r="103" spans="1:8">
      <c r="A103" s="2670" t="str">
        <f>дома!A267</f>
        <v>Стойка каркаса по фронтону, односкатная кровля №3</v>
      </c>
      <c r="B103" s="2671" t="str">
        <f>дома!B267</f>
        <v>м.п.</v>
      </c>
      <c r="C103" s="2672">
        <f>дома!C267</f>
        <v>0.15</v>
      </c>
      <c r="D103" s="2672">
        <f>дома!D267</f>
        <v>0.05</v>
      </c>
      <c r="E103" s="2672">
        <f>дома!E267</f>
        <v>4.3999999999999995</v>
      </c>
      <c r="F103" s="2672">
        <f>дома!F267</f>
        <v>0</v>
      </c>
      <c r="G103" s="2672">
        <f>E103*F103*IF('Ввод данных'!$A$8=связи1!$A$150,1,0)</f>
        <v>0</v>
      </c>
      <c r="H103" s="2672">
        <f>дома!G240*IF('Ввод данных'!$A$8=связи1!$A$150,1,0)</f>
        <v>0</v>
      </c>
    </row>
    <row r="104" spans="1:8">
      <c r="A104" s="2670" t="str">
        <f>дома!A268</f>
        <v>Стойка каркаса по фронтону, односкатная кровля №4</v>
      </c>
      <c r="B104" s="2671" t="str">
        <f>дома!B268</f>
        <v>м.п.</v>
      </c>
      <c r="C104" s="2672">
        <f>дома!C268</f>
        <v>0.15</v>
      </c>
      <c r="D104" s="2672">
        <f>дома!D268</f>
        <v>0.05</v>
      </c>
      <c r="E104" s="2672">
        <f>дома!E268</f>
        <v>4.1999999999999993</v>
      </c>
      <c r="F104" s="2672">
        <f>дома!F268</f>
        <v>0</v>
      </c>
      <c r="G104" s="2672">
        <f>E104*F104*IF('Ввод данных'!$A$8=связи1!$A$150,1,0)</f>
        <v>0</v>
      </c>
      <c r="H104" s="2672">
        <f>дома!G241*IF('Ввод данных'!$A$8=связи1!$A$150,1,0)</f>
        <v>0</v>
      </c>
    </row>
    <row r="105" spans="1:8">
      <c r="A105" s="2670" t="str">
        <f>дома!A269</f>
        <v>Стойка каркаса по фронтону, односкатная кровля №5</v>
      </c>
      <c r="B105" s="2671" t="str">
        <f>дома!B269</f>
        <v>м.п.</v>
      </c>
      <c r="C105" s="2672">
        <f>дома!C269</f>
        <v>0.15</v>
      </c>
      <c r="D105" s="2672">
        <f>дома!D269</f>
        <v>0.05</v>
      </c>
      <c r="E105" s="2672">
        <f>дома!E269</f>
        <v>3.9999999999999991</v>
      </c>
      <c r="F105" s="2672">
        <f>дома!F269</f>
        <v>0</v>
      </c>
      <c r="G105" s="2672">
        <f>E105*F105*IF('Ввод данных'!$A$8=связи1!$A$150,1,0)</f>
        <v>0</v>
      </c>
      <c r="H105" s="2672">
        <f>дома!G242*IF('Ввод данных'!$A$8=связи1!$A$150,1,0)</f>
        <v>0</v>
      </c>
    </row>
    <row r="106" spans="1:8">
      <c r="A106" s="2670" t="str">
        <f>дома!A270</f>
        <v>Стойка каркаса по фронтону, односкатная кровля №6</v>
      </c>
      <c r="B106" s="2671" t="str">
        <f>дома!B270</f>
        <v>м.п.</v>
      </c>
      <c r="C106" s="2672">
        <f>дома!C270</f>
        <v>0.15</v>
      </c>
      <c r="D106" s="2672">
        <f>дома!D270</f>
        <v>0.05</v>
      </c>
      <c r="E106" s="2672">
        <f>дома!E270</f>
        <v>3.7999999999999989</v>
      </c>
      <c r="F106" s="2672">
        <f>дома!F270</f>
        <v>0</v>
      </c>
      <c r="G106" s="2672">
        <f>E106*F106*IF('Ввод данных'!$A$8=связи1!$A$150,1,0)</f>
        <v>0</v>
      </c>
      <c r="H106" s="2672">
        <f>дома!G243*IF('Ввод данных'!$A$8=связи1!$A$150,1,0)</f>
        <v>0</v>
      </c>
    </row>
    <row r="107" spans="1:8">
      <c r="A107" s="2670" t="str">
        <f>дома!A271</f>
        <v>Стойка каркаса по фронтону, односкатная кровля №7</v>
      </c>
      <c r="B107" s="2671" t="str">
        <f>дома!B271</f>
        <v>м.п.</v>
      </c>
      <c r="C107" s="2672">
        <f>дома!C271</f>
        <v>0.15</v>
      </c>
      <c r="D107" s="2672">
        <f>дома!D271</f>
        <v>0.05</v>
      </c>
      <c r="E107" s="2672">
        <f>дома!E271</f>
        <v>3.5999999999999988</v>
      </c>
      <c r="F107" s="2672">
        <f>дома!F271</f>
        <v>0</v>
      </c>
      <c r="G107" s="2672">
        <f>E107*F107*IF('Ввод данных'!$A$8=связи1!$A$150,1,0)</f>
        <v>0</v>
      </c>
      <c r="H107" s="2672">
        <f>дома!G244*IF('Ввод данных'!$A$8=связи1!$A$150,1,0)</f>
        <v>0</v>
      </c>
    </row>
    <row r="108" spans="1:8">
      <c r="A108" s="2670" t="str">
        <f>дома!A272</f>
        <v>Стойка каркаса по фронтону, односкатная кровля №8</v>
      </c>
      <c r="B108" s="2671" t="str">
        <f>дома!B272</f>
        <v>м.п.</v>
      </c>
      <c r="C108" s="2672">
        <f>дома!C272</f>
        <v>0.15</v>
      </c>
      <c r="D108" s="2672">
        <f>дома!D272</f>
        <v>0.05</v>
      </c>
      <c r="E108" s="2672">
        <f>дома!E272</f>
        <v>3.3999999999999986</v>
      </c>
      <c r="F108" s="2672">
        <f>дома!F272</f>
        <v>0</v>
      </c>
      <c r="G108" s="2672">
        <f>E108*F108*IF('Ввод данных'!$A$8=связи1!$A$150,1,0)</f>
        <v>0</v>
      </c>
      <c r="H108" s="2672">
        <f>дома!G245*IF('Ввод данных'!$A$8=связи1!$A$150,1,0)</f>
        <v>0</v>
      </c>
    </row>
    <row r="109" spans="1:8">
      <c r="A109" s="2670" t="str">
        <f>дома!A273</f>
        <v>Стойка каркаса по фронтону, односкатная кровля №9</v>
      </c>
      <c r="B109" s="2671" t="str">
        <f>дома!B273</f>
        <v>м.п.</v>
      </c>
      <c r="C109" s="2672">
        <f>дома!C273</f>
        <v>0.15</v>
      </c>
      <c r="D109" s="2672">
        <f>дома!D273</f>
        <v>0.05</v>
      </c>
      <c r="E109" s="2672">
        <f>дома!E273</f>
        <v>3.1999999999999984</v>
      </c>
      <c r="F109" s="2672">
        <f>дома!F273</f>
        <v>0</v>
      </c>
      <c r="G109" s="2672">
        <f>E109*F109*IF('Ввод данных'!$A$8=связи1!$A$150,1,0)</f>
        <v>0</v>
      </c>
      <c r="H109" s="2672">
        <f>дома!G246*IF('Ввод данных'!$A$8=связи1!$A$150,1,0)</f>
        <v>0</v>
      </c>
    </row>
    <row r="110" spans="1:8">
      <c r="A110" s="2670" t="str">
        <f>дома!A274</f>
        <v>Стойка каркаса по фронтону, односкатная кровля №10</v>
      </c>
      <c r="B110" s="2671" t="str">
        <f>дома!B274</f>
        <v>м.п.</v>
      </c>
      <c r="C110" s="2672">
        <f>дома!C274</f>
        <v>0.15</v>
      </c>
      <c r="D110" s="2672">
        <f>дома!D274</f>
        <v>0.05</v>
      </c>
      <c r="E110" s="2672">
        <f>дома!E274</f>
        <v>2.9999999999999982</v>
      </c>
      <c r="F110" s="2672">
        <f>дома!F274</f>
        <v>0</v>
      </c>
      <c r="G110" s="2672">
        <f>E110*F110*IF('Ввод данных'!$A$8=связи1!$A$150,1,0)</f>
        <v>0</v>
      </c>
      <c r="H110" s="2672">
        <f>дома!G247*IF('Ввод данных'!$A$8=связи1!$A$150,1,0)</f>
        <v>0</v>
      </c>
    </row>
    <row r="111" spans="1:8">
      <c r="A111" s="2670" t="str">
        <f>дома!A275</f>
        <v>Стойка каркаса по фронтону, односкатная кровля №11</v>
      </c>
      <c r="B111" s="2671" t="str">
        <f>дома!B275</f>
        <v>м.п.</v>
      </c>
      <c r="C111" s="2672">
        <f>дома!C275</f>
        <v>0.15</v>
      </c>
      <c r="D111" s="2672">
        <f>дома!D275</f>
        <v>0.05</v>
      </c>
      <c r="E111" s="2672">
        <f>дома!E275</f>
        <v>2.799999999999998</v>
      </c>
      <c r="F111" s="2672">
        <f>дома!F275</f>
        <v>0</v>
      </c>
      <c r="G111" s="2672">
        <f>E111*F111*IF('Ввод данных'!$A$8=связи1!$A$150,1,0)</f>
        <v>0</v>
      </c>
      <c r="H111" s="2672">
        <f>дома!G248*IF('Ввод данных'!$A$8=связи1!$A$150,1,0)</f>
        <v>0</v>
      </c>
    </row>
    <row r="112" spans="1:8">
      <c r="A112" s="2670" t="str">
        <f>дома!A276</f>
        <v>Стойка каркаса по фронтону, односкатная кровля №12</v>
      </c>
      <c r="B112" s="2671" t="str">
        <f>дома!B276</f>
        <v>м.п.</v>
      </c>
      <c r="C112" s="2672">
        <f>дома!C276</f>
        <v>0.15</v>
      </c>
      <c r="D112" s="2672">
        <f>дома!D276</f>
        <v>0.05</v>
      </c>
      <c r="E112" s="2672">
        <f>дома!E276</f>
        <v>2.5999999999999979</v>
      </c>
      <c r="F112" s="2672">
        <f>дома!F276</f>
        <v>0</v>
      </c>
      <c r="G112" s="2672">
        <f>E112*F112*IF('Ввод данных'!$A$8=связи1!$A$150,1,0)</f>
        <v>0</v>
      </c>
      <c r="H112" s="2672">
        <f>дома!G249*IF('Ввод данных'!$A$8=связи1!$A$150,1,0)</f>
        <v>0</v>
      </c>
    </row>
    <row r="113" spans="1:8">
      <c r="A113" s="2670" t="str">
        <f>дома!A277</f>
        <v>Стойка каркаса по фронтону, односкатная кровля №13</v>
      </c>
      <c r="B113" s="2671" t="str">
        <f>дома!B277</f>
        <v>м.п.</v>
      </c>
      <c r="C113" s="2672">
        <f>дома!C277</f>
        <v>0.15</v>
      </c>
      <c r="D113" s="2672">
        <f>дома!D277</f>
        <v>0.05</v>
      </c>
      <c r="E113" s="2672">
        <f>дома!E277</f>
        <v>2.3999999999999977</v>
      </c>
      <c r="F113" s="2672">
        <f>дома!F277</f>
        <v>0</v>
      </c>
      <c r="G113" s="2672">
        <f>E113*F113*IF('Ввод данных'!$A$8=связи1!$A$150,1,0)</f>
        <v>0</v>
      </c>
      <c r="H113" s="2672">
        <f>дома!G250*IF('Ввод данных'!$A$8=связи1!$A$150,1,0)</f>
        <v>0</v>
      </c>
    </row>
    <row r="114" spans="1:8">
      <c r="A114" s="2670" t="str">
        <f>дома!A278</f>
        <v>Стойка каркаса по фронтону, односкатная кровля №14</v>
      </c>
      <c r="B114" s="2671" t="str">
        <f>дома!B278</f>
        <v>м.п.</v>
      </c>
      <c r="C114" s="2672">
        <f>дома!C278</f>
        <v>0.15</v>
      </c>
      <c r="D114" s="2672">
        <f>дома!D278</f>
        <v>0.05</v>
      </c>
      <c r="E114" s="2672">
        <f>дома!E278</f>
        <v>2.1999999999999975</v>
      </c>
      <c r="F114" s="2672">
        <f>дома!F278</f>
        <v>0</v>
      </c>
      <c r="G114" s="2672">
        <f>E114*F114*IF('Ввод данных'!$A$8=связи1!$A$150,1,0)</f>
        <v>0</v>
      </c>
      <c r="H114" s="2672">
        <f>дома!G251*IF('Ввод данных'!$A$8=связи1!$A$150,1,0)</f>
        <v>0</v>
      </c>
    </row>
    <row r="115" spans="1:8">
      <c r="A115" s="2670" t="str">
        <f>дома!A279</f>
        <v>Стойка каркаса по фронтону, односкатная кровля №15</v>
      </c>
      <c r="B115" s="2671" t="str">
        <f>дома!B279</f>
        <v>м.п.</v>
      </c>
      <c r="C115" s="2672">
        <f>дома!C279</f>
        <v>0.15</v>
      </c>
      <c r="D115" s="2672">
        <f>дома!D279</f>
        <v>0.05</v>
      </c>
      <c r="E115" s="2672">
        <f>дома!E279</f>
        <v>1.9999999999999976</v>
      </c>
      <c r="F115" s="2672">
        <f>дома!F279</f>
        <v>0</v>
      </c>
      <c r="G115" s="2672">
        <f>E115*F115*IF('Ввод данных'!$A$8=связи1!$A$150,1,0)</f>
        <v>0</v>
      </c>
      <c r="H115" s="2672">
        <f>дома!G252*IF('Ввод данных'!$A$8=связи1!$A$150,1,0)</f>
        <v>0</v>
      </c>
    </row>
    <row r="116" spans="1:8">
      <c r="A116" s="2670" t="str">
        <f>дома!A280</f>
        <v>Стойка каркаса по фронтону, односкатная кровля №16</v>
      </c>
      <c r="B116" s="2671" t="str">
        <f>дома!B280</f>
        <v>м.п.</v>
      </c>
      <c r="C116" s="2672">
        <f>дома!C280</f>
        <v>0.15</v>
      </c>
      <c r="D116" s="2672">
        <f>дома!D280</f>
        <v>0.05</v>
      </c>
      <c r="E116" s="2672">
        <f>дома!E280</f>
        <v>1.7999999999999976</v>
      </c>
      <c r="F116" s="2672">
        <f>дома!F280</f>
        <v>0</v>
      </c>
      <c r="G116" s="2672">
        <f>E116*F116*IF('Ввод данных'!$A$8=связи1!$A$150,1,0)</f>
        <v>0</v>
      </c>
      <c r="H116" s="2672">
        <f>дома!G253*IF('Ввод данных'!$A$8=связи1!$A$150,1,0)</f>
        <v>0</v>
      </c>
    </row>
    <row r="117" spans="1:8">
      <c r="A117" s="2670" t="str">
        <f>дома!A281</f>
        <v>Стойка каркаса по фронтону, односкатная кровля №17</v>
      </c>
      <c r="B117" s="2671" t="str">
        <f>дома!B281</f>
        <v>м.п.</v>
      </c>
      <c r="C117" s="2672">
        <f>дома!C281</f>
        <v>0.15</v>
      </c>
      <c r="D117" s="2672">
        <f>дома!D281</f>
        <v>0.05</v>
      </c>
      <c r="E117" s="2672">
        <f>дома!E281</f>
        <v>1.5999999999999976</v>
      </c>
      <c r="F117" s="2672">
        <f>дома!F281</f>
        <v>0</v>
      </c>
      <c r="G117" s="2672">
        <f>E117*F117*IF('Ввод данных'!$A$8=связи1!$A$150,1,0)</f>
        <v>0</v>
      </c>
      <c r="H117" s="2672">
        <f>дома!G254*IF('Ввод данных'!$A$8=связи1!$A$150,1,0)</f>
        <v>0</v>
      </c>
    </row>
    <row r="118" spans="1:8">
      <c r="A118" s="2670" t="str">
        <f>дома!A282</f>
        <v>Стойка каркаса по фронтону, односкатная кровля №18</v>
      </c>
      <c r="B118" s="2671" t="str">
        <f>дома!B282</f>
        <v>м.п.</v>
      </c>
      <c r="C118" s="2672">
        <f>дома!C282</f>
        <v>0.15</v>
      </c>
      <c r="D118" s="2672">
        <f>дома!D282</f>
        <v>0.05</v>
      </c>
      <c r="E118" s="2672">
        <f>дома!E282</f>
        <v>1.3999999999999977</v>
      </c>
      <c r="F118" s="2672">
        <f>дома!F282</f>
        <v>0</v>
      </c>
      <c r="G118" s="2672">
        <f>E118*F118*IF('Ввод данных'!$A$8=связи1!$A$150,1,0)</f>
        <v>0</v>
      </c>
      <c r="H118" s="2672">
        <f>дома!G255*IF('Ввод данных'!$A$8=связи1!$A$150,1,0)</f>
        <v>0</v>
      </c>
    </row>
    <row r="119" spans="1:8">
      <c r="A119" s="2670" t="str">
        <f>дома!A283</f>
        <v>Стойка каркаса по фронтону, односкатная кровля №19</v>
      </c>
      <c r="B119" s="2671" t="str">
        <f>дома!B283</f>
        <v>м.п.</v>
      </c>
      <c r="C119" s="2672">
        <f>дома!C283</f>
        <v>0.15</v>
      </c>
      <c r="D119" s="2672">
        <f>дома!D283</f>
        <v>0.05</v>
      </c>
      <c r="E119" s="2672">
        <f>дома!E283</f>
        <v>1.1999999999999977</v>
      </c>
      <c r="F119" s="2672">
        <f>дома!F283</f>
        <v>0</v>
      </c>
      <c r="G119" s="2672">
        <f>E119*F119*IF('Ввод данных'!$A$8=связи1!$A$150,1,0)</f>
        <v>0</v>
      </c>
      <c r="H119" s="2672">
        <f>дома!G256*IF('Ввод данных'!$A$8=связи1!$A$150,1,0)</f>
        <v>0</v>
      </c>
    </row>
    <row r="120" spans="1:8">
      <c r="A120" s="2670" t="str">
        <f>дома!A284</f>
        <v>Стойка каркаса по фронтону, односкатная кровля №20</v>
      </c>
      <c r="B120" s="2671" t="str">
        <f>дома!B284</f>
        <v>м.п.</v>
      </c>
      <c r="C120" s="2672">
        <f>дома!C284</f>
        <v>0.15</v>
      </c>
      <c r="D120" s="2672">
        <f>дома!D284</f>
        <v>0.05</v>
      </c>
      <c r="E120" s="2672">
        <f>дома!E284</f>
        <v>0.99999999999999778</v>
      </c>
      <c r="F120" s="2672">
        <f>дома!F284</f>
        <v>0</v>
      </c>
      <c r="G120" s="2672">
        <f>E120*F120*IF('Ввод данных'!$A$8=связи1!$A$150,1,0)</f>
        <v>0</v>
      </c>
      <c r="H120" s="2672">
        <f>дома!G257*IF('Ввод данных'!$A$8=связи1!$A$150,1,0)</f>
        <v>0</v>
      </c>
    </row>
    <row r="121" spans="1:8">
      <c r="A121" s="2670" t="str">
        <f>дома!A285</f>
        <v>Стойка каркаса по фронтону, односкатная кровля №21</v>
      </c>
      <c r="B121" s="2671" t="str">
        <f>дома!B285</f>
        <v>м.п.</v>
      </c>
      <c r="C121" s="2672">
        <f>дома!C285</f>
        <v>0.15</v>
      </c>
      <c r="D121" s="2672">
        <f>дома!D285</f>
        <v>0.05</v>
      </c>
      <c r="E121" s="2672">
        <f>дома!E285</f>
        <v>0.79999999999999782</v>
      </c>
      <c r="F121" s="2672">
        <f>дома!F285</f>
        <v>0</v>
      </c>
      <c r="G121" s="2672">
        <f>E121*F121*IF('Ввод данных'!$A$8=связи1!$A$150,1,0)</f>
        <v>0</v>
      </c>
      <c r="H121" s="2672">
        <f>дома!G258*IF('Ввод данных'!$A$8=связи1!$A$150,1,0)</f>
        <v>0</v>
      </c>
    </row>
    <row r="122" spans="1:8">
      <c r="A122" s="2670" t="str">
        <f>дома!A286</f>
        <v>Стойка каркаса по фронтону, односкатная кровля №22</v>
      </c>
      <c r="B122" s="2671" t="str">
        <f>дома!B286</f>
        <v>м.п.</v>
      </c>
      <c r="C122" s="2672">
        <f>дома!C286</f>
        <v>0.15</v>
      </c>
      <c r="D122" s="2672">
        <f>дома!D286</f>
        <v>0.05</v>
      </c>
      <c r="E122" s="2672">
        <f>дома!E286</f>
        <v>0.59999999999999787</v>
      </c>
      <c r="F122" s="2672">
        <f>дома!F286</f>
        <v>0</v>
      </c>
      <c r="G122" s="2672">
        <f>E122*F122*IF('Ввод данных'!$A$8=связи1!$A$150,1,0)</f>
        <v>0</v>
      </c>
      <c r="H122" s="2672">
        <f>дома!G259*IF('Ввод данных'!$A$8=связи1!$A$150,1,0)</f>
        <v>0</v>
      </c>
    </row>
    <row r="123" spans="1:8">
      <c r="A123" s="2670" t="str">
        <f>дома!A287</f>
        <v>Стойка каркаса по фронтону, односкатная кровля №23</v>
      </c>
      <c r="B123" s="2671" t="str">
        <f>дома!B287</f>
        <v>м.п.</v>
      </c>
      <c r="C123" s="2672">
        <f>дома!C287</f>
        <v>0.15</v>
      </c>
      <c r="D123" s="2672">
        <f>дома!D287</f>
        <v>0.05</v>
      </c>
      <c r="E123" s="2672">
        <f>дома!E287</f>
        <v>0.39999999999999791</v>
      </c>
      <c r="F123" s="2672">
        <f>дома!F287</f>
        <v>0</v>
      </c>
      <c r="G123" s="2672">
        <f>E123*F123*IF('Ввод данных'!$A$8=связи1!$A$150,1,0)</f>
        <v>0</v>
      </c>
      <c r="H123" s="2672">
        <f>дома!G260*IF('Ввод данных'!$A$8=связи1!$A$150,1,0)</f>
        <v>0</v>
      </c>
    </row>
    <row r="124" spans="1:8">
      <c r="A124" s="2670" t="str">
        <f>дома!A288</f>
        <v>Стойка каркаса по фронтону, односкатная кровля №24</v>
      </c>
      <c r="B124" s="2671" t="str">
        <f>дома!B288</f>
        <v>м.п.</v>
      </c>
      <c r="C124" s="2672">
        <f>дома!C288</f>
        <v>0.15</v>
      </c>
      <c r="D124" s="2672">
        <f>дома!D288</f>
        <v>0.05</v>
      </c>
      <c r="E124" s="2672">
        <f>дома!E288</f>
        <v>0.19999999999999793</v>
      </c>
      <c r="F124" s="2672">
        <f>дома!F288</f>
        <v>0</v>
      </c>
      <c r="G124" s="2672">
        <f>E124*F124*IF('Ввод данных'!$A$8=связи1!$A$150,1,0)</f>
        <v>0</v>
      </c>
      <c r="H124" s="2672">
        <f>дома!G261*IF('Ввод данных'!$A$8=связи1!$A$150,1,0)</f>
        <v>0</v>
      </c>
    </row>
    <row r="125" spans="1:8">
      <c r="A125" s="2670" t="str">
        <f>дома!A289</f>
        <v>Стойка каркаса по фронтону, односкатная кровля №25</v>
      </c>
      <c r="B125" s="2671" t="str">
        <f>дома!B289</f>
        <v>м.п.</v>
      </c>
      <c r="C125" s="2672">
        <f>дома!C289</f>
        <v>0.15</v>
      </c>
      <c r="D125" s="2672">
        <f>дома!D289</f>
        <v>0.05</v>
      </c>
      <c r="E125" s="2672">
        <f>дома!E289</f>
        <v>-2.0539125955565396E-15</v>
      </c>
      <c r="F125" s="2672">
        <f>дома!F289</f>
        <v>0</v>
      </c>
      <c r="G125" s="2672">
        <f>E125*F125*IF('Ввод данных'!$A$8=связи1!$A$150,1,0)</f>
        <v>0</v>
      </c>
      <c r="H125" s="2672">
        <f>дома!G262*IF('Ввод данных'!$A$8=связи1!$A$150,1,0)</f>
        <v>0</v>
      </c>
    </row>
    <row r="126" spans="1:8">
      <c r="A126" s="2670" t="str">
        <f>дома!A290</f>
        <v>Стойка каркаса по фронтону, односкатная кровля №26</v>
      </c>
      <c r="B126" s="2671" t="str">
        <f>дома!B290</f>
        <v>м.п.</v>
      </c>
      <c r="C126" s="2672">
        <f>дома!C290</f>
        <v>0.15</v>
      </c>
      <c r="D126" s="2672">
        <f>дома!D290</f>
        <v>0.05</v>
      </c>
      <c r="E126" s="2672">
        <f>дома!E290</f>
        <v>0</v>
      </c>
      <c r="F126" s="2672">
        <f>дома!F290</f>
        <v>0</v>
      </c>
      <c r="G126" s="2672">
        <f>E126*F126*IF('Ввод данных'!$A$8=связи1!$A$150,1,0)</f>
        <v>0</v>
      </c>
      <c r="H126" s="2672">
        <f>дома!G263*IF('Ввод данных'!$A$8=связи1!$A$150,1,0)</f>
        <v>0</v>
      </c>
    </row>
    <row r="127" spans="1:8">
      <c r="A127" s="2670" t="str">
        <f>дома!A291</f>
        <v>Стойка каркаса по фронтону, односкатная кровля №27</v>
      </c>
      <c r="B127" s="2671" t="str">
        <f>дома!B291</f>
        <v>м.п.</v>
      </c>
      <c r="C127" s="2672">
        <f>дома!C291</f>
        <v>0.15</v>
      </c>
      <c r="D127" s="2672">
        <f>дома!D291</f>
        <v>0.05</v>
      </c>
      <c r="E127" s="2672">
        <f>дома!E291</f>
        <v>0</v>
      </c>
      <c r="F127" s="2672">
        <f>дома!F291</f>
        <v>0</v>
      </c>
      <c r="G127" s="2672">
        <f>E127*F127*IF('Ввод данных'!$A$8=связи1!$A$150,1,0)</f>
        <v>0</v>
      </c>
      <c r="H127" s="2672">
        <f>дома!G264*IF('Ввод данных'!$A$8=связи1!$A$150,1,0)</f>
        <v>0</v>
      </c>
    </row>
    <row r="128" spans="1:8">
      <c r="A128" s="2670" t="str">
        <f>дома!A292</f>
        <v>Стойка каркаса по фронтону, односкатная кровля №28</v>
      </c>
      <c r="B128" s="2671" t="str">
        <f>дома!B292</f>
        <v>м.п.</v>
      </c>
      <c r="C128" s="2672">
        <f>дома!C292</f>
        <v>0.15</v>
      </c>
      <c r="D128" s="2672">
        <f>дома!D292</f>
        <v>0.05</v>
      </c>
      <c r="E128" s="2672">
        <f>дома!E292</f>
        <v>0</v>
      </c>
      <c r="F128" s="2672">
        <f>дома!F292</f>
        <v>0</v>
      </c>
      <c r="G128" s="2672">
        <f>E128*F128*IF('Ввод данных'!$A$8=связи1!$A$150,1,0)</f>
        <v>0</v>
      </c>
      <c r="H128" s="2672">
        <f>дома!G265*IF('Ввод данных'!$A$8=связи1!$A$150,1,0)</f>
        <v>0</v>
      </c>
    </row>
    <row r="129" spans="1:8">
      <c r="A129" s="2670" t="str">
        <f>дома!A293</f>
        <v>Стойка каркаса по фронтону, односкатная кровля №29</v>
      </c>
      <c r="B129" s="2671" t="str">
        <f>дома!B293</f>
        <v>м.п.</v>
      </c>
      <c r="C129" s="2672">
        <f>дома!C293</f>
        <v>0.15</v>
      </c>
      <c r="D129" s="2672">
        <f>дома!D293</f>
        <v>0.05</v>
      </c>
      <c r="E129" s="2672">
        <f>дома!E293</f>
        <v>0</v>
      </c>
      <c r="F129" s="2672">
        <f>дома!F293</f>
        <v>0</v>
      </c>
      <c r="G129" s="2672">
        <f>E129*F129*IF('Ввод данных'!$A$8=связи1!$A$150,1,0)</f>
        <v>0</v>
      </c>
      <c r="H129" s="2672">
        <f>дома!G266*IF('Ввод данных'!$A$8=связи1!$A$150,1,0)</f>
        <v>0</v>
      </c>
    </row>
    <row r="130" spans="1:8">
      <c r="A130" s="2670" t="str">
        <f>дома!A294</f>
        <v>Стойка каркаса по фронтону, односкатная кровля №30</v>
      </c>
      <c r="B130" s="2671" t="str">
        <f>дома!B294</f>
        <v>м.п.</v>
      </c>
      <c r="C130" s="2672">
        <f>дома!C294</f>
        <v>0.15</v>
      </c>
      <c r="D130" s="2672">
        <f>дома!D294</f>
        <v>0.05</v>
      </c>
      <c r="E130" s="2672">
        <f>дома!E294</f>
        <v>0</v>
      </c>
      <c r="F130" s="2672">
        <f>дома!F294</f>
        <v>0</v>
      </c>
      <c r="G130" s="2672">
        <f>E130*F130*IF('Ввод данных'!$A$8=связи1!$A$150,1,0)</f>
        <v>0</v>
      </c>
      <c r="H130" s="2672">
        <f>дома!G267*IF('Ввод данных'!$A$8=связи1!$A$150,1,0)</f>
        <v>0</v>
      </c>
    </row>
    <row r="131" spans="1:8">
      <c r="A131" s="2670" t="str">
        <f>дома!A295</f>
        <v>Стойка каркаса по фронтону, односкатная кровля №31</v>
      </c>
      <c r="B131" s="2671" t="str">
        <f>дома!B295</f>
        <v>м.п.</v>
      </c>
      <c r="C131" s="2672">
        <f>дома!C295</f>
        <v>0.15</v>
      </c>
      <c r="D131" s="2672">
        <f>дома!D295</f>
        <v>0.05</v>
      </c>
      <c r="E131" s="2672">
        <f>дома!E295</f>
        <v>0</v>
      </c>
      <c r="F131" s="2672">
        <f>дома!F295</f>
        <v>0</v>
      </c>
      <c r="G131" s="2672">
        <f>E131*F131*IF('Ввод данных'!$A$8=связи1!$A$150,1,0)</f>
        <v>0</v>
      </c>
      <c r="H131" s="2672">
        <f>дома!G268*IF('Ввод данных'!$A$8=связи1!$A$150,1,0)</f>
        <v>0</v>
      </c>
    </row>
    <row r="132" spans="1:8">
      <c r="A132" s="2670" t="str">
        <f>дома!A296</f>
        <v>Стойка каркаса по фронтону, односкатная кровля №32</v>
      </c>
      <c r="B132" s="2671" t="str">
        <f>дома!B296</f>
        <v>м.п.</v>
      </c>
      <c r="C132" s="2672">
        <f>дома!C296</f>
        <v>0.15</v>
      </c>
      <c r="D132" s="2672">
        <f>дома!D296</f>
        <v>0.05</v>
      </c>
      <c r="E132" s="2672">
        <f>дома!E296</f>
        <v>0</v>
      </c>
      <c r="F132" s="2672">
        <f>дома!F296</f>
        <v>0</v>
      </c>
      <c r="G132" s="2672">
        <f>E132*F132*IF('Ввод данных'!$A$8=связи1!$A$150,1,0)</f>
        <v>0</v>
      </c>
      <c r="H132" s="2672">
        <f>дома!G269*IF('Ввод данных'!$A$8=связи1!$A$150,1,0)</f>
        <v>0</v>
      </c>
    </row>
    <row r="133" spans="1:8">
      <c r="A133" s="2670" t="str">
        <f>дома!A297</f>
        <v>Стойка каркаса по фронтону, односкатная кровля №33</v>
      </c>
      <c r="B133" s="2671" t="str">
        <f>дома!B297</f>
        <v>м.п.</v>
      </c>
      <c r="C133" s="2672">
        <f>дома!C297</f>
        <v>0.15</v>
      </c>
      <c r="D133" s="2672">
        <f>дома!D297</f>
        <v>0.05</v>
      </c>
      <c r="E133" s="2672">
        <f>дома!E297</f>
        <v>0</v>
      </c>
      <c r="F133" s="2672">
        <f>дома!F297</f>
        <v>0</v>
      </c>
      <c r="G133" s="2672">
        <f>E133*F133*IF('Ввод данных'!$A$8=связи1!$A$150,1,0)</f>
        <v>0</v>
      </c>
      <c r="H133" s="2672">
        <f>дома!G270*IF('Ввод данных'!$A$8=связи1!$A$150,1,0)</f>
        <v>0</v>
      </c>
    </row>
    <row r="134" spans="1:8">
      <c r="A134" s="2670" t="str">
        <f>дома!A298</f>
        <v>Стойка каркаса по фронтону, односкатная кровля №34</v>
      </c>
      <c r="B134" s="2671" t="str">
        <f>дома!B298</f>
        <v>м.п.</v>
      </c>
      <c r="C134" s="2672">
        <f>дома!C298</f>
        <v>0.15</v>
      </c>
      <c r="D134" s="2672">
        <f>дома!D298</f>
        <v>0.05</v>
      </c>
      <c r="E134" s="2672">
        <f>дома!E298</f>
        <v>0</v>
      </c>
      <c r="F134" s="2672">
        <f>дома!F298</f>
        <v>0</v>
      </c>
      <c r="G134" s="2672">
        <f>E134*F134*IF('Ввод данных'!$A$8=связи1!$A$150,1,0)</f>
        <v>0</v>
      </c>
      <c r="H134" s="2672">
        <f>дома!G271*IF('Ввод данных'!$A$8=связи1!$A$150,1,0)</f>
        <v>0</v>
      </c>
    </row>
    <row r="135" spans="1:8">
      <c r="A135" s="2670" t="str">
        <f>дома!A299</f>
        <v>Стойка каркаса по фронтону, односкатная кровля №35</v>
      </c>
      <c r="B135" s="2671" t="str">
        <f>дома!B299</f>
        <v>м.п.</v>
      </c>
      <c r="C135" s="2672">
        <f>дома!C299</f>
        <v>0.15</v>
      </c>
      <c r="D135" s="2672">
        <f>дома!D299</f>
        <v>0.05</v>
      </c>
      <c r="E135" s="2672">
        <f>дома!E299</f>
        <v>0</v>
      </c>
      <c r="F135" s="2672">
        <f>дома!F299</f>
        <v>0</v>
      </c>
      <c r="G135" s="2672">
        <f>E135*F135*IF('Ввод данных'!$A$8=связи1!$A$150,1,0)</f>
        <v>0</v>
      </c>
      <c r="H135" s="2672">
        <f>дома!G272*IF('Ввод данных'!$A$8=связи1!$A$150,1,0)</f>
        <v>0</v>
      </c>
    </row>
    <row r="136" spans="1:8">
      <c r="A136" s="2670" t="str">
        <f>дома!A300</f>
        <v>Стойка каркаса по фронтону, односкатная кровля №36</v>
      </c>
      <c r="B136" s="2671" t="str">
        <f>дома!B300</f>
        <v>м.п.</v>
      </c>
      <c r="C136" s="2672">
        <f>дома!C300</f>
        <v>0.15</v>
      </c>
      <c r="D136" s="2672">
        <f>дома!D300</f>
        <v>0.05</v>
      </c>
      <c r="E136" s="2672">
        <f>дома!E300</f>
        <v>0</v>
      </c>
      <c r="F136" s="2672">
        <f>дома!F300</f>
        <v>0</v>
      </c>
      <c r="G136" s="2672">
        <f>E136*F136*IF('Ввод данных'!$A$8=связи1!$A$150,1,0)</f>
        <v>0</v>
      </c>
      <c r="H136" s="2672">
        <f>дома!G273*IF('Ввод данных'!$A$8=связи1!$A$150,1,0)</f>
        <v>0</v>
      </c>
    </row>
    <row r="137" spans="1:8">
      <c r="A137" s="2670" t="str">
        <f>дома!A301</f>
        <v>Стойка каркаса по фронтону, односкатная кровля №37</v>
      </c>
      <c r="B137" s="2671" t="str">
        <f>дома!B301</f>
        <v>м.п.</v>
      </c>
      <c r="C137" s="2672">
        <f>дома!C301</f>
        <v>0.15</v>
      </c>
      <c r="D137" s="2672">
        <f>дома!D301</f>
        <v>0.05</v>
      </c>
      <c r="E137" s="2672">
        <f>дома!E301</f>
        <v>0</v>
      </c>
      <c r="F137" s="2672">
        <f>дома!F301</f>
        <v>0</v>
      </c>
      <c r="G137" s="2672">
        <f>E137*F137*IF('Ввод данных'!$A$8=связи1!$A$150,1,0)</f>
        <v>0</v>
      </c>
      <c r="H137" s="2672">
        <f>дома!G274*IF('Ввод данных'!$A$8=связи1!$A$150,1,0)</f>
        <v>0</v>
      </c>
    </row>
    <row r="138" spans="1:8">
      <c r="A138" s="2670" t="str">
        <f>дома!A302</f>
        <v>Стойка каркаса по фронтону, односкатная кровля №38</v>
      </c>
      <c r="B138" s="2671" t="str">
        <f>дома!B302</f>
        <v>м.п.</v>
      </c>
      <c r="C138" s="2672">
        <f>дома!C302</f>
        <v>0.15</v>
      </c>
      <c r="D138" s="2672">
        <f>дома!D302</f>
        <v>0.05</v>
      </c>
      <c r="E138" s="2672">
        <f>дома!E302</f>
        <v>0</v>
      </c>
      <c r="F138" s="2672">
        <f>дома!F302</f>
        <v>0</v>
      </c>
      <c r="G138" s="2672">
        <f>E138*F138*IF('Ввод данных'!$A$8=связи1!$A$150,1,0)</f>
        <v>0</v>
      </c>
      <c r="H138" s="2672">
        <f>дома!G275*IF('Ввод данных'!$A$8=связи1!$A$150,1,0)</f>
        <v>0</v>
      </c>
    </row>
    <row r="139" spans="1:8">
      <c r="A139" s="2670" t="str">
        <f>дома!A303</f>
        <v>Стойка каркаса по фронтону, односкатная кровля №39</v>
      </c>
      <c r="B139" s="2671" t="str">
        <f>дома!B303</f>
        <v>м.п.</v>
      </c>
      <c r="C139" s="2672">
        <f>дома!C303</f>
        <v>0.15</v>
      </c>
      <c r="D139" s="2672">
        <f>дома!D303</f>
        <v>0.05</v>
      </c>
      <c r="E139" s="2672">
        <f>дома!E303</f>
        <v>0</v>
      </c>
      <c r="F139" s="2672">
        <f>дома!F303</f>
        <v>0</v>
      </c>
      <c r="G139" s="2672">
        <f>E139*F139*IF('Ввод данных'!$A$8=связи1!$A$150,1,0)</f>
        <v>0</v>
      </c>
      <c r="H139" s="2672">
        <f>дома!G276*IF('Ввод данных'!$A$8=связи1!$A$150,1,0)</f>
        <v>0</v>
      </c>
    </row>
    <row r="140" spans="1:8">
      <c r="A140" s="2670" t="str">
        <f>дома!A304</f>
        <v>Стойка каркаса по фронтону, односкатная кровля №40</v>
      </c>
      <c r="B140" s="2671" t="str">
        <f>дома!B304</f>
        <v>м.п.</v>
      </c>
      <c r="C140" s="2672">
        <f>дома!C304</f>
        <v>0.15</v>
      </c>
      <c r="D140" s="2672">
        <f>дома!D304</f>
        <v>0.05</v>
      </c>
      <c r="E140" s="2672">
        <f>дома!E304</f>
        <v>0</v>
      </c>
      <c r="F140" s="2672">
        <f>дома!F304</f>
        <v>0</v>
      </c>
      <c r="G140" s="2672">
        <f>E140*F140*IF('Ввод данных'!$A$8=связи1!$A$150,1,0)</f>
        <v>0</v>
      </c>
      <c r="H140" s="2672">
        <f>дома!G277*IF('Ввод данных'!$A$8=связи1!$A$150,1,0)</f>
        <v>0</v>
      </c>
    </row>
    <row r="141" spans="1:8">
      <c r="A141" s="2670" t="str">
        <f>дома!A305</f>
        <v>Стойка каркаса по фронтону, односкатная кровля №41</v>
      </c>
      <c r="B141" s="2671" t="str">
        <f>дома!B305</f>
        <v>м.п.</v>
      </c>
      <c r="C141" s="2672">
        <f>дома!C305</f>
        <v>0.15</v>
      </c>
      <c r="D141" s="2672">
        <f>дома!D305</f>
        <v>0.05</v>
      </c>
      <c r="E141" s="2672">
        <f>дома!E305</f>
        <v>0</v>
      </c>
      <c r="F141" s="2672">
        <f>дома!F305</f>
        <v>0</v>
      </c>
      <c r="G141" s="2672">
        <f>E141*F141*IF('Ввод данных'!$A$8=связи1!$A$150,1,0)</f>
        <v>0</v>
      </c>
      <c r="H141" s="2672">
        <f>дома!G278*IF('Ввод данных'!$A$8=связи1!$A$150,1,0)</f>
        <v>0</v>
      </c>
    </row>
    <row r="142" spans="1:8">
      <c r="A142" s="2670" t="str">
        <f>дома!A306</f>
        <v>Обвязка каркаса нижняя, односкатная кровля</v>
      </c>
      <c r="B142" s="2671" t="str">
        <f>дома!B306</f>
        <v>м.п.</v>
      </c>
      <c r="C142" s="2672">
        <f>дома!C306</f>
        <v>0.15</v>
      </c>
      <c r="D142" s="2672">
        <f>дома!D306</f>
        <v>0.05</v>
      </c>
      <c r="E142" s="2672">
        <f>дома!E306</f>
        <v>0</v>
      </c>
      <c r="F142" s="2672">
        <f>дома!F306</f>
        <v>0</v>
      </c>
      <c r="G142" s="2672">
        <f>E142*F142*IF('Ввод данных'!$A$8=связи1!$A$150,1,0)</f>
        <v>0</v>
      </c>
      <c r="H142" s="2672">
        <f>дома!G279*IF('Ввод данных'!$A$8=связи1!$A$150,1,0)</f>
        <v>0</v>
      </c>
    </row>
    <row r="143" spans="1:8">
      <c r="A143" s="2670" t="str">
        <f>дома!A307</f>
        <v>Обвязка каркаса верхняя, односкатная кровля</v>
      </c>
      <c r="B143" s="2671" t="str">
        <f>дома!B307</f>
        <v>м.п.</v>
      </c>
      <c r="C143" s="2672">
        <f>дома!C307</f>
        <v>0.15</v>
      </c>
      <c r="D143" s="2672">
        <f>дома!D307</f>
        <v>0.05</v>
      </c>
      <c r="E143" s="2672">
        <f>дома!E307</f>
        <v>24.596747752497691</v>
      </c>
      <c r="F143" s="2672">
        <f>дома!F307</f>
        <v>0</v>
      </c>
      <c r="G143" s="2672">
        <f>E143*F143*IF('Ввод данных'!$A$8=связи1!$A$150,1,0)</f>
        <v>0</v>
      </c>
      <c r="H143" s="2672">
        <f>дома!G280*IF('Ввод данных'!$A$8=связи1!$A$150,1,0)</f>
        <v>0</v>
      </c>
    </row>
    <row r="144" spans="1:8">
      <c r="A144" s="2670" t="str">
        <f>дома!A308</f>
        <v>Ригель каркаса фронтона, односкатная кровля</v>
      </c>
      <c r="B144" s="2671" t="str">
        <f>дома!B308</f>
        <v>м.п.</v>
      </c>
      <c r="C144" s="2672">
        <f>дома!C308</f>
        <v>0.15</v>
      </c>
      <c r="D144" s="2672">
        <f>дома!D308</f>
        <v>0.05</v>
      </c>
      <c r="E144" s="2672">
        <f>дома!E308</f>
        <v>24.596747752497691</v>
      </c>
      <c r="F144" s="2672">
        <f>дома!F308</f>
        <v>0</v>
      </c>
      <c r="G144" s="2672">
        <f>E144*F144*IF('Ввод данных'!$A$8=связи1!$A$150,1,0)</f>
        <v>0</v>
      </c>
      <c r="H144" s="2672">
        <f>дома!G281*IF('Ввод данных'!$A$8=связи1!$A$150,1,0)</f>
        <v>0</v>
      </c>
    </row>
    <row r="145" spans="1:8">
      <c r="A145" s="2670" t="str">
        <f>дома!A309</f>
        <v>Стойки каркаса, левая сторона 2 эт</v>
      </c>
      <c r="B145" s="2671" t="str">
        <f>дома!B309</f>
        <v>м.п.</v>
      </c>
      <c r="C145" s="2672">
        <f>дома!C309</f>
        <v>0.15</v>
      </c>
      <c r="D145" s="2672">
        <f>дома!D309</f>
        <v>0.05</v>
      </c>
      <c r="E145" s="2672">
        <f>дома!E309</f>
        <v>3</v>
      </c>
      <c r="F145" s="2672">
        <f>дома!F309</f>
        <v>0</v>
      </c>
      <c r="G145" s="2672">
        <f>E145*F145*IF('Ввод данных'!$A$8=связи1!$A$150,1,0)</f>
        <v>0</v>
      </c>
      <c r="H145" s="2672">
        <f>дома!G282*IF('Ввод данных'!$A$8=связи1!$A$150,1,0)</f>
        <v>0</v>
      </c>
    </row>
    <row r="146" spans="1:8">
      <c r="A146" s="2670" t="str">
        <f>дома!A310</f>
        <v>Стойки каркаса, правая сторона 2 эт</v>
      </c>
      <c r="B146" s="2671" t="str">
        <f>дома!B310</f>
        <v>м.п.</v>
      </c>
      <c r="C146" s="2672">
        <f>дома!C310</f>
        <v>0.15</v>
      </c>
      <c r="D146" s="2672">
        <f>дома!D310</f>
        <v>0.05</v>
      </c>
      <c r="E146" s="2672">
        <f>дома!E310</f>
        <v>3</v>
      </c>
      <c r="F146" s="2672">
        <f>дома!F310</f>
        <v>0</v>
      </c>
      <c r="G146" s="2672">
        <f>E146*F146*IF('Ввод данных'!$A$8=связи1!$A$150,1,0)</f>
        <v>0</v>
      </c>
      <c r="H146" s="2672">
        <f>дома!G283*IF('Ввод данных'!$A$8=связи1!$A$150,1,0)</f>
        <v>0</v>
      </c>
    </row>
    <row r="147" spans="1:8">
      <c r="A147" s="2670" t="str">
        <f>дома!A311</f>
        <v>Стойки каркаса передней/задней стены 2 эт</v>
      </c>
      <c r="B147" s="2671" t="str">
        <f>дома!B311</f>
        <v>м.п.</v>
      </c>
      <c r="C147" s="2672">
        <f>дома!C311</f>
        <v>0.15</v>
      </c>
      <c r="D147" s="2672">
        <f>дома!D311</f>
        <v>0.05</v>
      </c>
      <c r="E147" s="2672">
        <f>дома!E311</f>
        <v>3</v>
      </c>
      <c r="F147" s="2672">
        <f>дома!F311</f>
        <v>0</v>
      </c>
      <c r="G147" s="2672">
        <f>E147*F147*IF('Ввод данных'!$A$8=связи1!$A$150,1,0)</f>
        <v>0</v>
      </c>
      <c r="H147" s="2672">
        <f>дома!G284*IF('Ввод данных'!$A$8=связи1!$A$150,1,0)</f>
        <v>0</v>
      </c>
    </row>
    <row r="148" spans="1:8">
      <c r="A148" s="2670" t="str">
        <f>дома!A312</f>
        <v>Стойка каркаса по фронтону, односкатная кровля №0</v>
      </c>
      <c r="B148" s="2671" t="str">
        <f>дома!B312</f>
        <v>м.п.</v>
      </c>
      <c r="C148" s="2672">
        <f>дома!C312</f>
        <v>0.15</v>
      </c>
      <c r="D148" s="2672">
        <f>дома!D312</f>
        <v>0.05</v>
      </c>
      <c r="E148" s="2672">
        <f>дома!E312</f>
        <v>5</v>
      </c>
      <c r="F148" s="2672">
        <f>дома!F312</f>
        <v>0</v>
      </c>
      <c r="G148" s="2672">
        <f>E148*F148*IF('Ввод данных'!$A$8=связи1!$A$150,1,0)</f>
        <v>0</v>
      </c>
      <c r="H148" s="2672">
        <f>дома!G285*IF('Ввод данных'!$A$8=связи1!$A$150,1,0)</f>
        <v>0</v>
      </c>
    </row>
    <row r="149" spans="1:8">
      <c r="A149" s="2670" t="str">
        <f>дома!A313</f>
        <v>Стойка каркаса по фронтону, односкатная кровля №1</v>
      </c>
      <c r="B149" s="2671" t="str">
        <f>дома!B313</f>
        <v>м.п.</v>
      </c>
      <c r="C149" s="2672">
        <f>дома!C313</f>
        <v>0.15</v>
      </c>
      <c r="D149" s="2672">
        <f>дома!D313</f>
        <v>0.05</v>
      </c>
      <c r="E149" s="2672">
        <f>дома!E313</f>
        <v>4.8</v>
      </c>
      <c r="F149" s="2672">
        <f>дома!F313</f>
        <v>0</v>
      </c>
      <c r="G149" s="2672">
        <f>E149*F149*IF('Ввод данных'!$A$8=связи1!$A$150,1,0)</f>
        <v>0</v>
      </c>
      <c r="H149" s="2672">
        <f>дома!G286*IF('Ввод данных'!$A$8=связи1!$A$150,1,0)</f>
        <v>0</v>
      </c>
    </row>
    <row r="150" spans="1:8">
      <c r="A150" s="2670" t="str">
        <f>дома!A314</f>
        <v>Стойка каркаса по фронтону, односкатная кровля №2</v>
      </c>
      <c r="B150" s="2671" t="str">
        <f>дома!B314</f>
        <v>м.п.</v>
      </c>
      <c r="C150" s="2672">
        <f>дома!C314</f>
        <v>0.15</v>
      </c>
      <c r="D150" s="2672">
        <f>дома!D314</f>
        <v>0.05</v>
      </c>
      <c r="E150" s="2672">
        <f>дома!E314</f>
        <v>4.5999999999999996</v>
      </c>
      <c r="F150" s="2672">
        <f>дома!F314</f>
        <v>0</v>
      </c>
      <c r="G150" s="2672">
        <f>E150*F150*IF('Ввод данных'!$A$8=связи1!$A$150,1,0)</f>
        <v>0</v>
      </c>
      <c r="H150" s="2672">
        <f>дома!G287*IF('Ввод данных'!$A$8=связи1!$A$150,1,0)</f>
        <v>0</v>
      </c>
    </row>
    <row r="151" spans="1:8">
      <c r="A151" s="2670" t="str">
        <f>дома!A315</f>
        <v>Стойка каркаса по фронтону, односкатная кровля №3</v>
      </c>
      <c r="B151" s="2671" t="str">
        <f>дома!B315</f>
        <v>м.п.</v>
      </c>
      <c r="C151" s="2672">
        <f>дома!C315</f>
        <v>0.15</v>
      </c>
      <c r="D151" s="2672">
        <f>дома!D315</f>
        <v>0.05</v>
      </c>
      <c r="E151" s="2672">
        <f>дома!E315</f>
        <v>4.3999999999999995</v>
      </c>
      <c r="F151" s="2672">
        <f>дома!F315</f>
        <v>0</v>
      </c>
      <c r="G151" s="2672">
        <f>E151*F151*IF('Ввод данных'!$A$8=связи1!$A$150,1,0)</f>
        <v>0</v>
      </c>
      <c r="H151" s="2672">
        <f>дома!G288*IF('Ввод данных'!$A$8=связи1!$A$150,1,0)</f>
        <v>0</v>
      </c>
    </row>
    <row r="152" spans="1:8">
      <c r="A152" s="2670" t="str">
        <f>дома!A316</f>
        <v>Стойка каркаса по фронтону, односкатная кровля №4</v>
      </c>
      <c r="B152" s="2671" t="str">
        <f>дома!B316</f>
        <v>м.п.</v>
      </c>
      <c r="C152" s="2672">
        <f>дома!C316</f>
        <v>0.15</v>
      </c>
      <c r="D152" s="2672">
        <f>дома!D316</f>
        <v>0.05</v>
      </c>
      <c r="E152" s="2672">
        <f>дома!E316</f>
        <v>4.1999999999999993</v>
      </c>
      <c r="F152" s="2672">
        <f>дома!F316</f>
        <v>0</v>
      </c>
      <c r="G152" s="2672">
        <f>E152*F152*IF('Ввод данных'!$A$8=связи1!$A$150,1,0)</f>
        <v>0</v>
      </c>
      <c r="H152" s="2672">
        <f>дома!G289*IF('Ввод данных'!$A$8=связи1!$A$150,1,0)</f>
        <v>0</v>
      </c>
    </row>
    <row r="153" spans="1:8">
      <c r="A153" s="2670" t="str">
        <f>дома!A317</f>
        <v>Стойка каркаса по фронтону, односкатная кровля №5</v>
      </c>
      <c r="B153" s="2671" t="str">
        <f>дома!B317</f>
        <v>м.п.</v>
      </c>
      <c r="C153" s="2672">
        <f>дома!C317</f>
        <v>0.15</v>
      </c>
      <c r="D153" s="2672">
        <f>дома!D317</f>
        <v>0.05</v>
      </c>
      <c r="E153" s="2672">
        <f>дома!E317</f>
        <v>3.9999999999999991</v>
      </c>
      <c r="F153" s="2672">
        <f>дома!F317</f>
        <v>0</v>
      </c>
      <c r="G153" s="2672">
        <f>E153*F153*IF('Ввод данных'!$A$8=связи1!$A$150,1,0)</f>
        <v>0</v>
      </c>
      <c r="H153" s="2672">
        <f>дома!G290*IF('Ввод данных'!$A$8=связи1!$A$150,1,0)</f>
        <v>0</v>
      </c>
    </row>
    <row r="154" spans="1:8">
      <c r="A154" s="2670" t="str">
        <f>дома!A318</f>
        <v>Стойка каркаса по фронтону, односкатная кровля №6</v>
      </c>
      <c r="B154" s="2671" t="str">
        <f>дома!B318</f>
        <v>м.п.</v>
      </c>
      <c r="C154" s="2672">
        <f>дома!C318</f>
        <v>0.15</v>
      </c>
      <c r="D154" s="2672">
        <f>дома!D318</f>
        <v>0.05</v>
      </c>
      <c r="E154" s="2672">
        <f>дома!E318</f>
        <v>3.7999999999999989</v>
      </c>
      <c r="F154" s="2672">
        <f>дома!F318</f>
        <v>0</v>
      </c>
      <c r="G154" s="2672">
        <f>E154*F154*IF('Ввод данных'!$A$8=связи1!$A$150,1,0)</f>
        <v>0</v>
      </c>
      <c r="H154" s="2672">
        <f>дома!G291*IF('Ввод данных'!$A$8=связи1!$A$150,1,0)</f>
        <v>0</v>
      </c>
    </row>
    <row r="155" spans="1:8">
      <c r="A155" s="2670" t="str">
        <f>дома!A319</f>
        <v>Стойка каркаса по фронтону, односкатная кровля №7</v>
      </c>
      <c r="B155" s="2671" t="str">
        <f>дома!B319</f>
        <v>м.п.</v>
      </c>
      <c r="C155" s="2672">
        <f>дома!C319</f>
        <v>0.15</v>
      </c>
      <c r="D155" s="2672">
        <f>дома!D319</f>
        <v>0.05</v>
      </c>
      <c r="E155" s="2672">
        <f>дома!E319</f>
        <v>3.5999999999999988</v>
      </c>
      <c r="F155" s="2672">
        <f>дома!F319</f>
        <v>0</v>
      </c>
      <c r="G155" s="2672">
        <f>E155*F155*IF('Ввод данных'!$A$8=связи1!$A$150,1,0)</f>
        <v>0</v>
      </c>
      <c r="H155" s="2672">
        <f>дома!G292*IF('Ввод данных'!$A$8=связи1!$A$150,1,0)</f>
        <v>0</v>
      </c>
    </row>
    <row r="156" spans="1:8">
      <c r="A156" s="2670" t="str">
        <f>дома!A320</f>
        <v>Стойка каркаса по фронтону, односкатная кровля №8</v>
      </c>
      <c r="B156" s="2671" t="str">
        <f>дома!B320</f>
        <v>м.п.</v>
      </c>
      <c r="C156" s="2672">
        <f>дома!C320</f>
        <v>0.15</v>
      </c>
      <c r="D156" s="2672">
        <f>дома!D320</f>
        <v>0.05</v>
      </c>
      <c r="E156" s="2672">
        <f>дома!E320</f>
        <v>3.3999999999999986</v>
      </c>
      <c r="F156" s="2672">
        <f>дома!F320</f>
        <v>0</v>
      </c>
      <c r="G156" s="2672">
        <f>E156*F156*IF('Ввод данных'!$A$8=связи1!$A$150,1,0)</f>
        <v>0</v>
      </c>
      <c r="H156" s="2672">
        <f>дома!G293*IF('Ввод данных'!$A$8=связи1!$A$150,1,0)</f>
        <v>0</v>
      </c>
    </row>
    <row r="157" spans="1:8">
      <c r="A157" s="2670" t="str">
        <f>дома!A321</f>
        <v>Стойка каркаса по фронтону, односкатная кровля №9</v>
      </c>
      <c r="B157" s="2671" t="str">
        <f>дома!B321</f>
        <v>м.п.</v>
      </c>
      <c r="C157" s="2672">
        <f>дома!C321</f>
        <v>0.15</v>
      </c>
      <c r="D157" s="2672">
        <f>дома!D321</f>
        <v>0.05</v>
      </c>
      <c r="E157" s="2672">
        <f>дома!E321</f>
        <v>3.1999999999999984</v>
      </c>
      <c r="F157" s="2672">
        <f>дома!F321</f>
        <v>0</v>
      </c>
      <c r="G157" s="2672">
        <f>E157*F157*IF('Ввод данных'!$A$8=связи1!$A$150,1,0)</f>
        <v>0</v>
      </c>
      <c r="H157" s="2672">
        <f>дома!G294*IF('Ввод данных'!$A$8=связи1!$A$150,1,0)</f>
        <v>0</v>
      </c>
    </row>
    <row r="158" spans="1:8">
      <c r="A158" s="2670" t="str">
        <f>дома!A322</f>
        <v>Стойка каркаса по фронтону, односкатная кровля №10</v>
      </c>
      <c r="B158" s="2671" t="str">
        <f>дома!B322</f>
        <v>м.п.</v>
      </c>
      <c r="C158" s="2672">
        <f>дома!C322</f>
        <v>0.15</v>
      </c>
      <c r="D158" s="2672">
        <f>дома!D322</f>
        <v>0.05</v>
      </c>
      <c r="E158" s="2672">
        <f>дома!E322</f>
        <v>2.9999999999999982</v>
      </c>
      <c r="F158" s="2672">
        <f>дома!F322</f>
        <v>0</v>
      </c>
      <c r="G158" s="2672">
        <f>E158*F158*IF('Ввод данных'!$A$8=связи1!$A$150,1,0)</f>
        <v>0</v>
      </c>
      <c r="H158" s="2672">
        <f>дома!G295*IF('Ввод данных'!$A$8=связи1!$A$150,1,0)</f>
        <v>0</v>
      </c>
    </row>
    <row r="159" spans="1:8">
      <c r="A159" s="2670" t="str">
        <f>дома!A323</f>
        <v>Стойка каркаса по фронтону, односкатная кровля №11</v>
      </c>
      <c r="B159" s="2671" t="str">
        <f>дома!B323</f>
        <v>м.п.</v>
      </c>
      <c r="C159" s="2672">
        <f>дома!C323</f>
        <v>0.15</v>
      </c>
      <c r="D159" s="2672">
        <f>дома!D323</f>
        <v>0.05</v>
      </c>
      <c r="E159" s="2672">
        <f>дома!E323</f>
        <v>2.799999999999998</v>
      </c>
      <c r="F159" s="2672">
        <f>дома!F323</f>
        <v>0</v>
      </c>
      <c r="G159" s="2672">
        <f>E159*F159*IF('Ввод данных'!$A$8=связи1!$A$150,1,0)</f>
        <v>0</v>
      </c>
      <c r="H159" s="2672">
        <f>дома!G296*IF('Ввод данных'!$A$8=связи1!$A$150,1,0)</f>
        <v>0</v>
      </c>
    </row>
    <row r="160" spans="1:8">
      <c r="A160" s="2670" t="str">
        <f>дома!A324</f>
        <v>Стойка каркаса по фронтону, односкатная кровля №12</v>
      </c>
      <c r="B160" s="2671" t="str">
        <f>дома!B324</f>
        <v>м.п.</v>
      </c>
      <c r="C160" s="2672">
        <f>дома!C324</f>
        <v>0.15</v>
      </c>
      <c r="D160" s="2672">
        <f>дома!D324</f>
        <v>0.05</v>
      </c>
      <c r="E160" s="2672">
        <f>дома!E324</f>
        <v>2.5999999999999979</v>
      </c>
      <c r="F160" s="2672">
        <f>дома!F324</f>
        <v>0</v>
      </c>
      <c r="G160" s="2672">
        <f>E160*F160*IF('Ввод данных'!$A$8=связи1!$A$150,1,0)</f>
        <v>0</v>
      </c>
      <c r="H160" s="2672">
        <f>дома!G297*IF('Ввод данных'!$A$8=связи1!$A$150,1,0)</f>
        <v>0</v>
      </c>
    </row>
    <row r="161" spans="1:8">
      <c r="A161" s="2670" t="str">
        <f>дома!A325</f>
        <v>Стойка каркаса по фронтону, односкатная кровля №13</v>
      </c>
      <c r="B161" s="2671" t="str">
        <f>дома!B325</f>
        <v>м.п.</v>
      </c>
      <c r="C161" s="2672">
        <f>дома!C325</f>
        <v>0.15</v>
      </c>
      <c r="D161" s="2672">
        <f>дома!D325</f>
        <v>0.05</v>
      </c>
      <c r="E161" s="2672">
        <f>дома!E325</f>
        <v>2.3999999999999977</v>
      </c>
      <c r="F161" s="2672">
        <f>дома!F325</f>
        <v>0</v>
      </c>
      <c r="G161" s="2672">
        <f>E161*F161*IF('Ввод данных'!$A$8=связи1!$A$150,1,0)</f>
        <v>0</v>
      </c>
      <c r="H161" s="2672">
        <f>дома!G298*IF('Ввод данных'!$A$8=связи1!$A$150,1,0)</f>
        <v>0</v>
      </c>
    </row>
    <row r="162" spans="1:8">
      <c r="A162" s="2670" t="str">
        <f>дома!A326</f>
        <v>Стойка каркаса по фронтону, односкатная кровля №14</v>
      </c>
      <c r="B162" s="2671" t="str">
        <f>дома!B326</f>
        <v>м.п.</v>
      </c>
      <c r="C162" s="2672">
        <f>дома!C326</f>
        <v>0.15</v>
      </c>
      <c r="D162" s="2672">
        <f>дома!D326</f>
        <v>0.05</v>
      </c>
      <c r="E162" s="2672">
        <f>дома!E326</f>
        <v>2.1999999999999975</v>
      </c>
      <c r="F162" s="2672">
        <f>дома!F326</f>
        <v>0</v>
      </c>
      <c r="G162" s="2672">
        <f>E162*F162*IF('Ввод данных'!$A$8=связи1!$A$150,1,0)</f>
        <v>0</v>
      </c>
      <c r="H162" s="2672">
        <f>дома!G299*IF('Ввод данных'!$A$8=связи1!$A$150,1,0)</f>
        <v>0</v>
      </c>
    </row>
    <row r="163" spans="1:8">
      <c r="A163" s="2670" t="str">
        <f>дома!A327</f>
        <v>Стойка каркаса по фронтону, односкатная кровля №15</v>
      </c>
      <c r="B163" s="2671" t="str">
        <f>дома!B327</f>
        <v>м.п.</v>
      </c>
      <c r="C163" s="2672">
        <f>дома!C327</f>
        <v>0.15</v>
      </c>
      <c r="D163" s="2672">
        <f>дома!D327</f>
        <v>0.05</v>
      </c>
      <c r="E163" s="2672">
        <f>дома!E327</f>
        <v>1.9999999999999976</v>
      </c>
      <c r="F163" s="2672">
        <f>дома!F327</f>
        <v>0</v>
      </c>
      <c r="G163" s="2672">
        <f>E163*F163*IF('Ввод данных'!$A$8=связи1!$A$150,1,0)</f>
        <v>0</v>
      </c>
      <c r="H163" s="2672">
        <f>дома!G300*IF('Ввод данных'!$A$8=связи1!$A$150,1,0)</f>
        <v>0</v>
      </c>
    </row>
    <row r="164" spans="1:8">
      <c r="A164" s="2670" t="str">
        <f>дома!A328</f>
        <v>Стойка каркаса по фронтону, односкатная кровля №16</v>
      </c>
      <c r="B164" s="2671" t="str">
        <f>дома!B328</f>
        <v>м.п.</v>
      </c>
      <c r="C164" s="2672">
        <f>дома!C328</f>
        <v>0.15</v>
      </c>
      <c r="D164" s="2672">
        <f>дома!D328</f>
        <v>0.05</v>
      </c>
      <c r="E164" s="2672">
        <f>дома!E328</f>
        <v>1.7999999999999976</v>
      </c>
      <c r="F164" s="2672">
        <f>дома!F328</f>
        <v>0</v>
      </c>
      <c r="G164" s="2672">
        <f>E164*F164*IF('Ввод данных'!$A$8=связи1!$A$150,1,0)</f>
        <v>0</v>
      </c>
      <c r="H164" s="2672">
        <f>дома!G301*IF('Ввод данных'!$A$8=связи1!$A$150,1,0)</f>
        <v>0</v>
      </c>
    </row>
    <row r="165" spans="1:8">
      <c r="A165" s="2670" t="str">
        <f>дома!A329</f>
        <v>Стойка каркаса по фронтону, односкатная кровля №17</v>
      </c>
      <c r="B165" s="2671" t="str">
        <f>дома!B329</f>
        <v>м.п.</v>
      </c>
      <c r="C165" s="2672">
        <f>дома!C329</f>
        <v>0.15</v>
      </c>
      <c r="D165" s="2672">
        <f>дома!D329</f>
        <v>0.05</v>
      </c>
      <c r="E165" s="2672">
        <f>дома!E329</f>
        <v>1.5999999999999976</v>
      </c>
      <c r="F165" s="2672">
        <f>дома!F329</f>
        <v>0</v>
      </c>
      <c r="G165" s="2672">
        <f>E165*F165*IF('Ввод данных'!$A$8=связи1!$A$150,1,0)</f>
        <v>0</v>
      </c>
      <c r="H165" s="2672">
        <f>дома!G302*IF('Ввод данных'!$A$8=связи1!$A$150,1,0)</f>
        <v>0</v>
      </c>
    </row>
    <row r="166" spans="1:8">
      <c r="A166" s="2670" t="str">
        <f>дома!A330</f>
        <v>Стойка каркаса по фронтону, односкатная кровля №18</v>
      </c>
      <c r="B166" s="2671" t="str">
        <f>дома!B330</f>
        <v>м.п.</v>
      </c>
      <c r="C166" s="2672">
        <f>дома!C330</f>
        <v>0.15</v>
      </c>
      <c r="D166" s="2672">
        <f>дома!D330</f>
        <v>0.05</v>
      </c>
      <c r="E166" s="2672">
        <f>дома!E330</f>
        <v>1.3999999999999977</v>
      </c>
      <c r="F166" s="2672">
        <f>дома!F330</f>
        <v>0</v>
      </c>
      <c r="G166" s="2672">
        <f>E166*F166*IF('Ввод данных'!$A$8=связи1!$A$150,1,0)</f>
        <v>0</v>
      </c>
      <c r="H166" s="2672">
        <f>дома!G303*IF('Ввод данных'!$A$8=связи1!$A$150,1,0)</f>
        <v>0</v>
      </c>
    </row>
    <row r="167" spans="1:8">
      <c r="A167" s="2670" t="str">
        <f>дома!A331</f>
        <v>Стойка каркаса по фронтону, односкатная кровля №19</v>
      </c>
      <c r="B167" s="2671" t="str">
        <f>дома!B331</f>
        <v>м.п.</v>
      </c>
      <c r="C167" s="2672">
        <f>дома!C331</f>
        <v>0.15</v>
      </c>
      <c r="D167" s="2672">
        <f>дома!D331</f>
        <v>0.05</v>
      </c>
      <c r="E167" s="2672">
        <f>дома!E331</f>
        <v>1.1999999999999977</v>
      </c>
      <c r="F167" s="2672">
        <f>дома!F331</f>
        <v>0</v>
      </c>
      <c r="G167" s="2672">
        <f>E167*F167*IF('Ввод данных'!$A$8=связи1!$A$150,1,0)</f>
        <v>0</v>
      </c>
      <c r="H167" s="2672">
        <f>дома!G304*IF('Ввод данных'!$A$8=связи1!$A$150,1,0)</f>
        <v>0</v>
      </c>
    </row>
    <row r="168" spans="1:8">
      <c r="A168" s="2670" t="str">
        <f>дома!A332</f>
        <v>Стойка каркаса по фронтону, односкатная кровля №20</v>
      </c>
      <c r="B168" s="2671" t="str">
        <f>дома!B332</f>
        <v>м.п.</v>
      </c>
      <c r="C168" s="2672">
        <f>дома!C332</f>
        <v>0.15</v>
      </c>
      <c r="D168" s="2672">
        <f>дома!D332</f>
        <v>0.05</v>
      </c>
      <c r="E168" s="2672">
        <f>дома!E332</f>
        <v>0.99999999999999778</v>
      </c>
      <c r="F168" s="2672">
        <f>дома!F332</f>
        <v>0</v>
      </c>
      <c r="G168" s="2672">
        <f>E168*F168*IF('Ввод данных'!$A$8=связи1!$A$150,1,0)</f>
        <v>0</v>
      </c>
      <c r="H168" s="2672">
        <f>дома!G305*IF('Ввод данных'!$A$8=связи1!$A$150,1,0)</f>
        <v>0</v>
      </c>
    </row>
    <row r="169" spans="1:8">
      <c r="A169" s="2670" t="str">
        <f>дома!A333</f>
        <v>Стойка каркаса по фронтону, односкатная кровля №21</v>
      </c>
      <c r="B169" s="2671" t="str">
        <f>дома!B333</f>
        <v>м.п.</v>
      </c>
      <c r="C169" s="2672">
        <f>дома!C333</f>
        <v>0.15</v>
      </c>
      <c r="D169" s="2672">
        <f>дома!D333</f>
        <v>0.05</v>
      </c>
      <c r="E169" s="2672">
        <f>дома!E333</f>
        <v>0.79999999999999782</v>
      </c>
      <c r="F169" s="2672">
        <f>дома!F333</f>
        <v>0</v>
      </c>
      <c r="G169" s="2672">
        <f>E169*F169*IF('Ввод данных'!$A$8=связи1!$A$150,1,0)</f>
        <v>0</v>
      </c>
      <c r="H169" s="2672">
        <f>дома!G306*IF('Ввод данных'!$A$8=связи1!$A$150,1,0)</f>
        <v>0</v>
      </c>
    </row>
    <row r="170" spans="1:8">
      <c r="A170" s="2670" t="str">
        <f>дома!A334</f>
        <v>Стойка каркаса по фронтону, односкатная кровля №22</v>
      </c>
      <c r="B170" s="2671" t="str">
        <f>дома!B334</f>
        <v>м.п.</v>
      </c>
      <c r="C170" s="2672">
        <f>дома!C334</f>
        <v>0.15</v>
      </c>
      <c r="D170" s="2672">
        <f>дома!D334</f>
        <v>0.05</v>
      </c>
      <c r="E170" s="2672">
        <f>дома!E334</f>
        <v>0.59999999999999787</v>
      </c>
      <c r="F170" s="2672">
        <f>дома!F334</f>
        <v>0</v>
      </c>
      <c r="G170" s="2672">
        <f>E170*F170*IF('Ввод данных'!$A$8=связи1!$A$150,1,0)</f>
        <v>0</v>
      </c>
      <c r="H170" s="2672">
        <f>дома!G307*IF('Ввод данных'!$A$8=связи1!$A$150,1,0)</f>
        <v>0</v>
      </c>
    </row>
    <row r="171" spans="1:8">
      <c r="A171" s="2670" t="str">
        <f>дома!A335</f>
        <v>Стойка каркаса по фронтону, односкатная кровля №23</v>
      </c>
      <c r="B171" s="2671" t="str">
        <f>дома!B335</f>
        <v>м.п.</v>
      </c>
      <c r="C171" s="2672">
        <f>дома!C335</f>
        <v>0.15</v>
      </c>
      <c r="D171" s="2672">
        <f>дома!D335</f>
        <v>0.05</v>
      </c>
      <c r="E171" s="2672">
        <f>дома!E335</f>
        <v>0.39999999999999791</v>
      </c>
      <c r="F171" s="2672">
        <f>дома!F335</f>
        <v>0</v>
      </c>
      <c r="G171" s="2672">
        <f>E171*F171*IF('Ввод данных'!$A$8=связи1!$A$150,1,0)</f>
        <v>0</v>
      </c>
      <c r="H171" s="2672">
        <f>дома!G308*IF('Ввод данных'!$A$8=связи1!$A$150,1,0)</f>
        <v>0</v>
      </c>
    </row>
    <row r="172" spans="1:8">
      <c r="A172" s="2670" t="str">
        <f>дома!A336</f>
        <v>Стойка каркаса по фронтону, односкатная кровля №24</v>
      </c>
      <c r="B172" s="2671" t="str">
        <f>дома!B336</f>
        <v>м.п.</v>
      </c>
      <c r="C172" s="2672">
        <f>дома!C336</f>
        <v>0.15</v>
      </c>
      <c r="D172" s="2672">
        <f>дома!D336</f>
        <v>0.05</v>
      </c>
      <c r="E172" s="2672">
        <f>дома!E336</f>
        <v>0.19999999999999793</v>
      </c>
      <c r="F172" s="2672">
        <f>дома!F336</f>
        <v>0</v>
      </c>
      <c r="G172" s="2672">
        <f>E172*F172*IF('Ввод данных'!$A$8=связи1!$A$150,1,0)</f>
        <v>0</v>
      </c>
      <c r="H172" s="2672">
        <f>дома!G309*IF('Ввод данных'!$A$8=связи1!$A$150,1,0)</f>
        <v>0</v>
      </c>
    </row>
    <row r="173" spans="1:8">
      <c r="A173" s="2670" t="str">
        <f>дома!A337</f>
        <v>Стойка каркаса по фронтону, односкатная кровля №25</v>
      </c>
      <c r="B173" s="2671" t="str">
        <f>дома!B337</f>
        <v>м.п.</v>
      </c>
      <c r="C173" s="2672">
        <f>дома!C337</f>
        <v>0.15</v>
      </c>
      <c r="D173" s="2672">
        <f>дома!D337</f>
        <v>0.05</v>
      </c>
      <c r="E173" s="2672">
        <f>дома!E337</f>
        <v>-2.0539125955565396E-15</v>
      </c>
      <c r="F173" s="2672">
        <f>дома!F337</f>
        <v>0</v>
      </c>
      <c r="G173" s="2672">
        <f>E173*F173*IF('Ввод данных'!$A$8=связи1!$A$150,1,0)</f>
        <v>0</v>
      </c>
      <c r="H173" s="2672">
        <f>дома!G310*IF('Ввод данных'!$A$8=связи1!$A$150,1,0)</f>
        <v>0</v>
      </c>
    </row>
    <row r="174" spans="1:8">
      <c r="A174" s="2670" t="str">
        <f>дома!A338</f>
        <v>Стойка каркаса по фронтону, односкатная кровля №26</v>
      </c>
      <c r="B174" s="2671" t="str">
        <f>дома!B338</f>
        <v>м.п.</v>
      </c>
      <c r="C174" s="2672">
        <f>дома!C338</f>
        <v>0.15</v>
      </c>
      <c r="D174" s="2672">
        <f>дома!D338</f>
        <v>0.05</v>
      </c>
      <c r="E174" s="2672">
        <f>дома!E338</f>
        <v>0</v>
      </c>
      <c r="F174" s="2672">
        <f>дома!F338</f>
        <v>0</v>
      </c>
      <c r="G174" s="2672">
        <f>E174*F174*IF('Ввод данных'!$A$8=связи1!$A$150,1,0)</f>
        <v>0</v>
      </c>
      <c r="H174" s="2672">
        <f>дома!G311*IF('Ввод данных'!$A$8=связи1!$A$150,1,0)</f>
        <v>0</v>
      </c>
    </row>
    <row r="175" spans="1:8">
      <c r="A175" s="2670" t="str">
        <f>дома!A339</f>
        <v>Стойка каркаса по фронтону, односкатная кровля №27</v>
      </c>
      <c r="B175" s="2671" t="str">
        <f>дома!B339</f>
        <v>м.п.</v>
      </c>
      <c r="C175" s="2672">
        <f>дома!C339</f>
        <v>0.15</v>
      </c>
      <c r="D175" s="2672">
        <f>дома!D339</f>
        <v>0.05</v>
      </c>
      <c r="E175" s="2672">
        <f>дома!E339</f>
        <v>0</v>
      </c>
      <c r="F175" s="2672">
        <f>дома!F339</f>
        <v>0</v>
      </c>
      <c r="G175" s="2672">
        <f>E175*F175*IF('Ввод данных'!$A$8=связи1!$A$150,1,0)</f>
        <v>0</v>
      </c>
      <c r="H175" s="2672">
        <f>дома!G312*IF('Ввод данных'!$A$8=связи1!$A$150,1,0)</f>
        <v>0</v>
      </c>
    </row>
    <row r="176" spans="1:8">
      <c r="A176" s="2670" t="str">
        <f>дома!A340</f>
        <v>Стойка каркаса по фронтону, односкатная кровля №28</v>
      </c>
      <c r="B176" s="2671" t="str">
        <f>дома!B340</f>
        <v>м.п.</v>
      </c>
      <c r="C176" s="2672">
        <f>дома!C340</f>
        <v>0.15</v>
      </c>
      <c r="D176" s="2672">
        <f>дома!D340</f>
        <v>0.05</v>
      </c>
      <c r="E176" s="2672">
        <f>дома!E340</f>
        <v>0</v>
      </c>
      <c r="F176" s="2672">
        <f>дома!F340</f>
        <v>0</v>
      </c>
      <c r="G176" s="2672">
        <f>E176*F176*IF('Ввод данных'!$A$8=связи1!$A$150,1,0)</f>
        <v>0</v>
      </c>
      <c r="H176" s="2672">
        <f>дома!G313*IF('Ввод данных'!$A$8=связи1!$A$150,1,0)</f>
        <v>0</v>
      </c>
    </row>
    <row r="177" spans="1:8">
      <c r="A177" s="2670" t="str">
        <f>дома!A341</f>
        <v>Стойка каркаса по фронтону, односкатная кровля №29</v>
      </c>
      <c r="B177" s="2671" t="str">
        <f>дома!B341</f>
        <v>м.п.</v>
      </c>
      <c r="C177" s="2672">
        <f>дома!C341</f>
        <v>0.15</v>
      </c>
      <c r="D177" s="2672">
        <f>дома!D341</f>
        <v>0.05</v>
      </c>
      <c r="E177" s="2672">
        <f>дома!E341</f>
        <v>0</v>
      </c>
      <c r="F177" s="2672">
        <f>дома!F341</f>
        <v>0</v>
      </c>
      <c r="G177" s="2672">
        <f>E177*F177*IF('Ввод данных'!$A$8=связи1!$A$150,1,0)</f>
        <v>0</v>
      </c>
      <c r="H177" s="2672">
        <f>дома!G314*IF('Ввод данных'!$A$8=связи1!$A$150,1,0)</f>
        <v>0</v>
      </c>
    </row>
    <row r="178" spans="1:8">
      <c r="A178" s="2670" t="str">
        <f>дома!A342</f>
        <v>Стойка каркаса по фронтону, односкатная кровля №30</v>
      </c>
      <c r="B178" s="2671" t="str">
        <f>дома!B342</f>
        <v>м.п.</v>
      </c>
      <c r="C178" s="2672">
        <f>дома!C342</f>
        <v>0.15</v>
      </c>
      <c r="D178" s="2672">
        <f>дома!D342</f>
        <v>0.05</v>
      </c>
      <c r="E178" s="2672">
        <f>дома!E342</f>
        <v>0</v>
      </c>
      <c r="F178" s="2672">
        <f>дома!F342</f>
        <v>0</v>
      </c>
      <c r="G178" s="2672">
        <f>E178*F178*IF('Ввод данных'!$A$8=связи1!$A$150,1,0)</f>
        <v>0</v>
      </c>
      <c r="H178" s="2672">
        <f>дома!G315*IF('Ввод данных'!$A$8=связи1!$A$150,1,0)</f>
        <v>0</v>
      </c>
    </row>
    <row r="179" spans="1:8">
      <c r="A179" s="2670" t="str">
        <f>дома!A343</f>
        <v>Стойка каркаса по фронтону, односкатная кровля №31</v>
      </c>
      <c r="B179" s="2671" t="str">
        <f>дома!B343</f>
        <v>м.п.</v>
      </c>
      <c r="C179" s="2672">
        <f>дома!C343</f>
        <v>0.15</v>
      </c>
      <c r="D179" s="2672">
        <f>дома!D343</f>
        <v>0.05</v>
      </c>
      <c r="E179" s="2672">
        <f>дома!E343</f>
        <v>0</v>
      </c>
      <c r="F179" s="2672">
        <f>дома!F343</f>
        <v>0</v>
      </c>
      <c r="G179" s="2672">
        <f>E179*F179*IF('Ввод данных'!$A$8=связи1!$A$150,1,0)</f>
        <v>0</v>
      </c>
      <c r="H179" s="2672">
        <f>дома!G316*IF('Ввод данных'!$A$8=связи1!$A$150,1,0)</f>
        <v>0</v>
      </c>
    </row>
    <row r="180" spans="1:8">
      <c r="A180" s="2670" t="str">
        <f>дома!A344</f>
        <v>Стойка каркаса по фронтону, односкатная кровля №32</v>
      </c>
      <c r="B180" s="2671" t="str">
        <f>дома!B344</f>
        <v>м.п.</v>
      </c>
      <c r="C180" s="2672">
        <f>дома!C344</f>
        <v>0.15</v>
      </c>
      <c r="D180" s="2672">
        <f>дома!D344</f>
        <v>0.05</v>
      </c>
      <c r="E180" s="2672">
        <f>дома!E344</f>
        <v>0</v>
      </c>
      <c r="F180" s="2672">
        <f>дома!F344</f>
        <v>0</v>
      </c>
      <c r="G180" s="2672">
        <f>E180*F180*IF('Ввод данных'!$A$8=связи1!$A$150,1,0)</f>
        <v>0</v>
      </c>
      <c r="H180" s="2672">
        <f>дома!G317*IF('Ввод данных'!$A$8=связи1!$A$150,1,0)</f>
        <v>0</v>
      </c>
    </row>
    <row r="181" spans="1:8">
      <c r="A181" s="2670" t="str">
        <f>дома!A345</f>
        <v>Стойка каркаса по фронтону, односкатная кровля №33</v>
      </c>
      <c r="B181" s="2671" t="str">
        <f>дома!B345</f>
        <v>м.п.</v>
      </c>
      <c r="C181" s="2672">
        <f>дома!C345</f>
        <v>0.15</v>
      </c>
      <c r="D181" s="2672">
        <f>дома!D345</f>
        <v>0.05</v>
      </c>
      <c r="E181" s="2672">
        <f>дома!E345</f>
        <v>0</v>
      </c>
      <c r="F181" s="2672">
        <f>дома!F345</f>
        <v>0</v>
      </c>
      <c r="G181" s="2672">
        <f>E181*F181*IF('Ввод данных'!$A$8=связи1!$A$150,1,0)</f>
        <v>0</v>
      </c>
      <c r="H181" s="2672">
        <f>дома!G318*IF('Ввод данных'!$A$8=связи1!$A$150,1,0)</f>
        <v>0</v>
      </c>
    </row>
    <row r="182" spans="1:8">
      <c r="A182" s="2670" t="str">
        <f>дома!A346</f>
        <v>Стойка каркаса по фронтону, односкатная кровля №34</v>
      </c>
      <c r="B182" s="2671" t="str">
        <f>дома!B346</f>
        <v>м.п.</v>
      </c>
      <c r="C182" s="2672">
        <f>дома!C346</f>
        <v>0.15</v>
      </c>
      <c r="D182" s="2672">
        <f>дома!D346</f>
        <v>0.05</v>
      </c>
      <c r="E182" s="2672">
        <f>дома!E346</f>
        <v>0</v>
      </c>
      <c r="F182" s="2672">
        <f>дома!F346</f>
        <v>0</v>
      </c>
      <c r="G182" s="2672">
        <f>E182*F182*IF('Ввод данных'!$A$8=связи1!$A$150,1,0)</f>
        <v>0</v>
      </c>
      <c r="H182" s="2672">
        <f>дома!G319*IF('Ввод данных'!$A$8=связи1!$A$150,1,0)</f>
        <v>0</v>
      </c>
    </row>
    <row r="183" spans="1:8">
      <c r="A183" s="2670" t="str">
        <f>дома!A347</f>
        <v>Стойка каркаса по фронтону, односкатная кровля №35</v>
      </c>
      <c r="B183" s="2671" t="str">
        <f>дома!B347</f>
        <v>м.п.</v>
      </c>
      <c r="C183" s="2672">
        <f>дома!C347</f>
        <v>0.15</v>
      </c>
      <c r="D183" s="2672">
        <f>дома!D347</f>
        <v>0.05</v>
      </c>
      <c r="E183" s="2672">
        <f>дома!E347</f>
        <v>0</v>
      </c>
      <c r="F183" s="2672">
        <f>дома!F347</f>
        <v>0</v>
      </c>
      <c r="G183" s="2672">
        <f>E183*F183*IF('Ввод данных'!$A$8=связи1!$A$150,1,0)</f>
        <v>0</v>
      </c>
      <c r="H183" s="2672">
        <f>дома!G320*IF('Ввод данных'!$A$8=связи1!$A$150,1,0)</f>
        <v>0</v>
      </c>
    </row>
    <row r="184" spans="1:8">
      <c r="A184" s="2670" t="str">
        <f>дома!A348</f>
        <v>Стойка каркаса по фронтону, односкатная кровля №36</v>
      </c>
      <c r="B184" s="2671" t="str">
        <f>дома!B348</f>
        <v>м.п.</v>
      </c>
      <c r="C184" s="2672">
        <f>дома!C348</f>
        <v>0.15</v>
      </c>
      <c r="D184" s="2672">
        <f>дома!D348</f>
        <v>0.05</v>
      </c>
      <c r="E184" s="2672">
        <f>дома!E348</f>
        <v>0</v>
      </c>
      <c r="F184" s="2672">
        <f>дома!F348</f>
        <v>0</v>
      </c>
      <c r="G184" s="2672">
        <f>E184*F184*IF('Ввод данных'!$A$8=связи1!$A$150,1,0)</f>
        <v>0</v>
      </c>
      <c r="H184" s="2672">
        <f>дома!G321*IF('Ввод данных'!$A$8=связи1!$A$150,1,0)</f>
        <v>0</v>
      </c>
    </row>
    <row r="185" spans="1:8">
      <c r="A185" s="2670" t="str">
        <f>дома!A349</f>
        <v>Стойка каркаса по фронтону, односкатная кровля №37</v>
      </c>
      <c r="B185" s="2671" t="str">
        <f>дома!B349</f>
        <v>м.п.</v>
      </c>
      <c r="C185" s="2672">
        <f>дома!C349</f>
        <v>0.15</v>
      </c>
      <c r="D185" s="2672">
        <f>дома!D349</f>
        <v>0.05</v>
      </c>
      <c r="E185" s="2672">
        <f>дома!E349</f>
        <v>0</v>
      </c>
      <c r="F185" s="2672">
        <f>дома!F349</f>
        <v>0</v>
      </c>
      <c r="G185" s="2672">
        <f>E185*F185*IF('Ввод данных'!$A$8=связи1!$A$150,1,0)</f>
        <v>0</v>
      </c>
      <c r="H185" s="2672">
        <f>дома!G322*IF('Ввод данных'!$A$8=связи1!$A$150,1,0)</f>
        <v>0</v>
      </c>
    </row>
    <row r="186" spans="1:8">
      <c r="A186" s="2670" t="str">
        <f>дома!A350</f>
        <v>Стойка каркаса по фронтону, односкатная кровля №38</v>
      </c>
      <c r="B186" s="2671" t="str">
        <f>дома!B350</f>
        <v>м.п.</v>
      </c>
      <c r="C186" s="2672">
        <f>дома!C350</f>
        <v>0.15</v>
      </c>
      <c r="D186" s="2672">
        <f>дома!D350</f>
        <v>0.05</v>
      </c>
      <c r="E186" s="2672">
        <f>дома!E350</f>
        <v>0</v>
      </c>
      <c r="F186" s="2672">
        <f>дома!F350</f>
        <v>0</v>
      </c>
      <c r="G186" s="2672">
        <f>E186*F186*IF('Ввод данных'!$A$8=связи1!$A$150,1,0)</f>
        <v>0</v>
      </c>
      <c r="H186" s="2672">
        <f>дома!G323*IF('Ввод данных'!$A$8=связи1!$A$150,1,0)</f>
        <v>0</v>
      </c>
    </row>
    <row r="187" spans="1:8">
      <c r="A187" s="2670" t="str">
        <f>дома!A351</f>
        <v>Стойка каркаса по фронтону, односкатная кровля №39</v>
      </c>
      <c r="B187" s="2671" t="str">
        <f>дома!B351</f>
        <v>м.п.</v>
      </c>
      <c r="C187" s="2672">
        <f>дома!C351</f>
        <v>0.15</v>
      </c>
      <c r="D187" s="2672">
        <f>дома!D351</f>
        <v>0.05</v>
      </c>
      <c r="E187" s="2672">
        <f>дома!E351</f>
        <v>0</v>
      </c>
      <c r="F187" s="2672">
        <f>дома!F351</f>
        <v>0</v>
      </c>
      <c r="G187" s="2672">
        <f>E187*F187*IF('Ввод данных'!$A$8=связи1!$A$150,1,0)</f>
        <v>0</v>
      </c>
      <c r="H187" s="2672">
        <f>дома!G324*IF('Ввод данных'!$A$8=связи1!$A$150,1,0)</f>
        <v>0</v>
      </c>
    </row>
    <row r="188" spans="1:8">
      <c r="A188" s="2670" t="str">
        <f>дома!A352</f>
        <v>Стойка каркаса по фронтону, односкатная кровля №40</v>
      </c>
      <c r="B188" s="2671" t="str">
        <f>дома!B352</f>
        <v>м.п.</v>
      </c>
      <c r="C188" s="2672">
        <f>дома!C352</f>
        <v>0.15</v>
      </c>
      <c r="D188" s="2672">
        <f>дома!D352</f>
        <v>0.05</v>
      </c>
      <c r="E188" s="2672">
        <f>дома!E352</f>
        <v>0</v>
      </c>
      <c r="F188" s="2672">
        <f>дома!F352</f>
        <v>0</v>
      </c>
      <c r="G188" s="2672">
        <f>E188*F188*IF('Ввод данных'!$A$8=связи1!$A$150,1,0)</f>
        <v>0</v>
      </c>
      <c r="H188" s="2672">
        <f>дома!G325*IF('Ввод данных'!$A$8=связи1!$A$150,1,0)</f>
        <v>0</v>
      </c>
    </row>
    <row r="189" spans="1:8">
      <c r="A189" s="2670" t="str">
        <f>дома!A353</f>
        <v>Стойка каркаса по фронтону, односкатная кровля №41</v>
      </c>
      <c r="B189" s="2671" t="str">
        <f>дома!B353</f>
        <v>м.п.</v>
      </c>
      <c r="C189" s="2672">
        <f>дома!C353</f>
        <v>0.15</v>
      </c>
      <c r="D189" s="2672">
        <f>дома!D353</f>
        <v>0.05</v>
      </c>
      <c r="E189" s="2672">
        <f>дома!E353</f>
        <v>0</v>
      </c>
      <c r="F189" s="2672">
        <f>дома!F353</f>
        <v>0</v>
      </c>
      <c r="G189" s="2672">
        <f>E189*F189*IF('Ввод данных'!$A$8=связи1!$A$150,1,0)</f>
        <v>0</v>
      </c>
      <c r="H189" s="2672">
        <f>дома!G326*IF('Ввод данных'!$A$8=связи1!$A$150,1,0)</f>
        <v>0</v>
      </c>
    </row>
    <row r="190" spans="1:8">
      <c r="A190" s="2670" t="str">
        <f>дома!A354</f>
        <v>Стойки для окон вертикальные</v>
      </c>
      <c r="B190" s="2671" t="str">
        <f>дома!B354</f>
        <v>м.п.</v>
      </c>
      <c r="C190" s="2672">
        <f>дома!C354</f>
        <v>0.15</v>
      </c>
      <c r="D190" s="2672">
        <f>дома!D354</f>
        <v>0.05</v>
      </c>
      <c r="E190" s="2672">
        <f>дома!E354</f>
        <v>3</v>
      </c>
      <c r="F190" s="2672">
        <f>дома!F354</f>
        <v>0</v>
      </c>
      <c r="G190" s="2672">
        <f>E190*F190*IF('Ввод данных'!$A$8=связи1!$A$150,1,0)</f>
        <v>0</v>
      </c>
      <c r="H190" s="2672">
        <f>дома!G327*IF('Ввод данных'!$A$8=связи1!$A$150,1,0)</f>
        <v>0</v>
      </c>
    </row>
    <row r="191" spans="1:8">
      <c r="A191" s="2670" t="str">
        <f>дома!A355</f>
        <v>Перекладины для окон горизонтальные, 1</v>
      </c>
      <c r="B191" s="2671" t="str">
        <f>дома!B355</f>
        <v>м.п.</v>
      </c>
      <c r="C191" s="2672">
        <f>дома!C355</f>
        <v>0.15</v>
      </c>
      <c r="D191" s="2672">
        <f>дома!D355</f>
        <v>0.05</v>
      </c>
      <c r="E191" s="2672">
        <f>дома!E355</f>
        <v>1</v>
      </c>
      <c r="F191" s="2672">
        <f>дома!F355</f>
        <v>0</v>
      </c>
      <c r="G191" s="2672">
        <f>E191*F191*IF('Ввод данных'!$A$8=связи1!$A$150,1,0)</f>
        <v>0</v>
      </c>
      <c r="H191" s="2672">
        <f>дома!G328*IF('Ввод данных'!$A$8=связи1!$A$150,1,0)</f>
        <v>0</v>
      </c>
    </row>
    <row r="192" spans="1:8">
      <c r="A192" s="2670" t="str">
        <f>дома!A356</f>
        <v>Перекладины для окон горизонтальные, 2</v>
      </c>
      <c r="B192" s="2671" t="str">
        <f>дома!B356</f>
        <v>м.п.</v>
      </c>
      <c r="C192" s="2672">
        <f>дома!C356</f>
        <v>0.15</v>
      </c>
      <c r="D192" s="2672">
        <f>дома!D356</f>
        <v>0.05</v>
      </c>
      <c r="E192" s="2672">
        <f>дома!E356</f>
        <v>0</v>
      </c>
      <c r="F192" s="2672">
        <f>дома!F356</f>
        <v>0</v>
      </c>
      <c r="G192" s="2672">
        <f>E192*F192*IF('Ввод данных'!$A$8=связи1!$A$150,1,0)</f>
        <v>0</v>
      </c>
      <c r="H192" s="2672">
        <f>дома!G329*IF('Ввод данных'!$A$8=связи1!$A$150,1,0)</f>
        <v>0</v>
      </c>
    </row>
    <row r="193" spans="1:8">
      <c r="A193" s="2670" t="str">
        <f>дома!A357</f>
        <v>Перекладины для окон горизонтальные, 3</v>
      </c>
      <c r="B193" s="2671" t="str">
        <f>дома!B357</f>
        <v>м.п.</v>
      </c>
      <c r="C193" s="2672">
        <f>дома!C357</f>
        <v>0.15</v>
      </c>
      <c r="D193" s="2672">
        <f>дома!D357</f>
        <v>0.05</v>
      </c>
      <c r="E193" s="2672">
        <f>дома!E357</f>
        <v>0</v>
      </c>
      <c r="F193" s="2672">
        <f>дома!F357</f>
        <v>0</v>
      </c>
      <c r="G193" s="2672">
        <f>E193*F193*IF('Ввод данных'!$A$8=связи1!$A$150,1,0)</f>
        <v>0</v>
      </c>
      <c r="H193" s="2672">
        <f>дома!G330*IF('Ввод данных'!$A$8=связи1!$A$150,1,0)</f>
        <v>0</v>
      </c>
    </row>
    <row r="194" spans="1:8">
      <c r="A194" s="2670" t="str">
        <f>дома!A358</f>
        <v>Перекладины для окон горизонтальные, 4</v>
      </c>
      <c r="B194" s="2671" t="str">
        <f>дома!B358</f>
        <v>м.п.</v>
      </c>
      <c r="C194" s="2672">
        <f>дома!C358</f>
        <v>0.15</v>
      </c>
      <c r="D194" s="2672">
        <f>дома!D358</f>
        <v>0.05</v>
      </c>
      <c r="E194" s="2672">
        <f>дома!E358</f>
        <v>0.6</v>
      </c>
      <c r="F194" s="2672">
        <f>дома!F358</f>
        <v>0</v>
      </c>
      <c r="G194" s="2672">
        <f>E194*F194*IF('Ввод данных'!$A$8=связи1!$A$150,1,0)</f>
        <v>0</v>
      </c>
      <c r="H194" s="2672">
        <f>дома!G331*IF('Ввод данных'!$A$8=связи1!$A$150,1,0)</f>
        <v>0</v>
      </c>
    </row>
    <row r="195" spans="1:8">
      <c r="A195" s="2670" t="str">
        <f>дома!A359</f>
        <v>Перекладины для окон горизонтальные, 5</v>
      </c>
      <c r="B195" s="2671" t="str">
        <f>дома!B359</f>
        <v>м.п.</v>
      </c>
      <c r="C195" s="2672">
        <f>дома!C359</f>
        <v>0.15</v>
      </c>
      <c r="D195" s="2672">
        <f>дома!D359</f>
        <v>0.05</v>
      </c>
      <c r="E195" s="2672">
        <f>дома!E359</f>
        <v>1</v>
      </c>
      <c r="F195" s="2672">
        <f>дома!F359</f>
        <v>0</v>
      </c>
      <c r="G195" s="2672">
        <f>E195*F195*IF('Ввод данных'!$A$8=связи1!$A$150,1,0)</f>
        <v>0</v>
      </c>
      <c r="H195" s="2672">
        <f>дома!G332*IF('Ввод данных'!$A$8=связи1!$A$150,1,0)</f>
        <v>0</v>
      </c>
    </row>
    <row r="196" spans="1:8">
      <c r="A196" s="2670" t="str">
        <f>дома!A360</f>
        <v>Стойки для входных дверей вертикальные</v>
      </c>
      <c r="B196" s="2671" t="str">
        <f>дома!B360</f>
        <v>м.п.</v>
      </c>
      <c r="C196" s="2672">
        <f>дома!C360</f>
        <v>0.15</v>
      </c>
      <c r="D196" s="2672">
        <f>дома!D360</f>
        <v>0.05</v>
      </c>
      <c r="E196" s="2672">
        <f>дома!E360</f>
        <v>3</v>
      </c>
      <c r="F196" s="2672">
        <f>дома!F360</f>
        <v>0</v>
      </c>
      <c r="G196" s="2672">
        <f>E196*F196*IF('Ввод данных'!$A$8=связи1!$A$150,1,0)</f>
        <v>0</v>
      </c>
      <c r="H196" s="2672">
        <f>дома!G333*IF('Ввод данных'!$A$8=связи1!$A$150,1,0)</f>
        <v>0</v>
      </c>
    </row>
    <row r="197" spans="1:8">
      <c r="A197" s="2670" t="str">
        <f>дома!A361</f>
        <v>Перекладины для входных дверей горизонтальные,1</v>
      </c>
      <c r="B197" s="2671" t="str">
        <f>дома!B361</f>
        <v>м.п.</v>
      </c>
      <c r="C197" s="2672">
        <f>дома!C361</f>
        <v>0.15</v>
      </c>
      <c r="D197" s="2672">
        <f>дома!D361</f>
        <v>0.05</v>
      </c>
      <c r="E197" s="2672">
        <f>дома!E361</f>
        <v>0.8</v>
      </c>
      <c r="F197" s="2672">
        <f>дома!F361</f>
        <v>0</v>
      </c>
      <c r="G197" s="2672">
        <f>E197*F197*IF('Ввод данных'!$A$8=связи1!$A$150,1,0)</f>
        <v>0</v>
      </c>
      <c r="H197" s="2672">
        <f>дома!G334*IF('Ввод данных'!$A$8=связи1!$A$150,1,0)</f>
        <v>0</v>
      </c>
    </row>
    <row r="198" spans="1:8">
      <c r="A198" s="2670" t="str">
        <f>дома!A362</f>
        <v>Перекладины для входных дверей горизонтальные,2</v>
      </c>
      <c r="B198" s="2671" t="str">
        <f>дома!B362</f>
        <v>м.п.</v>
      </c>
      <c r="C198" s="2672">
        <f>дома!C362</f>
        <v>0.15</v>
      </c>
      <c r="D198" s="2672">
        <f>дома!D362</f>
        <v>0.05</v>
      </c>
      <c r="E198" s="2672">
        <f>дома!E362</f>
        <v>0</v>
      </c>
      <c r="F198" s="2672">
        <f>дома!F362</f>
        <v>0</v>
      </c>
      <c r="G198" s="2672">
        <f>E198*F198*IF('Ввод данных'!$A$8=связи1!$A$150,1,0)</f>
        <v>0</v>
      </c>
      <c r="H198" s="2672">
        <f>дома!G335*IF('Ввод данных'!$A$8=связи1!$A$150,1,0)</f>
        <v>0</v>
      </c>
    </row>
    <row r="199" spans="1:8">
      <c r="A199" s="2670" t="str">
        <f>дома!A363</f>
        <v>Перекладины для входных дверей горизонтальные,3</v>
      </c>
      <c r="B199" s="2671" t="str">
        <f>дома!B363</f>
        <v>м.п.</v>
      </c>
      <c r="C199" s="2672">
        <f>дома!C363</f>
        <v>0.15</v>
      </c>
      <c r="D199" s="2672">
        <f>дома!D363</f>
        <v>0.05</v>
      </c>
      <c r="E199" s="2672">
        <f>дома!E363</f>
        <v>0</v>
      </c>
      <c r="F199" s="2672">
        <f>дома!F363</f>
        <v>0</v>
      </c>
      <c r="G199" s="2672">
        <f>E199*F199*IF('Ввод данных'!$A$8=связи1!$A$150,1,0)</f>
        <v>0</v>
      </c>
      <c r="H199" s="2672">
        <f>дома!G336*IF('Ввод данных'!$A$8=связи1!$A$150,1,0)</f>
        <v>0</v>
      </c>
    </row>
    <row r="200" spans="1:8">
      <c r="A200" s="2670" t="str">
        <f>дома!A364</f>
        <v>Перекладины для входных дверей горизонтальные,4</v>
      </c>
      <c r="B200" s="2671" t="str">
        <f>дома!B364</f>
        <v>м.п.</v>
      </c>
      <c r="C200" s="2672">
        <f>дома!C364</f>
        <v>0.15</v>
      </c>
      <c r="D200" s="2672">
        <f>дома!D364</f>
        <v>0.05</v>
      </c>
      <c r="E200" s="2672">
        <f>дома!E364</f>
        <v>0.9</v>
      </c>
      <c r="F200" s="2672">
        <f>дома!F364</f>
        <v>0</v>
      </c>
      <c r="G200" s="2672">
        <f>E200*F200*IF('Ввод данных'!$A$8=связи1!$A$150,1,0)</f>
        <v>0</v>
      </c>
      <c r="H200" s="2672">
        <f>дома!G337*IF('Ввод данных'!$A$8=связи1!$A$150,1,0)</f>
        <v>0</v>
      </c>
    </row>
    <row r="201" spans="1:8">
      <c r="A201" s="2670" t="str">
        <f>дома!A365</f>
        <v>Перекладины для входных дверей горизонтальные,5</v>
      </c>
      <c r="B201" s="2671" t="str">
        <f>дома!B365</f>
        <v>м.п.</v>
      </c>
      <c r="C201" s="2672">
        <f>дома!C365</f>
        <v>0.15</v>
      </c>
      <c r="D201" s="2672">
        <f>дома!D365</f>
        <v>0.05</v>
      </c>
      <c r="E201" s="2672">
        <f>дома!E365</f>
        <v>1</v>
      </c>
      <c r="F201" s="2672">
        <f>дома!F365</f>
        <v>0</v>
      </c>
      <c r="G201" s="2672">
        <f>E201*F201*IF('Ввод данных'!$A$8=связи1!$A$150,1,0)</f>
        <v>0</v>
      </c>
      <c r="H201" s="2672">
        <f>дома!G338*IF('Ввод данных'!$A$8=связи1!$A$150,1,0)</f>
        <v>0</v>
      </c>
    </row>
    <row r="202" spans="1:8">
      <c r="A202" s="2670" t="str">
        <f>дома!A366</f>
        <v>Стойки для межкомнатных дверей вертикальные</v>
      </c>
      <c r="B202" s="2671" t="str">
        <f>дома!B366</f>
        <v>м.п.</v>
      </c>
      <c r="C202" s="2672">
        <f>дома!C366</f>
        <v>0.15</v>
      </c>
      <c r="D202" s="2672">
        <f>дома!D366</f>
        <v>0.05</v>
      </c>
      <c r="E202" s="2672">
        <f>дома!E366</f>
        <v>3</v>
      </c>
      <c r="F202" s="2672">
        <f>дома!F366</f>
        <v>0</v>
      </c>
      <c r="G202" s="2672">
        <f>E202*F202*IF('Ввод данных'!$A$8=связи1!$A$150,1,0)</f>
        <v>0</v>
      </c>
      <c r="H202" s="2672">
        <f>дома!G339*IF('Ввод данных'!$A$8=связи1!$A$150,1,0)</f>
        <v>0</v>
      </c>
    </row>
    <row r="203" spans="1:8">
      <c r="A203" s="2670" t="str">
        <f>дома!A367</f>
        <v>Перекладины для межкомнатных дверей горизонтальные,1</v>
      </c>
      <c r="B203" s="2671" t="str">
        <f>дома!B367</f>
        <v>м.п.</v>
      </c>
      <c r="C203" s="2672">
        <f>дома!C367</f>
        <v>0.12</v>
      </c>
      <c r="D203" s="2672">
        <f>дома!D367</f>
        <v>0.05</v>
      </c>
      <c r="E203" s="2672">
        <f>дома!E367</f>
        <v>0.8</v>
      </c>
      <c r="F203" s="2672">
        <f>дома!F367</f>
        <v>0</v>
      </c>
      <c r="G203" s="2672">
        <f>E203*F203*IF('Ввод данных'!$A$8=связи1!$A$150,1,0)</f>
        <v>0</v>
      </c>
      <c r="H203" s="2672">
        <f>дома!G340*IF('Ввод данных'!$A$8=связи1!$A$150,1,0)</f>
        <v>0</v>
      </c>
    </row>
    <row r="204" spans="1:8">
      <c r="A204" s="2670" t="str">
        <f>дома!A368</f>
        <v>Перекладины для межкомнатных дверей горизонтальные,2</v>
      </c>
      <c r="B204" s="2671" t="str">
        <f>дома!B368</f>
        <v>м.п.</v>
      </c>
      <c r="C204" s="2672">
        <f>дома!C368</f>
        <v>0.12</v>
      </c>
      <c r="D204" s="2672">
        <f>дома!D368</f>
        <v>0.05</v>
      </c>
      <c r="E204" s="2672">
        <f>дома!E368</f>
        <v>0.6</v>
      </c>
      <c r="F204" s="2672">
        <f>дома!F368</f>
        <v>0</v>
      </c>
      <c r="G204" s="2672">
        <f>E204*F204*IF('Ввод данных'!$A$8=связи1!$A$150,1,0)</f>
        <v>0</v>
      </c>
      <c r="H204" s="2672">
        <f>дома!G341*IF('Ввод данных'!$A$8=связи1!$A$150,1,0)</f>
        <v>0</v>
      </c>
    </row>
    <row r="205" spans="1:8">
      <c r="A205" s="2670" t="str">
        <f>дома!A369</f>
        <v>Перекладины для межкомнатных дверей горизонтальные,3</v>
      </c>
      <c r="B205" s="2671" t="str">
        <f>дома!B369</f>
        <v>м.п.</v>
      </c>
      <c r="C205" s="2672">
        <f>дома!C369</f>
        <v>0.12</v>
      </c>
      <c r="D205" s="2672">
        <f>дома!D369</f>
        <v>0.05</v>
      </c>
      <c r="E205" s="2672">
        <f>дома!E369</f>
        <v>0.9</v>
      </c>
      <c r="F205" s="2672">
        <f>дома!F369</f>
        <v>0</v>
      </c>
      <c r="G205" s="2672">
        <f>E205*F205*IF('Ввод данных'!$A$8=связи1!$A$150,1,0)</f>
        <v>0</v>
      </c>
      <c r="H205" s="2672">
        <f>дома!G342*IF('Ввод данных'!$A$8=связи1!$A$150,1,0)</f>
        <v>0</v>
      </c>
    </row>
    <row r="206" spans="1:8">
      <c r="A206" s="2670" t="str">
        <f>дома!A370</f>
        <v>Перекладины для межкомнатных дверей горизонтальные,4</v>
      </c>
      <c r="B206" s="2671" t="str">
        <f>дома!B370</f>
        <v>м.п.</v>
      </c>
      <c r="C206" s="2672">
        <f>дома!C370</f>
        <v>0.12</v>
      </c>
      <c r="D206" s="2672">
        <f>дома!D370</f>
        <v>0.05</v>
      </c>
      <c r="E206" s="2672">
        <f>дома!E370</f>
        <v>0</v>
      </c>
      <c r="F206" s="2672">
        <f>дома!F370</f>
        <v>0</v>
      </c>
      <c r="G206" s="2672">
        <f>E206*F206*IF('Ввод данных'!$A$8=связи1!$A$150,1,0)</f>
        <v>0</v>
      </c>
      <c r="H206" s="2672">
        <f>дома!G343*IF('Ввод данных'!$A$8=связи1!$A$150,1,0)</f>
        <v>0</v>
      </c>
    </row>
    <row r="207" spans="1:8">
      <c r="A207" s="2670" t="str">
        <f>дома!A371</f>
        <v>Стойки для проемов вертикальные</v>
      </c>
      <c r="B207" s="2671" t="str">
        <f>дома!B371</f>
        <v>м.п.</v>
      </c>
      <c r="C207" s="2672">
        <f>дома!C371</f>
        <v>0.12</v>
      </c>
      <c r="D207" s="2672">
        <f>дома!D371</f>
        <v>0.05</v>
      </c>
      <c r="E207" s="2672">
        <f>дома!E371</f>
        <v>0</v>
      </c>
      <c r="F207" s="2672">
        <f>дома!F371</f>
        <v>0</v>
      </c>
      <c r="G207" s="2672">
        <f>E207*F207*IF('Ввод данных'!$A$8=связи1!$A$150,1,0)</f>
        <v>0</v>
      </c>
      <c r="H207" s="2672">
        <f>дома!G344*IF('Ввод данных'!$A$8=связи1!$A$150,1,0)</f>
        <v>0</v>
      </c>
    </row>
    <row r="208" spans="1:8">
      <c r="A208" s="2670" t="str">
        <f>дома!A372</f>
        <v>Перекладины для проемов горизонтальные,1</v>
      </c>
      <c r="B208" s="2671" t="str">
        <f>дома!B372</f>
        <v>м.п.</v>
      </c>
      <c r="C208" s="2672">
        <f>дома!C372</f>
        <v>0.12</v>
      </c>
      <c r="D208" s="2672">
        <f>дома!D372</f>
        <v>0.05</v>
      </c>
      <c r="E208" s="2672">
        <f>дома!E372</f>
        <v>2</v>
      </c>
      <c r="F208" s="2672">
        <f>дома!F372</f>
        <v>0</v>
      </c>
      <c r="G208" s="2672">
        <f>E208*F208*IF('Ввод данных'!$A$8=связи1!$A$150,1,0)</f>
        <v>0</v>
      </c>
      <c r="H208" s="2672">
        <f>дома!G345*IF('Ввод данных'!$A$8=связи1!$A$150,1,0)</f>
        <v>0</v>
      </c>
    </row>
    <row r="209" spans="1:8">
      <c r="A209" s="2670" t="str">
        <f>дома!A373</f>
        <v>Перекладины для проемов горизонтальные,2</v>
      </c>
      <c r="B209" s="2671" t="str">
        <f>дома!B373</f>
        <v>м.п.</v>
      </c>
      <c r="C209" s="2672">
        <f>дома!C373</f>
        <v>0.12</v>
      </c>
      <c r="D209" s="2672">
        <f>дома!D373</f>
        <v>0.05</v>
      </c>
      <c r="E209" s="2672">
        <f>дома!E373</f>
        <v>0</v>
      </c>
      <c r="F209" s="2672">
        <f>дома!F373</f>
        <v>0</v>
      </c>
      <c r="G209" s="2672">
        <f>E209*F209*IF('Ввод данных'!$A$8=связи1!$A$150,1,0)</f>
        <v>0</v>
      </c>
      <c r="H209" s="2672">
        <f>дома!G346*IF('Ввод данных'!$A$8=связи1!$A$150,1,0)</f>
        <v>0</v>
      </c>
    </row>
    <row r="210" spans="1:8" ht="21">
      <c r="A210" s="3266" t="s">
        <v>4168</v>
      </c>
      <c r="B210" s="3266"/>
      <c r="C210" s="3266"/>
      <c r="D210" s="3266"/>
      <c r="E210" s="3266"/>
      <c r="F210" s="3266"/>
      <c r="G210" s="2673">
        <f>E210*F210</f>
        <v>0</v>
      </c>
      <c r="H210" s="2674">
        <f>SUM(H211:H407)</f>
        <v>0</v>
      </c>
    </row>
    <row r="211" spans="1:8">
      <c r="A211" s="2670" t="str">
        <f>дома!A637</f>
        <v>Стойки каркаса передней/задней стены 2 эт</v>
      </c>
      <c r="B211" s="2671" t="str">
        <f>дома!B637</f>
        <v>м.п.</v>
      </c>
      <c r="C211" s="2672">
        <f>дома!C637</f>
        <v>0.15</v>
      </c>
      <c r="D211" s="2672">
        <f>дома!D637</f>
        <v>0.05</v>
      </c>
      <c r="E211" s="2672">
        <f>дома!E637</f>
        <v>0</v>
      </c>
      <c r="F211" s="2672">
        <f>дома!F637</f>
        <v>0</v>
      </c>
      <c r="G211" s="2672">
        <f>E211*F211*(IF('Ввод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1" s="2672">
        <f>дома!G637*(IF('Ввод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2" spans="1:8">
      <c r="A212" s="2670" t="str">
        <f>дома!A638</f>
        <v>Стойки каркаса, левая сторона 2 эт</v>
      </c>
      <c r="B212" s="2671" t="str">
        <f>дома!B638</f>
        <v>м.п.</v>
      </c>
      <c r="C212" s="2672">
        <f>дома!C638</f>
        <v>0.15</v>
      </c>
      <c r="D212" s="2672">
        <f>дома!D638</f>
        <v>0.05</v>
      </c>
      <c r="E212" s="2672">
        <f>дома!E638</f>
        <v>0</v>
      </c>
      <c r="F212" s="2672">
        <f>дома!F638</f>
        <v>0</v>
      </c>
      <c r="G212" s="2672">
        <f>E212*F212*(IF('Ввод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2" s="2672">
        <f>дома!G638*(IF('Ввод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3" spans="1:8">
      <c r="A213" s="2670" t="str">
        <f>дома!A639</f>
        <v>Стойки каркаса, правая сторона 2 эт</v>
      </c>
      <c r="B213" s="2671" t="str">
        <f>дома!B639</f>
        <v>м.п.</v>
      </c>
      <c r="C213" s="2672">
        <f>дома!C639</f>
        <v>0.15</v>
      </c>
      <c r="D213" s="2672">
        <f>дома!D639</f>
        <v>0.05</v>
      </c>
      <c r="E213" s="2672">
        <f>дома!E639</f>
        <v>0</v>
      </c>
      <c r="F213" s="2672">
        <f>дома!F639</f>
        <v>0</v>
      </c>
      <c r="G213" s="2672">
        <f>E213*F213*(IF('Ввод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3" s="2672">
        <f>дома!G639*(IF('Ввод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4" spans="1:8">
      <c r="A214" s="2670" t="str">
        <f>дома!A640</f>
        <v>Стойки каркаса левой боковой стены 2 эт</v>
      </c>
      <c r="B214" s="2671" t="str">
        <f>дома!B640</f>
        <v>м.п.</v>
      </c>
      <c r="C214" s="2672">
        <f>дома!C640</f>
        <v>0.15</v>
      </c>
      <c r="D214" s="2672">
        <f>дома!D640</f>
        <v>0.05</v>
      </c>
      <c r="E214" s="2672">
        <f>дома!E640</f>
        <v>0</v>
      </c>
      <c r="F214" s="2672">
        <f>дома!F640</f>
        <v>0</v>
      </c>
      <c r="G214" s="2672">
        <f>E214*F214*(IF('Ввод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4" s="2672">
        <f>дома!G640*(IF('Ввод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5" spans="1:8">
      <c r="A215" s="2670" t="str">
        <f>дома!A641</f>
        <v>Стойки каркаса правой боковой стены 1 эт</v>
      </c>
      <c r="B215" s="2671" t="str">
        <f>дома!B641</f>
        <v>м.п.</v>
      </c>
      <c r="C215" s="2672">
        <f>дома!C641</f>
        <v>0.15</v>
      </c>
      <c r="D215" s="2672">
        <f>дома!D641</f>
        <v>0.05</v>
      </c>
      <c r="E215" s="2672">
        <f>дома!E641</f>
        <v>0</v>
      </c>
      <c r="F215" s="2672">
        <f>дома!F641</f>
        <v>0</v>
      </c>
      <c r="G215" s="2672">
        <f>E215*F215*(IF('Ввод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5" s="2672">
        <f>дома!G641*(IF('Ввод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6" spans="1:8">
      <c r="A216" s="2670" t="str">
        <f>дома!A642</f>
        <v>Обвязка каркаса фронтона верхняя,двускатная кровля</v>
      </c>
      <c r="B216" s="2671" t="str">
        <f>дома!B642</f>
        <v>м.п.</v>
      </c>
      <c r="C216" s="2672">
        <f>дома!C642</f>
        <v>0.15</v>
      </c>
      <c r="D216" s="2672">
        <f>дома!D642</f>
        <v>0.05</v>
      </c>
      <c r="E216" s="2672">
        <f>дома!E642</f>
        <v>5.25</v>
      </c>
      <c r="F216" s="2672">
        <f>дома!F642</f>
        <v>0</v>
      </c>
      <c r="G216" s="2672">
        <f>E216*F216*(IF('Ввод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6" s="2672">
        <f>дома!G642*(IF('Ввод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7" spans="1:8">
      <c r="A217" s="2670" t="str">
        <f>дома!A643</f>
        <v>Обвязка каркаса фронтона нижняя,двускатная кровля</v>
      </c>
      <c r="B217" s="2671" t="str">
        <f>дома!B643</f>
        <v>м.п.</v>
      </c>
      <c r="C217" s="2672">
        <f>дома!C643</f>
        <v>0.15</v>
      </c>
      <c r="D217" s="2672">
        <f>дома!D643</f>
        <v>0.05</v>
      </c>
      <c r="E217" s="2672">
        <f>дома!E643</f>
        <v>5</v>
      </c>
      <c r="F217" s="2672">
        <f>дома!F643</f>
        <v>0</v>
      </c>
      <c r="G217" s="2672">
        <f>E217*F217*(IF('Ввод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7" s="2672">
        <f>дома!G643*(IF('Ввод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8" spans="1:8">
      <c r="A218" s="2670" t="str">
        <f>дома!A644</f>
        <v>Ригель каркаса фронтона,двускатная кровля</v>
      </c>
      <c r="B218" s="2671" t="str">
        <f>дома!B644</f>
        <v>м.п.</v>
      </c>
      <c r="C218" s="2672">
        <f>дома!C644</f>
        <v>0.15</v>
      </c>
      <c r="D218" s="2672">
        <f>дома!D644</f>
        <v>0.05</v>
      </c>
      <c r="E218" s="2672">
        <f>дома!E644</f>
        <v>5.25</v>
      </c>
      <c r="F218" s="2672">
        <f>дома!F644</f>
        <v>0</v>
      </c>
      <c r="G218" s="2672">
        <f>E218*F218*(IF('Ввод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8" s="2672">
        <f>дома!G644*(IF('Ввод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9" spans="1:8">
      <c r="A219" s="2670" t="str">
        <f>дома!A645</f>
        <v>Обвязка каркаса верхняя/нижняя наружние стены 2 эт</v>
      </c>
      <c r="B219" s="2671" t="str">
        <f>дома!B645</f>
        <v>м.п.</v>
      </c>
      <c r="C219" s="2672">
        <f>дома!C645</f>
        <v>0.15</v>
      </c>
      <c r="D219" s="2672">
        <f>дома!D645</f>
        <v>0.05</v>
      </c>
      <c r="E219" s="2672">
        <f>дома!E645</f>
        <v>0</v>
      </c>
      <c r="F219" s="2672">
        <f>дома!F645</f>
        <v>0</v>
      </c>
      <c r="G219" s="2672">
        <f>E219*F219*(IF('Ввод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9" s="2672">
        <f>дома!G645*(IF('Ввод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0" spans="1:8">
      <c r="A220" s="2670" t="str">
        <f>дома!A646</f>
        <v>Ригель каркаса наружние стены 2 эт</v>
      </c>
      <c r="B220" s="2671" t="str">
        <f>дома!B646</f>
        <v>м.п.</v>
      </c>
      <c r="C220" s="2672">
        <f>дома!C646</f>
        <v>0.15</v>
      </c>
      <c r="D220" s="2672">
        <f>дома!D646</f>
        <v>0.05</v>
      </c>
      <c r="E220" s="2672">
        <f>дома!E646</f>
        <v>0</v>
      </c>
      <c r="F220" s="2672">
        <f>дома!F646</f>
        <v>0</v>
      </c>
      <c r="G220" s="2672">
        <f>E220*F220*(IF('Ввод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0" s="2672">
        <f>дома!G646*(IF('Ввод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1" spans="1:8">
      <c r="A221" s="2670" t="str">
        <f>дома!A647</f>
        <v>Стойка каркаса, несущие перегородки, 2 этаж</v>
      </c>
      <c r="B221" s="2671" t="str">
        <f>дома!B647</f>
        <v>м.п.</v>
      </c>
      <c r="C221" s="2672">
        <f>дома!C647</f>
        <v>0.12</v>
      </c>
      <c r="D221" s="2672">
        <f>дома!D647</f>
        <v>0.05</v>
      </c>
      <c r="E221" s="2672">
        <f>дома!E647</f>
        <v>0</v>
      </c>
      <c r="F221" s="2672">
        <f>дома!F647</f>
        <v>0</v>
      </c>
      <c r="G221" s="2672">
        <f>E221*F221*(IF('Ввод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1" s="2672">
        <f>дома!G647*(IF('Ввод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2" spans="1:8">
      <c r="A222" s="2670" t="str">
        <f>дома!A648</f>
        <v>Обвязка несущих перегородок верх, 2 этаж</v>
      </c>
      <c r="B222" s="2671" t="str">
        <f>дома!B648</f>
        <v>м.п.</v>
      </c>
      <c r="C222" s="2672">
        <f>дома!C648</f>
        <v>0.12</v>
      </c>
      <c r="D222" s="2672">
        <f>дома!D648</f>
        <v>0.05</v>
      </c>
      <c r="E222" s="2672">
        <f>дома!E648</f>
        <v>0</v>
      </c>
      <c r="F222" s="2672">
        <f>дома!F648</f>
        <v>0</v>
      </c>
      <c r="G222" s="2672">
        <f>E222*F222*(IF('Ввод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2" s="2672">
        <f>дома!G648*(IF('Ввод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3" spans="1:8">
      <c r="A223" s="2670" t="str">
        <f>дома!A649</f>
        <v>Ригель несущих перегородок, 2 этаж</v>
      </c>
      <c r="B223" s="2671" t="str">
        <f>дома!B649</f>
        <v>м.п.</v>
      </c>
      <c r="C223" s="2672">
        <f>дома!C649</f>
        <v>0.12</v>
      </c>
      <c r="D223" s="2672">
        <f>дома!D649</f>
        <v>0.05</v>
      </c>
      <c r="E223" s="2672">
        <f>дома!E649</f>
        <v>0</v>
      </c>
      <c r="F223" s="2672">
        <f>дома!F649</f>
        <v>0</v>
      </c>
      <c r="G223" s="2672">
        <f>E223*F223*(IF('Ввод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3" s="2672">
        <f>дома!G649*(IF('Ввод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4" spans="1:8">
      <c r="A224" s="2670" t="str">
        <f>дома!A650</f>
        <v>Стойка каркаса, перегородки, 2 этаж</v>
      </c>
      <c r="B224" s="2671" t="str">
        <f>дома!B650</f>
        <v>м.п.</v>
      </c>
      <c r="C224" s="2672">
        <f>дома!C650</f>
        <v>0.17</v>
      </c>
      <c r="D224" s="2672">
        <f>дома!D650</f>
        <v>0.05</v>
      </c>
      <c r="E224" s="2672">
        <f>дома!E650</f>
        <v>0</v>
      </c>
      <c r="F224" s="2672">
        <f>дома!F650</f>
        <v>0</v>
      </c>
      <c r="G224" s="2672">
        <f>E224*F224*(IF('Ввод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4" s="2672">
        <f>дома!G650*(IF('Ввод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5" spans="1:8">
      <c r="A225" s="2670" t="str">
        <f>дома!A651</f>
        <v>Обвязка перегородок верх, 2 этаж</v>
      </c>
      <c r="B225" s="2671" t="str">
        <f>дома!B651</f>
        <v>м.п.</v>
      </c>
      <c r="C225" s="2672">
        <f>дома!C651</f>
        <v>0.17</v>
      </c>
      <c r="D225" s="2672">
        <f>дома!D651</f>
        <v>0.05</v>
      </c>
      <c r="E225" s="2672">
        <f>дома!E651</f>
        <v>0</v>
      </c>
      <c r="F225" s="2672">
        <f>дома!F651</f>
        <v>0</v>
      </c>
      <c r="G225" s="2672">
        <f>E225*F225*(IF('Ввод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5" s="2672">
        <f>дома!G651*(IF('Ввод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6" spans="1:8">
      <c r="A226" s="2670" t="str">
        <f>дома!A652</f>
        <v>Стойка каркаса по фронтону, левая сторона, двускатная кровля №1</v>
      </c>
      <c r="B226" s="2671" t="str">
        <f>дома!B652</f>
        <v>м.п.</v>
      </c>
      <c r="C226" s="2672">
        <f>дома!C652</f>
        <v>0.15</v>
      </c>
      <c r="D226" s="2672">
        <f>дома!D652</f>
        <v>0.05</v>
      </c>
      <c r="E226" s="2672">
        <f>дома!E652</f>
        <v>0</v>
      </c>
      <c r="F226" s="2672">
        <f>дома!F652</f>
        <v>0</v>
      </c>
      <c r="G226" s="2672">
        <f>E226*F226*(IF('Ввод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6" s="2672">
        <f>дома!G652*(IF('Ввод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7" spans="1:8">
      <c r="A227" s="2670" t="str">
        <f>дома!A653</f>
        <v>Стойка каркаса по фронтону, левая сторона, двускатная кровля №2</v>
      </c>
      <c r="B227" s="2671" t="str">
        <f>дома!B653</f>
        <v>м.п.</v>
      </c>
      <c r="C227" s="2672">
        <f>дома!C653</f>
        <v>0.15</v>
      </c>
      <c r="D227" s="2672">
        <f>дома!D653</f>
        <v>0.05</v>
      </c>
      <c r="E227" s="2672">
        <f>дома!E653</f>
        <v>0</v>
      </c>
      <c r="F227" s="2672">
        <f>дома!F653</f>
        <v>0</v>
      </c>
      <c r="G227" s="2672">
        <f>E227*F227*(IF('Ввод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7" s="2672">
        <f>дома!G653*(IF('Ввод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8" spans="1:8">
      <c r="A228" s="2670" t="str">
        <f>дома!A654</f>
        <v>Стойка каркаса по фронтону, левая сторона, двускатная кровля №3</v>
      </c>
      <c r="B228" s="2671" t="str">
        <f>дома!B654</f>
        <v>м.п.</v>
      </c>
      <c r="C228" s="2672">
        <f>дома!C654</f>
        <v>0.15</v>
      </c>
      <c r="D228" s="2672">
        <f>дома!D654</f>
        <v>0.05</v>
      </c>
      <c r="E228" s="2672">
        <f>дома!E654</f>
        <v>0</v>
      </c>
      <c r="F228" s="2672">
        <f>дома!F654</f>
        <v>0</v>
      </c>
      <c r="G228" s="2672">
        <f>E228*F228*(IF('Ввод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8" s="2672">
        <f>дома!G654*(IF('Ввод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9" spans="1:8">
      <c r="A229" s="2670" t="str">
        <f>дома!A655</f>
        <v>Стойка каркаса по фронтону, левая сторона, двускатная кровля №4</v>
      </c>
      <c r="B229" s="2671" t="str">
        <f>дома!B655</f>
        <v>м.п.</v>
      </c>
      <c r="C229" s="2672">
        <f>дома!C655</f>
        <v>0.15</v>
      </c>
      <c r="D229" s="2672">
        <f>дома!D655</f>
        <v>0.05</v>
      </c>
      <c r="E229" s="2672">
        <f>дома!E655</f>
        <v>0</v>
      </c>
      <c r="F229" s="2672">
        <f>дома!F655</f>
        <v>0</v>
      </c>
      <c r="G229" s="2672">
        <f>E229*F229*(IF('Ввод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9" s="2672">
        <f>дома!G655*(IF('Ввод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0" spans="1:8">
      <c r="A230" s="2670" t="str">
        <f>дома!A656</f>
        <v>Стойка каркаса по фронтону, левая сторона, двускатная кровля №5</v>
      </c>
      <c r="B230" s="2671" t="str">
        <f>дома!B656</f>
        <v>м.п.</v>
      </c>
      <c r="C230" s="2672">
        <f>дома!C656</f>
        <v>0.15</v>
      </c>
      <c r="D230" s="2672">
        <f>дома!D656</f>
        <v>0.05</v>
      </c>
      <c r="E230" s="2672">
        <f>дома!E656</f>
        <v>0</v>
      </c>
      <c r="F230" s="2672">
        <f>дома!F656</f>
        <v>0</v>
      </c>
      <c r="G230" s="2672">
        <f>E230*F230*(IF('Ввод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0" s="2672">
        <f>дома!G656*(IF('Ввод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1" spans="1:8">
      <c r="A231" s="2670" t="str">
        <f>дома!A657</f>
        <v>Стойка каркаса по фронтону, левая сторона, двускатная кровля №6</v>
      </c>
      <c r="B231" s="2671" t="str">
        <f>дома!B657</f>
        <v>м.п.</v>
      </c>
      <c r="C231" s="2672">
        <f>дома!C657</f>
        <v>0.15</v>
      </c>
      <c r="D231" s="2672">
        <f>дома!D657</f>
        <v>0.05</v>
      </c>
      <c r="E231" s="2672">
        <f>дома!E657</f>
        <v>0</v>
      </c>
      <c r="F231" s="2672">
        <f>дома!F657</f>
        <v>0</v>
      </c>
      <c r="G231" s="2672">
        <f>E231*F231*(IF('Ввод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1" s="2672">
        <f>дома!G657*(IF('Ввод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2" spans="1:8">
      <c r="A232" s="2670" t="str">
        <f>дома!A658</f>
        <v>Стойка каркаса по фронтону, левая сторона, двускатная кровля №7</v>
      </c>
      <c r="B232" s="2671" t="str">
        <f>дома!B658</f>
        <v>м.п.</v>
      </c>
      <c r="C232" s="2672">
        <f>дома!C658</f>
        <v>0.15</v>
      </c>
      <c r="D232" s="2672">
        <f>дома!D658</f>
        <v>0.05</v>
      </c>
      <c r="E232" s="2672">
        <f>дома!E658</f>
        <v>0</v>
      </c>
      <c r="F232" s="2672">
        <f>дома!F658</f>
        <v>0</v>
      </c>
      <c r="G232" s="2672">
        <f>E232*F232*(IF('Ввод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2" s="2672">
        <f>дома!G658*(IF('Ввод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3" spans="1:8">
      <c r="A233" s="2670" t="str">
        <f>дома!A659</f>
        <v>Стойка каркаса по фронтону, левая сторона, двускатная кровля №8</v>
      </c>
      <c r="B233" s="2671" t="str">
        <f>дома!B659</f>
        <v>м.п.</v>
      </c>
      <c r="C233" s="2672">
        <f>дома!C659</f>
        <v>0.15</v>
      </c>
      <c r="D233" s="2672">
        <f>дома!D659</f>
        <v>0.05</v>
      </c>
      <c r="E233" s="2672">
        <f>дома!E659</f>
        <v>0</v>
      </c>
      <c r="F233" s="2672">
        <f>дома!F659</f>
        <v>0</v>
      </c>
      <c r="G233" s="2672">
        <f>E233*F233*(IF('Ввод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3" s="2672">
        <f>дома!G659*(IF('Ввод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4" spans="1:8">
      <c r="A234" s="2670" t="str">
        <f>дома!A660</f>
        <v>Стойка каркаса по фронтону, левая сторона, двускатная кровля №9</v>
      </c>
      <c r="B234" s="2671" t="str">
        <f>дома!B660</f>
        <v>м.п.</v>
      </c>
      <c r="C234" s="2672">
        <f>дома!C660</f>
        <v>0.15</v>
      </c>
      <c r="D234" s="2672">
        <f>дома!D660</f>
        <v>0.05</v>
      </c>
      <c r="E234" s="2672">
        <f>дома!E660</f>
        <v>0</v>
      </c>
      <c r="F234" s="2672">
        <f>дома!F660</f>
        <v>0</v>
      </c>
      <c r="G234" s="2672">
        <f>E234*F234*(IF('Ввод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4" s="2672">
        <f>дома!G660*(IF('Ввод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5" spans="1:8">
      <c r="A235" s="2670" t="str">
        <f>дома!A661</f>
        <v>Стойка каркаса по фронтону, левая сторона, двускатная кровля №10</v>
      </c>
      <c r="B235" s="2671" t="str">
        <f>дома!B661</f>
        <v>м.п.</v>
      </c>
      <c r="C235" s="2672">
        <f>дома!C661</f>
        <v>0.15</v>
      </c>
      <c r="D235" s="2672">
        <f>дома!D661</f>
        <v>0.05</v>
      </c>
      <c r="E235" s="2672">
        <f>дома!E661</f>
        <v>0</v>
      </c>
      <c r="F235" s="2672">
        <f>дома!F661</f>
        <v>0</v>
      </c>
      <c r="G235" s="2672">
        <f>E235*F235*(IF('Ввод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5" s="2672">
        <f>дома!G661*(IF('Ввод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6" spans="1:8">
      <c r="A236" s="2670" t="str">
        <f>дома!A662</f>
        <v>Стойка каркаса по фронтону, левая сторона, двускатная кровля №11</v>
      </c>
      <c r="B236" s="2671" t="str">
        <f>дома!B662</f>
        <v>м.п.</v>
      </c>
      <c r="C236" s="2672">
        <f>дома!C662</f>
        <v>0.15</v>
      </c>
      <c r="D236" s="2672">
        <f>дома!D662</f>
        <v>0.05</v>
      </c>
      <c r="E236" s="2672">
        <f>дома!E662</f>
        <v>0</v>
      </c>
      <c r="F236" s="2672">
        <f>дома!F662</f>
        <v>0</v>
      </c>
      <c r="G236" s="2672">
        <f>E236*F236*(IF('Ввод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6" s="2672">
        <f>дома!G662*(IF('Ввод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7" spans="1:8">
      <c r="A237" s="2670" t="str">
        <f>дома!A663</f>
        <v>Стойка каркаса по фронтону, левая сторона, двускатная кровля №12</v>
      </c>
      <c r="B237" s="2671" t="str">
        <f>дома!B663</f>
        <v>м.п.</v>
      </c>
      <c r="C237" s="2672">
        <f>дома!C663</f>
        <v>0.15</v>
      </c>
      <c r="D237" s="2672">
        <f>дома!D663</f>
        <v>0.05</v>
      </c>
      <c r="E237" s="2672">
        <f>дома!E663</f>
        <v>0</v>
      </c>
      <c r="F237" s="2672">
        <f>дома!F663</f>
        <v>0</v>
      </c>
      <c r="G237" s="2672">
        <f>E237*F237*(IF('Ввод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7" s="2672">
        <f>дома!G663*(IF('Ввод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8" spans="1:8">
      <c r="A238" s="2670" t="str">
        <f>дома!A664</f>
        <v>Стойка каркаса по фронтону, левая сторона, двускатная кровля №13</v>
      </c>
      <c r="B238" s="2671" t="str">
        <f>дома!B664</f>
        <v>м.п.</v>
      </c>
      <c r="C238" s="2672">
        <f>дома!C664</f>
        <v>0.15</v>
      </c>
      <c r="D238" s="2672">
        <f>дома!D664</f>
        <v>0.05</v>
      </c>
      <c r="E238" s="2672">
        <f>дома!E664</f>
        <v>0</v>
      </c>
      <c r="F238" s="2672">
        <f>дома!F664</f>
        <v>0</v>
      </c>
      <c r="G238" s="2672">
        <f>E238*F238*(IF('Ввод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8" s="2672">
        <f>дома!G664*(IF('Ввод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9" spans="1:8">
      <c r="A239" s="2670" t="str">
        <f>дома!A665</f>
        <v>Стойка каркаса по фронтону, левая сторона, двускатная кровля №14</v>
      </c>
      <c r="B239" s="2671" t="str">
        <f>дома!B665</f>
        <v>м.п.</v>
      </c>
      <c r="C239" s="2672">
        <f>дома!C665</f>
        <v>0.15</v>
      </c>
      <c r="D239" s="2672">
        <f>дома!D665</f>
        <v>0.05</v>
      </c>
      <c r="E239" s="2672">
        <f>дома!E665</f>
        <v>0</v>
      </c>
      <c r="F239" s="2672">
        <f>дома!F665</f>
        <v>0</v>
      </c>
      <c r="G239" s="2672">
        <f>E239*F239*(IF('Ввод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9" s="2672">
        <f>дома!G665*(IF('Ввод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0" spans="1:8">
      <c r="A240" s="2670" t="str">
        <f>дома!A666</f>
        <v>Стойка каркаса по фронтону, левая сторона, двускатная кровля №15</v>
      </c>
      <c r="B240" s="2671" t="str">
        <f>дома!B666</f>
        <v>м.п.</v>
      </c>
      <c r="C240" s="2672">
        <f>дома!C666</f>
        <v>0.15</v>
      </c>
      <c r="D240" s="2672">
        <f>дома!D666</f>
        <v>0.05</v>
      </c>
      <c r="E240" s="2672">
        <f>дома!E666</f>
        <v>0</v>
      </c>
      <c r="F240" s="2672">
        <f>дома!F666</f>
        <v>0</v>
      </c>
      <c r="G240" s="2672">
        <f>E240*F240*(IF('Ввод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0" s="2672">
        <f>дома!G666*(IF('Ввод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1" spans="1:8">
      <c r="A241" s="2670" t="str">
        <f>дома!A667</f>
        <v>Стойка каркаса по фронтону, левая сторона, двускатная кровля №16</v>
      </c>
      <c r="B241" s="2671" t="str">
        <f>дома!B667</f>
        <v>м.п.</v>
      </c>
      <c r="C241" s="2672">
        <f>дома!C667</f>
        <v>0.15</v>
      </c>
      <c r="D241" s="2672">
        <f>дома!D667</f>
        <v>0.05</v>
      </c>
      <c r="E241" s="2672">
        <f>дома!E667</f>
        <v>0</v>
      </c>
      <c r="F241" s="2672">
        <f>дома!F667</f>
        <v>0</v>
      </c>
      <c r="G241" s="2672">
        <f>E241*F241*(IF('Ввод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1" s="2672">
        <f>дома!G667*(IF('Ввод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2" spans="1:8">
      <c r="A242" s="2670" t="str">
        <f>дома!A668</f>
        <v>Стойка каркаса по фронтону, левая сторона, двускатная кровля №17</v>
      </c>
      <c r="B242" s="2671" t="str">
        <f>дома!B668</f>
        <v>м.п.</v>
      </c>
      <c r="C242" s="2672">
        <f>дома!C668</f>
        <v>0.15</v>
      </c>
      <c r="D242" s="2672">
        <f>дома!D668</f>
        <v>0.05</v>
      </c>
      <c r="E242" s="2672">
        <f>дома!E668</f>
        <v>0</v>
      </c>
      <c r="F242" s="2672">
        <f>дома!F668</f>
        <v>0</v>
      </c>
      <c r="G242" s="2672">
        <f>E242*F242*(IF('Ввод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2" s="2672">
        <f>дома!G668*(IF('Ввод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3" spans="1:8">
      <c r="A243" s="2670" t="str">
        <f>дома!A669</f>
        <v>Стойка каркаса по фронтону, левая сторона, двускатная кровля №18</v>
      </c>
      <c r="B243" s="2671" t="str">
        <f>дома!B669</f>
        <v>м.п.</v>
      </c>
      <c r="C243" s="2672">
        <f>дома!C669</f>
        <v>0.15</v>
      </c>
      <c r="D243" s="2672">
        <f>дома!D669</f>
        <v>0.05</v>
      </c>
      <c r="E243" s="2672">
        <f>дома!E669</f>
        <v>0</v>
      </c>
      <c r="F243" s="2672">
        <f>дома!F669</f>
        <v>0</v>
      </c>
      <c r="G243" s="2672">
        <f>E243*F243*(IF('Ввод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3" s="2672">
        <f>дома!G669*(IF('Ввод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4" spans="1:8">
      <c r="A244" s="2670" t="str">
        <f>дома!A670</f>
        <v>Стойка каркаса по фронтону, левая сторона, двускатная кровля №19</v>
      </c>
      <c r="B244" s="2671" t="str">
        <f>дома!B670</f>
        <v>м.п.</v>
      </c>
      <c r="C244" s="2672">
        <f>дома!C670</f>
        <v>0.15</v>
      </c>
      <c r="D244" s="2672">
        <f>дома!D670</f>
        <v>0.05</v>
      </c>
      <c r="E244" s="2672">
        <f>дома!E670</f>
        <v>0</v>
      </c>
      <c r="F244" s="2672">
        <f>дома!F670</f>
        <v>0</v>
      </c>
      <c r="G244" s="2672">
        <f>E244*F244*(IF('Ввод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4" s="2672">
        <f>дома!G670*(IF('Ввод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5" spans="1:8">
      <c r="A245" s="2670" t="str">
        <f>дома!A671</f>
        <v>Стойка каркаса по фронтону, левая сторона, двускатная кровля №20</v>
      </c>
      <c r="B245" s="2671" t="str">
        <f>дома!B671</f>
        <v>м.п.</v>
      </c>
      <c r="C245" s="2672">
        <f>дома!C671</f>
        <v>0.15</v>
      </c>
      <c r="D245" s="2672">
        <f>дома!D671</f>
        <v>0.05</v>
      </c>
      <c r="E245" s="2672">
        <f>дома!E671</f>
        <v>0</v>
      </c>
      <c r="F245" s="2672">
        <f>дома!F671</f>
        <v>0</v>
      </c>
      <c r="G245" s="2672">
        <f>E245*F245*(IF('Ввод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5" s="2672">
        <f>дома!G671*(IF('Ввод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6" spans="1:8">
      <c r="A246" s="2670" t="str">
        <f>дома!A672</f>
        <v>Стойка каркаса по фронтону, левая сторона, двускатная кровля №21</v>
      </c>
      <c r="B246" s="2671" t="str">
        <f>дома!B672</f>
        <v>м.п.</v>
      </c>
      <c r="C246" s="2672">
        <f>дома!C672</f>
        <v>0.15</v>
      </c>
      <c r="D246" s="2672">
        <f>дома!D672</f>
        <v>0.05</v>
      </c>
      <c r="E246" s="2672">
        <f>дома!E672</f>
        <v>0</v>
      </c>
      <c r="F246" s="2672">
        <f>дома!F672</f>
        <v>0</v>
      </c>
      <c r="G246" s="2672">
        <f>E246*F246*(IF('Ввод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6" s="2672">
        <f>дома!G672*(IF('Ввод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7" spans="1:8">
      <c r="A247" s="2670" t="str">
        <f>дома!A673</f>
        <v>Стойка каркаса по фронтону, левая сторона, двускатная кровля №22</v>
      </c>
      <c r="B247" s="2671" t="str">
        <f>дома!B673</f>
        <v>м.п.</v>
      </c>
      <c r="C247" s="2672">
        <f>дома!C673</f>
        <v>0.15</v>
      </c>
      <c r="D247" s="2672">
        <f>дома!D673</f>
        <v>0.05</v>
      </c>
      <c r="E247" s="2672">
        <f>дома!E673</f>
        <v>0</v>
      </c>
      <c r="F247" s="2672">
        <f>дома!F673</f>
        <v>0</v>
      </c>
      <c r="G247" s="2672">
        <f>E247*F247*(IF('Ввод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7" s="2672">
        <f>дома!G673*(IF('Ввод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8" spans="1:8">
      <c r="A248" s="2670" t="str">
        <f>дома!A674</f>
        <v>Стойка каркаса по фронтону, левая сторона, двускатная кровля №23</v>
      </c>
      <c r="B248" s="2671" t="str">
        <f>дома!B674</f>
        <v>м.п.</v>
      </c>
      <c r="C248" s="2672">
        <f>дома!C674</f>
        <v>0.15</v>
      </c>
      <c r="D248" s="2672">
        <f>дома!D674</f>
        <v>0.05</v>
      </c>
      <c r="E248" s="2672">
        <f>дома!E674</f>
        <v>0</v>
      </c>
      <c r="F248" s="2672">
        <f>дома!F674</f>
        <v>0</v>
      </c>
      <c r="G248" s="2672">
        <f>E248*F248*(IF('Ввод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8" s="2672">
        <f>дома!G674*(IF('Ввод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9" spans="1:8">
      <c r="A249" s="2670" t="str">
        <f>дома!A675</f>
        <v>Стойка каркаса по фронтону, левая сторона, двускатная кровля №24</v>
      </c>
      <c r="B249" s="2671" t="str">
        <f>дома!B675</f>
        <v>м.п.</v>
      </c>
      <c r="C249" s="2672">
        <f>дома!C675</f>
        <v>0.15</v>
      </c>
      <c r="D249" s="2672">
        <f>дома!D675</f>
        <v>0.05</v>
      </c>
      <c r="E249" s="2672">
        <f>дома!E675</f>
        <v>0</v>
      </c>
      <c r="F249" s="2672">
        <f>дома!F675</f>
        <v>0</v>
      </c>
      <c r="G249" s="2672">
        <f>E249*F249*(IF('Ввод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9" s="2672">
        <f>дома!G675*(IF('Ввод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0" spans="1:8">
      <c r="A250" s="2670" t="str">
        <f>дома!A676</f>
        <v>Стойка каркаса по фронтону, левая сторона, двускатная кровля №25</v>
      </c>
      <c r="B250" s="2671" t="str">
        <f>дома!B676</f>
        <v>м.п.</v>
      </c>
      <c r="C250" s="2672">
        <f>дома!C676</f>
        <v>0.15</v>
      </c>
      <c r="D250" s="2672">
        <f>дома!D676</f>
        <v>0.05</v>
      </c>
      <c r="E250" s="2672">
        <f>дома!E676</f>
        <v>0</v>
      </c>
      <c r="F250" s="2672">
        <f>дома!F676</f>
        <v>0</v>
      </c>
      <c r="G250" s="2672">
        <f>E250*F250*(IF('Ввод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0" s="2672">
        <f>дома!G676*(IF('Ввод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1" spans="1:8">
      <c r="A251" s="2670" t="str">
        <f>дома!A677</f>
        <v>Стойка каркаса по фронтону, левая сторона, двускатная кровля №26</v>
      </c>
      <c r="B251" s="2671" t="str">
        <f>дома!B677</f>
        <v>м.п.</v>
      </c>
      <c r="C251" s="2672">
        <f>дома!C677</f>
        <v>0.15</v>
      </c>
      <c r="D251" s="2672">
        <f>дома!D677</f>
        <v>0.05</v>
      </c>
      <c r="E251" s="2672">
        <f>дома!E677</f>
        <v>0</v>
      </c>
      <c r="F251" s="2672">
        <f>дома!F677</f>
        <v>0</v>
      </c>
      <c r="G251" s="2672">
        <f>E251*F251*(IF('Ввод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1" s="2672">
        <f>дома!G677*(IF('Ввод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2" spans="1:8">
      <c r="A252" s="2670" t="str">
        <f>дома!A678</f>
        <v>Стойка каркаса по фронтону, левая сторона, двускатная кровля №27</v>
      </c>
      <c r="B252" s="2671" t="str">
        <f>дома!B678</f>
        <v>м.п.</v>
      </c>
      <c r="C252" s="2672">
        <f>дома!C678</f>
        <v>0.15</v>
      </c>
      <c r="D252" s="2672">
        <f>дома!D678</f>
        <v>0.05</v>
      </c>
      <c r="E252" s="2672">
        <f>дома!E678</f>
        <v>0</v>
      </c>
      <c r="F252" s="2672">
        <f>дома!F678</f>
        <v>0</v>
      </c>
      <c r="G252" s="2672">
        <f>E252*F252*(IF('Ввод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2" s="2672">
        <f>дома!G678*(IF('Ввод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3" spans="1:8">
      <c r="A253" s="2670" t="str">
        <f>дома!A679</f>
        <v>Стойка каркаса по фронтону, левая сторона, двускатная кровля №28</v>
      </c>
      <c r="B253" s="2671" t="str">
        <f>дома!B679</f>
        <v>м.п.</v>
      </c>
      <c r="C253" s="2672">
        <f>дома!C679</f>
        <v>0.15</v>
      </c>
      <c r="D253" s="2672">
        <f>дома!D679</f>
        <v>0.05</v>
      </c>
      <c r="E253" s="2672">
        <f>дома!E679</f>
        <v>0</v>
      </c>
      <c r="F253" s="2672">
        <f>дома!F679</f>
        <v>0</v>
      </c>
      <c r="G253" s="2672">
        <f>E253*F253*(IF('Ввод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3" s="2672">
        <f>дома!G679*(IF('Ввод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4" spans="1:8">
      <c r="A254" s="2670" t="str">
        <f>дома!A680</f>
        <v>Стойка каркаса по фронтону, левая сторона, двускатная кровля №29</v>
      </c>
      <c r="B254" s="2671" t="str">
        <f>дома!B680</f>
        <v>м.п.</v>
      </c>
      <c r="C254" s="2672">
        <f>дома!C680</f>
        <v>0.15</v>
      </c>
      <c r="D254" s="2672">
        <f>дома!D680</f>
        <v>0.05</v>
      </c>
      <c r="E254" s="2672">
        <f>дома!E680</f>
        <v>0</v>
      </c>
      <c r="F254" s="2672">
        <f>дома!F680</f>
        <v>0</v>
      </c>
      <c r="G254" s="2672">
        <f>E254*F254*(IF('Ввод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4" s="2672">
        <f>дома!G680*(IF('Ввод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5" spans="1:8">
      <c r="A255" s="2670" t="str">
        <f>дома!A681</f>
        <v>Стойка каркаса по фронтону, левая сторона, двускатная кровля №30</v>
      </c>
      <c r="B255" s="2671" t="str">
        <f>дома!B681</f>
        <v>м.п.</v>
      </c>
      <c r="C255" s="2672">
        <f>дома!C681</f>
        <v>0.15</v>
      </c>
      <c r="D255" s="2672">
        <f>дома!D681</f>
        <v>0.05</v>
      </c>
      <c r="E255" s="2672">
        <f>дома!E681</f>
        <v>0</v>
      </c>
      <c r="F255" s="2672">
        <f>дома!F681</f>
        <v>0</v>
      </c>
      <c r="G255" s="2672">
        <f>E255*F255*(IF('Ввод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5" s="2672">
        <f>дома!G681*(IF('Ввод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6" spans="1:8">
      <c r="A256" s="2670" t="str">
        <f>дома!A682</f>
        <v>Стойка каркаса по фронтону, левая сторона, двускатная кровля №31</v>
      </c>
      <c r="B256" s="2671" t="str">
        <f>дома!B682</f>
        <v>м.п.</v>
      </c>
      <c r="C256" s="2672">
        <f>дома!C682</f>
        <v>0.15</v>
      </c>
      <c r="D256" s="2672">
        <f>дома!D682</f>
        <v>0.05</v>
      </c>
      <c r="E256" s="2672">
        <f>дома!E682</f>
        <v>0</v>
      </c>
      <c r="F256" s="2672">
        <f>дома!F682</f>
        <v>0</v>
      </c>
      <c r="G256" s="2672">
        <f>E256*F256*(IF('Ввод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6" s="2672">
        <f>дома!G682*(IF('Ввод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7" spans="1:8">
      <c r="A257" s="2670" t="str">
        <f>дома!A683</f>
        <v>Обвязка каркаса фронтона верхняя,двускатная кровля</v>
      </c>
      <c r="B257" s="2671" t="str">
        <f>дома!B683</f>
        <v>м.п.</v>
      </c>
      <c r="C257" s="2672">
        <f>дома!C683</f>
        <v>0.15</v>
      </c>
      <c r="D257" s="2672">
        <f>дома!D683</f>
        <v>0.05</v>
      </c>
      <c r="E257" s="2672">
        <f>дома!E683</f>
        <v>5.25</v>
      </c>
      <c r="F257" s="2672">
        <f>дома!F683</f>
        <v>0</v>
      </c>
      <c r="G257" s="2672">
        <f>E257*F257*(IF('Ввод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7" s="2672">
        <f>дома!G683*(IF('Ввод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8" spans="1:8">
      <c r="A258" s="2670" t="str">
        <f>дома!A684</f>
        <v>Обвязка каркаса фронтона нижняя,двускатная кровля</v>
      </c>
      <c r="B258" s="2671" t="str">
        <f>дома!B684</f>
        <v>м.п.</v>
      </c>
      <c r="C258" s="2672">
        <f>дома!C684</f>
        <v>0.15</v>
      </c>
      <c r="D258" s="2672">
        <f>дома!D684</f>
        <v>0.05</v>
      </c>
      <c r="E258" s="2672">
        <f>дома!E684</f>
        <v>5</v>
      </c>
      <c r="F258" s="2672">
        <f>дома!F684</f>
        <v>0</v>
      </c>
      <c r="G258" s="2672">
        <f>E258*F258*(IF('Ввод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8" s="2672">
        <f>дома!G684*(IF('Ввод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9" spans="1:8">
      <c r="A259" s="2670" t="str">
        <f>дома!A685</f>
        <v>Ригель каркаса фронтона,двускатная кровля</v>
      </c>
      <c r="B259" s="2671" t="str">
        <f>дома!B685</f>
        <v>м.п.</v>
      </c>
      <c r="C259" s="2672">
        <f>дома!C685</f>
        <v>0.15</v>
      </c>
      <c r="D259" s="2672">
        <f>дома!D685</f>
        <v>0.05</v>
      </c>
      <c r="E259" s="2672">
        <f>дома!E685</f>
        <v>5.25</v>
      </c>
      <c r="F259" s="2672">
        <f>дома!F685</f>
        <v>0</v>
      </c>
      <c r="G259" s="2672">
        <f>E259*F259*(IF('Ввод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9" s="2672">
        <f>дома!G685*(IF('Ввод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0" spans="1:8">
      <c r="A260" s="2670" t="str">
        <f>дома!A686</f>
        <v>Стойка каркаса по фронтону, левая сторона, двускатная кровля №32</v>
      </c>
      <c r="B260" s="2671" t="str">
        <f>дома!B686</f>
        <v>м.п.</v>
      </c>
      <c r="C260" s="2672">
        <f>дома!C686</f>
        <v>0.15</v>
      </c>
      <c r="D260" s="2672">
        <f>дома!D686</f>
        <v>0.05</v>
      </c>
      <c r="E260" s="2672">
        <f>дома!E686</f>
        <v>0</v>
      </c>
      <c r="F260" s="2672">
        <f>дома!F686</f>
        <v>0</v>
      </c>
      <c r="G260" s="2672">
        <f>E260*F260*(IF('Ввод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0" s="2672">
        <f>дома!G686*(IF('Ввод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1" spans="1:8">
      <c r="A261" s="2670" t="str">
        <f>дома!A687</f>
        <v>Стойка каркаса по фронтону, левая сторона, двускатная кровля №33</v>
      </c>
      <c r="B261" s="2671" t="str">
        <f>дома!B687</f>
        <v>м.п.</v>
      </c>
      <c r="C261" s="2672">
        <f>дома!C687</f>
        <v>0.15</v>
      </c>
      <c r="D261" s="2672">
        <f>дома!D687</f>
        <v>0.05</v>
      </c>
      <c r="E261" s="2672">
        <f>дома!E687</f>
        <v>0</v>
      </c>
      <c r="F261" s="2672">
        <f>дома!F687</f>
        <v>0</v>
      </c>
      <c r="G261" s="2672">
        <f>E261*F261*(IF('Ввод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1" s="2672">
        <f>дома!G687*(IF('Ввод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2" spans="1:8">
      <c r="A262" s="2670" t="str">
        <f>дома!A688</f>
        <v>Стойка каркаса по фронтону, левая сторона, двускатная кровля №34</v>
      </c>
      <c r="B262" s="2671" t="str">
        <f>дома!B688</f>
        <v>м.п.</v>
      </c>
      <c r="C262" s="2672">
        <f>дома!C688</f>
        <v>0.15</v>
      </c>
      <c r="D262" s="2672">
        <f>дома!D688</f>
        <v>0.05</v>
      </c>
      <c r="E262" s="2672">
        <f>дома!E688</f>
        <v>0</v>
      </c>
      <c r="F262" s="2672">
        <f>дома!F688</f>
        <v>0</v>
      </c>
      <c r="G262" s="2672">
        <f>E262*F262*(IF('Ввод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2" s="2672">
        <f>дома!G688*(IF('Ввод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3" spans="1:8">
      <c r="A263" s="2670" t="str">
        <f>дома!A689</f>
        <v>Стойка каркаса по фронтону, левая сторона, двускатная кровля №35</v>
      </c>
      <c r="B263" s="2671" t="str">
        <f>дома!B689</f>
        <v>м.п.</v>
      </c>
      <c r="C263" s="2672">
        <f>дома!C689</f>
        <v>0.15</v>
      </c>
      <c r="D263" s="2672">
        <f>дома!D689</f>
        <v>0.05</v>
      </c>
      <c r="E263" s="2672">
        <f>дома!E689</f>
        <v>0</v>
      </c>
      <c r="F263" s="2672">
        <f>дома!F689</f>
        <v>0</v>
      </c>
      <c r="G263" s="2672">
        <f>E263*F263*(IF('Ввод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3" s="2672">
        <f>дома!G689*(IF('Ввод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4" spans="1:8">
      <c r="A264" s="2670" t="str">
        <f>дома!A690</f>
        <v>Стойка каркаса по фронтону, левая сторона, двускатная кровля №36</v>
      </c>
      <c r="B264" s="2671" t="str">
        <f>дома!B690</f>
        <v>м.п.</v>
      </c>
      <c r="C264" s="2672">
        <f>дома!C690</f>
        <v>0.15</v>
      </c>
      <c r="D264" s="2672">
        <f>дома!D690</f>
        <v>0.05</v>
      </c>
      <c r="E264" s="2672">
        <f>дома!E690</f>
        <v>0</v>
      </c>
      <c r="F264" s="2672">
        <f>дома!F690</f>
        <v>0</v>
      </c>
      <c r="G264" s="2672">
        <f>E264*F264*(IF('Ввод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4" s="2672">
        <f>дома!G690*(IF('Ввод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5" spans="1:8">
      <c r="A265" s="2670" t="str">
        <f>дома!A691</f>
        <v>Стойка каркаса по фронтону, левая сторона, двускатная кровля №37</v>
      </c>
      <c r="B265" s="2671" t="str">
        <f>дома!B691</f>
        <v>м.п.</v>
      </c>
      <c r="C265" s="2672">
        <f>дома!C691</f>
        <v>0.15</v>
      </c>
      <c r="D265" s="2672">
        <f>дома!D691</f>
        <v>0.05</v>
      </c>
      <c r="E265" s="2672">
        <f>дома!E691</f>
        <v>0</v>
      </c>
      <c r="F265" s="2672">
        <f>дома!F691</f>
        <v>0</v>
      </c>
      <c r="G265" s="2672">
        <f>E265*F265*(IF('Ввод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5" s="2672">
        <f>дома!G691*(IF('Ввод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6" spans="1:8">
      <c r="A266" s="2670" t="str">
        <f>дома!A692</f>
        <v>Стойка каркаса по фронтону, левая сторона, двускатная кровля №38</v>
      </c>
      <c r="B266" s="2671" t="str">
        <f>дома!B692</f>
        <v>м.п.</v>
      </c>
      <c r="C266" s="2672">
        <f>дома!C692</f>
        <v>0.15</v>
      </c>
      <c r="D266" s="2672">
        <f>дома!D692</f>
        <v>0.05</v>
      </c>
      <c r="E266" s="2672">
        <f>дома!E692</f>
        <v>0</v>
      </c>
      <c r="F266" s="2672">
        <f>дома!F692</f>
        <v>0</v>
      </c>
      <c r="G266" s="2672">
        <f>E266*F266*(IF('Ввод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6" s="2672">
        <f>дома!G692*(IF('Ввод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7" spans="1:8">
      <c r="A267" s="2670" t="str">
        <f>дома!A693</f>
        <v>Стойка каркаса по фронтону, левая сторона, двускатная кровля №39</v>
      </c>
      <c r="B267" s="2671" t="str">
        <f>дома!B693</f>
        <v>м.п.</v>
      </c>
      <c r="C267" s="2672">
        <f>дома!C693</f>
        <v>0.15</v>
      </c>
      <c r="D267" s="2672">
        <f>дома!D693</f>
        <v>0.05</v>
      </c>
      <c r="E267" s="2672">
        <f>дома!E693</f>
        <v>0</v>
      </c>
      <c r="F267" s="2672">
        <f>дома!F693</f>
        <v>0</v>
      </c>
      <c r="G267" s="2672">
        <f>E267*F267*(IF('Ввод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7" s="2672">
        <f>дома!G693*(IF('Ввод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8" spans="1:8">
      <c r="A268" s="2670" t="str">
        <f>дома!A694</f>
        <v>Стойка каркаса по фронтону, левая сторона, двускатная кровля №40</v>
      </c>
      <c r="B268" s="2671" t="str">
        <f>дома!B694</f>
        <v>м.п.</v>
      </c>
      <c r="C268" s="2672">
        <f>дома!C694</f>
        <v>0.15</v>
      </c>
      <c r="D268" s="2672">
        <f>дома!D694</f>
        <v>0.05</v>
      </c>
      <c r="E268" s="2672">
        <f>дома!E694</f>
        <v>0</v>
      </c>
      <c r="F268" s="2672">
        <f>дома!F694</f>
        <v>0</v>
      </c>
      <c r="G268" s="2672">
        <f>E268*F268*(IF('Ввод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8" s="2672">
        <f>дома!G694*(IF('Ввод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9" spans="1:8">
      <c r="A269" s="2670" t="str">
        <f>дома!A695</f>
        <v>Стойка каркаса по фронтону, левая сторона, двускатная кровля №41</v>
      </c>
      <c r="B269" s="2671" t="str">
        <f>дома!B695</f>
        <v>м.п.</v>
      </c>
      <c r="C269" s="2672">
        <f>дома!C695</f>
        <v>0.15</v>
      </c>
      <c r="D269" s="2672">
        <f>дома!D695</f>
        <v>0.05</v>
      </c>
      <c r="E269" s="2672">
        <f>дома!E695</f>
        <v>0</v>
      </c>
      <c r="F269" s="2672">
        <f>дома!F695</f>
        <v>0</v>
      </c>
      <c r="G269" s="2672">
        <f>E269*F269*(IF('Ввод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9" s="2672">
        <f>дома!G695*(IF('Ввод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0" spans="1:8">
      <c r="A270" s="2670" t="str">
        <f>дома!A696</f>
        <v>Стойка каркаса по фронтону, левая сторона, двускатная кровля №42</v>
      </c>
      <c r="B270" s="2671" t="str">
        <f>дома!B696</f>
        <v>м.п.</v>
      </c>
      <c r="C270" s="2672">
        <f>дома!C696</f>
        <v>0.15</v>
      </c>
      <c r="D270" s="2672">
        <f>дома!D696</f>
        <v>0.05</v>
      </c>
      <c r="E270" s="2672">
        <f>дома!E696</f>
        <v>0</v>
      </c>
      <c r="F270" s="2672">
        <f>дома!F696</f>
        <v>0</v>
      </c>
      <c r="G270" s="2672">
        <f>E270*F270*(IF('Ввод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0" s="2672">
        <f>дома!G696*(IF('Ввод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1" spans="1:8">
      <c r="A271" s="2670" t="str">
        <f>дома!A697</f>
        <v>Стойка каркаса по фронтону, левая сторона, двускатная кровля №43</v>
      </c>
      <c r="B271" s="2671" t="str">
        <f>дома!B697</f>
        <v>м.п.</v>
      </c>
      <c r="C271" s="2672">
        <f>дома!C697</f>
        <v>0.15</v>
      </c>
      <c r="D271" s="2672">
        <f>дома!D697</f>
        <v>0.05</v>
      </c>
      <c r="E271" s="2672">
        <f>дома!E697</f>
        <v>0</v>
      </c>
      <c r="F271" s="2672">
        <f>дома!F697</f>
        <v>0</v>
      </c>
      <c r="G271" s="2672">
        <f>E271*F271*(IF('Ввод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1" s="2672">
        <f>дома!G697*(IF('Ввод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2" spans="1:8">
      <c r="A272" s="2670" t="str">
        <f>дома!A698</f>
        <v>Стойка каркаса по фронтону, левая сторона, двускатная кровля №44</v>
      </c>
      <c r="B272" s="2671" t="str">
        <f>дома!B698</f>
        <v>м.п.</v>
      </c>
      <c r="C272" s="2672">
        <f>дома!C698</f>
        <v>0.15</v>
      </c>
      <c r="D272" s="2672">
        <f>дома!D698</f>
        <v>0.05</v>
      </c>
      <c r="E272" s="2672">
        <f>дома!E698</f>
        <v>0</v>
      </c>
      <c r="F272" s="2672">
        <f>дома!F698</f>
        <v>0</v>
      </c>
      <c r="G272" s="2672">
        <f>E272*F272*(IF('Ввод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2" s="2672">
        <f>дома!G698*(IF('Ввод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3" spans="1:8">
      <c r="A273" s="2670" t="str">
        <f>дома!A699</f>
        <v>Стойка каркаса по фронтону, левая сторона, двускатная кровля №45</v>
      </c>
      <c r="B273" s="2671" t="str">
        <f>дома!B699</f>
        <v>м.п.</v>
      </c>
      <c r="C273" s="2672">
        <f>дома!C699</f>
        <v>0.15</v>
      </c>
      <c r="D273" s="2672">
        <f>дома!D699</f>
        <v>0.05</v>
      </c>
      <c r="E273" s="2672">
        <f>дома!E699</f>
        <v>0</v>
      </c>
      <c r="F273" s="2672">
        <f>дома!F699</f>
        <v>0</v>
      </c>
      <c r="G273" s="2672">
        <f>E273*F273*(IF('Ввод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3" s="2672">
        <f>дома!G699*(IF('Ввод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4" spans="1:8">
      <c r="A274" s="2670" t="str">
        <f>дома!A700</f>
        <v>Стойка каркаса по фронтону, левая сторона, двускатная кровля №46</v>
      </c>
      <c r="B274" s="2671" t="str">
        <f>дома!B700</f>
        <v>м.п.</v>
      </c>
      <c r="C274" s="2672">
        <f>дома!C700</f>
        <v>0.15</v>
      </c>
      <c r="D274" s="2672">
        <f>дома!D700</f>
        <v>0.05</v>
      </c>
      <c r="E274" s="2672">
        <f>дома!E700</f>
        <v>0</v>
      </c>
      <c r="F274" s="2672">
        <f>дома!F700</f>
        <v>0</v>
      </c>
      <c r="G274" s="2672">
        <f>E274*F274*(IF('Ввод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4" s="2672">
        <f>дома!G700*(IF('Ввод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5" spans="1:8">
      <c r="A275" s="2670" t="str">
        <f>дома!A701</f>
        <v>Стойка каркаса по фронтону, левая сторона, двускатная кровля №47</v>
      </c>
      <c r="B275" s="2671" t="str">
        <f>дома!B701</f>
        <v>м.п.</v>
      </c>
      <c r="C275" s="2672">
        <f>дома!C701</f>
        <v>0.15</v>
      </c>
      <c r="D275" s="2672">
        <f>дома!D701</f>
        <v>0.05</v>
      </c>
      <c r="E275" s="2672">
        <f>дома!E701</f>
        <v>0</v>
      </c>
      <c r="F275" s="2672">
        <f>дома!F701</f>
        <v>0</v>
      </c>
      <c r="G275" s="2672">
        <f>E275*F275*(IF('Ввод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5" s="2672">
        <f>дома!G701*(IF('Ввод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6" spans="1:8">
      <c r="A276" s="2670" t="str">
        <f>дома!A702</f>
        <v>Стойка каркаса по фронтону, левая сторона, двускатная кровля №48</v>
      </c>
      <c r="B276" s="2671" t="str">
        <f>дома!B702</f>
        <v>м.п.</v>
      </c>
      <c r="C276" s="2672">
        <f>дома!C702</f>
        <v>0.15</v>
      </c>
      <c r="D276" s="2672">
        <f>дома!D702</f>
        <v>0.05</v>
      </c>
      <c r="E276" s="2672">
        <f>дома!E702</f>
        <v>0</v>
      </c>
      <c r="F276" s="2672">
        <f>дома!F702</f>
        <v>0</v>
      </c>
      <c r="G276" s="2672">
        <f>E276*F276*(IF('Ввод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6" s="2672">
        <f>дома!G702*(IF('Ввод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7" spans="1:8">
      <c r="A277" s="2670" t="str">
        <f>дома!A703</f>
        <v>Стойка каркаса по фронтону, левая сторона, двускатная кровля №49</v>
      </c>
      <c r="B277" s="2671" t="str">
        <f>дома!B703</f>
        <v>м.п.</v>
      </c>
      <c r="C277" s="2672">
        <f>дома!C703</f>
        <v>0.15</v>
      </c>
      <c r="D277" s="2672">
        <f>дома!D703</f>
        <v>0.05</v>
      </c>
      <c r="E277" s="2672">
        <f>дома!E703</f>
        <v>0</v>
      </c>
      <c r="F277" s="2672">
        <f>дома!F703</f>
        <v>0</v>
      </c>
      <c r="G277" s="2672">
        <f>E277*F277*(IF('Ввод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7" s="2672">
        <f>дома!G703*(IF('Ввод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8" spans="1:8">
      <c r="A278" s="2670" t="str">
        <f>дома!A704</f>
        <v>Стойка каркаса по фронтону, левая сторона, двускатная кровля №50</v>
      </c>
      <c r="B278" s="2671" t="str">
        <f>дома!B704</f>
        <v>м.п.</v>
      </c>
      <c r="C278" s="2672">
        <f>дома!C704</f>
        <v>0.15</v>
      </c>
      <c r="D278" s="2672">
        <f>дома!D704</f>
        <v>0.05</v>
      </c>
      <c r="E278" s="2672">
        <f>дома!E704</f>
        <v>0</v>
      </c>
      <c r="F278" s="2672">
        <f>дома!F704</f>
        <v>0</v>
      </c>
      <c r="G278" s="2672">
        <f>E278*F278*(IF('Ввод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8" s="2672">
        <f>дома!G704*(IF('Ввод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9" spans="1:8">
      <c r="A279" s="2670" t="str">
        <f>дома!A705</f>
        <v>Стойка каркаса по фронтону, левая сторона, двускатная кровля №51</v>
      </c>
      <c r="B279" s="2671" t="str">
        <f>дома!B705</f>
        <v>м.п.</v>
      </c>
      <c r="C279" s="2672">
        <f>дома!C705</f>
        <v>0.15</v>
      </c>
      <c r="D279" s="2672">
        <f>дома!D705</f>
        <v>0.05</v>
      </c>
      <c r="E279" s="2672">
        <f>дома!E705</f>
        <v>0</v>
      </c>
      <c r="F279" s="2672">
        <f>дома!F705</f>
        <v>0</v>
      </c>
      <c r="G279" s="2672">
        <f>E279*F279*(IF('Ввод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9" s="2672">
        <f>дома!G705*(IF('Ввод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0" spans="1:8">
      <c r="A280" s="2670" t="str">
        <f>дома!A706</f>
        <v>Стойка каркаса по фронтону, левая сторона, двускатная кровля №52</v>
      </c>
      <c r="B280" s="2671" t="str">
        <f>дома!B706</f>
        <v>м.п.</v>
      </c>
      <c r="C280" s="2672">
        <f>дома!C706</f>
        <v>0.15</v>
      </c>
      <c r="D280" s="2672">
        <f>дома!D706</f>
        <v>0.05</v>
      </c>
      <c r="E280" s="2672">
        <f>дома!E706</f>
        <v>0</v>
      </c>
      <c r="F280" s="2672">
        <f>дома!F706</f>
        <v>0</v>
      </c>
      <c r="G280" s="2672">
        <f>E280*F280*(IF('Ввод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0" s="2672">
        <f>дома!G706*(IF('Ввод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1" spans="1:8">
      <c r="A281" s="2670" t="str">
        <f>дома!A707</f>
        <v>Стойка каркаса по фронтону, левая сторона, двускатная кровля №53</v>
      </c>
      <c r="B281" s="2671" t="str">
        <f>дома!B707</f>
        <v>м.п.</v>
      </c>
      <c r="C281" s="2672">
        <f>дома!C707</f>
        <v>0.15</v>
      </c>
      <c r="D281" s="2672">
        <f>дома!D707</f>
        <v>0.05</v>
      </c>
      <c r="E281" s="2672">
        <f>дома!E707</f>
        <v>0</v>
      </c>
      <c r="F281" s="2672">
        <f>дома!F707</f>
        <v>0</v>
      </c>
      <c r="G281" s="2672">
        <f>E281*F281*(IF('Ввод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1" s="2672">
        <f>дома!G707*(IF('Ввод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2" spans="1:8">
      <c r="A282" s="2670" t="str">
        <f>дома!A708</f>
        <v>Стойка каркаса по фронтону, левая сторона, двускатная кровля №54</v>
      </c>
      <c r="B282" s="2671" t="str">
        <f>дома!B708</f>
        <v>м.п.</v>
      </c>
      <c r="C282" s="2672">
        <f>дома!C708</f>
        <v>0.15</v>
      </c>
      <c r="D282" s="2672">
        <f>дома!D708</f>
        <v>0.05</v>
      </c>
      <c r="E282" s="2672">
        <f>дома!E708</f>
        <v>0</v>
      </c>
      <c r="F282" s="2672">
        <f>дома!F708</f>
        <v>0</v>
      </c>
      <c r="G282" s="2672">
        <f>E282*F282*(IF('Ввод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2" s="2672">
        <f>дома!G708*(IF('Ввод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3" spans="1:8">
      <c r="A283" s="2670" t="str">
        <f>дома!A709</f>
        <v>Стойка каркаса по фронтону, левая сторона, двускатная кровля №55</v>
      </c>
      <c r="B283" s="2671" t="str">
        <f>дома!B709</f>
        <v>м.п.</v>
      </c>
      <c r="C283" s="2672">
        <f>дома!C709</f>
        <v>0.15</v>
      </c>
      <c r="D283" s="2672">
        <f>дома!D709</f>
        <v>0.05</v>
      </c>
      <c r="E283" s="2672">
        <f>дома!E709</f>
        <v>0</v>
      </c>
      <c r="F283" s="2672">
        <f>дома!F709</f>
        <v>0</v>
      </c>
      <c r="G283" s="2672">
        <f>E283*F283*(IF('Ввод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3" s="2672">
        <f>дома!G709*(IF('Ввод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4" spans="1:8">
      <c r="A284" s="2670" t="str">
        <f>дома!A710</f>
        <v>Стойка каркаса по фронтону, левая сторона, двускатная кровля №56</v>
      </c>
      <c r="B284" s="2671" t="str">
        <f>дома!B710</f>
        <v>м.п.</v>
      </c>
      <c r="C284" s="2672">
        <f>дома!C710</f>
        <v>0.15</v>
      </c>
      <c r="D284" s="2672">
        <f>дома!D710</f>
        <v>0.05</v>
      </c>
      <c r="E284" s="2672">
        <f>дома!E710</f>
        <v>0</v>
      </c>
      <c r="F284" s="2672">
        <f>дома!F710</f>
        <v>0</v>
      </c>
      <c r="G284" s="2672">
        <f>E284*F284*(IF('Ввод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4" s="2672">
        <f>дома!G710*(IF('Ввод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5" spans="1:8">
      <c r="A285" s="2670" t="str">
        <f>дома!A711</f>
        <v>Стойка каркаса по фронтону, левая сторона, двускатная кровля №57</v>
      </c>
      <c r="B285" s="2671" t="str">
        <f>дома!B711</f>
        <v>м.п.</v>
      </c>
      <c r="C285" s="2672">
        <f>дома!C711</f>
        <v>0.15</v>
      </c>
      <c r="D285" s="2672">
        <f>дома!D711</f>
        <v>0.05</v>
      </c>
      <c r="E285" s="2672">
        <f>дома!E711</f>
        <v>0</v>
      </c>
      <c r="F285" s="2672">
        <f>дома!F711</f>
        <v>0</v>
      </c>
      <c r="G285" s="2672">
        <f>E285*F285*(IF('Ввод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5" s="2672">
        <f>дома!G711*(IF('Ввод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6" spans="1:8">
      <c r="A286" s="2670" t="str">
        <f>дома!A712</f>
        <v>Стойка каркаса по фронтону, левая сторона, двускатная кровля №58</v>
      </c>
      <c r="B286" s="2671" t="str">
        <f>дома!B712</f>
        <v>м.п.</v>
      </c>
      <c r="C286" s="2672">
        <f>дома!C712</f>
        <v>0.15</v>
      </c>
      <c r="D286" s="2672">
        <f>дома!D712</f>
        <v>0.05</v>
      </c>
      <c r="E286" s="2672">
        <f>дома!E712</f>
        <v>0</v>
      </c>
      <c r="F286" s="2672">
        <f>дома!F712</f>
        <v>0</v>
      </c>
      <c r="G286" s="2672">
        <f>E286*F286*(IF('Ввод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6" s="2672">
        <f>дома!G712*(IF('Ввод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7" spans="1:8">
      <c r="A287" s="2670" t="str">
        <f>дома!A713</f>
        <v>Стойка каркаса по фронтону, левая сторона, двускатная кровля №59</v>
      </c>
      <c r="B287" s="2671" t="str">
        <f>дома!B713</f>
        <v>м.п.</v>
      </c>
      <c r="C287" s="2672">
        <f>дома!C713</f>
        <v>0.15</v>
      </c>
      <c r="D287" s="2672">
        <f>дома!D713</f>
        <v>0.05</v>
      </c>
      <c r="E287" s="2672">
        <f>дома!E713</f>
        <v>0</v>
      </c>
      <c r="F287" s="2672">
        <f>дома!F713</f>
        <v>0</v>
      </c>
      <c r="G287" s="2672">
        <f>E287*F287*(IF('Ввод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7" s="2672">
        <f>дома!G713*(IF('Ввод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8" spans="1:8">
      <c r="A288" s="2670" t="str">
        <f>дома!A714</f>
        <v>Стойка каркаса по фронтону, левая сторона, двускатная кровля №60</v>
      </c>
      <c r="B288" s="2671" t="str">
        <f>дома!B714</f>
        <v>м.п.</v>
      </c>
      <c r="C288" s="2672">
        <f>дома!C714</f>
        <v>0.15</v>
      </c>
      <c r="D288" s="2672">
        <f>дома!D714</f>
        <v>0.05</v>
      </c>
      <c r="E288" s="2672">
        <f>дома!E714</f>
        <v>0</v>
      </c>
      <c r="F288" s="2672">
        <f>дома!F714</f>
        <v>0</v>
      </c>
      <c r="G288" s="2672">
        <f>E288*F288*(IF('Ввод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8" s="2672">
        <f>дома!G714*(IF('Ввод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9" spans="1:8">
      <c r="A289" s="2670" t="str">
        <f>дома!A715</f>
        <v>Стойка каркаса по фронтону, левая сторона, двускатная кровля №61</v>
      </c>
      <c r="B289" s="2671" t="str">
        <f>дома!B715</f>
        <v>м.п.</v>
      </c>
      <c r="C289" s="2672">
        <f>дома!C715</f>
        <v>0.15</v>
      </c>
      <c r="D289" s="2672">
        <f>дома!D715</f>
        <v>0.05</v>
      </c>
      <c r="E289" s="2672">
        <f>дома!E715</f>
        <v>0</v>
      </c>
      <c r="F289" s="2672">
        <f>дома!F715</f>
        <v>0</v>
      </c>
      <c r="G289" s="2672">
        <f>E289*F289*(IF('Ввод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9" s="2672">
        <f>дома!G715*(IF('Ввод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0" spans="1:8">
      <c r="A290" s="2670" t="str">
        <f>дома!A716</f>
        <v>Стойка каркаса по фронтону, левая сторона, двускатная кровля №62</v>
      </c>
      <c r="B290" s="2671" t="str">
        <f>дома!B716</f>
        <v>м.п.</v>
      </c>
      <c r="C290" s="2672">
        <f>дома!C716</f>
        <v>0.15</v>
      </c>
      <c r="D290" s="2672">
        <f>дома!D716</f>
        <v>0.05</v>
      </c>
      <c r="E290" s="2672">
        <f>дома!E716</f>
        <v>0</v>
      </c>
      <c r="F290" s="2672">
        <f>дома!F716</f>
        <v>0</v>
      </c>
      <c r="G290" s="2672">
        <f>E290*F290*(IF('Ввод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0" s="2672">
        <f>дома!G716*(IF('Ввод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1" spans="1:8">
      <c r="A291" s="2670" t="str">
        <f>дома!A717</f>
        <v>Стойки каркаса левой боковой стены 2 эт</v>
      </c>
      <c r="B291" s="2671" t="str">
        <f>дома!B717</f>
        <v>м.п.</v>
      </c>
      <c r="C291" s="2672">
        <f>дома!C717</f>
        <v>0.15</v>
      </c>
      <c r="D291" s="2672">
        <f>дома!D717</f>
        <v>0.05</v>
      </c>
      <c r="E291" s="2672">
        <f>дома!E717</f>
        <v>0</v>
      </c>
      <c r="F291" s="2672">
        <f>дома!F717</f>
        <v>1</v>
      </c>
      <c r="G291" s="2672">
        <f>E291*F291*(IF('Ввод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1" s="2672">
        <f>дома!G717*(IF('Ввод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2" spans="1:8">
      <c r="A292" s="2670" t="str">
        <f>дома!A718</f>
        <v>Стойки каркаса правой боковой стены 2 эт</v>
      </c>
      <c r="B292" s="2671" t="str">
        <f>дома!B718</f>
        <v>м.п.</v>
      </c>
      <c r="C292" s="2672">
        <f>дома!C718</f>
        <v>0.15</v>
      </c>
      <c r="D292" s="2672">
        <f>дома!D718</f>
        <v>0.05</v>
      </c>
      <c r="E292" s="2672">
        <f>дома!E718</f>
        <v>0</v>
      </c>
      <c r="F292" s="2672">
        <f>дома!F718</f>
        <v>1</v>
      </c>
      <c r="G292" s="2672">
        <f>E292*F292*(IF('Ввод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2" s="2672">
        <f>дома!G718*(IF('Ввод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3" spans="1:8">
      <c r="A293" s="2670" t="str">
        <f>дома!A719</f>
        <v>Стойка каркаса по фронтону, полувальмовая кровля №1</v>
      </c>
      <c r="B293" s="2671" t="str">
        <f>дома!B719</f>
        <v>м.п.</v>
      </c>
      <c r="C293" s="2672">
        <f>дома!C719</f>
        <v>0.15</v>
      </c>
      <c r="D293" s="2672">
        <f>дома!D719</f>
        <v>0.05</v>
      </c>
      <c r="E293" s="2672">
        <f>дома!E719</f>
        <v>0</v>
      </c>
      <c r="F293" s="2672">
        <f>дома!F719</f>
        <v>0</v>
      </c>
      <c r="G293" s="2672">
        <f>E293*F293*(IF('Ввод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3" s="2672">
        <f>дома!G719*(IF('Ввод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4" spans="1:8">
      <c r="A294" s="2670" t="str">
        <f>дома!A720</f>
        <v>Стойка каркаса по фронтону, полувальмовая кровля №2</v>
      </c>
      <c r="B294" s="2671" t="str">
        <f>дома!B720</f>
        <v>м.п.</v>
      </c>
      <c r="C294" s="2672">
        <f>дома!C720</f>
        <v>0.15</v>
      </c>
      <c r="D294" s="2672">
        <f>дома!D720</f>
        <v>0.05</v>
      </c>
      <c r="E294" s="2672">
        <f>дома!E720</f>
        <v>0</v>
      </c>
      <c r="F294" s="2672">
        <f>дома!F720</f>
        <v>0</v>
      </c>
      <c r="G294" s="2672">
        <f>E294*F294*(IF('Ввод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4" s="2672">
        <f>дома!G720*(IF('Ввод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5" spans="1:8">
      <c r="A295" s="2670" t="str">
        <f>дома!A721</f>
        <v>Обвязка каркаса нижняя</v>
      </c>
      <c r="B295" s="2671" t="str">
        <f>дома!B721</f>
        <v>м.п.</v>
      </c>
      <c r="C295" s="2672">
        <f>дома!C721</f>
        <v>0.15</v>
      </c>
      <c r="D295" s="2672">
        <f>дома!D721</f>
        <v>0.05</v>
      </c>
      <c r="E295" s="2672">
        <f>дома!E721</f>
        <v>0</v>
      </c>
      <c r="F295" s="2672">
        <f>дома!F721</f>
        <v>0</v>
      </c>
      <c r="G295" s="2672">
        <f>E295*F295*(IF('Ввод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5" s="2672">
        <f>дома!G721*(IF('Ввод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6" spans="1:8">
      <c r="A296" s="2670" t="str">
        <f>дома!A722</f>
        <v>Обвязка каркаса верхняя</v>
      </c>
      <c r="B296" s="2671" t="str">
        <f>дома!B722</f>
        <v>м.п.</v>
      </c>
      <c r="C296" s="2672">
        <f>дома!C722</f>
        <v>0.15</v>
      </c>
      <c r="D296" s="2672">
        <f>дома!D722</f>
        <v>0.05</v>
      </c>
      <c r="E296" s="2672">
        <f>дома!E722</f>
        <v>0</v>
      </c>
      <c r="F296" s="2672">
        <f>дома!F722</f>
        <v>0</v>
      </c>
      <c r="G296" s="2672">
        <f>E296*F296*(IF('Ввод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6" s="2672">
        <f>дома!G722*(IF('Ввод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7" spans="1:8">
      <c r="A297" s="2670" t="str">
        <f>дома!A723</f>
        <v>Ригель каркаса фронтона</v>
      </c>
      <c r="B297" s="2671" t="str">
        <f>дома!B723</f>
        <v>м.п.</v>
      </c>
      <c r="C297" s="2672">
        <f>дома!C723</f>
        <v>0.15</v>
      </c>
      <c r="D297" s="2672">
        <f>дома!D723</f>
        <v>0.05</v>
      </c>
      <c r="E297" s="2672">
        <f>дома!E723</f>
        <v>0</v>
      </c>
      <c r="F297" s="2672">
        <f>дома!F723</f>
        <v>0</v>
      </c>
      <c r="G297" s="2672">
        <f>E297*F297*(IF('Ввод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7" s="2672">
        <f>дома!G723*(IF('Ввод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8" spans="1:8">
      <c r="A298" s="2670" t="str">
        <f>дома!A724</f>
        <v>Обвязка каркаса нижняя, односкатная кровля</v>
      </c>
      <c r="B298" s="2671" t="str">
        <f>дома!B724</f>
        <v>м.п.</v>
      </c>
      <c r="C298" s="2672">
        <f>дома!C724</f>
        <v>0.15</v>
      </c>
      <c r="D298" s="2672">
        <f>дома!D724</f>
        <v>0.05</v>
      </c>
      <c r="E298" s="2672">
        <f>дома!E724</f>
        <v>0</v>
      </c>
      <c r="F298" s="2672">
        <f>дома!F724</f>
        <v>0</v>
      </c>
      <c r="G298" s="2672">
        <f>E298*F298*(IF('Ввод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8" s="2672">
        <f>дома!G724*(IF('Ввод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9" spans="1:8">
      <c r="A299" s="2670" t="str">
        <f>дома!A725</f>
        <v>Обвязка каркаса верхняя, односкатная кровля</v>
      </c>
      <c r="B299" s="2671" t="str">
        <f>дома!B725</f>
        <v>м.п.</v>
      </c>
      <c r="C299" s="2672">
        <f>дома!C725</f>
        <v>0.15</v>
      </c>
      <c r="D299" s="2672">
        <f>дома!D725</f>
        <v>0.05</v>
      </c>
      <c r="E299" s="2672">
        <f>дома!E725</f>
        <v>22.360679774997898</v>
      </c>
      <c r="F299" s="2672">
        <f>дома!F725</f>
        <v>0</v>
      </c>
      <c r="G299" s="2672">
        <f>E299*F299*(IF('Ввод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9" s="2672">
        <f>дома!G725*(IF('Ввод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0" spans="1:8">
      <c r="A300" s="2670" t="str">
        <f>дома!A726</f>
        <v>Ригель каркаса фронтона, односкатная кровля</v>
      </c>
      <c r="B300" s="2671" t="str">
        <f>дома!B726</f>
        <v>м.п.</v>
      </c>
      <c r="C300" s="2672">
        <f>дома!C726</f>
        <v>0.15</v>
      </c>
      <c r="D300" s="2672">
        <f>дома!D726</f>
        <v>0.05</v>
      </c>
      <c r="E300" s="2672">
        <f>дома!E726</f>
        <v>22.360679774997898</v>
      </c>
      <c r="F300" s="2672">
        <f>дома!F726</f>
        <v>0</v>
      </c>
      <c r="G300" s="2672">
        <f>E300*F300*(IF('Ввод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0" s="2672">
        <f>дома!G726*(IF('Ввод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1" spans="1:8">
      <c r="A301" s="2670" t="str">
        <f>дома!A727</f>
        <v>Стойки каркаса передней стены 2 эт</v>
      </c>
      <c r="B301" s="2671" t="str">
        <f>дома!B727</f>
        <v>м.п.</v>
      </c>
      <c r="C301" s="2672">
        <f>дома!C727</f>
        <v>0.15</v>
      </c>
      <c r="D301" s="2672">
        <f>дома!D727</f>
        <v>0.05</v>
      </c>
      <c r="E301" s="2672">
        <f>дома!E727</f>
        <v>0</v>
      </c>
      <c r="F301" s="2672">
        <f>дома!F727</f>
        <v>0</v>
      </c>
      <c r="G301" s="2672">
        <f>E301*F301*(IF('Ввод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1" s="2672">
        <f>дома!G727*(IF('Ввод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2" spans="1:8">
      <c r="A302" s="2670" t="str">
        <f>дома!A728</f>
        <v>Стойки каркаса задней стены 2 эт</v>
      </c>
      <c r="B302" s="2671" t="str">
        <f>дома!B728</f>
        <v>м.п.</v>
      </c>
      <c r="C302" s="2672">
        <f>дома!C728</f>
        <v>0.15</v>
      </c>
      <c r="D302" s="2672">
        <f>дома!D728</f>
        <v>0.05</v>
      </c>
      <c r="E302" s="2672">
        <f>дома!E728</f>
        <v>0</v>
      </c>
      <c r="F302" s="2672">
        <f>дома!F728</f>
        <v>0</v>
      </c>
      <c r="G302" s="2672">
        <f>E302*F302*(IF('Ввод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2" s="2672">
        <f>дома!G728*(IF('Ввод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3" spans="1:8">
      <c r="A303" s="2670" t="str">
        <f>дома!A729</f>
        <v>Стойки каркаса, левая/правая сторона 2 эт</v>
      </c>
      <c r="B303" s="2671" t="str">
        <f>дома!B729</f>
        <v>м.п.</v>
      </c>
      <c r="C303" s="2672">
        <f>дома!C729</f>
        <v>0.15</v>
      </c>
      <c r="D303" s="2672">
        <f>дома!D729</f>
        <v>0.05</v>
      </c>
      <c r="E303" s="2672">
        <f>дома!E729</f>
        <v>0</v>
      </c>
      <c r="F303" s="2672">
        <f>дома!F729</f>
        <v>0</v>
      </c>
      <c r="G303" s="2672">
        <f>E303*F303*(IF('Ввод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3" s="2672">
        <f>дома!G729*(IF('Ввод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4" spans="1:8">
      <c r="A304" s="2670" t="str">
        <f>дома!A730</f>
        <v>Стойка каркаса по фронтону, односкатная кровля №0</v>
      </c>
      <c r="B304" s="2671" t="str">
        <f>дома!B730</f>
        <v>м.п.</v>
      </c>
      <c r="C304" s="2672">
        <f>дома!C730</f>
        <v>0.15</v>
      </c>
      <c r="D304" s="2672">
        <f>дома!D730</f>
        <v>0.05</v>
      </c>
      <c r="E304" s="2672">
        <f>дома!E730</f>
        <v>0</v>
      </c>
      <c r="F304" s="2672">
        <f>дома!F730</f>
        <v>0</v>
      </c>
      <c r="G304" s="2672">
        <f>E304*F304*(IF('Ввод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4" s="2672">
        <f>дома!G730*(IF('Ввод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5" spans="1:8">
      <c r="A305" s="2670" t="str">
        <f>дома!A731</f>
        <v>Стойка каркаса по фронтону, односкатная кровля №1</v>
      </c>
      <c r="B305" s="2671" t="str">
        <f>дома!B731</f>
        <v>м.п.</v>
      </c>
      <c r="C305" s="2672">
        <f>дома!C731</f>
        <v>0.15</v>
      </c>
      <c r="D305" s="2672">
        <f>дома!D731</f>
        <v>0.05</v>
      </c>
      <c r="E305" s="2672">
        <f>дома!E731</f>
        <v>0</v>
      </c>
      <c r="F305" s="2672">
        <f>дома!F731</f>
        <v>0</v>
      </c>
      <c r="G305" s="2672">
        <f>E305*F305*(IF('Ввод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5" s="2672">
        <f>дома!G731*(IF('Ввод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6" spans="1:8">
      <c r="A306" s="2670" t="str">
        <f>дома!A732</f>
        <v>Стойка каркаса по фронтону, односкатная кровля №2</v>
      </c>
      <c r="B306" s="2671" t="str">
        <f>дома!B732</f>
        <v>м.п.</v>
      </c>
      <c r="C306" s="2672">
        <f>дома!C732</f>
        <v>0.15</v>
      </c>
      <c r="D306" s="2672">
        <f>дома!D732</f>
        <v>0.05</v>
      </c>
      <c r="E306" s="2672">
        <f>дома!E732</f>
        <v>0</v>
      </c>
      <c r="F306" s="2672">
        <f>дома!F732</f>
        <v>0</v>
      </c>
      <c r="G306" s="2672">
        <f>E306*F306*(IF('Ввод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6" s="2672">
        <f>дома!G732*(IF('Ввод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7" spans="1:8">
      <c r="A307" s="2670" t="str">
        <f>дома!A733</f>
        <v>Стойка каркаса по фронтону, односкатная кровля №3</v>
      </c>
      <c r="B307" s="2671" t="str">
        <f>дома!B733</f>
        <v>м.п.</v>
      </c>
      <c r="C307" s="2672">
        <f>дома!C733</f>
        <v>0.15</v>
      </c>
      <c r="D307" s="2672">
        <f>дома!D733</f>
        <v>0.05</v>
      </c>
      <c r="E307" s="2672">
        <f>дома!E733</f>
        <v>0</v>
      </c>
      <c r="F307" s="2672">
        <f>дома!F733</f>
        <v>0</v>
      </c>
      <c r="G307" s="2672">
        <f>E307*F307*(IF('Ввод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7" s="2672">
        <f>дома!G733*(IF('Ввод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8" spans="1:8">
      <c r="A308" s="2670" t="str">
        <f>дома!A734</f>
        <v>Стойка каркаса по фронтону, односкатная кровля №4</v>
      </c>
      <c r="B308" s="2671" t="str">
        <f>дома!B734</f>
        <v>м.п.</v>
      </c>
      <c r="C308" s="2672">
        <f>дома!C734</f>
        <v>0.15</v>
      </c>
      <c r="D308" s="2672">
        <f>дома!D734</f>
        <v>0.05</v>
      </c>
      <c r="E308" s="2672">
        <f>дома!E734</f>
        <v>0</v>
      </c>
      <c r="F308" s="2672">
        <f>дома!F734</f>
        <v>0</v>
      </c>
      <c r="G308" s="2672">
        <f>E308*F308*(IF('Ввод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8" s="2672">
        <f>дома!G734*(IF('Ввод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9" spans="1:8">
      <c r="A309" s="2670" t="str">
        <f>дома!A735</f>
        <v>Стойка каркаса по фронтону, односкатная кровля №5</v>
      </c>
      <c r="B309" s="2671" t="str">
        <f>дома!B735</f>
        <v>м.п.</v>
      </c>
      <c r="C309" s="2672">
        <f>дома!C735</f>
        <v>0.15</v>
      </c>
      <c r="D309" s="2672">
        <f>дома!D735</f>
        <v>0.05</v>
      </c>
      <c r="E309" s="2672">
        <f>дома!E735</f>
        <v>0</v>
      </c>
      <c r="F309" s="2672">
        <f>дома!F735</f>
        <v>0</v>
      </c>
      <c r="G309" s="2672">
        <f>E309*F309*(IF('Ввод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9" s="2672">
        <f>дома!G735*(IF('Ввод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0" spans="1:8">
      <c r="A310" s="2670" t="str">
        <f>дома!A736</f>
        <v>Стойка каркаса по фронтону, односкатная кровля №6</v>
      </c>
      <c r="B310" s="2671" t="str">
        <f>дома!B736</f>
        <v>м.п.</v>
      </c>
      <c r="C310" s="2672">
        <f>дома!C736</f>
        <v>0.15</v>
      </c>
      <c r="D310" s="2672">
        <f>дома!D736</f>
        <v>0.05</v>
      </c>
      <c r="E310" s="2672">
        <f>дома!E736</f>
        <v>0</v>
      </c>
      <c r="F310" s="2672">
        <f>дома!F736</f>
        <v>0</v>
      </c>
      <c r="G310" s="2672">
        <f>E310*F310*(IF('Ввод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0" s="2672">
        <f>дома!G736*(IF('Ввод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1" spans="1:8">
      <c r="A311" s="2670" t="str">
        <f>дома!A737</f>
        <v>Стойка каркаса по фронтону, односкатная кровля №7</v>
      </c>
      <c r="B311" s="2671" t="str">
        <f>дома!B737</f>
        <v>м.п.</v>
      </c>
      <c r="C311" s="2672">
        <f>дома!C737</f>
        <v>0.15</v>
      </c>
      <c r="D311" s="2672">
        <f>дома!D737</f>
        <v>0.05</v>
      </c>
      <c r="E311" s="2672">
        <f>дома!E737</f>
        <v>0</v>
      </c>
      <c r="F311" s="2672">
        <f>дома!F737</f>
        <v>0</v>
      </c>
      <c r="G311" s="2672">
        <f>E311*F311*(IF('Ввод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1" s="2672">
        <f>дома!G737*(IF('Ввод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2" spans="1:8">
      <c r="A312" s="2670" t="str">
        <f>дома!A738</f>
        <v>Стойка каркаса по фронтону, односкатная кровля №8</v>
      </c>
      <c r="B312" s="2671" t="str">
        <f>дома!B738</f>
        <v>м.п.</v>
      </c>
      <c r="C312" s="2672">
        <f>дома!C738</f>
        <v>0.15</v>
      </c>
      <c r="D312" s="2672">
        <f>дома!D738</f>
        <v>0.05</v>
      </c>
      <c r="E312" s="2672">
        <f>дома!E738</f>
        <v>0</v>
      </c>
      <c r="F312" s="2672">
        <f>дома!F738</f>
        <v>0</v>
      </c>
      <c r="G312" s="2672">
        <f>E312*F312*(IF('Ввод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2" s="2672">
        <f>дома!G738*(IF('Ввод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3" spans="1:8">
      <c r="A313" s="2670" t="str">
        <f>дома!A739</f>
        <v>Стойка каркаса по фронтону, односкатная кровля №9</v>
      </c>
      <c r="B313" s="2671" t="str">
        <f>дома!B739</f>
        <v>м.п.</v>
      </c>
      <c r="C313" s="2672">
        <f>дома!C739</f>
        <v>0.15</v>
      </c>
      <c r="D313" s="2672">
        <f>дома!D739</f>
        <v>0.05</v>
      </c>
      <c r="E313" s="2672">
        <f>дома!E739</f>
        <v>0</v>
      </c>
      <c r="F313" s="2672">
        <f>дома!F739</f>
        <v>0</v>
      </c>
      <c r="G313" s="2672">
        <f>E313*F313*(IF('Ввод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3" s="2672">
        <f>дома!G739*(IF('Ввод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4" spans="1:8">
      <c r="A314" s="2670" t="str">
        <f>дома!A740</f>
        <v>Стойка каркаса по фронтону, односкатная кровля №10</v>
      </c>
      <c r="B314" s="2671" t="str">
        <f>дома!B740</f>
        <v>м.п.</v>
      </c>
      <c r="C314" s="2672">
        <f>дома!C740</f>
        <v>0.15</v>
      </c>
      <c r="D314" s="2672">
        <f>дома!D740</f>
        <v>0.05</v>
      </c>
      <c r="E314" s="2672">
        <f>дома!E740</f>
        <v>0</v>
      </c>
      <c r="F314" s="2672">
        <f>дома!F740</f>
        <v>0</v>
      </c>
      <c r="G314" s="2672">
        <f>E314*F314*(IF('Ввод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4" s="2672">
        <f>дома!G740*(IF('Ввод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5" spans="1:8">
      <c r="A315" s="2670" t="str">
        <f>дома!A741</f>
        <v>Стойка каркаса по фронтону, односкатная кровля №11</v>
      </c>
      <c r="B315" s="2671" t="str">
        <f>дома!B741</f>
        <v>м.п.</v>
      </c>
      <c r="C315" s="2672">
        <f>дома!C741</f>
        <v>0.15</v>
      </c>
      <c r="D315" s="2672">
        <f>дома!D741</f>
        <v>0.05</v>
      </c>
      <c r="E315" s="2672">
        <f>дома!E741</f>
        <v>0</v>
      </c>
      <c r="F315" s="2672">
        <f>дома!F741</f>
        <v>0</v>
      </c>
      <c r="G315" s="2672">
        <f>E315*F315*(IF('Ввод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5" s="2672">
        <f>дома!G741*(IF('Ввод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6" spans="1:8">
      <c r="A316" s="2670" t="str">
        <f>дома!A742</f>
        <v>Стойка каркаса по фронтону, односкатная кровля №12</v>
      </c>
      <c r="B316" s="2671" t="str">
        <f>дома!B742</f>
        <v>м.п.</v>
      </c>
      <c r="C316" s="2672">
        <f>дома!C742</f>
        <v>0.15</v>
      </c>
      <c r="D316" s="2672">
        <f>дома!D742</f>
        <v>0.05</v>
      </c>
      <c r="E316" s="2672">
        <f>дома!E742</f>
        <v>0</v>
      </c>
      <c r="F316" s="2672">
        <f>дома!F742</f>
        <v>0</v>
      </c>
      <c r="G316" s="2672">
        <f>E316*F316*(IF('Ввод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6" s="2672">
        <f>дома!G742*(IF('Ввод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7" spans="1:8">
      <c r="A317" s="2670" t="str">
        <f>дома!A743</f>
        <v>Стойка каркаса по фронтону, односкатная кровля №13</v>
      </c>
      <c r="B317" s="2671" t="str">
        <f>дома!B743</f>
        <v>м.п.</v>
      </c>
      <c r="C317" s="2672">
        <f>дома!C743</f>
        <v>0.15</v>
      </c>
      <c r="D317" s="2672">
        <f>дома!D743</f>
        <v>0.05</v>
      </c>
      <c r="E317" s="2672">
        <f>дома!E743</f>
        <v>0</v>
      </c>
      <c r="F317" s="2672">
        <f>дома!F743</f>
        <v>0</v>
      </c>
      <c r="G317" s="2672">
        <f>E317*F317*(IF('Ввод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7" s="2672">
        <f>дома!G743*(IF('Ввод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8" spans="1:8">
      <c r="A318" s="2670" t="str">
        <f>дома!A744</f>
        <v>Стойка каркаса по фронтону, односкатная кровля №14</v>
      </c>
      <c r="B318" s="2671" t="str">
        <f>дома!B744</f>
        <v>м.п.</v>
      </c>
      <c r="C318" s="2672">
        <f>дома!C744</f>
        <v>0.15</v>
      </c>
      <c r="D318" s="2672">
        <f>дома!D744</f>
        <v>0.05</v>
      </c>
      <c r="E318" s="2672">
        <f>дома!E744</f>
        <v>0</v>
      </c>
      <c r="F318" s="2672">
        <f>дома!F744</f>
        <v>0</v>
      </c>
      <c r="G318" s="2672">
        <f>E318*F318*(IF('Ввод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8" s="2672">
        <f>дома!G744*(IF('Ввод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9" spans="1:8">
      <c r="A319" s="2670" t="str">
        <f>дома!A745</f>
        <v>Стойка каркаса по фронтону, односкатная кровля №15</v>
      </c>
      <c r="B319" s="2671" t="str">
        <f>дома!B745</f>
        <v>м.п.</v>
      </c>
      <c r="C319" s="2672">
        <f>дома!C745</f>
        <v>0.15</v>
      </c>
      <c r="D319" s="2672">
        <f>дома!D745</f>
        <v>0.05</v>
      </c>
      <c r="E319" s="2672">
        <f>дома!E745</f>
        <v>0</v>
      </c>
      <c r="F319" s="2672">
        <f>дома!F745</f>
        <v>0</v>
      </c>
      <c r="G319" s="2672">
        <f>E319*F319*(IF('Ввод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9" s="2672">
        <f>дома!G745*(IF('Ввод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0" spans="1:8">
      <c r="A320" s="2670" t="str">
        <f>дома!A746</f>
        <v>Стойка каркаса по фронтону, односкатная кровля №16</v>
      </c>
      <c r="B320" s="2671" t="str">
        <f>дома!B746</f>
        <v>м.п.</v>
      </c>
      <c r="C320" s="2672">
        <f>дома!C746</f>
        <v>0.15</v>
      </c>
      <c r="D320" s="2672">
        <f>дома!D746</f>
        <v>0.05</v>
      </c>
      <c r="E320" s="2672">
        <f>дома!E746</f>
        <v>0</v>
      </c>
      <c r="F320" s="2672">
        <f>дома!F746</f>
        <v>0</v>
      </c>
      <c r="G320" s="2672">
        <f>E320*F320*(IF('Ввод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0" s="2672">
        <f>дома!G746*(IF('Ввод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1" spans="1:8">
      <c r="A321" s="2670" t="str">
        <f>дома!A747</f>
        <v>Стойка каркаса по фронтону, односкатная кровля №17</v>
      </c>
      <c r="B321" s="2671" t="str">
        <f>дома!B747</f>
        <v>м.п.</v>
      </c>
      <c r="C321" s="2672">
        <f>дома!C747</f>
        <v>0.15</v>
      </c>
      <c r="D321" s="2672">
        <f>дома!D747</f>
        <v>0.05</v>
      </c>
      <c r="E321" s="2672">
        <f>дома!E747</f>
        <v>0</v>
      </c>
      <c r="F321" s="2672">
        <f>дома!F747</f>
        <v>0</v>
      </c>
      <c r="G321" s="2672">
        <f>E321*F321*(IF('Ввод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1" s="2672">
        <f>дома!G747*(IF('Ввод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2" spans="1:8">
      <c r="A322" s="2670" t="str">
        <f>дома!A748</f>
        <v>Стойка каркаса по фронтону, односкатная кровля №18</v>
      </c>
      <c r="B322" s="2671" t="str">
        <f>дома!B748</f>
        <v>м.п.</v>
      </c>
      <c r="C322" s="2672">
        <f>дома!C748</f>
        <v>0.15</v>
      </c>
      <c r="D322" s="2672">
        <f>дома!D748</f>
        <v>0.05</v>
      </c>
      <c r="E322" s="2672">
        <f>дома!E748</f>
        <v>0</v>
      </c>
      <c r="F322" s="2672">
        <f>дома!F748</f>
        <v>0</v>
      </c>
      <c r="G322" s="2672">
        <f>E322*F322*(IF('Ввод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2" s="2672">
        <f>дома!G748*(IF('Ввод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3" spans="1:8">
      <c r="A323" s="2670" t="str">
        <f>дома!A749</f>
        <v>Стойка каркаса по фронтону, односкатная кровля №19</v>
      </c>
      <c r="B323" s="2671" t="str">
        <f>дома!B749</f>
        <v>м.п.</v>
      </c>
      <c r="C323" s="2672">
        <f>дома!C749</f>
        <v>0.15</v>
      </c>
      <c r="D323" s="2672">
        <f>дома!D749</f>
        <v>0.05</v>
      </c>
      <c r="E323" s="2672">
        <f>дома!E749</f>
        <v>0</v>
      </c>
      <c r="F323" s="2672">
        <f>дома!F749</f>
        <v>0</v>
      </c>
      <c r="G323" s="2672">
        <f>E323*F323*(IF('Ввод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3" s="2672">
        <f>дома!G749*(IF('Ввод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4" spans="1:8">
      <c r="A324" s="2670" t="str">
        <f>дома!A750</f>
        <v>Стойка каркаса по фронтону, односкатная кровля №20</v>
      </c>
      <c r="B324" s="2671" t="str">
        <f>дома!B750</f>
        <v>м.п.</v>
      </c>
      <c r="C324" s="2672">
        <f>дома!C750</f>
        <v>0.15</v>
      </c>
      <c r="D324" s="2672">
        <f>дома!D750</f>
        <v>0.05</v>
      </c>
      <c r="E324" s="2672">
        <f>дома!E750</f>
        <v>0</v>
      </c>
      <c r="F324" s="2672">
        <f>дома!F750</f>
        <v>0</v>
      </c>
      <c r="G324" s="2672">
        <f>E324*F324*(IF('Ввод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4" s="2672">
        <f>дома!G750*(IF('Ввод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5" spans="1:8">
      <c r="A325" s="2670" t="str">
        <f>дома!A751</f>
        <v>Стойка каркаса по фронтону, односкатная кровля №21</v>
      </c>
      <c r="B325" s="2671" t="str">
        <f>дома!B751</f>
        <v>м.п.</v>
      </c>
      <c r="C325" s="2672">
        <f>дома!C751</f>
        <v>0.15</v>
      </c>
      <c r="D325" s="2672">
        <f>дома!D751</f>
        <v>0.05</v>
      </c>
      <c r="E325" s="2672">
        <f>дома!E751</f>
        <v>0</v>
      </c>
      <c r="F325" s="2672">
        <f>дома!F751</f>
        <v>0</v>
      </c>
      <c r="G325" s="2672">
        <f>E325*F325*(IF('Ввод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5" s="2672">
        <f>дома!G751*(IF('Ввод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6" spans="1:8">
      <c r="A326" s="2670" t="str">
        <f>дома!A752</f>
        <v>Стойка каркаса по фронтону, односкатная кровля №22</v>
      </c>
      <c r="B326" s="2671" t="str">
        <f>дома!B752</f>
        <v>м.п.</v>
      </c>
      <c r="C326" s="2672">
        <f>дома!C752</f>
        <v>0.15</v>
      </c>
      <c r="D326" s="2672">
        <f>дома!D752</f>
        <v>0.05</v>
      </c>
      <c r="E326" s="2672">
        <f>дома!E752</f>
        <v>0</v>
      </c>
      <c r="F326" s="2672">
        <f>дома!F752</f>
        <v>0</v>
      </c>
      <c r="G326" s="2672">
        <f>E326*F326*(IF('Ввод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6" s="2672">
        <f>дома!G752*(IF('Ввод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7" spans="1:8">
      <c r="A327" s="2670" t="str">
        <f>дома!A753</f>
        <v>Стойка каркаса по фронтону, односкатная кровля №23</v>
      </c>
      <c r="B327" s="2671" t="str">
        <f>дома!B753</f>
        <v>м.п.</v>
      </c>
      <c r="C327" s="2672">
        <f>дома!C753</f>
        <v>0.15</v>
      </c>
      <c r="D327" s="2672">
        <f>дома!D753</f>
        <v>0.05</v>
      </c>
      <c r="E327" s="2672">
        <f>дома!E753</f>
        <v>0</v>
      </c>
      <c r="F327" s="2672">
        <f>дома!F753</f>
        <v>0</v>
      </c>
      <c r="G327" s="2672">
        <f>E327*F327*(IF('Ввод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7" s="2672">
        <f>дома!G753*(IF('Ввод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8" spans="1:8">
      <c r="A328" s="2670" t="str">
        <f>дома!A754</f>
        <v>Стойка каркаса по фронтону, односкатная кровля №24</v>
      </c>
      <c r="B328" s="2671" t="str">
        <f>дома!B754</f>
        <v>м.п.</v>
      </c>
      <c r="C328" s="2672">
        <f>дома!C754</f>
        <v>0.15</v>
      </c>
      <c r="D328" s="2672">
        <f>дома!D754</f>
        <v>0.05</v>
      </c>
      <c r="E328" s="2672">
        <f>дома!E754</f>
        <v>0</v>
      </c>
      <c r="F328" s="2672">
        <f>дома!F754</f>
        <v>0</v>
      </c>
      <c r="G328" s="2672">
        <f>E328*F328*(IF('Ввод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8" s="2672">
        <f>дома!G754*(IF('Ввод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9" spans="1:8">
      <c r="A329" s="2670" t="str">
        <f>дома!A755</f>
        <v>Стойка каркаса по фронтону, односкатная кровля №25</v>
      </c>
      <c r="B329" s="2671" t="str">
        <f>дома!B755</f>
        <v>м.п.</v>
      </c>
      <c r="C329" s="2672">
        <f>дома!C755</f>
        <v>0.15</v>
      </c>
      <c r="D329" s="2672">
        <f>дома!D755</f>
        <v>0.05</v>
      </c>
      <c r="E329" s="2672">
        <f>дома!E755</f>
        <v>0</v>
      </c>
      <c r="F329" s="2672">
        <f>дома!F755</f>
        <v>0</v>
      </c>
      <c r="G329" s="2672">
        <f>E329*F329*(IF('Ввод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9" s="2672">
        <f>дома!G755*(IF('Ввод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0" spans="1:8">
      <c r="A330" s="2670" t="str">
        <f>дома!A756</f>
        <v>Стойка каркаса по фронтону, односкатная кровля №26</v>
      </c>
      <c r="B330" s="2671" t="str">
        <f>дома!B756</f>
        <v>м.п.</v>
      </c>
      <c r="C330" s="2672">
        <f>дома!C756</f>
        <v>0.15</v>
      </c>
      <c r="D330" s="2672">
        <f>дома!D756</f>
        <v>0.05</v>
      </c>
      <c r="E330" s="2672">
        <f>дома!E756</f>
        <v>0</v>
      </c>
      <c r="F330" s="2672">
        <f>дома!F756</f>
        <v>0</v>
      </c>
      <c r="G330" s="2672">
        <f>E330*F330*(IF('Ввод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0" s="2672">
        <f>дома!G756*(IF('Ввод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1" spans="1:8">
      <c r="A331" s="2670" t="str">
        <f>дома!A757</f>
        <v>Стойка каркаса по фронтону, односкатная кровля №27</v>
      </c>
      <c r="B331" s="2671" t="str">
        <f>дома!B757</f>
        <v>м.п.</v>
      </c>
      <c r="C331" s="2672">
        <f>дома!C757</f>
        <v>0.15</v>
      </c>
      <c r="D331" s="2672">
        <f>дома!D757</f>
        <v>0.05</v>
      </c>
      <c r="E331" s="2672">
        <f>дома!E757</f>
        <v>0</v>
      </c>
      <c r="F331" s="2672">
        <f>дома!F757</f>
        <v>0</v>
      </c>
      <c r="G331" s="2672">
        <f>E331*F331*(IF('Ввод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1" s="2672">
        <f>дома!G757*(IF('Ввод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2" spans="1:8">
      <c r="A332" s="2670" t="str">
        <f>дома!A758</f>
        <v>Стойка каркаса по фронтону, односкатная кровля №28</v>
      </c>
      <c r="B332" s="2671" t="str">
        <f>дома!B758</f>
        <v>м.п.</v>
      </c>
      <c r="C332" s="2672">
        <f>дома!C758</f>
        <v>0.15</v>
      </c>
      <c r="D332" s="2672">
        <f>дома!D758</f>
        <v>0.05</v>
      </c>
      <c r="E332" s="2672">
        <f>дома!E758</f>
        <v>0</v>
      </c>
      <c r="F332" s="2672">
        <f>дома!F758</f>
        <v>0</v>
      </c>
      <c r="G332" s="2672">
        <f>E332*F332*(IF('Ввод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2" s="2672">
        <f>дома!G758*(IF('Ввод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3" spans="1:8">
      <c r="A333" s="2670" t="str">
        <f>дома!A759</f>
        <v>Стойка каркаса по фронтону, односкатная кровля №29</v>
      </c>
      <c r="B333" s="2671" t="str">
        <f>дома!B759</f>
        <v>м.п.</v>
      </c>
      <c r="C333" s="2672">
        <f>дома!C759</f>
        <v>0.15</v>
      </c>
      <c r="D333" s="2672">
        <f>дома!D759</f>
        <v>0.05</v>
      </c>
      <c r="E333" s="2672">
        <f>дома!E759</f>
        <v>0</v>
      </c>
      <c r="F333" s="2672">
        <f>дома!F759</f>
        <v>0</v>
      </c>
      <c r="G333" s="2672">
        <f>E333*F333*(IF('Ввод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3" s="2672">
        <f>дома!G759*(IF('Ввод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4" spans="1:8">
      <c r="A334" s="2670" t="str">
        <f>дома!A760</f>
        <v>Стойка каркаса по фронтону, односкатная кровля №30</v>
      </c>
      <c r="B334" s="2671" t="str">
        <f>дома!B760</f>
        <v>м.п.</v>
      </c>
      <c r="C334" s="2672">
        <f>дома!C760</f>
        <v>0.15</v>
      </c>
      <c r="D334" s="2672">
        <f>дома!D760</f>
        <v>0.05</v>
      </c>
      <c r="E334" s="2672">
        <f>дома!E760</f>
        <v>0</v>
      </c>
      <c r="F334" s="2672">
        <f>дома!F760</f>
        <v>0</v>
      </c>
      <c r="G334" s="2672">
        <f>E334*F334*(IF('Ввод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4" s="2672">
        <f>дома!G760*(IF('Ввод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5" spans="1:8">
      <c r="A335" s="2670" t="str">
        <f>дома!A761</f>
        <v>Стойка каркаса по фронтону, односкатная кровля №31</v>
      </c>
      <c r="B335" s="2671" t="str">
        <f>дома!B761</f>
        <v>м.п.</v>
      </c>
      <c r="C335" s="2672">
        <f>дома!C761</f>
        <v>0.15</v>
      </c>
      <c r="D335" s="2672">
        <f>дома!D761</f>
        <v>0.05</v>
      </c>
      <c r="E335" s="2672">
        <f>дома!E761</f>
        <v>0</v>
      </c>
      <c r="F335" s="2672">
        <f>дома!F761</f>
        <v>0</v>
      </c>
      <c r="G335" s="2672">
        <f>E335*F335*(IF('Ввод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5" s="2672">
        <f>дома!G761*(IF('Ввод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6" spans="1:8">
      <c r="A336" s="2670" t="str">
        <f>дома!A762</f>
        <v>Стойка каркаса по фронтону, односкатная кровля №32</v>
      </c>
      <c r="B336" s="2671" t="str">
        <f>дома!B762</f>
        <v>м.п.</v>
      </c>
      <c r="C336" s="2672">
        <f>дома!C762</f>
        <v>0.15</v>
      </c>
      <c r="D336" s="2672">
        <f>дома!D762</f>
        <v>0.05</v>
      </c>
      <c r="E336" s="2672">
        <f>дома!E762</f>
        <v>0</v>
      </c>
      <c r="F336" s="2672">
        <f>дома!F762</f>
        <v>0</v>
      </c>
      <c r="G336" s="2672">
        <f>E336*F336*(IF('Ввод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6" s="2672">
        <f>дома!G762*(IF('Ввод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7" spans="1:8">
      <c r="A337" s="2670" t="str">
        <f>дома!A763</f>
        <v>Стойка каркаса по фронтону, односкатная кровля №33</v>
      </c>
      <c r="B337" s="2671" t="str">
        <f>дома!B763</f>
        <v>м.п.</v>
      </c>
      <c r="C337" s="2672">
        <f>дома!C763</f>
        <v>0.15</v>
      </c>
      <c r="D337" s="2672">
        <f>дома!D763</f>
        <v>0.05</v>
      </c>
      <c r="E337" s="2672">
        <f>дома!E763</f>
        <v>0</v>
      </c>
      <c r="F337" s="2672">
        <f>дома!F763</f>
        <v>0</v>
      </c>
      <c r="G337" s="2672">
        <f>E337*F337*(IF('Ввод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7" s="2672">
        <f>дома!G763*(IF('Ввод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8" spans="1:8">
      <c r="A338" s="2670" t="str">
        <f>дома!A764</f>
        <v>Стойка каркаса по фронтону, односкатная кровля №34</v>
      </c>
      <c r="B338" s="2671" t="str">
        <f>дома!B764</f>
        <v>м.п.</v>
      </c>
      <c r="C338" s="2672">
        <f>дома!C764</f>
        <v>0.15</v>
      </c>
      <c r="D338" s="2672">
        <f>дома!D764</f>
        <v>0.05</v>
      </c>
      <c r="E338" s="2672">
        <f>дома!E764</f>
        <v>0</v>
      </c>
      <c r="F338" s="2672">
        <f>дома!F764</f>
        <v>0</v>
      </c>
      <c r="G338" s="2672">
        <f>E338*F338*(IF('Ввод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8" s="2672">
        <f>дома!G764*(IF('Ввод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9" spans="1:8">
      <c r="A339" s="2670" t="str">
        <f>дома!A765</f>
        <v>Стойка каркаса по фронтону, односкатная кровля №35</v>
      </c>
      <c r="B339" s="2671" t="str">
        <f>дома!B765</f>
        <v>м.п.</v>
      </c>
      <c r="C339" s="2672">
        <f>дома!C765</f>
        <v>0.15</v>
      </c>
      <c r="D339" s="2672">
        <f>дома!D765</f>
        <v>0.05</v>
      </c>
      <c r="E339" s="2672">
        <f>дома!E765</f>
        <v>0</v>
      </c>
      <c r="F339" s="2672">
        <f>дома!F765</f>
        <v>0</v>
      </c>
      <c r="G339" s="2672">
        <f>E339*F339*(IF('Ввод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9" s="2672">
        <f>дома!G765*(IF('Ввод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0" spans="1:8">
      <c r="A340" s="2670" t="str">
        <f>дома!A766</f>
        <v>Стойка каркаса по фронтону, односкатная кровля №36</v>
      </c>
      <c r="B340" s="2671" t="str">
        <f>дома!B766</f>
        <v>м.п.</v>
      </c>
      <c r="C340" s="2672">
        <f>дома!C766</f>
        <v>0.15</v>
      </c>
      <c r="D340" s="2672">
        <f>дома!D766</f>
        <v>0.05</v>
      </c>
      <c r="E340" s="2672">
        <f>дома!E766</f>
        <v>0</v>
      </c>
      <c r="F340" s="2672">
        <f>дома!F766</f>
        <v>0</v>
      </c>
      <c r="G340" s="2672">
        <f>E340*F340*(IF('Ввод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0" s="2672">
        <f>дома!G766*(IF('Ввод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1" spans="1:8">
      <c r="A341" s="2670" t="str">
        <f>дома!A767</f>
        <v>Стойка каркаса по фронтону, односкатная кровля №37</v>
      </c>
      <c r="B341" s="2671" t="str">
        <f>дома!B767</f>
        <v>м.п.</v>
      </c>
      <c r="C341" s="2672">
        <f>дома!C767</f>
        <v>0.15</v>
      </c>
      <c r="D341" s="2672">
        <f>дома!D767</f>
        <v>0.05</v>
      </c>
      <c r="E341" s="2672">
        <f>дома!E767</f>
        <v>0</v>
      </c>
      <c r="F341" s="2672">
        <f>дома!F767</f>
        <v>0</v>
      </c>
      <c r="G341" s="2672">
        <f>E341*F341*(IF('Ввод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1" s="2672">
        <f>дома!G767*(IF('Ввод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2" spans="1:8">
      <c r="A342" s="2670" t="str">
        <f>дома!A768</f>
        <v>Стойка каркаса по фронтону, односкатная кровля №38</v>
      </c>
      <c r="B342" s="2671" t="str">
        <f>дома!B768</f>
        <v>м.п.</v>
      </c>
      <c r="C342" s="2672">
        <f>дома!C768</f>
        <v>0.15</v>
      </c>
      <c r="D342" s="2672">
        <f>дома!D768</f>
        <v>0.05</v>
      </c>
      <c r="E342" s="2672">
        <f>дома!E768</f>
        <v>0</v>
      </c>
      <c r="F342" s="2672">
        <f>дома!F768</f>
        <v>0</v>
      </c>
      <c r="G342" s="2672">
        <f>E342*F342*(IF('Ввод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2" s="2672">
        <f>дома!G768*(IF('Ввод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3" spans="1:8">
      <c r="A343" s="2670" t="str">
        <f>дома!A769</f>
        <v>Стойка каркаса по фронтону, односкатная кровля №39</v>
      </c>
      <c r="B343" s="2671" t="str">
        <f>дома!B769</f>
        <v>м.п.</v>
      </c>
      <c r="C343" s="2672">
        <f>дома!C769</f>
        <v>0.15</v>
      </c>
      <c r="D343" s="2672">
        <f>дома!D769</f>
        <v>0.05</v>
      </c>
      <c r="E343" s="2672">
        <f>дома!E769</f>
        <v>0</v>
      </c>
      <c r="F343" s="2672">
        <f>дома!F769</f>
        <v>0</v>
      </c>
      <c r="G343" s="2672">
        <f>E343*F343*(IF('Ввод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3" s="2672">
        <f>дома!G769*(IF('Ввод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4" spans="1:8">
      <c r="A344" s="2670" t="str">
        <f>дома!A770</f>
        <v>Стойка каркаса по фронтону, односкатная кровля №40</v>
      </c>
      <c r="B344" s="2671" t="str">
        <f>дома!B770</f>
        <v>м.п.</v>
      </c>
      <c r="C344" s="2672">
        <f>дома!C770</f>
        <v>0.15</v>
      </c>
      <c r="D344" s="2672">
        <f>дома!D770</f>
        <v>0.05</v>
      </c>
      <c r="E344" s="2672">
        <f>дома!E770</f>
        <v>0</v>
      </c>
      <c r="F344" s="2672">
        <f>дома!F770</f>
        <v>0</v>
      </c>
      <c r="G344" s="2672">
        <f>E344*F344*(IF('Ввод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4" s="2672">
        <f>дома!G770*(IF('Ввод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5" spans="1:8">
      <c r="A345" s="2670" t="str">
        <f>дома!A771</f>
        <v>Стойка каркаса по фронтону, односкатная кровля №41</v>
      </c>
      <c r="B345" s="2671" t="str">
        <f>дома!B771</f>
        <v>м.п.</v>
      </c>
      <c r="C345" s="2672">
        <f>дома!C771</f>
        <v>0.15</v>
      </c>
      <c r="D345" s="2672">
        <f>дома!D771</f>
        <v>0.05</v>
      </c>
      <c r="E345" s="2672">
        <f>дома!E771</f>
        <v>0</v>
      </c>
      <c r="F345" s="2672">
        <f>дома!F771</f>
        <v>0</v>
      </c>
      <c r="G345" s="2672">
        <f>E345*F345*(IF('Ввод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5" s="2672">
        <f>дома!G771*(IF('Ввод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6" spans="1:8">
      <c r="A346" s="2670" t="str">
        <f>дома!A772</f>
        <v>Обвязка каркаса нижняя, односкатная кровля</v>
      </c>
      <c r="B346" s="2671" t="str">
        <f>дома!B772</f>
        <v>м.п.</v>
      </c>
      <c r="C346" s="2672">
        <f>дома!C772</f>
        <v>0.15</v>
      </c>
      <c r="D346" s="2672">
        <f>дома!D772</f>
        <v>0.05</v>
      </c>
      <c r="E346" s="2672">
        <f>дома!E772</f>
        <v>0</v>
      </c>
      <c r="F346" s="2672">
        <f>дома!F772</f>
        <v>0</v>
      </c>
      <c r="G346" s="2672">
        <f>E346*F346*(IF('Ввод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6" s="2672">
        <f>дома!G772*(IF('Ввод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7" spans="1:8">
      <c r="A347" s="2670" t="str">
        <f>дома!A773</f>
        <v>Обвязка каркаса верхняя, односкатная кровля</v>
      </c>
      <c r="B347" s="2671" t="str">
        <f>дома!B773</f>
        <v>м.п.</v>
      </c>
      <c r="C347" s="2672">
        <f>дома!C773</f>
        <v>0.15</v>
      </c>
      <c r="D347" s="2672">
        <f>дома!D773</f>
        <v>0.05</v>
      </c>
      <c r="E347" s="2672">
        <f>дома!E773</f>
        <v>22.360679774997898</v>
      </c>
      <c r="F347" s="2672">
        <f>дома!F773</f>
        <v>0</v>
      </c>
      <c r="G347" s="2672">
        <f>E347*F347*(IF('Ввод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7" s="2672">
        <f>дома!G773*(IF('Ввод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8" spans="1:8">
      <c r="A348" s="2670" t="str">
        <f>дома!A774</f>
        <v>Ригель каркаса фронтона, односкатная кровля</v>
      </c>
      <c r="B348" s="2671" t="str">
        <f>дома!B774</f>
        <v>м.п.</v>
      </c>
      <c r="C348" s="2672">
        <f>дома!C774</f>
        <v>0.15</v>
      </c>
      <c r="D348" s="2672">
        <f>дома!D774</f>
        <v>0.05</v>
      </c>
      <c r="E348" s="2672">
        <f>дома!E774</f>
        <v>22.360679774997898</v>
      </c>
      <c r="F348" s="2672">
        <f>дома!F774</f>
        <v>0</v>
      </c>
      <c r="G348" s="2672">
        <f>E348*F348*(IF('Ввод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8" s="2672">
        <f>дома!G774*(IF('Ввод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9" spans="1:8">
      <c r="A349" s="2670" t="str">
        <f>дома!A775</f>
        <v>Стойки каркаса, левая сторона 2 эт</v>
      </c>
      <c r="B349" s="2671" t="str">
        <f>дома!B775</f>
        <v>м.п.</v>
      </c>
      <c r="C349" s="2672">
        <f>дома!C775</f>
        <v>0.15</v>
      </c>
      <c r="D349" s="2672">
        <f>дома!D775</f>
        <v>0.05</v>
      </c>
      <c r="E349" s="2672">
        <f>дома!E775</f>
        <v>0</v>
      </c>
      <c r="F349" s="2672">
        <f>дома!F775</f>
        <v>0</v>
      </c>
      <c r="G349" s="2672">
        <f>E349*F349*(IF('Ввод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9" s="2672">
        <f>дома!G775*(IF('Ввод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0" spans="1:8">
      <c r="A350" s="2670" t="str">
        <f>дома!A776</f>
        <v>Стойки каркаса, правая сторона 2 эт</v>
      </c>
      <c r="B350" s="2671" t="str">
        <f>дома!B776</f>
        <v>м.п.</v>
      </c>
      <c r="C350" s="2672">
        <f>дома!C776</f>
        <v>0.15</v>
      </c>
      <c r="D350" s="2672">
        <f>дома!D776</f>
        <v>0.05</v>
      </c>
      <c r="E350" s="2672">
        <f>дома!E776</f>
        <v>0</v>
      </c>
      <c r="F350" s="2672">
        <f>дома!F776</f>
        <v>0</v>
      </c>
      <c r="G350" s="2672">
        <f>E350*F350*(IF('Ввод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0" s="2672">
        <f>дома!G776*(IF('Ввод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1" spans="1:8">
      <c r="A351" s="2670" t="str">
        <f>дома!A777</f>
        <v>Стойки каркаса передней/задней стены 2 эт</v>
      </c>
      <c r="B351" s="2671" t="str">
        <f>дома!B777</f>
        <v>м.п.</v>
      </c>
      <c r="C351" s="2672">
        <f>дома!C777</f>
        <v>0.15</v>
      </c>
      <c r="D351" s="2672">
        <f>дома!D777</f>
        <v>0.05</v>
      </c>
      <c r="E351" s="2672">
        <f>дома!E777</f>
        <v>0</v>
      </c>
      <c r="F351" s="2672">
        <f>дома!F777</f>
        <v>0</v>
      </c>
      <c r="G351" s="2672">
        <f>E351*F351*(IF('Ввод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1" s="2672">
        <f>дома!G777*(IF('Ввод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2" spans="1:8">
      <c r="A352" s="2670" t="str">
        <f>дома!A778</f>
        <v>Стойка каркаса по фронтону, односкатная кровля №0</v>
      </c>
      <c r="B352" s="2671" t="str">
        <f>дома!B778</f>
        <v>м.п.</v>
      </c>
      <c r="C352" s="2672">
        <f>дома!C778</f>
        <v>0.15</v>
      </c>
      <c r="D352" s="2672">
        <f>дома!D778</f>
        <v>0.05</v>
      </c>
      <c r="E352" s="2672">
        <f>дома!E778</f>
        <v>0</v>
      </c>
      <c r="F352" s="2672">
        <f>дома!F778</f>
        <v>0</v>
      </c>
      <c r="G352" s="2672">
        <f>E352*F352*(IF('Ввод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2" s="2672">
        <f>дома!G778*(IF('Ввод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3" spans="1:8">
      <c r="A353" s="2670" t="str">
        <f>дома!A779</f>
        <v>Стойка каркаса по фронтону, односкатная кровля №1</v>
      </c>
      <c r="B353" s="2671" t="str">
        <f>дома!B779</f>
        <v>м.п.</v>
      </c>
      <c r="C353" s="2672">
        <f>дома!C779</f>
        <v>0.15</v>
      </c>
      <c r="D353" s="2672">
        <f>дома!D779</f>
        <v>0.05</v>
      </c>
      <c r="E353" s="2672">
        <f>дома!E779</f>
        <v>0</v>
      </c>
      <c r="F353" s="2672">
        <f>дома!F779</f>
        <v>0</v>
      </c>
      <c r="G353" s="2672">
        <f>E353*F353*(IF('Ввод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3" s="2672">
        <f>дома!G779*(IF('Ввод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4" spans="1:8">
      <c r="A354" s="2670" t="str">
        <f>дома!A780</f>
        <v>Стойка каркаса по фронтону, односкатная кровля №2</v>
      </c>
      <c r="B354" s="2671" t="str">
        <f>дома!B780</f>
        <v>м.п.</v>
      </c>
      <c r="C354" s="2672">
        <f>дома!C780</f>
        <v>0.15</v>
      </c>
      <c r="D354" s="2672">
        <f>дома!D780</f>
        <v>0.05</v>
      </c>
      <c r="E354" s="2672">
        <f>дома!E780</f>
        <v>0</v>
      </c>
      <c r="F354" s="2672">
        <f>дома!F780</f>
        <v>0</v>
      </c>
      <c r="G354" s="2672">
        <f>E354*F354*(IF('Ввод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4" s="2672">
        <f>дома!G780*(IF('Ввод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5" spans="1:8">
      <c r="A355" s="2670" t="str">
        <f>дома!A781</f>
        <v>Стойка каркаса по фронтону, односкатная кровля №3</v>
      </c>
      <c r="B355" s="2671" t="str">
        <f>дома!B781</f>
        <v>м.п.</v>
      </c>
      <c r="C355" s="2672">
        <f>дома!C781</f>
        <v>0.15</v>
      </c>
      <c r="D355" s="2672">
        <f>дома!D781</f>
        <v>0.05</v>
      </c>
      <c r="E355" s="2672">
        <f>дома!E781</f>
        <v>0</v>
      </c>
      <c r="F355" s="2672">
        <f>дома!F781</f>
        <v>0</v>
      </c>
      <c r="G355" s="2672">
        <f>E355*F355*(IF('Ввод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5" s="2672">
        <f>дома!G781*(IF('Ввод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6" spans="1:8">
      <c r="A356" s="2670" t="str">
        <f>дома!A782</f>
        <v>Стойка каркаса по фронтону, односкатная кровля №4</v>
      </c>
      <c r="B356" s="2671" t="str">
        <f>дома!B782</f>
        <v>м.п.</v>
      </c>
      <c r="C356" s="2672">
        <f>дома!C782</f>
        <v>0.15</v>
      </c>
      <c r="D356" s="2672">
        <f>дома!D782</f>
        <v>0.05</v>
      </c>
      <c r="E356" s="2672">
        <f>дома!E782</f>
        <v>0</v>
      </c>
      <c r="F356" s="2672">
        <f>дома!F782</f>
        <v>0</v>
      </c>
      <c r="G356" s="2672">
        <f>E356*F356*(IF('Ввод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6" s="2672">
        <f>дома!G782*(IF('Ввод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7" spans="1:8">
      <c r="A357" s="2670" t="str">
        <f>дома!A783</f>
        <v>Стойка каркаса по фронтону, односкатная кровля №5</v>
      </c>
      <c r="B357" s="2671" t="str">
        <f>дома!B783</f>
        <v>м.п.</v>
      </c>
      <c r="C357" s="2672">
        <f>дома!C783</f>
        <v>0.15</v>
      </c>
      <c r="D357" s="2672">
        <f>дома!D783</f>
        <v>0.05</v>
      </c>
      <c r="E357" s="2672">
        <f>дома!E783</f>
        <v>0</v>
      </c>
      <c r="F357" s="2672">
        <f>дома!F783</f>
        <v>0</v>
      </c>
      <c r="G357" s="2672">
        <f>E357*F357*(IF('Ввод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7" s="2672">
        <f>дома!G783*(IF('Ввод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8" spans="1:8">
      <c r="A358" s="2670" t="str">
        <f>дома!A784</f>
        <v>Стойка каркаса по фронтону, односкатная кровля №6</v>
      </c>
      <c r="B358" s="2671" t="str">
        <f>дома!B784</f>
        <v>м.п.</v>
      </c>
      <c r="C358" s="2672">
        <f>дома!C784</f>
        <v>0.15</v>
      </c>
      <c r="D358" s="2672">
        <f>дома!D784</f>
        <v>0.05</v>
      </c>
      <c r="E358" s="2672">
        <f>дома!E784</f>
        <v>0</v>
      </c>
      <c r="F358" s="2672">
        <f>дома!F784</f>
        <v>0</v>
      </c>
      <c r="G358" s="2672">
        <f>E358*F358*(IF('Ввод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8" s="2672">
        <f>дома!G784*(IF('Ввод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9" spans="1:8">
      <c r="A359" s="2670" t="str">
        <f>дома!A785</f>
        <v>Стойка каркаса по фронтону, односкатная кровля №7</v>
      </c>
      <c r="B359" s="2671" t="str">
        <f>дома!B785</f>
        <v>м.п.</v>
      </c>
      <c r="C359" s="2672">
        <f>дома!C785</f>
        <v>0.15</v>
      </c>
      <c r="D359" s="2672">
        <f>дома!D785</f>
        <v>0.05</v>
      </c>
      <c r="E359" s="2672">
        <f>дома!E785</f>
        <v>0</v>
      </c>
      <c r="F359" s="2672">
        <f>дома!F785</f>
        <v>0</v>
      </c>
      <c r="G359" s="2672">
        <f>E359*F359*(IF('Ввод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9" s="2672">
        <f>дома!G785*(IF('Ввод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0" spans="1:8">
      <c r="A360" s="2670" t="str">
        <f>дома!A786</f>
        <v>Стойка каркаса по фронтону, односкатная кровля №8</v>
      </c>
      <c r="B360" s="2671" t="str">
        <f>дома!B786</f>
        <v>м.п.</v>
      </c>
      <c r="C360" s="2672">
        <f>дома!C786</f>
        <v>0.15</v>
      </c>
      <c r="D360" s="2672">
        <f>дома!D786</f>
        <v>0.05</v>
      </c>
      <c r="E360" s="2672">
        <f>дома!E786</f>
        <v>0</v>
      </c>
      <c r="F360" s="2672">
        <f>дома!F786</f>
        <v>0</v>
      </c>
      <c r="G360" s="2672">
        <f>E360*F360*(IF('Ввод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0" s="2672">
        <f>дома!G786*(IF('Ввод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1" spans="1:8">
      <c r="A361" s="2670" t="str">
        <f>дома!A787</f>
        <v>Стойка каркаса по фронтону, односкатная кровля №9</v>
      </c>
      <c r="B361" s="2671" t="str">
        <f>дома!B787</f>
        <v>м.п.</v>
      </c>
      <c r="C361" s="2672">
        <f>дома!C787</f>
        <v>0.15</v>
      </c>
      <c r="D361" s="2672">
        <f>дома!D787</f>
        <v>0.05</v>
      </c>
      <c r="E361" s="2672">
        <f>дома!E787</f>
        <v>0</v>
      </c>
      <c r="F361" s="2672">
        <f>дома!F787</f>
        <v>0</v>
      </c>
      <c r="G361" s="2672">
        <f>E361*F361*(IF('Ввод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1" s="2672">
        <f>дома!G787*(IF('Ввод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2" spans="1:8">
      <c r="A362" s="2670" t="str">
        <f>дома!A788</f>
        <v>Стойка каркаса по фронтону, односкатная кровля №10</v>
      </c>
      <c r="B362" s="2671" t="str">
        <f>дома!B788</f>
        <v>м.п.</v>
      </c>
      <c r="C362" s="2672">
        <f>дома!C788</f>
        <v>0.15</v>
      </c>
      <c r="D362" s="2672">
        <f>дома!D788</f>
        <v>0.05</v>
      </c>
      <c r="E362" s="2672">
        <f>дома!E788</f>
        <v>0</v>
      </c>
      <c r="F362" s="2672">
        <f>дома!F788</f>
        <v>0</v>
      </c>
      <c r="G362" s="2672">
        <f>E362*F362*(IF('Ввод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2" s="2672">
        <f>дома!G788*(IF('Ввод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3" spans="1:8">
      <c r="A363" s="2670" t="str">
        <f>дома!A789</f>
        <v>Стойка каркаса по фронтону, односкатная кровля №11</v>
      </c>
      <c r="B363" s="2671" t="str">
        <f>дома!B789</f>
        <v>м.п.</v>
      </c>
      <c r="C363" s="2672">
        <f>дома!C789</f>
        <v>0.15</v>
      </c>
      <c r="D363" s="2672">
        <f>дома!D789</f>
        <v>0.05</v>
      </c>
      <c r="E363" s="2672">
        <f>дома!E789</f>
        <v>0</v>
      </c>
      <c r="F363" s="2672">
        <f>дома!F789</f>
        <v>0</v>
      </c>
      <c r="G363" s="2672">
        <f>E363*F363*(IF('Ввод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3" s="2672">
        <f>дома!G789*(IF('Ввод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4" spans="1:8">
      <c r="A364" s="2670" t="str">
        <f>дома!A790</f>
        <v>Стойка каркаса по фронтону, односкатная кровля №12</v>
      </c>
      <c r="B364" s="2671" t="str">
        <f>дома!B790</f>
        <v>м.п.</v>
      </c>
      <c r="C364" s="2672">
        <f>дома!C790</f>
        <v>0.15</v>
      </c>
      <c r="D364" s="2672">
        <f>дома!D790</f>
        <v>0.05</v>
      </c>
      <c r="E364" s="2672">
        <f>дома!E790</f>
        <v>0</v>
      </c>
      <c r="F364" s="2672">
        <f>дома!F790</f>
        <v>0</v>
      </c>
      <c r="G364" s="2672">
        <f>E364*F364*(IF('Ввод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4" s="2672">
        <f>дома!G790*(IF('Ввод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5" spans="1:8">
      <c r="A365" s="2670" t="str">
        <f>дома!A791</f>
        <v>Стойка каркаса по фронтону, односкатная кровля №13</v>
      </c>
      <c r="B365" s="2671" t="str">
        <f>дома!B791</f>
        <v>м.п.</v>
      </c>
      <c r="C365" s="2672">
        <f>дома!C791</f>
        <v>0.15</v>
      </c>
      <c r="D365" s="2672">
        <f>дома!D791</f>
        <v>0.05</v>
      </c>
      <c r="E365" s="2672">
        <f>дома!E791</f>
        <v>0</v>
      </c>
      <c r="F365" s="2672">
        <f>дома!F791</f>
        <v>0</v>
      </c>
      <c r="G365" s="2672">
        <f>E365*F365*(IF('Ввод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5" s="2672">
        <f>дома!G791*(IF('Ввод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6" spans="1:8">
      <c r="A366" s="2670" t="str">
        <f>дома!A792</f>
        <v>Стойка каркаса по фронтону, односкатная кровля №14</v>
      </c>
      <c r="B366" s="2671" t="str">
        <f>дома!B792</f>
        <v>м.п.</v>
      </c>
      <c r="C366" s="2672">
        <f>дома!C792</f>
        <v>0.15</v>
      </c>
      <c r="D366" s="2672">
        <f>дома!D792</f>
        <v>0.05</v>
      </c>
      <c r="E366" s="2672">
        <f>дома!E792</f>
        <v>0</v>
      </c>
      <c r="F366" s="2672">
        <f>дома!F792</f>
        <v>0</v>
      </c>
      <c r="G366" s="2672">
        <f>E366*F366*(IF('Ввод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6" s="2672">
        <f>дома!G792*(IF('Ввод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7" spans="1:8">
      <c r="A367" s="2670" t="str">
        <f>дома!A793</f>
        <v>Стойка каркаса по фронтону, односкатная кровля №15</v>
      </c>
      <c r="B367" s="2671" t="str">
        <f>дома!B793</f>
        <v>м.п.</v>
      </c>
      <c r="C367" s="2672">
        <f>дома!C793</f>
        <v>0.15</v>
      </c>
      <c r="D367" s="2672">
        <f>дома!D793</f>
        <v>0.05</v>
      </c>
      <c r="E367" s="2672">
        <f>дома!E793</f>
        <v>0</v>
      </c>
      <c r="F367" s="2672">
        <f>дома!F793</f>
        <v>0</v>
      </c>
      <c r="G367" s="2672">
        <f>E367*F367*(IF('Ввод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7" s="2672">
        <f>дома!G793*(IF('Ввод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8" spans="1:8">
      <c r="A368" s="2670" t="str">
        <f>дома!A794</f>
        <v>Стойка каркаса по фронтону, односкатная кровля №16</v>
      </c>
      <c r="B368" s="2671" t="str">
        <f>дома!B794</f>
        <v>м.п.</v>
      </c>
      <c r="C368" s="2672">
        <f>дома!C794</f>
        <v>0.15</v>
      </c>
      <c r="D368" s="2672">
        <f>дома!D794</f>
        <v>0.05</v>
      </c>
      <c r="E368" s="2672">
        <f>дома!E794</f>
        <v>0</v>
      </c>
      <c r="F368" s="2672">
        <f>дома!F794</f>
        <v>0</v>
      </c>
      <c r="G368" s="2672">
        <f>E368*F368*(IF('Ввод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8" s="2672">
        <f>дома!G794*(IF('Ввод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9" spans="1:8">
      <c r="A369" s="2670" t="str">
        <f>дома!A795</f>
        <v>Стойка каркаса по фронтону, односкатная кровля №17</v>
      </c>
      <c r="B369" s="2671" t="str">
        <f>дома!B795</f>
        <v>м.п.</v>
      </c>
      <c r="C369" s="2672">
        <f>дома!C795</f>
        <v>0.15</v>
      </c>
      <c r="D369" s="2672">
        <f>дома!D795</f>
        <v>0.05</v>
      </c>
      <c r="E369" s="2672">
        <f>дома!E795</f>
        <v>0</v>
      </c>
      <c r="F369" s="2672">
        <f>дома!F795</f>
        <v>0</v>
      </c>
      <c r="G369" s="2672">
        <f>E369*F369*(IF('Ввод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9" s="2672">
        <f>дома!G795*(IF('Ввод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0" spans="1:8">
      <c r="A370" s="2670" t="str">
        <f>дома!A796</f>
        <v>Стойка каркаса по фронтону, односкатная кровля №18</v>
      </c>
      <c r="B370" s="2671" t="str">
        <f>дома!B796</f>
        <v>м.п.</v>
      </c>
      <c r="C370" s="2672">
        <f>дома!C796</f>
        <v>0.15</v>
      </c>
      <c r="D370" s="2672">
        <f>дома!D796</f>
        <v>0.05</v>
      </c>
      <c r="E370" s="2672">
        <f>дома!E796</f>
        <v>0</v>
      </c>
      <c r="F370" s="2672">
        <f>дома!F796</f>
        <v>0</v>
      </c>
      <c r="G370" s="2672">
        <f>E370*F370*(IF('Ввод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0" s="2672">
        <f>дома!G796*(IF('Ввод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1" spans="1:8">
      <c r="A371" s="2670" t="str">
        <f>дома!A797</f>
        <v>Стойка каркаса по фронтону, односкатная кровля №19</v>
      </c>
      <c r="B371" s="2671" t="str">
        <f>дома!B797</f>
        <v>м.п.</v>
      </c>
      <c r="C371" s="2672">
        <f>дома!C797</f>
        <v>0.15</v>
      </c>
      <c r="D371" s="2672">
        <f>дома!D797</f>
        <v>0.05</v>
      </c>
      <c r="E371" s="2672">
        <f>дома!E797</f>
        <v>0</v>
      </c>
      <c r="F371" s="2672">
        <f>дома!F797</f>
        <v>0</v>
      </c>
      <c r="G371" s="2672">
        <f>E371*F371*(IF('Ввод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1" s="2672">
        <f>дома!G797*(IF('Ввод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2" spans="1:8">
      <c r="A372" s="2670" t="str">
        <f>дома!A798</f>
        <v>Стойка каркаса по фронтону, односкатная кровля №20</v>
      </c>
      <c r="B372" s="2671" t="str">
        <f>дома!B798</f>
        <v>м.п.</v>
      </c>
      <c r="C372" s="2672">
        <f>дома!C798</f>
        <v>0.15</v>
      </c>
      <c r="D372" s="2672">
        <f>дома!D798</f>
        <v>0.05</v>
      </c>
      <c r="E372" s="2672">
        <f>дома!E798</f>
        <v>0</v>
      </c>
      <c r="F372" s="2672">
        <f>дома!F798</f>
        <v>0</v>
      </c>
      <c r="G372" s="2672">
        <f>E372*F372*(IF('Ввод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2" s="2672">
        <f>дома!G798*(IF('Ввод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3" spans="1:8">
      <c r="A373" s="2670" t="str">
        <f>дома!A799</f>
        <v>Стойка каркаса по фронтону, односкатная кровля №21</v>
      </c>
      <c r="B373" s="2671" t="str">
        <f>дома!B799</f>
        <v>м.п.</v>
      </c>
      <c r="C373" s="2672">
        <f>дома!C799</f>
        <v>0.15</v>
      </c>
      <c r="D373" s="2672">
        <f>дома!D799</f>
        <v>0.05</v>
      </c>
      <c r="E373" s="2672">
        <f>дома!E799</f>
        <v>0</v>
      </c>
      <c r="F373" s="2672">
        <f>дома!F799</f>
        <v>0</v>
      </c>
      <c r="G373" s="2672">
        <f>E373*F373*(IF('Ввод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3" s="2672">
        <f>дома!G799*(IF('Ввод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4" spans="1:8">
      <c r="A374" s="2670" t="str">
        <f>дома!A800</f>
        <v>Стойка каркаса по фронтону, односкатная кровля №22</v>
      </c>
      <c r="B374" s="2671" t="str">
        <f>дома!B800</f>
        <v>м.п.</v>
      </c>
      <c r="C374" s="2672">
        <f>дома!C800</f>
        <v>0.15</v>
      </c>
      <c r="D374" s="2672">
        <f>дома!D800</f>
        <v>0.05</v>
      </c>
      <c r="E374" s="2672">
        <f>дома!E800</f>
        <v>0</v>
      </c>
      <c r="F374" s="2672">
        <f>дома!F800</f>
        <v>0</v>
      </c>
      <c r="G374" s="2672">
        <f>E374*F374*(IF('Ввод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4" s="2672">
        <f>дома!G800*(IF('Ввод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5" spans="1:8">
      <c r="A375" s="2670" t="str">
        <f>дома!A801</f>
        <v>Стойка каркаса по фронтону, односкатная кровля №23</v>
      </c>
      <c r="B375" s="2671" t="str">
        <f>дома!B801</f>
        <v>м.п.</v>
      </c>
      <c r="C375" s="2672">
        <f>дома!C801</f>
        <v>0.15</v>
      </c>
      <c r="D375" s="2672">
        <f>дома!D801</f>
        <v>0.05</v>
      </c>
      <c r="E375" s="2672">
        <f>дома!E801</f>
        <v>0</v>
      </c>
      <c r="F375" s="2672">
        <f>дома!F801</f>
        <v>0</v>
      </c>
      <c r="G375" s="2672">
        <f>E375*F375*(IF('Ввод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5" s="2672">
        <f>дома!G801*(IF('Ввод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6" spans="1:8">
      <c r="A376" s="2670" t="str">
        <f>дома!A802</f>
        <v>Стойка каркаса по фронтону, односкатная кровля №24</v>
      </c>
      <c r="B376" s="2671" t="str">
        <f>дома!B802</f>
        <v>м.п.</v>
      </c>
      <c r="C376" s="2672">
        <f>дома!C802</f>
        <v>0.15</v>
      </c>
      <c r="D376" s="2672">
        <f>дома!D802</f>
        <v>0.05</v>
      </c>
      <c r="E376" s="2672">
        <f>дома!E802</f>
        <v>0</v>
      </c>
      <c r="F376" s="2672">
        <f>дома!F802</f>
        <v>0</v>
      </c>
      <c r="G376" s="2672">
        <f>E376*F376*(IF('Ввод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6" s="2672">
        <f>дома!G802*(IF('Ввод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7" spans="1:8">
      <c r="A377" s="2670" t="str">
        <f>дома!A803</f>
        <v>Стойка каркаса по фронтону, односкатная кровля №25</v>
      </c>
      <c r="B377" s="2671" t="str">
        <f>дома!B803</f>
        <v>м.п.</v>
      </c>
      <c r="C377" s="2672">
        <f>дома!C803</f>
        <v>0.15</v>
      </c>
      <c r="D377" s="2672">
        <f>дома!D803</f>
        <v>0.05</v>
      </c>
      <c r="E377" s="2672">
        <f>дома!E803</f>
        <v>0</v>
      </c>
      <c r="F377" s="2672">
        <f>дома!F803</f>
        <v>0</v>
      </c>
      <c r="G377" s="2672">
        <f>E377*F377*(IF('Ввод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7" s="2672">
        <f>дома!G803*(IF('Ввод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8" spans="1:8">
      <c r="A378" s="2670" t="str">
        <f>дома!A804</f>
        <v>Стойка каркаса по фронтону, односкатная кровля №26</v>
      </c>
      <c r="B378" s="2671" t="str">
        <f>дома!B804</f>
        <v>м.п.</v>
      </c>
      <c r="C378" s="2672">
        <f>дома!C804</f>
        <v>0.15</v>
      </c>
      <c r="D378" s="2672">
        <f>дома!D804</f>
        <v>0.05</v>
      </c>
      <c r="E378" s="2672">
        <f>дома!E804</f>
        <v>0</v>
      </c>
      <c r="F378" s="2672">
        <f>дома!F804</f>
        <v>0</v>
      </c>
      <c r="G378" s="2672">
        <f>E378*F378*(IF('Ввод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8" s="2672">
        <f>дома!G804*(IF('Ввод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9" spans="1:8">
      <c r="A379" s="2670" t="str">
        <f>дома!A805</f>
        <v>Стойка каркаса по фронтону, односкатная кровля №27</v>
      </c>
      <c r="B379" s="2671" t="str">
        <f>дома!B805</f>
        <v>м.п.</v>
      </c>
      <c r="C379" s="2672">
        <f>дома!C805</f>
        <v>0.15</v>
      </c>
      <c r="D379" s="2672">
        <f>дома!D805</f>
        <v>0.05</v>
      </c>
      <c r="E379" s="2672">
        <f>дома!E805</f>
        <v>0</v>
      </c>
      <c r="F379" s="2672">
        <f>дома!F805</f>
        <v>0</v>
      </c>
      <c r="G379" s="2672">
        <f>E379*F379*(IF('Ввод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9" s="2672">
        <f>дома!G805*(IF('Ввод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0" spans="1:8">
      <c r="A380" s="2670" t="str">
        <f>дома!A806</f>
        <v>Стойка каркаса по фронтону, односкатная кровля №28</v>
      </c>
      <c r="B380" s="2671" t="str">
        <f>дома!B806</f>
        <v>м.п.</v>
      </c>
      <c r="C380" s="2672">
        <f>дома!C806</f>
        <v>0.15</v>
      </c>
      <c r="D380" s="2672">
        <f>дома!D806</f>
        <v>0.05</v>
      </c>
      <c r="E380" s="2672">
        <f>дома!E806</f>
        <v>0</v>
      </c>
      <c r="F380" s="2672">
        <f>дома!F806</f>
        <v>0</v>
      </c>
      <c r="G380" s="2672">
        <f>E380*F380*(IF('Ввод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0" s="2672">
        <f>дома!G806*(IF('Ввод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1" spans="1:8">
      <c r="A381" s="2670" t="str">
        <f>дома!A807</f>
        <v>Стойка каркаса по фронтону, односкатная кровля №29</v>
      </c>
      <c r="B381" s="2671" t="str">
        <f>дома!B807</f>
        <v>м.п.</v>
      </c>
      <c r="C381" s="2672">
        <f>дома!C807</f>
        <v>0.15</v>
      </c>
      <c r="D381" s="2672">
        <f>дома!D807</f>
        <v>0.05</v>
      </c>
      <c r="E381" s="2672">
        <f>дома!E807</f>
        <v>0</v>
      </c>
      <c r="F381" s="2672">
        <f>дома!F807</f>
        <v>0</v>
      </c>
      <c r="G381" s="2672">
        <f>E381*F381*(IF('Ввод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1" s="2672">
        <f>дома!G807*(IF('Ввод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2" spans="1:8">
      <c r="A382" s="2670" t="str">
        <f>дома!A808</f>
        <v>Стойка каркаса по фронтону, односкатная кровля №30</v>
      </c>
      <c r="B382" s="2671" t="str">
        <f>дома!B808</f>
        <v>м.п.</v>
      </c>
      <c r="C382" s="2672">
        <f>дома!C808</f>
        <v>0.15</v>
      </c>
      <c r="D382" s="2672">
        <f>дома!D808</f>
        <v>0.05</v>
      </c>
      <c r="E382" s="2672">
        <f>дома!E808</f>
        <v>0</v>
      </c>
      <c r="F382" s="2672">
        <f>дома!F808</f>
        <v>0</v>
      </c>
      <c r="G382" s="2672">
        <f>E382*F382*(IF('Ввод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2" s="2672">
        <f>дома!G808*(IF('Ввод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3" spans="1:8">
      <c r="A383" s="2670" t="str">
        <f>дома!A809</f>
        <v>Стойка каркаса по фронтону, односкатная кровля №31</v>
      </c>
      <c r="B383" s="2671" t="str">
        <f>дома!B809</f>
        <v>м.п.</v>
      </c>
      <c r="C383" s="2672">
        <f>дома!C809</f>
        <v>0.15</v>
      </c>
      <c r="D383" s="2672">
        <f>дома!D809</f>
        <v>0.05</v>
      </c>
      <c r="E383" s="2672">
        <f>дома!E809</f>
        <v>0</v>
      </c>
      <c r="F383" s="2672">
        <f>дома!F809</f>
        <v>0</v>
      </c>
      <c r="G383" s="2672">
        <f>E383*F383*(IF('Ввод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3" s="2672">
        <f>дома!G809*(IF('Ввод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4" spans="1:8">
      <c r="A384" s="2670" t="str">
        <f>дома!A810</f>
        <v>Стойка каркаса по фронтону, односкатная кровля №32</v>
      </c>
      <c r="B384" s="2671" t="str">
        <f>дома!B810</f>
        <v>м.п.</v>
      </c>
      <c r="C384" s="2672">
        <f>дома!C810</f>
        <v>0.15</v>
      </c>
      <c r="D384" s="2672">
        <f>дома!D810</f>
        <v>0.05</v>
      </c>
      <c r="E384" s="2672">
        <f>дома!E810</f>
        <v>0</v>
      </c>
      <c r="F384" s="2672">
        <f>дома!F810</f>
        <v>0</v>
      </c>
      <c r="G384" s="2672">
        <f>E384*F384*(IF('Ввод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4" s="2672">
        <f>дома!G810*(IF('Ввод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5" spans="1:8">
      <c r="A385" s="2670" t="str">
        <f>дома!A811</f>
        <v>Стойка каркаса по фронтону, односкатная кровля №33</v>
      </c>
      <c r="B385" s="2671" t="str">
        <f>дома!B811</f>
        <v>м.п.</v>
      </c>
      <c r="C385" s="2672">
        <f>дома!C811</f>
        <v>0.15</v>
      </c>
      <c r="D385" s="2672">
        <f>дома!D811</f>
        <v>0.05</v>
      </c>
      <c r="E385" s="2672">
        <f>дома!E811</f>
        <v>0</v>
      </c>
      <c r="F385" s="2672">
        <f>дома!F811</f>
        <v>0</v>
      </c>
      <c r="G385" s="2672">
        <f>E385*F385*(IF('Ввод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5" s="2672">
        <f>дома!G811*(IF('Ввод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6" spans="1:8">
      <c r="A386" s="2670" t="str">
        <f>дома!A812</f>
        <v>Стойка каркаса по фронтону, односкатная кровля №34</v>
      </c>
      <c r="B386" s="2671" t="str">
        <f>дома!B812</f>
        <v>м.п.</v>
      </c>
      <c r="C386" s="2672">
        <f>дома!C812</f>
        <v>0.15</v>
      </c>
      <c r="D386" s="2672">
        <f>дома!D812</f>
        <v>0.05</v>
      </c>
      <c r="E386" s="2672">
        <f>дома!E812</f>
        <v>0</v>
      </c>
      <c r="F386" s="2672">
        <f>дома!F812</f>
        <v>0</v>
      </c>
      <c r="G386" s="2672">
        <f>E386*F386*(IF('Ввод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6" s="2672">
        <f>дома!G812*(IF('Ввод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7" spans="1:8">
      <c r="A387" s="2670" t="str">
        <f>дома!A813</f>
        <v>Стойка каркаса по фронтону, односкатная кровля №35</v>
      </c>
      <c r="B387" s="2671" t="str">
        <f>дома!B813</f>
        <v>м.п.</v>
      </c>
      <c r="C387" s="2672">
        <f>дома!C813</f>
        <v>0.15</v>
      </c>
      <c r="D387" s="2672">
        <f>дома!D813</f>
        <v>0.05</v>
      </c>
      <c r="E387" s="2672">
        <f>дома!E813</f>
        <v>0</v>
      </c>
      <c r="F387" s="2672">
        <f>дома!F813</f>
        <v>0</v>
      </c>
      <c r="G387" s="2672">
        <f>E387*F387*(IF('Ввод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7" s="2672">
        <f>дома!G813*(IF('Ввод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8" spans="1:8">
      <c r="A388" s="2670" t="str">
        <f>дома!A814</f>
        <v>Стойка каркаса по фронтону, односкатная кровля №36</v>
      </c>
      <c r="B388" s="2671" t="str">
        <f>дома!B814</f>
        <v>м.п.</v>
      </c>
      <c r="C388" s="2672">
        <f>дома!C814</f>
        <v>0.15</v>
      </c>
      <c r="D388" s="2672">
        <f>дома!D814</f>
        <v>0.05</v>
      </c>
      <c r="E388" s="2672">
        <f>дома!E814</f>
        <v>0</v>
      </c>
      <c r="F388" s="2672">
        <f>дома!F814</f>
        <v>0</v>
      </c>
      <c r="G388" s="2672">
        <f>E388*F388*(IF('Ввод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8" s="2672">
        <f>дома!G814*(IF('Ввод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9" spans="1:8">
      <c r="A389" s="2670" t="str">
        <f>дома!A815</f>
        <v>Стойка каркаса по фронтону, односкатная кровля №37</v>
      </c>
      <c r="B389" s="2671" t="str">
        <f>дома!B815</f>
        <v>м.п.</v>
      </c>
      <c r="C389" s="2672">
        <f>дома!C815</f>
        <v>0.15</v>
      </c>
      <c r="D389" s="2672">
        <f>дома!D815</f>
        <v>0.05</v>
      </c>
      <c r="E389" s="2672">
        <f>дома!E815</f>
        <v>0</v>
      </c>
      <c r="F389" s="2672">
        <f>дома!F815</f>
        <v>0</v>
      </c>
      <c r="G389" s="2672">
        <f>E389*F389*(IF('Ввод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9" s="2672">
        <f>дома!G815*(IF('Ввод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0" spans="1:8">
      <c r="A390" s="2670" t="str">
        <f>дома!A816</f>
        <v>Стойка каркаса по фронтону, односкатная кровля №38</v>
      </c>
      <c r="B390" s="2671" t="str">
        <f>дома!B816</f>
        <v>м.п.</v>
      </c>
      <c r="C390" s="2672">
        <f>дома!C816</f>
        <v>0.15</v>
      </c>
      <c r="D390" s="2672">
        <f>дома!D816</f>
        <v>0.05</v>
      </c>
      <c r="E390" s="2672">
        <f>дома!E816</f>
        <v>0</v>
      </c>
      <c r="F390" s="2672">
        <f>дома!F816</f>
        <v>0</v>
      </c>
      <c r="G390" s="2672">
        <f>E390*F390*(IF('Ввод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0" s="2672">
        <f>дома!G816*(IF('Ввод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1" spans="1:8">
      <c r="A391" s="2670" t="str">
        <f>дома!A817</f>
        <v>Стойка каркаса по фронтону, односкатная кровля №39</v>
      </c>
      <c r="B391" s="2671" t="str">
        <f>дома!B817</f>
        <v>м.п.</v>
      </c>
      <c r="C391" s="2672">
        <f>дома!C817</f>
        <v>0.15</v>
      </c>
      <c r="D391" s="2672">
        <f>дома!D817</f>
        <v>0.05</v>
      </c>
      <c r="E391" s="2672">
        <f>дома!E817</f>
        <v>0</v>
      </c>
      <c r="F391" s="2672">
        <f>дома!F817</f>
        <v>0</v>
      </c>
      <c r="G391" s="2672">
        <f>E391*F391*(IF('Ввод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1" s="2672">
        <f>дома!G817*(IF('Ввод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2" spans="1:8">
      <c r="A392" s="2670" t="str">
        <f>дома!A818</f>
        <v>Стойка каркаса по фронтону, односкатная кровля №40</v>
      </c>
      <c r="B392" s="2671" t="str">
        <f>дома!B818</f>
        <v>м.п.</v>
      </c>
      <c r="C392" s="2672">
        <f>дома!C818</f>
        <v>0.15</v>
      </c>
      <c r="D392" s="2672">
        <f>дома!D818</f>
        <v>0.05</v>
      </c>
      <c r="E392" s="2672">
        <f>дома!E818</f>
        <v>0</v>
      </c>
      <c r="F392" s="2672">
        <f>дома!F818</f>
        <v>0</v>
      </c>
      <c r="G392" s="2672">
        <f>E392*F392*(IF('Ввод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2" s="2672">
        <f>дома!G818*(IF('Ввод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3" spans="1:8">
      <c r="A393" s="2670" t="str">
        <f>дома!A819</f>
        <v>Стойка каркаса по фронтону, односкатная кровля №41</v>
      </c>
      <c r="B393" s="2671" t="str">
        <f>дома!B819</f>
        <v>м.п.</v>
      </c>
      <c r="C393" s="2672">
        <f>дома!C819</f>
        <v>0.15</v>
      </c>
      <c r="D393" s="2672">
        <f>дома!D819</f>
        <v>0.05</v>
      </c>
      <c r="E393" s="2672">
        <f>дома!E819</f>
        <v>0</v>
      </c>
      <c r="F393" s="2672">
        <f>дома!F819</f>
        <v>0</v>
      </c>
      <c r="G393" s="2672">
        <f>E393*F393*(IF('Ввод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3" s="2672">
        <f>дома!G819*(IF('Ввод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4" spans="1:8">
      <c r="A394" s="2670" t="str">
        <f>дома!A820</f>
        <v>Стойки для окон вертикальные</v>
      </c>
      <c r="B394" s="2671" t="str">
        <f>дома!B820</f>
        <v>м.п.</v>
      </c>
      <c r="C394" s="2672">
        <f>дома!C820</f>
        <v>0.15</v>
      </c>
      <c r="D394" s="2672">
        <f>дома!D820</f>
        <v>0.05</v>
      </c>
      <c r="E394" s="2672">
        <f>дома!E820</f>
        <v>0</v>
      </c>
      <c r="F394" s="2672">
        <f>дома!F820</f>
        <v>2</v>
      </c>
      <c r="G394" s="2672">
        <f>E394*F394*(IF('Ввод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4" s="2672">
        <f>дома!G820*(IF('Ввод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5" spans="1:8">
      <c r="A395" s="2670" t="str">
        <f>дома!A821</f>
        <v>Перекладины для окон горизонтальные, 1</v>
      </c>
      <c r="B395" s="2671" t="str">
        <f>дома!B821</f>
        <v>м.п.</v>
      </c>
      <c r="C395" s="2672">
        <f>дома!C821</f>
        <v>0.15</v>
      </c>
      <c r="D395" s="2672">
        <f>дома!D821</f>
        <v>0.05</v>
      </c>
      <c r="E395" s="2672">
        <f>дома!E821</f>
        <v>0.6</v>
      </c>
      <c r="F395" s="2672">
        <f>дома!F821</f>
        <v>1</v>
      </c>
      <c r="G395" s="2672">
        <f>E395*F395*(IF('Ввод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5" s="2672">
        <f>дома!G821*(IF('Ввод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6" spans="1:8">
      <c r="A396" s="2670" t="str">
        <f>дома!A822</f>
        <v>Перекладины для окон горизонтальные, 2</v>
      </c>
      <c r="B396" s="2671" t="str">
        <f>дома!B822</f>
        <v>м.п.</v>
      </c>
      <c r="C396" s="2672">
        <f>дома!C822</f>
        <v>0.15</v>
      </c>
      <c r="D396" s="2672">
        <f>дома!D822</f>
        <v>0.05</v>
      </c>
      <c r="E396" s="2672">
        <f>дома!E822</f>
        <v>0.8</v>
      </c>
      <c r="F396" s="2672">
        <f>дома!F822</f>
        <v>1</v>
      </c>
      <c r="G396" s="2672">
        <f>E396*F396*(IF('Ввод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6" s="2672">
        <f>дома!G822*(IF('Ввод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7" spans="1:8">
      <c r="A397" s="2670" t="str">
        <f>дома!A823</f>
        <v>Перекладины для окон горизонтальные, 3</v>
      </c>
      <c r="B397" s="2671" t="str">
        <f>дома!B823</f>
        <v>м.п.</v>
      </c>
      <c r="C397" s="2672">
        <f>дома!C823</f>
        <v>0.15</v>
      </c>
      <c r="D397" s="2672">
        <f>дома!D823</f>
        <v>0.05</v>
      </c>
      <c r="E397" s="2672">
        <f>дома!E823</f>
        <v>1</v>
      </c>
      <c r="F397" s="2672">
        <f>дома!F823</f>
        <v>1</v>
      </c>
      <c r="G397" s="2672">
        <f>E397*F397*(IF('Ввод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7" s="2672">
        <f>дома!G823*(IF('Ввод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8" spans="1:8">
      <c r="A398" s="2670" t="str">
        <f>дома!A824</f>
        <v>Перекладины для окон горизонтальные, 4</v>
      </c>
      <c r="B398" s="2671" t="str">
        <f>дома!B824</f>
        <v>м.п.</v>
      </c>
      <c r="C398" s="2672">
        <f>дома!C824</f>
        <v>0.15</v>
      </c>
      <c r="D398" s="2672">
        <f>дома!D824</f>
        <v>0.05</v>
      </c>
      <c r="E398" s="2672">
        <f>дома!E824</f>
        <v>5</v>
      </c>
      <c r="F398" s="2672">
        <f>дома!F824</f>
        <v>1</v>
      </c>
      <c r="G398" s="2672">
        <f>E398*F398*(IF('Ввод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8" s="2672">
        <f>дома!G824*(IF('Ввод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9" spans="1:8">
      <c r="A399" s="2670" t="str">
        <f>дома!A825</f>
        <v>Перекладины для окон горизонтальные, 5</v>
      </c>
      <c r="B399" s="2671" t="str">
        <f>дома!B825</f>
        <v>м.п.</v>
      </c>
      <c r="C399" s="2672">
        <f>дома!C825</f>
        <v>0.15</v>
      </c>
      <c r="D399" s="2672">
        <f>дома!D825</f>
        <v>0.05</v>
      </c>
      <c r="E399" s="2672">
        <f>дома!E825</f>
        <v>6</v>
      </c>
      <c r="F399" s="2672">
        <f>дома!F825</f>
        <v>1</v>
      </c>
      <c r="G399" s="2672">
        <f>E399*F399*(IF('Ввод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9" s="2672">
        <f>дома!G825*(IF('Ввод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0" spans="1:8">
      <c r="A400" s="2670" t="str">
        <f>дома!A826</f>
        <v>Стойки для межкомнатных дверей вертикальные</v>
      </c>
      <c r="B400" s="2671" t="str">
        <f>дома!B826</f>
        <v>м.п.</v>
      </c>
      <c r="C400" s="2672">
        <f>дома!C826</f>
        <v>0.12</v>
      </c>
      <c r="D400" s="2672">
        <f>дома!D826</f>
        <v>0.05</v>
      </c>
      <c r="E400" s="2672">
        <f>дома!E826</f>
        <v>3</v>
      </c>
      <c r="F400" s="2672">
        <f>дома!F826</f>
        <v>0</v>
      </c>
      <c r="G400" s="2672">
        <f>E400*F400*(IF('Ввод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0" s="2672">
        <f>дома!G826*(IF('Ввод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1" spans="1:8">
      <c r="A401" s="2670" t="str">
        <f>дома!A827</f>
        <v>Перекладины для межкомнатных дверей горизонтальные,1</v>
      </c>
      <c r="B401" s="2671" t="str">
        <f>дома!B827</f>
        <v>м.п.</v>
      </c>
      <c r="C401" s="2672">
        <f>дома!C827</f>
        <v>0.12</v>
      </c>
      <c r="D401" s="2672">
        <f>дома!D827</f>
        <v>0.05</v>
      </c>
      <c r="E401" s="2672">
        <f>дома!E827</f>
        <v>0.8</v>
      </c>
      <c r="F401" s="2672">
        <f>дома!F827</f>
        <v>1</v>
      </c>
      <c r="G401" s="2672">
        <f>E401*F401*(IF('Ввод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1" s="2672">
        <f>дома!G827*(IF('Ввод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2" spans="1:8">
      <c r="A402" s="2670" t="str">
        <f>дома!A828</f>
        <v>Перекладины для межкомнатных дверей горизонтальные,2</v>
      </c>
      <c r="B402" s="2671" t="str">
        <f>дома!B828</f>
        <v>м.п.</v>
      </c>
      <c r="C402" s="2672">
        <f>дома!C828</f>
        <v>0.12</v>
      </c>
      <c r="D402" s="2672">
        <f>дома!D828</f>
        <v>0.05</v>
      </c>
      <c r="E402" s="2672">
        <f>дома!E828</f>
        <v>1</v>
      </c>
      <c r="F402" s="2672">
        <f>дома!F828</f>
        <v>1</v>
      </c>
      <c r="G402" s="2672">
        <f>E402*F402*(IF('Ввод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2" s="2672">
        <f>дома!G828*(IF('Ввод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3" spans="1:8">
      <c r="A403" s="2670" t="str">
        <f>дома!A829</f>
        <v>Перекладины для межкомнатных дверей горизонтальные,3</v>
      </c>
      <c r="B403" s="2671" t="str">
        <f>дома!B829</f>
        <v>м.п.</v>
      </c>
      <c r="C403" s="2672">
        <f>дома!C829</f>
        <v>0.12</v>
      </c>
      <c r="D403" s="2672">
        <f>дома!D829</f>
        <v>0.05</v>
      </c>
      <c r="E403" s="2672">
        <f>дома!E829</f>
        <v>1</v>
      </c>
      <c r="F403" s="2672">
        <f>дома!F829</f>
        <v>1</v>
      </c>
      <c r="G403" s="2672">
        <f>E403*F403*(IF('Ввод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3" s="2672">
        <f>дома!G829*(IF('Ввод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4" spans="1:8">
      <c r="A404" s="2670" t="str">
        <f>дома!A830</f>
        <v>Перекладины для межкомнатных дверей горизонтальные,4</v>
      </c>
      <c r="B404" s="2671" t="str">
        <f>дома!B830</f>
        <v>м.п.</v>
      </c>
      <c r="C404" s="2672">
        <f>дома!C830</f>
        <v>0.12</v>
      </c>
      <c r="D404" s="2672">
        <f>дома!D830</f>
        <v>0.05</v>
      </c>
      <c r="E404" s="2672">
        <f>дома!E830</f>
        <v>0</v>
      </c>
      <c r="F404" s="2672">
        <f>дома!F830</f>
        <v>1</v>
      </c>
      <c r="G404" s="2672">
        <f>E404*F404*(IF('Ввод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4" s="2672">
        <f>дома!G830*(IF('Ввод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5" spans="1:8">
      <c r="A405" s="2670" t="str">
        <f>дома!A831</f>
        <v>Стойки для проемов вертикальные</v>
      </c>
      <c r="B405" s="2671" t="str">
        <f>дома!B831</f>
        <v>м.п.</v>
      </c>
      <c r="C405" s="2672">
        <f>дома!C831</f>
        <v>0.12</v>
      </c>
      <c r="D405" s="2672">
        <f>дома!D831</f>
        <v>0.05</v>
      </c>
      <c r="E405" s="2672">
        <f>дома!E831</f>
        <v>0</v>
      </c>
      <c r="F405" s="2672">
        <f>дома!F831</f>
        <v>2</v>
      </c>
      <c r="G405" s="2672">
        <f>E405*F405*(IF('Ввод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5" s="2672">
        <f>дома!G831*(IF('Ввод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6" spans="1:8">
      <c r="A406" s="2670" t="str">
        <f>дома!A832</f>
        <v>Перекладины для проемов горизонтальные,1</v>
      </c>
      <c r="B406" s="2671" t="str">
        <f>дома!B832</f>
        <v>м.п.</v>
      </c>
      <c r="C406" s="2672">
        <f>дома!C832</f>
        <v>0.12</v>
      </c>
      <c r="D406" s="2672">
        <f>дома!D832</f>
        <v>0.05</v>
      </c>
      <c r="E406" s="2672">
        <f>дома!E832</f>
        <v>2</v>
      </c>
      <c r="F406" s="2672">
        <f>дома!F832</f>
        <v>1</v>
      </c>
      <c r="G406" s="2672">
        <f>E406*F406*(IF('Ввод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6" s="2672">
        <f>дома!G832*(IF('Ввод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7" spans="1:8">
      <c r="A407" s="2670" t="str">
        <f>дома!A833</f>
        <v>Перекладины для проемов горизонтальные,2</v>
      </c>
      <c r="B407" s="2671" t="str">
        <f>дома!B833</f>
        <v>м.п.</v>
      </c>
      <c r="C407" s="2672">
        <f>дома!C833</f>
        <v>0.12</v>
      </c>
      <c r="D407" s="2672">
        <f>дома!D833</f>
        <v>0.05</v>
      </c>
      <c r="E407" s="2672">
        <f>дома!E833</f>
        <v>2</v>
      </c>
      <c r="F407" s="2672">
        <f>дома!F833</f>
        <v>1</v>
      </c>
      <c r="G407" s="2672">
        <f>E407*F407*(IF('Ввод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7" s="2672">
        <f>дома!G833*(IF('Ввод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8" spans="1:8" ht="21">
      <c r="A408" s="3266" t="s">
        <v>4169</v>
      </c>
      <c r="B408" s="3266"/>
      <c r="C408" s="3266"/>
      <c r="D408" s="3266"/>
      <c r="E408" s="3266"/>
      <c r="F408" s="3266"/>
      <c r="G408" s="2673">
        <f>E408*F408</f>
        <v>0</v>
      </c>
      <c r="H408" s="2674">
        <f>SUM(H409:H448)</f>
        <v>0</v>
      </c>
    </row>
    <row r="409" spans="1:8">
      <c r="A409" s="2670" t="str">
        <f>дома!A424</f>
        <v>Стойки каркаса передней стены 1 эт</v>
      </c>
      <c r="B409" s="2671" t="str">
        <f>дома!B424</f>
        <v>м.п.</v>
      </c>
      <c r="C409" s="2672">
        <f>дома!C424</f>
        <v>0.4</v>
      </c>
      <c r="D409" s="2672">
        <f>дома!D424</f>
        <v>0.05</v>
      </c>
      <c r="E409" s="2672">
        <f>дома!E424</f>
        <v>2.9</v>
      </c>
      <c r="F409" s="2672">
        <f>дома!F424</f>
        <v>0</v>
      </c>
      <c r="G409" s="2672">
        <f>E409*F409*(IF('Ввод данных'!$A$8=связи1!$A$150,1,0))</f>
        <v>0</v>
      </c>
      <c r="H409" s="2672">
        <f>дома!G424*(IF('Ввод данных'!$A$8=связи1!$A$150,1,0))</f>
        <v>0</v>
      </c>
    </row>
    <row r="410" spans="1:8">
      <c r="A410" s="2670" t="str">
        <f>дома!A425</f>
        <v>Стойки каркаса, левая сторона 1 эт</v>
      </c>
      <c r="B410" s="2671" t="str">
        <f>дома!B425</f>
        <v>м.п.</v>
      </c>
      <c r="C410" s="2672">
        <f>дома!C425</f>
        <v>0.4</v>
      </c>
      <c r="D410" s="2672">
        <f>дома!D425</f>
        <v>0.05</v>
      </c>
      <c r="E410" s="2672">
        <f>дома!E425</f>
        <v>1.2</v>
      </c>
      <c r="F410" s="2672">
        <f>дома!F425</f>
        <v>0</v>
      </c>
      <c r="G410" s="2672">
        <f>E410*F410*(IF('Ввод данных'!$A$8=связи1!$A$150,1,0))</f>
        <v>0</v>
      </c>
      <c r="H410" s="2672">
        <f>дома!G425*(IF('Ввод данных'!$A$8=связи1!$A$150,1,0))</f>
        <v>0</v>
      </c>
    </row>
    <row r="411" spans="1:8">
      <c r="A411" s="2670" t="str">
        <f>дома!A426</f>
        <v>Стойки каркаса, правая сторона, 1 эт</v>
      </c>
      <c r="B411" s="2671" t="str">
        <f>дома!B426</f>
        <v>м.п.</v>
      </c>
      <c r="C411" s="2672">
        <f>дома!C426</f>
        <v>0.4</v>
      </c>
      <c r="D411" s="2672">
        <f>дома!D426</f>
        <v>0.05</v>
      </c>
      <c r="E411" s="2672">
        <f>дома!E426</f>
        <v>1.2</v>
      </c>
      <c r="F411" s="2672">
        <f>дома!F426</f>
        <v>0</v>
      </c>
      <c r="G411" s="2672">
        <f>E411*F411*(IF('Ввод данных'!$A$8=связи1!$A$150,1,0))</f>
        <v>0</v>
      </c>
      <c r="H411" s="2672">
        <f>дома!G426*(IF('Ввод данных'!$A$8=связи1!$A$150,1,0))</f>
        <v>0</v>
      </c>
    </row>
    <row r="412" spans="1:8">
      <c r="A412" s="2670" t="str">
        <f>дома!A427</f>
        <v>Обвязка каркаса верхняя/нижняя наружние стены 1 эт</v>
      </c>
      <c r="B412" s="2671" t="str">
        <f>дома!B427</f>
        <v>м.п.</v>
      </c>
      <c r="C412" s="2672">
        <f>дома!C427</f>
        <v>0.4</v>
      </c>
      <c r="D412" s="2672">
        <f>дома!D427</f>
        <v>0.05</v>
      </c>
      <c r="E412" s="2672">
        <f>дома!E427</f>
        <v>0</v>
      </c>
      <c r="F412" s="2672">
        <f>дома!F427</f>
        <v>0</v>
      </c>
      <c r="G412" s="2672">
        <f>E412*F412*(IF('Ввод данных'!$A$8=связи1!$A$150,1,0))</f>
        <v>0</v>
      </c>
      <c r="H412" s="2672">
        <f>дома!G427*(IF('Ввод данных'!$A$8=связи1!$A$150,1,0))</f>
        <v>0</v>
      </c>
    </row>
    <row r="413" spans="1:8">
      <c r="A413" s="2670" t="str">
        <f>дома!A428</f>
        <v>Ригель каркаса наружние стены 1 эт</v>
      </c>
      <c r="B413" s="2671" t="str">
        <f>дома!B428</f>
        <v>м.п.</v>
      </c>
      <c r="C413" s="2672">
        <f>дома!C428</f>
        <v>0.4</v>
      </c>
      <c r="D413" s="2672">
        <f>дома!D428</f>
        <v>0.05</v>
      </c>
      <c r="E413" s="2672">
        <f>дома!E428</f>
        <v>0</v>
      </c>
      <c r="F413" s="2672">
        <f>дома!F428</f>
        <v>0</v>
      </c>
      <c r="G413" s="2672">
        <f>E413*F413*(IF('Ввод данных'!$A$8=связи1!$A$150,1,0))</f>
        <v>0</v>
      </c>
      <c r="H413" s="2672">
        <f>дома!G428*(IF('Ввод данных'!$A$8=связи1!$A$150,1,0))</f>
        <v>0</v>
      </c>
    </row>
    <row r="414" spans="1:8">
      <c r="A414" s="2670" t="str">
        <f>дома!A429</f>
        <v>Укосина наружних стен, усиление 1 этаж</v>
      </c>
      <c r="B414" s="2671" t="str">
        <f>дома!B429</f>
        <v>м.п.</v>
      </c>
      <c r="C414" s="2672">
        <f>дома!C429</f>
        <v>0.4</v>
      </c>
      <c r="D414" s="2672">
        <f>дома!D429</f>
        <v>0.05</v>
      </c>
      <c r="E414" s="2672">
        <f>дома!E429</f>
        <v>0</v>
      </c>
      <c r="F414" s="2672">
        <f>дома!F429</f>
        <v>8</v>
      </c>
      <c r="G414" s="2672">
        <f>E414*F414*(IF('Ввод данных'!$A$8=связи1!$A$150,1,0))</f>
        <v>0</v>
      </c>
      <c r="H414" s="2672">
        <f>дома!G429*(IF('Ввод данных'!$A$8=связи1!$A$150,1,0))</f>
        <v>0</v>
      </c>
    </row>
    <row r="415" spans="1:8">
      <c r="A415" s="2670" t="str">
        <f>дома!A430</f>
        <v>Стойка каркаса по фронтону, 1 этаж, односкатная кровля, №1</v>
      </c>
      <c r="B415" s="2671" t="str">
        <f>дома!B430</f>
        <v>м.п.</v>
      </c>
      <c r="C415" s="2672">
        <f>дома!C430</f>
        <v>0.4</v>
      </c>
      <c r="D415" s="2672">
        <f>дома!D430</f>
        <v>0.05</v>
      </c>
      <c r="E415" s="2672">
        <f>дома!E430</f>
        <v>0</v>
      </c>
      <c r="F415" s="2672">
        <f>дома!F430</f>
        <v>2</v>
      </c>
      <c r="G415" s="2672">
        <f>E415*F415*(IF('Ввод данных'!$A$8=связи1!$A$150,1,0))</f>
        <v>0</v>
      </c>
      <c r="H415" s="2672">
        <f>дома!G430*(IF('Ввод данных'!$A$8=связи1!$A$150,1,0))</f>
        <v>0</v>
      </c>
    </row>
    <row r="416" spans="1:8">
      <c r="A416" s="2670" t="str">
        <f>дома!A431</f>
        <v>Стойка каркаса по фронтону, 1 этаж, односкатная кровля, №2</v>
      </c>
      <c r="B416" s="2671" t="str">
        <f>дома!B431</f>
        <v>м.п.</v>
      </c>
      <c r="C416" s="2672">
        <f>дома!C431</f>
        <v>0.4</v>
      </c>
      <c r="D416" s="2672">
        <f>дома!D431</f>
        <v>0.05</v>
      </c>
      <c r="E416" s="2672">
        <f>дома!E431</f>
        <v>0</v>
      </c>
      <c r="F416" s="2672">
        <f>дома!F431</f>
        <v>2</v>
      </c>
      <c r="G416" s="2672">
        <f>E416*F416*(IF('Ввод данных'!$A$8=связи1!$A$150,1,0))</f>
        <v>0</v>
      </c>
      <c r="H416" s="2672">
        <f>дома!G431*(IF('Ввод данных'!$A$8=связи1!$A$150,1,0))</f>
        <v>0</v>
      </c>
    </row>
    <row r="417" spans="1:8">
      <c r="A417" s="2670" t="str">
        <f>дома!A432</f>
        <v>Стойка каркаса по фронтону, 1 этаж, односкатная кровля, №3</v>
      </c>
      <c r="B417" s="2671" t="str">
        <f>дома!B432</f>
        <v>м.п.</v>
      </c>
      <c r="C417" s="2672">
        <f>дома!C432</f>
        <v>0.4</v>
      </c>
      <c r="D417" s="2672">
        <f>дома!D432</f>
        <v>0.05</v>
      </c>
      <c r="E417" s="2672">
        <f>дома!E432</f>
        <v>0</v>
      </c>
      <c r="F417" s="2672">
        <f>дома!F432</f>
        <v>2</v>
      </c>
      <c r="G417" s="2672">
        <f>E417*F417*(IF('Ввод данных'!$A$8=связи1!$A$150,1,0))</f>
        <v>0</v>
      </c>
      <c r="H417" s="2672">
        <f>дома!G432*(IF('Ввод данных'!$A$8=связи1!$A$150,1,0))</f>
        <v>0</v>
      </c>
    </row>
    <row r="418" spans="1:8">
      <c r="A418" s="2670" t="str">
        <f>дома!A433</f>
        <v>Стойка каркаса по фронтону, 1 этаж, односкатная кровля, №4</v>
      </c>
      <c r="B418" s="2671" t="str">
        <f>дома!B433</f>
        <v>м.п.</v>
      </c>
      <c r="C418" s="2672">
        <f>дома!C433</f>
        <v>0.4</v>
      </c>
      <c r="D418" s="2672">
        <f>дома!D433</f>
        <v>0.05</v>
      </c>
      <c r="E418" s="2672">
        <f>дома!E433</f>
        <v>0</v>
      </c>
      <c r="F418" s="2672">
        <f>дома!F433</f>
        <v>2</v>
      </c>
      <c r="G418" s="2672">
        <f>E418*F418*(IF('Ввод данных'!$A$8=связи1!$A$150,1,0))</f>
        <v>0</v>
      </c>
      <c r="H418" s="2672">
        <f>дома!G433*(IF('Ввод данных'!$A$8=связи1!$A$150,1,0))</f>
        <v>0</v>
      </c>
    </row>
    <row r="419" spans="1:8">
      <c r="A419" s="2670" t="str">
        <f>дома!A434</f>
        <v>Стойка каркаса по фронтону, 1 этаж, односкатная кровля, №5</v>
      </c>
      <c r="B419" s="2671" t="str">
        <f>дома!B434</f>
        <v>м.п.</v>
      </c>
      <c r="C419" s="2672">
        <f>дома!C434</f>
        <v>0.4</v>
      </c>
      <c r="D419" s="2672">
        <f>дома!D434</f>
        <v>0.05</v>
      </c>
      <c r="E419" s="2672">
        <f>дома!E434</f>
        <v>0</v>
      </c>
      <c r="F419" s="2672">
        <f>дома!F434</f>
        <v>2</v>
      </c>
      <c r="G419" s="2672">
        <f>E419*F419*(IF('Ввод данных'!$A$8=связи1!$A$150,1,0))</f>
        <v>0</v>
      </c>
      <c r="H419" s="2672">
        <f>дома!G434*(IF('Ввод данных'!$A$8=связи1!$A$150,1,0))</f>
        <v>0</v>
      </c>
    </row>
    <row r="420" spans="1:8">
      <c r="A420" s="2670" t="str">
        <f>дома!A435</f>
        <v>Стойка каркаса по фронтону, 1 этаж, односкатная кровля, №6</v>
      </c>
      <c r="B420" s="2671" t="str">
        <f>дома!B435</f>
        <v>м.п.</v>
      </c>
      <c r="C420" s="2672">
        <f>дома!C435</f>
        <v>0.4</v>
      </c>
      <c r="D420" s="2672">
        <f>дома!D435</f>
        <v>0.05</v>
      </c>
      <c r="E420" s="2672">
        <f>дома!E435</f>
        <v>0</v>
      </c>
      <c r="F420" s="2672">
        <f>дома!F435</f>
        <v>2</v>
      </c>
      <c r="G420" s="2672">
        <f>E420*F420*(IF('Ввод данных'!$A$8=связи1!$A$150,1,0))</f>
        <v>0</v>
      </c>
      <c r="H420" s="2672">
        <f>дома!G435*(IF('Ввод данных'!$A$8=связи1!$A$150,1,0))</f>
        <v>0</v>
      </c>
    </row>
    <row r="421" spans="1:8">
      <c r="A421" s="2670" t="str">
        <f>дома!A436</f>
        <v>Стойка каркаса по фронтону, 1 этаж, односкатная кровля, №7</v>
      </c>
      <c r="B421" s="2671" t="str">
        <f>дома!B436</f>
        <v>м.п.</v>
      </c>
      <c r="C421" s="2672">
        <f>дома!C436</f>
        <v>0.4</v>
      </c>
      <c r="D421" s="2672">
        <f>дома!D436</f>
        <v>0.05</v>
      </c>
      <c r="E421" s="2672">
        <f>дома!E436</f>
        <v>0</v>
      </c>
      <c r="F421" s="2672">
        <f>дома!F436</f>
        <v>2</v>
      </c>
      <c r="G421" s="2672">
        <f>E421*F421*(IF('Ввод данных'!$A$8=связи1!$A$150,1,0))</f>
        <v>0</v>
      </c>
      <c r="H421" s="2672">
        <f>дома!G436*(IF('Ввод данных'!$A$8=связи1!$A$150,1,0))</f>
        <v>0</v>
      </c>
    </row>
    <row r="422" spans="1:8">
      <c r="A422" s="2670" t="str">
        <f>дома!A437</f>
        <v>Стойка каркаса по фронтону, 1 этаж, односкатная кровля, №8</v>
      </c>
      <c r="B422" s="2671" t="str">
        <f>дома!B437</f>
        <v>м.п.</v>
      </c>
      <c r="C422" s="2672">
        <f>дома!C437</f>
        <v>0.4</v>
      </c>
      <c r="D422" s="2672">
        <f>дома!D437</f>
        <v>0.05</v>
      </c>
      <c r="E422" s="2672">
        <f>дома!E437</f>
        <v>0</v>
      </c>
      <c r="F422" s="2672">
        <f>дома!F437</f>
        <v>2</v>
      </c>
      <c r="G422" s="2672">
        <f>E422*F422*(IF('Ввод данных'!$A$8=связи1!$A$150,1,0))</f>
        <v>0</v>
      </c>
      <c r="H422" s="2672">
        <f>дома!G437*(IF('Ввод данных'!$A$8=связи1!$A$150,1,0))</f>
        <v>0</v>
      </c>
    </row>
    <row r="423" spans="1:8">
      <c r="A423" s="2670" t="str">
        <f>дома!A438</f>
        <v>Стойка каркаса по фронтону, 1 этаж, односкатная кровля, №9</v>
      </c>
      <c r="B423" s="2671" t="str">
        <f>дома!B438</f>
        <v>м.п.</v>
      </c>
      <c r="C423" s="2672">
        <f>дома!C438</f>
        <v>0.4</v>
      </c>
      <c r="D423" s="2672">
        <f>дома!D438</f>
        <v>0.05</v>
      </c>
      <c r="E423" s="2672">
        <f>дома!E438</f>
        <v>0</v>
      </c>
      <c r="F423" s="2672">
        <f>дома!F438</f>
        <v>2</v>
      </c>
      <c r="G423" s="2672">
        <f>E423*F423*(IF('Ввод данных'!$A$8=связи1!$A$150,1,0))</f>
        <v>0</v>
      </c>
      <c r="H423" s="2672">
        <f>дома!G438*(IF('Ввод данных'!$A$8=связи1!$A$150,1,0))</f>
        <v>0</v>
      </c>
    </row>
    <row r="424" spans="1:8">
      <c r="A424" s="2670" t="str">
        <f>дома!A439</f>
        <v>Стойка каркаса по фронтону, 1 этаж, односкатная кровля, №10</v>
      </c>
      <c r="B424" s="2671" t="str">
        <f>дома!B439</f>
        <v>м.п.</v>
      </c>
      <c r="C424" s="2672">
        <f>дома!C439</f>
        <v>0.4</v>
      </c>
      <c r="D424" s="2672">
        <f>дома!D439</f>
        <v>0.05</v>
      </c>
      <c r="E424" s="2672">
        <f>дома!E439</f>
        <v>0</v>
      </c>
      <c r="F424" s="2672">
        <f>дома!F439</f>
        <v>2</v>
      </c>
      <c r="G424" s="2672">
        <f>E424*F424*(IF('Ввод данных'!$A$8=связи1!$A$150,1,0))</f>
        <v>0</v>
      </c>
      <c r="H424" s="2672">
        <f>дома!G439*(IF('Ввод данных'!$A$8=связи1!$A$150,1,0))</f>
        <v>0</v>
      </c>
    </row>
    <row r="425" spans="1:8">
      <c r="A425" s="2670" t="str">
        <f>дома!A440</f>
        <v>Стойка каркаса по фронтону, 1 этаж, односкатная кровля, №11</v>
      </c>
      <c r="B425" s="2671" t="str">
        <f>дома!B440</f>
        <v>м.п.</v>
      </c>
      <c r="C425" s="2672">
        <f>дома!C440</f>
        <v>0.4</v>
      </c>
      <c r="D425" s="2672">
        <f>дома!D440</f>
        <v>0.05</v>
      </c>
      <c r="E425" s="2672">
        <f>дома!E440</f>
        <v>0</v>
      </c>
      <c r="F425" s="2672">
        <f>дома!F440</f>
        <v>2</v>
      </c>
      <c r="G425" s="2672">
        <f>E425*F425*(IF('Ввод данных'!$A$8=связи1!$A$150,1,0))</f>
        <v>0</v>
      </c>
      <c r="H425" s="2672">
        <f>дома!G440*(IF('Ввод данных'!$A$8=связи1!$A$150,1,0))</f>
        <v>0</v>
      </c>
    </row>
    <row r="426" spans="1:8">
      <c r="A426" s="2670" t="str">
        <f>дома!A441</f>
        <v>Стойка каркаса по фронтону, 1 этаж, односкатная кровля, №12</v>
      </c>
      <c r="B426" s="2671" t="str">
        <f>дома!B441</f>
        <v>м.п.</v>
      </c>
      <c r="C426" s="2672">
        <f>дома!C441</f>
        <v>0.4</v>
      </c>
      <c r="D426" s="2672">
        <f>дома!D441</f>
        <v>0.05</v>
      </c>
      <c r="E426" s="2672">
        <f>дома!E441</f>
        <v>0</v>
      </c>
      <c r="F426" s="2672">
        <f>дома!F441</f>
        <v>2</v>
      </c>
      <c r="G426" s="2672">
        <f>E426*F426*(IF('Ввод данных'!$A$8=связи1!$A$150,1,0))</f>
        <v>0</v>
      </c>
      <c r="H426" s="2672">
        <f>дома!G441*(IF('Ввод данных'!$A$8=связи1!$A$150,1,0))</f>
        <v>0</v>
      </c>
    </row>
    <row r="427" spans="1:8">
      <c r="A427" s="2670" t="str">
        <f>дома!A442</f>
        <v>Стойка каркаса по фронтону, 1 этаж, односкатная кровля, №13</v>
      </c>
      <c r="B427" s="2671" t="str">
        <f>дома!B442</f>
        <v>м.п.</v>
      </c>
      <c r="C427" s="2672">
        <f>дома!C442</f>
        <v>0.4</v>
      </c>
      <c r="D427" s="2672">
        <f>дома!D442</f>
        <v>0.05</v>
      </c>
      <c r="E427" s="2672">
        <f>дома!E442</f>
        <v>0</v>
      </c>
      <c r="F427" s="2672">
        <f>дома!F442</f>
        <v>2</v>
      </c>
      <c r="G427" s="2672">
        <f>E427*F427*(IF('Ввод данных'!$A$8=связи1!$A$150,1,0))</f>
        <v>0</v>
      </c>
      <c r="H427" s="2672">
        <f>дома!G442*(IF('Ввод данных'!$A$8=связи1!$A$150,1,0))</f>
        <v>0</v>
      </c>
    </row>
    <row r="428" spans="1:8">
      <c r="A428" s="2670" t="str">
        <f>дома!A443</f>
        <v>Стойка каркаса по фронтону, 1 этаж, односкатная кровля, №14</v>
      </c>
      <c r="B428" s="2671" t="str">
        <f>дома!B443</f>
        <v>м.п.</v>
      </c>
      <c r="C428" s="2672">
        <f>дома!C443</f>
        <v>0.4</v>
      </c>
      <c r="D428" s="2672">
        <f>дома!D443</f>
        <v>0.05</v>
      </c>
      <c r="E428" s="2672">
        <f>дома!E443</f>
        <v>0</v>
      </c>
      <c r="F428" s="2672">
        <f>дома!F443</f>
        <v>2</v>
      </c>
      <c r="G428" s="2672">
        <f>E428*F428*(IF('Ввод данных'!$A$8=связи1!$A$150,1,0))</f>
        <v>0</v>
      </c>
      <c r="H428" s="2672">
        <f>дома!G443*(IF('Ввод данных'!$A$8=связи1!$A$150,1,0))</f>
        <v>0</v>
      </c>
    </row>
    <row r="429" spans="1:8">
      <c r="A429" s="2670" t="str">
        <f>дома!A444</f>
        <v>Стойка каркаса по фронтону, 1 этаж, односкатная кровля, №15</v>
      </c>
      <c r="B429" s="2671" t="str">
        <f>дома!B444</f>
        <v>м.п.</v>
      </c>
      <c r="C429" s="2672">
        <f>дома!C444</f>
        <v>0.4</v>
      </c>
      <c r="D429" s="2672">
        <f>дома!D444</f>
        <v>0.05</v>
      </c>
      <c r="E429" s="2672">
        <f>дома!E444</f>
        <v>0</v>
      </c>
      <c r="F429" s="2672">
        <f>дома!F444</f>
        <v>2</v>
      </c>
      <c r="G429" s="2672">
        <f>E429*F429*(IF('Ввод данных'!$A$8=связи1!$A$150,1,0))</f>
        <v>0</v>
      </c>
      <c r="H429" s="2672">
        <f>дома!G444*(IF('Ввод данных'!$A$8=связи1!$A$150,1,0))</f>
        <v>0</v>
      </c>
    </row>
    <row r="430" spans="1:8">
      <c r="A430" s="2670" t="str">
        <f>дома!A445</f>
        <v>Стойка каркаса по фронтону, 1 этаж, односкатная кровля, №16</v>
      </c>
      <c r="B430" s="2671" t="str">
        <f>дома!B445</f>
        <v>м.п.</v>
      </c>
      <c r="C430" s="2672">
        <f>дома!C445</f>
        <v>0.4</v>
      </c>
      <c r="D430" s="2672">
        <f>дома!D445</f>
        <v>0.05</v>
      </c>
      <c r="E430" s="2672">
        <f>дома!E445</f>
        <v>0</v>
      </c>
      <c r="F430" s="2672">
        <f>дома!F445</f>
        <v>2</v>
      </c>
      <c r="G430" s="2672">
        <f>E430*F430*(IF('Ввод данных'!$A$8=связи1!$A$150,1,0))</f>
        <v>0</v>
      </c>
      <c r="H430" s="2672">
        <f>дома!G445*(IF('Ввод данных'!$A$8=связи1!$A$150,1,0))</f>
        <v>0</v>
      </c>
    </row>
    <row r="431" spans="1:8">
      <c r="A431" s="2670" t="str">
        <f>дома!A446</f>
        <v>Стойка каркаса по фронтону, 1 этаж, односкатная кровля, №17</v>
      </c>
      <c r="B431" s="2671" t="str">
        <f>дома!B446</f>
        <v>м.п.</v>
      </c>
      <c r="C431" s="2672">
        <f>дома!C446</f>
        <v>0.4</v>
      </c>
      <c r="D431" s="2672">
        <f>дома!D446</f>
        <v>0.05</v>
      </c>
      <c r="E431" s="2672">
        <f>дома!E446</f>
        <v>0</v>
      </c>
      <c r="F431" s="2672">
        <f>дома!F446</f>
        <v>2</v>
      </c>
      <c r="G431" s="2672">
        <f>E431*F431*(IF('Ввод данных'!$A$8=связи1!$A$150,1,0))</f>
        <v>0</v>
      </c>
      <c r="H431" s="2672">
        <f>дома!G446*(IF('Ввод данных'!$A$8=связи1!$A$150,1,0))</f>
        <v>0</v>
      </c>
    </row>
    <row r="432" spans="1:8">
      <c r="A432" s="2670" t="str">
        <f>дома!A447</f>
        <v>Стойка каркаса по фронтону, 1 этаж, двускатная кровля, №1</v>
      </c>
      <c r="B432" s="2671" t="str">
        <f>дома!B447</f>
        <v>м.п.</v>
      </c>
      <c r="C432" s="2672">
        <f>дома!C447</f>
        <v>0.4</v>
      </c>
      <c r="D432" s="2672">
        <f>дома!D447</f>
        <v>0.05</v>
      </c>
      <c r="E432" s="2672">
        <f>дома!E447</f>
        <v>5</v>
      </c>
      <c r="F432" s="2672">
        <f>дома!F447</f>
        <v>2</v>
      </c>
      <c r="G432" s="2672">
        <f>E432*F432*(IF('Ввод данных'!$A$8=связи1!$A$150,1,0))</f>
        <v>0</v>
      </c>
      <c r="H432" s="2672">
        <f>дома!G447*(IF('Ввод данных'!$A$8=связи1!$A$150,1,0))</f>
        <v>0</v>
      </c>
    </row>
    <row r="433" spans="1:8">
      <c r="A433" s="2670" t="str">
        <f>дома!A448</f>
        <v>Стойка каркаса по фронтону, 1 этаж, двускатная кровля, №2</v>
      </c>
      <c r="B433" s="2671" t="str">
        <f>дома!B448</f>
        <v>м.п.</v>
      </c>
      <c r="C433" s="2672">
        <f>дома!C448</f>
        <v>0.4</v>
      </c>
      <c r="D433" s="2672">
        <f>дома!D448</f>
        <v>0.05</v>
      </c>
      <c r="E433" s="2672">
        <f>дома!E448</f>
        <v>5</v>
      </c>
      <c r="F433" s="2672">
        <f>дома!F448</f>
        <v>2</v>
      </c>
      <c r="G433" s="2672">
        <f>E433*F433*(IF('Ввод данных'!$A$8=связи1!$A$150,1,0))</f>
        <v>0</v>
      </c>
      <c r="H433" s="2672">
        <f>дома!G448*(IF('Ввод данных'!$A$8=связи1!$A$150,1,0))</f>
        <v>0</v>
      </c>
    </row>
    <row r="434" spans="1:8">
      <c r="A434" s="2670" t="str">
        <f>дома!A449</f>
        <v>Стойка каркаса по фронтону, 1 этаж, двускатная кровля, №3</v>
      </c>
      <c r="B434" s="2671" t="str">
        <f>дома!B449</f>
        <v>м.п.</v>
      </c>
      <c r="C434" s="2672">
        <f>дома!C449</f>
        <v>0.4</v>
      </c>
      <c r="D434" s="2672">
        <f>дома!D449</f>
        <v>0.05</v>
      </c>
      <c r="E434" s="2672">
        <f>дома!E449</f>
        <v>5</v>
      </c>
      <c r="F434" s="2672">
        <f>дома!F449</f>
        <v>2</v>
      </c>
      <c r="G434" s="2672">
        <f>E434*F434*(IF('Ввод данных'!$A$8=связи1!$A$150,1,0))</f>
        <v>0</v>
      </c>
      <c r="H434" s="2672">
        <f>дома!G449*(IF('Ввод данных'!$A$8=связи1!$A$150,1,0))</f>
        <v>0</v>
      </c>
    </row>
    <row r="435" spans="1:8">
      <c r="A435" s="2670" t="str">
        <f>дома!A450</f>
        <v>Стойка каркаса по фронтону, 1 этаж, двускатная кровля, №4</v>
      </c>
      <c r="B435" s="2671" t="str">
        <f>дома!B450</f>
        <v>м.п.</v>
      </c>
      <c r="C435" s="2672">
        <f>дома!C450</f>
        <v>0.4</v>
      </c>
      <c r="D435" s="2672">
        <f>дома!D450</f>
        <v>0.05</v>
      </c>
      <c r="E435" s="2672">
        <f>дома!E450</f>
        <v>5</v>
      </c>
      <c r="F435" s="2672">
        <f>дома!F450</f>
        <v>2</v>
      </c>
      <c r="G435" s="2672">
        <f>E435*F435*(IF('Ввод данных'!$A$8=связи1!$A$150,1,0))</f>
        <v>0</v>
      </c>
      <c r="H435" s="2672">
        <f>дома!G450*(IF('Ввод данных'!$A$8=связи1!$A$150,1,0))</f>
        <v>0</v>
      </c>
    </row>
    <row r="436" spans="1:8">
      <c r="A436" s="2670" t="str">
        <f>дома!A451</f>
        <v>Стойка каркаса по фронтону, 1 этаж, двускатная кровля, №5</v>
      </c>
      <c r="B436" s="2671" t="str">
        <f>дома!B451</f>
        <v>м.п.</v>
      </c>
      <c r="C436" s="2672">
        <f>дома!C451</f>
        <v>0.4</v>
      </c>
      <c r="D436" s="2672">
        <f>дома!D451</f>
        <v>0.05</v>
      </c>
      <c r="E436" s="2672">
        <f>дома!E451</f>
        <v>5</v>
      </c>
      <c r="F436" s="2672">
        <f>дома!F451</f>
        <v>2</v>
      </c>
      <c r="G436" s="2672">
        <f>E436*F436*(IF('Ввод данных'!$A$8=связи1!$A$150,1,0))</f>
        <v>0</v>
      </c>
      <c r="H436" s="2672">
        <f>дома!G451*(IF('Ввод данных'!$A$8=связи1!$A$150,1,0))</f>
        <v>0</v>
      </c>
    </row>
    <row r="437" spans="1:8">
      <c r="A437" s="2670" t="str">
        <f>дома!A452</f>
        <v>Стойка каркаса по фронтону, 1 этаж, двускатная кровля, №6</v>
      </c>
      <c r="B437" s="2671" t="str">
        <f>дома!B452</f>
        <v>м.п.</v>
      </c>
      <c r="C437" s="2672">
        <f>дома!C452</f>
        <v>0.4</v>
      </c>
      <c r="D437" s="2672">
        <f>дома!D452</f>
        <v>0.05</v>
      </c>
      <c r="E437" s="2672">
        <f>дома!E452</f>
        <v>5</v>
      </c>
      <c r="F437" s="2672">
        <f>дома!F452</f>
        <v>2</v>
      </c>
      <c r="G437" s="2672">
        <f>E437*F437*(IF('Ввод данных'!$A$8=связи1!$A$150,1,0))</f>
        <v>0</v>
      </c>
      <c r="H437" s="2672">
        <f>дома!G452*(IF('Ввод данных'!$A$8=связи1!$A$150,1,0))</f>
        <v>0</v>
      </c>
    </row>
    <row r="438" spans="1:8">
      <c r="A438" s="2670" t="str">
        <f>дома!A453</f>
        <v>Стойка каркаса по фронтону, 1 этаж, двускатная кровля, №7</v>
      </c>
      <c r="B438" s="2671" t="str">
        <f>дома!B453</f>
        <v>м.п.</v>
      </c>
      <c r="C438" s="2672">
        <f>дома!C453</f>
        <v>0.4</v>
      </c>
      <c r="D438" s="2672">
        <f>дома!D453</f>
        <v>0.05</v>
      </c>
      <c r="E438" s="2672">
        <f>дома!E453</f>
        <v>5</v>
      </c>
      <c r="F438" s="2672">
        <f>дома!F453</f>
        <v>2</v>
      </c>
      <c r="G438" s="2672">
        <f>E438*F438*(IF('Ввод данных'!$A$8=связи1!$A$150,1,0))</f>
        <v>0</v>
      </c>
      <c r="H438" s="2672">
        <f>дома!G453*(IF('Ввод данных'!$A$8=связи1!$A$150,1,0))</f>
        <v>0</v>
      </c>
    </row>
    <row r="439" spans="1:8">
      <c r="A439" s="2670" t="str">
        <f>дома!A454</f>
        <v>Стойка каркаса по фронтону, 1 этаж, двускатная кровля, №8</v>
      </c>
      <c r="B439" s="2671" t="str">
        <f>дома!B454</f>
        <v>м.п.</v>
      </c>
      <c r="C439" s="2672">
        <f>дома!C454</f>
        <v>0.4</v>
      </c>
      <c r="D439" s="2672">
        <f>дома!D454</f>
        <v>0.05</v>
      </c>
      <c r="E439" s="2672">
        <f>дома!E454</f>
        <v>5</v>
      </c>
      <c r="F439" s="2672">
        <f>дома!F454</f>
        <v>2</v>
      </c>
      <c r="G439" s="2672">
        <f>E439*F439*(IF('Ввод данных'!$A$8=связи1!$A$150,1,0))</f>
        <v>0</v>
      </c>
      <c r="H439" s="2672">
        <f>дома!G454*(IF('Ввод данных'!$A$8=связи1!$A$150,1,0))</f>
        <v>0</v>
      </c>
    </row>
    <row r="440" spans="1:8">
      <c r="A440" s="2670" t="str">
        <f>дома!A455</f>
        <v>Стойка каркаса по фронтону, 1 этаж, двускатная кровля, №9</v>
      </c>
      <c r="B440" s="2671" t="str">
        <f>дома!B455</f>
        <v>м.п.</v>
      </c>
      <c r="C440" s="2672">
        <f>дома!C455</f>
        <v>0.4</v>
      </c>
      <c r="D440" s="2672">
        <f>дома!D455</f>
        <v>0.05</v>
      </c>
      <c r="E440" s="2672">
        <f>дома!E455</f>
        <v>5</v>
      </c>
      <c r="F440" s="2672">
        <f>дома!F455</f>
        <v>2</v>
      </c>
      <c r="G440" s="2672">
        <f>E440*F440*(IF('Ввод данных'!$A$8=связи1!$A$150,1,0))</f>
        <v>0</v>
      </c>
      <c r="H440" s="2672">
        <f>дома!G455*(IF('Ввод данных'!$A$8=связи1!$A$150,1,0))</f>
        <v>0</v>
      </c>
    </row>
    <row r="441" spans="1:8">
      <c r="A441" s="2670" t="str">
        <f>дома!A456</f>
        <v>Стойка каркаса по фронтону, 1 этаж, двускатная кровля, №10</v>
      </c>
      <c r="B441" s="2671" t="str">
        <f>дома!B456</f>
        <v>м.п.</v>
      </c>
      <c r="C441" s="2672">
        <f>дома!C456</f>
        <v>0.4</v>
      </c>
      <c r="D441" s="2672">
        <f>дома!D456</f>
        <v>0.05</v>
      </c>
      <c r="E441" s="2672">
        <f>дома!E456</f>
        <v>5</v>
      </c>
      <c r="F441" s="2672">
        <f>дома!F456</f>
        <v>2</v>
      </c>
      <c r="G441" s="2672">
        <f>E441*F441*(IF('Ввод данных'!$A$8=связи1!$A$150,1,0))</f>
        <v>0</v>
      </c>
      <c r="H441" s="2672">
        <f>дома!G456*(IF('Ввод данных'!$A$8=связи1!$A$150,1,0))</f>
        <v>0</v>
      </c>
    </row>
    <row r="442" spans="1:8">
      <c r="A442" s="2670" t="str">
        <f>дома!A457</f>
        <v>Стойка каркаса по фронтону, 1 этаж, двускатная кровля, №11</v>
      </c>
      <c r="B442" s="2671" t="str">
        <f>дома!B457</f>
        <v>м.п.</v>
      </c>
      <c r="C442" s="2672">
        <f>дома!C457</f>
        <v>0.4</v>
      </c>
      <c r="D442" s="2672">
        <f>дома!D457</f>
        <v>0.05</v>
      </c>
      <c r="E442" s="2672">
        <f>дома!E457</f>
        <v>5</v>
      </c>
      <c r="F442" s="2672">
        <f>дома!F457</f>
        <v>2</v>
      </c>
      <c r="G442" s="2672">
        <f>E442*F442*(IF('Ввод данных'!$A$8=связи1!$A$150,1,0))</f>
        <v>0</v>
      </c>
      <c r="H442" s="2672">
        <f>дома!G457*(IF('Ввод данных'!$A$8=связи1!$A$150,1,0))</f>
        <v>0</v>
      </c>
    </row>
    <row r="443" spans="1:8">
      <c r="A443" s="2670" t="str">
        <f>дома!A458</f>
        <v>Стойка каркаса по фронтону, 1 этаж, двускатная кровля, №12</v>
      </c>
      <c r="B443" s="2671" t="str">
        <f>дома!B458</f>
        <v>м.п.</v>
      </c>
      <c r="C443" s="2672">
        <f>дома!C458</f>
        <v>0.4</v>
      </c>
      <c r="D443" s="2672">
        <f>дома!D458</f>
        <v>0.05</v>
      </c>
      <c r="E443" s="2672">
        <f>дома!E458</f>
        <v>5</v>
      </c>
      <c r="F443" s="2672">
        <f>дома!F458</f>
        <v>2</v>
      </c>
      <c r="G443" s="2672">
        <f>E443*F443*(IF('Ввод данных'!$A$8=связи1!$A$150,1,0))</f>
        <v>0</v>
      </c>
      <c r="H443" s="2672">
        <f>дома!G458*(IF('Ввод данных'!$A$8=связи1!$A$150,1,0))</f>
        <v>0</v>
      </c>
    </row>
    <row r="444" spans="1:8">
      <c r="A444" s="2670" t="str">
        <f>дома!A459</f>
        <v>Стойка каркаса по фронтону, 1 этаж, двускатная кровля, №13</v>
      </c>
      <c r="B444" s="2671" t="str">
        <f>дома!B459</f>
        <v>м.п.</v>
      </c>
      <c r="C444" s="2672">
        <f>дома!C459</f>
        <v>0.4</v>
      </c>
      <c r="D444" s="2672">
        <f>дома!D459</f>
        <v>0.05</v>
      </c>
      <c r="E444" s="2672">
        <f>дома!E459</f>
        <v>5</v>
      </c>
      <c r="F444" s="2672">
        <f>дома!F459</f>
        <v>2</v>
      </c>
      <c r="G444" s="2672">
        <f>E444*F444*(IF('Ввод данных'!$A$8=связи1!$A$150,1,0))</f>
        <v>0</v>
      </c>
      <c r="H444" s="2672">
        <f>дома!G459*(IF('Ввод данных'!$A$8=связи1!$A$150,1,0))</f>
        <v>0</v>
      </c>
    </row>
    <row r="445" spans="1:8">
      <c r="A445" s="2670" t="str">
        <f>дома!A460</f>
        <v>Стойка каркаса по фронтону, 1 этаж, двускатная кровля, №14</v>
      </c>
      <c r="B445" s="2671" t="str">
        <f>дома!B460</f>
        <v>м.п.</v>
      </c>
      <c r="C445" s="2672">
        <f>дома!C460</f>
        <v>0.4</v>
      </c>
      <c r="D445" s="2672">
        <f>дома!D460</f>
        <v>0.05</v>
      </c>
      <c r="E445" s="2672">
        <f>дома!E460</f>
        <v>5</v>
      </c>
      <c r="F445" s="2672">
        <f>дома!F460</f>
        <v>2</v>
      </c>
      <c r="G445" s="2672">
        <f>E445*F445*(IF('Ввод данных'!$A$8=связи1!$A$150,1,0))</f>
        <v>0</v>
      </c>
      <c r="H445" s="2672">
        <f>дома!G460*(IF('Ввод данных'!$A$8=связи1!$A$150,1,0))</f>
        <v>0</v>
      </c>
    </row>
    <row r="446" spans="1:8">
      <c r="A446" s="2670" t="str">
        <f>дома!A461</f>
        <v>Стойка каркаса по фронтону, 1 этаж, двускатная кровля, №15</v>
      </c>
      <c r="B446" s="2671" t="str">
        <f>дома!B461</f>
        <v>м.п.</v>
      </c>
      <c r="C446" s="2672">
        <f>дома!C461</f>
        <v>0.4</v>
      </c>
      <c r="D446" s="2672">
        <f>дома!D461</f>
        <v>0.05</v>
      </c>
      <c r="E446" s="2672">
        <f>дома!E461</f>
        <v>5</v>
      </c>
      <c r="F446" s="2672">
        <f>дома!F461</f>
        <v>2</v>
      </c>
      <c r="G446" s="2672">
        <f>E446*F446*(IF('Ввод данных'!$A$8=связи1!$A$150,1,0))</f>
        <v>0</v>
      </c>
      <c r="H446" s="2672">
        <f>дома!G461*(IF('Ввод данных'!$A$8=связи1!$A$150,1,0))</f>
        <v>0</v>
      </c>
    </row>
    <row r="447" spans="1:8">
      <c r="A447" s="2670" t="str">
        <f>дома!A462</f>
        <v>Стойка каркаса по фронтону, 1 этаж, двускатная кровля, №16</v>
      </c>
      <c r="B447" s="2671" t="str">
        <f>дома!B462</f>
        <v>м.п.</v>
      </c>
      <c r="C447" s="2672">
        <f>дома!C462</f>
        <v>0.4</v>
      </c>
      <c r="D447" s="2672">
        <f>дома!D462</f>
        <v>0.05</v>
      </c>
      <c r="E447" s="2672">
        <f>дома!E462</f>
        <v>5</v>
      </c>
      <c r="F447" s="2672">
        <f>дома!F462</f>
        <v>2</v>
      </c>
      <c r="G447" s="2672">
        <f>E447*F447*(IF('Ввод данных'!$A$8=связи1!$A$150,1,0))</f>
        <v>0</v>
      </c>
      <c r="H447" s="2672">
        <f>дома!G462*(IF('Ввод данных'!$A$8=связи1!$A$150,1,0))</f>
        <v>0</v>
      </c>
    </row>
    <row r="448" spans="1:8">
      <c r="A448" s="2670" t="str">
        <f>дома!A463</f>
        <v>Стойка каркаса по фронтону, 1 этаж, двускатная кровля, №17</v>
      </c>
      <c r="B448" s="2671" t="str">
        <f>дома!B463</f>
        <v>м.п.</v>
      </c>
      <c r="C448" s="2672">
        <f>дома!C463</f>
        <v>0.4</v>
      </c>
      <c r="D448" s="2672">
        <f>дома!D463</f>
        <v>0.05</v>
      </c>
      <c r="E448" s="2672">
        <f>дома!E463</f>
        <v>5</v>
      </c>
      <c r="F448" s="2672">
        <f>дома!F463</f>
        <v>2</v>
      </c>
      <c r="G448" s="2672">
        <f>E448*F448*(IF('Ввод данных'!$A$8=связи1!$A$150,1,0))</f>
        <v>0</v>
      </c>
      <c r="H448" s="2672">
        <f>дома!G463*(IF('Ввод данных'!$A$8=связи1!$A$150,1,0))</f>
        <v>0</v>
      </c>
    </row>
    <row r="449" spans="1:8" ht="21">
      <c r="A449" s="3266" t="s">
        <v>4170</v>
      </c>
      <c r="B449" s="3266"/>
      <c r="C449" s="3266"/>
      <c r="D449" s="3266"/>
      <c r="E449" s="3266"/>
      <c r="F449" s="3266"/>
      <c r="G449" s="2673">
        <f>E449*F449</f>
        <v>0</v>
      </c>
      <c r="H449" s="2673">
        <f>SUM(H450:H489)</f>
        <v>0</v>
      </c>
    </row>
    <row r="450" spans="1:8">
      <c r="A450" s="2670" t="str">
        <f>дома!A886</f>
        <v>Стойки каркаса передняя стена, 2 эт</v>
      </c>
      <c r="B450" s="2671" t="str">
        <f>дома!B886</f>
        <v>м.п.</v>
      </c>
      <c r="C450" s="2672">
        <f>дома!C886</f>
        <v>0.4</v>
      </c>
      <c r="D450" s="2672">
        <f>дома!D886</f>
        <v>0.05</v>
      </c>
      <c r="E450" s="2672">
        <f>дома!E886</f>
        <v>0</v>
      </c>
      <c r="F450" s="2672">
        <f>дома!F886</f>
        <v>0</v>
      </c>
      <c r="G450" s="2672">
        <f>E450*F450*(IF('Ввод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0" s="2672">
        <f>дома!G886*(IF('Ввод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1" spans="1:8">
      <c r="A451" s="2670" t="str">
        <f>дома!A887</f>
        <v>Стойки каркаса , левая стена, 2 эт</v>
      </c>
      <c r="B451" s="2671" t="str">
        <f>дома!B887</f>
        <v>м.п.</v>
      </c>
      <c r="C451" s="2672">
        <f>дома!C887</f>
        <v>0.4</v>
      </c>
      <c r="D451" s="2672">
        <f>дома!D887</f>
        <v>0.05</v>
      </c>
      <c r="E451" s="2672">
        <f>дома!E887</f>
        <v>0</v>
      </c>
      <c r="F451" s="2672">
        <f>дома!F887</f>
        <v>0</v>
      </c>
      <c r="G451" s="2672">
        <f>E451*F451*(IF('Ввод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1" s="2672">
        <f>дома!G887*(IF('Ввод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2" spans="1:8">
      <c r="A452" s="2670" t="str">
        <f>дома!A888</f>
        <v>Стойки каркаса , правая стена, 2 эт</v>
      </c>
      <c r="B452" s="2671" t="str">
        <f>дома!B888</f>
        <v>м.п.</v>
      </c>
      <c r="C452" s="2672">
        <f>дома!C888</f>
        <v>0.4</v>
      </c>
      <c r="D452" s="2672">
        <f>дома!D888</f>
        <v>0.05</v>
      </c>
      <c r="E452" s="2672">
        <f>дома!E888</f>
        <v>0</v>
      </c>
      <c r="F452" s="2672">
        <f>дома!F888</f>
        <v>0</v>
      </c>
      <c r="G452" s="2672">
        <f>E452*F452*(IF('Ввод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2" s="2672">
        <f>дома!G888*(IF('Ввод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3" spans="1:8">
      <c r="A453" s="2670" t="str">
        <f>дома!A889</f>
        <v>Обвязка каркаса верхняя/нижняя наружние стены 2 эт</v>
      </c>
      <c r="B453" s="2671" t="str">
        <f>дома!B889</f>
        <v>м.п.</v>
      </c>
      <c r="C453" s="2672">
        <f>дома!C889</f>
        <v>0.4</v>
      </c>
      <c r="D453" s="2672">
        <f>дома!D889</f>
        <v>0.05</v>
      </c>
      <c r="E453" s="2672">
        <f>дома!E889</f>
        <v>1</v>
      </c>
      <c r="F453" s="2672">
        <f>дома!F889</f>
        <v>0</v>
      </c>
      <c r="G453" s="2672">
        <f>E453*F453*(IF('Ввод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3" s="2672">
        <f>дома!G889*(IF('Ввод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4" spans="1:8">
      <c r="A454" s="2670" t="str">
        <f>дома!A890</f>
        <v>Ригель каркаса наружние стены 2 эт</v>
      </c>
      <c r="B454" s="2671" t="str">
        <f>дома!B890</f>
        <v>м.п.</v>
      </c>
      <c r="C454" s="2672">
        <f>дома!C890</f>
        <v>0.4</v>
      </c>
      <c r="D454" s="2672">
        <f>дома!D890</f>
        <v>0.05</v>
      </c>
      <c r="E454" s="2672">
        <f>дома!E890</f>
        <v>1</v>
      </c>
      <c r="F454" s="2672">
        <f>дома!F890</f>
        <v>0</v>
      </c>
      <c r="G454" s="2672">
        <f>E454*F454*(IF('Ввод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4" s="2672">
        <f>дома!G890*(IF('Ввод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5" spans="1:8">
      <c r="A455" s="2670" t="str">
        <f>дома!A891</f>
        <v>Укосина наружних стен, усиление 2 этаж</v>
      </c>
      <c r="B455" s="2671" t="str">
        <f>дома!B891</f>
        <v>м.п.</v>
      </c>
      <c r="C455" s="2672">
        <f>дома!C891</f>
        <v>0.4</v>
      </c>
      <c r="D455" s="2672">
        <f>дома!D891</f>
        <v>0.05</v>
      </c>
      <c r="E455" s="2672">
        <f>дома!E891</f>
        <v>1.5</v>
      </c>
      <c r="F455" s="2672">
        <f>дома!F891</f>
        <v>0</v>
      </c>
      <c r="G455" s="2672">
        <f>E455*F455*(IF('Ввод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5" s="2672">
        <f>дома!G891*(IF('Ввод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6" spans="1:8">
      <c r="A456" s="2670" t="str">
        <f>дома!A892</f>
        <v>Стойка каркаса по фронтону, 2 этаж, односкатная кровля, №1</v>
      </c>
      <c r="B456" s="2671" t="str">
        <f>дома!B892</f>
        <v>м.п.</v>
      </c>
      <c r="C456" s="2672">
        <f>дома!C892</f>
        <v>0.4</v>
      </c>
      <c r="D456" s="2672">
        <f>дома!D892</f>
        <v>0.05</v>
      </c>
      <c r="E456" s="2672">
        <f>дома!E892</f>
        <v>0</v>
      </c>
      <c r="F456" s="2672">
        <f>дома!F892</f>
        <v>0</v>
      </c>
      <c r="G456" s="2672">
        <f>E456*F456*(IF('Ввод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6" s="2672">
        <f>дома!G892*(IF('Ввод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7" spans="1:8">
      <c r="A457" s="2670" t="str">
        <f>дома!A893</f>
        <v>Стойка каркаса по фронтону, 2 этаж, односкатная кровля, №2</v>
      </c>
      <c r="B457" s="2671" t="str">
        <f>дома!B893</f>
        <v>м.п.</v>
      </c>
      <c r="C457" s="2672">
        <f>дома!C893</f>
        <v>0.4</v>
      </c>
      <c r="D457" s="2672">
        <f>дома!D893</f>
        <v>0.05</v>
      </c>
      <c r="E457" s="2672">
        <f>дома!E893</f>
        <v>0</v>
      </c>
      <c r="F457" s="2672">
        <f>дома!F893</f>
        <v>0</v>
      </c>
      <c r="G457" s="2672">
        <f>E457*F457*(IF('Ввод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7" s="2672">
        <f>дома!G893*(IF('Ввод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8" spans="1:8">
      <c r="A458" s="2670" t="str">
        <f>дома!A894</f>
        <v>Стойка каркаса по фронтону, 2 этаж, односкатная кровля, №3</v>
      </c>
      <c r="B458" s="2671" t="str">
        <f>дома!B894</f>
        <v>м.п.</v>
      </c>
      <c r="C458" s="2672">
        <f>дома!C894</f>
        <v>0.4</v>
      </c>
      <c r="D458" s="2672">
        <f>дома!D894</f>
        <v>0.05</v>
      </c>
      <c r="E458" s="2672">
        <f>дома!E894</f>
        <v>0</v>
      </c>
      <c r="F458" s="2672">
        <f>дома!F894</f>
        <v>0</v>
      </c>
      <c r="G458" s="2672">
        <f>E458*F458*(IF('Ввод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8" s="2672">
        <f>дома!G894*(IF('Ввод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9" spans="1:8">
      <c r="A459" s="2670" t="str">
        <f>дома!A895</f>
        <v>Стойка каркаса по фронтону, 2 этаж, односкатная кровля, №4</v>
      </c>
      <c r="B459" s="2671" t="str">
        <f>дома!B895</f>
        <v>м.п.</v>
      </c>
      <c r="C459" s="2672">
        <f>дома!C895</f>
        <v>0.4</v>
      </c>
      <c r="D459" s="2672">
        <f>дома!D895</f>
        <v>0.05</v>
      </c>
      <c r="E459" s="2672">
        <f>дома!E895</f>
        <v>0</v>
      </c>
      <c r="F459" s="2672">
        <f>дома!F895</f>
        <v>0</v>
      </c>
      <c r="G459" s="2672">
        <f>E459*F459*(IF('Ввод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9" s="2672">
        <f>дома!G895*(IF('Ввод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0" spans="1:8">
      <c r="A460" s="2670" t="str">
        <f>дома!A896</f>
        <v>Стойка каркаса по фронтону, 2 этаж, односкатная кровля, №5</v>
      </c>
      <c r="B460" s="2671" t="str">
        <f>дома!B896</f>
        <v>м.п.</v>
      </c>
      <c r="C460" s="2672">
        <f>дома!C896</f>
        <v>0.4</v>
      </c>
      <c r="D460" s="2672">
        <f>дома!D896</f>
        <v>0.05</v>
      </c>
      <c r="E460" s="2672">
        <f>дома!E896</f>
        <v>0</v>
      </c>
      <c r="F460" s="2672">
        <f>дома!F896</f>
        <v>0</v>
      </c>
      <c r="G460" s="2672">
        <f>E460*F460*(IF('Ввод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0" s="2672">
        <f>дома!G896*(IF('Ввод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1" spans="1:8">
      <c r="A461" s="2670" t="str">
        <f>дома!A897</f>
        <v>Стойка каркаса по фронтону, 2 этаж, односкатная кровля, №6</v>
      </c>
      <c r="B461" s="2671" t="str">
        <f>дома!B897</f>
        <v>м.п.</v>
      </c>
      <c r="C461" s="2672">
        <f>дома!C897</f>
        <v>0.4</v>
      </c>
      <c r="D461" s="2672">
        <f>дома!D897</f>
        <v>0.05</v>
      </c>
      <c r="E461" s="2672">
        <f>дома!E897</f>
        <v>0</v>
      </c>
      <c r="F461" s="2672">
        <f>дома!F897</f>
        <v>0</v>
      </c>
      <c r="G461" s="2672">
        <f>E461*F461*(IF('Ввод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1" s="2672">
        <f>дома!G897*(IF('Ввод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2" spans="1:8">
      <c r="A462" s="2670" t="str">
        <f>дома!A898</f>
        <v>Стойка каркаса по фронтону, 2 этаж, односкатная кровля, №7</v>
      </c>
      <c r="B462" s="2671" t="str">
        <f>дома!B898</f>
        <v>м.п.</v>
      </c>
      <c r="C462" s="2672">
        <f>дома!C898</f>
        <v>0.4</v>
      </c>
      <c r="D462" s="2672">
        <f>дома!D898</f>
        <v>0.05</v>
      </c>
      <c r="E462" s="2672">
        <f>дома!E898</f>
        <v>0</v>
      </c>
      <c r="F462" s="2672">
        <f>дома!F898</f>
        <v>0</v>
      </c>
      <c r="G462" s="2672">
        <f>E462*F462*(IF('Ввод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2" s="2672">
        <f>дома!G898*(IF('Ввод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3" spans="1:8">
      <c r="A463" s="2670" t="str">
        <f>дома!A899</f>
        <v>Стойка каркаса по фронтону, 2 этаж, односкатная кровля, №8</v>
      </c>
      <c r="B463" s="2671" t="str">
        <f>дома!B899</f>
        <v>м.п.</v>
      </c>
      <c r="C463" s="2672">
        <f>дома!C899</f>
        <v>0.4</v>
      </c>
      <c r="D463" s="2672">
        <f>дома!D899</f>
        <v>0.05</v>
      </c>
      <c r="E463" s="2672">
        <f>дома!E899</f>
        <v>0</v>
      </c>
      <c r="F463" s="2672">
        <f>дома!F899</f>
        <v>0</v>
      </c>
      <c r="G463" s="2672">
        <f>E463*F463*(IF('Ввод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3" s="2672">
        <f>дома!G899*(IF('Ввод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4" spans="1:8">
      <c r="A464" s="2670" t="str">
        <f>дома!A900</f>
        <v>Стойка каркаса по фронтону, 2 этаж, односкатная кровля, №9</v>
      </c>
      <c r="B464" s="2671" t="str">
        <f>дома!B900</f>
        <v>м.п.</v>
      </c>
      <c r="C464" s="2672">
        <f>дома!C900</f>
        <v>0.4</v>
      </c>
      <c r="D464" s="2672">
        <f>дома!D900</f>
        <v>0.05</v>
      </c>
      <c r="E464" s="2672">
        <f>дома!E900</f>
        <v>0</v>
      </c>
      <c r="F464" s="2672">
        <f>дома!F900</f>
        <v>0</v>
      </c>
      <c r="G464" s="2672">
        <f>E464*F464*(IF('Ввод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4" s="2672">
        <f>дома!G900*(IF('Ввод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5" spans="1:8">
      <c r="A465" s="2670" t="str">
        <f>дома!A901</f>
        <v>Стойка каркаса по фронтону, 2 этаж, односкатная кровля, №10</v>
      </c>
      <c r="B465" s="2671" t="str">
        <f>дома!B901</f>
        <v>м.п.</v>
      </c>
      <c r="C465" s="2672">
        <f>дома!C901</f>
        <v>0.4</v>
      </c>
      <c r="D465" s="2672">
        <f>дома!D901</f>
        <v>0.05</v>
      </c>
      <c r="E465" s="2672">
        <f>дома!E901</f>
        <v>0</v>
      </c>
      <c r="F465" s="2672">
        <f>дома!F901</f>
        <v>0</v>
      </c>
      <c r="G465" s="2672">
        <f>E465*F465*(IF('Ввод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5" s="2672">
        <f>дома!G901*(IF('Ввод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6" spans="1:8">
      <c r="A466" s="2670" t="str">
        <f>дома!A902</f>
        <v>Стойка каркаса по фронтону, 2 этаж, односкатная кровля, №11</v>
      </c>
      <c r="B466" s="2671" t="str">
        <f>дома!B902</f>
        <v>м.п.</v>
      </c>
      <c r="C466" s="2672">
        <f>дома!C902</f>
        <v>0.4</v>
      </c>
      <c r="D466" s="2672">
        <f>дома!D902</f>
        <v>0.05</v>
      </c>
      <c r="E466" s="2672">
        <f>дома!E902</f>
        <v>0</v>
      </c>
      <c r="F466" s="2672">
        <f>дома!F902</f>
        <v>0</v>
      </c>
      <c r="G466" s="2672">
        <f>E466*F466*(IF('Ввод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6" s="2672">
        <f>дома!G902*(IF('Ввод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7" spans="1:8">
      <c r="A467" s="2670" t="str">
        <f>дома!A903</f>
        <v>Стойка каркаса по фронтону, 2 этаж, односкатная кровля, №12</v>
      </c>
      <c r="B467" s="2671" t="str">
        <f>дома!B903</f>
        <v>м.п.</v>
      </c>
      <c r="C467" s="2672">
        <f>дома!C903</f>
        <v>0.4</v>
      </c>
      <c r="D467" s="2672">
        <f>дома!D903</f>
        <v>0.05</v>
      </c>
      <c r="E467" s="2672">
        <f>дома!E903</f>
        <v>0</v>
      </c>
      <c r="F467" s="2672">
        <f>дома!F903</f>
        <v>0</v>
      </c>
      <c r="G467" s="2672">
        <f>E467*F467*(IF('Ввод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7" s="2672">
        <f>дома!G903*(IF('Ввод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8" spans="1:8">
      <c r="A468" s="2670" t="str">
        <f>дома!A904</f>
        <v>Стойка каркаса по фронтону, 2 этаж, односкатная кровля, №13</v>
      </c>
      <c r="B468" s="2671" t="str">
        <f>дома!B904</f>
        <v>м.п.</v>
      </c>
      <c r="C468" s="2672">
        <f>дома!C904</f>
        <v>0.4</v>
      </c>
      <c r="D468" s="2672">
        <f>дома!D904</f>
        <v>0.05</v>
      </c>
      <c r="E468" s="2672">
        <f>дома!E904</f>
        <v>0</v>
      </c>
      <c r="F468" s="2672">
        <f>дома!F904</f>
        <v>0</v>
      </c>
      <c r="G468" s="2672">
        <f>E468*F468*(IF('Ввод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8" s="2672">
        <f>дома!G904*(IF('Ввод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9" spans="1:8">
      <c r="A469" s="2670" t="str">
        <f>дома!A905</f>
        <v>Стойка каркаса по фронтону, 2 этаж, односкатная кровля, №14</v>
      </c>
      <c r="B469" s="2671" t="str">
        <f>дома!B905</f>
        <v>м.п.</v>
      </c>
      <c r="C469" s="2672">
        <f>дома!C905</f>
        <v>0.4</v>
      </c>
      <c r="D469" s="2672">
        <f>дома!D905</f>
        <v>0.05</v>
      </c>
      <c r="E469" s="2672">
        <f>дома!E905</f>
        <v>0</v>
      </c>
      <c r="F469" s="2672">
        <f>дома!F905</f>
        <v>0</v>
      </c>
      <c r="G469" s="2672">
        <f>E469*F469*(IF('Ввод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9" s="2672">
        <f>дома!G905*(IF('Ввод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0" spans="1:8">
      <c r="A470" s="2670" t="str">
        <f>дома!A906</f>
        <v>Стойка каркаса по фронтону, 2 этаж, односкатная кровля, №15</v>
      </c>
      <c r="B470" s="2671" t="str">
        <f>дома!B906</f>
        <v>м.п.</v>
      </c>
      <c r="C470" s="2672">
        <f>дома!C906</f>
        <v>0.4</v>
      </c>
      <c r="D470" s="2672">
        <f>дома!D906</f>
        <v>0.05</v>
      </c>
      <c r="E470" s="2672">
        <f>дома!E906</f>
        <v>0</v>
      </c>
      <c r="F470" s="2672">
        <f>дома!F906</f>
        <v>0</v>
      </c>
      <c r="G470" s="2672">
        <f>E470*F470*(IF('Ввод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0" s="2672">
        <f>дома!G906*(IF('Ввод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1" spans="1:8">
      <c r="A471" s="2670" t="str">
        <f>дома!A907</f>
        <v>Стойка каркаса по фронтону, 2 этаж, односкатная кровля, №16</v>
      </c>
      <c r="B471" s="2671" t="str">
        <f>дома!B907</f>
        <v>м.п.</v>
      </c>
      <c r="C471" s="2672">
        <f>дома!C907</f>
        <v>0.4</v>
      </c>
      <c r="D471" s="2672">
        <f>дома!D907</f>
        <v>0.05</v>
      </c>
      <c r="E471" s="2672">
        <f>дома!E907</f>
        <v>0</v>
      </c>
      <c r="F471" s="2672">
        <f>дома!F907</f>
        <v>0</v>
      </c>
      <c r="G471" s="2672">
        <f>E471*F471*(IF('Ввод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1" s="2672">
        <f>дома!G907*(IF('Ввод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2" spans="1:8">
      <c r="A472" s="2670" t="str">
        <f>дома!A908</f>
        <v>Стойка каркаса по фронтону, 2 этаж, односкатная кровля, №17</v>
      </c>
      <c r="B472" s="2671" t="str">
        <f>дома!B908</f>
        <v>м.п.</v>
      </c>
      <c r="C472" s="2672">
        <f>дома!C908</f>
        <v>0.4</v>
      </c>
      <c r="D472" s="2672">
        <f>дома!D908</f>
        <v>0.05</v>
      </c>
      <c r="E472" s="2672">
        <f>дома!E908</f>
        <v>0</v>
      </c>
      <c r="F472" s="2672">
        <f>дома!F908</f>
        <v>0</v>
      </c>
      <c r="G472" s="2672">
        <f>E472*F472*(IF('Ввод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2" s="2672">
        <f>дома!G908*(IF('Ввод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3" spans="1:8">
      <c r="A473" s="2670" t="str">
        <f>дома!A909</f>
        <v>Стойка каркаса по фронтону, 2 этаж, двускатная кровля, №1</v>
      </c>
      <c r="B473" s="2671" t="str">
        <f>дома!B909</f>
        <v>м.п.</v>
      </c>
      <c r="C473" s="2672">
        <f>дома!C909</f>
        <v>0.4</v>
      </c>
      <c r="D473" s="2672">
        <f>дома!D909</f>
        <v>0.05</v>
      </c>
      <c r="E473" s="2672">
        <f>дома!E909</f>
        <v>0</v>
      </c>
      <c r="F473" s="2672">
        <f>дома!F909</f>
        <v>0</v>
      </c>
      <c r="G473" s="2672">
        <f>E473*F473*(IF('Ввод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3" s="2672">
        <f>дома!G909*(IF('Ввод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4" spans="1:8">
      <c r="A474" s="2670" t="str">
        <f>дома!A910</f>
        <v>Стойка каркаса по фронтону, 2 этаж, двускатная кровля, №2</v>
      </c>
      <c r="B474" s="2671" t="str">
        <f>дома!B910</f>
        <v>м.п.</v>
      </c>
      <c r="C474" s="2672">
        <f>дома!C910</f>
        <v>0.4</v>
      </c>
      <c r="D474" s="2672">
        <f>дома!D910</f>
        <v>0.05</v>
      </c>
      <c r="E474" s="2672">
        <f>дома!E910</f>
        <v>0</v>
      </c>
      <c r="F474" s="2672">
        <f>дома!F910</f>
        <v>0</v>
      </c>
      <c r="G474" s="2672">
        <f>E474*F474*(IF('Ввод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4" s="2672">
        <f>дома!G910*(IF('Ввод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5" spans="1:8">
      <c r="A475" s="2670" t="str">
        <f>дома!A911</f>
        <v>Стойка каркаса по фронтону, 2 этаж, двускатная кровля, №3</v>
      </c>
      <c r="B475" s="2671" t="str">
        <f>дома!B911</f>
        <v>м.п.</v>
      </c>
      <c r="C475" s="2672">
        <f>дома!C911</f>
        <v>0.4</v>
      </c>
      <c r="D475" s="2672">
        <f>дома!D911</f>
        <v>0.05</v>
      </c>
      <c r="E475" s="2672">
        <f>дома!E911</f>
        <v>0</v>
      </c>
      <c r="F475" s="2672">
        <f>дома!F911</f>
        <v>0</v>
      </c>
      <c r="G475" s="2672">
        <f>E475*F475*(IF('Ввод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5" s="2672">
        <f>дома!G911*(IF('Ввод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6" spans="1:8">
      <c r="A476" s="2670" t="str">
        <f>дома!A912</f>
        <v>Стойка каркаса по фронтону, 2 этаж, двускатная кровля, №4</v>
      </c>
      <c r="B476" s="2671" t="str">
        <f>дома!B912</f>
        <v>м.п.</v>
      </c>
      <c r="C476" s="2672">
        <f>дома!C912</f>
        <v>0.4</v>
      </c>
      <c r="D476" s="2672">
        <f>дома!D912</f>
        <v>0.05</v>
      </c>
      <c r="E476" s="2672">
        <f>дома!E912</f>
        <v>0</v>
      </c>
      <c r="F476" s="2672">
        <f>дома!F912</f>
        <v>0</v>
      </c>
      <c r="G476" s="2672">
        <f>E476*F476*(IF('Ввод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6" s="2672">
        <f>дома!G912*(IF('Ввод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7" spans="1:8">
      <c r="A477" s="2670" t="str">
        <f>дома!A913</f>
        <v>Стойка каркаса по фронтону, 2 этаж, двускатная кровля, №5</v>
      </c>
      <c r="B477" s="2671" t="str">
        <f>дома!B913</f>
        <v>м.п.</v>
      </c>
      <c r="C477" s="2672">
        <f>дома!C913</f>
        <v>0.4</v>
      </c>
      <c r="D477" s="2672">
        <f>дома!D913</f>
        <v>0.05</v>
      </c>
      <c r="E477" s="2672">
        <f>дома!E913</f>
        <v>0</v>
      </c>
      <c r="F477" s="2672">
        <f>дома!F913</f>
        <v>0</v>
      </c>
      <c r="G477" s="2672">
        <f>E477*F477*(IF('Ввод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7" s="2672">
        <f>дома!G913*(IF('Ввод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8" spans="1:8">
      <c r="A478" s="2670" t="str">
        <f>дома!A914</f>
        <v>Стойка каркаса по фронтону, 2 этаж, двускатная кровля, №6</v>
      </c>
      <c r="B478" s="2671" t="str">
        <f>дома!B914</f>
        <v>м.п.</v>
      </c>
      <c r="C478" s="2672">
        <f>дома!C914</f>
        <v>0.4</v>
      </c>
      <c r="D478" s="2672">
        <f>дома!D914</f>
        <v>0.05</v>
      </c>
      <c r="E478" s="2672">
        <f>дома!E914</f>
        <v>0</v>
      </c>
      <c r="F478" s="2672">
        <f>дома!F914</f>
        <v>0</v>
      </c>
      <c r="G478" s="2672">
        <f>E478*F478*(IF('Ввод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8" s="2672">
        <f>дома!G914*(IF('Ввод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9" spans="1:8">
      <c r="A479" s="2670" t="str">
        <f>дома!A915</f>
        <v>Стойка каркаса по фронтону, 2 этаж, двускатная кровля, №7</v>
      </c>
      <c r="B479" s="2671" t="str">
        <f>дома!B915</f>
        <v>м.п.</v>
      </c>
      <c r="C479" s="2672">
        <f>дома!C915</f>
        <v>0.4</v>
      </c>
      <c r="D479" s="2672">
        <f>дома!D915</f>
        <v>0.05</v>
      </c>
      <c r="E479" s="2672">
        <f>дома!E915</f>
        <v>0</v>
      </c>
      <c r="F479" s="2672">
        <f>дома!F915</f>
        <v>0</v>
      </c>
      <c r="G479" s="2672">
        <f>E479*F479*(IF('Ввод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9" s="2672">
        <f>дома!G915*(IF('Ввод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0" spans="1:8">
      <c r="A480" s="2670" t="str">
        <f>дома!A916</f>
        <v>Стойка каркаса по фронтону, 2 этаж, двускатная кровля, №8</v>
      </c>
      <c r="B480" s="2671" t="str">
        <f>дома!B916</f>
        <v>м.п.</v>
      </c>
      <c r="C480" s="2672">
        <f>дома!C916</f>
        <v>0.4</v>
      </c>
      <c r="D480" s="2672">
        <f>дома!D916</f>
        <v>0.05</v>
      </c>
      <c r="E480" s="2672">
        <f>дома!E916</f>
        <v>0</v>
      </c>
      <c r="F480" s="2672">
        <f>дома!F916</f>
        <v>0</v>
      </c>
      <c r="G480" s="2672">
        <f>E480*F480*(IF('Ввод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0" s="2672">
        <f>дома!G916*(IF('Ввод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1" spans="1:8">
      <c r="A481" s="2670" t="str">
        <f>дома!A917</f>
        <v>Стойка каркаса по фронтону, 2 этаж, двускатная кровля, №9</v>
      </c>
      <c r="B481" s="2671" t="str">
        <f>дома!B917</f>
        <v>м.п.</v>
      </c>
      <c r="C481" s="2672">
        <f>дома!C917</f>
        <v>0.4</v>
      </c>
      <c r="D481" s="2672">
        <f>дома!D917</f>
        <v>0.05</v>
      </c>
      <c r="E481" s="2672">
        <f>дома!E917</f>
        <v>0</v>
      </c>
      <c r="F481" s="2672">
        <f>дома!F917</f>
        <v>0</v>
      </c>
      <c r="G481" s="2672">
        <f>E481*F481*(IF('Ввод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1" s="2672">
        <f>дома!G917*(IF('Ввод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2" spans="1:8">
      <c r="A482" s="2670" t="str">
        <f>дома!A918</f>
        <v>Стойка каркаса по фронтону, 2 этаж, двускатная кровля, №10</v>
      </c>
      <c r="B482" s="2671" t="str">
        <f>дома!B918</f>
        <v>м.п.</v>
      </c>
      <c r="C482" s="2672">
        <f>дома!C918</f>
        <v>0.4</v>
      </c>
      <c r="D482" s="2672">
        <f>дома!D918</f>
        <v>0.05</v>
      </c>
      <c r="E482" s="2672">
        <f>дома!E918</f>
        <v>0</v>
      </c>
      <c r="F482" s="2672">
        <f>дома!F918</f>
        <v>0</v>
      </c>
      <c r="G482" s="2672">
        <f>E482*F482*(IF('Ввод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2" s="2672">
        <f>дома!G918*(IF('Ввод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3" spans="1:8">
      <c r="A483" s="2670" t="str">
        <f>дома!A919</f>
        <v>Стойка каркаса по фронтону, 2 этаж, двускатная кровля, №11</v>
      </c>
      <c r="B483" s="2671" t="str">
        <f>дома!B919</f>
        <v>м.п.</v>
      </c>
      <c r="C483" s="2672">
        <f>дома!C919</f>
        <v>0.4</v>
      </c>
      <c r="D483" s="2672">
        <f>дома!D919</f>
        <v>0.05</v>
      </c>
      <c r="E483" s="2672">
        <f>дома!E919</f>
        <v>0</v>
      </c>
      <c r="F483" s="2672">
        <f>дома!F919</f>
        <v>0</v>
      </c>
      <c r="G483" s="2672">
        <f>E483*F483*(IF('Ввод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3" s="2672">
        <f>дома!G919*(IF('Ввод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4" spans="1:8">
      <c r="A484" s="2670" t="str">
        <f>дома!A920</f>
        <v>Стойка каркаса по фронтону, 2 этаж, двускатная кровля, №12</v>
      </c>
      <c r="B484" s="2671" t="str">
        <f>дома!B920</f>
        <v>м.п.</v>
      </c>
      <c r="C484" s="2672">
        <f>дома!C920</f>
        <v>0.4</v>
      </c>
      <c r="D484" s="2672">
        <f>дома!D920</f>
        <v>0.05</v>
      </c>
      <c r="E484" s="2672">
        <f>дома!E920</f>
        <v>0</v>
      </c>
      <c r="F484" s="2672">
        <f>дома!F920</f>
        <v>0</v>
      </c>
      <c r="G484" s="2672">
        <f>E484*F484*(IF('Ввод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4" s="2672">
        <f>дома!G920*(IF('Ввод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5" spans="1:8">
      <c r="A485" s="2670" t="str">
        <f>дома!A921</f>
        <v>Стойка каркаса по фронтону, 2 этаж, двускатная кровля, №13</v>
      </c>
      <c r="B485" s="2671" t="str">
        <f>дома!B921</f>
        <v>м.п.</v>
      </c>
      <c r="C485" s="2672">
        <f>дома!C921</f>
        <v>0.4</v>
      </c>
      <c r="D485" s="2672">
        <f>дома!D921</f>
        <v>0.05</v>
      </c>
      <c r="E485" s="2672">
        <f>дома!E921</f>
        <v>0</v>
      </c>
      <c r="F485" s="2672">
        <f>дома!F921</f>
        <v>0</v>
      </c>
      <c r="G485" s="2672">
        <f>E485*F485*(IF('Ввод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5" s="2672">
        <f>дома!G921*(IF('Ввод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6" spans="1:8">
      <c r="A486" s="2670" t="str">
        <f>дома!A922</f>
        <v>Стойка каркаса по фронтону, 2 этаж, двускатная кровля, №14</v>
      </c>
      <c r="B486" s="2671" t="str">
        <f>дома!B922</f>
        <v>м.п.</v>
      </c>
      <c r="C486" s="2672">
        <f>дома!C922</f>
        <v>0.4</v>
      </c>
      <c r="D486" s="2672">
        <f>дома!D922</f>
        <v>0.05</v>
      </c>
      <c r="E486" s="2672">
        <f>дома!E922</f>
        <v>0</v>
      </c>
      <c r="F486" s="2672">
        <f>дома!F922</f>
        <v>0</v>
      </c>
      <c r="G486" s="2672">
        <f>E486*F486*(IF('Ввод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6" s="2672">
        <f>дома!G922*(IF('Ввод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7" spans="1:8">
      <c r="A487" s="2670" t="str">
        <f>дома!A923</f>
        <v>Стойка каркаса по фронтону, 2 этаж, двускатная кровля, №15</v>
      </c>
      <c r="B487" s="2671" t="str">
        <f>дома!B923</f>
        <v>м.п.</v>
      </c>
      <c r="C487" s="2672">
        <f>дома!C923</f>
        <v>0.4</v>
      </c>
      <c r="D487" s="2672">
        <f>дома!D923</f>
        <v>0.05</v>
      </c>
      <c r="E487" s="2672">
        <f>дома!E923</f>
        <v>0</v>
      </c>
      <c r="F487" s="2672">
        <f>дома!F923</f>
        <v>0</v>
      </c>
      <c r="G487" s="2672">
        <f>E487*F487*(IF('Ввод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7" s="2672">
        <f>дома!G923*(IF('Ввод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8" spans="1:8">
      <c r="A488" s="2670" t="str">
        <f>дома!A924</f>
        <v>Стойка каркаса по фронтону, 2 этаж, двускатная кровля, №16</v>
      </c>
      <c r="B488" s="2671" t="str">
        <f>дома!B924</f>
        <v>м.п.</v>
      </c>
      <c r="C488" s="2672">
        <f>дома!C924</f>
        <v>0.4</v>
      </c>
      <c r="D488" s="2672">
        <f>дома!D924</f>
        <v>0.05</v>
      </c>
      <c r="E488" s="2672">
        <f>дома!E924</f>
        <v>0</v>
      </c>
      <c r="F488" s="2672">
        <f>дома!F924</f>
        <v>0</v>
      </c>
      <c r="G488" s="2672">
        <f>E488*F488*(IF('Ввод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8" s="2672">
        <f>дома!G924*(IF('Ввод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9" spans="1:8">
      <c r="A489" s="2670" t="str">
        <f>дома!A925</f>
        <v>Стойка каркаса по фронтону, 2 этаж, двускатная кровля, №17</v>
      </c>
      <c r="B489" s="2671" t="str">
        <f>дома!B925</f>
        <v>м.п.</v>
      </c>
      <c r="C489" s="2672">
        <f>дома!C925</f>
        <v>0.4</v>
      </c>
      <c r="D489" s="2672">
        <f>дома!D925</f>
        <v>0.05</v>
      </c>
      <c r="E489" s="2672">
        <f>дома!E925</f>
        <v>0</v>
      </c>
      <c r="F489" s="2672">
        <f>дома!F925</f>
        <v>0</v>
      </c>
      <c r="G489" s="2672">
        <f>E489*F489*(IF('Ввод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9" s="2672">
        <f>дома!G925*(IF('Ввод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90" spans="1:8" ht="21">
      <c r="A490" s="3266" t="s">
        <v>4171</v>
      </c>
      <c r="B490" s="3266"/>
      <c r="C490" s="3266"/>
      <c r="D490" s="3266"/>
      <c r="E490" s="3266"/>
      <c r="F490" s="3266"/>
      <c r="G490" s="2673">
        <f>E490*F490</f>
        <v>0</v>
      </c>
      <c r="H490" s="2673">
        <f>SUM(H491:H530)</f>
        <v>0</v>
      </c>
    </row>
    <row r="491" spans="1:8">
      <c r="A491" s="2670" t="str">
        <f>дома!A466</f>
        <v>Стойки каркаса передней стены 1 эт</v>
      </c>
      <c r="B491" s="2671" t="str">
        <f>дома!B466</f>
        <v>м.п.</v>
      </c>
      <c r="C491" s="2672">
        <f>дома!C466</f>
        <v>0.4</v>
      </c>
      <c r="D491" s="2672">
        <f>дома!D466</f>
        <v>0.05</v>
      </c>
      <c r="E491" s="2672">
        <f>дома!E466</f>
        <v>2.9</v>
      </c>
      <c r="F491" s="2672">
        <f>дома!F466</f>
        <v>0</v>
      </c>
      <c r="G491" s="2672">
        <f>E491*F491*IF('Ввод данных'!$A$8=связи1!$A$150,1,0)</f>
        <v>0</v>
      </c>
      <c r="H491" s="2672">
        <f>дома!G466*IF('Ввод данных'!$A$8=связи1!$A$150,1,0)</f>
        <v>0</v>
      </c>
    </row>
    <row r="492" spans="1:8">
      <c r="A492" s="2670" t="str">
        <f>дома!A467</f>
        <v>Стойки каркаса, левая сторона 1 эт</v>
      </c>
      <c r="B492" s="2671" t="str">
        <f>дома!B467</f>
        <v>м.п.</v>
      </c>
      <c r="C492" s="2672">
        <f>дома!C467</f>
        <v>0.4</v>
      </c>
      <c r="D492" s="2672">
        <f>дома!D467</f>
        <v>0.05</v>
      </c>
      <c r="E492" s="2672">
        <f>дома!E467</f>
        <v>2.9</v>
      </c>
      <c r="F492" s="2672">
        <f>дома!F467</f>
        <v>0</v>
      </c>
      <c r="G492" s="2672">
        <f>E492*F492*IF('Ввод данных'!$A$8=связи1!$A$150,1,0)</f>
        <v>0</v>
      </c>
      <c r="H492" s="2672">
        <f>дома!G467*IF('Ввод данных'!$A$8=связи1!$A$150,1,0)</f>
        <v>0</v>
      </c>
    </row>
    <row r="493" spans="1:8">
      <c r="A493" s="2670" t="str">
        <f>дома!A468</f>
        <v>Стойки каркаса, правая сторона, 1 эт</v>
      </c>
      <c r="B493" s="2671" t="str">
        <f>дома!B468</f>
        <v>м.п.</v>
      </c>
      <c r="C493" s="2672">
        <f>дома!C468</f>
        <v>0.4</v>
      </c>
      <c r="D493" s="2672">
        <f>дома!D468</f>
        <v>0.05</v>
      </c>
      <c r="E493" s="2672">
        <f>дома!E468</f>
        <v>2.9</v>
      </c>
      <c r="F493" s="2672">
        <f>дома!F468</f>
        <v>0</v>
      </c>
      <c r="G493" s="2672">
        <f>E493*F493*IF('Ввод данных'!$A$8=связи1!$A$150,1,0)</f>
        <v>0</v>
      </c>
      <c r="H493" s="2672">
        <f>дома!G468*IF('Ввод данных'!$A$8=связи1!$A$150,1,0)</f>
        <v>0</v>
      </c>
    </row>
    <row r="494" spans="1:8">
      <c r="A494" s="2670" t="str">
        <f>дома!A469</f>
        <v>Обвязка каркаса верхняя/нижняя наружние стены 1 эт</v>
      </c>
      <c r="B494" s="2671" t="str">
        <f>дома!B469</f>
        <v>м.п.</v>
      </c>
      <c r="C494" s="2672">
        <f>дома!C469</f>
        <v>0.4</v>
      </c>
      <c r="D494" s="2672">
        <f>дома!D469</f>
        <v>0.05</v>
      </c>
      <c r="E494" s="2672">
        <f>дома!E469</f>
        <v>0</v>
      </c>
      <c r="F494" s="2672">
        <f>дома!F469</f>
        <v>0</v>
      </c>
      <c r="G494" s="2672">
        <f>E494*F494*IF('Ввод данных'!$A$8=связи1!$A$150,1,0)</f>
        <v>0</v>
      </c>
      <c r="H494" s="2672">
        <f>дома!G469*IF('Ввод данных'!$A$8=связи1!$A$150,1,0)</f>
        <v>0</v>
      </c>
    </row>
    <row r="495" spans="1:8">
      <c r="A495" s="2670" t="str">
        <f>дома!A470</f>
        <v>Ригель каркаса наружние стены 1 эт</v>
      </c>
      <c r="B495" s="2671" t="str">
        <f>дома!B470</f>
        <v>м.п.</v>
      </c>
      <c r="C495" s="2672">
        <f>дома!C470</f>
        <v>0.4</v>
      </c>
      <c r="D495" s="2672">
        <f>дома!D470</f>
        <v>0.05</v>
      </c>
      <c r="E495" s="2672">
        <f>дома!E470</f>
        <v>0</v>
      </c>
      <c r="F495" s="2672">
        <f>дома!F470</f>
        <v>0</v>
      </c>
      <c r="G495" s="2672">
        <f>E495*F495*IF('Ввод данных'!$A$8=связи1!$A$150,1,0)</f>
        <v>0</v>
      </c>
      <c r="H495" s="2672">
        <f>дома!G470*IF('Ввод данных'!$A$8=связи1!$A$150,1,0)</f>
        <v>0</v>
      </c>
    </row>
    <row r="496" spans="1:8">
      <c r="A496" s="2670" t="str">
        <f>дома!A471</f>
        <v>Укосина наружних стен, усиление 1 этаж</v>
      </c>
      <c r="B496" s="2671" t="str">
        <f>дома!B471</f>
        <v>м.п.</v>
      </c>
      <c r="C496" s="2672">
        <f>дома!C471</f>
        <v>0.4</v>
      </c>
      <c r="D496" s="2672">
        <f>дома!D471</f>
        <v>0.05</v>
      </c>
      <c r="E496" s="2672">
        <f>дома!E471</f>
        <v>0</v>
      </c>
      <c r="F496" s="2672">
        <f>дома!F471</f>
        <v>8</v>
      </c>
      <c r="G496" s="2672">
        <f>E496*F496*IF('Ввод данных'!$A$8=связи1!$A$150,1,0)</f>
        <v>0</v>
      </c>
      <c r="H496" s="2672">
        <f>дома!G471*IF('Ввод данных'!$A$8=связи1!$A$150,1,0)</f>
        <v>0</v>
      </c>
    </row>
    <row r="497" spans="1:8">
      <c r="A497" s="2670" t="str">
        <f>дома!A472</f>
        <v>Стойка каркаса по фронтону, 1 этаж, односкатная кровля, №1</v>
      </c>
      <c r="B497" s="2671" t="str">
        <f>дома!B472</f>
        <v>м.п.</v>
      </c>
      <c r="C497" s="2672">
        <f>дома!C472</f>
        <v>0.4</v>
      </c>
      <c r="D497" s="2672">
        <f>дома!D472</f>
        <v>0.05</v>
      </c>
      <c r="E497" s="2672">
        <f>дома!E472</f>
        <v>0</v>
      </c>
      <c r="F497" s="2672">
        <f>дома!F472</f>
        <v>2</v>
      </c>
      <c r="G497" s="2672">
        <f>E497*F497*IF('Ввод данных'!$A$8=связи1!$A$150,1,0)</f>
        <v>0</v>
      </c>
      <c r="H497" s="2672">
        <f>дома!G472*IF('Ввод данных'!$A$8=связи1!$A$150,1,0)</f>
        <v>0</v>
      </c>
    </row>
    <row r="498" spans="1:8">
      <c r="A498" s="2670" t="str">
        <f>дома!A473</f>
        <v>Стойка каркаса по фронтону, 1 этаж, односкатная кровля, №2</v>
      </c>
      <c r="B498" s="2671" t="str">
        <f>дома!B473</f>
        <v>м.п.</v>
      </c>
      <c r="C498" s="2672">
        <f>дома!C473</f>
        <v>0.4</v>
      </c>
      <c r="D498" s="2672">
        <f>дома!D473</f>
        <v>0.05</v>
      </c>
      <c r="E498" s="2672">
        <f>дома!E473</f>
        <v>0</v>
      </c>
      <c r="F498" s="2672">
        <f>дома!F473</f>
        <v>2</v>
      </c>
      <c r="G498" s="2672">
        <f>E498*F498*IF('Ввод данных'!$A$8=связи1!$A$150,1,0)</f>
        <v>0</v>
      </c>
      <c r="H498" s="2672">
        <f>дома!G473*IF('Ввод данных'!$A$8=связи1!$A$150,1,0)</f>
        <v>0</v>
      </c>
    </row>
    <row r="499" spans="1:8">
      <c r="A499" s="2670" t="str">
        <f>дома!A474</f>
        <v>Стойка каркаса по фронтону, 1 этаж, односкатная кровля, №3</v>
      </c>
      <c r="B499" s="2671" t="str">
        <f>дома!B474</f>
        <v>м.п.</v>
      </c>
      <c r="C499" s="2672">
        <f>дома!C474</f>
        <v>0.4</v>
      </c>
      <c r="D499" s="2672">
        <f>дома!D474</f>
        <v>0.05</v>
      </c>
      <c r="E499" s="2672">
        <f>дома!E474</f>
        <v>0</v>
      </c>
      <c r="F499" s="2672">
        <f>дома!F474</f>
        <v>2</v>
      </c>
      <c r="G499" s="2672">
        <f>E499*F499*IF('Ввод данных'!$A$8=связи1!$A$150,1,0)</f>
        <v>0</v>
      </c>
      <c r="H499" s="2672">
        <f>дома!G474*IF('Ввод данных'!$A$8=связи1!$A$150,1,0)</f>
        <v>0</v>
      </c>
    </row>
    <row r="500" spans="1:8">
      <c r="A500" s="2670" t="str">
        <f>дома!A475</f>
        <v>Стойка каркаса по фронтону, 1 этаж, односкатная кровля, №4</v>
      </c>
      <c r="B500" s="2671" t="str">
        <f>дома!B475</f>
        <v>м.п.</v>
      </c>
      <c r="C500" s="2672">
        <f>дома!C475</f>
        <v>0.4</v>
      </c>
      <c r="D500" s="2672">
        <f>дома!D475</f>
        <v>0.05</v>
      </c>
      <c r="E500" s="2672">
        <f>дома!E475</f>
        <v>0</v>
      </c>
      <c r="F500" s="2672">
        <f>дома!F475</f>
        <v>2</v>
      </c>
      <c r="G500" s="2672">
        <f>E500*F500*IF('Ввод данных'!$A$8=связи1!$A$150,1,0)</f>
        <v>0</v>
      </c>
      <c r="H500" s="2672">
        <f>дома!G475*IF('Ввод данных'!$A$8=связи1!$A$150,1,0)</f>
        <v>0</v>
      </c>
    </row>
    <row r="501" spans="1:8">
      <c r="A501" s="2670" t="str">
        <f>дома!A476</f>
        <v>Стойка каркаса по фронтону, 1 этаж, односкатная кровля, №5</v>
      </c>
      <c r="B501" s="2671" t="str">
        <f>дома!B476</f>
        <v>м.п.</v>
      </c>
      <c r="C501" s="2672">
        <f>дома!C476</f>
        <v>0.4</v>
      </c>
      <c r="D501" s="2672">
        <f>дома!D476</f>
        <v>0.05</v>
      </c>
      <c r="E501" s="2672">
        <f>дома!E476</f>
        <v>0</v>
      </c>
      <c r="F501" s="2672">
        <f>дома!F476</f>
        <v>2</v>
      </c>
      <c r="G501" s="2672">
        <f>E501*F501*IF('Ввод данных'!$A$8=связи1!$A$150,1,0)</f>
        <v>0</v>
      </c>
      <c r="H501" s="2672">
        <f>дома!G476*IF('Ввод данных'!$A$8=связи1!$A$150,1,0)</f>
        <v>0</v>
      </c>
    </row>
    <row r="502" spans="1:8">
      <c r="A502" s="2670" t="str">
        <f>дома!A477</f>
        <v>Стойка каркаса по фронтону, 1 этаж, односкатная кровля, №6</v>
      </c>
      <c r="B502" s="2671" t="str">
        <f>дома!B477</f>
        <v>м.п.</v>
      </c>
      <c r="C502" s="2672">
        <f>дома!C477</f>
        <v>0.4</v>
      </c>
      <c r="D502" s="2672">
        <f>дома!D477</f>
        <v>0.05</v>
      </c>
      <c r="E502" s="2672">
        <f>дома!E477</f>
        <v>0</v>
      </c>
      <c r="F502" s="2672">
        <f>дома!F477</f>
        <v>2</v>
      </c>
      <c r="G502" s="2672">
        <f>E502*F502*IF('Ввод данных'!$A$8=связи1!$A$150,1,0)</f>
        <v>0</v>
      </c>
      <c r="H502" s="2672">
        <f>дома!G477*IF('Ввод данных'!$A$8=связи1!$A$150,1,0)</f>
        <v>0</v>
      </c>
    </row>
    <row r="503" spans="1:8">
      <c r="A503" s="2670" t="str">
        <f>дома!A478</f>
        <v>Стойка каркаса по фронтону, 1 этаж, односкатная кровля, №7</v>
      </c>
      <c r="B503" s="2671" t="str">
        <f>дома!B478</f>
        <v>м.п.</v>
      </c>
      <c r="C503" s="2672">
        <f>дома!C478</f>
        <v>0.4</v>
      </c>
      <c r="D503" s="2672">
        <f>дома!D478</f>
        <v>0.05</v>
      </c>
      <c r="E503" s="2672">
        <f>дома!E478</f>
        <v>0</v>
      </c>
      <c r="F503" s="2672">
        <f>дома!F478</f>
        <v>2</v>
      </c>
      <c r="G503" s="2672">
        <f>E503*F503*IF('Ввод данных'!$A$8=связи1!$A$150,1,0)</f>
        <v>0</v>
      </c>
      <c r="H503" s="2672">
        <f>дома!G478*IF('Ввод данных'!$A$8=связи1!$A$150,1,0)</f>
        <v>0</v>
      </c>
    </row>
    <row r="504" spans="1:8">
      <c r="A504" s="2670" t="str">
        <f>дома!A479</f>
        <v>Стойка каркаса по фронтону, 1 этаж, односкатная кровля, №8</v>
      </c>
      <c r="B504" s="2671" t="str">
        <f>дома!B479</f>
        <v>м.п.</v>
      </c>
      <c r="C504" s="2672">
        <f>дома!C479</f>
        <v>0.4</v>
      </c>
      <c r="D504" s="2672">
        <f>дома!D479</f>
        <v>0.05</v>
      </c>
      <c r="E504" s="2672">
        <f>дома!E479</f>
        <v>0</v>
      </c>
      <c r="F504" s="2672">
        <f>дома!F479</f>
        <v>2</v>
      </c>
      <c r="G504" s="2672">
        <f>E504*F504*IF('Ввод данных'!$A$8=связи1!$A$150,1,0)</f>
        <v>0</v>
      </c>
      <c r="H504" s="2672">
        <f>дома!G479*IF('Ввод данных'!$A$8=связи1!$A$150,1,0)</f>
        <v>0</v>
      </c>
    </row>
    <row r="505" spans="1:8">
      <c r="A505" s="2670" t="str">
        <f>дома!A480</f>
        <v>Стойка каркаса по фронтону, 1 этаж, односкатная кровля, №9</v>
      </c>
      <c r="B505" s="2671" t="str">
        <f>дома!B480</f>
        <v>м.п.</v>
      </c>
      <c r="C505" s="2672">
        <f>дома!C480</f>
        <v>0.4</v>
      </c>
      <c r="D505" s="2672">
        <f>дома!D480</f>
        <v>0.05</v>
      </c>
      <c r="E505" s="2672">
        <f>дома!E480</f>
        <v>0</v>
      </c>
      <c r="F505" s="2672">
        <f>дома!F480</f>
        <v>2</v>
      </c>
      <c r="G505" s="2672">
        <f>E505*F505*IF('Ввод данных'!$A$8=связи1!$A$150,1,0)</f>
        <v>0</v>
      </c>
      <c r="H505" s="2672">
        <f>дома!G480*IF('Ввод данных'!$A$8=связи1!$A$150,1,0)</f>
        <v>0</v>
      </c>
    </row>
    <row r="506" spans="1:8">
      <c r="A506" s="2670" t="str">
        <f>дома!A481</f>
        <v>Стойка каркаса по фронтону, 1 этаж, односкатная кровля, №10</v>
      </c>
      <c r="B506" s="2671" t="str">
        <f>дома!B481</f>
        <v>м.п.</v>
      </c>
      <c r="C506" s="2672">
        <f>дома!C481</f>
        <v>0.4</v>
      </c>
      <c r="D506" s="2672">
        <f>дома!D481</f>
        <v>0.05</v>
      </c>
      <c r="E506" s="2672">
        <f>дома!E481</f>
        <v>0</v>
      </c>
      <c r="F506" s="2672">
        <f>дома!F481</f>
        <v>2</v>
      </c>
      <c r="G506" s="2672">
        <f>E506*F506*IF('Ввод данных'!$A$8=связи1!$A$150,1,0)</f>
        <v>0</v>
      </c>
      <c r="H506" s="2672">
        <f>дома!G481*IF('Ввод данных'!$A$8=связи1!$A$150,1,0)</f>
        <v>0</v>
      </c>
    </row>
    <row r="507" spans="1:8">
      <c r="A507" s="2670" t="str">
        <f>дома!A482</f>
        <v>Стойка каркаса по фронтону, 1 этаж, односкатная кровля, №11</v>
      </c>
      <c r="B507" s="2671" t="str">
        <f>дома!B482</f>
        <v>м.п.</v>
      </c>
      <c r="C507" s="2672">
        <f>дома!C482</f>
        <v>0.4</v>
      </c>
      <c r="D507" s="2672">
        <f>дома!D482</f>
        <v>0.05</v>
      </c>
      <c r="E507" s="2672">
        <f>дома!E482</f>
        <v>0</v>
      </c>
      <c r="F507" s="2672">
        <f>дома!F482</f>
        <v>2</v>
      </c>
      <c r="G507" s="2672">
        <f>E507*F507*IF('Ввод данных'!$A$8=связи1!$A$150,1,0)</f>
        <v>0</v>
      </c>
      <c r="H507" s="2672">
        <f>дома!G482*IF('Ввод данных'!$A$8=связи1!$A$150,1,0)</f>
        <v>0</v>
      </c>
    </row>
    <row r="508" spans="1:8">
      <c r="A508" s="2670" t="str">
        <f>дома!A483</f>
        <v>Стойка каркаса по фронтону, 1 этаж, односкатная кровля, №12</v>
      </c>
      <c r="B508" s="2671" t="str">
        <f>дома!B483</f>
        <v>м.п.</v>
      </c>
      <c r="C508" s="2672">
        <f>дома!C483</f>
        <v>0.4</v>
      </c>
      <c r="D508" s="2672">
        <f>дома!D483</f>
        <v>0.05</v>
      </c>
      <c r="E508" s="2672">
        <f>дома!E483</f>
        <v>0</v>
      </c>
      <c r="F508" s="2672">
        <f>дома!F483</f>
        <v>2</v>
      </c>
      <c r="G508" s="2672">
        <f>E508*F508*IF('Ввод данных'!$A$8=связи1!$A$150,1,0)</f>
        <v>0</v>
      </c>
      <c r="H508" s="2672">
        <f>дома!G483*IF('Ввод данных'!$A$8=связи1!$A$150,1,0)</f>
        <v>0</v>
      </c>
    </row>
    <row r="509" spans="1:8">
      <c r="A509" s="2670" t="str">
        <f>дома!A484</f>
        <v>Стойка каркаса по фронтону, 1 этаж, односкатная кровля, №13</v>
      </c>
      <c r="B509" s="2671" t="str">
        <f>дома!B484</f>
        <v>м.п.</v>
      </c>
      <c r="C509" s="2672">
        <f>дома!C484</f>
        <v>0.4</v>
      </c>
      <c r="D509" s="2672">
        <f>дома!D484</f>
        <v>0.05</v>
      </c>
      <c r="E509" s="2672">
        <f>дома!E484</f>
        <v>0</v>
      </c>
      <c r="F509" s="2672">
        <f>дома!F484</f>
        <v>2</v>
      </c>
      <c r="G509" s="2672">
        <f>E509*F509*IF('Ввод данных'!$A$8=связи1!$A$150,1,0)</f>
        <v>0</v>
      </c>
      <c r="H509" s="2672">
        <f>дома!G484*IF('Ввод данных'!$A$8=связи1!$A$150,1,0)</f>
        <v>0</v>
      </c>
    </row>
    <row r="510" spans="1:8">
      <c r="A510" s="2670" t="str">
        <f>дома!A485</f>
        <v>Стойка каркаса по фронтону, 1 этаж, односкатная кровля, №14</v>
      </c>
      <c r="B510" s="2671" t="str">
        <f>дома!B485</f>
        <v>м.п.</v>
      </c>
      <c r="C510" s="2672">
        <f>дома!C485</f>
        <v>0.4</v>
      </c>
      <c r="D510" s="2672">
        <f>дома!D485</f>
        <v>0.05</v>
      </c>
      <c r="E510" s="2672">
        <f>дома!E485</f>
        <v>0</v>
      </c>
      <c r="F510" s="2672">
        <f>дома!F485</f>
        <v>2</v>
      </c>
      <c r="G510" s="2672">
        <f>E510*F510*IF('Ввод данных'!$A$8=связи1!$A$150,1,0)</f>
        <v>0</v>
      </c>
      <c r="H510" s="2672">
        <f>дома!G485*IF('Ввод данных'!$A$8=связи1!$A$150,1,0)</f>
        <v>0</v>
      </c>
    </row>
    <row r="511" spans="1:8">
      <c r="A511" s="2670" t="str">
        <f>дома!A486</f>
        <v>Стойка каркаса по фронтону, 1 этаж, односкатная кровля, №15</v>
      </c>
      <c r="B511" s="2671" t="str">
        <f>дома!B486</f>
        <v>м.п.</v>
      </c>
      <c r="C511" s="2672">
        <f>дома!C486</f>
        <v>0.4</v>
      </c>
      <c r="D511" s="2672">
        <f>дома!D486</f>
        <v>0.05</v>
      </c>
      <c r="E511" s="2672">
        <f>дома!E486</f>
        <v>0</v>
      </c>
      <c r="F511" s="2672">
        <f>дома!F486</f>
        <v>2</v>
      </c>
      <c r="G511" s="2672">
        <f>E511*F511*IF('Ввод данных'!$A$8=связи1!$A$150,1,0)</f>
        <v>0</v>
      </c>
      <c r="H511" s="2672">
        <f>дома!G486*IF('Ввод данных'!$A$8=связи1!$A$150,1,0)</f>
        <v>0</v>
      </c>
    </row>
    <row r="512" spans="1:8">
      <c r="A512" s="2670" t="str">
        <f>дома!A487</f>
        <v>Стойка каркаса по фронтону, 1 этаж, односкатная кровля, №16</v>
      </c>
      <c r="B512" s="2671" t="str">
        <f>дома!B487</f>
        <v>м.п.</v>
      </c>
      <c r="C512" s="2672">
        <f>дома!C487</f>
        <v>0.4</v>
      </c>
      <c r="D512" s="2672">
        <f>дома!D487</f>
        <v>0.05</v>
      </c>
      <c r="E512" s="2672">
        <f>дома!E487</f>
        <v>0</v>
      </c>
      <c r="F512" s="2672">
        <f>дома!F487</f>
        <v>2</v>
      </c>
      <c r="G512" s="2672">
        <f>E512*F512*IF('Ввод данных'!$A$8=связи1!$A$150,1,0)</f>
        <v>0</v>
      </c>
      <c r="H512" s="2672">
        <f>дома!G487*IF('Ввод данных'!$A$8=связи1!$A$150,1,0)</f>
        <v>0</v>
      </c>
    </row>
    <row r="513" spans="1:8">
      <c r="A513" s="2670" t="str">
        <f>дома!A488</f>
        <v>Стойка каркаса по фронтону, 1 этаж, односкатная кровля, №17</v>
      </c>
      <c r="B513" s="2671" t="str">
        <f>дома!B488</f>
        <v>м.п.</v>
      </c>
      <c r="C513" s="2672">
        <f>дома!C488</f>
        <v>0.4</v>
      </c>
      <c r="D513" s="2672">
        <f>дома!D488</f>
        <v>0.05</v>
      </c>
      <c r="E513" s="2672">
        <f>дома!E488</f>
        <v>0</v>
      </c>
      <c r="F513" s="2672">
        <f>дома!F488</f>
        <v>2</v>
      </c>
      <c r="G513" s="2672">
        <f>E513*F513*IF('Ввод данных'!$A$8=связи1!$A$150,1,0)</f>
        <v>0</v>
      </c>
      <c r="H513" s="2672">
        <f>дома!G488*IF('Ввод данных'!$A$8=связи1!$A$150,1,0)</f>
        <v>0</v>
      </c>
    </row>
    <row r="514" spans="1:8">
      <c r="A514" s="2670" t="str">
        <f>дома!A489</f>
        <v>Стойка каркаса по фронтону, 1 этаж, двускатная кровля, №1</v>
      </c>
      <c r="B514" s="2671" t="str">
        <f>дома!B489</f>
        <v>м.п.</v>
      </c>
      <c r="C514" s="2672">
        <f>дома!C489</f>
        <v>0.4</v>
      </c>
      <c r="D514" s="2672">
        <f>дома!D489</f>
        <v>0.05</v>
      </c>
      <c r="E514" s="2672">
        <f>дома!E489</f>
        <v>0</v>
      </c>
      <c r="F514" s="2672">
        <f>дома!F489</f>
        <v>2</v>
      </c>
      <c r="G514" s="2672">
        <f>E514*F514*IF('Ввод данных'!$A$8=связи1!$A$150,1,0)</f>
        <v>0</v>
      </c>
      <c r="H514" s="2672">
        <f>дома!G489*IF('Ввод данных'!$A$8=связи1!$A$150,1,0)</f>
        <v>0</v>
      </c>
    </row>
    <row r="515" spans="1:8">
      <c r="A515" s="2670" t="str">
        <f>дома!A490</f>
        <v>Стойка каркаса по фронтону, 1 этаж, двускатная кровля, №2</v>
      </c>
      <c r="B515" s="2671" t="str">
        <f>дома!B490</f>
        <v>м.п.</v>
      </c>
      <c r="C515" s="2672">
        <f>дома!C490</f>
        <v>0.4</v>
      </c>
      <c r="D515" s="2672">
        <f>дома!D490</f>
        <v>0.05</v>
      </c>
      <c r="E515" s="2672">
        <f>дома!E490</f>
        <v>0</v>
      </c>
      <c r="F515" s="2672">
        <f>дома!F490</f>
        <v>2</v>
      </c>
      <c r="G515" s="2672">
        <f>E515*F515*IF('Ввод данных'!$A$8=связи1!$A$150,1,0)</f>
        <v>0</v>
      </c>
      <c r="H515" s="2672">
        <f>дома!G490*IF('Ввод данных'!$A$8=связи1!$A$150,1,0)</f>
        <v>0</v>
      </c>
    </row>
    <row r="516" spans="1:8">
      <c r="A516" s="2670" t="str">
        <f>дома!A491</f>
        <v>Стойка каркаса по фронтону, 1 этаж, двускатная кровля, №3</v>
      </c>
      <c r="B516" s="2671" t="str">
        <f>дома!B491</f>
        <v>м.п.</v>
      </c>
      <c r="C516" s="2672">
        <f>дома!C491</f>
        <v>0.4</v>
      </c>
      <c r="D516" s="2672">
        <f>дома!D491</f>
        <v>0.05</v>
      </c>
      <c r="E516" s="2672">
        <f>дома!E491</f>
        <v>0</v>
      </c>
      <c r="F516" s="2672">
        <f>дома!F491</f>
        <v>2</v>
      </c>
      <c r="G516" s="2672">
        <f>E516*F516*IF('Ввод данных'!$A$8=связи1!$A$150,1,0)</f>
        <v>0</v>
      </c>
      <c r="H516" s="2672">
        <f>дома!G491*IF('Ввод данных'!$A$8=связи1!$A$150,1,0)</f>
        <v>0</v>
      </c>
    </row>
    <row r="517" spans="1:8">
      <c r="A517" s="2670" t="str">
        <f>дома!A492</f>
        <v>Стойка каркаса по фронтону, 1 этаж, двускатная кровля, №4</v>
      </c>
      <c r="B517" s="2671" t="str">
        <f>дома!B492</f>
        <v>м.п.</v>
      </c>
      <c r="C517" s="2672">
        <f>дома!C492</f>
        <v>0.4</v>
      </c>
      <c r="D517" s="2672">
        <f>дома!D492</f>
        <v>0.05</v>
      </c>
      <c r="E517" s="2672">
        <f>дома!E492</f>
        <v>0</v>
      </c>
      <c r="F517" s="2672">
        <f>дома!F492</f>
        <v>2</v>
      </c>
      <c r="G517" s="2672">
        <f>E517*F517*IF('Ввод данных'!$A$8=связи1!$A$150,1,0)</f>
        <v>0</v>
      </c>
      <c r="H517" s="2672">
        <f>дома!G492*IF('Ввод данных'!$A$8=связи1!$A$150,1,0)</f>
        <v>0</v>
      </c>
    </row>
    <row r="518" spans="1:8">
      <c r="A518" s="2670" t="str">
        <f>дома!A493</f>
        <v>Стойка каркаса по фронтону, 1 этаж, двускатная кровля, №5</v>
      </c>
      <c r="B518" s="2671" t="str">
        <f>дома!B493</f>
        <v>м.п.</v>
      </c>
      <c r="C518" s="2672">
        <f>дома!C493</f>
        <v>0.4</v>
      </c>
      <c r="D518" s="2672">
        <f>дома!D493</f>
        <v>0.05</v>
      </c>
      <c r="E518" s="2672">
        <f>дома!E493</f>
        <v>0</v>
      </c>
      <c r="F518" s="2672">
        <f>дома!F493</f>
        <v>2</v>
      </c>
      <c r="G518" s="2672">
        <f>E518*F518*IF('Ввод данных'!$A$8=связи1!$A$150,1,0)</f>
        <v>0</v>
      </c>
      <c r="H518" s="2672">
        <f>дома!G493*IF('Ввод данных'!$A$8=связи1!$A$150,1,0)</f>
        <v>0</v>
      </c>
    </row>
    <row r="519" spans="1:8">
      <c r="A519" s="2670" t="str">
        <f>дома!A494</f>
        <v>Стойка каркаса по фронтону, 1 этаж, двускатная кровля, №6</v>
      </c>
      <c r="B519" s="2671" t="str">
        <f>дома!B494</f>
        <v>м.п.</v>
      </c>
      <c r="C519" s="2672">
        <f>дома!C494</f>
        <v>0.4</v>
      </c>
      <c r="D519" s="2672">
        <f>дома!D494</f>
        <v>0.05</v>
      </c>
      <c r="E519" s="2672">
        <f>дома!E494</f>
        <v>0</v>
      </c>
      <c r="F519" s="2672">
        <f>дома!F494</f>
        <v>2</v>
      </c>
      <c r="G519" s="2672">
        <f>E519*F519*IF('Ввод данных'!$A$8=связи1!$A$150,1,0)</f>
        <v>0</v>
      </c>
      <c r="H519" s="2672">
        <f>дома!G494*IF('Ввод данных'!$A$8=связи1!$A$150,1,0)</f>
        <v>0</v>
      </c>
    </row>
    <row r="520" spans="1:8">
      <c r="A520" s="2670" t="str">
        <f>дома!A495</f>
        <v>Стойка каркаса по фронтону, 1 этаж, двускатная кровля, №7</v>
      </c>
      <c r="B520" s="2671" t="str">
        <f>дома!B495</f>
        <v>м.п.</v>
      </c>
      <c r="C520" s="2672">
        <f>дома!C495</f>
        <v>0.4</v>
      </c>
      <c r="D520" s="2672">
        <f>дома!D495</f>
        <v>0.05</v>
      </c>
      <c r="E520" s="2672">
        <f>дома!E495</f>
        <v>0</v>
      </c>
      <c r="F520" s="2672">
        <f>дома!F495</f>
        <v>2</v>
      </c>
      <c r="G520" s="2672">
        <f>E520*F520*IF('Ввод данных'!$A$8=связи1!$A$150,1,0)</f>
        <v>0</v>
      </c>
      <c r="H520" s="2672">
        <f>дома!G495*IF('Ввод данных'!$A$8=связи1!$A$150,1,0)</f>
        <v>0</v>
      </c>
    </row>
    <row r="521" spans="1:8">
      <c r="A521" s="2670" t="str">
        <f>дома!A496</f>
        <v>Стойка каркаса по фронтону, 1 этаж, двускатная кровля, №8</v>
      </c>
      <c r="B521" s="2671" t="str">
        <f>дома!B496</f>
        <v>м.п.</v>
      </c>
      <c r="C521" s="2672">
        <f>дома!C496</f>
        <v>0.4</v>
      </c>
      <c r="D521" s="2672">
        <f>дома!D496</f>
        <v>0.05</v>
      </c>
      <c r="E521" s="2672">
        <f>дома!E496</f>
        <v>0</v>
      </c>
      <c r="F521" s="2672">
        <f>дома!F496</f>
        <v>2</v>
      </c>
      <c r="G521" s="2672">
        <f>E521*F521*IF('Ввод данных'!$A$8=связи1!$A$150,1,0)</f>
        <v>0</v>
      </c>
      <c r="H521" s="2672">
        <f>дома!G496*IF('Ввод данных'!$A$8=связи1!$A$150,1,0)</f>
        <v>0</v>
      </c>
    </row>
    <row r="522" spans="1:8">
      <c r="A522" s="2670" t="str">
        <f>дома!A497</f>
        <v>Стойка каркаса по фронтону, 1 этаж, двускатная кровля, №9</v>
      </c>
      <c r="B522" s="2671" t="str">
        <f>дома!B497</f>
        <v>м.п.</v>
      </c>
      <c r="C522" s="2672">
        <f>дома!C497</f>
        <v>0.4</v>
      </c>
      <c r="D522" s="2672">
        <f>дома!D497</f>
        <v>0.05</v>
      </c>
      <c r="E522" s="2672">
        <f>дома!E497</f>
        <v>0</v>
      </c>
      <c r="F522" s="2672">
        <f>дома!F497</f>
        <v>2</v>
      </c>
      <c r="G522" s="2672">
        <f>E522*F522*IF('Ввод данных'!$A$8=связи1!$A$150,1,0)</f>
        <v>0</v>
      </c>
      <c r="H522" s="2672">
        <f>дома!G497*IF('Ввод данных'!$A$8=связи1!$A$150,1,0)</f>
        <v>0</v>
      </c>
    </row>
    <row r="523" spans="1:8">
      <c r="A523" s="2670" t="str">
        <f>дома!A498</f>
        <v>Стойка каркаса по фронтону, 1 этаж, двускатная кровля, №10</v>
      </c>
      <c r="B523" s="2671" t="str">
        <f>дома!B498</f>
        <v>м.п.</v>
      </c>
      <c r="C523" s="2672">
        <f>дома!C498</f>
        <v>0.4</v>
      </c>
      <c r="D523" s="2672">
        <f>дома!D498</f>
        <v>0.05</v>
      </c>
      <c r="E523" s="2672">
        <f>дома!E498</f>
        <v>0</v>
      </c>
      <c r="F523" s="2672">
        <f>дома!F498</f>
        <v>2</v>
      </c>
      <c r="G523" s="2672">
        <f>E523*F523*IF('Ввод данных'!$A$8=связи1!$A$150,1,0)</f>
        <v>0</v>
      </c>
      <c r="H523" s="2672">
        <f>дома!G498*IF('Ввод данных'!$A$8=связи1!$A$150,1,0)</f>
        <v>0</v>
      </c>
    </row>
    <row r="524" spans="1:8">
      <c r="A524" s="2670" t="str">
        <f>дома!A499</f>
        <v>Стойка каркаса по фронтону, 1 этаж, двускатная кровля, №11</v>
      </c>
      <c r="B524" s="2671" t="str">
        <f>дома!B499</f>
        <v>м.п.</v>
      </c>
      <c r="C524" s="2672">
        <f>дома!C499</f>
        <v>0.4</v>
      </c>
      <c r="D524" s="2672">
        <f>дома!D499</f>
        <v>0.05</v>
      </c>
      <c r="E524" s="2672">
        <f>дома!E499</f>
        <v>0</v>
      </c>
      <c r="F524" s="2672">
        <f>дома!F499</f>
        <v>2</v>
      </c>
      <c r="G524" s="2672">
        <f>E524*F524*IF('Ввод данных'!$A$8=связи1!$A$150,1,0)</f>
        <v>0</v>
      </c>
      <c r="H524" s="2672">
        <f>дома!G499*IF('Ввод данных'!$A$8=связи1!$A$150,1,0)</f>
        <v>0</v>
      </c>
    </row>
    <row r="525" spans="1:8">
      <c r="A525" s="2670" t="str">
        <f>дома!A500</f>
        <v>Стойка каркаса по фронтону, 1 этаж, двускатная кровля, №12</v>
      </c>
      <c r="B525" s="2671" t="str">
        <f>дома!B500</f>
        <v>м.п.</v>
      </c>
      <c r="C525" s="2672">
        <f>дома!C500</f>
        <v>0.4</v>
      </c>
      <c r="D525" s="2672">
        <f>дома!D500</f>
        <v>0.05</v>
      </c>
      <c r="E525" s="2672">
        <f>дома!E500</f>
        <v>0</v>
      </c>
      <c r="F525" s="2672">
        <f>дома!F500</f>
        <v>2</v>
      </c>
      <c r="G525" s="2672">
        <f>E525*F525*IF('Ввод данных'!$A$8=связи1!$A$150,1,0)</f>
        <v>0</v>
      </c>
      <c r="H525" s="2672">
        <f>дома!G500*IF('Ввод данных'!$A$8=связи1!$A$150,1,0)</f>
        <v>0</v>
      </c>
    </row>
    <row r="526" spans="1:8">
      <c r="A526" s="2670" t="str">
        <f>дома!A501</f>
        <v>Стойка каркаса по фронтону, 1 этаж, двускатная кровля, №13</v>
      </c>
      <c r="B526" s="2671" t="str">
        <f>дома!B501</f>
        <v>м.п.</v>
      </c>
      <c r="C526" s="2672">
        <f>дома!C501</f>
        <v>0.4</v>
      </c>
      <c r="D526" s="2672">
        <f>дома!D501</f>
        <v>0.05</v>
      </c>
      <c r="E526" s="2672">
        <f>дома!E501</f>
        <v>0</v>
      </c>
      <c r="F526" s="2672">
        <f>дома!F501</f>
        <v>2</v>
      </c>
      <c r="G526" s="2672">
        <f>E526*F526*IF('Ввод данных'!$A$8=связи1!$A$150,1,0)</f>
        <v>0</v>
      </c>
      <c r="H526" s="2672">
        <f>дома!G501*IF('Ввод данных'!$A$8=связи1!$A$150,1,0)</f>
        <v>0</v>
      </c>
    </row>
    <row r="527" spans="1:8">
      <c r="A527" s="2670" t="str">
        <f>дома!A502</f>
        <v>Стойка каркаса по фронтону, 1 этаж, двускатная кровля, №14</v>
      </c>
      <c r="B527" s="2671" t="str">
        <f>дома!B502</f>
        <v>м.п.</v>
      </c>
      <c r="C527" s="2672">
        <f>дома!C502</f>
        <v>0.4</v>
      </c>
      <c r="D527" s="2672">
        <f>дома!D502</f>
        <v>0.05</v>
      </c>
      <c r="E527" s="2672">
        <f>дома!E502</f>
        <v>0</v>
      </c>
      <c r="F527" s="2672">
        <f>дома!F502</f>
        <v>2</v>
      </c>
      <c r="G527" s="2672">
        <f>E527*F527*IF('Ввод данных'!$A$8=связи1!$A$150,1,0)</f>
        <v>0</v>
      </c>
      <c r="H527" s="2672">
        <f>дома!G502*IF('Ввод данных'!$A$8=связи1!$A$150,1,0)</f>
        <v>0</v>
      </c>
    </row>
    <row r="528" spans="1:8">
      <c r="A528" s="2670" t="str">
        <f>дома!A503</f>
        <v>Стойка каркаса по фронтону, 1 этаж, двускатная кровля, №15</v>
      </c>
      <c r="B528" s="2671" t="str">
        <f>дома!B503</f>
        <v>м.п.</v>
      </c>
      <c r="C528" s="2672">
        <f>дома!C503</f>
        <v>0.4</v>
      </c>
      <c r="D528" s="2672">
        <f>дома!D503</f>
        <v>0.05</v>
      </c>
      <c r="E528" s="2672">
        <f>дома!E503</f>
        <v>0</v>
      </c>
      <c r="F528" s="2672">
        <f>дома!F503</f>
        <v>2</v>
      </c>
      <c r="G528" s="2672">
        <f>E528*F528*IF('Ввод данных'!$A$8=связи1!$A$150,1,0)</f>
        <v>0</v>
      </c>
      <c r="H528" s="2672">
        <f>дома!G503*IF('Ввод данных'!$A$8=связи1!$A$150,1,0)</f>
        <v>0</v>
      </c>
    </row>
    <row r="529" spans="1:8">
      <c r="A529" s="2670" t="str">
        <f>дома!A504</f>
        <v>Стойка каркаса по фронтону, 1 этаж, двускатная кровля, №16</v>
      </c>
      <c r="B529" s="2671" t="str">
        <f>дома!B504</f>
        <v>м.п.</v>
      </c>
      <c r="C529" s="2672">
        <f>дома!C504</f>
        <v>0.4</v>
      </c>
      <c r="D529" s="2672">
        <f>дома!D504</f>
        <v>0.05</v>
      </c>
      <c r="E529" s="2672">
        <f>дома!E504</f>
        <v>0</v>
      </c>
      <c r="F529" s="2672">
        <f>дома!F504</f>
        <v>2</v>
      </c>
      <c r="G529" s="2672">
        <f>E529*F529*IF('Ввод данных'!$A$8=связи1!$A$150,1,0)</f>
        <v>0</v>
      </c>
      <c r="H529" s="2672">
        <f>дома!G504*IF('Ввод данных'!$A$8=связи1!$A$150,1,0)</f>
        <v>0</v>
      </c>
    </row>
    <row r="530" spans="1:8">
      <c r="A530" s="2670" t="str">
        <f>дома!A505</f>
        <v>Стойка каркаса по фронтону, 1 этаж, двускатная кровля, №17</v>
      </c>
      <c r="B530" s="2671" t="str">
        <f>дома!B505</f>
        <v>м.п.</v>
      </c>
      <c r="C530" s="2672">
        <f>дома!C505</f>
        <v>0.4</v>
      </c>
      <c r="D530" s="2672">
        <f>дома!D505</f>
        <v>0.05</v>
      </c>
      <c r="E530" s="2672">
        <f>дома!E505</f>
        <v>0</v>
      </c>
      <c r="F530" s="2672">
        <f>дома!F505</f>
        <v>2</v>
      </c>
      <c r="G530" s="2672">
        <f>E530*F530*IF('Ввод данных'!$A$8=связи1!$A$150,1,0)</f>
        <v>0</v>
      </c>
      <c r="H530" s="2672">
        <f>дома!G505*IF('Ввод данных'!$A$8=связи1!$A$150,1,0)</f>
        <v>0</v>
      </c>
    </row>
    <row r="531" spans="1:8" ht="21">
      <c r="A531" s="3266" t="s">
        <v>4172</v>
      </c>
      <c r="B531" s="3266"/>
      <c r="C531" s="3266"/>
      <c r="D531" s="3266"/>
      <c r="E531" s="3266"/>
      <c r="F531" s="3266"/>
      <c r="G531" s="2673">
        <f>E531*F531</f>
        <v>0</v>
      </c>
      <c r="H531" s="2673">
        <f>SUM(H532:H571)</f>
        <v>0</v>
      </c>
    </row>
    <row r="532" spans="1:8">
      <c r="A532" s="2670" t="str">
        <f>дома!A928</f>
        <v>Стойки каркаса передняя стена, 2 эт</v>
      </c>
      <c r="B532" s="2671" t="str">
        <f>дома!B928</f>
        <v>м.п.</v>
      </c>
      <c r="C532" s="2672">
        <f>дома!C928</f>
        <v>0.4</v>
      </c>
      <c r="D532" s="2672">
        <f>дома!D928</f>
        <v>0.05</v>
      </c>
      <c r="E532" s="2672">
        <f>дома!E928</f>
        <v>2.2000000000000002</v>
      </c>
      <c r="F532" s="2672">
        <f>дома!F928</f>
        <v>0</v>
      </c>
      <c r="G532" s="2672">
        <f>E532*F532*(IF('Ввод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2" s="2672">
        <f>дома!G928*(IF('Ввод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3" spans="1:8">
      <c r="A533" s="2670" t="str">
        <f>дома!A929</f>
        <v>Стойки каркаса , левая стена, 2 эт</v>
      </c>
      <c r="B533" s="2671" t="str">
        <f>дома!B929</f>
        <v>м.п.</v>
      </c>
      <c r="C533" s="2672">
        <f>дома!C929</f>
        <v>0.4</v>
      </c>
      <c r="D533" s="2672">
        <f>дома!D929</f>
        <v>0.05</v>
      </c>
      <c r="E533" s="2672">
        <f>дома!E929</f>
        <v>2.2000000000000002</v>
      </c>
      <c r="F533" s="2672">
        <f>дома!F929</f>
        <v>0</v>
      </c>
      <c r="G533" s="2672">
        <f>E533*F533*(IF('Ввод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3" s="2672">
        <f>дома!G929*(IF('Ввод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4" spans="1:8">
      <c r="A534" s="2670" t="str">
        <f>дома!A930</f>
        <v>Стойки каркаса , правая стена, 2 эт</v>
      </c>
      <c r="B534" s="2671" t="str">
        <f>дома!B930</f>
        <v>м.п.</v>
      </c>
      <c r="C534" s="2672">
        <f>дома!C930</f>
        <v>0.4</v>
      </c>
      <c r="D534" s="2672">
        <f>дома!D930</f>
        <v>0.05</v>
      </c>
      <c r="E534" s="2672">
        <f>дома!E930</f>
        <v>2.2000000000000002</v>
      </c>
      <c r="F534" s="2672">
        <f>дома!F930</f>
        <v>0</v>
      </c>
      <c r="G534" s="2672">
        <f>E534*F534*(IF('Ввод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4" s="2672">
        <f>дома!G930*(IF('Ввод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5" spans="1:8">
      <c r="A535" s="2670" t="str">
        <f>дома!A931</f>
        <v>Обвязка каркаса верхняя/нижняя наружние стены 2 эт</v>
      </c>
      <c r="B535" s="2671" t="str">
        <f>дома!B931</f>
        <v>м.п.</v>
      </c>
      <c r="C535" s="2672">
        <f>дома!C931</f>
        <v>0.4</v>
      </c>
      <c r="D535" s="2672">
        <f>дома!D931</f>
        <v>0.05</v>
      </c>
      <c r="E535" s="2672">
        <f>дома!E931</f>
        <v>1</v>
      </c>
      <c r="F535" s="2672">
        <f>дома!F931</f>
        <v>0</v>
      </c>
      <c r="G535" s="2672">
        <f>E535*F535*(IF('Ввод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5" s="2672">
        <f>дома!G931*(IF('Ввод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6" spans="1:8">
      <c r="A536" s="2670" t="str">
        <f>дома!A932</f>
        <v>Ригель каркаса наружние стены 2 эт</v>
      </c>
      <c r="B536" s="2671" t="str">
        <f>дома!B932</f>
        <v>м.п.</v>
      </c>
      <c r="C536" s="2672">
        <f>дома!C932</f>
        <v>0.4</v>
      </c>
      <c r="D536" s="2672">
        <f>дома!D932</f>
        <v>0.05</v>
      </c>
      <c r="E536" s="2672">
        <f>дома!E932</f>
        <v>1</v>
      </c>
      <c r="F536" s="2672">
        <f>дома!F932</f>
        <v>0</v>
      </c>
      <c r="G536" s="2672">
        <f>E536*F536*(IF('Ввод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6" s="2672">
        <f>дома!G932*(IF('Ввод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7" spans="1:8">
      <c r="A537" s="2670" t="str">
        <f>дома!A933</f>
        <v>Укосина наружних стен, усиление 2 этаж</v>
      </c>
      <c r="B537" s="2671" t="str">
        <f>дома!B933</f>
        <v>м.п.</v>
      </c>
      <c r="C537" s="2672">
        <f>дома!C933</f>
        <v>0.4</v>
      </c>
      <c r="D537" s="2672">
        <f>дома!D933</f>
        <v>0.05</v>
      </c>
      <c r="E537" s="2672">
        <f>дома!E933</f>
        <v>1.5</v>
      </c>
      <c r="F537" s="2672">
        <f>дома!F933</f>
        <v>0</v>
      </c>
      <c r="G537" s="2672">
        <f>E537*F537*(IF('Ввод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7" s="2672">
        <f>дома!G933*(IF('Ввод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8" spans="1:8">
      <c r="A538" s="2670" t="str">
        <f>дома!A934</f>
        <v>Стойка каркаса по фронтону, 2 этаж, односкатная кровля, №1</v>
      </c>
      <c r="B538" s="2671" t="str">
        <f>дома!B934</f>
        <v>м.п.</v>
      </c>
      <c r="C538" s="2672">
        <f>дома!C934</f>
        <v>0.4</v>
      </c>
      <c r="D538" s="2672">
        <f>дома!D934</f>
        <v>0.05</v>
      </c>
      <c r="E538" s="2672">
        <f>дома!E934</f>
        <v>0</v>
      </c>
      <c r="F538" s="2672">
        <f>дома!F934</f>
        <v>0</v>
      </c>
      <c r="G538" s="2672">
        <f>E538*F538*(IF('Ввод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8" s="2672">
        <f>дома!G934*(IF('Ввод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9" spans="1:8">
      <c r="A539" s="2670" t="str">
        <f>дома!A935</f>
        <v>Стойка каркаса по фронтону, 2 этаж, односкатная кровля, №2</v>
      </c>
      <c r="B539" s="2671" t="str">
        <f>дома!B935</f>
        <v>м.п.</v>
      </c>
      <c r="C539" s="2672">
        <f>дома!C935</f>
        <v>0.4</v>
      </c>
      <c r="D539" s="2672">
        <f>дома!D935</f>
        <v>0.05</v>
      </c>
      <c r="E539" s="2672">
        <f>дома!E935</f>
        <v>0</v>
      </c>
      <c r="F539" s="2672">
        <f>дома!F935</f>
        <v>0</v>
      </c>
      <c r="G539" s="2672">
        <f>E539*F539*(IF('Ввод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9" s="2672">
        <f>дома!G935*(IF('Ввод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0" spans="1:8">
      <c r="A540" s="2670" t="str">
        <f>дома!A936</f>
        <v>Стойка каркаса по фронтону, 2 этаж, односкатная кровля, №3</v>
      </c>
      <c r="B540" s="2671" t="str">
        <f>дома!B936</f>
        <v>м.п.</v>
      </c>
      <c r="C540" s="2672">
        <f>дома!C936</f>
        <v>0.4</v>
      </c>
      <c r="D540" s="2672">
        <f>дома!D936</f>
        <v>0.05</v>
      </c>
      <c r="E540" s="2672">
        <f>дома!E936</f>
        <v>0</v>
      </c>
      <c r="F540" s="2672">
        <f>дома!F936</f>
        <v>0</v>
      </c>
      <c r="G540" s="2672">
        <f>E540*F540*(IF('Ввод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0" s="2672">
        <f>дома!G936*(IF('Ввод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1" spans="1:8">
      <c r="A541" s="2670" t="str">
        <f>дома!A937</f>
        <v>Стойка каркаса по фронтону, 2 этаж, односкатная кровля, №4</v>
      </c>
      <c r="B541" s="2671" t="str">
        <f>дома!B937</f>
        <v>м.п.</v>
      </c>
      <c r="C541" s="2672">
        <f>дома!C937</f>
        <v>0.4</v>
      </c>
      <c r="D541" s="2672">
        <f>дома!D937</f>
        <v>0.05</v>
      </c>
      <c r="E541" s="2672">
        <f>дома!E937</f>
        <v>0</v>
      </c>
      <c r="F541" s="2672">
        <f>дома!F937</f>
        <v>0</v>
      </c>
      <c r="G541" s="2672">
        <f>E541*F541*(IF('Ввод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1" s="2672">
        <f>дома!G937*(IF('Ввод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2" spans="1:8">
      <c r="A542" s="2670" t="str">
        <f>дома!A938</f>
        <v>Стойка каркаса по фронтону, 2 этаж, односкатная кровля, №5</v>
      </c>
      <c r="B542" s="2671" t="str">
        <f>дома!B938</f>
        <v>м.п.</v>
      </c>
      <c r="C542" s="2672">
        <f>дома!C938</f>
        <v>0.4</v>
      </c>
      <c r="D542" s="2672">
        <f>дома!D938</f>
        <v>0.05</v>
      </c>
      <c r="E542" s="2672">
        <f>дома!E938</f>
        <v>0</v>
      </c>
      <c r="F542" s="2672">
        <f>дома!F938</f>
        <v>0</v>
      </c>
      <c r="G542" s="2672">
        <f>E542*F542*(IF('Ввод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2" s="2672">
        <f>дома!G938*(IF('Ввод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3" spans="1:8">
      <c r="A543" s="2670" t="str">
        <f>дома!A939</f>
        <v>Стойка каркаса по фронтону, 2 этаж, односкатная кровля, №6</v>
      </c>
      <c r="B543" s="2671" t="str">
        <f>дома!B939</f>
        <v>м.п.</v>
      </c>
      <c r="C543" s="2672">
        <f>дома!C939</f>
        <v>0.4</v>
      </c>
      <c r="D543" s="2672">
        <f>дома!D939</f>
        <v>0.05</v>
      </c>
      <c r="E543" s="2672">
        <f>дома!E939</f>
        <v>0</v>
      </c>
      <c r="F543" s="2672">
        <f>дома!F939</f>
        <v>0</v>
      </c>
      <c r="G543" s="2672">
        <f>E543*F543*(IF('Ввод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3" s="2672">
        <f>дома!G939*(IF('Ввод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4" spans="1:8">
      <c r="A544" s="2670" t="str">
        <f>дома!A940</f>
        <v>Стойка каркаса по фронтону, 2 этаж, односкатная кровля, №7</v>
      </c>
      <c r="B544" s="2671" t="str">
        <f>дома!B940</f>
        <v>м.п.</v>
      </c>
      <c r="C544" s="2672">
        <f>дома!C940</f>
        <v>0.4</v>
      </c>
      <c r="D544" s="2672">
        <f>дома!D940</f>
        <v>0.05</v>
      </c>
      <c r="E544" s="2672">
        <f>дома!E940</f>
        <v>0</v>
      </c>
      <c r="F544" s="2672">
        <f>дома!F940</f>
        <v>0</v>
      </c>
      <c r="G544" s="2672">
        <f>E544*F544*(IF('Ввод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4" s="2672">
        <f>дома!G940*(IF('Ввод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5" spans="1:8">
      <c r="A545" s="2670" t="str">
        <f>дома!A941</f>
        <v>Стойка каркаса по фронтону, 2 этаж, односкатная кровля, №8</v>
      </c>
      <c r="B545" s="2671" t="str">
        <f>дома!B941</f>
        <v>м.п.</v>
      </c>
      <c r="C545" s="2672">
        <f>дома!C941</f>
        <v>0.4</v>
      </c>
      <c r="D545" s="2672">
        <f>дома!D941</f>
        <v>0.05</v>
      </c>
      <c r="E545" s="2672">
        <f>дома!E941</f>
        <v>0</v>
      </c>
      <c r="F545" s="2672">
        <f>дома!F941</f>
        <v>0</v>
      </c>
      <c r="G545" s="2672">
        <f>E545*F545*(IF('Ввод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5" s="2672">
        <f>дома!G941*(IF('Ввод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6" spans="1:8">
      <c r="A546" s="2670" t="str">
        <f>дома!A942</f>
        <v>Стойка каркаса по фронтону, 2 этаж, односкатная кровля, №9</v>
      </c>
      <c r="B546" s="2671" t="str">
        <f>дома!B942</f>
        <v>м.п.</v>
      </c>
      <c r="C546" s="2672">
        <f>дома!C942</f>
        <v>0.4</v>
      </c>
      <c r="D546" s="2672">
        <f>дома!D942</f>
        <v>0.05</v>
      </c>
      <c r="E546" s="2672">
        <f>дома!E942</f>
        <v>0</v>
      </c>
      <c r="F546" s="2672">
        <f>дома!F942</f>
        <v>0</v>
      </c>
      <c r="G546" s="2672">
        <f>E546*F546*(IF('Ввод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6" s="2672">
        <f>дома!G942*(IF('Ввод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7" spans="1:8">
      <c r="A547" s="2670" t="str">
        <f>дома!A943</f>
        <v>Стойка каркаса по фронтону, 2 этаж, односкатная кровля, №10</v>
      </c>
      <c r="B547" s="2671" t="str">
        <f>дома!B943</f>
        <v>м.п.</v>
      </c>
      <c r="C547" s="2672">
        <f>дома!C943</f>
        <v>0.4</v>
      </c>
      <c r="D547" s="2672">
        <f>дома!D943</f>
        <v>0.05</v>
      </c>
      <c r="E547" s="2672">
        <f>дома!E943</f>
        <v>0</v>
      </c>
      <c r="F547" s="2672">
        <f>дома!F943</f>
        <v>0</v>
      </c>
      <c r="G547" s="2672">
        <f>E547*F547*(IF('Ввод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7" s="2672">
        <f>дома!G943*(IF('Ввод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8" spans="1:8">
      <c r="A548" s="2670" t="str">
        <f>дома!A944</f>
        <v>Стойка каркаса по фронтону, 2 этаж, односкатная кровля, №11</v>
      </c>
      <c r="B548" s="2671" t="str">
        <f>дома!B944</f>
        <v>м.п.</v>
      </c>
      <c r="C548" s="2672">
        <f>дома!C944</f>
        <v>0.4</v>
      </c>
      <c r="D548" s="2672">
        <f>дома!D944</f>
        <v>0.05</v>
      </c>
      <c r="E548" s="2672">
        <f>дома!E944</f>
        <v>0</v>
      </c>
      <c r="F548" s="2672">
        <f>дома!F944</f>
        <v>0</v>
      </c>
      <c r="G548" s="2672">
        <f>E548*F548*(IF('Ввод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8" s="2672">
        <f>дома!G944*(IF('Ввод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9" spans="1:8">
      <c r="A549" s="2670" t="str">
        <f>дома!A945</f>
        <v>Стойка каркаса по фронтону, 2 этаж, односкатная кровля, №12</v>
      </c>
      <c r="B549" s="2671" t="str">
        <f>дома!B945</f>
        <v>м.п.</v>
      </c>
      <c r="C549" s="2672">
        <f>дома!C945</f>
        <v>0.4</v>
      </c>
      <c r="D549" s="2672">
        <f>дома!D945</f>
        <v>0.05</v>
      </c>
      <c r="E549" s="2672">
        <f>дома!E945</f>
        <v>0</v>
      </c>
      <c r="F549" s="2672">
        <f>дома!F945</f>
        <v>0</v>
      </c>
      <c r="G549" s="2672">
        <f>E549*F549*(IF('Ввод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9" s="2672">
        <f>дома!G945*(IF('Ввод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0" spans="1:8">
      <c r="A550" s="2670" t="str">
        <f>дома!A946</f>
        <v>Стойка каркаса по фронтону, 2 этаж, односкатная кровля, №13</v>
      </c>
      <c r="B550" s="2671" t="str">
        <f>дома!B946</f>
        <v>м.п.</v>
      </c>
      <c r="C550" s="2672">
        <f>дома!C946</f>
        <v>0.4</v>
      </c>
      <c r="D550" s="2672">
        <f>дома!D946</f>
        <v>0.05</v>
      </c>
      <c r="E550" s="2672">
        <f>дома!E946</f>
        <v>0</v>
      </c>
      <c r="F550" s="2672">
        <f>дома!F946</f>
        <v>0</v>
      </c>
      <c r="G550" s="2672">
        <f>E550*F550*(IF('Ввод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0" s="2672">
        <f>дома!G946*(IF('Ввод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1" spans="1:8">
      <c r="A551" s="2670" t="str">
        <f>дома!A947</f>
        <v>Стойка каркаса по фронтону, 2 этаж, односкатная кровля, №14</v>
      </c>
      <c r="B551" s="2671" t="str">
        <f>дома!B947</f>
        <v>м.п.</v>
      </c>
      <c r="C551" s="2672">
        <f>дома!C947</f>
        <v>0.4</v>
      </c>
      <c r="D551" s="2672">
        <f>дома!D947</f>
        <v>0.05</v>
      </c>
      <c r="E551" s="2672">
        <f>дома!E947</f>
        <v>0</v>
      </c>
      <c r="F551" s="2672">
        <f>дома!F947</f>
        <v>0</v>
      </c>
      <c r="G551" s="2672">
        <f>E551*F551*(IF('Ввод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1" s="2672">
        <f>дома!G947*(IF('Ввод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2" spans="1:8">
      <c r="A552" s="2670" t="str">
        <f>дома!A948</f>
        <v>Стойка каркаса по фронтону, 2 этаж, односкатная кровля, №15</v>
      </c>
      <c r="B552" s="2671" t="str">
        <f>дома!B948</f>
        <v>м.п.</v>
      </c>
      <c r="C552" s="2672">
        <f>дома!C948</f>
        <v>0.4</v>
      </c>
      <c r="D552" s="2672">
        <f>дома!D948</f>
        <v>0.05</v>
      </c>
      <c r="E552" s="2672">
        <f>дома!E948</f>
        <v>0</v>
      </c>
      <c r="F552" s="2672">
        <f>дома!F948</f>
        <v>0</v>
      </c>
      <c r="G552" s="2672">
        <f>E552*F552*(IF('Ввод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2" s="2672">
        <f>дома!G948*(IF('Ввод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3" spans="1:8">
      <c r="A553" s="2670" t="str">
        <f>дома!A949</f>
        <v>Стойка каркаса по фронтону, 2 этаж, односкатная кровля, №16</v>
      </c>
      <c r="B553" s="2671" t="str">
        <f>дома!B949</f>
        <v>м.п.</v>
      </c>
      <c r="C553" s="2672">
        <f>дома!C949</f>
        <v>0.4</v>
      </c>
      <c r="D553" s="2672">
        <f>дома!D949</f>
        <v>0.05</v>
      </c>
      <c r="E553" s="2672">
        <f>дома!E949</f>
        <v>0</v>
      </c>
      <c r="F553" s="2672">
        <f>дома!F949</f>
        <v>0</v>
      </c>
      <c r="G553" s="2672">
        <f>E553*F553*(IF('Ввод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3" s="2672">
        <f>дома!G949*(IF('Ввод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4" spans="1:8">
      <c r="A554" s="2670" t="str">
        <f>дома!A950</f>
        <v>Стойка каркаса по фронтону, 2 этаж, односкатная кровля, №17</v>
      </c>
      <c r="B554" s="2671" t="str">
        <f>дома!B950</f>
        <v>м.п.</v>
      </c>
      <c r="C554" s="2672">
        <f>дома!C950</f>
        <v>0.4</v>
      </c>
      <c r="D554" s="2672">
        <f>дома!D950</f>
        <v>0.05</v>
      </c>
      <c r="E554" s="2672">
        <f>дома!E950</f>
        <v>0</v>
      </c>
      <c r="F554" s="2672">
        <f>дома!F950</f>
        <v>0</v>
      </c>
      <c r="G554" s="2672">
        <f>E554*F554*(IF('Ввод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4" s="2672">
        <f>дома!G950*(IF('Ввод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5" spans="1:8">
      <c r="A555" s="2670" t="str">
        <f>дома!A951</f>
        <v>Стойка каркаса по фронтону, 2 этаж, двускатная кровля, №1</v>
      </c>
      <c r="B555" s="2671" t="str">
        <f>дома!B951</f>
        <v>м.п.</v>
      </c>
      <c r="C555" s="2672">
        <f>дома!C951</f>
        <v>0.4</v>
      </c>
      <c r="D555" s="2672">
        <f>дома!D951</f>
        <v>0.05</v>
      </c>
      <c r="E555" s="2672">
        <f>дома!E951</f>
        <v>-1.2000000000000004</v>
      </c>
      <c r="F555" s="2672">
        <f>дома!F951</f>
        <v>0</v>
      </c>
      <c r="G555" s="2672">
        <f>E555*F555*(IF('Ввод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5" s="2672">
        <f>дома!G951*(IF('Ввод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6" spans="1:8">
      <c r="A556" s="2670" t="str">
        <f>дома!A952</f>
        <v>Стойка каркаса по фронтону, 2 этаж, двускатная кровля, №2</v>
      </c>
      <c r="B556" s="2671" t="str">
        <f>дома!B952</f>
        <v>м.п.</v>
      </c>
      <c r="C556" s="2672">
        <f>дома!C952</f>
        <v>0.4</v>
      </c>
      <c r="D556" s="2672">
        <f>дома!D952</f>
        <v>0.05</v>
      </c>
      <c r="E556" s="2672">
        <f>дома!E952</f>
        <v>0</v>
      </c>
      <c r="F556" s="2672">
        <f>дома!F952</f>
        <v>0</v>
      </c>
      <c r="G556" s="2672">
        <f>E556*F556*(IF('Ввод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6" s="2672">
        <f>дома!G952*(IF('Ввод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7" spans="1:8">
      <c r="A557" s="2670" t="str">
        <f>дома!A953</f>
        <v>Стойка каркаса по фронтону, 2 этаж, двускатная кровля, №3</v>
      </c>
      <c r="B557" s="2671" t="str">
        <f>дома!B953</f>
        <v>м.п.</v>
      </c>
      <c r="C557" s="2672">
        <f>дома!C953</f>
        <v>0.4</v>
      </c>
      <c r="D557" s="2672">
        <f>дома!D953</f>
        <v>0.05</v>
      </c>
      <c r="E557" s="2672">
        <f>дома!E953</f>
        <v>0</v>
      </c>
      <c r="F557" s="2672">
        <f>дома!F953</f>
        <v>0</v>
      </c>
      <c r="G557" s="2672">
        <f>E557*F557*(IF('Ввод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7" s="2672">
        <f>дома!G953*(IF('Ввод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8" spans="1:8">
      <c r="A558" s="2670" t="str">
        <f>дома!A954</f>
        <v>Стойка каркаса по фронтону, 2 этаж, двускатная кровля, №4</v>
      </c>
      <c r="B558" s="2671" t="str">
        <f>дома!B954</f>
        <v>м.п.</v>
      </c>
      <c r="C558" s="2672">
        <f>дома!C954</f>
        <v>0.4</v>
      </c>
      <c r="D558" s="2672">
        <f>дома!D954</f>
        <v>0.05</v>
      </c>
      <c r="E558" s="2672">
        <f>дома!E954</f>
        <v>0</v>
      </c>
      <c r="F558" s="2672">
        <f>дома!F954</f>
        <v>0</v>
      </c>
      <c r="G558" s="2672">
        <f>E558*F558*(IF('Ввод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8" s="2672">
        <f>дома!G954*(IF('Ввод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9" spans="1:8">
      <c r="A559" s="2670" t="str">
        <f>дома!A955</f>
        <v>Стойка каркаса по фронтону, 2 этаж, двускатная кровля, №5</v>
      </c>
      <c r="B559" s="2671" t="str">
        <f>дома!B955</f>
        <v>м.п.</v>
      </c>
      <c r="C559" s="2672">
        <f>дома!C955</f>
        <v>0.4</v>
      </c>
      <c r="D559" s="2672">
        <f>дома!D955</f>
        <v>0.05</v>
      </c>
      <c r="E559" s="2672">
        <f>дома!E955</f>
        <v>0</v>
      </c>
      <c r="F559" s="2672">
        <f>дома!F955</f>
        <v>0</v>
      </c>
      <c r="G559" s="2672">
        <f>E559*F559*(IF('Ввод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9" s="2672">
        <f>дома!G955*(IF('Ввод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0" spans="1:8">
      <c r="A560" s="2670" t="str">
        <f>дома!A956</f>
        <v>Стойка каркаса по фронтону, 2 этаж, двускатная кровля, №6</v>
      </c>
      <c r="B560" s="2671" t="str">
        <f>дома!B956</f>
        <v>м.п.</v>
      </c>
      <c r="C560" s="2672">
        <f>дома!C956</f>
        <v>0.4</v>
      </c>
      <c r="D560" s="2672">
        <f>дома!D956</f>
        <v>0.05</v>
      </c>
      <c r="E560" s="2672">
        <f>дома!E956</f>
        <v>0</v>
      </c>
      <c r="F560" s="2672">
        <f>дома!F956</f>
        <v>0</v>
      </c>
      <c r="G560" s="2672">
        <f>E560*F560*(IF('Ввод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0" s="2672">
        <f>дома!G956*(IF('Ввод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1" spans="1:8">
      <c r="A561" s="2670" t="str">
        <f>дома!A957</f>
        <v>Стойка каркаса по фронтону, 2 этаж, двускатная кровля, №7</v>
      </c>
      <c r="B561" s="2671" t="str">
        <f>дома!B957</f>
        <v>м.п.</v>
      </c>
      <c r="C561" s="2672">
        <f>дома!C957</f>
        <v>0.4</v>
      </c>
      <c r="D561" s="2672">
        <f>дома!D957</f>
        <v>0.05</v>
      </c>
      <c r="E561" s="2672">
        <f>дома!E957</f>
        <v>0</v>
      </c>
      <c r="F561" s="2672">
        <f>дома!F957</f>
        <v>0</v>
      </c>
      <c r="G561" s="2672">
        <f>E561*F561*(IF('Ввод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1" s="2672">
        <f>дома!G957*(IF('Ввод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2" spans="1:8">
      <c r="A562" s="2670" t="str">
        <f>дома!A958</f>
        <v>Стойка каркаса по фронтону, 2 этаж, двускатная кровля, №8</v>
      </c>
      <c r="B562" s="2671" t="str">
        <f>дома!B958</f>
        <v>м.п.</v>
      </c>
      <c r="C562" s="2672">
        <f>дома!C958</f>
        <v>0.4</v>
      </c>
      <c r="D562" s="2672">
        <f>дома!D958</f>
        <v>0.05</v>
      </c>
      <c r="E562" s="2672">
        <f>дома!E958</f>
        <v>0</v>
      </c>
      <c r="F562" s="2672">
        <f>дома!F958</f>
        <v>0</v>
      </c>
      <c r="G562" s="2672">
        <f>E562*F562*(IF('Ввод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2" s="2672">
        <f>дома!G958*(IF('Ввод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3" spans="1:8">
      <c r="A563" s="2670" t="str">
        <f>дома!A959</f>
        <v>Стойка каркаса по фронтону, 2 этаж, двускатная кровля, №9</v>
      </c>
      <c r="B563" s="2671" t="str">
        <f>дома!B959</f>
        <v>м.п.</v>
      </c>
      <c r="C563" s="2672">
        <f>дома!C959</f>
        <v>0.4</v>
      </c>
      <c r="D563" s="2672">
        <f>дома!D959</f>
        <v>0.05</v>
      </c>
      <c r="E563" s="2672">
        <f>дома!E959</f>
        <v>0</v>
      </c>
      <c r="F563" s="2672">
        <f>дома!F959</f>
        <v>0</v>
      </c>
      <c r="G563" s="2672">
        <f>E563*F563*(IF('Ввод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3" s="2672">
        <f>дома!G959*(IF('Ввод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4" spans="1:8">
      <c r="A564" s="2670" t="str">
        <f>дома!A960</f>
        <v>Стойка каркаса по фронтону, 2 этаж, двускатная кровля, №10</v>
      </c>
      <c r="B564" s="2671" t="str">
        <f>дома!B960</f>
        <v>м.п.</v>
      </c>
      <c r="C564" s="2672">
        <f>дома!C960</f>
        <v>0.4</v>
      </c>
      <c r="D564" s="2672">
        <f>дома!D960</f>
        <v>0.05</v>
      </c>
      <c r="E564" s="2672">
        <f>дома!E960</f>
        <v>0</v>
      </c>
      <c r="F564" s="2672">
        <f>дома!F960</f>
        <v>0</v>
      </c>
      <c r="G564" s="2672">
        <f>E564*F564*(IF('Ввод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4" s="2672">
        <f>дома!G960*(IF('Ввод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5" spans="1:8">
      <c r="A565" s="2670" t="str">
        <f>дома!A961</f>
        <v>Стойка каркаса по фронтону, 2 этаж, двускатная кровля, №11</v>
      </c>
      <c r="B565" s="2671" t="str">
        <f>дома!B961</f>
        <v>м.п.</v>
      </c>
      <c r="C565" s="2672">
        <f>дома!C961</f>
        <v>0.4</v>
      </c>
      <c r="D565" s="2672">
        <f>дома!D961</f>
        <v>0.05</v>
      </c>
      <c r="E565" s="2672">
        <f>дома!E961</f>
        <v>0</v>
      </c>
      <c r="F565" s="2672">
        <f>дома!F961</f>
        <v>0</v>
      </c>
      <c r="G565" s="2672">
        <f>E565*F565*(IF('Ввод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5" s="2672">
        <f>дома!G961*(IF('Ввод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6" spans="1:8">
      <c r="A566" s="2670" t="str">
        <f>дома!A962</f>
        <v>Стойка каркаса по фронтону, 2 этаж, двускатная кровля, №12</v>
      </c>
      <c r="B566" s="2671" t="str">
        <f>дома!B962</f>
        <v>м.п.</v>
      </c>
      <c r="C566" s="2672">
        <f>дома!C962</f>
        <v>0.4</v>
      </c>
      <c r="D566" s="2672">
        <f>дома!D962</f>
        <v>0.05</v>
      </c>
      <c r="E566" s="2672">
        <f>дома!E962</f>
        <v>0</v>
      </c>
      <c r="F566" s="2672">
        <f>дома!F962</f>
        <v>0</v>
      </c>
      <c r="G566" s="2672">
        <f>E566*F566*(IF('Ввод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6" s="2672">
        <f>дома!G962*(IF('Ввод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7" spans="1:8">
      <c r="A567" s="2670" t="str">
        <f>дома!A963</f>
        <v>Стойка каркаса по фронтону, 2 этаж, двускатная кровля, №13</v>
      </c>
      <c r="B567" s="2671" t="str">
        <f>дома!B963</f>
        <v>м.п.</v>
      </c>
      <c r="C567" s="2672">
        <f>дома!C963</f>
        <v>0.4</v>
      </c>
      <c r="D567" s="2672">
        <f>дома!D963</f>
        <v>0.05</v>
      </c>
      <c r="E567" s="2672">
        <f>дома!E963</f>
        <v>0</v>
      </c>
      <c r="F567" s="2672">
        <f>дома!F963</f>
        <v>0</v>
      </c>
      <c r="G567" s="2672">
        <f>E567*F567*(IF('Ввод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7" s="2672">
        <f>дома!G963*(IF('Ввод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8" spans="1:8">
      <c r="A568" s="2670" t="str">
        <f>дома!A964</f>
        <v>Стойка каркаса по фронтону, 2 этаж, двускатная кровля, №14</v>
      </c>
      <c r="B568" s="2671" t="str">
        <f>дома!B964</f>
        <v>м.п.</v>
      </c>
      <c r="C568" s="2672">
        <f>дома!C964</f>
        <v>0.4</v>
      </c>
      <c r="D568" s="2672">
        <f>дома!D964</f>
        <v>0.05</v>
      </c>
      <c r="E568" s="2672">
        <f>дома!E964</f>
        <v>0</v>
      </c>
      <c r="F568" s="2672">
        <f>дома!F964</f>
        <v>0</v>
      </c>
      <c r="G568" s="2672">
        <f>E568*F568*(IF('Ввод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8" s="2672">
        <f>дома!G964*(IF('Ввод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9" spans="1:8">
      <c r="A569" s="2670" t="str">
        <f>дома!A965</f>
        <v>Стойка каркаса по фронтону, 2 этаж, двускатная кровля, №15</v>
      </c>
      <c r="B569" s="2671" t="str">
        <f>дома!B965</f>
        <v>м.п.</v>
      </c>
      <c r="C569" s="2672">
        <f>дома!C965</f>
        <v>0.4</v>
      </c>
      <c r="D569" s="2672">
        <f>дома!D965</f>
        <v>0.05</v>
      </c>
      <c r="E569" s="2672">
        <f>дома!E965</f>
        <v>0</v>
      </c>
      <c r="F569" s="2672">
        <f>дома!F965</f>
        <v>0</v>
      </c>
      <c r="G569" s="2672">
        <f>E569*F569*(IF('Ввод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9" s="2672">
        <f>дома!G965*(IF('Ввод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70" spans="1:8">
      <c r="A570" s="2670" t="str">
        <f>дома!A966</f>
        <v>Стойка каркаса по фронтону, 2 этаж, двускатная кровля, №16</v>
      </c>
      <c r="B570" s="2671" t="str">
        <f>дома!B966</f>
        <v>м.п.</v>
      </c>
      <c r="C570" s="2672">
        <f>дома!C966</f>
        <v>0.4</v>
      </c>
      <c r="D570" s="2672">
        <f>дома!D966</f>
        <v>0.05</v>
      </c>
      <c r="E570" s="2672">
        <f>дома!E966</f>
        <v>0</v>
      </c>
      <c r="F570" s="2672">
        <f>дома!F966</f>
        <v>0</v>
      </c>
      <c r="G570" s="2672">
        <f>E570*F570*(IF('Ввод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70" s="2672">
        <f>дома!G966*(IF('Ввод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71" spans="1:8">
      <c r="A571" s="2670" t="str">
        <f>дома!A967</f>
        <v>Стойка каркаса по фронтону, 2 этаж, двускатная кровля, №17</v>
      </c>
      <c r="B571" s="2671" t="str">
        <f>дома!B967</f>
        <v>м.п.</v>
      </c>
      <c r="C571" s="2672">
        <f>дома!C967</f>
        <v>0.4</v>
      </c>
      <c r="D571" s="2672">
        <f>дома!D967</f>
        <v>0.05</v>
      </c>
      <c r="E571" s="2672">
        <f>дома!E967</f>
        <v>0</v>
      </c>
      <c r="F571" s="2672">
        <f>дома!F967</f>
        <v>0</v>
      </c>
      <c r="G571" s="2672">
        <f>E571*F571*(IF('Ввод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71" s="2672">
        <f>дома!G967*(IF('Ввод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72" spans="1:8" ht="21">
      <c r="A572" s="3266" t="s">
        <v>4173</v>
      </c>
      <c r="B572" s="3266"/>
      <c r="C572" s="3266"/>
      <c r="D572" s="3266"/>
      <c r="E572" s="3266"/>
      <c r="F572" s="3266"/>
      <c r="G572" s="2673">
        <f>E572*F572</f>
        <v>0</v>
      </c>
      <c r="H572" s="2673">
        <f>SUM(H573:H612)</f>
        <v>0</v>
      </c>
    </row>
    <row r="573" spans="1:8">
      <c r="A573" s="2670" t="str">
        <f>дома!A508</f>
        <v>Стойки каркаса передней стены 1 эт</v>
      </c>
      <c r="B573" s="2671" t="str">
        <f>дома!B508</f>
        <v>м.п.</v>
      </c>
      <c r="C573" s="2672">
        <f>дома!C508</f>
        <v>0.4</v>
      </c>
      <c r="D573" s="2672">
        <f>дома!D508</f>
        <v>0.05</v>
      </c>
      <c r="E573" s="2672">
        <f>дома!E508</f>
        <v>2.9</v>
      </c>
      <c r="F573" s="2672">
        <f>дома!F508</f>
        <v>0</v>
      </c>
      <c r="G573" s="2672">
        <f>E573*F573*IF('Ввод данных'!$A$8=связи1!$A$150,1,0)</f>
        <v>0</v>
      </c>
      <c r="H573" s="2672">
        <f>дома!G508*IF('Ввод данных'!$A$8=связи1!$A$150,1,0)</f>
        <v>0</v>
      </c>
    </row>
    <row r="574" spans="1:8">
      <c r="A574" s="2670" t="str">
        <f>дома!A509</f>
        <v>Стойки каркаса, левая сторона 1 эт</v>
      </c>
      <c r="B574" s="2671" t="str">
        <f>дома!B509</f>
        <v>м.п.</v>
      </c>
      <c r="C574" s="2672">
        <f>дома!C509</f>
        <v>0.4</v>
      </c>
      <c r="D574" s="2672">
        <f>дома!D509</f>
        <v>0.05</v>
      </c>
      <c r="E574" s="2672">
        <f>дома!E509</f>
        <v>2.9</v>
      </c>
      <c r="F574" s="2672">
        <f>дома!F509</f>
        <v>0</v>
      </c>
      <c r="G574" s="2672">
        <f>E574*F574*IF('Ввод данных'!$A$8=связи1!$A$150,1,0)</f>
        <v>0</v>
      </c>
      <c r="H574" s="2672">
        <f>дома!G509*IF('Ввод данных'!$A$8=связи1!$A$150,1,0)</f>
        <v>0</v>
      </c>
    </row>
    <row r="575" spans="1:8">
      <c r="A575" s="2670" t="str">
        <f>дома!A510</f>
        <v>Стойки каркаса, правая сторона, 1 эт</v>
      </c>
      <c r="B575" s="2671" t="str">
        <f>дома!B510</f>
        <v>м.п.</v>
      </c>
      <c r="C575" s="2672">
        <f>дома!C510</f>
        <v>0.4</v>
      </c>
      <c r="D575" s="2672">
        <f>дома!D510</f>
        <v>0.05</v>
      </c>
      <c r="E575" s="2672">
        <f>дома!E510</f>
        <v>2.9</v>
      </c>
      <c r="F575" s="2672">
        <f>дома!F510</f>
        <v>0</v>
      </c>
      <c r="G575" s="2672">
        <f>E575*F575*IF('Ввод данных'!$A$8=связи1!$A$150,1,0)</f>
        <v>0</v>
      </c>
      <c r="H575" s="2672">
        <f>дома!G510*IF('Ввод данных'!$A$8=связи1!$A$150,1,0)</f>
        <v>0</v>
      </c>
    </row>
    <row r="576" spans="1:8">
      <c r="A576" s="2670" t="str">
        <f>дома!A511</f>
        <v>Обвязка каркаса верхняя/нижняя наружние стены 1 эт</v>
      </c>
      <c r="B576" s="2671" t="str">
        <f>дома!B511</f>
        <v>м.п.</v>
      </c>
      <c r="C576" s="2672">
        <f>дома!C511</f>
        <v>0.4</v>
      </c>
      <c r="D576" s="2672">
        <f>дома!D511</f>
        <v>0.05</v>
      </c>
      <c r="E576" s="2672">
        <f>дома!E511</f>
        <v>0</v>
      </c>
      <c r="F576" s="2672">
        <f>дома!F511</f>
        <v>0</v>
      </c>
      <c r="G576" s="2672">
        <f>E576*F576*IF('Ввод данных'!$A$8=связи1!$A$150,1,0)</f>
        <v>0</v>
      </c>
      <c r="H576" s="2672">
        <f>дома!G511*IF('Ввод данных'!$A$8=связи1!$A$150,1,0)</f>
        <v>0</v>
      </c>
    </row>
    <row r="577" spans="1:8">
      <c r="A577" s="2670" t="str">
        <f>дома!A512</f>
        <v>Ригель каркаса наружние стены 1 эт</v>
      </c>
      <c r="B577" s="2671" t="str">
        <f>дома!B512</f>
        <v>м.п.</v>
      </c>
      <c r="C577" s="2672">
        <f>дома!C512</f>
        <v>0.4</v>
      </c>
      <c r="D577" s="2672">
        <f>дома!D512</f>
        <v>0.05</v>
      </c>
      <c r="E577" s="2672">
        <f>дома!E512</f>
        <v>0</v>
      </c>
      <c r="F577" s="2672">
        <f>дома!F512</f>
        <v>0</v>
      </c>
      <c r="G577" s="2672">
        <f>E577*F577*IF('Ввод данных'!$A$8=связи1!$A$150,1,0)</f>
        <v>0</v>
      </c>
      <c r="H577" s="2672">
        <f>дома!G512*IF('Ввод данных'!$A$8=связи1!$A$150,1,0)</f>
        <v>0</v>
      </c>
    </row>
    <row r="578" spans="1:8">
      <c r="A578" s="2670" t="str">
        <f>дома!A513</f>
        <v>Укосина наружних стен, усиление 1 этаж</v>
      </c>
      <c r="B578" s="2671" t="str">
        <f>дома!B513</f>
        <v>м.п.</v>
      </c>
      <c r="C578" s="2672">
        <f>дома!C513</f>
        <v>0.4</v>
      </c>
      <c r="D578" s="2672">
        <f>дома!D513</f>
        <v>0.05</v>
      </c>
      <c r="E578" s="2672">
        <f>дома!E513</f>
        <v>0</v>
      </c>
      <c r="F578" s="2672">
        <f>дома!F513</f>
        <v>8</v>
      </c>
      <c r="G578" s="2672">
        <f>E578*F578*IF('Ввод данных'!$A$8=связи1!$A$150,1,0)</f>
        <v>0</v>
      </c>
      <c r="H578" s="2672">
        <f>дома!G513*IF('Ввод данных'!$A$8=связи1!$A$150,1,0)</f>
        <v>0</v>
      </c>
    </row>
    <row r="579" spans="1:8">
      <c r="A579" s="2670" t="str">
        <f>дома!A514</f>
        <v>Стойка каркаса по фронтону, 1 этаж, односкатная кровля, №1</v>
      </c>
      <c r="B579" s="2671" t="str">
        <f>дома!B514</f>
        <v>м.п.</v>
      </c>
      <c r="C579" s="2672">
        <f>дома!C514</f>
        <v>0.4</v>
      </c>
      <c r="D579" s="2672">
        <f>дома!D514</f>
        <v>0.05</v>
      </c>
      <c r="E579" s="2672">
        <f>дома!E514</f>
        <v>0</v>
      </c>
      <c r="F579" s="2672">
        <f>дома!F514</f>
        <v>2</v>
      </c>
      <c r="G579" s="2672">
        <f>E579*F579*IF('Ввод данных'!$A$8=связи1!$A$150,1,0)</f>
        <v>0</v>
      </c>
      <c r="H579" s="2672">
        <f>дома!G514*IF('Ввод данных'!$A$8=связи1!$A$150,1,0)</f>
        <v>0</v>
      </c>
    </row>
    <row r="580" spans="1:8">
      <c r="A580" s="2670" t="str">
        <f>дома!A515</f>
        <v>Стойка каркаса по фронтону, 1 этаж, односкатная кровля, №2</v>
      </c>
      <c r="B580" s="2671" t="str">
        <f>дома!B515</f>
        <v>м.п.</v>
      </c>
      <c r="C580" s="2672">
        <f>дома!C515</f>
        <v>0.4</v>
      </c>
      <c r="D580" s="2672">
        <f>дома!D515</f>
        <v>0.05</v>
      </c>
      <c r="E580" s="2672">
        <f>дома!E515</f>
        <v>0</v>
      </c>
      <c r="F580" s="2672">
        <f>дома!F515</f>
        <v>2</v>
      </c>
      <c r="G580" s="2672">
        <f>E580*F580*IF('Ввод данных'!$A$8=связи1!$A$150,1,0)</f>
        <v>0</v>
      </c>
      <c r="H580" s="2672">
        <f>дома!G515*IF('Ввод данных'!$A$8=связи1!$A$150,1,0)</f>
        <v>0</v>
      </c>
    </row>
    <row r="581" spans="1:8">
      <c r="A581" s="2670" t="str">
        <f>дома!A516</f>
        <v>Стойка каркаса по фронтону, 1 этаж, односкатная кровля, №3</v>
      </c>
      <c r="B581" s="2671" t="str">
        <f>дома!B516</f>
        <v>м.п.</v>
      </c>
      <c r="C581" s="2672">
        <f>дома!C516</f>
        <v>0.4</v>
      </c>
      <c r="D581" s="2672">
        <f>дома!D516</f>
        <v>0.05</v>
      </c>
      <c r="E581" s="2672">
        <f>дома!E516</f>
        <v>0</v>
      </c>
      <c r="F581" s="2672">
        <f>дома!F516</f>
        <v>2</v>
      </c>
      <c r="G581" s="2672">
        <f>E581*F581*IF('Ввод данных'!$A$8=связи1!$A$150,1,0)</f>
        <v>0</v>
      </c>
      <c r="H581" s="2672">
        <f>дома!G516*IF('Ввод данных'!$A$8=связи1!$A$150,1,0)</f>
        <v>0</v>
      </c>
    </row>
    <row r="582" spans="1:8">
      <c r="A582" s="2670" t="str">
        <f>дома!A517</f>
        <v>Стойка каркаса по фронтону, 1 этаж, односкатная кровля, №4</v>
      </c>
      <c r="B582" s="2671" t="str">
        <f>дома!B517</f>
        <v>м.п.</v>
      </c>
      <c r="C582" s="2672">
        <f>дома!C517</f>
        <v>0.4</v>
      </c>
      <c r="D582" s="2672">
        <f>дома!D517</f>
        <v>0.05</v>
      </c>
      <c r="E582" s="2672">
        <f>дома!E517</f>
        <v>0</v>
      </c>
      <c r="F582" s="2672">
        <f>дома!F517</f>
        <v>2</v>
      </c>
      <c r="G582" s="2672">
        <f>E582*F582*IF('Ввод данных'!$A$8=связи1!$A$150,1,0)</f>
        <v>0</v>
      </c>
      <c r="H582" s="2672">
        <f>дома!G517*IF('Ввод данных'!$A$8=связи1!$A$150,1,0)</f>
        <v>0</v>
      </c>
    </row>
    <row r="583" spans="1:8">
      <c r="A583" s="2670" t="str">
        <f>дома!A518</f>
        <v>Стойка каркаса по фронтону, 1 этаж, односкатная кровля, №5</v>
      </c>
      <c r="B583" s="2671" t="str">
        <f>дома!B518</f>
        <v>м.п.</v>
      </c>
      <c r="C583" s="2672">
        <f>дома!C518</f>
        <v>0.4</v>
      </c>
      <c r="D583" s="2672">
        <f>дома!D518</f>
        <v>0.05</v>
      </c>
      <c r="E583" s="2672">
        <f>дома!E518</f>
        <v>0</v>
      </c>
      <c r="F583" s="2672">
        <f>дома!F518</f>
        <v>2</v>
      </c>
      <c r="G583" s="2672">
        <f>E583*F583*IF('Ввод данных'!$A$8=связи1!$A$150,1,0)</f>
        <v>0</v>
      </c>
      <c r="H583" s="2672">
        <f>дома!G518*IF('Ввод данных'!$A$8=связи1!$A$150,1,0)</f>
        <v>0</v>
      </c>
    </row>
    <row r="584" spans="1:8">
      <c r="A584" s="2670" t="str">
        <f>дома!A519</f>
        <v>Стойка каркаса по фронтону, 1 этаж, односкатная кровля, №6</v>
      </c>
      <c r="B584" s="2671" t="str">
        <f>дома!B519</f>
        <v>м.п.</v>
      </c>
      <c r="C584" s="2672">
        <f>дома!C519</f>
        <v>0.4</v>
      </c>
      <c r="D584" s="2672">
        <f>дома!D519</f>
        <v>0.05</v>
      </c>
      <c r="E584" s="2672">
        <f>дома!E519</f>
        <v>0</v>
      </c>
      <c r="F584" s="2672">
        <f>дома!F519</f>
        <v>2</v>
      </c>
      <c r="G584" s="2672">
        <f>E584*F584*IF('Ввод данных'!$A$8=связи1!$A$150,1,0)</f>
        <v>0</v>
      </c>
      <c r="H584" s="2672">
        <f>дома!G519*IF('Ввод данных'!$A$8=связи1!$A$150,1,0)</f>
        <v>0</v>
      </c>
    </row>
    <row r="585" spans="1:8">
      <c r="A585" s="2670" t="str">
        <f>дома!A520</f>
        <v>Стойка каркаса по фронтону, 1 этаж, односкатная кровля, №7</v>
      </c>
      <c r="B585" s="2671" t="str">
        <f>дома!B520</f>
        <v>м.п.</v>
      </c>
      <c r="C585" s="2672">
        <f>дома!C520</f>
        <v>0.4</v>
      </c>
      <c r="D585" s="2672">
        <f>дома!D520</f>
        <v>0.05</v>
      </c>
      <c r="E585" s="2672">
        <f>дома!E520</f>
        <v>0</v>
      </c>
      <c r="F585" s="2672">
        <f>дома!F520</f>
        <v>2</v>
      </c>
      <c r="G585" s="2672">
        <f>E585*F585*IF('Ввод данных'!$A$8=связи1!$A$150,1,0)</f>
        <v>0</v>
      </c>
      <c r="H585" s="2672">
        <f>дома!G520*IF('Ввод данных'!$A$8=связи1!$A$150,1,0)</f>
        <v>0</v>
      </c>
    </row>
    <row r="586" spans="1:8">
      <c r="A586" s="2670" t="str">
        <f>дома!A521</f>
        <v>Стойка каркаса по фронтону, 1 этаж, односкатная кровля, №8</v>
      </c>
      <c r="B586" s="2671" t="str">
        <f>дома!B521</f>
        <v>м.п.</v>
      </c>
      <c r="C586" s="2672">
        <f>дома!C521</f>
        <v>0.4</v>
      </c>
      <c r="D586" s="2672">
        <f>дома!D521</f>
        <v>0.05</v>
      </c>
      <c r="E586" s="2672">
        <f>дома!E521</f>
        <v>0</v>
      </c>
      <c r="F586" s="2672">
        <f>дома!F521</f>
        <v>2</v>
      </c>
      <c r="G586" s="2672">
        <f>E586*F586*IF('Ввод данных'!$A$8=связи1!$A$150,1,0)</f>
        <v>0</v>
      </c>
      <c r="H586" s="2672">
        <f>дома!G521*IF('Ввод данных'!$A$8=связи1!$A$150,1,0)</f>
        <v>0</v>
      </c>
    </row>
    <row r="587" spans="1:8">
      <c r="A587" s="2670" t="str">
        <f>дома!A522</f>
        <v>Стойка каркаса по фронтону, 1 этаж, односкатная кровля, №9</v>
      </c>
      <c r="B587" s="2671" t="str">
        <f>дома!B522</f>
        <v>м.п.</v>
      </c>
      <c r="C587" s="2672">
        <f>дома!C522</f>
        <v>0.4</v>
      </c>
      <c r="D587" s="2672">
        <f>дома!D522</f>
        <v>0.05</v>
      </c>
      <c r="E587" s="2672">
        <f>дома!E522</f>
        <v>0</v>
      </c>
      <c r="F587" s="2672">
        <f>дома!F522</f>
        <v>2</v>
      </c>
      <c r="G587" s="2672">
        <f>E587*F587*IF('Ввод данных'!$A$8=связи1!$A$150,1,0)</f>
        <v>0</v>
      </c>
      <c r="H587" s="2672">
        <f>дома!G522*IF('Ввод данных'!$A$8=связи1!$A$150,1,0)</f>
        <v>0</v>
      </c>
    </row>
    <row r="588" spans="1:8">
      <c r="A588" s="2670" t="str">
        <f>дома!A523</f>
        <v>Стойка каркаса по фронтону, 1 этаж, односкатная кровля, №10</v>
      </c>
      <c r="B588" s="2671" t="str">
        <f>дома!B523</f>
        <v>м.п.</v>
      </c>
      <c r="C588" s="2672">
        <f>дома!C523</f>
        <v>0.4</v>
      </c>
      <c r="D588" s="2672">
        <f>дома!D523</f>
        <v>0.05</v>
      </c>
      <c r="E588" s="2672">
        <f>дома!E523</f>
        <v>0</v>
      </c>
      <c r="F588" s="2672">
        <f>дома!F523</f>
        <v>2</v>
      </c>
      <c r="G588" s="2672">
        <f>E588*F588*IF('Ввод данных'!$A$8=связи1!$A$150,1,0)</f>
        <v>0</v>
      </c>
      <c r="H588" s="2672">
        <f>дома!G523*IF('Ввод данных'!$A$8=связи1!$A$150,1,0)</f>
        <v>0</v>
      </c>
    </row>
    <row r="589" spans="1:8">
      <c r="A589" s="2670" t="str">
        <f>дома!A524</f>
        <v>Стойка каркаса по фронтону, 1 этаж, односкатная кровля, №11</v>
      </c>
      <c r="B589" s="2671" t="str">
        <f>дома!B524</f>
        <v>м.п.</v>
      </c>
      <c r="C589" s="2672">
        <f>дома!C524</f>
        <v>0.4</v>
      </c>
      <c r="D589" s="2672">
        <f>дома!D524</f>
        <v>0.05</v>
      </c>
      <c r="E589" s="2672">
        <f>дома!E524</f>
        <v>0</v>
      </c>
      <c r="F589" s="2672">
        <f>дома!F524</f>
        <v>2</v>
      </c>
      <c r="G589" s="2672">
        <f>E589*F589*IF('Ввод данных'!$A$8=связи1!$A$150,1,0)</f>
        <v>0</v>
      </c>
      <c r="H589" s="2672">
        <f>дома!G524*IF('Ввод данных'!$A$8=связи1!$A$150,1,0)</f>
        <v>0</v>
      </c>
    </row>
    <row r="590" spans="1:8">
      <c r="A590" s="2670" t="str">
        <f>дома!A525</f>
        <v>Стойка каркаса по фронтону, 1 этаж, односкатная кровля, №12</v>
      </c>
      <c r="B590" s="2671" t="str">
        <f>дома!B525</f>
        <v>м.п.</v>
      </c>
      <c r="C590" s="2672">
        <f>дома!C525</f>
        <v>0.4</v>
      </c>
      <c r="D590" s="2672">
        <f>дома!D525</f>
        <v>0.05</v>
      </c>
      <c r="E590" s="2672">
        <f>дома!E525</f>
        <v>0</v>
      </c>
      <c r="F590" s="2672">
        <f>дома!F525</f>
        <v>2</v>
      </c>
      <c r="G590" s="2672">
        <f>E590*F590*IF('Ввод данных'!$A$8=связи1!$A$150,1,0)</f>
        <v>0</v>
      </c>
      <c r="H590" s="2672">
        <f>дома!G525*IF('Ввод данных'!$A$8=связи1!$A$150,1,0)</f>
        <v>0</v>
      </c>
    </row>
    <row r="591" spans="1:8">
      <c r="A591" s="2670" t="str">
        <f>дома!A526</f>
        <v>Стойка каркаса по фронтону, 1 этаж, односкатная кровля, №13</v>
      </c>
      <c r="B591" s="2671" t="str">
        <f>дома!B526</f>
        <v>м.п.</v>
      </c>
      <c r="C591" s="2672">
        <f>дома!C526</f>
        <v>0.4</v>
      </c>
      <c r="D591" s="2672">
        <f>дома!D526</f>
        <v>0.05</v>
      </c>
      <c r="E591" s="2672">
        <f>дома!E526</f>
        <v>0</v>
      </c>
      <c r="F591" s="2672">
        <f>дома!F526</f>
        <v>2</v>
      </c>
      <c r="G591" s="2672">
        <f>E591*F591*IF('Ввод данных'!$A$8=связи1!$A$150,1,0)</f>
        <v>0</v>
      </c>
      <c r="H591" s="2672">
        <f>дома!G526*IF('Ввод данных'!$A$8=связи1!$A$150,1,0)</f>
        <v>0</v>
      </c>
    </row>
    <row r="592" spans="1:8">
      <c r="A592" s="2670" t="str">
        <f>дома!A527</f>
        <v>Стойка каркаса по фронтону, 1 этаж, односкатная кровля, №14</v>
      </c>
      <c r="B592" s="2671" t="str">
        <f>дома!B527</f>
        <v>м.п.</v>
      </c>
      <c r="C592" s="2672">
        <f>дома!C527</f>
        <v>0.4</v>
      </c>
      <c r="D592" s="2672">
        <f>дома!D527</f>
        <v>0.05</v>
      </c>
      <c r="E592" s="2672">
        <f>дома!E527</f>
        <v>0</v>
      </c>
      <c r="F592" s="2672">
        <f>дома!F527</f>
        <v>2</v>
      </c>
      <c r="G592" s="2672">
        <f>E592*F592*IF('Ввод данных'!$A$8=связи1!$A$150,1,0)</f>
        <v>0</v>
      </c>
      <c r="H592" s="2672">
        <f>дома!G527*IF('Ввод данных'!$A$8=связи1!$A$150,1,0)</f>
        <v>0</v>
      </c>
    </row>
    <row r="593" spans="1:8">
      <c r="A593" s="2670" t="str">
        <f>дома!A528</f>
        <v>Стойка каркаса по фронтону, 1 этаж, односкатная кровля, №15</v>
      </c>
      <c r="B593" s="2671" t="str">
        <f>дома!B528</f>
        <v>м.п.</v>
      </c>
      <c r="C593" s="2672">
        <f>дома!C528</f>
        <v>0.4</v>
      </c>
      <c r="D593" s="2672">
        <f>дома!D528</f>
        <v>0.05</v>
      </c>
      <c r="E593" s="2672">
        <f>дома!E528</f>
        <v>0</v>
      </c>
      <c r="F593" s="2672">
        <f>дома!F528</f>
        <v>2</v>
      </c>
      <c r="G593" s="2672">
        <f>E593*F593*IF('Ввод данных'!$A$8=связи1!$A$150,1,0)</f>
        <v>0</v>
      </c>
      <c r="H593" s="2672">
        <f>дома!G528*IF('Ввод данных'!$A$8=связи1!$A$150,1,0)</f>
        <v>0</v>
      </c>
    </row>
    <row r="594" spans="1:8">
      <c r="A594" s="2670" t="str">
        <f>дома!A529</f>
        <v>Стойка каркаса по фронтону, 1 этаж, односкатная кровля, №16</v>
      </c>
      <c r="B594" s="2671" t="str">
        <f>дома!B529</f>
        <v>м.п.</v>
      </c>
      <c r="C594" s="2672">
        <f>дома!C529</f>
        <v>0.4</v>
      </c>
      <c r="D594" s="2672">
        <f>дома!D529</f>
        <v>0.05</v>
      </c>
      <c r="E594" s="2672">
        <f>дома!E529</f>
        <v>0</v>
      </c>
      <c r="F594" s="2672">
        <f>дома!F529</f>
        <v>2</v>
      </c>
      <c r="G594" s="2672">
        <f>E594*F594*IF('Ввод данных'!$A$8=связи1!$A$150,1,0)</f>
        <v>0</v>
      </c>
      <c r="H594" s="2672">
        <f>дома!G529*IF('Ввод данных'!$A$8=связи1!$A$150,1,0)</f>
        <v>0</v>
      </c>
    </row>
    <row r="595" spans="1:8">
      <c r="A595" s="2670" t="str">
        <f>дома!A530</f>
        <v>Стойка каркаса по фронтону, 1 этаж, односкатная кровля, №17</v>
      </c>
      <c r="B595" s="2671" t="str">
        <f>дома!B530</f>
        <v>м.п.</v>
      </c>
      <c r="C595" s="2672">
        <f>дома!C530</f>
        <v>0.4</v>
      </c>
      <c r="D595" s="2672">
        <f>дома!D530</f>
        <v>0.05</v>
      </c>
      <c r="E595" s="2672">
        <f>дома!E530</f>
        <v>0</v>
      </c>
      <c r="F595" s="2672">
        <f>дома!F530</f>
        <v>2</v>
      </c>
      <c r="G595" s="2672">
        <f>E595*F595*IF('Ввод данных'!$A$8=связи1!$A$150,1,0)</f>
        <v>0</v>
      </c>
      <c r="H595" s="2672">
        <f>дома!G530*IF('Ввод данных'!$A$8=связи1!$A$150,1,0)</f>
        <v>0</v>
      </c>
    </row>
    <row r="596" spans="1:8">
      <c r="A596" s="2670" t="str">
        <f>дома!A531</f>
        <v>Стойка каркаса по фронтону, 1 этаж, двускатная кровля, №1</v>
      </c>
      <c r="B596" s="2671" t="str">
        <f>дома!B531</f>
        <v>м.п.</v>
      </c>
      <c r="C596" s="2672">
        <f>дома!C531</f>
        <v>0.4</v>
      </c>
      <c r="D596" s="2672">
        <f>дома!D531</f>
        <v>0.05</v>
      </c>
      <c r="E596" s="2672">
        <f>дома!E531</f>
        <v>0</v>
      </c>
      <c r="F596" s="2672">
        <f>дома!F531</f>
        <v>2</v>
      </c>
      <c r="G596" s="2672">
        <f>E596*F596*IF('Ввод данных'!$A$8=связи1!$A$150,1,0)</f>
        <v>0</v>
      </c>
      <c r="H596" s="2672">
        <f>дома!G531*IF('Ввод данных'!$A$8=связи1!$A$150,1,0)</f>
        <v>0</v>
      </c>
    </row>
    <row r="597" spans="1:8">
      <c r="A597" s="2670" t="str">
        <f>дома!A532</f>
        <v>Стойка каркаса по фронтону, 1 этаж, двускатная кровля, №2</v>
      </c>
      <c r="B597" s="2671" t="str">
        <f>дома!B532</f>
        <v>м.п.</v>
      </c>
      <c r="C597" s="2672">
        <f>дома!C532</f>
        <v>0.4</v>
      </c>
      <c r="D597" s="2672">
        <f>дома!D532</f>
        <v>0.05</v>
      </c>
      <c r="E597" s="2672">
        <f>дома!E532</f>
        <v>0</v>
      </c>
      <c r="F597" s="2672">
        <f>дома!F532</f>
        <v>2</v>
      </c>
      <c r="G597" s="2672">
        <f>E597*F597*IF('Ввод данных'!$A$8=связи1!$A$150,1,0)</f>
        <v>0</v>
      </c>
      <c r="H597" s="2672">
        <f>дома!G532*IF('Ввод данных'!$A$8=связи1!$A$150,1,0)</f>
        <v>0</v>
      </c>
    </row>
    <row r="598" spans="1:8">
      <c r="A598" s="2670" t="str">
        <f>дома!A533</f>
        <v>Стойка каркаса по фронтону, 1 этаж, двускатная кровля, №3</v>
      </c>
      <c r="B598" s="2671" t="str">
        <f>дома!B533</f>
        <v>м.п.</v>
      </c>
      <c r="C598" s="2672">
        <f>дома!C533</f>
        <v>0.4</v>
      </c>
      <c r="D598" s="2672">
        <f>дома!D533</f>
        <v>0.05</v>
      </c>
      <c r="E598" s="2672">
        <f>дома!E533</f>
        <v>0</v>
      </c>
      <c r="F598" s="2672">
        <f>дома!F533</f>
        <v>2</v>
      </c>
      <c r="G598" s="2672">
        <f>E598*F598*IF('Ввод данных'!$A$8=связи1!$A$150,1,0)</f>
        <v>0</v>
      </c>
      <c r="H598" s="2672">
        <f>дома!G533*IF('Ввод данных'!$A$8=связи1!$A$150,1,0)</f>
        <v>0</v>
      </c>
    </row>
    <row r="599" spans="1:8">
      <c r="A599" s="2670" t="str">
        <f>дома!A534</f>
        <v>Стойка каркаса по фронтону, 1 этаж, двускатная кровля, №4</v>
      </c>
      <c r="B599" s="2671" t="str">
        <f>дома!B534</f>
        <v>м.п.</v>
      </c>
      <c r="C599" s="2672">
        <f>дома!C534</f>
        <v>0.4</v>
      </c>
      <c r="D599" s="2672">
        <f>дома!D534</f>
        <v>0.05</v>
      </c>
      <c r="E599" s="2672">
        <f>дома!E534</f>
        <v>0</v>
      </c>
      <c r="F599" s="2672">
        <f>дома!F534</f>
        <v>2</v>
      </c>
      <c r="G599" s="2672">
        <f>E599*F599*IF('Ввод данных'!$A$8=связи1!$A$150,1,0)</f>
        <v>0</v>
      </c>
      <c r="H599" s="2672">
        <f>дома!G534*IF('Ввод данных'!$A$8=связи1!$A$150,1,0)</f>
        <v>0</v>
      </c>
    </row>
    <row r="600" spans="1:8">
      <c r="A600" s="2670" t="str">
        <f>дома!A535</f>
        <v>Стойка каркаса по фронтону, 1 этаж, двускатная кровля, №5</v>
      </c>
      <c r="B600" s="2671" t="str">
        <f>дома!B535</f>
        <v>м.п.</v>
      </c>
      <c r="C600" s="2672">
        <f>дома!C535</f>
        <v>0.4</v>
      </c>
      <c r="D600" s="2672">
        <f>дома!D535</f>
        <v>0.05</v>
      </c>
      <c r="E600" s="2672">
        <f>дома!E535</f>
        <v>0</v>
      </c>
      <c r="F600" s="2672">
        <f>дома!F535</f>
        <v>2</v>
      </c>
      <c r="G600" s="2672">
        <f>E600*F600*IF('Ввод данных'!$A$8=связи1!$A$150,1,0)</f>
        <v>0</v>
      </c>
      <c r="H600" s="2672">
        <f>дома!G535*IF('Ввод данных'!$A$8=связи1!$A$150,1,0)</f>
        <v>0</v>
      </c>
    </row>
    <row r="601" spans="1:8">
      <c r="A601" s="2670" t="str">
        <f>дома!A536</f>
        <v>Стойка каркаса по фронтону, 1 этаж, двускатная кровля, №6</v>
      </c>
      <c r="B601" s="2671" t="str">
        <f>дома!B536</f>
        <v>м.п.</v>
      </c>
      <c r="C601" s="2672">
        <f>дома!C536</f>
        <v>0.4</v>
      </c>
      <c r="D601" s="2672">
        <f>дома!D536</f>
        <v>0.05</v>
      </c>
      <c r="E601" s="2672">
        <f>дома!E536</f>
        <v>0</v>
      </c>
      <c r="F601" s="2672">
        <f>дома!F536</f>
        <v>2</v>
      </c>
      <c r="G601" s="2672">
        <f>E601*F601*IF('Ввод данных'!$A$8=связи1!$A$150,1,0)</f>
        <v>0</v>
      </c>
      <c r="H601" s="2672">
        <f>дома!G536*IF('Ввод данных'!$A$8=связи1!$A$150,1,0)</f>
        <v>0</v>
      </c>
    </row>
    <row r="602" spans="1:8">
      <c r="A602" s="2670" t="str">
        <f>дома!A537</f>
        <v>Стойка каркаса по фронтону, 1 этаж, двускатная кровля, №7</v>
      </c>
      <c r="B602" s="2671" t="str">
        <f>дома!B537</f>
        <v>м.п.</v>
      </c>
      <c r="C602" s="2672">
        <f>дома!C537</f>
        <v>0.4</v>
      </c>
      <c r="D602" s="2672">
        <f>дома!D537</f>
        <v>0.05</v>
      </c>
      <c r="E602" s="2672">
        <f>дома!E537</f>
        <v>0</v>
      </c>
      <c r="F602" s="2672">
        <f>дома!F537</f>
        <v>2</v>
      </c>
      <c r="G602" s="2672">
        <f>E602*F602*IF('Ввод данных'!$A$8=связи1!$A$150,1,0)</f>
        <v>0</v>
      </c>
      <c r="H602" s="2672">
        <f>дома!G537*IF('Ввод данных'!$A$8=связи1!$A$150,1,0)</f>
        <v>0</v>
      </c>
    </row>
    <row r="603" spans="1:8">
      <c r="A603" s="2670" t="str">
        <f>дома!A538</f>
        <v>Стойка каркаса по фронтону, 1 этаж, двускатная кровля, №8</v>
      </c>
      <c r="B603" s="2671" t="str">
        <f>дома!B538</f>
        <v>м.п.</v>
      </c>
      <c r="C603" s="2672">
        <f>дома!C538</f>
        <v>0.4</v>
      </c>
      <c r="D603" s="2672">
        <f>дома!D538</f>
        <v>0.05</v>
      </c>
      <c r="E603" s="2672">
        <f>дома!E538</f>
        <v>0</v>
      </c>
      <c r="F603" s="2672">
        <f>дома!F538</f>
        <v>2</v>
      </c>
      <c r="G603" s="2672">
        <f>E603*F603*IF('Ввод данных'!$A$8=связи1!$A$150,1,0)</f>
        <v>0</v>
      </c>
      <c r="H603" s="2672">
        <f>дома!G538*IF('Ввод данных'!$A$8=связи1!$A$150,1,0)</f>
        <v>0</v>
      </c>
    </row>
    <row r="604" spans="1:8">
      <c r="A604" s="2670" t="str">
        <f>дома!A539</f>
        <v>Стойка каркаса по фронтону, 1 этаж, двускатная кровля, №9</v>
      </c>
      <c r="B604" s="2671" t="str">
        <f>дома!B539</f>
        <v>м.п.</v>
      </c>
      <c r="C604" s="2672">
        <f>дома!C539</f>
        <v>0.4</v>
      </c>
      <c r="D604" s="2672">
        <f>дома!D539</f>
        <v>0.05</v>
      </c>
      <c r="E604" s="2672">
        <f>дома!E539</f>
        <v>0</v>
      </c>
      <c r="F604" s="2672">
        <f>дома!F539</f>
        <v>2</v>
      </c>
      <c r="G604" s="2672">
        <f>E604*F604*IF('Ввод данных'!$A$8=связи1!$A$150,1,0)</f>
        <v>0</v>
      </c>
      <c r="H604" s="2672">
        <f>дома!G539*IF('Ввод данных'!$A$8=связи1!$A$150,1,0)</f>
        <v>0</v>
      </c>
    </row>
    <row r="605" spans="1:8">
      <c r="A605" s="2670" t="str">
        <f>дома!A540</f>
        <v>Стойка каркаса по фронтону, 1 этаж, двускатная кровля, №10</v>
      </c>
      <c r="B605" s="2671" t="str">
        <f>дома!B540</f>
        <v>м.п.</v>
      </c>
      <c r="C605" s="2672">
        <f>дома!C540</f>
        <v>0.4</v>
      </c>
      <c r="D605" s="2672">
        <f>дома!D540</f>
        <v>0.05</v>
      </c>
      <c r="E605" s="2672">
        <f>дома!E540</f>
        <v>0</v>
      </c>
      <c r="F605" s="2672">
        <f>дома!F540</f>
        <v>2</v>
      </c>
      <c r="G605" s="2672">
        <f>E605*F605*IF('Ввод данных'!$A$8=связи1!$A$150,1,0)</f>
        <v>0</v>
      </c>
      <c r="H605" s="2672">
        <f>дома!G540*IF('Ввод данных'!$A$8=связи1!$A$150,1,0)</f>
        <v>0</v>
      </c>
    </row>
    <row r="606" spans="1:8">
      <c r="A606" s="2670" t="str">
        <f>дома!A541</f>
        <v>Стойка каркаса по фронтону, 1 этаж, двускатная кровля, №11</v>
      </c>
      <c r="B606" s="2671" t="str">
        <f>дома!B541</f>
        <v>м.п.</v>
      </c>
      <c r="C606" s="2672">
        <f>дома!C541</f>
        <v>0.4</v>
      </c>
      <c r="D606" s="2672">
        <f>дома!D541</f>
        <v>0.05</v>
      </c>
      <c r="E606" s="2672">
        <f>дома!E541</f>
        <v>0</v>
      </c>
      <c r="F606" s="2672">
        <f>дома!F541</f>
        <v>2</v>
      </c>
      <c r="G606" s="2672">
        <f>E606*F606*IF('Ввод данных'!$A$8=связи1!$A$150,1,0)</f>
        <v>0</v>
      </c>
      <c r="H606" s="2672">
        <f>дома!G541*IF('Ввод данных'!$A$8=связи1!$A$150,1,0)</f>
        <v>0</v>
      </c>
    </row>
    <row r="607" spans="1:8">
      <c r="A607" s="2670" t="str">
        <f>дома!A542</f>
        <v>Стойка каркаса по фронтону, 1 этаж, двускатная кровля, №12</v>
      </c>
      <c r="B607" s="2671" t="str">
        <f>дома!B542</f>
        <v>м.п.</v>
      </c>
      <c r="C607" s="2672">
        <f>дома!C542</f>
        <v>0.4</v>
      </c>
      <c r="D607" s="2672">
        <f>дома!D542</f>
        <v>0.05</v>
      </c>
      <c r="E607" s="2672">
        <f>дома!E542</f>
        <v>0</v>
      </c>
      <c r="F607" s="2672">
        <f>дома!F542</f>
        <v>2</v>
      </c>
      <c r="G607" s="2672">
        <f>E607*F607*IF('Ввод данных'!$A$8=связи1!$A$150,1,0)</f>
        <v>0</v>
      </c>
      <c r="H607" s="2672">
        <f>дома!G542*IF('Ввод данных'!$A$8=связи1!$A$150,1,0)</f>
        <v>0</v>
      </c>
    </row>
    <row r="608" spans="1:8">
      <c r="A608" s="2670" t="str">
        <f>дома!A543</f>
        <v>Стойка каркаса по фронтону, 1 этаж, двускатная кровля, №13</v>
      </c>
      <c r="B608" s="2671" t="str">
        <f>дома!B543</f>
        <v>м.п.</v>
      </c>
      <c r="C608" s="2672">
        <f>дома!C543</f>
        <v>0.4</v>
      </c>
      <c r="D608" s="2672">
        <f>дома!D543</f>
        <v>0.05</v>
      </c>
      <c r="E608" s="2672">
        <f>дома!E543</f>
        <v>0</v>
      </c>
      <c r="F608" s="2672">
        <f>дома!F543</f>
        <v>2</v>
      </c>
      <c r="G608" s="2672">
        <f>E608*F608*IF('Ввод данных'!$A$8=связи1!$A$150,1,0)</f>
        <v>0</v>
      </c>
      <c r="H608" s="2672">
        <f>дома!G543*IF('Ввод данных'!$A$8=связи1!$A$150,1,0)</f>
        <v>0</v>
      </c>
    </row>
    <row r="609" spans="1:8">
      <c r="A609" s="2670" t="str">
        <f>дома!A544</f>
        <v>Стойка каркаса по фронтону, 1 этаж, двускатная кровля, №14</v>
      </c>
      <c r="B609" s="2671" t="str">
        <f>дома!B544</f>
        <v>м.п.</v>
      </c>
      <c r="C609" s="2672">
        <f>дома!C544</f>
        <v>0.4</v>
      </c>
      <c r="D609" s="2672">
        <f>дома!D544</f>
        <v>0.05</v>
      </c>
      <c r="E609" s="2672">
        <f>дома!E544</f>
        <v>0</v>
      </c>
      <c r="F609" s="2672">
        <f>дома!F544</f>
        <v>2</v>
      </c>
      <c r="G609" s="2672">
        <f>E609*F609*IF('Ввод данных'!$A$8=связи1!$A$150,1,0)</f>
        <v>0</v>
      </c>
      <c r="H609" s="2672">
        <f>дома!G544*IF('Ввод данных'!$A$8=связи1!$A$150,1,0)</f>
        <v>0</v>
      </c>
    </row>
    <row r="610" spans="1:8">
      <c r="A610" s="2670" t="str">
        <f>дома!A545</f>
        <v>Стойка каркаса по фронтону, 1 этаж, двускатная кровля, №15</v>
      </c>
      <c r="B610" s="2671" t="str">
        <f>дома!B545</f>
        <v>м.п.</v>
      </c>
      <c r="C610" s="2672">
        <f>дома!C545</f>
        <v>0.4</v>
      </c>
      <c r="D610" s="2672">
        <f>дома!D545</f>
        <v>0.05</v>
      </c>
      <c r="E610" s="2672">
        <f>дома!E545</f>
        <v>0</v>
      </c>
      <c r="F610" s="2672">
        <f>дома!F545</f>
        <v>2</v>
      </c>
      <c r="G610" s="2672">
        <f>E610*F610*IF('Ввод данных'!$A$8=связи1!$A$150,1,0)</f>
        <v>0</v>
      </c>
      <c r="H610" s="2672">
        <f>дома!G545*IF('Ввод данных'!$A$8=связи1!$A$150,1,0)</f>
        <v>0</v>
      </c>
    </row>
    <row r="611" spans="1:8">
      <c r="A611" s="2670" t="str">
        <f>дома!A546</f>
        <v>Стойка каркаса по фронтону, 1 этаж, двускатная кровля, №16</v>
      </c>
      <c r="B611" s="2671" t="str">
        <f>дома!B546</f>
        <v>м.п.</v>
      </c>
      <c r="C611" s="2672">
        <f>дома!C546</f>
        <v>0.4</v>
      </c>
      <c r="D611" s="2672">
        <f>дома!D546</f>
        <v>0.05</v>
      </c>
      <c r="E611" s="2672">
        <f>дома!E546</f>
        <v>0</v>
      </c>
      <c r="F611" s="2672">
        <f>дома!F546</f>
        <v>2</v>
      </c>
      <c r="G611" s="2672">
        <f>E611*F611*IF('Ввод данных'!$A$8=связи1!$A$150,1,0)</f>
        <v>0</v>
      </c>
      <c r="H611" s="2672">
        <f>дома!G546*IF('Ввод данных'!$A$8=связи1!$A$150,1,0)</f>
        <v>0</v>
      </c>
    </row>
    <row r="612" spans="1:8">
      <c r="A612" s="2670" t="str">
        <f>дома!A547</f>
        <v>Стойка каркаса по фронтону, 1 этаж, двускатная кровля, №17</v>
      </c>
      <c r="B612" s="2671" t="str">
        <f>дома!B547</f>
        <v>м.п.</v>
      </c>
      <c r="C612" s="2672">
        <f>дома!C547</f>
        <v>0.4</v>
      </c>
      <c r="D612" s="2672">
        <f>дома!D547</f>
        <v>0.05</v>
      </c>
      <c r="E612" s="2672">
        <f>дома!E547</f>
        <v>0</v>
      </c>
      <c r="F612" s="2672">
        <f>дома!F547</f>
        <v>2</v>
      </c>
      <c r="G612" s="2672">
        <f>E612*F612*IF('Ввод данных'!$A$8=связи1!$A$150,1,0)</f>
        <v>0</v>
      </c>
      <c r="H612" s="2672">
        <f>дома!G547*IF('Ввод данных'!$A$8=связи1!$A$150,1,0)</f>
        <v>0</v>
      </c>
    </row>
    <row r="613" spans="1:8" ht="21">
      <c r="A613" s="3266" t="s">
        <v>4174</v>
      </c>
      <c r="B613" s="3266"/>
      <c r="C613" s="3266"/>
      <c r="D613" s="3266"/>
      <c r="E613" s="3266"/>
      <c r="F613" s="3266"/>
      <c r="G613" s="2673">
        <f>E613*F613</f>
        <v>0</v>
      </c>
      <c r="H613" s="2673">
        <f>SUM(H614:H653)</f>
        <v>0</v>
      </c>
    </row>
    <row r="614" spans="1:8">
      <c r="A614" s="2670" t="str">
        <f>дома!A970</f>
        <v>Стойки каркаса передняя стена, 2 эт</v>
      </c>
      <c r="B614" s="2671" t="str">
        <f>дома!B970</f>
        <v>м.п.</v>
      </c>
      <c r="C614" s="2672">
        <f>дома!C970</f>
        <v>0.4</v>
      </c>
      <c r="D614" s="2672">
        <f>дома!D970</f>
        <v>0.05</v>
      </c>
      <c r="E614" s="2672">
        <f>дома!E970</f>
        <v>2.9</v>
      </c>
      <c r="F614" s="2672">
        <f>дома!F970</f>
        <v>0</v>
      </c>
      <c r="G614" s="2672">
        <f>E614*F614*(IF('Ввод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4" s="2672">
        <f>дома!G970*(IF('Ввод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15" spans="1:8">
      <c r="A615" s="2670" t="str">
        <f>дома!A971</f>
        <v>Стойки каркаса , левая стена, 2 эт</v>
      </c>
      <c r="B615" s="2671" t="str">
        <f>дома!B971</f>
        <v>м.п.</v>
      </c>
      <c r="C615" s="2672">
        <f>дома!C971</f>
        <v>0.4</v>
      </c>
      <c r="D615" s="2672">
        <f>дома!D971</f>
        <v>0.05</v>
      </c>
      <c r="E615" s="2672">
        <f>дома!E971</f>
        <v>1.5</v>
      </c>
      <c r="F615" s="2672">
        <f>дома!F971</f>
        <v>0</v>
      </c>
      <c r="G615" s="2672">
        <f>E615*F615*(IF('Ввод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5" s="2672">
        <f>дома!G971*(IF('Ввод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16" spans="1:8">
      <c r="A616" s="2670" t="str">
        <f>дома!A972</f>
        <v>Стойки каркаса , правая стена, 2 эт</v>
      </c>
      <c r="B616" s="2671" t="str">
        <f>дома!B972</f>
        <v>м.п.</v>
      </c>
      <c r="C616" s="2672">
        <f>дома!C972</f>
        <v>0.4</v>
      </c>
      <c r="D616" s="2672">
        <f>дома!D972</f>
        <v>0.05</v>
      </c>
      <c r="E616" s="2672">
        <f>дома!E972</f>
        <v>1.5</v>
      </c>
      <c r="F616" s="2672">
        <f>дома!F972</f>
        <v>0</v>
      </c>
      <c r="G616" s="2672">
        <f>E616*F616*(IF('Ввод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6" s="2672">
        <f>дома!G972*(IF('Ввод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17" spans="1:8">
      <c r="A617" s="2670" t="str">
        <f>дома!A973</f>
        <v>Обвязка каркаса верхняя/нижняя наружние стены 2 эт</v>
      </c>
      <c r="B617" s="2671" t="str">
        <f>дома!B973</f>
        <v>м.п.</v>
      </c>
      <c r="C617" s="2672">
        <f>дома!C973</f>
        <v>0.4</v>
      </c>
      <c r="D617" s="2672">
        <f>дома!D973</f>
        <v>0.05</v>
      </c>
      <c r="E617" s="2672">
        <f>дома!E973</f>
        <v>1</v>
      </c>
      <c r="F617" s="2672">
        <f>дома!F973</f>
        <v>0</v>
      </c>
      <c r="G617" s="2672">
        <f>E617*F617*(IF('Ввод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7" s="2672">
        <f>дома!G973*(IF('Ввод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18" spans="1:8">
      <c r="A618" s="2670" t="str">
        <f>дома!A974</f>
        <v>Ригель каркаса наружние стены 2 эт</v>
      </c>
      <c r="B618" s="2671" t="str">
        <f>дома!B974</f>
        <v>м.п.</v>
      </c>
      <c r="C618" s="2672">
        <f>дома!C974</f>
        <v>0.4</v>
      </c>
      <c r="D618" s="2672">
        <f>дома!D974</f>
        <v>0.05</v>
      </c>
      <c r="E618" s="2672">
        <f>дома!E974</f>
        <v>1</v>
      </c>
      <c r="F618" s="2672">
        <f>дома!F974</f>
        <v>0</v>
      </c>
      <c r="G618" s="2672">
        <f>E618*F618*(IF('Ввод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8" s="2672">
        <f>дома!G974*(IF('Ввод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19" spans="1:8">
      <c r="A619" s="2670" t="str">
        <f>дома!A975</f>
        <v>Укосина наружних стен, усиление 2 этаж</v>
      </c>
      <c r="B619" s="2671" t="str">
        <f>дома!B975</f>
        <v>м.п.</v>
      </c>
      <c r="C619" s="2672">
        <f>дома!C975</f>
        <v>0.4</v>
      </c>
      <c r="D619" s="2672">
        <f>дома!D975</f>
        <v>0.05</v>
      </c>
      <c r="E619" s="2672">
        <f>дома!E975</f>
        <v>1.5</v>
      </c>
      <c r="F619" s="2672">
        <f>дома!F975</f>
        <v>0</v>
      </c>
      <c r="G619" s="2672">
        <f>E619*F619*(IF('Ввод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9" s="2672">
        <f>дома!G975*(IF('Ввод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0" spans="1:8">
      <c r="A620" s="2670" t="str">
        <f>дома!A976</f>
        <v>Стойка каркаса по фронтону, 2 этаж, односкатная кровля, №1</v>
      </c>
      <c r="B620" s="2671" t="str">
        <f>дома!B976</f>
        <v>м.п.</v>
      </c>
      <c r="C620" s="2672">
        <f>дома!C976</f>
        <v>0.4</v>
      </c>
      <c r="D620" s="2672">
        <f>дома!D976</f>
        <v>0.05</v>
      </c>
      <c r="E620" s="2672">
        <f>дома!E976</f>
        <v>0</v>
      </c>
      <c r="F620" s="2672">
        <f>дома!F976</f>
        <v>0</v>
      </c>
      <c r="G620" s="2672">
        <f>E620*F620*(IF('Ввод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0" s="2672">
        <f>дома!G976*(IF('Ввод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1" spans="1:8">
      <c r="A621" s="2670" t="str">
        <f>дома!A977</f>
        <v>Стойка каркаса по фронтону, 2 этаж, односкатная кровля, №2</v>
      </c>
      <c r="B621" s="2671" t="str">
        <f>дома!B977</f>
        <v>м.п.</v>
      </c>
      <c r="C621" s="2672">
        <f>дома!C977</f>
        <v>0.4</v>
      </c>
      <c r="D621" s="2672">
        <f>дома!D977</f>
        <v>0.05</v>
      </c>
      <c r="E621" s="2672">
        <f>дома!E977</f>
        <v>0</v>
      </c>
      <c r="F621" s="2672">
        <f>дома!F977</f>
        <v>0</v>
      </c>
      <c r="G621" s="2672">
        <f>E621*F621*(IF('Ввод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1" s="2672">
        <f>дома!G977*(IF('Ввод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2" spans="1:8">
      <c r="A622" s="2670" t="str">
        <f>дома!A978</f>
        <v>Стойка каркаса по фронтону, 2 этаж, односкатная кровля, №3</v>
      </c>
      <c r="B622" s="2671" t="str">
        <f>дома!B978</f>
        <v>м.п.</v>
      </c>
      <c r="C622" s="2672">
        <f>дома!C978</f>
        <v>0.4</v>
      </c>
      <c r="D622" s="2672">
        <f>дома!D978</f>
        <v>0.05</v>
      </c>
      <c r="E622" s="2672">
        <f>дома!E978</f>
        <v>0</v>
      </c>
      <c r="F622" s="2672">
        <f>дома!F978</f>
        <v>0</v>
      </c>
      <c r="G622" s="2672">
        <f>E622*F622*(IF('Ввод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2" s="2672">
        <f>дома!G978*(IF('Ввод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3" spans="1:8">
      <c r="A623" s="2670" t="str">
        <f>дома!A979</f>
        <v>Стойка каркаса по фронтону, 2 этаж, односкатная кровля, №4</v>
      </c>
      <c r="B623" s="2671" t="str">
        <f>дома!B979</f>
        <v>м.п.</v>
      </c>
      <c r="C623" s="2672">
        <f>дома!C979</f>
        <v>0.4</v>
      </c>
      <c r="D623" s="2672">
        <f>дома!D979</f>
        <v>0.05</v>
      </c>
      <c r="E623" s="2672">
        <f>дома!E979</f>
        <v>0</v>
      </c>
      <c r="F623" s="2672">
        <f>дома!F979</f>
        <v>0</v>
      </c>
      <c r="G623" s="2672">
        <f>E623*F623*(IF('Ввод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3" s="2672">
        <f>дома!G979*(IF('Ввод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4" spans="1:8">
      <c r="A624" s="2670" t="str">
        <f>дома!A980</f>
        <v>Стойка каркаса по фронтону, 2 этаж, односкатная кровля, №5</v>
      </c>
      <c r="B624" s="2671" t="str">
        <f>дома!B980</f>
        <v>м.п.</v>
      </c>
      <c r="C624" s="2672">
        <f>дома!C980</f>
        <v>0.4</v>
      </c>
      <c r="D624" s="2672">
        <f>дома!D980</f>
        <v>0.05</v>
      </c>
      <c r="E624" s="2672">
        <f>дома!E980</f>
        <v>0</v>
      </c>
      <c r="F624" s="2672">
        <f>дома!F980</f>
        <v>0</v>
      </c>
      <c r="G624" s="2672">
        <f>E624*F624*(IF('Ввод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4" s="2672">
        <f>дома!G980*(IF('Ввод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5" spans="1:8">
      <c r="A625" s="2670" t="str">
        <f>дома!A981</f>
        <v>Стойка каркаса по фронтону, 2 этаж, односкатная кровля, №6</v>
      </c>
      <c r="B625" s="2671" t="str">
        <f>дома!B981</f>
        <v>м.п.</v>
      </c>
      <c r="C625" s="2672">
        <f>дома!C981</f>
        <v>0.4</v>
      </c>
      <c r="D625" s="2672">
        <f>дома!D981</f>
        <v>0.05</v>
      </c>
      <c r="E625" s="2672">
        <f>дома!E981</f>
        <v>0</v>
      </c>
      <c r="F625" s="2672">
        <f>дома!F981</f>
        <v>0</v>
      </c>
      <c r="G625" s="2672">
        <f>E625*F625*(IF('Ввод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5" s="2672">
        <f>дома!G981*(IF('Ввод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6" spans="1:8">
      <c r="A626" s="2670" t="str">
        <f>дома!A982</f>
        <v>Стойка каркаса по фронтону, 2 этаж, односкатная кровля, №7</v>
      </c>
      <c r="B626" s="2671" t="str">
        <f>дома!B982</f>
        <v>м.п.</v>
      </c>
      <c r="C626" s="2672">
        <f>дома!C982</f>
        <v>0.4</v>
      </c>
      <c r="D626" s="2672">
        <f>дома!D982</f>
        <v>0.05</v>
      </c>
      <c r="E626" s="2672">
        <f>дома!E982</f>
        <v>0</v>
      </c>
      <c r="F626" s="2672">
        <f>дома!F982</f>
        <v>0</v>
      </c>
      <c r="G626" s="2672">
        <f>E626*F626*(IF('Ввод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6" s="2672">
        <f>дома!G982*(IF('Ввод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7" spans="1:8">
      <c r="A627" s="2670" t="str">
        <f>дома!A983</f>
        <v>Стойка каркаса по фронтону, 2 этаж, односкатная кровля, №8</v>
      </c>
      <c r="B627" s="2671" t="str">
        <f>дома!B983</f>
        <v>м.п.</v>
      </c>
      <c r="C627" s="2672">
        <f>дома!C983</f>
        <v>0.4</v>
      </c>
      <c r="D627" s="2672">
        <f>дома!D983</f>
        <v>0.05</v>
      </c>
      <c r="E627" s="2672">
        <f>дома!E983</f>
        <v>0</v>
      </c>
      <c r="F627" s="2672">
        <f>дома!F983</f>
        <v>0</v>
      </c>
      <c r="G627" s="2672">
        <f>E627*F627*(IF('Ввод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7" s="2672">
        <f>дома!G983*(IF('Ввод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8" spans="1:8">
      <c r="A628" s="2670" t="str">
        <f>дома!A984</f>
        <v>Стойка каркаса по фронтону, 2 этаж, односкатная кровля, №9</v>
      </c>
      <c r="B628" s="2671" t="str">
        <f>дома!B984</f>
        <v>м.п.</v>
      </c>
      <c r="C628" s="2672">
        <f>дома!C984</f>
        <v>0.4</v>
      </c>
      <c r="D628" s="2672">
        <f>дома!D984</f>
        <v>0.05</v>
      </c>
      <c r="E628" s="2672">
        <f>дома!E984</f>
        <v>0</v>
      </c>
      <c r="F628" s="2672">
        <f>дома!F984</f>
        <v>0</v>
      </c>
      <c r="G628" s="2672">
        <f>E628*F628*(IF('Ввод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8" s="2672">
        <f>дома!G984*(IF('Ввод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9" spans="1:8">
      <c r="A629" s="2670" t="str">
        <f>дома!A985</f>
        <v>Стойка каркаса по фронтону, 2 этаж, односкатная кровля, №10</v>
      </c>
      <c r="B629" s="2671" t="str">
        <f>дома!B985</f>
        <v>м.п.</v>
      </c>
      <c r="C629" s="2672">
        <f>дома!C985</f>
        <v>0.4</v>
      </c>
      <c r="D629" s="2672">
        <f>дома!D985</f>
        <v>0.05</v>
      </c>
      <c r="E629" s="2672">
        <f>дома!E985</f>
        <v>0</v>
      </c>
      <c r="F629" s="2672">
        <f>дома!F985</f>
        <v>0</v>
      </c>
      <c r="G629" s="2672">
        <f>E629*F629*(IF('Ввод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9" s="2672">
        <f>дома!G985*(IF('Ввод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0" spans="1:8">
      <c r="A630" s="2670" t="str">
        <f>дома!A986</f>
        <v>Стойка каркаса по фронтону, 2 этаж, односкатная кровля, №11</v>
      </c>
      <c r="B630" s="2671" t="str">
        <f>дома!B986</f>
        <v>м.п.</v>
      </c>
      <c r="C630" s="2672">
        <f>дома!C986</f>
        <v>0.4</v>
      </c>
      <c r="D630" s="2672">
        <f>дома!D986</f>
        <v>0.05</v>
      </c>
      <c r="E630" s="2672">
        <f>дома!E986</f>
        <v>0</v>
      </c>
      <c r="F630" s="2672">
        <f>дома!F986</f>
        <v>0</v>
      </c>
      <c r="G630" s="2672">
        <f>E630*F630*(IF('Ввод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0" s="2672">
        <f>дома!G986*(IF('Ввод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1" spans="1:8">
      <c r="A631" s="2670" t="str">
        <f>дома!A987</f>
        <v>Стойка каркаса по фронтону, 2 этаж, односкатная кровля, №12</v>
      </c>
      <c r="B631" s="2671" t="str">
        <f>дома!B987</f>
        <v>м.п.</v>
      </c>
      <c r="C631" s="2672">
        <f>дома!C987</f>
        <v>0.4</v>
      </c>
      <c r="D631" s="2672">
        <f>дома!D987</f>
        <v>0.05</v>
      </c>
      <c r="E631" s="2672">
        <f>дома!E987</f>
        <v>0</v>
      </c>
      <c r="F631" s="2672">
        <f>дома!F987</f>
        <v>0</v>
      </c>
      <c r="G631" s="2672">
        <f>E631*F631*(IF('Ввод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1" s="2672">
        <f>дома!G987*(IF('Ввод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2" spans="1:8">
      <c r="A632" s="2670" t="str">
        <f>дома!A988</f>
        <v>Стойка каркаса по фронтону, 2 этаж, односкатная кровля, №13</v>
      </c>
      <c r="B632" s="2671" t="str">
        <f>дома!B988</f>
        <v>м.п.</v>
      </c>
      <c r="C632" s="2672">
        <f>дома!C988</f>
        <v>0.4</v>
      </c>
      <c r="D632" s="2672">
        <f>дома!D988</f>
        <v>0.05</v>
      </c>
      <c r="E632" s="2672">
        <f>дома!E988</f>
        <v>0</v>
      </c>
      <c r="F632" s="2672">
        <f>дома!F988</f>
        <v>0</v>
      </c>
      <c r="G632" s="2672">
        <f>E632*F632*(IF('Ввод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2" s="2672">
        <f>дома!G988*(IF('Ввод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3" spans="1:8">
      <c r="A633" s="2670" t="str">
        <f>дома!A989</f>
        <v>Стойка каркаса по фронтону, 2 этаж, односкатная кровля, №14</v>
      </c>
      <c r="B633" s="2671" t="str">
        <f>дома!B989</f>
        <v>м.п.</v>
      </c>
      <c r="C633" s="2672">
        <f>дома!C989</f>
        <v>0.4</v>
      </c>
      <c r="D633" s="2672">
        <f>дома!D989</f>
        <v>0.05</v>
      </c>
      <c r="E633" s="2672">
        <f>дома!E989</f>
        <v>0</v>
      </c>
      <c r="F633" s="2672">
        <f>дома!F989</f>
        <v>0</v>
      </c>
      <c r="G633" s="2672">
        <f>E633*F633*(IF('Ввод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3" s="2672">
        <f>дома!G989*(IF('Ввод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4" spans="1:8">
      <c r="A634" s="2670" t="str">
        <f>дома!A990</f>
        <v>Стойка каркаса по фронтону, 2 этаж, односкатная кровля, №15</v>
      </c>
      <c r="B634" s="2671" t="str">
        <f>дома!B990</f>
        <v>м.п.</v>
      </c>
      <c r="C634" s="2672">
        <f>дома!C990</f>
        <v>0.4</v>
      </c>
      <c r="D634" s="2672">
        <f>дома!D990</f>
        <v>0.05</v>
      </c>
      <c r="E634" s="2672">
        <f>дома!E990</f>
        <v>0</v>
      </c>
      <c r="F634" s="2672">
        <f>дома!F990</f>
        <v>0</v>
      </c>
      <c r="G634" s="2672">
        <f>E634*F634*(IF('Ввод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4" s="2672">
        <f>дома!G990*(IF('Ввод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5" spans="1:8">
      <c r="A635" s="2670" t="str">
        <f>дома!A991</f>
        <v>Стойка каркаса по фронтону, 2 этаж, односкатная кровля, №16</v>
      </c>
      <c r="B635" s="2671" t="str">
        <f>дома!B991</f>
        <v>м.п.</v>
      </c>
      <c r="C635" s="2672">
        <f>дома!C991</f>
        <v>0.4</v>
      </c>
      <c r="D635" s="2672">
        <f>дома!D991</f>
        <v>0.05</v>
      </c>
      <c r="E635" s="2672">
        <f>дома!E991</f>
        <v>0</v>
      </c>
      <c r="F635" s="2672">
        <f>дома!F991</f>
        <v>0</v>
      </c>
      <c r="G635" s="2672">
        <f>E635*F635*(IF('Ввод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5" s="2672">
        <f>дома!G991*(IF('Ввод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6" spans="1:8">
      <c r="A636" s="2670" t="str">
        <f>дома!A992</f>
        <v>Стойка каркаса по фронтону, 2 этаж, односкатная кровля, №17</v>
      </c>
      <c r="B636" s="2671" t="str">
        <f>дома!B992</f>
        <v>м.п.</v>
      </c>
      <c r="C636" s="2672">
        <f>дома!C992</f>
        <v>0.4</v>
      </c>
      <c r="D636" s="2672">
        <f>дома!D992</f>
        <v>0.05</v>
      </c>
      <c r="E636" s="2672">
        <f>дома!E992</f>
        <v>0</v>
      </c>
      <c r="F636" s="2672">
        <f>дома!F992</f>
        <v>0</v>
      </c>
      <c r="G636" s="2672">
        <f>E636*F636*(IF('Ввод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6" s="2672">
        <f>дома!G992*(IF('Ввод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7" spans="1:8">
      <c r="A637" s="2670" t="str">
        <f>дома!A993</f>
        <v>Стойка каркаса по фронтону, 2 этаж, двускатная кровля, №1</v>
      </c>
      <c r="B637" s="2671" t="str">
        <f>дома!B993</f>
        <v>м.п.</v>
      </c>
      <c r="C637" s="2672">
        <f>дома!C993</f>
        <v>0.4</v>
      </c>
      <c r="D637" s="2672">
        <f>дома!D993</f>
        <v>0.05</v>
      </c>
      <c r="E637" s="2672">
        <f>дома!E993</f>
        <v>2.9</v>
      </c>
      <c r="F637" s="2672">
        <f>дома!F993</f>
        <v>0</v>
      </c>
      <c r="G637" s="2672">
        <f>E637*F637*(IF('Ввод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7" s="2672">
        <f>дома!G993*(IF('Ввод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8" spans="1:8">
      <c r="A638" s="2670" t="str">
        <f>дома!A994</f>
        <v>Стойка каркаса по фронтону, 2 этаж, двускатная кровля, №2</v>
      </c>
      <c r="B638" s="2671" t="str">
        <f>дома!B994</f>
        <v>м.п.</v>
      </c>
      <c r="C638" s="2672">
        <f>дома!C994</f>
        <v>0.4</v>
      </c>
      <c r="D638" s="2672">
        <f>дома!D994</f>
        <v>0.05</v>
      </c>
      <c r="E638" s="2672">
        <f>дома!E994</f>
        <v>2.9</v>
      </c>
      <c r="F638" s="2672">
        <f>дома!F994</f>
        <v>0</v>
      </c>
      <c r="G638" s="2672">
        <f>E638*F638*(IF('Ввод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8" s="2672">
        <f>дома!G994*(IF('Ввод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9" spans="1:8">
      <c r="A639" s="2670" t="str">
        <f>дома!A995</f>
        <v>Стойка каркаса по фронтону, 2 этаж, двускатная кровля, №3</v>
      </c>
      <c r="B639" s="2671" t="str">
        <f>дома!B995</f>
        <v>м.п.</v>
      </c>
      <c r="C639" s="2672">
        <f>дома!C995</f>
        <v>0.4</v>
      </c>
      <c r="D639" s="2672">
        <f>дома!D995</f>
        <v>0.05</v>
      </c>
      <c r="E639" s="2672">
        <f>дома!E995</f>
        <v>2.9</v>
      </c>
      <c r="F639" s="2672">
        <f>дома!F995</f>
        <v>0</v>
      </c>
      <c r="G639" s="2672">
        <f>E639*F639*(IF('Ввод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9" s="2672">
        <f>дома!G995*(IF('Ввод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0" spans="1:8">
      <c r="A640" s="2670" t="str">
        <f>дома!A996</f>
        <v>Стойка каркаса по фронтону, 2 этаж, двускатная кровля, №4</v>
      </c>
      <c r="B640" s="2671" t="str">
        <f>дома!B996</f>
        <v>м.п.</v>
      </c>
      <c r="C640" s="2672">
        <f>дома!C996</f>
        <v>0.4</v>
      </c>
      <c r="D640" s="2672">
        <f>дома!D996</f>
        <v>0.05</v>
      </c>
      <c r="E640" s="2672">
        <f>дома!E996</f>
        <v>2.9</v>
      </c>
      <c r="F640" s="2672">
        <f>дома!F996</f>
        <v>0</v>
      </c>
      <c r="G640" s="2672">
        <f>E640*F640*(IF('Ввод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0" s="2672">
        <f>дома!G996*(IF('Ввод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1" spans="1:8">
      <c r="A641" s="2670" t="str">
        <f>дома!A997</f>
        <v>Стойка каркаса по фронтону, 2 этаж, двускатная кровля, №5</v>
      </c>
      <c r="B641" s="2671" t="str">
        <f>дома!B997</f>
        <v>м.п.</v>
      </c>
      <c r="C641" s="2672">
        <f>дома!C997</f>
        <v>0.4</v>
      </c>
      <c r="D641" s="2672">
        <f>дома!D997</f>
        <v>0.05</v>
      </c>
      <c r="E641" s="2672">
        <f>дома!E997</f>
        <v>2.9</v>
      </c>
      <c r="F641" s="2672">
        <f>дома!F997</f>
        <v>0</v>
      </c>
      <c r="G641" s="2672">
        <f>E641*F641*(IF('Ввод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1" s="2672">
        <f>дома!G997*(IF('Ввод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2" spans="1:8">
      <c r="A642" s="2670" t="str">
        <f>дома!A998</f>
        <v>Стойка каркаса по фронтону, 2 этаж, двускатная кровля, №6</v>
      </c>
      <c r="B642" s="2671" t="str">
        <f>дома!B998</f>
        <v>м.п.</v>
      </c>
      <c r="C642" s="2672">
        <f>дома!C998</f>
        <v>0.4</v>
      </c>
      <c r="D642" s="2672">
        <f>дома!D998</f>
        <v>0.05</v>
      </c>
      <c r="E642" s="2672">
        <f>дома!E998</f>
        <v>2.9</v>
      </c>
      <c r="F642" s="2672">
        <f>дома!F998</f>
        <v>0</v>
      </c>
      <c r="G642" s="2672">
        <f>E642*F642*(IF('Ввод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2" s="2672">
        <f>дома!G998*(IF('Ввод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3" spans="1:8">
      <c r="A643" s="2670" t="str">
        <f>дома!A999</f>
        <v>Стойка каркаса по фронтону, 2 этаж, двускатная кровля, №7</v>
      </c>
      <c r="B643" s="2671" t="str">
        <f>дома!B999</f>
        <v>м.п.</v>
      </c>
      <c r="C643" s="2672">
        <f>дома!C999</f>
        <v>0.4</v>
      </c>
      <c r="D643" s="2672">
        <f>дома!D999</f>
        <v>0.05</v>
      </c>
      <c r="E643" s="2672">
        <f>дома!E999</f>
        <v>2.9</v>
      </c>
      <c r="F643" s="2672">
        <f>дома!F999</f>
        <v>0</v>
      </c>
      <c r="G643" s="2672">
        <f>E643*F643*(IF('Ввод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3" s="2672">
        <f>дома!G999*(IF('Ввод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4" spans="1:8">
      <c r="A644" s="2670" t="str">
        <f>дома!A1000</f>
        <v>Стойка каркаса по фронтону, 2 этаж, двускатная кровля, №8</v>
      </c>
      <c r="B644" s="2671" t="str">
        <f>дома!B1000</f>
        <v>м.п.</v>
      </c>
      <c r="C644" s="2672">
        <f>дома!C1000</f>
        <v>0.4</v>
      </c>
      <c r="D644" s="2672">
        <f>дома!D1000</f>
        <v>0.05</v>
      </c>
      <c r="E644" s="2672">
        <f>дома!E1000</f>
        <v>2.9</v>
      </c>
      <c r="F644" s="2672">
        <f>дома!F1000</f>
        <v>0</v>
      </c>
      <c r="G644" s="2672">
        <f>E644*F644*(IF('Ввод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4" s="2672">
        <f>дома!G1000*(IF('Ввод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5" spans="1:8">
      <c r="A645" s="2670" t="str">
        <f>дома!A1001</f>
        <v>Стойка каркаса по фронтону, 2 этаж, двускатная кровля, №9</v>
      </c>
      <c r="B645" s="2671" t="str">
        <f>дома!B1001</f>
        <v>м.п.</v>
      </c>
      <c r="C645" s="2672">
        <f>дома!C1001</f>
        <v>0.4</v>
      </c>
      <c r="D645" s="2672">
        <f>дома!D1001</f>
        <v>0.05</v>
      </c>
      <c r="E645" s="2672">
        <f>дома!E1001</f>
        <v>2.9</v>
      </c>
      <c r="F645" s="2672">
        <f>дома!F1001</f>
        <v>0</v>
      </c>
      <c r="G645" s="2672">
        <f>E645*F645*(IF('Ввод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5" s="2672">
        <f>дома!G1001*(IF('Ввод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6" spans="1:8">
      <c r="A646" s="2670" t="str">
        <f>дома!A1002</f>
        <v>Стойка каркаса по фронтону, 2 этаж, двускатная кровля, №10</v>
      </c>
      <c r="B646" s="2671" t="str">
        <f>дома!B1002</f>
        <v>м.п.</v>
      </c>
      <c r="C646" s="2672">
        <f>дома!C1002</f>
        <v>0.4</v>
      </c>
      <c r="D646" s="2672">
        <f>дома!D1002</f>
        <v>0.05</v>
      </c>
      <c r="E646" s="2672">
        <f>дома!E1002</f>
        <v>2.9</v>
      </c>
      <c r="F646" s="2672">
        <f>дома!F1002</f>
        <v>0</v>
      </c>
      <c r="G646" s="2672">
        <f>E646*F646*(IF('Ввод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6" s="2672">
        <f>дома!G1002*(IF('Ввод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7" spans="1:8">
      <c r="A647" s="2670" t="str">
        <f>дома!A1003</f>
        <v>Стойка каркаса по фронтону, 2 этаж, двускатная кровля, №11</v>
      </c>
      <c r="B647" s="2671" t="str">
        <f>дома!B1003</f>
        <v>м.п.</v>
      </c>
      <c r="C647" s="2672">
        <f>дома!C1003</f>
        <v>0.4</v>
      </c>
      <c r="D647" s="2672">
        <f>дома!D1003</f>
        <v>0.05</v>
      </c>
      <c r="E647" s="2672">
        <f>дома!E1003</f>
        <v>2.9</v>
      </c>
      <c r="F647" s="2672">
        <f>дома!F1003</f>
        <v>0</v>
      </c>
      <c r="G647" s="2672">
        <f>E647*F647*(IF('Ввод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7" s="2672">
        <f>дома!G1003*(IF('Ввод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8" spans="1:8">
      <c r="A648" s="2670" t="str">
        <f>дома!A1004</f>
        <v>Стойка каркаса по фронтону, 2 этаж, двускатная кровля, №12</v>
      </c>
      <c r="B648" s="2671" t="str">
        <f>дома!B1004</f>
        <v>м.п.</v>
      </c>
      <c r="C648" s="2672">
        <f>дома!C1004</f>
        <v>0.4</v>
      </c>
      <c r="D648" s="2672">
        <f>дома!D1004</f>
        <v>0.05</v>
      </c>
      <c r="E648" s="2672">
        <f>дома!E1004</f>
        <v>2.9</v>
      </c>
      <c r="F648" s="2672">
        <f>дома!F1004</f>
        <v>0</v>
      </c>
      <c r="G648" s="2672">
        <f>E648*F648*(IF('Ввод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8" s="2672">
        <f>дома!G1004*(IF('Ввод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9" spans="1:8">
      <c r="A649" s="2670" t="str">
        <f>дома!A1005</f>
        <v>Стойка каркаса по фронтону, 2 этаж, двускатная кровля, №13</v>
      </c>
      <c r="B649" s="2671" t="str">
        <f>дома!B1005</f>
        <v>м.п.</v>
      </c>
      <c r="C649" s="2672">
        <f>дома!C1005</f>
        <v>0.4</v>
      </c>
      <c r="D649" s="2672">
        <f>дома!D1005</f>
        <v>0.05</v>
      </c>
      <c r="E649" s="2672">
        <f>дома!E1005</f>
        <v>2.9</v>
      </c>
      <c r="F649" s="2672">
        <f>дома!F1005</f>
        <v>0</v>
      </c>
      <c r="G649" s="2672">
        <f>E649*F649*(IF('Ввод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9" s="2672">
        <f>дома!G1005*(IF('Ввод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50" spans="1:8">
      <c r="A650" s="2670" t="str">
        <f>дома!A1006</f>
        <v>Стойка каркаса по фронтону, 2 этаж, двускатная кровля, №14</v>
      </c>
      <c r="B650" s="2671" t="str">
        <f>дома!B1006</f>
        <v>м.п.</v>
      </c>
      <c r="C650" s="2672">
        <f>дома!C1006</f>
        <v>0.4</v>
      </c>
      <c r="D650" s="2672">
        <f>дома!D1006</f>
        <v>0.05</v>
      </c>
      <c r="E650" s="2672">
        <f>дома!E1006</f>
        <v>2.9</v>
      </c>
      <c r="F650" s="2672">
        <f>дома!F1006</f>
        <v>0</v>
      </c>
      <c r="G650" s="2672">
        <f>E650*F650*(IF('Ввод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50" s="2672">
        <f>дома!G1006*(IF('Ввод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51" spans="1:8">
      <c r="A651" s="2670" t="str">
        <f>дома!A1007</f>
        <v>Стойка каркаса по фронтону, 2 этаж, двускатная кровля, №15</v>
      </c>
      <c r="B651" s="2671" t="str">
        <f>дома!B1007</f>
        <v>м.п.</v>
      </c>
      <c r="C651" s="2672">
        <f>дома!C1007</f>
        <v>0.4</v>
      </c>
      <c r="D651" s="2672">
        <f>дома!D1007</f>
        <v>0.05</v>
      </c>
      <c r="E651" s="2672">
        <f>дома!E1007</f>
        <v>2.9</v>
      </c>
      <c r="F651" s="2672">
        <f>дома!F1007</f>
        <v>0</v>
      </c>
      <c r="G651" s="2672">
        <f>E651*F651*(IF('Ввод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51" s="2672">
        <f>дома!G1007*(IF('Ввод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52" spans="1:8">
      <c r="A652" s="2670" t="str">
        <f>дома!A1008</f>
        <v>Стойка каркаса по фронтону, 2 этаж, двускатная кровля, №16</v>
      </c>
      <c r="B652" s="2671" t="str">
        <f>дома!B1008</f>
        <v>м.п.</v>
      </c>
      <c r="C652" s="2672">
        <f>дома!C1008</f>
        <v>0.4</v>
      </c>
      <c r="D652" s="2672">
        <f>дома!D1008</f>
        <v>0.05</v>
      </c>
      <c r="E652" s="2672">
        <f>дома!E1008</f>
        <v>2.9</v>
      </c>
      <c r="F652" s="2672">
        <f>дома!F1008</f>
        <v>0</v>
      </c>
      <c r="G652" s="2672">
        <f>E652*F652*(IF('Ввод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52" s="2672">
        <f>дома!G1008*(IF('Ввод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53" spans="1:8">
      <c r="A653" s="2670" t="str">
        <f>дома!A1009</f>
        <v>Стойка каркаса по фронтону, 2 этаж, двускатная кровля, №17</v>
      </c>
      <c r="B653" s="2671" t="str">
        <f>дома!B1009</f>
        <v>м.п.</v>
      </c>
      <c r="C653" s="2672">
        <f>дома!C1009</f>
        <v>0.4</v>
      </c>
      <c r="D653" s="2672">
        <f>дома!D1009</f>
        <v>0.05</v>
      </c>
      <c r="E653" s="2672">
        <f>дома!E1009</f>
        <v>2.9</v>
      </c>
      <c r="F653" s="2672">
        <f>дома!F1009</f>
        <v>0</v>
      </c>
      <c r="G653" s="2672">
        <f>E653*F653*(IF('Ввод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53" s="2672">
        <f>дома!G1009*(IF('Ввод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54" spans="1:8" ht="21">
      <c r="A654" s="3266" t="s">
        <v>4175</v>
      </c>
      <c r="B654" s="3266"/>
      <c r="C654" s="3266"/>
      <c r="D654" s="3266"/>
      <c r="E654" s="3266"/>
      <c r="F654" s="3266"/>
      <c r="G654" s="2673">
        <f>E654*F654</f>
        <v>0</v>
      </c>
      <c r="H654" s="2673">
        <f>SUM(H655:H694)</f>
        <v>0</v>
      </c>
    </row>
    <row r="655" spans="1:8">
      <c r="A655" s="2670" t="str">
        <f>дома!A550</f>
        <v>Стойки каркаса передней стены 1 эт</v>
      </c>
      <c r="B655" s="2671" t="str">
        <f>дома!B550</f>
        <v>м.п.</v>
      </c>
      <c r="C655" s="2672">
        <f>дома!C550</f>
        <v>0.4</v>
      </c>
      <c r="D655" s="2672">
        <f>дома!D550</f>
        <v>0.05</v>
      </c>
      <c r="E655" s="2672">
        <f>дома!E550</f>
        <v>3</v>
      </c>
      <c r="F655" s="2672">
        <f>дома!F550</f>
        <v>0</v>
      </c>
      <c r="G655" s="2672">
        <f>E655*F655*IF('Ввод данных'!$A$8=связи1!$A$150,1,0)</f>
        <v>0</v>
      </c>
      <c r="H655" s="2672">
        <f>дома!G550*IF('Ввод данных'!$A$8=связи1!$A$150,1,0)</f>
        <v>0</v>
      </c>
    </row>
    <row r="656" spans="1:8">
      <c r="A656" s="2670" t="str">
        <f>дома!A551</f>
        <v>Стойки каркаса, левая сторона 1 эт</v>
      </c>
      <c r="B656" s="2671" t="str">
        <f>дома!B551</f>
        <v>м.п.</v>
      </c>
      <c r="C656" s="2672">
        <f>дома!C551</f>
        <v>0.4</v>
      </c>
      <c r="D656" s="2672">
        <f>дома!D551</f>
        <v>0.05</v>
      </c>
      <c r="E656" s="2672">
        <f>дома!E551</f>
        <v>3</v>
      </c>
      <c r="F656" s="2672">
        <f>дома!F551</f>
        <v>0</v>
      </c>
      <c r="G656" s="2672">
        <f>E656*F656*IF('Ввод данных'!$A$8=связи1!$A$150,1,0)</f>
        <v>0</v>
      </c>
      <c r="H656" s="2672">
        <f>дома!G551*IF('Ввод данных'!$A$8=связи1!$A$150,1,0)</f>
        <v>0</v>
      </c>
    </row>
    <row r="657" spans="1:8">
      <c r="A657" s="2670" t="str">
        <f>дома!A552</f>
        <v>Стойки каркаса, правая сторона, 1 эт</v>
      </c>
      <c r="B657" s="2671" t="str">
        <f>дома!B552</f>
        <v>м.п.</v>
      </c>
      <c r="C657" s="2672">
        <f>дома!C552</f>
        <v>0.4</v>
      </c>
      <c r="D657" s="2672">
        <f>дома!D552</f>
        <v>0.05</v>
      </c>
      <c r="E657" s="2672">
        <f>дома!E552</f>
        <v>3</v>
      </c>
      <c r="F657" s="2672">
        <f>дома!F552</f>
        <v>0</v>
      </c>
      <c r="G657" s="2672">
        <f>E657*F657*IF('Ввод данных'!$A$8=связи1!$A$150,1,0)</f>
        <v>0</v>
      </c>
      <c r="H657" s="2672">
        <f>дома!G552*IF('Ввод данных'!$A$8=связи1!$A$150,1,0)</f>
        <v>0</v>
      </c>
    </row>
    <row r="658" spans="1:8">
      <c r="A658" s="2670" t="str">
        <f>дома!A553</f>
        <v>Обвязка каркаса верхняя/нижняя наружние стены 1 эт</v>
      </c>
      <c r="B658" s="2671" t="str">
        <f>дома!B553</f>
        <v>м.п.</v>
      </c>
      <c r="C658" s="2672">
        <f>дома!C553</f>
        <v>0.4</v>
      </c>
      <c r="D658" s="2672">
        <f>дома!D553</f>
        <v>0.05</v>
      </c>
      <c r="E658" s="2672">
        <f>дома!E553</f>
        <v>0</v>
      </c>
      <c r="F658" s="2672">
        <f>дома!F553</f>
        <v>0</v>
      </c>
      <c r="G658" s="2672">
        <f>E658*F658*IF('Ввод данных'!$A$8=связи1!$A$150,1,0)</f>
        <v>0</v>
      </c>
      <c r="H658" s="2672">
        <f>дома!G553*IF('Ввод данных'!$A$8=связи1!$A$150,1,0)</f>
        <v>0</v>
      </c>
    </row>
    <row r="659" spans="1:8">
      <c r="A659" s="2670" t="str">
        <f>дома!A554</f>
        <v>Ригель каркаса наружние стены 1 эт</v>
      </c>
      <c r="B659" s="2671" t="str">
        <f>дома!B554</f>
        <v>м.п.</v>
      </c>
      <c r="C659" s="2672">
        <f>дома!C554</f>
        <v>0.4</v>
      </c>
      <c r="D659" s="2672">
        <f>дома!D554</f>
        <v>0.05</v>
      </c>
      <c r="E659" s="2672">
        <f>дома!E554</f>
        <v>0</v>
      </c>
      <c r="F659" s="2672">
        <f>дома!F554</f>
        <v>0</v>
      </c>
      <c r="G659" s="2672">
        <f>E659*F659*IF('Ввод данных'!$A$8=связи1!$A$150,1,0)</f>
        <v>0</v>
      </c>
      <c r="H659" s="2672">
        <f>дома!G554*IF('Ввод данных'!$A$8=связи1!$A$150,1,0)</f>
        <v>0</v>
      </c>
    </row>
    <row r="660" spans="1:8">
      <c r="A660" s="2670" t="str">
        <f>дома!A555</f>
        <v>Укосина наружних стен, усиление 1 этаж</v>
      </c>
      <c r="B660" s="2671" t="str">
        <f>дома!B555</f>
        <v>м.п.</v>
      </c>
      <c r="C660" s="2672">
        <f>дома!C555</f>
        <v>0.4</v>
      </c>
      <c r="D660" s="2672">
        <f>дома!D555</f>
        <v>0.05</v>
      </c>
      <c r="E660" s="2672">
        <f>дома!E555</f>
        <v>0</v>
      </c>
      <c r="F660" s="2672">
        <f>дома!F555</f>
        <v>8</v>
      </c>
      <c r="G660" s="2672">
        <f>E660*F660*IF('Ввод данных'!$A$8=связи1!$A$150,1,0)</f>
        <v>0</v>
      </c>
      <c r="H660" s="2672">
        <f>дома!G555*IF('Ввод данных'!$A$8=связи1!$A$150,1,0)</f>
        <v>0</v>
      </c>
    </row>
    <row r="661" spans="1:8">
      <c r="A661" s="2670" t="str">
        <f>дома!A556</f>
        <v>Стойка каркаса по фронтону, 1 этаж, односкатная кровля, №1</v>
      </c>
      <c r="B661" s="2671" t="str">
        <f>дома!B556</f>
        <v>м.п.</v>
      </c>
      <c r="C661" s="2672">
        <f>дома!C556</f>
        <v>0.4</v>
      </c>
      <c r="D661" s="2672">
        <f>дома!D556</f>
        <v>0.05</v>
      </c>
      <c r="E661" s="2672">
        <f>дома!E556</f>
        <v>0</v>
      </c>
      <c r="F661" s="2672">
        <f>дома!F556</f>
        <v>2</v>
      </c>
      <c r="G661" s="2672">
        <f>E661*F661*IF('Ввод данных'!$A$8=связи1!$A$150,1,0)</f>
        <v>0</v>
      </c>
      <c r="H661" s="2672">
        <f>дома!G556*IF('Ввод данных'!$A$8=связи1!$A$150,1,0)</f>
        <v>0</v>
      </c>
    </row>
    <row r="662" spans="1:8">
      <c r="A662" s="2670" t="str">
        <f>дома!A557</f>
        <v>Стойка каркаса по фронтону, 1 этаж, односкатная кровля, №2</v>
      </c>
      <c r="B662" s="2671" t="str">
        <f>дома!B557</f>
        <v>м.п.</v>
      </c>
      <c r="C662" s="2672">
        <f>дома!C557</f>
        <v>0.4</v>
      </c>
      <c r="D662" s="2672">
        <f>дома!D557</f>
        <v>0.05</v>
      </c>
      <c r="E662" s="2672">
        <f>дома!E557</f>
        <v>0</v>
      </c>
      <c r="F662" s="2672">
        <f>дома!F557</f>
        <v>2</v>
      </c>
      <c r="G662" s="2672">
        <f>E662*F662*IF('Ввод данных'!$A$8=связи1!$A$150,1,0)</f>
        <v>0</v>
      </c>
      <c r="H662" s="2672">
        <f>дома!G557*IF('Ввод данных'!$A$8=связи1!$A$150,1,0)</f>
        <v>0</v>
      </c>
    </row>
    <row r="663" spans="1:8">
      <c r="A663" s="2670" t="str">
        <f>дома!A558</f>
        <v>Стойка каркаса по фронтону, 1 этаж, односкатная кровля, №3</v>
      </c>
      <c r="B663" s="2671" t="str">
        <f>дома!B558</f>
        <v>м.п.</v>
      </c>
      <c r="C663" s="2672">
        <f>дома!C558</f>
        <v>0.4</v>
      </c>
      <c r="D663" s="2672">
        <f>дома!D558</f>
        <v>0.05</v>
      </c>
      <c r="E663" s="2672">
        <f>дома!E558</f>
        <v>0</v>
      </c>
      <c r="F663" s="2672">
        <f>дома!F558</f>
        <v>2</v>
      </c>
      <c r="G663" s="2672">
        <f>E663*F663*IF('Ввод данных'!$A$8=связи1!$A$150,1,0)</f>
        <v>0</v>
      </c>
      <c r="H663" s="2672">
        <f>дома!G558*IF('Ввод данных'!$A$8=связи1!$A$150,1,0)</f>
        <v>0</v>
      </c>
    </row>
    <row r="664" spans="1:8">
      <c r="A664" s="2670" t="str">
        <f>дома!A559</f>
        <v>Стойка каркаса по фронтону, 1 этаж, односкатная кровля, №4</v>
      </c>
      <c r="B664" s="2671" t="str">
        <f>дома!B559</f>
        <v>м.п.</v>
      </c>
      <c r="C664" s="2672">
        <f>дома!C559</f>
        <v>0.4</v>
      </c>
      <c r="D664" s="2672">
        <f>дома!D559</f>
        <v>0.05</v>
      </c>
      <c r="E664" s="2672">
        <f>дома!E559</f>
        <v>0</v>
      </c>
      <c r="F664" s="2672">
        <f>дома!F559</f>
        <v>2</v>
      </c>
      <c r="G664" s="2672">
        <f>E664*F664*IF('Ввод данных'!$A$8=связи1!$A$150,1,0)</f>
        <v>0</v>
      </c>
      <c r="H664" s="2672">
        <f>дома!G559*IF('Ввод данных'!$A$8=связи1!$A$150,1,0)</f>
        <v>0</v>
      </c>
    </row>
    <row r="665" spans="1:8">
      <c r="A665" s="2670" t="str">
        <f>дома!A560</f>
        <v>Стойка каркаса по фронтону, 1 этаж, односкатная кровля, №5</v>
      </c>
      <c r="B665" s="2671" t="str">
        <f>дома!B560</f>
        <v>м.п.</v>
      </c>
      <c r="C665" s="2672">
        <f>дома!C560</f>
        <v>0.4</v>
      </c>
      <c r="D665" s="2672">
        <f>дома!D560</f>
        <v>0.05</v>
      </c>
      <c r="E665" s="2672">
        <f>дома!E560</f>
        <v>0</v>
      </c>
      <c r="F665" s="2672">
        <f>дома!F560</f>
        <v>2</v>
      </c>
      <c r="G665" s="2672">
        <f>E665*F665*IF('Ввод данных'!$A$8=связи1!$A$150,1,0)</f>
        <v>0</v>
      </c>
      <c r="H665" s="2672">
        <f>дома!G560*IF('Ввод данных'!$A$8=связи1!$A$150,1,0)</f>
        <v>0</v>
      </c>
    </row>
    <row r="666" spans="1:8">
      <c r="A666" s="2670" t="str">
        <f>дома!A561</f>
        <v>Стойка каркаса по фронтону, 1 этаж, односкатная кровля, №6</v>
      </c>
      <c r="B666" s="2671" t="str">
        <f>дома!B561</f>
        <v>м.п.</v>
      </c>
      <c r="C666" s="2672">
        <f>дома!C561</f>
        <v>0.4</v>
      </c>
      <c r="D666" s="2672">
        <f>дома!D561</f>
        <v>0.05</v>
      </c>
      <c r="E666" s="2672">
        <f>дома!E561</f>
        <v>0</v>
      </c>
      <c r="F666" s="2672">
        <f>дома!F561</f>
        <v>2</v>
      </c>
      <c r="G666" s="2672">
        <f>E666*F666*IF('Ввод данных'!$A$8=связи1!$A$150,1,0)</f>
        <v>0</v>
      </c>
      <c r="H666" s="2672">
        <f>дома!G561*IF('Ввод данных'!$A$8=связи1!$A$150,1,0)</f>
        <v>0</v>
      </c>
    </row>
    <row r="667" spans="1:8">
      <c r="A667" s="2670" t="str">
        <f>дома!A562</f>
        <v>Стойка каркаса по фронтону, 1 этаж, односкатная кровля, №7</v>
      </c>
      <c r="B667" s="2671" t="str">
        <f>дома!B562</f>
        <v>м.п.</v>
      </c>
      <c r="C667" s="2672">
        <f>дома!C562</f>
        <v>0.4</v>
      </c>
      <c r="D667" s="2672">
        <f>дома!D562</f>
        <v>0.05</v>
      </c>
      <c r="E667" s="2672">
        <f>дома!E562</f>
        <v>0</v>
      </c>
      <c r="F667" s="2672">
        <f>дома!F562</f>
        <v>2</v>
      </c>
      <c r="G667" s="2672">
        <f>E667*F667*IF('Ввод данных'!$A$8=связи1!$A$150,1,0)</f>
        <v>0</v>
      </c>
      <c r="H667" s="2672">
        <f>дома!G562*IF('Ввод данных'!$A$8=связи1!$A$150,1,0)</f>
        <v>0</v>
      </c>
    </row>
    <row r="668" spans="1:8">
      <c r="A668" s="2670" t="str">
        <f>дома!A563</f>
        <v>Стойка каркаса по фронтону, 1 этаж, односкатная кровля, №8</v>
      </c>
      <c r="B668" s="2671" t="str">
        <f>дома!B563</f>
        <v>м.п.</v>
      </c>
      <c r="C668" s="2672">
        <f>дома!C563</f>
        <v>0.4</v>
      </c>
      <c r="D668" s="2672">
        <f>дома!D563</f>
        <v>0.05</v>
      </c>
      <c r="E668" s="2672">
        <f>дома!E563</f>
        <v>0</v>
      </c>
      <c r="F668" s="2672">
        <f>дома!F563</f>
        <v>2</v>
      </c>
      <c r="G668" s="2672">
        <f>E668*F668*IF('Ввод данных'!$A$8=связи1!$A$150,1,0)</f>
        <v>0</v>
      </c>
      <c r="H668" s="2672">
        <f>дома!G563*IF('Ввод данных'!$A$8=связи1!$A$150,1,0)</f>
        <v>0</v>
      </c>
    </row>
    <row r="669" spans="1:8">
      <c r="A669" s="2670" t="str">
        <f>дома!A564</f>
        <v>Стойка каркаса по фронтону, 1 этаж, односкатная кровля, №9</v>
      </c>
      <c r="B669" s="2671" t="str">
        <f>дома!B564</f>
        <v>м.п.</v>
      </c>
      <c r="C669" s="2672">
        <f>дома!C564</f>
        <v>0.4</v>
      </c>
      <c r="D669" s="2672">
        <f>дома!D564</f>
        <v>0.05</v>
      </c>
      <c r="E669" s="2672">
        <f>дома!E564</f>
        <v>0</v>
      </c>
      <c r="F669" s="2672">
        <f>дома!F564</f>
        <v>2</v>
      </c>
      <c r="G669" s="2672">
        <f>E669*F669*IF('Ввод данных'!$A$8=связи1!$A$150,1,0)</f>
        <v>0</v>
      </c>
      <c r="H669" s="2672">
        <f>дома!G564*IF('Ввод данных'!$A$8=связи1!$A$150,1,0)</f>
        <v>0</v>
      </c>
    </row>
    <row r="670" spans="1:8">
      <c r="A670" s="2670" t="str">
        <f>дома!A565</f>
        <v>Стойка каркаса по фронтону, 1 этаж, односкатная кровля, №10</v>
      </c>
      <c r="B670" s="2671" t="str">
        <f>дома!B565</f>
        <v>м.п.</v>
      </c>
      <c r="C670" s="2672">
        <f>дома!C565</f>
        <v>0.4</v>
      </c>
      <c r="D670" s="2672">
        <f>дома!D565</f>
        <v>0.05</v>
      </c>
      <c r="E670" s="2672">
        <f>дома!E565</f>
        <v>0</v>
      </c>
      <c r="F670" s="2672">
        <f>дома!F565</f>
        <v>2</v>
      </c>
      <c r="G670" s="2672">
        <f>E670*F670*IF('Ввод данных'!$A$8=связи1!$A$150,1,0)</f>
        <v>0</v>
      </c>
      <c r="H670" s="2672">
        <f>дома!G565*IF('Ввод данных'!$A$8=связи1!$A$150,1,0)</f>
        <v>0</v>
      </c>
    </row>
    <row r="671" spans="1:8">
      <c r="A671" s="2670" t="str">
        <f>дома!A566</f>
        <v>Стойка каркаса по фронтону, 1 этаж, односкатная кровля, №11</v>
      </c>
      <c r="B671" s="2671" t="str">
        <f>дома!B566</f>
        <v>м.п.</v>
      </c>
      <c r="C671" s="2672">
        <f>дома!C566</f>
        <v>0.4</v>
      </c>
      <c r="D671" s="2672">
        <f>дома!D566</f>
        <v>0.05</v>
      </c>
      <c r="E671" s="2672">
        <f>дома!E566</f>
        <v>0</v>
      </c>
      <c r="F671" s="2672">
        <f>дома!F566</f>
        <v>2</v>
      </c>
      <c r="G671" s="2672">
        <f>E671*F671*IF('Ввод данных'!$A$8=связи1!$A$150,1,0)</f>
        <v>0</v>
      </c>
      <c r="H671" s="2672">
        <f>дома!G566*IF('Ввод данных'!$A$8=связи1!$A$150,1,0)</f>
        <v>0</v>
      </c>
    </row>
    <row r="672" spans="1:8">
      <c r="A672" s="2670" t="str">
        <f>дома!A567</f>
        <v>Стойка каркаса по фронтону, 1 этаж, односкатная кровля, №12</v>
      </c>
      <c r="B672" s="2671" t="str">
        <f>дома!B567</f>
        <v>м.п.</v>
      </c>
      <c r="C672" s="2672">
        <f>дома!C567</f>
        <v>0.4</v>
      </c>
      <c r="D672" s="2672">
        <f>дома!D567</f>
        <v>0.05</v>
      </c>
      <c r="E672" s="2672">
        <f>дома!E567</f>
        <v>0</v>
      </c>
      <c r="F672" s="2672">
        <f>дома!F567</f>
        <v>2</v>
      </c>
      <c r="G672" s="2672">
        <f>E672*F672*IF('Ввод данных'!$A$8=связи1!$A$150,1,0)</f>
        <v>0</v>
      </c>
      <c r="H672" s="2672">
        <f>дома!G567*IF('Ввод данных'!$A$8=связи1!$A$150,1,0)</f>
        <v>0</v>
      </c>
    </row>
    <row r="673" spans="1:8">
      <c r="A673" s="2670" t="str">
        <f>дома!A568</f>
        <v>Стойка каркаса по фронтону, 1 этаж, односкатная кровля, №13</v>
      </c>
      <c r="B673" s="2671" t="str">
        <f>дома!B568</f>
        <v>м.п.</v>
      </c>
      <c r="C673" s="2672">
        <f>дома!C568</f>
        <v>0.4</v>
      </c>
      <c r="D673" s="2672">
        <f>дома!D568</f>
        <v>0.05</v>
      </c>
      <c r="E673" s="2672">
        <f>дома!E568</f>
        <v>0</v>
      </c>
      <c r="F673" s="2672">
        <f>дома!F568</f>
        <v>2</v>
      </c>
      <c r="G673" s="2672">
        <f>E673*F673*IF('Ввод данных'!$A$8=связи1!$A$150,1,0)</f>
        <v>0</v>
      </c>
      <c r="H673" s="2672">
        <f>дома!G568*IF('Ввод данных'!$A$8=связи1!$A$150,1,0)</f>
        <v>0</v>
      </c>
    </row>
    <row r="674" spans="1:8">
      <c r="A674" s="2670" t="str">
        <f>дома!A569</f>
        <v>Стойка каркаса по фронтону, 1 этаж, односкатная кровля, №14</v>
      </c>
      <c r="B674" s="2671" t="str">
        <f>дома!B569</f>
        <v>м.п.</v>
      </c>
      <c r="C674" s="2672">
        <f>дома!C569</f>
        <v>0.4</v>
      </c>
      <c r="D674" s="2672">
        <f>дома!D569</f>
        <v>0.05</v>
      </c>
      <c r="E674" s="2672">
        <f>дома!E569</f>
        <v>0</v>
      </c>
      <c r="F674" s="2672">
        <f>дома!F569</f>
        <v>2</v>
      </c>
      <c r="G674" s="2672">
        <f>E674*F674*IF('Ввод данных'!$A$8=связи1!$A$150,1,0)</f>
        <v>0</v>
      </c>
      <c r="H674" s="2672">
        <f>дома!G569*IF('Ввод данных'!$A$8=связи1!$A$150,1,0)</f>
        <v>0</v>
      </c>
    </row>
    <row r="675" spans="1:8">
      <c r="A675" s="2670" t="str">
        <f>дома!A570</f>
        <v>Стойка каркаса по фронтону, 1 этаж, односкатная кровля, №15</v>
      </c>
      <c r="B675" s="2671" t="str">
        <f>дома!B570</f>
        <v>м.п.</v>
      </c>
      <c r="C675" s="2672">
        <f>дома!C570</f>
        <v>0.4</v>
      </c>
      <c r="D675" s="2672">
        <f>дома!D570</f>
        <v>0.05</v>
      </c>
      <c r="E675" s="2672">
        <f>дома!E570</f>
        <v>0</v>
      </c>
      <c r="F675" s="2672">
        <f>дома!F570</f>
        <v>2</v>
      </c>
      <c r="G675" s="2672">
        <f>E675*F675*IF('Ввод данных'!$A$8=связи1!$A$150,1,0)</f>
        <v>0</v>
      </c>
      <c r="H675" s="2672">
        <f>дома!G570*IF('Ввод данных'!$A$8=связи1!$A$150,1,0)</f>
        <v>0</v>
      </c>
    </row>
    <row r="676" spans="1:8">
      <c r="A676" s="2670" t="str">
        <f>дома!A571</f>
        <v>Стойка каркаса по фронтону, 1 этаж, односкатная кровля, №16</v>
      </c>
      <c r="B676" s="2671" t="str">
        <f>дома!B571</f>
        <v>м.п.</v>
      </c>
      <c r="C676" s="2672">
        <f>дома!C571</f>
        <v>0.4</v>
      </c>
      <c r="D676" s="2672">
        <f>дома!D571</f>
        <v>0.05</v>
      </c>
      <c r="E676" s="2672">
        <f>дома!E571</f>
        <v>0</v>
      </c>
      <c r="F676" s="2672">
        <f>дома!F571</f>
        <v>2</v>
      </c>
      <c r="G676" s="2672">
        <f>E676*F676*IF('Ввод данных'!$A$8=связи1!$A$150,1,0)</f>
        <v>0</v>
      </c>
      <c r="H676" s="2672">
        <f>дома!G571*IF('Ввод данных'!$A$8=связи1!$A$150,1,0)</f>
        <v>0</v>
      </c>
    </row>
    <row r="677" spans="1:8">
      <c r="A677" s="2670" t="str">
        <f>дома!A572</f>
        <v>Стойка каркаса по фронтону, 1 этаж, односкатная кровля, №17</v>
      </c>
      <c r="B677" s="2671" t="str">
        <f>дома!B572</f>
        <v>м.п.</v>
      </c>
      <c r="C677" s="2672">
        <f>дома!C572</f>
        <v>0.4</v>
      </c>
      <c r="D677" s="2672">
        <f>дома!D572</f>
        <v>0.05</v>
      </c>
      <c r="E677" s="2672">
        <f>дома!E572</f>
        <v>0</v>
      </c>
      <c r="F677" s="2672">
        <f>дома!F572</f>
        <v>2</v>
      </c>
      <c r="G677" s="2672">
        <f>E677*F677*IF('Ввод данных'!$A$8=связи1!$A$150,1,0)</f>
        <v>0</v>
      </c>
      <c r="H677" s="2672">
        <f>дома!G572*IF('Ввод данных'!$A$8=связи1!$A$150,1,0)</f>
        <v>0</v>
      </c>
    </row>
    <row r="678" spans="1:8">
      <c r="A678" s="2670" t="str">
        <f>дома!A573</f>
        <v>Стойка каркаса по фронтону, 1 этаж, двускатная кровля, №1</v>
      </c>
      <c r="B678" s="2671" t="str">
        <f>дома!B573</f>
        <v>м.п.</v>
      </c>
      <c r="C678" s="2672">
        <f>дома!C573</f>
        <v>0.4</v>
      </c>
      <c r="D678" s="2672">
        <f>дома!D573</f>
        <v>0.05</v>
      </c>
      <c r="E678" s="2672">
        <f>дома!E573</f>
        <v>1</v>
      </c>
      <c r="F678" s="2672">
        <f>дома!F573</f>
        <v>2</v>
      </c>
      <c r="G678" s="2672">
        <f>E678*F678*IF('Ввод данных'!$A$8=связи1!$A$150,1,0)</f>
        <v>0</v>
      </c>
      <c r="H678" s="2672">
        <f>дома!G573*IF('Ввод данных'!$A$8=связи1!$A$150,1,0)</f>
        <v>0</v>
      </c>
    </row>
    <row r="679" spans="1:8">
      <c r="A679" s="2670" t="str">
        <f>дома!A574</f>
        <v>Стойка каркаса по фронтону, 1 этаж, двускатная кровля, №2</v>
      </c>
      <c r="B679" s="2671" t="str">
        <f>дома!B574</f>
        <v>м.п.</v>
      </c>
      <c r="C679" s="2672">
        <f>дома!C574</f>
        <v>0.4</v>
      </c>
      <c r="D679" s="2672">
        <f>дома!D574</f>
        <v>0.05</v>
      </c>
      <c r="E679" s="2672">
        <f>дома!E574</f>
        <v>1</v>
      </c>
      <c r="F679" s="2672">
        <f>дома!F574</f>
        <v>2</v>
      </c>
      <c r="G679" s="2672">
        <f>E679*F679*IF('Ввод данных'!$A$8=связи1!$A$150,1,0)</f>
        <v>0</v>
      </c>
      <c r="H679" s="2672">
        <f>дома!G574*IF('Ввод данных'!$A$8=связи1!$A$150,1,0)</f>
        <v>0</v>
      </c>
    </row>
    <row r="680" spans="1:8">
      <c r="A680" s="2670" t="str">
        <f>дома!A575</f>
        <v>Стойка каркаса по фронтону, 1 этаж, двускатная кровля, №3</v>
      </c>
      <c r="B680" s="2671" t="str">
        <f>дома!B575</f>
        <v>м.п.</v>
      </c>
      <c r="C680" s="2672">
        <f>дома!C575</f>
        <v>0.4</v>
      </c>
      <c r="D680" s="2672">
        <f>дома!D575</f>
        <v>0.05</v>
      </c>
      <c r="E680" s="2672">
        <f>дома!E575</f>
        <v>1</v>
      </c>
      <c r="F680" s="2672">
        <f>дома!F575</f>
        <v>2</v>
      </c>
      <c r="G680" s="2672">
        <f>E680*F680*IF('Ввод данных'!$A$8=связи1!$A$150,1,0)</f>
        <v>0</v>
      </c>
      <c r="H680" s="2672">
        <f>дома!G575*IF('Ввод данных'!$A$8=связи1!$A$150,1,0)</f>
        <v>0</v>
      </c>
    </row>
    <row r="681" spans="1:8">
      <c r="A681" s="2670" t="str">
        <f>дома!A576</f>
        <v>Стойка каркаса по фронтону, 1 этаж, двускатная кровля, №4</v>
      </c>
      <c r="B681" s="2671" t="str">
        <f>дома!B576</f>
        <v>м.п.</v>
      </c>
      <c r="C681" s="2672">
        <f>дома!C576</f>
        <v>0.4</v>
      </c>
      <c r="D681" s="2672">
        <f>дома!D576</f>
        <v>0.05</v>
      </c>
      <c r="E681" s="2672">
        <f>дома!E576</f>
        <v>1</v>
      </c>
      <c r="F681" s="2672">
        <f>дома!F576</f>
        <v>2</v>
      </c>
      <c r="G681" s="2672">
        <f>E681*F681*IF('Ввод данных'!$A$8=связи1!$A$150,1,0)</f>
        <v>0</v>
      </c>
      <c r="H681" s="2672">
        <f>дома!G576*IF('Ввод данных'!$A$8=связи1!$A$150,1,0)</f>
        <v>0</v>
      </c>
    </row>
    <row r="682" spans="1:8">
      <c r="A682" s="2670" t="str">
        <f>дома!A577</f>
        <v>Стойка каркаса по фронтону, 1 этаж, двускатная кровля, №5</v>
      </c>
      <c r="B682" s="2671" t="str">
        <f>дома!B577</f>
        <v>м.п.</v>
      </c>
      <c r="C682" s="2672">
        <f>дома!C577</f>
        <v>0.4</v>
      </c>
      <c r="D682" s="2672">
        <f>дома!D577</f>
        <v>0.05</v>
      </c>
      <c r="E682" s="2672">
        <f>дома!E577</f>
        <v>1</v>
      </c>
      <c r="F682" s="2672">
        <f>дома!F577</f>
        <v>2</v>
      </c>
      <c r="G682" s="2672">
        <f>E682*F682*IF('Ввод данных'!$A$8=связи1!$A$150,1,0)</f>
        <v>0</v>
      </c>
      <c r="H682" s="2672">
        <f>дома!G577*IF('Ввод данных'!$A$8=связи1!$A$150,1,0)</f>
        <v>0</v>
      </c>
    </row>
    <row r="683" spans="1:8">
      <c r="A683" s="2670" t="str">
        <f>дома!A578</f>
        <v>Стойка каркаса по фронтону, 1 этаж, двускатная кровля, №6</v>
      </c>
      <c r="B683" s="2671" t="str">
        <f>дома!B578</f>
        <v>м.п.</v>
      </c>
      <c r="C683" s="2672">
        <f>дома!C578</f>
        <v>0.4</v>
      </c>
      <c r="D683" s="2672">
        <f>дома!D578</f>
        <v>0.05</v>
      </c>
      <c r="E683" s="2672">
        <f>дома!E578</f>
        <v>1</v>
      </c>
      <c r="F683" s="2672">
        <f>дома!F578</f>
        <v>2</v>
      </c>
      <c r="G683" s="2672">
        <f>E683*F683*IF('Ввод данных'!$A$8=связи1!$A$150,1,0)</f>
        <v>0</v>
      </c>
      <c r="H683" s="2672">
        <f>дома!G578*IF('Ввод данных'!$A$8=связи1!$A$150,1,0)</f>
        <v>0</v>
      </c>
    </row>
    <row r="684" spans="1:8">
      <c r="A684" s="2670" t="str">
        <f>дома!A579</f>
        <v>Стойка каркаса по фронтону, 1 этаж, двускатная кровля, №7</v>
      </c>
      <c r="B684" s="2671" t="str">
        <f>дома!B579</f>
        <v>м.п.</v>
      </c>
      <c r="C684" s="2672">
        <f>дома!C579</f>
        <v>0.4</v>
      </c>
      <c r="D684" s="2672">
        <f>дома!D579</f>
        <v>0.05</v>
      </c>
      <c r="E684" s="2672">
        <f>дома!E579</f>
        <v>1</v>
      </c>
      <c r="F684" s="2672">
        <f>дома!F579</f>
        <v>2</v>
      </c>
      <c r="G684" s="2672">
        <f>E684*F684*IF('Ввод данных'!$A$8=связи1!$A$150,1,0)</f>
        <v>0</v>
      </c>
      <c r="H684" s="2672">
        <f>дома!G579*IF('Ввод данных'!$A$8=связи1!$A$150,1,0)</f>
        <v>0</v>
      </c>
    </row>
    <row r="685" spans="1:8">
      <c r="A685" s="2670" t="str">
        <f>дома!A580</f>
        <v>Стойка каркаса по фронтону, 1 этаж, двускатная кровля, №8</v>
      </c>
      <c r="B685" s="2671" t="str">
        <f>дома!B580</f>
        <v>м.п.</v>
      </c>
      <c r="C685" s="2672">
        <f>дома!C580</f>
        <v>0.4</v>
      </c>
      <c r="D685" s="2672">
        <f>дома!D580</f>
        <v>0.05</v>
      </c>
      <c r="E685" s="2672">
        <f>дома!E580</f>
        <v>1</v>
      </c>
      <c r="F685" s="2672">
        <f>дома!F580</f>
        <v>2</v>
      </c>
      <c r="G685" s="2672">
        <f>E685*F685*IF('Ввод данных'!$A$8=связи1!$A$150,1,0)</f>
        <v>0</v>
      </c>
      <c r="H685" s="2672">
        <f>дома!G580*IF('Ввод данных'!$A$8=связи1!$A$150,1,0)</f>
        <v>0</v>
      </c>
    </row>
    <row r="686" spans="1:8">
      <c r="A686" s="2670" t="str">
        <f>дома!A581</f>
        <v>Стойка каркаса по фронтону, 1 этаж, двускатная кровля, №9</v>
      </c>
      <c r="B686" s="2671" t="str">
        <f>дома!B581</f>
        <v>м.п.</v>
      </c>
      <c r="C686" s="2672">
        <f>дома!C581</f>
        <v>0.4</v>
      </c>
      <c r="D686" s="2672">
        <f>дома!D581</f>
        <v>0.05</v>
      </c>
      <c r="E686" s="2672">
        <f>дома!E581</f>
        <v>1</v>
      </c>
      <c r="F686" s="2672">
        <f>дома!F581</f>
        <v>2</v>
      </c>
      <c r="G686" s="2672">
        <f>E686*F686*IF('Ввод данных'!$A$8=связи1!$A$150,1,0)</f>
        <v>0</v>
      </c>
      <c r="H686" s="2672">
        <f>дома!G581*IF('Ввод данных'!$A$8=связи1!$A$150,1,0)</f>
        <v>0</v>
      </c>
    </row>
    <row r="687" spans="1:8">
      <c r="A687" s="2670" t="str">
        <f>дома!A582</f>
        <v>Стойка каркаса по фронтону, 1 этаж, двускатная кровля, №10</v>
      </c>
      <c r="B687" s="2671" t="str">
        <f>дома!B582</f>
        <v>м.п.</v>
      </c>
      <c r="C687" s="2672">
        <f>дома!C582</f>
        <v>0.4</v>
      </c>
      <c r="D687" s="2672">
        <f>дома!D582</f>
        <v>0.05</v>
      </c>
      <c r="E687" s="2672">
        <f>дома!E582</f>
        <v>1</v>
      </c>
      <c r="F687" s="2672">
        <f>дома!F582</f>
        <v>2</v>
      </c>
      <c r="G687" s="2672">
        <f>E687*F687*IF('Ввод данных'!$A$8=связи1!$A$150,1,0)</f>
        <v>0</v>
      </c>
      <c r="H687" s="2672">
        <f>дома!G582*IF('Ввод данных'!$A$8=связи1!$A$150,1,0)</f>
        <v>0</v>
      </c>
    </row>
    <row r="688" spans="1:8">
      <c r="A688" s="2670" t="str">
        <f>дома!A583</f>
        <v>Стойка каркаса по фронтону, 1 этаж, двускатная кровля, №11</v>
      </c>
      <c r="B688" s="2671" t="str">
        <f>дома!B583</f>
        <v>м.п.</v>
      </c>
      <c r="C688" s="2672">
        <f>дома!C583</f>
        <v>0.4</v>
      </c>
      <c r="D688" s="2672">
        <f>дома!D583</f>
        <v>0.05</v>
      </c>
      <c r="E688" s="2672">
        <f>дома!E583</f>
        <v>1</v>
      </c>
      <c r="F688" s="2672">
        <f>дома!F583</f>
        <v>2</v>
      </c>
      <c r="G688" s="2672">
        <f>E688*F688*IF('Ввод данных'!$A$8=связи1!$A$150,1,0)</f>
        <v>0</v>
      </c>
      <c r="H688" s="2672">
        <f>дома!G583*IF('Ввод данных'!$A$8=связи1!$A$150,1,0)</f>
        <v>0</v>
      </c>
    </row>
    <row r="689" spans="1:8">
      <c r="A689" s="2670" t="str">
        <f>дома!A584</f>
        <v>Стойка каркаса по фронтону, 1 этаж, двускатная кровля, №12</v>
      </c>
      <c r="B689" s="2671" t="str">
        <f>дома!B584</f>
        <v>м.п.</v>
      </c>
      <c r="C689" s="2672">
        <f>дома!C584</f>
        <v>0.4</v>
      </c>
      <c r="D689" s="2672">
        <f>дома!D584</f>
        <v>0.05</v>
      </c>
      <c r="E689" s="2672">
        <f>дома!E584</f>
        <v>1</v>
      </c>
      <c r="F689" s="2672">
        <f>дома!F584</f>
        <v>2</v>
      </c>
      <c r="G689" s="2672">
        <f>E689*F689*IF('Ввод данных'!$A$8=связи1!$A$150,1,0)</f>
        <v>0</v>
      </c>
      <c r="H689" s="2672">
        <f>дома!G584*IF('Ввод данных'!$A$8=связи1!$A$150,1,0)</f>
        <v>0</v>
      </c>
    </row>
    <row r="690" spans="1:8">
      <c r="A690" s="2670" t="str">
        <f>дома!A585</f>
        <v>Стойка каркаса по фронтону, 1 этаж, двускатная кровля, №13</v>
      </c>
      <c r="B690" s="2671" t="str">
        <f>дома!B585</f>
        <v>м.п.</v>
      </c>
      <c r="C690" s="2672">
        <f>дома!C585</f>
        <v>0.4</v>
      </c>
      <c r="D690" s="2672">
        <f>дома!D585</f>
        <v>0.05</v>
      </c>
      <c r="E690" s="2672">
        <f>дома!E585</f>
        <v>1</v>
      </c>
      <c r="F690" s="2672">
        <f>дома!F585</f>
        <v>2</v>
      </c>
      <c r="G690" s="2672">
        <f>E690*F690*IF('Ввод данных'!$A$8=связи1!$A$150,1,0)</f>
        <v>0</v>
      </c>
      <c r="H690" s="2672">
        <f>дома!G585*IF('Ввод данных'!$A$8=связи1!$A$150,1,0)</f>
        <v>0</v>
      </c>
    </row>
    <row r="691" spans="1:8">
      <c r="A691" s="2670" t="str">
        <f>дома!A586</f>
        <v>Стойка каркаса по фронтону, 1 этаж, двускатная кровля, №14</v>
      </c>
      <c r="B691" s="2671" t="str">
        <f>дома!B586</f>
        <v>м.п.</v>
      </c>
      <c r="C691" s="2672">
        <f>дома!C586</f>
        <v>0.4</v>
      </c>
      <c r="D691" s="2672">
        <f>дома!D586</f>
        <v>0.05</v>
      </c>
      <c r="E691" s="2672">
        <f>дома!E586</f>
        <v>1</v>
      </c>
      <c r="F691" s="2672">
        <f>дома!F586</f>
        <v>2</v>
      </c>
      <c r="G691" s="2672">
        <f>E691*F691*IF('Ввод данных'!$A$8=связи1!$A$150,1,0)</f>
        <v>0</v>
      </c>
      <c r="H691" s="2672">
        <f>дома!G586*IF('Ввод данных'!$A$8=связи1!$A$150,1,0)</f>
        <v>0</v>
      </c>
    </row>
    <row r="692" spans="1:8">
      <c r="A692" s="2670" t="str">
        <f>дома!A587</f>
        <v>Стойка каркаса по фронтону, 1 этаж, двускатная кровля, №15</v>
      </c>
      <c r="B692" s="2671" t="str">
        <f>дома!B587</f>
        <v>м.п.</v>
      </c>
      <c r="C692" s="2672">
        <f>дома!C587</f>
        <v>0.4</v>
      </c>
      <c r="D692" s="2672">
        <f>дома!D587</f>
        <v>0.05</v>
      </c>
      <c r="E692" s="2672">
        <f>дома!E587</f>
        <v>1</v>
      </c>
      <c r="F692" s="2672">
        <f>дома!F587</f>
        <v>2</v>
      </c>
      <c r="G692" s="2672">
        <f>E692*F692*IF('Ввод данных'!$A$8=связи1!$A$150,1,0)</f>
        <v>0</v>
      </c>
      <c r="H692" s="2672">
        <f>дома!G587*IF('Ввод данных'!$A$8=связи1!$A$150,1,0)</f>
        <v>0</v>
      </c>
    </row>
    <row r="693" spans="1:8">
      <c r="A693" s="2670" t="str">
        <f>дома!A588</f>
        <v>Стойка каркаса по фронтону, 1 этаж, двускатная кровля, №16</v>
      </c>
      <c r="B693" s="2671" t="str">
        <f>дома!B588</f>
        <v>м.п.</v>
      </c>
      <c r="C693" s="2672">
        <f>дома!C588</f>
        <v>0.4</v>
      </c>
      <c r="D693" s="2672">
        <f>дома!D588</f>
        <v>0.05</v>
      </c>
      <c r="E693" s="2672">
        <f>дома!E588</f>
        <v>1</v>
      </c>
      <c r="F693" s="2672">
        <f>дома!F588</f>
        <v>2</v>
      </c>
      <c r="G693" s="2672">
        <f>E693*F693*IF('Ввод данных'!$A$8=связи1!$A$150,1,0)</f>
        <v>0</v>
      </c>
      <c r="H693" s="2672">
        <f>дома!G588*IF('Ввод данных'!$A$8=связи1!$A$150,1,0)</f>
        <v>0</v>
      </c>
    </row>
    <row r="694" spans="1:8">
      <c r="A694" s="2670" t="str">
        <f>дома!A589</f>
        <v>Стойка каркаса по фронтону, 1 этаж, двускатная кровля, №17</v>
      </c>
      <c r="B694" s="2671" t="str">
        <f>дома!B589</f>
        <v>м.п.</v>
      </c>
      <c r="C694" s="2672">
        <f>дома!C589</f>
        <v>0.4</v>
      </c>
      <c r="D694" s="2672">
        <f>дома!D589</f>
        <v>0.05</v>
      </c>
      <c r="E694" s="2672">
        <f>дома!E589</f>
        <v>1</v>
      </c>
      <c r="F694" s="2672">
        <f>дома!F589</f>
        <v>2</v>
      </c>
      <c r="G694" s="2672">
        <f>E694*F694*IF('Ввод данных'!$A$8=связи1!$A$150,1,0)</f>
        <v>0</v>
      </c>
      <c r="H694" s="2672">
        <f>дома!G589*IF('Ввод данных'!$A$8=связи1!$A$150,1,0)</f>
        <v>0</v>
      </c>
    </row>
    <row r="695" spans="1:8" ht="21">
      <c r="A695" s="3266" t="s">
        <v>4176</v>
      </c>
      <c r="B695" s="3266"/>
      <c r="C695" s="3266"/>
      <c r="D695" s="3266"/>
      <c r="E695" s="3266"/>
      <c r="F695" s="3266"/>
      <c r="G695" s="2675">
        <f>E695*F695</f>
        <v>0</v>
      </c>
      <c r="H695" s="2675">
        <f>SUM(H696:H735)</f>
        <v>0</v>
      </c>
    </row>
    <row r="696" spans="1:8">
      <c r="A696" s="2670" t="str">
        <f>дома!A1012</f>
        <v>Стойки каркаса передняя стена, 2 эт</v>
      </c>
      <c r="B696" s="2671" t="str">
        <f>дома!B1012</f>
        <v>м.п.</v>
      </c>
      <c r="C696" s="2672">
        <f>дома!C1012</f>
        <v>0.4</v>
      </c>
      <c r="D696" s="2672">
        <f>дома!D1012</f>
        <v>0.05</v>
      </c>
      <c r="E696" s="2672">
        <f>дома!E1012</f>
        <v>0</v>
      </c>
      <c r="F696" s="2672">
        <f>дома!F1012</f>
        <v>0</v>
      </c>
      <c r="G696" s="2672">
        <f>E696*F696*(IF('Ввод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96" s="2672">
        <f>дома!G1012*(IF('Ввод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97" spans="1:8">
      <c r="A697" s="2670" t="str">
        <f>дома!A1013</f>
        <v>Стойки каркаса , левая стена, 2 эт</v>
      </c>
      <c r="B697" s="2671" t="str">
        <f>дома!B1013</f>
        <v>м.п.</v>
      </c>
      <c r="C697" s="2672">
        <f>дома!C1013</f>
        <v>0.4</v>
      </c>
      <c r="D697" s="2672">
        <f>дома!D1013</f>
        <v>0.05</v>
      </c>
      <c r="E697" s="2672">
        <f>дома!E1013</f>
        <v>0</v>
      </c>
      <c r="F697" s="2672">
        <f>дома!F1013</f>
        <v>0</v>
      </c>
      <c r="G697" s="2672">
        <f>E697*F697*(IF('Ввод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97" s="2672">
        <f>дома!G1013*(IF('Ввод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98" spans="1:8">
      <c r="A698" s="2670" t="str">
        <f>дома!A1014</f>
        <v>Стойки каркаса , правая стена, 2 эт</v>
      </c>
      <c r="B698" s="2671" t="str">
        <f>дома!B1014</f>
        <v>м.п.</v>
      </c>
      <c r="C698" s="2672">
        <f>дома!C1014</f>
        <v>0.4</v>
      </c>
      <c r="D698" s="2672">
        <f>дома!D1014</f>
        <v>0.05</v>
      </c>
      <c r="E698" s="2672">
        <f>дома!E1014</f>
        <v>0</v>
      </c>
      <c r="F698" s="2672">
        <f>дома!F1014</f>
        <v>0</v>
      </c>
      <c r="G698" s="2672">
        <f>E698*F698*(IF('Ввод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98" s="2672">
        <f>дома!G1014*(IF('Ввод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99" spans="1:8">
      <c r="A699" s="2670" t="str">
        <f>дома!A1015</f>
        <v>Обвязка каркаса верхняя/нижняя наружние стены 2 эт</v>
      </c>
      <c r="B699" s="2671" t="str">
        <f>дома!B1015</f>
        <v>м.п.</v>
      </c>
      <c r="C699" s="2672">
        <f>дома!C1015</f>
        <v>0.4</v>
      </c>
      <c r="D699" s="2672">
        <f>дома!D1015</f>
        <v>0.05</v>
      </c>
      <c r="E699" s="2672">
        <f>дома!E1015</f>
        <v>1</v>
      </c>
      <c r="F699" s="2672">
        <f>дома!F1015</f>
        <v>0</v>
      </c>
      <c r="G699" s="2672">
        <f>E699*F699*(IF('Ввод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99" s="2672">
        <f>дома!G1015*(IF('Ввод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0" spans="1:8">
      <c r="A700" s="2670" t="str">
        <f>дома!A1016</f>
        <v>Ригель каркаса наружние стены 2 эт</v>
      </c>
      <c r="B700" s="2671" t="str">
        <f>дома!B1016</f>
        <v>м.п.</v>
      </c>
      <c r="C700" s="2672">
        <f>дома!C1016</f>
        <v>0.4</v>
      </c>
      <c r="D700" s="2672">
        <f>дома!D1016</f>
        <v>0.05</v>
      </c>
      <c r="E700" s="2672">
        <f>дома!E1016</f>
        <v>1</v>
      </c>
      <c r="F700" s="2672">
        <f>дома!F1016</f>
        <v>0</v>
      </c>
      <c r="G700" s="2672">
        <f>E700*F700*(IF('Ввод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0" s="2672">
        <f>дома!G1016*(IF('Ввод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1" spans="1:8">
      <c r="A701" s="2670" t="str">
        <f>дома!A1017</f>
        <v>Укосина наружних стен, усиление 2 этаж</v>
      </c>
      <c r="B701" s="2671" t="str">
        <f>дома!B1017</f>
        <v>м.п.</v>
      </c>
      <c r="C701" s="2672">
        <f>дома!C1017</f>
        <v>0.4</v>
      </c>
      <c r="D701" s="2672">
        <f>дома!D1017</f>
        <v>0.05</v>
      </c>
      <c r="E701" s="2672">
        <f>дома!E1017</f>
        <v>1.5</v>
      </c>
      <c r="F701" s="2672">
        <f>дома!F1017</f>
        <v>0</v>
      </c>
      <c r="G701" s="2672">
        <f>E701*F701*(IF('Ввод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1" s="2672">
        <f>дома!G1017*(IF('Ввод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2" spans="1:8">
      <c r="A702" s="2670" t="str">
        <f>дома!A1018</f>
        <v>Стойка каркаса по фронтону, 2 этаж, односкатная кровля, №1</v>
      </c>
      <c r="B702" s="2671" t="str">
        <f>дома!B1018</f>
        <v>м.п.</v>
      </c>
      <c r="C702" s="2672">
        <f>дома!C1018</f>
        <v>0.4</v>
      </c>
      <c r="D702" s="2672">
        <f>дома!D1018</f>
        <v>0.05</v>
      </c>
      <c r="E702" s="2672">
        <f>дома!E1018</f>
        <v>0</v>
      </c>
      <c r="F702" s="2672">
        <f>дома!F1018</f>
        <v>0</v>
      </c>
      <c r="G702" s="2672">
        <f>E702*F702*(IF('Ввод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2" s="2672">
        <f>дома!G1018*(IF('Ввод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3" spans="1:8">
      <c r="A703" s="2670" t="str">
        <f>дома!A1019</f>
        <v>Стойка каркаса по фронтону, 2 этаж, односкатная кровля, №2</v>
      </c>
      <c r="B703" s="2671" t="str">
        <f>дома!B1019</f>
        <v>м.п.</v>
      </c>
      <c r="C703" s="2672">
        <f>дома!C1019</f>
        <v>0.4</v>
      </c>
      <c r="D703" s="2672">
        <f>дома!D1019</f>
        <v>0.05</v>
      </c>
      <c r="E703" s="2672">
        <f>дома!E1019</f>
        <v>0</v>
      </c>
      <c r="F703" s="2672">
        <f>дома!F1019</f>
        <v>0</v>
      </c>
      <c r="G703" s="2672">
        <f>E703*F703*(IF('Ввод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3" s="2672">
        <f>дома!G1019*(IF('Ввод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4" spans="1:8">
      <c r="A704" s="2670" t="str">
        <f>дома!A1020</f>
        <v>Стойка каркаса по фронтону, 2 этаж, односкатная кровля, №3</v>
      </c>
      <c r="B704" s="2671" t="str">
        <f>дома!B1020</f>
        <v>м.п.</v>
      </c>
      <c r="C704" s="2672">
        <f>дома!C1020</f>
        <v>0.4</v>
      </c>
      <c r="D704" s="2672">
        <f>дома!D1020</f>
        <v>0.05</v>
      </c>
      <c r="E704" s="2672">
        <f>дома!E1020</f>
        <v>0</v>
      </c>
      <c r="F704" s="2672">
        <f>дома!F1020</f>
        <v>0</v>
      </c>
      <c r="G704" s="2672">
        <f>E704*F704*(IF('Ввод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4" s="2672">
        <f>дома!G1020*(IF('Ввод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5" spans="1:8">
      <c r="A705" s="2670" t="str">
        <f>дома!A1021</f>
        <v>Стойка каркаса по фронтону, 2 этаж, односкатная кровля, №4</v>
      </c>
      <c r="B705" s="2671" t="str">
        <f>дома!B1021</f>
        <v>м.п.</v>
      </c>
      <c r="C705" s="2672">
        <f>дома!C1021</f>
        <v>0.4</v>
      </c>
      <c r="D705" s="2672">
        <f>дома!D1021</f>
        <v>0.05</v>
      </c>
      <c r="E705" s="2672">
        <f>дома!E1021</f>
        <v>0</v>
      </c>
      <c r="F705" s="2672">
        <f>дома!F1021</f>
        <v>0</v>
      </c>
      <c r="G705" s="2672">
        <f>E705*F705*(IF('Ввод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5" s="2672">
        <f>дома!G1021*(IF('Ввод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6" spans="1:8">
      <c r="A706" s="2670" t="str">
        <f>дома!A1022</f>
        <v>Стойка каркаса по фронтону, 2 этаж, односкатная кровля, №5</v>
      </c>
      <c r="B706" s="2671" t="str">
        <f>дома!B1022</f>
        <v>м.п.</v>
      </c>
      <c r="C706" s="2672">
        <f>дома!C1022</f>
        <v>0.4</v>
      </c>
      <c r="D706" s="2672">
        <f>дома!D1022</f>
        <v>0.05</v>
      </c>
      <c r="E706" s="2672">
        <f>дома!E1022</f>
        <v>0</v>
      </c>
      <c r="F706" s="2672">
        <f>дома!F1022</f>
        <v>0</v>
      </c>
      <c r="G706" s="2672">
        <f>E706*F706*(IF('Ввод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6" s="2672">
        <f>дома!G1022*(IF('Ввод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7" spans="1:8">
      <c r="A707" s="2670" t="str">
        <f>дома!A1023</f>
        <v>Стойка каркаса по фронтону, 2 этаж, односкатная кровля, №6</v>
      </c>
      <c r="B707" s="2671" t="str">
        <f>дома!B1023</f>
        <v>м.п.</v>
      </c>
      <c r="C707" s="2672">
        <f>дома!C1023</f>
        <v>0.4</v>
      </c>
      <c r="D707" s="2672">
        <f>дома!D1023</f>
        <v>0.05</v>
      </c>
      <c r="E707" s="2672">
        <f>дома!E1023</f>
        <v>0</v>
      </c>
      <c r="F707" s="2672">
        <f>дома!F1023</f>
        <v>0</v>
      </c>
      <c r="G707" s="2672">
        <f>E707*F707*(IF('Ввод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7" s="2672">
        <f>дома!G1023*(IF('Ввод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8" spans="1:8">
      <c r="A708" s="2670" t="str">
        <f>дома!A1024</f>
        <v>Стойка каркаса по фронтону, 2 этаж, односкатная кровля, №7</v>
      </c>
      <c r="B708" s="2671" t="str">
        <f>дома!B1024</f>
        <v>м.п.</v>
      </c>
      <c r="C708" s="2672">
        <f>дома!C1024</f>
        <v>0.4</v>
      </c>
      <c r="D708" s="2672">
        <f>дома!D1024</f>
        <v>0.05</v>
      </c>
      <c r="E708" s="2672">
        <f>дома!E1024</f>
        <v>0</v>
      </c>
      <c r="F708" s="2672">
        <f>дома!F1024</f>
        <v>0</v>
      </c>
      <c r="G708" s="2672">
        <f>E708*F708*(IF('Ввод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8" s="2672">
        <f>дома!G1024*(IF('Ввод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9" spans="1:8">
      <c r="A709" s="2670" t="str">
        <f>дома!A1025</f>
        <v>Стойка каркаса по фронтону, 2 этаж, односкатная кровля, №8</v>
      </c>
      <c r="B709" s="2671" t="str">
        <f>дома!B1025</f>
        <v>м.п.</v>
      </c>
      <c r="C709" s="2672">
        <f>дома!C1025</f>
        <v>0.4</v>
      </c>
      <c r="D709" s="2672">
        <f>дома!D1025</f>
        <v>0.05</v>
      </c>
      <c r="E709" s="2672">
        <f>дома!E1025</f>
        <v>0</v>
      </c>
      <c r="F709" s="2672">
        <f>дома!F1025</f>
        <v>0</v>
      </c>
      <c r="G709" s="2672">
        <f>E709*F709*(IF('Ввод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9" s="2672">
        <f>дома!G1025*(IF('Ввод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0" spans="1:8">
      <c r="A710" s="2670" t="str">
        <f>дома!A1026</f>
        <v>Стойка каркаса по фронтону, 2 этаж, односкатная кровля, №9</v>
      </c>
      <c r="B710" s="2671" t="str">
        <f>дома!B1026</f>
        <v>м.п.</v>
      </c>
      <c r="C710" s="2672">
        <f>дома!C1026</f>
        <v>0.4</v>
      </c>
      <c r="D710" s="2672">
        <f>дома!D1026</f>
        <v>0.05</v>
      </c>
      <c r="E710" s="2672">
        <f>дома!E1026</f>
        <v>0</v>
      </c>
      <c r="F710" s="2672">
        <f>дома!F1026</f>
        <v>0</v>
      </c>
      <c r="G710" s="2672">
        <f>E710*F710*(IF('Ввод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0" s="2672">
        <f>дома!G1026*(IF('Ввод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1" spans="1:8">
      <c r="A711" s="2670" t="str">
        <f>дома!A1027</f>
        <v>Стойка каркаса по фронтону, 2 этаж, односкатная кровля, №10</v>
      </c>
      <c r="B711" s="2671" t="str">
        <f>дома!B1027</f>
        <v>м.п.</v>
      </c>
      <c r="C711" s="2672">
        <f>дома!C1027</f>
        <v>0.4</v>
      </c>
      <c r="D711" s="2672">
        <f>дома!D1027</f>
        <v>0.05</v>
      </c>
      <c r="E711" s="2672">
        <f>дома!E1027</f>
        <v>0</v>
      </c>
      <c r="F711" s="2672">
        <f>дома!F1027</f>
        <v>0</v>
      </c>
      <c r="G711" s="2672">
        <f>E711*F711*(IF('Ввод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1" s="2672">
        <f>дома!G1027*(IF('Ввод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2" spans="1:8">
      <c r="A712" s="2670" t="str">
        <f>дома!A1028</f>
        <v>Стойка каркаса по фронтону, 2 этаж, односкатная кровля, №11</v>
      </c>
      <c r="B712" s="2671" t="str">
        <f>дома!B1028</f>
        <v>м.п.</v>
      </c>
      <c r="C712" s="2672">
        <f>дома!C1028</f>
        <v>0.4</v>
      </c>
      <c r="D712" s="2672">
        <f>дома!D1028</f>
        <v>0.05</v>
      </c>
      <c r="E712" s="2672">
        <f>дома!E1028</f>
        <v>0</v>
      </c>
      <c r="F712" s="2672">
        <f>дома!F1028</f>
        <v>0</v>
      </c>
      <c r="G712" s="2672">
        <f>E712*F712*(IF('Ввод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2" s="2672">
        <f>дома!G1028*(IF('Ввод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3" spans="1:8">
      <c r="A713" s="2670" t="str">
        <f>дома!A1029</f>
        <v>Стойка каркаса по фронтону, 2 этаж, односкатная кровля, №12</v>
      </c>
      <c r="B713" s="2671" t="str">
        <f>дома!B1029</f>
        <v>м.п.</v>
      </c>
      <c r="C713" s="2672">
        <f>дома!C1029</f>
        <v>0.4</v>
      </c>
      <c r="D713" s="2672">
        <f>дома!D1029</f>
        <v>0.05</v>
      </c>
      <c r="E713" s="2672">
        <f>дома!E1029</f>
        <v>0</v>
      </c>
      <c r="F713" s="2672">
        <f>дома!F1029</f>
        <v>0</v>
      </c>
      <c r="G713" s="2672">
        <f>E713*F713*(IF('Ввод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3" s="2672">
        <f>дома!G1029*(IF('Ввод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4" spans="1:8">
      <c r="A714" s="2670" t="str">
        <f>дома!A1030</f>
        <v>Стойка каркаса по фронтону, 2 этаж, односкатная кровля, №13</v>
      </c>
      <c r="B714" s="2671" t="str">
        <f>дома!B1030</f>
        <v>м.п.</v>
      </c>
      <c r="C714" s="2672">
        <f>дома!C1030</f>
        <v>0.4</v>
      </c>
      <c r="D714" s="2672">
        <f>дома!D1030</f>
        <v>0.05</v>
      </c>
      <c r="E714" s="2672">
        <f>дома!E1030</f>
        <v>0</v>
      </c>
      <c r="F714" s="2672">
        <f>дома!F1030</f>
        <v>0</v>
      </c>
      <c r="G714" s="2672">
        <f>E714*F714*(IF('Ввод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4" s="2672">
        <f>дома!G1030*(IF('Ввод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5" spans="1:8">
      <c r="A715" s="2670" t="str">
        <f>дома!A1031</f>
        <v>Стойка каркаса по фронтону, 2 этаж, односкатная кровля, №14</v>
      </c>
      <c r="B715" s="2671" t="str">
        <f>дома!B1031</f>
        <v>м.п.</v>
      </c>
      <c r="C715" s="2672">
        <f>дома!C1031</f>
        <v>0.4</v>
      </c>
      <c r="D715" s="2672">
        <f>дома!D1031</f>
        <v>0.05</v>
      </c>
      <c r="E715" s="2672">
        <f>дома!E1031</f>
        <v>0</v>
      </c>
      <c r="F715" s="2672">
        <f>дома!F1031</f>
        <v>0</v>
      </c>
      <c r="G715" s="2672">
        <f>E715*F715*(IF('Ввод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5" s="2672">
        <f>дома!G1031*(IF('Ввод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6" spans="1:8">
      <c r="A716" s="2670" t="str">
        <f>дома!A1032</f>
        <v>Стойка каркаса по фронтону, 2 этаж, односкатная кровля, №15</v>
      </c>
      <c r="B716" s="2671" t="str">
        <f>дома!B1032</f>
        <v>м.п.</v>
      </c>
      <c r="C716" s="2672">
        <f>дома!C1032</f>
        <v>0.4</v>
      </c>
      <c r="D716" s="2672">
        <f>дома!D1032</f>
        <v>0.05</v>
      </c>
      <c r="E716" s="2672">
        <f>дома!E1032</f>
        <v>0</v>
      </c>
      <c r="F716" s="2672">
        <f>дома!F1032</f>
        <v>0</v>
      </c>
      <c r="G716" s="2672">
        <f>E716*F716*(IF('Ввод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6" s="2672">
        <f>дома!G1032*(IF('Ввод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7" spans="1:8">
      <c r="A717" s="2670" t="str">
        <f>дома!A1033</f>
        <v>Стойка каркаса по фронтону, 2 этаж, односкатная кровля, №16</v>
      </c>
      <c r="B717" s="2671" t="str">
        <f>дома!B1033</f>
        <v>м.п.</v>
      </c>
      <c r="C717" s="2672">
        <f>дома!C1033</f>
        <v>0.4</v>
      </c>
      <c r="D717" s="2672">
        <f>дома!D1033</f>
        <v>0.05</v>
      </c>
      <c r="E717" s="2672">
        <f>дома!E1033</f>
        <v>0</v>
      </c>
      <c r="F717" s="2672">
        <f>дома!F1033</f>
        <v>0</v>
      </c>
      <c r="G717" s="2672">
        <f>E717*F717*(IF('Ввод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7" s="2672">
        <f>дома!G1033*(IF('Ввод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8" spans="1:8">
      <c r="A718" s="2670" t="str">
        <f>дома!A1034</f>
        <v>Стойка каркаса по фронтону, 2 этаж, односкатная кровля, №17</v>
      </c>
      <c r="B718" s="2671" t="str">
        <f>дома!B1034</f>
        <v>м.п.</v>
      </c>
      <c r="C718" s="2672">
        <f>дома!C1034</f>
        <v>0.4</v>
      </c>
      <c r="D718" s="2672">
        <f>дома!D1034</f>
        <v>0.05</v>
      </c>
      <c r="E718" s="2672">
        <f>дома!E1034</f>
        <v>0</v>
      </c>
      <c r="F718" s="2672">
        <f>дома!F1034</f>
        <v>0</v>
      </c>
      <c r="G718" s="2672">
        <f>E718*F718*(IF('Ввод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8" s="2672">
        <f>дома!G1034*(IF('Ввод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9" spans="1:8">
      <c r="A719" s="2670" t="str">
        <f>дома!A1035</f>
        <v>Стойка каркаса по фронтону, 2 этаж, двускатная кровля, №1</v>
      </c>
      <c r="B719" s="2671" t="str">
        <f>дома!B1035</f>
        <v>м.п.</v>
      </c>
      <c r="C719" s="2672">
        <f>дома!C1035</f>
        <v>0.4</v>
      </c>
      <c r="D719" s="2672">
        <f>дома!D1035</f>
        <v>0.05</v>
      </c>
      <c r="E719" s="2672">
        <f>дома!E1035</f>
        <v>0</v>
      </c>
      <c r="F719" s="2672">
        <f>дома!F1035</f>
        <v>0</v>
      </c>
      <c r="G719" s="2672">
        <f>E719*F719*(IF('Ввод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9" s="2672">
        <f>дома!G1035*(IF('Ввод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0" spans="1:8">
      <c r="A720" s="2670" t="str">
        <f>дома!A1036</f>
        <v>Стойка каркаса по фронтону, 2 этаж, двускатная кровля, №2</v>
      </c>
      <c r="B720" s="2671" t="str">
        <f>дома!B1036</f>
        <v>м.п.</v>
      </c>
      <c r="C720" s="2672">
        <f>дома!C1036</f>
        <v>0.4</v>
      </c>
      <c r="D720" s="2672">
        <f>дома!D1036</f>
        <v>0.05</v>
      </c>
      <c r="E720" s="2672">
        <f>дома!E1036</f>
        <v>0</v>
      </c>
      <c r="F720" s="2672">
        <f>дома!F1036</f>
        <v>0</v>
      </c>
      <c r="G720" s="2672">
        <f>E720*F720*(IF('Ввод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0" s="2672">
        <f>дома!G1036*(IF('Ввод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1" spans="1:8">
      <c r="A721" s="2670" t="str">
        <f>дома!A1037</f>
        <v>Стойка каркаса по фронтону, 2 этаж, двускатная кровля, №3</v>
      </c>
      <c r="B721" s="2671" t="str">
        <f>дома!B1037</f>
        <v>м.п.</v>
      </c>
      <c r="C721" s="2672">
        <f>дома!C1037</f>
        <v>0.4</v>
      </c>
      <c r="D721" s="2672">
        <f>дома!D1037</f>
        <v>0.05</v>
      </c>
      <c r="E721" s="2672">
        <f>дома!E1037</f>
        <v>0</v>
      </c>
      <c r="F721" s="2672">
        <f>дома!F1037</f>
        <v>0</v>
      </c>
      <c r="G721" s="2672">
        <f>E721*F721*(IF('Ввод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1" s="2672">
        <f>дома!G1037*(IF('Ввод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2" spans="1:8">
      <c r="A722" s="2670" t="str">
        <f>дома!A1038</f>
        <v>Стойка каркаса по фронтону, 2 этаж, двускатная кровля, №4</v>
      </c>
      <c r="B722" s="2671" t="str">
        <f>дома!B1038</f>
        <v>м.п.</v>
      </c>
      <c r="C722" s="2672">
        <f>дома!C1038</f>
        <v>0.4</v>
      </c>
      <c r="D722" s="2672">
        <f>дома!D1038</f>
        <v>0.05</v>
      </c>
      <c r="E722" s="2672">
        <f>дома!E1038</f>
        <v>0</v>
      </c>
      <c r="F722" s="2672">
        <f>дома!F1038</f>
        <v>0</v>
      </c>
      <c r="G722" s="2672">
        <f>E722*F722*(IF('Ввод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2" s="2672">
        <f>дома!G1038*(IF('Ввод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3" spans="1:8">
      <c r="A723" s="2670" t="str">
        <f>дома!A1039</f>
        <v>Стойка каркаса по фронтону, 2 этаж, двускатная кровля, №5</v>
      </c>
      <c r="B723" s="2671" t="str">
        <f>дома!B1039</f>
        <v>м.п.</v>
      </c>
      <c r="C723" s="2672">
        <f>дома!C1039</f>
        <v>0.4</v>
      </c>
      <c r="D723" s="2672">
        <f>дома!D1039</f>
        <v>0.05</v>
      </c>
      <c r="E723" s="2672">
        <f>дома!E1039</f>
        <v>0</v>
      </c>
      <c r="F723" s="2672">
        <f>дома!F1039</f>
        <v>0</v>
      </c>
      <c r="G723" s="2672">
        <f>E723*F723*(IF('Ввод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3" s="2672">
        <f>дома!G1039*(IF('Ввод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4" spans="1:8">
      <c r="A724" s="2670" t="str">
        <f>дома!A1040</f>
        <v>Стойка каркаса по фронтону, 2 этаж, двускатная кровля, №6</v>
      </c>
      <c r="B724" s="2671" t="str">
        <f>дома!B1040</f>
        <v>м.п.</v>
      </c>
      <c r="C724" s="2672">
        <f>дома!C1040</f>
        <v>0.4</v>
      </c>
      <c r="D724" s="2672">
        <f>дома!D1040</f>
        <v>0.05</v>
      </c>
      <c r="E724" s="2672">
        <f>дома!E1040</f>
        <v>0</v>
      </c>
      <c r="F724" s="2672">
        <f>дома!F1040</f>
        <v>0</v>
      </c>
      <c r="G724" s="2672">
        <f>E724*F724*(IF('Ввод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4" s="2672">
        <f>дома!G1040*(IF('Ввод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5" spans="1:8">
      <c r="A725" s="2670" t="str">
        <f>дома!A1041</f>
        <v>Стойка каркаса по фронтону, 2 этаж, двускатная кровля, №7</v>
      </c>
      <c r="B725" s="2671" t="str">
        <f>дома!B1041</f>
        <v>м.п.</v>
      </c>
      <c r="C725" s="2672">
        <f>дома!C1041</f>
        <v>0.4</v>
      </c>
      <c r="D725" s="2672">
        <f>дома!D1041</f>
        <v>0.05</v>
      </c>
      <c r="E725" s="2672">
        <f>дома!E1041</f>
        <v>0</v>
      </c>
      <c r="F725" s="2672">
        <f>дома!F1041</f>
        <v>0</v>
      </c>
      <c r="G725" s="2672">
        <f>E725*F725*(IF('Ввод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5" s="2672">
        <f>дома!G1041*(IF('Ввод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6" spans="1:8">
      <c r="A726" s="2670" t="str">
        <f>дома!A1042</f>
        <v>Стойка каркаса по фронтону, 2 этаж, двускатная кровля, №8</v>
      </c>
      <c r="B726" s="2671" t="str">
        <f>дома!B1042</f>
        <v>м.п.</v>
      </c>
      <c r="C726" s="2672">
        <f>дома!C1042</f>
        <v>0.4</v>
      </c>
      <c r="D726" s="2672">
        <f>дома!D1042</f>
        <v>0.05</v>
      </c>
      <c r="E726" s="2672">
        <f>дома!E1042</f>
        <v>0</v>
      </c>
      <c r="F726" s="2672">
        <f>дома!F1042</f>
        <v>0</v>
      </c>
      <c r="G726" s="2672">
        <f>E726*F726*(IF('Ввод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6" s="2672">
        <f>дома!G1042*(IF('Ввод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7" spans="1:8">
      <c r="A727" s="2670" t="str">
        <f>дома!A1043</f>
        <v>Стойка каркаса по фронтону, 2 этаж, двускатная кровля, №9</v>
      </c>
      <c r="B727" s="2671" t="str">
        <f>дома!B1043</f>
        <v>м.п.</v>
      </c>
      <c r="C727" s="2672">
        <f>дома!C1043</f>
        <v>0.4</v>
      </c>
      <c r="D727" s="2672">
        <f>дома!D1043</f>
        <v>0.05</v>
      </c>
      <c r="E727" s="2672">
        <f>дома!E1043</f>
        <v>0</v>
      </c>
      <c r="F727" s="2672">
        <f>дома!F1043</f>
        <v>0</v>
      </c>
      <c r="G727" s="2672">
        <f>E727*F727*(IF('Ввод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7" s="2672">
        <f>дома!G1043*(IF('Ввод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8" spans="1:8">
      <c r="A728" s="2670" t="str">
        <f>дома!A1044</f>
        <v>Стойка каркаса по фронтону, 2 этаж, двускатная кровля, №10</v>
      </c>
      <c r="B728" s="2671" t="str">
        <f>дома!B1044</f>
        <v>м.п.</v>
      </c>
      <c r="C728" s="2672">
        <f>дома!C1044</f>
        <v>0.4</v>
      </c>
      <c r="D728" s="2672">
        <f>дома!D1044</f>
        <v>0.05</v>
      </c>
      <c r="E728" s="2672">
        <f>дома!E1044</f>
        <v>0</v>
      </c>
      <c r="F728" s="2672">
        <f>дома!F1044</f>
        <v>0</v>
      </c>
      <c r="G728" s="2672">
        <f>E728*F728*(IF('Ввод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8" s="2672">
        <f>дома!G1044*(IF('Ввод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9" spans="1:8">
      <c r="A729" s="2670" t="str">
        <f>дома!A1045</f>
        <v>Стойка каркаса по фронтону, 2 этаж, двускатная кровля, №11</v>
      </c>
      <c r="B729" s="2671" t="str">
        <f>дома!B1045</f>
        <v>м.п.</v>
      </c>
      <c r="C729" s="2672">
        <f>дома!C1045</f>
        <v>0.4</v>
      </c>
      <c r="D729" s="2672">
        <f>дома!D1045</f>
        <v>0.05</v>
      </c>
      <c r="E729" s="2672">
        <f>дома!E1045</f>
        <v>0</v>
      </c>
      <c r="F729" s="2672">
        <f>дома!F1045</f>
        <v>0</v>
      </c>
      <c r="G729" s="2672">
        <f>E729*F729*(IF('Ввод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9" s="2672">
        <f>дома!G1045*(IF('Ввод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0" spans="1:8">
      <c r="A730" s="2670" t="str">
        <f>дома!A1046</f>
        <v>Стойка каркаса по фронтону, 2 этаж, двускатная кровля, №12</v>
      </c>
      <c r="B730" s="2671" t="str">
        <f>дома!B1046</f>
        <v>м.п.</v>
      </c>
      <c r="C730" s="2672">
        <f>дома!C1046</f>
        <v>0.4</v>
      </c>
      <c r="D730" s="2672">
        <f>дома!D1046</f>
        <v>0.05</v>
      </c>
      <c r="E730" s="2672">
        <f>дома!E1046</f>
        <v>0</v>
      </c>
      <c r="F730" s="2672">
        <f>дома!F1046</f>
        <v>0</v>
      </c>
      <c r="G730" s="2672">
        <f>E730*F730*(IF('Ввод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0" s="2672">
        <f>дома!G1046*(IF('Ввод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1" spans="1:8">
      <c r="A731" s="2670" t="str">
        <f>дома!A1047</f>
        <v>Стойка каркаса по фронтону, 2 этаж, двускатная кровля, №13</v>
      </c>
      <c r="B731" s="2671" t="str">
        <f>дома!B1047</f>
        <v>м.п.</v>
      </c>
      <c r="C731" s="2672">
        <f>дома!C1047</f>
        <v>0.4</v>
      </c>
      <c r="D731" s="2672">
        <f>дома!D1047</f>
        <v>0.05</v>
      </c>
      <c r="E731" s="2672">
        <f>дома!E1047</f>
        <v>0</v>
      </c>
      <c r="F731" s="2672">
        <f>дома!F1047</f>
        <v>0</v>
      </c>
      <c r="G731" s="2672">
        <f>E731*F731*(IF('Ввод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1" s="2672">
        <f>дома!G1047*(IF('Ввод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2" spans="1:8">
      <c r="A732" s="2670" t="str">
        <f>дома!A1048</f>
        <v>Стойка каркаса по фронтону, 2 этаж, двускатная кровля, №14</v>
      </c>
      <c r="B732" s="2671" t="str">
        <f>дома!B1048</f>
        <v>м.п.</v>
      </c>
      <c r="C732" s="2672">
        <f>дома!C1048</f>
        <v>0.4</v>
      </c>
      <c r="D732" s="2672">
        <f>дома!D1048</f>
        <v>0.05</v>
      </c>
      <c r="E732" s="2672">
        <f>дома!E1048</f>
        <v>0</v>
      </c>
      <c r="F732" s="2672">
        <f>дома!F1048</f>
        <v>0</v>
      </c>
      <c r="G732" s="2672">
        <f>E732*F732*(IF('Ввод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2" s="2672">
        <f>дома!G1048*(IF('Ввод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3" spans="1:8">
      <c r="A733" s="2670" t="str">
        <f>дома!A1049</f>
        <v>Стойка каркаса по фронтону, 2 этаж, двускатная кровля, №15</v>
      </c>
      <c r="B733" s="2671" t="str">
        <f>дома!B1049</f>
        <v>м.п.</v>
      </c>
      <c r="C733" s="2672">
        <f>дома!C1049</f>
        <v>0.4</v>
      </c>
      <c r="D733" s="2672">
        <f>дома!D1049</f>
        <v>0.05</v>
      </c>
      <c r="E733" s="2672">
        <f>дома!E1049</f>
        <v>0</v>
      </c>
      <c r="F733" s="2672">
        <f>дома!F1049</f>
        <v>0</v>
      </c>
      <c r="G733" s="2672">
        <f>E733*F733*(IF('Ввод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3" s="2672">
        <f>дома!G1049*(IF('Ввод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4" spans="1:8">
      <c r="A734" s="2670" t="str">
        <f>дома!A1050</f>
        <v>Стойка каркаса по фронтону, 2 этаж, двускатная кровля, №16</v>
      </c>
      <c r="B734" s="2671" t="str">
        <f>дома!B1050</f>
        <v>м.п.</v>
      </c>
      <c r="C734" s="2672">
        <f>дома!C1050</f>
        <v>0.4</v>
      </c>
      <c r="D734" s="2672">
        <f>дома!D1050</f>
        <v>0.05</v>
      </c>
      <c r="E734" s="2672">
        <f>дома!E1050</f>
        <v>0</v>
      </c>
      <c r="F734" s="2672">
        <f>дома!F1050</f>
        <v>0</v>
      </c>
      <c r="G734" s="2672">
        <f>E734*F734*(IF('Ввод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4" s="2672">
        <f>дома!G1050*(IF('Ввод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5" spans="1:8">
      <c r="A735" s="2670" t="str">
        <f>дома!A1051</f>
        <v>Стойка каркаса по фронтону, 2 этаж, двускатная кровля, №17</v>
      </c>
      <c r="B735" s="2671" t="str">
        <f>дома!B1051</f>
        <v>м.п.</v>
      </c>
      <c r="C735" s="2672">
        <f>дома!C1051</f>
        <v>0.4</v>
      </c>
      <c r="D735" s="2672">
        <f>дома!D1051</f>
        <v>0.05</v>
      </c>
      <c r="E735" s="2672">
        <f>дома!E1051</f>
        <v>0</v>
      </c>
      <c r="F735" s="2672">
        <f>дома!F1051</f>
        <v>0</v>
      </c>
      <c r="G735" s="2672">
        <f>E735*F735*(IF('Ввод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5" s="2672">
        <f>дома!G1051*(IF('Ввод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6" spans="1:8" ht="21">
      <c r="A736" s="3267" t="s">
        <v>4177</v>
      </c>
      <c r="B736" s="3267"/>
      <c r="C736" s="3267"/>
      <c r="D736" s="3267"/>
      <c r="E736" s="3267"/>
      <c r="F736" s="3267"/>
      <c r="G736" s="2676"/>
      <c r="H736" s="2673">
        <f>SUM(H737:H739)</f>
        <v>0</v>
      </c>
    </row>
    <row r="737" spans="1:8">
      <c r="A737" s="2670" t="str">
        <f>дома!A591</f>
        <v>Стойка каркаса 1 этаж</v>
      </c>
      <c r="B737" s="2671" t="str">
        <f>дома!B591</f>
        <v>м.п.</v>
      </c>
      <c r="C737" s="2672">
        <f>дома!C591</f>
        <v>0.15</v>
      </c>
      <c r="D737" s="2672">
        <f>дома!D591</f>
        <v>0.05</v>
      </c>
      <c r="E737" s="2672">
        <f>дома!E591</f>
        <v>3.2</v>
      </c>
      <c r="F737" s="2672">
        <f>дома!F591</f>
        <v>0</v>
      </c>
      <c r="G737" s="2672">
        <f>E737*F737*IF('Ввод данных'!$A$8=связи1!$A$150,1,0)</f>
        <v>0</v>
      </c>
      <c r="H737" s="2672">
        <f>дома!G591*IF('Ввод данных'!$A$8=связи1!$A$150,1,0)</f>
        <v>0</v>
      </c>
    </row>
    <row r="738" spans="1:8">
      <c r="A738" s="2670" t="str">
        <f>дома!A592</f>
        <v>Обвязка нижняя/верхняя стен каркаса 1 этаж</v>
      </c>
      <c r="B738" s="2671" t="str">
        <f>дома!B592</f>
        <v>м.п.</v>
      </c>
      <c r="C738" s="2672">
        <f>дома!C592</f>
        <v>0.15</v>
      </c>
      <c r="D738" s="2672">
        <f>дома!D592</f>
        <v>0.05</v>
      </c>
      <c r="E738" s="2672">
        <f>дома!E592</f>
        <v>0</v>
      </c>
      <c r="F738" s="2672">
        <f>дома!F592</f>
        <v>0</v>
      </c>
      <c r="G738" s="2672">
        <f>E738*F738*IF('Ввод данных'!$A$8=связи1!$A$150,1,0)</f>
        <v>0</v>
      </c>
      <c r="H738" s="2672">
        <f>дома!G592*IF('Ввод данных'!$A$8=связи1!$A$150,1,0)</f>
        <v>0</v>
      </c>
    </row>
    <row r="739" spans="1:8">
      <c r="A739" s="2670" t="str">
        <f>дома!A593</f>
        <v>Ригель каркаса, 1 этаж</v>
      </c>
      <c r="B739" s="2671" t="str">
        <f>дома!B593</f>
        <v>м.п.</v>
      </c>
      <c r="C739" s="2672">
        <f>дома!C593</f>
        <v>0.15</v>
      </c>
      <c r="D739" s="2672">
        <f>дома!D593</f>
        <v>0.05</v>
      </c>
      <c r="E739" s="2672">
        <f>дома!E593</f>
        <v>0</v>
      </c>
      <c r="F739" s="2672">
        <f>дома!F593</f>
        <v>0</v>
      </c>
      <c r="G739" s="2672">
        <f>E739*F739*IF('Ввод данных'!$A$8=связи1!$A$150,1,0)</f>
        <v>0</v>
      </c>
      <c r="H739" s="2672">
        <f>дома!G593*IF('Ввод данных'!$A$8=связи1!$A$150,1,0)</f>
        <v>0</v>
      </c>
    </row>
    <row r="740" spans="1:8" ht="21">
      <c r="A740" s="3267" t="s">
        <v>4178</v>
      </c>
      <c r="B740" s="3267"/>
      <c r="C740" s="3267"/>
      <c r="D740" s="3267"/>
      <c r="E740" s="3267"/>
      <c r="F740" s="3267"/>
      <c r="G740" s="2677"/>
      <c r="H740" s="2678">
        <f>SUM(H741:H743)</f>
        <v>0</v>
      </c>
    </row>
    <row r="741" spans="1:8">
      <c r="A741" s="2670" t="str">
        <f>дома!A594</f>
        <v>Стойка каркаса 1 этаж</v>
      </c>
      <c r="B741" s="2671" t="str">
        <f>дома!B594</f>
        <v>м.п.</v>
      </c>
      <c r="C741" s="2670">
        <f>дома!C594</f>
        <v>0.15</v>
      </c>
      <c r="D741" s="2670">
        <f>дома!D594</f>
        <v>0.05</v>
      </c>
      <c r="E741" s="2670">
        <f>дома!E594</f>
        <v>3.2</v>
      </c>
      <c r="F741" s="2670">
        <f>дома!F594</f>
        <v>0</v>
      </c>
      <c r="G741" s="2672">
        <f>E741*F741*(IF('Ввод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41" s="2672">
        <f>дома!G594*(IF('Ввод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42" spans="1:8">
      <c r="A742" s="2670" t="str">
        <f>дома!A595</f>
        <v>Обвязка нижняя/верхняя стен каркаса 1 этаж</v>
      </c>
      <c r="B742" s="2671" t="str">
        <f>дома!B595</f>
        <v>м.п.</v>
      </c>
      <c r="C742" s="2670">
        <f>дома!C595</f>
        <v>0.15</v>
      </c>
      <c r="D742" s="2670">
        <f>дома!D595</f>
        <v>0.05</v>
      </c>
      <c r="E742" s="2670">
        <f>дома!E595</f>
        <v>0</v>
      </c>
      <c r="F742" s="2670">
        <f>дома!F595</f>
        <v>0</v>
      </c>
      <c r="G742" s="2672">
        <f>E742*F742*(IF('Ввод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42" s="2672">
        <f>дома!G595*(IF('Ввод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43" spans="1:8">
      <c r="A743" s="2670" t="str">
        <f>дома!A596</f>
        <v>Ригель каркаса, 1 этаж</v>
      </c>
      <c r="B743" s="2671" t="str">
        <f>дома!B596</f>
        <v>м.п.</v>
      </c>
      <c r="C743" s="2670">
        <f>дома!C596</f>
        <v>0.15</v>
      </c>
      <c r="D743" s="2670">
        <f>дома!D596</f>
        <v>0.05</v>
      </c>
      <c r="E743" s="2670">
        <f>дома!E596</f>
        <v>0</v>
      </c>
      <c r="F743" s="2670">
        <f>дома!F596</f>
        <v>0</v>
      </c>
      <c r="G743" s="2672">
        <f>E743*F743*(IF('Ввод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43" s="2672">
        <f>дома!G596*(IF('Ввод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44" spans="1:8" ht="32.25" customHeight="1">
      <c r="A744" s="2679" t="s">
        <v>1093</v>
      </c>
      <c r="B744" s="2680" t="s">
        <v>208</v>
      </c>
      <c r="C744" s="2680" t="s">
        <v>273</v>
      </c>
      <c r="D744" s="2680" t="s">
        <v>257</v>
      </c>
      <c r="E744" s="2681" t="s">
        <v>4179</v>
      </c>
      <c r="F744" s="2682" t="s">
        <v>4166</v>
      </c>
      <c r="G744" s="2682" t="s">
        <v>4180</v>
      </c>
      <c r="H744" s="2683">
        <f>SUM(H745:H747)</f>
        <v>0</v>
      </c>
    </row>
    <row r="745" spans="1:8" ht="16">
      <c r="A745" s="2670" t="s">
        <v>4181</v>
      </c>
      <c r="B745" s="2684" t="s">
        <v>4182</v>
      </c>
      <c r="C745" s="2422">
        <f>C6</f>
        <v>0.15</v>
      </c>
      <c r="D745" s="2422">
        <f>D6</f>
        <v>0.05</v>
      </c>
      <c r="E745" s="2422">
        <f>F745/6</f>
        <v>0</v>
      </c>
      <c r="F745" s="2672">
        <f>SUM(G6:G12)+SUM(G18:G202)+SUM(G211:G220)+SUM(G226:G399)+SUM(G409:G448)+SUM(G450:G489)+SUM(G491:G530)+SUM(G532:G571)+SUM(G573:G612)+SUM(G614:G653)+SUM(G655:G694)+SUM(G696:G735)+SUM(G737:G739)+SUM(G741:G743)</f>
        <v>0</v>
      </c>
      <c r="G745" s="2672">
        <f>SUM(H6:H12)+SUM(H18:H202)+SUM(H211:H220)+SUM(H226:H399)+SUM(H409:H448)+SUM(H450:H489)+SUM(H491:H530)+SUM(H532:H571)+SUM(H573:H612)+SUM(H614:H653)+SUM(H655:H694)+SUM(H696:H735)+SUM(H737:H739)+SUM(H741:H743)</f>
        <v>0</v>
      </c>
      <c r="H745" s="2683">
        <f>G745</f>
        <v>0</v>
      </c>
    </row>
    <row r="746" spans="1:8" ht="16">
      <c r="A746" s="2685" t="s">
        <v>4183</v>
      </c>
      <c r="B746" s="2684" t="s">
        <v>4182</v>
      </c>
      <c r="C746" s="2422">
        <f>C13</f>
        <v>0.12</v>
      </c>
      <c r="D746" s="2422">
        <f>D13</f>
        <v>0.05</v>
      </c>
      <c r="E746" s="2422">
        <f>F746/6</f>
        <v>0</v>
      </c>
      <c r="F746" s="2672">
        <f>SUM(G13:G15)+SUM(G221:G223)+SUM(G203:G209)+SUM(G400:G407)</f>
        <v>0</v>
      </c>
      <c r="G746" s="2422">
        <f>SUM(H13:H15)+SUM(H221:H223)+SUM(H203:H209)+SUM(H400:H407)</f>
        <v>0</v>
      </c>
      <c r="H746" s="2686">
        <f>G746</f>
        <v>0</v>
      </c>
    </row>
    <row r="747" spans="1:8" ht="16">
      <c r="A747" s="2685" t="s">
        <v>4184</v>
      </c>
      <c r="B747" s="2684" t="s">
        <v>4182</v>
      </c>
      <c r="C747" s="2422">
        <f>C16</f>
        <v>0.17</v>
      </c>
      <c r="D747" s="2422">
        <f>D16</f>
        <v>0.05</v>
      </c>
      <c r="E747" s="2422">
        <f>F747/6</f>
        <v>0</v>
      </c>
      <c r="F747" s="2672">
        <f>SUM(G16:G17)+SUM(G224:G225)</f>
        <v>0</v>
      </c>
      <c r="G747" s="2422">
        <f>SUM(H16:H17)+SUM(H224:H225)</f>
        <v>0</v>
      </c>
      <c r="H747" s="2686">
        <f>G747</f>
        <v>0</v>
      </c>
    </row>
    <row r="748" spans="1:8" ht="21">
      <c r="A748" s="3266" t="s">
        <v>4185</v>
      </c>
      <c r="B748" s="3266"/>
      <c r="C748" s="3266"/>
      <c r="D748" s="3266"/>
      <c r="E748" s="3266"/>
      <c r="F748" s="3266"/>
      <c r="G748" s="2668"/>
      <c r="H748" s="2669">
        <f>H749</f>
        <v>0</v>
      </c>
    </row>
    <row r="749" spans="1:8" s="2690" customFormat="1" ht="16">
      <c r="A749" s="2687" t="s">
        <v>1093</v>
      </c>
      <c r="B749" s="2687" t="s">
        <v>208</v>
      </c>
      <c r="C749" s="2687" t="s">
        <v>293</v>
      </c>
      <c r="D749" s="2687" t="s">
        <v>1800</v>
      </c>
      <c r="E749" s="2687" t="s">
        <v>853</v>
      </c>
      <c r="F749" s="2687" t="s">
        <v>1698</v>
      </c>
      <c r="G749" s="2688" t="s">
        <v>1802</v>
      </c>
      <c r="H749" s="2689">
        <f>SUM(H750:H784)</f>
        <v>0</v>
      </c>
    </row>
    <row r="750" spans="1:8">
      <c r="A750" s="2685" t="str">
        <f>дома!A1531</f>
        <v xml:space="preserve">Газоблок D400 200х100х390 </v>
      </c>
      <c r="B750" s="2691" t="str">
        <f>дома!B1531</f>
        <v>м3</v>
      </c>
      <c r="C750" s="2685">
        <f>дома!D1531</f>
        <v>200</v>
      </c>
      <c r="D750" s="2685">
        <f>дома!E1531</f>
        <v>390</v>
      </c>
      <c r="E750" s="2685">
        <f>дома!F1531</f>
        <v>100</v>
      </c>
      <c r="F750" s="2422">
        <f>дома!C1531</f>
        <v>-3.12</v>
      </c>
      <c r="G750" s="2685">
        <f t="shared" ref="G750:G784" si="0">H750</f>
        <v>0</v>
      </c>
      <c r="H750" s="2692">
        <f>дома!G1531*(IF('Ввод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1" spans="1:8">
      <c r="A751" s="2685" t="str">
        <f>дома!A1532</f>
        <v xml:space="preserve">Газоблок D500 200х100х390 </v>
      </c>
      <c r="B751" s="2691" t="str">
        <f>дома!B1532</f>
        <v>м3</v>
      </c>
      <c r="C751" s="2685">
        <f>дома!D1532</f>
        <v>200</v>
      </c>
      <c r="D751" s="2685">
        <f>дома!E1532</f>
        <v>390</v>
      </c>
      <c r="E751" s="2685">
        <f>дома!F1532</f>
        <v>200</v>
      </c>
      <c r="F751" s="2422">
        <f>дома!C1532</f>
        <v>0</v>
      </c>
      <c r="G751" s="2685">
        <f t="shared" si="0"/>
        <v>0</v>
      </c>
      <c r="H751" s="2692">
        <f>дома!G1532*(IF('Ввод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2" spans="1:8">
      <c r="A752" s="2685" t="str">
        <f>дома!A1533</f>
        <v xml:space="preserve">Газоблок D400 200х400х390 </v>
      </c>
      <c r="B752" s="2691" t="str">
        <f>дома!B1533</f>
        <v>м3</v>
      </c>
      <c r="C752" s="2685">
        <f>дома!D1533</f>
        <v>200</v>
      </c>
      <c r="D752" s="2685">
        <f>дома!E1533</f>
        <v>390</v>
      </c>
      <c r="E752" s="2685">
        <f>дома!F1533</f>
        <v>400</v>
      </c>
      <c r="F752" s="2422">
        <f>дома!C1533</f>
        <v>0</v>
      </c>
      <c r="G752" s="2685">
        <f t="shared" si="0"/>
        <v>0</v>
      </c>
      <c r="H752" s="2692">
        <f>дома!G1533*(IF('Ввод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3" spans="1:8">
      <c r="A753" s="2685" t="str">
        <f>дома!A1534</f>
        <v xml:space="preserve">Газоблокпоясной  D400 200х100х390 </v>
      </c>
      <c r="B753" s="2691" t="str">
        <f>дома!B1534</f>
        <v>м3</v>
      </c>
      <c r="C753" s="2685">
        <f>дома!D1534</f>
        <v>200</v>
      </c>
      <c r="D753" s="2685">
        <f>дома!E1534</f>
        <v>100</v>
      </c>
      <c r="E753" s="2685">
        <f>дома!F1534</f>
        <v>390</v>
      </c>
      <c r="F753" s="2422">
        <f>дома!C1534</f>
        <v>3.0888</v>
      </c>
      <c r="G753" s="2685">
        <f t="shared" si="0"/>
        <v>0</v>
      </c>
      <c r="H753" s="2692">
        <f>дома!G1534*(IF('Ввод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4" spans="1:8">
      <c r="A754" s="2685" t="str">
        <f>дома!A1535</f>
        <v>Поясной 200х100х600 угловой внешний</v>
      </c>
      <c r="B754" s="2691" t="str">
        <f>дома!B1535</f>
        <v>м3</v>
      </c>
      <c r="C754" s="2685">
        <f>дома!D1535</f>
        <v>200</v>
      </c>
      <c r="D754" s="2685">
        <f>дома!E1535</f>
        <v>100</v>
      </c>
      <c r="E754" s="2685">
        <f>дома!F1535</f>
        <v>390</v>
      </c>
      <c r="F754" s="2422">
        <f>дома!C1535</f>
        <v>3.1199999999999999E-2</v>
      </c>
      <c r="G754" s="2685">
        <f t="shared" si="0"/>
        <v>0</v>
      </c>
      <c r="H754" s="2692">
        <f>дома!G1535*(IF('Ввод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5" spans="1:8">
      <c r="A755" s="2685" t="str">
        <f>дома!A1536</f>
        <v>Поясной 200х100х600 угловой внутренний</v>
      </c>
      <c r="B755" s="2691" t="str">
        <f>дома!B1536</f>
        <v>м3</v>
      </c>
      <c r="C755" s="2685">
        <f>дома!D1536</f>
        <v>200</v>
      </c>
      <c r="D755" s="2685">
        <f>дома!E1536</f>
        <v>100</v>
      </c>
      <c r="E755" s="2685">
        <f>дома!F1536</f>
        <v>390</v>
      </c>
      <c r="F755" s="2422">
        <f>дома!C1536</f>
        <v>0</v>
      </c>
      <c r="G755" s="2685">
        <f t="shared" si="0"/>
        <v>0</v>
      </c>
      <c r="H755" s="2692">
        <f>дома!G1536*(IF('Ввод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6" spans="1:8">
      <c r="A756" s="2685" t="str">
        <f>дома!A1537</f>
        <v>200х100х600 угловой внешний</v>
      </c>
      <c r="B756" s="2691" t="str">
        <f>дома!B1537</f>
        <v>м3</v>
      </c>
      <c r="C756" s="2685">
        <f>дома!D1537</f>
        <v>200</v>
      </c>
      <c r="D756" s="2685">
        <f>дома!E1537</f>
        <v>100</v>
      </c>
      <c r="E756" s="2685">
        <f>дома!F1537</f>
        <v>600</v>
      </c>
      <c r="F756" s="2422">
        <f>дома!C1537</f>
        <v>0.72</v>
      </c>
      <c r="G756" s="2685">
        <f t="shared" si="0"/>
        <v>0</v>
      </c>
      <c r="H756" s="2692">
        <f>дома!G1537*(IF('Ввод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7" spans="1:8">
      <c r="A757" s="2685" t="str">
        <f>дома!A1538</f>
        <v>200х100х600 угловой внутренний</v>
      </c>
      <c r="B757" s="2691" t="str">
        <f>дома!B1538</f>
        <v>м4</v>
      </c>
      <c r="C757" s="2685">
        <f>дома!D1538</f>
        <v>200</v>
      </c>
      <c r="D757" s="2685">
        <f>дома!E1538</f>
        <v>100</v>
      </c>
      <c r="E757" s="2685">
        <f>дома!F1538</f>
        <v>600</v>
      </c>
      <c r="F757" s="2422">
        <f>дома!C1538</f>
        <v>0</v>
      </c>
      <c r="G757" s="2685">
        <f t="shared" si="0"/>
        <v>0</v>
      </c>
      <c r="H757" s="2692">
        <f>дома!G1538*(IF('Ввод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8" spans="1:8" s="1006" customFormat="1">
      <c r="A758" s="2685" t="str">
        <f>дома!A1546</f>
        <v>Перемычка оконная, 1-ый эт. Вариант 1</v>
      </c>
      <c r="B758" s="2691" t="str">
        <f>дома!B1546</f>
        <v>м.п.</v>
      </c>
      <c r="C758" s="2685">
        <f>дома!D1546</f>
        <v>0.2</v>
      </c>
      <c r="E758" s="2422">
        <f>дома!C1546</f>
        <v>1</v>
      </c>
      <c r="G758" s="2685">
        <f t="shared" si="0"/>
        <v>0</v>
      </c>
      <c r="H758" s="2692">
        <f>дома!C1546*(IF('Ввод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9" spans="1:8">
      <c r="A759" s="2685" t="str">
        <f>дома!A1547</f>
        <v>Перемычка оконная, 1-ый эт. Вариант 2</v>
      </c>
      <c r="B759" s="2691" t="str">
        <f>дома!B1547</f>
        <v>м.п.</v>
      </c>
      <c r="C759" s="2685">
        <f>дома!D1547</f>
        <v>0.2</v>
      </c>
      <c r="D759" s="2422"/>
      <c r="E759" s="2422">
        <f>дома!C1547</f>
        <v>0</v>
      </c>
      <c r="F759" s="2685"/>
      <c r="G759" s="2685">
        <f t="shared" si="0"/>
        <v>0</v>
      </c>
      <c r="H759" s="2692">
        <f>дома!C1547*(IF('Ввод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0" spans="1:8">
      <c r="A760" s="2685" t="str">
        <f>дома!A1548</f>
        <v>Перемычка оконная, 1-ый эт. Вариант 3</v>
      </c>
      <c r="B760" s="2691" t="str">
        <f>дома!B1548</f>
        <v>м.п.</v>
      </c>
      <c r="C760" s="2685">
        <f>дома!D1548</f>
        <v>0.2</v>
      </c>
      <c r="D760" s="2422"/>
      <c r="E760" s="2422">
        <f>дома!C1548</f>
        <v>0</v>
      </c>
      <c r="F760" s="2685"/>
      <c r="G760" s="2685">
        <f t="shared" si="0"/>
        <v>0</v>
      </c>
      <c r="H760" s="2692">
        <f>дома!C1548*(IF('Ввод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1" spans="1:8">
      <c r="A761" s="2685" t="str">
        <f>дома!A1549</f>
        <v>Перемычка оконная, 1-ый эт. Вариант 4</v>
      </c>
      <c r="B761" s="2691" t="str">
        <f>дома!B1549</f>
        <v>м.п.</v>
      </c>
      <c r="C761" s="2685">
        <f>дома!D1549</f>
        <v>0.2</v>
      </c>
      <c r="D761" s="2422"/>
      <c r="E761" s="2422">
        <f>дома!C1549</f>
        <v>0</v>
      </c>
      <c r="F761" s="2685"/>
      <c r="G761" s="2685">
        <f t="shared" si="0"/>
        <v>0</v>
      </c>
      <c r="H761" s="2692">
        <f>дома!C1549*(IF('Ввод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2" spans="1:8">
      <c r="A762" s="2685" t="str">
        <f>дома!A1550</f>
        <v>Перемычка оконная, 1-ый эт. Вариант 5</v>
      </c>
      <c r="B762" s="2691" t="str">
        <f>дома!B1550</f>
        <v>м.п.</v>
      </c>
      <c r="C762" s="2685">
        <f>дома!D1550</f>
        <v>0.2</v>
      </c>
      <c r="D762" s="2422"/>
      <c r="E762" s="2422">
        <f>дома!C1550</f>
        <v>0</v>
      </c>
      <c r="F762" s="2685"/>
      <c r="G762" s="2685">
        <f t="shared" si="0"/>
        <v>0</v>
      </c>
      <c r="H762" s="2692">
        <f>дома!C1550*(IF('Ввод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3" spans="1:8">
      <c r="A763" s="2685" t="str">
        <f>дома!A1551</f>
        <v>Перемычка оконная, 2-ый эт. Вариант 6</v>
      </c>
      <c r="B763" s="2691" t="str">
        <f>дома!B1551</f>
        <v>м.п.</v>
      </c>
      <c r="C763" s="2685">
        <f>дома!D1551</f>
        <v>0.2</v>
      </c>
      <c r="D763" s="2422"/>
      <c r="E763" s="2422">
        <f>дома!C1551</f>
        <v>0</v>
      </c>
      <c r="F763" s="2685"/>
      <c r="G763" s="2685">
        <f t="shared" si="0"/>
        <v>0</v>
      </c>
      <c r="H763" s="2692">
        <f>дома!C1551*(IF('Ввод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4" spans="1:8">
      <c r="A764" s="2685" t="str">
        <f>дома!A1552</f>
        <v>Перемычка оконная, 2-ый эт. Вариант 7</v>
      </c>
      <c r="B764" s="2691" t="str">
        <f>дома!B1552</f>
        <v>м.п.</v>
      </c>
      <c r="C764" s="2685">
        <f>дома!D1552</f>
        <v>0.2</v>
      </c>
      <c r="D764" s="2422"/>
      <c r="E764" s="2422">
        <f>дома!C1552</f>
        <v>0</v>
      </c>
      <c r="F764" s="2685"/>
      <c r="G764" s="2685">
        <f t="shared" si="0"/>
        <v>0</v>
      </c>
      <c r="H764" s="2692">
        <f>дома!C1552*(IF('Ввод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5" spans="1:8">
      <c r="A765" s="2685" t="str">
        <f>дома!A1553</f>
        <v>Перемычка оконная, 2-ый эт. Вариант 8</v>
      </c>
      <c r="B765" s="2691" t="str">
        <f>дома!B1553</f>
        <v>м.п.</v>
      </c>
      <c r="C765" s="2685">
        <f>дома!D1553</f>
        <v>0.2</v>
      </c>
      <c r="D765" s="2422"/>
      <c r="E765" s="2422">
        <f>дома!C1553</f>
        <v>0</v>
      </c>
      <c r="F765" s="2685"/>
      <c r="G765" s="2685">
        <f t="shared" si="0"/>
        <v>0</v>
      </c>
      <c r="H765" s="2692">
        <f>дома!C1553*(IF('Ввод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6" spans="1:8">
      <c r="A766" s="2685" t="str">
        <f>дома!A1554</f>
        <v>Перемычка оконная, 2-ый эт. Вариант 9</v>
      </c>
      <c r="B766" s="2691" t="str">
        <f>дома!B1554</f>
        <v>м.п.</v>
      </c>
      <c r="C766" s="2685">
        <f>дома!D1554</f>
        <v>0.2</v>
      </c>
      <c r="D766" s="2422"/>
      <c r="E766" s="2422">
        <f>дома!C1554</f>
        <v>0</v>
      </c>
      <c r="F766" s="2685"/>
      <c r="G766" s="2685">
        <f t="shared" si="0"/>
        <v>0</v>
      </c>
      <c r="H766" s="2692">
        <f>дома!C1554*(IF('Ввод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7" spans="1:8">
      <c r="A767" s="2685" t="str">
        <f>дома!A1555</f>
        <v>Перемычка оконная, 2-ый эт. Вариант 10</v>
      </c>
      <c r="B767" s="2691" t="str">
        <f>дома!B1555</f>
        <v>м.п.</v>
      </c>
      <c r="C767" s="2685">
        <f>дома!D1555</f>
        <v>0.2</v>
      </c>
      <c r="D767" s="2422"/>
      <c r="E767" s="2422">
        <f>дома!C1555</f>
        <v>0</v>
      </c>
      <c r="F767" s="2685"/>
      <c r="G767" s="2685">
        <f t="shared" si="0"/>
        <v>0</v>
      </c>
      <c r="H767" s="2692">
        <f>дома!C1555*(IF('Ввод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8" spans="1:8">
      <c r="A768" s="2685" t="str">
        <f>дома!A1556</f>
        <v>Перемычка дверная, 1-ый эт. Вариант 1</v>
      </c>
      <c r="B768" s="2691" t="str">
        <f>дома!B1556</f>
        <v>м.п.</v>
      </c>
      <c r="C768" s="2685">
        <f>дома!D1556</f>
        <v>0.2</v>
      </c>
      <c r="D768" s="2422"/>
      <c r="E768" s="2422">
        <f>дома!C1556</f>
        <v>0</v>
      </c>
      <c r="F768" s="2685"/>
      <c r="G768" s="2685">
        <f t="shared" si="0"/>
        <v>0</v>
      </c>
      <c r="H768" s="2692">
        <f>дома!C1556*(IF('Ввод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9" spans="1:8">
      <c r="A769" s="2685" t="str">
        <f>дома!A1557</f>
        <v>Перемычка дверная, 2-ый эт. Вариант 2</v>
      </c>
      <c r="B769" s="2691" t="str">
        <f>дома!B1557</f>
        <v>м.п.</v>
      </c>
      <c r="C769" s="2685">
        <f>дома!D1557</f>
        <v>0.2</v>
      </c>
      <c r="D769" s="2422"/>
      <c r="E769" s="2422">
        <f>дома!C1557</f>
        <v>0</v>
      </c>
      <c r="F769" s="2685"/>
      <c r="G769" s="2685">
        <f t="shared" si="0"/>
        <v>0</v>
      </c>
      <c r="H769" s="2692">
        <f>дома!C1557*(IF('Ввод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0" spans="1:8">
      <c r="A770" s="2685" t="str">
        <f>дома!A1558</f>
        <v>Перемычка оконная 1-ый эт, Вариант 11</v>
      </c>
      <c r="B770" s="2691" t="str">
        <f>дома!B1558</f>
        <v>м.п.</v>
      </c>
      <c r="C770" s="2685">
        <f>дома!D1558</f>
        <v>0.2</v>
      </c>
      <c r="D770" s="2422"/>
      <c r="E770" s="2422">
        <f>дома!C1558</f>
        <v>0</v>
      </c>
      <c r="F770" s="2685"/>
      <c r="G770" s="2685">
        <f t="shared" si="0"/>
        <v>0</v>
      </c>
      <c r="H770" s="2692">
        <f>дома!C1558*(IF('Ввод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1" spans="1:8">
      <c r="A771" s="2685" t="str">
        <f>дома!A1559</f>
        <v>Перемычка оконная 1-ый эт, Вариант 12</v>
      </c>
      <c r="B771" s="2691" t="str">
        <f>дома!B1559</f>
        <v>м.п.</v>
      </c>
      <c r="C771" s="2685">
        <f>дома!D1559</f>
        <v>0.2</v>
      </c>
      <c r="D771" s="2422"/>
      <c r="E771" s="2422">
        <f>дома!C1559</f>
        <v>0</v>
      </c>
      <c r="F771" s="2685"/>
      <c r="G771" s="2685">
        <f t="shared" si="0"/>
        <v>0</v>
      </c>
      <c r="H771" s="2692">
        <f>дома!C1559*(IF('Ввод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2" spans="1:8">
      <c r="A772" s="2685" t="str">
        <f>дома!A1560</f>
        <v>Перемычка дверная, 1-ый эт. Вариант 4</v>
      </c>
      <c r="B772" s="2691" t="str">
        <f>дома!B1560</f>
        <v>м.п.</v>
      </c>
      <c r="C772" s="2685">
        <f>дома!D1560</f>
        <v>0.2</v>
      </c>
      <c r="D772" s="2422"/>
      <c r="E772" s="2422">
        <f>дома!C1560</f>
        <v>0</v>
      </c>
      <c r="F772" s="2685"/>
      <c r="G772" s="2685">
        <f t="shared" si="0"/>
        <v>0</v>
      </c>
      <c r="H772" s="2692">
        <f>дома!C1560*(IF('Ввод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3" spans="1:8">
      <c r="A773" s="2685" t="str">
        <f>дома!A1561</f>
        <v>Перемычка дверная, 1-ый эт. Вариант 5</v>
      </c>
      <c r="B773" s="2691" t="str">
        <f>дома!B1561</f>
        <v>м.п.</v>
      </c>
      <c r="C773" s="2685">
        <f>дома!D1561</f>
        <v>0.2</v>
      </c>
      <c r="D773" s="2422"/>
      <c r="E773" s="2422">
        <f>дома!C1561</f>
        <v>0</v>
      </c>
      <c r="F773" s="2685"/>
      <c r="G773" s="2685">
        <f t="shared" si="0"/>
        <v>0</v>
      </c>
      <c r="H773" s="2692">
        <f>дома!C1561*(IF('Ввод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4" spans="1:8">
      <c r="A774" s="2685" t="str">
        <f>дома!A1562</f>
        <v>Перемычка дверная, 1-ый эт. Вариант 6</v>
      </c>
      <c r="B774" s="2691" t="str">
        <f>дома!B1562</f>
        <v>м.п.</v>
      </c>
      <c r="C774" s="2685">
        <f>дома!D1562</f>
        <v>0.2</v>
      </c>
      <c r="D774" s="2422"/>
      <c r="E774" s="2422">
        <f>дома!C1562</f>
        <v>0</v>
      </c>
      <c r="F774" s="2685"/>
      <c r="G774" s="2685">
        <f t="shared" si="0"/>
        <v>0</v>
      </c>
      <c r="H774" s="2692">
        <f>дома!C1562*(IF('Ввод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5" spans="1:8">
      <c r="A775" s="2685" t="str">
        <f>дома!A1563</f>
        <v>Перемычка дверная, 2-ый эт. Вариант 7</v>
      </c>
      <c r="B775" s="2691" t="str">
        <f>дома!B1563</f>
        <v>м.п.</v>
      </c>
      <c r="C775" s="2685">
        <f>дома!D1563</f>
        <v>0.2</v>
      </c>
      <c r="D775" s="2422"/>
      <c r="E775" s="2422">
        <f>дома!C1563</f>
        <v>0</v>
      </c>
      <c r="F775" s="2685"/>
      <c r="G775" s="2685">
        <f t="shared" si="0"/>
        <v>0</v>
      </c>
      <c r="H775" s="2692">
        <f>дома!C1563*(IF('Ввод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6" spans="1:8">
      <c r="A776" s="2685" t="str">
        <f>дома!A1564</f>
        <v>Перемычка дверная, 2-ый эт. Вариант 8</v>
      </c>
      <c r="B776" s="2691" t="str">
        <f>дома!B1564</f>
        <v>м.п.</v>
      </c>
      <c r="C776" s="2685">
        <f>дома!D1564</f>
        <v>0.2</v>
      </c>
      <c r="D776" s="2422"/>
      <c r="E776" s="2422">
        <f>дома!C1564</f>
        <v>0</v>
      </c>
      <c r="F776" s="2685"/>
      <c r="G776" s="2685">
        <f t="shared" si="0"/>
        <v>0</v>
      </c>
      <c r="H776" s="2692">
        <f>дома!C1564*(IF('Ввод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7" spans="1:8">
      <c r="A777" s="2685" t="str">
        <f>дома!A1565</f>
        <v>Перемычка дверная, 2-ый эт. Вариант 9</v>
      </c>
      <c r="B777" s="2691" t="str">
        <f>дома!B1565</f>
        <v>м.п.</v>
      </c>
      <c r="C777" s="2685">
        <f>дома!D1565</f>
        <v>0.2</v>
      </c>
      <c r="D777" s="2422"/>
      <c r="E777" s="2422">
        <f>дома!C1565</f>
        <v>0</v>
      </c>
      <c r="F777" s="2685"/>
      <c r="G777" s="2685">
        <f t="shared" si="0"/>
        <v>0</v>
      </c>
      <c r="H777" s="2692">
        <f>дома!C1565*(IF('Ввод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8" spans="1:8">
      <c r="A778" s="2685" t="str">
        <f>дома!A1566</f>
        <v>Перемычка проема, 1-ый эт. Вариант 10</v>
      </c>
      <c r="B778" s="2691" t="str">
        <f>дома!B1566</f>
        <v>м.п.</v>
      </c>
      <c r="C778" s="2685">
        <f>дома!D1566</f>
        <v>0.2</v>
      </c>
      <c r="D778" s="2422"/>
      <c r="E778" s="2422">
        <f>дома!C1566</f>
        <v>0</v>
      </c>
      <c r="F778" s="2685"/>
      <c r="G778" s="2685">
        <f t="shared" si="0"/>
        <v>0</v>
      </c>
      <c r="H778" s="2692">
        <f>дома!C1566*(IF('Ввод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9" spans="1:8">
      <c r="A779" s="2685" t="str">
        <f>дома!A1567</f>
        <v>Перемычка проема, 1-ый эт. Вариант 11</v>
      </c>
      <c r="B779" s="2691" t="str">
        <f>дома!B1567</f>
        <v>м.п.</v>
      </c>
      <c r="C779" s="2685">
        <f>дома!D1567</f>
        <v>0.2</v>
      </c>
      <c r="D779" s="2422"/>
      <c r="E779" s="2422">
        <f>дома!C1567</f>
        <v>0</v>
      </c>
      <c r="F779" s="2685"/>
      <c r="G779" s="2685">
        <f t="shared" si="0"/>
        <v>0</v>
      </c>
      <c r="H779" s="2692">
        <f>дома!C1567*(IF('Ввод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0" spans="1:8">
      <c r="A780" s="2685" t="str">
        <f>дома!A1568</f>
        <v>Перемычка проема, 2-ый эт. Вариант 12</v>
      </c>
      <c r="B780" s="2691" t="str">
        <f>дома!B1568</f>
        <v>м.п.</v>
      </c>
      <c r="C780" s="2685">
        <f>дома!D1568</f>
        <v>0.2</v>
      </c>
      <c r="D780" s="2422"/>
      <c r="E780" s="2422">
        <f>дома!C1568</f>
        <v>0</v>
      </c>
      <c r="F780" s="2685"/>
      <c r="G780" s="2685">
        <f t="shared" si="0"/>
        <v>0</v>
      </c>
      <c r="H780" s="2692">
        <f>дома!C1568*(IF('Ввод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1" spans="1:8">
      <c r="A781" s="2685" t="str">
        <f>дома!A1569</f>
        <v>Перемычка проема, 2-ый эт. Вариант 13</v>
      </c>
      <c r="B781" s="2691" t="str">
        <f>дома!B1569</f>
        <v>м.п.</v>
      </c>
      <c r="C781" s="2685">
        <f>дома!D1569</f>
        <v>0.2</v>
      </c>
      <c r="D781" s="2422"/>
      <c r="E781" s="2422">
        <f>дома!C1569</f>
        <v>0</v>
      </c>
      <c r="F781" s="2685"/>
      <c r="G781" s="2685">
        <f t="shared" si="0"/>
        <v>0</v>
      </c>
      <c r="H781" s="2692">
        <f>дома!C1569*(IF('Ввод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2" spans="1:8">
      <c r="A782" s="2685" t="str">
        <f>дома!A1570</f>
        <v>Перемычка дверная, 1-ый эт. Вариант 1</v>
      </c>
      <c r="B782" s="2691" t="str">
        <f>дома!B1570</f>
        <v>м.п.</v>
      </c>
      <c r="C782" s="2685">
        <f>дома!D1570</f>
        <v>0.2</v>
      </c>
      <c r="D782" s="2422"/>
      <c r="E782" s="2422">
        <f>дома!C1570</f>
        <v>0</v>
      </c>
      <c r="F782" s="2685"/>
      <c r="G782" s="2685">
        <f t="shared" si="0"/>
        <v>0</v>
      </c>
      <c r="H782" s="2692">
        <f>дома!C1570*(IF('Ввод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3" spans="1:8">
      <c r="A783" s="2685" t="str">
        <f>дома!A1571</f>
        <v>Перемычка дверная, 1-ый эт. Вариант 2</v>
      </c>
      <c r="B783" s="2691" t="str">
        <f>дома!B1571</f>
        <v>м.п.</v>
      </c>
      <c r="C783" s="2685">
        <f>дома!D1571</f>
        <v>0.2</v>
      </c>
      <c r="D783" s="2422"/>
      <c r="E783" s="2422">
        <f>дома!C1571</f>
        <v>0</v>
      </c>
      <c r="F783" s="2685"/>
      <c r="G783" s="2685">
        <f t="shared" si="0"/>
        <v>0</v>
      </c>
      <c r="H783" s="2692">
        <f>дома!C1571*(IF('Ввод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4" spans="1:8">
      <c r="A784" s="2685" t="str">
        <f>дома!A1572</f>
        <v>Перемычка дверная, 1-ый эт. Вариант 3</v>
      </c>
      <c r="B784" s="2691" t="str">
        <f>дома!B1572</f>
        <v>м.п.</v>
      </c>
      <c r="C784" s="2685">
        <f>дома!D1572</f>
        <v>0.2</v>
      </c>
      <c r="D784" s="2422"/>
      <c r="E784" s="2422">
        <f>дома!C1572</f>
        <v>0</v>
      </c>
      <c r="F784" s="2685"/>
      <c r="G784" s="2685">
        <f t="shared" si="0"/>
        <v>0</v>
      </c>
      <c r="H784" s="2692">
        <f>дома!C1572*(IF('Ввод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5" spans="1:8" ht="18" customHeight="1">
      <c r="A785" s="2693" t="s">
        <v>1093</v>
      </c>
      <c r="B785" s="2694" t="s">
        <v>208</v>
      </c>
      <c r="C785" s="2694" t="s">
        <v>293</v>
      </c>
      <c r="D785" s="2694" t="s">
        <v>1800</v>
      </c>
      <c r="E785" s="2681" t="s">
        <v>853</v>
      </c>
      <c r="F785" s="2693" t="s">
        <v>1902</v>
      </c>
      <c r="G785" s="2693" t="s">
        <v>4186</v>
      </c>
      <c r="H785" s="2686">
        <f>SUM(H786:H790)</f>
        <v>0</v>
      </c>
    </row>
    <row r="786" spans="1:8" ht="16">
      <c r="A786" s="2670" t="s">
        <v>4181</v>
      </c>
      <c r="B786" s="2684" t="s">
        <v>135</v>
      </c>
      <c r="C786" s="2422">
        <f t="shared" ref="C786:E788" si="1">C750</f>
        <v>200</v>
      </c>
      <c r="D786" s="2422">
        <f t="shared" si="1"/>
        <v>390</v>
      </c>
      <c r="E786" s="2422">
        <f t="shared" si="1"/>
        <v>100</v>
      </c>
      <c r="F786" s="2672">
        <f>F750+F753+F754+F755+F756+F757</f>
        <v>0.71999999999999986</v>
      </c>
      <c r="G786" s="2672">
        <f>G750+G753+G754+G755+G756+G757</f>
        <v>0</v>
      </c>
      <c r="H786" s="2686">
        <f>IF(G786&gt;0,1,0)</f>
        <v>0</v>
      </c>
    </row>
    <row r="787" spans="1:8" ht="16">
      <c r="A787" s="2685" t="s">
        <v>4183</v>
      </c>
      <c r="B787" s="2684" t="s">
        <v>135</v>
      </c>
      <c r="C787" s="2422">
        <f t="shared" si="1"/>
        <v>200</v>
      </c>
      <c r="D787" s="2422">
        <f t="shared" si="1"/>
        <v>390</v>
      </c>
      <c r="E787" s="2422">
        <f t="shared" si="1"/>
        <v>200</v>
      </c>
      <c r="F787" s="2672">
        <f>F751</f>
        <v>0</v>
      </c>
      <c r="G787" s="2422">
        <f>G751</f>
        <v>0</v>
      </c>
      <c r="H787" s="2686">
        <f>IF(G787&gt;0,1,0)</f>
        <v>0</v>
      </c>
    </row>
    <row r="788" spans="1:8" ht="16">
      <c r="A788" s="2685" t="s">
        <v>4184</v>
      </c>
      <c r="B788" s="2684" t="s">
        <v>135</v>
      </c>
      <c r="C788" s="2422">
        <f t="shared" si="1"/>
        <v>200</v>
      </c>
      <c r="D788" s="2422">
        <f t="shared" si="1"/>
        <v>390</v>
      </c>
      <c r="E788" s="2422">
        <f t="shared" si="1"/>
        <v>400</v>
      </c>
      <c r="F788" s="2672">
        <f>F752</f>
        <v>0</v>
      </c>
      <c r="G788" s="2422">
        <f>G752</f>
        <v>0</v>
      </c>
      <c r="H788" s="2686">
        <f>IF(G788&gt;0,1,0)</f>
        <v>0</v>
      </c>
    </row>
    <row r="789" spans="1:8">
      <c r="A789" s="2695" t="s">
        <v>4187</v>
      </c>
      <c r="B789" s="2691" t="s">
        <v>156</v>
      </c>
      <c r="C789" s="2422"/>
      <c r="D789" s="2422"/>
      <c r="E789" s="2422"/>
      <c r="F789" s="2422">
        <f>SUM(G758:G771)+SUM(G782:G784)</f>
        <v>0</v>
      </c>
      <c r="G789" s="2422"/>
      <c r="H789" s="2686">
        <f>IF(F789&gt;0,1,0)</f>
        <v>0</v>
      </c>
    </row>
    <row r="790" spans="1:8">
      <c r="A790" s="2695" t="s">
        <v>4188</v>
      </c>
      <c r="B790" s="2691" t="s">
        <v>156</v>
      </c>
      <c r="C790" s="2422"/>
      <c r="D790" s="2422"/>
      <c r="E790" s="2422"/>
      <c r="F790" s="2422">
        <f>SUM(G772:G781)</f>
        <v>0</v>
      </c>
      <c r="G790" s="2422"/>
      <c r="H790" s="2686">
        <f>IF(F790&gt;0,1,0)</f>
        <v>0</v>
      </c>
    </row>
    <row r="791" spans="1:8" ht="21">
      <c r="A791" s="3266" t="s">
        <v>4189</v>
      </c>
      <c r="B791" s="3266"/>
      <c r="C791" s="3266"/>
      <c r="D791" s="3266"/>
      <c r="E791" s="3266"/>
      <c r="F791" s="3266"/>
      <c r="G791" s="2668"/>
      <c r="H791" s="2669">
        <f>H792</f>
        <v>0</v>
      </c>
    </row>
    <row r="792" spans="1:8" ht="16">
      <c r="A792" s="2696" t="s">
        <v>1093</v>
      </c>
      <c r="B792" s="2696" t="s">
        <v>208</v>
      </c>
      <c r="C792" s="2696" t="s">
        <v>293</v>
      </c>
      <c r="D792" s="2696" t="s">
        <v>1800</v>
      </c>
      <c r="E792" s="2696" t="s">
        <v>853</v>
      </c>
      <c r="F792" s="2696" t="s">
        <v>1698</v>
      </c>
      <c r="G792" s="2697" t="s">
        <v>1802</v>
      </c>
      <c r="H792" s="2698">
        <f>SUM(H793:H822)</f>
        <v>0</v>
      </c>
    </row>
    <row r="793" spans="1:8">
      <c r="A793" s="2685" t="str">
        <f>дома!A1612</f>
        <v>Керамзитобетонный блок - 390х190х188</v>
      </c>
      <c r="B793" s="2691" t="str">
        <f>дома!B1612</f>
        <v>м3</v>
      </c>
      <c r="C793" s="2685">
        <f>дома!D1612</f>
        <v>188</v>
      </c>
      <c r="D793" s="2685">
        <f>дома!E1612</f>
        <v>190</v>
      </c>
      <c r="E793" s="2685">
        <f>дома!F1612</f>
        <v>390</v>
      </c>
      <c r="F793" s="2685">
        <f>дома!C1612</f>
        <v>0</v>
      </c>
      <c r="G793" s="2685">
        <f t="shared" ref="G793:G822" si="2">H793</f>
        <v>0</v>
      </c>
      <c r="H793" s="2692">
        <f>дома!G1612*(IF('Ввод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4" spans="1:8">
      <c r="A794" s="2685" t="str">
        <f>дома!A1613</f>
        <v>Керамзитобетонный блок - 390х190х188</v>
      </c>
      <c r="B794" s="2691" t="str">
        <f>дома!B1613</f>
        <v>м3</v>
      </c>
      <c r="C794" s="2685">
        <f>дома!D1613</f>
        <v>188</v>
      </c>
      <c r="D794" s="2685">
        <f>дома!E1613</f>
        <v>190</v>
      </c>
      <c r="E794" s="2685">
        <f>дома!F1613</f>
        <v>390</v>
      </c>
      <c r="F794" s="2685">
        <f>дома!C1613</f>
        <v>0</v>
      </c>
      <c r="G794" s="2685">
        <f t="shared" si="2"/>
        <v>0</v>
      </c>
      <c r="H794" s="2692">
        <f>дома!G1613*(IF('Ввод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5" spans="1:8">
      <c r="A795" s="2685" t="str">
        <f>дома!A1614</f>
        <v>Керамзитобетонный блок - 390х90х188</v>
      </c>
      <c r="B795" s="2691" t="str">
        <f>дома!B1614</f>
        <v>м3</v>
      </c>
      <c r="C795" s="2685">
        <f>дома!D1614</f>
        <v>188</v>
      </c>
      <c r="D795" s="2685">
        <f>дома!E1614</f>
        <v>90</v>
      </c>
      <c r="E795" s="2685">
        <f>дома!F1614</f>
        <v>390</v>
      </c>
      <c r="F795" s="2685">
        <f>дома!C1614</f>
        <v>0</v>
      </c>
      <c r="G795" s="2685">
        <f t="shared" si="2"/>
        <v>0</v>
      </c>
      <c r="H795" s="2692">
        <f>дома!G1614*(IF('Ввод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6" spans="1:8">
      <c r="A796" s="2685" t="str">
        <f t="shared" ref="A796:C822" si="3">A758</f>
        <v>Перемычка оконная, 1-ый эт. Вариант 1</v>
      </c>
      <c r="B796" s="2691" t="str">
        <f t="shared" si="3"/>
        <v>м.п.</v>
      </c>
      <c r="C796" s="2685">
        <f t="shared" si="3"/>
        <v>0.2</v>
      </c>
      <c r="D796" s="2685"/>
      <c r="E796" s="2685">
        <f t="shared" ref="E796:E822" si="4">E758</f>
        <v>1</v>
      </c>
      <c r="F796" s="2685"/>
      <c r="G796" s="2685">
        <f t="shared" si="2"/>
        <v>0</v>
      </c>
      <c r="H796" s="2692">
        <f>дома!C1546*(IF('Ввод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7" spans="1:8">
      <c r="A797" s="2685" t="str">
        <f t="shared" si="3"/>
        <v>Перемычка оконная, 1-ый эт. Вариант 2</v>
      </c>
      <c r="B797" s="2691" t="str">
        <f t="shared" si="3"/>
        <v>м.п.</v>
      </c>
      <c r="C797" s="2685">
        <f t="shared" si="3"/>
        <v>0.2</v>
      </c>
      <c r="D797" s="2685"/>
      <c r="E797" s="2685">
        <f t="shared" si="4"/>
        <v>0</v>
      </c>
      <c r="F797" s="2685"/>
      <c r="G797" s="2685">
        <f t="shared" si="2"/>
        <v>0</v>
      </c>
      <c r="H797" s="2692">
        <f>дома!C1547*(IF('Ввод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8" spans="1:8">
      <c r="A798" s="2685" t="str">
        <f t="shared" si="3"/>
        <v>Перемычка оконная, 1-ый эт. Вариант 3</v>
      </c>
      <c r="B798" s="2691" t="str">
        <f t="shared" si="3"/>
        <v>м.п.</v>
      </c>
      <c r="C798" s="2685">
        <f t="shared" si="3"/>
        <v>0.2</v>
      </c>
      <c r="D798" s="2685"/>
      <c r="E798" s="2685">
        <f t="shared" si="4"/>
        <v>0</v>
      </c>
      <c r="F798" s="2685"/>
      <c r="G798" s="2685">
        <f t="shared" si="2"/>
        <v>0</v>
      </c>
      <c r="H798" s="2692">
        <f>дома!C1548*(IF('Ввод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9" spans="1:8">
      <c r="A799" s="2685" t="str">
        <f t="shared" si="3"/>
        <v>Перемычка оконная, 1-ый эт. Вариант 4</v>
      </c>
      <c r="B799" s="2691" t="str">
        <f t="shared" si="3"/>
        <v>м.п.</v>
      </c>
      <c r="C799" s="2685">
        <f t="shared" si="3"/>
        <v>0.2</v>
      </c>
      <c r="D799" s="2685"/>
      <c r="E799" s="2685">
        <f t="shared" si="4"/>
        <v>0</v>
      </c>
      <c r="F799" s="2685"/>
      <c r="G799" s="2685">
        <f t="shared" si="2"/>
        <v>0</v>
      </c>
      <c r="H799" s="2692">
        <f>дома!C1549*(IF('Ввод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0" spans="1:8">
      <c r="A800" s="2685" t="str">
        <f t="shared" si="3"/>
        <v>Перемычка оконная, 1-ый эт. Вариант 5</v>
      </c>
      <c r="B800" s="2691" t="str">
        <f t="shared" si="3"/>
        <v>м.п.</v>
      </c>
      <c r="C800" s="2685">
        <f t="shared" si="3"/>
        <v>0.2</v>
      </c>
      <c r="D800" s="2685"/>
      <c r="E800" s="2685">
        <f t="shared" si="4"/>
        <v>0</v>
      </c>
      <c r="F800" s="2685"/>
      <c r="G800" s="2685">
        <f t="shared" si="2"/>
        <v>0</v>
      </c>
      <c r="H800" s="2692">
        <f>дома!C1550*(IF('Ввод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1" spans="1:8">
      <c r="A801" s="2685" t="str">
        <f t="shared" si="3"/>
        <v>Перемычка оконная, 2-ый эт. Вариант 6</v>
      </c>
      <c r="B801" s="2691" t="str">
        <f t="shared" si="3"/>
        <v>м.п.</v>
      </c>
      <c r="C801" s="2685">
        <f t="shared" si="3"/>
        <v>0.2</v>
      </c>
      <c r="D801" s="2685"/>
      <c r="E801" s="2685">
        <f t="shared" si="4"/>
        <v>0</v>
      </c>
      <c r="F801" s="2685"/>
      <c r="G801" s="2685">
        <f t="shared" si="2"/>
        <v>0</v>
      </c>
      <c r="H801" s="2692">
        <f>дома!C1551*(IF('Ввод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2" spans="1:8">
      <c r="A802" s="2685" t="str">
        <f t="shared" si="3"/>
        <v>Перемычка оконная, 2-ый эт. Вариант 7</v>
      </c>
      <c r="B802" s="2691" t="str">
        <f t="shared" si="3"/>
        <v>м.п.</v>
      </c>
      <c r="C802" s="2685">
        <f t="shared" si="3"/>
        <v>0.2</v>
      </c>
      <c r="D802" s="2685"/>
      <c r="E802" s="2685">
        <f t="shared" si="4"/>
        <v>0</v>
      </c>
      <c r="F802" s="2685"/>
      <c r="G802" s="2685">
        <f t="shared" si="2"/>
        <v>0</v>
      </c>
      <c r="H802" s="2692">
        <f>дома!C1552*(IF('Ввод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3" spans="1:8">
      <c r="A803" s="2685" t="str">
        <f t="shared" si="3"/>
        <v>Перемычка оконная, 2-ый эт. Вариант 8</v>
      </c>
      <c r="B803" s="2691" t="str">
        <f t="shared" si="3"/>
        <v>м.п.</v>
      </c>
      <c r="C803" s="2685">
        <f t="shared" si="3"/>
        <v>0.2</v>
      </c>
      <c r="D803" s="2685"/>
      <c r="E803" s="2685">
        <f t="shared" si="4"/>
        <v>0</v>
      </c>
      <c r="F803" s="2685"/>
      <c r="G803" s="2685">
        <f t="shared" si="2"/>
        <v>0</v>
      </c>
      <c r="H803" s="2692">
        <f>дома!C1553*(IF('Ввод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4" spans="1:8">
      <c r="A804" s="2685" t="str">
        <f t="shared" si="3"/>
        <v>Перемычка оконная, 2-ый эт. Вариант 9</v>
      </c>
      <c r="B804" s="2691" t="str">
        <f t="shared" si="3"/>
        <v>м.п.</v>
      </c>
      <c r="C804" s="2685">
        <f t="shared" si="3"/>
        <v>0.2</v>
      </c>
      <c r="D804" s="2685"/>
      <c r="E804" s="2685">
        <f t="shared" si="4"/>
        <v>0</v>
      </c>
      <c r="F804" s="2685"/>
      <c r="G804" s="2685">
        <f t="shared" si="2"/>
        <v>0</v>
      </c>
      <c r="H804" s="2692">
        <f>дома!C1554*(IF('Ввод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5" spans="1:8">
      <c r="A805" s="2685" t="str">
        <f t="shared" si="3"/>
        <v>Перемычка оконная, 2-ый эт. Вариант 10</v>
      </c>
      <c r="B805" s="2691" t="str">
        <f t="shared" si="3"/>
        <v>м.п.</v>
      </c>
      <c r="C805" s="2685">
        <f t="shared" si="3"/>
        <v>0.2</v>
      </c>
      <c r="D805" s="2685"/>
      <c r="E805" s="2685">
        <f t="shared" si="4"/>
        <v>0</v>
      </c>
      <c r="F805" s="2685"/>
      <c r="G805" s="2685">
        <f t="shared" si="2"/>
        <v>0</v>
      </c>
      <c r="H805" s="2692">
        <f>дома!C1555*(IF('Ввод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6" spans="1:8">
      <c r="A806" s="2685" t="str">
        <f t="shared" si="3"/>
        <v>Перемычка дверная, 1-ый эт. Вариант 1</v>
      </c>
      <c r="B806" s="2691" t="str">
        <f t="shared" si="3"/>
        <v>м.п.</v>
      </c>
      <c r="C806" s="2685">
        <f t="shared" si="3"/>
        <v>0.2</v>
      </c>
      <c r="D806" s="2685"/>
      <c r="E806" s="2685">
        <f t="shared" si="4"/>
        <v>0</v>
      </c>
      <c r="F806" s="2685"/>
      <c r="G806" s="2685">
        <f t="shared" si="2"/>
        <v>0</v>
      </c>
      <c r="H806" s="2692">
        <f>дома!C1556*(IF('Ввод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7" spans="1:8">
      <c r="A807" s="2685" t="str">
        <f t="shared" si="3"/>
        <v>Перемычка дверная, 2-ый эт. Вариант 2</v>
      </c>
      <c r="B807" s="2691" t="str">
        <f t="shared" si="3"/>
        <v>м.п.</v>
      </c>
      <c r="C807" s="2685">
        <f t="shared" si="3"/>
        <v>0.2</v>
      </c>
      <c r="D807" s="2685"/>
      <c r="E807" s="2685">
        <f t="shared" si="4"/>
        <v>0</v>
      </c>
      <c r="F807" s="2685"/>
      <c r="G807" s="2685">
        <f t="shared" si="2"/>
        <v>0</v>
      </c>
      <c r="H807" s="2692">
        <f>дома!C1557*(IF('Ввод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8" spans="1:8">
      <c r="A808" s="2685" t="str">
        <f t="shared" si="3"/>
        <v>Перемычка оконная 1-ый эт, Вариант 11</v>
      </c>
      <c r="B808" s="2691" t="str">
        <f t="shared" si="3"/>
        <v>м.п.</v>
      </c>
      <c r="C808" s="2685">
        <f t="shared" si="3"/>
        <v>0.2</v>
      </c>
      <c r="D808" s="2685"/>
      <c r="E808" s="2685">
        <f t="shared" si="4"/>
        <v>0</v>
      </c>
      <c r="F808" s="2685"/>
      <c r="G808" s="2685">
        <f t="shared" si="2"/>
        <v>0</v>
      </c>
      <c r="H808" s="2692">
        <f>дома!C1558*(IF('Ввод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9" spans="1:8">
      <c r="A809" s="2685" t="str">
        <f t="shared" si="3"/>
        <v>Перемычка оконная 1-ый эт, Вариант 12</v>
      </c>
      <c r="B809" s="2691" t="str">
        <f t="shared" si="3"/>
        <v>м.п.</v>
      </c>
      <c r="C809" s="2685">
        <f t="shared" si="3"/>
        <v>0.2</v>
      </c>
      <c r="D809" s="2685"/>
      <c r="E809" s="2685">
        <f t="shared" si="4"/>
        <v>0</v>
      </c>
      <c r="F809" s="2685"/>
      <c r="G809" s="2685">
        <f t="shared" si="2"/>
        <v>0</v>
      </c>
      <c r="H809" s="2692">
        <f>дома!C1559*(IF('Ввод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0" spans="1:8">
      <c r="A810" s="2685" t="str">
        <f t="shared" si="3"/>
        <v>Перемычка дверная, 1-ый эт. Вариант 4</v>
      </c>
      <c r="B810" s="2691" t="str">
        <f t="shared" si="3"/>
        <v>м.п.</v>
      </c>
      <c r="C810" s="2685">
        <f t="shared" si="3"/>
        <v>0.2</v>
      </c>
      <c r="D810" s="2685"/>
      <c r="E810" s="2685">
        <f t="shared" si="4"/>
        <v>0</v>
      </c>
      <c r="F810" s="2685"/>
      <c r="G810" s="2685">
        <f t="shared" si="2"/>
        <v>0</v>
      </c>
      <c r="H810" s="2692">
        <f>дома!C1560*(IF('Ввод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1" spans="1:8">
      <c r="A811" s="2685" t="str">
        <f t="shared" si="3"/>
        <v>Перемычка дверная, 1-ый эт. Вариант 5</v>
      </c>
      <c r="B811" s="2691" t="str">
        <f t="shared" si="3"/>
        <v>м.п.</v>
      </c>
      <c r="C811" s="2685">
        <f t="shared" si="3"/>
        <v>0.2</v>
      </c>
      <c r="D811" s="2685"/>
      <c r="E811" s="2685">
        <f t="shared" si="4"/>
        <v>0</v>
      </c>
      <c r="F811" s="2685"/>
      <c r="G811" s="2685">
        <f t="shared" si="2"/>
        <v>0</v>
      </c>
      <c r="H811" s="2692">
        <f>дома!C1561*(IF('Ввод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2" spans="1:8">
      <c r="A812" s="2685" t="str">
        <f t="shared" si="3"/>
        <v>Перемычка дверная, 1-ый эт. Вариант 6</v>
      </c>
      <c r="B812" s="2691" t="str">
        <f t="shared" si="3"/>
        <v>м.п.</v>
      </c>
      <c r="C812" s="2685">
        <f t="shared" si="3"/>
        <v>0.2</v>
      </c>
      <c r="D812" s="2685"/>
      <c r="E812" s="2685">
        <f t="shared" si="4"/>
        <v>0</v>
      </c>
      <c r="F812" s="2685"/>
      <c r="G812" s="2685">
        <f t="shared" si="2"/>
        <v>0</v>
      </c>
      <c r="H812" s="2692">
        <f>дома!C1562*(IF('Ввод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3" spans="1:8">
      <c r="A813" s="2685" t="str">
        <f t="shared" si="3"/>
        <v>Перемычка дверная, 2-ый эт. Вариант 7</v>
      </c>
      <c r="B813" s="2691" t="str">
        <f t="shared" si="3"/>
        <v>м.п.</v>
      </c>
      <c r="C813" s="2685">
        <f t="shared" si="3"/>
        <v>0.2</v>
      </c>
      <c r="D813" s="2685"/>
      <c r="E813" s="2685">
        <f t="shared" si="4"/>
        <v>0</v>
      </c>
      <c r="F813" s="2685"/>
      <c r="G813" s="2685">
        <f t="shared" si="2"/>
        <v>0</v>
      </c>
      <c r="H813" s="2692">
        <f>дома!C1563*(IF('Ввод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4" spans="1:8">
      <c r="A814" s="2685" t="str">
        <f t="shared" si="3"/>
        <v>Перемычка дверная, 2-ый эт. Вариант 8</v>
      </c>
      <c r="B814" s="2691" t="str">
        <f t="shared" si="3"/>
        <v>м.п.</v>
      </c>
      <c r="C814" s="2685">
        <f t="shared" si="3"/>
        <v>0.2</v>
      </c>
      <c r="D814" s="2685"/>
      <c r="E814" s="2685">
        <f t="shared" si="4"/>
        <v>0</v>
      </c>
      <c r="F814" s="2685"/>
      <c r="G814" s="2685">
        <f t="shared" si="2"/>
        <v>0</v>
      </c>
      <c r="H814" s="2692">
        <f>дома!C1564*(IF('Ввод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5" spans="1:8">
      <c r="A815" s="2685" t="str">
        <f t="shared" si="3"/>
        <v>Перемычка дверная, 2-ый эт. Вариант 9</v>
      </c>
      <c r="B815" s="2691" t="str">
        <f t="shared" si="3"/>
        <v>м.п.</v>
      </c>
      <c r="C815" s="2685">
        <f t="shared" si="3"/>
        <v>0.2</v>
      </c>
      <c r="D815" s="2685"/>
      <c r="E815" s="2685">
        <f t="shared" si="4"/>
        <v>0</v>
      </c>
      <c r="F815" s="2685"/>
      <c r="G815" s="2685">
        <f t="shared" si="2"/>
        <v>0</v>
      </c>
      <c r="H815" s="2692">
        <f>дома!C1565*(IF('Ввод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6" spans="1:8">
      <c r="A816" s="2685" t="str">
        <f t="shared" si="3"/>
        <v>Перемычка проема, 1-ый эт. Вариант 10</v>
      </c>
      <c r="B816" s="2691" t="str">
        <f t="shared" si="3"/>
        <v>м.п.</v>
      </c>
      <c r="C816" s="2685">
        <f t="shared" si="3"/>
        <v>0.2</v>
      </c>
      <c r="D816" s="2685"/>
      <c r="E816" s="2685">
        <f t="shared" si="4"/>
        <v>0</v>
      </c>
      <c r="F816" s="2685"/>
      <c r="G816" s="2685">
        <f t="shared" si="2"/>
        <v>0</v>
      </c>
      <c r="H816" s="2692">
        <f>дома!C1566*(IF('Ввод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7" spans="1:8">
      <c r="A817" s="2685" t="str">
        <f t="shared" si="3"/>
        <v>Перемычка проема, 1-ый эт. Вариант 11</v>
      </c>
      <c r="B817" s="2691" t="str">
        <f t="shared" si="3"/>
        <v>м.п.</v>
      </c>
      <c r="C817" s="2685">
        <f t="shared" si="3"/>
        <v>0.2</v>
      </c>
      <c r="D817" s="2685"/>
      <c r="E817" s="2685">
        <f t="shared" si="4"/>
        <v>0</v>
      </c>
      <c r="F817" s="2685"/>
      <c r="G817" s="2685">
        <f t="shared" si="2"/>
        <v>0</v>
      </c>
      <c r="H817" s="2692">
        <f>дома!C1567*(IF('Ввод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8" spans="1:8">
      <c r="A818" s="2685" t="str">
        <f t="shared" si="3"/>
        <v>Перемычка проема, 2-ый эт. Вариант 12</v>
      </c>
      <c r="B818" s="2691" t="str">
        <f t="shared" si="3"/>
        <v>м.п.</v>
      </c>
      <c r="C818" s="2685">
        <f t="shared" si="3"/>
        <v>0.2</v>
      </c>
      <c r="D818" s="2685"/>
      <c r="E818" s="2685">
        <f t="shared" si="4"/>
        <v>0</v>
      </c>
      <c r="F818" s="2685"/>
      <c r="G818" s="2685">
        <f t="shared" si="2"/>
        <v>0</v>
      </c>
      <c r="H818" s="2692">
        <f>дома!C1568*(IF('Ввод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9" spans="1:8">
      <c r="A819" s="2685" t="str">
        <f t="shared" si="3"/>
        <v>Перемычка проема, 2-ый эт. Вариант 13</v>
      </c>
      <c r="B819" s="2691" t="str">
        <f t="shared" si="3"/>
        <v>м.п.</v>
      </c>
      <c r="C819" s="2685">
        <f t="shared" si="3"/>
        <v>0.2</v>
      </c>
      <c r="D819" s="2685"/>
      <c r="E819" s="2685">
        <f t="shared" si="4"/>
        <v>0</v>
      </c>
      <c r="F819" s="2685"/>
      <c r="G819" s="2685">
        <f t="shared" si="2"/>
        <v>0</v>
      </c>
      <c r="H819" s="2692">
        <f>дома!C1569*(IF('Ввод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20" spans="1:8">
      <c r="A820" s="2685" t="str">
        <f t="shared" si="3"/>
        <v>Перемычка дверная, 1-ый эт. Вариант 1</v>
      </c>
      <c r="B820" s="2691" t="str">
        <f t="shared" si="3"/>
        <v>м.п.</v>
      </c>
      <c r="C820" s="2685">
        <f t="shared" si="3"/>
        <v>0.2</v>
      </c>
      <c r="D820" s="2685"/>
      <c r="E820" s="2685">
        <f t="shared" si="4"/>
        <v>0</v>
      </c>
      <c r="F820" s="2685"/>
      <c r="G820" s="2685">
        <f t="shared" si="2"/>
        <v>0</v>
      </c>
      <c r="H820" s="2692">
        <f>дома!C1570*(IF('Ввод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21" spans="1:8">
      <c r="A821" s="2685" t="str">
        <f t="shared" si="3"/>
        <v>Перемычка дверная, 1-ый эт. Вариант 2</v>
      </c>
      <c r="B821" s="2691" t="str">
        <f t="shared" si="3"/>
        <v>м.п.</v>
      </c>
      <c r="C821" s="2685">
        <f t="shared" si="3"/>
        <v>0.2</v>
      </c>
      <c r="D821" s="2685"/>
      <c r="E821" s="2685">
        <f t="shared" si="4"/>
        <v>0</v>
      </c>
      <c r="F821" s="2685"/>
      <c r="G821" s="2685">
        <f t="shared" si="2"/>
        <v>0</v>
      </c>
      <c r="H821" s="2692">
        <f>дома!C1571*(IF('Ввод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22" spans="1:8">
      <c r="A822" s="2685" t="str">
        <f t="shared" si="3"/>
        <v>Перемычка дверная, 1-ый эт. Вариант 3</v>
      </c>
      <c r="B822" s="2691" t="str">
        <f t="shared" si="3"/>
        <v>м.п.</v>
      </c>
      <c r="C822" s="2685">
        <f t="shared" si="3"/>
        <v>0.2</v>
      </c>
      <c r="D822" s="2685"/>
      <c r="E822" s="2685">
        <f t="shared" si="4"/>
        <v>0</v>
      </c>
      <c r="F822" s="2685"/>
      <c r="G822" s="2685">
        <f t="shared" si="2"/>
        <v>0</v>
      </c>
      <c r="H822" s="2692">
        <f>дома!C1572*(IF('Ввод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23" spans="1:8" ht="20">
      <c r="A823" s="2699" t="s">
        <v>1093</v>
      </c>
      <c r="B823" s="2694" t="s">
        <v>208</v>
      </c>
      <c r="C823" s="2694" t="s">
        <v>293</v>
      </c>
      <c r="D823" s="2694" t="s">
        <v>1800</v>
      </c>
      <c r="E823" s="2681" t="s">
        <v>853</v>
      </c>
      <c r="F823" s="2693" t="s">
        <v>1902</v>
      </c>
      <c r="G823" s="2693" t="s">
        <v>4186</v>
      </c>
      <c r="H823" s="2686">
        <f>SUM(H824:H828)</f>
        <v>0</v>
      </c>
    </row>
    <row r="824" spans="1:8" ht="16">
      <c r="A824" s="2670" t="s">
        <v>4181</v>
      </c>
      <c r="B824" s="2684" t="s">
        <v>135</v>
      </c>
      <c r="C824" s="2422">
        <f t="shared" ref="C824:G826" si="5">C793</f>
        <v>188</v>
      </c>
      <c r="D824" s="2422">
        <f t="shared" si="5"/>
        <v>190</v>
      </c>
      <c r="E824" s="2422">
        <f t="shared" si="5"/>
        <v>390</v>
      </c>
      <c r="F824" s="2672">
        <f t="shared" si="5"/>
        <v>0</v>
      </c>
      <c r="G824" s="2672">
        <f t="shared" si="5"/>
        <v>0</v>
      </c>
      <c r="H824" s="2686">
        <f>IF(G824&gt;0,1,0)</f>
        <v>0</v>
      </c>
    </row>
    <row r="825" spans="1:8" ht="16">
      <c r="A825" s="2685" t="s">
        <v>4183</v>
      </c>
      <c r="B825" s="2684" t="s">
        <v>135</v>
      </c>
      <c r="C825" s="2422">
        <f t="shared" si="5"/>
        <v>188</v>
      </c>
      <c r="D825" s="2422">
        <f t="shared" si="5"/>
        <v>190</v>
      </c>
      <c r="E825" s="2422">
        <f t="shared" si="5"/>
        <v>390</v>
      </c>
      <c r="F825" s="2672">
        <f t="shared" si="5"/>
        <v>0</v>
      </c>
      <c r="G825" s="2672">
        <f t="shared" si="5"/>
        <v>0</v>
      </c>
      <c r="H825" s="2686">
        <f>IF(G825&gt;0,1,0)</f>
        <v>0</v>
      </c>
    </row>
    <row r="826" spans="1:8" ht="16">
      <c r="A826" s="2685" t="s">
        <v>4184</v>
      </c>
      <c r="B826" s="2684" t="s">
        <v>135</v>
      </c>
      <c r="C826" s="2422">
        <f t="shared" si="5"/>
        <v>188</v>
      </c>
      <c r="D826" s="2422">
        <f t="shared" si="5"/>
        <v>90</v>
      </c>
      <c r="E826" s="2422">
        <f t="shared" si="5"/>
        <v>390</v>
      </c>
      <c r="F826" s="2672">
        <f t="shared" si="5"/>
        <v>0</v>
      </c>
      <c r="G826" s="2672">
        <f t="shared" si="5"/>
        <v>0</v>
      </c>
      <c r="H826" s="2686">
        <f>IF(G826&gt;0,1,0)</f>
        <v>0</v>
      </c>
    </row>
    <row r="827" spans="1:8">
      <c r="A827" s="2695" t="s">
        <v>4187</v>
      </c>
      <c r="B827" s="2691" t="s">
        <v>156</v>
      </c>
      <c r="C827" s="2422"/>
      <c r="D827" s="2422"/>
      <c r="E827" s="2422"/>
      <c r="F827" s="2422">
        <f>SUM(H796:H809)+SUM(H820:H822)</f>
        <v>0</v>
      </c>
      <c r="G827" s="2422"/>
      <c r="H827" s="2686">
        <f>IF(F827&gt;0,1,0)</f>
        <v>0</v>
      </c>
    </row>
    <row r="828" spans="1:8">
      <c r="A828" s="2695" t="s">
        <v>4188</v>
      </c>
      <c r="B828" s="2691" t="s">
        <v>156</v>
      </c>
      <c r="C828" s="2422"/>
      <c r="D828" s="2422"/>
      <c r="E828" s="2422"/>
      <c r="F828" s="2422">
        <f>SUM(H810:H819)</f>
        <v>0</v>
      </c>
      <c r="G828" s="2422"/>
      <c r="H828" s="2686">
        <f>IF(F828&gt;0,1,0)</f>
        <v>0</v>
      </c>
    </row>
    <row r="829" spans="1:8" ht="21">
      <c r="A829" s="3266" t="s">
        <v>4190</v>
      </c>
      <c r="B829" s="3266"/>
      <c r="C829" s="3266"/>
      <c r="D829" s="3266"/>
      <c r="E829" s="3266"/>
      <c r="F829" s="3266"/>
      <c r="G829" s="2668"/>
      <c r="H829" s="2669">
        <f>H830</f>
        <v>2097.5887724953</v>
      </c>
    </row>
    <row r="830" spans="1:8" ht="16">
      <c r="A830" s="2696" t="s">
        <v>1093</v>
      </c>
      <c r="B830" s="2696" t="s">
        <v>208</v>
      </c>
      <c r="C830" s="2696" t="s">
        <v>293</v>
      </c>
      <c r="D830" s="2696" t="s">
        <v>1800</v>
      </c>
      <c r="E830" s="2696" t="s">
        <v>853</v>
      </c>
      <c r="F830" s="2696" t="s">
        <v>1698</v>
      </c>
      <c r="G830" s="2697" t="s">
        <v>1802</v>
      </c>
      <c r="H830" s="2698">
        <f>SUM(H831:H860)</f>
        <v>2097.5887724953</v>
      </c>
    </row>
    <row r="831" spans="1:8">
      <c r="A831" s="2685" t="str">
        <f>дома!A1697</f>
        <v>Керамоблок 510х250х219 мм -    14,3 НФ</v>
      </c>
      <c r="B831" s="2691" t="str">
        <f>дома!B1697</f>
        <v>м3</v>
      </c>
      <c r="C831" s="2422">
        <f>дома!D1697</f>
        <v>219</v>
      </c>
      <c r="D831" s="2422">
        <f>дома!E1697</f>
        <v>250</v>
      </c>
      <c r="E831" s="2422">
        <f>дома!F1697</f>
        <v>510</v>
      </c>
      <c r="F831" s="2422">
        <f>дома!C1697</f>
        <v>41.751600000000003</v>
      </c>
      <c r="G831" s="2422">
        <f t="shared" ref="G831:G860" si="6">H831</f>
        <v>1495.2672575879669</v>
      </c>
      <c r="H831" s="2422">
        <f>дома!G1697*(IF('Ввод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1495.2672575879669</v>
      </c>
    </row>
    <row r="832" spans="1:8">
      <c r="A832" s="2685" t="str">
        <f>дома!A1698</f>
        <v>Керамоблок 510х250х219 мм -    14,3 НФ</v>
      </c>
      <c r="B832" s="2691" t="str">
        <f>дома!B1698</f>
        <v>м3</v>
      </c>
      <c r="C832" s="2422">
        <f>дома!D1698</f>
        <v>219</v>
      </c>
      <c r="D832" s="2422">
        <f>дома!E1698</f>
        <v>250</v>
      </c>
      <c r="E832" s="2422">
        <f>дома!F1698</f>
        <v>510</v>
      </c>
      <c r="F832" s="2422">
        <f>дома!C1698</f>
        <v>12.672000000000001</v>
      </c>
      <c r="G832" s="2422">
        <f t="shared" si="6"/>
        <v>453.82755842062858</v>
      </c>
      <c r="H832" s="2422">
        <f>дома!G1698*(IF('Ввод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453.82755842062858</v>
      </c>
    </row>
    <row r="833" spans="1:8">
      <c r="A833" s="2685" t="str">
        <f>дома!A1699</f>
        <v>Керамоблок 510х250х219 мм -    14,3 НФ</v>
      </c>
      <c r="B833" s="2691" t="str">
        <f>дома!B1699</f>
        <v>м3</v>
      </c>
      <c r="C833" s="2422">
        <f>дома!D1699</f>
        <v>219</v>
      </c>
      <c r="D833" s="2422">
        <f>дома!E1699</f>
        <v>250</v>
      </c>
      <c r="E833" s="2422">
        <f>дома!F1699</f>
        <v>510</v>
      </c>
      <c r="F833" s="2422">
        <f>дома!C1699</f>
        <v>4.1184000000000003</v>
      </c>
      <c r="G833" s="2422">
        <f t="shared" si="6"/>
        <v>147.49395648670429</v>
      </c>
      <c r="H833" s="2422">
        <f>дома!G1699*(IF('Ввод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147.49395648670429</v>
      </c>
    </row>
    <row r="834" spans="1:8">
      <c r="A834" s="2685" t="str">
        <f t="shared" ref="A834:C860" si="7">A796</f>
        <v>Перемычка оконная, 1-ый эт. Вариант 1</v>
      </c>
      <c r="B834" s="2691" t="str">
        <f t="shared" si="7"/>
        <v>м.п.</v>
      </c>
      <c r="C834" s="2685">
        <f t="shared" si="7"/>
        <v>0.2</v>
      </c>
      <c r="D834" s="2685"/>
      <c r="E834" s="2685">
        <f t="shared" ref="E834:E860" si="8">E796</f>
        <v>1</v>
      </c>
      <c r="F834" s="2685"/>
      <c r="G834" s="2685">
        <f t="shared" si="6"/>
        <v>1</v>
      </c>
      <c r="H834" s="2422">
        <f>дома!C1546*(IF('Ввод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1</v>
      </c>
    </row>
    <row r="835" spans="1:8">
      <c r="A835" s="2685" t="str">
        <f t="shared" si="7"/>
        <v>Перемычка оконная, 1-ый эт. Вариант 2</v>
      </c>
      <c r="B835" s="2691" t="str">
        <f t="shared" si="7"/>
        <v>м.п.</v>
      </c>
      <c r="C835" s="2685">
        <f t="shared" si="7"/>
        <v>0.2</v>
      </c>
      <c r="D835" s="2685"/>
      <c r="E835" s="2685">
        <f t="shared" si="8"/>
        <v>0</v>
      </c>
      <c r="F835" s="2685"/>
      <c r="G835" s="2685">
        <f t="shared" si="6"/>
        <v>0</v>
      </c>
      <c r="H835" s="2422">
        <f>дома!C1547*(IF('Ввод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36" spans="1:8">
      <c r="A836" s="2685" t="str">
        <f t="shared" si="7"/>
        <v>Перемычка оконная, 1-ый эт. Вариант 3</v>
      </c>
      <c r="B836" s="2691" t="str">
        <f t="shared" si="7"/>
        <v>м.п.</v>
      </c>
      <c r="C836" s="2685">
        <f t="shared" si="7"/>
        <v>0.2</v>
      </c>
      <c r="D836" s="2685"/>
      <c r="E836" s="2685">
        <f t="shared" si="8"/>
        <v>0</v>
      </c>
      <c r="F836" s="2685"/>
      <c r="G836" s="2685">
        <f t="shared" si="6"/>
        <v>0</v>
      </c>
      <c r="H836" s="2422">
        <f>дома!C1548*(IF('Ввод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37" spans="1:8">
      <c r="A837" s="2685" t="str">
        <f t="shared" si="7"/>
        <v>Перемычка оконная, 1-ый эт. Вариант 4</v>
      </c>
      <c r="B837" s="2691" t="str">
        <f t="shared" si="7"/>
        <v>м.п.</v>
      </c>
      <c r="C837" s="2685">
        <f t="shared" si="7"/>
        <v>0.2</v>
      </c>
      <c r="D837" s="2685"/>
      <c r="E837" s="2685">
        <f t="shared" si="8"/>
        <v>0</v>
      </c>
      <c r="F837" s="2685"/>
      <c r="G837" s="2685">
        <f t="shared" si="6"/>
        <v>0</v>
      </c>
      <c r="H837" s="2422">
        <f>дома!C1549*(IF('Ввод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38" spans="1:8">
      <c r="A838" s="2685" t="str">
        <f t="shared" si="7"/>
        <v>Перемычка оконная, 1-ый эт. Вариант 5</v>
      </c>
      <c r="B838" s="2691" t="str">
        <f t="shared" si="7"/>
        <v>м.п.</v>
      </c>
      <c r="C838" s="2685">
        <f t="shared" si="7"/>
        <v>0.2</v>
      </c>
      <c r="D838" s="2685"/>
      <c r="E838" s="2685">
        <f t="shared" si="8"/>
        <v>0</v>
      </c>
      <c r="F838" s="2685"/>
      <c r="G838" s="2685">
        <f t="shared" si="6"/>
        <v>0</v>
      </c>
      <c r="H838" s="2422">
        <f>дома!C1550*(IF('Ввод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39" spans="1:8">
      <c r="A839" s="2685" t="str">
        <f t="shared" si="7"/>
        <v>Перемычка оконная, 2-ый эт. Вариант 6</v>
      </c>
      <c r="B839" s="2691" t="str">
        <f t="shared" si="7"/>
        <v>м.п.</v>
      </c>
      <c r="C839" s="2685">
        <f t="shared" si="7"/>
        <v>0.2</v>
      </c>
      <c r="D839" s="2685"/>
      <c r="E839" s="2685">
        <f t="shared" si="8"/>
        <v>0</v>
      </c>
      <c r="F839" s="2685"/>
      <c r="G839" s="2685">
        <f t="shared" si="6"/>
        <v>0</v>
      </c>
      <c r="H839" s="2422">
        <f>дома!C1551*(IF('Ввод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0" spans="1:8">
      <c r="A840" s="2685" t="str">
        <f t="shared" si="7"/>
        <v>Перемычка оконная, 2-ый эт. Вариант 7</v>
      </c>
      <c r="B840" s="2691" t="str">
        <f t="shared" si="7"/>
        <v>м.п.</v>
      </c>
      <c r="C840" s="2685">
        <f t="shared" si="7"/>
        <v>0.2</v>
      </c>
      <c r="D840" s="2685"/>
      <c r="E840" s="2685">
        <f t="shared" si="8"/>
        <v>0</v>
      </c>
      <c r="F840" s="2685"/>
      <c r="G840" s="2685">
        <f t="shared" si="6"/>
        <v>0</v>
      </c>
      <c r="H840" s="2422">
        <f>дома!C1552*(IF('Ввод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1" spans="1:8">
      <c r="A841" s="2685" t="str">
        <f t="shared" si="7"/>
        <v>Перемычка оконная, 2-ый эт. Вариант 8</v>
      </c>
      <c r="B841" s="2691" t="str">
        <f t="shared" si="7"/>
        <v>м.п.</v>
      </c>
      <c r="C841" s="2685">
        <f t="shared" si="7"/>
        <v>0.2</v>
      </c>
      <c r="D841" s="2685"/>
      <c r="E841" s="2685">
        <f t="shared" si="8"/>
        <v>0</v>
      </c>
      <c r="F841" s="2685"/>
      <c r="G841" s="2685">
        <f t="shared" si="6"/>
        <v>0</v>
      </c>
      <c r="H841" s="2422">
        <f>дома!C1553*(IF('Ввод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2" spans="1:8">
      <c r="A842" s="2685" t="str">
        <f t="shared" si="7"/>
        <v>Перемычка оконная, 2-ый эт. Вариант 9</v>
      </c>
      <c r="B842" s="2691" t="str">
        <f t="shared" si="7"/>
        <v>м.п.</v>
      </c>
      <c r="C842" s="2685">
        <f t="shared" si="7"/>
        <v>0.2</v>
      </c>
      <c r="D842" s="2685"/>
      <c r="E842" s="2685">
        <f t="shared" si="8"/>
        <v>0</v>
      </c>
      <c r="F842" s="2685"/>
      <c r="G842" s="2685">
        <f t="shared" si="6"/>
        <v>0</v>
      </c>
      <c r="H842" s="2422">
        <f>дома!C1554*(IF('Ввод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3" spans="1:8">
      <c r="A843" s="2685" t="str">
        <f t="shared" si="7"/>
        <v>Перемычка оконная, 2-ый эт. Вариант 10</v>
      </c>
      <c r="B843" s="2691" t="str">
        <f t="shared" si="7"/>
        <v>м.п.</v>
      </c>
      <c r="C843" s="2685">
        <f t="shared" si="7"/>
        <v>0.2</v>
      </c>
      <c r="D843" s="2685"/>
      <c r="E843" s="2685">
        <f t="shared" si="8"/>
        <v>0</v>
      </c>
      <c r="F843" s="2685"/>
      <c r="G843" s="2685">
        <f t="shared" si="6"/>
        <v>0</v>
      </c>
      <c r="H843" s="2422">
        <f>дома!C1555*(IF('Ввод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4" spans="1:8">
      <c r="A844" s="2685" t="str">
        <f t="shared" si="7"/>
        <v>Перемычка дверная, 1-ый эт. Вариант 1</v>
      </c>
      <c r="B844" s="2691" t="str">
        <f t="shared" si="7"/>
        <v>м.п.</v>
      </c>
      <c r="C844" s="2685">
        <f t="shared" si="7"/>
        <v>0.2</v>
      </c>
      <c r="D844" s="2685"/>
      <c r="E844" s="2685">
        <f t="shared" si="8"/>
        <v>0</v>
      </c>
      <c r="F844" s="2685"/>
      <c r="G844" s="2685">
        <f t="shared" si="6"/>
        <v>0</v>
      </c>
      <c r="H844" s="2422">
        <f>дома!C1556*(IF('Ввод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5" spans="1:8">
      <c r="A845" s="2685" t="str">
        <f t="shared" si="7"/>
        <v>Перемычка дверная, 2-ый эт. Вариант 2</v>
      </c>
      <c r="B845" s="2691" t="str">
        <f t="shared" si="7"/>
        <v>м.п.</v>
      </c>
      <c r="C845" s="2685">
        <f t="shared" si="7"/>
        <v>0.2</v>
      </c>
      <c r="D845" s="2685"/>
      <c r="E845" s="2685">
        <f t="shared" si="8"/>
        <v>0</v>
      </c>
      <c r="F845" s="2685"/>
      <c r="G845" s="2685">
        <f t="shared" si="6"/>
        <v>0</v>
      </c>
      <c r="H845" s="2422">
        <f>дома!C1557*(IF('Ввод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6" spans="1:8">
      <c r="A846" s="2685" t="str">
        <f t="shared" si="7"/>
        <v>Перемычка оконная 1-ый эт, Вариант 11</v>
      </c>
      <c r="B846" s="2691" t="str">
        <f t="shared" si="7"/>
        <v>м.п.</v>
      </c>
      <c r="C846" s="2685">
        <f t="shared" si="7"/>
        <v>0.2</v>
      </c>
      <c r="D846" s="2685"/>
      <c r="E846" s="2685">
        <f t="shared" si="8"/>
        <v>0</v>
      </c>
      <c r="F846" s="2685"/>
      <c r="G846" s="2685">
        <f t="shared" si="6"/>
        <v>0</v>
      </c>
      <c r="H846" s="2422">
        <f>дома!C1558*(IF('Ввод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7" spans="1:8">
      <c r="A847" s="2685" t="str">
        <f t="shared" si="7"/>
        <v>Перемычка оконная 1-ый эт, Вариант 12</v>
      </c>
      <c r="B847" s="2691" t="str">
        <f t="shared" si="7"/>
        <v>м.п.</v>
      </c>
      <c r="C847" s="2685">
        <f t="shared" si="7"/>
        <v>0.2</v>
      </c>
      <c r="D847" s="2685"/>
      <c r="E847" s="2685">
        <f t="shared" si="8"/>
        <v>0</v>
      </c>
      <c r="F847" s="2685"/>
      <c r="G847" s="2685">
        <f t="shared" si="6"/>
        <v>0</v>
      </c>
      <c r="H847" s="2422">
        <f>дома!C1559*(IF('Ввод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8" spans="1:8">
      <c r="A848" s="2685" t="str">
        <f t="shared" si="7"/>
        <v>Перемычка дверная, 1-ый эт. Вариант 4</v>
      </c>
      <c r="B848" s="2691" t="str">
        <f t="shared" si="7"/>
        <v>м.п.</v>
      </c>
      <c r="C848" s="2685">
        <f t="shared" si="7"/>
        <v>0.2</v>
      </c>
      <c r="D848" s="2685"/>
      <c r="E848" s="2685">
        <f t="shared" si="8"/>
        <v>0</v>
      </c>
      <c r="F848" s="2685"/>
      <c r="G848" s="2685">
        <f t="shared" si="6"/>
        <v>0</v>
      </c>
      <c r="H848" s="2422">
        <f>дома!C1560*(IF('Ввод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9" spans="1:8">
      <c r="A849" s="2685" t="str">
        <f t="shared" si="7"/>
        <v>Перемычка дверная, 1-ый эт. Вариант 5</v>
      </c>
      <c r="B849" s="2691" t="str">
        <f t="shared" si="7"/>
        <v>м.п.</v>
      </c>
      <c r="C849" s="2685">
        <f t="shared" si="7"/>
        <v>0.2</v>
      </c>
      <c r="D849" s="2685"/>
      <c r="E849" s="2685">
        <f t="shared" si="8"/>
        <v>0</v>
      </c>
      <c r="F849" s="2685"/>
      <c r="G849" s="2685">
        <f t="shared" si="6"/>
        <v>0</v>
      </c>
      <c r="H849" s="2422">
        <f>дома!C1561*(IF('Ввод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0" spans="1:8">
      <c r="A850" s="2685" t="str">
        <f t="shared" si="7"/>
        <v>Перемычка дверная, 1-ый эт. Вариант 6</v>
      </c>
      <c r="B850" s="2691" t="str">
        <f t="shared" si="7"/>
        <v>м.п.</v>
      </c>
      <c r="C850" s="2685">
        <f t="shared" si="7"/>
        <v>0.2</v>
      </c>
      <c r="D850" s="2685"/>
      <c r="E850" s="2685">
        <f t="shared" si="8"/>
        <v>0</v>
      </c>
      <c r="F850" s="2685"/>
      <c r="G850" s="2685">
        <f t="shared" si="6"/>
        <v>0</v>
      </c>
      <c r="H850" s="2422">
        <f>дома!C1562*(IF('Ввод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1" spans="1:8">
      <c r="A851" s="2685" t="str">
        <f t="shared" si="7"/>
        <v>Перемычка дверная, 2-ый эт. Вариант 7</v>
      </c>
      <c r="B851" s="2691" t="str">
        <f t="shared" si="7"/>
        <v>м.п.</v>
      </c>
      <c r="C851" s="2685">
        <f t="shared" si="7"/>
        <v>0.2</v>
      </c>
      <c r="D851" s="2685"/>
      <c r="E851" s="2685">
        <f t="shared" si="8"/>
        <v>0</v>
      </c>
      <c r="F851" s="2685"/>
      <c r="G851" s="2685">
        <f t="shared" si="6"/>
        <v>0</v>
      </c>
      <c r="H851" s="2422">
        <f>дома!C1563*(IF('Ввод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2" spans="1:8">
      <c r="A852" s="2685" t="str">
        <f t="shared" si="7"/>
        <v>Перемычка дверная, 2-ый эт. Вариант 8</v>
      </c>
      <c r="B852" s="2691" t="str">
        <f t="shared" si="7"/>
        <v>м.п.</v>
      </c>
      <c r="C852" s="2685">
        <f t="shared" si="7"/>
        <v>0.2</v>
      </c>
      <c r="D852" s="2685"/>
      <c r="E852" s="2685">
        <f t="shared" si="8"/>
        <v>0</v>
      </c>
      <c r="F852" s="2685"/>
      <c r="G852" s="2685">
        <f t="shared" si="6"/>
        <v>0</v>
      </c>
      <c r="H852" s="2422">
        <f>дома!C1564*(IF('Ввод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3" spans="1:8">
      <c r="A853" s="2685" t="str">
        <f t="shared" si="7"/>
        <v>Перемычка дверная, 2-ый эт. Вариант 9</v>
      </c>
      <c r="B853" s="2691" t="str">
        <f t="shared" si="7"/>
        <v>м.п.</v>
      </c>
      <c r="C853" s="2685">
        <f t="shared" si="7"/>
        <v>0.2</v>
      </c>
      <c r="D853" s="2685"/>
      <c r="E853" s="2685">
        <f t="shared" si="8"/>
        <v>0</v>
      </c>
      <c r="F853" s="2685"/>
      <c r="G853" s="2685">
        <f t="shared" si="6"/>
        <v>0</v>
      </c>
      <c r="H853" s="2422">
        <f>дома!C1565*(IF('Ввод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4" spans="1:8">
      <c r="A854" s="2685" t="str">
        <f t="shared" si="7"/>
        <v>Перемычка проема, 1-ый эт. Вариант 10</v>
      </c>
      <c r="B854" s="2691" t="str">
        <f t="shared" si="7"/>
        <v>м.п.</v>
      </c>
      <c r="C854" s="2685">
        <f t="shared" si="7"/>
        <v>0.2</v>
      </c>
      <c r="D854" s="2685"/>
      <c r="E854" s="2685">
        <f t="shared" si="8"/>
        <v>0</v>
      </c>
      <c r="F854" s="2685"/>
      <c r="G854" s="2685">
        <f t="shared" si="6"/>
        <v>0</v>
      </c>
      <c r="H854" s="2422">
        <f>дома!C1566*(IF('Ввод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5" spans="1:8">
      <c r="A855" s="2685" t="str">
        <f t="shared" si="7"/>
        <v>Перемычка проема, 1-ый эт. Вариант 11</v>
      </c>
      <c r="B855" s="2691" t="str">
        <f t="shared" si="7"/>
        <v>м.п.</v>
      </c>
      <c r="C855" s="2685">
        <f t="shared" si="7"/>
        <v>0.2</v>
      </c>
      <c r="D855" s="2685"/>
      <c r="E855" s="2685">
        <f t="shared" si="8"/>
        <v>0</v>
      </c>
      <c r="F855" s="2685"/>
      <c r="G855" s="2685">
        <f t="shared" si="6"/>
        <v>0</v>
      </c>
      <c r="H855" s="2422">
        <f>дома!C1567*(IF('Ввод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6" spans="1:8">
      <c r="A856" s="2685" t="str">
        <f t="shared" si="7"/>
        <v>Перемычка проема, 2-ый эт. Вариант 12</v>
      </c>
      <c r="B856" s="2691" t="str">
        <f t="shared" si="7"/>
        <v>м.п.</v>
      </c>
      <c r="C856" s="2685">
        <f t="shared" si="7"/>
        <v>0.2</v>
      </c>
      <c r="D856" s="2685"/>
      <c r="E856" s="2685">
        <f t="shared" si="8"/>
        <v>0</v>
      </c>
      <c r="F856" s="2685"/>
      <c r="G856" s="2685">
        <f t="shared" si="6"/>
        <v>0</v>
      </c>
      <c r="H856" s="2422">
        <f>дома!C1568*(IF('Ввод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7" spans="1:8">
      <c r="A857" s="2685" t="str">
        <f t="shared" si="7"/>
        <v>Перемычка проема, 2-ый эт. Вариант 13</v>
      </c>
      <c r="B857" s="2691" t="str">
        <f t="shared" si="7"/>
        <v>м.п.</v>
      </c>
      <c r="C857" s="2685">
        <f t="shared" si="7"/>
        <v>0.2</v>
      </c>
      <c r="D857" s="2685"/>
      <c r="E857" s="2685">
        <f t="shared" si="8"/>
        <v>0</v>
      </c>
      <c r="F857" s="2685"/>
      <c r="G857" s="2685">
        <f t="shared" si="6"/>
        <v>0</v>
      </c>
      <c r="H857" s="2422">
        <f>дома!C1569*(IF('Ввод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8" spans="1:8">
      <c r="A858" s="2685" t="str">
        <f t="shared" si="7"/>
        <v>Перемычка дверная, 1-ый эт. Вариант 1</v>
      </c>
      <c r="B858" s="2691" t="str">
        <f t="shared" si="7"/>
        <v>м.п.</v>
      </c>
      <c r="C858" s="2685">
        <f t="shared" si="7"/>
        <v>0.2</v>
      </c>
      <c r="D858" s="2685"/>
      <c r="E858" s="2685">
        <f t="shared" si="8"/>
        <v>0</v>
      </c>
      <c r="F858" s="2685"/>
      <c r="G858" s="2685">
        <f t="shared" si="6"/>
        <v>0</v>
      </c>
      <c r="H858" s="2422">
        <f>дома!C1570*(IF('Ввод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9" spans="1:8">
      <c r="A859" s="2685" t="str">
        <f t="shared" si="7"/>
        <v>Перемычка дверная, 1-ый эт. Вариант 2</v>
      </c>
      <c r="B859" s="2691" t="str">
        <f t="shared" si="7"/>
        <v>м.п.</v>
      </c>
      <c r="C859" s="2685">
        <f t="shared" si="7"/>
        <v>0.2</v>
      </c>
      <c r="D859" s="2685"/>
      <c r="E859" s="2685">
        <f t="shared" si="8"/>
        <v>0</v>
      </c>
      <c r="F859" s="2685"/>
      <c r="G859" s="2685">
        <f t="shared" si="6"/>
        <v>0</v>
      </c>
      <c r="H859" s="2422">
        <f>дома!C1571*(IF('Ввод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60" spans="1:8">
      <c r="A860" s="2685" t="str">
        <f t="shared" si="7"/>
        <v>Перемычка дверная, 1-ый эт. Вариант 3</v>
      </c>
      <c r="B860" s="2691" t="str">
        <f t="shared" si="7"/>
        <v>м.п.</v>
      </c>
      <c r="C860" s="2685">
        <f t="shared" si="7"/>
        <v>0.2</v>
      </c>
      <c r="D860" s="2685"/>
      <c r="E860" s="2685">
        <f t="shared" si="8"/>
        <v>0</v>
      </c>
      <c r="F860" s="2685"/>
      <c r="G860" s="2685">
        <f t="shared" si="6"/>
        <v>0</v>
      </c>
      <c r="H860" s="2422">
        <f>дома!C1572*(IF('Ввод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61" spans="1:8" ht="20">
      <c r="A861" s="2699" t="s">
        <v>1093</v>
      </c>
      <c r="B861" s="2694" t="s">
        <v>208</v>
      </c>
      <c r="C861" s="2694" t="s">
        <v>293</v>
      </c>
      <c r="D861" s="2694" t="s">
        <v>1800</v>
      </c>
      <c r="E861" s="2681" t="s">
        <v>853</v>
      </c>
      <c r="F861" s="2693" t="s">
        <v>1902</v>
      </c>
      <c r="G861" s="2693" t="s">
        <v>4186</v>
      </c>
      <c r="H861" s="2686">
        <f>SUM(H862:H866)</f>
        <v>4</v>
      </c>
    </row>
    <row r="862" spans="1:8" ht="16">
      <c r="A862" s="2670" t="s">
        <v>4181</v>
      </c>
      <c r="B862" s="2684" t="s">
        <v>135</v>
      </c>
      <c r="C862" s="2422">
        <f t="shared" ref="C862:G864" si="9">C831</f>
        <v>219</v>
      </c>
      <c r="D862" s="2422">
        <f t="shared" si="9"/>
        <v>250</v>
      </c>
      <c r="E862" s="2422">
        <f t="shared" si="9"/>
        <v>510</v>
      </c>
      <c r="F862" s="2672">
        <f t="shared" si="9"/>
        <v>41.751600000000003</v>
      </c>
      <c r="G862" s="2672">
        <f t="shared" si="9"/>
        <v>1495.2672575879669</v>
      </c>
      <c r="H862" s="2686">
        <f>IF(G862&gt;0,1,0)</f>
        <v>1</v>
      </c>
    </row>
    <row r="863" spans="1:8" ht="16">
      <c r="A863" s="2685" t="s">
        <v>4183</v>
      </c>
      <c r="B863" s="2684" t="s">
        <v>135</v>
      </c>
      <c r="C863" s="2422">
        <f t="shared" si="9"/>
        <v>219</v>
      </c>
      <c r="D863" s="2422">
        <f t="shared" si="9"/>
        <v>250</v>
      </c>
      <c r="E863" s="2422">
        <f t="shared" si="9"/>
        <v>510</v>
      </c>
      <c r="F863" s="2672">
        <f t="shared" si="9"/>
        <v>12.672000000000001</v>
      </c>
      <c r="G863" s="2672">
        <f t="shared" si="9"/>
        <v>453.82755842062858</v>
      </c>
      <c r="H863" s="2686">
        <f>IF(G863&gt;0,1,0)</f>
        <v>1</v>
      </c>
    </row>
    <row r="864" spans="1:8" ht="16">
      <c r="A864" s="2685" t="s">
        <v>4184</v>
      </c>
      <c r="B864" s="2684" t="s">
        <v>135</v>
      </c>
      <c r="C864" s="2422">
        <f t="shared" si="9"/>
        <v>219</v>
      </c>
      <c r="D864" s="2422">
        <f t="shared" si="9"/>
        <v>250</v>
      </c>
      <c r="E864" s="2422">
        <f t="shared" si="9"/>
        <v>510</v>
      </c>
      <c r="F864" s="2672">
        <f t="shared" si="9"/>
        <v>4.1184000000000003</v>
      </c>
      <c r="G864" s="2672">
        <f t="shared" si="9"/>
        <v>147.49395648670429</v>
      </c>
      <c r="H864" s="2686">
        <f>IF(G864&gt;0,1,0)</f>
        <v>1</v>
      </c>
    </row>
    <row r="865" spans="1:8">
      <c r="A865" s="2695" t="s">
        <v>4187</v>
      </c>
      <c r="B865" s="2691" t="s">
        <v>156</v>
      </c>
      <c r="C865" s="2422"/>
      <c r="D865" s="2422"/>
      <c r="E865" s="2422"/>
      <c r="F865" s="2422">
        <f>SUM(H834:H847)+SUM(H858:H860)</f>
        <v>1</v>
      </c>
      <c r="G865" s="2422"/>
      <c r="H865" s="2686">
        <f>IF(F865&gt;0,1,0)</f>
        <v>1</v>
      </c>
    </row>
    <row r="866" spans="1:8">
      <c r="A866" s="2695" t="s">
        <v>4188</v>
      </c>
      <c r="B866" s="2691" t="s">
        <v>156</v>
      </c>
      <c r="C866" s="2422"/>
      <c r="D866" s="2422"/>
      <c r="E866" s="2422"/>
      <c r="F866" s="2422">
        <f>SUM(H848:H857)</f>
        <v>0</v>
      </c>
      <c r="G866" s="2422"/>
      <c r="H866" s="2686">
        <f>IF(F866&gt;0,1,0)</f>
        <v>0</v>
      </c>
    </row>
    <row r="867" spans="1:8" ht="24">
      <c r="A867" s="3268" t="s">
        <v>4191</v>
      </c>
      <c r="B867" s="3268"/>
      <c r="C867" s="3268"/>
      <c r="D867" s="3268"/>
      <c r="E867" s="3268"/>
      <c r="F867" s="3268"/>
      <c r="G867" s="2668"/>
      <c r="H867" s="2669">
        <f>H868</f>
        <v>0</v>
      </c>
    </row>
    <row r="868" spans="1:8" ht="36.75" customHeight="1">
      <c r="A868" s="2682" t="s">
        <v>1093</v>
      </c>
      <c r="B868" s="2682" t="s">
        <v>208</v>
      </c>
      <c r="C868" s="2682" t="s">
        <v>209</v>
      </c>
      <c r="D868" s="2682" t="s">
        <v>273</v>
      </c>
      <c r="E868" s="2682" t="s">
        <v>257</v>
      </c>
      <c r="F868" s="2693" t="s">
        <v>4192</v>
      </c>
      <c r="G868" s="2700" t="s">
        <v>4193</v>
      </c>
      <c r="H868" s="2698">
        <f>SUM(H869:H872)</f>
        <v>0</v>
      </c>
    </row>
    <row r="869" spans="1:8">
      <c r="A869" s="2685" t="str">
        <f>дома!A1396</f>
        <v>Sip панель 2800*1250*174мм</v>
      </c>
      <c r="B869" s="2691" t="s">
        <v>159</v>
      </c>
      <c r="C869" s="2685">
        <f>дома!I1396</f>
        <v>2.8</v>
      </c>
      <c r="D869" s="2685">
        <f>дома!J1396</f>
        <v>1.25</v>
      </c>
      <c r="E869" s="2685">
        <f>дома!K1396</f>
        <v>0.17399999999999999</v>
      </c>
      <c r="F869" s="2685">
        <f>дома!C1396</f>
        <v>-1.7999999999999998</v>
      </c>
      <c r="G869" s="2685">
        <f>дома!G1396</f>
        <v>1</v>
      </c>
      <c r="H869" s="2692">
        <f>G869*(IF('Ввод данных'!$A$8=связи1!$A$157,1,0)+IF('Ввод данных'!$A$8=связи1!$A$168,1,0)+IF('Ввод данных'!$A$8=связи1!$A$176,1,0)+IF('Ввод данных'!$A$8=связи1!$A$183,1,0))</f>
        <v>0</v>
      </c>
    </row>
    <row r="870" spans="1:8">
      <c r="A870" s="2685" t="str">
        <f>дома!A1397</f>
        <v>Sip панель 2800*1250*174мм</v>
      </c>
      <c r="B870" s="2691" t="s">
        <v>159</v>
      </c>
      <c r="C870" s="2685">
        <f>дома!I1397</f>
        <v>2.8</v>
      </c>
      <c r="D870" s="2685">
        <f>дома!J1397</f>
        <v>1.25</v>
      </c>
      <c r="E870" s="2685">
        <f>дома!K1397</f>
        <v>0.17399999999999999</v>
      </c>
      <c r="F870" s="2685">
        <f>дома!C1397</f>
        <v>0</v>
      </c>
      <c r="G870" s="2685">
        <f>дома!G1397</f>
        <v>1</v>
      </c>
      <c r="H870" s="2692">
        <f>G870*(IF('Ввод данных'!$A$8=связи1!$A$157,1,0)+IF('Ввод данных'!$A$8=связи1!$A$168,1,0)+IF('Ввод данных'!$A$8=связи1!$A$176,1,0)+IF('Ввод данных'!$A$8=связи1!$A$183,1,0))</f>
        <v>0</v>
      </c>
    </row>
    <row r="871" spans="1:8">
      <c r="A871" s="2685" t="str">
        <f>дома!A1398</f>
        <v>Sip панель 2800*1250*124мм</v>
      </c>
      <c r="B871" s="2691" t="s">
        <v>159</v>
      </c>
      <c r="C871" s="2685">
        <f>дома!I1398</f>
        <v>2.8</v>
      </c>
      <c r="D871" s="2685">
        <f>дома!J1398</f>
        <v>1.25</v>
      </c>
      <c r="E871" s="2685">
        <f>дома!K1398</f>
        <v>0.124</v>
      </c>
      <c r="F871" s="2685">
        <f>дома!C1398</f>
        <v>0</v>
      </c>
      <c r="G871" s="2685">
        <f>дома!G1398</f>
        <v>1</v>
      </c>
      <c r="H871" s="2692">
        <f>G871*(IF('Ввод данных'!$A$8=связи1!$A$157,1,0)+IF('Ввод данных'!$A$8=связи1!$A$168,1,0)+IF('Ввод данных'!$A$8=связи1!$A$176,1,0)+IF('Ввод данных'!$A$8=связи1!$A$183,1,0))</f>
        <v>0</v>
      </c>
    </row>
    <row r="872" spans="1:8">
      <c r="A872" s="2685" t="str">
        <f>дома!A1408</f>
        <v xml:space="preserve">Нет </v>
      </c>
      <c r="B872" s="2691" t="s">
        <v>159</v>
      </c>
      <c r="C872" s="2685">
        <f>дома!I1408</f>
        <v>0</v>
      </c>
      <c r="D872" s="2685">
        <f>дома!J1408</f>
        <v>0</v>
      </c>
      <c r="E872" s="2685">
        <f>дома!K1408</f>
        <v>0</v>
      </c>
      <c r="F872" s="2685">
        <f>дома!C1408</f>
        <v>0</v>
      </c>
      <c r="G872" s="2685">
        <f>дома!G1408</f>
        <v>0</v>
      </c>
      <c r="H872" s="2692">
        <f>G872*(IF('Ввод данных'!$A$8=связи1!$A$157,1,0)+IF('Ввод данных'!$A$8=связи1!$A$168,1,0)+IF('Ввод данных'!$A$8=связи1!$A$176,1,0)+IF('Ввод данных'!$A$8=связи1!$A$183,1,0))</f>
        <v>0</v>
      </c>
    </row>
  </sheetData>
  <autoFilter ref="H3:H872" xr:uid="{00000000-0009-0000-0000-000009000000}"/>
  <mergeCells count="19">
    <mergeCell ref="A748:F748"/>
    <mergeCell ref="A791:F791"/>
    <mergeCell ref="A829:F829"/>
    <mergeCell ref="A867:F867"/>
    <mergeCell ref="A613:F613"/>
    <mergeCell ref="A654:F654"/>
    <mergeCell ref="A695:F695"/>
    <mergeCell ref="A736:F736"/>
    <mergeCell ref="A740:F740"/>
    <mergeCell ref="A408:F408"/>
    <mergeCell ref="A449:F449"/>
    <mergeCell ref="A490:F490"/>
    <mergeCell ref="A531:F531"/>
    <mergeCell ref="A572:F572"/>
    <mergeCell ref="A1:D2"/>
    <mergeCell ref="E1:G1"/>
    <mergeCell ref="E2:G2"/>
    <mergeCell ref="A5:F5"/>
    <mergeCell ref="A210:F210"/>
  </mergeCells>
  <pageMargins left="0.70833333333333304" right="0.70833333333333304" top="0.74791666666666701" bottom="0.74791666666666701" header="0.51180555555555496" footer="0.51180555555555496"/>
  <pageSetup paperSize="9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J1069"/>
  <sheetViews>
    <sheetView topLeftCell="A256" zoomScale="60" zoomScaleNormal="60" workbookViewId="0">
      <pane xSplit="1" topLeftCell="B1" activePane="topRight" state="frozen"/>
      <selection activeCell="A256" sqref="A256"/>
      <selection pane="topRight" activeCell="C154" sqref="C154"/>
    </sheetView>
  </sheetViews>
  <sheetFormatPr baseColWidth="10" defaultColWidth="9.1640625" defaultRowHeight="15"/>
  <cols>
    <col min="1" max="1" width="45.33203125" style="2379" customWidth="1"/>
    <col min="2" max="2" width="39.6640625" style="2379" customWidth="1"/>
    <col min="3" max="3" width="9.1640625" style="2379"/>
    <col min="4" max="4" width="10.33203125" style="2379" customWidth="1"/>
    <col min="5" max="5" width="15.1640625" style="2379" customWidth="1"/>
    <col min="6" max="6" width="39.5" style="2379" customWidth="1"/>
    <col min="7" max="7" width="10.33203125" style="2379" customWidth="1"/>
    <col min="8" max="8" width="16.5" style="2379" customWidth="1"/>
    <col min="9" max="9" width="41.5" style="2379" customWidth="1"/>
    <col min="10" max="10" width="28.5" style="2379" customWidth="1"/>
    <col min="11" max="11" width="9.1640625" style="2379"/>
    <col min="12" max="13" width="13" style="2379" customWidth="1"/>
    <col min="14" max="16" width="40" style="2379" customWidth="1"/>
    <col min="17" max="18" width="9.1640625" style="2379"/>
    <col min="19" max="19" width="31.5" style="2379" customWidth="1"/>
    <col min="20" max="1024" width="9.1640625" style="2379"/>
  </cols>
  <sheetData>
    <row r="1" spans="1:19" ht="16">
      <c r="A1" s="2421" t="s">
        <v>1820</v>
      </c>
      <c r="B1" s="2421"/>
      <c r="C1" s="2426"/>
      <c r="D1" s="2426"/>
      <c r="E1" s="2379" t="s">
        <v>4194</v>
      </c>
      <c r="F1" s="2421" t="s">
        <v>4195</v>
      </c>
      <c r="G1" s="2421"/>
      <c r="N1" s="2701"/>
      <c r="O1" s="2541" t="s">
        <v>4196</v>
      </c>
      <c r="R1" s="2379" t="s">
        <v>4197</v>
      </c>
      <c r="S1" s="2379" t="s">
        <v>853</v>
      </c>
    </row>
    <row r="2" spans="1:19" ht="16">
      <c r="A2" s="2421" t="s">
        <v>1821</v>
      </c>
      <c r="B2" s="2702">
        <v>1</v>
      </c>
      <c r="C2" s="2702"/>
      <c r="D2" s="2702"/>
      <c r="E2" s="2421">
        <v>0</v>
      </c>
      <c r="F2" s="2703" t="s">
        <v>4198</v>
      </c>
      <c r="G2" s="2421">
        <v>0</v>
      </c>
      <c r="H2" s="2379" t="s">
        <v>4199</v>
      </c>
      <c r="N2" s="2701" t="s">
        <v>4200</v>
      </c>
      <c r="O2" s="2541" t="s">
        <v>4201</v>
      </c>
      <c r="Q2" s="2379">
        <v>0</v>
      </c>
      <c r="R2" s="2379">
        <v>0</v>
      </c>
      <c r="S2" s="2379">
        <v>0</v>
      </c>
    </row>
    <row r="3" spans="1:19" ht="16">
      <c r="A3" s="2421" t="s">
        <v>1798</v>
      </c>
      <c r="B3" s="2702">
        <v>0</v>
      </c>
      <c r="C3" s="2702"/>
      <c r="D3" s="2702"/>
      <c r="E3" s="2421">
        <v>0.1</v>
      </c>
      <c r="F3" s="2703" t="s">
        <v>1747</v>
      </c>
      <c r="G3" s="2421">
        <v>1</v>
      </c>
      <c r="H3" s="2379" t="s">
        <v>493</v>
      </c>
      <c r="N3" s="2701"/>
      <c r="O3" s="2541"/>
      <c r="Q3" s="2379">
        <v>0.05</v>
      </c>
      <c r="R3" s="2379">
        <v>1</v>
      </c>
      <c r="S3" s="2379">
        <v>2</v>
      </c>
    </row>
    <row r="4" spans="1:19" ht="16">
      <c r="E4" s="2421">
        <v>0.15</v>
      </c>
      <c r="H4" s="2379" t="s">
        <v>2462</v>
      </c>
      <c r="N4" s="2701" t="s">
        <v>4202</v>
      </c>
      <c r="O4" s="2541"/>
      <c r="Q4" s="2379">
        <v>0.1</v>
      </c>
      <c r="R4" s="2379">
        <v>2</v>
      </c>
      <c r="S4" s="2379">
        <v>2.1</v>
      </c>
    </row>
    <row r="5" spans="1:19" ht="16">
      <c r="A5" s="2421" t="s">
        <v>2747</v>
      </c>
      <c r="B5" s="2702"/>
      <c r="C5" s="2702"/>
      <c r="D5" s="2702"/>
      <c r="E5" s="2421">
        <v>0.18</v>
      </c>
      <c r="F5" s="2703" t="s">
        <v>2373</v>
      </c>
      <c r="H5" s="2379" t="s">
        <v>4203</v>
      </c>
      <c r="N5" s="2701"/>
      <c r="O5" s="2541"/>
      <c r="Q5" s="2379">
        <v>0.15</v>
      </c>
      <c r="R5" s="2379">
        <v>3</v>
      </c>
      <c r="S5" s="2379">
        <v>2.2000000000000002</v>
      </c>
    </row>
    <row r="6" spans="1:19" ht="14.5" customHeight="1">
      <c r="A6" s="2421" t="s">
        <v>1890</v>
      </c>
      <c r="B6" s="2702">
        <v>1</v>
      </c>
      <c r="C6" s="2702"/>
      <c r="D6" s="2702"/>
      <c r="E6" s="2421">
        <v>0.2</v>
      </c>
      <c r="F6" s="2703">
        <v>0</v>
      </c>
      <c r="N6" s="3269" t="s">
        <v>4204</v>
      </c>
      <c r="O6" s="3269"/>
      <c r="Q6" s="2379">
        <v>0.2</v>
      </c>
      <c r="R6" s="2379">
        <v>4</v>
      </c>
      <c r="S6" s="2379">
        <v>2.2999999999999998</v>
      </c>
    </row>
    <row r="7" spans="1:19" ht="16">
      <c r="A7" s="2421" t="s">
        <v>4205</v>
      </c>
      <c r="B7" s="2702">
        <v>1</v>
      </c>
      <c r="C7" s="2702"/>
      <c r="D7" s="2702"/>
      <c r="E7" s="2421">
        <v>0.25</v>
      </c>
      <c r="F7" s="2703">
        <v>0.1</v>
      </c>
      <c r="H7" s="2379" t="s">
        <v>4206</v>
      </c>
      <c r="N7" s="2704" t="s">
        <v>4207</v>
      </c>
      <c r="O7" s="2541" t="s">
        <v>4208</v>
      </c>
      <c r="Q7" s="2379">
        <v>0.25</v>
      </c>
      <c r="R7" s="2379">
        <v>5</v>
      </c>
      <c r="S7" s="2379">
        <v>2.4</v>
      </c>
    </row>
    <row r="8" spans="1:19" ht="16">
      <c r="A8" s="2421" t="s">
        <v>1068</v>
      </c>
      <c r="B8" s="2702">
        <v>1</v>
      </c>
      <c r="C8" s="2702"/>
      <c r="D8" s="2702"/>
      <c r="E8" s="2421">
        <v>0.3</v>
      </c>
      <c r="F8" s="2703">
        <v>0.15</v>
      </c>
      <c r="H8" s="2379" t="s">
        <v>2469</v>
      </c>
      <c r="N8" s="2705" t="s">
        <v>4209</v>
      </c>
      <c r="O8" s="2541" t="s">
        <v>4210</v>
      </c>
      <c r="Q8" s="2379">
        <v>0.3</v>
      </c>
      <c r="R8" s="2379">
        <v>6</v>
      </c>
      <c r="S8" s="2379">
        <v>2.5</v>
      </c>
    </row>
    <row r="9" spans="1:19" ht="16">
      <c r="A9" s="2421"/>
      <c r="B9" s="2702">
        <v>1</v>
      </c>
      <c r="C9" s="2702"/>
      <c r="D9" s="2702"/>
      <c r="E9" s="2421"/>
      <c r="F9" s="2703">
        <v>0.18</v>
      </c>
      <c r="H9" s="2379" t="s">
        <v>4211</v>
      </c>
      <c r="N9" s="2706" t="s">
        <v>207</v>
      </c>
      <c r="O9" s="2541" t="s">
        <v>4212</v>
      </c>
      <c r="Q9" s="2379">
        <v>0.35</v>
      </c>
      <c r="R9" s="2379">
        <v>7</v>
      </c>
      <c r="S9" s="2379">
        <v>2.6</v>
      </c>
    </row>
    <row r="10" spans="1:19" ht="16">
      <c r="F10" s="2421">
        <v>0.2</v>
      </c>
      <c r="H10" s="2379" t="s">
        <v>4213</v>
      </c>
      <c r="N10" s="2706" t="s">
        <v>4214</v>
      </c>
      <c r="O10" s="2541" t="s">
        <v>4215</v>
      </c>
      <c r="Q10" s="2379">
        <v>0.4</v>
      </c>
      <c r="R10" s="2379">
        <v>8</v>
      </c>
      <c r="S10" s="2379">
        <v>2.7</v>
      </c>
    </row>
    <row r="11" spans="1:19" ht="14.5" customHeight="1">
      <c r="E11" s="2421" t="s">
        <v>4216</v>
      </c>
      <c r="F11" s="2703">
        <v>0.25</v>
      </c>
      <c r="N11" s="3269" t="s">
        <v>4217</v>
      </c>
      <c r="O11" s="3269"/>
      <c r="Q11" s="2379">
        <v>0.45</v>
      </c>
      <c r="R11" s="2379">
        <v>9</v>
      </c>
      <c r="S11" s="2379">
        <v>2.8</v>
      </c>
    </row>
    <row r="12" spans="1:19" ht="16">
      <c r="A12" s="2379" t="s">
        <v>4218</v>
      </c>
      <c r="E12" s="2421">
        <v>0</v>
      </c>
      <c r="F12" s="2703"/>
      <c r="H12" s="2379" t="s">
        <v>1590</v>
      </c>
      <c r="N12" s="2705" t="s">
        <v>4219</v>
      </c>
      <c r="O12" s="2541" t="s">
        <v>4208</v>
      </c>
      <c r="Q12" s="2379">
        <v>0.5</v>
      </c>
      <c r="R12" s="2379">
        <v>10</v>
      </c>
      <c r="S12" s="2379">
        <v>2.9</v>
      </c>
    </row>
    <row r="13" spans="1:19" ht="16">
      <c r="A13" s="2506" t="s">
        <v>3943</v>
      </c>
      <c r="E13" s="2421">
        <v>2.5000000000000001E-2</v>
      </c>
      <c r="H13" s="2379" t="s">
        <v>2472</v>
      </c>
      <c r="N13" s="2705" t="s">
        <v>4220</v>
      </c>
      <c r="O13" s="2541" t="s">
        <v>4210</v>
      </c>
      <c r="Q13" s="2379">
        <v>0.55000000000000004</v>
      </c>
      <c r="R13" s="2379">
        <v>11</v>
      </c>
      <c r="S13" s="2379">
        <v>3</v>
      </c>
    </row>
    <row r="14" spans="1:19" ht="16">
      <c r="A14" s="2506" t="s">
        <v>3960</v>
      </c>
      <c r="E14" s="2421">
        <v>3.5000000000000003E-2</v>
      </c>
      <c r="F14" s="2703" t="s">
        <v>4221</v>
      </c>
      <c r="H14" s="2379" t="s">
        <v>4222</v>
      </c>
      <c r="N14" s="2706" t="s">
        <v>4200</v>
      </c>
      <c r="O14" s="2541" t="s">
        <v>4212</v>
      </c>
      <c r="Q14" s="2379">
        <v>0.6</v>
      </c>
      <c r="R14" s="2379">
        <v>12</v>
      </c>
      <c r="S14" s="2379">
        <v>3.1</v>
      </c>
    </row>
    <row r="15" spans="1:19" ht="16">
      <c r="E15" s="2421">
        <v>0.04</v>
      </c>
      <c r="F15" s="2703">
        <v>0</v>
      </c>
      <c r="H15" s="2379" t="s">
        <v>2475</v>
      </c>
      <c r="N15" s="2706" t="s">
        <v>2026</v>
      </c>
      <c r="O15" s="2541" t="s">
        <v>4215</v>
      </c>
      <c r="Q15" s="2379">
        <v>0.65</v>
      </c>
      <c r="R15" s="2379">
        <v>13</v>
      </c>
      <c r="S15" s="2379">
        <v>3.2</v>
      </c>
    </row>
    <row r="16" spans="1:19">
      <c r="E16" s="2421">
        <v>4.4999999999999998E-2</v>
      </c>
      <c r="F16" s="2703">
        <v>0.124</v>
      </c>
      <c r="Q16" s="2379">
        <v>0.7</v>
      </c>
      <c r="R16" s="2379">
        <v>14</v>
      </c>
      <c r="S16" s="2379">
        <v>3.3</v>
      </c>
    </row>
    <row r="17" spans="1:19">
      <c r="A17" s="2421" t="s">
        <v>4223</v>
      </c>
      <c r="E17" s="2421">
        <v>0.05</v>
      </c>
      <c r="F17" s="2703">
        <v>0.17399999999999999</v>
      </c>
      <c r="H17" s="2421" t="s">
        <v>1582</v>
      </c>
      <c r="Q17" s="2379">
        <v>0.75</v>
      </c>
      <c r="R17" s="2379">
        <v>15</v>
      </c>
      <c r="S17" s="2379">
        <v>3.4</v>
      </c>
    </row>
    <row r="18" spans="1:19" ht="16">
      <c r="A18" s="378" t="s">
        <v>4224</v>
      </c>
      <c r="E18" s="2421">
        <v>5.5E-2</v>
      </c>
      <c r="F18" s="2703">
        <v>0.224</v>
      </c>
      <c r="H18" s="2379" t="s">
        <v>2472</v>
      </c>
      <c r="Q18" s="2379">
        <v>0.8</v>
      </c>
      <c r="R18" s="2379">
        <v>16</v>
      </c>
      <c r="S18" s="2379">
        <v>3.5</v>
      </c>
    </row>
    <row r="19" spans="1:19" ht="16">
      <c r="A19" s="378" t="s">
        <v>2443</v>
      </c>
      <c r="E19" s="2421">
        <v>0.06</v>
      </c>
      <c r="F19" s="2703"/>
      <c r="H19" s="898" t="s">
        <v>3968</v>
      </c>
      <c r="Q19" s="2379">
        <v>0.85</v>
      </c>
      <c r="R19" s="2379">
        <v>17</v>
      </c>
      <c r="S19" s="2379">
        <v>3.6</v>
      </c>
    </row>
    <row r="20" spans="1:19" ht="16">
      <c r="A20" s="223" t="s">
        <v>1249</v>
      </c>
      <c r="E20" s="2421">
        <v>6.5000000000000002E-2</v>
      </c>
      <c r="H20" s="898" t="s">
        <v>1255</v>
      </c>
      <c r="Q20" s="2379">
        <v>0.9</v>
      </c>
      <c r="R20" s="2379">
        <v>18</v>
      </c>
      <c r="S20" s="2379">
        <v>3.7</v>
      </c>
    </row>
    <row r="21" spans="1:19" ht="16">
      <c r="A21" s="223" t="s">
        <v>1253</v>
      </c>
      <c r="E21" s="2421">
        <v>7.0000000000000007E-2</v>
      </c>
      <c r="F21" s="2703" t="s">
        <v>1568</v>
      </c>
      <c r="G21" s="2702"/>
      <c r="H21" s="898" t="s">
        <v>1281</v>
      </c>
      <c r="Q21" s="2379">
        <v>0.95</v>
      </c>
      <c r="R21" s="2379">
        <v>19</v>
      </c>
      <c r="S21" s="2379">
        <v>3.8</v>
      </c>
    </row>
    <row r="22" spans="1:19" ht="16">
      <c r="A22" s="223" t="s">
        <v>4225</v>
      </c>
      <c r="E22" s="2421">
        <v>7.4999999999999997E-2</v>
      </c>
      <c r="F22" s="2703" t="s">
        <v>134</v>
      </c>
      <c r="G22" s="2702">
        <v>1</v>
      </c>
      <c r="H22" s="898" t="s">
        <v>1282</v>
      </c>
      <c r="Q22" s="2379">
        <v>1</v>
      </c>
      <c r="R22" s="2379">
        <v>20</v>
      </c>
      <c r="S22" s="2379">
        <v>3.9</v>
      </c>
    </row>
    <row r="23" spans="1:19" ht="16">
      <c r="A23" s="223" t="s">
        <v>4226</v>
      </c>
      <c r="E23" s="2421">
        <v>0.08</v>
      </c>
      <c r="F23" s="2703" t="s">
        <v>4227</v>
      </c>
      <c r="G23" s="2702">
        <v>1</v>
      </c>
      <c r="H23" s="2421"/>
      <c r="Q23" s="2379">
        <v>1.05</v>
      </c>
      <c r="R23" s="2379">
        <v>21</v>
      </c>
      <c r="S23" s="2379">
        <v>4</v>
      </c>
    </row>
    <row r="24" spans="1:19" ht="16">
      <c r="A24" s="378" t="s">
        <v>4228</v>
      </c>
      <c r="E24" s="2421" t="s">
        <v>4229</v>
      </c>
      <c r="F24" s="2703" t="s">
        <v>4042</v>
      </c>
      <c r="G24" s="2421"/>
      <c r="Q24" s="2379">
        <v>1.1499999999999999</v>
      </c>
      <c r="R24" s="2379">
        <v>23</v>
      </c>
      <c r="S24" s="2379">
        <v>4.2</v>
      </c>
    </row>
    <row r="25" spans="1:19">
      <c r="A25" s="2421" t="s">
        <v>4230</v>
      </c>
      <c r="E25" s="2421">
        <v>0</v>
      </c>
      <c r="F25" s="2703" t="s">
        <v>2142</v>
      </c>
      <c r="G25" s="2421">
        <v>1</v>
      </c>
      <c r="H25" s="2421" t="s">
        <v>1552</v>
      </c>
      <c r="Q25" s="2379">
        <v>1.2</v>
      </c>
      <c r="R25" s="2379">
        <v>24</v>
      </c>
      <c r="S25" s="2379">
        <v>4.3</v>
      </c>
    </row>
    <row r="26" spans="1:19">
      <c r="E26" s="2421">
        <v>0.2</v>
      </c>
      <c r="F26" s="2703" t="s">
        <v>4231</v>
      </c>
      <c r="G26" s="2421">
        <v>1</v>
      </c>
      <c r="H26" s="2421" t="s">
        <v>2472</v>
      </c>
      <c r="Q26" s="2379">
        <v>1.25</v>
      </c>
      <c r="R26" s="2379">
        <v>25</v>
      </c>
      <c r="S26" s="2379">
        <v>4.4000000000000004</v>
      </c>
    </row>
    <row r="27" spans="1:19" ht="16">
      <c r="A27" s="2421" t="s">
        <v>3905</v>
      </c>
      <c r="E27" s="2421">
        <v>0.3</v>
      </c>
      <c r="H27" s="898" t="s">
        <v>1255</v>
      </c>
      <c r="Q27" s="2379">
        <v>1.3</v>
      </c>
      <c r="R27" s="2379">
        <v>26</v>
      </c>
      <c r="S27" s="2379">
        <v>4.5</v>
      </c>
    </row>
    <row r="28" spans="1:19" ht="16">
      <c r="A28" s="223" t="s">
        <v>1253</v>
      </c>
      <c r="E28" s="2702">
        <v>0.4</v>
      </c>
      <c r="F28" s="2421" t="s">
        <v>4232</v>
      </c>
      <c r="H28" s="898" t="s">
        <v>1281</v>
      </c>
      <c r="Q28" s="2379">
        <v>1.35</v>
      </c>
      <c r="R28" s="2379">
        <v>27</v>
      </c>
      <c r="S28" s="2379">
        <v>4.5999999999999996</v>
      </c>
    </row>
    <row r="29" spans="1:19" ht="16">
      <c r="A29" s="223" t="s">
        <v>1261</v>
      </c>
      <c r="E29" s="2702">
        <v>0.5</v>
      </c>
      <c r="F29" s="2421">
        <v>0</v>
      </c>
      <c r="H29" s="898" t="s">
        <v>1282</v>
      </c>
      <c r="Q29" s="2379">
        <v>1.4</v>
      </c>
      <c r="R29" s="2379">
        <v>28</v>
      </c>
      <c r="S29" s="2379">
        <v>4.7</v>
      </c>
    </row>
    <row r="30" spans="1:19" ht="16">
      <c r="A30" s="223" t="s">
        <v>1258</v>
      </c>
      <c r="E30" s="2702">
        <v>0.6</v>
      </c>
      <c r="F30" s="2421">
        <v>1</v>
      </c>
      <c r="H30" s="2421"/>
      <c r="Q30" s="2379">
        <v>1.45</v>
      </c>
      <c r="R30" s="2379">
        <v>29</v>
      </c>
      <c r="S30" s="2379">
        <v>4.8</v>
      </c>
    </row>
    <row r="31" spans="1:19" ht="16">
      <c r="A31" s="223" t="s">
        <v>3945</v>
      </c>
      <c r="E31" s="2702">
        <v>0.7</v>
      </c>
      <c r="F31" s="2421">
        <v>2</v>
      </c>
      <c r="H31" s="2421"/>
      <c r="Q31" s="2379">
        <v>1.5</v>
      </c>
      <c r="R31" s="2379">
        <v>30</v>
      </c>
      <c r="S31" s="2379">
        <v>4.9000000000000004</v>
      </c>
    </row>
    <row r="32" spans="1:19">
      <c r="E32" s="2702">
        <v>0.8</v>
      </c>
      <c r="F32" s="2421">
        <v>3</v>
      </c>
      <c r="Q32" s="2379">
        <v>1.55</v>
      </c>
      <c r="R32" s="2379">
        <v>31</v>
      </c>
      <c r="S32" s="2379">
        <v>5</v>
      </c>
    </row>
    <row r="33" spans="1:19">
      <c r="E33" s="2702">
        <v>0.9</v>
      </c>
      <c r="F33" s="2421">
        <v>4</v>
      </c>
      <c r="H33" s="2421" t="s">
        <v>4233</v>
      </c>
      <c r="Q33" s="2379">
        <v>1.6</v>
      </c>
      <c r="R33" s="2379">
        <v>32</v>
      </c>
      <c r="S33" s="2379">
        <v>5.0999999999999996</v>
      </c>
    </row>
    <row r="34" spans="1:19" ht="16">
      <c r="A34" s="223" t="s">
        <v>4219</v>
      </c>
      <c r="E34" s="2702">
        <v>1</v>
      </c>
      <c r="F34" s="2421">
        <v>5</v>
      </c>
      <c r="H34" s="2421" t="s">
        <v>2472</v>
      </c>
      <c r="Q34" s="2379">
        <v>1.65</v>
      </c>
      <c r="R34" s="2379">
        <v>33</v>
      </c>
      <c r="S34" s="2379">
        <v>5.2</v>
      </c>
    </row>
    <row r="35" spans="1:19" ht="16">
      <c r="A35" s="223" t="s">
        <v>4234</v>
      </c>
      <c r="E35" s="2702">
        <v>1.1000000000000001</v>
      </c>
      <c r="F35" s="2421">
        <v>6</v>
      </c>
      <c r="H35" s="2421" t="s">
        <v>2481</v>
      </c>
      <c r="Q35" s="2379">
        <v>1.7</v>
      </c>
      <c r="R35" s="2379">
        <v>34</v>
      </c>
      <c r="S35" s="2379">
        <v>5.3</v>
      </c>
    </row>
    <row r="36" spans="1:19" ht="16">
      <c r="A36" s="223" t="s">
        <v>4235</v>
      </c>
      <c r="E36" s="2702">
        <v>1.2</v>
      </c>
      <c r="F36" s="2421">
        <v>7</v>
      </c>
      <c r="H36" s="2421" t="s">
        <v>4236</v>
      </c>
      <c r="Q36" s="2379">
        <v>1.75</v>
      </c>
      <c r="R36" s="2379">
        <v>35</v>
      </c>
      <c r="S36" s="2379">
        <v>5.4</v>
      </c>
    </row>
    <row r="37" spans="1:19" ht="16">
      <c r="A37" s="223" t="s">
        <v>4237</v>
      </c>
      <c r="E37" s="2702">
        <v>1.3</v>
      </c>
      <c r="F37" s="2421">
        <v>8</v>
      </c>
      <c r="H37" s="2707"/>
      <c r="Q37" s="2379">
        <v>1.8</v>
      </c>
      <c r="R37" s="2379">
        <v>36</v>
      </c>
      <c r="S37" s="2379">
        <v>5.5</v>
      </c>
    </row>
    <row r="38" spans="1:19" ht="16">
      <c r="A38" s="223" t="s">
        <v>4238</v>
      </c>
      <c r="E38" s="2702">
        <v>1.4</v>
      </c>
      <c r="F38" s="2421">
        <v>9</v>
      </c>
      <c r="H38" s="2708"/>
      <c r="Q38" s="2379">
        <v>1.85</v>
      </c>
      <c r="R38" s="2379">
        <v>37</v>
      </c>
      <c r="S38" s="2379">
        <v>5.6</v>
      </c>
    </row>
    <row r="39" spans="1:19">
      <c r="A39" s="2421"/>
      <c r="E39" s="2702">
        <v>1.5</v>
      </c>
      <c r="F39" s="2421">
        <v>10</v>
      </c>
      <c r="H39" s="2707" t="s">
        <v>4239</v>
      </c>
      <c r="Q39" s="2379">
        <v>1.9</v>
      </c>
      <c r="R39" s="2379">
        <v>38</v>
      </c>
      <c r="S39" s="2379">
        <v>5.7</v>
      </c>
    </row>
    <row r="40" spans="1:19">
      <c r="A40" s="2421"/>
      <c r="E40" s="2421" t="s">
        <v>4240</v>
      </c>
      <c r="F40" s="2703">
        <v>11</v>
      </c>
      <c r="H40" s="2421" t="s">
        <v>2472</v>
      </c>
      <c r="Q40" s="2379">
        <v>1.95</v>
      </c>
      <c r="R40" s="2379">
        <v>39</v>
      </c>
      <c r="S40" s="2379">
        <v>5.8</v>
      </c>
    </row>
    <row r="41" spans="1:19">
      <c r="A41" s="2421"/>
      <c r="E41" s="2421">
        <v>0.1</v>
      </c>
      <c r="F41" s="2703">
        <v>12</v>
      </c>
      <c r="H41" s="2707" t="s">
        <v>2482</v>
      </c>
      <c r="Q41" s="2379">
        <v>2</v>
      </c>
      <c r="R41" s="2379">
        <v>40</v>
      </c>
      <c r="S41" s="2379">
        <v>5.9</v>
      </c>
    </row>
    <row r="42" spans="1:19">
      <c r="B42" s="3270" t="s">
        <v>4241</v>
      </c>
      <c r="C42" s="3270"/>
      <c r="D42" s="3270"/>
      <c r="E42" s="2421">
        <v>0.15</v>
      </c>
      <c r="F42" s="2703">
        <v>13</v>
      </c>
      <c r="H42" s="2707" t="s">
        <v>4242</v>
      </c>
      <c r="Q42" s="2379">
        <v>2.0499999999999998</v>
      </c>
      <c r="R42" s="2379">
        <v>41</v>
      </c>
      <c r="S42" s="2379">
        <v>6</v>
      </c>
    </row>
    <row r="43" spans="1:19">
      <c r="A43" s="2421" t="s">
        <v>4243</v>
      </c>
      <c r="B43" s="2421" t="s">
        <v>293</v>
      </c>
      <c r="C43" s="2421" t="s">
        <v>1800</v>
      </c>
      <c r="D43" s="2421" t="s">
        <v>2156</v>
      </c>
      <c r="E43" s="2421">
        <v>0.2</v>
      </c>
      <c r="F43" s="2703">
        <v>14</v>
      </c>
      <c r="H43" s="2707" t="s">
        <v>4244</v>
      </c>
      <c r="Q43" s="2379">
        <v>2.1</v>
      </c>
      <c r="R43" s="2379">
        <v>42</v>
      </c>
      <c r="S43" s="2379">
        <v>6.1</v>
      </c>
    </row>
    <row r="44" spans="1:19">
      <c r="A44" s="2421" t="s">
        <v>1780</v>
      </c>
      <c r="B44" s="2421">
        <v>0</v>
      </c>
      <c r="C44" s="2421">
        <v>0</v>
      </c>
      <c r="D44" s="2421">
        <v>0</v>
      </c>
      <c r="E44" s="2421">
        <v>0.25</v>
      </c>
      <c r="F44" s="2703">
        <v>15</v>
      </c>
      <c r="H44" s="2708"/>
      <c r="Q44" s="2379">
        <v>2.15</v>
      </c>
      <c r="R44" s="2379">
        <v>43</v>
      </c>
      <c r="S44" s="2379">
        <v>6.2</v>
      </c>
    </row>
    <row r="45" spans="1:19">
      <c r="A45" s="2421" t="s">
        <v>4245</v>
      </c>
      <c r="B45" s="2421">
        <v>0.1</v>
      </c>
      <c r="C45" s="2421">
        <v>0.05</v>
      </c>
      <c r="D45" s="2421">
        <v>0.1</v>
      </c>
      <c r="E45" s="2421">
        <v>0.3</v>
      </c>
      <c r="F45" s="2703">
        <v>16</v>
      </c>
      <c r="H45" s="2710" t="s">
        <v>4246</v>
      </c>
      <c r="Q45" s="2379">
        <v>2.2000000000000002</v>
      </c>
      <c r="R45" s="2379">
        <v>44</v>
      </c>
      <c r="S45" s="2379">
        <v>6.3</v>
      </c>
    </row>
    <row r="46" spans="1:19">
      <c r="A46" s="2421" t="s">
        <v>3988</v>
      </c>
      <c r="B46" s="2421">
        <v>0.15</v>
      </c>
      <c r="C46" s="2421">
        <v>0.1</v>
      </c>
      <c r="D46" s="2421">
        <v>0.15</v>
      </c>
      <c r="E46" s="2421">
        <v>0.35</v>
      </c>
      <c r="F46" s="2703">
        <v>17</v>
      </c>
      <c r="H46" s="2421" t="s">
        <v>2472</v>
      </c>
      <c r="Q46" s="2379">
        <v>2.25</v>
      </c>
      <c r="R46" s="2379">
        <v>45</v>
      </c>
      <c r="S46" s="2379">
        <v>6.4</v>
      </c>
    </row>
    <row r="47" spans="1:19">
      <c r="A47" s="2421" t="s">
        <v>4247</v>
      </c>
      <c r="B47" s="2421">
        <v>0.18</v>
      </c>
      <c r="C47" s="2421">
        <v>0.15</v>
      </c>
      <c r="D47" s="2421">
        <v>0.2</v>
      </c>
      <c r="E47" s="2421">
        <v>0.375</v>
      </c>
      <c r="H47" s="2707" t="s">
        <v>2483</v>
      </c>
      <c r="Q47" s="2379">
        <v>2.2999999999999998</v>
      </c>
      <c r="R47" s="2379">
        <v>46</v>
      </c>
      <c r="S47" s="2379">
        <v>6.5</v>
      </c>
    </row>
    <row r="48" spans="1:19">
      <c r="A48" s="2421" t="s">
        <v>4248</v>
      </c>
      <c r="B48" s="2421">
        <v>0.2</v>
      </c>
      <c r="C48" s="2421">
        <v>0.18</v>
      </c>
      <c r="D48" s="2421">
        <v>0.3</v>
      </c>
      <c r="E48" s="2421">
        <v>0.4</v>
      </c>
      <c r="H48" s="2707"/>
      <c r="Q48" s="2379">
        <v>2.35</v>
      </c>
      <c r="R48" s="2379">
        <v>47</v>
      </c>
      <c r="S48" s="2379">
        <v>6.6</v>
      </c>
    </row>
    <row r="49" spans="1:19">
      <c r="A49" s="2421"/>
      <c r="B49" s="2421">
        <v>0.25</v>
      </c>
      <c r="C49" s="2421">
        <v>0.2</v>
      </c>
      <c r="D49" s="2421">
        <v>0.4</v>
      </c>
      <c r="E49" s="2421">
        <v>0.42499999999999999</v>
      </c>
      <c r="H49" s="2707"/>
      <c r="Q49" s="2379">
        <v>2.4</v>
      </c>
      <c r="R49" s="2379">
        <v>48</v>
      </c>
      <c r="S49" s="2379">
        <v>6.7</v>
      </c>
    </row>
    <row r="50" spans="1:19">
      <c r="A50" s="2421"/>
      <c r="B50" s="2421">
        <v>0.3</v>
      </c>
      <c r="C50" s="2421">
        <v>0.25</v>
      </c>
      <c r="D50" s="2421">
        <v>0.5</v>
      </c>
      <c r="E50" s="2421">
        <v>0.45</v>
      </c>
      <c r="H50" s="2707"/>
      <c r="Q50" s="2379">
        <v>2.4500000000000002</v>
      </c>
      <c r="R50" s="2379">
        <v>49</v>
      </c>
      <c r="S50" s="2379">
        <v>6.8</v>
      </c>
    </row>
    <row r="51" spans="1:19">
      <c r="A51" s="2421"/>
      <c r="B51" s="2421"/>
      <c r="C51" s="2421">
        <v>0.3</v>
      </c>
      <c r="D51" s="2421">
        <v>0.6</v>
      </c>
      <c r="E51" s="2421">
        <v>0.47499999999999998</v>
      </c>
      <c r="Q51" s="2379">
        <v>2.5</v>
      </c>
      <c r="R51" s="2379">
        <v>50</v>
      </c>
      <c r="S51" s="2379">
        <v>6.9</v>
      </c>
    </row>
    <row r="52" spans="1:19">
      <c r="A52" s="2421" t="s">
        <v>1782</v>
      </c>
      <c r="B52" s="2421"/>
      <c r="D52" s="2421">
        <v>0.7</v>
      </c>
      <c r="E52" s="2421">
        <v>0.5</v>
      </c>
      <c r="Q52" s="2379">
        <v>2.5499999999999998</v>
      </c>
      <c r="R52" s="2379">
        <v>51</v>
      </c>
      <c r="S52" s="2379">
        <v>7</v>
      </c>
    </row>
    <row r="53" spans="1:19">
      <c r="A53" s="2421" t="s">
        <v>4249</v>
      </c>
      <c r="B53" s="2421">
        <v>1</v>
      </c>
      <c r="D53" s="2421">
        <v>0.8</v>
      </c>
      <c r="E53" s="2421">
        <v>0.52500000000000002</v>
      </c>
      <c r="H53" s="2379" t="s">
        <v>3905</v>
      </c>
      <c r="Q53" s="2379">
        <v>2.6</v>
      </c>
      <c r="R53" s="2379">
        <v>52</v>
      </c>
      <c r="S53" s="2379">
        <v>7.1</v>
      </c>
    </row>
    <row r="54" spans="1:19">
      <c r="A54" s="2421" t="s">
        <v>4250</v>
      </c>
      <c r="B54" s="2421">
        <v>0</v>
      </c>
      <c r="D54" s="2421">
        <v>0.9</v>
      </c>
      <c r="E54" s="2421">
        <v>0.55000000000000004</v>
      </c>
      <c r="H54" s="2379" t="s">
        <v>4251</v>
      </c>
      <c r="Q54" s="2379">
        <v>2.65</v>
      </c>
      <c r="R54" s="2379">
        <v>53</v>
      </c>
      <c r="S54" s="2379">
        <v>7.2</v>
      </c>
    </row>
    <row r="55" spans="1:19">
      <c r="D55" s="2421">
        <v>1</v>
      </c>
      <c r="E55" s="2421">
        <v>0.57499999999999996</v>
      </c>
      <c r="H55" s="2379" t="s">
        <v>134</v>
      </c>
      <c r="Q55" s="2379">
        <v>2.7</v>
      </c>
      <c r="R55" s="2379">
        <v>54</v>
      </c>
      <c r="S55" s="2379">
        <v>7.3</v>
      </c>
    </row>
    <row r="56" spans="1:19">
      <c r="A56" s="2421" t="s">
        <v>2237</v>
      </c>
      <c r="B56" s="2421"/>
      <c r="D56" s="2421">
        <v>1.1000000000000001</v>
      </c>
      <c r="E56" s="2421">
        <v>0.6</v>
      </c>
      <c r="Q56" s="2379">
        <v>2.75</v>
      </c>
      <c r="R56" s="2379">
        <v>55</v>
      </c>
      <c r="S56" s="2379">
        <v>7.4</v>
      </c>
    </row>
    <row r="57" spans="1:19">
      <c r="A57" s="2708" t="s">
        <v>4252</v>
      </c>
      <c r="B57" s="2421"/>
      <c r="D57" s="2421">
        <v>1.2</v>
      </c>
      <c r="E57" s="2421">
        <v>0.625</v>
      </c>
      <c r="F57" s="2421" t="s">
        <v>4253</v>
      </c>
      <c r="Q57" s="2379">
        <v>2.8</v>
      </c>
      <c r="R57" s="2379">
        <v>56</v>
      </c>
      <c r="S57" s="2379">
        <v>7.5</v>
      </c>
    </row>
    <row r="58" spans="1:19">
      <c r="A58" s="2421" t="s">
        <v>4254</v>
      </c>
      <c r="B58" s="2421"/>
      <c r="D58" s="2421">
        <v>1.3</v>
      </c>
      <c r="E58" s="2421">
        <v>0.65</v>
      </c>
      <c r="F58" s="2421" t="s">
        <v>4255</v>
      </c>
      <c r="Q58" s="2379">
        <v>2.85</v>
      </c>
      <c r="R58" s="2379">
        <v>57</v>
      </c>
      <c r="S58" s="2379">
        <v>7.6000000000000103</v>
      </c>
    </row>
    <row r="59" spans="1:19">
      <c r="A59" s="2421" t="s">
        <v>4256</v>
      </c>
      <c r="B59" s="2421"/>
      <c r="D59" s="2421">
        <v>1.4</v>
      </c>
      <c r="E59" s="2421">
        <v>0.67500000000000004</v>
      </c>
      <c r="F59" s="938" t="s">
        <v>4257</v>
      </c>
      <c r="Q59" s="2379">
        <v>2.9</v>
      </c>
      <c r="R59" s="2379">
        <v>58</v>
      </c>
      <c r="S59" s="2379">
        <v>7.7</v>
      </c>
    </row>
    <row r="60" spans="1:19">
      <c r="A60" s="2421" t="s">
        <v>4258</v>
      </c>
      <c r="B60" s="2421"/>
      <c r="D60" s="2421">
        <v>1.5</v>
      </c>
      <c r="E60" s="2421">
        <v>0.7</v>
      </c>
      <c r="F60" s="938" t="s">
        <v>4259</v>
      </c>
      <c r="Q60" s="2379">
        <v>2.95</v>
      </c>
      <c r="R60" s="2379">
        <v>59</v>
      </c>
      <c r="S60" s="2379">
        <v>7.8</v>
      </c>
    </row>
    <row r="61" spans="1:19">
      <c r="A61" s="2421"/>
      <c r="B61" s="2421"/>
      <c r="D61" s="2421">
        <v>1.6</v>
      </c>
      <c r="E61" s="2421">
        <v>0.72499999999999998</v>
      </c>
      <c r="F61" s="938" t="s">
        <v>4260</v>
      </c>
      <c r="Q61" s="2379">
        <v>3</v>
      </c>
      <c r="R61" s="2379">
        <v>60</v>
      </c>
      <c r="S61" s="2379">
        <v>7.9000000000000101</v>
      </c>
    </row>
    <row r="62" spans="1:19">
      <c r="A62" s="2421" t="s">
        <v>4261</v>
      </c>
      <c r="B62" s="2421"/>
      <c r="D62" s="2421">
        <v>1.7</v>
      </c>
      <c r="E62" s="2421">
        <v>0.75</v>
      </c>
      <c r="Q62" s="2379">
        <v>3.05</v>
      </c>
      <c r="R62" s="2379">
        <v>61</v>
      </c>
      <c r="S62" s="2379">
        <v>8.0000000000000107</v>
      </c>
    </row>
    <row r="63" spans="1:19">
      <c r="A63" s="2708" t="s">
        <v>4252</v>
      </c>
      <c r="B63" s="2421"/>
      <c r="D63" s="2421">
        <v>1.8</v>
      </c>
      <c r="E63" s="2421">
        <v>0.77500000000000002</v>
      </c>
      <c r="Q63" s="2379">
        <v>3.1</v>
      </c>
      <c r="R63" s="2379">
        <v>62</v>
      </c>
      <c r="S63" s="2379">
        <v>8.1000000000000103</v>
      </c>
    </row>
    <row r="64" spans="1:19">
      <c r="A64" s="2421" t="s">
        <v>4262</v>
      </c>
      <c r="B64" s="2421"/>
      <c r="D64" s="2421">
        <v>1.9</v>
      </c>
      <c r="E64" s="2421">
        <v>0.8</v>
      </c>
      <c r="F64" s="2711" t="s">
        <v>4263</v>
      </c>
      <c r="Q64" s="2379">
        <v>3.15</v>
      </c>
      <c r="R64" s="2379">
        <v>63</v>
      </c>
      <c r="S64" s="2379">
        <v>8.1999999999999993</v>
      </c>
    </row>
    <row r="65" spans="1:19">
      <c r="A65" s="2421" t="s">
        <v>4264</v>
      </c>
      <c r="B65" s="2421"/>
      <c r="D65" s="2421">
        <v>2</v>
      </c>
      <c r="E65" s="2421">
        <v>0.82499999999999996</v>
      </c>
      <c r="F65" s="2711" t="s">
        <v>1780</v>
      </c>
      <c r="Q65" s="2379">
        <v>3.2</v>
      </c>
      <c r="R65" s="2379">
        <v>64</v>
      </c>
      <c r="S65" s="2379">
        <v>8.3000000000000096</v>
      </c>
    </row>
    <row r="66" spans="1:19">
      <c r="A66" s="2421"/>
      <c r="B66" s="2421"/>
      <c r="D66" s="2421">
        <v>2.1</v>
      </c>
      <c r="E66" s="2421">
        <v>0.85</v>
      </c>
      <c r="F66" s="2711" t="s">
        <v>4202</v>
      </c>
      <c r="Q66" s="2379">
        <v>3.25</v>
      </c>
      <c r="R66" s="2379">
        <v>65</v>
      </c>
      <c r="S66" s="2379">
        <v>8.4000000000000092</v>
      </c>
    </row>
    <row r="67" spans="1:19">
      <c r="D67" s="2421">
        <v>2.2000000000000002</v>
      </c>
      <c r="E67" s="2421">
        <v>0.875</v>
      </c>
      <c r="F67" s="2711" t="s">
        <v>4265</v>
      </c>
      <c r="Q67" s="2379">
        <v>3.3</v>
      </c>
      <c r="R67" s="2379">
        <v>66</v>
      </c>
      <c r="S67" s="2379">
        <v>8.5000000000000107</v>
      </c>
    </row>
    <row r="68" spans="1:19">
      <c r="A68" s="2379" t="s">
        <v>4266</v>
      </c>
      <c r="D68" s="2421">
        <v>2.2999999999999998</v>
      </c>
      <c r="E68" s="2421">
        <v>0.9</v>
      </c>
      <c r="Q68" s="2379">
        <v>3.35</v>
      </c>
      <c r="R68" s="2379">
        <v>67</v>
      </c>
      <c r="S68" s="2379">
        <v>8.6000000000000103</v>
      </c>
    </row>
    <row r="69" spans="1:19">
      <c r="A69" s="2379" t="s">
        <v>4267</v>
      </c>
      <c r="D69" s="2421">
        <v>2.4</v>
      </c>
      <c r="E69" s="2421">
        <v>0.92500000000000004</v>
      </c>
      <c r="Q69" s="2379">
        <v>3.4</v>
      </c>
      <c r="R69" s="2379">
        <v>68</v>
      </c>
      <c r="S69" s="2379">
        <v>8.7000000000000099</v>
      </c>
    </row>
    <row r="70" spans="1:19">
      <c r="A70" s="2379" t="s">
        <v>2506</v>
      </c>
      <c r="D70" s="2421">
        <v>2.5</v>
      </c>
      <c r="E70" s="2421">
        <v>0.95000000000000095</v>
      </c>
      <c r="Q70" s="2379">
        <v>3.45</v>
      </c>
      <c r="R70" s="2379">
        <v>69</v>
      </c>
      <c r="S70" s="2379">
        <v>8.8000000000000096</v>
      </c>
    </row>
    <row r="71" spans="1:19">
      <c r="D71" s="2421">
        <v>2.6</v>
      </c>
      <c r="E71" s="2421">
        <v>0.97500000000000098</v>
      </c>
      <c r="Q71" s="2379">
        <v>3.5</v>
      </c>
      <c r="R71" s="2379">
        <v>70</v>
      </c>
      <c r="S71" s="2379">
        <v>8.9000000000000092</v>
      </c>
    </row>
    <row r="72" spans="1:19">
      <c r="D72" s="2421">
        <v>2.7</v>
      </c>
      <c r="E72" s="2421">
        <v>1</v>
      </c>
      <c r="Q72" s="2379">
        <v>3.55</v>
      </c>
      <c r="R72" s="2379">
        <v>71</v>
      </c>
      <c r="S72" s="2379">
        <v>9.0000000000000107</v>
      </c>
    </row>
    <row r="73" spans="1:19">
      <c r="A73" s="2421" t="s">
        <v>1622</v>
      </c>
      <c r="B73" s="2421"/>
      <c r="D73" s="2421">
        <v>2.8</v>
      </c>
      <c r="Q73" s="2379">
        <v>3.6</v>
      </c>
      <c r="R73" s="2379">
        <v>72</v>
      </c>
      <c r="S73" s="2379">
        <v>9.1000000000000103</v>
      </c>
    </row>
    <row r="74" spans="1:19">
      <c r="A74" s="2707" t="s">
        <v>4268</v>
      </c>
      <c r="B74" s="2421">
        <v>0</v>
      </c>
      <c r="C74" s="2426"/>
      <c r="D74" s="2421">
        <v>2.9</v>
      </c>
      <c r="E74" s="2708"/>
      <c r="F74" s="2708"/>
      <c r="R74" s="2379">
        <v>73</v>
      </c>
      <c r="S74" s="2379">
        <v>9.2000000000000099</v>
      </c>
    </row>
    <row r="75" spans="1:19">
      <c r="A75" s="1055" t="str">
        <f>'Прайс лист'!B1186</f>
        <v>дно бетонное, диаметр 1м.п.</v>
      </c>
      <c r="B75" s="2459">
        <f>'Прайс лист'!G1186</f>
        <v>2000</v>
      </c>
      <c r="C75" s="2426"/>
      <c r="D75" s="2421">
        <v>3</v>
      </c>
      <c r="E75" s="2426"/>
      <c r="F75" s="2426"/>
      <c r="R75" s="2379">
        <v>74</v>
      </c>
      <c r="S75" s="2379">
        <v>9.3000000000000096</v>
      </c>
    </row>
    <row r="76" spans="1:19">
      <c r="A76" s="1055" t="str">
        <f>'Прайс лист'!B1187</f>
        <v>дно бетонное, диаметр 1,5м.п.</v>
      </c>
      <c r="B76" s="2459">
        <f>'Прайс лист'!G1187</f>
        <v>2000</v>
      </c>
      <c r="C76" s="2426"/>
      <c r="D76" s="2712"/>
      <c r="E76" s="2426"/>
      <c r="F76" s="2426"/>
      <c r="R76" s="2379">
        <v>75</v>
      </c>
      <c r="S76" s="2379">
        <v>9.4000000000000092</v>
      </c>
    </row>
    <row r="77" spans="1:19">
      <c r="A77" s="1055" t="str">
        <f>'Прайс лист'!B1188</f>
        <v>дно бетонное, диаметр 2м.п.</v>
      </c>
      <c r="B77" s="2459">
        <f>'Прайс лист'!G1188</f>
        <v>2000</v>
      </c>
      <c r="C77" s="2426"/>
      <c r="D77" s="2712"/>
      <c r="E77" s="2426"/>
      <c r="F77" s="2426"/>
      <c r="R77" s="2379">
        <v>76</v>
      </c>
      <c r="S77" s="2379">
        <v>9.5000000000000107</v>
      </c>
    </row>
    <row r="78" spans="1:19">
      <c r="A78" s="1055" t="str">
        <f>'Прайс лист'!B1189</f>
        <v>дно бетонное, диаметр 3м.п.</v>
      </c>
      <c r="B78" s="2459">
        <f>'Прайс лист'!G1189</f>
        <v>2800</v>
      </c>
      <c r="F78" s="2426"/>
      <c r="R78" s="2379">
        <v>77</v>
      </c>
      <c r="S78" s="2379">
        <v>9.6000000000000103</v>
      </c>
    </row>
    <row r="79" spans="1:19">
      <c r="A79" s="2421" t="s">
        <v>4269</v>
      </c>
      <c r="B79" s="2421">
        <v>0</v>
      </c>
      <c r="F79" s="2426"/>
      <c r="R79" s="2379">
        <v>78</v>
      </c>
      <c r="S79" s="2379">
        <v>9.7000000000000099</v>
      </c>
    </row>
    <row r="80" spans="1:19">
      <c r="A80" s="1055" t="str">
        <f>'Прайс лист'!B1190</f>
        <v>кольцо бетонное, диаметр 1м.п.</v>
      </c>
      <c r="B80" s="2459">
        <f>'Прайс лист'!G1190</f>
        <v>2800</v>
      </c>
      <c r="R80" s="2379">
        <v>79</v>
      </c>
      <c r="S80" s="2379">
        <v>9.8000000000000096</v>
      </c>
    </row>
    <row r="81" spans="1:19">
      <c r="A81" s="1055" t="str">
        <f>'Прайс лист'!B1191</f>
        <v>кольцо бетонное, диаметр 1,5м.п.</v>
      </c>
      <c r="B81" s="2459">
        <f>'Прайс лист'!G1191</f>
        <v>2800</v>
      </c>
      <c r="R81" s="2379">
        <v>80</v>
      </c>
      <c r="S81" s="2379">
        <v>9.9000000000000092</v>
      </c>
    </row>
    <row r="82" spans="1:19">
      <c r="A82" s="1055" t="str">
        <f>'Прайс лист'!B1192</f>
        <v>кольцо бетонное, диаметр 2м.п.</v>
      </c>
      <c r="B82" s="2459">
        <f>'Прайс лист'!G1192</f>
        <v>3300</v>
      </c>
      <c r="R82" s="2379">
        <v>81</v>
      </c>
      <c r="S82" s="2379">
        <v>10</v>
      </c>
    </row>
    <row r="83" spans="1:19">
      <c r="A83" s="1055" t="str">
        <f>'Прайс лист'!B1193</f>
        <v>кольцо бетонное, диаметр 3м.п.</v>
      </c>
      <c r="B83" s="2459">
        <f>'Прайс лист'!G1193</f>
        <v>3300</v>
      </c>
      <c r="R83" s="2379">
        <v>82</v>
      </c>
      <c r="S83" s="2379">
        <v>10.1</v>
      </c>
    </row>
    <row r="84" spans="1:19">
      <c r="A84" s="2421" t="s">
        <v>4270</v>
      </c>
      <c r="B84" s="2421">
        <v>0</v>
      </c>
      <c r="R84" s="2379">
        <v>83</v>
      </c>
      <c r="S84" s="2379">
        <v>10.199999999999999</v>
      </c>
    </row>
    <row r="85" spans="1:19">
      <c r="A85" s="1055" t="str">
        <f>'Прайс лист'!B1194</f>
        <v>крышка бетонная, диаметр 1м.п.</v>
      </c>
      <c r="B85" s="2459">
        <f>'Прайс лист'!G1194</f>
        <v>3300</v>
      </c>
      <c r="R85" s="2379">
        <v>84</v>
      </c>
      <c r="S85" s="2379">
        <v>10.3</v>
      </c>
    </row>
    <row r="86" spans="1:19">
      <c r="A86" s="1055" t="str">
        <f>'Прайс лист'!B1195</f>
        <v>крышка бетонная, диаметр 1,5м.п.</v>
      </c>
      <c r="B86" s="2459">
        <f>'Прайс лист'!G1195</f>
        <v>4000</v>
      </c>
      <c r="R86" s="2379">
        <v>85</v>
      </c>
      <c r="S86" s="2379">
        <v>10.4</v>
      </c>
    </row>
    <row r="87" spans="1:19">
      <c r="A87" s="1055" t="str">
        <f>'Прайс лист'!B1196</f>
        <v>крышка бетонная, диаметр 2м.п.</v>
      </c>
      <c r="B87" s="2459">
        <f>'Прайс лист'!G1196</f>
        <v>4000</v>
      </c>
      <c r="R87" s="2379">
        <v>86</v>
      </c>
      <c r="S87" s="2379">
        <v>10.5</v>
      </c>
    </row>
    <row r="88" spans="1:19">
      <c r="A88" s="1055" t="str">
        <f>'Прайс лист'!B1197</f>
        <v>крышка бетонная, диаметр 3м.п.</v>
      </c>
      <c r="B88" s="2459">
        <f>'Прайс лист'!G1197</f>
        <v>4000</v>
      </c>
      <c r="R88" s="2379">
        <v>87</v>
      </c>
      <c r="S88" s="2379">
        <v>10.6</v>
      </c>
    </row>
    <row r="89" spans="1:19">
      <c r="A89" s="2421" t="s">
        <v>2516</v>
      </c>
      <c r="B89" s="2421">
        <v>0</v>
      </c>
      <c r="R89" s="2379">
        <v>88</v>
      </c>
      <c r="S89" s="2379">
        <v>10.7</v>
      </c>
    </row>
    <row r="90" spans="1:19">
      <c r="A90" s="1055" t="str">
        <f>'Прайс лист'!B1198</f>
        <v>Люк для крышки пластиковый</v>
      </c>
      <c r="B90" s="1055">
        <f>'Прайс лист'!G1198</f>
        <v>2000</v>
      </c>
      <c r="R90" s="2379">
        <v>89</v>
      </c>
      <c r="S90" s="2379">
        <v>10.8</v>
      </c>
    </row>
    <row r="91" spans="1:19">
      <c r="A91" s="1055" t="str">
        <f>'Прайс лист'!B1199</f>
        <v>Люк для крышки чугунный</v>
      </c>
      <c r="B91" s="1055">
        <f>'Прайс лист'!G1199</f>
        <v>3000</v>
      </c>
      <c r="R91" s="2379">
        <v>90</v>
      </c>
      <c r="S91" s="2379">
        <v>10.9</v>
      </c>
    </row>
    <row r="92" spans="1:19">
      <c r="R92" s="2379">
        <v>91</v>
      </c>
      <c r="S92" s="2379">
        <v>11</v>
      </c>
    </row>
    <row r="93" spans="1:19">
      <c r="A93" s="2421" t="s">
        <v>3587</v>
      </c>
      <c r="B93" s="2421"/>
      <c r="R93" s="2379">
        <v>92</v>
      </c>
      <c r="S93" s="2379">
        <v>11.1</v>
      </c>
    </row>
    <row r="94" spans="1:19">
      <c r="A94" s="2421" t="s">
        <v>1749</v>
      </c>
      <c r="B94" s="2421">
        <v>1</v>
      </c>
      <c r="R94" s="2379">
        <v>93</v>
      </c>
      <c r="S94" s="2379">
        <v>11.2</v>
      </c>
    </row>
    <row r="95" spans="1:19">
      <c r="A95" s="2421" t="s">
        <v>1998</v>
      </c>
      <c r="B95" s="2421">
        <v>2</v>
      </c>
      <c r="R95" s="2379">
        <v>94</v>
      </c>
      <c r="S95" s="2379">
        <v>11.3</v>
      </c>
    </row>
    <row r="96" spans="1:19">
      <c r="A96" s="2421" t="s">
        <v>2005</v>
      </c>
      <c r="B96" s="2421">
        <v>2</v>
      </c>
      <c r="R96" s="2379">
        <v>95</v>
      </c>
      <c r="S96" s="2379">
        <v>11.4</v>
      </c>
    </row>
    <row r="97" spans="1:19">
      <c r="A97" s="2421" t="s">
        <v>1990</v>
      </c>
      <c r="B97" s="2421">
        <v>1</v>
      </c>
      <c r="R97" s="2379">
        <v>96</v>
      </c>
      <c r="S97" s="2379">
        <v>11.5</v>
      </c>
    </row>
    <row r="98" spans="1:19">
      <c r="A98" s="2421" t="s">
        <v>4271</v>
      </c>
      <c r="B98" s="2421">
        <v>2</v>
      </c>
      <c r="R98" s="2379">
        <v>97</v>
      </c>
      <c r="S98" s="2379">
        <v>11.6</v>
      </c>
    </row>
    <row r="99" spans="1:19">
      <c r="A99" s="2713" t="s">
        <v>4272</v>
      </c>
      <c r="R99" s="2379">
        <v>98</v>
      </c>
      <c r="S99" s="2379">
        <v>11.7</v>
      </c>
    </row>
    <row r="100" spans="1:19">
      <c r="A100" s="2421" t="s">
        <v>4273</v>
      </c>
      <c r="B100" s="2421">
        <v>0</v>
      </c>
      <c r="R100" s="2379">
        <v>99</v>
      </c>
      <c r="S100" s="2379">
        <v>11.8</v>
      </c>
    </row>
    <row r="101" spans="1:19">
      <c r="A101" s="2153" t="s">
        <v>2276</v>
      </c>
      <c r="B101" s="1055">
        <f>дома!C1765</f>
        <v>110.40000000000003</v>
      </c>
      <c r="R101" s="2379">
        <v>100</v>
      </c>
      <c r="S101" s="2379">
        <v>11.9</v>
      </c>
    </row>
    <row r="102" spans="1:19">
      <c r="A102" s="2153" t="s">
        <v>4274</v>
      </c>
      <c r="B102" s="1055">
        <f>дома!C1766</f>
        <v>0</v>
      </c>
      <c r="R102" s="2379">
        <v>101</v>
      </c>
      <c r="S102" s="2379">
        <v>12</v>
      </c>
    </row>
    <row r="103" spans="1:19">
      <c r="R103" s="2379">
        <v>102</v>
      </c>
      <c r="S103" s="2379">
        <v>12.1</v>
      </c>
    </row>
    <row r="104" spans="1:19">
      <c r="A104" s="2421" t="s">
        <v>4275</v>
      </c>
      <c r="B104" s="2421"/>
      <c r="R104" s="2379">
        <v>103</v>
      </c>
      <c r="S104" s="2379">
        <v>12.2</v>
      </c>
    </row>
    <row r="105" spans="1:19">
      <c r="A105" s="2708" t="s">
        <v>2706</v>
      </c>
      <c r="B105" s="2421"/>
      <c r="R105" s="2379">
        <v>104</v>
      </c>
      <c r="S105" s="2379">
        <v>12.3</v>
      </c>
    </row>
    <row r="106" spans="1:19">
      <c r="A106" s="2421" t="s">
        <v>2133</v>
      </c>
      <c r="B106" s="2421"/>
      <c r="R106" s="2379">
        <v>105</v>
      </c>
      <c r="S106" s="2379">
        <v>12.4</v>
      </c>
    </row>
    <row r="107" spans="1:19">
      <c r="A107" s="2421" t="s">
        <v>1988</v>
      </c>
      <c r="B107" s="2421"/>
      <c r="R107" s="2379">
        <v>106</v>
      </c>
      <c r="S107" s="2379">
        <v>12.5</v>
      </c>
    </row>
    <row r="108" spans="1:19">
      <c r="A108" s="2421" t="s">
        <v>2707</v>
      </c>
      <c r="B108" s="2421"/>
      <c r="R108" s="2379">
        <v>107</v>
      </c>
      <c r="S108" s="2379">
        <v>12.6</v>
      </c>
    </row>
    <row r="109" spans="1:19">
      <c r="A109" s="2421"/>
      <c r="B109" s="2421"/>
      <c r="R109" s="2379">
        <v>108</v>
      </c>
      <c r="S109" s="2379">
        <v>12.7</v>
      </c>
    </row>
    <row r="110" spans="1:19">
      <c r="A110" s="2421"/>
      <c r="B110" s="2421"/>
      <c r="R110" s="2379">
        <v>109</v>
      </c>
      <c r="S110" s="2379">
        <v>12.8</v>
      </c>
    </row>
    <row r="111" spans="1:19">
      <c r="A111" s="2421"/>
      <c r="B111" s="2421"/>
      <c r="R111" s="2379">
        <v>110</v>
      </c>
      <c r="S111" s="2379">
        <v>12.9</v>
      </c>
    </row>
    <row r="112" spans="1:19">
      <c r="R112" s="2379">
        <v>111</v>
      </c>
      <c r="S112" s="2379">
        <v>13</v>
      </c>
    </row>
    <row r="113" spans="1:19">
      <c r="A113" s="2421" t="s">
        <v>4276</v>
      </c>
      <c r="B113" s="2421"/>
      <c r="R113" s="2379">
        <v>112</v>
      </c>
      <c r="S113" s="2379">
        <v>13.1</v>
      </c>
    </row>
    <row r="114" spans="1:19">
      <c r="A114" s="2421" t="s">
        <v>4277</v>
      </c>
      <c r="B114" s="2421"/>
      <c r="R114" s="2379">
        <v>113</v>
      </c>
      <c r="S114" s="2379">
        <v>13.2</v>
      </c>
    </row>
    <row r="115" spans="1:19">
      <c r="A115" s="2421" t="s">
        <v>4278</v>
      </c>
      <c r="B115" s="2421"/>
      <c r="R115" s="2379">
        <v>114</v>
      </c>
      <c r="S115" s="2379">
        <v>13.3</v>
      </c>
    </row>
    <row r="116" spans="1:19">
      <c r="A116" s="2421" t="s">
        <v>4279</v>
      </c>
      <c r="B116" s="2421"/>
      <c r="R116" s="2379">
        <v>115</v>
      </c>
      <c r="S116" s="2379">
        <v>13.4</v>
      </c>
    </row>
    <row r="117" spans="1:19">
      <c r="A117" s="2421"/>
      <c r="B117" s="2421"/>
      <c r="R117" s="2379">
        <v>116</v>
      </c>
      <c r="S117" s="2379">
        <v>13.5</v>
      </c>
    </row>
    <row r="118" spans="1:19">
      <c r="R118" s="2379">
        <v>117</v>
      </c>
      <c r="S118" s="2379">
        <v>13.6</v>
      </c>
    </row>
    <row r="119" spans="1:19">
      <c r="A119" s="2421" t="s">
        <v>4280</v>
      </c>
      <c r="B119" s="2421"/>
      <c r="R119" s="2379">
        <v>118</v>
      </c>
      <c r="S119" s="2379">
        <v>13.7</v>
      </c>
    </row>
    <row r="120" spans="1:19">
      <c r="A120" s="2421" t="s">
        <v>2000</v>
      </c>
      <c r="B120" s="2421"/>
      <c r="R120" s="2379">
        <v>119</v>
      </c>
      <c r="S120" s="2379">
        <v>13.8</v>
      </c>
    </row>
    <row r="121" spans="1:19">
      <c r="A121" s="2421" t="s">
        <v>2012</v>
      </c>
      <c r="B121" s="2421"/>
      <c r="R121" s="2379">
        <v>120</v>
      </c>
      <c r="S121" s="2379">
        <v>13.9</v>
      </c>
    </row>
    <row r="122" spans="1:19">
      <c r="A122" s="2421" t="s">
        <v>4281</v>
      </c>
      <c r="B122" s="2421"/>
      <c r="R122" s="2379">
        <v>121</v>
      </c>
      <c r="S122" s="2379">
        <v>14</v>
      </c>
    </row>
    <row r="123" spans="1:19">
      <c r="A123" s="2421" t="s">
        <v>2006</v>
      </c>
      <c r="B123" s="2421"/>
      <c r="R123" s="2379">
        <v>122</v>
      </c>
      <c r="S123" s="2379">
        <v>14.1</v>
      </c>
    </row>
    <row r="124" spans="1:19">
      <c r="A124" s="2707" t="s">
        <v>2682</v>
      </c>
      <c r="B124" s="2421"/>
      <c r="R124" s="2379">
        <v>123</v>
      </c>
      <c r="S124" s="2379">
        <v>14.2</v>
      </c>
    </row>
    <row r="125" spans="1:19">
      <c r="A125" s="2707" t="s">
        <v>1993</v>
      </c>
      <c r="B125" s="2421"/>
    </row>
    <row r="126" spans="1:19">
      <c r="F126" s="2426"/>
      <c r="R126" s="2379">
        <v>124</v>
      </c>
      <c r="S126" s="2379">
        <v>14.3</v>
      </c>
    </row>
    <row r="127" spans="1:19">
      <c r="A127" s="2421" t="s">
        <v>4282</v>
      </c>
      <c r="B127" s="2421"/>
      <c r="F127" s="2426"/>
      <c r="R127" s="2379">
        <v>125</v>
      </c>
      <c r="S127" s="2379">
        <v>14.4</v>
      </c>
    </row>
    <row r="128" spans="1:19">
      <c r="A128" s="2421" t="s">
        <v>1762</v>
      </c>
      <c r="B128" s="2421"/>
      <c r="F128" s="2426"/>
      <c r="R128" s="2379">
        <v>126</v>
      </c>
      <c r="S128" s="2379">
        <v>14.5</v>
      </c>
    </row>
    <row r="129" spans="1:19">
      <c r="A129" s="2421" t="s">
        <v>4283</v>
      </c>
      <c r="B129" s="2421"/>
      <c r="F129" s="2426"/>
      <c r="R129" s="2379">
        <v>127</v>
      </c>
      <c r="S129" s="2379">
        <v>14.6</v>
      </c>
    </row>
    <row r="130" spans="1:19">
      <c r="F130" s="2426"/>
      <c r="R130" s="2379">
        <v>128</v>
      </c>
      <c r="S130" s="2379">
        <v>14.7</v>
      </c>
    </row>
    <row r="131" spans="1:19">
      <c r="A131" s="2421" t="s">
        <v>4284</v>
      </c>
      <c r="B131" s="2421"/>
      <c r="F131" s="2426"/>
      <c r="R131" s="2379">
        <v>129</v>
      </c>
      <c r="S131" s="2379">
        <v>14.8</v>
      </c>
    </row>
    <row r="132" spans="1:19">
      <c r="A132" s="2421" t="s">
        <v>1770</v>
      </c>
      <c r="B132" s="2421"/>
      <c r="F132" s="2426"/>
      <c r="R132" s="2379">
        <v>130</v>
      </c>
      <c r="S132" s="2379">
        <v>14.9</v>
      </c>
    </row>
    <row r="133" spans="1:19">
      <c r="A133" s="2421" t="s">
        <v>4285</v>
      </c>
      <c r="B133" s="2421"/>
      <c r="F133" s="2426"/>
      <c r="R133" s="2379">
        <v>131</v>
      </c>
      <c r="S133" s="2379">
        <v>15</v>
      </c>
    </row>
    <row r="134" spans="1:19">
      <c r="F134" s="2426"/>
      <c r="R134" s="2379">
        <v>132</v>
      </c>
      <c r="S134" s="2379">
        <v>15.1</v>
      </c>
    </row>
    <row r="135" spans="1:19">
      <c r="A135" s="2379" t="s">
        <v>4286</v>
      </c>
      <c r="F135" s="2426"/>
      <c r="R135" s="2379">
        <v>133</v>
      </c>
      <c r="S135" s="2379">
        <v>15.2</v>
      </c>
    </row>
    <row r="136" spans="1:19">
      <c r="A136" s="2379" t="s">
        <v>4287</v>
      </c>
      <c r="F136" s="2426"/>
      <c r="R136" s="2379">
        <v>134</v>
      </c>
      <c r="S136" s="2379">
        <v>15.3</v>
      </c>
    </row>
    <row r="137" spans="1:19">
      <c r="F137" s="2426"/>
      <c r="R137" s="2379">
        <v>135</v>
      </c>
      <c r="S137" s="2379">
        <v>15.4</v>
      </c>
    </row>
    <row r="138" spans="1:19">
      <c r="A138" s="2379" t="s">
        <v>1865</v>
      </c>
      <c r="F138" s="2426"/>
      <c r="R138" s="2379">
        <v>136</v>
      </c>
      <c r="S138" s="2379">
        <v>15.5</v>
      </c>
    </row>
    <row r="139" spans="1:19">
      <c r="A139" s="2421" t="s">
        <v>4288</v>
      </c>
      <c r="B139" s="2421"/>
      <c r="F139" s="2426"/>
      <c r="R139" s="2379">
        <v>137</v>
      </c>
      <c r="S139" s="2379">
        <v>15.6</v>
      </c>
    </row>
    <row r="140" spans="1:19">
      <c r="A140" s="2421" t="s">
        <v>4289</v>
      </c>
      <c r="B140" s="2421"/>
      <c r="F140" s="2426"/>
      <c r="R140" s="2379">
        <v>138</v>
      </c>
      <c r="S140" s="2379">
        <v>15.7</v>
      </c>
    </row>
    <row r="141" spans="1:19">
      <c r="F141" s="2426"/>
      <c r="R141" s="2379">
        <v>139</v>
      </c>
      <c r="S141" s="2379">
        <v>15.8</v>
      </c>
    </row>
    <row r="142" spans="1:19">
      <c r="A142" s="2421" t="s">
        <v>4290</v>
      </c>
      <c r="B142" s="2421"/>
      <c r="F142" s="2426"/>
      <c r="R142" s="2379">
        <v>140</v>
      </c>
      <c r="S142" s="2379">
        <v>15.9</v>
      </c>
    </row>
    <row r="143" spans="1:19">
      <c r="A143" s="2421" t="s">
        <v>4291</v>
      </c>
      <c r="B143" s="2421"/>
      <c r="F143" s="2426"/>
      <c r="R143" s="2379">
        <v>141</v>
      </c>
      <c r="S143" s="2379">
        <v>16</v>
      </c>
    </row>
    <row r="144" spans="1:19">
      <c r="A144" s="2421" t="s">
        <v>4292</v>
      </c>
      <c r="B144" s="2421"/>
      <c r="F144" s="2426"/>
      <c r="R144" s="2379">
        <v>142</v>
      </c>
      <c r="S144" s="2379">
        <v>16.100000000000001</v>
      </c>
    </row>
    <row r="145" spans="1:38">
      <c r="A145" s="2421" t="s">
        <v>4293</v>
      </c>
      <c r="B145" s="2421"/>
      <c r="F145" s="2426"/>
      <c r="R145" s="2379">
        <v>143</v>
      </c>
      <c r="S145" s="2379">
        <v>16.2</v>
      </c>
    </row>
    <row r="146" spans="1:38">
      <c r="A146" s="2421" t="s">
        <v>4294</v>
      </c>
      <c r="B146" s="2421"/>
      <c r="F146" s="3270" t="s">
        <v>4295</v>
      </c>
      <c r="G146" s="3270"/>
      <c r="H146" s="3270"/>
      <c r="I146" s="3270" t="s">
        <v>4296</v>
      </c>
      <c r="J146" s="3270"/>
      <c r="K146" s="3270"/>
      <c r="R146" s="2379">
        <v>144</v>
      </c>
      <c r="S146" s="2379">
        <v>16.3</v>
      </c>
    </row>
    <row r="147" spans="1:38">
      <c r="A147" s="2708"/>
      <c r="B147" s="2426"/>
      <c r="C147" s="2426" t="s">
        <v>2377</v>
      </c>
      <c r="D147" s="2379" t="s">
        <v>4297</v>
      </c>
      <c r="E147" s="2379" t="s">
        <v>4298</v>
      </c>
      <c r="F147" s="2421" t="s">
        <v>4299</v>
      </c>
      <c r="G147" s="2421" t="s">
        <v>4300</v>
      </c>
      <c r="H147" s="2421" t="s">
        <v>4301</v>
      </c>
      <c r="I147" s="2421" t="s">
        <v>4299</v>
      </c>
      <c r="J147" s="2421" t="s">
        <v>4300</v>
      </c>
      <c r="K147" s="2421" t="s">
        <v>4301</v>
      </c>
      <c r="R147" s="2379">
        <v>145</v>
      </c>
      <c r="S147" s="2379">
        <v>16.399999999999999</v>
      </c>
    </row>
    <row r="148" spans="1:38">
      <c r="A148" s="2708"/>
      <c r="B148" s="2426"/>
      <c r="R148" s="2379">
        <v>146</v>
      </c>
      <c r="S148" s="2379">
        <v>16.5</v>
      </c>
    </row>
    <row r="149" spans="1:38">
      <c r="A149" s="2708" t="s">
        <v>4302</v>
      </c>
      <c r="B149" s="2379">
        <v>0</v>
      </c>
      <c r="C149" s="2379">
        <v>0</v>
      </c>
      <c r="D149" s="2379">
        <v>0</v>
      </c>
      <c r="E149" s="2379">
        <v>0</v>
      </c>
      <c r="F149" s="2379">
        <v>0</v>
      </c>
      <c r="G149" s="2379">
        <v>0</v>
      </c>
      <c r="H149" s="2379">
        <v>0</v>
      </c>
      <c r="I149" s="2379">
        <v>0</v>
      </c>
      <c r="J149" s="2379">
        <v>0</v>
      </c>
      <c r="K149" s="2379">
        <v>0</v>
      </c>
      <c r="L149" s="2379">
        <v>0</v>
      </c>
      <c r="R149" s="2379">
        <v>147</v>
      </c>
      <c r="S149" s="2379">
        <v>16.600000000000001</v>
      </c>
    </row>
    <row r="150" spans="1:38">
      <c r="A150" s="2714" t="s">
        <v>4303</v>
      </c>
      <c r="C150" s="2714">
        <f>IF('Ввод данных'!$A$8=связи1!A150,дома!$S$93,0)+IF('Ввод данных'!$A$8=связи1!A169,дома!$S$94,0)+IF('Ввод данных'!$A$8=связи1!A177,дома!$S$94,0)+IF('Ввод данных'!$A$8=связи1!A184,дома!$S$94,0)+IF('Ввод данных'!$A$8=связи1!A185,дома!$S$94,0)</f>
        <v>0</v>
      </c>
      <c r="D150" s="2421">
        <f>IF('Ввод данных'!$A$8=связи1!A150,дома!$K$112,0)+IF('Ввод данных'!$A$8=связи1!A169,дома!$G$114,0)+IF('Ввод данных'!$A$8=связи1!A177,дома!$G$114,0)+IF('Ввод данных'!$A$8=связи1!A184,дома!$G$114,0)+IF('Ввод данных'!$A$8=связи1!A185,дома!$G$114,0)</f>
        <v>0</v>
      </c>
      <c r="E150" s="2421">
        <f>IF('Ввод данных'!$A$8=связи1!A150,дома!K114,0)+IF('Ввод данных'!$A$8=связи1!A169,дома!G117,0)+IF('Ввод данных'!$A$8=связи1!A177,дома!G117,0)+IF('Ввод данных'!$A$8=связи1!A184,дома!G117,0)+IF('Ввод данных'!$A$8=связи1!A185,дома!G117,0)</f>
        <v>0</v>
      </c>
      <c r="F150" s="2421">
        <f>IF('Ввод данных'!$A$8=связи1!A150,связи1!C163,0)</f>
        <v>0</v>
      </c>
      <c r="G150" s="2421">
        <f>IF('Ввод данных'!$A$8=связи1!A150,связи1!D163,0)</f>
        <v>0</v>
      </c>
      <c r="H150" s="2421">
        <f>IF('Ввод данных'!$A$8=связи1!A150,связи1!E163,0)</f>
        <v>0</v>
      </c>
      <c r="I150" s="2421">
        <f>IF('Ввод данных'!$A$8=связи1!A150,связи1!C163,0)</f>
        <v>0</v>
      </c>
      <c r="J150" s="2421">
        <f>IF('Ввод данных'!$A$8=связи1!A150,связи1!D163,0)</f>
        <v>0</v>
      </c>
      <c r="K150" s="2421">
        <f>IF('Ввод данных'!$A$8=связи1!A150,связи1!E163,0)</f>
        <v>0</v>
      </c>
      <c r="R150" s="2379">
        <v>148</v>
      </c>
      <c r="S150" s="2379">
        <v>16.7</v>
      </c>
    </row>
    <row r="151" spans="1:38">
      <c r="A151" s="2714" t="s">
        <v>4304</v>
      </c>
      <c r="C151" s="2714">
        <f>IF('Ввод данных'!$A$8=связи1!A151,дома!$S$93,0)+IF('Ввод данных'!$A$8=связи1!A169,дома!$S$94,0)+IF('Ввод данных'!$A$8=связи1!A177,дома!$S$94,0)+IF('Ввод данных'!$A$8=связи1!A184,дома!$S$94,0)+IF('Ввод данных'!$A$8=связи1!A185,дома!$S$94,0)</f>
        <v>0</v>
      </c>
      <c r="D151" s="2421">
        <f>IF('Ввод данных'!$A$8=связи1!A151,дома!$K$112,0)+IF('Ввод данных'!$A$8=связи1!A169,дома!$G$114,0)+IF('Ввод данных'!$A$8=связи1!A177,дома!$G$114,0)+IF('Ввод данных'!$A$8=связи1!A184,дома!$G$114,0)+IF('Ввод данных'!$A$8=связи1!A185,дома!$G$114,0)</f>
        <v>0</v>
      </c>
      <c r="E151" s="2421">
        <f>IF('Ввод данных'!$A$8=связи1!A151,дома!K114,0)+IF('Ввод данных'!$A$8=связи1!A169,дома!G117,0)+IF('Ввод данных'!$A$8=связи1!A177,дома!G117,0)+IF('Ввод данных'!$A$8=связи1!A184,дома!G117,0)+IF('Ввод данных'!$A$8=связи1!A185,дома!G117,0)</f>
        <v>0</v>
      </c>
      <c r="F151" s="2421">
        <f>IF('Ввод данных'!$A$8=связи1!A151,связи1!C163,0)</f>
        <v>0</v>
      </c>
      <c r="G151" s="2421">
        <f>IF('Ввод данных'!$A$8=связи1!A151,связи1!D163,0)</f>
        <v>0</v>
      </c>
      <c r="H151" s="2421">
        <f>IF('Ввод данных'!$A$8=связи1!A151,связи1!E163,0)</f>
        <v>0</v>
      </c>
      <c r="I151" s="2421">
        <f>IF('Ввод данных'!$A$8=связи1!A151,связи1!C163,0)</f>
        <v>0</v>
      </c>
      <c r="J151" s="2421">
        <f>IF('Ввод данных'!$A$8=связи1!A151,связи1!D163,0)</f>
        <v>0</v>
      </c>
      <c r="K151" s="2421">
        <f>IF('Ввод данных'!$A$8=связи1!A151,связи1!E163,0)</f>
        <v>0</v>
      </c>
    </row>
    <row r="152" spans="1:38">
      <c r="A152" s="2714" t="s">
        <v>4305</v>
      </c>
      <c r="C152" s="2714">
        <f>IF('Ввод данных'!$A$8=связи1!A152,дома!$S$93,0)+IF('Ввод данных'!$A$8=связи1!A169,дома!$S$94,0)+IF('Ввод данных'!$A$8=связи1!A177,дома!$S$94,0)+IF('Ввод данных'!$A$8=связи1!A184,дома!$S$94,0)+IF('Ввод данных'!$A$8=связи1!A185,дома!$S$94,0)</f>
        <v>0</v>
      </c>
      <c r="D152" s="2421">
        <f>IF('Ввод данных'!$A$8=связи1!A152,дома!$K$112,0)+IF('Ввод данных'!$A$8=связи1!A169,дома!$G$114,0)+IF('Ввод данных'!$A$8=связи1!A177,дома!$G$114,0)+IF('Ввод данных'!$A$8=связи1!A184,дома!$G$114,0)+IF('Ввод данных'!$A$8=связи1!A185,дома!$G$114,0)</f>
        <v>0</v>
      </c>
      <c r="E152" s="2421">
        <f>IF('Ввод данных'!$A$8=связи1!A152,дома!K114,0)+IF('Ввод данных'!$A$8=связи1!A169,дома!G117,0)+IF('Ввод данных'!$A$8=связи1!A177,дома!G117,0)+IF('Ввод данных'!$A$8=связи1!A184,дома!G117,0)+IF('Ввод данных'!$A$8=связи1!A185,дома!G117,0)</f>
        <v>0</v>
      </c>
      <c r="F152" s="2421">
        <f>IF('Ввод данных'!$A$8=связи1!A152,связи1!C163,0)</f>
        <v>0</v>
      </c>
      <c r="G152" s="2421">
        <f>IF('Ввод данных'!$A$8=связи1!A152,связи1!D163,0)</f>
        <v>0</v>
      </c>
      <c r="H152" s="2421">
        <f>IF('Ввод данных'!$A$8=связи1!A152,связи1!E163,0)</f>
        <v>0</v>
      </c>
      <c r="I152" s="2421">
        <f>IF('Ввод данных'!$A$8=связи1!A152,связи1!C163,0)</f>
        <v>0</v>
      </c>
      <c r="J152" s="2421">
        <f>IF('Ввод данных'!$A$8=связи1!A152,связи1!D163,0)</f>
        <v>0</v>
      </c>
      <c r="K152" s="2421">
        <f>IF('Ввод данных'!$A$8=связи1!A152,связи1!E163,0)</f>
        <v>0</v>
      </c>
    </row>
    <row r="153" spans="1:38">
      <c r="A153" s="2714" t="s">
        <v>4306</v>
      </c>
      <c r="C153" s="2714">
        <f>IF('Ввод данных'!$A$8=связи1!A153,дома!$S$93,0)+IF('Ввод данных'!$A$8=связи1!A179,дома!$S$94,0)+IF('Ввод данных'!$A$8=связи1!A170,дома!$S$94,0)+IF('Ввод данных'!$A$8=связи1!A171,дома!$S$95,0)+IF('Ввод данных'!$A$8=связи1!A172,дома!$S$95,0)+IF('Ввод данных'!$A$8=связи1!A173,дома!$S$95,0)+IF('Ввод данных'!$A$8=связи1!A174,дома!$S$95,0)+IF('Ввод данных'!$A$8=связи1!A175,дома!$S$95,0)+IF('Ввод данных'!$A$8=связи1!A176,дома!$S$95,0)+IF('Ввод данных'!$A$8=связи1!A177,дома!$S$95,0)+IF('Ввод данных'!$A$8=связи1!A178,дома!$S$95,0)</f>
        <v>0</v>
      </c>
      <c r="D153" s="2421">
        <f>IF('Ввод данных'!$A$8=связи1!A153,дома!$K$112,0)+IF('Ввод данных'!$A$8=связи1!A179,дома!$G$114,0)+IF('Ввод данных'!$A$8=связи1!A170,дома!$G$114,0)+IF('Ввод данных'!$A$8=связи1!A171,дома!G112,0)+IF('Ввод данных'!$A$8=связи1!A172,дома!G112,0)+IF('Ввод данных'!$A$8=связи1!A173,дома!G112,0)+IF('Ввод данных'!$A$8=связи1!A174,дома!G112,0)+IF('Ввод данных'!$A$8=связи1!A175,дома!G112,0)+IF('Ввод данных'!$A$8=связи1!A176,дома!G112,0)+IF('Ввод данных'!$A$8=связи1!A177,дома!G112,0)+IF('Ввод данных'!$A$8=связи1!A178,дома!G112,0)</f>
        <v>0</v>
      </c>
      <c r="E153" s="2421">
        <f>IF('Ввод данных'!$A$8=связи1!A153,дома!K114,0)+IF('Ввод данных'!$A$8=связи1!A179,дома!G117,0)+IF('Ввод данных'!$A$8=связи1!A170,дома!G117,0)+IF('Ввод данных'!$A$8=связи1!A171,дома!G116,0)+IF('Ввод данных'!$A$8=связи1!A172,дома!G116,0)+IF('Ввод данных'!$A$8=связи1!A173,дома!G116,0)+IF('Ввод данных'!$A$8=связи1!A174,дома!G116,0)+IF('Ввод данных'!$A$8=связи1!A175,дома!G116,0)+IF('Ввод данных'!$A$8=связи1!A176,дома!G116,0)+IF('Ввод данных'!$A$8=связи1!A177,дома!G116,0)+IF('Ввод данных'!$A$8=связи1!A178,дома!G116,0)</f>
        <v>0</v>
      </c>
      <c r="F153" s="2421">
        <f>IF('Ввод данных'!$A$8=связи1!A153,связи1!C164,0)</f>
        <v>0</v>
      </c>
      <c r="G153" s="2421">
        <f>IF('Ввод данных'!$A$8=связи1!A153,связи1!D164,0)</f>
        <v>0</v>
      </c>
      <c r="H153" s="2421">
        <f>IF('Ввод данных'!$A$8=связи1!A153,связи1!E164,0)</f>
        <v>0</v>
      </c>
      <c r="I153" s="2421">
        <f>IF('Ввод данных'!$A$8=связи1!A153,связи1!C164,0)</f>
        <v>0</v>
      </c>
      <c r="J153" s="2421">
        <f>IF('Ввод данных'!$A$8=связи1!A153,связи1!D164,0)</f>
        <v>0</v>
      </c>
      <c r="K153" s="2421">
        <f>IF('Ввод данных'!$A$8=связи1!A153,связи1!E164,0)</f>
        <v>0</v>
      </c>
      <c r="R153" s="2379">
        <v>149</v>
      </c>
      <c r="S153" s="2379">
        <v>16.8</v>
      </c>
    </row>
    <row r="154" spans="1:38">
      <c r="A154" s="2714" t="s">
        <v>4307</v>
      </c>
      <c r="C154" s="2714">
        <f>IF('Ввод данных'!$A$8=связи1!A154,дома!$S$93,0)+IF('Ввод данных'!$A$8=связи1!A162,дома!$S$94,0)+IF('Ввод данных'!$A$8=связи1!A178,дома!$S$94,0)+IF('Ввод данных'!$A$8=связи1!A179,дома!$S$95,0)+IF('Ввод данных'!$A$8=связи1!A180,дома!$S$95,0)+IF('Ввод данных'!$A$8=связи1!A181,дома!$S$95,0)+IF('Ввод данных'!$A$8=связи1!A182,дома!$S$95,0)+IF('Ввод данных'!$A$8=связи1!A183,дома!$S$95,0)+IF('Ввод данных'!$A$8=связи1!A184,дома!$S$95,0)</f>
        <v>0</v>
      </c>
      <c r="D154" s="2421">
        <f>IF('Ввод данных'!$A$8=связи1!A154,дома!K112,0)+IF('Ввод данных'!$A$8=связи1!A162,дома!G114,0)+IF('Ввод данных'!$A$8=связи1!A178,дома!G114,0)+IF('Ввод данных'!$A$8=связи1!A179,дома!G112,0)+IF('Ввод данных'!$A$8=связи1!A180,дома!G112,0)+IF('Ввод данных'!$A$8=связи1!A181,дома!G112,0)+IF('Ввод данных'!$A$8=связи1!A182,дома!G112,0)+IF('Ввод данных'!$A$8=связи1!A183,дома!G112,0)+IF('Ввод данных'!$A$8=связи1!A184,дома!G112,0)</f>
        <v>0</v>
      </c>
      <c r="E154" s="2421">
        <f>IF('Ввод данных'!$A$8=связи1!A154,дома!K114,0)+IF('Ввод данных'!$A$8=связи1!A162,дома!G117,0)+IF('Ввод данных'!$A$8=связи1!A178,дома!G117,0)+IF('Ввод данных'!$A$8=связи1!A179,дома!G116,0)+IF('Ввод данных'!$A$8=связи1!A180,дома!G116,0)+IF('Ввод данных'!$A$8=связи1!A181,дома!G116,0)+IF('Ввод данных'!$A$8=связи1!A182,дома!G116,0)+IF('Ввод данных'!$A$8=связи1!A183,дома!G116,0)+IF('Ввод данных'!$A$8=связи1!A184,дома!G116,0)</f>
        <v>0</v>
      </c>
      <c r="F154" s="2421">
        <f>IF('Ввод данных'!$A$8=связи1!A154,связи1!C165,0)</f>
        <v>0</v>
      </c>
      <c r="G154" s="2421">
        <f>IF('Ввод данных'!$A$8=связи1!A154,связи1!D165,0)</f>
        <v>0</v>
      </c>
      <c r="H154" s="2421">
        <f>IF('Ввод данных'!$A$8=связи1!A154,связи1!E165,0)</f>
        <v>0</v>
      </c>
      <c r="I154" s="2421">
        <f>IF('Ввод данных'!$A$8=связи1!A154,связи1!C165,0)</f>
        <v>0</v>
      </c>
      <c r="J154" s="2421">
        <f>IF('Ввод данных'!$A$8=связи1!A154,связи1!D165,0)</f>
        <v>0</v>
      </c>
      <c r="K154" s="2421">
        <f>IF('Ввод данных'!$A$8=связи1!A154,связи1!E165,0)</f>
        <v>0</v>
      </c>
      <c r="R154" s="2379">
        <v>150</v>
      </c>
      <c r="S154" s="2379">
        <v>16.899999999999999</v>
      </c>
    </row>
    <row r="155" spans="1:38">
      <c r="A155" s="2714" t="s">
        <v>1751</v>
      </c>
      <c r="C155" s="2714">
        <f>IF('Ввод данных'!$A$8=связи1!A155,дома!$S$93,0)+IF('Ввод данных'!$A$8=A162,дома!S95,0)+IF('Ввод данных'!$A$8=A163,дома!S95,0)+IF('Ввод данных'!$A$8=A164,дома!S95,0)+IF('Ввод данных'!$A$8=A165,дома!S95,0)+IF('Ввод данных'!$A$8=A166,дома!S95,0)+IF('Ввод данных'!$A$8=A167,дома!S95,0)+IF('Ввод данных'!$A$8=A168,дома!S95,0)+IF('Ввод данных'!$A$8=A169,дома!S95,0)+IF('Ввод данных'!$A$8=A170,дома!S95,0)</f>
        <v>118.8</v>
      </c>
      <c r="D155" s="2421">
        <f>IF('Ввод данных'!$A$8=связи1!A155,дома!K112,0)+IF('Ввод данных'!$A$8=A162,дома!G112,0)+IF('Ввод данных'!$A$8=A163,дома!G112,0)+IF('Ввод данных'!$A$8=A164,дома!G112,0)+IF('Ввод данных'!$A$8=A165,дома!G112,0)+IF('Ввод данных'!$A$8=A166,дома!G112,0)+IF('Ввод данных'!$A$8=A167,дома!G112,0)+IF('Ввод данных'!$A$8=A168,дома!G112,0)+IF('Ввод данных'!$A$8=A169,дома!G112,0)+IF('Ввод данных'!$A$8=A170,дома!G112,0)</f>
        <v>48</v>
      </c>
      <c r="E155" s="2421">
        <f>IF('Ввод данных'!$A$8=связи1!A155,дома!K114,0)+IF('Ввод данных'!$A$8=A162,дома!G116,0)+IF('Ввод данных'!$A$8=A163,дома!G116,0)+IF('Ввод данных'!$A$8=A164,дома!G116,0)+IF('Ввод данных'!$A$8=A165,дома!G116,0)+IF('Ввод данных'!$A$8=A166,дома!G116,0)+IF('Ввод данных'!$A$8=A167,дома!G116,0)+IF('Ввод данных'!$A$8=A168,дома!G116,0)+IF('Ввод данных'!$A$8=A169,дома!G116,0)+IF('Ввод данных'!$A$8=A170,дома!G116,0)</f>
        <v>23.4</v>
      </c>
      <c r="F155" s="2421">
        <f>IF('Ввод данных'!$A$8=связи1!A155,связи1!C166,0)</f>
        <v>0.4</v>
      </c>
      <c r="G155" s="2421">
        <f>IF('Ввод данных'!$A$8=связи1!A155,связи1!D166,0)</f>
        <v>0.3</v>
      </c>
      <c r="H155" s="2421">
        <f>IF('Ввод данных'!$A$8=связи1!A155,связи1!E166,0)</f>
        <v>0.2</v>
      </c>
      <c r="I155" s="2421">
        <f>IF('Ввод данных'!$A$8=связи1!A155,связи1!C166,0)</f>
        <v>0.4</v>
      </c>
      <c r="J155" s="2421">
        <f>IF('Ввод данных'!$A$8=связи1!A155,связи1!D166,0)</f>
        <v>0.3</v>
      </c>
      <c r="K155" s="2421">
        <f>IF('Ввод данных'!$A$8=связи1!A155,связи1!E166,0)</f>
        <v>0.2</v>
      </c>
      <c r="R155" s="2379">
        <v>151</v>
      </c>
      <c r="S155" s="2379">
        <v>17</v>
      </c>
    </row>
    <row r="156" spans="1:38">
      <c r="A156" s="2714" t="s">
        <v>4308</v>
      </c>
      <c r="C156" s="2714">
        <f>IF('Ввод данных'!$A$8=связи1!A156,дома!$S$93,0)+IF('Ввод данных'!$A$8=связи1!A163,дома!$S$94,0)+IF('Ввод данных'!$A$8=связи1!A171,дома!$S$94,0)+IF('Ввод данных'!$A$8=связи1!A180,дома!$S$94,0)+IF('Ввод данных'!$A$8=связи1!A185,дома!$S$95,0)</f>
        <v>0</v>
      </c>
      <c r="D156" s="2421">
        <f>IF('Ввод данных'!$A$8=связи1!A156,дома!K112,0)+IF('Ввод данных'!$A$8=связи1!A163,дома!G114,0)+IF('Ввод данных'!$A$8=связи1!A171,дома!G114,0)+IF('Ввод данных'!$A$8=связи1!A180,дома!G114,0)+IF('Ввод данных'!$A$8=связи1!A185,дома!G112,0)</f>
        <v>0</v>
      </c>
      <c r="E156" s="2421">
        <f>IF('Ввод данных'!$A$8=связи1!A156,дома!K114,0)+IF('Ввод данных'!$A$8=связи1!A163,дома!G117,0)+IF('Ввод данных'!$A$8=связи1!A171,дома!G117,0)+IF('Ввод данных'!$A$8=связи1!A180,дома!G117,0)+IF('Ввод данных'!$A$8=связи1!A185,дома!G116,0)</f>
        <v>0</v>
      </c>
      <c r="F156" s="2421">
        <f>IF('Ввод данных'!$A$8=связи1!A156,связи1!C167,0)</f>
        <v>0</v>
      </c>
      <c r="G156" s="2421">
        <f>IF('Ввод данных'!$A$8=связи1!A156,связи1!D167,0)</f>
        <v>0</v>
      </c>
      <c r="H156" s="2421">
        <f>IF('Ввод данных'!$A$8=связи1!A156,связи1!E167,0)</f>
        <v>0</v>
      </c>
      <c r="I156" s="2421">
        <f>IF('Ввод данных'!$A$8=связи1!A156,связи1!C167,0)</f>
        <v>0</v>
      </c>
      <c r="J156" s="2421">
        <f>IF('Ввод данных'!$A$8=связи1!A156,связи1!D167,0)</f>
        <v>0</v>
      </c>
      <c r="K156" s="2421">
        <f>IF('Ввод данных'!$A$8=связи1!A156,связи1!E167,0)</f>
        <v>0</v>
      </c>
      <c r="R156" s="2379">
        <v>152</v>
      </c>
      <c r="S156" s="2379">
        <v>17.100000000000001</v>
      </c>
    </row>
    <row r="157" spans="1:38">
      <c r="A157" s="2714" t="s">
        <v>4309</v>
      </c>
      <c r="C157" s="2714">
        <f>IF('Ввод данных'!$A$8=связи1!A157,дома!$S$93,0)+IF('Ввод данных'!$A$8=связи1!A168,дома!$S$94,0)+IF('Ввод данных'!$A$8=связи1!A176,дома!$S$94,0)+IF('Ввод данных'!$A$8=связи1!A183,дома!$S$94,0)</f>
        <v>0</v>
      </c>
      <c r="D157" s="2421">
        <f>IF('Ввод данных'!$A$8=связи1!A157,дома!K112,0)+IF('Ввод данных'!$A$8=связи1!A168,дома!G114,0)+IF('Ввод данных'!$A$8=связи1!A176,дома!G114,0)+IF('Ввод данных'!$A$8=связи1!A183,дома!G114,0)</f>
        <v>0</v>
      </c>
      <c r="E157" s="2421">
        <f>IF('Ввод данных'!$A$8=связи1!A157,дома!K114,0)+IF('Ввод данных'!$A$8=связи1!A168,дома!G117,0)+IF('Ввод данных'!$A$8=связи1!A176,дома!G117,0)+IF('Ввод данных'!$A$8=связи1!A183,дома!G117,0)</f>
        <v>0</v>
      </c>
      <c r="F157" s="2421">
        <f>IF('Ввод данных'!$A$8=связи1!A157,связи1!C168,0)</f>
        <v>0</v>
      </c>
      <c r="G157" s="2421">
        <f>IF('Ввод данных'!$A$8=связи1!A157,связи1!D168,0)</f>
        <v>0</v>
      </c>
      <c r="H157" s="2421">
        <f>IF('Ввод данных'!$A$8=связи1!A157,связи1!E168,0)</f>
        <v>0</v>
      </c>
      <c r="I157" s="2421">
        <f>IF('Ввод данных'!$A$8=связи1!A157,связи1!C168,0)</f>
        <v>0</v>
      </c>
      <c r="J157" s="2421">
        <f>IF('Ввод данных'!$A$8=связи1!A157,связи1!D168,0)</f>
        <v>0</v>
      </c>
      <c r="K157" s="2421">
        <f>IF('Ввод данных'!$A$8=связи1!A157,связи1!E168,0)</f>
        <v>0</v>
      </c>
      <c r="R157" s="2379">
        <v>153</v>
      </c>
      <c r="S157" s="2379">
        <v>17.2</v>
      </c>
    </row>
    <row r="158" spans="1:38">
      <c r="A158" s="2714" t="s">
        <v>4310</v>
      </c>
      <c r="C158" s="2714">
        <f>IF('Ввод данных'!$A$8=связи1!A158,дома!$S$93,0)+IF('Ввод данных'!$A$8=связи1!A164,дома!$S$94,0)+IF('Ввод данных'!$A$8=связи1!A172,дома!$S$94,0)</f>
        <v>0</v>
      </c>
      <c r="D158" s="2421">
        <f>IF('Ввод данных'!$A$8=связи1!A158,дома!K112,0)+IF('Ввод данных'!$A$8=связи1!A164,дома!G114,0)+IF('Ввод данных'!$A$8=связи1!A172,дома!G114,0)</f>
        <v>0</v>
      </c>
      <c r="E158" s="2421">
        <f>IF('Ввод данных'!$A$8=связи1!A158,дома!K114,0)+IF('Ввод данных'!$A$8=связи1!A164,дома!G117,0)+IF('Ввод данных'!$A$8=связи1!A172,дома!G117,0)</f>
        <v>0</v>
      </c>
      <c r="F158" s="2421">
        <f>IF('Ввод данных'!$A$8=связи1!A158,связи1!C169,0)</f>
        <v>0</v>
      </c>
      <c r="G158" s="2421">
        <f>IF('Ввод данных'!$A$8=связи1!A158,связи1!D169,0)</f>
        <v>0</v>
      </c>
      <c r="H158" s="2421">
        <f>IF('Ввод данных'!$A$8=связи1!A158,связи1!E169,0)</f>
        <v>0</v>
      </c>
      <c r="I158" s="2421">
        <f>IF('Ввод данных'!$A$8=связи1!A158,связи1!C169,0)</f>
        <v>0</v>
      </c>
      <c r="J158" s="2421">
        <f>IF('Ввод данных'!$A$8=связи1!A158,связи1!D169,0)</f>
        <v>0</v>
      </c>
      <c r="K158" s="2421">
        <f>IF('Ввод данных'!$A$8=связи1!A158,связи1!E169,0)</f>
        <v>0</v>
      </c>
      <c r="S158" s="2379">
        <v>17.3</v>
      </c>
    </row>
    <row r="159" spans="1:38">
      <c r="A159" s="2714" t="s">
        <v>4311</v>
      </c>
      <c r="C159" s="2714">
        <f>IF('Ввод данных'!$A$8=связи1!A159,дома!$S$93,0)+IF('Ввод данных'!$A$8=связи1!A165,дома!$S$94,0)+IF('Ввод данных'!$A$8=связи1!A173,дома!$S$94,0)+IF('Ввод данных'!$A$8=связи1!A181,дома!$S$94,0)</f>
        <v>0</v>
      </c>
      <c r="D159" s="2421">
        <f>IF('Ввод данных'!$A$8=связи1!A159,дома!K112,0)+IF('Ввод данных'!$A$8=связи1!A165,дома!G114,0)+IF('Ввод данных'!$A$8=связи1!A173,дома!G114,0)+IF('Ввод данных'!$A$8=связи1!A181,дома!G114,0)</f>
        <v>0</v>
      </c>
      <c r="E159" s="2421">
        <f>IF('Ввод данных'!$A$8=связи1!A159,дома!K114,0)+IF('Ввод данных'!$A$8=связи1!A165,дома!G117,0)+IF('Ввод данных'!$A$8=связи1!A173,дома!G117,0)+IF('Ввод данных'!$A$8=связи1!A181,дома!G117,0)</f>
        <v>0</v>
      </c>
      <c r="F159" s="2421">
        <f>IF('Ввод данных'!$A$8=связи1!A159,связи1!C170,0)</f>
        <v>0</v>
      </c>
      <c r="G159" s="2421">
        <f>IF('Ввод данных'!$A$8=связи1!A159,связи1!D170,0)</f>
        <v>0</v>
      </c>
      <c r="H159" s="2421">
        <f>IF('Ввод данных'!$A$8=связи1!A159,связи1!E170,0)</f>
        <v>0</v>
      </c>
      <c r="I159" s="2421">
        <f>IF('Ввод данных'!$A$8=связи1!A159,связи1!C170,0)</f>
        <v>0</v>
      </c>
      <c r="J159" s="2421">
        <f>IF('Ввод данных'!$A$8=связи1!A159,связи1!D170,0)</f>
        <v>0</v>
      </c>
      <c r="K159" s="2421">
        <f>IF('Ввод данных'!$A$8=связи1!A159,связи1!E170,0)</f>
        <v>0</v>
      </c>
      <c r="AG159" s="2421" t="s">
        <v>1937</v>
      </c>
      <c r="AH159" s="2421" t="s">
        <v>2997</v>
      </c>
      <c r="AI159" s="2421" t="s">
        <v>4312</v>
      </c>
      <c r="AJ159" s="2421"/>
      <c r="AK159" s="2421" t="s">
        <v>4313</v>
      </c>
      <c r="AL159" s="2707" t="s">
        <v>4314</v>
      </c>
    </row>
    <row r="160" spans="1:38">
      <c r="A160" s="2714" t="s">
        <v>4315</v>
      </c>
      <c r="C160" s="2714">
        <f>IF('Ввод данных'!$A$8=связи1!A160,дома!$S$93,0)+IF('Ввод данных'!$A$8=связи1!A166,дома!$S$94,0)+IF('Ввод данных'!$A$8=связи1!A174,дома!$S$94,0)</f>
        <v>0</v>
      </c>
      <c r="D160" s="2421">
        <f>IF('Ввод данных'!$A$8=связи1!A160,дома!K112,0)+IF('Ввод данных'!$A$8=связи1!A166,дома!G114,0)+IF('Ввод данных'!$A$8=связи1!A174,дома!G114,0)</f>
        <v>0</v>
      </c>
      <c r="E160" s="2421">
        <f>IF('Ввод данных'!$A$8=связи1!A160,дома!K114,0)+IF('Ввод данных'!$A$8=связи1!A166,дома!G117,0)+IF('Ввод данных'!$A$8=связи1!A174,дома!G117,0)</f>
        <v>0</v>
      </c>
      <c r="F160" s="2421">
        <f>IF('Ввод данных'!$A$8=связи1!A160,связи1!C171,0)</f>
        <v>0</v>
      </c>
      <c r="G160" s="2421">
        <f>IF('Ввод данных'!$A$8=связи1!A160,связи1!D171,0)</f>
        <v>0</v>
      </c>
      <c r="H160" s="2421">
        <f>IF('Ввод данных'!$A$8=связи1!A160,связи1!E171,0)</f>
        <v>0</v>
      </c>
      <c r="I160" s="2421">
        <f>IF('Ввод данных'!$A$8=связи1!A160,связи1!C171,0)</f>
        <v>0</v>
      </c>
      <c r="J160" s="2421">
        <f>IF('Ввод данных'!$A$8=связи1!A160,связи1!D171,0)</f>
        <v>0</v>
      </c>
      <c r="K160" s="2421">
        <f>IF('Ввод данных'!$A$8=связи1!A160,связи1!E171,0)</f>
        <v>0</v>
      </c>
      <c r="AG160" s="2421">
        <v>0</v>
      </c>
      <c r="AH160" s="2715">
        <f>AG160*3.14/180</f>
        <v>0</v>
      </c>
      <c r="AI160" s="2715">
        <f>AH160+0.0002</f>
        <v>2.0000000000000001E-4</v>
      </c>
      <c r="AJ160" s="2421">
        <v>0</v>
      </c>
      <c r="AK160" s="2421">
        <f>IF(AND(дома!$Z$29&gt;=AJ160,дома!$Z$29&lt;=AI160),связи1!AG160,0)</f>
        <v>0</v>
      </c>
      <c r="AL160" s="2421">
        <f>IF(AND(дома!$AA$29&gt;=AJ160,дома!$AA$29&lt;=AI160),связи1!AG160,0)</f>
        <v>0</v>
      </c>
    </row>
    <row r="161" spans="1:38">
      <c r="A161" s="2714" t="s">
        <v>4316</v>
      </c>
      <c r="C161" s="2714">
        <f>IF('Ввод данных'!$A$8=связи1!A161,дома!$S$93,0)+IF('Ввод данных'!$A$8=связи1!A175,дома!$S$94,0)+IF('Ввод данных'!$A$8=связи1!A182,дома!$S$94,0)+IF('Ввод данных'!$A$8=связи1!A167,дома!$S$94,0)</f>
        <v>0</v>
      </c>
      <c r="D161" s="2421">
        <f>IF('Ввод данных'!$A$8=связи1!A161,дома!K112,0)+IF('Ввод данных'!$A$8=связи1!A175,дома!G114,0)+IF('Ввод данных'!$A$8=связи1!A182,дома!G114,0)+IF('Ввод данных'!$A$8=связи1!A167,дома!G114,0)</f>
        <v>0</v>
      </c>
      <c r="E161" s="2421">
        <f>IF('Ввод данных'!$A$8=связи1!A161,дома!K114,0)+IF('Ввод данных'!$A$8=связи1!A175,дома!G117,0)+IF('Ввод данных'!$A$8=связи1!A182,дома!G117,0)+IF('Ввод данных'!$A$8=связи1!A167,дома!G117,0)</f>
        <v>0</v>
      </c>
      <c r="F161" s="2421">
        <f>IF('Ввод данных'!$A$8=связи1!A161,связи1!C172,0)</f>
        <v>0</v>
      </c>
      <c r="G161" s="2421">
        <f>IF('Ввод данных'!$A$8=связи1!A161,связи1!D172,0)</f>
        <v>0</v>
      </c>
      <c r="H161" s="2421">
        <f>IF('Ввод данных'!$A$8=связи1!A161,связи1!E172,0)</f>
        <v>0</v>
      </c>
      <c r="I161" s="2421">
        <f>IF('Ввод данных'!$A$8=связи1!A161,связи1!C172,0)</f>
        <v>0</v>
      </c>
      <c r="J161" s="2421">
        <f>IF('Ввод данных'!$A$8=связи1!A161,связи1!D172,0)</f>
        <v>0</v>
      </c>
      <c r="K161" s="2421">
        <f>IF('Ввод данных'!$A$8=связи1!A161,связи1!E172,0)</f>
        <v>0</v>
      </c>
      <c r="AG161" s="2421">
        <v>1</v>
      </c>
      <c r="AH161" s="2715">
        <f t="shared" ref="AH161:AH192" si="0">AG161*3.1415926535897/180</f>
        <v>1.7453292519942779E-2</v>
      </c>
      <c r="AI161" s="2715">
        <f t="shared" ref="AI161:AI192" si="1">AH161+0.0005</f>
        <v>1.7953292519942779E-2</v>
      </c>
      <c r="AJ161" s="2715">
        <f t="shared" ref="AJ161:AJ192" si="2">AH161-0.0005</f>
        <v>1.6953292519942778E-2</v>
      </c>
      <c r="AK161" s="2421">
        <f>IF(AND(дома!$Z$29&gt;=AJ161,дома!$Z$29&lt;=AI161),связи1!AG161,0)</f>
        <v>0</v>
      </c>
      <c r="AL161" s="2421">
        <f>IF(AND(дома!$AA$29&gt;=AJ161,дома!$AA$29&lt;=AI161),связи1!AG161,0)</f>
        <v>0</v>
      </c>
    </row>
    <row r="162" spans="1:38">
      <c r="A162" s="2421" t="s">
        <v>4317</v>
      </c>
      <c r="C162" s="2421"/>
      <c r="D162" s="2421"/>
      <c r="E162" s="2421"/>
      <c r="F162" s="2421">
        <f>IF('Ввод данных'!$A$8=связи1!A162,связи1!$C$166,0)</f>
        <v>0</v>
      </c>
      <c r="G162" s="2421">
        <f>IF('Ввод данных'!$A$8=связи1!A162,связи1!$D$166,0)</f>
        <v>0</v>
      </c>
      <c r="H162" s="2421">
        <f>IF('Ввод данных'!$A$8=связи1!A162,связи1!$E$166,0)</f>
        <v>0</v>
      </c>
      <c r="I162" s="2421">
        <f>IF('Ввод данных'!$A$8=связи1!A162,связи1!C165,0)</f>
        <v>0</v>
      </c>
      <c r="J162" s="2421">
        <f>IF('Ввод данных'!$A$8=связи1!A162,связи1!D165,0)</f>
        <v>0</v>
      </c>
      <c r="K162" s="2421">
        <f>IF('Ввод данных'!$A$8=связи1!A162,связи1!E165,0)</f>
        <v>0</v>
      </c>
      <c r="AG162" s="2421">
        <v>1.1000000000000001</v>
      </c>
      <c r="AH162" s="2715">
        <f t="shared" si="0"/>
        <v>1.9198621771937058E-2</v>
      </c>
      <c r="AI162" s="2715">
        <f t="shared" si="1"/>
        <v>1.9698621771937059E-2</v>
      </c>
      <c r="AJ162" s="2715">
        <f t="shared" si="2"/>
        <v>1.8698621771937058E-2</v>
      </c>
      <c r="AK162" s="2421">
        <f>IF(AND(дома!$Z$29&gt;=AJ162,дома!$Z$29&lt;=AI162),связи1!AG162,0)</f>
        <v>0</v>
      </c>
      <c r="AL162" s="2421">
        <f>IF(AND(дома!$AA$29&gt;=AJ162,дома!$AA$29&lt;=AI162),связи1!AG162,0)</f>
        <v>0</v>
      </c>
    </row>
    <row r="163" spans="1:38">
      <c r="A163" s="2421" t="s">
        <v>4318</v>
      </c>
      <c r="B163" s="2714" t="s">
        <v>2372</v>
      </c>
      <c r="C163" s="1055">
        <f>VLOOKUP('Ввод данных'!A1031,связи1!I458:O488,6,0)</f>
        <v>0.15</v>
      </c>
      <c r="D163" s="1055">
        <f>VLOOKUP('Ввод данных'!A1033,связи1!I458:O488,6,0)</f>
        <v>0.12</v>
      </c>
      <c r="E163" s="1055">
        <f>VLOOKUP('Ввод данных'!A1035,связи1!I458:O488,6,0)</f>
        <v>0.17</v>
      </c>
      <c r="F163" s="2421">
        <f>IF('Ввод данных'!$A$8=связи1!A163,связи1!$C$166,0)</f>
        <v>0</v>
      </c>
      <c r="G163" s="2421">
        <f>IF('Ввод данных'!$A$8=связи1!A163,связи1!$D$166,0)</f>
        <v>0</v>
      </c>
      <c r="H163" s="2421">
        <f>IF('Ввод данных'!$A$8=связи1!A163,связи1!$E$166,0)</f>
        <v>0</v>
      </c>
      <c r="I163" s="2421">
        <f>IF('Ввод данных'!$A$8=связи1!A163,связи1!C167,0)</f>
        <v>0</v>
      </c>
      <c r="J163" s="2421">
        <f>IF('Ввод данных'!$A$8=связи1!A163,связи1!D167,0)</f>
        <v>0</v>
      </c>
      <c r="K163" s="2421">
        <f>IF('Ввод данных'!$A$8=связи1!A163,связи1!D167,0)</f>
        <v>0</v>
      </c>
      <c r="AG163" s="2421">
        <v>1.2</v>
      </c>
      <c r="AH163" s="2715">
        <f t="shared" si="0"/>
        <v>2.0943951023931331E-2</v>
      </c>
      <c r="AI163" s="2715">
        <f t="shared" si="1"/>
        <v>2.1443951023931332E-2</v>
      </c>
      <c r="AJ163" s="2715">
        <f t="shared" si="2"/>
        <v>2.0443951023931331E-2</v>
      </c>
      <c r="AK163" s="2421">
        <f>IF(AND(дома!$Z$29&gt;=AJ163,дома!$Z$29&lt;=AI163),связи1!AG163,0)</f>
        <v>0</v>
      </c>
      <c r="AL163" s="2421">
        <f>IF(AND(дома!$AA$29&gt;=AJ163,дома!$AA$29&lt;=AI163),связи1!AG163,0)</f>
        <v>0</v>
      </c>
    </row>
    <row r="164" spans="1:38">
      <c r="A164" s="2421" t="s">
        <v>4319</v>
      </c>
      <c r="B164" s="2714" t="s">
        <v>4306</v>
      </c>
      <c r="C164" s="2421">
        <f>VLOOKUP('Ввод данных'!A1075,связи1!A255:D296,3,0)/1000</f>
        <v>0.1</v>
      </c>
      <c r="D164" s="1055">
        <f>VLOOKUP('Ввод данных'!A1077,связи1!A255:D296,3,0)/1000</f>
        <v>0.1</v>
      </c>
      <c r="E164" s="1055">
        <f>VLOOKUP('Ввод данных'!A1079,связи1!A255:D296,3,0)/1000</f>
        <v>0.4</v>
      </c>
      <c r="F164" s="2421">
        <f>IF('Ввод данных'!$A$8=связи1!A164,связи1!$C$166,0)</f>
        <v>0</v>
      </c>
      <c r="G164" s="2421">
        <f>IF('Ввод данных'!$A$8=связи1!A164,связи1!$D$166,0)</f>
        <v>0</v>
      </c>
      <c r="H164" s="2421">
        <f>IF('Ввод данных'!$A$8=связи1!A164,связи1!$E$166,0)</f>
        <v>0</v>
      </c>
      <c r="I164" s="2421">
        <f>IF('Ввод данных'!$A$8=связи1!A164,связи1!C169,0)</f>
        <v>0</v>
      </c>
      <c r="J164" s="2421">
        <f>IF('Ввод данных'!$A$8=связи1!A164,связи1!D169,0)</f>
        <v>0</v>
      </c>
      <c r="K164" s="2421">
        <f>IF('Ввод данных'!$A$8=связи1!A164,связи1!E169,0)</f>
        <v>0</v>
      </c>
      <c r="AG164" s="2421">
        <v>1.3</v>
      </c>
      <c r="AH164" s="2715">
        <f t="shared" si="0"/>
        <v>2.2689280275925611E-2</v>
      </c>
      <c r="AI164" s="2715">
        <f t="shared" si="1"/>
        <v>2.3189280275925612E-2</v>
      </c>
      <c r="AJ164" s="2715">
        <f t="shared" si="2"/>
        <v>2.2189280275925611E-2</v>
      </c>
      <c r="AK164" s="2421">
        <f>IF(AND(дома!$Z$29&gt;=AJ164,дома!$Z$29&lt;=AI164),связи1!AG164,0)</f>
        <v>0</v>
      </c>
      <c r="AL164" s="2421">
        <f>IF(AND(дома!$AA$29&gt;=AJ164,дома!$AA$29&lt;=AI164),связи1!AG164,0)</f>
        <v>0</v>
      </c>
    </row>
    <row r="165" spans="1:38">
      <c r="A165" s="2421" t="s">
        <v>4320</v>
      </c>
      <c r="B165" s="2714" t="s">
        <v>4307</v>
      </c>
      <c r="C165" s="2421">
        <f>VLOOKUP('Ввод данных'!A1082,'Прайс лист'!B236:G253,5,0)/1000</f>
        <v>0.39</v>
      </c>
      <c r="D165" s="1055">
        <f>VLOOKUP('Ввод данных'!A1084,'Прайс лист'!B236:G253,5,0)/1000</f>
        <v>0.39</v>
      </c>
      <c r="E165" s="1055">
        <f>VLOOKUP('Ввод данных'!A1086,'Прайс лист'!B236:G253,5,0)/1000</f>
        <v>0.39</v>
      </c>
      <c r="F165" s="2421">
        <f>IF('Ввод данных'!$A$8=связи1!A165,связи1!$C$166,0)</f>
        <v>0</v>
      </c>
      <c r="G165" s="2421">
        <f>IF('Ввод данных'!$A$8=связи1!A165,связи1!$D$166,0)</f>
        <v>0</v>
      </c>
      <c r="H165" s="2421">
        <f>IF('Ввод данных'!$A$8=связи1!A165,связи1!$E$166,0)</f>
        <v>0</v>
      </c>
      <c r="I165" s="2421">
        <f>IF('Ввод данных'!$A$8=связи1!A165,связи1!C170,0)</f>
        <v>0</v>
      </c>
      <c r="J165" s="2421">
        <f>IF('Ввод данных'!$A$8=связи1!A165,связи1!D170,0)</f>
        <v>0</v>
      </c>
      <c r="K165" s="2421">
        <f>IF('Ввод данных'!$A$8=связи1!A165,связи1!E170,0)</f>
        <v>0</v>
      </c>
      <c r="AG165" s="2421">
        <v>1.4</v>
      </c>
      <c r="AH165" s="2715">
        <f t="shared" si="0"/>
        <v>2.4434609527919888E-2</v>
      </c>
      <c r="AI165" s="2715">
        <f t="shared" si="1"/>
        <v>2.4934609527919888E-2</v>
      </c>
      <c r="AJ165" s="2715">
        <f t="shared" si="2"/>
        <v>2.3934609527919887E-2</v>
      </c>
      <c r="AK165" s="2421">
        <f>IF(AND(дома!$Z$29&gt;=AJ165,дома!$Z$29&lt;=AI165),связи1!AG165,0)</f>
        <v>0</v>
      </c>
      <c r="AL165" s="2421">
        <f>IF(AND(дома!$AA$29&gt;=AJ165,дома!$AA$29&lt;=AI165),связи1!AG165,0)</f>
        <v>0</v>
      </c>
    </row>
    <row r="166" spans="1:38">
      <c r="A166" s="2421" t="s">
        <v>4321</v>
      </c>
      <c r="B166" s="2714" t="s">
        <v>1751</v>
      </c>
      <c r="C166" s="1055">
        <f>'Ввод данных'!C1089</f>
        <v>0.4</v>
      </c>
      <c r="D166" s="1055">
        <f>'Ввод данных'!C1091</f>
        <v>0.3</v>
      </c>
      <c r="E166" s="1055">
        <f>'Ввод данных'!C1093</f>
        <v>0.2</v>
      </c>
      <c r="F166" s="2421">
        <f>IF('Ввод данных'!$A$8=связи1!A166,связи1!$C$166,0)</f>
        <v>0</v>
      </c>
      <c r="G166" s="2421">
        <f>IF('Ввод данных'!$A$8=связи1!A166,связи1!$D$166,0)</f>
        <v>0</v>
      </c>
      <c r="H166" s="2421">
        <f>IF('Ввод данных'!$A$8=связи1!A166,связи1!$E$166,0)</f>
        <v>0</v>
      </c>
      <c r="I166" s="2421">
        <f>IF('Ввод данных'!$A$8=связи1!A166,связи1!C171,0)</f>
        <v>0</v>
      </c>
      <c r="J166" s="2421">
        <f>IF('Ввод данных'!$A$8=связи1!A166,связи1!D171,0)</f>
        <v>0</v>
      </c>
      <c r="K166" s="2421">
        <f>IF('Ввод данных'!$A$8=связи1!A166,связи1!E171,0)</f>
        <v>0</v>
      </c>
      <c r="AG166" s="2421">
        <v>1.5</v>
      </c>
      <c r="AH166" s="2715">
        <f t="shared" si="0"/>
        <v>2.6179938779914164E-2</v>
      </c>
      <c r="AI166" s="2715">
        <f t="shared" si="1"/>
        <v>2.6679938779914165E-2</v>
      </c>
      <c r="AJ166" s="2715">
        <f t="shared" si="2"/>
        <v>2.5679938779914164E-2</v>
      </c>
      <c r="AK166" s="2421">
        <f>IF(AND(дома!$Z$29&gt;=AJ166,дома!$Z$29&lt;=AI166),связи1!AG166,0)</f>
        <v>0</v>
      </c>
      <c r="AL166" s="2421">
        <f>IF(AND(дома!$AA$29&gt;=AJ166,дома!$AA$29&lt;=AI166),связи1!AG166,0)</f>
        <v>0</v>
      </c>
    </row>
    <row r="167" spans="1:38">
      <c r="A167" s="2421" t="s">
        <v>4322</v>
      </c>
      <c r="B167" s="2714" t="s">
        <v>4308</v>
      </c>
      <c r="C167" s="2421">
        <f>VLOOKUP('Ввод данных'!A899,'Прайс лист'!B333:G419,4,0)</f>
        <v>0.2</v>
      </c>
      <c r="D167" s="2421">
        <f>VLOOKUP('Ввод данных'!A901,'Прайс лист'!B333:G419,4,0)</f>
        <v>0.15</v>
      </c>
      <c r="E167" s="2421">
        <f>VLOOKUP('Ввод данных'!A903,'Прайс лист'!B333:G419,4,0)</f>
        <v>0.1</v>
      </c>
      <c r="F167" s="2421">
        <f>IF('Ввод данных'!$A$8=связи1!A167,связи1!$C$166,0)</f>
        <v>0</v>
      </c>
      <c r="G167" s="2421">
        <f>IF('Ввод данных'!$A$8=связи1!A167,связи1!$D$166,0)</f>
        <v>0</v>
      </c>
      <c r="H167" s="2421">
        <f>IF('Ввод данных'!$A$8=связи1!A167,связи1!$E$166,0)</f>
        <v>0</v>
      </c>
      <c r="I167" s="2421">
        <f>IF('Ввод данных'!$A$8=связи1!A167,связи1!C172,0)</f>
        <v>0</v>
      </c>
      <c r="J167" s="2421">
        <f>IF('Ввод данных'!$A$8=связи1!A167,связи1!D172,0)</f>
        <v>0</v>
      </c>
      <c r="K167" s="2421">
        <f>IF('Ввод данных'!$A$8=связи1!A167,связи1!E172,0)</f>
        <v>0</v>
      </c>
      <c r="AG167" s="2421">
        <v>1.6</v>
      </c>
      <c r="AH167" s="2715">
        <f t="shared" si="0"/>
        <v>2.7925268031908444E-2</v>
      </c>
      <c r="AI167" s="2715">
        <f t="shared" si="1"/>
        <v>2.8425268031908445E-2</v>
      </c>
      <c r="AJ167" s="2715">
        <f t="shared" si="2"/>
        <v>2.7425268031908444E-2</v>
      </c>
      <c r="AK167" s="2421">
        <f>IF(AND(дома!$Z$29&gt;=AJ167,дома!$Z$29&lt;=AI167),связи1!AG167,0)</f>
        <v>0</v>
      </c>
      <c r="AL167" s="2421">
        <f>IF(AND(дома!$AA$29&gt;=AJ167,дома!$AA$29&lt;=AI167),связи1!AG167,0)</f>
        <v>0</v>
      </c>
    </row>
    <row r="168" spans="1:38">
      <c r="A168" s="2421" t="s">
        <v>4323</v>
      </c>
      <c r="B168" s="2714" t="s">
        <v>4309</v>
      </c>
      <c r="C168" s="1055">
        <f>VLOOKUP('Ввод данных'!A1001,связи1!A297:F309,6,0)</f>
        <v>0.17399999999999999</v>
      </c>
      <c r="D168" s="1055">
        <f>VLOOKUP('Ввод данных'!A1003,связи1!A297:F309,6,0)</f>
        <v>0.17399999999999999</v>
      </c>
      <c r="E168" s="1055">
        <f>VLOOKUP('Ввод данных'!A1005,связи1!A297:F309,6,0)</f>
        <v>0.124</v>
      </c>
      <c r="F168" s="2421">
        <f>IF('Ввод данных'!$A$8=связи1!A168,связи1!$C$166,0)</f>
        <v>0</v>
      </c>
      <c r="G168" s="2421">
        <f>IF('Ввод данных'!$A$8=связи1!A168,связи1!$D$166,0)</f>
        <v>0</v>
      </c>
      <c r="H168" s="2421">
        <f>IF('Ввод данных'!$A$8=связи1!A168,связи1!$E$166,0)</f>
        <v>0</v>
      </c>
      <c r="I168" s="2421">
        <f>IF('Ввод данных'!$A$8=связи1!A168,связи1!C168,0)</f>
        <v>0</v>
      </c>
      <c r="J168" s="2421">
        <f>IF('Ввод данных'!$A$8=связи1!A168,связи1!D168,0)</f>
        <v>0</v>
      </c>
      <c r="K168" s="2421">
        <f>IF('Ввод данных'!$A$8=связи1!A168,связи1!E168,0)</f>
        <v>0</v>
      </c>
      <c r="AG168" s="2421">
        <v>1.7</v>
      </c>
      <c r="AH168" s="2715">
        <f t="shared" si="0"/>
        <v>2.9670597283902717E-2</v>
      </c>
      <c r="AI168" s="2715">
        <f t="shared" si="1"/>
        <v>3.0170597283902718E-2</v>
      </c>
      <c r="AJ168" s="2715">
        <f t="shared" si="2"/>
        <v>2.9170597283902717E-2</v>
      </c>
      <c r="AK168" s="2421">
        <f>IF(AND(дома!$Z$29&gt;=AJ168,дома!$Z$29&lt;=AI168),связи1!AG168,0)</f>
        <v>0</v>
      </c>
      <c r="AL168" s="2421">
        <f>IF(AND(дома!$AA$29&gt;=AJ168,дома!$AA$29&lt;=AI168),связи1!AG168,0)</f>
        <v>0</v>
      </c>
    </row>
    <row r="169" spans="1:38">
      <c r="A169" s="2421" t="s">
        <v>4324</v>
      </c>
      <c r="B169" s="2714" t="s">
        <v>4310</v>
      </c>
      <c r="C169" s="2421">
        <f>VLOOKUP('Ввод данных'!A899,'Прайс лист'!B333:G419,4,0)</f>
        <v>0.2</v>
      </c>
      <c r="D169" s="2421">
        <f>VLOOKUP('Ввод данных'!A901,'Прайс лист'!B333:G419,4,0)</f>
        <v>0.15</v>
      </c>
      <c r="E169" s="2421">
        <f>VLOOKUP('Ввод данных'!A903,'Прайс лист'!B333:G419,4,0)</f>
        <v>0.1</v>
      </c>
      <c r="F169" s="2421">
        <f>IF('Ввод данных'!$A$8=связи1!A169,связи1!$C$166,0)</f>
        <v>0</v>
      </c>
      <c r="G169" s="2421">
        <f>IF('Ввод данных'!$A$8=связи1!A169,связи1!$D$166,0)</f>
        <v>0</v>
      </c>
      <c r="H169" s="2421">
        <f>IF('Ввод данных'!$A$8=связи1!A169,связи1!$E$166,0)</f>
        <v>0</v>
      </c>
      <c r="I169" s="2421">
        <f>IF('Ввод данных'!$A$8=связи1!A169,связи1!C163,0)</f>
        <v>0</v>
      </c>
      <c r="J169" s="2421">
        <f>IF('Ввод данных'!$A$8=связи1!A169,связи1!D163,0)</f>
        <v>0</v>
      </c>
      <c r="K169" s="2421">
        <f>IF('Ввод данных'!$A$8=связи1!A169,связи1!E163,0)</f>
        <v>0</v>
      </c>
      <c r="AG169" s="2421">
        <v>1.8</v>
      </c>
      <c r="AH169" s="2715">
        <f t="shared" si="0"/>
        <v>3.1415926535896997E-2</v>
      </c>
      <c r="AI169" s="2715">
        <f t="shared" si="1"/>
        <v>3.1915926535896998E-2</v>
      </c>
      <c r="AJ169" s="2715">
        <f t="shared" si="2"/>
        <v>3.0915926535896997E-2</v>
      </c>
      <c r="AK169" s="2421">
        <f>IF(AND(дома!$Z$29&gt;=AJ169,дома!$Z$29&lt;=AI169),связи1!AG169,0)</f>
        <v>0</v>
      </c>
      <c r="AL169" s="2421">
        <f>IF(AND(дома!$AA$29&gt;=AJ169,дома!$AA$29&lt;=AI169),связи1!AG169,0)</f>
        <v>0</v>
      </c>
    </row>
    <row r="170" spans="1:38">
      <c r="A170" s="2421" t="s">
        <v>4325</v>
      </c>
      <c r="B170" s="2714" t="s">
        <v>4311</v>
      </c>
      <c r="C170" s="2421">
        <f>VLOOKUP('Ввод данных'!A899,'Прайс лист'!B333:G419,4,0)</f>
        <v>0.2</v>
      </c>
      <c r="D170" s="2421">
        <f>VLOOKUP('Ввод данных'!A901,'Прайс лист'!B333:G419,4,0)</f>
        <v>0.15</v>
      </c>
      <c r="E170" s="2421">
        <f>VLOOKUP('Ввод данных'!A903,'Прайс лист'!B333:G419,4,0)</f>
        <v>0.1</v>
      </c>
      <c r="F170" s="2421">
        <f>IF('Ввод данных'!$A$8=связи1!A170,связи1!$C$166,0)</f>
        <v>0</v>
      </c>
      <c r="G170" s="2421">
        <f>IF('Ввод данных'!$A$8=связи1!A170,связи1!$D$166,0)</f>
        <v>0</v>
      </c>
      <c r="H170" s="2421">
        <f>IF('Ввод данных'!$A$8=связи1!A170,связи1!$E$166,0)</f>
        <v>0</v>
      </c>
      <c r="I170" s="2421">
        <f>IF('Ввод данных'!$A$8=связи1!A170,связи1!C164,0)</f>
        <v>0</v>
      </c>
      <c r="J170" s="2421">
        <f>IF('Ввод данных'!$A$8=связи1!A170,связи1!D164,0)</f>
        <v>0</v>
      </c>
      <c r="K170" s="2421">
        <f>IF('Ввод данных'!$A$8=связи1!A170,связи1!E164,0)</f>
        <v>0</v>
      </c>
      <c r="AG170" s="2421">
        <v>1.9</v>
      </c>
      <c r="AH170" s="2715">
        <f t="shared" si="0"/>
        <v>3.3161255787891274E-2</v>
      </c>
      <c r="AI170" s="2715">
        <f t="shared" si="1"/>
        <v>3.3661255787891274E-2</v>
      </c>
      <c r="AJ170" s="2715">
        <f t="shared" si="2"/>
        <v>3.2661255787891273E-2</v>
      </c>
      <c r="AK170" s="2421">
        <f>IF(AND(дома!$Z$29&gt;=AJ170,дома!$Z$29&lt;=AI170),связи1!AG170,0)</f>
        <v>0</v>
      </c>
      <c r="AL170" s="2421">
        <f>IF(AND(дома!$AA$29&gt;=AJ170,дома!$AA$29&lt;=AI170),связи1!AG170,0)</f>
        <v>0</v>
      </c>
    </row>
    <row r="171" spans="1:38">
      <c r="A171" s="2421" t="s">
        <v>4326</v>
      </c>
      <c r="B171" s="2714" t="s">
        <v>4315</v>
      </c>
      <c r="C171" s="2421">
        <f>VLOOKUP('Ввод данных'!A909,'Прайс лист'!B441:G528,3,0)</f>
        <v>0.26</v>
      </c>
      <c r="D171" s="2421">
        <f>VLOOKUP('Ввод данных'!A911,'Прайс лист'!B441:G528,3,0)</f>
        <v>0.2</v>
      </c>
      <c r="E171" s="2421">
        <f>VLOOKUP('Ввод данных'!A913,'Прайс лист'!B441:G528,3,0)</f>
        <v>0.2</v>
      </c>
      <c r="F171" s="2421">
        <f>IF('Ввод данных'!$A$8=связи1!A171,связи1!$C$164,0)</f>
        <v>0</v>
      </c>
      <c r="G171" s="2421">
        <f>IF('Ввод данных'!$A$8=связи1!A171,связи1!$D$164,0)</f>
        <v>0</v>
      </c>
      <c r="H171" s="2421">
        <f>IF('Ввод данных'!$A$8=связи1!A171,связи1!$E$164,0)</f>
        <v>0</v>
      </c>
      <c r="I171" s="2421">
        <f>IF('Ввод данных'!$A$8=связи1!A171,связи1!C167,0)</f>
        <v>0</v>
      </c>
      <c r="J171" s="2421">
        <f>IF('Ввод данных'!$A$8=связи1!A171,связи1!D167,0)</f>
        <v>0</v>
      </c>
      <c r="K171" s="2421">
        <f>IF('Ввод данных'!$A$8=связи1!A171,связи1!E167,0)</f>
        <v>0</v>
      </c>
      <c r="AG171" s="2421">
        <v>2</v>
      </c>
      <c r="AH171" s="2715">
        <f t="shared" si="0"/>
        <v>3.4906585039885557E-2</v>
      </c>
      <c r="AI171" s="2715">
        <f t="shared" si="1"/>
        <v>3.5406585039885557E-2</v>
      </c>
      <c r="AJ171" s="2715">
        <f t="shared" si="2"/>
        <v>3.4406585039885557E-2</v>
      </c>
      <c r="AK171" s="2421">
        <f>IF(AND(дома!$Z$29&gt;=AJ171,дома!$Z$29&lt;=AI171),связи1!AG171,0)</f>
        <v>0</v>
      </c>
      <c r="AL171" s="2421">
        <f>IF(AND(дома!$AA$29&gt;=AJ171,дома!$AA$29&lt;=AI171),связи1!AG171,0)</f>
        <v>0</v>
      </c>
    </row>
    <row r="172" spans="1:38">
      <c r="A172" s="2421" t="s">
        <v>4327</v>
      </c>
      <c r="B172" s="2714" t="s">
        <v>4316</v>
      </c>
      <c r="C172" s="2421">
        <f>VLOOKUP('Ввод данных'!A909,'Прайс лист'!B441:G528,3,0)</f>
        <v>0.26</v>
      </c>
      <c r="D172" s="2421">
        <f>VLOOKUP('Ввод данных'!A911,'Прайс лист'!B441:G528,3,0)</f>
        <v>0.2</v>
      </c>
      <c r="E172" s="2421">
        <f>VLOOKUP('Ввод данных'!A913,'Прайс лист'!B441:G528,3,0)</f>
        <v>0.2</v>
      </c>
      <c r="F172" s="2421">
        <f>IF('Ввод данных'!$A$8=связи1!A172,связи1!$C$164,0)</f>
        <v>0</v>
      </c>
      <c r="G172" s="2421">
        <f>IF('Ввод данных'!$A$8=связи1!A172,связи1!$D$164,0)</f>
        <v>0</v>
      </c>
      <c r="H172" s="2421">
        <f>IF('Ввод данных'!$A$8=связи1!A172,связи1!$E$164,0)</f>
        <v>0</v>
      </c>
      <c r="I172" s="2421">
        <f>IF('Ввод данных'!$A$8=связи1!A172,связи1!C169,0)</f>
        <v>0</v>
      </c>
      <c r="J172" s="2421">
        <f>IF('Ввод данных'!$A$8=связи1!A172,связи1!D169,0)</f>
        <v>0</v>
      </c>
      <c r="K172" s="2421">
        <f>IF('Ввод данных'!$A$8=связи1!A172,связи1!E169,0)</f>
        <v>0</v>
      </c>
      <c r="AG172" s="2421">
        <v>2.1</v>
      </c>
      <c r="AH172" s="2715">
        <f t="shared" si="0"/>
        <v>3.6651914291879834E-2</v>
      </c>
      <c r="AI172" s="2715">
        <f t="shared" si="1"/>
        <v>3.7151914291879834E-2</v>
      </c>
      <c r="AJ172" s="2715">
        <f t="shared" si="2"/>
        <v>3.6151914291879833E-2</v>
      </c>
      <c r="AK172" s="2421">
        <f>IF(AND(дома!$Z$29&gt;=AJ172,дома!$Z$29&lt;=AI172),связи1!AG172,0)</f>
        <v>0</v>
      </c>
      <c r="AL172" s="2421">
        <f>IF(AND(дома!$AA$29&gt;=AJ172,дома!$AA$29&lt;=AI172),связи1!AG172,0)</f>
        <v>0</v>
      </c>
    </row>
    <row r="173" spans="1:38">
      <c r="A173" s="2421" t="s">
        <v>4328</v>
      </c>
      <c r="C173" s="2421"/>
      <c r="D173" s="2421"/>
      <c r="E173" s="2421"/>
      <c r="F173" s="2421">
        <f>IF('Ввод данных'!$A$8=связи1!A173,связи1!$C$164,0)</f>
        <v>0</v>
      </c>
      <c r="G173" s="2421">
        <f>IF('Ввод данных'!$A$8=связи1!A173,связи1!$D$164,0)</f>
        <v>0</v>
      </c>
      <c r="H173" s="2421">
        <f>IF('Ввод данных'!$A$8=связи1!A173,связи1!$E$164,0)</f>
        <v>0</v>
      </c>
      <c r="I173" s="2421">
        <f>IF('Ввод данных'!$A$8=связи1!A173,связи1!C170,0)</f>
        <v>0</v>
      </c>
      <c r="J173" s="2421">
        <f>IF('Ввод данных'!$A$8=связи1!A173,связи1!D170,0)</f>
        <v>0</v>
      </c>
      <c r="K173" s="2421">
        <f>IF('Ввод данных'!$A$8=связи1!A173,связи1!E170,0)</f>
        <v>0</v>
      </c>
      <c r="AG173" s="2421">
        <v>2.2000000000000002</v>
      </c>
      <c r="AH173" s="2715">
        <f t="shared" si="0"/>
        <v>3.8397243543874117E-2</v>
      </c>
      <c r="AI173" s="2715">
        <f t="shared" si="1"/>
        <v>3.8897243543874117E-2</v>
      </c>
      <c r="AJ173" s="2715">
        <f t="shared" si="2"/>
        <v>3.7897243543874116E-2</v>
      </c>
      <c r="AK173" s="2421">
        <f>IF(AND(дома!$Z$29&gt;=AJ173,дома!$Z$29&lt;=AI173),связи1!AG173,0)</f>
        <v>0</v>
      </c>
      <c r="AL173" s="2421">
        <f>IF(AND(дома!$AA$29&gt;=AJ173,дома!$AA$29&lt;=AI173),связи1!AG173,0)</f>
        <v>0</v>
      </c>
    </row>
    <row r="174" spans="1:38">
      <c r="A174" s="2421" t="s">
        <v>4329</v>
      </c>
      <c r="C174" s="2421"/>
      <c r="D174" s="2421"/>
      <c r="E174" s="2421"/>
      <c r="F174" s="2421">
        <f>IF('Ввод данных'!$A$8=связи1!A174,связи1!$C$164,0)</f>
        <v>0</v>
      </c>
      <c r="G174" s="2421">
        <f>IF('Ввод данных'!$A$8=связи1!A174,связи1!$D$164,0)</f>
        <v>0</v>
      </c>
      <c r="H174" s="2421">
        <f>IF('Ввод данных'!$A$8=связи1!A174,связи1!$E$164,0)</f>
        <v>0</v>
      </c>
      <c r="I174" s="2421">
        <f>IF('Ввод данных'!$A$8=связи1!A174,связи1!C171,0)</f>
        <v>0</v>
      </c>
      <c r="J174" s="2421">
        <f>IF('Ввод данных'!$A$8=связи1!A174,связи1!D171,0)</f>
        <v>0</v>
      </c>
      <c r="K174" s="2421">
        <f>IF('Ввод данных'!$A$8=связи1!A174,связи1!E171,0)</f>
        <v>0</v>
      </c>
      <c r="AG174" s="2421">
        <v>2.2999999999999998</v>
      </c>
      <c r="AH174" s="2715">
        <f t="shared" si="0"/>
        <v>4.0142572795868386E-2</v>
      </c>
      <c r="AI174" s="2715">
        <f t="shared" si="1"/>
        <v>4.0642572795868387E-2</v>
      </c>
      <c r="AJ174" s="2715">
        <f t="shared" si="2"/>
        <v>3.9642572795868386E-2</v>
      </c>
      <c r="AK174" s="2421">
        <f>IF(AND(дома!$Z$29&gt;=AJ174,дома!$Z$29&lt;=AI174),связи1!AG174,0)</f>
        <v>0</v>
      </c>
      <c r="AL174" s="2421">
        <f>IF(AND(дома!$AA$29&gt;=AJ174,дома!$AA$29&lt;=AI174),связи1!AG174,0)</f>
        <v>0</v>
      </c>
    </row>
    <row r="175" spans="1:38">
      <c r="A175" s="2421" t="s">
        <v>4330</v>
      </c>
      <c r="C175" s="2421"/>
      <c r="D175" s="2421"/>
      <c r="E175" s="2421"/>
      <c r="F175" s="2421">
        <f>IF('Ввод данных'!$A$8=связи1!A175,связи1!$C$164,0)</f>
        <v>0</v>
      </c>
      <c r="G175" s="2421">
        <f>IF('Ввод данных'!$A$8=связи1!A175,связи1!$D$164,0)</f>
        <v>0</v>
      </c>
      <c r="H175" s="2421">
        <f>IF('Ввод данных'!$A$8=связи1!A175,связи1!$E$164,0)</f>
        <v>0</v>
      </c>
      <c r="I175" s="2421">
        <f>IF('Ввод данных'!$A$8=связи1!A175,связи1!C172,0)</f>
        <v>0</v>
      </c>
      <c r="J175" s="2421">
        <f>IF('Ввод данных'!$A$8=связи1!A175,связи1!D172,0)</f>
        <v>0</v>
      </c>
      <c r="K175" s="2421">
        <f>IF('Ввод данных'!$A$8=связи1!A175,связи1!E172,0)</f>
        <v>0</v>
      </c>
      <c r="AG175" s="2421">
        <v>2.4</v>
      </c>
      <c r="AH175" s="2715">
        <f t="shared" si="0"/>
        <v>4.1887902047862663E-2</v>
      </c>
      <c r="AI175" s="2715">
        <f t="shared" si="1"/>
        <v>4.2387902047862663E-2</v>
      </c>
      <c r="AJ175" s="2715">
        <f t="shared" si="2"/>
        <v>4.1387902047862662E-2</v>
      </c>
      <c r="AK175" s="2421">
        <f>IF(AND(дома!$Z$29&gt;=AJ175,дома!$Z$29&lt;=AI175),связи1!AG175,0)</f>
        <v>0</v>
      </c>
      <c r="AL175" s="2421">
        <f>IF(AND(дома!$AA$29&gt;=AJ175,дома!$AA$29&lt;=AI175),связи1!AG175,0)</f>
        <v>0</v>
      </c>
    </row>
    <row r="176" spans="1:38">
      <c r="A176" s="2421" t="s">
        <v>4331</v>
      </c>
      <c r="C176" s="2421"/>
      <c r="D176" s="2421"/>
      <c r="E176" s="2421"/>
      <c r="F176" s="2421">
        <f>IF('Ввод данных'!$A$8=связи1!A176,связи1!$C$164,0)</f>
        <v>0</v>
      </c>
      <c r="G176" s="2421">
        <f>IF('Ввод данных'!$A$8=связи1!A176,связи1!$D$164,0)</f>
        <v>0</v>
      </c>
      <c r="H176" s="2421">
        <f>IF('Ввод данных'!$A$8=связи1!A176,связи1!$E$164,0)</f>
        <v>0</v>
      </c>
      <c r="I176" s="2421">
        <f>IF('Ввод данных'!$A$8=связи1!A176,связи1!C168,0)</f>
        <v>0</v>
      </c>
      <c r="J176" s="2421">
        <f>IF('Ввод данных'!$A$8=связи1!A176,связи1!D168,0)</f>
        <v>0</v>
      </c>
      <c r="K176" s="2421">
        <f>IF('Ввод данных'!$A$8=связи1!A176,связи1!E168,0)</f>
        <v>0</v>
      </c>
      <c r="AG176" s="2421">
        <v>2.5</v>
      </c>
      <c r="AH176" s="2715">
        <f t="shared" si="0"/>
        <v>4.3633231299856946E-2</v>
      </c>
      <c r="AI176" s="2715">
        <f t="shared" si="1"/>
        <v>4.4133231299856947E-2</v>
      </c>
      <c r="AJ176" s="2715">
        <f t="shared" si="2"/>
        <v>4.3133231299856946E-2</v>
      </c>
      <c r="AK176" s="2421">
        <f>IF(AND(дома!$Z$29&gt;=AJ176,дома!$Z$29&lt;=AI176),связи1!AG176,0)</f>
        <v>0</v>
      </c>
      <c r="AL176" s="2421">
        <f>IF(AND(дома!$AA$29&gt;=AJ176,дома!$AA$29&lt;=AI176),связи1!AG176,0)</f>
        <v>0</v>
      </c>
    </row>
    <row r="177" spans="1:38">
      <c r="A177" s="2421" t="s">
        <v>4332</v>
      </c>
      <c r="C177" s="2421"/>
      <c r="D177" s="2421"/>
      <c r="E177" s="2421"/>
      <c r="F177" s="2421">
        <f>IF('Ввод данных'!$A$8=связи1!A177,связи1!$C$164,0)</f>
        <v>0</v>
      </c>
      <c r="G177" s="2421">
        <f>IF('Ввод данных'!$A$8=связи1!A177,связи1!$D$164,0)</f>
        <v>0</v>
      </c>
      <c r="H177" s="2421">
        <f>IF('Ввод данных'!$A$8=связи1!A177,связи1!$E$164,0)</f>
        <v>0</v>
      </c>
      <c r="I177" s="2421">
        <f>IF('Ввод данных'!$A$8=связи1!A177,связи1!C163,0)</f>
        <v>0</v>
      </c>
      <c r="J177" s="2421">
        <f>IF('Ввод данных'!$A$8=связи1!A177,связи1!D163,0)</f>
        <v>0</v>
      </c>
      <c r="K177" s="2421">
        <f>IF('Ввод данных'!$A$8=связи1!A177,связи1!E163,0)</f>
        <v>0</v>
      </c>
      <c r="AG177" s="2421">
        <v>2.6</v>
      </c>
      <c r="AH177" s="2715">
        <f t="shared" si="0"/>
        <v>4.5378560551851223E-2</v>
      </c>
      <c r="AI177" s="2715">
        <f t="shared" si="1"/>
        <v>4.5878560551851223E-2</v>
      </c>
      <c r="AJ177" s="2715">
        <f t="shared" si="2"/>
        <v>4.4878560551851222E-2</v>
      </c>
      <c r="AK177" s="2421">
        <f>IF(AND(дома!$Z$29&gt;=AJ177,дома!$Z$29&lt;=AI177),связи1!AG177,0)</f>
        <v>0</v>
      </c>
      <c r="AL177" s="2421">
        <f>IF(AND(дома!$AA$29&gt;=AJ177,дома!$AA$29&lt;=AI177),связи1!AG177,0)</f>
        <v>0</v>
      </c>
    </row>
    <row r="178" spans="1:38">
      <c r="A178" s="2421" t="s">
        <v>4333</v>
      </c>
      <c r="C178" s="2421"/>
      <c r="D178" s="2421"/>
      <c r="E178" s="2421"/>
      <c r="F178" s="2421">
        <f>IF('Ввод данных'!$A$8=связи1!A178,связи1!$C$164,0)</f>
        <v>0</v>
      </c>
      <c r="G178" s="2421">
        <f>IF('Ввод данных'!$A$8=связи1!A178,связи1!$D$164,0)</f>
        <v>0</v>
      </c>
      <c r="H178" s="2421">
        <f>IF('Ввод данных'!$A$8=связи1!A178,связи1!$E$164,0)</f>
        <v>0</v>
      </c>
      <c r="I178" s="2421">
        <f>IF('Ввод данных'!$A$8=связи1!A178,связи1!C165,0)</f>
        <v>0</v>
      </c>
      <c r="J178" s="2421">
        <f>IF('Ввод данных'!$A$8=связи1!A178,связи1!D165,0)</f>
        <v>0</v>
      </c>
      <c r="K178" s="2421">
        <f>IF('Ввод данных'!$A$8=связи1!A178,связи1!E165,0)</f>
        <v>0</v>
      </c>
      <c r="AG178" s="2421">
        <v>2.7</v>
      </c>
      <c r="AH178" s="2715">
        <f t="shared" si="0"/>
        <v>4.7123889803845506E-2</v>
      </c>
      <c r="AI178" s="2715">
        <f t="shared" si="1"/>
        <v>4.7623889803845507E-2</v>
      </c>
      <c r="AJ178" s="2715">
        <f t="shared" si="2"/>
        <v>4.6623889803845506E-2</v>
      </c>
      <c r="AK178" s="2421">
        <f>IF(AND(дома!$Z$29&gt;=AJ178,дома!$Z$29&lt;=AI178),связи1!AG178,0)</f>
        <v>0</v>
      </c>
      <c r="AL178" s="2421">
        <f>IF(AND(дома!$AA$29&gt;=AJ178,дома!$AA$29&lt;=AI178),связи1!AG178,0)</f>
        <v>0</v>
      </c>
    </row>
    <row r="179" spans="1:38">
      <c r="A179" s="2421" t="s">
        <v>4334</v>
      </c>
      <c r="C179" s="2421"/>
      <c r="D179" s="2421"/>
      <c r="E179" s="2421"/>
      <c r="F179" s="2421">
        <f>IF('Ввод данных'!$A$8=связи1!A179,связи1!$C$165,0)</f>
        <v>0</v>
      </c>
      <c r="G179" s="2421">
        <f>IF('Ввод данных'!$A$8=связи1!A179,связи1!$D$165,0)</f>
        <v>0</v>
      </c>
      <c r="H179" s="2421">
        <f>IF('Ввод данных'!$A$8=связи1!A179,связи1!$E$165,0)</f>
        <v>0</v>
      </c>
      <c r="I179" s="2421">
        <f>IF('Ввод данных'!$A$8=связи1!A179,связи1!C164,0)</f>
        <v>0</v>
      </c>
      <c r="J179" s="2421">
        <f>IF('Ввод данных'!$A$8=связи1!A179,связи1!D164,0)</f>
        <v>0</v>
      </c>
      <c r="K179" s="2421">
        <f>IF('Ввод данных'!$A$8=связи1!A179,связи1!E164,0)</f>
        <v>0</v>
      </c>
      <c r="AG179" s="2421">
        <v>2.8</v>
      </c>
      <c r="AH179" s="2715">
        <f t="shared" si="0"/>
        <v>4.8869219055839776E-2</v>
      </c>
      <c r="AI179" s="2715">
        <f t="shared" si="1"/>
        <v>4.9369219055839776E-2</v>
      </c>
      <c r="AJ179" s="2715">
        <f t="shared" si="2"/>
        <v>4.8369219055839775E-2</v>
      </c>
      <c r="AK179" s="2421">
        <f>IF(AND(дома!$Z$29&gt;=AJ179,дома!$Z$29&lt;=AI179),связи1!AG179,0)</f>
        <v>0</v>
      </c>
      <c r="AL179" s="2421">
        <f>IF(AND(дома!$AA$29&gt;=AJ179,дома!$AA$29&lt;=AI179),связи1!AG179,0)</f>
        <v>0</v>
      </c>
    </row>
    <row r="180" spans="1:38">
      <c r="A180" s="2421" t="s">
        <v>4335</v>
      </c>
      <c r="C180" s="2421"/>
      <c r="D180" s="2421"/>
      <c r="E180" s="2421"/>
      <c r="F180" s="2421">
        <f>IF('Ввод данных'!$A$8=связи1!A180,связи1!$C$165,0)</f>
        <v>0</v>
      </c>
      <c r="G180" s="2421">
        <f>IF('Ввод данных'!$A$8=связи1!A180,связи1!$D$165,0)</f>
        <v>0</v>
      </c>
      <c r="H180" s="2421">
        <f>IF('Ввод данных'!$A$8=связи1!A180,связи1!$E$165,0)</f>
        <v>0</v>
      </c>
      <c r="I180" s="2421">
        <f>IF('Ввод данных'!$A$8=связи1!A180,связи1!C167,0)</f>
        <v>0</v>
      </c>
      <c r="J180" s="2421">
        <f>IF('Ввод данных'!$A$8=связи1!A180,связи1!D167,0)</f>
        <v>0</v>
      </c>
      <c r="K180" s="2421">
        <f>IF('Ввод данных'!$A$8=связи1!A180,связи1!E167,0)</f>
        <v>0</v>
      </c>
      <c r="AG180" s="2421">
        <v>2.9</v>
      </c>
      <c r="AH180" s="2715">
        <f t="shared" si="0"/>
        <v>5.0614548307834059E-2</v>
      </c>
      <c r="AI180" s="2715">
        <f t="shared" si="1"/>
        <v>5.111454830783406E-2</v>
      </c>
      <c r="AJ180" s="2715">
        <f t="shared" si="2"/>
        <v>5.0114548307834059E-2</v>
      </c>
      <c r="AK180" s="2421">
        <f>IF(AND(дома!$Z$29&gt;=AJ180,дома!$Z$29&lt;=AI180),связи1!AG180,0)</f>
        <v>0</v>
      </c>
      <c r="AL180" s="2421">
        <f>IF(AND(дома!$AA$29&gt;=AJ180,дома!$AA$29&lt;=AI180),связи1!AG180,0)</f>
        <v>0</v>
      </c>
    </row>
    <row r="181" spans="1:38">
      <c r="A181" s="2421" t="s">
        <v>4336</v>
      </c>
      <c r="C181" s="2421"/>
      <c r="D181" s="2421"/>
      <c r="E181" s="2421"/>
      <c r="F181" s="2421">
        <f>IF('Ввод данных'!$A$8=связи1!A181,связи1!$C$165,0)</f>
        <v>0</v>
      </c>
      <c r="G181" s="2421">
        <f>IF('Ввод данных'!$A$8=связи1!A181,связи1!$D$165,0)</f>
        <v>0</v>
      </c>
      <c r="H181" s="2421">
        <f>IF('Ввод данных'!$A$8=связи1!A181,связи1!$E$165,0)</f>
        <v>0</v>
      </c>
      <c r="I181" s="2421">
        <f>IF('Ввод данных'!$A$8=связи1!A181,связи1!C170,0)</f>
        <v>0</v>
      </c>
      <c r="J181" s="2421">
        <f>IF('Ввод данных'!$A$8=связи1!A181,связи1!D170,0)</f>
        <v>0</v>
      </c>
      <c r="K181" s="2421">
        <f>IF('Ввод данных'!$A$8=связи1!A181,связи1!E170,0)</f>
        <v>0</v>
      </c>
      <c r="AG181" s="2421">
        <v>3</v>
      </c>
      <c r="AH181" s="2715">
        <f t="shared" si="0"/>
        <v>5.2359877559828329E-2</v>
      </c>
      <c r="AI181" s="2715">
        <f t="shared" si="1"/>
        <v>5.2859877559828329E-2</v>
      </c>
      <c r="AJ181" s="2715">
        <f t="shared" si="2"/>
        <v>5.1859877559828328E-2</v>
      </c>
      <c r="AK181" s="2421">
        <f>IF(AND(дома!$Z$29&gt;=AJ181,дома!$Z$29&lt;=AI181),связи1!AG181,0)</f>
        <v>0</v>
      </c>
      <c r="AL181" s="2421">
        <f>IF(AND(дома!$AA$29&gt;=AJ181,дома!$AA$29&lt;=AI181),связи1!AG181,0)</f>
        <v>0</v>
      </c>
    </row>
    <row r="182" spans="1:38">
      <c r="A182" s="2421" t="s">
        <v>4337</v>
      </c>
      <c r="C182" s="2421"/>
      <c r="D182" s="2421"/>
      <c r="E182" s="2421"/>
      <c r="F182" s="2421">
        <f>IF('Ввод данных'!$A$8=связи1!A182,связи1!$C$165,0)</f>
        <v>0</v>
      </c>
      <c r="G182" s="2421">
        <f>IF('Ввод данных'!$A$8=связи1!A182,связи1!$D$165,0)</f>
        <v>0</v>
      </c>
      <c r="H182" s="2421">
        <f>IF('Ввод данных'!$A$8=связи1!A182,связи1!$E$165,0)</f>
        <v>0</v>
      </c>
      <c r="I182" s="2421">
        <f>IF('Ввод данных'!$A$8=связи1!A182,связи1!C172,0)</f>
        <v>0</v>
      </c>
      <c r="J182" s="2421">
        <f>IF('Ввод данных'!$A$8=связи1!A182,связи1!D172,0)</f>
        <v>0</v>
      </c>
      <c r="K182" s="2421">
        <f>IF('Ввод данных'!$A$8=связи1!A182,связи1!E172,0)</f>
        <v>0</v>
      </c>
      <c r="AG182" s="2421">
        <v>3.1</v>
      </c>
      <c r="AH182" s="2715">
        <f t="shared" si="0"/>
        <v>5.4105206811822605E-2</v>
      </c>
      <c r="AI182" s="2715">
        <f t="shared" si="1"/>
        <v>5.4605206811822606E-2</v>
      </c>
      <c r="AJ182" s="2715">
        <f t="shared" si="2"/>
        <v>5.3605206811822605E-2</v>
      </c>
      <c r="AK182" s="2421">
        <f>IF(AND(дома!$Z$29&gt;=AJ182,дома!$Z$29&lt;=AI182),связи1!AG182,0)</f>
        <v>0</v>
      </c>
      <c r="AL182" s="2421">
        <f>IF(AND(дома!$AA$29&gt;=AJ182,дома!$AA$29&lt;=AI182),связи1!AG182,0)</f>
        <v>0</v>
      </c>
    </row>
    <row r="183" spans="1:38">
      <c r="A183" s="2421" t="s">
        <v>4338</v>
      </c>
      <c r="C183" s="2421"/>
      <c r="D183" s="2421"/>
      <c r="E183" s="2421"/>
      <c r="F183" s="2421">
        <f>IF('Ввод данных'!$A$8=связи1!A183,связи1!$C$165,0)</f>
        <v>0</v>
      </c>
      <c r="G183" s="2421">
        <f>IF('Ввод данных'!$A$8=связи1!A183,связи1!$D$165,0)</f>
        <v>0</v>
      </c>
      <c r="H183" s="2421">
        <f>IF('Ввод данных'!$A$8=связи1!A183,связи1!$E$165,0)</f>
        <v>0</v>
      </c>
      <c r="I183" s="2421">
        <f>IF('Ввод данных'!$A$8=связи1!A183,связи1!C168,0)</f>
        <v>0</v>
      </c>
      <c r="J183" s="2421">
        <f>IF('Ввод данных'!$A$8=связи1!A183,связи1!D168,0)</f>
        <v>0</v>
      </c>
      <c r="K183" s="2421">
        <f>IF('Ввод данных'!$A$8=связи1!A183,связи1!E168,0)</f>
        <v>0</v>
      </c>
      <c r="AG183" s="2421">
        <v>3.2</v>
      </c>
      <c r="AH183" s="2715">
        <f t="shared" si="0"/>
        <v>5.5850536063816889E-2</v>
      </c>
      <c r="AI183" s="2715">
        <f t="shared" si="1"/>
        <v>5.6350536063816889E-2</v>
      </c>
      <c r="AJ183" s="2715">
        <f t="shared" si="2"/>
        <v>5.5350536063816888E-2</v>
      </c>
      <c r="AK183" s="2421">
        <f>IF(AND(дома!$Z$29&gt;=AJ183,дома!$Z$29&lt;=AI183),связи1!AG183,0)</f>
        <v>0</v>
      </c>
      <c r="AL183" s="2421">
        <f>IF(AND(дома!$AA$29&gt;=AJ183,дома!$AA$29&lt;=AI183),связи1!AG183,0)</f>
        <v>0</v>
      </c>
    </row>
    <row r="184" spans="1:38">
      <c r="A184" s="2421" t="s">
        <v>4339</v>
      </c>
      <c r="C184" s="2421"/>
      <c r="D184" s="2421"/>
      <c r="E184" s="2421"/>
      <c r="F184" s="2421">
        <f>IF('Ввод данных'!$A$8=связи1!A184,связи1!$C$165,0)</f>
        <v>0</v>
      </c>
      <c r="G184" s="2421">
        <f>IF('Ввод данных'!$A$8=связи1!A184,связи1!$D$165,0)</f>
        <v>0</v>
      </c>
      <c r="H184" s="2421">
        <f>IF('Ввод данных'!$A$8=связи1!A184,связи1!$E$165,0)</f>
        <v>0</v>
      </c>
      <c r="I184" s="2421">
        <f>IF('Ввод данных'!$A$8=связи1!A184,связи1!C163,0)</f>
        <v>0</v>
      </c>
      <c r="J184" s="2421">
        <f>IF('Ввод данных'!$A$8=связи1!A184,связи1!D163,0)</f>
        <v>0</v>
      </c>
      <c r="K184" s="2421">
        <f>IF('Ввод данных'!$A$8=связи1!A184,связи1!E163,0)</f>
        <v>0</v>
      </c>
      <c r="AG184" s="2421">
        <v>3.3</v>
      </c>
      <c r="AH184" s="2715">
        <f t="shared" si="0"/>
        <v>5.7595865315811158E-2</v>
      </c>
      <c r="AI184" s="2715">
        <f t="shared" si="1"/>
        <v>5.8095865315811158E-2</v>
      </c>
      <c r="AJ184" s="2715">
        <f t="shared" si="2"/>
        <v>5.7095865315811158E-2</v>
      </c>
      <c r="AK184" s="2421">
        <f>IF(AND(дома!$Z$29&gt;=AJ184,дома!$Z$29&lt;=AI184),связи1!AG184,0)</f>
        <v>0</v>
      </c>
      <c r="AL184" s="2421">
        <f>IF(AND(дома!$AA$29&gt;=AJ184,дома!$AA$29&lt;=AI184),связи1!AG184,0)</f>
        <v>0</v>
      </c>
    </row>
    <row r="185" spans="1:38">
      <c r="A185" s="2421" t="s">
        <v>4340</v>
      </c>
      <c r="C185" s="2421"/>
      <c r="D185" s="2421"/>
      <c r="E185" s="2421"/>
      <c r="F185" s="2421">
        <f>IF('Ввод данных'!$A$8=связи1!A185,связи1!$C$167,0)</f>
        <v>0</v>
      </c>
      <c r="G185" s="2421">
        <f>IF('Ввод данных'!$A$8=связи1!A185,связи1!$D$167,0)</f>
        <v>0</v>
      </c>
      <c r="H185" s="2421">
        <f>IF('Ввод данных'!$A$8=связи1!A185,связи1!$E$167,0)</f>
        <v>0</v>
      </c>
      <c r="I185" s="2421">
        <f>IF('Ввод данных'!$A$8=связи1!A185,связи1!C163,0)</f>
        <v>0</v>
      </c>
      <c r="J185" s="2421">
        <f>IF('Ввод данных'!$A$8=связи1!A185,связи1!D163,0)</f>
        <v>0</v>
      </c>
      <c r="K185" s="2421">
        <f>IF('Ввод данных'!$A$8=связи1!A185,связи1!E163,0)</f>
        <v>0</v>
      </c>
      <c r="AG185" s="2421">
        <v>3.4</v>
      </c>
      <c r="AH185" s="2715">
        <f t="shared" si="0"/>
        <v>5.9341194567805435E-2</v>
      </c>
      <c r="AI185" s="2715">
        <f t="shared" si="1"/>
        <v>5.9841194567805435E-2</v>
      </c>
      <c r="AJ185" s="2715">
        <f t="shared" si="2"/>
        <v>5.8841194567805434E-2</v>
      </c>
      <c r="AK185" s="2421">
        <f>IF(AND(дома!$Z$29&gt;=AJ185,дома!$Z$29&lt;=AI185),связи1!AG185,0)</f>
        <v>0</v>
      </c>
      <c r="AL185" s="2421">
        <f>IF(AND(дома!$AA$29&gt;=AJ185,дома!$AA$29&lt;=AI185),связи1!AG185,0)</f>
        <v>0</v>
      </c>
    </row>
    <row r="186" spans="1:38">
      <c r="C186" s="2421"/>
      <c r="D186" s="2421"/>
      <c r="E186" s="2421" t="s">
        <v>2591</v>
      </c>
      <c r="F186" s="2421">
        <f t="shared" ref="F186:K186" si="3">SUM(F150:F185)</f>
        <v>0.4</v>
      </c>
      <c r="G186" s="2421">
        <f t="shared" si="3"/>
        <v>0.3</v>
      </c>
      <c r="H186" s="2421">
        <f t="shared" si="3"/>
        <v>0.2</v>
      </c>
      <c r="I186" s="2421">
        <f t="shared" si="3"/>
        <v>0.4</v>
      </c>
      <c r="J186" s="2421">
        <f t="shared" si="3"/>
        <v>0.3</v>
      </c>
      <c r="K186" s="2421">
        <f t="shared" si="3"/>
        <v>0.2</v>
      </c>
      <c r="AG186" s="2421">
        <v>3.5</v>
      </c>
      <c r="AH186" s="2715">
        <f t="shared" si="0"/>
        <v>6.1086523819799718E-2</v>
      </c>
      <c r="AI186" s="2715">
        <f t="shared" si="1"/>
        <v>6.1586523819799718E-2</v>
      </c>
      <c r="AJ186" s="2715">
        <f t="shared" si="2"/>
        <v>6.0586523819799717E-2</v>
      </c>
      <c r="AK186" s="2421">
        <f>IF(AND(дома!$Z$29&gt;=AJ186,дома!$Z$29&lt;=AI186),связи1!AG186,0)</f>
        <v>0</v>
      </c>
      <c r="AL186" s="2421">
        <f>IF(AND(дома!$AA$29&gt;=AJ186,дома!$AA$29&lt;=AI186),связи1!AG186,0)</f>
        <v>0</v>
      </c>
    </row>
    <row r="187" spans="1:38">
      <c r="E187" s="2714" t="s">
        <v>4341</v>
      </c>
      <c r="F187" s="2714">
        <f>F186</f>
        <v>0.4</v>
      </c>
      <c r="AG187" s="2421">
        <v>3.6</v>
      </c>
      <c r="AH187" s="2715">
        <f t="shared" si="0"/>
        <v>6.2831853071793994E-2</v>
      </c>
      <c r="AI187" s="2715">
        <f t="shared" si="1"/>
        <v>6.3331853071793995E-2</v>
      </c>
      <c r="AJ187" s="2715">
        <f t="shared" si="2"/>
        <v>6.2331853071793994E-2</v>
      </c>
      <c r="AK187" s="2421">
        <f>IF(AND(дома!$Z$29&gt;=AJ187,дома!$Z$29&lt;=AI187),связи1!AG187,0)</f>
        <v>0</v>
      </c>
      <c r="AL187" s="2421">
        <f>IF(AND(дома!$AA$29&gt;=AJ187,дома!$AA$29&lt;=AI187),связи1!AG187,0)</f>
        <v>0</v>
      </c>
    </row>
    <row r="188" spans="1:38">
      <c r="E188" s="2714" t="s">
        <v>4342</v>
      </c>
      <c r="F188" s="2714">
        <f>G186</f>
        <v>0.3</v>
      </c>
      <c r="AG188" s="2421">
        <v>3.7</v>
      </c>
      <c r="AH188" s="2715">
        <f t="shared" si="0"/>
        <v>6.4577182323788271E-2</v>
      </c>
      <c r="AI188" s="2715">
        <f t="shared" si="1"/>
        <v>6.5077182323788271E-2</v>
      </c>
      <c r="AJ188" s="2715">
        <f t="shared" si="2"/>
        <v>6.407718232378827E-2</v>
      </c>
      <c r="AK188" s="2421">
        <f>IF(AND(дома!$Z$29&gt;=AJ188,дома!$Z$29&lt;=AI188),связи1!AG188,0)</f>
        <v>0</v>
      </c>
      <c r="AL188" s="2421">
        <f>IF(AND(дома!$AA$29&gt;=AJ188,дома!$AA$29&lt;=AI188),связи1!AG188,0)</f>
        <v>0</v>
      </c>
    </row>
    <row r="189" spans="1:38">
      <c r="E189" s="2714" t="s">
        <v>4343</v>
      </c>
      <c r="F189" s="2714">
        <f>H186</f>
        <v>0.2</v>
      </c>
      <c r="AG189" s="2421">
        <v>3.8</v>
      </c>
      <c r="AH189" s="2715">
        <f t="shared" si="0"/>
        <v>6.6322511575782547E-2</v>
      </c>
      <c r="AI189" s="2715">
        <f t="shared" si="1"/>
        <v>6.6822511575782548E-2</v>
      </c>
      <c r="AJ189" s="2715">
        <f t="shared" si="2"/>
        <v>6.5822511575782547E-2</v>
      </c>
      <c r="AK189" s="2421">
        <f>IF(AND(дома!$Z$29&gt;=AJ189,дома!$Z$29&lt;=AI189),связи1!AG189,0)</f>
        <v>0</v>
      </c>
      <c r="AL189" s="2421">
        <f>IF(AND(дома!$AA$29&gt;=AJ189,дома!$AA$29&lt;=AI189),связи1!AG189,0)</f>
        <v>0</v>
      </c>
    </row>
    <row r="190" spans="1:38">
      <c r="A190" s="2421" t="s">
        <v>4344</v>
      </c>
      <c r="E190" s="2714" t="s">
        <v>4345</v>
      </c>
      <c r="F190" s="2714">
        <f>I186</f>
        <v>0.4</v>
      </c>
      <c r="AG190" s="2421">
        <v>3.9</v>
      </c>
      <c r="AH190" s="2715">
        <f t="shared" si="0"/>
        <v>6.8067840827776824E-2</v>
      </c>
      <c r="AI190" s="2715">
        <f t="shared" si="1"/>
        <v>6.8567840827776824E-2</v>
      </c>
      <c r="AJ190" s="2715">
        <f t="shared" si="2"/>
        <v>6.7567840827776823E-2</v>
      </c>
      <c r="AK190" s="2421">
        <f>IF(AND(дома!$Z$29&gt;=AJ190,дома!$Z$29&lt;=AI190),связи1!AG190,0)</f>
        <v>0</v>
      </c>
      <c r="AL190" s="2421">
        <f>IF(AND(дома!$AA$29&gt;=AJ190,дома!$AA$29&lt;=AI190),связи1!AG190,0)</f>
        <v>0</v>
      </c>
    </row>
    <row r="191" spans="1:38">
      <c r="A191" s="2421" t="s">
        <v>4346</v>
      </c>
      <c r="E191" s="2714" t="s">
        <v>4347</v>
      </c>
      <c r="F191" s="2714">
        <f>J186</f>
        <v>0.3</v>
      </c>
      <c r="AG191" s="2421">
        <v>4</v>
      </c>
      <c r="AH191" s="2715">
        <f t="shared" si="0"/>
        <v>6.9813170079771114E-2</v>
      </c>
      <c r="AI191" s="2715">
        <f t="shared" si="1"/>
        <v>7.0313170079771115E-2</v>
      </c>
      <c r="AJ191" s="2715">
        <f t="shared" si="2"/>
        <v>6.9313170079771114E-2</v>
      </c>
      <c r="AK191" s="2421">
        <f>IF(AND(дома!$Z$29&gt;=AJ191,дома!$Z$29&lt;=AI191),связи1!AG191,0)</f>
        <v>0</v>
      </c>
      <c r="AL191" s="2421">
        <f>IF(AND(дома!$AA$29&gt;=AJ191,дома!$AA$29&lt;=AI191),связи1!AG191,0)</f>
        <v>0</v>
      </c>
    </row>
    <row r="192" spans="1:38">
      <c r="A192" s="2421" t="s">
        <v>4348</v>
      </c>
      <c r="E192" s="2714" t="s">
        <v>4349</v>
      </c>
      <c r="F192" s="2714">
        <f>K186</f>
        <v>0.2</v>
      </c>
      <c r="AG192" s="2421">
        <v>4.0999999999999996</v>
      </c>
      <c r="AH192" s="2715">
        <f t="shared" si="0"/>
        <v>7.1558499331765377E-2</v>
      </c>
      <c r="AI192" s="2715">
        <f t="shared" si="1"/>
        <v>7.2058499331765377E-2</v>
      </c>
      <c r="AJ192" s="2715">
        <f t="shared" si="2"/>
        <v>7.1058499331765376E-2</v>
      </c>
      <c r="AK192" s="2421">
        <f>IF(AND(дома!$Z$29&gt;=AJ192,дома!$Z$29&lt;=AI192),связи1!AG192,0)</f>
        <v>0</v>
      </c>
      <c r="AL192" s="2421">
        <f>IF(AND(дома!$AA$29&gt;=AJ192,дома!$AA$29&lt;=AI192),связи1!AG192,0)</f>
        <v>0</v>
      </c>
    </row>
    <row r="193" spans="1:38">
      <c r="A193" s="2421" t="s">
        <v>4350</v>
      </c>
      <c r="AG193" s="2421">
        <v>4.2</v>
      </c>
      <c r="AH193" s="2715">
        <f t="shared" ref="AH193:AH224" si="4">AG193*3.1415926535897/180</f>
        <v>7.3303828583759667E-2</v>
      </c>
      <c r="AI193" s="2715">
        <f t="shared" ref="AI193:AI224" si="5">AH193+0.0005</f>
        <v>7.3803828583759667E-2</v>
      </c>
      <c r="AJ193" s="2715">
        <f t="shared" ref="AJ193:AJ224" si="6">AH193-0.0005</f>
        <v>7.2803828583759667E-2</v>
      </c>
      <c r="AK193" s="2421">
        <f>IF(AND(дома!$Z$29&gt;=AJ193,дома!$Z$29&lt;=AI193),связи1!AG193,0)</f>
        <v>0</v>
      </c>
      <c r="AL193" s="2421">
        <f>IF(AND(дома!$AA$29&gt;=AJ193,дома!$AA$29&lt;=AI193),связи1!AG193,0)</f>
        <v>0</v>
      </c>
    </row>
    <row r="194" spans="1:38">
      <c r="A194" s="2421"/>
      <c r="AG194" s="2421">
        <v>4.3</v>
      </c>
      <c r="AH194" s="2715">
        <f t="shared" si="4"/>
        <v>7.5049157835753944E-2</v>
      </c>
      <c r="AI194" s="2715">
        <f t="shared" si="5"/>
        <v>7.5549157835753944E-2</v>
      </c>
      <c r="AJ194" s="2715">
        <f t="shared" si="6"/>
        <v>7.4549157835753943E-2</v>
      </c>
      <c r="AK194" s="2421">
        <f>IF(AND(дома!$Z$29&gt;=AJ194,дома!$Z$29&lt;=AI194),связи1!AG194,0)</f>
        <v>0</v>
      </c>
      <c r="AL194" s="2421">
        <f>IF(AND(дома!$AA$29&gt;=AJ194,дома!$AA$29&lt;=AI194),связи1!AG194,0)</f>
        <v>0</v>
      </c>
    </row>
    <row r="195" spans="1:38">
      <c r="A195" s="2421" t="s">
        <v>4344</v>
      </c>
      <c r="AG195" s="2421">
        <v>4.4000000000000004</v>
      </c>
      <c r="AH195" s="2715">
        <f t="shared" si="4"/>
        <v>7.6794487087748234E-2</v>
      </c>
      <c r="AI195" s="2715">
        <f t="shared" si="5"/>
        <v>7.7294487087748234E-2</v>
      </c>
      <c r="AJ195" s="2715">
        <f t="shared" si="6"/>
        <v>7.6294487087748233E-2</v>
      </c>
      <c r="AK195" s="2421">
        <f>IF(AND(дома!$Z$29&gt;=AJ195,дома!$Z$29&lt;=AI195),связи1!AG195,0)</f>
        <v>0</v>
      </c>
      <c r="AL195" s="2421">
        <f>IF(AND(дома!$AA$29&gt;=AJ195,дома!$AA$29&lt;=AI195),связи1!AG195,0)</f>
        <v>0</v>
      </c>
    </row>
    <row r="196" spans="1:38">
      <c r="A196" s="2421" t="s">
        <v>4346</v>
      </c>
      <c r="AG196" s="2421">
        <v>4.5</v>
      </c>
      <c r="AH196" s="2715">
        <f t="shared" si="4"/>
        <v>7.8539816339742496E-2</v>
      </c>
      <c r="AI196" s="2715">
        <f t="shared" si="5"/>
        <v>7.9039816339742497E-2</v>
      </c>
      <c r="AJ196" s="2715">
        <f t="shared" si="6"/>
        <v>7.8039816339742496E-2</v>
      </c>
      <c r="AK196" s="2421">
        <f>IF(AND(дома!$Z$29&gt;=AJ196,дома!$Z$29&lt;=AI196),связи1!AG196,0)</f>
        <v>0</v>
      </c>
      <c r="AL196" s="2421">
        <f>IF(AND(дома!$AA$29&gt;=AJ196,дома!$AA$29&lt;=AI196),связи1!AG196,0)</f>
        <v>0</v>
      </c>
    </row>
    <row r="197" spans="1:38">
      <c r="A197" s="2421" t="s">
        <v>4351</v>
      </c>
      <c r="AG197" s="2421">
        <v>4.5999999999999996</v>
      </c>
      <c r="AH197" s="2715">
        <f t="shared" si="4"/>
        <v>8.0285145591736773E-2</v>
      </c>
      <c r="AI197" s="2715">
        <f t="shared" si="5"/>
        <v>8.0785145591736773E-2</v>
      </c>
      <c r="AJ197" s="2715">
        <f t="shared" si="6"/>
        <v>7.9785145591736772E-2</v>
      </c>
      <c r="AK197" s="2421">
        <f>IF(AND(дома!$Z$29&gt;=AJ197,дома!$Z$29&lt;=AI197),связи1!AG197,0)</f>
        <v>0</v>
      </c>
      <c r="AL197" s="2421">
        <f>IF(AND(дома!$AA$29&gt;=AJ197,дома!$AA$29&lt;=AI197),связи1!AG197,0)</f>
        <v>0</v>
      </c>
    </row>
    <row r="198" spans="1:38">
      <c r="A198" s="2421" t="s">
        <v>4352</v>
      </c>
      <c r="AG198" s="2421">
        <v>4.7</v>
      </c>
      <c r="AH198" s="2715">
        <f t="shared" si="4"/>
        <v>8.2030474843731063E-2</v>
      </c>
      <c r="AI198" s="2715">
        <f t="shared" si="5"/>
        <v>8.2530474843731064E-2</v>
      </c>
      <c r="AJ198" s="2715">
        <f t="shared" si="6"/>
        <v>8.1530474843731063E-2</v>
      </c>
      <c r="AK198" s="2421">
        <f>IF(AND(дома!$Z$29&gt;=AJ198,дома!$Z$29&lt;=AI198),связи1!AG198,0)</f>
        <v>0</v>
      </c>
      <c r="AL198" s="2421">
        <f>IF(AND(дома!$AA$29&gt;=AJ198,дома!$AA$29&lt;=AI198),связи1!AG198,0)</f>
        <v>0</v>
      </c>
    </row>
    <row r="199" spans="1:38">
      <c r="I199" s="2379" t="s">
        <v>4353</v>
      </c>
      <c r="AG199" s="2421">
        <v>4.8</v>
      </c>
      <c r="AH199" s="2715">
        <f t="shared" si="4"/>
        <v>8.3775804095725326E-2</v>
      </c>
      <c r="AI199" s="2715">
        <f t="shared" si="5"/>
        <v>8.4275804095725326E-2</v>
      </c>
      <c r="AJ199" s="2715">
        <f t="shared" si="6"/>
        <v>8.3275804095725325E-2</v>
      </c>
      <c r="AK199" s="2421">
        <f>IF(AND(дома!$Z$29&gt;=AJ199,дома!$Z$29&lt;=AI199),связи1!AG199,0)</f>
        <v>0</v>
      </c>
      <c r="AL199" s="2421">
        <f>IF(AND(дома!$AA$29&gt;=AJ199,дома!$AA$29&lt;=AI199),связи1!AG199,0)</f>
        <v>0</v>
      </c>
    </row>
    <row r="200" spans="1:38">
      <c r="A200" s="2421" t="s">
        <v>1780</v>
      </c>
      <c r="B200" s="2421" t="str">
        <f t="shared" ref="B200:B231" si="7">A200</f>
        <v>Нет перекрытия</v>
      </c>
      <c r="C200" s="2421" t="s">
        <v>2975</v>
      </c>
      <c r="D200" s="2421" t="s">
        <v>2156</v>
      </c>
      <c r="I200" s="2421" t="s">
        <v>1908</v>
      </c>
      <c r="J200" s="2421"/>
      <c r="K200" s="2421"/>
      <c r="AG200" s="2421">
        <v>4.9000000000000004</v>
      </c>
      <c r="AH200" s="2715">
        <f t="shared" si="4"/>
        <v>8.5521133347719616E-2</v>
      </c>
      <c r="AI200" s="2715">
        <f t="shared" si="5"/>
        <v>8.6021133347719617E-2</v>
      </c>
      <c r="AJ200" s="2715">
        <f t="shared" si="6"/>
        <v>8.5021133347719616E-2</v>
      </c>
      <c r="AK200" s="2421">
        <f>IF(AND(дома!$Z$29&gt;=AJ200,дома!$Z$29&lt;=AI200),связи1!AG200,0)</f>
        <v>0</v>
      </c>
      <c r="AL200" s="2421">
        <f>IF(AND(дома!$AA$29&gt;=AJ200,дома!$AA$29&lt;=AI200),связи1!AG200,0)</f>
        <v>0</v>
      </c>
    </row>
    <row r="201" spans="1:38">
      <c r="A201" s="2421" t="str">
        <f>'Прайс лист'!B268</f>
        <v>Sip панель 2500*625*124мм</v>
      </c>
      <c r="B201" s="2421" t="str">
        <f t="shared" si="7"/>
        <v>Sip панель 2500*625*124мм</v>
      </c>
      <c r="C201" s="2421">
        <v>0.124</v>
      </c>
      <c r="D201" s="1055">
        <f>'Прайс лист'!G268</f>
        <v>800</v>
      </c>
      <c r="I201" s="2421" t="s">
        <v>2134</v>
      </c>
      <c r="J201" s="2421"/>
      <c r="K201" s="2421"/>
      <c r="AG201" s="2421">
        <v>5</v>
      </c>
      <c r="AH201" s="2715">
        <f t="shared" si="4"/>
        <v>8.7266462599713893E-2</v>
      </c>
      <c r="AI201" s="2715">
        <f t="shared" si="5"/>
        <v>8.7766462599713893E-2</v>
      </c>
      <c r="AJ201" s="2715">
        <f t="shared" si="6"/>
        <v>8.6766462599713892E-2</v>
      </c>
      <c r="AK201" s="2421">
        <f>IF(AND(дома!$Z$29&gt;=AJ201,дома!$Z$29&lt;=AI201),связи1!AG201,0)</f>
        <v>0</v>
      </c>
      <c r="AL201" s="2421">
        <f>IF(AND(дома!$AA$29&gt;=AJ201,дома!$AA$29&lt;=AI201),связи1!AG201,0)</f>
        <v>0</v>
      </c>
    </row>
    <row r="202" spans="1:38">
      <c r="A202" s="2421" t="str">
        <f>'Прайс лист'!B269</f>
        <v>Sip панель 2500*625*174мм</v>
      </c>
      <c r="B202" s="2421" t="str">
        <f t="shared" si="7"/>
        <v>Sip панель 2500*625*174мм</v>
      </c>
      <c r="C202" s="2421">
        <v>0.17399999999999999</v>
      </c>
      <c r="D202" s="1055">
        <f>'Прайс лист'!G269</f>
        <v>1200</v>
      </c>
      <c r="F202" s="2379" t="s">
        <v>1891</v>
      </c>
      <c r="I202" s="2421" t="s">
        <v>2312</v>
      </c>
      <c r="J202" s="2421"/>
      <c r="K202" s="2421"/>
      <c r="AG202" s="2421">
        <v>5.0999999999999996</v>
      </c>
      <c r="AH202" s="2715">
        <f t="shared" si="4"/>
        <v>8.9011791851708155E-2</v>
      </c>
      <c r="AI202" s="2715">
        <f t="shared" si="5"/>
        <v>8.9511791851708156E-2</v>
      </c>
      <c r="AJ202" s="2715">
        <f t="shared" si="6"/>
        <v>8.8511791851708155E-2</v>
      </c>
      <c r="AK202" s="2421">
        <f>IF(AND(дома!$Z$29&gt;=AJ202,дома!$Z$29&lt;=AI202),связи1!AG202,0)</f>
        <v>0</v>
      </c>
      <c r="AL202" s="2421">
        <f>IF(AND(дома!$AA$29&gt;=AJ202,дома!$AA$29&lt;=AI202),связи1!AG202,0)</f>
        <v>0</v>
      </c>
    </row>
    <row r="203" spans="1:38">
      <c r="A203" s="2421" t="str">
        <f>'Прайс лист'!B270</f>
        <v>Sip панель 2500*625*224мм</v>
      </c>
      <c r="B203" s="2421" t="str">
        <f t="shared" si="7"/>
        <v>Sip панель 2500*625*224мм</v>
      </c>
      <c r="C203" s="2421">
        <v>0.224</v>
      </c>
      <c r="D203" s="1055">
        <f>'Прайс лист'!G270</f>
        <v>1400</v>
      </c>
      <c r="F203" s="2421" t="s">
        <v>493</v>
      </c>
      <c r="G203" s="2421">
        <v>0</v>
      </c>
      <c r="H203" s="2421">
        <v>0</v>
      </c>
      <c r="AG203" s="2421">
        <v>5.2</v>
      </c>
      <c r="AH203" s="2715">
        <f t="shared" si="4"/>
        <v>9.0757121103702446E-2</v>
      </c>
      <c r="AI203" s="2715">
        <f t="shared" si="5"/>
        <v>9.1257121103702446E-2</v>
      </c>
      <c r="AJ203" s="2715">
        <f t="shared" si="6"/>
        <v>9.0257121103702445E-2</v>
      </c>
      <c r="AK203" s="2421">
        <f>IF(AND(дома!$Z$29&gt;=AJ203,дома!$Z$29&lt;=AI203),связи1!AG203,0)</f>
        <v>0</v>
      </c>
      <c r="AL203" s="2421">
        <f>IF(AND(дома!$AA$29&gt;=AJ203,дома!$AA$29&lt;=AI203),связи1!AG203,0)</f>
        <v>0</v>
      </c>
    </row>
    <row r="204" spans="1:38">
      <c r="A204" s="2421" t="s">
        <v>4028</v>
      </c>
      <c r="B204" s="2421" t="str">
        <f t="shared" si="7"/>
        <v>Брус естественной влажности, 200*100мм</v>
      </c>
      <c r="C204" s="2421">
        <v>200</v>
      </c>
      <c r="D204" s="2421">
        <f>'Прайс лист'!G347</f>
        <v>6500</v>
      </c>
      <c r="E204" s="2702">
        <f>0.2*0.1</f>
        <v>2.0000000000000004E-2</v>
      </c>
      <c r="F204" s="2421" t="s">
        <v>4028</v>
      </c>
      <c r="G204" s="2421">
        <f t="shared" ref="G204:G213" si="8">D204</f>
        <v>6500</v>
      </c>
      <c r="H204" s="2421">
        <f t="shared" ref="H204:H213" si="9">E204</f>
        <v>2.0000000000000004E-2</v>
      </c>
      <c r="AG204" s="2421">
        <v>5.3</v>
      </c>
      <c r="AH204" s="2715">
        <f t="shared" si="4"/>
        <v>9.2502450355696708E-2</v>
      </c>
      <c r="AI204" s="2715">
        <f t="shared" si="5"/>
        <v>9.3002450355696709E-2</v>
      </c>
      <c r="AJ204" s="2715">
        <f t="shared" si="6"/>
        <v>9.2002450355696708E-2</v>
      </c>
      <c r="AK204" s="2421">
        <f>IF(AND(дома!$Z$29&gt;=AJ204,дома!$Z$29&lt;=AI204),связи1!AG204,0)</f>
        <v>0</v>
      </c>
      <c r="AL204" s="2421">
        <f>IF(AND(дома!$AA$29&gt;=AJ204,дома!$AA$29&lt;=AI204),связи1!AG204,0)</f>
        <v>0</v>
      </c>
    </row>
    <row r="205" spans="1:38">
      <c r="A205" s="2421" t="s">
        <v>4029</v>
      </c>
      <c r="B205" s="2421" t="str">
        <f t="shared" si="7"/>
        <v>Брус естественной влажности, 150*100мм</v>
      </c>
      <c r="C205" s="2421">
        <v>150</v>
      </c>
      <c r="D205" s="2421">
        <f>'Прайс лист'!G352</f>
        <v>6500</v>
      </c>
      <c r="E205" s="2702">
        <f>0.15*0.1</f>
        <v>1.4999999999999999E-2</v>
      </c>
      <c r="F205" s="2421" t="s">
        <v>4029</v>
      </c>
      <c r="G205" s="2421">
        <f t="shared" si="8"/>
        <v>6500</v>
      </c>
      <c r="H205" s="2421">
        <f t="shared" si="9"/>
        <v>1.4999999999999999E-2</v>
      </c>
      <c r="AG205" s="2421">
        <v>5.4</v>
      </c>
      <c r="AH205" s="2715">
        <f t="shared" si="4"/>
        <v>9.4247779607691012E-2</v>
      </c>
      <c r="AI205" s="2715">
        <f t="shared" si="5"/>
        <v>9.4747779607691013E-2</v>
      </c>
      <c r="AJ205" s="2715">
        <f t="shared" si="6"/>
        <v>9.3747779607691012E-2</v>
      </c>
      <c r="AK205" s="2421">
        <f>IF(AND(дома!$Z$29&gt;=AJ205,дома!$Z$29&lt;=AI205),связи1!AG205,0)</f>
        <v>0</v>
      </c>
      <c r="AL205" s="2421">
        <f>IF(AND(дома!$AA$29&gt;=AJ205,дома!$AA$29&lt;=AI205),связи1!AG205,0)</f>
        <v>0</v>
      </c>
    </row>
    <row r="206" spans="1:38" ht="17">
      <c r="A206" s="2421" t="s">
        <v>1967</v>
      </c>
      <c r="B206" s="2421" t="str">
        <f t="shared" si="7"/>
        <v>Брус естественной влажности, 100*100мм</v>
      </c>
      <c r="C206" s="2421">
        <v>100</v>
      </c>
      <c r="D206" s="2421">
        <f>'Прайс лист'!G353</f>
        <v>6500</v>
      </c>
      <c r="E206" s="2702">
        <f>0.1*0.1</f>
        <v>1.0000000000000002E-2</v>
      </c>
      <c r="F206" s="2421" t="s">
        <v>1967</v>
      </c>
      <c r="G206" s="2421">
        <f t="shared" si="8"/>
        <v>6500</v>
      </c>
      <c r="H206" s="2421">
        <f t="shared" si="9"/>
        <v>1.0000000000000002E-2</v>
      </c>
      <c r="I206" s="2716" t="s">
        <v>2790</v>
      </c>
      <c r="J206" s="2717" t="s">
        <v>156</v>
      </c>
      <c r="K206" s="2718">
        <f>'Ввод данных'!C14-'Ввод данных'!C13-0.2</f>
        <v>4.8</v>
      </c>
      <c r="AG206" s="2421">
        <v>5.5</v>
      </c>
      <c r="AH206" s="2715">
        <f t="shared" si="4"/>
        <v>9.5993108859685275E-2</v>
      </c>
      <c r="AI206" s="2715">
        <f t="shared" si="5"/>
        <v>9.6493108859685275E-2</v>
      </c>
      <c r="AJ206" s="2715">
        <f t="shared" si="6"/>
        <v>9.5493108859685275E-2</v>
      </c>
      <c r="AK206" s="2421">
        <f>IF(AND(дома!$Z$29&gt;=AJ206,дома!$Z$29&lt;=AI206),связи1!AG206,0)</f>
        <v>0</v>
      </c>
      <c r="AL206" s="2421">
        <f>IF(AND(дома!$AA$29&gt;=AJ206,дома!$AA$29&lt;=AI206),связи1!AG206,0)</f>
        <v>0</v>
      </c>
    </row>
    <row r="207" spans="1:38" ht="17">
      <c r="A207" s="2421" t="s">
        <v>2366</v>
      </c>
      <c r="B207" s="2421" t="str">
        <f t="shared" si="7"/>
        <v>Брус естественной влажности, 150*150мм</v>
      </c>
      <c r="C207" s="2421">
        <v>150</v>
      </c>
      <c r="D207" s="2421">
        <f>'Прайс лист'!G351</f>
        <v>6500</v>
      </c>
      <c r="E207" s="2702">
        <f>0.15*0.15</f>
        <v>2.2499999999999999E-2</v>
      </c>
      <c r="F207" s="2421" t="s">
        <v>2366</v>
      </c>
      <c r="G207" s="2421">
        <f t="shared" si="8"/>
        <v>6500</v>
      </c>
      <c r="H207" s="2421">
        <f t="shared" si="9"/>
        <v>2.2499999999999999E-2</v>
      </c>
      <c r="I207" s="2719" t="s">
        <v>4354</v>
      </c>
      <c r="J207" s="2720" t="s">
        <v>156</v>
      </c>
      <c r="K207" s="2721">
        <f>'Ввод данных'!C15</f>
        <v>1.2</v>
      </c>
      <c r="AG207" s="2421">
        <v>5.6</v>
      </c>
      <c r="AH207" s="2715">
        <f t="shared" si="4"/>
        <v>9.7738438111679551E-2</v>
      </c>
      <c r="AI207" s="2715">
        <f t="shared" si="5"/>
        <v>9.8238438111679552E-2</v>
      </c>
      <c r="AJ207" s="2715">
        <f t="shared" si="6"/>
        <v>9.7238438111679551E-2</v>
      </c>
      <c r="AK207" s="2421">
        <f>IF(AND(дома!$Z$29&gt;=AJ207,дома!$Z$29&lt;=AI207),связи1!AG207,0)</f>
        <v>0</v>
      </c>
      <c r="AL207" s="2421">
        <f>IF(AND(дома!$AA$29&gt;=AJ207,дома!$AA$29&lt;=AI207),связи1!AG207,0)</f>
        <v>0</v>
      </c>
    </row>
    <row r="208" spans="1:38">
      <c r="A208" s="2421" t="s">
        <v>2068</v>
      </c>
      <c r="B208" s="2421" t="str">
        <f t="shared" si="7"/>
        <v>Доска естественной влажности, 200*50мм</v>
      </c>
      <c r="C208" s="2421">
        <v>200</v>
      </c>
      <c r="D208" s="2421">
        <f>'Прайс лист'!G291</f>
        <v>6500</v>
      </c>
      <c r="E208" s="2702">
        <f>0.2*0.05</f>
        <v>1.0000000000000002E-2</v>
      </c>
      <c r="F208" s="2421" t="s">
        <v>2068</v>
      </c>
      <c r="G208" s="2421">
        <f t="shared" si="8"/>
        <v>6500</v>
      </c>
      <c r="H208" s="2421">
        <f t="shared" si="9"/>
        <v>1.0000000000000002E-2</v>
      </c>
      <c r="AG208" s="2421">
        <v>5.8</v>
      </c>
      <c r="AH208" s="2715">
        <f t="shared" si="4"/>
        <v>0.10122909661566812</v>
      </c>
      <c r="AI208" s="2715">
        <f t="shared" si="5"/>
        <v>0.10172909661566812</v>
      </c>
      <c r="AJ208" s="2715">
        <f t="shared" si="6"/>
        <v>0.10072909661566812</v>
      </c>
      <c r="AK208" s="2421">
        <f>IF(AND(дома!$Z$29&gt;=AJ208,дома!$Z$29&lt;=AI208),связи1!AG208,0)</f>
        <v>0</v>
      </c>
      <c r="AL208" s="2421">
        <f>IF(AND(дома!$AA$29&gt;=AJ208,дома!$AA$29&lt;=AI208),связи1!AG208,0)</f>
        <v>0</v>
      </c>
    </row>
    <row r="209" spans="1:38">
      <c r="A209" s="2421" t="s">
        <v>4030</v>
      </c>
      <c r="B209" s="2421" t="str">
        <f t="shared" si="7"/>
        <v>Доска естественной влажности, 150*50мм</v>
      </c>
      <c r="C209" s="2421">
        <v>150</v>
      </c>
      <c r="D209" s="2421">
        <f>'Прайс лист'!G293</f>
        <v>6500</v>
      </c>
      <c r="E209" s="2702">
        <f>0.15*0.05</f>
        <v>7.4999999999999997E-3</v>
      </c>
      <c r="F209" s="2421" t="s">
        <v>4030</v>
      </c>
      <c r="G209" s="2421">
        <f t="shared" si="8"/>
        <v>6500</v>
      </c>
      <c r="H209" s="2421">
        <f t="shared" si="9"/>
        <v>7.4999999999999997E-3</v>
      </c>
      <c r="AG209" s="2421">
        <v>5.9</v>
      </c>
      <c r="AH209" s="2715">
        <f t="shared" si="4"/>
        <v>0.10297442586766239</v>
      </c>
      <c r="AI209" s="2715">
        <f t="shared" si="5"/>
        <v>0.1034744258676624</v>
      </c>
      <c r="AJ209" s="2715">
        <f t="shared" si="6"/>
        <v>0.10247442586766239</v>
      </c>
      <c r="AK209" s="2421">
        <f>IF(AND(дома!$Z$29&gt;=AJ209,дома!$Z$29&lt;=AI209),связи1!AG209,0)</f>
        <v>0</v>
      </c>
      <c r="AL209" s="2421">
        <f>IF(AND(дома!$AA$29&gt;=AJ209,дома!$AA$29&lt;=AI209),связи1!AG209,0)</f>
        <v>0</v>
      </c>
    </row>
    <row r="210" spans="1:38">
      <c r="A210" s="2421" t="s">
        <v>1908</v>
      </c>
      <c r="B210" s="2421" t="str">
        <f t="shared" si="7"/>
        <v>Доска сухая, 200*50мм</v>
      </c>
      <c r="C210" s="2421">
        <v>200</v>
      </c>
      <c r="D210" s="2421">
        <f>'Прайс лист'!G316</f>
        <v>9000</v>
      </c>
      <c r="E210" s="2702">
        <f>0.2*0.05</f>
        <v>1.0000000000000002E-2</v>
      </c>
      <c r="F210" s="2421" t="s">
        <v>1908</v>
      </c>
      <c r="G210" s="2421">
        <f t="shared" si="8"/>
        <v>9000</v>
      </c>
      <c r="H210" s="2421">
        <f t="shared" si="9"/>
        <v>1.0000000000000002E-2</v>
      </c>
      <c r="AG210" s="2421">
        <v>6</v>
      </c>
      <c r="AH210" s="2715">
        <f t="shared" si="4"/>
        <v>0.10471975511965666</v>
      </c>
      <c r="AI210" s="2715">
        <f t="shared" si="5"/>
        <v>0.10521975511965666</v>
      </c>
      <c r="AJ210" s="2715">
        <f t="shared" si="6"/>
        <v>0.10421975511965666</v>
      </c>
      <c r="AK210" s="2421">
        <f>IF(AND(дома!$Z$29&gt;=AJ210,дома!$Z$29&lt;=AI210),связи1!AG210,0)</f>
        <v>0</v>
      </c>
      <c r="AL210" s="2421">
        <f>IF(AND(дома!$AA$29&gt;=AJ210,дома!$AA$29&lt;=AI210),связи1!AG210,0)</f>
        <v>0</v>
      </c>
    </row>
    <row r="211" spans="1:38">
      <c r="A211" s="2421" t="s">
        <v>2134</v>
      </c>
      <c r="B211" s="2421" t="str">
        <f t="shared" si="7"/>
        <v>Доска сухая, 150*50мм</v>
      </c>
      <c r="C211" s="2421">
        <v>150</v>
      </c>
      <c r="D211" s="2421">
        <f>'Прайс лист'!G318</f>
        <v>9000</v>
      </c>
      <c r="E211" s="2702">
        <f>0.15*0.05</f>
        <v>7.4999999999999997E-3</v>
      </c>
      <c r="F211" s="2421" t="s">
        <v>2134</v>
      </c>
      <c r="G211" s="2421">
        <f t="shared" si="8"/>
        <v>9000</v>
      </c>
      <c r="H211" s="2421">
        <f t="shared" si="9"/>
        <v>7.4999999999999997E-3</v>
      </c>
      <c r="AG211" s="2421">
        <v>6.1</v>
      </c>
      <c r="AH211" s="2715">
        <f t="shared" si="4"/>
        <v>0.10646508437165093</v>
      </c>
      <c r="AI211" s="2715">
        <f t="shared" si="5"/>
        <v>0.10696508437165093</v>
      </c>
      <c r="AJ211" s="2715">
        <f t="shared" si="6"/>
        <v>0.10596508437165093</v>
      </c>
      <c r="AK211" s="2421">
        <f>IF(AND(дома!$Z$29&gt;=AJ211,дома!$Z$29&lt;=AI211),связи1!AG211,0)</f>
        <v>0</v>
      </c>
      <c r="AL211" s="2421">
        <f>IF(AND(дома!$AA$29&gt;=AJ211,дома!$AA$29&lt;=AI211),связи1!AG211,0)</f>
        <v>0</v>
      </c>
    </row>
    <row r="212" spans="1:38">
      <c r="A212" s="2421" t="s">
        <v>2026</v>
      </c>
      <c r="B212" s="2421" t="str">
        <f t="shared" si="7"/>
        <v>Доска сухая калиброванная, 190*45мм</v>
      </c>
      <c r="C212" s="2421">
        <v>190</v>
      </c>
      <c r="D212" s="2421">
        <f>'Прайс лист'!G308</f>
        <v>12500</v>
      </c>
      <c r="E212" s="2702">
        <f>0.19*0.045</f>
        <v>8.5500000000000003E-3</v>
      </c>
      <c r="F212" s="2421" t="s">
        <v>2026</v>
      </c>
      <c r="G212" s="2421">
        <f t="shared" si="8"/>
        <v>12500</v>
      </c>
      <c r="H212" s="2421">
        <f t="shared" si="9"/>
        <v>8.5500000000000003E-3</v>
      </c>
      <c r="AG212" s="2421">
        <v>6.2</v>
      </c>
      <c r="AH212" s="2715">
        <f t="shared" si="4"/>
        <v>0.10821041362364521</v>
      </c>
      <c r="AI212" s="2715">
        <f t="shared" si="5"/>
        <v>0.10871041362364521</v>
      </c>
      <c r="AJ212" s="2715">
        <f t="shared" si="6"/>
        <v>0.10771041362364521</v>
      </c>
      <c r="AK212" s="2421">
        <f>IF(AND(дома!$Z$29&gt;=AJ212,дома!$Z$29&lt;=AI212),связи1!AG212,0)</f>
        <v>0</v>
      </c>
      <c r="AL212" s="2421">
        <f>IF(AND(дома!$AA$29&gt;=AJ212,дома!$AA$29&lt;=AI212),связи1!AG212,0)</f>
        <v>0</v>
      </c>
    </row>
    <row r="213" spans="1:38">
      <c r="A213" s="2421" t="s">
        <v>4031</v>
      </c>
      <c r="B213" s="2421" t="str">
        <f t="shared" si="7"/>
        <v>Доска сухая калиброванная, 145*45мм</v>
      </c>
      <c r="C213" s="2421">
        <v>145</v>
      </c>
      <c r="D213" s="2421">
        <f>'Прайс лист'!G309</f>
        <v>12500</v>
      </c>
      <c r="E213" s="2702">
        <f>0.145*0.045</f>
        <v>6.5249999999999996E-3</v>
      </c>
      <c r="F213" s="2421" t="s">
        <v>4031</v>
      </c>
      <c r="G213" s="2421">
        <f t="shared" si="8"/>
        <v>12500</v>
      </c>
      <c r="H213" s="2421">
        <f t="shared" si="9"/>
        <v>6.5249999999999996E-3</v>
      </c>
      <c r="AG213" s="2421">
        <v>6.3</v>
      </c>
      <c r="AH213" s="2715">
        <f t="shared" si="4"/>
        <v>0.10995574287563949</v>
      </c>
      <c r="AI213" s="2715">
        <f t="shared" si="5"/>
        <v>0.11045574287563949</v>
      </c>
      <c r="AJ213" s="2715">
        <f t="shared" si="6"/>
        <v>0.10945574287563949</v>
      </c>
      <c r="AK213" s="2421">
        <f>IF(AND(дома!$Z$29&gt;=AJ213,дома!$Z$29&lt;=AI213),связи1!AG213,0)</f>
        <v>0</v>
      </c>
      <c r="AL213" s="2421">
        <f>IF(AND(дома!$AA$29&gt;=AJ213,дома!$AA$29&lt;=AI213),связи1!AG213,0)</f>
        <v>0</v>
      </c>
    </row>
    <row r="214" spans="1:38">
      <c r="A214" s="2421" t="s">
        <v>4018</v>
      </c>
      <c r="B214" s="2421" t="str">
        <f t="shared" si="7"/>
        <v>Монолит, бетон, 300мм, 2 слоя</v>
      </c>
      <c r="C214" s="2421">
        <v>300</v>
      </c>
      <c r="D214" s="2421"/>
      <c r="F214" s="2722" t="str">
        <f>'Прайс лист'!B579</f>
        <v>ГПН 102х35-1,2</v>
      </c>
      <c r="G214" s="2723">
        <f>'Прайс лист'!G579</f>
        <v>127</v>
      </c>
      <c r="H214" s="2722">
        <v>0.1</v>
      </c>
      <c r="J214" s="2421"/>
      <c r="AG214" s="2421">
        <v>6.4</v>
      </c>
      <c r="AH214" s="2715">
        <f t="shared" si="4"/>
        <v>0.11170107212763378</v>
      </c>
      <c r="AI214" s="2715">
        <f t="shared" si="5"/>
        <v>0.11220107212763378</v>
      </c>
      <c r="AJ214" s="2715">
        <f t="shared" si="6"/>
        <v>0.11120107212763378</v>
      </c>
      <c r="AK214" s="2421">
        <f>IF(AND(дома!$Z$29&gt;=AJ214,дома!$Z$29&lt;=AI214),связи1!AG214,0)</f>
        <v>0</v>
      </c>
      <c r="AL214" s="2421">
        <f>IF(AND(дома!$AA$29&gt;=AJ214,дома!$AA$29&lt;=AI214),связи1!AG214,0)</f>
        <v>0</v>
      </c>
    </row>
    <row r="215" spans="1:38">
      <c r="A215" s="2421" t="s">
        <v>4019</v>
      </c>
      <c r="B215" s="2421" t="str">
        <f t="shared" si="7"/>
        <v>Монолит, бетон, 300мм, 1 слой</v>
      </c>
      <c r="C215" s="2421">
        <v>300</v>
      </c>
      <c r="D215" s="2421"/>
      <c r="F215" s="2722" t="str">
        <f>'Прайс лист'!B580</f>
        <v>ГПН 102х35-1,5</v>
      </c>
      <c r="G215" s="2723">
        <f>'Прайс лист'!G580</f>
        <v>158</v>
      </c>
      <c r="H215" s="2722">
        <v>0.1</v>
      </c>
      <c r="J215" s="2421"/>
      <c r="AG215" s="2421">
        <v>6.5000000000000098</v>
      </c>
      <c r="AH215" s="2715">
        <f t="shared" si="4"/>
        <v>0.11344640137962823</v>
      </c>
      <c r="AI215" s="2715">
        <f t="shared" si="5"/>
        <v>0.11394640137962823</v>
      </c>
      <c r="AJ215" s="2715">
        <f t="shared" si="6"/>
        <v>0.11294640137962823</v>
      </c>
      <c r="AK215" s="2421">
        <f>IF(AND(дома!$Z$29&gt;=AJ215,дома!$Z$29&lt;=AI215),связи1!AG215,0)</f>
        <v>0</v>
      </c>
      <c r="AL215" s="2421">
        <f>IF(AND(дома!$AA$29&gt;=AJ215,дома!$AA$29&lt;=AI215),связи1!AG215,0)</f>
        <v>0</v>
      </c>
    </row>
    <row r="216" spans="1:38">
      <c r="A216" s="2421" t="s">
        <v>4020</v>
      </c>
      <c r="B216" s="2421" t="str">
        <f t="shared" si="7"/>
        <v>Монолит, бетон, 250мм, 2 слоя</v>
      </c>
      <c r="C216" s="2421">
        <v>300</v>
      </c>
      <c r="D216" s="2421"/>
      <c r="F216" s="2722" t="str">
        <f>'Прайс лист'!B581</f>
        <v>ГПН 102х35-2,0</v>
      </c>
      <c r="G216" s="2723">
        <f>'Прайс лист'!G581</f>
        <v>199</v>
      </c>
      <c r="H216" s="2722">
        <v>0.1</v>
      </c>
      <c r="J216" s="2421"/>
      <c r="AG216" s="2421">
        <v>6.6</v>
      </c>
      <c r="AH216" s="2715">
        <f t="shared" si="4"/>
        <v>0.11519173063162232</v>
      </c>
      <c r="AI216" s="2715">
        <f t="shared" si="5"/>
        <v>0.11569173063162232</v>
      </c>
      <c r="AJ216" s="2715">
        <f t="shared" si="6"/>
        <v>0.11469173063162232</v>
      </c>
      <c r="AK216" s="2421">
        <f>IF(AND(дома!$Z$29&gt;=AJ216,дома!$Z$29&lt;=AI216),связи1!AG216,0)</f>
        <v>0</v>
      </c>
      <c r="AL216" s="2421">
        <f>IF(AND(дома!$AA$29&gt;=AJ216,дома!$AA$29&lt;=AI216),связи1!AG216,0)</f>
        <v>0</v>
      </c>
    </row>
    <row r="217" spans="1:38">
      <c r="A217" s="2421" t="s">
        <v>4021</v>
      </c>
      <c r="B217" s="2421" t="str">
        <f t="shared" si="7"/>
        <v>Монолит, бетон, 250мм, 1 слой</v>
      </c>
      <c r="C217" s="2421">
        <v>300</v>
      </c>
      <c r="D217" s="2421"/>
      <c r="F217" s="2722" t="str">
        <f>'Прайс лист'!B582</f>
        <v>ГПН 122х35-1,2</v>
      </c>
      <c r="G217" s="2723">
        <f>'Прайс лист'!G582</f>
        <v>131</v>
      </c>
      <c r="H217" s="2722">
        <v>0.12</v>
      </c>
      <c r="J217" s="2421"/>
      <c r="AG217" s="2421">
        <v>6.7</v>
      </c>
      <c r="AH217" s="2715">
        <f t="shared" si="4"/>
        <v>0.11693705988361661</v>
      </c>
      <c r="AI217" s="2715">
        <f t="shared" si="5"/>
        <v>0.11743705988361661</v>
      </c>
      <c r="AJ217" s="2715">
        <f t="shared" si="6"/>
        <v>0.11643705988361661</v>
      </c>
      <c r="AK217" s="2421">
        <f>IF(AND(дома!$Z$29&gt;=AJ217,дома!$Z$29&lt;=AI217),связи1!AG217,0)</f>
        <v>0</v>
      </c>
      <c r="AL217" s="2421">
        <f>IF(AND(дома!$AA$29&gt;=AJ217,дома!$AA$29&lt;=AI217),связи1!AG217,0)</f>
        <v>0</v>
      </c>
    </row>
    <row r="218" spans="1:38">
      <c r="A218" s="2421" t="s">
        <v>4022</v>
      </c>
      <c r="B218" s="2421" t="str">
        <f t="shared" si="7"/>
        <v>Монолит, бетон, 200мм, 2 слоя</v>
      </c>
      <c r="C218" s="2421">
        <v>300</v>
      </c>
      <c r="D218" s="2421"/>
      <c r="F218" s="2722" t="str">
        <f>'Прайс лист'!B583</f>
        <v>ГПН 122х35-1,5</v>
      </c>
      <c r="G218" s="2723">
        <f>'Прайс лист'!G583</f>
        <v>163</v>
      </c>
      <c r="H218" s="2722">
        <v>0.12</v>
      </c>
      <c r="J218" s="2421"/>
      <c r="AG218" s="2421">
        <v>6.8000000000000096</v>
      </c>
      <c r="AH218" s="2715">
        <f t="shared" si="4"/>
        <v>0.11868238913561105</v>
      </c>
      <c r="AI218" s="2715">
        <f t="shared" si="5"/>
        <v>0.11918238913561105</v>
      </c>
      <c r="AJ218" s="2715">
        <f t="shared" si="6"/>
        <v>0.11818238913561105</v>
      </c>
      <c r="AK218" s="2421">
        <f>IF(AND(дома!$Z$29&gt;=AJ218,дома!$Z$29&lt;=AI218),связи1!AG218,0)</f>
        <v>0</v>
      </c>
      <c r="AL218" s="2421">
        <f>IF(AND(дома!$AA$29&gt;=AJ218,дома!$AA$29&lt;=AI218),связи1!AG218,0)</f>
        <v>0</v>
      </c>
    </row>
    <row r="219" spans="1:38">
      <c r="A219" s="2421" t="s">
        <v>4023</v>
      </c>
      <c r="B219" s="2421" t="str">
        <f t="shared" si="7"/>
        <v>Монолит, бетон, 200мм, 1 слой</v>
      </c>
      <c r="C219" s="2421">
        <v>300</v>
      </c>
      <c r="D219" s="2421"/>
      <c r="F219" s="2722" t="str">
        <f>'Прайс лист'!B584</f>
        <v>ГПН 122х35-2,0</v>
      </c>
      <c r="G219" s="2723">
        <f>'Прайс лист'!G584</f>
        <v>216</v>
      </c>
      <c r="H219" s="2722">
        <v>0.12</v>
      </c>
      <c r="J219" s="2421"/>
      <c r="AG219" s="2421">
        <v>6.9000000000000101</v>
      </c>
      <c r="AH219" s="2715">
        <f t="shared" si="4"/>
        <v>0.12042771838760533</v>
      </c>
      <c r="AI219" s="2715">
        <f t="shared" si="5"/>
        <v>0.12092771838760533</v>
      </c>
      <c r="AJ219" s="2715">
        <f t="shared" si="6"/>
        <v>0.11992771838760533</v>
      </c>
      <c r="AK219" s="2421">
        <f>IF(AND(дома!$Z$29&gt;=AJ219,дома!$Z$29&lt;=AI219),связи1!AG219,0)</f>
        <v>0</v>
      </c>
      <c r="AL219" s="2421">
        <f>IF(AND(дома!$AA$29&gt;=AJ219,дома!$AA$29&lt;=AI219),связи1!AG219,0)</f>
        <v>0</v>
      </c>
    </row>
    <row r="220" spans="1:38">
      <c r="A220" s="2421" t="s">
        <v>4024</v>
      </c>
      <c r="B220" s="2421" t="str">
        <f t="shared" si="7"/>
        <v>Монолит, бетон, 150мм, 2 слоя</v>
      </c>
      <c r="C220" s="2421">
        <v>250</v>
      </c>
      <c r="D220" s="2421"/>
      <c r="F220" s="2722" t="str">
        <f>'Прайс лист'!B585</f>
        <v>ГПН 152х35-1,2</v>
      </c>
      <c r="G220" s="2723">
        <f>'Прайс лист'!G585</f>
        <v>163</v>
      </c>
      <c r="H220" s="2722">
        <v>0.15</v>
      </c>
      <c r="J220" s="2421"/>
      <c r="AG220" s="2421">
        <v>7.0000000000000098</v>
      </c>
      <c r="AH220" s="2715">
        <f t="shared" si="4"/>
        <v>0.12217304763959962</v>
      </c>
      <c r="AI220" s="2715">
        <f t="shared" si="5"/>
        <v>0.12267304763959962</v>
      </c>
      <c r="AJ220" s="2715">
        <f t="shared" si="6"/>
        <v>0.12167304763959962</v>
      </c>
      <c r="AK220" s="2421">
        <f>IF(AND(дома!$Z$29&gt;=AJ220,дома!$Z$29&lt;=AI220),связи1!AG220,0)</f>
        <v>0</v>
      </c>
      <c r="AL220" s="2421">
        <f>IF(AND(дома!$AA$29&gt;=AJ220,дома!$AA$29&lt;=AI220),связи1!AG220,0)</f>
        <v>0</v>
      </c>
    </row>
    <row r="221" spans="1:38">
      <c r="A221" s="2421" t="s">
        <v>4025</v>
      </c>
      <c r="B221" s="2421" t="str">
        <f t="shared" si="7"/>
        <v>Монолит, бетон, 150мм, 1 слой</v>
      </c>
      <c r="C221" s="2421">
        <v>250</v>
      </c>
      <c r="D221" s="2421"/>
      <c r="F221" s="2722" t="str">
        <f>'Прайс лист'!B586</f>
        <v>ГПН 152х35-1,5</v>
      </c>
      <c r="G221" s="2723">
        <f>'Прайс лист'!G586</f>
        <v>203</v>
      </c>
      <c r="H221" s="2722">
        <v>0.15</v>
      </c>
      <c r="J221" s="2421"/>
      <c r="AG221" s="2421">
        <v>7.1</v>
      </c>
      <c r="AH221" s="2715">
        <f t="shared" si="4"/>
        <v>0.12391837689159371</v>
      </c>
      <c r="AI221" s="2715">
        <f t="shared" si="5"/>
        <v>0.12441837689159371</v>
      </c>
      <c r="AJ221" s="2715">
        <f t="shared" si="6"/>
        <v>0.12341837689159371</v>
      </c>
      <c r="AK221" s="2421">
        <f>IF(AND(дома!$Z$29&gt;=AJ221,дома!$Z$29&lt;=AI221),связи1!AG221,0)</f>
        <v>0</v>
      </c>
      <c r="AL221" s="2421">
        <f>IF(AND(дома!$AA$29&gt;=AJ221,дома!$AA$29&lt;=AI221),связи1!AG221,0)</f>
        <v>0</v>
      </c>
    </row>
    <row r="222" spans="1:38">
      <c r="A222" s="2421" t="s">
        <v>131</v>
      </c>
      <c r="B222" s="2421" t="str">
        <f t="shared" si="7"/>
        <v>Плита перекрытия ЖБИ</v>
      </c>
      <c r="C222" s="2421">
        <v>250</v>
      </c>
      <c r="D222" s="2421"/>
      <c r="F222" s="2722" t="str">
        <f>'Прайс лист'!B587</f>
        <v>ГПН 152х35-2,0</v>
      </c>
      <c r="G222" s="2723">
        <f>'Прайс лист'!G587</f>
        <v>259</v>
      </c>
      <c r="H222" s="2722">
        <v>0.15</v>
      </c>
      <c r="J222" s="2421"/>
      <c r="AG222" s="2421">
        <v>7.2000000000000099</v>
      </c>
      <c r="AH222" s="2715">
        <f t="shared" si="4"/>
        <v>0.12566370614358818</v>
      </c>
      <c r="AI222" s="2715">
        <f t="shared" si="5"/>
        <v>0.12616370614358818</v>
      </c>
      <c r="AJ222" s="2715">
        <f t="shared" si="6"/>
        <v>0.12516370614358818</v>
      </c>
      <c r="AK222" s="2421">
        <f>IF(AND(дома!$Z$29&gt;=AJ222,дома!$Z$29&lt;=AI222),связи1!AG222,0)</f>
        <v>0</v>
      </c>
      <c r="AL222" s="2421">
        <f>IF(AND(дома!$AA$29&gt;=AJ222,дома!$AA$29&lt;=AI222),связи1!AG222,0)</f>
        <v>0</v>
      </c>
    </row>
    <row r="223" spans="1:38">
      <c r="A223" s="2421" t="s">
        <v>243</v>
      </c>
      <c r="B223" s="2421" t="str">
        <f t="shared" si="7"/>
        <v>Двутавровая деревянная балка, 400*65мм</v>
      </c>
      <c r="C223" s="2421"/>
      <c r="D223" s="2459">
        <f>'Прайс лист'!G274</f>
        <v>303</v>
      </c>
      <c r="F223" s="2722" t="str">
        <f>'Прайс лист'!B588</f>
        <v>ГПН 172х35-1,2</v>
      </c>
      <c r="G223" s="2723">
        <f>'Прайс лист'!G588</f>
        <v>166</v>
      </c>
      <c r="H223" s="2722">
        <v>0.17</v>
      </c>
      <c r="J223" s="2421"/>
      <c r="AG223" s="2421">
        <v>7.3000000000000096</v>
      </c>
      <c r="AH223" s="2715">
        <f t="shared" si="4"/>
        <v>0.12740903539558243</v>
      </c>
      <c r="AI223" s="2715">
        <f t="shared" si="5"/>
        <v>0.12790903539558243</v>
      </c>
      <c r="AJ223" s="2715">
        <f t="shared" si="6"/>
        <v>0.12690903539558243</v>
      </c>
      <c r="AK223" s="2421">
        <f>IF(AND(дома!$Z$29&gt;=AJ223,дома!$Z$29&lt;=AI223),связи1!AG223,0)</f>
        <v>0</v>
      </c>
      <c r="AL223" s="2421">
        <f>IF(AND(дома!$AA$29&gt;=AJ223,дома!$AA$29&lt;=AI223),связи1!AG223,0)</f>
        <v>0</v>
      </c>
    </row>
    <row r="224" spans="1:38">
      <c r="A224" s="2421" t="s">
        <v>244</v>
      </c>
      <c r="B224" s="2421" t="str">
        <f t="shared" si="7"/>
        <v>Двутавровая деревянная балка, 400*90мм</v>
      </c>
      <c r="C224" s="2421"/>
      <c r="D224" s="2459">
        <f>'Прайс лист'!G275</f>
        <v>355</v>
      </c>
      <c r="F224" s="2722" t="str">
        <f>'Прайс лист'!B589</f>
        <v>ГПН 172х35-1,5</v>
      </c>
      <c r="G224" s="2723">
        <f>'Прайс лист'!G589</f>
        <v>207</v>
      </c>
      <c r="H224" s="2722">
        <v>0.17</v>
      </c>
      <c r="J224" s="2421"/>
      <c r="AG224" s="2421">
        <v>7.4000000000000101</v>
      </c>
      <c r="AH224" s="2715">
        <f t="shared" si="4"/>
        <v>0.12915436464757674</v>
      </c>
      <c r="AI224" s="2715">
        <f t="shared" si="5"/>
        <v>0.12965436464757674</v>
      </c>
      <c r="AJ224" s="2715">
        <f t="shared" si="6"/>
        <v>0.12865436464757674</v>
      </c>
      <c r="AK224" s="2421">
        <f>IF(AND(дома!$Z$29&gt;=AJ224,дома!$Z$29&lt;=AI224),связи1!AG224,0)</f>
        <v>0</v>
      </c>
      <c r="AL224" s="2421">
        <f>IF(AND(дома!$AA$29&gt;=AJ224,дома!$AA$29&lt;=AI224),связи1!AG224,0)</f>
        <v>0</v>
      </c>
    </row>
    <row r="225" spans="1:38">
      <c r="A225" s="2421" t="s">
        <v>245</v>
      </c>
      <c r="B225" s="2421" t="str">
        <f t="shared" si="7"/>
        <v>Двутавровая деревянная балка, 350*65мм</v>
      </c>
      <c r="C225" s="2421"/>
      <c r="D225" s="2459">
        <f>'Прайс лист'!G276</f>
        <v>287</v>
      </c>
      <c r="F225" s="2722" t="str">
        <f>'Прайс лист'!B590</f>
        <v>ГПН 172х35-2,0</v>
      </c>
      <c r="G225" s="2723">
        <f>'Прайс лист'!G590</f>
        <v>274</v>
      </c>
      <c r="H225" s="2722">
        <v>0.17</v>
      </c>
      <c r="J225" s="2421"/>
      <c r="AG225" s="2421">
        <v>7.5000000000000098</v>
      </c>
      <c r="AH225" s="2715">
        <f t="shared" ref="AH225:AH256" si="10">AG225*3.1415926535897/180</f>
        <v>0.13089969389957098</v>
      </c>
      <c r="AI225" s="2715">
        <f t="shared" ref="AI225:AI256" si="11">AH225+0.0005</f>
        <v>0.13139969389957099</v>
      </c>
      <c r="AJ225" s="2715">
        <f t="shared" ref="AJ225:AJ256" si="12">AH225-0.0005</f>
        <v>0.13039969389957098</v>
      </c>
      <c r="AK225" s="2421">
        <f>IF(AND(дома!$Z$29&gt;=AJ225,дома!$Z$29&lt;=AI225),связи1!AG225,0)</f>
        <v>0</v>
      </c>
      <c r="AL225" s="2421">
        <f>IF(AND(дома!$AA$29&gt;=AJ225,дома!$AA$29&lt;=AI225),связи1!AG225,0)</f>
        <v>0</v>
      </c>
    </row>
    <row r="226" spans="1:38">
      <c r="A226" s="2421" t="s">
        <v>246</v>
      </c>
      <c r="B226" s="2421" t="str">
        <f t="shared" si="7"/>
        <v>Двутавровая деревянная балка, 350*90мм</v>
      </c>
      <c r="C226" s="2421"/>
      <c r="D226" s="2459">
        <f>'Прайс лист'!G277</f>
        <v>315</v>
      </c>
      <c r="F226" s="2722" t="str">
        <f>'Прайс лист'!B591</f>
        <v>ГПН 202х35-1,2</v>
      </c>
      <c r="G226" s="2723">
        <f>'Прайс лист'!G591</f>
        <v>201</v>
      </c>
      <c r="H226" s="2722">
        <v>0.2</v>
      </c>
      <c r="J226" s="2421"/>
      <c r="AG226" s="2421">
        <v>7.6000000000000103</v>
      </c>
      <c r="AH226" s="2715">
        <f t="shared" si="10"/>
        <v>0.13264502315156529</v>
      </c>
      <c r="AI226" s="2715">
        <f t="shared" si="11"/>
        <v>0.13314502315156529</v>
      </c>
      <c r="AJ226" s="2715">
        <f t="shared" si="12"/>
        <v>0.13214502315156529</v>
      </c>
      <c r="AK226" s="2421">
        <f>IF(AND(дома!$Z$29&gt;=AJ226,дома!$Z$29&lt;=AI226),связи1!AG226,0)</f>
        <v>0</v>
      </c>
      <c r="AL226" s="2421">
        <f>IF(AND(дома!$AA$29&gt;=AJ226,дома!$AA$29&lt;=AI226),связи1!AG226,0)</f>
        <v>0</v>
      </c>
    </row>
    <row r="227" spans="1:38">
      <c r="A227" s="2421" t="s">
        <v>247</v>
      </c>
      <c r="B227" s="2421" t="str">
        <f t="shared" si="7"/>
        <v>Двутавровая деревянная балка, 300*65мм</v>
      </c>
      <c r="C227" s="2421"/>
      <c r="D227" s="2459">
        <f>'Прайс лист'!G278</f>
        <v>273</v>
      </c>
      <c r="F227" s="2722" t="str">
        <f>'Прайс лист'!B592</f>
        <v>ГПН 202х35-1,5</v>
      </c>
      <c r="G227" s="2723">
        <f>'Прайс лист'!G592</f>
        <v>252</v>
      </c>
      <c r="H227" s="2722">
        <v>0.2</v>
      </c>
      <c r="J227" s="2421"/>
      <c r="AG227" s="2421">
        <v>7.7000000000000099</v>
      </c>
      <c r="AH227" s="2715">
        <f t="shared" si="10"/>
        <v>0.13439035240355957</v>
      </c>
      <c r="AI227" s="2715">
        <f t="shared" si="11"/>
        <v>0.13489035240355957</v>
      </c>
      <c r="AJ227" s="2715">
        <f t="shared" si="12"/>
        <v>0.13389035240355956</v>
      </c>
      <c r="AK227" s="2421">
        <f>IF(AND(дома!$Z$29&gt;=AJ227,дома!$Z$29&lt;=AI227),связи1!AG227,0)</f>
        <v>0</v>
      </c>
      <c r="AL227" s="2421">
        <f>IF(AND(дома!$AA$29&gt;=AJ227,дома!$AA$29&lt;=AI227),связи1!AG227,0)</f>
        <v>0</v>
      </c>
    </row>
    <row r="228" spans="1:38">
      <c r="A228" s="2421" t="s">
        <v>248</v>
      </c>
      <c r="B228" s="2421" t="str">
        <f t="shared" si="7"/>
        <v>Двутавровая деревянная балка, 300*90мм</v>
      </c>
      <c r="C228" s="2421"/>
      <c r="D228" s="2459">
        <f>'Прайс лист'!G279</f>
        <v>315</v>
      </c>
      <c r="F228" s="2722" t="str">
        <f>'Прайс лист'!B593</f>
        <v>ГПН 202х35-2,0</v>
      </c>
      <c r="G228" s="2723">
        <f>'Прайс лист'!G593</f>
        <v>318</v>
      </c>
      <c r="H228" s="2722">
        <v>0.2</v>
      </c>
      <c r="J228" s="2421"/>
      <c r="AG228" s="2421">
        <v>7.8000000000000096</v>
      </c>
      <c r="AH228" s="2715">
        <f t="shared" si="10"/>
        <v>0.13613568165555384</v>
      </c>
      <c r="AI228" s="2715">
        <f t="shared" si="11"/>
        <v>0.13663568165555384</v>
      </c>
      <c r="AJ228" s="2715">
        <f t="shared" si="12"/>
        <v>0.13563568165555384</v>
      </c>
      <c r="AK228" s="2421">
        <f>IF(AND(дома!$Z$29&gt;=AJ228,дома!$Z$29&lt;=AI228),связи1!AG228,0)</f>
        <v>0</v>
      </c>
      <c r="AL228" s="2421">
        <f>IF(AND(дома!$AA$29&gt;=AJ228,дома!$AA$29&lt;=AI228),связи1!AG228,0)</f>
        <v>0</v>
      </c>
    </row>
    <row r="229" spans="1:38">
      <c r="A229" s="2421" t="s">
        <v>249</v>
      </c>
      <c r="B229" s="2421" t="str">
        <f t="shared" si="7"/>
        <v>Двутавровая деревянная балка, 240*65мм</v>
      </c>
      <c r="C229" s="2421"/>
      <c r="D229" s="2459">
        <f>'Прайс лист'!G280</f>
        <v>263</v>
      </c>
      <c r="F229" s="2722" t="str">
        <f>'Прайс лист'!B594</f>
        <v>ГПН 252х35-1,2</v>
      </c>
      <c r="G229" s="2723">
        <f>'Прайс лист'!G594</f>
        <v>226</v>
      </c>
      <c r="H229" s="2722">
        <v>0.25</v>
      </c>
      <c r="J229" s="2421"/>
      <c r="AG229" s="2421">
        <v>7.9000000000000101</v>
      </c>
      <c r="AH229" s="2715">
        <f t="shared" si="10"/>
        <v>0.13788101090754812</v>
      </c>
      <c r="AI229" s="2715">
        <f t="shared" si="11"/>
        <v>0.13838101090754812</v>
      </c>
      <c r="AJ229" s="2715">
        <f t="shared" si="12"/>
        <v>0.13738101090754812</v>
      </c>
      <c r="AK229" s="2421">
        <f>IF(AND(дома!$Z$29&gt;=AJ229,дома!$Z$29&lt;=AI229),связи1!AG229,0)</f>
        <v>0</v>
      </c>
      <c r="AL229" s="2421">
        <f>IF(AND(дома!$AA$29&gt;=AJ229,дома!$AA$29&lt;=AI229),связи1!AG229,0)</f>
        <v>0</v>
      </c>
    </row>
    <row r="230" spans="1:38">
      <c r="A230" s="2421" t="s">
        <v>250</v>
      </c>
      <c r="B230" s="2421" t="str">
        <f t="shared" si="7"/>
        <v>Двутавровая деревянная балка, 240*90мм</v>
      </c>
      <c r="C230" s="2421"/>
      <c r="D230" s="2459">
        <f>'Прайс лист'!G281</f>
        <v>291</v>
      </c>
      <c r="F230" s="2722" t="str">
        <f>'Прайс лист'!B595</f>
        <v>ГПН 252х35-1,5</v>
      </c>
      <c r="G230" s="2723">
        <f>'Прайс лист'!G595</f>
        <v>283</v>
      </c>
      <c r="H230" s="2722">
        <v>0.25</v>
      </c>
      <c r="J230" s="2421"/>
      <c r="AG230" s="2421">
        <v>8.0000000000000107</v>
      </c>
      <c r="AH230" s="2715">
        <f t="shared" si="10"/>
        <v>0.13962634015954239</v>
      </c>
      <c r="AI230" s="2715">
        <f t="shared" si="11"/>
        <v>0.1401263401595424</v>
      </c>
      <c r="AJ230" s="2715">
        <f t="shared" si="12"/>
        <v>0.13912634015954239</v>
      </c>
      <c r="AK230" s="2421">
        <f>IF(AND(дома!$Z$29&gt;=AJ230,дома!$Z$29&lt;=AI230),связи1!AG230,0)</f>
        <v>0</v>
      </c>
      <c r="AL230" s="2421">
        <f>IF(AND(дома!$AA$29&gt;=AJ230,дома!$AA$29&lt;=AI230),связи1!AG230,0)</f>
        <v>0</v>
      </c>
    </row>
    <row r="231" spans="1:38">
      <c r="A231" s="2421" t="s">
        <v>251</v>
      </c>
      <c r="B231" s="2421" t="str">
        <f t="shared" si="7"/>
        <v>Двутавровая деревянная балка, 200*65мм</v>
      </c>
      <c r="C231" s="2421"/>
      <c r="D231" s="2459">
        <f>'Прайс лист'!G282</f>
        <v>250</v>
      </c>
      <c r="F231" s="2722" t="str">
        <f>'Прайс лист'!B596</f>
        <v>ГПН 252х35-2,0</v>
      </c>
      <c r="G231" s="2723">
        <f>'Прайс лист'!G596</f>
        <v>378</v>
      </c>
      <c r="H231" s="2722">
        <v>0.25</v>
      </c>
      <c r="J231" s="2421"/>
      <c r="AG231" s="2421">
        <v>8.1000000000000103</v>
      </c>
      <c r="AH231" s="2715">
        <f t="shared" si="10"/>
        <v>0.14137166941153667</v>
      </c>
      <c r="AI231" s="2715">
        <f t="shared" si="11"/>
        <v>0.14187166941153667</v>
      </c>
      <c r="AJ231" s="2715">
        <f t="shared" si="12"/>
        <v>0.14087166941153667</v>
      </c>
      <c r="AK231" s="2421">
        <f>IF(AND(дома!$Z$29&gt;=AJ231,дома!$Z$29&lt;=AI231),связи1!AG231,0)</f>
        <v>0</v>
      </c>
      <c r="AL231" s="2421">
        <f>IF(AND(дома!$AA$29&gt;=AJ231,дома!$AA$29&lt;=AI231),связи1!AG231,0)</f>
        <v>0</v>
      </c>
    </row>
    <row r="232" spans="1:38">
      <c r="A232" s="2421" t="s">
        <v>252</v>
      </c>
      <c r="B232" s="2421" t="str">
        <f t="shared" ref="B232:B263" si="13">A232</f>
        <v>Двутавровая деревянная балка, 200*90мм</v>
      </c>
      <c r="C232" s="2421"/>
      <c r="D232" s="2459">
        <f>'Прайс лист'!G283</f>
        <v>280</v>
      </c>
      <c r="F232" s="2722" t="str">
        <f>'Прайс лист'!B597</f>
        <v>ГПН 282х35-1,2</v>
      </c>
      <c r="G232" s="2723">
        <f>'Прайс лист'!G597</f>
        <v>275</v>
      </c>
      <c r="H232" s="2722">
        <v>0.28000000000000003</v>
      </c>
      <c r="J232" s="2421"/>
      <c r="AG232" s="2421">
        <v>8.2000000000000099</v>
      </c>
      <c r="AH232" s="2715">
        <f t="shared" si="10"/>
        <v>0.14311699866353095</v>
      </c>
      <c r="AI232" s="2715">
        <f t="shared" si="11"/>
        <v>0.14361699866353095</v>
      </c>
      <c r="AJ232" s="2715">
        <f t="shared" si="12"/>
        <v>0.14261699866353095</v>
      </c>
      <c r="AK232" s="2421">
        <f>IF(AND(дома!$Z$29&gt;=AJ232,дома!$Z$29&lt;=AI232),связи1!AG232,0)</f>
        <v>0</v>
      </c>
      <c r="AL232" s="2421">
        <f>IF(AND(дома!$AA$29&gt;=AJ232,дома!$AA$29&lt;=AI232),связи1!AG232,0)</f>
        <v>0</v>
      </c>
    </row>
    <row r="233" spans="1:38">
      <c r="A233" s="2421" t="s">
        <v>253</v>
      </c>
      <c r="B233" s="2421" t="str">
        <f t="shared" si="13"/>
        <v>Двутавровая деревянная балка, 150*65мм</v>
      </c>
      <c r="C233" s="2421"/>
      <c r="D233" s="2459">
        <f>'Прайс лист'!G284</f>
        <v>220</v>
      </c>
      <c r="F233" s="2722" t="str">
        <f>'Прайс лист'!B598</f>
        <v>ГПН 282х35-1,5</v>
      </c>
      <c r="G233" s="2723">
        <f>'Прайс лист'!G598</f>
        <v>306</v>
      </c>
      <c r="H233" s="2722">
        <v>0.28000000000000003</v>
      </c>
      <c r="J233" s="2421"/>
      <c r="AG233" s="2421">
        <v>8.3000000000000096</v>
      </c>
      <c r="AH233" s="2715">
        <f t="shared" si="10"/>
        <v>0.14486232791552522</v>
      </c>
      <c r="AI233" s="2715">
        <f t="shared" si="11"/>
        <v>0.14536232791552522</v>
      </c>
      <c r="AJ233" s="2715">
        <f t="shared" si="12"/>
        <v>0.14436232791552522</v>
      </c>
      <c r="AK233" s="2421">
        <f>IF(AND(дома!$Z$29&gt;=AJ233,дома!$Z$29&lt;=AI233),связи1!AG233,0)</f>
        <v>0</v>
      </c>
      <c r="AL233" s="2421">
        <f>IF(AND(дома!$AA$29&gt;=AJ233,дома!$AA$29&lt;=AI233),связи1!AG233,0)</f>
        <v>0</v>
      </c>
    </row>
    <row r="234" spans="1:38">
      <c r="A234" s="2421" t="s">
        <v>254</v>
      </c>
      <c r="B234" s="2421" t="str">
        <f t="shared" si="13"/>
        <v>Двутавровая деревянная балка, 150*90мм</v>
      </c>
      <c r="C234" s="2421"/>
      <c r="D234" s="2459">
        <f>'Прайс лист'!G285</f>
        <v>250</v>
      </c>
      <c r="F234" s="2722" t="str">
        <f>'Прайс лист'!B599</f>
        <v>ГПН 282х35-2,0</v>
      </c>
      <c r="G234" s="2723">
        <f>'Прайс лист'!G599</f>
        <v>407</v>
      </c>
      <c r="H234" s="2722">
        <v>0.28000000000000003</v>
      </c>
      <c r="J234" s="2421"/>
      <c r="AG234" s="2421">
        <v>8.4000000000000092</v>
      </c>
      <c r="AH234" s="2715">
        <f t="shared" si="10"/>
        <v>0.1466076571675195</v>
      </c>
      <c r="AI234" s="2715">
        <f t="shared" si="11"/>
        <v>0.1471076571675195</v>
      </c>
      <c r="AJ234" s="2715">
        <f t="shared" si="12"/>
        <v>0.1461076571675195</v>
      </c>
      <c r="AK234" s="2421">
        <f>IF(AND(дома!$Z$29&gt;=AJ234,дома!$Z$29&lt;=AI234),связи1!AG234,0)</f>
        <v>0</v>
      </c>
      <c r="AL234" s="2421">
        <f>IF(AND(дома!$AA$29&gt;=AJ234,дома!$AA$29&lt;=AI234),связи1!AG234,0)</f>
        <v>0</v>
      </c>
    </row>
    <row r="235" spans="1:38">
      <c r="A235" s="2724" t="str">
        <f>'Прайс лист'!B558</f>
        <v>ГПС 100х50-1,2</v>
      </c>
      <c r="B235" s="2724" t="str">
        <f t="shared" si="13"/>
        <v>ГПС 100х50-1,2</v>
      </c>
      <c r="C235" s="2722">
        <v>0.1</v>
      </c>
      <c r="D235" s="2723">
        <f>'Прайс лист'!G558</f>
        <v>163</v>
      </c>
      <c r="F235" s="2421"/>
      <c r="H235" s="2725"/>
      <c r="I235" s="2459"/>
      <c r="AG235" s="2421">
        <v>8.5000000000000107</v>
      </c>
      <c r="AH235" s="2715">
        <f t="shared" si="10"/>
        <v>0.1483529864195138</v>
      </c>
      <c r="AI235" s="2715">
        <f t="shared" si="11"/>
        <v>0.14885298641951381</v>
      </c>
      <c r="AJ235" s="2715">
        <f t="shared" si="12"/>
        <v>0.1478529864195138</v>
      </c>
      <c r="AK235" s="2421">
        <f>IF(AND(дома!$Z$29&gt;=AJ235,дома!$Z$29&lt;=AI235),связи1!AG235,0)</f>
        <v>0</v>
      </c>
      <c r="AL235" s="2421">
        <f>IF(AND(дома!$AA$29&gt;=AJ235,дома!$AA$29&lt;=AI235),связи1!AG235,0)</f>
        <v>0</v>
      </c>
    </row>
    <row r="236" spans="1:38">
      <c r="A236" s="2724" t="str">
        <f>'Прайс лист'!B559</f>
        <v>ГПС 100х50-1,5</v>
      </c>
      <c r="B236" s="2724" t="str">
        <f t="shared" si="13"/>
        <v>ГПС 100х50-1,5</v>
      </c>
      <c r="C236" s="2722">
        <v>0.1</v>
      </c>
      <c r="D236" s="2723">
        <f>'Прайс лист'!G559</f>
        <v>204</v>
      </c>
      <c r="F236" s="2421"/>
      <c r="AG236" s="2421">
        <v>8.6000000000000103</v>
      </c>
      <c r="AH236" s="2715">
        <f t="shared" si="10"/>
        <v>0.15009831567150805</v>
      </c>
      <c r="AI236" s="2715">
        <f t="shared" si="11"/>
        <v>0.15059831567150805</v>
      </c>
      <c r="AJ236" s="2715">
        <f t="shared" si="12"/>
        <v>0.14959831567150805</v>
      </c>
      <c r="AK236" s="2421">
        <f>IF(AND(дома!$Z$29&gt;=AJ236,дома!$Z$29&lt;=AI236),связи1!AG236,0)</f>
        <v>0</v>
      </c>
      <c r="AL236" s="2421">
        <f>IF(AND(дома!$AA$29&gt;=AJ236,дома!$AA$29&lt;=AI236),связи1!AG236,0)</f>
        <v>0</v>
      </c>
    </row>
    <row r="237" spans="1:38">
      <c r="A237" s="2724" t="str">
        <f>'Прайс лист'!B562</f>
        <v>ГПС 120х50-1,5</v>
      </c>
      <c r="B237" s="2724" t="str">
        <f t="shared" si="13"/>
        <v>ГПС 120х50-1,5</v>
      </c>
      <c r="C237" s="2722">
        <v>0.1</v>
      </c>
      <c r="D237" s="2723">
        <f>'Прайс лист'!G560</f>
        <v>272</v>
      </c>
      <c r="F237" s="2421"/>
      <c r="J237" s="2726" t="s">
        <v>1783</v>
      </c>
      <c r="K237" s="2379">
        <v>0</v>
      </c>
      <c r="AG237" s="2421">
        <v>8.7000000000000099</v>
      </c>
      <c r="AH237" s="2715">
        <f t="shared" si="10"/>
        <v>0.15184364492350233</v>
      </c>
      <c r="AI237" s="2715">
        <f t="shared" si="11"/>
        <v>0.15234364492350233</v>
      </c>
      <c r="AJ237" s="2715">
        <f t="shared" si="12"/>
        <v>0.15134364492350233</v>
      </c>
      <c r="AK237" s="2421">
        <f>IF(AND(дома!$Z$29&gt;=AJ237,дома!$Z$29&lt;=AI237),связи1!AG237,0)</f>
        <v>0</v>
      </c>
      <c r="AL237" s="2421">
        <f>IF(AND(дома!$AA$29&gt;=AJ237,дома!$AA$29&lt;=AI237),связи1!AG237,0)</f>
        <v>0</v>
      </c>
    </row>
    <row r="238" spans="1:38">
      <c r="A238" s="2724" t="str">
        <f>'Прайс лист'!B563</f>
        <v>ГПС 120х50-2,0</v>
      </c>
      <c r="B238" s="2724" t="str">
        <f t="shared" si="13"/>
        <v>ГПС 120х50-2,0</v>
      </c>
      <c r="C238" s="2722">
        <v>0.12</v>
      </c>
      <c r="D238" s="2723">
        <f>'Прайс лист'!G561</f>
        <v>179</v>
      </c>
      <c r="F238" s="2421"/>
      <c r="J238" s="2421" t="s">
        <v>4355</v>
      </c>
      <c r="K238" s="2421">
        <f>'Прайс лист'!G294</f>
        <v>6500</v>
      </c>
      <c r="L238" s="2421"/>
      <c r="AG238" s="2421">
        <v>8.8000000000000096</v>
      </c>
      <c r="AH238" s="2715">
        <f t="shared" si="10"/>
        <v>0.15358897417549661</v>
      </c>
      <c r="AI238" s="2715">
        <f t="shared" si="11"/>
        <v>0.15408897417549661</v>
      </c>
      <c r="AJ238" s="2715">
        <f t="shared" si="12"/>
        <v>0.15308897417549661</v>
      </c>
      <c r="AK238" s="2421">
        <f>IF(AND(дома!$Z$29&gt;=AJ238,дома!$Z$29&lt;=AI238),связи1!AG238,0)</f>
        <v>0</v>
      </c>
      <c r="AL238" s="2421">
        <f>IF(AND(дома!$AA$29&gt;=AJ238,дома!$AA$29&lt;=AI238),связи1!AG238,0)</f>
        <v>0</v>
      </c>
    </row>
    <row r="239" spans="1:38">
      <c r="A239" s="2724" t="str">
        <f>'Прайс лист'!B564</f>
        <v>ГПС 150х50-1,2</v>
      </c>
      <c r="B239" s="2724" t="str">
        <f t="shared" si="13"/>
        <v>ГПС 150х50-1,2</v>
      </c>
      <c r="C239" s="2722">
        <v>0.12</v>
      </c>
      <c r="D239" s="2723">
        <f>'Прайс лист'!G562</f>
        <v>224</v>
      </c>
      <c r="F239" s="2421"/>
      <c r="J239" s="2421" t="s">
        <v>4356</v>
      </c>
      <c r="K239" s="2421">
        <f>'Прайс лист'!G319</f>
        <v>9000</v>
      </c>
      <c r="L239" s="2421"/>
      <c r="AG239" s="2421">
        <v>8.9000000000000092</v>
      </c>
      <c r="AH239" s="2715">
        <f t="shared" si="10"/>
        <v>0.15533430342749088</v>
      </c>
      <c r="AI239" s="2715">
        <f t="shared" si="11"/>
        <v>0.15583430342749088</v>
      </c>
      <c r="AJ239" s="2715">
        <f t="shared" si="12"/>
        <v>0.15483430342749088</v>
      </c>
      <c r="AK239" s="2421">
        <f>IF(AND(дома!$Z$29&gt;=AJ239,дома!$Z$29&lt;=AI239),связи1!AG239,0)</f>
        <v>0</v>
      </c>
      <c r="AL239" s="2421">
        <f>IF(AND(дома!$AA$29&gt;=AJ239,дома!$AA$29&lt;=AI239),связи1!AG239,0)</f>
        <v>0</v>
      </c>
    </row>
    <row r="240" spans="1:38">
      <c r="A240" s="2724" t="str">
        <f>'Прайс лист'!B565</f>
        <v>ГПС 150х50-1,5</v>
      </c>
      <c r="B240" s="2724" t="str">
        <f t="shared" si="13"/>
        <v>ГПС 150х50-1,5</v>
      </c>
      <c r="C240" s="2722">
        <v>0.12</v>
      </c>
      <c r="D240" s="2723">
        <f>'Прайс лист'!G563</f>
        <v>299</v>
      </c>
      <c r="F240" s="2421"/>
      <c r="J240" s="2421" t="s">
        <v>4357</v>
      </c>
      <c r="K240" s="2421">
        <f>'Прайс лист'!G310</f>
        <v>12500</v>
      </c>
      <c r="L240" s="2421"/>
      <c r="AG240" s="2421">
        <v>9.0000000000000107</v>
      </c>
      <c r="AH240" s="2715">
        <f t="shared" si="10"/>
        <v>0.15707963267948519</v>
      </c>
      <c r="AI240" s="2715">
        <f t="shared" si="11"/>
        <v>0.15757963267948519</v>
      </c>
      <c r="AJ240" s="2715">
        <f t="shared" si="12"/>
        <v>0.15657963267948519</v>
      </c>
      <c r="AK240" s="2421">
        <f>IF(AND(дома!$Z$29&gt;=AJ240,дома!$Z$29&lt;=AI240),связи1!AG240,0)</f>
        <v>0</v>
      </c>
      <c r="AL240" s="2421">
        <f>IF(AND(дома!$AA$29&gt;=AJ240,дома!$AA$29&lt;=AI240),связи1!AG240,0)</f>
        <v>0</v>
      </c>
    </row>
    <row r="241" spans="1:38">
      <c r="A241" s="2724" t="str">
        <f>'Прайс лист'!B566</f>
        <v>ГПС 150х50-2,0</v>
      </c>
      <c r="B241" s="2724" t="str">
        <f t="shared" si="13"/>
        <v>ГПС 150х50-2,0</v>
      </c>
      <c r="C241" s="2722">
        <v>0.15</v>
      </c>
      <c r="D241" s="2723">
        <f>'Прайс лист'!G564</f>
        <v>201</v>
      </c>
      <c r="F241" s="2421"/>
      <c r="J241" s="2727" t="str">
        <f>'Прайс лист'!B630</f>
        <v>ГПО 30-0,7</v>
      </c>
      <c r="K241" s="2723">
        <f>'Прайс лист'!G630</f>
        <v>58</v>
      </c>
      <c r="AG241" s="2421">
        <v>9.1000000000000103</v>
      </c>
      <c r="AH241" s="2715">
        <f t="shared" si="10"/>
        <v>0.15882496193147946</v>
      </c>
      <c r="AI241" s="2715">
        <f t="shared" si="11"/>
        <v>0.15932496193147946</v>
      </c>
      <c r="AJ241" s="2715">
        <f t="shared" si="12"/>
        <v>0.15832496193147946</v>
      </c>
      <c r="AK241" s="2421">
        <f>IF(AND(дома!$Z$29&gt;=AJ241,дома!$Z$29&lt;=AI241),связи1!AG241,0)</f>
        <v>0</v>
      </c>
      <c r="AL241" s="2421">
        <f>IF(AND(дома!$AA$29&gt;=AJ241,дома!$AA$29&lt;=AI241),связи1!AG241,0)</f>
        <v>0</v>
      </c>
    </row>
    <row r="242" spans="1:38">
      <c r="A242" s="2724" t="str">
        <f>'Прайс лист'!B567</f>
        <v>ГПС 170х50-1,2</v>
      </c>
      <c r="B242" s="2724" t="str">
        <f t="shared" si="13"/>
        <v>ГПС 170х50-1,2</v>
      </c>
      <c r="C242" s="2722">
        <v>0.15</v>
      </c>
      <c r="D242" s="2723">
        <f>'Прайс лист'!G565</f>
        <v>252</v>
      </c>
      <c r="F242" s="2421"/>
      <c r="J242" s="2727" t="str">
        <f>'Прайс лист'!B631</f>
        <v>ГПО 30-1,2</v>
      </c>
      <c r="K242" s="2723">
        <f>'Прайс лист'!G631</f>
        <v>100</v>
      </c>
      <c r="S242" s="2708"/>
      <c r="T242" s="2728"/>
      <c r="U242" s="2728"/>
      <c r="V242" s="2728"/>
      <c r="W242" s="2728"/>
      <c r="X242" s="2728"/>
      <c r="Y242" s="2728"/>
      <c r="Z242" s="2728"/>
      <c r="AG242" s="2421">
        <v>9.2000000000000099</v>
      </c>
      <c r="AH242" s="2715">
        <f t="shared" si="10"/>
        <v>0.16057029118347371</v>
      </c>
      <c r="AI242" s="2715">
        <f t="shared" si="11"/>
        <v>0.16107029118347371</v>
      </c>
      <c r="AJ242" s="2715">
        <f t="shared" si="12"/>
        <v>0.16007029118347371</v>
      </c>
      <c r="AK242" s="2421">
        <f>IF(AND(дома!$Z$29&gt;=AJ242,дома!$Z$29&lt;=AI242),связи1!AG242,0)</f>
        <v>0</v>
      </c>
      <c r="AL242" s="2421">
        <f>IF(AND(дома!$AA$29&gt;=AJ242,дома!$AA$29&lt;=AI242),связи1!AG242,0)</f>
        <v>0</v>
      </c>
    </row>
    <row r="243" spans="1:38">
      <c r="A243" s="2724" t="str">
        <f>'Прайс лист'!B568</f>
        <v>ГПС 170х50-1,5</v>
      </c>
      <c r="B243" s="2724" t="str">
        <f t="shared" si="13"/>
        <v>ГПС 170х50-1,5</v>
      </c>
      <c r="C243" s="2722">
        <v>0.15</v>
      </c>
      <c r="D243" s="2723">
        <f>'Прайс лист'!G566</f>
        <v>330</v>
      </c>
      <c r="F243" s="2421"/>
      <c r="J243" s="2727" t="str">
        <f>'Прайс лист'!B632</f>
        <v>ГПО 30-1,5</v>
      </c>
      <c r="K243" s="2723">
        <f>'Прайс лист'!G632</f>
        <v>125</v>
      </c>
      <c r="S243" s="2708"/>
      <c r="T243" s="2728"/>
      <c r="U243" s="2728"/>
      <c r="V243" s="2728"/>
      <c r="W243" s="2728"/>
      <c r="X243" s="2728"/>
      <c r="Y243" s="2728"/>
      <c r="Z243" s="2728"/>
      <c r="AG243" s="2421">
        <v>9.3000000000000096</v>
      </c>
      <c r="AH243" s="2715">
        <f t="shared" si="10"/>
        <v>0.16231562043546799</v>
      </c>
      <c r="AI243" s="2715">
        <f t="shared" si="11"/>
        <v>0.16281562043546799</v>
      </c>
      <c r="AJ243" s="2715">
        <f t="shared" si="12"/>
        <v>0.16181562043546799</v>
      </c>
      <c r="AK243" s="2421">
        <f>IF(AND(дома!$Z$29&gt;=AJ243,дома!$Z$29&lt;=AI243),связи1!AG243,0)</f>
        <v>0</v>
      </c>
      <c r="AL243" s="2421">
        <f>IF(AND(дома!$AA$29&gt;=AJ243,дома!$AA$29&lt;=AI243),связи1!AG243,0)</f>
        <v>0</v>
      </c>
    </row>
    <row r="244" spans="1:38">
      <c r="A244" s="2724" t="str">
        <f>'Прайс лист'!B569</f>
        <v>ГПС 170х50-2,0</v>
      </c>
      <c r="B244" s="2724" t="str">
        <f t="shared" si="13"/>
        <v>ГПС 170х50-2,0</v>
      </c>
      <c r="C244" s="2722">
        <v>0.17</v>
      </c>
      <c r="D244" s="2723">
        <f>'Прайс лист'!G567</f>
        <v>215</v>
      </c>
      <c r="F244" s="2421"/>
      <c r="J244" s="2727" t="str">
        <f>'Прайс лист'!B633</f>
        <v>ГПО 35-0,7</v>
      </c>
      <c r="K244" s="2723">
        <f>'Прайс лист'!G633</f>
        <v>64</v>
      </c>
      <c r="S244" s="2708"/>
      <c r="T244" s="2728"/>
      <c r="U244" s="2728"/>
      <c r="V244" s="2728"/>
      <c r="W244" s="2728"/>
      <c r="X244" s="2728"/>
      <c r="Y244" s="2728"/>
      <c r="Z244" s="2728"/>
      <c r="AG244" s="2421">
        <v>9.4000000000000092</v>
      </c>
      <c r="AH244" s="2715">
        <f t="shared" si="10"/>
        <v>0.16406094968746227</v>
      </c>
      <c r="AI244" s="2715">
        <f t="shared" si="11"/>
        <v>0.16456094968746227</v>
      </c>
      <c r="AJ244" s="2715">
        <f t="shared" si="12"/>
        <v>0.16356094968746226</v>
      </c>
      <c r="AK244" s="2421">
        <f>IF(AND(дома!$Z$29&gt;=AJ244,дома!$Z$29&lt;=AI244),связи1!AG244,0)</f>
        <v>0</v>
      </c>
      <c r="AL244" s="2421">
        <f>IF(AND(дома!$AA$29&gt;=AJ244,дома!$AA$29&lt;=AI244),связи1!AG244,0)</f>
        <v>0</v>
      </c>
    </row>
    <row r="245" spans="1:38">
      <c r="A245" s="2724" t="str">
        <f>'Прайс лист'!B570</f>
        <v>ГПС 200х50-1,2</v>
      </c>
      <c r="B245" s="2724" t="str">
        <f t="shared" si="13"/>
        <v>ГПС 200х50-1,2</v>
      </c>
      <c r="C245" s="2722">
        <v>0.17</v>
      </c>
      <c r="D245" s="2723">
        <f>'Прайс лист'!G568</f>
        <v>269</v>
      </c>
      <c r="F245" s="2421"/>
      <c r="J245" s="2727" t="str">
        <f>'Прайс лист'!B634</f>
        <v>ГПО 35-1,2</v>
      </c>
      <c r="K245" s="2723">
        <f>'Прайс лист'!G634</f>
        <v>110</v>
      </c>
      <c r="S245" s="2729"/>
      <c r="T245" s="2728"/>
      <c r="U245" s="2728"/>
      <c r="V245" s="2728"/>
      <c r="W245" s="2728"/>
      <c r="X245" s="2728"/>
      <c r="Y245" s="2728"/>
      <c r="Z245" s="2728"/>
      <c r="AG245" s="2421">
        <v>9.5000000000000107</v>
      </c>
      <c r="AH245" s="2715">
        <f t="shared" si="10"/>
        <v>0.16580627893945657</v>
      </c>
      <c r="AI245" s="2715">
        <f t="shared" si="11"/>
        <v>0.16630627893945657</v>
      </c>
      <c r="AJ245" s="2715">
        <f t="shared" si="12"/>
        <v>0.16530627893945657</v>
      </c>
      <c r="AK245" s="2421">
        <f>IF(AND(дома!$Z$29&gt;=AJ245,дома!$Z$29&lt;=AI245),связи1!AG245,0)</f>
        <v>0</v>
      </c>
      <c r="AL245" s="2421">
        <f>IF(AND(дома!$AA$29&gt;=AJ245,дома!$AA$29&lt;=AI245),связи1!AG245,0)</f>
        <v>0</v>
      </c>
    </row>
    <row r="246" spans="1:38">
      <c r="A246" s="2724" t="str">
        <f>'Прайс лист'!B571</f>
        <v>ГПС 200х50-1,5</v>
      </c>
      <c r="B246" s="2724" t="str">
        <f t="shared" si="13"/>
        <v>ГПС 200х50-1,5</v>
      </c>
      <c r="C246" s="2722">
        <v>0.17</v>
      </c>
      <c r="D246" s="2723">
        <f>'Прайс лист'!G569</f>
        <v>358</v>
      </c>
      <c r="F246" s="2421"/>
      <c r="J246" s="2727" t="str">
        <f>'Прайс лист'!B635</f>
        <v>ГПО 35-1,5</v>
      </c>
      <c r="K246" s="2723">
        <f>'Прайс лист'!G635</f>
        <v>127</v>
      </c>
      <c r="Q246" s="2730" t="s">
        <v>36</v>
      </c>
      <c r="R246" s="2731">
        <v>3.1E-2</v>
      </c>
      <c r="S246" s="2731">
        <v>32.25</v>
      </c>
      <c r="T246" s="2709">
        <v>160</v>
      </c>
      <c r="U246" s="2709">
        <v>5161.3</v>
      </c>
      <c r="V246" s="2728"/>
      <c r="W246" s="2728"/>
      <c r="X246" s="2728"/>
      <c r="Y246" s="2728"/>
      <c r="Z246" s="2728"/>
      <c r="AG246" s="2421">
        <v>9.6000000000000103</v>
      </c>
      <c r="AH246" s="2715">
        <f t="shared" si="10"/>
        <v>0.16755160819145085</v>
      </c>
      <c r="AI246" s="2715">
        <f t="shared" si="11"/>
        <v>0.16805160819145085</v>
      </c>
      <c r="AJ246" s="2715">
        <f t="shared" si="12"/>
        <v>0.16705160819145085</v>
      </c>
      <c r="AK246" s="2421">
        <f>IF(AND(дома!$Z$29&gt;=AJ246,дома!$Z$29&lt;=AI246),связи1!AG246,0)</f>
        <v>0</v>
      </c>
      <c r="AL246" s="2421">
        <f>IF(AND(дома!$AA$29&gt;=AJ246,дома!$AA$29&lt;=AI246),связи1!AG246,0)</f>
        <v>0</v>
      </c>
    </row>
    <row r="247" spans="1:38">
      <c r="A247" s="2724" t="str">
        <f>'Прайс лист'!B572</f>
        <v>ГПС 200х50-2,0</v>
      </c>
      <c r="B247" s="2724" t="str">
        <f t="shared" si="13"/>
        <v>ГПС 200х50-2,0</v>
      </c>
      <c r="C247" s="2722">
        <v>0.2</v>
      </c>
      <c r="D247" s="2723">
        <f>'Прайс лист'!G570</f>
        <v>239</v>
      </c>
      <c r="F247" s="2421"/>
      <c r="J247" s="2727" t="str">
        <f>'Прайс лист'!B636</f>
        <v>ГПО 35-2,0</v>
      </c>
      <c r="K247" s="2723">
        <f>'Прайс лист'!G636</f>
        <v>169</v>
      </c>
      <c r="Q247" s="2730" t="s">
        <v>14</v>
      </c>
      <c r="R247" s="2731">
        <v>4.7E-2</v>
      </c>
      <c r="S247" s="2731">
        <v>21.27</v>
      </c>
      <c r="T247" s="2709">
        <v>310</v>
      </c>
      <c r="U247" s="2709">
        <v>6595.74</v>
      </c>
      <c r="V247" s="2728"/>
      <c r="W247" s="2728"/>
      <c r="X247" s="2728"/>
      <c r="Y247" s="2728"/>
      <c r="Z247" s="2728"/>
      <c r="AG247" s="2421">
        <v>9.7000000000000099</v>
      </c>
      <c r="AH247" s="2715">
        <f t="shared" si="10"/>
        <v>0.16929693744344512</v>
      </c>
      <c r="AI247" s="2715">
        <f t="shared" si="11"/>
        <v>0.16979693744344512</v>
      </c>
      <c r="AJ247" s="2715">
        <f t="shared" si="12"/>
        <v>0.16879693744344512</v>
      </c>
      <c r="AK247" s="2421">
        <f>IF(AND(дома!$Z$29&gt;=AJ247,дома!$Z$29&lt;=AI247),связи1!AG247,0)</f>
        <v>0</v>
      </c>
      <c r="AL247" s="2421">
        <f>IF(AND(дома!$AA$29&gt;=AJ247,дома!$AA$29&lt;=AI247),связи1!AG247,0)</f>
        <v>0</v>
      </c>
    </row>
    <row r="248" spans="1:38">
      <c r="A248" s="2724" t="str">
        <f>'Прайс лист'!B573</f>
        <v>ГПС 250х50-1,2</v>
      </c>
      <c r="B248" s="2724" t="str">
        <f t="shared" si="13"/>
        <v>ГПС 250х50-1,2</v>
      </c>
      <c r="C248" s="2722">
        <v>0.2</v>
      </c>
      <c r="D248" s="2723">
        <f>'Прайс лист'!G571</f>
        <v>299</v>
      </c>
      <c r="F248" s="2421"/>
      <c r="J248" s="2727" t="str">
        <f>'Прайс лист'!B637</f>
        <v>ГПО 50-0,7</v>
      </c>
      <c r="K248" s="2723">
        <f>'Прайс лист'!G637</f>
        <v>80</v>
      </c>
      <c r="Q248" s="2730" t="s">
        <v>37</v>
      </c>
      <c r="R248" s="2731">
        <v>3.5999999999999997E-2</v>
      </c>
      <c r="S248" s="2731">
        <v>27.77</v>
      </c>
      <c r="T248" s="2731">
        <v>242</v>
      </c>
      <c r="U248" s="2731">
        <v>6720.34</v>
      </c>
      <c r="V248" s="2728"/>
      <c r="W248" s="2728"/>
      <c r="X248" s="2728"/>
      <c r="Y248" s="2728"/>
      <c r="Z248" s="2728"/>
      <c r="AG248" s="2421">
        <v>9.8000000000000096</v>
      </c>
      <c r="AH248" s="2715">
        <f t="shared" si="10"/>
        <v>0.17104226669543937</v>
      </c>
      <c r="AI248" s="2715">
        <f t="shared" si="11"/>
        <v>0.17154226669543937</v>
      </c>
      <c r="AJ248" s="2715">
        <f t="shared" si="12"/>
        <v>0.17054226669543937</v>
      </c>
      <c r="AK248" s="2421">
        <f>IF(AND(дома!$Z$29&gt;=AJ248,дома!$Z$29&lt;=AI248),связи1!AG248,0)</f>
        <v>0</v>
      </c>
      <c r="AL248" s="2421">
        <f>IF(AND(дома!$AA$29&gt;=AJ248,дома!$AA$29&lt;=AI248),связи1!AG248,0)</f>
        <v>0</v>
      </c>
    </row>
    <row r="249" spans="1:38">
      <c r="A249" s="2724" t="str">
        <f>'Прайс лист'!B574</f>
        <v>ГПС 250х50-1,5</v>
      </c>
      <c r="B249" s="2724" t="str">
        <f t="shared" si="13"/>
        <v>ГПС 250х50-1,5</v>
      </c>
      <c r="C249" s="2722">
        <v>0.2</v>
      </c>
      <c r="D249" s="2723">
        <f>'Прайс лист'!G572</f>
        <v>397</v>
      </c>
      <c r="F249" s="2421"/>
      <c r="J249" s="2727" t="str">
        <f>'Прайс лист'!B638</f>
        <v>ГПО 50-1,0</v>
      </c>
      <c r="K249" s="2723">
        <f>'Прайс лист'!G638</f>
        <v>111</v>
      </c>
      <c r="Q249" s="2730" t="s">
        <v>22</v>
      </c>
      <c r="R249" s="2731">
        <v>2.9000000000000001E-2</v>
      </c>
      <c r="S249" s="2731">
        <v>34.479999999999997</v>
      </c>
      <c r="T249" s="2709">
        <v>205</v>
      </c>
      <c r="U249" s="2709">
        <v>7068.96</v>
      </c>
      <c r="V249" s="2728"/>
      <c r="W249" s="2728"/>
      <c r="X249" s="2728"/>
      <c r="Y249" s="2728"/>
      <c r="Z249" s="2728"/>
      <c r="AG249" s="2421">
        <v>9.9000000000000092</v>
      </c>
      <c r="AH249" s="2715">
        <f t="shared" si="10"/>
        <v>0.17278759594743365</v>
      </c>
      <c r="AI249" s="2715">
        <f t="shared" si="11"/>
        <v>0.17328759594743365</v>
      </c>
      <c r="AJ249" s="2715">
        <f t="shared" si="12"/>
        <v>0.17228759594743365</v>
      </c>
      <c r="AK249" s="2421">
        <f>IF(AND(дома!$Z$29&gt;=AJ249,дома!$Z$29&lt;=AI249),связи1!AG249,0)</f>
        <v>0</v>
      </c>
      <c r="AL249" s="2421">
        <f>IF(AND(дома!$AA$29&gt;=AJ249,дома!$AA$29&lt;=AI249),связи1!AG249,0)</f>
        <v>0</v>
      </c>
    </row>
    <row r="250" spans="1:38">
      <c r="A250" s="2724" t="str">
        <f>'Прайс лист'!B575</f>
        <v>ГПС 250х50-2,0</v>
      </c>
      <c r="B250" s="2724" t="str">
        <f t="shared" si="13"/>
        <v>ГПС 250х50-2,0</v>
      </c>
      <c r="C250" s="2722">
        <v>0.25</v>
      </c>
      <c r="D250" s="2723">
        <f>'Прайс лист'!G573</f>
        <v>274</v>
      </c>
      <c r="F250" s="2421"/>
      <c r="J250" s="2727" t="str">
        <f>'Прайс лист'!B639</f>
        <v>ГПО 50-1,2</v>
      </c>
      <c r="K250" s="2723">
        <f>'Прайс лист'!G639</f>
        <v>136</v>
      </c>
      <c r="Q250" s="2731"/>
      <c r="S250" s="2708"/>
      <c r="T250" s="2728"/>
      <c r="U250" s="2728"/>
      <c r="V250" s="2728"/>
      <c r="W250" s="2728"/>
      <c r="X250" s="2728"/>
      <c r="Y250" s="2728"/>
      <c r="Z250" s="2728"/>
      <c r="AG250" s="2421">
        <v>10</v>
      </c>
      <c r="AH250" s="2715">
        <f t="shared" si="10"/>
        <v>0.17453292519942779</v>
      </c>
      <c r="AI250" s="2715">
        <f t="shared" si="11"/>
        <v>0.17503292519942779</v>
      </c>
      <c r="AJ250" s="2715">
        <f t="shared" si="12"/>
        <v>0.17403292519942778</v>
      </c>
      <c r="AK250" s="2421">
        <f>IF(AND(дома!$Z$29&gt;=AJ250,дома!$Z$29&lt;=AI250),связи1!AG250,0)</f>
        <v>0</v>
      </c>
      <c r="AL250" s="2421">
        <f>IF(AND(дома!$AA$29&gt;=AJ250,дома!$AA$29&lt;=AI250),связи1!AG250,0)</f>
        <v>0</v>
      </c>
    </row>
    <row r="251" spans="1:38">
      <c r="A251" s="2724" t="str">
        <f>'Прайс лист'!B576</f>
        <v>ГПС 280х50-1,2</v>
      </c>
      <c r="B251" s="2724" t="str">
        <f t="shared" si="13"/>
        <v>ГПС 280х50-1,2</v>
      </c>
      <c r="C251" s="2722">
        <v>0.25</v>
      </c>
      <c r="D251" s="2723">
        <f>'Прайс лист'!G574</f>
        <v>344</v>
      </c>
      <c r="F251" s="2421"/>
      <c r="J251" s="2727" t="str">
        <f>'Прайс лист'!B640</f>
        <v>ГПО 50-1,5</v>
      </c>
      <c r="K251" s="2723">
        <f>'Прайс лист'!G640</f>
        <v>169</v>
      </c>
      <c r="Q251" s="2731"/>
      <c r="S251" s="2708"/>
      <c r="T251" s="2728"/>
      <c r="U251" s="2728"/>
      <c r="V251" s="2728"/>
      <c r="W251" s="2728"/>
      <c r="X251" s="2728"/>
      <c r="Y251" s="2728"/>
      <c r="Z251" s="2728"/>
      <c r="AG251" s="2421">
        <v>10.1</v>
      </c>
      <c r="AH251" s="2715">
        <f t="shared" si="10"/>
        <v>0.17627825445142203</v>
      </c>
      <c r="AI251" s="2715">
        <f t="shared" si="11"/>
        <v>0.17677825445142203</v>
      </c>
      <c r="AJ251" s="2715">
        <f t="shared" si="12"/>
        <v>0.17577825445142203</v>
      </c>
      <c r="AK251" s="2421">
        <f>IF(AND(дома!$Z$29&gt;=AJ251,дома!$Z$29&lt;=AI251),связи1!AG251,0)</f>
        <v>0</v>
      </c>
      <c r="AL251" s="2421">
        <f>IF(AND(дома!$AA$29&gt;=AJ251,дома!$AA$29&lt;=AI251),связи1!AG251,0)</f>
        <v>0</v>
      </c>
    </row>
    <row r="252" spans="1:38" ht="16">
      <c r="A252" s="2724" t="str">
        <f>'Прайс лист'!B577</f>
        <v>ГПС 280х50-1,5</v>
      </c>
      <c r="B252" s="2724" t="str">
        <f t="shared" si="13"/>
        <v>ГПС 280х50-1,5</v>
      </c>
      <c r="C252" s="2722">
        <v>0.25</v>
      </c>
      <c r="D252" s="2723">
        <f>'Прайс лист'!G575</f>
        <v>450</v>
      </c>
      <c r="F252" s="2421"/>
      <c r="J252" s="2722" t="str">
        <f>'Прайс лист'!B641</f>
        <v>ГПО 50-2,0</v>
      </c>
      <c r="K252" s="2723">
        <f>'Прайс лист'!G641</f>
        <v>226</v>
      </c>
      <c r="Q252" s="2732"/>
      <c r="S252" s="2733"/>
      <c r="T252" s="612"/>
      <c r="U252" s="612"/>
      <c r="V252" s="612"/>
      <c r="W252" s="612"/>
      <c r="X252" s="612"/>
      <c r="Y252" s="612"/>
      <c r="Z252" s="612"/>
      <c r="AG252" s="2421">
        <v>10.199999999999999</v>
      </c>
      <c r="AH252" s="2715">
        <f t="shared" si="10"/>
        <v>0.17802358370341631</v>
      </c>
      <c r="AI252" s="2715">
        <f t="shared" si="11"/>
        <v>0.17852358370341631</v>
      </c>
      <c r="AJ252" s="2715">
        <f t="shared" si="12"/>
        <v>0.17752358370341631</v>
      </c>
      <c r="AK252" s="2421">
        <f>IF(AND(дома!$Z$29&gt;=AJ252,дома!$Z$29&lt;=AI252),связи1!AG252,0)</f>
        <v>0</v>
      </c>
      <c r="AL252" s="2421">
        <f>IF(AND(дома!$AA$29&gt;=AJ252,дома!$AA$29&lt;=AI252),связи1!AG252,0)</f>
        <v>0</v>
      </c>
    </row>
    <row r="253" spans="1:38">
      <c r="A253" s="2724" t="str">
        <f>'Прайс лист'!B578</f>
        <v>ГПС 280х50-2,0</v>
      </c>
      <c r="B253" s="2724" t="str">
        <f t="shared" si="13"/>
        <v>ГПС 280х50-2,0</v>
      </c>
      <c r="C253" s="2722">
        <v>0.28000000000000003</v>
      </c>
      <c r="D253" s="2723">
        <f>'Прайс лист'!G576</f>
        <v>293</v>
      </c>
      <c r="S253" s="2729"/>
      <c r="T253" s="2728"/>
      <c r="U253" s="2728"/>
      <c r="V253" s="2728"/>
      <c r="W253" s="2728"/>
      <c r="X253" s="2728"/>
      <c r="Y253" s="2728"/>
      <c r="Z253" s="2728"/>
      <c r="AG253" s="2421">
        <v>10.3</v>
      </c>
      <c r="AH253" s="2715">
        <f t="shared" si="10"/>
        <v>0.17976891295541059</v>
      </c>
      <c r="AI253" s="2715">
        <f t="shared" si="11"/>
        <v>0.18026891295541059</v>
      </c>
      <c r="AJ253" s="2715">
        <f t="shared" si="12"/>
        <v>0.17926891295541059</v>
      </c>
      <c r="AK253" s="2421">
        <f>IF(AND(дома!$Z$29&gt;=AJ253,дома!$Z$29&lt;=AI253),связи1!AG253,0)</f>
        <v>0</v>
      </c>
      <c r="AL253" s="2421">
        <f>IF(AND(дома!$AA$29&gt;=AJ253,дома!$AA$29&lt;=AI253),связи1!AG253,0)</f>
        <v>0</v>
      </c>
    </row>
    <row r="254" spans="1:38">
      <c r="A254" s="2421" t="s">
        <v>4358</v>
      </c>
      <c r="B254" s="2421" t="s">
        <v>293</v>
      </c>
      <c r="C254" s="2421" t="s">
        <v>1800</v>
      </c>
      <c r="D254" s="2707" t="s">
        <v>853</v>
      </c>
      <c r="E254" s="2734" t="s">
        <v>4359</v>
      </c>
      <c r="F254" s="2735" t="s">
        <v>4360</v>
      </c>
      <c r="G254" s="2736" t="s">
        <v>3697</v>
      </c>
      <c r="H254" s="2736" t="s">
        <v>4361</v>
      </c>
      <c r="I254" s="2707" t="s">
        <v>4362</v>
      </c>
      <c r="J254" s="2737" t="s">
        <v>4363</v>
      </c>
      <c r="K254" s="2737" t="s">
        <v>293</v>
      </c>
      <c r="L254" s="2737" t="s">
        <v>1800</v>
      </c>
      <c r="M254" s="2737" t="s">
        <v>853</v>
      </c>
      <c r="N254" s="2737" t="s">
        <v>4364</v>
      </c>
      <c r="O254" s="2737"/>
      <c r="P254" s="2737"/>
      <c r="Q254" s="2421" t="s">
        <v>293</v>
      </c>
      <c r="R254" s="2421" t="s">
        <v>1800</v>
      </c>
      <c r="S254" s="2707" t="s">
        <v>853</v>
      </c>
      <c r="T254" s="2734" t="s">
        <v>4359</v>
      </c>
      <c r="U254" s="2702" t="s">
        <v>4360</v>
      </c>
      <c r="V254" s="2738" t="s">
        <v>3697</v>
      </c>
      <c r="W254" s="2738" t="s">
        <v>4361</v>
      </c>
      <c r="X254" s="2728"/>
      <c r="Y254" s="2728"/>
      <c r="Z254" s="2728"/>
      <c r="AA254" s="2421"/>
      <c r="AB254" s="2737" t="s">
        <v>293</v>
      </c>
      <c r="AC254" s="2737" t="s">
        <v>1800</v>
      </c>
      <c r="AD254" s="2737" t="s">
        <v>853</v>
      </c>
      <c r="AG254" s="2421">
        <v>10.4</v>
      </c>
      <c r="AH254" s="2715">
        <f t="shared" si="10"/>
        <v>0.18151424220740489</v>
      </c>
      <c r="AI254" s="2715">
        <f t="shared" si="11"/>
        <v>0.18201424220740489</v>
      </c>
      <c r="AJ254" s="2715">
        <f t="shared" si="12"/>
        <v>0.18101424220740489</v>
      </c>
      <c r="AK254" s="2421">
        <f>IF(AND(дома!$Z$29&gt;=AJ254,дома!$Z$29&lt;=AI254),связи1!AG254,0)</f>
        <v>0</v>
      </c>
      <c r="AL254" s="2421">
        <f>IF(AND(дома!$AA$29&gt;=AJ254,дома!$AA$29&lt;=AI254),связи1!AG254,0)</f>
        <v>0</v>
      </c>
    </row>
    <row r="255" spans="1:38">
      <c r="A255" s="2730" t="s">
        <v>4365</v>
      </c>
      <c r="B255" s="2421">
        <v>200</v>
      </c>
      <c r="C255" s="2421">
        <v>390</v>
      </c>
      <c r="D255" s="2421">
        <v>390</v>
      </c>
      <c r="E255" s="2739">
        <f t="shared" ref="E255:E281" si="14">B255*C255*D255/1000000000</f>
        <v>3.0419999999999999E-2</v>
      </c>
      <c r="F255" s="2740">
        <v>7000</v>
      </c>
      <c r="G255" s="2738">
        <v>2200</v>
      </c>
      <c r="H255" s="2738">
        <v>450</v>
      </c>
      <c r="I255" s="2730" t="s">
        <v>4366</v>
      </c>
      <c r="J255" s="2730" t="s">
        <v>4367</v>
      </c>
      <c r="K255" s="1040">
        <v>200</v>
      </c>
      <c r="L255" s="1040">
        <v>390</v>
      </c>
      <c r="M255" s="1040">
        <v>590</v>
      </c>
      <c r="N255" s="2730" t="s">
        <v>4368</v>
      </c>
      <c r="O255" s="2730" t="s">
        <v>4369</v>
      </c>
      <c r="P255" s="2730" t="s">
        <v>4370</v>
      </c>
      <c r="Q255" s="2421">
        <v>200</v>
      </c>
      <c r="R255" s="2421">
        <v>390</v>
      </c>
      <c r="S255" s="2421">
        <v>390</v>
      </c>
      <c r="T255" s="2739">
        <f t="shared" ref="T255:T281" si="15">Q255*R255*S255/1000000000</f>
        <v>3.0419999999999999E-2</v>
      </c>
      <c r="U255" s="2740">
        <v>7000</v>
      </c>
      <c r="V255" s="2738">
        <v>2200</v>
      </c>
      <c r="W255" s="2738">
        <v>450</v>
      </c>
      <c r="X255" s="2709"/>
      <c r="Y255" s="2709"/>
      <c r="Z255" s="2709"/>
      <c r="AA255" s="2730" t="s">
        <v>15</v>
      </c>
      <c r="AB255" s="2707">
        <v>200</v>
      </c>
      <c r="AC255" s="2707">
        <v>390</v>
      </c>
      <c r="AD255" s="2707">
        <v>194</v>
      </c>
      <c r="AG255" s="2421">
        <v>10.5</v>
      </c>
      <c r="AH255" s="2715">
        <f t="shared" si="10"/>
        <v>0.18325957145939917</v>
      </c>
      <c r="AI255" s="2715">
        <f t="shared" si="11"/>
        <v>0.18375957145939917</v>
      </c>
      <c r="AJ255" s="2715">
        <f t="shared" si="12"/>
        <v>0.18275957145939917</v>
      </c>
      <c r="AK255" s="2421">
        <f>IF(AND(дома!$Z$29&gt;=AJ255,дома!$Z$29&lt;=AI255),связи1!AG255,0)</f>
        <v>0</v>
      </c>
      <c r="AL255" s="2421">
        <f>IF(AND(дома!$AA$29&gt;=AJ255,дома!$AA$29&lt;=AI255),связи1!AG255,0)</f>
        <v>0</v>
      </c>
    </row>
    <row r="256" spans="1:38">
      <c r="A256" s="2421" t="s">
        <v>4371</v>
      </c>
      <c r="B256" s="2421">
        <v>198</v>
      </c>
      <c r="C256" s="2421">
        <v>340</v>
      </c>
      <c r="D256" s="2421">
        <v>398</v>
      </c>
      <c r="E256" s="2739">
        <f t="shared" si="14"/>
        <v>2.6793359999999999E-2</v>
      </c>
      <c r="F256" s="2741">
        <v>7074.07</v>
      </c>
      <c r="G256" s="2738">
        <v>2200</v>
      </c>
      <c r="H256" s="2738">
        <v>450</v>
      </c>
      <c r="I256" s="2421" t="s">
        <v>4372</v>
      </c>
      <c r="J256" s="2421" t="s">
        <v>4373</v>
      </c>
      <c r="K256" s="2742">
        <v>198</v>
      </c>
      <c r="L256" s="2742">
        <v>340</v>
      </c>
      <c r="M256" s="1040">
        <v>538</v>
      </c>
      <c r="N256" s="2421" t="s">
        <v>4374</v>
      </c>
      <c r="O256" s="2421" t="s">
        <v>4375</v>
      </c>
      <c r="P256" s="2421" t="s">
        <v>4376</v>
      </c>
      <c r="Q256" s="2421">
        <v>198</v>
      </c>
      <c r="R256" s="2421">
        <v>340</v>
      </c>
      <c r="S256" s="2421">
        <v>398</v>
      </c>
      <c r="T256" s="2739">
        <f t="shared" si="15"/>
        <v>2.6793359999999999E-2</v>
      </c>
      <c r="U256" s="2741">
        <v>7074.07</v>
      </c>
      <c r="V256" s="2738">
        <v>2200</v>
      </c>
      <c r="W256" s="2738">
        <v>450</v>
      </c>
      <c r="X256" s="2709"/>
      <c r="Y256" s="2709"/>
      <c r="Z256" s="2709"/>
      <c r="AA256" s="2743" t="s">
        <v>20</v>
      </c>
      <c r="AB256" s="2742">
        <v>198</v>
      </c>
      <c r="AC256" s="2742">
        <v>340</v>
      </c>
      <c r="AD256" s="2421">
        <v>198</v>
      </c>
      <c r="AG256" s="2421">
        <v>10.6</v>
      </c>
      <c r="AH256" s="2715">
        <f t="shared" si="10"/>
        <v>0.18500490071139342</v>
      </c>
      <c r="AI256" s="2715">
        <f t="shared" si="11"/>
        <v>0.18550490071139342</v>
      </c>
      <c r="AJ256" s="2715">
        <f t="shared" si="12"/>
        <v>0.18450490071139342</v>
      </c>
      <c r="AK256" s="2421">
        <f>IF(AND(дома!$Z$29&gt;=AJ256,дома!$Z$29&lt;=AI256),связи1!AG256,0)</f>
        <v>0</v>
      </c>
      <c r="AL256" s="2421">
        <f>IF(AND(дома!$AA$29&gt;=AJ256,дома!$AA$29&lt;=AI256),связи1!AG256,0)</f>
        <v>0</v>
      </c>
    </row>
    <row r="257" spans="1:38">
      <c r="A257" s="2744" t="s">
        <v>4220</v>
      </c>
      <c r="B257" s="2421">
        <v>200</v>
      </c>
      <c r="C257" s="2421">
        <v>290</v>
      </c>
      <c r="D257" s="2421">
        <v>390</v>
      </c>
      <c r="E257" s="2739">
        <f t="shared" si="14"/>
        <v>2.2620000000000001E-2</v>
      </c>
      <c r="F257" s="2741">
        <v>7173.91</v>
      </c>
      <c r="G257" s="2738">
        <v>2200</v>
      </c>
      <c r="H257" s="2738">
        <v>450</v>
      </c>
      <c r="I257" s="2744" t="s">
        <v>4377</v>
      </c>
      <c r="J257" s="2744" t="s">
        <v>4378</v>
      </c>
      <c r="K257" s="2742">
        <v>200</v>
      </c>
      <c r="L257" s="2742">
        <v>290</v>
      </c>
      <c r="M257" s="1040">
        <v>490</v>
      </c>
      <c r="N257" s="2744" t="s">
        <v>4379</v>
      </c>
      <c r="O257" s="2744" t="s">
        <v>4380</v>
      </c>
      <c r="P257" s="2744" t="s">
        <v>4381</v>
      </c>
      <c r="Q257" s="2421">
        <v>200</v>
      </c>
      <c r="R257" s="2421">
        <v>290</v>
      </c>
      <c r="S257" s="2421">
        <v>390</v>
      </c>
      <c r="T257" s="2739">
        <f t="shared" si="15"/>
        <v>2.2620000000000001E-2</v>
      </c>
      <c r="U257" s="2741">
        <v>7173.91</v>
      </c>
      <c r="V257" s="2738">
        <v>2200</v>
      </c>
      <c r="W257" s="2738">
        <v>450</v>
      </c>
      <c r="X257" s="2731"/>
      <c r="Y257" s="2731"/>
      <c r="Z257" s="2731"/>
      <c r="AA257" s="2744" t="s">
        <v>23</v>
      </c>
      <c r="AB257" s="2742">
        <v>200</v>
      </c>
      <c r="AC257" s="2742">
        <v>290</v>
      </c>
      <c r="AD257" s="2421">
        <v>194</v>
      </c>
      <c r="AG257" s="2421">
        <v>10.7</v>
      </c>
      <c r="AH257" s="2715">
        <f t="shared" ref="AH257:AH288" si="16">AG257*3.1415926535897/180</f>
        <v>0.18675022996338769</v>
      </c>
      <c r="AI257" s="2715">
        <f t="shared" ref="AI257:AI288" si="17">AH257+0.0005</f>
        <v>0.18725022996338769</v>
      </c>
      <c r="AJ257" s="2715">
        <f t="shared" ref="AJ257:AJ265" si="18">AH257-0.0005</f>
        <v>0.18625022996338769</v>
      </c>
      <c r="AK257" s="2421">
        <f>IF(AND(дома!$Z$29&gt;=AJ257,дома!$Z$29&lt;=AI257),связи1!AG257,0)</f>
        <v>0</v>
      </c>
      <c r="AL257" s="2421">
        <f>IF(AND(дома!$AA$29&gt;=AJ257,дома!$AA$29&lt;=AI257),связи1!AG257,0)</f>
        <v>0</v>
      </c>
    </row>
    <row r="258" spans="1:38">
      <c r="A258" s="2730" t="s">
        <v>4382</v>
      </c>
      <c r="B258" s="2421">
        <v>200</v>
      </c>
      <c r="C258" s="2421">
        <v>400</v>
      </c>
      <c r="D258" s="2421">
        <v>390</v>
      </c>
      <c r="E258" s="2739">
        <f t="shared" si="14"/>
        <v>3.1199999999999999E-2</v>
      </c>
      <c r="F258" s="2741">
        <v>6125</v>
      </c>
      <c r="G258" s="2738">
        <v>2200</v>
      </c>
      <c r="H258" s="2738">
        <v>450</v>
      </c>
      <c r="I258" s="2730" t="s">
        <v>4383</v>
      </c>
      <c r="J258" s="2730" t="s">
        <v>4384</v>
      </c>
      <c r="K258" s="2742">
        <v>200</v>
      </c>
      <c r="L258" s="2742">
        <v>400</v>
      </c>
      <c r="M258" s="1040">
        <v>600</v>
      </c>
      <c r="N258" s="2730" t="s">
        <v>4385</v>
      </c>
      <c r="O258" s="2730" t="s">
        <v>4386</v>
      </c>
      <c r="P258" s="2730" t="s">
        <v>4387</v>
      </c>
      <c r="Q258" s="2421">
        <v>200</v>
      </c>
      <c r="R258" s="2421">
        <v>400</v>
      </c>
      <c r="S258" s="2421">
        <v>390</v>
      </c>
      <c r="T258" s="2739">
        <f t="shared" si="15"/>
        <v>3.1199999999999999E-2</v>
      </c>
      <c r="U258" s="2741">
        <v>6125</v>
      </c>
      <c r="V258" s="2738">
        <v>2200</v>
      </c>
      <c r="W258" s="2738">
        <v>450</v>
      </c>
      <c r="X258" s="2709"/>
      <c r="Y258" s="2709"/>
      <c r="Z258" s="2709"/>
      <c r="AA258" s="2730" t="s">
        <v>27</v>
      </c>
      <c r="AB258" s="2742">
        <v>200</v>
      </c>
      <c r="AC258" s="2742">
        <v>400</v>
      </c>
      <c r="AD258" s="2421">
        <v>194</v>
      </c>
      <c r="AG258" s="2421">
        <v>10.8</v>
      </c>
      <c r="AH258" s="2715">
        <f t="shared" si="16"/>
        <v>0.18849555921538202</v>
      </c>
      <c r="AI258" s="2715">
        <f t="shared" si="17"/>
        <v>0.18899555921538203</v>
      </c>
      <c r="AJ258" s="2715">
        <f t="shared" si="18"/>
        <v>0.18799555921538202</v>
      </c>
      <c r="AK258" s="2421">
        <f>IF(AND(дома!$Z$29&gt;=AJ258,дома!$Z$29&lt;=AI258),связи1!AG258,0)</f>
        <v>0</v>
      </c>
      <c r="AL258" s="2421">
        <f>IF(AND(дома!$AA$29&gt;=AJ258,дома!$AA$29&lt;=AI258),связи1!AG258,0)</f>
        <v>0</v>
      </c>
    </row>
    <row r="259" spans="1:38">
      <c r="A259" s="2730" t="s">
        <v>4388</v>
      </c>
      <c r="B259" s="2421">
        <v>198</v>
      </c>
      <c r="C259" s="2421">
        <v>350</v>
      </c>
      <c r="D259" s="2421">
        <v>398</v>
      </c>
      <c r="E259" s="2739">
        <f t="shared" si="14"/>
        <v>2.7581399999999999E-2</v>
      </c>
      <c r="F259" s="2740">
        <v>5713.6</v>
      </c>
      <c r="G259" s="2738">
        <v>2200</v>
      </c>
      <c r="H259" s="2738">
        <v>450</v>
      </c>
      <c r="I259" s="2730" t="s">
        <v>4389</v>
      </c>
      <c r="J259" s="2730" t="s">
        <v>4390</v>
      </c>
      <c r="K259" s="2742">
        <v>198</v>
      </c>
      <c r="L259" s="2742">
        <v>350</v>
      </c>
      <c r="M259" s="1040">
        <v>548</v>
      </c>
      <c r="N259" s="2730" t="s">
        <v>4391</v>
      </c>
      <c r="O259" s="2730" t="s">
        <v>4392</v>
      </c>
      <c r="P259" s="2730" t="s">
        <v>4393</v>
      </c>
      <c r="Q259" s="2421">
        <v>198</v>
      </c>
      <c r="R259" s="2421">
        <v>350</v>
      </c>
      <c r="S259" s="2421">
        <v>398</v>
      </c>
      <c r="T259" s="2739">
        <f t="shared" si="15"/>
        <v>2.7581399999999999E-2</v>
      </c>
      <c r="U259" s="2740">
        <v>5713.6</v>
      </c>
      <c r="V259" s="2738">
        <v>2200</v>
      </c>
      <c r="W259" s="2738">
        <v>450</v>
      </c>
      <c r="X259" s="2728"/>
      <c r="Y259" s="2728"/>
      <c r="Z259" s="2728"/>
      <c r="AA259" s="2730" t="s">
        <v>30</v>
      </c>
      <c r="AB259" s="2742">
        <v>198</v>
      </c>
      <c r="AC259" s="2742">
        <v>350</v>
      </c>
      <c r="AD259" s="2421">
        <v>198</v>
      </c>
      <c r="AG259" s="2421">
        <v>10.9</v>
      </c>
      <c r="AH259" s="2715">
        <f t="shared" si="16"/>
        <v>0.19024088846737627</v>
      </c>
      <c r="AI259" s="2715">
        <f t="shared" si="17"/>
        <v>0.19074088846737627</v>
      </c>
      <c r="AJ259" s="2715">
        <f t="shared" si="18"/>
        <v>0.18974088846737627</v>
      </c>
      <c r="AK259" s="2421">
        <f>IF(AND(дома!$Z$29&gt;=AJ259,дома!$Z$29&lt;=AI259),связи1!AG259,0)</f>
        <v>0</v>
      </c>
      <c r="AL259" s="2421">
        <f>IF(AND(дома!$AA$29&gt;=AJ259,дома!$AA$29&lt;=AI259),связи1!AG259,0)</f>
        <v>0</v>
      </c>
    </row>
    <row r="260" spans="1:38">
      <c r="A260" s="2730" t="s">
        <v>4394</v>
      </c>
      <c r="B260" s="2421">
        <v>200</v>
      </c>
      <c r="C260" s="2421">
        <v>300</v>
      </c>
      <c r="D260" s="2421">
        <v>390</v>
      </c>
      <c r="E260" s="2739">
        <f t="shared" si="14"/>
        <v>2.3400000000000001E-2</v>
      </c>
      <c r="F260" s="2741">
        <v>6250</v>
      </c>
      <c r="G260" s="2738">
        <v>2200</v>
      </c>
      <c r="H260" s="2738">
        <v>450</v>
      </c>
      <c r="I260" s="2730" t="s">
        <v>4395</v>
      </c>
      <c r="J260" s="2730" t="s">
        <v>4396</v>
      </c>
      <c r="K260" s="2742">
        <v>200</v>
      </c>
      <c r="L260" s="2742">
        <v>300</v>
      </c>
      <c r="M260" s="2731">
        <v>500</v>
      </c>
      <c r="N260" s="2730" t="s">
        <v>4397</v>
      </c>
      <c r="O260" s="2730" t="s">
        <v>4398</v>
      </c>
      <c r="P260" s="2730" t="s">
        <v>4399</v>
      </c>
      <c r="Q260" s="2421">
        <v>200</v>
      </c>
      <c r="R260" s="2421">
        <v>300</v>
      </c>
      <c r="S260" s="2421">
        <v>390</v>
      </c>
      <c r="T260" s="2739">
        <f t="shared" si="15"/>
        <v>2.3400000000000001E-2</v>
      </c>
      <c r="U260" s="2741">
        <v>6250</v>
      </c>
      <c r="V260" s="2738">
        <v>2200</v>
      </c>
      <c r="W260" s="2738">
        <v>450</v>
      </c>
      <c r="X260" s="2728"/>
      <c r="Y260" s="2728"/>
      <c r="Z260" s="2728"/>
      <c r="AA260" s="2730" t="s">
        <v>33</v>
      </c>
      <c r="AB260" s="2745">
        <v>200</v>
      </c>
      <c r="AC260" s="2745">
        <v>300</v>
      </c>
      <c r="AD260" s="2421">
        <v>194</v>
      </c>
      <c r="AG260" s="2421">
        <v>11</v>
      </c>
      <c r="AH260" s="2715">
        <f t="shared" si="16"/>
        <v>0.19198621771937055</v>
      </c>
      <c r="AI260" s="2715">
        <f t="shared" si="17"/>
        <v>0.19248621771937055</v>
      </c>
      <c r="AJ260" s="2715">
        <f t="shared" si="18"/>
        <v>0.19148621771937055</v>
      </c>
      <c r="AK260" s="2421">
        <f>IF(AND(дома!$Z$29&gt;=AJ260,дома!$Z$29&lt;=AI260),связи1!AG260,0)</f>
        <v>0</v>
      </c>
      <c r="AL260" s="2421">
        <f>IF(AND(дома!$AA$29&gt;=AJ260,дома!$AA$29&lt;=AI260),связи1!AG260,0)</f>
        <v>0</v>
      </c>
    </row>
    <row r="261" spans="1:38">
      <c r="A261" s="2730" t="s">
        <v>4400</v>
      </c>
      <c r="B261" s="2421">
        <v>200</v>
      </c>
      <c r="C261" s="2421">
        <v>390</v>
      </c>
      <c r="D261" s="2421">
        <v>390</v>
      </c>
      <c r="E261" s="2739">
        <f t="shared" si="14"/>
        <v>3.0419999999999999E-2</v>
      </c>
      <c r="F261" s="2740">
        <v>4419.3500000000004</v>
      </c>
      <c r="G261" s="2738">
        <v>2200</v>
      </c>
      <c r="H261" s="2738">
        <v>450</v>
      </c>
      <c r="I261" s="2730" t="s">
        <v>4366</v>
      </c>
      <c r="J261" s="2730" t="s">
        <v>4367</v>
      </c>
      <c r="K261" s="2742">
        <v>200</v>
      </c>
      <c r="L261" s="2742">
        <v>390</v>
      </c>
      <c r="M261" s="2731">
        <v>590</v>
      </c>
      <c r="N261" s="2730" t="s">
        <v>4401</v>
      </c>
      <c r="O261" s="2730" t="s">
        <v>4402</v>
      </c>
      <c r="P261" s="2730" t="s">
        <v>4370</v>
      </c>
      <c r="Q261" s="2421">
        <v>200</v>
      </c>
      <c r="R261" s="2421">
        <v>390</v>
      </c>
      <c r="S261" s="2421">
        <v>390</v>
      </c>
      <c r="T261" s="2739">
        <f t="shared" si="15"/>
        <v>3.0419999999999999E-2</v>
      </c>
      <c r="U261" s="2740">
        <v>4419.3500000000004</v>
      </c>
      <c r="V261" s="2738">
        <v>2200</v>
      </c>
      <c r="W261" s="2738">
        <v>450</v>
      </c>
      <c r="X261" s="2728"/>
      <c r="Y261" s="2728"/>
      <c r="Z261" s="2728"/>
      <c r="AA261" s="2730" t="s">
        <v>15</v>
      </c>
      <c r="AB261" s="2745">
        <v>200</v>
      </c>
      <c r="AC261" s="2746">
        <v>390</v>
      </c>
      <c r="AD261" s="2421">
        <v>194</v>
      </c>
      <c r="AG261" s="2421">
        <v>11.1</v>
      </c>
      <c r="AH261" s="2715">
        <f t="shared" si="16"/>
        <v>0.1937315469713648</v>
      </c>
      <c r="AI261" s="2715">
        <f t="shared" si="17"/>
        <v>0.1942315469713648</v>
      </c>
      <c r="AJ261" s="2715">
        <f t="shared" si="18"/>
        <v>0.1932315469713648</v>
      </c>
      <c r="AK261" s="2421">
        <f>IF(AND(дома!$Z$29&gt;=AJ261,дома!$Z$29&lt;=AI261),связи1!AG261,0)</f>
        <v>0</v>
      </c>
      <c r="AL261" s="2421">
        <f>IF(AND(дома!$AA$29&gt;=AJ261,дома!$AA$29&lt;=AI261),связи1!AG261,0)</f>
        <v>0</v>
      </c>
    </row>
    <row r="262" spans="1:38" ht="16">
      <c r="A262" s="2421" t="s">
        <v>4403</v>
      </c>
      <c r="B262" s="2421">
        <v>198</v>
      </c>
      <c r="C262" s="2421">
        <v>340</v>
      </c>
      <c r="D262" s="2421">
        <v>398</v>
      </c>
      <c r="E262" s="2739">
        <f t="shared" si="14"/>
        <v>2.6793359999999999E-2</v>
      </c>
      <c r="F262" s="2740">
        <v>4407.41</v>
      </c>
      <c r="G262" s="2738">
        <v>2200</v>
      </c>
      <c r="H262" s="2738">
        <v>450</v>
      </c>
      <c r="I262" s="2421" t="s">
        <v>4372</v>
      </c>
      <c r="J262" s="2421" t="s">
        <v>4373</v>
      </c>
      <c r="K262" s="2742">
        <v>198</v>
      </c>
      <c r="L262" s="2742">
        <v>340</v>
      </c>
      <c r="M262" s="2731">
        <v>538</v>
      </c>
      <c r="N262" s="2421" t="s">
        <v>4404</v>
      </c>
      <c r="O262" s="2421" t="s">
        <v>4375</v>
      </c>
      <c r="P262" s="2421" t="s">
        <v>4376</v>
      </c>
      <c r="Q262" s="2421">
        <v>198</v>
      </c>
      <c r="R262" s="2421">
        <v>340</v>
      </c>
      <c r="S262" s="2421">
        <v>398</v>
      </c>
      <c r="T262" s="2739">
        <f t="shared" si="15"/>
        <v>2.6793359999999999E-2</v>
      </c>
      <c r="U262" s="2740">
        <v>4407.41</v>
      </c>
      <c r="V262" s="2738">
        <v>2200</v>
      </c>
      <c r="W262" s="2738">
        <v>450</v>
      </c>
      <c r="X262" s="612"/>
      <c r="Y262" s="612"/>
      <c r="Z262" s="612"/>
      <c r="AA262" s="2743" t="s">
        <v>20</v>
      </c>
      <c r="AB262" s="2742">
        <v>198</v>
      </c>
      <c r="AC262" s="2742">
        <v>340</v>
      </c>
      <c r="AD262" s="2421">
        <v>198</v>
      </c>
      <c r="AG262" s="2421">
        <v>11.2</v>
      </c>
      <c r="AH262" s="2715">
        <f t="shared" si="16"/>
        <v>0.1954768762233591</v>
      </c>
      <c r="AI262" s="2715">
        <f t="shared" si="17"/>
        <v>0.1959768762233591</v>
      </c>
      <c r="AJ262" s="2715">
        <f t="shared" si="18"/>
        <v>0.1949768762233591</v>
      </c>
      <c r="AK262" s="2421">
        <f>IF(AND(дома!$Z$29&gt;=AJ262,дома!$Z$29&lt;=AI262),связи1!AG262,0)</f>
        <v>0</v>
      </c>
      <c r="AL262" s="2421">
        <f>IF(AND(дома!$AA$29&gt;=AJ262,дома!$AA$29&lt;=AI262),связи1!AG262,0)</f>
        <v>0</v>
      </c>
    </row>
    <row r="263" spans="1:38">
      <c r="A263" s="2730" t="s">
        <v>4405</v>
      </c>
      <c r="B263" s="2421">
        <v>200</v>
      </c>
      <c r="C263" s="2421">
        <v>290</v>
      </c>
      <c r="D263" s="2421">
        <v>390</v>
      </c>
      <c r="E263" s="2739">
        <f t="shared" si="14"/>
        <v>2.2620000000000001E-2</v>
      </c>
      <c r="F263" s="2740">
        <v>4434.78</v>
      </c>
      <c r="G263" s="2738">
        <v>2200</v>
      </c>
      <c r="H263" s="2738">
        <v>450</v>
      </c>
      <c r="I263" s="2730" t="s">
        <v>4377</v>
      </c>
      <c r="J263" s="2730" t="s">
        <v>4378</v>
      </c>
      <c r="K263" s="2742">
        <v>200</v>
      </c>
      <c r="L263" s="2742">
        <v>290</v>
      </c>
      <c r="M263" s="2731">
        <v>490</v>
      </c>
      <c r="N263" s="2730" t="s">
        <v>4406</v>
      </c>
      <c r="O263" s="2730" t="s">
        <v>4380</v>
      </c>
      <c r="P263" s="2730" t="s">
        <v>4381</v>
      </c>
      <c r="Q263" s="2421">
        <v>200</v>
      </c>
      <c r="R263" s="2421">
        <v>290</v>
      </c>
      <c r="S263" s="2421">
        <v>390</v>
      </c>
      <c r="T263" s="2739">
        <f t="shared" si="15"/>
        <v>2.2620000000000001E-2</v>
      </c>
      <c r="U263" s="2740">
        <v>4434.78</v>
      </c>
      <c r="V263" s="2738">
        <v>2200</v>
      </c>
      <c r="W263" s="2738">
        <v>450</v>
      </c>
      <c r="X263" s="2728"/>
      <c r="Y263" s="2728"/>
      <c r="Z263" s="2728"/>
      <c r="AA263" s="2730" t="s">
        <v>23</v>
      </c>
      <c r="AB263" s="2745">
        <v>200</v>
      </c>
      <c r="AC263" s="2745">
        <v>290</v>
      </c>
      <c r="AD263" s="2421">
        <v>194</v>
      </c>
      <c r="AG263" s="2421">
        <v>11.3</v>
      </c>
      <c r="AH263" s="2715">
        <f t="shared" si="16"/>
        <v>0.19722220547535341</v>
      </c>
      <c r="AI263" s="2715">
        <f t="shared" si="17"/>
        <v>0.19772220547535341</v>
      </c>
      <c r="AJ263" s="2715">
        <f t="shared" si="18"/>
        <v>0.19672220547535341</v>
      </c>
      <c r="AK263" s="2421">
        <f>IF(AND(дома!$Z$29&gt;=AJ263,дома!$Z$29&lt;=AI263),связи1!AG263,0)</f>
        <v>0</v>
      </c>
      <c r="AL263" s="2421">
        <f>IF(AND(дома!$AA$29&gt;=AJ263,дома!$AA$29&lt;=AI263),связи1!AG263,0)</f>
        <v>0</v>
      </c>
    </row>
    <row r="264" spans="1:38">
      <c r="A264" s="2730" t="s">
        <v>39</v>
      </c>
      <c r="B264" s="2421">
        <v>200</v>
      </c>
      <c r="C264" s="2421">
        <v>300</v>
      </c>
      <c r="D264" s="2421">
        <v>390</v>
      </c>
      <c r="E264" s="2739">
        <f t="shared" si="14"/>
        <v>2.3400000000000001E-2</v>
      </c>
      <c r="F264" s="2740">
        <v>4200</v>
      </c>
      <c r="G264" s="2742">
        <v>3000</v>
      </c>
      <c r="H264" s="2738">
        <v>450</v>
      </c>
      <c r="I264" s="2730" t="s">
        <v>4366</v>
      </c>
      <c r="J264" s="2730" t="s">
        <v>4367</v>
      </c>
      <c r="K264" s="2742">
        <v>200</v>
      </c>
      <c r="L264" s="2742">
        <v>390</v>
      </c>
      <c r="M264" s="2731">
        <v>600</v>
      </c>
      <c r="N264" s="2730" t="s">
        <v>4407</v>
      </c>
      <c r="O264" s="2730" t="s">
        <v>4402</v>
      </c>
      <c r="P264" s="2730" t="s">
        <v>4370</v>
      </c>
      <c r="Q264" s="2421">
        <v>200</v>
      </c>
      <c r="R264" s="2421">
        <v>300</v>
      </c>
      <c r="S264" s="2421">
        <v>390</v>
      </c>
      <c r="T264" s="2739">
        <f t="shared" si="15"/>
        <v>2.3400000000000001E-2</v>
      </c>
      <c r="U264" s="2740">
        <v>4200</v>
      </c>
      <c r="V264" s="2742">
        <v>3000</v>
      </c>
      <c r="W264" s="2738">
        <v>450</v>
      </c>
      <c r="X264" s="2728"/>
      <c r="Y264" s="2728"/>
      <c r="Z264" s="2728"/>
      <c r="AA264" s="2730" t="s">
        <v>33</v>
      </c>
      <c r="AB264" s="2421"/>
      <c r="AC264" s="2421"/>
      <c r="AD264" s="2421">
        <v>194</v>
      </c>
      <c r="AG264" s="2421">
        <v>11.4</v>
      </c>
      <c r="AH264" s="2715">
        <f t="shared" si="16"/>
        <v>0.19896753472734766</v>
      </c>
      <c r="AI264" s="2715">
        <f t="shared" si="17"/>
        <v>0.19946753472734766</v>
      </c>
      <c r="AJ264" s="2715">
        <f t="shared" si="18"/>
        <v>0.19846753472734766</v>
      </c>
      <c r="AK264" s="2421">
        <f>IF(AND(дома!$Z$29&gt;=AJ264,дома!$Z$29&lt;=AI264),связи1!AG264,0)</f>
        <v>0</v>
      </c>
      <c r="AL264" s="2421">
        <f>IF(AND(дома!$AA$29&gt;=AJ264,дома!$AA$29&lt;=AI264),связи1!AG264,0)</f>
        <v>0</v>
      </c>
    </row>
    <row r="265" spans="1:38">
      <c r="A265" s="2730" t="s">
        <v>40</v>
      </c>
      <c r="B265" s="2421">
        <v>200</v>
      </c>
      <c r="C265" s="2421">
        <v>400</v>
      </c>
      <c r="D265" s="2421">
        <v>390</v>
      </c>
      <c r="E265" s="2739">
        <f t="shared" si="14"/>
        <v>3.1199999999999999E-2</v>
      </c>
      <c r="F265" s="2740">
        <v>4200</v>
      </c>
      <c r="G265" s="2742">
        <v>3000</v>
      </c>
      <c r="H265" s="2738">
        <v>450</v>
      </c>
      <c r="I265" s="2730" t="s">
        <v>4383</v>
      </c>
      <c r="J265" s="2730" t="s">
        <v>4384</v>
      </c>
      <c r="K265" s="2742">
        <v>200</v>
      </c>
      <c r="L265" s="2742">
        <v>400</v>
      </c>
      <c r="M265" s="2731">
        <v>600</v>
      </c>
      <c r="N265" s="2730" t="s">
        <v>4408</v>
      </c>
      <c r="O265" s="2730" t="s">
        <v>4409</v>
      </c>
      <c r="P265" s="2730" t="s">
        <v>4387</v>
      </c>
      <c r="Q265" s="2421">
        <v>200</v>
      </c>
      <c r="R265" s="2421">
        <v>400</v>
      </c>
      <c r="S265" s="2421">
        <v>390</v>
      </c>
      <c r="T265" s="2739">
        <f t="shared" si="15"/>
        <v>3.1199999999999999E-2</v>
      </c>
      <c r="U265" s="2740">
        <v>4200</v>
      </c>
      <c r="V265" s="2742">
        <v>3000</v>
      </c>
      <c r="W265" s="2738">
        <v>450</v>
      </c>
      <c r="X265" s="2728"/>
      <c r="Y265" s="2728"/>
      <c r="Z265" s="2728"/>
      <c r="AA265" s="2730" t="s">
        <v>27</v>
      </c>
      <c r="AB265" s="2421"/>
      <c r="AC265" s="2421"/>
      <c r="AD265" s="2421">
        <v>194</v>
      </c>
      <c r="AG265" s="2421">
        <v>11.5</v>
      </c>
      <c r="AH265" s="2715">
        <f t="shared" si="16"/>
        <v>0.20071286397934193</v>
      </c>
      <c r="AI265" s="2715">
        <f t="shared" si="17"/>
        <v>0.20121286397934193</v>
      </c>
      <c r="AJ265" s="2715">
        <f t="shared" si="18"/>
        <v>0.20021286397934193</v>
      </c>
      <c r="AK265" s="2421">
        <f>IF(AND(дома!$Z$29&gt;=AJ265,дома!$Z$29&lt;=AI265),связи1!AG265,0)</f>
        <v>0</v>
      </c>
      <c r="AL265" s="2421">
        <f>IF(AND(дома!$AA$29&gt;=AJ265,дома!$AA$29&lt;=AI265),связи1!AG265,0)</f>
        <v>0</v>
      </c>
    </row>
    <row r="266" spans="1:38">
      <c r="A266" s="2730" t="s">
        <v>2399</v>
      </c>
      <c r="B266" s="2421">
        <v>200</v>
      </c>
      <c r="C266" s="2421">
        <v>100</v>
      </c>
      <c r="D266" s="2421">
        <v>390</v>
      </c>
      <c r="E266" s="2739">
        <f t="shared" si="14"/>
        <v>7.7999999999999996E-3</v>
      </c>
      <c r="F266" s="2740">
        <v>4200</v>
      </c>
      <c r="G266" s="2742">
        <v>3000</v>
      </c>
      <c r="H266" s="2738">
        <v>450</v>
      </c>
      <c r="I266" s="2730" t="s">
        <v>4410</v>
      </c>
      <c r="J266" s="2730" t="s">
        <v>4411</v>
      </c>
      <c r="K266" s="2742">
        <v>200</v>
      </c>
      <c r="L266" s="2742">
        <v>100</v>
      </c>
      <c r="M266" s="2731">
        <v>600</v>
      </c>
      <c r="N266" s="2730" t="s">
        <v>4412</v>
      </c>
      <c r="O266" s="2730" t="s">
        <v>4413</v>
      </c>
      <c r="P266" s="2730" t="s">
        <v>4414</v>
      </c>
      <c r="Q266" s="2421">
        <v>200</v>
      </c>
      <c r="R266" s="2421">
        <v>100</v>
      </c>
      <c r="S266" s="2421">
        <v>390</v>
      </c>
      <c r="T266" s="2739">
        <f t="shared" si="15"/>
        <v>7.7999999999999996E-3</v>
      </c>
      <c r="U266" s="2740">
        <v>4200</v>
      </c>
      <c r="V266" s="2742">
        <v>3000</v>
      </c>
      <c r="W266" s="2738">
        <v>450</v>
      </c>
      <c r="X266" s="2728"/>
      <c r="Y266" s="2728"/>
      <c r="Z266" s="2728"/>
      <c r="AA266" s="2730"/>
      <c r="AB266" s="2421"/>
      <c r="AC266" s="2421"/>
      <c r="AD266" s="2421"/>
      <c r="AG266" s="2421"/>
      <c r="AH266" s="2715"/>
      <c r="AI266" s="2715"/>
      <c r="AJ266" s="2715"/>
      <c r="AK266" s="2421"/>
      <c r="AL266" s="2421"/>
    </row>
    <row r="267" spans="1:38">
      <c r="A267" s="2730" t="s">
        <v>4415</v>
      </c>
      <c r="B267" s="2421">
        <v>200</v>
      </c>
      <c r="C267" s="2421">
        <v>200</v>
      </c>
      <c r="D267" s="2421">
        <v>390</v>
      </c>
      <c r="E267" s="2739">
        <f t="shared" si="14"/>
        <v>1.5599999999999999E-2</v>
      </c>
      <c r="F267" s="2740">
        <v>4200</v>
      </c>
      <c r="G267" s="2742">
        <v>3000</v>
      </c>
      <c r="H267" s="2738">
        <v>450</v>
      </c>
      <c r="I267" s="2730" t="s">
        <v>4416</v>
      </c>
      <c r="J267" s="2730" t="s">
        <v>4417</v>
      </c>
      <c r="K267" s="2742">
        <v>200</v>
      </c>
      <c r="L267" s="2742">
        <v>200</v>
      </c>
      <c r="M267" s="2731">
        <v>600</v>
      </c>
      <c r="N267" s="2730" t="s">
        <v>4418</v>
      </c>
      <c r="O267" s="2730" t="s">
        <v>4419</v>
      </c>
      <c r="P267" s="2730" t="s">
        <v>4420</v>
      </c>
      <c r="Q267" s="2421">
        <v>200</v>
      </c>
      <c r="R267" s="2421">
        <v>200</v>
      </c>
      <c r="S267" s="2421">
        <v>390</v>
      </c>
      <c r="T267" s="2739">
        <f t="shared" si="15"/>
        <v>1.5599999999999999E-2</v>
      </c>
      <c r="U267" s="2740">
        <v>4200</v>
      </c>
      <c r="V267" s="2742">
        <v>3000</v>
      </c>
      <c r="W267" s="2738">
        <v>450</v>
      </c>
      <c r="X267" s="2728"/>
      <c r="Y267" s="2728"/>
      <c r="Z267" s="2728"/>
      <c r="AA267" s="2730"/>
      <c r="AB267" s="2421"/>
      <c r="AC267" s="2421"/>
      <c r="AD267" s="2421"/>
      <c r="AG267" s="2421"/>
      <c r="AH267" s="2715"/>
      <c r="AI267" s="2715"/>
      <c r="AJ267" s="2715"/>
      <c r="AK267" s="2421"/>
      <c r="AL267" s="2421"/>
    </row>
    <row r="268" spans="1:38">
      <c r="A268" s="2730" t="s">
        <v>42</v>
      </c>
      <c r="B268" s="2421">
        <v>200</v>
      </c>
      <c r="C268" s="2421">
        <v>300</v>
      </c>
      <c r="D268" s="2421">
        <v>390</v>
      </c>
      <c r="E268" s="2739">
        <f t="shared" si="14"/>
        <v>2.3400000000000001E-2</v>
      </c>
      <c r="F268" s="2740">
        <v>4200</v>
      </c>
      <c r="G268" s="2742">
        <v>3000</v>
      </c>
      <c r="H268" s="2738">
        <v>450</v>
      </c>
      <c r="I268" s="2730" t="s">
        <v>4421</v>
      </c>
      <c r="J268" s="2730" t="s">
        <v>4422</v>
      </c>
      <c r="K268" s="2742">
        <v>200</v>
      </c>
      <c r="L268" s="2738">
        <v>300</v>
      </c>
      <c r="M268" s="2731">
        <v>600</v>
      </c>
      <c r="N268" s="2730" t="s">
        <v>4423</v>
      </c>
      <c r="O268" s="2730" t="s">
        <v>4424</v>
      </c>
      <c r="P268" s="2730" t="s">
        <v>4425</v>
      </c>
      <c r="Q268" s="2421">
        <v>200</v>
      </c>
      <c r="R268" s="2421">
        <v>300</v>
      </c>
      <c r="S268" s="2421">
        <v>390</v>
      </c>
      <c r="T268" s="2739">
        <f t="shared" si="15"/>
        <v>2.3400000000000001E-2</v>
      </c>
      <c r="U268" s="2740">
        <v>4200</v>
      </c>
      <c r="V268" s="2742">
        <v>3000</v>
      </c>
      <c r="W268" s="2738">
        <v>450</v>
      </c>
      <c r="X268" s="2728"/>
      <c r="Y268" s="2728"/>
      <c r="Z268" s="2728"/>
      <c r="AA268" s="2730" t="s">
        <v>33</v>
      </c>
      <c r="AB268" s="2421"/>
      <c r="AC268" s="2421"/>
      <c r="AD268" s="2421">
        <v>194</v>
      </c>
      <c r="AG268" s="2421">
        <v>11.6</v>
      </c>
      <c r="AH268" s="2715">
        <f>AG268*3.1415926535897/180</f>
        <v>0.20245819323133624</v>
      </c>
      <c r="AI268" s="2715">
        <f>AH268+0.0005</f>
        <v>0.20295819323133624</v>
      </c>
      <c r="AJ268" s="2715">
        <f>AH268-0.0005</f>
        <v>0.20195819323133624</v>
      </c>
      <c r="AK268" s="2421">
        <f>IF(AND(дома!$Z$29&gt;=AJ268,дома!$Z$29&lt;=AI268),связи1!AG268,0)</f>
        <v>0</v>
      </c>
      <c r="AL268" s="2421">
        <f>IF(AND(дома!$AA$29&gt;=AJ268,дома!$AA$29&lt;=AI268),связи1!AG268,0)</f>
        <v>0</v>
      </c>
    </row>
    <row r="269" spans="1:38">
      <c r="A269" s="2730" t="s">
        <v>43</v>
      </c>
      <c r="B269" s="2421">
        <v>200</v>
      </c>
      <c r="C269" s="2421">
        <v>400</v>
      </c>
      <c r="D269" s="2421">
        <v>390</v>
      </c>
      <c r="E269" s="2739">
        <f t="shared" si="14"/>
        <v>3.1199999999999999E-2</v>
      </c>
      <c r="F269" s="2740">
        <v>4200</v>
      </c>
      <c r="G269" s="2742">
        <v>3000</v>
      </c>
      <c r="H269" s="2738">
        <v>450</v>
      </c>
      <c r="I269" s="2730" t="s">
        <v>4383</v>
      </c>
      <c r="J269" s="2730" t="s">
        <v>4384</v>
      </c>
      <c r="K269" s="2742">
        <v>200</v>
      </c>
      <c r="L269" s="2742">
        <v>400</v>
      </c>
      <c r="M269" s="2731">
        <v>600</v>
      </c>
      <c r="N269" s="2730" t="s">
        <v>4426</v>
      </c>
      <c r="O269" s="2730" t="s">
        <v>4409</v>
      </c>
      <c r="P269" s="2730" t="s">
        <v>4387</v>
      </c>
      <c r="Q269" s="2421">
        <v>200</v>
      </c>
      <c r="R269" s="2421">
        <v>400</v>
      </c>
      <c r="S269" s="2421">
        <v>390</v>
      </c>
      <c r="T269" s="2739">
        <f t="shared" si="15"/>
        <v>3.1199999999999999E-2</v>
      </c>
      <c r="U269" s="2740">
        <v>4200</v>
      </c>
      <c r="V269" s="2742">
        <v>3000</v>
      </c>
      <c r="W269" s="2738">
        <v>450</v>
      </c>
      <c r="X269" s="2728"/>
      <c r="Y269" s="2728"/>
      <c r="Z269" s="2728"/>
      <c r="AA269" s="2730" t="s">
        <v>27</v>
      </c>
      <c r="AB269" s="2421"/>
      <c r="AC269" s="2421"/>
      <c r="AD269" s="2421">
        <v>194</v>
      </c>
      <c r="AG269" s="2421">
        <v>11.7</v>
      </c>
      <c r="AH269" s="2715">
        <f>AG269*3.1415926535897/180</f>
        <v>0.20420352248333049</v>
      </c>
      <c r="AI269" s="2715">
        <f>AH269+0.0005</f>
        <v>0.20470352248333049</v>
      </c>
      <c r="AJ269" s="2715">
        <f>AH269-0.0005</f>
        <v>0.20370352248333048</v>
      </c>
      <c r="AK269" s="2421">
        <f>IF(AND(дома!$Z$29&gt;=AJ269,дома!$Z$29&lt;=AI269),связи1!AG269,0)</f>
        <v>0</v>
      </c>
      <c r="AL269" s="2421">
        <f>IF(AND(дома!$AA$29&gt;=AJ269,дома!$AA$29&lt;=AI269),связи1!AG269,0)</f>
        <v>0</v>
      </c>
    </row>
    <row r="270" spans="1:38">
      <c r="A270" s="2730" t="s">
        <v>2401</v>
      </c>
      <c r="B270" s="2421">
        <v>200</v>
      </c>
      <c r="C270" s="2421">
        <v>100</v>
      </c>
      <c r="D270" s="2421">
        <v>390</v>
      </c>
      <c r="E270" s="2739">
        <f t="shared" si="14"/>
        <v>7.7999999999999996E-3</v>
      </c>
      <c r="F270" s="2740">
        <v>4200</v>
      </c>
      <c r="G270" s="2742">
        <v>3000</v>
      </c>
      <c r="H270" s="2738">
        <v>450</v>
      </c>
      <c r="I270" s="2730" t="s">
        <v>4410</v>
      </c>
      <c r="J270" s="2730" t="s">
        <v>4411</v>
      </c>
      <c r="K270" s="2742">
        <v>200</v>
      </c>
      <c r="L270" s="2742">
        <v>100</v>
      </c>
      <c r="M270" s="2731">
        <v>600</v>
      </c>
      <c r="N270" s="2730" t="s">
        <v>4427</v>
      </c>
      <c r="O270" s="2730" t="s">
        <v>4413</v>
      </c>
      <c r="P270" s="2730" t="s">
        <v>4414</v>
      </c>
      <c r="Q270" s="2421">
        <v>200</v>
      </c>
      <c r="R270" s="2421">
        <v>100</v>
      </c>
      <c r="S270" s="2421">
        <v>390</v>
      </c>
      <c r="T270" s="2739">
        <f t="shared" si="15"/>
        <v>7.7999999999999996E-3</v>
      </c>
      <c r="U270" s="2740">
        <v>4200</v>
      </c>
      <c r="V270" s="2742">
        <v>3000</v>
      </c>
      <c r="W270" s="2738">
        <v>450</v>
      </c>
      <c r="X270" s="2728"/>
      <c r="Y270" s="2728"/>
      <c r="Z270" s="2728"/>
      <c r="AA270" s="2730"/>
      <c r="AB270" s="2421"/>
      <c r="AC270" s="2421"/>
      <c r="AD270" s="2421"/>
      <c r="AG270" s="2421"/>
      <c r="AH270" s="2715"/>
      <c r="AI270" s="2715"/>
      <c r="AJ270" s="2715"/>
      <c r="AK270" s="2421"/>
      <c r="AL270" s="2421"/>
    </row>
    <row r="271" spans="1:38">
      <c r="A271" s="2730" t="s">
        <v>4428</v>
      </c>
      <c r="B271" s="2421">
        <v>200</v>
      </c>
      <c r="C271" s="2421">
        <v>200</v>
      </c>
      <c r="D271" s="2421">
        <v>390</v>
      </c>
      <c r="E271" s="2739">
        <f t="shared" si="14"/>
        <v>1.5599999999999999E-2</v>
      </c>
      <c r="F271" s="2740">
        <v>4200</v>
      </c>
      <c r="G271" s="2742">
        <v>3000</v>
      </c>
      <c r="H271" s="2738">
        <v>450</v>
      </c>
      <c r="I271" s="2730" t="s">
        <v>4416</v>
      </c>
      <c r="J271" s="2730" t="s">
        <v>4417</v>
      </c>
      <c r="K271" s="2742">
        <v>200</v>
      </c>
      <c r="L271" s="2742">
        <v>200</v>
      </c>
      <c r="M271" s="2731">
        <v>600</v>
      </c>
      <c r="N271" s="2730" t="s">
        <v>4429</v>
      </c>
      <c r="O271" s="2730" t="s">
        <v>4419</v>
      </c>
      <c r="P271" s="2730" t="s">
        <v>4420</v>
      </c>
      <c r="Q271" s="2421">
        <v>200</v>
      </c>
      <c r="R271" s="2421">
        <v>200</v>
      </c>
      <c r="S271" s="2421">
        <v>390</v>
      </c>
      <c r="T271" s="2739">
        <f t="shared" si="15"/>
        <v>1.5599999999999999E-2</v>
      </c>
      <c r="U271" s="2740">
        <v>4200</v>
      </c>
      <c r="V271" s="2742">
        <v>3000</v>
      </c>
      <c r="W271" s="2738">
        <v>450</v>
      </c>
      <c r="X271" s="2728"/>
      <c r="Y271" s="2728"/>
      <c r="Z271" s="2728"/>
      <c r="AA271" s="2730"/>
      <c r="AB271" s="2421"/>
      <c r="AC271" s="2421"/>
      <c r="AD271" s="2421"/>
      <c r="AG271" s="2421"/>
      <c r="AH271" s="2715"/>
      <c r="AI271" s="2715"/>
      <c r="AJ271" s="2715"/>
      <c r="AK271" s="2421"/>
      <c r="AL271" s="2421"/>
    </row>
    <row r="272" spans="1:38">
      <c r="A272" s="2730" t="s">
        <v>45</v>
      </c>
      <c r="B272" s="2421">
        <v>200</v>
      </c>
      <c r="C272" s="2421">
        <v>300</v>
      </c>
      <c r="D272" s="2421">
        <v>390</v>
      </c>
      <c r="E272" s="2739">
        <f t="shared" si="14"/>
        <v>2.3400000000000001E-2</v>
      </c>
      <c r="F272" s="2740">
        <v>4200</v>
      </c>
      <c r="G272" s="2742">
        <v>3000</v>
      </c>
      <c r="H272" s="2738">
        <v>450</v>
      </c>
      <c r="I272" s="2730" t="s">
        <v>4421</v>
      </c>
      <c r="J272" s="2730" t="s">
        <v>4422</v>
      </c>
      <c r="K272" s="2742">
        <v>200</v>
      </c>
      <c r="L272" s="2738">
        <v>300</v>
      </c>
      <c r="M272" s="2731">
        <v>600</v>
      </c>
      <c r="N272" s="2730" t="s">
        <v>4430</v>
      </c>
      <c r="O272" s="2730" t="s">
        <v>4424</v>
      </c>
      <c r="P272" s="2730" t="s">
        <v>4425</v>
      </c>
      <c r="Q272" s="2421">
        <v>200</v>
      </c>
      <c r="R272" s="2421">
        <v>300</v>
      </c>
      <c r="S272" s="2421">
        <v>390</v>
      </c>
      <c r="T272" s="2739">
        <f t="shared" si="15"/>
        <v>2.3400000000000001E-2</v>
      </c>
      <c r="U272" s="2740">
        <v>4200</v>
      </c>
      <c r="V272" s="2742">
        <v>3000</v>
      </c>
      <c r="W272" s="2738">
        <v>450</v>
      </c>
      <c r="X272" s="2728"/>
      <c r="Y272" s="2728"/>
      <c r="Z272" s="2728"/>
      <c r="AA272" s="2730" t="s">
        <v>33</v>
      </c>
      <c r="AB272" s="2421"/>
      <c r="AC272" s="2421"/>
      <c r="AD272" s="2421">
        <v>194</v>
      </c>
      <c r="AG272" s="2421">
        <v>11.8</v>
      </c>
      <c r="AH272" s="2715">
        <f>AG272*3.1415926535897/180</f>
        <v>0.20594885173532479</v>
      </c>
      <c r="AI272" s="2715">
        <f>AH272+0.0005</f>
        <v>0.20644885173532479</v>
      </c>
      <c r="AJ272" s="2715">
        <f>AH272-0.0005</f>
        <v>0.20544885173532479</v>
      </c>
      <c r="AK272" s="2421">
        <f>IF(AND(дома!$Z$29&gt;=AJ272,дома!$Z$29&lt;=AI272),связи1!AG272,0)</f>
        <v>0</v>
      </c>
      <c r="AL272" s="2421">
        <f>IF(AND(дома!$AA$29&gt;=AJ272,дома!$AA$29&lt;=AI272),связи1!AG272,0)</f>
        <v>0</v>
      </c>
    </row>
    <row r="273" spans="1:38">
      <c r="A273" s="2730" t="s">
        <v>46</v>
      </c>
      <c r="B273" s="2421">
        <v>200</v>
      </c>
      <c r="C273" s="2421">
        <v>400</v>
      </c>
      <c r="D273" s="2421">
        <v>390</v>
      </c>
      <c r="E273" s="2739">
        <f t="shared" si="14"/>
        <v>3.1199999999999999E-2</v>
      </c>
      <c r="F273" s="2740">
        <v>4200</v>
      </c>
      <c r="G273" s="2742">
        <v>3000</v>
      </c>
      <c r="H273" s="2738">
        <v>450</v>
      </c>
      <c r="I273" s="2730" t="s">
        <v>4383</v>
      </c>
      <c r="J273" s="2730" t="s">
        <v>4384</v>
      </c>
      <c r="K273" s="2742">
        <v>200</v>
      </c>
      <c r="L273" s="2742">
        <v>400</v>
      </c>
      <c r="M273" s="2731">
        <v>600</v>
      </c>
      <c r="N273" s="2730" t="s">
        <v>4431</v>
      </c>
      <c r="O273" s="2730" t="s">
        <v>4409</v>
      </c>
      <c r="P273" s="2730" t="s">
        <v>4387</v>
      </c>
      <c r="Q273" s="2421">
        <v>200</v>
      </c>
      <c r="R273" s="2421">
        <v>400</v>
      </c>
      <c r="S273" s="2421">
        <v>390</v>
      </c>
      <c r="T273" s="2739">
        <f t="shared" si="15"/>
        <v>3.1199999999999999E-2</v>
      </c>
      <c r="U273" s="2740">
        <v>4200</v>
      </c>
      <c r="V273" s="2742">
        <v>3000</v>
      </c>
      <c r="W273" s="2738">
        <v>450</v>
      </c>
      <c r="X273" s="2728"/>
      <c r="Y273" s="2728"/>
      <c r="Z273" s="2728"/>
      <c r="AA273" s="2730" t="s">
        <v>27</v>
      </c>
      <c r="AB273" s="2421"/>
      <c r="AC273" s="2421"/>
      <c r="AD273" s="2421">
        <v>194</v>
      </c>
      <c r="AG273" s="2421">
        <v>11.9</v>
      </c>
      <c r="AH273" s="2715">
        <f>AG273*3.1415926535897/180</f>
        <v>0.20769418098731904</v>
      </c>
      <c r="AI273" s="2715">
        <f>AH273+0.0005</f>
        <v>0.20819418098731904</v>
      </c>
      <c r="AJ273" s="2715">
        <f>AH273-0.0005</f>
        <v>0.20719418098731904</v>
      </c>
      <c r="AK273" s="2421">
        <f>IF(AND(дома!$Z$29&gt;=AJ273,дома!$Z$29&lt;=AI273),связи1!AG273,0)</f>
        <v>0</v>
      </c>
      <c r="AL273" s="2421">
        <f>IF(AND(дома!$AA$29&gt;=AJ273,дома!$AA$29&lt;=AI273),связи1!AG273,0)</f>
        <v>0</v>
      </c>
    </row>
    <row r="274" spans="1:38">
      <c r="A274" s="2730" t="s">
        <v>4432</v>
      </c>
      <c r="B274" s="2421">
        <v>200</v>
      </c>
      <c r="C274" s="2421">
        <v>100</v>
      </c>
      <c r="D274" s="2421">
        <v>390</v>
      </c>
      <c r="E274" s="2739">
        <f t="shared" si="14"/>
        <v>7.7999999999999996E-3</v>
      </c>
      <c r="F274" s="2740">
        <v>4200</v>
      </c>
      <c r="G274" s="2742">
        <v>3000</v>
      </c>
      <c r="H274" s="2738">
        <v>450</v>
      </c>
      <c r="I274" s="2730" t="s">
        <v>4410</v>
      </c>
      <c r="J274" s="2730" t="s">
        <v>4411</v>
      </c>
      <c r="K274" s="2742">
        <v>200</v>
      </c>
      <c r="L274" s="2742">
        <v>100</v>
      </c>
      <c r="M274" s="2731">
        <v>600</v>
      </c>
      <c r="N274" s="2730" t="s">
        <v>4433</v>
      </c>
      <c r="O274" s="2730" t="s">
        <v>4413</v>
      </c>
      <c r="P274" s="2730" t="s">
        <v>4414</v>
      </c>
      <c r="Q274" s="2421">
        <v>200</v>
      </c>
      <c r="R274" s="2421">
        <v>100</v>
      </c>
      <c r="S274" s="2421">
        <v>390</v>
      </c>
      <c r="T274" s="2739">
        <f t="shared" si="15"/>
        <v>7.7999999999999996E-3</v>
      </c>
      <c r="U274" s="2740">
        <v>4200</v>
      </c>
      <c r="V274" s="2742">
        <v>3000</v>
      </c>
      <c r="W274" s="2738">
        <v>450</v>
      </c>
      <c r="X274" s="2728"/>
      <c r="Y274" s="2728"/>
      <c r="Z274" s="2728"/>
      <c r="AA274" s="2730"/>
      <c r="AB274" s="2421"/>
      <c r="AC274" s="2421"/>
      <c r="AD274" s="2421"/>
      <c r="AG274" s="2421"/>
      <c r="AH274" s="2715"/>
      <c r="AI274" s="2715"/>
      <c r="AJ274" s="2715"/>
      <c r="AK274" s="2421"/>
      <c r="AL274" s="2421"/>
    </row>
    <row r="275" spans="1:38">
      <c r="A275" s="2730" t="s">
        <v>4434</v>
      </c>
      <c r="B275" s="2421">
        <v>200</v>
      </c>
      <c r="C275" s="2421">
        <v>200</v>
      </c>
      <c r="D275" s="2421">
        <v>390</v>
      </c>
      <c r="E275" s="2739">
        <f t="shared" si="14"/>
        <v>1.5599999999999999E-2</v>
      </c>
      <c r="F275" s="2740">
        <v>4200</v>
      </c>
      <c r="G275" s="2742">
        <v>3000</v>
      </c>
      <c r="H275" s="2738">
        <v>450</v>
      </c>
      <c r="I275" s="2730" t="s">
        <v>4416</v>
      </c>
      <c r="J275" s="2730" t="s">
        <v>4417</v>
      </c>
      <c r="K275" s="2742">
        <v>200</v>
      </c>
      <c r="L275" s="2742">
        <v>200</v>
      </c>
      <c r="M275" s="2731">
        <v>600</v>
      </c>
      <c r="N275" s="2730" t="s">
        <v>4435</v>
      </c>
      <c r="O275" s="2730" t="s">
        <v>4419</v>
      </c>
      <c r="P275" s="2730" t="s">
        <v>4420</v>
      </c>
      <c r="Q275" s="2421">
        <v>200</v>
      </c>
      <c r="R275" s="2421">
        <v>200</v>
      </c>
      <c r="S275" s="2421">
        <v>390</v>
      </c>
      <c r="T275" s="2739">
        <f t="shared" si="15"/>
        <v>1.5599999999999999E-2</v>
      </c>
      <c r="U275" s="2740">
        <v>4200</v>
      </c>
      <c r="V275" s="2742">
        <v>3000</v>
      </c>
      <c r="W275" s="2738">
        <v>450</v>
      </c>
      <c r="X275" s="2728"/>
      <c r="Y275" s="2728"/>
      <c r="Z275" s="2728"/>
      <c r="AA275" s="2730"/>
      <c r="AB275" s="2421"/>
      <c r="AC275" s="2421"/>
      <c r="AD275" s="2421"/>
      <c r="AG275" s="2421"/>
      <c r="AH275" s="2715"/>
      <c r="AI275" s="2715"/>
      <c r="AJ275" s="2715"/>
      <c r="AK275" s="2421"/>
      <c r="AL275" s="2421"/>
    </row>
    <row r="276" spans="1:38">
      <c r="A276" s="2730" t="s">
        <v>48</v>
      </c>
      <c r="B276" s="2421">
        <v>200</v>
      </c>
      <c r="C276" s="2421">
        <v>300</v>
      </c>
      <c r="D276" s="2421">
        <v>390</v>
      </c>
      <c r="E276" s="2739">
        <f t="shared" si="14"/>
        <v>2.3400000000000001E-2</v>
      </c>
      <c r="F276" s="2740">
        <v>4200</v>
      </c>
      <c r="G276" s="2742">
        <v>3000</v>
      </c>
      <c r="H276" s="2738">
        <v>450</v>
      </c>
      <c r="I276" s="2730" t="s">
        <v>4421</v>
      </c>
      <c r="J276" s="2730" t="s">
        <v>4422</v>
      </c>
      <c r="K276" s="2742">
        <v>200</v>
      </c>
      <c r="L276" s="2738">
        <v>300</v>
      </c>
      <c r="M276" s="2731">
        <v>600</v>
      </c>
      <c r="N276" s="2730" t="s">
        <v>4436</v>
      </c>
      <c r="O276" s="2730" t="s">
        <v>4424</v>
      </c>
      <c r="P276" s="2730" t="s">
        <v>4425</v>
      </c>
      <c r="Q276" s="2421">
        <v>200</v>
      </c>
      <c r="R276" s="2421">
        <v>300</v>
      </c>
      <c r="S276" s="2421">
        <v>390</v>
      </c>
      <c r="T276" s="2739">
        <f t="shared" si="15"/>
        <v>2.3400000000000001E-2</v>
      </c>
      <c r="U276" s="2740">
        <v>4200</v>
      </c>
      <c r="V276" s="2742">
        <v>3000</v>
      </c>
      <c r="W276" s="2738">
        <v>450</v>
      </c>
      <c r="X276" s="2728"/>
      <c r="Y276" s="2728"/>
      <c r="Z276" s="2728"/>
      <c r="AA276" s="2730" t="s">
        <v>33</v>
      </c>
      <c r="AB276" s="2421"/>
      <c r="AC276" s="2421"/>
      <c r="AD276" s="2421">
        <v>194</v>
      </c>
      <c r="AG276" s="2421">
        <v>12</v>
      </c>
      <c r="AH276" s="2715">
        <f>AG276*3.1415926535897/180</f>
        <v>0.20943951023931331</v>
      </c>
      <c r="AI276" s="2715">
        <f>AH276+0.0005</f>
        <v>0.20993951023931332</v>
      </c>
      <c r="AJ276" s="2715">
        <f>AH276-0.0005</f>
        <v>0.20893951023931331</v>
      </c>
      <c r="AK276" s="2421">
        <f>IF(AND(дома!$Z$29&gt;=AJ276,дома!$Z$29&lt;=AI276),связи1!AG276,0)</f>
        <v>0</v>
      </c>
      <c r="AL276" s="2421">
        <f>IF(AND(дома!$AA$29&gt;=AJ276,дома!$AA$29&lt;=AI276),связи1!AG276,0)</f>
        <v>0</v>
      </c>
    </row>
    <row r="277" spans="1:38">
      <c r="A277" s="2730" t="s">
        <v>49</v>
      </c>
      <c r="B277" s="2421">
        <v>200</v>
      </c>
      <c r="C277" s="2421">
        <v>400</v>
      </c>
      <c r="D277" s="2421">
        <v>390</v>
      </c>
      <c r="E277" s="2739">
        <f t="shared" si="14"/>
        <v>3.1199999999999999E-2</v>
      </c>
      <c r="F277" s="2740">
        <v>4200</v>
      </c>
      <c r="G277" s="2742">
        <v>3000</v>
      </c>
      <c r="H277" s="2738">
        <v>450</v>
      </c>
      <c r="I277" s="2730" t="s">
        <v>4383</v>
      </c>
      <c r="J277" s="2730" t="s">
        <v>4384</v>
      </c>
      <c r="K277" s="2742">
        <v>200</v>
      </c>
      <c r="L277" s="2742">
        <v>400</v>
      </c>
      <c r="M277" s="2731">
        <v>600</v>
      </c>
      <c r="N277" s="2730" t="s">
        <v>4437</v>
      </c>
      <c r="O277" s="2730" t="s">
        <v>4409</v>
      </c>
      <c r="P277" s="2730" t="s">
        <v>4387</v>
      </c>
      <c r="Q277" s="2421">
        <v>200</v>
      </c>
      <c r="R277" s="2421">
        <v>400</v>
      </c>
      <c r="S277" s="2421">
        <v>390</v>
      </c>
      <c r="T277" s="2739">
        <f t="shared" si="15"/>
        <v>3.1199999999999999E-2</v>
      </c>
      <c r="U277" s="2740">
        <v>4200</v>
      </c>
      <c r="V277" s="2742">
        <v>3000</v>
      </c>
      <c r="W277" s="2738">
        <v>450</v>
      </c>
      <c r="X277" s="2728"/>
      <c r="Y277" s="2728"/>
      <c r="Z277" s="2728"/>
      <c r="AA277" s="2730" t="s">
        <v>27</v>
      </c>
      <c r="AB277" s="2421"/>
      <c r="AC277" s="2421"/>
      <c r="AD277" s="2421">
        <v>194</v>
      </c>
      <c r="AG277" s="2421">
        <v>12.1</v>
      </c>
      <c r="AH277" s="2715">
        <f>AG277*3.1415926535897/180</f>
        <v>0.21118483949130759</v>
      </c>
      <c r="AI277" s="2715">
        <f>AH277+0.0005</f>
        <v>0.21168483949130759</v>
      </c>
      <c r="AJ277" s="2715">
        <f>AH277-0.0005</f>
        <v>0.21068483949130759</v>
      </c>
      <c r="AK277" s="2421">
        <f>IF(AND(дома!$Z$29&gt;=AJ277,дома!$Z$29&lt;=AI277),связи1!AG277,0)</f>
        <v>0</v>
      </c>
      <c r="AL277" s="2421">
        <f>IF(AND(дома!$AA$29&gt;=AJ277,дома!$AA$29&lt;=AI277),связи1!AG277,0)</f>
        <v>0</v>
      </c>
    </row>
    <row r="278" spans="1:38">
      <c r="A278" s="2730" t="s">
        <v>4438</v>
      </c>
      <c r="B278" s="2421">
        <v>200</v>
      </c>
      <c r="C278" s="2421">
        <v>100</v>
      </c>
      <c r="D278" s="2421">
        <v>390</v>
      </c>
      <c r="E278" s="2739">
        <f t="shared" si="14"/>
        <v>7.7999999999999996E-3</v>
      </c>
      <c r="F278" s="2740">
        <v>4050</v>
      </c>
      <c r="G278" s="2742">
        <v>3000</v>
      </c>
      <c r="H278" s="2738">
        <v>450</v>
      </c>
      <c r="I278" s="2730" t="s">
        <v>4410</v>
      </c>
      <c r="J278" s="2730" t="s">
        <v>4411</v>
      </c>
      <c r="K278" s="2742">
        <v>200</v>
      </c>
      <c r="L278" s="2742">
        <v>100</v>
      </c>
      <c r="M278" s="2731">
        <v>600</v>
      </c>
      <c r="N278" s="2730" t="s">
        <v>4439</v>
      </c>
      <c r="O278" s="2730" t="s">
        <v>4413</v>
      </c>
      <c r="P278" s="2730" t="s">
        <v>4414</v>
      </c>
      <c r="Q278" s="2421">
        <v>200</v>
      </c>
      <c r="R278" s="2421">
        <v>100</v>
      </c>
      <c r="S278" s="2421">
        <v>390</v>
      </c>
      <c r="T278" s="2739">
        <f t="shared" si="15"/>
        <v>7.7999999999999996E-3</v>
      </c>
      <c r="U278" s="2740">
        <v>4050</v>
      </c>
      <c r="V278" s="2742">
        <v>3000</v>
      </c>
      <c r="W278" s="2738">
        <v>450</v>
      </c>
      <c r="X278" s="2728"/>
      <c r="Y278" s="2728"/>
      <c r="Z278" s="2728"/>
      <c r="AA278" s="2730"/>
      <c r="AB278" s="2421"/>
      <c r="AC278" s="2421"/>
      <c r="AD278" s="2421"/>
      <c r="AG278" s="2421"/>
      <c r="AH278" s="2715"/>
      <c r="AI278" s="2715"/>
      <c r="AJ278" s="2715"/>
      <c r="AK278" s="2421"/>
      <c r="AL278" s="2421"/>
    </row>
    <row r="279" spans="1:38">
      <c r="A279" s="2730" t="s">
        <v>4440</v>
      </c>
      <c r="B279" s="2421">
        <v>200</v>
      </c>
      <c r="C279" s="2421">
        <v>200</v>
      </c>
      <c r="D279" s="2421">
        <v>390</v>
      </c>
      <c r="E279" s="2739">
        <f t="shared" si="14"/>
        <v>1.5599999999999999E-2</v>
      </c>
      <c r="F279" s="2740">
        <v>4050</v>
      </c>
      <c r="G279" s="2742">
        <v>3000</v>
      </c>
      <c r="H279" s="2738">
        <v>450</v>
      </c>
      <c r="I279" s="2730" t="s">
        <v>4416</v>
      </c>
      <c r="J279" s="2730" t="s">
        <v>4417</v>
      </c>
      <c r="K279" s="2742">
        <v>200</v>
      </c>
      <c r="L279" s="2742">
        <v>200</v>
      </c>
      <c r="M279" s="2731">
        <v>600</v>
      </c>
      <c r="N279" s="2730" t="s">
        <v>4441</v>
      </c>
      <c r="O279" s="2730" t="s">
        <v>4419</v>
      </c>
      <c r="P279" s="2730" t="s">
        <v>4420</v>
      </c>
      <c r="Q279" s="2421">
        <v>200</v>
      </c>
      <c r="R279" s="2421">
        <v>200</v>
      </c>
      <c r="S279" s="2421">
        <v>390</v>
      </c>
      <c r="T279" s="2739">
        <f t="shared" si="15"/>
        <v>1.5599999999999999E-2</v>
      </c>
      <c r="U279" s="2740">
        <v>4050</v>
      </c>
      <c r="V279" s="2742">
        <v>3000</v>
      </c>
      <c r="W279" s="2738">
        <v>450</v>
      </c>
      <c r="X279" s="2728"/>
      <c r="Y279" s="2728"/>
      <c r="Z279" s="2728"/>
      <c r="AA279" s="2730"/>
      <c r="AB279" s="2421"/>
      <c r="AC279" s="2421"/>
      <c r="AD279" s="2421"/>
      <c r="AG279" s="2421"/>
      <c r="AH279" s="2715"/>
      <c r="AI279" s="2715"/>
      <c r="AJ279" s="2715"/>
      <c r="AK279" s="2421"/>
      <c r="AL279" s="2421"/>
    </row>
    <row r="280" spans="1:38" ht="16">
      <c r="A280" s="2730" t="s">
        <v>51</v>
      </c>
      <c r="B280" s="2421">
        <v>200</v>
      </c>
      <c r="C280" s="2421">
        <v>300</v>
      </c>
      <c r="D280" s="2421">
        <v>390</v>
      </c>
      <c r="E280" s="2739">
        <f t="shared" si="14"/>
        <v>2.3400000000000001E-2</v>
      </c>
      <c r="F280" s="2740">
        <v>4050</v>
      </c>
      <c r="G280" s="2742">
        <v>3000</v>
      </c>
      <c r="H280" s="2738">
        <v>450</v>
      </c>
      <c r="I280" s="2730" t="s">
        <v>4421</v>
      </c>
      <c r="J280" s="2730" t="s">
        <v>4422</v>
      </c>
      <c r="K280" s="2742">
        <v>200</v>
      </c>
      <c r="L280" s="2738">
        <v>300</v>
      </c>
      <c r="M280" s="2731">
        <v>600</v>
      </c>
      <c r="N280" s="2730" t="s">
        <v>4442</v>
      </c>
      <c r="O280" s="2730" t="s">
        <v>4424</v>
      </c>
      <c r="P280" s="2730" t="s">
        <v>4425</v>
      </c>
      <c r="Q280" s="2421">
        <v>200</v>
      </c>
      <c r="R280" s="2421">
        <v>300</v>
      </c>
      <c r="S280" s="2421">
        <v>390</v>
      </c>
      <c r="T280" s="2739">
        <f t="shared" si="15"/>
        <v>2.3400000000000001E-2</v>
      </c>
      <c r="U280" s="2740">
        <v>4050</v>
      </c>
      <c r="V280" s="2742">
        <v>3000</v>
      </c>
      <c r="W280" s="2738">
        <v>450</v>
      </c>
      <c r="X280" s="612"/>
      <c r="Y280" s="612"/>
      <c r="Z280" s="612"/>
      <c r="AA280" s="2730" t="s">
        <v>33</v>
      </c>
      <c r="AB280" s="2421"/>
      <c r="AC280" s="2421"/>
      <c r="AD280" s="2421">
        <v>194</v>
      </c>
      <c r="AG280" s="2421">
        <v>12.2</v>
      </c>
      <c r="AH280" s="2715">
        <f>AG280*3.1415926535897/180</f>
        <v>0.21293016874330187</v>
      </c>
      <c r="AI280" s="2715">
        <f>AH280+0.0005</f>
        <v>0.21343016874330187</v>
      </c>
      <c r="AJ280" s="2715">
        <f>AH280-0.0005</f>
        <v>0.21243016874330187</v>
      </c>
      <c r="AK280" s="2421">
        <f>IF(AND(дома!$Z$29&gt;=AJ280,дома!$Z$29&lt;=AI280),связи1!AG280,0)</f>
        <v>0</v>
      </c>
      <c r="AL280" s="2421">
        <f>IF(AND(дома!$AA$29&gt;=AJ280,дома!$AA$29&lt;=AI280),связи1!AG280,0)</f>
        <v>0</v>
      </c>
    </row>
    <row r="281" spans="1:38">
      <c r="A281" s="2730" t="s">
        <v>52</v>
      </c>
      <c r="B281" s="2421">
        <v>200</v>
      </c>
      <c r="C281" s="2421">
        <v>400</v>
      </c>
      <c r="D281" s="2421">
        <v>390</v>
      </c>
      <c r="E281" s="2739">
        <f t="shared" si="14"/>
        <v>3.1199999999999999E-2</v>
      </c>
      <c r="F281" s="2740">
        <v>4050</v>
      </c>
      <c r="G281" s="2742">
        <v>3000</v>
      </c>
      <c r="H281" s="2738">
        <v>450</v>
      </c>
      <c r="I281" s="2730" t="s">
        <v>4383</v>
      </c>
      <c r="J281" s="2730" t="s">
        <v>4384</v>
      </c>
      <c r="K281" s="2742">
        <v>200</v>
      </c>
      <c r="L281" s="2742">
        <v>400</v>
      </c>
      <c r="M281" s="2731">
        <v>600</v>
      </c>
      <c r="N281" s="2730" t="s">
        <v>4443</v>
      </c>
      <c r="O281" s="2730" t="s">
        <v>4409</v>
      </c>
      <c r="P281" s="2730" t="s">
        <v>4387</v>
      </c>
      <c r="Q281" s="2421">
        <v>200</v>
      </c>
      <c r="R281" s="2421">
        <v>400</v>
      </c>
      <c r="S281" s="2421">
        <v>390</v>
      </c>
      <c r="T281" s="2739">
        <f t="shared" si="15"/>
        <v>3.1199999999999999E-2</v>
      </c>
      <c r="U281" s="2740">
        <v>4050</v>
      </c>
      <c r="V281" s="2742">
        <v>3000</v>
      </c>
      <c r="W281" s="2738">
        <v>450</v>
      </c>
      <c r="X281" s="2728"/>
      <c r="Y281" s="2728"/>
      <c r="Z281" s="2728"/>
      <c r="AA281" s="2730" t="s">
        <v>27</v>
      </c>
      <c r="AB281" s="2421"/>
      <c r="AC281" s="2421"/>
      <c r="AD281" s="2421">
        <v>194</v>
      </c>
      <c r="AG281" s="2421">
        <v>12.3</v>
      </c>
      <c r="AH281" s="2715">
        <f>AG281*3.1415926535897/180</f>
        <v>0.21467549799529617</v>
      </c>
      <c r="AI281" s="2715">
        <f>AH281+0.0005</f>
        <v>0.21517549799529617</v>
      </c>
      <c r="AJ281" s="2715">
        <f>AH281-0.0005</f>
        <v>0.21417549799529617</v>
      </c>
      <c r="AK281" s="2421">
        <f>IF(AND(дома!$Z$29&gt;=AJ281,дома!$Z$29&lt;=AI281),связи1!AG281,0)</f>
        <v>0</v>
      </c>
      <c r="AL281" s="2421">
        <f>IF(AND(дома!$AA$29&gt;=AJ281,дома!$AA$29&lt;=AI281),связи1!AG281,0)</f>
        <v>0</v>
      </c>
    </row>
    <row r="282" spans="1:38" ht="16">
      <c r="A282" s="2747" t="s">
        <v>4444</v>
      </c>
      <c r="B282" s="279">
        <v>250</v>
      </c>
      <c r="C282" s="279">
        <v>100</v>
      </c>
      <c r="D282" s="2747">
        <v>625</v>
      </c>
      <c r="E282" s="2748">
        <f t="shared" ref="E282:E296" si="19">B282*C282*D282/100000000</f>
        <v>0.15625</v>
      </c>
      <c r="F282" s="2749">
        <v>4500</v>
      </c>
      <c r="G282" s="2742">
        <v>3500</v>
      </c>
      <c r="H282" s="2738">
        <v>450</v>
      </c>
      <c r="I282" s="2730" t="s">
        <v>4445</v>
      </c>
      <c r="J282" s="2730" t="s">
        <v>4446</v>
      </c>
      <c r="K282" s="2742">
        <v>250</v>
      </c>
      <c r="L282" s="2742">
        <v>100</v>
      </c>
      <c r="M282" s="2731">
        <v>625</v>
      </c>
      <c r="N282" s="2747" t="s">
        <v>4447</v>
      </c>
      <c r="O282" s="2730" t="s">
        <v>4448</v>
      </c>
      <c r="P282" s="2730" t="s">
        <v>4449</v>
      </c>
      <c r="Q282" s="279">
        <v>250</v>
      </c>
      <c r="R282" s="279">
        <v>100</v>
      </c>
      <c r="S282" s="2747">
        <v>625</v>
      </c>
      <c r="T282" s="2748">
        <f t="shared" ref="T282:T296" si="20">Q282*R282*S282/100000000</f>
        <v>0.15625</v>
      </c>
      <c r="U282" s="2749">
        <v>4500</v>
      </c>
      <c r="V282" s="2742">
        <v>3500</v>
      </c>
      <c r="W282" s="2738">
        <v>450</v>
      </c>
      <c r="X282" s="2728"/>
      <c r="Y282" s="2728"/>
      <c r="Z282" s="2728"/>
      <c r="AA282" s="2730"/>
      <c r="AB282" s="2421"/>
      <c r="AC282" s="2421"/>
      <c r="AD282" s="2421"/>
      <c r="AG282" s="2421"/>
      <c r="AH282" s="2715"/>
      <c r="AI282" s="2715"/>
      <c r="AJ282" s="2715"/>
      <c r="AK282" s="2421"/>
      <c r="AL282" s="2421"/>
    </row>
    <row r="283" spans="1:38" ht="16">
      <c r="A283" s="2747" t="s">
        <v>4450</v>
      </c>
      <c r="B283" s="279">
        <v>250</v>
      </c>
      <c r="C283" s="279">
        <v>200</v>
      </c>
      <c r="D283" s="2747">
        <v>625</v>
      </c>
      <c r="E283" s="2748">
        <f t="shared" si="19"/>
        <v>0.3125</v>
      </c>
      <c r="F283" s="2749">
        <v>4500</v>
      </c>
      <c r="G283" s="2742">
        <v>3500</v>
      </c>
      <c r="H283" s="2738">
        <v>450</v>
      </c>
      <c r="I283" s="2730" t="s">
        <v>4451</v>
      </c>
      <c r="J283" s="2730" t="s">
        <v>4452</v>
      </c>
      <c r="K283" s="2742">
        <v>250</v>
      </c>
      <c r="L283" s="2742">
        <v>200</v>
      </c>
      <c r="M283" s="2731">
        <v>625</v>
      </c>
      <c r="N283" s="2747" t="s">
        <v>4453</v>
      </c>
      <c r="O283" s="2730" t="s">
        <v>4454</v>
      </c>
      <c r="P283" s="2730" t="s">
        <v>4455</v>
      </c>
      <c r="Q283" s="279">
        <v>250</v>
      </c>
      <c r="R283" s="279">
        <v>200</v>
      </c>
      <c r="S283" s="2747">
        <v>625</v>
      </c>
      <c r="T283" s="2748">
        <f t="shared" si="20"/>
        <v>0.3125</v>
      </c>
      <c r="U283" s="2749">
        <v>4500</v>
      </c>
      <c r="V283" s="2742">
        <v>3500</v>
      </c>
      <c r="W283" s="2738">
        <v>450</v>
      </c>
      <c r="X283" s="2728"/>
      <c r="Y283" s="2728"/>
      <c r="Z283" s="2728"/>
      <c r="AA283" s="2421" t="s">
        <v>4456</v>
      </c>
      <c r="AB283" s="2421">
        <v>250</v>
      </c>
      <c r="AC283" s="2421">
        <v>200</v>
      </c>
      <c r="AD283" s="2421">
        <v>200</v>
      </c>
      <c r="AG283" s="2421">
        <v>12.4</v>
      </c>
      <c r="AH283" s="2715">
        <f>AG283*3.1415926535897/180</f>
        <v>0.21642082724729042</v>
      </c>
      <c r="AI283" s="2715">
        <f>AH283+0.0005</f>
        <v>0.21692082724729042</v>
      </c>
      <c r="AJ283" s="2715">
        <f>AH283-0.0005</f>
        <v>0.21592082724729042</v>
      </c>
      <c r="AK283" s="2421">
        <f>IF(AND(дома!$Z$29&gt;=AJ283,дома!$Z$29&lt;=AI283),связи1!AG283,0)</f>
        <v>0</v>
      </c>
      <c r="AL283" s="2421">
        <f>IF(AND(дома!$AA$29&gt;=AJ283,дома!$AA$29&lt;=AI283),связи1!AG283,0)</f>
        <v>0</v>
      </c>
    </row>
    <row r="284" spans="1:38" ht="16">
      <c r="A284" s="2747" t="s">
        <v>4457</v>
      </c>
      <c r="B284" s="279">
        <v>250</v>
      </c>
      <c r="C284" s="279">
        <v>240</v>
      </c>
      <c r="D284" s="2747">
        <v>625</v>
      </c>
      <c r="E284" s="2748">
        <f t="shared" si="19"/>
        <v>0.375</v>
      </c>
      <c r="F284" s="2749">
        <v>4500</v>
      </c>
      <c r="G284" s="2742">
        <v>3500</v>
      </c>
      <c r="H284" s="2738">
        <v>450</v>
      </c>
      <c r="I284" s="2730" t="s">
        <v>4458</v>
      </c>
      <c r="J284" s="2730" t="s">
        <v>4459</v>
      </c>
      <c r="K284" s="2742">
        <v>250</v>
      </c>
      <c r="L284" s="2742">
        <v>240</v>
      </c>
      <c r="M284" s="2731">
        <v>625</v>
      </c>
      <c r="N284" s="2747" t="s">
        <v>4460</v>
      </c>
      <c r="O284" s="2730" t="s">
        <v>4461</v>
      </c>
      <c r="P284" s="2730" t="s">
        <v>4462</v>
      </c>
      <c r="Q284" s="279">
        <v>250</v>
      </c>
      <c r="R284" s="279">
        <v>240</v>
      </c>
      <c r="S284" s="2747">
        <v>625</v>
      </c>
      <c r="T284" s="2748">
        <f t="shared" si="20"/>
        <v>0.375</v>
      </c>
      <c r="U284" s="2749">
        <v>4500</v>
      </c>
      <c r="V284" s="2742">
        <v>3500</v>
      </c>
      <c r="W284" s="2738">
        <v>450</v>
      </c>
      <c r="X284" s="2728"/>
      <c r="Y284" s="2728"/>
      <c r="Z284" s="2728"/>
      <c r="AA284" s="2421" t="s">
        <v>4463</v>
      </c>
      <c r="AB284" s="2421">
        <v>250</v>
      </c>
      <c r="AC284" s="2421">
        <v>240</v>
      </c>
      <c r="AD284" s="2421">
        <v>200</v>
      </c>
      <c r="AG284" s="2421">
        <v>12.5</v>
      </c>
      <c r="AH284" s="2715">
        <f>AG284*3.1415926535897/180</f>
        <v>0.21816615649928472</v>
      </c>
      <c r="AI284" s="2715">
        <f>AH284+0.0005</f>
        <v>0.21866615649928473</v>
      </c>
      <c r="AJ284" s="2715">
        <f>AH284-0.0005</f>
        <v>0.21766615649928472</v>
      </c>
      <c r="AK284" s="2421">
        <f>IF(AND(дома!$Z$29&gt;=AJ284,дома!$Z$29&lt;=AI284),связи1!AG284,0)</f>
        <v>0</v>
      </c>
      <c r="AL284" s="2421">
        <f>IF(AND(дома!$AA$29&gt;=AJ284,дома!$AA$29&lt;=AI284),связи1!AG284,0)</f>
        <v>0</v>
      </c>
    </row>
    <row r="285" spans="1:38" ht="16">
      <c r="A285" s="2747" t="s">
        <v>4464</v>
      </c>
      <c r="B285" s="279">
        <v>250</v>
      </c>
      <c r="C285" s="279">
        <v>300</v>
      </c>
      <c r="D285" s="2747">
        <v>625</v>
      </c>
      <c r="E285" s="2748">
        <f t="shared" si="19"/>
        <v>0.46875</v>
      </c>
      <c r="F285" s="2749">
        <v>4500</v>
      </c>
      <c r="G285" s="2742">
        <v>3500</v>
      </c>
      <c r="H285" s="2738">
        <v>450</v>
      </c>
      <c r="I285" s="2730" t="s">
        <v>4465</v>
      </c>
      <c r="J285" s="2730" t="s">
        <v>4466</v>
      </c>
      <c r="K285" s="2742">
        <v>250</v>
      </c>
      <c r="L285" s="2738">
        <v>300</v>
      </c>
      <c r="M285" s="2731">
        <v>625</v>
      </c>
      <c r="N285" s="2747" t="s">
        <v>4467</v>
      </c>
      <c r="O285" s="2730" t="s">
        <v>4468</v>
      </c>
      <c r="P285" s="2730" t="s">
        <v>4469</v>
      </c>
      <c r="Q285" s="279">
        <v>250</v>
      </c>
      <c r="R285" s="279">
        <v>300</v>
      </c>
      <c r="S285" s="2747">
        <v>625</v>
      </c>
      <c r="T285" s="2748">
        <f t="shared" si="20"/>
        <v>0.46875</v>
      </c>
      <c r="U285" s="2749">
        <v>4500</v>
      </c>
      <c r="V285" s="2742">
        <v>3500</v>
      </c>
      <c r="W285" s="2738">
        <v>450</v>
      </c>
      <c r="X285" s="2728"/>
      <c r="Y285" s="2728"/>
      <c r="Z285" s="2728"/>
      <c r="AA285" s="2421" t="s">
        <v>4470</v>
      </c>
      <c r="AB285" s="2421">
        <v>250</v>
      </c>
      <c r="AC285" s="2421">
        <v>300</v>
      </c>
      <c r="AD285" s="2421">
        <v>200</v>
      </c>
      <c r="AG285" s="2421">
        <v>12.6</v>
      </c>
      <c r="AH285" s="2715">
        <f>AG285*3.1415926535897/180</f>
        <v>0.21991148575127897</v>
      </c>
      <c r="AI285" s="2715">
        <f>AH285+0.0005</f>
        <v>0.22041148575127897</v>
      </c>
      <c r="AJ285" s="2715">
        <f>AH285-0.0005</f>
        <v>0.21941148575127897</v>
      </c>
      <c r="AK285" s="2421">
        <f>IF(AND(дома!$Z$29&gt;=AJ285,дома!$Z$29&lt;=AI285),связи1!AG285,0)</f>
        <v>0</v>
      </c>
      <c r="AL285" s="2421">
        <f>IF(AND(дома!$AA$29&gt;=AJ285,дома!$AA$29&lt;=AI285),связи1!AG285,0)</f>
        <v>0</v>
      </c>
    </row>
    <row r="286" spans="1:38" ht="16">
      <c r="A286" s="2747" t="s">
        <v>4471</v>
      </c>
      <c r="B286" s="279">
        <v>250</v>
      </c>
      <c r="C286" s="279">
        <v>400</v>
      </c>
      <c r="D286" s="2747">
        <v>625</v>
      </c>
      <c r="E286" s="2748">
        <f t="shared" si="19"/>
        <v>0.625</v>
      </c>
      <c r="F286" s="2749">
        <v>4500</v>
      </c>
      <c r="G286" s="2742">
        <v>3500</v>
      </c>
      <c r="H286" s="2738">
        <v>450</v>
      </c>
      <c r="I286" s="2730" t="s">
        <v>4472</v>
      </c>
      <c r="J286" s="2730" t="s">
        <v>4473</v>
      </c>
      <c r="K286" s="2742">
        <v>250</v>
      </c>
      <c r="L286" s="2742">
        <v>400</v>
      </c>
      <c r="M286" s="2731">
        <v>625</v>
      </c>
      <c r="N286" s="2747" t="s">
        <v>4474</v>
      </c>
      <c r="O286" s="2730" t="s">
        <v>4475</v>
      </c>
      <c r="P286" s="2730" t="s">
        <v>4476</v>
      </c>
      <c r="Q286" s="279">
        <v>250</v>
      </c>
      <c r="R286" s="279">
        <v>400</v>
      </c>
      <c r="S286" s="2747">
        <v>625</v>
      </c>
      <c r="T286" s="2748">
        <f t="shared" si="20"/>
        <v>0.625</v>
      </c>
      <c r="U286" s="2749">
        <v>4500</v>
      </c>
      <c r="V286" s="2742">
        <v>3500</v>
      </c>
      <c r="W286" s="2738">
        <v>450</v>
      </c>
      <c r="X286" s="612"/>
      <c r="Y286" s="612"/>
      <c r="Z286" s="612"/>
      <c r="AA286" s="2421" t="s">
        <v>4477</v>
      </c>
      <c r="AB286" s="2421">
        <v>250</v>
      </c>
      <c r="AC286" s="2421">
        <v>400</v>
      </c>
      <c r="AD286" s="2421">
        <v>200</v>
      </c>
      <c r="AG286" s="2421">
        <v>12.7</v>
      </c>
      <c r="AH286" s="2715">
        <f>AG286*3.1415926535897/180</f>
        <v>0.22165681500327325</v>
      </c>
      <c r="AI286" s="2715">
        <f>AH286+0.0005</f>
        <v>0.22215681500327325</v>
      </c>
      <c r="AJ286" s="2715">
        <f>AH286-0.0005</f>
        <v>0.22115681500327325</v>
      </c>
      <c r="AK286" s="2421">
        <f>IF(AND(дома!$Z$29&gt;=AJ286,дома!$Z$29&lt;=AI286),связи1!AG286,0)</f>
        <v>0</v>
      </c>
      <c r="AL286" s="2421">
        <f>IF(AND(дома!$AA$29&gt;=AJ286,дома!$AA$29&lt;=AI286),связи1!AG286,0)</f>
        <v>0</v>
      </c>
    </row>
    <row r="287" spans="1:38" ht="16">
      <c r="A287" s="2747" t="s">
        <v>4478</v>
      </c>
      <c r="B287" s="279">
        <v>250</v>
      </c>
      <c r="C287" s="279">
        <v>100</v>
      </c>
      <c r="D287" s="2747">
        <v>625</v>
      </c>
      <c r="E287" s="2748">
        <f t="shared" si="19"/>
        <v>0.15625</v>
      </c>
      <c r="F287" s="2749">
        <v>4500</v>
      </c>
      <c r="G287" s="2742">
        <v>3500</v>
      </c>
      <c r="H287" s="2738">
        <v>450</v>
      </c>
      <c r="I287" s="2730" t="s">
        <v>4445</v>
      </c>
      <c r="J287" s="2730" t="s">
        <v>4446</v>
      </c>
      <c r="K287" s="2742">
        <v>250</v>
      </c>
      <c r="L287" s="2742">
        <v>100</v>
      </c>
      <c r="M287" s="2731">
        <v>625</v>
      </c>
      <c r="N287" s="2747" t="s">
        <v>4479</v>
      </c>
      <c r="O287" s="2730" t="s">
        <v>4448</v>
      </c>
      <c r="P287" s="2730" t="s">
        <v>4449</v>
      </c>
      <c r="Q287" s="279">
        <v>250</v>
      </c>
      <c r="R287" s="279">
        <v>100</v>
      </c>
      <c r="S287" s="2747">
        <v>625</v>
      </c>
      <c r="T287" s="2748">
        <f t="shared" si="20"/>
        <v>0.15625</v>
      </c>
      <c r="U287" s="2749">
        <v>4500</v>
      </c>
      <c r="V287" s="2742">
        <v>3500</v>
      </c>
      <c r="W287" s="2738">
        <v>450</v>
      </c>
      <c r="X287" s="612"/>
      <c r="Y287" s="612"/>
      <c r="Z287" s="612"/>
      <c r="AA287" s="2421"/>
      <c r="AB287" s="2421"/>
      <c r="AC287" s="2421"/>
      <c r="AD287" s="2421"/>
      <c r="AG287" s="2421"/>
      <c r="AH287" s="2715"/>
      <c r="AI287" s="2715"/>
      <c r="AJ287" s="2715"/>
      <c r="AK287" s="2421"/>
      <c r="AL287" s="2421"/>
    </row>
    <row r="288" spans="1:38" ht="16">
      <c r="A288" s="2747" t="s">
        <v>4480</v>
      </c>
      <c r="B288" s="279">
        <v>250</v>
      </c>
      <c r="C288" s="279">
        <v>200</v>
      </c>
      <c r="D288" s="2747">
        <v>625</v>
      </c>
      <c r="E288" s="2748">
        <f t="shared" si="19"/>
        <v>0.3125</v>
      </c>
      <c r="F288" s="2749">
        <v>4500</v>
      </c>
      <c r="G288" s="2742">
        <v>3500</v>
      </c>
      <c r="H288" s="2738">
        <v>450</v>
      </c>
      <c r="I288" s="2730" t="s">
        <v>4451</v>
      </c>
      <c r="J288" s="2730" t="s">
        <v>4452</v>
      </c>
      <c r="K288" s="2742">
        <v>250</v>
      </c>
      <c r="L288" s="2742">
        <v>200</v>
      </c>
      <c r="M288" s="2731">
        <v>625</v>
      </c>
      <c r="N288" s="2747" t="s">
        <v>4481</v>
      </c>
      <c r="O288" s="2730" t="s">
        <v>4454</v>
      </c>
      <c r="P288" s="2730" t="s">
        <v>4455</v>
      </c>
      <c r="Q288" s="279">
        <v>250</v>
      </c>
      <c r="R288" s="279">
        <v>200</v>
      </c>
      <c r="S288" s="2747">
        <v>625</v>
      </c>
      <c r="T288" s="2748">
        <f t="shared" si="20"/>
        <v>0.3125</v>
      </c>
      <c r="U288" s="2749">
        <v>4500</v>
      </c>
      <c r="V288" s="2742">
        <v>3500</v>
      </c>
      <c r="W288" s="2738">
        <v>450</v>
      </c>
      <c r="X288" s="2728"/>
      <c r="Y288" s="2728"/>
      <c r="Z288" s="2728"/>
      <c r="AA288" s="2421" t="s">
        <v>4456</v>
      </c>
      <c r="AB288" s="2421">
        <v>250</v>
      </c>
      <c r="AC288" s="2421">
        <v>200</v>
      </c>
      <c r="AD288" s="2421">
        <v>200</v>
      </c>
      <c r="AG288" s="2421">
        <v>12.8</v>
      </c>
      <c r="AH288" s="2715">
        <f>AG288*3.1415926535897/180</f>
        <v>0.22340214425526755</v>
      </c>
      <c r="AI288" s="2715">
        <f>AH288+0.0005</f>
        <v>0.22390214425526755</v>
      </c>
      <c r="AJ288" s="2715">
        <f>AH288-0.0005</f>
        <v>0.22290214425526755</v>
      </c>
      <c r="AK288" s="2421">
        <f>IF(AND(дома!$Z$29&gt;=AJ288,дома!$Z$29&lt;=AI288),связи1!AG288,0)</f>
        <v>0</v>
      </c>
      <c r="AL288" s="2421">
        <f>IF(AND(дома!$AA$29&gt;=AJ288,дома!$AA$29&lt;=AI288),связи1!AG288,0)</f>
        <v>0</v>
      </c>
    </row>
    <row r="289" spans="1:38" ht="16">
      <c r="A289" s="2747" t="s">
        <v>4482</v>
      </c>
      <c r="B289" s="279">
        <v>250</v>
      </c>
      <c r="C289" s="279">
        <v>240</v>
      </c>
      <c r="D289" s="2747">
        <v>625</v>
      </c>
      <c r="E289" s="2748">
        <f t="shared" si="19"/>
        <v>0.375</v>
      </c>
      <c r="F289" s="2749">
        <v>4500</v>
      </c>
      <c r="G289" s="2742">
        <v>3500</v>
      </c>
      <c r="H289" s="2738">
        <v>450</v>
      </c>
      <c r="I289" s="2730" t="s">
        <v>4458</v>
      </c>
      <c r="J289" s="2730" t="s">
        <v>4459</v>
      </c>
      <c r="K289" s="2742">
        <v>250</v>
      </c>
      <c r="L289" s="2742">
        <v>240</v>
      </c>
      <c r="M289" s="2731">
        <v>625</v>
      </c>
      <c r="N289" s="2747" t="s">
        <v>4483</v>
      </c>
      <c r="O289" s="2730" t="s">
        <v>4461</v>
      </c>
      <c r="P289" s="2730" t="s">
        <v>4462</v>
      </c>
      <c r="Q289" s="279">
        <v>250</v>
      </c>
      <c r="R289" s="279">
        <v>240</v>
      </c>
      <c r="S289" s="2747">
        <v>625</v>
      </c>
      <c r="T289" s="2748">
        <f t="shared" si="20"/>
        <v>0.375</v>
      </c>
      <c r="U289" s="2749">
        <v>4500</v>
      </c>
      <c r="V289" s="2742">
        <v>3500</v>
      </c>
      <c r="W289" s="2738">
        <v>450</v>
      </c>
      <c r="X289" s="2728"/>
      <c r="Y289" s="2728"/>
      <c r="Z289" s="2728"/>
      <c r="AA289" s="2421" t="s">
        <v>4463</v>
      </c>
      <c r="AB289" s="2421">
        <v>250</v>
      </c>
      <c r="AC289" s="2421">
        <v>240</v>
      </c>
      <c r="AD289" s="2421">
        <v>200</v>
      </c>
      <c r="AG289" s="2421">
        <v>12.9</v>
      </c>
      <c r="AH289" s="2715">
        <f>AG289*3.1415926535897/180</f>
        <v>0.22514747350726186</v>
      </c>
      <c r="AI289" s="2715">
        <f>AH289+0.0005</f>
        <v>0.22564747350726186</v>
      </c>
      <c r="AJ289" s="2715">
        <f>AH289-0.0005</f>
        <v>0.22464747350726186</v>
      </c>
      <c r="AK289" s="2421">
        <f>IF(AND(дома!$Z$29&gt;=AJ289,дома!$Z$29&lt;=AI289),связи1!AG289,0)</f>
        <v>0</v>
      </c>
      <c r="AL289" s="2421">
        <f>IF(AND(дома!$AA$29&gt;=AJ289,дома!$AA$29&lt;=AI289),связи1!AG289,0)</f>
        <v>0</v>
      </c>
    </row>
    <row r="290" spans="1:38" ht="16">
      <c r="A290" s="2747" t="s">
        <v>4484</v>
      </c>
      <c r="B290" s="279">
        <v>250</v>
      </c>
      <c r="C290" s="279">
        <v>300</v>
      </c>
      <c r="D290" s="2747">
        <v>625</v>
      </c>
      <c r="E290" s="2748">
        <f t="shared" si="19"/>
        <v>0.46875</v>
      </c>
      <c r="F290" s="2749">
        <v>4500</v>
      </c>
      <c r="G290" s="2742">
        <v>3500</v>
      </c>
      <c r="H290" s="2738">
        <v>450</v>
      </c>
      <c r="I290" s="2730" t="s">
        <v>4465</v>
      </c>
      <c r="J290" s="2730" t="s">
        <v>4466</v>
      </c>
      <c r="K290" s="2742">
        <v>250</v>
      </c>
      <c r="L290" s="2738">
        <v>300</v>
      </c>
      <c r="M290" s="2731">
        <v>625</v>
      </c>
      <c r="N290" s="2747" t="s">
        <v>4485</v>
      </c>
      <c r="O290" s="2730" t="s">
        <v>4468</v>
      </c>
      <c r="P290" s="2730" t="s">
        <v>4469</v>
      </c>
      <c r="Q290" s="279">
        <v>250</v>
      </c>
      <c r="R290" s="279">
        <v>300</v>
      </c>
      <c r="S290" s="2747">
        <v>625</v>
      </c>
      <c r="T290" s="2748">
        <f t="shared" si="20"/>
        <v>0.46875</v>
      </c>
      <c r="U290" s="2749">
        <v>4500</v>
      </c>
      <c r="V290" s="2742">
        <v>3500</v>
      </c>
      <c r="W290" s="2738">
        <v>450</v>
      </c>
      <c r="X290" s="612"/>
      <c r="Y290" s="612"/>
      <c r="Z290" s="612"/>
      <c r="AA290" s="2421" t="s">
        <v>4470</v>
      </c>
      <c r="AB290" s="2421">
        <v>250</v>
      </c>
      <c r="AC290" s="2421">
        <v>300</v>
      </c>
      <c r="AD290" s="2421">
        <v>200</v>
      </c>
      <c r="AG290" s="2421">
        <v>13</v>
      </c>
      <c r="AH290" s="2715">
        <f>AG290*3.1415926535897/180</f>
        <v>0.22689280275925611</v>
      </c>
      <c r="AI290" s="2715">
        <f>AH290+0.0005</f>
        <v>0.22739280275925611</v>
      </c>
      <c r="AJ290" s="2715">
        <f>AH290-0.0005</f>
        <v>0.22639280275925611</v>
      </c>
      <c r="AK290" s="2421">
        <f>IF(AND(дома!$Z$29&gt;=AJ290,дома!$Z$29&lt;=AI290),связи1!AG290,0)</f>
        <v>0</v>
      </c>
      <c r="AL290" s="2421">
        <f>IF(AND(дома!$AA$29&gt;=AJ290,дома!$AA$29&lt;=AI290),связи1!AG290,0)</f>
        <v>0</v>
      </c>
    </row>
    <row r="291" spans="1:38" ht="16">
      <c r="A291" s="2747" t="s">
        <v>4486</v>
      </c>
      <c r="B291" s="279">
        <v>250</v>
      </c>
      <c r="C291" s="279">
        <v>400</v>
      </c>
      <c r="D291" s="2747">
        <v>625</v>
      </c>
      <c r="E291" s="2748">
        <f t="shared" si="19"/>
        <v>0.625</v>
      </c>
      <c r="F291" s="2749">
        <v>4500</v>
      </c>
      <c r="G291" s="2742">
        <v>3500</v>
      </c>
      <c r="H291" s="2738">
        <v>450</v>
      </c>
      <c r="I291" s="2730" t="s">
        <v>4472</v>
      </c>
      <c r="J291" s="2730" t="s">
        <v>4473</v>
      </c>
      <c r="K291" s="2742">
        <v>250</v>
      </c>
      <c r="L291" s="2742">
        <v>400</v>
      </c>
      <c r="M291" s="2731">
        <v>625</v>
      </c>
      <c r="N291" s="2747" t="s">
        <v>4487</v>
      </c>
      <c r="O291" s="2730" t="s">
        <v>4475</v>
      </c>
      <c r="P291" s="2730" t="s">
        <v>4476</v>
      </c>
      <c r="Q291" s="279">
        <v>250</v>
      </c>
      <c r="R291" s="279">
        <v>400</v>
      </c>
      <c r="S291" s="2747">
        <v>625</v>
      </c>
      <c r="T291" s="2748">
        <f t="shared" si="20"/>
        <v>0.625</v>
      </c>
      <c r="U291" s="2749">
        <v>4500</v>
      </c>
      <c r="V291" s="2742">
        <v>3500</v>
      </c>
      <c r="W291" s="2738">
        <v>450</v>
      </c>
      <c r="X291" s="2728"/>
      <c r="Y291" s="2728"/>
      <c r="Z291" s="2728"/>
      <c r="AA291" s="2421" t="s">
        <v>4477</v>
      </c>
      <c r="AB291" s="2421">
        <v>250</v>
      </c>
      <c r="AC291" s="2421">
        <v>400</v>
      </c>
      <c r="AD291" s="2421">
        <v>200</v>
      </c>
      <c r="AG291" s="2421">
        <v>13.1</v>
      </c>
      <c r="AH291" s="2715">
        <f>AG291*3.1415926535897/180</f>
        <v>0.22863813201125036</v>
      </c>
      <c r="AI291" s="2715">
        <f>AH291+0.0005</f>
        <v>0.22913813201125036</v>
      </c>
      <c r="AJ291" s="2715">
        <f>AH291-0.0005</f>
        <v>0.22813813201125036</v>
      </c>
      <c r="AK291" s="2421">
        <f>IF(AND(дома!$Z$29&gt;=AJ291,дома!$Z$29&lt;=AI291),связи1!AG291,0)</f>
        <v>0</v>
      </c>
      <c r="AL291" s="2421">
        <f>IF(AND(дома!$AA$29&gt;=AJ291,дома!$AA$29&lt;=AI291),связи1!AG291,0)</f>
        <v>0</v>
      </c>
    </row>
    <row r="292" spans="1:38" ht="16">
      <c r="A292" s="2747" t="s">
        <v>4488</v>
      </c>
      <c r="B292" s="279">
        <v>250</v>
      </c>
      <c r="C292" s="279">
        <v>100</v>
      </c>
      <c r="D292" s="2747">
        <v>625</v>
      </c>
      <c r="E292" s="2748">
        <f t="shared" si="19"/>
        <v>0.15625</v>
      </c>
      <c r="F292" s="2749">
        <v>4500</v>
      </c>
      <c r="G292" s="2742">
        <v>3500</v>
      </c>
      <c r="H292" s="2738">
        <v>450</v>
      </c>
      <c r="I292" s="2730" t="s">
        <v>4445</v>
      </c>
      <c r="J292" s="2730" t="s">
        <v>4446</v>
      </c>
      <c r="K292" s="2742">
        <v>250</v>
      </c>
      <c r="L292" s="2742">
        <v>100</v>
      </c>
      <c r="M292" s="2731">
        <v>625</v>
      </c>
      <c r="N292" s="2747" t="s">
        <v>4489</v>
      </c>
      <c r="O292" s="2730" t="s">
        <v>4448</v>
      </c>
      <c r="P292" s="2730" t="s">
        <v>4449</v>
      </c>
      <c r="Q292" s="279">
        <v>250</v>
      </c>
      <c r="R292" s="279">
        <v>100</v>
      </c>
      <c r="S292" s="2747">
        <v>625</v>
      </c>
      <c r="T292" s="2748">
        <f t="shared" si="20"/>
        <v>0.15625</v>
      </c>
      <c r="U292" s="2749">
        <v>4500</v>
      </c>
      <c r="V292" s="2742">
        <v>3500</v>
      </c>
      <c r="W292" s="2738">
        <v>450</v>
      </c>
      <c r="X292" s="2728"/>
      <c r="Y292" s="2728"/>
      <c r="Z292" s="2728"/>
      <c r="AA292" s="2421"/>
      <c r="AB292" s="2421"/>
      <c r="AC292" s="2421"/>
      <c r="AD292" s="2421"/>
      <c r="AG292" s="2421"/>
      <c r="AH292" s="2715"/>
      <c r="AI292" s="2715"/>
      <c r="AJ292" s="2715"/>
      <c r="AK292" s="2421"/>
      <c r="AL292" s="2421"/>
    </row>
    <row r="293" spans="1:38" ht="16">
      <c r="A293" s="2747" t="s">
        <v>4490</v>
      </c>
      <c r="B293" s="279">
        <v>250</v>
      </c>
      <c r="C293" s="279">
        <v>200</v>
      </c>
      <c r="D293" s="2747">
        <v>625</v>
      </c>
      <c r="E293" s="2748">
        <f t="shared" si="19"/>
        <v>0.3125</v>
      </c>
      <c r="F293" s="2749">
        <v>4500</v>
      </c>
      <c r="G293" s="2742">
        <v>3500</v>
      </c>
      <c r="H293" s="2738">
        <v>450</v>
      </c>
      <c r="I293" s="2730" t="s">
        <v>4451</v>
      </c>
      <c r="J293" s="2730" t="s">
        <v>4452</v>
      </c>
      <c r="K293" s="2742">
        <v>250</v>
      </c>
      <c r="L293" s="2742">
        <v>200</v>
      </c>
      <c r="M293" s="2731">
        <v>625</v>
      </c>
      <c r="N293" s="2747" t="s">
        <v>4491</v>
      </c>
      <c r="O293" s="2730" t="s">
        <v>4454</v>
      </c>
      <c r="P293" s="2730" t="s">
        <v>4455</v>
      </c>
      <c r="Q293" s="279">
        <v>250</v>
      </c>
      <c r="R293" s="279">
        <v>200</v>
      </c>
      <c r="S293" s="2747">
        <v>625</v>
      </c>
      <c r="T293" s="2748">
        <f t="shared" si="20"/>
        <v>0.3125</v>
      </c>
      <c r="U293" s="2749">
        <v>4500</v>
      </c>
      <c r="V293" s="2742">
        <v>3500</v>
      </c>
      <c r="W293" s="2738">
        <v>450</v>
      </c>
      <c r="X293" s="2728"/>
      <c r="Y293" s="2728"/>
      <c r="Z293" s="2728"/>
      <c r="AA293" s="2421" t="s">
        <v>4456</v>
      </c>
      <c r="AB293" s="2421">
        <v>250</v>
      </c>
      <c r="AC293" s="2421">
        <v>200</v>
      </c>
      <c r="AD293" s="2421">
        <v>200</v>
      </c>
      <c r="AG293" s="2421">
        <v>13.2</v>
      </c>
      <c r="AH293" s="2715">
        <f t="shared" ref="AH293:AH299" si="21">AG293*3.1415926535897/180</f>
        <v>0.23038346126324463</v>
      </c>
      <c r="AI293" s="2715">
        <f t="shared" ref="AI293:AI299" si="22">AH293+0.0005</f>
        <v>0.23088346126324463</v>
      </c>
      <c r="AJ293" s="2715">
        <f t="shared" ref="AJ293:AJ299" si="23">AH293-0.0005</f>
        <v>0.22988346126324463</v>
      </c>
      <c r="AK293" s="2421">
        <f>IF(AND(дома!$Z$29&gt;=AJ293,дома!$Z$29&lt;=AI293),связи1!AG293,0)</f>
        <v>0</v>
      </c>
      <c r="AL293" s="2421">
        <f>IF(AND(дома!$AA$29&gt;=AJ293,дома!$AA$29&lt;=AI293),связи1!AG293,0)</f>
        <v>0</v>
      </c>
    </row>
    <row r="294" spans="1:38" ht="16">
      <c r="A294" s="2747" t="s">
        <v>4492</v>
      </c>
      <c r="B294" s="279">
        <v>250</v>
      </c>
      <c r="C294" s="279">
        <v>240</v>
      </c>
      <c r="D294" s="2747">
        <v>625</v>
      </c>
      <c r="E294" s="2748">
        <f t="shared" si="19"/>
        <v>0.375</v>
      </c>
      <c r="F294" s="2749">
        <v>4500</v>
      </c>
      <c r="G294" s="2742">
        <v>3500</v>
      </c>
      <c r="H294" s="2738">
        <v>450</v>
      </c>
      <c r="I294" s="2730" t="s">
        <v>4458</v>
      </c>
      <c r="J294" s="2730" t="s">
        <v>4459</v>
      </c>
      <c r="K294" s="2742">
        <v>250</v>
      </c>
      <c r="L294" s="2742">
        <v>240</v>
      </c>
      <c r="M294" s="2731">
        <v>625</v>
      </c>
      <c r="N294" s="2747" t="s">
        <v>4493</v>
      </c>
      <c r="O294" s="2730" t="s">
        <v>4461</v>
      </c>
      <c r="P294" s="2730" t="s">
        <v>4462</v>
      </c>
      <c r="Q294" s="279">
        <v>250</v>
      </c>
      <c r="R294" s="279">
        <v>240</v>
      </c>
      <c r="S294" s="2747">
        <v>625</v>
      </c>
      <c r="T294" s="2748">
        <f t="shared" si="20"/>
        <v>0.375</v>
      </c>
      <c r="U294" s="2749">
        <v>4500</v>
      </c>
      <c r="V294" s="2742">
        <v>3500</v>
      </c>
      <c r="W294" s="2738">
        <v>450</v>
      </c>
      <c r="X294" s="612"/>
      <c r="Y294" s="612"/>
      <c r="Z294" s="612"/>
      <c r="AA294" s="2421" t="s">
        <v>4463</v>
      </c>
      <c r="AB294" s="2421">
        <v>250</v>
      </c>
      <c r="AC294" s="2421">
        <v>240</v>
      </c>
      <c r="AD294" s="2421">
        <v>200</v>
      </c>
      <c r="AG294" s="2421">
        <v>13.3</v>
      </c>
      <c r="AH294" s="2715">
        <f t="shared" si="21"/>
        <v>0.23212879051523896</v>
      </c>
      <c r="AI294" s="2715">
        <f t="shared" si="22"/>
        <v>0.23262879051523896</v>
      </c>
      <c r="AJ294" s="2715">
        <f t="shared" si="23"/>
        <v>0.23162879051523896</v>
      </c>
      <c r="AK294" s="2421">
        <f>IF(AND(дома!$Z$29&gt;=AJ294,дома!$Z$29&lt;=AI294),связи1!AG294,0)</f>
        <v>0</v>
      </c>
      <c r="AL294" s="2421">
        <f>IF(AND(дома!$AA$29&gt;=AJ294,дома!$AA$29&lt;=AI294),связи1!AG294,0)</f>
        <v>0</v>
      </c>
    </row>
    <row r="295" spans="1:38" ht="16">
      <c r="A295" s="2747" t="s">
        <v>4494</v>
      </c>
      <c r="B295" s="279">
        <v>250</v>
      </c>
      <c r="C295" s="279">
        <v>300</v>
      </c>
      <c r="D295" s="2747">
        <v>625</v>
      </c>
      <c r="E295" s="2748">
        <f t="shared" si="19"/>
        <v>0.46875</v>
      </c>
      <c r="F295" s="2749">
        <v>4500</v>
      </c>
      <c r="G295" s="2742">
        <v>3500</v>
      </c>
      <c r="H295" s="2738">
        <v>450</v>
      </c>
      <c r="I295" s="2730" t="s">
        <v>4465</v>
      </c>
      <c r="J295" s="2730" t="s">
        <v>4466</v>
      </c>
      <c r="K295" s="2742">
        <v>250</v>
      </c>
      <c r="L295" s="2738">
        <v>300</v>
      </c>
      <c r="M295" s="2731">
        <v>625</v>
      </c>
      <c r="N295" s="2747" t="s">
        <v>4495</v>
      </c>
      <c r="O295" s="2730" t="s">
        <v>4468</v>
      </c>
      <c r="P295" s="2730" t="s">
        <v>4469</v>
      </c>
      <c r="Q295" s="279">
        <v>250</v>
      </c>
      <c r="R295" s="279">
        <v>300</v>
      </c>
      <c r="S295" s="2747">
        <v>625</v>
      </c>
      <c r="T295" s="2748">
        <f t="shared" si="20"/>
        <v>0.46875</v>
      </c>
      <c r="U295" s="2749">
        <v>4500</v>
      </c>
      <c r="V295" s="2742">
        <v>3500</v>
      </c>
      <c r="W295" s="2738">
        <v>450</v>
      </c>
      <c r="X295" s="2728"/>
      <c r="Y295" s="2728"/>
      <c r="Z295" s="2728"/>
      <c r="AA295" s="2421" t="s">
        <v>4470</v>
      </c>
      <c r="AB295" s="2421">
        <v>250</v>
      </c>
      <c r="AC295" s="2421">
        <v>300</v>
      </c>
      <c r="AD295" s="2421">
        <v>200</v>
      </c>
      <c r="AG295" s="2421">
        <v>13.4</v>
      </c>
      <c r="AH295" s="2715">
        <f t="shared" si="21"/>
        <v>0.23387411976723321</v>
      </c>
      <c r="AI295" s="2715">
        <f t="shared" si="22"/>
        <v>0.23437411976723321</v>
      </c>
      <c r="AJ295" s="2715">
        <f t="shared" si="23"/>
        <v>0.23337411976723321</v>
      </c>
      <c r="AK295" s="2421">
        <f>IF(AND(дома!$Z$29&gt;=AJ295,дома!$Z$29&lt;=AI295),связи1!AG295,0)</f>
        <v>0</v>
      </c>
      <c r="AL295" s="2421">
        <f>IF(AND(дома!$AA$29&gt;=AJ295,дома!$AA$29&lt;=AI295),связи1!AG295,0)</f>
        <v>0</v>
      </c>
    </row>
    <row r="296" spans="1:38" ht="16">
      <c r="A296" s="2747" t="s">
        <v>4496</v>
      </c>
      <c r="B296" s="279">
        <v>250</v>
      </c>
      <c r="C296" s="279">
        <v>400</v>
      </c>
      <c r="D296" s="2747">
        <v>625</v>
      </c>
      <c r="E296" s="2748">
        <f t="shared" si="19"/>
        <v>0.625</v>
      </c>
      <c r="F296" s="2749">
        <v>4500</v>
      </c>
      <c r="G296" s="2742">
        <v>3500</v>
      </c>
      <c r="H296" s="2738">
        <v>450</v>
      </c>
      <c r="I296" s="2730" t="s">
        <v>4472</v>
      </c>
      <c r="J296" s="2730" t="s">
        <v>4473</v>
      </c>
      <c r="K296" s="2742">
        <v>250</v>
      </c>
      <c r="L296" s="2742">
        <v>400</v>
      </c>
      <c r="M296" s="2731">
        <v>625</v>
      </c>
      <c r="N296" s="2747" t="s">
        <v>4497</v>
      </c>
      <c r="O296" s="2730" t="s">
        <v>4475</v>
      </c>
      <c r="P296" s="2730" t="s">
        <v>4476</v>
      </c>
      <c r="Q296" s="279">
        <v>250</v>
      </c>
      <c r="R296" s="279">
        <v>400</v>
      </c>
      <c r="S296" s="2747">
        <v>625</v>
      </c>
      <c r="T296" s="2748">
        <f t="shared" si="20"/>
        <v>0.625</v>
      </c>
      <c r="U296" s="2749">
        <v>4500</v>
      </c>
      <c r="V296" s="2742">
        <v>3500</v>
      </c>
      <c r="W296" s="2738">
        <v>450</v>
      </c>
      <c r="X296" s="2728"/>
      <c r="Y296" s="2728"/>
      <c r="Z296" s="2728"/>
      <c r="AA296" s="2421" t="s">
        <v>4477</v>
      </c>
      <c r="AB296" s="2421">
        <v>250</v>
      </c>
      <c r="AC296" s="2421">
        <v>400</v>
      </c>
      <c r="AD296" s="2421">
        <v>200</v>
      </c>
      <c r="AG296" s="2421">
        <v>13.5</v>
      </c>
      <c r="AH296" s="2715">
        <f t="shared" si="21"/>
        <v>0.23561944901922749</v>
      </c>
      <c r="AI296" s="2715">
        <f t="shared" si="22"/>
        <v>0.23611944901922749</v>
      </c>
      <c r="AJ296" s="2715">
        <f t="shared" si="23"/>
        <v>0.23511944901922749</v>
      </c>
      <c r="AK296" s="2421">
        <f>IF(AND(дома!$Z$29&gt;=AJ296,дома!$Z$29&lt;=AI296),связи1!AG296,0)</f>
        <v>0</v>
      </c>
      <c r="AL296" s="2421">
        <f>IF(AND(дома!$AA$29&gt;=AJ296,дома!$AA$29&lt;=AI296),связи1!AG296,0)</f>
        <v>0</v>
      </c>
    </row>
    <row r="297" spans="1:38">
      <c r="A297" s="2421" t="str">
        <f>'Прайс лист'!B258</f>
        <v xml:space="preserve">Нет </v>
      </c>
      <c r="B297" s="1055">
        <f>'Прайс лист'!G258</f>
        <v>0</v>
      </c>
      <c r="C297" s="2421" t="str">
        <f>A297</f>
        <v xml:space="preserve">Нет </v>
      </c>
      <c r="D297" s="2421"/>
      <c r="E297" s="2421"/>
      <c r="F297" s="2421">
        <v>0</v>
      </c>
      <c r="G297" s="2729" t="str">
        <f t="shared" ref="G297:G309" si="24">A297</f>
        <v xml:space="preserve">Нет </v>
      </c>
      <c r="H297" s="2728"/>
      <c r="I297" s="2728"/>
      <c r="J297" s="2750"/>
      <c r="K297" s="2750"/>
      <c r="S297" s="2729"/>
      <c r="T297" s="2728"/>
      <c r="U297" s="2728"/>
      <c r="V297" s="2728"/>
      <c r="W297" s="2728"/>
      <c r="X297" s="2728"/>
      <c r="Y297" s="2728"/>
      <c r="Z297" s="2728"/>
      <c r="AG297" s="2421">
        <v>13.7</v>
      </c>
      <c r="AH297" s="2715">
        <f t="shared" si="21"/>
        <v>0.23911010752321604</v>
      </c>
      <c r="AI297" s="2715">
        <f t="shared" si="22"/>
        <v>0.23961010752321604</v>
      </c>
      <c r="AJ297" s="2715">
        <f t="shared" si="23"/>
        <v>0.23861010752321604</v>
      </c>
      <c r="AK297" s="2421">
        <f>IF(AND(дома!$Z$29&gt;=AJ297,дома!$Z$29&lt;=AI297),связи1!AG297,0)</f>
        <v>0</v>
      </c>
      <c r="AL297" s="2421">
        <f>IF(AND(дома!$AA$29&gt;=AJ297,дома!$AA$29&lt;=AI297),связи1!AG297,0)</f>
        <v>0</v>
      </c>
    </row>
    <row r="298" spans="1:38">
      <c r="A298" s="2421" t="str">
        <f>'Прайс лист'!B259</f>
        <v>Sip панель 2500*1250*124мм</v>
      </c>
      <c r="B298" s="1055">
        <f>'Прайс лист'!G259</f>
        <v>800</v>
      </c>
      <c r="C298" s="2421" t="s">
        <v>2312</v>
      </c>
      <c r="D298" s="2421">
        <v>0.1</v>
      </c>
      <c r="E298" s="1055">
        <f>'Прайс лист'!G319</f>
        <v>9000</v>
      </c>
      <c r="F298" s="2751">
        <v>0.124</v>
      </c>
      <c r="G298" s="2729" t="str">
        <f t="shared" si="24"/>
        <v>Sip панель 2500*1250*124мм</v>
      </c>
      <c r="H298" s="1579">
        <f>'Прайс лист'!D259</f>
        <v>3</v>
      </c>
      <c r="I298" s="2728">
        <v>2.5</v>
      </c>
      <c r="J298" s="2750">
        <v>1.25</v>
      </c>
      <c r="K298" s="2750"/>
      <c r="S298" s="2729"/>
      <c r="T298" s="2728"/>
      <c r="U298" s="2728"/>
      <c r="V298" s="2728"/>
      <c r="W298" s="2728"/>
      <c r="X298" s="2728"/>
      <c r="Y298" s="2728"/>
      <c r="Z298" s="2728"/>
      <c r="AG298" s="2421">
        <v>13.8</v>
      </c>
      <c r="AH298" s="2715">
        <f t="shared" si="21"/>
        <v>0.24085543677521035</v>
      </c>
      <c r="AI298" s="2715">
        <f t="shared" si="22"/>
        <v>0.24135543677521035</v>
      </c>
      <c r="AJ298" s="2715">
        <f t="shared" si="23"/>
        <v>0.24035543677521035</v>
      </c>
      <c r="AK298" s="2421">
        <f>IF(AND(дома!$Z$29&gt;=AJ298,дома!$Z$29&lt;=AI298),связи1!AG298,0)</f>
        <v>0</v>
      </c>
      <c r="AL298" s="2421">
        <f>IF(AND(дома!$AA$29&gt;=AJ298,дома!$AA$29&lt;=AI298),связи1!AG298,0)</f>
        <v>0</v>
      </c>
    </row>
    <row r="299" spans="1:38" ht="16">
      <c r="A299" s="2421" t="str">
        <f>'Прайс лист'!B260</f>
        <v>Sip панель 2500*1250*174мм</v>
      </c>
      <c r="B299" s="1055">
        <f>'Прайс лист'!G260</f>
        <v>1200</v>
      </c>
      <c r="C299" s="2421" t="s">
        <v>2134</v>
      </c>
      <c r="D299" s="2421">
        <v>0.15</v>
      </c>
      <c r="E299" s="1055">
        <f>'Прайс лист'!G318</f>
        <v>9000</v>
      </c>
      <c r="F299" s="2751">
        <v>0.17399999999999999</v>
      </c>
      <c r="G299" s="2729" t="str">
        <f t="shared" si="24"/>
        <v>Sip панель 2500*1250*174мм</v>
      </c>
      <c r="H299" s="1579">
        <f>'Прайс лист'!D260</f>
        <v>3</v>
      </c>
      <c r="I299" s="2728">
        <v>2.5</v>
      </c>
      <c r="J299" s="2750">
        <v>1.25</v>
      </c>
      <c r="K299" s="2728"/>
      <c r="S299" s="2752"/>
      <c r="T299" s="612"/>
      <c r="U299" s="612"/>
      <c r="V299" s="612"/>
      <c r="W299" s="612"/>
      <c r="X299" s="612"/>
      <c r="Y299" s="612"/>
      <c r="Z299" s="612"/>
      <c r="AG299" s="2421">
        <v>13.9</v>
      </c>
      <c r="AH299" s="2715">
        <f t="shared" si="21"/>
        <v>0.2426007660272046</v>
      </c>
      <c r="AI299" s="2715">
        <f t="shared" si="22"/>
        <v>0.2431007660272046</v>
      </c>
      <c r="AJ299" s="2715">
        <f t="shared" si="23"/>
        <v>0.24210076602720459</v>
      </c>
      <c r="AK299" s="2421">
        <f>IF(AND(дома!$Z$29&gt;=AJ299,дома!$Z$29&lt;=AI299),связи1!AG299,0)</f>
        <v>0</v>
      </c>
      <c r="AL299" s="2421">
        <f>IF(AND(дома!$AA$29&gt;=AJ299,дома!$AA$29&lt;=AI299),связи1!AG299,0)</f>
        <v>0</v>
      </c>
    </row>
    <row r="300" spans="1:38" ht="16">
      <c r="A300" s="2421" t="str">
        <f>'Прайс лист'!B261</f>
        <v>Sip панель 2500*1250*224мм</v>
      </c>
      <c r="B300" s="1055">
        <f>'Прайс лист'!G261</f>
        <v>1400</v>
      </c>
      <c r="C300" s="2421" t="s">
        <v>1908</v>
      </c>
      <c r="D300" s="279">
        <v>0.2</v>
      </c>
      <c r="E300" s="223">
        <f>'Прайс лист'!G316</f>
        <v>9000</v>
      </c>
      <c r="F300" s="2751">
        <v>0.224</v>
      </c>
      <c r="G300" s="2729" t="str">
        <f t="shared" si="24"/>
        <v>Sip панель 2500*1250*224мм</v>
      </c>
      <c r="H300" s="1579">
        <f>'Прайс лист'!D261</f>
        <v>3</v>
      </c>
      <c r="I300" s="2728">
        <v>2.5</v>
      </c>
      <c r="J300" s="2750">
        <v>1.25</v>
      </c>
      <c r="K300" s="2728"/>
      <c r="S300" s="2752"/>
      <c r="T300" s="612"/>
      <c r="U300" s="612"/>
      <c r="V300" s="612"/>
      <c r="W300" s="612"/>
      <c r="X300" s="612"/>
      <c r="Y300" s="612"/>
      <c r="Z300" s="612"/>
      <c r="AG300" s="2421"/>
      <c r="AH300" s="2715"/>
      <c r="AI300" s="2715"/>
      <c r="AJ300" s="2715"/>
      <c r="AK300" s="2421"/>
      <c r="AL300" s="2421"/>
    </row>
    <row r="301" spans="1:38" ht="16">
      <c r="A301" s="2421" t="str">
        <f>'Прайс лист'!B262</f>
        <v>Sip панель 2800*1250*124мм</v>
      </c>
      <c r="B301" s="1055">
        <f>'Прайс лист'!G262</f>
        <v>800</v>
      </c>
      <c r="C301" s="2421" t="s">
        <v>2312</v>
      </c>
      <c r="D301" s="2421">
        <v>0.1</v>
      </c>
      <c r="E301" s="1055">
        <f>'Прайс лист'!G319</f>
        <v>9000</v>
      </c>
      <c r="F301" s="2751">
        <v>0.124</v>
      </c>
      <c r="G301" s="2729" t="str">
        <f t="shared" si="24"/>
        <v>Sip панель 2800*1250*124мм</v>
      </c>
      <c r="H301" s="1579">
        <f>'Прайс лист'!D262</f>
        <v>3.5</v>
      </c>
      <c r="I301" s="2728">
        <v>2.8</v>
      </c>
      <c r="J301" s="2750">
        <v>1.25</v>
      </c>
      <c r="K301" s="2728"/>
      <c r="S301" s="2752"/>
      <c r="T301" s="612"/>
      <c r="U301" s="612"/>
      <c r="V301" s="612"/>
      <c r="W301" s="612"/>
      <c r="X301" s="612"/>
      <c r="Y301" s="612"/>
      <c r="Z301" s="612"/>
      <c r="AG301" s="2421"/>
      <c r="AH301" s="2715"/>
      <c r="AI301" s="2715"/>
      <c r="AJ301" s="2715"/>
      <c r="AK301" s="2421"/>
      <c r="AL301" s="2421"/>
    </row>
    <row r="302" spans="1:38" ht="16">
      <c r="A302" s="2421" t="str">
        <f>'Прайс лист'!B263</f>
        <v>Sip панель 2800*1250*174мм</v>
      </c>
      <c r="B302" s="1055">
        <f>'Прайс лист'!G263</f>
        <v>1200</v>
      </c>
      <c r="C302" s="2421" t="s">
        <v>2134</v>
      </c>
      <c r="D302" s="2421">
        <v>0.15</v>
      </c>
      <c r="E302" s="1055">
        <f>'Прайс лист'!G318</f>
        <v>9000</v>
      </c>
      <c r="F302" s="2751">
        <v>0.17399999999999999</v>
      </c>
      <c r="G302" s="2729" t="str">
        <f t="shared" si="24"/>
        <v>Sip панель 2800*1250*174мм</v>
      </c>
      <c r="H302" s="1579">
        <f>'Прайс лист'!D263</f>
        <v>3.5</v>
      </c>
      <c r="I302" s="2728">
        <v>2.8</v>
      </c>
      <c r="J302" s="2750">
        <v>1.25</v>
      </c>
      <c r="K302" s="2728"/>
      <c r="S302" s="2752"/>
      <c r="T302" s="612"/>
      <c r="U302" s="612"/>
      <c r="V302" s="612"/>
      <c r="W302" s="612"/>
      <c r="X302" s="612"/>
      <c r="Y302" s="612"/>
      <c r="Z302" s="612"/>
      <c r="AG302" s="2421"/>
      <c r="AH302" s="2715"/>
      <c r="AI302" s="2715"/>
      <c r="AJ302" s="2715"/>
      <c r="AK302" s="2421"/>
      <c r="AL302" s="2421"/>
    </row>
    <row r="303" spans="1:38" ht="16">
      <c r="A303" s="2421" t="str">
        <f>'Прайс лист'!B264</f>
        <v>Sip панель 2800*1250*224мм</v>
      </c>
      <c r="B303" s="1055">
        <f>'Прайс лист'!G264</f>
        <v>1400</v>
      </c>
      <c r="C303" s="2421" t="s">
        <v>1908</v>
      </c>
      <c r="D303" s="279">
        <v>0.2</v>
      </c>
      <c r="E303" s="1055">
        <f>'Прайс лист'!G316</f>
        <v>9000</v>
      </c>
      <c r="F303" s="2751">
        <v>0.224</v>
      </c>
      <c r="G303" s="2729" t="str">
        <f t="shared" si="24"/>
        <v>Sip панель 2800*1250*224мм</v>
      </c>
      <c r="H303" s="1579">
        <f>'Прайс лист'!D264</f>
        <v>3.5</v>
      </c>
      <c r="I303" s="2728">
        <v>2.8</v>
      </c>
      <c r="J303" s="2750">
        <v>1.25</v>
      </c>
      <c r="K303" s="2728"/>
      <c r="S303" s="2752"/>
      <c r="T303" s="612"/>
      <c r="U303" s="612"/>
      <c r="V303" s="612"/>
      <c r="W303" s="612"/>
      <c r="X303" s="612"/>
      <c r="Y303" s="612"/>
      <c r="Z303" s="612"/>
      <c r="AG303" s="2421"/>
      <c r="AH303" s="2715"/>
      <c r="AI303" s="2715"/>
      <c r="AJ303" s="2715"/>
      <c r="AK303" s="2421"/>
      <c r="AL303" s="2421"/>
    </row>
    <row r="304" spans="1:38" ht="16">
      <c r="A304" s="2421" t="str">
        <f>'Прайс лист'!B265</f>
        <v>Sip панель 3000*1250*124мм</v>
      </c>
      <c r="B304" s="1055">
        <f>'Прайс лист'!G265</f>
        <v>800</v>
      </c>
      <c r="C304" s="2421" t="s">
        <v>2312</v>
      </c>
      <c r="D304" s="2421">
        <v>0.1</v>
      </c>
      <c r="E304" s="1055">
        <f>'Прайс лист'!G319</f>
        <v>9000</v>
      </c>
      <c r="F304" s="2751">
        <v>0.124</v>
      </c>
      <c r="G304" s="2729" t="str">
        <f t="shared" si="24"/>
        <v>Sip панель 3000*1250*124мм</v>
      </c>
      <c r="H304" s="1579">
        <f>'Прайс лист'!D265</f>
        <v>3.75</v>
      </c>
      <c r="I304" s="2728">
        <v>3</v>
      </c>
      <c r="J304" s="2750">
        <v>1.25</v>
      </c>
      <c r="K304" s="2728"/>
      <c r="S304" s="2752"/>
      <c r="T304" s="612"/>
      <c r="U304" s="612"/>
      <c r="V304" s="612"/>
      <c r="W304" s="612"/>
      <c r="X304" s="612"/>
      <c r="Y304" s="612"/>
      <c r="Z304" s="612"/>
      <c r="AG304" s="2421"/>
      <c r="AH304" s="2715"/>
      <c r="AI304" s="2715"/>
      <c r="AJ304" s="2715"/>
      <c r="AK304" s="2421"/>
      <c r="AL304" s="2421"/>
    </row>
    <row r="305" spans="1:38" ht="16">
      <c r="A305" s="2421" t="str">
        <f>'Прайс лист'!B266</f>
        <v>Sip панель 3000*1250*174мм</v>
      </c>
      <c r="B305" s="1055">
        <f>'Прайс лист'!G266</f>
        <v>1200</v>
      </c>
      <c r="C305" s="2421" t="s">
        <v>2134</v>
      </c>
      <c r="D305" s="2421">
        <v>0.15</v>
      </c>
      <c r="E305" s="1055">
        <f>'Прайс лист'!G318</f>
        <v>9000</v>
      </c>
      <c r="F305" s="2751">
        <v>0.17399999999999999</v>
      </c>
      <c r="G305" s="2729" t="str">
        <f t="shared" si="24"/>
        <v>Sip панель 3000*1250*174мм</v>
      </c>
      <c r="H305" s="1579">
        <f>'Прайс лист'!D266</f>
        <v>3.75</v>
      </c>
      <c r="I305" s="2728">
        <v>3</v>
      </c>
      <c r="J305" s="2750">
        <v>1.25</v>
      </c>
      <c r="K305" s="2728"/>
      <c r="S305" s="2752"/>
      <c r="T305" s="612"/>
      <c r="U305" s="612"/>
      <c r="V305" s="612"/>
      <c r="W305" s="612"/>
      <c r="X305" s="612"/>
      <c r="Y305" s="612"/>
      <c r="Z305" s="612"/>
      <c r="AG305" s="2421"/>
      <c r="AH305" s="2715"/>
      <c r="AI305" s="2715"/>
      <c r="AJ305" s="2715"/>
      <c r="AK305" s="2421"/>
      <c r="AL305" s="2421"/>
    </row>
    <row r="306" spans="1:38" ht="16">
      <c r="A306" s="2421" t="str">
        <f>'Прайс лист'!B267</f>
        <v>Sip панель 3000*1250*224мм</v>
      </c>
      <c r="B306" s="1055">
        <f>'Прайс лист'!G267</f>
        <v>1400</v>
      </c>
      <c r="C306" s="2421" t="s">
        <v>1908</v>
      </c>
      <c r="D306" s="279">
        <v>0.2</v>
      </c>
      <c r="E306" s="1055">
        <f>'Прайс лист'!G316</f>
        <v>9000</v>
      </c>
      <c r="F306" s="2751">
        <v>0.224</v>
      </c>
      <c r="G306" s="2729" t="str">
        <f t="shared" si="24"/>
        <v>Sip панель 3000*1250*224мм</v>
      </c>
      <c r="H306" s="1579">
        <f>'Прайс лист'!D267</f>
        <v>3.75</v>
      </c>
      <c r="I306" s="2728">
        <v>3</v>
      </c>
      <c r="J306" s="2750">
        <v>1.25</v>
      </c>
      <c r="K306" s="2728"/>
      <c r="S306" s="2752"/>
      <c r="T306" s="612"/>
      <c r="U306" s="612"/>
      <c r="V306" s="612"/>
      <c r="W306" s="612"/>
      <c r="X306" s="612"/>
      <c r="Y306" s="612"/>
      <c r="Z306" s="612"/>
      <c r="AG306" s="2421"/>
      <c r="AH306" s="2715"/>
      <c r="AI306" s="2715"/>
      <c r="AJ306" s="2715"/>
      <c r="AK306" s="2421"/>
      <c r="AL306" s="2421"/>
    </row>
    <row r="307" spans="1:38" ht="16">
      <c r="A307" s="2421" t="str">
        <f>'Прайс лист'!B268</f>
        <v>Sip панель 2500*625*124мм</v>
      </c>
      <c r="B307" s="1055">
        <f>'Прайс лист'!G268</f>
        <v>800</v>
      </c>
      <c r="C307" s="2421" t="s">
        <v>2312</v>
      </c>
      <c r="D307" s="2421">
        <v>0.1</v>
      </c>
      <c r="E307" s="1055">
        <f>'Прайс лист'!G319</f>
        <v>9000</v>
      </c>
      <c r="F307" s="2751">
        <v>0.124</v>
      </c>
      <c r="G307" s="2729" t="str">
        <f t="shared" si="24"/>
        <v>Sip панель 2500*625*124мм</v>
      </c>
      <c r="H307" s="1579">
        <f>'Прайс лист'!D268</f>
        <v>1.5</v>
      </c>
      <c r="I307" s="2728">
        <v>2.5</v>
      </c>
      <c r="J307" s="2728">
        <v>0.625</v>
      </c>
      <c r="K307" s="2728"/>
      <c r="S307" s="2752"/>
      <c r="T307" s="612"/>
      <c r="U307" s="612"/>
      <c r="V307" s="612"/>
      <c r="W307" s="612"/>
      <c r="X307" s="612"/>
      <c r="Y307" s="612"/>
      <c r="Z307" s="612"/>
      <c r="AG307" s="2421"/>
      <c r="AH307" s="2715"/>
      <c r="AI307" s="2715"/>
      <c r="AJ307" s="2715"/>
      <c r="AK307" s="2421"/>
      <c r="AL307" s="2421"/>
    </row>
    <row r="308" spans="1:38" ht="16">
      <c r="A308" s="2421" t="str">
        <f>'Прайс лист'!B269</f>
        <v>Sip панель 2500*625*174мм</v>
      </c>
      <c r="B308" s="1055">
        <f>'Прайс лист'!G269</f>
        <v>1200</v>
      </c>
      <c r="C308" s="2421" t="s">
        <v>2134</v>
      </c>
      <c r="D308" s="2421">
        <v>0.15</v>
      </c>
      <c r="E308" s="1055">
        <f>'Прайс лист'!G318</f>
        <v>9000</v>
      </c>
      <c r="F308" s="2751">
        <v>0.17399999999999999</v>
      </c>
      <c r="G308" s="2729" t="str">
        <f t="shared" si="24"/>
        <v>Sip панель 2500*625*174мм</v>
      </c>
      <c r="H308" s="1579">
        <f>'Прайс лист'!D269</f>
        <v>1.5</v>
      </c>
      <c r="I308" s="2728">
        <v>2.8</v>
      </c>
      <c r="J308" s="2728">
        <v>0.625</v>
      </c>
      <c r="K308" s="2728"/>
      <c r="S308" s="2752"/>
      <c r="T308" s="612"/>
      <c r="U308" s="612"/>
      <c r="V308" s="612"/>
      <c r="W308" s="612"/>
      <c r="X308" s="612"/>
      <c r="Y308" s="612"/>
      <c r="Z308" s="612"/>
      <c r="AG308" s="2421"/>
      <c r="AH308" s="2715"/>
      <c r="AI308" s="2715"/>
      <c r="AJ308" s="2715"/>
      <c r="AK308" s="2421"/>
      <c r="AL308" s="2421"/>
    </row>
    <row r="309" spans="1:38" ht="16">
      <c r="A309" s="2421" t="str">
        <f>'Прайс лист'!B270</f>
        <v>Sip панель 2500*625*224мм</v>
      </c>
      <c r="B309" s="1055">
        <f>'Прайс лист'!G270</f>
        <v>1400</v>
      </c>
      <c r="C309" s="2421" t="s">
        <v>1908</v>
      </c>
      <c r="D309" s="279">
        <v>0.2</v>
      </c>
      <c r="E309" s="223">
        <f>'Прайс лист'!G316</f>
        <v>9000</v>
      </c>
      <c r="F309" s="2751">
        <v>0.224</v>
      </c>
      <c r="G309" s="2729" t="str">
        <f t="shared" si="24"/>
        <v>Sip панель 2500*625*224мм</v>
      </c>
      <c r="H309" s="1579">
        <f>'Прайс лист'!D270</f>
        <v>1.5</v>
      </c>
      <c r="I309" s="2728">
        <v>3</v>
      </c>
      <c r="J309" s="2728">
        <v>0.625</v>
      </c>
      <c r="K309" s="2750"/>
      <c r="S309" s="2729"/>
      <c r="T309" s="2728"/>
      <c r="U309" s="2728"/>
      <c r="V309" s="2728"/>
      <c r="W309" s="2728"/>
      <c r="X309" s="2728"/>
      <c r="Y309" s="2728"/>
      <c r="Z309" s="2728"/>
      <c r="AG309" s="2421">
        <v>14</v>
      </c>
      <c r="AH309" s="2715">
        <f t="shared" ref="AH309:AH340" si="25">AG309*3.1415926535897/180</f>
        <v>0.24434609527919887</v>
      </c>
      <c r="AI309" s="2715">
        <f t="shared" ref="AI309:AI340" si="26">AH309+0.0005</f>
        <v>0.24484609527919887</v>
      </c>
      <c r="AJ309" s="2715">
        <f t="shared" ref="AJ309:AJ340" si="27">AH309-0.0005</f>
        <v>0.24384609527919887</v>
      </c>
      <c r="AK309" s="2421">
        <f>IF(AND(дома!$Z$29&gt;=AJ309,дома!$Z$29&lt;=AI309),связи1!AG309,0)</f>
        <v>0</v>
      </c>
      <c r="AL309" s="2421">
        <f>IF(AND(дома!$AA$29&gt;=AJ309,дома!$AA$29&lt;=AI309),связи1!AG309,0)</f>
        <v>0</v>
      </c>
    </row>
    <row r="310" spans="1:38" ht="16">
      <c r="A310" s="2753"/>
      <c r="B310" s="2286"/>
      <c r="C310" s="2754"/>
      <c r="D310" s="300"/>
      <c r="E310" s="300"/>
      <c r="G310" s="2755"/>
      <c r="H310" s="2752"/>
      <c r="I310" s="2756"/>
      <c r="J310" s="2752"/>
      <c r="K310" s="2752"/>
      <c r="S310" s="2729"/>
      <c r="T310" s="2728"/>
      <c r="U310" s="2728"/>
      <c r="V310" s="2728"/>
      <c r="W310" s="2728"/>
      <c r="X310" s="2728"/>
      <c r="Y310" s="2728"/>
      <c r="Z310" s="2728"/>
      <c r="AG310" s="2421">
        <v>14.1</v>
      </c>
      <c r="AH310" s="2715">
        <f t="shared" si="25"/>
        <v>0.24609142453119318</v>
      </c>
      <c r="AI310" s="2715">
        <f t="shared" si="26"/>
        <v>0.24659142453119318</v>
      </c>
      <c r="AJ310" s="2715">
        <f t="shared" si="27"/>
        <v>0.24559142453119318</v>
      </c>
      <c r="AK310" s="2421">
        <f>IF(AND(дома!$Z$29&gt;=AJ310,дома!$Z$29&lt;=AI310),связи1!AG310,0)</f>
        <v>0</v>
      </c>
      <c r="AL310" s="2421">
        <f>IF(AND(дома!$AA$29&gt;=AJ310,дома!$AA$29&lt;=AI310),связи1!AG310,0)</f>
        <v>0</v>
      </c>
    </row>
    <row r="311" spans="1:38" ht="16">
      <c r="A311" s="2753"/>
      <c r="B311" s="2421" t="s">
        <v>1908</v>
      </c>
      <c r="C311" s="2754"/>
      <c r="D311" s="300"/>
      <c r="E311" s="300"/>
      <c r="G311" s="2729"/>
      <c r="H311" s="2728"/>
      <c r="I311" s="2728"/>
      <c r="J311" s="2728"/>
      <c r="K311" s="2728"/>
      <c r="S311" s="2757"/>
      <c r="T311" s="612"/>
      <c r="U311" s="612"/>
      <c r="V311" s="612"/>
      <c r="W311" s="612"/>
      <c r="X311" s="612"/>
      <c r="Y311" s="612"/>
      <c r="Z311" s="612"/>
      <c r="AG311" s="2421">
        <v>14.2</v>
      </c>
      <c r="AH311" s="2715">
        <f t="shared" si="25"/>
        <v>0.24783675378318742</v>
      </c>
      <c r="AI311" s="2715">
        <f t="shared" si="26"/>
        <v>0.24833675378318742</v>
      </c>
      <c r="AJ311" s="2715">
        <f t="shared" si="27"/>
        <v>0.24733675378318742</v>
      </c>
      <c r="AK311" s="2421">
        <f>IF(AND(дома!$Z$29&gt;=AJ311,дома!$Z$29&lt;=AI311),связи1!AG311,0)</f>
        <v>0</v>
      </c>
      <c r="AL311" s="2421">
        <f>IF(AND(дома!$AA$29&gt;=AJ311,дома!$AA$29&lt;=AI311),связи1!AG311,0)</f>
        <v>0</v>
      </c>
    </row>
    <row r="312" spans="1:38" ht="16">
      <c r="A312" s="2753"/>
      <c r="B312" s="2421" t="s">
        <v>2134</v>
      </c>
      <c r="C312" s="2754"/>
      <c r="D312" s="300"/>
      <c r="E312" s="300"/>
      <c r="G312" s="2758"/>
      <c r="H312" s="2728"/>
      <c r="I312" s="2728"/>
      <c r="J312" s="2728"/>
      <c r="K312" s="2728"/>
      <c r="S312" s="467"/>
      <c r="T312" s="2759"/>
      <c r="U312" s="2759"/>
      <c r="V312" s="2759"/>
      <c r="W312" s="2759"/>
      <c r="X312" s="2759"/>
      <c r="Y312" s="2759"/>
      <c r="Z312" s="2759"/>
      <c r="AG312" s="2421">
        <v>14.3</v>
      </c>
      <c r="AH312" s="2715">
        <f t="shared" si="25"/>
        <v>0.24958208303518173</v>
      </c>
      <c r="AI312" s="2715">
        <f t="shared" si="26"/>
        <v>0.2500820830351817</v>
      </c>
      <c r="AJ312" s="2715">
        <f t="shared" si="27"/>
        <v>0.24908208303518173</v>
      </c>
      <c r="AK312" s="2421">
        <f>IF(AND(дома!$Z$29&gt;=AJ312,дома!$Z$29&lt;=AI312),связи1!AG312,0)</f>
        <v>0</v>
      </c>
      <c r="AL312" s="2421">
        <f>IF(AND(дома!$AA$29&gt;=AJ312,дома!$AA$29&lt;=AI312),связи1!AG312,0)</f>
        <v>0</v>
      </c>
    </row>
    <row r="313" spans="1:38" ht="16">
      <c r="A313" s="2753"/>
      <c r="B313" s="2421" t="s">
        <v>2312</v>
      </c>
      <c r="C313" s="2754"/>
      <c r="D313" s="300"/>
      <c r="E313" s="300"/>
      <c r="G313" s="2755"/>
      <c r="H313" s="2752"/>
      <c r="I313" s="2752"/>
      <c r="J313" s="2752"/>
      <c r="K313" s="2752"/>
      <c r="S313" s="467"/>
      <c r="T313" s="2759"/>
      <c r="U313" s="2759"/>
      <c r="V313" s="2759"/>
      <c r="W313" s="2759"/>
      <c r="X313" s="2759"/>
      <c r="Y313" s="2759"/>
      <c r="Z313" s="2759"/>
      <c r="AG313" s="2421">
        <v>14.4</v>
      </c>
      <c r="AH313" s="2715">
        <f t="shared" si="25"/>
        <v>0.25132741228717598</v>
      </c>
      <c r="AI313" s="2715">
        <f t="shared" si="26"/>
        <v>0.25182741228717598</v>
      </c>
      <c r="AJ313" s="2715">
        <f t="shared" si="27"/>
        <v>0.25082741228717598</v>
      </c>
      <c r="AK313" s="2421">
        <f>IF(AND(дома!$Z$29&gt;=AJ313,дома!$Z$29&lt;=AI313),связи1!AG313,0)</f>
        <v>0</v>
      </c>
      <c r="AL313" s="2421">
        <f>IF(AND(дома!$AA$29&gt;=AJ313,дома!$AA$29&lt;=AI313),связи1!AG313,0)</f>
        <v>0</v>
      </c>
    </row>
    <row r="314" spans="1:38" ht="16">
      <c r="A314" s="2753"/>
      <c r="B314" s="2286"/>
      <c r="C314" s="2760"/>
      <c r="D314" s="300"/>
      <c r="E314" s="300"/>
      <c r="G314" s="2758"/>
      <c r="H314" s="2728"/>
      <c r="I314" s="317" t="s">
        <v>4207</v>
      </c>
      <c r="J314" s="2728"/>
      <c r="K314" s="2728"/>
      <c r="S314" s="467"/>
      <c r="T314" s="2759"/>
      <c r="U314" s="2759"/>
      <c r="V314" s="2759"/>
      <c r="W314" s="2759"/>
      <c r="X314" s="2759"/>
      <c r="Y314" s="2759"/>
      <c r="Z314" s="2759"/>
      <c r="AG314" s="2421">
        <v>14.5</v>
      </c>
      <c r="AH314" s="2715">
        <f t="shared" si="25"/>
        <v>0.25307274153917025</v>
      </c>
      <c r="AI314" s="2715">
        <f t="shared" si="26"/>
        <v>0.25357274153917025</v>
      </c>
      <c r="AJ314" s="2715">
        <f t="shared" si="27"/>
        <v>0.25257274153917025</v>
      </c>
      <c r="AK314" s="2421">
        <f>IF(AND(дома!$Z$29&gt;=AJ314,дома!$Z$29&lt;=AI314),связи1!AG314,0)</f>
        <v>0</v>
      </c>
      <c r="AL314" s="2421">
        <f>IF(AND(дома!$AA$29&gt;=AJ314,дома!$AA$29&lt;=AI314),связи1!AG314,0)</f>
        <v>0</v>
      </c>
    </row>
    <row r="315" spans="1:38" ht="16">
      <c r="A315" s="2761" t="s">
        <v>125</v>
      </c>
      <c r="D315" s="2762">
        <f>'Прайс лист'!G156</f>
        <v>185</v>
      </c>
      <c r="E315" s="300"/>
      <c r="G315" s="2758"/>
      <c r="H315" s="2728"/>
      <c r="I315" s="2744" t="s">
        <v>4358</v>
      </c>
      <c r="J315" s="2728"/>
      <c r="K315" s="2728"/>
      <c r="S315" s="467"/>
      <c r="T315" s="2759"/>
      <c r="U315" s="2759"/>
      <c r="V315" s="2759"/>
      <c r="W315" s="2759"/>
      <c r="X315" s="2759"/>
      <c r="Y315" s="2759"/>
      <c r="Z315" s="2759"/>
      <c r="AG315" s="2421">
        <v>14.6</v>
      </c>
      <c r="AH315" s="2715">
        <f t="shared" si="25"/>
        <v>0.25481807079116453</v>
      </c>
      <c r="AI315" s="2715">
        <f t="shared" si="26"/>
        <v>0.25531807079116453</v>
      </c>
      <c r="AJ315" s="2715">
        <f t="shared" si="27"/>
        <v>0.25431807079116453</v>
      </c>
      <c r="AK315" s="2421">
        <f>IF(AND(дома!$Z$29&gt;=AJ315,дома!$Z$29&lt;=AI315),связи1!AG315,0)</f>
        <v>0</v>
      </c>
      <c r="AL315" s="2421">
        <f>IF(AND(дома!$AA$29&gt;=AJ315,дома!$AA$29&lt;=AI315),связи1!AG315,0)</f>
        <v>0</v>
      </c>
    </row>
    <row r="316" spans="1:38" ht="16">
      <c r="A316" s="2761" t="s">
        <v>129</v>
      </c>
      <c r="D316" s="2762">
        <f>'Прайс лист'!G157</f>
        <v>215</v>
      </c>
      <c r="E316" s="300"/>
      <c r="G316" s="2755"/>
      <c r="H316" s="2752"/>
      <c r="I316" s="2763" t="s">
        <v>207</v>
      </c>
      <c r="J316" s="2752"/>
      <c r="K316" s="2752"/>
      <c r="S316" s="467"/>
      <c r="T316" s="2759"/>
      <c r="U316" s="2759"/>
      <c r="V316" s="2759"/>
      <c r="W316" s="2759"/>
      <c r="X316" s="2759"/>
      <c r="Y316" s="2759"/>
      <c r="Z316" s="2759"/>
      <c r="AG316" s="2421">
        <v>14.7</v>
      </c>
      <c r="AH316" s="2715">
        <f t="shared" si="25"/>
        <v>0.25656340004315881</v>
      </c>
      <c r="AI316" s="2715">
        <f t="shared" si="26"/>
        <v>0.25706340004315881</v>
      </c>
      <c r="AJ316" s="2715">
        <f t="shared" si="27"/>
        <v>0.25606340004315881</v>
      </c>
      <c r="AK316" s="2421">
        <f>IF(AND(дома!$Z$29&gt;=AJ316,дома!$Z$29&lt;=AI316),связи1!AG316,0)</f>
        <v>0</v>
      </c>
      <c r="AL316" s="2421">
        <f>IF(AND(дома!$AA$29&gt;=AJ316,дома!$AA$29&lt;=AI316),связи1!AG316,0)</f>
        <v>0</v>
      </c>
    </row>
    <row r="317" spans="1:38" ht="16">
      <c r="A317" s="2421" t="s">
        <v>4498</v>
      </c>
      <c r="B317" s="2421" t="s">
        <v>4499</v>
      </c>
      <c r="C317" s="2421" t="s">
        <v>4500</v>
      </c>
      <c r="D317" s="2421">
        <v>4000</v>
      </c>
      <c r="G317" s="2758"/>
      <c r="H317" s="2728"/>
      <c r="I317" s="2763" t="s">
        <v>4219</v>
      </c>
      <c r="J317" s="2728"/>
      <c r="K317" s="2728"/>
      <c r="S317" s="467"/>
      <c r="T317" s="2759"/>
      <c r="U317" s="2759"/>
      <c r="V317" s="2759"/>
      <c r="W317" s="2759"/>
      <c r="X317" s="2759"/>
      <c r="Y317" s="2759"/>
      <c r="Z317" s="2759"/>
      <c r="AG317" s="2421">
        <v>14.8</v>
      </c>
      <c r="AH317" s="2715">
        <f t="shared" si="25"/>
        <v>0.25830872929515308</v>
      </c>
      <c r="AI317" s="2715">
        <f t="shared" si="26"/>
        <v>0.25880872929515308</v>
      </c>
      <c r="AJ317" s="2715">
        <f t="shared" si="27"/>
        <v>0.25780872929515308</v>
      </c>
      <c r="AK317" s="2421">
        <f>IF(AND(дома!$Z$29&gt;=AJ317,дома!$Z$29&lt;=AI317),связи1!AG317,0)</f>
        <v>0</v>
      </c>
      <c r="AL317" s="2421">
        <f>IF(AND(дома!$AA$29&gt;=AJ317,дома!$AA$29&lt;=AI317),связи1!AG317,0)</f>
        <v>0</v>
      </c>
    </row>
    <row r="318" spans="1:38" ht="16">
      <c r="A318" s="98" t="s">
        <v>203</v>
      </c>
      <c r="D318" s="2743">
        <v>2100</v>
      </c>
      <c r="E318" s="2764"/>
      <c r="G318" s="2758"/>
      <c r="H318" s="2728"/>
      <c r="I318" s="2763" t="s">
        <v>4200</v>
      </c>
      <c r="J318" s="2728"/>
      <c r="K318" s="2728"/>
      <c r="S318" s="467"/>
      <c r="T318" s="2759"/>
      <c r="U318" s="2759"/>
      <c r="V318" s="2759"/>
      <c r="W318" s="2759"/>
      <c r="X318" s="2759"/>
      <c r="Y318" s="2759"/>
      <c r="Z318" s="2759"/>
      <c r="AG318" s="2421">
        <v>14.9</v>
      </c>
      <c r="AH318" s="2715">
        <f t="shared" si="25"/>
        <v>0.26005405854714736</v>
      </c>
      <c r="AI318" s="2715">
        <f t="shared" si="26"/>
        <v>0.26055405854714736</v>
      </c>
      <c r="AJ318" s="2715">
        <f t="shared" si="27"/>
        <v>0.25955405854714736</v>
      </c>
      <c r="AK318" s="2421">
        <f>IF(AND(дома!$Z$29&gt;=AJ318,дома!$Z$29&lt;=AI318),связи1!AG318,0)</f>
        <v>0</v>
      </c>
      <c r="AL318" s="2421">
        <f>IF(AND(дома!$AA$29&gt;=AJ318,дома!$AA$29&lt;=AI318),связи1!AG318,0)</f>
        <v>0</v>
      </c>
    </row>
    <row r="319" spans="1:38" ht="16">
      <c r="A319" s="98" t="s">
        <v>204</v>
      </c>
      <c r="D319" s="2743">
        <v>2500</v>
      </c>
      <c r="E319" s="2764"/>
      <c r="G319" s="2752"/>
      <c r="H319" s="2752"/>
      <c r="I319" s="2763" t="s">
        <v>4202</v>
      </c>
      <c r="J319" s="2752"/>
      <c r="K319" s="2752"/>
      <c r="S319" s="467"/>
      <c r="T319" s="2759"/>
      <c r="U319" s="2759"/>
      <c r="V319" s="2759"/>
      <c r="W319" s="2759"/>
      <c r="X319" s="2759"/>
      <c r="Y319" s="2759"/>
      <c r="Z319" s="2759"/>
      <c r="AG319" s="2421">
        <v>15</v>
      </c>
      <c r="AH319" s="2715">
        <f t="shared" si="25"/>
        <v>0.26179938779914169</v>
      </c>
      <c r="AI319" s="2715">
        <f t="shared" si="26"/>
        <v>0.26229938779914169</v>
      </c>
      <c r="AJ319" s="2715">
        <f t="shared" si="27"/>
        <v>0.26129938779914169</v>
      </c>
      <c r="AK319" s="2421">
        <f>IF(AND(дома!$Z$29&gt;=AJ319,дома!$Z$29&lt;=AI319),связи1!AG319,0)</f>
        <v>0</v>
      </c>
      <c r="AL319" s="2421">
        <f>IF(AND(дома!$AA$29&gt;=AJ319,дома!$AA$29&lt;=AI319),связи1!AG319,0)</f>
        <v>0</v>
      </c>
    </row>
    <row r="320" spans="1:38" ht="16">
      <c r="A320" s="98" t="s">
        <v>205</v>
      </c>
      <c r="D320" s="2743">
        <v>3000</v>
      </c>
      <c r="E320" s="2764"/>
      <c r="G320" s="2729"/>
      <c r="H320" s="2728"/>
      <c r="I320" s="279" t="s">
        <v>4501</v>
      </c>
      <c r="J320" s="2728"/>
      <c r="K320" s="2728"/>
      <c r="S320" s="467"/>
      <c r="T320" s="2759"/>
      <c r="U320" s="2759"/>
      <c r="V320" s="2759"/>
      <c r="W320" s="2759"/>
      <c r="X320" s="2759"/>
      <c r="Y320" s="2759"/>
      <c r="Z320" s="2759"/>
      <c r="AG320" s="2421">
        <v>15.1</v>
      </c>
      <c r="AH320" s="2715">
        <f t="shared" si="25"/>
        <v>0.26354471705113591</v>
      </c>
      <c r="AI320" s="2715">
        <f t="shared" si="26"/>
        <v>0.26404471705113591</v>
      </c>
      <c r="AJ320" s="2715">
        <f t="shared" si="27"/>
        <v>0.26304471705113591</v>
      </c>
      <c r="AK320" s="2421">
        <f>IF(AND(дома!$Z$29&gt;=AJ320,дома!$Z$29&lt;=AI320),связи1!AG320,0)</f>
        <v>0</v>
      </c>
      <c r="AL320" s="2421">
        <f>IF(AND(дома!$AA$29&gt;=AJ320,дома!$AA$29&lt;=AI320),связи1!AG320,0)</f>
        <v>0</v>
      </c>
    </row>
    <row r="321" spans="1:38" ht="16">
      <c r="A321" s="98" t="s">
        <v>206</v>
      </c>
      <c r="D321" s="2743">
        <v>3500</v>
      </c>
      <c r="E321" s="2764"/>
      <c r="G321" s="2729"/>
      <c r="H321" s="2728"/>
      <c r="I321" s="279" t="s">
        <v>4502</v>
      </c>
      <c r="J321" s="2728"/>
      <c r="K321" s="2728"/>
      <c r="S321" s="467"/>
      <c r="T321" s="2759"/>
      <c r="U321" s="2759"/>
      <c r="V321" s="2759"/>
      <c r="W321" s="2759"/>
      <c r="X321" s="2759"/>
      <c r="Y321" s="2759"/>
      <c r="Z321" s="2759"/>
      <c r="AG321" s="2421">
        <v>15.2</v>
      </c>
      <c r="AH321" s="2715">
        <f t="shared" si="25"/>
        <v>0.26529004630313019</v>
      </c>
      <c r="AI321" s="2715">
        <f t="shared" si="26"/>
        <v>0.26579004630313019</v>
      </c>
      <c r="AJ321" s="2715">
        <f t="shared" si="27"/>
        <v>0.26479004630313019</v>
      </c>
      <c r="AK321" s="2421">
        <f>IF(AND(дома!$Z$29&gt;=AJ321,дома!$Z$29&lt;=AI321),связи1!AG321,0)</f>
        <v>0</v>
      </c>
      <c r="AL321" s="2421">
        <f>IF(AND(дома!$AA$29&gt;=AJ321,дома!$AA$29&lt;=AI321),связи1!AG321,0)</f>
        <v>0</v>
      </c>
    </row>
    <row r="322" spans="1:38" ht="16">
      <c r="G322" s="2752"/>
      <c r="H322" s="2752"/>
      <c r="I322" s="279" t="s">
        <v>4503</v>
      </c>
      <c r="J322" s="2752"/>
      <c r="K322" s="2752"/>
      <c r="S322" s="467"/>
      <c r="T322" s="2759"/>
      <c r="U322" s="2759"/>
      <c r="V322" s="2759"/>
      <c r="W322" s="2759"/>
      <c r="X322" s="2759"/>
      <c r="Y322" s="2759"/>
      <c r="Z322" s="2759"/>
      <c r="AG322" s="2421">
        <v>15.3</v>
      </c>
      <c r="AH322" s="2715">
        <f t="shared" si="25"/>
        <v>0.26703537555512447</v>
      </c>
      <c r="AI322" s="2715">
        <f t="shared" si="26"/>
        <v>0.26753537555512447</v>
      </c>
      <c r="AJ322" s="2715">
        <f t="shared" si="27"/>
        <v>0.26653537555512447</v>
      </c>
      <c r="AK322" s="2421">
        <f>IF(AND(дома!$Z$29&gt;=AJ322,дома!$Z$29&lt;=AI322),связи1!AG322,0)</f>
        <v>0</v>
      </c>
      <c r="AL322" s="2421">
        <f>IF(AND(дома!$AA$29&gt;=AJ322,дома!$AA$29&lt;=AI322),связи1!AG322,0)</f>
        <v>0</v>
      </c>
    </row>
    <row r="323" spans="1:38" ht="16">
      <c r="G323" s="2729"/>
      <c r="H323" s="2728"/>
      <c r="I323" s="279" t="s">
        <v>4504</v>
      </c>
      <c r="J323" s="2728"/>
      <c r="K323" s="2728"/>
      <c r="S323" s="467"/>
      <c r="T323" s="2759"/>
      <c r="U323" s="2759"/>
      <c r="V323" s="2759"/>
      <c r="W323" s="2759"/>
      <c r="X323" s="2759"/>
      <c r="Y323" s="2759"/>
      <c r="Z323" s="2759"/>
      <c r="AG323" s="2421">
        <v>15.4</v>
      </c>
      <c r="AH323" s="2715">
        <f t="shared" si="25"/>
        <v>0.2687807048071188</v>
      </c>
      <c r="AI323" s="2715">
        <f t="shared" si="26"/>
        <v>0.2692807048071188</v>
      </c>
      <c r="AJ323" s="2715">
        <f t="shared" si="27"/>
        <v>0.2682807048071188</v>
      </c>
      <c r="AK323" s="2421">
        <f>IF(AND(дома!$Z$29&gt;=AJ323,дома!$Z$29&lt;=AI323),связи1!AG323,0)</f>
        <v>0</v>
      </c>
      <c r="AL323" s="2421">
        <f>IF(AND(дома!$AA$29&gt;=AJ323,дома!$AA$29&lt;=AI323),связи1!AG323,0)</f>
        <v>0</v>
      </c>
    </row>
    <row r="324" spans="1:38" ht="16">
      <c r="G324" s="2729"/>
      <c r="H324" s="2728"/>
      <c r="I324" s="279" t="s">
        <v>4505</v>
      </c>
      <c r="J324" s="2728"/>
      <c r="K324" s="2728"/>
      <c r="AG324" s="2421">
        <v>15.5</v>
      </c>
      <c r="AH324" s="2715">
        <f t="shared" si="25"/>
        <v>0.27052603405911307</v>
      </c>
      <c r="AI324" s="2715">
        <f t="shared" si="26"/>
        <v>0.27102603405911307</v>
      </c>
      <c r="AJ324" s="2715">
        <f t="shared" si="27"/>
        <v>0.27002603405911307</v>
      </c>
      <c r="AK324" s="2421">
        <f>IF(AND(дома!$Z$29&gt;=AJ324,дома!$Z$29&lt;=AI324),связи1!AG324,0)</f>
        <v>0</v>
      </c>
      <c r="AL324" s="2421">
        <f>IF(AND(дома!$AA$29&gt;=AJ324,дома!$AA$29&lt;=AI324),связи1!AG324,0)</f>
        <v>0</v>
      </c>
    </row>
    <row r="325" spans="1:38">
      <c r="E325" s="2379">
        <v>1</v>
      </c>
      <c r="F325" s="2379">
        <v>2</v>
      </c>
      <c r="G325" s="2708"/>
      <c r="H325" s="2728"/>
      <c r="I325" s="2708"/>
      <c r="J325" s="2708"/>
      <c r="K325" s="2708"/>
      <c r="AG325" s="2421">
        <v>15.6</v>
      </c>
      <c r="AH325" s="2715">
        <f t="shared" si="25"/>
        <v>0.2722713633111073</v>
      </c>
      <c r="AI325" s="2715">
        <f t="shared" si="26"/>
        <v>0.2727713633111073</v>
      </c>
      <c r="AJ325" s="2715">
        <f t="shared" si="27"/>
        <v>0.27177136331110729</v>
      </c>
      <c r="AK325" s="2421">
        <f>IF(AND(дома!$Z$29&gt;=AJ325,дома!$Z$29&lt;=AI325),связи1!AG325,0)</f>
        <v>0</v>
      </c>
      <c r="AL325" s="2421">
        <f>IF(AND(дома!$AA$29&gt;=AJ325,дома!$AA$29&lt;=AI325),связи1!AG325,0)</f>
        <v>0</v>
      </c>
    </row>
    <row r="326" spans="1:38" ht="16">
      <c r="A326" s="2519" t="s">
        <v>4506</v>
      </c>
      <c r="B326" s="2765" t="s">
        <v>120</v>
      </c>
      <c r="C326" s="2520" t="s">
        <v>1800</v>
      </c>
      <c r="D326" s="2520" t="s">
        <v>293</v>
      </c>
      <c r="E326" s="2766" t="s">
        <v>1802</v>
      </c>
      <c r="F326" s="2767" t="s">
        <v>4507</v>
      </c>
      <c r="G326" s="2768" t="s">
        <v>1800</v>
      </c>
      <c r="H326" s="2769" t="s">
        <v>293</v>
      </c>
      <c r="I326" s="2769" t="s">
        <v>1698</v>
      </c>
      <c r="J326" s="2770" t="s">
        <v>4508</v>
      </c>
      <c r="K326" s="2770" t="s">
        <v>3696</v>
      </c>
      <c r="AG326" s="2421">
        <v>15.7</v>
      </c>
      <c r="AH326" s="2715">
        <f t="shared" si="25"/>
        <v>0.27401669256310157</v>
      </c>
      <c r="AI326" s="2715">
        <f t="shared" si="26"/>
        <v>0.27451669256310157</v>
      </c>
      <c r="AJ326" s="2715">
        <f t="shared" si="27"/>
        <v>0.27351669256310157</v>
      </c>
      <c r="AK326" s="2421">
        <f>IF(AND(дома!$Z$29&gt;=AJ326,дома!$Z$29&lt;=AI326),связи1!AG326,0)</f>
        <v>0</v>
      </c>
      <c r="AL326" s="2421">
        <f>IF(AND(дома!$AA$29&gt;=AJ326,дома!$AA$29&lt;=AI326),связи1!AG326,0)</f>
        <v>0</v>
      </c>
    </row>
    <row r="327" spans="1:38" ht="16">
      <c r="A327" s="223" t="s">
        <v>4509</v>
      </c>
      <c r="B327" s="2450" t="s">
        <v>156</v>
      </c>
      <c r="C327" s="2771">
        <f>'Ввод данных'!C68</f>
        <v>1</v>
      </c>
      <c r="D327" s="2771">
        <f>'Ввод данных'!D68</f>
        <v>1.2</v>
      </c>
      <c r="E327" s="2772">
        <f>'Ввод данных'!E68</f>
        <v>1</v>
      </c>
      <c r="F327" s="1055">
        <f t="shared" ref="F327:F353" si="28">C327+0.4</f>
        <v>1.4</v>
      </c>
      <c r="G327" s="2421">
        <f>VLOOKUP('Ввод данных'!$A$1075,связи1!$A$255:$F$296,3,0)</f>
        <v>100</v>
      </c>
      <c r="H327" s="2421">
        <f>VLOOKUP('Ввод данных'!A1075,связи1!A255:F296,2,0)</f>
        <v>200</v>
      </c>
      <c r="I327" s="2421">
        <f t="shared" ref="I327:I353" si="29">E327*F327*G327*H327/1000000</f>
        <v>2.8000000000000001E-2</v>
      </c>
      <c r="J327" s="2421">
        <v>1000</v>
      </c>
      <c r="K327" s="2421">
        <f t="shared" ref="K327:K353" si="30">F327*J327</f>
        <v>1400</v>
      </c>
      <c r="AG327" s="2421">
        <v>15.8</v>
      </c>
      <c r="AH327" s="2715">
        <f t="shared" si="25"/>
        <v>0.27576202181509585</v>
      </c>
      <c r="AI327" s="2715">
        <f t="shared" si="26"/>
        <v>0.27626202181509585</v>
      </c>
      <c r="AJ327" s="2715">
        <f t="shared" si="27"/>
        <v>0.27526202181509585</v>
      </c>
      <c r="AK327" s="2421">
        <f>IF(AND(дома!$Z$29&gt;=AJ327,дома!$Z$29&lt;=AI327),связи1!AG327,0)</f>
        <v>0</v>
      </c>
      <c r="AL327" s="2421">
        <f>IF(AND(дома!$AA$29&gt;=AJ327,дома!$AA$29&lt;=AI327),связи1!AG327,0)</f>
        <v>0</v>
      </c>
    </row>
    <row r="328" spans="1:38" ht="16">
      <c r="A328" s="223" t="s">
        <v>4510</v>
      </c>
      <c r="B328" s="2450" t="s">
        <v>156</v>
      </c>
      <c r="C328" s="2771">
        <f>'Ввод данных'!C69</f>
        <v>0.6</v>
      </c>
      <c r="D328" s="2771">
        <f>'Ввод данных'!D69</f>
        <v>0.6</v>
      </c>
      <c r="E328" s="2772">
        <f>'Ввод данных'!E69</f>
        <v>0</v>
      </c>
      <c r="F328" s="1055">
        <f t="shared" si="28"/>
        <v>1</v>
      </c>
      <c r="G328" s="2421">
        <f>VLOOKUP('Ввод данных'!$A$1075,связи1!$A$255:$F$296,3,0)</f>
        <v>100</v>
      </c>
      <c r="H328" s="2421">
        <f>VLOOKUP('Ввод данных'!A1075,связи1!A255:F296,2,0)</f>
        <v>200</v>
      </c>
      <c r="I328" s="2421">
        <f t="shared" si="29"/>
        <v>0</v>
      </c>
      <c r="J328" s="2421">
        <v>1000</v>
      </c>
      <c r="K328" s="2421">
        <f t="shared" si="30"/>
        <v>1000</v>
      </c>
      <c r="AG328" s="2421">
        <v>15.9</v>
      </c>
      <c r="AH328" s="2715">
        <f t="shared" si="25"/>
        <v>0.27750735106709018</v>
      </c>
      <c r="AI328" s="2715">
        <f t="shared" si="26"/>
        <v>0.27800735106709018</v>
      </c>
      <c r="AJ328" s="2715">
        <f t="shared" si="27"/>
        <v>0.27700735106709018</v>
      </c>
      <c r="AK328" s="2421">
        <f>IF(AND(дома!$Z$29&gt;=AJ328,дома!$Z$29&lt;=AI328),связи1!AG328,0)</f>
        <v>0</v>
      </c>
      <c r="AL328" s="2421">
        <f>IF(AND(дома!$AA$29&gt;=AJ328,дома!$AA$29&lt;=AI328),связи1!AG328,0)</f>
        <v>0</v>
      </c>
    </row>
    <row r="329" spans="1:38" ht="16">
      <c r="A329" s="223" t="s">
        <v>4511</v>
      </c>
      <c r="B329" s="2450" t="s">
        <v>156</v>
      </c>
      <c r="C329" s="2771">
        <f>'Ввод данных'!C70</f>
        <v>1</v>
      </c>
      <c r="D329" s="2771">
        <f>'Ввод данных'!D70</f>
        <v>2</v>
      </c>
      <c r="E329" s="2772">
        <f>'Ввод данных'!E70</f>
        <v>0</v>
      </c>
      <c r="F329" s="1055">
        <f t="shared" si="28"/>
        <v>1.4</v>
      </c>
      <c r="G329" s="2421">
        <f>VLOOKUP('Ввод данных'!$A$1075,связи1!$A$255:$F$296,3,0)</f>
        <v>100</v>
      </c>
      <c r="H329" s="2421">
        <f>VLOOKUP('Ввод данных'!A1075,связи1!A255:F296,2,0)</f>
        <v>200</v>
      </c>
      <c r="I329" s="2421">
        <f t="shared" si="29"/>
        <v>0</v>
      </c>
      <c r="J329" s="2421">
        <v>1000</v>
      </c>
      <c r="K329" s="2421">
        <f t="shared" si="30"/>
        <v>1400</v>
      </c>
      <c r="AG329" s="2421">
        <v>16</v>
      </c>
      <c r="AH329" s="2715">
        <f t="shared" si="25"/>
        <v>0.27925268031908446</v>
      </c>
      <c r="AI329" s="2715">
        <f t="shared" si="26"/>
        <v>0.27975268031908446</v>
      </c>
      <c r="AJ329" s="2715">
        <f t="shared" si="27"/>
        <v>0.27875268031908446</v>
      </c>
      <c r="AK329" s="2421">
        <f>IF(AND(дома!$Z$29&gt;=AJ329,дома!$Z$29&lt;=AI329),связи1!AG329,0)</f>
        <v>0</v>
      </c>
      <c r="AL329" s="2421">
        <f>IF(AND(дома!$AA$29&gt;=AJ329,дома!$AA$29&lt;=AI329),связи1!AG329,0)</f>
        <v>0</v>
      </c>
    </row>
    <row r="330" spans="1:38" ht="16">
      <c r="A330" s="223" t="s">
        <v>4512</v>
      </c>
      <c r="B330" s="2773" t="s">
        <v>156</v>
      </c>
      <c r="C330" s="2771">
        <f>'Ввод данных'!C71</f>
        <v>0.6</v>
      </c>
      <c r="D330" s="2771">
        <f>'Ввод данных'!D71</f>
        <v>1.5</v>
      </c>
      <c r="E330" s="2772">
        <f>'Ввод данных'!E71</f>
        <v>0</v>
      </c>
      <c r="F330" s="1055">
        <f t="shared" si="28"/>
        <v>1</v>
      </c>
      <c r="G330" s="2421">
        <f>VLOOKUP('Ввод данных'!$A$1075,связи1!$A$255:$F$296,3,0)</f>
        <v>100</v>
      </c>
      <c r="H330" s="2421">
        <f>VLOOKUP('Ввод данных'!A1075,связи1!A255:F296,2,0)</f>
        <v>200</v>
      </c>
      <c r="I330" s="2421">
        <f t="shared" si="29"/>
        <v>0</v>
      </c>
      <c r="J330" s="2421">
        <v>1000</v>
      </c>
      <c r="K330" s="2421">
        <f t="shared" si="30"/>
        <v>1000</v>
      </c>
      <c r="AG330" s="2421">
        <v>16.100000000000001</v>
      </c>
      <c r="AH330" s="2715">
        <f t="shared" si="25"/>
        <v>0.28099800957107873</v>
      </c>
      <c r="AI330" s="2715">
        <f t="shared" si="26"/>
        <v>0.28149800957107873</v>
      </c>
      <c r="AJ330" s="2715">
        <f t="shared" si="27"/>
        <v>0.28049800957107873</v>
      </c>
      <c r="AK330" s="2421">
        <f>IF(AND(дома!$Z$29&gt;=AJ330,дома!$Z$29&lt;=AI330),связи1!AG330,0)</f>
        <v>0</v>
      </c>
      <c r="AL330" s="2421">
        <f>IF(AND(дома!$AA$29&gt;=AJ330,дома!$AA$29&lt;=AI330),связи1!AG330,0)</f>
        <v>0</v>
      </c>
    </row>
    <row r="331" spans="1:38" ht="16">
      <c r="A331" s="223" t="s">
        <v>4513</v>
      </c>
      <c r="B331" s="2773" t="s">
        <v>156</v>
      </c>
      <c r="C331" s="2771">
        <f>'Ввод данных'!C72</f>
        <v>0.5</v>
      </c>
      <c r="D331" s="2771">
        <f>'Ввод данных'!D72</f>
        <v>1.5</v>
      </c>
      <c r="E331" s="2772">
        <f>'Ввод данных'!E72</f>
        <v>0</v>
      </c>
      <c r="F331" s="1055">
        <f t="shared" si="28"/>
        <v>0.9</v>
      </c>
      <c r="G331" s="2421">
        <f>VLOOKUP('Ввод данных'!$A$1075,связи1!$A$255:$F$296,3,0)</f>
        <v>100</v>
      </c>
      <c r="H331" s="2421">
        <f>VLOOKUP('Ввод данных'!A1075,связи1!A255:F296,2,0)</f>
        <v>200</v>
      </c>
      <c r="I331" s="2421">
        <f t="shared" si="29"/>
        <v>0</v>
      </c>
      <c r="J331" s="2421">
        <v>1000</v>
      </c>
      <c r="K331" s="2421">
        <f t="shared" si="30"/>
        <v>900</v>
      </c>
      <c r="AG331" s="2421">
        <v>16.2</v>
      </c>
      <c r="AH331" s="2715">
        <f t="shared" si="25"/>
        <v>0.28274333882307301</v>
      </c>
      <c r="AI331" s="2715">
        <f t="shared" si="26"/>
        <v>0.28324333882307301</v>
      </c>
      <c r="AJ331" s="2715">
        <f t="shared" si="27"/>
        <v>0.28224333882307301</v>
      </c>
      <c r="AK331" s="2421">
        <f>IF(AND(дома!$Z$29&gt;=AJ331,дома!$Z$29&lt;=AI331),связи1!AG331,0)</f>
        <v>0</v>
      </c>
      <c r="AL331" s="2421">
        <f>IF(AND(дома!$AA$29&gt;=AJ331,дома!$AA$29&lt;=AI331),связи1!AG331,0)</f>
        <v>0</v>
      </c>
    </row>
    <row r="332" spans="1:38" ht="16">
      <c r="A332" s="223" t="s">
        <v>4514</v>
      </c>
      <c r="B332" s="2773" t="s">
        <v>156</v>
      </c>
      <c r="C332" s="2771">
        <f>'Ввод данных'!C77</f>
        <v>0.6</v>
      </c>
      <c r="D332" s="2771">
        <f>'Ввод данных'!D77</f>
        <v>0.6</v>
      </c>
      <c r="E332" s="2772">
        <f>'Ввод данных'!E77</f>
        <v>0</v>
      </c>
      <c r="F332" s="1055">
        <f t="shared" si="28"/>
        <v>1</v>
      </c>
      <c r="G332" s="2421">
        <f>VLOOKUP('Ввод данных'!$A$1075,связи1!$A$255:$F$296,3,0)</f>
        <v>100</v>
      </c>
      <c r="H332" s="2421">
        <f>VLOOKUP('Ввод данных'!A1075,связи1!A255:F296,2,0)</f>
        <v>200</v>
      </c>
      <c r="I332" s="2421">
        <f t="shared" si="29"/>
        <v>0</v>
      </c>
      <c r="J332" s="2421">
        <v>1000</v>
      </c>
      <c r="K332" s="2421">
        <f t="shared" si="30"/>
        <v>1000</v>
      </c>
      <c r="AG332" s="2421">
        <v>16.3</v>
      </c>
      <c r="AH332" s="2715">
        <f t="shared" si="25"/>
        <v>0.28448866807506729</v>
      </c>
      <c r="AI332" s="2715">
        <f t="shared" si="26"/>
        <v>0.28498866807506729</v>
      </c>
      <c r="AJ332" s="2715">
        <f t="shared" si="27"/>
        <v>0.28398866807506729</v>
      </c>
      <c r="AK332" s="2421">
        <f>IF(AND(дома!$Z$29&gt;=AJ332,дома!$Z$29&lt;=AI332),связи1!AG332,0)</f>
        <v>0</v>
      </c>
      <c r="AL332" s="2421">
        <f>IF(AND(дома!$AA$29&gt;=AJ332,дома!$AA$29&lt;=AI332),связи1!AG332,0)</f>
        <v>0</v>
      </c>
    </row>
    <row r="333" spans="1:38" ht="16">
      <c r="A333" s="223" t="s">
        <v>4515</v>
      </c>
      <c r="B333" s="2773" t="s">
        <v>156</v>
      </c>
      <c r="C333" s="2771">
        <f>'Ввод данных'!C78</f>
        <v>0.8</v>
      </c>
      <c r="D333" s="2771">
        <f>'Ввод данных'!D78</f>
        <v>0.8</v>
      </c>
      <c r="E333" s="2772">
        <f>'Ввод данных'!E78</f>
        <v>0</v>
      </c>
      <c r="F333" s="1055">
        <f t="shared" si="28"/>
        <v>1.2000000000000002</v>
      </c>
      <c r="G333" s="2421">
        <f>VLOOKUP('Ввод данных'!$A$1075,связи1!$A$255:$F$296,3,0)</f>
        <v>100</v>
      </c>
      <c r="H333" s="2421">
        <f>VLOOKUP('Ввод данных'!A1075,связи1!A255:F296,2,0)</f>
        <v>200</v>
      </c>
      <c r="I333" s="2421">
        <f t="shared" si="29"/>
        <v>0</v>
      </c>
      <c r="J333" s="2421">
        <v>1000</v>
      </c>
      <c r="K333" s="2421">
        <f t="shared" si="30"/>
        <v>1200.0000000000002</v>
      </c>
      <c r="AG333" s="2421">
        <v>16.399999999999999</v>
      </c>
      <c r="AH333" s="2715">
        <f t="shared" si="25"/>
        <v>0.28623399732706151</v>
      </c>
      <c r="AI333" s="2715">
        <f t="shared" si="26"/>
        <v>0.28673399732706151</v>
      </c>
      <c r="AJ333" s="2715">
        <f t="shared" si="27"/>
        <v>0.28573399732706151</v>
      </c>
      <c r="AK333" s="2421">
        <f>IF(AND(дома!$Z$29&gt;=AJ333,дома!$Z$29&lt;=AI333),связи1!AG333,0)</f>
        <v>0</v>
      </c>
      <c r="AL333" s="2421">
        <f>IF(AND(дома!$AA$29&gt;=AJ333,дома!$AA$29&lt;=AI333),связи1!AG333,0)</f>
        <v>0</v>
      </c>
    </row>
    <row r="334" spans="1:38" ht="16">
      <c r="A334" s="223" t="s">
        <v>4516</v>
      </c>
      <c r="B334" s="2773" t="s">
        <v>156</v>
      </c>
      <c r="C334" s="2771">
        <f>'Ввод данных'!C79</f>
        <v>1</v>
      </c>
      <c r="D334" s="2771">
        <f>'Ввод данных'!D79</f>
        <v>0.7</v>
      </c>
      <c r="E334" s="2772">
        <f>'Ввод данных'!E79</f>
        <v>0</v>
      </c>
      <c r="F334" s="1055">
        <f t="shared" si="28"/>
        <v>1.4</v>
      </c>
      <c r="G334" s="2421">
        <f>VLOOKUP('Ввод данных'!$A$1075,связи1!$A$255:$F$296,3,0)</f>
        <v>100</v>
      </c>
      <c r="H334" s="2421">
        <f>VLOOKUP('Ввод данных'!A1075,связи1!A255:F296,2,0)</f>
        <v>200</v>
      </c>
      <c r="I334" s="2421">
        <f t="shared" si="29"/>
        <v>0</v>
      </c>
      <c r="J334" s="2421">
        <v>1000</v>
      </c>
      <c r="K334" s="2421">
        <f t="shared" si="30"/>
        <v>1400</v>
      </c>
      <c r="AG334" s="2421">
        <v>16.5</v>
      </c>
      <c r="AH334" s="2715">
        <f t="shared" si="25"/>
        <v>0.28797932657905584</v>
      </c>
      <c r="AI334" s="2715">
        <f t="shared" si="26"/>
        <v>0.28847932657905584</v>
      </c>
      <c r="AJ334" s="2715">
        <f t="shared" si="27"/>
        <v>0.28747932657905584</v>
      </c>
      <c r="AK334" s="2421">
        <f>IF(AND(дома!$Z$29&gt;=AJ334,дома!$Z$29&lt;=AI334),связи1!AG334,0)</f>
        <v>0</v>
      </c>
      <c r="AL334" s="2421">
        <f>IF(AND(дома!$AA$29&gt;=AJ334,дома!$AA$29&lt;=AI334),связи1!AG334,0)</f>
        <v>0</v>
      </c>
    </row>
    <row r="335" spans="1:38" ht="16">
      <c r="A335" s="223" t="s">
        <v>4517</v>
      </c>
      <c r="B335" s="2773" t="s">
        <v>156</v>
      </c>
      <c r="C335" s="2771">
        <f>'Ввод данных'!C80</f>
        <v>5</v>
      </c>
      <c r="D335" s="2771">
        <f>'Ввод данных'!D80</f>
        <v>3</v>
      </c>
      <c r="E335" s="2772">
        <f>'Ввод данных'!E80</f>
        <v>0</v>
      </c>
      <c r="F335" s="1055">
        <f t="shared" si="28"/>
        <v>5.4</v>
      </c>
      <c r="G335" s="2421">
        <f>VLOOKUP('Ввод данных'!$A$1075,связи1!$A$255:$F$296,3,0)</f>
        <v>100</v>
      </c>
      <c r="H335" s="2421">
        <f>VLOOKUP('Ввод данных'!A1075,связи1!A255:F296,2,0)</f>
        <v>200</v>
      </c>
      <c r="I335" s="2421">
        <f t="shared" si="29"/>
        <v>0</v>
      </c>
      <c r="J335" s="2421">
        <v>1000</v>
      </c>
      <c r="K335" s="2421">
        <f t="shared" si="30"/>
        <v>5400</v>
      </c>
      <c r="AG335" s="2421">
        <v>16.600000000000001</v>
      </c>
      <c r="AH335" s="2715">
        <f t="shared" si="25"/>
        <v>0.28972465583105012</v>
      </c>
      <c r="AI335" s="2715">
        <f t="shared" si="26"/>
        <v>0.29022465583105012</v>
      </c>
      <c r="AJ335" s="2715">
        <f t="shared" si="27"/>
        <v>0.28922465583105011</v>
      </c>
      <c r="AK335" s="2421">
        <f>IF(AND(дома!$Z$29&gt;=AJ335,дома!$Z$29&lt;=AI335),связи1!AG335,0)</f>
        <v>0</v>
      </c>
      <c r="AL335" s="2421">
        <f>IF(AND(дома!$AA$29&gt;=AJ335,дома!$AA$29&lt;=AI335),связи1!AG335,0)</f>
        <v>0</v>
      </c>
    </row>
    <row r="336" spans="1:38" ht="16">
      <c r="A336" s="223" t="s">
        <v>4518</v>
      </c>
      <c r="B336" s="2773" t="s">
        <v>156</v>
      </c>
      <c r="C336" s="2771">
        <f>'Ввод данных'!C81</f>
        <v>6</v>
      </c>
      <c r="D336" s="2771">
        <f>'Ввод данных'!D81</f>
        <v>2</v>
      </c>
      <c r="E336" s="2772">
        <f>'Ввод данных'!E81</f>
        <v>0</v>
      </c>
      <c r="F336" s="1055">
        <f t="shared" si="28"/>
        <v>6.4</v>
      </c>
      <c r="G336" s="2421">
        <f>VLOOKUP('Ввод данных'!$A$1075,связи1!$A$255:$F$296,3,0)</f>
        <v>100</v>
      </c>
      <c r="H336" s="2421">
        <f>VLOOKUP('Ввод данных'!A1075,связи1!A255:F296,2,0)</f>
        <v>200</v>
      </c>
      <c r="I336" s="2421">
        <f t="shared" si="29"/>
        <v>0</v>
      </c>
      <c r="J336" s="2421">
        <v>1000</v>
      </c>
      <c r="K336" s="2421">
        <f t="shared" si="30"/>
        <v>6400</v>
      </c>
      <c r="AG336" s="2421">
        <v>16.7</v>
      </c>
      <c r="AH336" s="2715">
        <f t="shared" si="25"/>
        <v>0.29146998508304439</v>
      </c>
      <c r="AI336" s="2715">
        <f t="shared" si="26"/>
        <v>0.29196998508304439</v>
      </c>
      <c r="AJ336" s="2715">
        <f t="shared" si="27"/>
        <v>0.29096998508304439</v>
      </c>
      <c r="AK336" s="2421">
        <f>IF(AND(дома!$Z$29&gt;=AJ336,дома!$Z$29&lt;=AI336),связи1!AG336,0)</f>
        <v>0</v>
      </c>
      <c r="AL336" s="2421">
        <f>IF(AND(дома!$AA$29&gt;=AJ336,дома!$AA$29&lt;=AI336),связи1!AG336,0)</f>
        <v>0</v>
      </c>
    </row>
    <row r="337" spans="1:38" ht="16">
      <c r="A337" s="2449" t="s">
        <v>4519</v>
      </c>
      <c r="B337" s="2450" t="s">
        <v>156</v>
      </c>
      <c r="C337" s="2771">
        <f>'Ввод данных'!C73</f>
        <v>0.8</v>
      </c>
      <c r="D337" s="2771">
        <f>'Ввод данных'!D73</f>
        <v>2.1</v>
      </c>
      <c r="E337" s="2772">
        <f>'Ввод данных'!E73</f>
        <v>0</v>
      </c>
      <c r="F337" s="1055">
        <f t="shared" si="28"/>
        <v>1.2000000000000002</v>
      </c>
      <c r="G337" s="2421">
        <f>VLOOKUP('Ввод данных'!$A$1075,связи1!$A$255:$F$296,3,0)</f>
        <v>100</v>
      </c>
      <c r="H337" s="2421">
        <f>VLOOKUP('Ввод данных'!A1075,связи1!A255:F296,2,0)</f>
        <v>200</v>
      </c>
      <c r="I337" s="2421">
        <f t="shared" si="29"/>
        <v>0</v>
      </c>
      <c r="J337" s="2421">
        <v>1000</v>
      </c>
      <c r="K337" s="2421">
        <f t="shared" si="30"/>
        <v>1200.0000000000002</v>
      </c>
      <c r="AG337" s="2421">
        <v>16.8</v>
      </c>
      <c r="AH337" s="2715">
        <f t="shared" si="25"/>
        <v>0.29321531433503867</v>
      </c>
      <c r="AI337" s="2715">
        <f t="shared" si="26"/>
        <v>0.29371531433503867</v>
      </c>
      <c r="AJ337" s="2715">
        <f t="shared" si="27"/>
        <v>0.29271531433503867</v>
      </c>
      <c r="AK337" s="2421">
        <f>IF(AND(дома!$Z$29&gt;=AJ337,дома!$Z$29&lt;=AI337),связи1!AG337,0)</f>
        <v>0</v>
      </c>
      <c r="AL337" s="2421">
        <f>IF(AND(дома!$AA$29&gt;=AJ337,дома!$AA$29&lt;=AI337),связи1!AG337,0)</f>
        <v>0</v>
      </c>
    </row>
    <row r="338" spans="1:38" ht="16">
      <c r="A338" s="2449" t="s">
        <v>4520</v>
      </c>
      <c r="B338" s="2450" t="s">
        <v>156</v>
      </c>
      <c r="C338" s="2771">
        <f>'Ввод данных'!C82</f>
        <v>0.8</v>
      </c>
      <c r="D338" s="2771">
        <f>'Ввод данных'!D82</f>
        <v>2.1</v>
      </c>
      <c r="E338" s="2772">
        <f>'Ввод данных'!E82</f>
        <v>0</v>
      </c>
      <c r="F338" s="1055">
        <f t="shared" si="28"/>
        <v>1.2000000000000002</v>
      </c>
      <c r="G338" s="2421">
        <f>VLOOKUP('Ввод данных'!$A$1075,связи1!$A$255:$F$296,3,0)</f>
        <v>100</v>
      </c>
      <c r="H338" s="2421">
        <f>VLOOKUP('Ввод данных'!A1075,связи1!A255:F296,2,0)</f>
        <v>200</v>
      </c>
      <c r="I338" s="2421">
        <f t="shared" si="29"/>
        <v>0</v>
      </c>
      <c r="J338" s="2421">
        <v>1000</v>
      </c>
      <c r="K338" s="2421">
        <f t="shared" si="30"/>
        <v>1200.0000000000002</v>
      </c>
      <c r="AG338" s="2421">
        <v>16.899999999999999</v>
      </c>
      <c r="AH338" s="2715">
        <f t="shared" si="25"/>
        <v>0.29496064358703289</v>
      </c>
      <c r="AI338" s="2715">
        <f t="shared" si="26"/>
        <v>0.29546064358703289</v>
      </c>
      <c r="AJ338" s="2715">
        <f t="shared" si="27"/>
        <v>0.29446064358703289</v>
      </c>
      <c r="AK338" s="2421">
        <f>IF(AND(дома!$Z$29&gt;=AJ338,дома!$Z$29&lt;=AI338),связи1!AG338,0)</f>
        <v>0</v>
      </c>
      <c r="AL338" s="2421">
        <f>IF(AND(дома!$AA$29&gt;=AJ338,дома!$AA$29&lt;=AI338),связи1!AG338,0)</f>
        <v>0</v>
      </c>
    </row>
    <row r="339" spans="1:38" ht="16">
      <c r="A339" s="2525" t="s">
        <v>4521</v>
      </c>
      <c r="B339" s="2773" t="s">
        <v>156</v>
      </c>
      <c r="C339" s="2771">
        <f>'Ввод данных'!C74</f>
        <v>2</v>
      </c>
      <c r="D339" s="2771">
        <f>'Ввод данных'!D74</f>
        <v>2</v>
      </c>
      <c r="E339" s="2772">
        <f>'Ввод данных'!E74</f>
        <v>0</v>
      </c>
      <c r="F339" s="1055">
        <f t="shared" si="28"/>
        <v>2.4</v>
      </c>
      <c r="G339" s="2421">
        <f>VLOOKUP('Ввод данных'!$A$1075,связи1!$A$255:$F$296,3,0)</f>
        <v>100</v>
      </c>
      <c r="H339" s="2421">
        <f>VLOOKUP('Ввод данных'!A1075,связи1!A255:F296,2,0)</f>
        <v>200</v>
      </c>
      <c r="I339" s="2421">
        <f t="shared" si="29"/>
        <v>0</v>
      </c>
      <c r="J339" s="2421">
        <v>1000</v>
      </c>
      <c r="K339" s="2421">
        <f t="shared" si="30"/>
        <v>2400</v>
      </c>
      <c r="AG339" s="2421">
        <v>17</v>
      </c>
      <c r="AH339" s="2715">
        <f t="shared" si="25"/>
        <v>0.29670597283902722</v>
      </c>
      <c r="AI339" s="2715">
        <f t="shared" si="26"/>
        <v>0.29720597283902722</v>
      </c>
      <c r="AJ339" s="2715">
        <f t="shared" si="27"/>
        <v>0.29620597283902722</v>
      </c>
      <c r="AK339" s="2421">
        <f>IF(AND(дома!$Z$29&gt;=AJ339,дома!$Z$29&lt;=AI339),связи1!AG339,0)</f>
        <v>0</v>
      </c>
      <c r="AL339" s="2421">
        <f>IF(AND(дома!$AA$29&gt;=AJ339,дома!$AA$29&lt;=AI339),связи1!AG339,0)</f>
        <v>0</v>
      </c>
    </row>
    <row r="340" spans="1:38" ht="16">
      <c r="A340" s="2525" t="s">
        <v>4522</v>
      </c>
      <c r="B340" s="2773" t="s">
        <v>156</v>
      </c>
      <c r="C340" s="2771">
        <f>'Ввод данных'!C75</f>
        <v>0</v>
      </c>
      <c r="D340" s="2771">
        <f>'Ввод данных'!D75</f>
        <v>3</v>
      </c>
      <c r="E340" s="2772">
        <f>'Ввод данных'!E75</f>
        <v>0</v>
      </c>
      <c r="F340" s="1055">
        <f t="shared" si="28"/>
        <v>0.4</v>
      </c>
      <c r="G340" s="2421">
        <f>VLOOKUP('Ввод данных'!$A$1075,связи1!$A$255:$F$296,3,0)</f>
        <v>100</v>
      </c>
      <c r="H340" s="2421">
        <f>VLOOKUP('Ввод данных'!A1075,связи1!A255:F296,2,0)</f>
        <v>200</v>
      </c>
      <c r="I340" s="2421">
        <f t="shared" si="29"/>
        <v>0</v>
      </c>
      <c r="J340" s="2421">
        <v>1000</v>
      </c>
      <c r="K340" s="2421">
        <f t="shared" si="30"/>
        <v>400</v>
      </c>
      <c r="AG340" s="2421">
        <v>17.100000000000001</v>
      </c>
      <c r="AH340" s="2715">
        <f t="shared" si="25"/>
        <v>0.2984513020910215</v>
      </c>
      <c r="AI340" s="2715">
        <f t="shared" si="26"/>
        <v>0.2989513020910215</v>
      </c>
      <c r="AJ340" s="2715">
        <f t="shared" si="27"/>
        <v>0.2979513020910215</v>
      </c>
      <c r="AK340" s="2421">
        <f>IF(AND(дома!$Z$29&gt;=AJ340,дома!$Z$29&lt;=AI340),связи1!AG340,0)</f>
        <v>0</v>
      </c>
      <c r="AL340" s="2421">
        <f>IF(AND(дома!$AA$29&gt;=AJ340,дома!$AA$29&lt;=AI340),связи1!AG340,0)</f>
        <v>0</v>
      </c>
    </row>
    <row r="341" spans="1:38" ht="16">
      <c r="A341" s="2449" t="s">
        <v>4523</v>
      </c>
      <c r="B341" s="2450" t="s">
        <v>156</v>
      </c>
      <c r="C341" s="2771">
        <f>'Ввод данных'!C91</f>
        <v>0.8</v>
      </c>
      <c r="D341" s="2771">
        <f>'Ввод данных'!D91</f>
        <v>2.1</v>
      </c>
      <c r="E341" s="2772">
        <f>'Ввод данных'!E91</f>
        <v>0</v>
      </c>
      <c r="F341" s="1055">
        <f t="shared" si="28"/>
        <v>1.2000000000000002</v>
      </c>
      <c r="G341" s="2421">
        <f>VLOOKUP('Ввод данных'!$A$1077,связи1!$A$255:$F$296,3,0)</f>
        <v>100</v>
      </c>
      <c r="H341" s="2421">
        <f>VLOOKUP('Ввод данных'!A1077,связи1!A255:F296,2,0)</f>
        <v>200</v>
      </c>
      <c r="I341" s="2421">
        <f t="shared" si="29"/>
        <v>0</v>
      </c>
      <c r="J341" s="2421">
        <v>1000</v>
      </c>
      <c r="K341" s="2421">
        <f t="shared" si="30"/>
        <v>1200.0000000000002</v>
      </c>
      <c r="AG341" s="2421">
        <v>17.2</v>
      </c>
      <c r="AH341" s="2715">
        <f t="shared" ref="AH341:AH372" si="31">AG341*3.1415926535897/180</f>
        <v>0.30019663134301577</v>
      </c>
      <c r="AI341" s="2715">
        <f t="shared" ref="AI341:AI372" si="32">AH341+0.0005</f>
        <v>0.30069663134301577</v>
      </c>
      <c r="AJ341" s="2715">
        <f t="shared" ref="AJ341:AJ372" si="33">AH341-0.0005</f>
        <v>0.29969663134301577</v>
      </c>
      <c r="AK341" s="2421">
        <f>IF(AND(дома!$Z$29&gt;=AJ341,дома!$Z$29&lt;=AI341),связи1!AG341,0)</f>
        <v>0</v>
      </c>
      <c r="AL341" s="2421">
        <f>IF(AND(дома!$AA$29&gt;=AJ341,дома!$AA$29&lt;=AI341),связи1!AG341,0)</f>
        <v>0</v>
      </c>
    </row>
    <row r="342" spans="1:38" ht="16">
      <c r="A342" s="2449" t="s">
        <v>4524</v>
      </c>
      <c r="B342" s="2450" t="s">
        <v>156</v>
      </c>
      <c r="C342" s="2771">
        <f>'Ввод данных'!C92</f>
        <v>0.6</v>
      </c>
      <c r="D342" s="2771">
        <f>'Ввод данных'!D92</f>
        <v>2</v>
      </c>
      <c r="E342" s="2772">
        <f>'Ввод данных'!E92</f>
        <v>0</v>
      </c>
      <c r="F342" s="1055">
        <f t="shared" si="28"/>
        <v>1</v>
      </c>
      <c r="G342" s="2421">
        <f>VLOOKUP('Ввод данных'!$A$1077,связи1!$A$255:$F$296,3,0)</f>
        <v>100</v>
      </c>
      <c r="H342" s="2421">
        <f>VLOOKUP('Ввод данных'!A1077,связи1!A255:F296,2,0)</f>
        <v>200</v>
      </c>
      <c r="I342" s="2421">
        <f t="shared" si="29"/>
        <v>0</v>
      </c>
      <c r="J342" s="2421">
        <v>1000</v>
      </c>
      <c r="K342" s="2421">
        <f t="shared" si="30"/>
        <v>1000</v>
      </c>
      <c r="AG342" s="2421">
        <v>17.3</v>
      </c>
      <c r="AH342" s="2715">
        <f t="shared" si="31"/>
        <v>0.30194196059501005</v>
      </c>
      <c r="AI342" s="2715">
        <f t="shared" si="32"/>
        <v>0.30244196059501005</v>
      </c>
      <c r="AJ342" s="2715">
        <f t="shared" si="33"/>
        <v>0.30144196059501005</v>
      </c>
      <c r="AK342" s="2421">
        <f>IF(AND(дома!$Z$29&gt;=AJ342,дома!$Z$29&lt;=AI342),связи1!AG342,0)</f>
        <v>0</v>
      </c>
      <c r="AL342" s="2421">
        <f>IF(AND(дома!$AA$29&gt;=AJ342,дома!$AA$29&lt;=AI342),связи1!AG342,0)</f>
        <v>0</v>
      </c>
    </row>
    <row r="343" spans="1:38" ht="16">
      <c r="A343" s="2449" t="s">
        <v>4525</v>
      </c>
      <c r="B343" s="2450" t="s">
        <v>156</v>
      </c>
      <c r="C343" s="2771">
        <f>'Ввод данных'!C95</f>
        <v>0.9</v>
      </c>
      <c r="D343" s="2771">
        <f>'Ввод данных'!D95</f>
        <v>2.1</v>
      </c>
      <c r="E343" s="2772">
        <f>'Ввод данных'!E95</f>
        <v>0</v>
      </c>
      <c r="F343" s="1055">
        <f t="shared" si="28"/>
        <v>1.3</v>
      </c>
      <c r="G343" s="2421">
        <f>VLOOKUP('Ввод данных'!$A$1077,связи1!$A$255:$F$296,3,0)</f>
        <v>100</v>
      </c>
      <c r="H343" s="2421">
        <f>VLOOKUP('Ввод данных'!A1077,связи1!A255:F296,2,0)</f>
        <v>200</v>
      </c>
      <c r="I343" s="2421">
        <f t="shared" si="29"/>
        <v>0</v>
      </c>
      <c r="J343" s="2421">
        <v>1000</v>
      </c>
      <c r="K343" s="2421">
        <f t="shared" si="30"/>
        <v>1300</v>
      </c>
      <c r="AG343" s="2421">
        <v>17.399999999999999</v>
      </c>
      <c r="AH343" s="2715">
        <f t="shared" si="31"/>
        <v>0.30368728984700427</v>
      </c>
      <c r="AI343" s="2715">
        <f t="shared" si="32"/>
        <v>0.30418728984700427</v>
      </c>
      <c r="AJ343" s="2715">
        <f t="shared" si="33"/>
        <v>0.30318728984700427</v>
      </c>
      <c r="AK343" s="2421">
        <f>IF(AND(дома!$Z$29&gt;=AJ343,дома!$Z$29&lt;=AI343),связи1!AG343,0)</f>
        <v>0</v>
      </c>
      <c r="AL343" s="2421">
        <f>IF(AND(дома!$AA$29&gt;=AJ343,дома!$AA$29&lt;=AI343),связи1!AG343,0)</f>
        <v>0</v>
      </c>
    </row>
    <row r="344" spans="1:38" ht="16">
      <c r="A344" s="2449" t="s">
        <v>4526</v>
      </c>
      <c r="B344" s="2450" t="s">
        <v>156</v>
      </c>
      <c r="C344" s="2771">
        <f>'Ввод данных'!C99</f>
        <v>0.8</v>
      </c>
      <c r="D344" s="2771">
        <f>'Ввод данных'!D99</f>
        <v>2.1</v>
      </c>
      <c r="E344" s="2772">
        <f>'Ввод данных'!E99</f>
        <v>0</v>
      </c>
      <c r="F344" s="1055">
        <f t="shared" si="28"/>
        <v>1.2000000000000002</v>
      </c>
      <c r="G344" s="2421">
        <f>VLOOKUP('Ввод данных'!$A$1077,связи1!$A$255:$F$296,3,0)</f>
        <v>100</v>
      </c>
      <c r="H344" s="2421">
        <f>VLOOKUP('Ввод данных'!A1077,связи1!A255:F296,2,0)</f>
        <v>200</v>
      </c>
      <c r="I344" s="2421">
        <f t="shared" si="29"/>
        <v>0</v>
      </c>
      <c r="J344" s="2421">
        <v>1000</v>
      </c>
      <c r="K344" s="2421">
        <f t="shared" si="30"/>
        <v>1200.0000000000002</v>
      </c>
      <c r="AG344" s="2421">
        <v>17.5</v>
      </c>
      <c r="AH344" s="2715">
        <f t="shared" si="31"/>
        <v>0.3054326190989986</v>
      </c>
      <c r="AI344" s="2715">
        <f t="shared" si="32"/>
        <v>0.3059326190989986</v>
      </c>
      <c r="AJ344" s="2715">
        <f t="shared" si="33"/>
        <v>0.3049326190989986</v>
      </c>
      <c r="AK344" s="2421">
        <f>IF(AND(дома!$Z$29&gt;=AJ344,дома!$Z$29&lt;=AI344),связи1!AG344,0)</f>
        <v>0</v>
      </c>
      <c r="AL344" s="2421">
        <f>IF(AND(дома!$AA$29&gt;=AJ344,дома!$AA$29&lt;=AI344),связи1!AG344,0)</f>
        <v>0</v>
      </c>
    </row>
    <row r="345" spans="1:38" ht="16">
      <c r="A345" s="2449" t="s">
        <v>4527</v>
      </c>
      <c r="B345" s="2450" t="s">
        <v>156</v>
      </c>
      <c r="C345" s="2771">
        <f>'Ввод данных'!C100</f>
        <v>1</v>
      </c>
      <c r="D345" s="2771">
        <f>'Ввод данных'!D100</f>
        <v>2</v>
      </c>
      <c r="E345" s="2772">
        <f>'Ввод данных'!E100</f>
        <v>0</v>
      </c>
      <c r="F345" s="1055">
        <f t="shared" si="28"/>
        <v>1.4</v>
      </c>
      <c r="G345" s="2421">
        <f>VLOOKUP('Ввод данных'!$A$1077,связи1!$A$255:$F$296,3,0)</f>
        <v>100</v>
      </c>
      <c r="H345" s="2421">
        <f>VLOOKUP('Ввод данных'!A1077,связи1!A255:F296,2,0)</f>
        <v>200</v>
      </c>
      <c r="I345" s="2421">
        <f t="shared" si="29"/>
        <v>0</v>
      </c>
      <c r="J345" s="2421">
        <v>1000</v>
      </c>
      <c r="K345" s="2421">
        <f t="shared" si="30"/>
        <v>1400</v>
      </c>
      <c r="AG345" s="2421">
        <v>17.600000000000001</v>
      </c>
      <c r="AH345" s="2715">
        <f t="shared" si="31"/>
        <v>0.30717794835099294</v>
      </c>
      <c r="AI345" s="2715">
        <f t="shared" si="32"/>
        <v>0.30767794835099294</v>
      </c>
      <c r="AJ345" s="2715">
        <f t="shared" si="33"/>
        <v>0.30667794835099293</v>
      </c>
      <c r="AK345" s="2421">
        <f>IF(AND(дома!$Z$29&gt;=AJ345,дома!$Z$29&lt;=AI345),связи1!AG345,0)</f>
        <v>0</v>
      </c>
      <c r="AL345" s="2421">
        <f>IF(AND(дома!$AA$29&gt;=AJ345,дома!$AA$29&lt;=AI345),связи1!AG345,0)</f>
        <v>0</v>
      </c>
    </row>
    <row r="346" spans="1:38" ht="16">
      <c r="A346" s="2449" t="s">
        <v>4528</v>
      </c>
      <c r="B346" s="2450" t="s">
        <v>156</v>
      </c>
      <c r="C346" s="2771">
        <f>'Ввод данных'!C103</f>
        <v>1</v>
      </c>
      <c r="D346" s="2771">
        <f>'Ввод данных'!D103</f>
        <v>2</v>
      </c>
      <c r="E346" s="2772">
        <f>'Ввод данных'!E103</f>
        <v>0</v>
      </c>
      <c r="F346" s="1055">
        <f t="shared" si="28"/>
        <v>1.4</v>
      </c>
      <c r="G346" s="2421">
        <f>VLOOKUP('Ввод данных'!$A$1077,связи1!$A$255:$F$296,3,0)</f>
        <v>100</v>
      </c>
      <c r="H346" s="2421">
        <f>VLOOKUP('Ввод данных'!A1077,связи1!A255:F296,2,0)</f>
        <v>200</v>
      </c>
      <c r="I346" s="2421">
        <f t="shared" si="29"/>
        <v>0</v>
      </c>
      <c r="J346" s="2421">
        <v>1000</v>
      </c>
      <c r="K346" s="2421">
        <f t="shared" si="30"/>
        <v>1400</v>
      </c>
      <c r="AG346" s="2421">
        <v>17.7</v>
      </c>
      <c r="AH346" s="2715">
        <f t="shared" si="31"/>
        <v>0.30892327760298716</v>
      </c>
      <c r="AI346" s="2715">
        <f t="shared" si="32"/>
        <v>0.30942327760298716</v>
      </c>
      <c r="AJ346" s="2715">
        <f t="shared" si="33"/>
        <v>0.30842327760298716</v>
      </c>
      <c r="AK346" s="2421">
        <f>IF(AND(дома!$Z$29&gt;=AJ346,дома!$Z$29&lt;=AI346),связи1!AG346,0)</f>
        <v>0</v>
      </c>
      <c r="AL346" s="2421">
        <f>IF(AND(дома!$AA$29&gt;=AJ346,дома!$AA$29&lt;=AI346),связи1!AG346,0)</f>
        <v>0</v>
      </c>
    </row>
    <row r="347" spans="1:38" ht="16">
      <c r="A347" s="2449" t="s">
        <v>4529</v>
      </c>
      <c r="B347" s="2450" t="s">
        <v>156</v>
      </c>
      <c r="C347" s="2771">
        <f>'Ввод данных'!C93</f>
        <v>2</v>
      </c>
      <c r="D347" s="2771">
        <f>'Ввод данных'!D93</f>
        <v>2.2999999999999998</v>
      </c>
      <c r="E347" s="2772">
        <f>'Ввод данных'!E93</f>
        <v>0</v>
      </c>
      <c r="F347" s="1055">
        <f t="shared" si="28"/>
        <v>2.4</v>
      </c>
      <c r="G347" s="2421">
        <f>VLOOKUP('Ввод данных'!$A$1077,связи1!$A$255:$F$296,3,0)</f>
        <v>100</v>
      </c>
      <c r="H347" s="2421">
        <f>VLOOKUP('Ввод данных'!A1077,связи1!A255:F296,2,0)</f>
        <v>200</v>
      </c>
      <c r="I347" s="2421">
        <f t="shared" si="29"/>
        <v>0</v>
      </c>
      <c r="J347" s="2421">
        <v>1000</v>
      </c>
      <c r="K347" s="2421">
        <f t="shared" si="30"/>
        <v>2400</v>
      </c>
      <c r="AG347" s="2421">
        <v>17.8</v>
      </c>
      <c r="AH347" s="2715">
        <f t="shared" si="31"/>
        <v>0.31066860685498143</v>
      </c>
      <c r="AI347" s="2715">
        <f t="shared" si="32"/>
        <v>0.31116860685498143</v>
      </c>
      <c r="AJ347" s="2715">
        <f t="shared" si="33"/>
        <v>0.31016860685498143</v>
      </c>
      <c r="AK347" s="2421">
        <f>IF(AND(дома!$Z$29&gt;=AJ347,дома!$Z$29&lt;=AI347),связи1!AG347,0)</f>
        <v>0</v>
      </c>
      <c r="AL347" s="2421">
        <f>IF(AND(дома!$AA$29&gt;=AJ347,дома!$AA$29&lt;=AI347),связи1!AG347,0)</f>
        <v>0</v>
      </c>
    </row>
    <row r="348" spans="1:38" ht="16">
      <c r="A348" s="2449" t="s">
        <v>4530</v>
      </c>
      <c r="B348" s="2450" t="s">
        <v>156</v>
      </c>
      <c r="C348" s="2771">
        <f>'Ввод данных'!C97</f>
        <v>1.4</v>
      </c>
      <c r="D348" s="2771">
        <f>'Ввод данных'!D97</f>
        <v>3</v>
      </c>
      <c r="E348" s="2772">
        <f>'Ввод данных'!E97</f>
        <v>0</v>
      </c>
      <c r="F348" s="1055">
        <f t="shared" si="28"/>
        <v>1.7999999999999998</v>
      </c>
      <c r="G348" s="2421">
        <f>VLOOKUP('Ввод данных'!$A$1077,связи1!$A$255:$F$296,3,0)</f>
        <v>100</v>
      </c>
      <c r="H348" s="2421">
        <f>VLOOKUP('Ввод данных'!A1077,связи1!A255:F296,2,0)</f>
        <v>200</v>
      </c>
      <c r="I348" s="2421">
        <f t="shared" si="29"/>
        <v>0</v>
      </c>
      <c r="J348" s="2421">
        <v>1000</v>
      </c>
      <c r="K348" s="2421">
        <f t="shared" si="30"/>
        <v>1799.9999999999998</v>
      </c>
      <c r="AG348" s="2421">
        <v>17.899999999999999</v>
      </c>
      <c r="AH348" s="2715">
        <f t="shared" si="31"/>
        <v>0.31241393610697571</v>
      </c>
      <c r="AI348" s="2715">
        <f t="shared" si="32"/>
        <v>0.31291393610697571</v>
      </c>
      <c r="AJ348" s="2715">
        <f t="shared" si="33"/>
        <v>0.31191393610697571</v>
      </c>
      <c r="AK348" s="2421">
        <f>IF(AND(дома!$Z$29&gt;=AJ348,дома!$Z$29&lt;=AI348),связи1!AG348,0)</f>
        <v>0</v>
      </c>
      <c r="AL348" s="2421">
        <f>IF(AND(дома!$AA$29&gt;=AJ348,дома!$AA$29&lt;=AI348),связи1!AG348,0)</f>
        <v>0</v>
      </c>
    </row>
    <row r="349" spans="1:38" ht="16">
      <c r="A349" s="2449" t="s">
        <v>4531</v>
      </c>
      <c r="B349" s="2450" t="s">
        <v>156</v>
      </c>
      <c r="C349" s="2771">
        <f>'Ввод данных'!C101</f>
        <v>2</v>
      </c>
      <c r="D349" s="2771">
        <f>'Ввод данных'!D101</f>
        <v>2.2000000000000002</v>
      </c>
      <c r="E349" s="2772">
        <f>'Ввод данных'!E101</f>
        <v>0</v>
      </c>
      <c r="F349" s="1055">
        <f t="shared" si="28"/>
        <v>2.4</v>
      </c>
      <c r="G349" s="2421">
        <f>VLOOKUP('Ввод данных'!$A$1077,связи1!$A$255:$F$296,3,0)</f>
        <v>100</v>
      </c>
      <c r="H349" s="2421">
        <f>VLOOKUP('Ввод данных'!A1077,связи1!A255:F296,2,0)</f>
        <v>200</v>
      </c>
      <c r="I349" s="2421">
        <f t="shared" si="29"/>
        <v>0</v>
      </c>
      <c r="J349" s="2421">
        <v>1000</v>
      </c>
      <c r="K349" s="2421">
        <f t="shared" si="30"/>
        <v>2400</v>
      </c>
      <c r="AG349" s="2421">
        <v>18</v>
      </c>
      <c r="AH349" s="2715">
        <f t="shared" si="31"/>
        <v>0.31415926535896999</v>
      </c>
      <c r="AI349" s="2715">
        <f t="shared" si="32"/>
        <v>0.31465926535896999</v>
      </c>
      <c r="AJ349" s="2715">
        <f t="shared" si="33"/>
        <v>0.31365926535896999</v>
      </c>
      <c r="AK349" s="2421">
        <f>IF(AND(дома!$Z$29&gt;=AJ349,дома!$Z$29&lt;=AI349),связи1!AG349,0)</f>
        <v>0</v>
      </c>
      <c r="AL349" s="2421">
        <f>IF(AND(дома!$AA$29&gt;=AJ349,дома!$AA$29&lt;=AI349),связи1!AG349,0)</f>
        <v>0</v>
      </c>
    </row>
    <row r="350" spans="1:38" ht="16">
      <c r="A350" s="2449" t="s">
        <v>4532</v>
      </c>
      <c r="B350" s="2450" t="s">
        <v>156</v>
      </c>
      <c r="C350" s="2771">
        <f>'Ввод данных'!C105</f>
        <v>2</v>
      </c>
      <c r="D350" s="2771">
        <f>'Ввод данных'!D105</f>
        <v>2</v>
      </c>
      <c r="E350" s="2772">
        <f>'Ввод данных'!E105</f>
        <v>0</v>
      </c>
      <c r="F350" s="1055">
        <f t="shared" si="28"/>
        <v>2.4</v>
      </c>
      <c r="G350" s="2421">
        <f>VLOOKUP('Ввод данных'!$A$1077,связи1!$A$255:$F$296,3,0)</f>
        <v>100</v>
      </c>
      <c r="H350" s="2421">
        <f>VLOOKUP('Ввод данных'!A1077,связи1!A255:F296,2,0)</f>
        <v>200</v>
      </c>
      <c r="I350" s="2421">
        <f t="shared" si="29"/>
        <v>0</v>
      </c>
      <c r="J350" s="2421">
        <v>1000</v>
      </c>
      <c r="K350" s="2421">
        <f t="shared" si="30"/>
        <v>2400</v>
      </c>
      <c r="AG350" s="2421">
        <v>18.100000000000001</v>
      </c>
      <c r="AH350" s="2715">
        <f t="shared" si="31"/>
        <v>0.31590459461096432</v>
      </c>
      <c r="AI350" s="2715">
        <f t="shared" si="32"/>
        <v>0.31640459461096432</v>
      </c>
      <c r="AJ350" s="2715">
        <f t="shared" si="33"/>
        <v>0.31540459461096432</v>
      </c>
      <c r="AK350" s="2421">
        <f>IF(AND(дома!$Z$29&gt;=AJ350,дома!$Z$29&lt;=AI350),связи1!AG350,0)</f>
        <v>0</v>
      </c>
      <c r="AL350" s="2421">
        <f>IF(AND(дома!$AA$29&gt;=AJ350,дома!$AA$29&lt;=AI350),связи1!AG350,0)</f>
        <v>0</v>
      </c>
    </row>
    <row r="351" spans="1:38" ht="16">
      <c r="A351" s="223" t="s">
        <v>4519</v>
      </c>
      <c r="B351" s="2450" t="s">
        <v>156</v>
      </c>
      <c r="C351" s="2771">
        <f>'Ввод данных'!C85</f>
        <v>0.8</v>
      </c>
      <c r="D351" s="2771">
        <f>'Ввод данных'!D85</f>
        <v>2</v>
      </c>
      <c r="E351" s="2774">
        <f>'Ввод данных'!E85</f>
        <v>0</v>
      </c>
      <c r="F351" s="1055">
        <f t="shared" si="28"/>
        <v>1.2000000000000002</v>
      </c>
      <c r="G351" s="2421">
        <f>VLOOKUP('Ввод данных'!$A$1075,связи1!$A$255:$F$296,3,0)</f>
        <v>100</v>
      </c>
      <c r="H351" s="2421">
        <f>VLOOKUP('Ввод данных'!A1075,связи1!A255:F296,2,0)</f>
        <v>200</v>
      </c>
      <c r="I351" s="2421">
        <f t="shared" si="29"/>
        <v>0</v>
      </c>
      <c r="J351" s="2421">
        <v>1000</v>
      </c>
      <c r="K351" s="2421">
        <f t="shared" si="30"/>
        <v>1200.0000000000002</v>
      </c>
      <c r="AG351" s="2421">
        <v>18.2</v>
      </c>
      <c r="AH351" s="2715">
        <f t="shared" si="31"/>
        <v>0.31764992386295854</v>
      </c>
      <c r="AI351" s="2715">
        <f t="shared" si="32"/>
        <v>0.31814992386295854</v>
      </c>
      <c r="AJ351" s="2715">
        <f t="shared" si="33"/>
        <v>0.31714992386295854</v>
      </c>
      <c r="AK351" s="2421">
        <f>IF(AND(дома!$Z$29&gt;=AJ351,дома!$Z$29&lt;=AI351),связи1!AG351,0)</f>
        <v>0</v>
      </c>
      <c r="AL351" s="2421">
        <f>IF(AND(дома!$AA$29&gt;=AJ351,дома!$AA$29&lt;=AI351),связи1!AG351,0)</f>
        <v>0</v>
      </c>
    </row>
    <row r="352" spans="1:38" ht="16">
      <c r="A352" s="223" t="s">
        <v>4533</v>
      </c>
      <c r="B352" s="2450" t="s">
        <v>156</v>
      </c>
      <c r="C352" s="2771">
        <f>'Ввод данных'!C86</f>
        <v>0.9</v>
      </c>
      <c r="D352" s="2771">
        <f>'Ввод данных'!D86</f>
        <v>2.1</v>
      </c>
      <c r="E352" s="2774">
        <f>'Ввод данных'!E86</f>
        <v>0</v>
      </c>
      <c r="F352" s="1055">
        <f t="shared" si="28"/>
        <v>1.3</v>
      </c>
      <c r="G352" s="2421">
        <f>VLOOKUP('Ввод данных'!$A$1075,связи1!$A$255:$F$296,3,0)</f>
        <v>100</v>
      </c>
      <c r="H352" s="2421">
        <f>VLOOKUP('Ввод данных'!A1075,связи1!A255:F296,2,0)</f>
        <v>200</v>
      </c>
      <c r="I352" s="2421">
        <f t="shared" si="29"/>
        <v>0</v>
      </c>
      <c r="J352" s="2421">
        <v>1000</v>
      </c>
      <c r="K352" s="2421">
        <f t="shared" si="30"/>
        <v>1300</v>
      </c>
      <c r="AG352" s="2421">
        <v>18.3</v>
      </c>
      <c r="AH352" s="2715">
        <f t="shared" si="31"/>
        <v>0.31939525311495282</v>
      </c>
      <c r="AI352" s="2715">
        <f t="shared" si="32"/>
        <v>0.31989525311495282</v>
      </c>
      <c r="AJ352" s="2715">
        <f t="shared" si="33"/>
        <v>0.31889525311495281</v>
      </c>
      <c r="AK352" s="2421">
        <f>IF(AND(дома!$Z$29&gt;=AJ352,дома!$Z$29&lt;=AI352),связи1!AG352,0)</f>
        <v>0</v>
      </c>
      <c r="AL352" s="2421">
        <f>IF(AND(дома!$AA$29&gt;=AJ352,дома!$AA$29&lt;=AI352),связи1!AG352,0)</f>
        <v>0</v>
      </c>
    </row>
    <row r="353" spans="1:38" ht="16">
      <c r="A353" s="223" t="s">
        <v>4534</v>
      </c>
      <c r="B353" s="2450" t="s">
        <v>156</v>
      </c>
      <c r="C353" s="2771">
        <f>'Ввод данных'!C87</f>
        <v>1</v>
      </c>
      <c r="D353" s="2771">
        <f>'Ввод данных'!D87</f>
        <v>2</v>
      </c>
      <c r="E353" s="2774">
        <f>'Ввод данных'!E87</f>
        <v>0</v>
      </c>
      <c r="F353" s="1055">
        <f t="shared" si="28"/>
        <v>1.4</v>
      </c>
      <c r="G353" s="2421">
        <f>VLOOKUP('Ввод данных'!$A$1075,связи1!$A$255:$F$296,3,0)</f>
        <v>100</v>
      </c>
      <c r="H353" s="2421">
        <f>VLOOKUP('Ввод данных'!A1075,связи1!A255:F296,2,0)</f>
        <v>200</v>
      </c>
      <c r="I353" s="2421">
        <f t="shared" si="29"/>
        <v>0</v>
      </c>
      <c r="J353" s="2421">
        <v>1000</v>
      </c>
      <c r="K353" s="2421">
        <f t="shared" si="30"/>
        <v>1400</v>
      </c>
      <c r="AG353" s="2421">
        <v>18.399999999999999</v>
      </c>
      <c r="AH353" s="2715">
        <f t="shared" si="31"/>
        <v>0.32114058236694709</v>
      </c>
      <c r="AI353" s="2715">
        <f t="shared" si="32"/>
        <v>0.32164058236694709</v>
      </c>
      <c r="AJ353" s="2715">
        <f t="shared" si="33"/>
        <v>0.32064058236694709</v>
      </c>
      <c r="AK353" s="2421">
        <f>IF(AND(дома!$Z$29&gt;=AJ353,дома!$Z$29&lt;=AI353),связи1!AG353,0)</f>
        <v>0</v>
      </c>
      <c r="AL353" s="2421">
        <f>IF(AND(дома!$AA$29&gt;=AJ353,дома!$AA$29&lt;=AI353),связи1!AG353,0)</f>
        <v>0</v>
      </c>
    </row>
    <row r="354" spans="1:38" ht="16">
      <c r="A354" s="2506"/>
      <c r="B354" s="2775"/>
      <c r="C354" s="2506"/>
      <c r="D354" s="2506"/>
      <c r="E354" s="2776"/>
      <c r="F354" s="2489"/>
      <c r="AG354" s="2421">
        <v>18.5</v>
      </c>
      <c r="AH354" s="2715">
        <f t="shared" si="31"/>
        <v>0.32288591161894137</v>
      </c>
      <c r="AI354" s="2715">
        <f t="shared" si="32"/>
        <v>0.32338591161894137</v>
      </c>
      <c r="AJ354" s="2715">
        <f t="shared" si="33"/>
        <v>0.32238591161894137</v>
      </c>
      <c r="AK354" s="2421">
        <f>IF(AND(дома!$Z$29&gt;=AJ354,дома!$Z$29&lt;=AI354),связи1!AG354,0)</f>
        <v>0</v>
      </c>
      <c r="AL354" s="2421">
        <f>IF(AND(дома!$AA$29&gt;=AJ354,дома!$AA$29&lt;=AI354),связи1!AG354,0)</f>
        <v>0</v>
      </c>
    </row>
    <row r="355" spans="1:38">
      <c r="F355" s="2379" t="s">
        <v>4535</v>
      </c>
      <c r="AG355" s="2421">
        <v>18.600000000000001</v>
      </c>
      <c r="AH355" s="2715">
        <f t="shared" si="31"/>
        <v>0.3246312408709357</v>
      </c>
      <c r="AI355" s="2715">
        <f t="shared" si="32"/>
        <v>0.3251312408709357</v>
      </c>
      <c r="AJ355" s="2715">
        <f t="shared" si="33"/>
        <v>0.3241312408709357</v>
      </c>
      <c r="AK355" s="2421">
        <f>IF(AND(дома!$Z$29&gt;=AJ355,дома!$Z$29&lt;=AI355),связи1!AG355,0)</f>
        <v>0</v>
      </c>
      <c r="AL355" s="2421">
        <f>IF(AND(дома!$AA$29&gt;=AJ355,дома!$AA$29&lt;=AI355),связи1!AG355,0)</f>
        <v>0</v>
      </c>
    </row>
    <row r="356" spans="1:38" ht="16">
      <c r="A356" s="275" t="s">
        <v>2414</v>
      </c>
      <c r="B356" s="215" t="s">
        <v>156</v>
      </c>
      <c r="C356" s="2777"/>
      <c r="D356" s="2778">
        <v>40600</v>
      </c>
      <c r="E356" s="2779">
        <v>0.222</v>
      </c>
      <c r="F356" s="2779">
        <f>'Прайс лист'!G199</f>
        <v>0</v>
      </c>
      <c r="O356" s="2421">
        <f>'Прайс лист'!G199</f>
        <v>0</v>
      </c>
      <c r="AG356" s="2421">
        <v>18.7</v>
      </c>
      <c r="AH356" s="2715">
        <f t="shared" si="31"/>
        <v>0.32637657012292992</v>
      </c>
      <c r="AI356" s="2715">
        <f t="shared" si="32"/>
        <v>0.32687657012292992</v>
      </c>
      <c r="AJ356" s="2715">
        <f t="shared" si="33"/>
        <v>0.32587657012292992</v>
      </c>
      <c r="AK356" s="2421">
        <f>IF(AND(дома!$Z$29&gt;=AJ356,дома!$Z$29&lt;=AI356),связи1!AG356,0)</f>
        <v>0</v>
      </c>
      <c r="AL356" s="2421">
        <f>IF(AND(дома!$AA$29&gt;=AJ356,дома!$AA$29&lt;=AI356),связи1!AG356,0)</f>
        <v>0</v>
      </c>
    </row>
    <row r="357" spans="1:38" ht="16">
      <c r="A357" s="275" t="s">
        <v>4536</v>
      </c>
      <c r="B357" s="215" t="s">
        <v>156</v>
      </c>
      <c r="C357" s="2777"/>
      <c r="D357" s="2778">
        <v>40600</v>
      </c>
      <c r="E357" s="2779">
        <v>0.39500000000000002</v>
      </c>
      <c r="F357" s="2779">
        <f>'Прайс лист'!G204</f>
        <v>16.037000000000003</v>
      </c>
      <c r="O357" s="2421">
        <f>'Прайс лист'!G204</f>
        <v>16.037000000000003</v>
      </c>
      <c r="AG357" s="2421">
        <v>18.8</v>
      </c>
      <c r="AH357" s="2715">
        <f t="shared" si="31"/>
        <v>0.32812189937492425</v>
      </c>
      <c r="AI357" s="2715">
        <f t="shared" si="32"/>
        <v>0.32862189937492425</v>
      </c>
      <c r="AJ357" s="2715">
        <f t="shared" si="33"/>
        <v>0.32762189937492425</v>
      </c>
      <c r="AK357" s="2421">
        <f>IF(AND(дома!$Z$29&gt;=AJ357,дома!$Z$29&lt;=AI357),связи1!AG357,0)</f>
        <v>0</v>
      </c>
      <c r="AL357" s="2421">
        <f>IF(AND(дома!$AA$29&gt;=AJ357,дома!$AA$29&lt;=AI357),связи1!AG357,0)</f>
        <v>0</v>
      </c>
    </row>
    <row r="358" spans="1:38" ht="16">
      <c r="A358" s="275" t="s">
        <v>4537</v>
      </c>
      <c r="B358" s="215" t="s">
        <v>156</v>
      </c>
      <c r="C358" s="2777"/>
      <c r="D358" s="2778">
        <v>34100</v>
      </c>
      <c r="E358" s="2779">
        <v>0.61699999999999999</v>
      </c>
      <c r="F358" s="2779">
        <f>'Прайс лист'!G205</f>
        <v>21.0397</v>
      </c>
      <c r="O358" s="2421">
        <f>'Прайс лист'!G205</f>
        <v>21.0397</v>
      </c>
      <c r="AG358" s="2421">
        <v>18.899999999999999</v>
      </c>
      <c r="AH358" s="2715">
        <f t="shared" si="31"/>
        <v>0.32986722862691847</v>
      </c>
      <c r="AI358" s="2715">
        <f t="shared" si="32"/>
        <v>0.33036722862691847</v>
      </c>
      <c r="AJ358" s="2715">
        <f t="shared" si="33"/>
        <v>0.32936722862691847</v>
      </c>
      <c r="AK358" s="2421">
        <f>IF(AND(дома!$Z$29&gt;=AJ358,дома!$Z$29&lt;=AI358),связи1!AG358,0)</f>
        <v>0</v>
      </c>
      <c r="AL358" s="2421">
        <f>IF(AND(дома!$AA$29&gt;=AJ358,дома!$AA$29&lt;=AI358),связи1!AG358,0)</f>
        <v>0</v>
      </c>
    </row>
    <row r="359" spans="1:38" ht="16">
      <c r="A359" s="275" t="s">
        <v>4538</v>
      </c>
      <c r="B359" s="215" t="s">
        <v>156</v>
      </c>
      <c r="C359" s="2777"/>
      <c r="D359" s="2778">
        <v>32900</v>
      </c>
      <c r="E359" s="2779">
        <v>0.88800000000000001</v>
      </c>
      <c r="F359" s="2779">
        <f>'Прайс лист'!G206</f>
        <v>29.215199999999999</v>
      </c>
      <c r="O359" s="2421">
        <f>'Прайс лист'!G206</f>
        <v>29.215199999999999</v>
      </c>
      <c r="AG359" s="2421">
        <v>19</v>
      </c>
      <c r="AH359" s="2715">
        <f t="shared" si="31"/>
        <v>0.33161255787891275</v>
      </c>
      <c r="AI359" s="2715">
        <f t="shared" si="32"/>
        <v>0.33211255787891275</v>
      </c>
      <c r="AJ359" s="2715">
        <f t="shared" si="33"/>
        <v>0.33111255787891275</v>
      </c>
      <c r="AK359" s="2421">
        <f>IF(AND(дома!$Z$29&gt;=AJ359,дома!$Z$29&lt;=AI359),связи1!AG359,0)</f>
        <v>0</v>
      </c>
      <c r="AL359" s="2421">
        <f>IF(AND(дома!$AA$29&gt;=AJ359,дома!$AA$29&lt;=AI359),связи1!AG359,0)</f>
        <v>0</v>
      </c>
    </row>
    <row r="360" spans="1:38" ht="16">
      <c r="A360" s="275" t="s">
        <v>4539</v>
      </c>
      <c r="B360" s="215" t="s">
        <v>156</v>
      </c>
      <c r="C360" s="2777"/>
      <c r="D360" s="2778">
        <v>32400</v>
      </c>
      <c r="E360" s="2779">
        <v>1.21</v>
      </c>
      <c r="F360" s="2779">
        <f>'Прайс лист'!G207</f>
        <v>39.204000000000001</v>
      </c>
      <c r="O360" s="2421">
        <f>'Прайс лист'!G207</f>
        <v>39.204000000000001</v>
      </c>
      <c r="AG360" s="2421">
        <v>19.100000000000001</v>
      </c>
      <c r="AH360" s="2715">
        <f t="shared" si="31"/>
        <v>0.33335788713090708</v>
      </c>
      <c r="AI360" s="2715">
        <f t="shared" si="32"/>
        <v>0.33385788713090708</v>
      </c>
      <c r="AJ360" s="2715">
        <f t="shared" si="33"/>
        <v>0.33285788713090708</v>
      </c>
      <c r="AK360" s="2421">
        <f>IF(AND(дома!$Z$29&gt;=AJ360,дома!$Z$29&lt;=AI360),связи1!AG360,0)</f>
        <v>0</v>
      </c>
      <c r="AL360" s="2421">
        <f>IF(AND(дома!$AA$29&gt;=AJ360,дома!$AA$29&lt;=AI360),связи1!AG360,0)</f>
        <v>0</v>
      </c>
    </row>
    <row r="361" spans="1:38" ht="16">
      <c r="A361" s="275" t="s">
        <v>4540</v>
      </c>
      <c r="B361" s="215" t="s">
        <v>156</v>
      </c>
      <c r="C361" s="2777"/>
      <c r="D361" s="2778">
        <v>32400</v>
      </c>
      <c r="E361" s="2779">
        <v>1.58</v>
      </c>
      <c r="F361" s="2779">
        <f>'Прайс лист'!G208</f>
        <v>51.192000000000007</v>
      </c>
      <c r="O361" s="2421">
        <f>'Прайс лист'!G208</f>
        <v>51.192000000000007</v>
      </c>
      <c r="AG361" s="2421">
        <v>19.2</v>
      </c>
      <c r="AH361" s="2715">
        <f t="shared" si="31"/>
        <v>0.3351032163829013</v>
      </c>
      <c r="AI361" s="2715">
        <f t="shared" si="32"/>
        <v>0.3356032163829013</v>
      </c>
      <c r="AJ361" s="2715">
        <f t="shared" si="33"/>
        <v>0.3346032163829013</v>
      </c>
      <c r="AK361" s="2421">
        <f>IF(AND(дома!$Z$29&gt;=AJ361,дома!$Z$29&lt;=AI361),связи1!AG361,0)</f>
        <v>0</v>
      </c>
      <c r="AL361" s="2421">
        <f>IF(AND(дома!$AA$29&gt;=AJ361,дома!$AA$29&lt;=AI361),связи1!AG361,0)</f>
        <v>0</v>
      </c>
    </row>
    <row r="362" spans="1:38" ht="16">
      <c r="A362" s="275" t="s">
        <v>4541</v>
      </c>
      <c r="B362" s="215" t="s">
        <v>156</v>
      </c>
      <c r="C362" s="2777"/>
      <c r="D362" s="2778">
        <v>32400</v>
      </c>
      <c r="E362" s="2779">
        <v>2</v>
      </c>
      <c r="F362" s="2779">
        <f>'Прайс лист'!G209</f>
        <v>64.8</v>
      </c>
      <c r="O362" s="2421">
        <f>'Прайс лист'!G209</f>
        <v>64.8</v>
      </c>
      <c r="AG362" s="2421">
        <v>19.3</v>
      </c>
      <c r="AH362" s="2715">
        <f t="shared" si="31"/>
        <v>0.33684854563489564</v>
      </c>
      <c r="AI362" s="2715">
        <f t="shared" si="32"/>
        <v>0.33734854563489564</v>
      </c>
      <c r="AJ362" s="2715">
        <f t="shared" si="33"/>
        <v>0.33634854563489563</v>
      </c>
      <c r="AK362" s="2421">
        <f>IF(AND(дома!$Z$29&gt;=AJ362,дома!$Z$29&lt;=AI362),связи1!AG362,0)</f>
        <v>0</v>
      </c>
      <c r="AL362" s="2421">
        <f>IF(AND(дома!$AA$29&gt;=AJ362,дома!$AA$29&lt;=AI362),связи1!AG362,0)</f>
        <v>0</v>
      </c>
    </row>
    <row r="363" spans="1:38" ht="16">
      <c r="A363" s="275" t="s">
        <v>4542</v>
      </c>
      <c r="B363" s="215" t="s">
        <v>156</v>
      </c>
      <c r="C363" s="2777"/>
      <c r="D363" s="2778">
        <v>32400</v>
      </c>
      <c r="E363" s="2779">
        <v>2.4700000000000002</v>
      </c>
      <c r="F363" s="2779">
        <f>'Прайс лист'!G210</f>
        <v>80.028000000000006</v>
      </c>
      <c r="O363" s="2421">
        <f>'Прайс лист'!G210</f>
        <v>80.028000000000006</v>
      </c>
      <c r="AG363" s="2421">
        <v>19.399999999999999</v>
      </c>
      <c r="AH363" s="2715">
        <f t="shared" si="31"/>
        <v>0.33859387488688986</v>
      </c>
      <c r="AI363" s="2715">
        <f t="shared" si="32"/>
        <v>0.33909387488688986</v>
      </c>
      <c r="AJ363" s="2715">
        <f t="shared" si="33"/>
        <v>0.33809387488688986</v>
      </c>
      <c r="AK363" s="2421">
        <f>IF(AND(дома!$Z$29&gt;=AJ363,дома!$Z$29&lt;=AI363),связи1!AG363,0)</f>
        <v>0</v>
      </c>
      <c r="AL363" s="2421">
        <f>IF(AND(дома!$AA$29&gt;=AJ363,дома!$AA$29&lt;=AI363),связи1!AG363,0)</f>
        <v>0</v>
      </c>
    </row>
    <row r="364" spans="1:38" ht="16">
      <c r="A364" s="941" t="s">
        <v>2214</v>
      </c>
      <c r="AG364" s="2421">
        <v>19.5</v>
      </c>
      <c r="AH364" s="2715">
        <f t="shared" si="31"/>
        <v>0.34033920413888413</v>
      </c>
      <c r="AI364" s="2715">
        <f t="shared" si="32"/>
        <v>0.34083920413888413</v>
      </c>
      <c r="AJ364" s="2715">
        <f t="shared" si="33"/>
        <v>0.33983920413888413</v>
      </c>
      <c r="AK364" s="2421">
        <f>IF(AND(дома!$Z$29&gt;=AJ364,дома!$Z$29&lt;=AI364),связи1!AG364,0)</f>
        <v>0</v>
      </c>
      <c r="AL364" s="2421">
        <f>IF(AND(дома!$AA$29&gt;=AJ364,дома!$AA$29&lt;=AI364),связи1!AG364,0)</f>
        <v>0</v>
      </c>
    </row>
    <row r="365" spans="1:38" ht="16">
      <c r="A365" s="275" t="s">
        <v>4543</v>
      </c>
      <c r="B365" s="215" t="s">
        <v>156</v>
      </c>
      <c r="C365" s="2777"/>
      <c r="D365" s="2778">
        <v>40600</v>
      </c>
      <c r="E365" s="2779">
        <v>0.222</v>
      </c>
      <c r="F365" s="2779">
        <f t="shared" ref="F365:F372" si="34">F356</f>
        <v>0</v>
      </c>
      <c r="AG365" s="2421">
        <v>19.600000000000001</v>
      </c>
      <c r="AH365" s="2715">
        <f t="shared" si="31"/>
        <v>0.34208453339087846</v>
      </c>
      <c r="AI365" s="2715">
        <f t="shared" si="32"/>
        <v>0.34258453339087847</v>
      </c>
      <c r="AJ365" s="2715">
        <f t="shared" si="33"/>
        <v>0.34158453339087846</v>
      </c>
      <c r="AK365" s="2421">
        <f>IF(AND(дома!$Z$29&gt;=AJ365,дома!$Z$29&lt;=AI365),связи1!AG365,0)</f>
        <v>0</v>
      </c>
      <c r="AL365" s="2421">
        <f>IF(AND(дома!$AA$29&gt;=AJ365,дома!$AA$29&lt;=AI365),связи1!AG365,0)</f>
        <v>0</v>
      </c>
    </row>
    <row r="366" spans="1:38" ht="16">
      <c r="A366" s="275" t="s">
        <v>4544</v>
      </c>
      <c r="B366" s="215" t="s">
        <v>156</v>
      </c>
      <c r="C366" s="2777"/>
      <c r="D366" s="2778">
        <v>40600</v>
      </c>
      <c r="E366" s="2779">
        <v>0.39500000000000002</v>
      </c>
      <c r="F366" s="2779">
        <f t="shared" si="34"/>
        <v>16.037000000000003</v>
      </c>
      <c r="AG366" s="2421">
        <v>19.7</v>
      </c>
      <c r="AH366" s="2715">
        <f t="shared" si="31"/>
        <v>0.34382986264287269</v>
      </c>
      <c r="AI366" s="2715">
        <f t="shared" si="32"/>
        <v>0.34432986264287269</v>
      </c>
      <c r="AJ366" s="2715">
        <f t="shared" si="33"/>
        <v>0.34332986264287269</v>
      </c>
      <c r="AK366" s="2421">
        <f>IF(AND(дома!$Z$29&gt;=AJ366,дома!$Z$29&lt;=AI366),связи1!AG366,0)</f>
        <v>0</v>
      </c>
      <c r="AL366" s="2421">
        <f>IF(AND(дома!$AA$29&gt;=AJ366,дома!$AA$29&lt;=AI366),связи1!AG366,0)</f>
        <v>0</v>
      </c>
    </row>
    <row r="367" spans="1:38" ht="16">
      <c r="A367" s="275" t="s">
        <v>2416</v>
      </c>
      <c r="B367" s="215" t="s">
        <v>156</v>
      </c>
      <c r="C367" s="2777"/>
      <c r="D367" s="2778">
        <v>34100</v>
      </c>
      <c r="E367" s="2779">
        <v>0.61699999999999999</v>
      </c>
      <c r="F367" s="2779">
        <f t="shared" si="34"/>
        <v>21.0397</v>
      </c>
      <c r="AG367" s="2421">
        <v>19.8</v>
      </c>
      <c r="AH367" s="2715">
        <f t="shared" si="31"/>
        <v>0.34557519189486702</v>
      </c>
      <c r="AI367" s="2715">
        <f t="shared" si="32"/>
        <v>0.34607519189486702</v>
      </c>
      <c r="AJ367" s="2715">
        <f t="shared" si="33"/>
        <v>0.34507519189486702</v>
      </c>
      <c r="AK367" s="2421">
        <f>IF(AND(дома!$Z$29&gt;=AJ367,дома!$Z$29&lt;=AI367),связи1!AG367,0)</f>
        <v>0</v>
      </c>
      <c r="AL367" s="2421">
        <f>IF(AND(дома!$AA$29&gt;=AJ367,дома!$AA$29&lt;=AI367),связи1!AG367,0)</f>
        <v>0</v>
      </c>
    </row>
    <row r="368" spans="1:38" ht="16">
      <c r="A368" s="275" t="s">
        <v>4545</v>
      </c>
      <c r="B368" s="215" t="s">
        <v>156</v>
      </c>
      <c r="C368" s="2777"/>
      <c r="D368" s="2778">
        <v>32900</v>
      </c>
      <c r="E368" s="2779">
        <v>0.88800000000000001</v>
      </c>
      <c r="F368" s="2779">
        <f t="shared" si="34"/>
        <v>29.215199999999999</v>
      </c>
      <c r="AG368" s="2421">
        <v>19.899999999999999</v>
      </c>
      <c r="AH368" s="2715">
        <f t="shared" si="31"/>
        <v>0.34732052114686124</v>
      </c>
      <c r="AI368" s="2715">
        <f t="shared" si="32"/>
        <v>0.34782052114686124</v>
      </c>
      <c r="AJ368" s="2715">
        <f t="shared" si="33"/>
        <v>0.34682052114686124</v>
      </c>
      <c r="AK368" s="2421">
        <f>IF(AND(дома!$Z$29&gt;=AJ368,дома!$Z$29&lt;=AI368),связи1!AG368,0)</f>
        <v>0</v>
      </c>
      <c r="AL368" s="2421">
        <f>IF(AND(дома!$AA$29&gt;=AJ368,дома!$AA$29&lt;=AI368),связи1!AG368,0)</f>
        <v>0</v>
      </c>
    </row>
    <row r="369" spans="1:38" ht="16">
      <c r="A369" s="275" t="s">
        <v>4546</v>
      </c>
      <c r="B369" s="215" t="s">
        <v>156</v>
      </c>
      <c r="C369" s="2777"/>
      <c r="D369" s="2778">
        <v>32400</v>
      </c>
      <c r="E369" s="2779">
        <v>1.21</v>
      </c>
      <c r="F369" s="2779">
        <f t="shared" si="34"/>
        <v>39.204000000000001</v>
      </c>
      <c r="AG369" s="2421">
        <v>20</v>
      </c>
      <c r="AH369" s="2715">
        <f t="shared" si="31"/>
        <v>0.34906585039885557</v>
      </c>
      <c r="AI369" s="2715">
        <f t="shared" si="32"/>
        <v>0.34956585039885557</v>
      </c>
      <c r="AJ369" s="2715">
        <f t="shared" si="33"/>
        <v>0.34856585039885557</v>
      </c>
      <c r="AK369" s="2421">
        <f>IF(AND(дома!$Z$29&gt;=AJ369,дома!$Z$29&lt;=AI369),связи1!AG369,0)</f>
        <v>0</v>
      </c>
      <c r="AL369" s="2421">
        <f>IF(AND(дома!$AA$29&gt;=AJ369,дома!$AA$29&lt;=AI369),связи1!AG369,0)</f>
        <v>0</v>
      </c>
    </row>
    <row r="370" spans="1:38" ht="16">
      <c r="A370" s="275" t="s">
        <v>4547</v>
      </c>
      <c r="B370" s="215" t="s">
        <v>156</v>
      </c>
      <c r="C370" s="2777"/>
      <c r="D370" s="2778">
        <v>32400</v>
      </c>
      <c r="E370" s="2779">
        <v>1.58</v>
      </c>
      <c r="F370" s="2779">
        <f t="shared" si="34"/>
        <v>51.192000000000007</v>
      </c>
      <c r="AG370" s="2421">
        <v>20.100000000000001</v>
      </c>
      <c r="AH370" s="2715">
        <f t="shared" si="31"/>
        <v>0.35081117965084985</v>
      </c>
      <c r="AI370" s="2715">
        <f t="shared" si="32"/>
        <v>0.35131117965084985</v>
      </c>
      <c r="AJ370" s="2715">
        <f t="shared" si="33"/>
        <v>0.35031117965084985</v>
      </c>
      <c r="AK370" s="2421">
        <f>IF(AND(дома!$Z$29&gt;=AJ370,дома!$Z$29&lt;=AI370),связи1!AG370,0)</f>
        <v>0</v>
      </c>
      <c r="AL370" s="2421">
        <f>IF(AND(дома!$AA$29&gt;=AJ370,дома!$AA$29&lt;=AI370),связи1!AG370,0)</f>
        <v>0</v>
      </c>
    </row>
    <row r="371" spans="1:38" ht="16">
      <c r="A371" s="275" t="s">
        <v>4548</v>
      </c>
      <c r="B371" s="215" t="s">
        <v>156</v>
      </c>
      <c r="C371" s="2777"/>
      <c r="D371" s="2778">
        <v>32400</v>
      </c>
      <c r="E371" s="2779">
        <v>2</v>
      </c>
      <c r="F371" s="2779">
        <f t="shared" si="34"/>
        <v>64.8</v>
      </c>
      <c r="AG371" s="2421">
        <v>20.2</v>
      </c>
      <c r="AH371" s="2715">
        <f t="shared" si="31"/>
        <v>0.35255650890284407</v>
      </c>
      <c r="AI371" s="2715">
        <f t="shared" si="32"/>
        <v>0.35305650890284407</v>
      </c>
      <c r="AJ371" s="2715">
        <f t="shared" si="33"/>
        <v>0.35205650890284407</v>
      </c>
      <c r="AK371" s="2421">
        <f>IF(AND(дома!$Z$29&gt;=AJ371,дома!$Z$29&lt;=AI371),связи1!AG371,0)</f>
        <v>0</v>
      </c>
      <c r="AL371" s="2421">
        <f>IF(AND(дома!$AA$29&gt;=AJ371,дома!$AA$29&lt;=AI371),связи1!AG371,0)</f>
        <v>0</v>
      </c>
    </row>
    <row r="372" spans="1:38" ht="16">
      <c r="A372" s="275" t="s">
        <v>4549</v>
      </c>
      <c r="B372" s="215" t="s">
        <v>156</v>
      </c>
      <c r="C372" s="2777"/>
      <c r="D372" s="2778">
        <v>32400</v>
      </c>
      <c r="E372" s="2779">
        <v>2.4700000000000002</v>
      </c>
      <c r="F372" s="2779">
        <f t="shared" si="34"/>
        <v>80.028000000000006</v>
      </c>
      <c r="AG372" s="2421">
        <v>20.3</v>
      </c>
      <c r="AH372" s="2715">
        <f t="shared" si="31"/>
        <v>0.3543018381548384</v>
      </c>
      <c r="AI372" s="2715">
        <f t="shared" si="32"/>
        <v>0.3548018381548384</v>
      </c>
      <c r="AJ372" s="2715">
        <f t="shared" si="33"/>
        <v>0.3538018381548384</v>
      </c>
      <c r="AK372" s="2421">
        <f>IF(AND(дома!$Z$29&gt;=AJ372,дома!$Z$29&lt;=AI372),связи1!AG372,0)</f>
        <v>0</v>
      </c>
      <c r="AL372" s="2421">
        <f>IF(AND(дома!$AA$29&gt;=AJ372,дома!$AA$29&lt;=AI372),связи1!AG372,0)</f>
        <v>0</v>
      </c>
    </row>
    <row r="373" spans="1:38" ht="16">
      <c r="A373" s="581" t="s">
        <v>4550</v>
      </c>
      <c r="AG373" s="2421">
        <v>20.399999999999999</v>
      </c>
      <c r="AH373" s="2715">
        <f t="shared" ref="AH373:AH404" si="35">AG373*3.1415926535897/180</f>
        <v>0.35604716740683262</v>
      </c>
      <c r="AI373" s="2715">
        <f t="shared" ref="AI373:AI404" si="36">AH373+0.0005</f>
        <v>0.35654716740683262</v>
      </c>
      <c r="AJ373" s="2715">
        <f t="shared" ref="AJ373:AJ383" si="37">AH373-0.0005</f>
        <v>0.35554716740683262</v>
      </c>
      <c r="AK373" s="2421">
        <f>IF(AND(дома!$Z$29&gt;=AJ373,дома!$Z$29&lt;=AI373),связи1!AG373,0)</f>
        <v>0</v>
      </c>
      <c r="AL373" s="2421">
        <f>IF(AND(дома!$AA$29&gt;=AJ373,дома!$AA$29&lt;=AI373),связи1!AG373,0)</f>
        <v>0</v>
      </c>
    </row>
    <row r="374" spans="1:38" ht="16">
      <c r="A374" s="275" t="s">
        <v>4551</v>
      </c>
      <c r="B374" s="215" t="s">
        <v>156</v>
      </c>
      <c r="C374" s="2780">
        <v>0.6</v>
      </c>
      <c r="D374" s="2778">
        <v>40600</v>
      </c>
      <c r="E374" s="2779">
        <v>0.222</v>
      </c>
      <c r="F374" s="2779">
        <f>F356</f>
        <v>0</v>
      </c>
      <c r="AG374" s="2421">
        <v>20.5</v>
      </c>
      <c r="AH374" s="2715">
        <f t="shared" si="35"/>
        <v>0.35779249665882695</v>
      </c>
      <c r="AI374" s="2715">
        <f t="shared" si="36"/>
        <v>0.35829249665882695</v>
      </c>
      <c r="AJ374" s="2715">
        <f t="shared" si="37"/>
        <v>0.35729249665882695</v>
      </c>
      <c r="AK374" s="2421">
        <f>IF(AND(дома!$Z$29&gt;=AJ374,дома!$Z$29&lt;=AI374),связи1!AG374,0)</f>
        <v>0</v>
      </c>
      <c r="AL374" s="2421">
        <f>IF(AND(дома!$AA$29&gt;=AJ374,дома!$AA$29&lt;=AI374),связи1!AG374,0)</f>
        <v>0</v>
      </c>
    </row>
    <row r="375" spans="1:38" ht="16">
      <c r="A375" s="275" t="s">
        <v>2418</v>
      </c>
      <c r="B375" s="215" t="s">
        <v>156</v>
      </c>
      <c r="C375" s="2780">
        <v>0.4</v>
      </c>
      <c r="D375" s="2778">
        <v>40600</v>
      </c>
      <c r="E375" s="2779">
        <v>0.39500000000000002</v>
      </c>
      <c r="F375" s="2779">
        <f>F356</f>
        <v>0</v>
      </c>
      <c r="AG375" s="2421">
        <v>20.6</v>
      </c>
      <c r="AH375" s="2715">
        <f t="shared" si="35"/>
        <v>0.35953782591082117</v>
      </c>
      <c r="AI375" s="2715">
        <f t="shared" si="36"/>
        <v>0.36003782591082117</v>
      </c>
      <c r="AJ375" s="2715">
        <f t="shared" si="37"/>
        <v>0.35903782591082117</v>
      </c>
      <c r="AK375" s="2421">
        <f>IF(AND(дома!$Z$29&gt;=AJ375,дома!$Z$29&lt;=AI375),связи1!AG375,0)</f>
        <v>0</v>
      </c>
      <c r="AL375" s="2421">
        <f>IF(AND(дома!$AA$29&gt;=AJ375,дома!$AA$29&lt;=AI375),связи1!AG375,0)</f>
        <v>0</v>
      </c>
    </row>
    <row r="376" spans="1:38" ht="16">
      <c r="A376" s="275" t="s">
        <v>4552</v>
      </c>
      <c r="B376" s="215" t="s">
        <v>156</v>
      </c>
      <c r="C376" s="2780">
        <v>0.3</v>
      </c>
      <c r="D376" s="2778">
        <v>34100</v>
      </c>
      <c r="E376" s="2779">
        <v>0.61699999999999999</v>
      </c>
      <c r="F376" s="2779">
        <f>F356</f>
        <v>0</v>
      </c>
      <c r="AG376" s="2421">
        <v>20.7</v>
      </c>
      <c r="AH376" s="2715">
        <f t="shared" si="35"/>
        <v>0.36128315516281545</v>
      </c>
      <c r="AI376" s="2715">
        <f t="shared" si="36"/>
        <v>0.36178315516281545</v>
      </c>
      <c r="AJ376" s="2715">
        <f t="shared" si="37"/>
        <v>0.36078315516281545</v>
      </c>
      <c r="AK376" s="2421">
        <f>IF(AND(дома!$Z$29&gt;=AJ376,дома!$Z$29&lt;=AI376),связи1!AG376,0)</f>
        <v>0</v>
      </c>
      <c r="AL376" s="2421">
        <f>IF(AND(дома!$AA$29&gt;=AJ376,дома!$AA$29&lt;=AI376),связи1!AG376,0)</f>
        <v>0</v>
      </c>
    </row>
    <row r="377" spans="1:38" ht="16">
      <c r="A377" s="275" t="s">
        <v>4553</v>
      </c>
      <c r="B377" s="215" t="s">
        <v>156</v>
      </c>
      <c r="C377" s="2780">
        <v>0.6</v>
      </c>
      <c r="D377" s="2778">
        <v>32900</v>
      </c>
      <c r="E377" s="2779">
        <v>0.88800000000000001</v>
      </c>
      <c r="F377" s="2779">
        <f>F357</f>
        <v>16.037000000000003</v>
      </c>
      <c r="AG377" s="2421">
        <v>20.8</v>
      </c>
      <c r="AH377" s="2715">
        <f t="shared" si="35"/>
        <v>0.36302848441480978</v>
      </c>
      <c r="AI377" s="2715">
        <f t="shared" si="36"/>
        <v>0.36352848441480978</v>
      </c>
      <c r="AJ377" s="2715">
        <f t="shared" si="37"/>
        <v>0.36252848441480978</v>
      </c>
      <c r="AK377" s="2421">
        <f>IF(AND(дома!$Z$29&gt;=AJ377,дома!$Z$29&lt;=AI377),связи1!AG377,0)</f>
        <v>0</v>
      </c>
      <c r="AL377" s="2421">
        <f>IF(AND(дома!$AA$29&gt;=AJ377,дома!$AA$29&lt;=AI377),связи1!AG377,0)</f>
        <v>0</v>
      </c>
    </row>
    <row r="378" spans="1:38" ht="16">
      <c r="A378" s="275" t="s">
        <v>4554</v>
      </c>
      <c r="B378" s="215" t="s">
        <v>156</v>
      </c>
      <c r="C378" s="2780">
        <v>0.4</v>
      </c>
      <c r="D378" s="2778">
        <v>32400</v>
      </c>
      <c r="E378" s="2779">
        <v>1.21</v>
      </c>
      <c r="F378" s="2779">
        <f>F357</f>
        <v>16.037000000000003</v>
      </c>
      <c r="AG378" s="2421">
        <v>20.9</v>
      </c>
      <c r="AH378" s="2715">
        <f t="shared" si="35"/>
        <v>0.364773813666804</v>
      </c>
      <c r="AI378" s="2715">
        <f t="shared" si="36"/>
        <v>0.365273813666804</v>
      </c>
      <c r="AJ378" s="2715">
        <f t="shared" si="37"/>
        <v>0.364273813666804</v>
      </c>
      <c r="AK378" s="2421">
        <f>IF(AND(дома!$Z$29&gt;=AJ378,дома!$Z$29&lt;=AI378),связи1!AG378,0)</f>
        <v>0</v>
      </c>
      <c r="AL378" s="2421">
        <f>IF(AND(дома!$AA$29&gt;=AJ378,дома!$AA$29&lt;=AI378),связи1!AG378,0)</f>
        <v>0</v>
      </c>
    </row>
    <row r="379" spans="1:38" ht="16">
      <c r="A379" s="275" t="s">
        <v>4555</v>
      </c>
      <c r="B379" s="215" t="s">
        <v>156</v>
      </c>
      <c r="C379" s="2780">
        <v>0.3</v>
      </c>
      <c r="D379" s="2778">
        <v>32400</v>
      </c>
      <c r="E379" s="2779">
        <v>1.58</v>
      </c>
      <c r="F379" s="2779">
        <f>F357</f>
        <v>16.037000000000003</v>
      </c>
      <c r="AG379" s="2421">
        <v>21</v>
      </c>
      <c r="AH379" s="2715">
        <f t="shared" si="35"/>
        <v>0.36651914291879834</v>
      </c>
      <c r="AI379" s="2715">
        <f t="shared" si="36"/>
        <v>0.36701914291879834</v>
      </c>
      <c r="AJ379" s="2715">
        <f t="shared" si="37"/>
        <v>0.36601914291879833</v>
      </c>
      <c r="AK379" s="2421">
        <f>IF(AND(дома!$Z$29&gt;=AJ379,дома!$Z$29&lt;=AI379),связи1!AG379,0)</f>
        <v>0</v>
      </c>
      <c r="AL379" s="2421">
        <f>IF(AND(дома!$AA$29&gt;=AJ379,дома!$AA$29&lt;=AI379),связи1!AG379,0)</f>
        <v>0</v>
      </c>
    </row>
    <row r="380" spans="1:38" ht="16">
      <c r="A380" s="275"/>
      <c r="B380" s="215"/>
      <c r="C380" s="2777"/>
      <c r="D380" s="2778"/>
      <c r="E380" s="2779"/>
      <c r="F380" s="2779"/>
      <c r="AG380" s="2421">
        <v>21.1</v>
      </c>
      <c r="AH380" s="2715">
        <f t="shared" si="35"/>
        <v>0.36826447217079256</v>
      </c>
      <c r="AI380" s="2715">
        <f t="shared" si="36"/>
        <v>0.36876447217079256</v>
      </c>
      <c r="AJ380" s="2715">
        <f t="shared" si="37"/>
        <v>0.36776447217079256</v>
      </c>
      <c r="AK380" s="2421">
        <f>IF(AND(дома!$Z$29&gt;=AJ380,дома!$Z$29&lt;=AI380),связи1!AG380,0)</f>
        <v>0</v>
      </c>
      <c r="AL380" s="2421">
        <f>IF(AND(дома!$AA$29&gt;=AJ380,дома!$AA$29&lt;=AI380),связи1!AG380,0)</f>
        <v>0</v>
      </c>
    </row>
    <row r="381" spans="1:38" ht="16">
      <c r="A381" s="275"/>
      <c r="B381" s="215"/>
      <c r="C381" s="2777"/>
      <c r="D381" s="2778"/>
      <c r="E381" s="2779"/>
      <c r="F381" s="2779"/>
      <c r="AG381" s="2421">
        <v>21.2</v>
      </c>
      <c r="AH381" s="2715">
        <f t="shared" si="35"/>
        <v>0.37000980142278683</v>
      </c>
      <c r="AI381" s="2715">
        <f t="shared" si="36"/>
        <v>0.37050980142278683</v>
      </c>
      <c r="AJ381" s="2715">
        <f t="shared" si="37"/>
        <v>0.36950980142278683</v>
      </c>
      <c r="AK381" s="2421">
        <f>IF(AND(дома!$Z$29&gt;=AJ381,дома!$Z$29&lt;=AI381),связи1!AG381,0)</f>
        <v>0</v>
      </c>
      <c r="AL381" s="2421">
        <f>IF(AND(дома!$AA$29&gt;=AJ381,дома!$AA$29&lt;=AI381),связи1!AG381,0)</f>
        <v>0</v>
      </c>
    </row>
    <row r="382" spans="1:38" ht="16">
      <c r="A382" s="2781" t="s">
        <v>207</v>
      </c>
      <c r="B382" s="2782"/>
      <c r="C382" s="2782"/>
      <c r="D382" s="2782"/>
      <c r="E382" s="2782"/>
      <c r="F382" s="2782"/>
      <c r="AG382" s="2421">
        <v>21.3</v>
      </c>
      <c r="AH382" s="2715">
        <f t="shared" si="35"/>
        <v>0.37175513067478116</v>
      </c>
      <c r="AI382" s="2715">
        <f t="shared" si="36"/>
        <v>0.37225513067478117</v>
      </c>
      <c r="AJ382" s="2715">
        <f t="shared" si="37"/>
        <v>0.37125513067478116</v>
      </c>
      <c r="AK382" s="2421">
        <f>IF(AND(дома!$Z$29&gt;=AJ382,дома!$Z$29&lt;=AI382),связи1!AG382,0)</f>
        <v>0</v>
      </c>
      <c r="AL382" s="2421">
        <f>IF(AND(дома!$AA$29&gt;=AJ382,дома!$AA$29&lt;=AI382),связи1!AG382,0)</f>
        <v>0</v>
      </c>
    </row>
    <row r="383" spans="1:38" ht="16">
      <c r="A383" s="2783" t="str">
        <f>'Прайс лист'!B236</f>
        <v>Пенобетон 200x400x600</v>
      </c>
      <c r="B383" s="2783" t="str">
        <f>'Прайс лист'!C236</f>
        <v>м3</v>
      </c>
      <c r="C383" s="2783">
        <f>'Прайс лист'!D236</f>
        <v>200</v>
      </c>
      <c r="D383" s="2783">
        <f>'Прайс лист'!E236</f>
        <v>400</v>
      </c>
      <c r="E383" s="2783">
        <f>'Прайс лист'!F236</f>
        <v>600</v>
      </c>
      <c r="F383" s="2783">
        <f>'Прайс лист'!G236</f>
        <v>3950</v>
      </c>
      <c r="AG383" s="2421">
        <v>21.4</v>
      </c>
      <c r="AH383" s="2715">
        <f t="shared" si="35"/>
        <v>0.37350045992677539</v>
      </c>
      <c r="AI383" s="2715">
        <f t="shared" si="36"/>
        <v>0.37400045992677539</v>
      </c>
      <c r="AJ383" s="2715">
        <f t="shared" si="37"/>
        <v>0.37300045992677539</v>
      </c>
      <c r="AK383" s="2421">
        <f>IF(AND(дома!$Z$29&gt;=AJ383,дома!$Z$29&lt;=AI383),связи1!AG383,0)</f>
        <v>0</v>
      </c>
      <c r="AL383" s="2421">
        <f>IF(AND(дома!$AA$29&gt;=AJ383,дома!$AA$29&lt;=AI383),связи1!AG383,0)</f>
        <v>0</v>
      </c>
    </row>
    <row r="384" spans="1:38" ht="16">
      <c r="A384" s="2783" t="str">
        <f>'Прайс лист'!B237</f>
        <v>Пенобетон 200x300x600</v>
      </c>
      <c r="B384" s="2783" t="str">
        <f>'Прайс лист'!C237</f>
        <v>м3</v>
      </c>
      <c r="C384" s="2783">
        <f>'Прайс лист'!D237</f>
        <v>200</v>
      </c>
      <c r="D384" s="2783">
        <f>'Прайс лист'!E237</f>
        <v>300</v>
      </c>
      <c r="E384" s="2783">
        <f>'Прайс лист'!F237</f>
        <v>600</v>
      </c>
      <c r="F384" s="2783">
        <f>'Прайс лист'!G237</f>
        <v>3650</v>
      </c>
      <c r="AG384" s="2421"/>
      <c r="AH384" s="2715"/>
      <c r="AI384" s="2715"/>
      <c r="AJ384" s="2715"/>
      <c r="AK384" s="2421"/>
      <c r="AL384" s="2421"/>
    </row>
    <row r="385" spans="1:38" ht="16">
      <c r="A385" s="2783" t="str">
        <f>'Прайс лист'!B238</f>
        <v>Пенобетон 200x200x600</v>
      </c>
      <c r="B385" s="2783" t="str">
        <f>'Прайс лист'!C238</f>
        <v>м3</v>
      </c>
      <c r="C385" s="2783">
        <f>'Прайс лист'!D238</f>
        <v>200</v>
      </c>
      <c r="D385" s="2783">
        <f>'Прайс лист'!E238</f>
        <v>200</v>
      </c>
      <c r="E385" s="2783">
        <f>'Прайс лист'!F238</f>
        <v>600</v>
      </c>
      <c r="F385" s="2783">
        <f>'Прайс лист'!G238</f>
        <v>3950</v>
      </c>
      <c r="AG385" s="2421"/>
      <c r="AH385" s="2715"/>
      <c r="AI385" s="2715"/>
      <c r="AJ385" s="2715"/>
      <c r="AK385" s="2421"/>
      <c r="AL385" s="2421"/>
    </row>
    <row r="386" spans="1:38" ht="16">
      <c r="A386" s="2783" t="str">
        <f>'Прайс лист'!B239</f>
        <v>Пенобетон 200x150x600</v>
      </c>
      <c r="B386" s="2783" t="str">
        <f>'Прайс лист'!C239</f>
        <v>м3</v>
      </c>
      <c r="C386" s="2783">
        <f>'Прайс лист'!D239</f>
        <v>200</v>
      </c>
      <c r="D386" s="2783">
        <f>'Прайс лист'!E239</f>
        <v>150</v>
      </c>
      <c r="E386" s="2783">
        <f>'Прайс лист'!F239</f>
        <v>600</v>
      </c>
      <c r="F386" s="2783">
        <f>'Прайс лист'!G239</f>
        <v>3950</v>
      </c>
      <c r="AG386" s="2421"/>
      <c r="AH386" s="2715"/>
      <c r="AI386" s="2715"/>
      <c r="AJ386" s="2715"/>
      <c r="AK386" s="2421"/>
      <c r="AL386" s="2421"/>
    </row>
    <row r="387" spans="1:38" ht="16">
      <c r="A387" s="2783" t="str">
        <f>'Прайс лист'!B240</f>
        <v>Пенобетон 200x100x600</v>
      </c>
      <c r="B387" s="2783" t="str">
        <f>'Прайс лист'!C240</f>
        <v>м3</v>
      </c>
      <c r="C387" s="2783">
        <f>'Прайс лист'!D240</f>
        <v>200</v>
      </c>
      <c r="D387" s="2783">
        <f>'Прайс лист'!E240</f>
        <v>100</v>
      </c>
      <c r="E387" s="2783">
        <f>'Прайс лист'!F240</f>
        <v>600</v>
      </c>
      <c r="F387" s="2783">
        <f>'Прайс лист'!G240</f>
        <v>3950</v>
      </c>
      <c r="AG387" s="2421"/>
      <c r="AH387" s="2715"/>
      <c r="AI387" s="2715"/>
      <c r="AJ387" s="2715"/>
      <c r="AK387" s="2421"/>
      <c r="AL387" s="2421"/>
    </row>
    <row r="388" spans="1:38" ht="16">
      <c r="A388" s="2783" t="str">
        <f>'Прайс лист'!B241</f>
        <v>Пенобетон 150x400x600</v>
      </c>
      <c r="B388" s="2783" t="str">
        <f>'Прайс лист'!C241</f>
        <v>м3</v>
      </c>
      <c r="C388" s="2783">
        <f>'Прайс лист'!D241</f>
        <v>200</v>
      </c>
      <c r="D388" s="2783">
        <f>'Прайс лист'!E241</f>
        <v>400</v>
      </c>
      <c r="E388" s="2783">
        <f>'Прайс лист'!F241</f>
        <v>600</v>
      </c>
      <c r="F388" s="2783">
        <f>'Прайс лист'!G241</f>
        <v>3950</v>
      </c>
      <c r="AG388" s="2421"/>
      <c r="AH388" s="2715"/>
      <c r="AI388" s="2715"/>
      <c r="AJ388" s="2715"/>
      <c r="AK388" s="2421"/>
      <c r="AL388" s="2421"/>
    </row>
    <row r="389" spans="1:38" ht="16">
      <c r="A389" s="2783" t="str">
        <f>'Прайс лист'!B242</f>
        <v>Пенобетон 150x300x600</v>
      </c>
      <c r="B389" s="2783" t="str">
        <f>'Прайс лист'!C242</f>
        <v>м3</v>
      </c>
      <c r="C389" s="2783">
        <f>'Прайс лист'!D242</f>
        <v>150</v>
      </c>
      <c r="D389" s="2783">
        <f>'Прайс лист'!E242</f>
        <v>300</v>
      </c>
      <c r="E389" s="2783">
        <f>'Прайс лист'!F242</f>
        <v>600</v>
      </c>
      <c r="F389" s="2783">
        <f>'Прайс лист'!G242</f>
        <v>3750</v>
      </c>
      <c r="I389" s="2722" t="s">
        <v>493</v>
      </c>
      <c r="J389" s="2722">
        <v>0</v>
      </c>
      <c r="K389" s="2722"/>
      <c r="L389" s="2722">
        <v>0</v>
      </c>
      <c r="M389" s="2722">
        <v>0</v>
      </c>
      <c r="N389" s="2722"/>
      <c r="AG389" s="2421"/>
      <c r="AH389" s="2715"/>
      <c r="AI389" s="2715"/>
      <c r="AJ389" s="2715"/>
      <c r="AK389" s="2421"/>
      <c r="AL389" s="2421"/>
    </row>
    <row r="390" spans="1:38" ht="16">
      <c r="A390" s="2783" t="str">
        <f>'Прайс лист'!B243</f>
        <v>Пенобетон 150x200x600</v>
      </c>
      <c r="B390" s="2783" t="str">
        <f>'Прайс лист'!C243</f>
        <v>м3</v>
      </c>
      <c r="C390" s="2783">
        <f>'Прайс лист'!D243</f>
        <v>150</v>
      </c>
      <c r="D390" s="2783">
        <f>'Прайс лист'!E243</f>
        <v>200</v>
      </c>
      <c r="E390" s="2783">
        <f>'Прайс лист'!F243</f>
        <v>600</v>
      </c>
      <c r="F390" s="2783">
        <f>'Прайс лист'!G243</f>
        <v>3750</v>
      </c>
      <c r="I390" s="2724" t="str">
        <f>связи1!A419</f>
        <v>Сосна влаж, 50*50мм</v>
      </c>
      <c r="J390" s="2724">
        <f t="shared" ref="J390:M392" si="38">B419</f>
        <v>6500</v>
      </c>
      <c r="K390" s="2722">
        <f t="shared" si="38"/>
        <v>400</v>
      </c>
      <c r="L390" s="2722">
        <f t="shared" si="38"/>
        <v>16.25</v>
      </c>
      <c r="M390" s="2722">
        <f t="shared" si="38"/>
        <v>2.5000000000000005E-3</v>
      </c>
      <c r="N390" s="2722"/>
      <c r="O390" s="2379" t="str">
        <f>'Прайс лист'!B898</f>
        <v xml:space="preserve">Гвозди ершоные 2,8 х 90            </v>
      </c>
      <c r="P390" s="1197">
        <f>'Прайс лист'!F898</f>
        <v>0.95</v>
      </c>
      <c r="AG390" s="2421">
        <v>21.5</v>
      </c>
      <c r="AH390" s="2715">
        <f>AG390*3.1415926535897/180</f>
        <v>0.37524578917876972</v>
      </c>
      <c r="AI390" s="2715">
        <f>AH390+0.0005</f>
        <v>0.37574578917876972</v>
      </c>
      <c r="AJ390" s="2715">
        <f>AH390-0.0005</f>
        <v>0.37474578917876972</v>
      </c>
      <c r="AK390" s="2421">
        <f>IF(AND(дома!$Z$29&gt;=AJ390,дома!$Z$29&lt;=AI390),связи1!AG390,0)</f>
        <v>0</v>
      </c>
      <c r="AL390" s="2421">
        <f>IF(AND(дома!$AA$29&gt;=AJ390,дома!$AA$29&lt;=AI390),связи1!AG390,0)</f>
        <v>0</v>
      </c>
    </row>
    <row r="391" spans="1:38" ht="16">
      <c r="A391" s="2783" t="str">
        <f>'Прайс лист'!B244</f>
        <v>Пенобетон 150x150x600</v>
      </c>
      <c r="B391" s="2783" t="str">
        <f>'Прайс лист'!C244</f>
        <v>м3</v>
      </c>
      <c r="C391" s="2783">
        <f>'Прайс лист'!D244</f>
        <v>150</v>
      </c>
      <c r="D391" s="2783">
        <f>'Прайс лист'!E244</f>
        <v>150</v>
      </c>
      <c r="E391" s="2783">
        <f>'Прайс лист'!F244</f>
        <v>600</v>
      </c>
      <c r="F391" s="2783">
        <f>'Прайс лист'!G244</f>
        <v>3750</v>
      </c>
      <c r="I391" s="2724" t="str">
        <f>связи1!A420</f>
        <v>Доска сухая, калибр., 35*45мм</v>
      </c>
      <c r="J391" s="2724">
        <f t="shared" si="38"/>
        <v>12500</v>
      </c>
      <c r="K391" s="2722">
        <f t="shared" si="38"/>
        <v>634.92063492063494</v>
      </c>
      <c r="L391" s="2722">
        <f t="shared" si="38"/>
        <v>19.6875</v>
      </c>
      <c r="M391" s="2722">
        <f t="shared" si="38"/>
        <v>1.2250000000000002E-3</v>
      </c>
      <c r="N391" s="2722"/>
      <c r="O391" s="2379" t="str">
        <f>'Прайс лист'!B898</f>
        <v xml:space="preserve">Гвозди ершоные 2,8 х 90            </v>
      </c>
      <c r="P391" s="1197">
        <f>'Прайс лист'!F898</f>
        <v>0.95</v>
      </c>
      <c r="AG391" s="2421">
        <v>21.6</v>
      </c>
      <c r="AH391" s="2715">
        <f>AG391*3.1415926535897/180</f>
        <v>0.37699111843076405</v>
      </c>
      <c r="AI391" s="2715">
        <f>AH391+0.0005</f>
        <v>0.37749111843076405</v>
      </c>
      <c r="AJ391" s="2715">
        <f>AH391-0.0005</f>
        <v>0.37649111843076405</v>
      </c>
      <c r="AK391" s="2421">
        <f>IF(AND(дома!$Z$29&gt;=AJ391,дома!$Z$29&lt;=AI391),связи1!AG391,0)</f>
        <v>0</v>
      </c>
      <c r="AL391" s="2421">
        <f>IF(AND(дома!$AA$29&gt;=AJ391,дома!$AA$29&lt;=AI391),связи1!AG391,0)</f>
        <v>0</v>
      </c>
    </row>
    <row r="392" spans="1:38" ht="16">
      <c r="A392" s="2783" t="str">
        <f>'Прайс лист'!B245</f>
        <v>Пенобетон 150x100x600</v>
      </c>
      <c r="B392" s="2783" t="str">
        <f>'Прайс лист'!C245</f>
        <v>м3</v>
      </c>
      <c r="C392" s="2783">
        <f>'Прайс лист'!D245</f>
        <v>150</v>
      </c>
      <c r="D392" s="2783">
        <f>'Прайс лист'!E245</f>
        <v>100</v>
      </c>
      <c r="E392" s="2783">
        <f>'Прайс лист'!F245</f>
        <v>600</v>
      </c>
      <c r="F392" s="2783">
        <f>'Прайс лист'!G245</f>
        <v>3750</v>
      </c>
      <c r="I392" s="2724" t="str">
        <f>связи1!A421</f>
        <v>Доска сухая 50*50мм</v>
      </c>
      <c r="J392" s="2724">
        <f t="shared" si="38"/>
        <v>9000</v>
      </c>
      <c r="K392" s="2722">
        <f t="shared" si="38"/>
        <v>400</v>
      </c>
      <c r="L392" s="2722">
        <f t="shared" si="38"/>
        <v>22.5</v>
      </c>
      <c r="M392" s="2722">
        <f t="shared" si="38"/>
        <v>2.5000000000000005E-3</v>
      </c>
      <c r="N392" s="2722"/>
      <c r="O392" s="2379" t="str">
        <f>'Прайс лист'!B898</f>
        <v xml:space="preserve">Гвозди ершоные 2,8 х 90            </v>
      </c>
      <c r="P392" s="1197">
        <f>'Прайс лист'!F898</f>
        <v>0.95</v>
      </c>
      <c r="AG392" s="2421">
        <v>21.7</v>
      </c>
      <c r="AH392" s="2715">
        <f>AG392*3.1415926535897/180</f>
        <v>0.37873644768275821</v>
      </c>
      <c r="AI392" s="2715">
        <f>AH392+0.0005</f>
        <v>0.37923644768275822</v>
      </c>
      <c r="AJ392" s="2715">
        <f>AH392-0.0005</f>
        <v>0.37823644768275821</v>
      </c>
      <c r="AK392" s="2421">
        <f>IF(AND(дома!$Z$29&gt;=AJ392,дома!$Z$29&lt;=AI392),связи1!AG392,0)</f>
        <v>0</v>
      </c>
      <c r="AL392" s="2421">
        <f>IF(AND(дома!$AA$29&gt;=AJ392,дома!$AA$29&lt;=AI392),связи1!AG392,0)</f>
        <v>0</v>
      </c>
    </row>
    <row r="393" spans="1:38" ht="16">
      <c r="A393" s="2783" t="str">
        <f>'Прайс лист'!B246</f>
        <v>Пенобетон 100x400x600</v>
      </c>
      <c r="B393" s="2783" t="str">
        <f>'Прайс лист'!C246</f>
        <v>м3</v>
      </c>
      <c r="C393" s="2783">
        <f>'Прайс лист'!D246</f>
        <v>100</v>
      </c>
      <c r="D393" s="2783">
        <f>'Прайс лист'!E246</f>
        <v>400</v>
      </c>
      <c r="E393" s="2783">
        <f>'Прайс лист'!F246</f>
        <v>600</v>
      </c>
      <c r="F393" s="2783">
        <f>'Прайс лист'!G246</f>
        <v>3750</v>
      </c>
      <c r="I393" s="2722" t="str">
        <f>'Прайс лист'!B621</f>
        <v>Z 100-1,2</v>
      </c>
      <c r="J393" s="2723">
        <f>'Прайс лист'!G621</f>
        <v>163</v>
      </c>
      <c r="K393" s="2722"/>
      <c r="L393" s="2723">
        <f>'Прайс лист'!G621</f>
        <v>163</v>
      </c>
      <c r="M393" s="2722"/>
      <c r="N393" s="2722"/>
      <c r="O393" s="2489" t="str">
        <f>'Прайс лист'!B882</f>
        <v>Саморез 5,5 х 25</v>
      </c>
      <c r="P393" s="2489">
        <f>'Прайс лист'!F882</f>
        <v>2.5</v>
      </c>
      <c r="AG393" s="2421">
        <v>21.8</v>
      </c>
      <c r="AH393" s="2715">
        <f>AG393*3.1415926535897/180</f>
        <v>0.38048177693475255</v>
      </c>
      <c r="AI393" s="2715">
        <f>AH393+0.0005</f>
        <v>0.38098177693475255</v>
      </c>
      <c r="AJ393" s="2715">
        <f>AH393-0.0005</f>
        <v>0.37998177693475255</v>
      </c>
      <c r="AK393" s="2421">
        <f>IF(AND(дома!$Z$29&gt;=AJ393,дома!$Z$29&lt;=AI393),связи1!AG393,0)</f>
        <v>0</v>
      </c>
      <c r="AL393" s="2421">
        <f>IF(AND(дома!$AA$29&gt;=AJ393,дома!$AA$29&lt;=AI393),связи1!AG393,0)</f>
        <v>0</v>
      </c>
    </row>
    <row r="394" spans="1:38" ht="16">
      <c r="A394" s="2783" t="str">
        <f>'Прайс лист'!B247</f>
        <v>Пенобетон 100x300x600</v>
      </c>
      <c r="B394" s="2783" t="str">
        <f>'Прайс лист'!C247</f>
        <v>м3</v>
      </c>
      <c r="C394" s="2783">
        <f>'Прайс лист'!D247</f>
        <v>100</v>
      </c>
      <c r="D394" s="2783">
        <f>'Прайс лист'!E247</f>
        <v>300</v>
      </c>
      <c r="E394" s="2783">
        <f>'Прайс лист'!F247</f>
        <v>600</v>
      </c>
      <c r="F394" s="2783">
        <f>'Прайс лист'!G247</f>
        <v>3950</v>
      </c>
      <c r="I394" s="2722" t="str">
        <f>'Прайс лист'!B622</f>
        <v>Z 100-1,5</v>
      </c>
      <c r="J394" s="2723">
        <f>'Прайс лист'!G622</f>
        <v>204</v>
      </c>
      <c r="K394" s="2722"/>
      <c r="L394" s="2723">
        <f>'Прайс лист'!G622</f>
        <v>204</v>
      </c>
      <c r="M394" s="2722"/>
      <c r="N394" s="2722"/>
      <c r="O394" s="2489" t="str">
        <f>'Прайс лист'!B882</f>
        <v>Саморез 5,5 х 25</v>
      </c>
      <c r="P394" s="2489">
        <f>'Прайс лист'!F882</f>
        <v>2.5</v>
      </c>
      <c r="AG394" s="2421"/>
      <c r="AH394" s="2715"/>
      <c r="AI394" s="2715"/>
      <c r="AJ394" s="2715"/>
      <c r="AK394" s="2421"/>
      <c r="AL394" s="2421"/>
    </row>
    <row r="395" spans="1:38" ht="16">
      <c r="A395" s="2783" t="str">
        <f>'Прайс лист'!B248</f>
        <v>Пенобетон 100x200x600</v>
      </c>
      <c r="B395" s="2783" t="str">
        <f>'Прайс лист'!C248</f>
        <v>м3</v>
      </c>
      <c r="C395" s="2783">
        <f>'Прайс лист'!D248</f>
        <v>100</v>
      </c>
      <c r="D395" s="2783">
        <f>'Прайс лист'!E248</f>
        <v>200</v>
      </c>
      <c r="E395" s="2783">
        <f>'Прайс лист'!F248</f>
        <v>600</v>
      </c>
      <c r="F395" s="2783">
        <f>'Прайс лист'!G248</f>
        <v>3950</v>
      </c>
      <c r="I395" s="2722" t="str">
        <f>'Прайс лист'!B623</f>
        <v>Z 100-2,0</v>
      </c>
      <c r="J395" s="2723">
        <f>'Прайс лист'!G623</f>
        <v>272</v>
      </c>
      <c r="K395" s="2722"/>
      <c r="L395" s="2723">
        <f>'Прайс лист'!G623</f>
        <v>272</v>
      </c>
      <c r="M395" s="2722"/>
      <c r="N395" s="2722"/>
      <c r="O395" s="2489" t="str">
        <f>'Прайс лист'!B882</f>
        <v>Саморез 5,5 х 25</v>
      </c>
      <c r="P395" s="2489">
        <f>'Прайс лист'!F882</f>
        <v>2.5</v>
      </c>
      <c r="AG395" s="2421"/>
      <c r="AH395" s="2715"/>
      <c r="AI395" s="2715"/>
      <c r="AJ395" s="2715"/>
      <c r="AK395" s="2421"/>
      <c r="AL395" s="2421"/>
    </row>
    <row r="396" spans="1:38" ht="16">
      <c r="A396" s="2783" t="str">
        <f>'Прайс лист'!B249</f>
        <v>Пенобетон 100x150x600</v>
      </c>
      <c r="B396" s="2783" t="str">
        <f>'Прайс лист'!C249</f>
        <v>м3</v>
      </c>
      <c r="C396" s="2783">
        <f>'Прайс лист'!D249</f>
        <v>100</v>
      </c>
      <c r="D396" s="2783">
        <f>'Прайс лист'!E249</f>
        <v>150</v>
      </c>
      <c r="E396" s="2783">
        <f>'Прайс лист'!F249</f>
        <v>600</v>
      </c>
      <c r="F396" s="2783">
        <f>'Прайс лист'!G249</f>
        <v>3950</v>
      </c>
      <c r="I396" s="2722" t="str">
        <f>'Прайс лист'!B624</f>
        <v>Z 150-1,2</v>
      </c>
      <c r="J396" s="2723">
        <f>'Прайс лист'!G624</f>
        <v>201</v>
      </c>
      <c r="K396" s="2722"/>
      <c r="L396" s="2723">
        <f>'Прайс лист'!G624</f>
        <v>201</v>
      </c>
      <c r="M396" s="2722"/>
      <c r="N396" s="2722"/>
      <c r="O396" s="2708" t="str">
        <f>'Прайс лист'!B882</f>
        <v>Саморез 5,5 х 25</v>
      </c>
      <c r="P396" s="2489">
        <f>'Прайс лист'!F882</f>
        <v>2.5</v>
      </c>
      <c r="AG396" s="2421"/>
      <c r="AH396" s="2715"/>
      <c r="AI396" s="2715"/>
      <c r="AJ396" s="2715"/>
      <c r="AK396" s="2421"/>
      <c r="AL396" s="2421"/>
    </row>
    <row r="397" spans="1:38" ht="16">
      <c r="A397" s="2783" t="str">
        <f>'Прайс лист'!B250</f>
        <v>Пенобетон 100x100x600</v>
      </c>
      <c r="B397" s="2783" t="str">
        <f>'Прайс лист'!C250</f>
        <v>м3</v>
      </c>
      <c r="C397" s="2783">
        <f>'Прайс лист'!D250</f>
        <v>100</v>
      </c>
      <c r="D397" s="2783">
        <f>'Прайс лист'!E250</f>
        <v>100</v>
      </c>
      <c r="E397" s="2783">
        <f>'Прайс лист'!F250</f>
        <v>600</v>
      </c>
      <c r="F397" s="2783">
        <f>'Прайс лист'!G250</f>
        <v>3950</v>
      </c>
      <c r="I397" s="2722" t="str">
        <f>'Прайс лист'!B625</f>
        <v>Z 150-1,5</v>
      </c>
      <c r="J397" s="2723">
        <f>'Прайс лист'!G625</f>
        <v>252</v>
      </c>
      <c r="K397" s="2722"/>
      <c r="L397" s="2723">
        <f>'Прайс лист'!G625</f>
        <v>252</v>
      </c>
      <c r="M397" s="2722"/>
      <c r="N397" s="2722"/>
      <c r="O397" s="2708" t="str">
        <f>'Прайс лист'!B882</f>
        <v>Саморез 5,5 х 25</v>
      </c>
      <c r="P397" s="2489">
        <f>'Прайс лист'!F882</f>
        <v>2.5</v>
      </c>
      <c r="AG397" s="2421">
        <v>21.9</v>
      </c>
      <c r="AH397" s="2715">
        <f t="shared" ref="AH397:AH406" si="39">AG397*3.1415926535897/180</f>
        <v>0.38222710618674682</v>
      </c>
      <c r="AI397" s="2715">
        <f t="shared" ref="AI397:AI406" si="40">AH397+0.0005</f>
        <v>0.38272710618674682</v>
      </c>
      <c r="AJ397" s="2715">
        <f t="shared" ref="AJ397:AJ406" si="41">AH397-0.0005</f>
        <v>0.38172710618674682</v>
      </c>
      <c r="AK397" s="2421">
        <f>IF(AND(дома!$Z$29&gt;=AJ397,дома!$Z$29&lt;=AI397),связи1!AG397,0)</f>
        <v>0</v>
      </c>
      <c r="AL397" s="2421">
        <f>IF(AND(дома!$AA$29&gt;=AJ397,дома!$AA$29&lt;=AI397),связи1!AG397,0)</f>
        <v>0</v>
      </c>
    </row>
    <row r="398" spans="1:38" ht="17">
      <c r="A398" s="2784" t="s">
        <v>4556</v>
      </c>
      <c r="C398" s="2421"/>
      <c r="D398" s="2421"/>
      <c r="E398" s="2421"/>
      <c r="I398" s="2722" t="str">
        <f>'Прайс лист'!B626</f>
        <v>Z 150-2,0</v>
      </c>
      <c r="J398" s="2723">
        <f>'Прайс лист'!G626</f>
        <v>330</v>
      </c>
      <c r="K398" s="2722"/>
      <c r="L398" s="2723">
        <f>'Прайс лист'!G626</f>
        <v>330</v>
      </c>
      <c r="M398" s="2722"/>
      <c r="N398" s="2722"/>
      <c r="O398" s="2708" t="str">
        <f>'Прайс лист'!B882</f>
        <v>Саморез 5,5 х 25</v>
      </c>
      <c r="P398" s="2489">
        <f>'Прайс лист'!F882</f>
        <v>2.5</v>
      </c>
      <c r="AG398" s="2421">
        <v>22</v>
      </c>
      <c r="AH398" s="2715">
        <f t="shared" si="39"/>
        <v>0.3839724354387411</v>
      </c>
      <c r="AI398" s="2715">
        <f t="shared" si="40"/>
        <v>0.3844724354387411</v>
      </c>
      <c r="AJ398" s="2715">
        <f t="shared" si="41"/>
        <v>0.3834724354387411</v>
      </c>
      <c r="AK398" s="2421">
        <f>IF(AND(дома!$Z$29&gt;=AJ398,дома!$Z$29&lt;=AI398),связи1!AG398,0)</f>
        <v>0</v>
      </c>
      <c r="AL398" s="2421">
        <f>IF(AND(дома!$AA$29&gt;=AJ398,дома!$AA$29&lt;=AI398),связи1!AG398,0)</f>
        <v>0</v>
      </c>
    </row>
    <row r="399" spans="1:38" ht="16">
      <c r="A399" s="275" t="s">
        <v>4557</v>
      </c>
      <c r="B399" s="2785">
        <f t="shared" ref="B399:B405" si="42">F357</f>
        <v>16.037000000000003</v>
      </c>
      <c r="C399" s="2777"/>
      <c r="D399" s="2778"/>
      <c r="E399" s="2779"/>
      <c r="I399" s="2722" t="str">
        <f>'Прайс лист'!B627</f>
        <v>Z 200-1,2</v>
      </c>
      <c r="J399" s="2723">
        <f>'Прайс лист'!G627</f>
        <v>239</v>
      </c>
      <c r="K399" s="2722"/>
      <c r="L399" s="2723">
        <f>'Прайс лист'!G627</f>
        <v>239</v>
      </c>
      <c r="M399" s="2722"/>
      <c r="N399" s="2722"/>
      <c r="O399" s="2708" t="str">
        <f>'Прайс лист'!B882</f>
        <v>Саморез 5,5 х 25</v>
      </c>
      <c r="P399" s="2489">
        <f>'Прайс лист'!F882</f>
        <v>2.5</v>
      </c>
      <c r="AG399" s="2421">
        <v>22.1</v>
      </c>
      <c r="AH399" s="2715">
        <f t="shared" si="39"/>
        <v>0.38571776469073543</v>
      </c>
      <c r="AI399" s="2715">
        <f t="shared" si="40"/>
        <v>0.38621776469073543</v>
      </c>
      <c r="AJ399" s="2715">
        <f t="shared" si="41"/>
        <v>0.38521776469073543</v>
      </c>
      <c r="AK399" s="2421">
        <f>IF(AND(дома!$Z$29&gt;=AJ399,дома!$Z$29&lt;=AI399),связи1!AG399,0)</f>
        <v>0</v>
      </c>
      <c r="AL399" s="2421">
        <f>IF(AND(дома!$AA$29&gt;=AJ399,дома!$AA$29&lt;=AI399),связи1!AG399,0)</f>
        <v>0</v>
      </c>
    </row>
    <row r="400" spans="1:38" ht="16">
      <c r="A400" s="275" t="s">
        <v>1781</v>
      </c>
      <c r="B400" s="2785">
        <f t="shared" si="42"/>
        <v>21.0397</v>
      </c>
      <c r="C400" s="2777"/>
      <c r="D400" s="2778"/>
      <c r="E400" s="2779"/>
      <c r="I400" s="2722" t="str">
        <f>'Прайс лист'!B628</f>
        <v>Z 200-1,5</v>
      </c>
      <c r="J400" s="2723">
        <f>'Прайс лист'!G628</f>
        <v>299</v>
      </c>
      <c r="K400" s="2722"/>
      <c r="L400" s="2723">
        <f>'Прайс лист'!G628</f>
        <v>299</v>
      </c>
      <c r="M400" s="2722"/>
      <c r="N400" s="2722"/>
      <c r="O400" s="2708" t="str">
        <f>'Прайс лист'!B882</f>
        <v>Саморез 5,5 х 25</v>
      </c>
      <c r="P400" s="2489">
        <f>'Прайс лист'!F882</f>
        <v>2.5</v>
      </c>
      <c r="AG400" s="2421">
        <v>22.2</v>
      </c>
      <c r="AH400" s="2715">
        <f t="shared" si="39"/>
        <v>0.3874630939427296</v>
      </c>
      <c r="AI400" s="2715">
        <f t="shared" si="40"/>
        <v>0.3879630939427296</v>
      </c>
      <c r="AJ400" s="2715">
        <f t="shared" si="41"/>
        <v>0.3869630939427296</v>
      </c>
      <c r="AK400" s="2421">
        <f>IF(AND(дома!$Z$29&gt;=AJ400,дома!$Z$29&lt;=AI400),связи1!AG400,0)</f>
        <v>0</v>
      </c>
      <c r="AL400" s="2421">
        <f>IF(AND(дома!$AA$29&gt;=AJ400,дома!$AA$29&lt;=AI400),связи1!AG400,0)</f>
        <v>0</v>
      </c>
    </row>
    <row r="401" spans="1:38" ht="16">
      <c r="A401" s="275" t="s">
        <v>1788</v>
      </c>
      <c r="B401" s="2785">
        <f t="shared" si="42"/>
        <v>29.215199999999999</v>
      </c>
      <c r="C401" s="2777"/>
      <c r="D401" s="2778"/>
      <c r="E401" s="2779"/>
      <c r="I401" s="2722" t="str">
        <f>'Прайс лист'!B629</f>
        <v>Z 200-2,0</v>
      </c>
      <c r="J401" s="2723">
        <f>'Прайс лист'!G629</f>
        <v>397</v>
      </c>
      <c r="K401" s="2722"/>
      <c r="L401" s="2723">
        <f>'Прайс лист'!G629</f>
        <v>397</v>
      </c>
      <c r="M401" s="2722"/>
      <c r="N401" s="2722"/>
      <c r="O401" s="2708" t="str">
        <f>'Прайс лист'!B882</f>
        <v>Саморез 5,5 х 25</v>
      </c>
      <c r="P401" s="2489">
        <f>'Прайс лист'!F882</f>
        <v>2.5</v>
      </c>
      <c r="AG401" s="2421">
        <v>22.3</v>
      </c>
      <c r="AH401" s="2715">
        <f t="shared" si="39"/>
        <v>0.38920842319472393</v>
      </c>
      <c r="AI401" s="2715">
        <f t="shared" si="40"/>
        <v>0.38970842319472393</v>
      </c>
      <c r="AJ401" s="2715">
        <f t="shared" si="41"/>
        <v>0.38870842319472393</v>
      </c>
      <c r="AK401" s="2421">
        <f>IF(AND(дома!$Z$29&gt;=AJ401,дома!$Z$29&lt;=AI401),связи1!AG401,0)</f>
        <v>0</v>
      </c>
      <c r="AL401" s="2421">
        <f>IF(AND(дома!$AA$29&gt;=AJ401,дома!$AA$29&lt;=AI401),связи1!AG401,0)</f>
        <v>0</v>
      </c>
    </row>
    <row r="402" spans="1:38" ht="16">
      <c r="A402" s="275" t="s">
        <v>4558</v>
      </c>
      <c r="B402" s="2785">
        <f t="shared" si="42"/>
        <v>39.204000000000001</v>
      </c>
      <c r="C402" s="2777"/>
      <c r="D402" s="2778"/>
      <c r="E402" s="2779"/>
      <c r="I402" s="2722" t="str">
        <f>'Прайс лист'!B630</f>
        <v>ГПО 30-0,7</v>
      </c>
      <c r="J402" s="2723">
        <f>'Прайс лист'!G630</f>
        <v>58</v>
      </c>
      <c r="K402" s="2722"/>
      <c r="L402" s="2723">
        <f>'Прайс лист'!G630</f>
        <v>58</v>
      </c>
      <c r="M402" s="2722"/>
      <c r="N402" s="2722"/>
      <c r="O402" s="2379" t="str">
        <f>'Прайс лист'!B882</f>
        <v>Саморез 5,5 х 25</v>
      </c>
      <c r="P402" s="1197">
        <f>'Прайс лист'!F882</f>
        <v>2.5</v>
      </c>
      <c r="AG402" s="2421">
        <v>22.4</v>
      </c>
      <c r="AH402" s="2715">
        <f t="shared" si="39"/>
        <v>0.39095375244671821</v>
      </c>
      <c r="AI402" s="2715">
        <f t="shared" si="40"/>
        <v>0.39145375244671821</v>
      </c>
      <c r="AJ402" s="2715">
        <f t="shared" si="41"/>
        <v>0.39045375244671821</v>
      </c>
      <c r="AK402" s="2421">
        <f>IF(AND(дома!$Z$29&gt;=AJ402,дома!$Z$29&lt;=AI402),связи1!AG402,0)</f>
        <v>0</v>
      </c>
      <c r="AL402" s="2421">
        <f>IF(AND(дома!$AA$29&gt;=AJ402,дома!$AA$29&lt;=AI402),связи1!AG402,0)</f>
        <v>0</v>
      </c>
    </row>
    <row r="403" spans="1:38" ht="16">
      <c r="A403" s="275" t="s">
        <v>4559</v>
      </c>
      <c r="B403" s="2785">
        <f t="shared" si="42"/>
        <v>51.192000000000007</v>
      </c>
      <c r="C403" s="2777"/>
      <c r="D403" s="2778"/>
      <c r="E403" s="2779"/>
      <c r="I403" s="2722" t="str">
        <f>'Прайс лист'!B631</f>
        <v>ГПО 30-1,2</v>
      </c>
      <c r="J403" s="2723">
        <f>'Прайс лист'!G631</f>
        <v>100</v>
      </c>
      <c r="K403" s="2722"/>
      <c r="L403" s="2723">
        <f>'Прайс лист'!G631</f>
        <v>100</v>
      </c>
      <c r="M403" s="2722"/>
      <c r="N403" s="2722"/>
      <c r="O403" s="2379" t="str">
        <f>'Прайс лист'!B882</f>
        <v>Саморез 5,5 х 25</v>
      </c>
      <c r="P403" s="1197">
        <f>'Прайс лист'!F882</f>
        <v>2.5</v>
      </c>
      <c r="AG403" s="2421">
        <v>22.5</v>
      </c>
      <c r="AH403" s="2715">
        <f t="shared" si="39"/>
        <v>0.39269908169871248</v>
      </c>
      <c r="AI403" s="2715">
        <f t="shared" si="40"/>
        <v>0.39319908169871248</v>
      </c>
      <c r="AJ403" s="2715">
        <f t="shared" si="41"/>
        <v>0.39219908169871248</v>
      </c>
      <c r="AK403" s="2421">
        <f>IF(AND(дома!$Z$29&gt;=AJ403,дома!$Z$29&lt;=AI403),связи1!AG403,0)</f>
        <v>0</v>
      </c>
      <c r="AL403" s="2421">
        <f>IF(AND(дома!$AA$29&gt;=AJ403,дома!$AA$29&lt;=AI403),связи1!AG403,0)</f>
        <v>0</v>
      </c>
    </row>
    <row r="404" spans="1:38" ht="16">
      <c r="A404" s="275" t="s">
        <v>4560</v>
      </c>
      <c r="B404" s="2785">
        <f t="shared" si="42"/>
        <v>64.8</v>
      </c>
      <c r="C404" s="2777"/>
      <c r="D404" s="2778"/>
      <c r="E404" s="2779"/>
      <c r="I404" s="2722" t="str">
        <f>'Прайс лист'!B632</f>
        <v>ГПО 30-1,5</v>
      </c>
      <c r="J404" s="2723">
        <f>'Прайс лист'!G632</f>
        <v>125</v>
      </c>
      <c r="K404" s="2722"/>
      <c r="L404" s="2723">
        <f>'Прайс лист'!G632</f>
        <v>125</v>
      </c>
      <c r="M404" s="2722"/>
      <c r="N404" s="2722"/>
      <c r="O404" s="2379" t="str">
        <f>'Прайс лист'!B882</f>
        <v>Саморез 5,5 х 25</v>
      </c>
      <c r="P404" s="1197">
        <f>'Прайс лист'!F882</f>
        <v>2.5</v>
      </c>
      <c r="AG404" s="2421">
        <v>22.6</v>
      </c>
      <c r="AH404" s="2715">
        <f t="shared" si="39"/>
        <v>0.39444441095070681</v>
      </c>
      <c r="AI404" s="2715">
        <f t="shared" si="40"/>
        <v>0.39494441095070681</v>
      </c>
      <c r="AJ404" s="2715">
        <f t="shared" si="41"/>
        <v>0.39394441095070681</v>
      </c>
      <c r="AK404" s="2421">
        <f>IF(AND(дома!$Z$29&gt;=AJ404,дома!$Z$29&lt;=AI404),связи1!AG404,0)</f>
        <v>0</v>
      </c>
      <c r="AL404" s="2421">
        <f>IF(AND(дома!$AA$29&gt;=AJ404,дома!$AA$29&lt;=AI404),связи1!AG404,0)</f>
        <v>0</v>
      </c>
    </row>
    <row r="405" spans="1:38" ht="16">
      <c r="A405" s="275" t="s">
        <v>4561</v>
      </c>
      <c r="B405" s="2785">
        <f t="shared" si="42"/>
        <v>80.028000000000006</v>
      </c>
      <c r="C405" s="2777"/>
      <c r="D405" s="2778"/>
      <c r="E405" s="2779"/>
      <c r="I405" s="2722" t="str">
        <f>'Прайс лист'!B633</f>
        <v>ГПО 35-0,7</v>
      </c>
      <c r="J405" s="2723">
        <f>'Прайс лист'!G633</f>
        <v>64</v>
      </c>
      <c r="K405" s="2722"/>
      <c r="L405" s="2723">
        <f>'Прайс лист'!G633</f>
        <v>64</v>
      </c>
      <c r="M405" s="2722"/>
      <c r="N405" s="2722"/>
      <c r="O405" s="2379" t="str">
        <f>'Прайс лист'!B882</f>
        <v>Саморез 5,5 х 25</v>
      </c>
      <c r="P405" s="1197">
        <f>'Прайс лист'!F882</f>
        <v>2.5</v>
      </c>
      <c r="AG405" s="2421">
        <v>22.7</v>
      </c>
      <c r="AH405" s="2715">
        <f t="shared" si="39"/>
        <v>0.39618974020270098</v>
      </c>
      <c r="AI405" s="2715">
        <f t="shared" si="40"/>
        <v>0.39668974020270098</v>
      </c>
      <c r="AJ405" s="2715">
        <f t="shared" si="41"/>
        <v>0.39568974020270098</v>
      </c>
      <c r="AK405" s="2421">
        <f>IF(AND(дома!$Z$29&gt;=AJ405,дома!$Z$29&lt;=AI405),связи1!AG405,0)</f>
        <v>0</v>
      </c>
      <c r="AL405" s="2421">
        <f>IF(AND(дома!$AA$29&gt;=AJ405,дома!$AA$29&lt;=AI405),связи1!AG405,0)</f>
        <v>0</v>
      </c>
    </row>
    <row r="406" spans="1:38">
      <c r="C406" s="2726"/>
      <c r="D406" s="2726"/>
      <c r="E406" s="2726"/>
      <c r="I406" s="2722" t="str">
        <f>'Прайс лист'!B634</f>
        <v>ГПО 35-1,2</v>
      </c>
      <c r="J406" s="2723">
        <f>'Прайс лист'!G634</f>
        <v>110</v>
      </c>
      <c r="K406" s="2722"/>
      <c r="L406" s="2723">
        <f>'Прайс лист'!G634</f>
        <v>110</v>
      </c>
      <c r="M406" s="2722"/>
      <c r="N406" s="2722"/>
      <c r="O406" s="2379" t="str">
        <f>'Прайс лист'!B882</f>
        <v>Саморез 5,5 х 25</v>
      </c>
      <c r="P406" s="1197">
        <f>'Прайс лист'!F882</f>
        <v>2.5</v>
      </c>
      <c r="AG406" s="2421">
        <v>22.8</v>
      </c>
      <c r="AH406" s="2715">
        <f t="shared" si="39"/>
        <v>0.39793506945469531</v>
      </c>
      <c r="AI406" s="2715">
        <f t="shared" si="40"/>
        <v>0.39843506945469531</v>
      </c>
      <c r="AJ406" s="2715">
        <f t="shared" si="41"/>
        <v>0.39743506945469531</v>
      </c>
      <c r="AK406" s="2421">
        <f>IF(AND(дома!$Z$29&gt;=AJ406,дома!$Z$29&lt;=AI406),связи1!AG406,0)</f>
        <v>0</v>
      </c>
      <c r="AL406" s="2421">
        <f>IF(AND(дома!$AA$29&gt;=AJ406,дома!$AA$29&lt;=AI406),связи1!AG406,0)</f>
        <v>0</v>
      </c>
    </row>
    <row r="407" spans="1:38" ht="16">
      <c r="A407" s="275" t="s">
        <v>493</v>
      </c>
      <c r="B407" s="2421">
        <v>0</v>
      </c>
      <c r="C407" s="2421">
        <v>0</v>
      </c>
      <c r="D407" s="2421">
        <v>0</v>
      </c>
      <c r="E407" s="2421">
        <v>0</v>
      </c>
      <c r="F407" s="2421">
        <v>0</v>
      </c>
      <c r="G407" s="2421">
        <v>0</v>
      </c>
      <c r="I407" s="2722" t="str">
        <f>'Прайс лист'!B635</f>
        <v>ГПО 35-1,5</v>
      </c>
      <c r="J407" s="2723">
        <f>'Прайс лист'!G635</f>
        <v>127</v>
      </c>
      <c r="K407" s="2722"/>
      <c r="L407" s="2723">
        <f>'Прайс лист'!G635</f>
        <v>127</v>
      </c>
      <c r="M407" s="2722"/>
      <c r="N407" s="2722"/>
      <c r="O407" s="2379" t="str">
        <f>'Прайс лист'!B882</f>
        <v>Саморез 5,5 х 25</v>
      </c>
      <c r="P407" s="1197">
        <f>'Прайс лист'!F882</f>
        <v>2.5</v>
      </c>
      <c r="AG407" s="2421"/>
      <c r="AH407" s="2715"/>
      <c r="AI407" s="2715"/>
      <c r="AJ407" s="2715"/>
      <c r="AK407" s="2421"/>
      <c r="AL407" s="2421"/>
    </row>
    <row r="408" spans="1:38">
      <c r="A408" s="2421" t="s">
        <v>1908</v>
      </c>
      <c r="B408" s="1055">
        <f>'Прайс лист'!G316</f>
        <v>9000</v>
      </c>
      <c r="C408" s="2421">
        <f>1/0.05/0.2</f>
        <v>100</v>
      </c>
      <c r="D408" s="2421">
        <f t="shared" ref="D408:D416" si="43">B408/C408</f>
        <v>90</v>
      </c>
      <c r="E408" s="2421">
        <f>0.2*0.05</f>
        <v>1.0000000000000002E-2</v>
      </c>
      <c r="F408" s="2421">
        <v>0.2</v>
      </c>
      <c r="G408" s="2421">
        <v>0.05</v>
      </c>
      <c r="I408" s="2722" t="str">
        <f>'Прайс лист'!B636</f>
        <v>ГПО 35-2,0</v>
      </c>
      <c r="J408" s="2723">
        <f>'Прайс лист'!G636</f>
        <v>169</v>
      </c>
      <c r="K408" s="2722"/>
      <c r="L408" s="2723">
        <f>'Прайс лист'!G636</f>
        <v>169</v>
      </c>
      <c r="M408" s="2722"/>
      <c r="N408" s="2722"/>
      <c r="O408" s="2379" t="str">
        <f>'Прайс лист'!B882</f>
        <v>Саморез 5,5 х 25</v>
      </c>
      <c r="P408" s="1197">
        <f>'Прайс лист'!F882</f>
        <v>2.5</v>
      </c>
      <c r="AG408" s="2421">
        <v>22.9</v>
      </c>
      <c r="AH408" s="2715">
        <f>AG408*3.1415926535897/180</f>
        <v>0.39968039870668959</v>
      </c>
      <c r="AI408" s="2715">
        <f>AH408+0.0005</f>
        <v>0.40018039870668959</v>
      </c>
      <c r="AJ408" s="2715">
        <f>AH408-0.0005</f>
        <v>0.39918039870668959</v>
      </c>
      <c r="AK408" s="2421">
        <f>IF(AND(дома!$Z$29&gt;=AJ408,дома!$Z$29&lt;=AI408),связи1!AG408,0)</f>
        <v>0</v>
      </c>
      <c r="AL408" s="2421">
        <f>IF(AND(дома!$AA$29&gt;=AJ408,дома!$AA$29&lt;=AI408),связи1!AG408,0)</f>
        <v>0</v>
      </c>
    </row>
    <row r="409" spans="1:38">
      <c r="A409" s="2421" t="s">
        <v>2134</v>
      </c>
      <c r="B409" s="1055">
        <f>'Прайс лист'!G318</f>
        <v>9000</v>
      </c>
      <c r="C409" s="2421">
        <f>1/0.15/0.05</f>
        <v>133.33333333333334</v>
      </c>
      <c r="D409" s="2421">
        <f t="shared" si="43"/>
        <v>67.5</v>
      </c>
      <c r="E409" s="2421">
        <f>0.15*0.05</f>
        <v>7.4999999999999997E-3</v>
      </c>
      <c r="F409" s="2421">
        <v>0.15</v>
      </c>
      <c r="G409" s="2421">
        <v>0.05</v>
      </c>
      <c r="I409" s="2722" t="str">
        <f>'Прайс лист'!B637</f>
        <v>ГПО 50-0,7</v>
      </c>
      <c r="J409" s="2723">
        <f>'Прайс лист'!G637</f>
        <v>80</v>
      </c>
      <c r="K409" s="2722"/>
      <c r="L409" s="2723">
        <f>'Прайс лист'!G637</f>
        <v>80</v>
      </c>
      <c r="M409" s="2722"/>
      <c r="N409" s="2722"/>
      <c r="O409" s="2379" t="str">
        <f>'Прайс лист'!B882</f>
        <v>Саморез 5,5 х 25</v>
      </c>
      <c r="P409" s="1197">
        <f>'Прайс лист'!F882</f>
        <v>2.5</v>
      </c>
      <c r="AG409" s="2421">
        <v>23</v>
      </c>
      <c r="AH409" s="2715">
        <f>AG409*3.1415926535897/180</f>
        <v>0.40142572795868386</v>
      </c>
      <c r="AI409" s="2715">
        <f>AH409+0.0005</f>
        <v>0.40192572795868386</v>
      </c>
      <c r="AJ409" s="2715">
        <f>AH409-0.0005</f>
        <v>0.40092572795868386</v>
      </c>
      <c r="AK409" s="2421">
        <f>IF(AND(дома!$Z$29&gt;=AJ409,дома!$Z$29&lt;=AI409),связи1!AG409,0)</f>
        <v>0</v>
      </c>
      <c r="AL409" s="2421">
        <f>IF(AND(дома!$AA$29&gt;=AJ409,дома!$AA$29&lt;=AI409),связи1!AG409,0)</f>
        <v>0</v>
      </c>
    </row>
    <row r="410" spans="1:38">
      <c r="A410" s="2421" t="s">
        <v>2312</v>
      </c>
      <c r="B410" s="1055">
        <f>'Прайс лист'!G319</f>
        <v>9000</v>
      </c>
      <c r="C410" s="2421">
        <f>1/0.1/0.05</f>
        <v>200</v>
      </c>
      <c r="D410" s="2421">
        <f t="shared" si="43"/>
        <v>45</v>
      </c>
      <c r="E410" s="2421">
        <f>0.1*0.05</f>
        <v>5.000000000000001E-3</v>
      </c>
      <c r="F410" s="2421">
        <v>0.1</v>
      </c>
      <c r="G410" s="2421">
        <v>0.05</v>
      </c>
      <c r="I410" s="2722" t="str">
        <f>'Прайс лист'!B638</f>
        <v>ГПО 50-1,0</v>
      </c>
      <c r="J410" s="2723">
        <f>'Прайс лист'!G638</f>
        <v>111</v>
      </c>
      <c r="K410" s="2722"/>
      <c r="L410" s="2723">
        <f>'Прайс лист'!G638</f>
        <v>111</v>
      </c>
      <c r="M410" s="2722"/>
      <c r="N410" s="2722"/>
      <c r="O410" s="2379" t="str">
        <f>'Прайс лист'!B882</f>
        <v>Саморез 5,5 х 25</v>
      </c>
      <c r="P410" s="1197">
        <f>'Прайс лист'!F882</f>
        <v>2.5</v>
      </c>
      <c r="AG410" s="2421"/>
      <c r="AH410" s="2715"/>
      <c r="AI410" s="2715"/>
      <c r="AJ410" s="2715"/>
      <c r="AK410" s="2421"/>
      <c r="AL410" s="2421"/>
    </row>
    <row r="411" spans="1:38">
      <c r="A411" s="2421" t="s">
        <v>2026</v>
      </c>
      <c r="B411" s="1055">
        <f>'Прайс лист'!G308</f>
        <v>12500</v>
      </c>
      <c r="C411" s="2421">
        <f>1/0.19/0.045</f>
        <v>116.95906432748539</v>
      </c>
      <c r="D411" s="2421">
        <f t="shared" si="43"/>
        <v>106.87499999999999</v>
      </c>
      <c r="E411" s="2421">
        <f>0.19*0.045</f>
        <v>8.5500000000000003E-3</v>
      </c>
      <c r="F411" s="2421">
        <v>0.19</v>
      </c>
      <c r="G411" s="2421">
        <v>4.4999999999999998E-2</v>
      </c>
      <c r="I411" s="2722" t="str">
        <f>'Прайс лист'!B639</f>
        <v>ГПО 50-1,2</v>
      </c>
      <c r="J411" s="2723">
        <f>'Прайс лист'!G639</f>
        <v>136</v>
      </c>
      <c r="K411" s="2722"/>
      <c r="L411" s="2723">
        <f>'Прайс лист'!G639</f>
        <v>136</v>
      </c>
      <c r="M411" s="2722"/>
      <c r="N411" s="2722"/>
      <c r="O411" s="2379" t="str">
        <f>'Прайс лист'!B882</f>
        <v>Саморез 5,5 х 25</v>
      </c>
      <c r="P411" s="1197">
        <f>'Прайс лист'!F882</f>
        <v>2.5</v>
      </c>
      <c r="AG411" s="2421">
        <v>23.1</v>
      </c>
      <c r="AH411" s="2715">
        <f t="shared" ref="AH411:AH417" si="44">AG411*3.1415926535897/180</f>
        <v>0.4031710572106782</v>
      </c>
      <c r="AI411" s="2715">
        <f t="shared" ref="AI411:AI417" si="45">AH411+0.0005</f>
        <v>0.4036710572106782</v>
      </c>
      <c r="AJ411" s="2715">
        <f t="shared" ref="AJ411:AJ417" si="46">AH411-0.0005</f>
        <v>0.4026710572106782</v>
      </c>
      <c r="AK411" s="2421">
        <f>IF(AND(дома!$Z$29&gt;=AJ411,дома!$Z$29&lt;=AI411),связи1!AG411,0)</f>
        <v>0</v>
      </c>
      <c r="AL411" s="2421">
        <f>IF(AND(дома!$AA$29&gt;=AJ411,дома!$AA$29&lt;=AI411),связи1!AG411,0)</f>
        <v>0</v>
      </c>
    </row>
    <row r="412" spans="1:38">
      <c r="A412" s="2421" t="s">
        <v>4031</v>
      </c>
      <c r="B412" s="1055">
        <f>'Прайс лист'!G309</f>
        <v>12500</v>
      </c>
      <c r="C412" s="2421">
        <f>1/0.145/0.045</f>
        <v>153.25670498084293</v>
      </c>
      <c r="D412" s="2421">
        <f t="shared" si="43"/>
        <v>81.562499999999986</v>
      </c>
      <c r="E412" s="2421">
        <f>0.145*0.045</f>
        <v>6.5249999999999996E-3</v>
      </c>
      <c r="F412" s="2421">
        <v>0.14499999999999999</v>
      </c>
      <c r="G412" s="2421">
        <v>4.4999999999999998E-2</v>
      </c>
      <c r="I412" s="2722" t="str">
        <f>'Прайс лист'!B640</f>
        <v>ГПО 50-1,5</v>
      </c>
      <c r="J412" s="2723">
        <f>'Прайс лист'!G640</f>
        <v>169</v>
      </c>
      <c r="K412" s="2722"/>
      <c r="L412" s="2723">
        <f>'Прайс лист'!G640</f>
        <v>169</v>
      </c>
      <c r="M412" s="2722"/>
      <c r="N412" s="2722"/>
      <c r="O412" s="2379" t="str">
        <f>'Прайс лист'!B882</f>
        <v>Саморез 5,5 х 25</v>
      </c>
      <c r="P412" s="1197">
        <f>'Прайс лист'!F882</f>
        <v>2.5</v>
      </c>
      <c r="AG412" s="2421">
        <v>23.2</v>
      </c>
      <c r="AH412" s="2715">
        <f t="shared" si="44"/>
        <v>0.40491638646267247</v>
      </c>
      <c r="AI412" s="2715">
        <f t="shared" si="45"/>
        <v>0.40541638646267247</v>
      </c>
      <c r="AJ412" s="2715">
        <f t="shared" si="46"/>
        <v>0.40441638646267247</v>
      </c>
      <c r="AK412" s="2421">
        <f>IF(AND(дома!$Z$29&gt;=AJ412,дома!$Z$29&lt;=AI412),связи1!AG412,0)</f>
        <v>0</v>
      </c>
      <c r="AL412" s="2421">
        <f>IF(AND(дома!$AA$29&gt;=AJ412,дома!$AA$29&lt;=AI412),связи1!AG412,0)</f>
        <v>0</v>
      </c>
    </row>
    <row r="413" spans="1:38">
      <c r="A413" s="2421" t="s">
        <v>2318</v>
      </c>
      <c r="B413" s="1055">
        <f>'Прайс лист'!G310</f>
        <v>12500</v>
      </c>
      <c r="C413" s="2421">
        <f>1/0.1/0.045</f>
        <v>222.22222222222223</v>
      </c>
      <c r="D413" s="2421">
        <f t="shared" si="43"/>
        <v>56.25</v>
      </c>
      <c r="E413" s="2421">
        <f>0.1*0.045</f>
        <v>4.4999999999999997E-3</v>
      </c>
      <c r="F413" s="2421">
        <v>0.1</v>
      </c>
      <c r="G413" s="2421">
        <v>4.4999999999999998E-2</v>
      </c>
      <c r="I413" s="2722" t="str">
        <f>'Прайс лист'!B641</f>
        <v>ГПО 50-2,0</v>
      </c>
      <c r="J413" s="2723">
        <f>'Прайс лист'!G641</f>
        <v>226</v>
      </c>
      <c r="K413" s="2722"/>
      <c r="L413" s="2723">
        <f>'Прайс лист'!G641</f>
        <v>226</v>
      </c>
      <c r="M413" s="2722"/>
      <c r="N413" s="2722"/>
      <c r="O413" s="2379" t="str">
        <f>'Прайс лист'!B882</f>
        <v>Саморез 5,5 х 25</v>
      </c>
      <c r="P413" s="1197">
        <f>'Прайс лист'!F882</f>
        <v>2.5</v>
      </c>
      <c r="AG413" s="2421">
        <v>23.3</v>
      </c>
      <c r="AH413" s="2715">
        <f t="shared" si="44"/>
        <v>0.40666171571466669</v>
      </c>
      <c r="AI413" s="2715">
        <f t="shared" si="45"/>
        <v>0.40716171571466669</v>
      </c>
      <c r="AJ413" s="2715">
        <f t="shared" si="46"/>
        <v>0.40616171571466669</v>
      </c>
      <c r="AK413" s="2421">
        <f>IF(AND(дома!$Z$29&gt;=AJ413,дома!$Z$29&lt;=AI413),связи1!AG413,0)</f>
        <v>0</v>
      </c>
      <c r="AL413" s="2421">
        <f>IF(AND(дома!$AA$29&gt;=AJ413,дома!$AA$29&lt;=AI413),связи1!AG413,0)</f>
        <v>0</v>
      </c>
    </row>
    <row r="414" spans="1:38">
      <c r="A414" s="2421" t="s">
        <v>4562</v>
      </c>
      <c r="B414" s="1055">
        <f>'Прайс лист'!G291</f>
        <v>6500</v>
      </c>
      <c r="C414" s="2421">
        <f>1/0.05/0.2</f>
        <v>100</v>
      </c>
      <c r="D414" s="2421">
        <f t="shared" si="43"/>
        <v>65</v>
      </c>
      <c r="E414" s="2421">
        <f>0.2*0.05</f>
        <v>1.0000000000000002E-2</v>
      </c>
      <c r="F414" s="2421">
        <v>0.2</v>
      </c>
      <c r="G414" s="2421">
        <v>0.05</v>
      </c>
      <c r="AG414" s="2421">
        <v>23.4</v>
      </c>
      <c r="AH414" s="2715">
        <f t="shared" si="44"/>
        <v>0.40840704496666097</v>
      </c>
      <c r="AI414" s="2715">
        <f t="shared" si="45"/>
        <v>0.40890704496666097</v>
      </c>
      <c r="AJ414" s="2715">
        <f t="shared" si="46"/>
        <v>0.40790704496666097</v>
      </c>
      <c r="AK414" s="2421">
        <f>IF(AND(дома!$Z$29&gt;=AJ414,дома!$Z$29&lt;=AI414),связи1!AG414,0)</f>
        <v>0</v>
      </c>
      <c r="AL414" s="2421">
        <f>IF(AND(дома!$AA$29&gt;=AJ414,дома!$AA$29&lt;=AI414),связи1!AG414,0)</f>
        <v>0</v>
      </c>
    </row>
    <row r="415" spans="1:38">
      <c r="A415" s="2421" t="s">
        <v>1960</v>
      </c>
      <c r="B415" s="1055">
        <f>'Прайс лист'!G293</f>
        <v>6500</v>
      </c>
      <c r="C415" s="2421">
        <f>1/0.15/0.05</f>
        <v>133.33333333333334</v>
      </c>
      <c r="D415" s="2421">
        <f t="shared" si="43"/>
        <v>48.75</v>
      </c>
      <c r="E415" s="2421">
        <f>0.15*0.05</f>
        <v>7.4999999999999997E-3</v>
      </c>
      <c r="F415" s="2421">
        <v>0.15</v>
      </c>
      <c r="G415" s="2421">
        <v>0.05</v>
      </c>
      <c r="AG415" s="2421">
        <v>23.5</v>
      </c>
      <c r="AH415" s="2715">
        <f t="shared" si="44"/>
        <v>0.41015237421865525</v>
      </c>
      <c r="AI415" s="2715">
        <f t="shared" si="45"/>
        <v>0.41065237421865525</v>
      </c>
      <c r="AJ415" s="2715">
        <f t="shared" si="46"/>
        <v>0.40965237421865525</v>
      </c>
      <c r="AK415" s="2421">
        <f>IF(AND(дома!$Z$29&gt;=AJ415,дома!$Z$29&lt;=AI415),связи1!AG415,0)</f>
        <v>0</v>
      </c>
      <c r="AL415" s="2421">
        <f>IF(AND(дома!$AA$29&gt;=AJ415,дома!$AA$29&lt;=AI415),связи1!AG415,0)</f>
        <v>0</v>
      </c>
    </row>
    <row r="416" spans="1:38">
      <c r="A416" s="2421" t="s">
        <v>4563</v>
      </c>
      <c r="B416" s="1055">
        <f>'Прайс лист'!G294</f>
        <v>6500</v>
      </c>
      <c r="C416" s="2421">
        <f>1/0.1/0.05</f>
        <v>200</v>
      </c>
      <c r="D416" s="2421">
        <f t="shared" si="43"/>
        <v>32.5</v>
      </c>
      <c r="E416" s="2421">
        <f>0.1*0.05</f>
        <v>5.000000000000001E-3</v>
      </c>
      <c r="F416" s="2421">
        <v>0.1</v>
      </c>
      <c r="G416" s="2421">
        <v>0.05</v>
      </c>
      <c r="AG416" s="2421">
        <v>23.6</v>
      </c>
      <c r="AH416" s="2715">
        <f t="shared" si="44"/>
        <v>0.41189770347064958</v>
      </c>
      <c r="AI416" s="2715">
        <f t="shared" si="45"/>
        <v>0.41239770347064958</v>
      </c>
      <c r="AJ416" s="2715">
        <f t="shared" si="46"/>
        <v>0.41139770347064958</v>
      </c>
      <c r="AK416" s="2421">
        <f>IF(AND(дома!$Z$29&gt;=AJ416,дома!$Z$29&lt;=AI416),связи1!AG416,0)</f>
        <v>0</v>
      </c>
      <c r="AL416" s="2421">
        <f>IF(AND(дома!$AA$29&gt;=AJ416,дома!$AA$29&lt;=AI416),связи1!AG416,0)</f>
        <v>0</v>
      </c>
    </row>
    <row r="417" spans="1:38">
      <c r="AG417" s="2421">
        <v>23.7</v>
      </c>
      <c r="AH417" s="2715">
        <f t="shared" si="44"/>
        <v>0.4136430327226438</v>
      </c>
      <c r="AI417" s="2715">
        <f t="shared" si="45"/>
        <v>0.4141430327226438</v>
      </c>
      <c r="AJ417" s="2715">
        <f t="shared" si="46"/>
        <v>0.4131430327226438</v>
      </c>
      <c r="AK417" s="2421">
        <f>IF(AND(дома!$Z$29&gt;=AJ417,дома!$Z$29&lt;=AI417),связи1!AG417,0)</f>
        <v>0</v>
      </c>
      <c r="AL417" s="2421">
        <f>IF(AND(дома!$AA$29&gt;=AJ417,дома!$AA$29&lt;=AI417),связи1!AG417,0)</f>
        <v>0</v>
      </c>
    </row>
    <row r="418" spans="1:38">
      <c r="A418" s="2707" t="s">
        <v>493</v>
      </c>
      <c r="B418" s="2421">
        <v>0</v>
      </c>
      <c r="C418" s="2421"/>
      <c r="D418" s="2421">
        <v>0</v>
      </c>
      <c r="E418" s="2421">
        <v>0</v>
      </c>
      <c r="F418" s="2421"/>
      <c r="AG418" s="2421"/>
      <c r="AH418" s="2715"/>
      <c r="AI418" s="2715"/>
      <c r="AJ418" s="2715"/>
      <c r="AK418" s="2421"/>
      <c r="AL418" s="2421"/>
    </row>
    <row r="419" spans="1:38">
      <c r="A419" s="1055" t="str">
        <f>'Прайс лист'!B303</f>
        <v>Сосна влаж, 50*50мм</v>
      </c>
      <c r="B419" s="1055">
        <f>'Прайс лист'!G303</f>
        <v>6500</v>
      </c>
      <c r="C419" s="2421">
        <f>1/0.05/0.05</f>
        <v>400</v>
      </c>
      <c r="D419" s="2421">
        <f>B419/C419</f>
        <v>16.25</v>
      </c>
      <c r="E419" s="2421">
        <f>0.05*0.05</f>
        <v>2.5000000000000005E-3</v>
      </c>
      <c r="F419" s="2421"/>
      <c r="AG419" s="2421">
        <v>23.8</v>
      </c>
      <c r="AH419" s="2715">
        <f t="shared" ref="AH419:AH459" si="47">AG419*3.1415926535897/180</f>
        <v>0.41538836197463808</v>
      </c>
      <c r="AI419" s="2715">
        <f t="shared" ref="AI419:AI459" si="48">AH419+0.0005</f>
        <v>0.41588836197463808</v>
      </c>
      <c r="AJ419" s="2715">
        <f t="shared" ref="AJ419:AJ459" si="49">AH419-0.0005</f>
        <v>0.41488836197463808</v>
      </c>
      <c r="AK419" s="2421">
        <f>IF(AND(дома!$Z$29&gt;=AJ419,дома!$Z$29&lt;=AI419),связи1!AG419,0)</f>
        <v>0</v>
      </c>
      <c r="AL419" s="2421">
        <f>IF(AND(дома!$AA$29&gt;=AJ419,дома!$AA$29&lt;=AI419),связи1!AG419,0)</f>
        <v>0</v>
      </c>
    </row>
    <row r="420" spans="1:38">
      <c r="A420" s="1055" t="str">
        <f>'Прайс лист'!B311</f>
        <v>Доска сухая, калибр., 35*45мм</v>
      </c>
      <c r="B420" s="1055">
        <f>'Прайс лист'!G311</f>
        <v>12500</v>
      </c>
      <c r="C420" s="2421">
        <f>1/0.035/0.045</f>
        <v>634.92063492063494</v>
      </c>
      <c r="D420" s="2421">
        <f>B420/C420</f>
        <v>19.6875</v>
      </c>
      <c r="E420" s="2421">
        <f>0.035*0.035</f>
        <v>1.2250000000000002E-3</v>
      </c>
      <c r="F420" s="2421"/>
      <c r="AG420" s="2421">
        <v>23.9</v>
      </c>
      <c r="AH420" s="2715">
        <f t="shared" si="47"/>
        <v>0.41713369122663235</v>
      </c>
      <c r="AI420" s="2715">
        <f t="shared" si="48"/>
        <v>0.41763369122663235</v>
      </c>
      <c r="AJ420" s="2715">
        <f t="shared" si="49"/>
        <v>0.41663369122663235</v>
      </c>
      <c r="AK420" s="2421">
        <f>IF(AND(дома!$Z$29&gt;=AJ420,дома!$Z$29&lt;=AI420),связи1!AG420,0)</f>
        <v>0</v>
      </c>
      <c r="AL420" s="2421">
        <f>IF(AND(дома!$AA$29&gt;=AJ420,дома!$AA$29&lt;=AI420),связи1!AG420,0)</f>
        <v>0</v>
      </c>
    </row>
    <row r="421" spans="1:38">
      <c r="A421" s="1055" t="str">
        <f>'Прайс лист'!B328</f>
        <v>Доска сухая 50*50мм</v>
      </c>
      <c r="B421" s="1055">
        <f>'Прайс лист'!G328</f>
        <v>9000</v>
      </c>
      <c r="C421" s="2421">
        <f>C419</f>
        <v>400</v>
      </c>
      <c r="D421" s="2702">
        <f>B421/C421</f>
        <v>22.5</v>
      </c>
      <c r="E421" s="2421">
        <f>0.05*0.05</f>
        <v>2.5000000000000005E-3</v>
      </c>
      <c r="F421" s="2421"/>
      <c r="AG421" s="2421">
        <v>24</v>
      </c>
      <c r="AH421" s="2715">
        <f t="shared" si="47"/>
        <v>0.41887902047862663</v>
      </c>
      <c r="AI421" s="2715">
        <f t="shared" si="48"/>
        <v>0.41937902047862663</v>
      </c>
      <c r="AJ421" s="2715">
        <f t="shared" si="49"/>
        <v>0.41837902047862663</v>
      </c>
      <c r="AK421" s="2421">
        <f>IF(AND(дома!$Z$29&gt;=AJ421,дома!$Z$29&lt;=AI421),связи1!AG421,0)</f>
        <v>0</v>
      </c>
      <c r="AL421" s="2421">
        <f>IF(AND(дома!$AA$29&gt;=AJ421,дома!$AA$29&lt;=AI421),связи1!AG421,0)</f>
        <v>0</v>
      </c>
    </row>
    <row r="422" spans="1:38">
      <c r="AG422" s="2421">
        <v>24.1</v>
      </c>
      <c r="AH422" s="2715">
        <f t="shared" si="47"/>
        <v>0.42062434973062096</v>
      </c>
      <c r="AI422" s="2715">
        <f t="shared" si="48"/>
        <v>0.42112434973062096</v>
      </c>
      <c r="AJ422" s="2715">
        <f t="shared" si="49"/>
        <v>0.42012434973062096</v>
      </c>
      <c r="AK422" s="2421">
        <f>IF(AND(дома!$Z$29&gt;=AJ422,дома!$Z$29&lt;=AI422),связи1!AG422,0)</f>
        <v>0</v>
      </c>
      <c r="AL422" s="2421">
        <f>IF(AND(дома!$AA$29&gt;=AJ422,дома!$AA$29&lt;=AI422),связи1!AG422,0)</f>
        <v>0</v>
      </c>
    </row>
    <row r="423" spans="1:38" ht="16">
      <c r="A423" s="192" t="s">
        <v>2181</v>
      </c>
      <c r="B423" s="2786" t="s">
        <v>135</v>
      </c>
      <c r="C423" s="127">
        <v>0</v>
      </c>
      <c r="D423" s="194"/>
      <c r="E423" s="194"/>
      <c r="F423" s="195">
        <v>0</v>
      </c>
      <c r="AG423" s="2421">
        <v>24.2</v>
      </c>
      <c r="AH423" s="2715">
        <f t="shared" si="47"/>
        <v>0.42236967898261518</v>
      </c>
      <c r="AI423" s="2715">
        <f t="shared" si="48"/>
        <v>0.42286967898261518</v>
      </c>
      <c r="AJ423" s="2715">
        <f t="shared" si="49"/>
        <v>0.42186967898261518</v>
      </c>
      <c r="AK423" s="2421">
        <f>IF(AND(дома!$Z$29&gt;=AJ423,дома!$Z$29&lt;=AI423),связи1!AG423,0)</f>
        <v>0</v>
      </c>
      <c r="AL423" s="2421">
        <f>IF(AND(дома!$AA$29&gt;=AJ423,дома!$AA$29&lt;=AI423),связи1!AG423,0)</f>
        <v>0</v>
      </c>
    </row>
    <row r="424" spans="1:38" ht="20">
      <c r="A424" s="192" t="s">
        <v>4564</v>
      </c>
      <c r="B424" s="2786" t="s">
        <v>135</v>
      </c>
      <c r="C424" s="127">
        <v>0.05</v>
      </c>
      <c r="D424" s="127"/>
      <c r="E424" s="194" t="s">
        <v>705</v>
      </c>
      <c r="F424" s="127">
        <f>'Прайс лист'!G745</f>
        <v>1700</v>
      </c>
      <c r="AG424" s="2421">
        <v>24.3</v>
      </c>
      <c r="AH424" s="2715">
        <f t="shared" si="47"/>
        <v>0.42411500823460946</v>
      </c>
      <c r="AI424" s="2715">
        <f t="shared" si="48"/>
        <v>0.42461500823460946</v>
      </c>
      <c r="AJ424" s="2715">
        <f t="shared" si="49"/>
        <v>0.42361500823460946</v>
      </c>
      <c r="AK424" s="2421">
        <f>IF(AND(дома!$Z$29&gt;=AJ424,дома!$Z$29&lt;=AI424),связи1!AG424,0)</f>
        <v>0</v>
      </c>
      <c r="AL424" s="2421">
        <f>IF(AND(дома!$AA$29&gt;=AJ424,дома!$AA$29&lt;=AI424),связи1!AG424,0)</f>
        <v>0</v>
      </c>
    </row>
    <row r="425" spans="1:38" ht="20">
      <c r="A425" s="192" t="s">
        <v>4565</v>
      </c>
      <c r="B425" s="2786" t="s">
        <v>135</v>
      </c>
      <c r="C425" s="127">
        <v>0.05</v>
      </c>
      <c r="D425" s="127"/>
      <c r="E425" s="194" t="s">
        <v>712</v>
      </c>
      <c r="F425" s="127">
        <f>'Прайс лист'!G751</f>
        <v>2500</v>
      </c>
      <c r="AG425" s="2421">
        <v>24.9</v>
      </c>
      <c r="AH425" s="2715">
        <f t="shared" si="47"/>
        <v>0.43458698374657512</v>
      </c>
      <c r="AI425" s="2715">
        <f t="shared" si="48"/>
        <v>0.43508698374657512</v>
      </c>
      <c r="AJ425" s="2715">
        <f t="shared" si="49"/>
        <v>0.43408698374657512</v>
      </c>
      <c r="AK425" s="2421">
        <f>IF(AND(дома!$Z$29&gt;=AJ425,дома!$Z$29&lt;=AI425),связи1!AG425,0)</f>
        <v>0</v>
      </c>
      <c r="AL425" s="2421">
        <f>IF(AND(дома!$AA$29&gt;=AJ425,дома!$AA$29&lt;=AI425),связи1!AG425,0)</f>
        <v>0</v>
      </c>
    </row>
    <row r="426" spans="1:38" ht="20">
      <c r="A426" s="196" t="s">
        <v>4566</v>
      </c>
      <c r="B426" s="2786" t="s">
        <v>135</v>
      </c>
      <c r="C426" s="127">
        <v>0.05</v>
      </c>
      <c r="D426" s="194"/>
      <c r="E426" s="194" t="s">
        <v>719</v>
      </c>
      <c r="F426" s="195">
        <f>'Прайс лист'!G757</f>
        <v>1400</v>
      </c>
      <c r="AG426" s="2421">
        <v>25.5</v>
      </c>
      <c r="AH426" s="2715">
        <f t="shared" si="47"/>
        <v>0.44505895925854083</v>
      </c>
      <c r="AI426" s="2715">
        <f t="shared" si="48"/>
        <v>0.44555895925854083</v>
      </c>
      <c r="AJ426" s="2715">
        <f t="shared" si="49"/>
        <v>0.44455895925854083</v>
      </c>
      <c r="AK426" s="2421">
        <f>IF(AND(дома!$Z$29&gt;=AJ426,дома!$Z$29&lt;=AI426),связи1!AG426,0)</f>
        <v>0</v>
      </c>
      <c r="AL426" s="2421">
        <f>IF(AND(дома!$AA$29&gt;=AJ426,дома!$AA$29&lt;=AI426),связи1!AG426,0)</f>
        <v>0</v>
      </c>
    </row>
    <row r="427" spans="1:38" ht="20">
      <c r="A427" s="196" t="s">
        <v>4567</v>
      </c>
      <c r="B427" s="2786" t="s">
        <v>135</v>
      </c>
      <c r="C427" s="127">
        <v>0.05</v>
      </c>
      <c r="D427" s="194"/>
      <c r="E427" s="194" t="s">
        <v>705</v>
      </c>
      <c r="F427" s="195">
        <f>'Прайс лист'!G764</f>
        <v>2200</v>
      </c>
      <c r="AG427" s="2421">
        <v>26.1</v>
      </c>
      <c r="AH427" s="2715">
        <f t="shared" si="47"/>
        <v>0.45553093477050649</v>
      </c>
      <c r="AI427" s="2715">
        <f t="shared" si="48"/>
        <v>0.45603093477050649</v>
      </c>
      <c r="AJ427" s="2715">
        <f t="shared" si="49"/>
        <v>0.45503093477050649</v>
      </c>
      <c r="AK427" s="2421">
        <f>IF(AND(дома!$Z$29&gt;=AJ427,дома!$Z$29&lt;=AI427),связи1!AG427,0)</f>
        <v>0</v>
      </c>
      <c r="AL427" s="2421">
        <f>IF(AND(дома!$AA$29&gt;=AJ427,дома!$AA$29&lt;=AI427),связи1!AG427,0)</f>
        <v>0</v>
      </c>
    </row>
    <row r="428" spans="1:38" ht="20">
      <c r="A428" s="196" t="s">
        <v>4568</v>
      </c>
      <c r="B428" s="2786" t="s">
        <v>135</v>
      </c>
      <c r="C428" s="127">
        <v>0.05</v>
      </c>
      <c r="D428" s="194"/>
      <c r="E428" s="194" t="s">
        <v>712</v>
      </c>
      <c r="F428" s="195">
        <f>'Прайс лист'!G771</f>
        <v>3400</v>
      </c>
      <c r="AG428" s="2421">
        <v>26.7</v>
      </c>
      <c r="AH428" s="2715">
        <f t="shared" si="47"/>
        <v>0.46600291028247209</v>
      </c>
      <c r="AI428" s="2715">
        <f t="shared" si="48"/>
        <v>0.46650291028247209</v>
      </c>
      <c r="AJ428" s="2715">
        <f t="shared" si="49"/>
        <v>0.46550291028247209</v>
      </c>
      <c r="AK428" s="2421">
        <f>IF(AND(дома!$Z$29&gt;=AJ428,дома!$Z$29&lt;=AI428),связи1!AG428,0)</f>
        <v>0</v>
      </c>
      <c r="AL428" s="2421">
        <f>IF(AND(дома!$AA$29&gt;=AJ428,дома!$AA$29&lt;=AI428),связи1!AG428,0)</f>
        <v>0</v>
      </c>
    </row>
    <row r="429" spans="1:38" ht="20">
      <c r="A429" s="192" t="s">
        <v>4569</v>
      </c>
      <c r="B429" s="2786" t="s">
        <v>135</v>
      </c>
      <c r="C429" s="127">
        <v>0.2</v>
      </c>
      <c r="D429" s="127"/>
      <c r="E429" s="194" t="s">
        <v>712</v>
      </c>
      <c r="F429" s="127">
        <f>'Прайс лист'!G776</f>
        <v>5000</v>
      </c>
      <c r="AG429" s="2421">
        <v>27.6</v>
      </c>
      <c r="AH429" s="2715">
        <f t="shared" si="47"/>
        <v>0.48171087355042069</v>
      </c>
      <c r="AI429" s="2715">
        <f t="shared" si="48"/>
        <v>0.48221087355042069</v>
      </c>
      <c r="AJ429" s="2715">
        <f t="shared" si="49"/>
        <v>0.48121087355042069</v>
      </c>
      <c r="AK429" s="2421">
        <f>IF(AND(дома!$Z$29&gt;=AJ429,дома!$Z$29&lt;=AI429),связи1!AG429,0)</f>
        <v>0</v>
      </c>
      <c r="AL429" s="2421">
        <f>IF(AND(дома!$AA$29&gt;=AJ429,дома!$AA$29&lt;=AI429),связи1!AG429,0)</f>
        <v>0</v>
      </c>
    </row>
    <row r="430" spans="1:38" ht="20">
      <c r="A430" s="192" t="s">
        <v>4570</v>
      </c>
      <c r="B430" s="2786" t="s">
        <v>135</v>
      </c>
      <c r="C430" s="127">
        <v>0.05</v>
      </c>
      <c r="D430" s="127"/>
      <c r="E430" s="194" t="s">
        <v>705</v>
      </c>
      <c r="F430" s="127">
        <f>'Прайс лист'!G781</f>
        <v>5000</v>
      </c>
      <c r="AG430" s="2421">
        <v>27.7</v>
      </c>
      <c r="AH430" s="2715">
        <f t="shared" si="47"/>
        <v>0.48345620280241486</v>
      </c>
      <c r="AI430" s="2715">
        <f t="shared" si="48"/>
        <v>0.48395620280241486</v>
      </c>
      <c r="AJ430" s="2715">
        <f t="shared" si="49"/>
        <v>0.48295620280241486</v>
      </c>
      <c r="AK430" s="2421">
        <f>IF(AND(дома!$Z$29&gt;=AJ430,дома!$Z$29&lt;=AI430),связи1!AG430,0)</f>
        <v>0</v>
      </c>
      <c r="AL430" s="2421">
        <f>IF(AND(дома!$AA$29&gt;=AJ430,дома!$AA$29&lt;=AI430),связи1!AG430,0)</f>
        <v>0</v>
      </c>
    </row>
    <row r="431" spans="1:38">
      <c r="AG431" s="2421">
        <v>28.1</v>
      </c>
      <c r="AH431" s="2715">
        <f t="shared" si="47"/>
        <v>0.49043751981039208</v>
      </c>
      <c r="AI431" s="2715">
        <f t="shared" si="48"/>
        <v>0.49093751981039208</v>
      </c>
      <c r="AJ431" s="2715">
        <f t="shared" si="49"/>
        <v>0.48993751981039207</v>
      </c>
      <c r="AK431" s="2421">
        <f>IF(AND(дома!$Z$29&gt;=AJ431,дома!$Z$29&lt;=AI431),связи1!AG431,0)</f>
        <v>0</v>
      </c>
      <c r="AL431" s="2421">
        <f>IF(AND(дома!$AA$29&gt;=AJ431,дома!$AA$29&lt;=AI431),связи1!AG431,0)</f>
        <v>0</v>
      </c>
    </row>
    <row r="432" spans="1:38">
      <c r="A432" s="2379" t="s">
        <v>493</v>
      </c>
      <c r="F432" s="2379">
        <v>0</v>
      </c>
      <c r="I432" s="2787" t="str">
        <f t="shared" ref="I432:I440" si="50">A432</f>
        <v>нет</v>
      </c>
      <c r="J432" s="2787"/>
      <c r="K432" s="2787"/>
      <c r="L432" s="2787"/>
      <c r="M432" s="2787"/>
      <c r="N432" s="2787"/>
      <c r="O432" s="2787"/>
      <c r="AG432" s="2421">
        <v>28.2</v>
      </c>
      <c r="AH432" s="2715">
        <f t="shared" si="47"/>
        <v>0.49218284906238635</v>
      </c>
      <c r="AI432" s="2715">
        <f t="shared" si="48"/>
        <v>0.49268284906238635</v>
      </c>
      <c r="AJ432" s="2715">
        <f t="shared" si="49"/>
        <v>0.49168284906238635</v>
      </c>
      <c r="AK432" s="2421">
        <f>IF(AND(дома!$Z$29&gt;=AJ432,дома!$Z$29&lt;=AI432),связи1!AG432,0)</f>
        <v>0</v>
      </c>
      <c r="AL432" s="2421">
        <f>IF(AND(дома!$AA$29&gt;=AJ432,дома!$AA$29&lt;=AI432),связи1!AG432,0)</f>
        <v>0</v>
      </c>
    </row>
    <row r="433" spans="1:38" ht="16">
      <c r="A433" s="98" t="str">
        <f>'Прайс лист'!B299</f>
        <v>Сосна влаж,200*25мм</v>
      </c>
      <c r="B433" s="98" t="str">
        <f>'Прайс лист'!C299</f>
        <v>м3</v>
      </c>
      <c r="C433" s="98">
        <v>0.2</v>
      </c>
      <c r="D433" s="2788">
        <f>'Прайс лист'!E299</f>
        <v>2.5000000000000001E-2</v>
      </c>
      <c r="E433" s="2788">
        <f t="shared" ref="E433:E440" si="51">C433*D433</f>
        <v>5.000000000000001E-3</v>
      </c>
      <c r="F433" s="98">
        <f>'Прайс лист'!G299</f>
        <v>6500</v>
      </c>
      <c r="I433" s="2789" t="str">
        <f t="shared" si="50"/>
        <v>Сосна влаж,200*25мм</v>
      </c>
      <c r="J433" s="2789" t="str">
        <f t="shared" ref="J433:N440" si="52">B433</f>
        <v>м3</v>
      </c>
      <c r="K433" s="2789">
        <f t="shared" si="52"/>
        <v>0.2</v>
      </c>
      <c r="L433" s="2790">
        <f t="shared" si="52"/>
        <v>2.5000000000000001E-2</v>
      </c>
      <c r="M433" s="2790">
        <f t="shared" si="52"/>
        <v>5.000000000000001E-3</v>
      </c>
      <c r="N433" s="2789">
        <f t="shared" si="52"/>
        <v>6500</v>
      </c>
      <c r="O433" s="2787" t="str">
        <f>'Прайс лист'!B897</f>
        <v xml:space="preserve">Гвозди ершоные 3,4 x 60            </v>
      </c>
      <c r="AG433" s="2421">
        <v>28.3</v>
      </c>
      <c r="AH433" s="2715">
        <f t="shared" si="47"/>
        <v>0.49392817831438057</v>
      </c>
      <c r="AI433" s="2715">
        <f t="shared" si="48"/>
        <v>0.49442817831438057</v>
      </c>
      <c r="AJ433" s="2715">
        <f t="shared" si="49"/>
        <v>0.49342817831438057</v>
      </c>
      <c r="AK433" s="2421">
        <f>IF(AND(дома!$Z$29&gt;=AJ433,дома!$Z$29&lt;=AI433),связи1!AG433,0)</f>
        <v>0</v>
      </c>
      <c r="AL433" s="2421">
        <f>IF(AND(дома!$AA$29&gt;=AJ433,дома!$AA$29&lt;=AI433),связи1!AG433,0)</f>
        <v>0</v>
      </c>
    </row>
    <row r="434" spans="1:38" ht="16">
      <c r="A434" s="98" t="str">
        <f>'Прайс лист'!B300</f>
        <v>Сосна влаж,180*25мм</v>
      </c>
      <c r="B434" s="98" t="str">
        <f>'Прайс лист'!C300</f>
        <v>м3</v>
      </c>
      <c r="C434" s="98">
        <v>0.18</v>
      </c>
      <c r="D434" s="2788">
        <f>'Прайс лист'!E300</f>
        <v>2.5000000000000001E-2</v>
      </c>
      <c r="E434" s="2788">
        <f t="shared" si="51"/>
        <v>4.4999999999999997E-3</v>
      </c>
      <c r="F434" s="98">
        <f>'Прайс лист'!G300</f>
        <v>6500</v>
      </c>
      <c r="I434" s="2789" t="str">
        <f t="shared" si="50"/>
        <v>Сосна влаж,180*25мм</v>
      </c>
      <c r="J434" s="2789" t="str">
        <f t="shared" si="52"/>
        <v>м3</v>
      </c>
      <c r="K434" s="2789">
        <f t="shared" si="52"/>
        <v>0.18</v>
      </c>
      <c r="L434" s="2790">
        <f t="shared" si="52"/>
        <v>2.5000000000000001E-2</v>
      </c>
      <c r="M434" s="2790">
        <f t="shared" si="52"/>
        <v>4.4999999999999997E-3</v>
      </c>
      <c r="N434" s="2789">
        <f t="shared" si="52"/>
        <v>6500</v>
      </c>
      <c r="O434" s="2787" t="str">
        <f>'Прайс лист'!B897</f>
        <v xml:space="preserve">Гвозди ершоные 3,4 x 60            </v>
      </c>
      <c r="AG434" s="2421">
        <v>28.4</v>
      </c>
      <c r="AH434" s="2715">
        <f t="shared" si="47"/>
        <v>0.49567350756637485</v>
      </c>
      <c r="AI434" s="2715">
        <f t="shared" si="48"/>
        <v>0.49617350756637485</v>
      </c>
      <c r="AJ434" s="2715">
        <f t="shared" si="49"/>
        <v>0.49517350756637485</v>
      </c>
      <c r="AK434" s="2421">
        <f>IF(AND(дома!$Z$29&gt;=AJ434,дома!$Z$29&lt;=AI434),связи1!AG434,0)</f>
        <v>0</v>
      </c>
      <c r="AL434" s="2421">
        <f>IF(AND(дома!$AA$29&gt;=AJ434,дома!$AA$29&lt;=AI434),связи1!AG434,0)</f>
        <v>0</v>
      </c>
    </row>
    <row r="435" spans="1:38" ht="16">
      <c r="A435" s="98" t="str">
        <f>'Прайс лист'!B301</f>
        <v>Сосна влаж, 150*25мм</v>
      </c>
      <c r="B435" s="98" t="str">
        <f>'Прайс лист'!C301</f>
        <v>м3</v>
      </c>
      <c r="C435" s="98">
        <v>0.15</v>
      </c>
      <c r="D435" s="2788">
        <f>'Прайс лист'!E301</f>
        <v>2.5000000000000001E-2</v>
      </c>
      <c r="E435" s="2788">
        <f t="shared" si="51"/>
        <v>3.7499999999999999E-3</v>
      </c>
      <c r="F435" s="98">
        <f>'Прайс лист'!G301</f>
        <v>6500</v>
      </c>
      <c r="I435" s="2789" t="str">
        <f t="shared" si="50"/>
        <v>Сосна влаж, 150*25мм</v>
      </c>
      <c r="J435" s="2789" t="str">
        <f t="shared" si="52"/>
        <v>м3</v>
      </c>
      <c r="K435" s="2789">
        <f t="shared" si="52"/>
        <v>0.15</v>
      </c>
      <c r="L435" s="2790">
        <f t="shared" si="52"/>
        <v>2.5000000000000001E-2</v>
      </c>
      <c r="M435" s="2790">
        <f t="shared" si="52"/>
        <v>3.7499999999999999E-3</v>
      </c>
      <c r="N435" s="2789">
        <f t="shared" si="52"/>
        <v>6500</v>
      </c>
      <c r="O435" s="2787" t="str">
        <f>'Прайс лист'!B897</f>
        <v xml:space="preserve">Гвозди ершоные 3,4 x 60            </v>
      </c>
      <c r="AG435" s="2421">
        <v>28.5</v>
      </c>
      <c r="AH435" s="2715">
        <f t="shared" si="47"/>
        <v>0.49741883681836913</v>
      </c>
      <c r="AI435" s="2715">
        <f t="shared" si="48"/>
        <v>0.49791883681836913</v>
      </c>
      <c r="AJ435" s="2715">
        <f t="shared" si="49"/>
        <v>0.49691883681836913</v>
      </c>
      <c r="AK435" s="2421">
        <f>IF(AND(дома!$Z$29&gt;=AJ435,дома!$Z$29&lt;=AI435),связи1!AG435,0)</f>
        <v>0</v>
      </c>
      <c r="AL435" s="2421">
        <f>IF(AND(дома!$AA$29&gt;=AJ435,дома!$AA$29&lt;=AI435),связи1!AG435,0)</f>
        <v>0</v>
      </c>
    </row>
    <row r="436" spans="1:38" ht="16">
      <c r="A436" s="98" t="str">
        <f>'Прайс лист'!B302</f>
        <v>Сосна влаж,100*25мм</v>
      </c>
      <c r="B436" s="98" t="str">
        <f>'Прайс лист'!C302</f>
        <v>м3</v>
      </c>
      <c r="C436" s="98">
        <v>0.1</v>
      </c>
      <c r="D436" s="2788">
        <f>'Прайс лист'!E302</f>
        <v>2.5000000000000001E-2</v>
      </c>
      <c r="E436" s="2788">
        <f t="shared" si="51"/>
        <v>2.5000000000000005E-3</v>
      </c>
      <c r="F436" s="98">
        <f>'Прайс лист'!G302</f>
        <v>6500</v>
      </c>
      <c r="I436" s="2789" t="str">
        <f t="shared" si="50"/>
        <v>Сосна влаж,100*25мм</v>
      </c>
      <c r="J436" s="2789" t="str">
        <f t="shared" si="52"/>
        <v>м3</v>
      </c>
      <c r="K436" s="2789">
        <f t="shared" si="52"/>
        <v>0.1</v>
      </c>
      <c r="L436" s="2790">
        <f t="shared" si="52"/>
        <v>2.5000000000000001E-2</v>
      </c>
      <c r="M436" s="2790">
        <f t="shared" si="52"/>
        <v>2.5000000000000005E-3</v>
      </c>
      <c r="N436" s="2789">
        <f t="shared" si="52"/>
        <v>6500</v>
      </c>
      <c r="O436" s="2787" t="str">
        <f>'Прайс лист'!B897</f>
        <v xml:space="preserve">Гвозди ершоные 3,4 x 60            </v>
      </c>
      <c r="AG436" s="2421">
        <v>28.6</v>
      </c>
      <c r="AH436" s="2715">
        <f t="shared" si="47"/>
        <v>0.49916416607036346</v>
      </c>
      <c r="AI436" s="2715">
        <f t="shared" si="48"/>
        <v>0.49966416607036346</v>
      </c>
      <c r="AJ436" s="2715">
        <f t="shared" si="49"/>
        <v>0.49866416607036346</v>
      </c>
      <c r="AK436" s="2421">
        <f>IF(AND(дома!$Z$29&gt;=AJ436,дома!$Z$29&lt;=AI436),связи1!AG436,0)</f>
        <v>0</v>
      </c>
      <c r="AL436" s="2421">
        <f>IF(AND(дома!$AA$29&gt;=AJ436,дома!$AA$29&lt;=AI436),связи1!AG436,0)</f>
        <v>0</v>
      </c>
    </row>
    <row r="437" spans="1:38" ht="16">
      <c r="A437" s="98" t="str">
        <f>'Прайс лист'!B324</f>
        <v>Доска сухая 200*25мм</v>
      </c>
      <c r="B437" s="98" t="str">
        <f>'Прайс лист'!C324</f>
        <v>м3</v>
      </c>
      <c r="C437" s="98">
        <v>0.2</v>
      </c>
      <c r="D437" s="2788">
        <v>2.5000000000000001E-2</v>
      </c>
      <c r="E437" s="2788">
        <f t="shared" si="51"/>
        <v>5.000000000000001E-3</v>
      </c>
      <c r="F437" s="98">
        <f>'Прайс лист'!G324</f>
        <v>9000</v>
      </c>
      <c r="I437" s="2789" t="str">
        <f t="shared" si="50"/>
        <v>Доска сухая 200*25мм</v>
      </c>
      <c r="J437" s="2789" t="str">
        <f t="shared" si="52"/>
        <v>м3</v>
      </c>
      <c r="K437" s="2789">
        <f t="shared" si="52"/>
        <v>0.2</v>
      </c>
      <c r="L437" s="2790">
        <f t="shared" si="52"/>
        <v>2.5000000000000001E-2</v>
      </c>
      <c r="M437" s="2790">
        <f t="shared" si="52"/>
        <v>5.000000000000001E-3</v>
      </c>
      <c r="N437" s="2789">
        <f t="shared" si="52"/>
        <v>9000</v>
      </c>
      <c r="O437" s="2787" t="str">
        <f>'Прайс лист'!B897</f>
        <v xml:space="preserve">Гвозди ершоные 3,4 x 60            </v>
      </c>
      <c r="AG437" s="2421">
        <v>28.7</v>
      </c>
      <c r="AH437" s="2715">
        <f t="shared" si="47"/>
        <v>0.50090949532235773</v>
      </c>
      <c r="AI437" s="2715">
        <f t="shared" si="48"/>
        <v>0.50140949532235768</v>
      </c>
      <c r="AJ437" s="2715">
        <f t="shared" si="49"/>
        <v>0.50040949532235779</v>
      </c>
      <c r="AK437" s="2421">
        <f>IF(AND(дома!$Z$29&gt;=AJ437,дома!$Z$29&lt;=AI437),связи1!AG437,0)</f>
        <v>0</v>
      </c>
      <c r="AL437" s="2421">
        <f>IF(AND(дома!$AA$29&gt;=AJ437,дома!$AA$29&lt;=AI437),связи1!AG437,0)</f>
        <v>0</v>
      </c>
    </row>
    <row r="438" spans="1:38" ht="16">
      <c r="A438" s="98" t="str">
        <f>'Прайс лист'!B325</f>
        <v>Доска сухая 180*25мм</v>
      </c>
      <c r="B438" s="98" t="str">
        <f>'Прайс лист'!C325</f>
        <v>м3</v>
      </c>
      <c r="C438" s="98">
        <v>0.18</v>
      </c>
      <c r="D438" s="2788">
        <v>2.5000000000000001E-2</v>
      </c>
      <c r="E438" s="2788">
        <f t="shared" si="51"/>
        <v>4.4999999999999997E-3</v>
      </c>
      <c r="F438" s="98">
        <f>'Прайс лист'!G325</f>
        <v>9000</v>
      </c>
      <c r="I438" s="2789" t="str">
        <f t="shared" si="50"/>
        <v>Доска сухая 180*25мм</v>
      </c>
      <c r="J438" s="2789" t="str">
        <f t="shared" si="52"/>
        <v>м3</v>
      </c>
      <c r="K438" s="2789">
        <f t="shared" si="52"/>
        <v>0.18</v>
      </c>
      <c r="L438" s="2790">
        <f t="shared" si="52"/>
        <v>2.5000000000000001E-2</v>
      </c>
      <c r="M438" s="2790">
        <f t="shared" si="52"/>
        <v>4.4999999999999997E-3</v>
      </c>
      <c r="N438" s="2789">
        <f t="shared" si="52"/>
        <v>9000</v>
      </c>
      <c r="O438" s="2787" t="str">
        <f>'Прайс лист'!B897</f>
        <v xml:space="preserve">Гвозди ершоные 3,4 x 60            </v>
      </c>
      <c r="AG438" s="2421">
        <v>28.8</v>
      </c>
      <c r="AH438" s="2715">
        <f t="shared" si="47"/>
        <v>0.50265482457435195</v>
      </c>
      <c r="AI438" s="2715">
        <f t="shared" si="48"/>
        <v>0.5031548245743519</v>
      </c>
      <c r="AJ438" s="2715">
        <f t="shared" si="49"/>
        <v>0.50215482457435201</v>
      </c>
      <c r="AK438" s="2421">
        <f>IF(AND(дома!$Z$29&gt;=AJ438,дома!$Z$29&lt;=AI438),связи1!AG438,0)</f>
        <v>0</v>
      </c>
      <c r="AL438" s="2421">
        <f>IF(AND(дома!$AA$29&gt;=AJ438,дома!$AA$29&lt;=AI438),связи1!AG438,0)</f>
        <v>0</v>
      </c>
    </row>
    <row r="439" spans="1:38" ht="16">
      <c r="A439" s="98" t="str">
        <f>'Прайс лист'!B326</f>
        <v>Доска сухая 150*25мм</v>
      </c>
      <c r="B439" s="98" t="str">
        <f>'Прайс лист'!C326</f>
        <v>м3</v>
      </c>
      <c r="C439" s="98">
        <v>0.15</v>
      </c>
      <c r="D439" s="2788">
        <v>2.5000000000000001E-2</v>
      </c>
      <c r="E439" s="2788">
        <f t="shared" si="51"/>
        <v>3.7499999999999999E-3</v>
      </c>
      <c r="F439" s="98">
        <f>'Прайс лист'!G326</f>
        <v>9000</v>
      </c>
      <c r="I439" s="2789" t="str">
        <f t="shared" si="50"/>
        <v>Доска сухая 150*25мм</v>
      </c>
      <c r="J439" s="2789" t="str">
        <f t="shared" si="52"/>
        <v>м3</v>
      </c>
      <c r="K439" s="2789">
        <f t="shared" si="52"/>
        <v>0.15</v>
      </c>
      <c r="L439" s="2790">
        <f t="shared" si="52"/>
        <v>2.5000000000000001E-2</v>
      </c>
      <c r="M439" s="2790">
        <f t="shared" si="52"/>
        <v>3.7499999999999999E-3</v>
      </c>
      <c r="N439" s="2789">
        <f t="shared" si="52"/>
        <v>9000</v>
      </c>
      <c r="O439" s="2787" t="str">
        <f>'Прайс лист'!B897</f>
        <v xml:space="preserve">Гвозди ершоные 3,4 x 60            </v>
      </c>
      <c r="AG439" s="2421">
        <v>28.9</v>
      </c>
      <c r="AH439" s="2715">
        <f t="shared" si="47"/>
        <v>0.50440015382634629</v>
      </c>
      <c r="AI439" s="2715">
        <f t="shared" si="48"/>
        <v>0.50490015382634623</v>
      </c>
      <c r="AJ439" s="2715">
        <f t="shared" si="49"/>
        <v>0.50390015382634634</v>
      </c>
      <c r="AK439" s="2421">
        <f>IF(AND(дома!$Z$29&gt;=AJ439,дома!$Z$29&lt;=AI439),связи1!AG439,0)</f>
        <v>0</v>
      </c>
      <c r="AL439" s="2421">
        <f>IF(AND(дома!$AA$29&gt;=AJ439,дома!$AA$29&lt;=AI439),связи1!AG439,0)</f>
        <v>0</v>
      </c>
    </row>
    <row r="440" spans="1:38" ht="16">
      <c r="A440" s="98" t="str">
        <f>'Прайс лист'!B327</f>
        <v>Доска сухая 100*25мм</v>
      </c>
      <c r="B440" s="98" t="str">
        <f>'Прайс лист'!C327</f>
        <v>м3</v>
      </c>
      <c r="C440" s="98">
        <v>0.1</v>
      </c>
      <c r="D440" s="2788">
        <v>2.5000000000000001E-2</v>
      </c>
      <c r="E440" s="2788">
        <f t="shared" si="51"/>
        <v>2.5000000000000005E-3</v>
      </c>
      <c r="F440" s="98">
        <f>'Прайс лист'!G327</f>
        <v>9000</v>
      </c>
      <c r="I440" s="2789" t="str">
        <f t="shared" si="50"/>
        <v>Доска сухая 100*25мм</v>
      </c>
      <c r="J440" s="2789" t="str">
        <f t="shared" si="52"/>
        <v>м3</v>
      </c>
      <c r="K440" s="2789">
        <f t="shared" si="52"/>
        <v>0.1</v>
      </c>
      <c r="L440" s="2790">
        <f t="shared" si="52"/>
        <v>2.5000000000000001E-2</v>
      </c>
      <c r="M440" s="2790">
        <f t="shared" si="52"/>
        <v>2.5000000000000005E-3</v>
      </c>
      <c r="N440" s="2789">
        <f t="shared" si="52"/>
        <v>9000</v>
      </c>
      <c r="O440" s="2787" t="str">
        <f>'Прайс лист'!B897</f>
        <v xml:space="preserve">Гвозди ершоные 3,4 x 60            </v>
      </c>
      <c r="AG440" s="2421">
        <v>29</v>
      </c>
      <c r="AH440" s="2715">
        <f t="shared" si="47"/>
        <v>0.50614548307834051</v>
      </c>
      <c r="AI440" s="2715">
        <f t="shared" si="48"/>
        <v>0.50664548307834045</v>
      </c>
      <c r="AJ440" s="2715">
        <f t="shared" si="49"/>
        <v>0.50564548307834056</v>
      </c>
      <c r="AK440" s="2421">
        <f>IF(AND(дома!$Z$29&gt;=AJ440,дома!$Z$29&lt;=AI440),связи1!AG440,0)</f>
        <v>0</v>
      </c>
      <c r="AL440" s="2421">
        <f>IF(AND(дома!$AA$29&gt;=AJ440,дома!$AA$29&lt;=AI440),связи1!AG440,0)</f>
        <v>0</v>
      </c>
    </row>
    <row r="441" spans="1:38">
      <c r="I441" s="2722" t="str">
        <f>'Прайс лист'!B630</f>
        <v>ГПО 30-0,7</v>
      </c>
      <c r="J441" s="2722"/>
      <c r="K441" s="2722"/>
      <c r="L441" s="2722"/>
      <c r="M441" s="2722"/>
      <c r="N441" s="2791">
        <f>'Прайс лист'!G630</f>
        <v>58</v>
      </c>
      <c r="O441" s="2787" t="str">
        <f>'Прайс лист'!B882</f>
        <v>Саморез 5,5 х 25</v>
      </c>
      <c r="AG441" s="2421">
        <v>29.1</v>
      </c>
      <c r="AH441" s="2715">
        <f t="shared" si="47"/>
        <v>0.50789081233033484</v>
      </c>
      <c r="AI441" s="2715">
        <f t="shared" si="48"/>
        <v>0.50839081233033478</v>
      </c>
      <c r="AJ441" s="2715">
        <f t="shared" si="49"/>
        <v>0.50739081233033489</v>
      </c>
      <c r="AK441" s="2421">
        <f>IF(AND(дома!$Z$29&gt;=AJ441,дома!$Z$29&lt;=AI441),связи1!AG441,0)</f>
        <v>0</v>
      </c>
      <c r="AL441" s="2421">
        <f>IF(AND(дома!$AA$29&gt;=AJ441,дома!$AA$29&lt;=AI441),связи1!AG441,0)</f>
        <v>0</v>
      </c>
    </row>
    <row r="442" spans="1:38">
      <c r="A442" s="2379" t="s">
        <v>4571</v>
      </c>
      <c r="I442" s="2722" t="str">
        <f>'Прайс лист'!B631</f>
        <v>ГПО 30-1,2</v>
      </c>
      <c r="J442" s="2722"/>
      <c r="K442" s="2722"/>
      <c r="L442" s="2722"/>
      <c r="M442" s="2722"/>
      <c r="N442" s="2791">
        <f>'Прайс лист'!G631</f>
        <v>100</v>
      </c>
      <c r="O442" s="2787" t="str">
        <f>'Прайс лист'!B882</f>
        <v>Саморез 5,5 х 25</v>
      </c>
      <c r="AG442" s="2421">
        <v>29.2</v>
      </c>
      <c r="AH442" s="2715">
        <f t="shared" si="47"/>
        <v>0.50963614158232906</v>
      </c>
      <c r="AI442" s="2715">
        <f t="shared" si="48"/>
        <v>0.51013614158232901</v>
      </c>
      <c r="AJ442" s="2715">
        <f t="shared" si="49"/>
        <v>0.50913614158232912</v>
      </c>
      <c r="AK442" s="2421">
        <f>IF(AND(дома!$Z$29&gt;=AJ442,дома!$Z$29&lt;=AI442),связи1!AG442,0)</f>
        <v>0</v>
      </c>
      <c r="AL442" s="2421">
        <f>IF(AND(дома!$AA$29&gt;=AJ442,дома!$AA$29&lt;=AI442),связи1!AG442,0)</f>
        <v>0</v>
      </c>
    </row>
    <row r="443" spans="1:38">
      <c r="A443" s="2707" t="s">
        <v>493</v>
      </c>
      <c r="B443" s="2421">
        <v>0</v>
      </c>
      <c r="C443" s="2421"/>
      <c r="D443" s="2421">
        <v>0</v>
      </c>
      <c r="E443" s="2421">
        <v>0</v>
      </c>
      <c r="I443" s="2722" t="str">
        <f>'Прайс лист'!B632</f>
        <v>ГПО 30-1,5</v>
      </c>
      <c r="J443" s="2722"/>
      <c r="K443" s="2722"/>
      <c r="L443" s="2722"/>
      <c r="M443" s="2722"/>
      <c r="N443" s="2791">
        <f>'Прайс лист'!G632</f>
        <v>125</v>
      </c>
      <c r="O443" s="2787" t="str">
        <f>'Прайс лист'!B882</f>
        <v>Саморез 5,5 х 25</v>
      </c>
      <c r="AG443" s="2421">
        <v>29.3</v>
      </c>
      <c r="AH443" s="2715">
        <f t="shared" si="47"/>
        <v>0.51138147083432339</v>
      </c>
      <c r="AI443" s="2715">
        <f t="shared" si="48"/>
        <v>0.51188147083432334</v>
      </c>
      <c r="AJ443" s="2715">
        <f t="shared" si="49"/>
        <v>0.51088147083432345</v>
      </c>
      <c r="AK443" s="2421">
        <f>IF(AND(дома!$Z$29&gt;=AJ443,дома!$Z$29&lt;=AI443),связи1!AG443,0)</f>
        <v>0</v>
      </c>
      <c r="AL443" s="2421">
        <f>IF(AND(дома!$AA$29&gt;=AJ443,дома!$AA$29&lt;=AI443),связи1!AG443,0)</f>
        <v>0</v>
      </c>
    </row>
    <row r="444" spans="1:38">
      <c r="A444" s="1055" t="str">
        <f t="shared" ref="A444:C446" si="53">A419</f>
        <v>Сосна влаж, 50*50мм</v>
      </c>
      <c r="B444" s="1055">
        <f t="shared" si="53"/>
        <v>6500</v>
      </c>
      <c r="C444" s="1055">
        <f t="shared" si="53"/>
        <v>400</v>
      </c>
      <c r="D444" s="1055">
        <f>'Прайс лист'!F303</f>
        <v>15</v>
      </c>
      <c r="E444" s="1055">
        <f>E419</f>
        <v>2.5000000000000005E-3</v>
      </c>
      <c r="I444" s="2722" t="str">
        <f>'Прайс лист'!B633</f>
        <v>ГПО 35-0,7</v>
      </c>
      <c r="J444" s="2722"/>
      <c r="K444" s="2722"/>
      <c r="L444" s="2722"/>
      <c r="M444" s="2722"/>
      <c r="N444" s="2791">
        <f>'Прайс лист'!G633</f>
        <v>64</v>
      </c>
      <c r="O444" s="2787" t="str">
        <f>'Прайс лист'!B882</f>
        <v>Саморез 5,5 х 25</v>
      </c>
      <c r="AG444" s="2421">
        <v>29.4</v>
      </c>
      <c r="AH444" s="2715">
        <f t="shared" si="47"/>
        <v>0.51312680008631761</v>
      </c>
      <c r="AI444" s="2715">
        <f t="shared" si="48"/>
        <v>0.51362680008631756</v>
      </c>
      <c r="AJ444" s="2715">
        <f t="shared" si="49"/>
        <v>0.51262680008631767</v>
      </c>
      <c r="AK444" s="2421">
        <f>IF(AND(дома!$Z$29&gt;=AJ444,дома!$Z$29&lt;=AI444),связи1!AG444,0)</f>
        <v>0</v>
      </c>
      <c r="AL444" s="2421">
        <f>IF(AND(дома!$AA$29&gt;=AJ444,дома!$AA$29&lt;=AI444),связи1!AG444,0)</f>
        <v>0</v>
      </c>
    </row>
    <row r="445" spans="1:38">
      <c r="A445" s="1055" t="str">
        <f t="shared" si="53"/>
        <v>Доска сухая, калибр., 35*45мм</v>
      </c>
      <c r="B445" s="1055">
        <f t="shared" si="53"/>
        <v>12500</v>
      </c>
      <c r="C445" s="1055">
        <f t="shared" si="53"/>
        <v>634.92063492063494</v>
      </c>
      <c r="D445" s="1055">
        <f>'Прайс лист'!F311</f>
        <v>17</v>
      </c>
      <c r="E445" s="1055">
        <f>E420</f>
        <v>1.2250000000000002E-3</v>
      </c>
      <c r="I445" s="2722" t="str">
        <f>'Прайс лист'!B634</f>
        <v>ГПО 35-1,2</v>
      </c>
      <c r="J445" s="2722"/>
      <c r="K445" s="2722"/>
      <c r="L445" s="2722"/>
      <c r="M445" s="2722"/>
      <c r="N445" s="2791">
        <f>'Прайс лист'!G634</f>
        <v>110</v>
      </c>
      <c r="O445" s="2787" t="str">
        <f>'Прайс лист'!B882</f>
        <v>Саморез 5,5 х 25</v>
      </c>
      <c r="AG445" s="2421">
        <v>29.5</v>
      </c>
      <c r="AH445" s="2715">
        <f t="shared" si="47"/>
        <v>0.51487212933831195</v>
      </c>
      <c r="AI445" s="2715">
        <f t="shared" si="48"/>
        <v>0.51537212933831189</v>
      </c>
      <c r="AJ445" s="2715">
        <f t="shared" si="49"/>
        <v>0.514372129338312</v>
      </c>
      <c r="AK445" s="2421">
        <f>IF(AND(дома!$Z$29&gt;=AJ445,дома!$Z$29&lt;=AI445),связи1!AG445,0)</f>
        <v>0</v>
      </c>
      <c r="AL445" s="2421">
        <f>IF(AND(дома!$AA$29&gt;=AJ445,дома!$AA$29&lt;=AI445),связи1!AG445,0)</f>
        <v>0</v>
      </c>
    </row>
    <row r="446" spans="1:38">
      <c r="A446" s="1055" t="str">
        <f t="shared" si="53"/>
        <v>Доска сухая 50*50мм</v>
      </c>
      <c r="B446" s="1055">
        <f t="shared" si="53"/>
        <v>9000</v>
      </c>
      <c r="C446" s="1055">
        <f t="shared" si="53"/>
        <v>400</v>
      </c>
      <c r="D446" s="1055">
        <f>'Прайс лист'!F328</f>
        <v>22.5</v>
      </c>
      <c r="E446" s="1055">
        <f>E421</f>
        <v>2.5000000000000005E-3</v>
      </c>
      <c r="I446" s="2722" t="str">
        <f>'Прайс лист'!B635</f>
        <v>ГПО 35-1,5</v>
      </c>
      <c r="J446" s="2722"/>
      <c r="K446" s="2722"/>
      <c r="L446" s="2722"/>
      <c r="M446" s="2722"/>
      <c r="N446" s="2791">
        <f>'Прайс лист'!G635</f>
        <v>127</v>
      </c>
      <c r="O446" s="2787" t="str">
        <f>'Прайс лист'!B882</f>
        <v>Саморез 5,5 х 25</v>
      </c>
      <c r="AG446" s="2421">
        <v>29.6</v>
      </c>
      <c r="AH446" s="2715">
        <f t="shared" si="47"/>
        <v>0.51661745859030617</v>
      </c>
      <c r="AI446" s="2715">
        <f t="shared" si="48"/>
        <v>0.51711745859030611</v>
      </c>
      <c r="AJ446" s="2715">
        <f t="shared" si="49"/>
        <v>0.51611745859030622</v>
      </c>
      <c r="AK446" s="2421">
        <f>IF(AND(дома!$Z$29&gt;=AJ446,дома!$Z$29&lt;=AI446),связи1!AG446,0)</f>
        <v>0</v>
      </c>
      <c r="AL446" s="2421">
        <f>IF(AND(дома!$AA$29&gt;=AJ446,дома!$AA$29&lt;=AI446),связи1!AG446,0)</f>
        <v>0</v>
      </c>
    </row>
    <row r="447" spans="1:38">
      <c r="A447" s="2421" t="str">
        <f>'Прайс лист'!B1497</f>
        <v>Г-образный профиль 40*30, 9мм</v>
      </c>
      <c r="B447" s="2421"/>
      <c r="C447" s="2421"/>
      <c r="D447" s="1055">
        <f>'Прайс лист'!G1497</f>
        <v>45</v>
      </c>
      <c r="E447" s="2421"/>
      <c r="I447" s="2722" t="str">
        <f>'Прайс лист'!B636</f>
        <v>ГПО 35-2,0</v>
      </c>
      <c r="J447" s="2722"/>
      <c r="K447" s="2722"/>
      <c r="L447" s="2722"/>
      <c r="M447" s="2722"/>
      <c r="N447" s="2791">
        <f>'Прайс лист'!G636</f>
        <v>169</v>
      </c>
      <c r="O447" s="2787" t="str">
        <f>'Прайс лист'!B882</f>
        <v>Саморез 5,5 х 25</v>
      </c>
      <c r="AG447" s="2421">
        <v>29.7</v>
      </c>
      <c r="AH447" s="2715">
        <f t="shared" si="47"/>
        <v>0.5183627878423005</v>
      </c>
      <c r="AI447" s="2715">
        <f t="shared" si="48"/>
        <v>0.51886278784230044</v>
      </c>
      <c r="AJ447" s="2715">
        <f t="shared" si="49"/>
        <v>0.51786278784230055</v>
      </c>
      <c r="AK447" s="2421">
        <f>IF(AND(дома!$Z$29&gt;=AJ447,дома!$Z$29&lt;=AI447),связи1!AG447,0)</f>
        <v>0</v>
      </c>
      <c r="AL447" s="2421">
        <f>IF(AND(дома!$AA$29&gt;=AJ447,дома!$AA$29&lt;=AI447),связи1!AG447,0)</f>
        <v>0</v>
      </c>
    </row>
    <row r="448" spans="1:38">
      <c r="A448" s="2421" t="str">
        <f>'Прайс лист'!B1498</f>
        <v>Г-образный профиль 40*40, 9мм</v>
      </c>
      <c r="B448" s="2421"/>
      <c r="C448" s="2421"/>
      <c r="D448" s="1055">
        <f>'Прайс лист'!G1498</f>
        <v>47</v>
      </c>
      <c r="E448" s="2421"/>
      <c r="I448" s="2722" t="str">
        <f>'Прайс лист'!B637</f>
        <v>ГПО 50-0,7</v>
      </c>
      <c r="J448" s="2722"/>
      <c r="K448" s="2722"/>
      <c r="L448" s="2722"/>
      <c r="M448" s="2722"/>
      <c r="N448" s="2791">
        <f>'Прайс лист'!G637</f>
        <v>80</v>
      </c>
      <c r="O448" s="2787" t="str">
        <f>'Прайс лист'!B882</f>
        <v>Саморез 5,5 х 25</v>
      </c>
      <c r="AG448" s="2421">
        <v>29.8</v>
      </c>
      <c r="AH448" s="2715">
        <f t="shared" si="47"/>
        <v>0.52010811709429472</v>
      </c>
      <c r="AI448" s="2715">
        <f t="shared" si="48"/>
        <v>0.52060811709429466</v>
      </c>
      <c r="AJ448" s="2715">
        <f t="shared" si="49"/>
        <v>0.51960811709429477</v>
      </c>
      <c r="AK448" s="2421">
        <f>IF(AND(дома!$Z$29&gt;=AJ448,дома!$Z$29&lt;=AI448),связи1!AG448,0)</f>
        <v>0</v>
      </c>
      <c r="AL448" s="2421">
        <f>IF(AND(дома!$AA$29&gt;=AJ448,дома!$AA$29&lt;=AI448),связи1!AG448,0)</f>
        <v>0</v>
      </c>
    </row>
    <row r="449" spans="1:38">
      <c r="A449" s="2421" t="str">
        <f>'Прайс лист'!B1499</f>
        <v>Г-образный профиль 40*50, 9мм</v>
      </c>
      <c r="B449" s="2421"/>
      <c r="C449" s="2421"/>
      <c r="D449" s="1055">
        <f>'Прайс лист'!G1499</f>
        <v>49</v>
      </c>
      <c r="E449" s="2421"/>
      <c r="I449" s="2722" t="str">
        <f>'Прайс лист'!B638</f>
        <v>ГПО 50-1,0</v>
      </c>
      <c r="J449" s="2722"/>
      <c r="K449" s="2722"/>
      <c r="L449" s="2722"/>
      <c r="M449" s="2722"/>
      <c r="N449" s="2791">
        <f>'Прайс лист'!G638</f>
        <v>111</v>
      </c>
      <c r="O449" s="2787" t="str">
        <f>'Прайс лист'!B882</f>
        <v>Саморез 5,5 х 25</v>
      </c>
      <c r="AG449" s="2421">
        <v>29.9</v>
      </c>
      <c r="AH449" s="2715">
        <f t="shared" si="47"/>
        <v>0.52185344634628905</v>
      </c>
      <c r="AI449" s="2715">
        <f t="shared" si="48"/>
        <v>0.522353446346289</v>
      </c>
      <c r="AJ449" s="2715">
        <f t="shared" si="49"/>
        <v>0.52135344634628911</v>
      </c>
      <c r="AK449" s="2421">
        <f>IF(AND(дома!$Z$29&gt;=AJ449,дома!$Z$29&lt;=AI449),связи1!AG449,0)</f>
        <v>0</v>
      </c>
      <c r="AL449" s="2421">
        <f>IF(AND(дома!$AA$29&gt;=AJ449,дома!$AA$29&lt;=AI449),связи1!AG449,0)</f>
        <v>0</v>
      </c>
    </row>
    <row r="450" spans="1:38">
      <c r="A450" s="2421" t="str">
        <f>'Прайс лист'!B1500</f>
        <v>Г-образный профиль 40*60, 9мм</v>
      </c>
      <c r="B450" s="2421"/>
      <c r="C450" s="2421"/>
      <c r="D450" s="1055">
        <f>'Прайс лист'!G1500</f>
        <v>52</v>
      </c>
      <c r="E450" s="2421"/>
      <c r="I450" s="2722" t="str">
        <f>'Прайс лист'!B639</f>
        <v>ГПО 50-1,2</v>
      </c>
      <c r="J450" s="2722"/>
      <c r="K450" s="2722"/>
      <c r="L450" s="2722"/>
      <c r="M450" s="2722"/>
      <c r="N450" s="2791">
        <f>'Прайс лист'!G639</f>
        <v>136</v>
      </c>
      <c r="O450" s="2787" t="str">
        <f>'Прайс лист'!B882</f>
        <v>Саморез 5,5 х 25</v>
      </c>
      <c r="AG450" s="2421">
        <v>30</v>
      </c>
      <c r="AH450" s="2715">
        <f t="shared" si="47"/>
        <v>0.52359877559828338</v>
      </c>
      <c r="AI450" s="2715">
        <f t="shared" si="48"/>
        <v>0.52409877559828333</v>
      </c>
      <c r="AJ450" s="2715">
        <f t="shared" si="49"/>
        <v>0.52309877559828344</v>
      </c>
      <c r="AK450" s="2421">
        <f>IF(AND(дома!$Z$29&gt;=AJ450,дома!$Z$29&lt;=AI450),связи1!AG450,0)</f>
        <v>0</v>
      </c>
      <c r="AL450" s="2421">
        <f>IF(AND(дома!$AA$29&gt;=AJ450,дома!$AA$29&lt;=AI450),связи1!AG450,0)</f>
        <v>0</v>
      </c>
    </row>
    <row r="451" spans="1:38">
      <c r="A451" s="2421" t="str">
        <f>'Прайс лист'!B1501</f>
        <v>Г-образный профиль 40*30, 12мм</v>
      </c>
      <c r="B451" s="2421"/>
      <c r="C451" s="2421"/>
      <c r="D451" s="1055">
        <f>'Прайс лист'!G1501</f>
        <v>58</v>
      </c>
      <c r="E451" s="2421"/>
      <c r="I451" s="2722" t="str">
        <f>'Прайс лист'!B640</f>
        <v>ГПО 50-1,5</v>
      </c>
      <c r="J451" s="2722"/>
      <c r="K451" s="2722"/>
      <c r="L451" s="2722"/>
      <c r="M451" s="2722"/>
      <c r="N451" s="2791">
        <f>'Прайс лист'!G640</f>
        <v>169</v>
      </c>
      <c r="O451" s="2787" t="str">
        <f>'Прайс лист'!B882</f>
        <v>Саморез 5,5 х 25</v>
      </c>
      <c r="AG451" s="2421">
        <v>30.1</v>
      </c>
      <c r="AH451" s="2715">
        <f t="shared" si="47"/>
        <v>0.5253441048502776</v>
      </c>
      <c r="AI451" s="2715">
        <f t="shared" si="48"/>
        <v>0.52584410485027755</v>
      </c>
      <c r="AJ451" s="2715">
        <f t="shared" si="49"/>
        <v>0.52484410485027766</v>
      </c>
      <c r="AK451" s="2421">
        <f>IF(AND(дома!$Z$29&gt;=AJ451,дома!$Z$29&lt;=AI451),связи1!AG451,0)</f>
        <v>0</v>
      </c>
      <c r="AL451" s="2421">
        <f>IF(AND(дома!$AA$29&gt;=AJ451,дома!$AA$29&lt;=AI451),связи1!AG451,0)</f>
        <v>0</v>
      </c>
    </row>
    <row r="452" spans="1:38">
      <c r="A452" s="2421" t="str">
        <f>'Прайс лист'!B1502</f>
        <v>Г-образный профиль 40*40, 12мм</v>
      </c>
      <c r="B452" s="2421"/>
      <c r="C452" s="2421"/>
      <c r="D452" s="1055">
        <f>'Прайс лист'!G1502</f>
        <v>62</v>
      </c>
      <c r="E452" s="2421"/>
      <c r="I452" s="2722" t="str">
        <f>'Прайс лист'!B641</f>
        <v>ГПО 50-2,0</v>
      </c>
      <c r="J452" s="2722"/>
      <c r="K452" s="2722"/>
      <c r="L452" s="2722"/>
      <c r="M452" s="2722"/>
      <c r="N452" s="2791">
        <f>'Прайс лист'!G641</f>
        <v>226</v>
      </c>
      <c r="O452" s="2787" t="str">
        <f>'Прайс лист'!B882</f>
        <v>Саморез 5,5 х 25</v>
      </c>
      <c r="AG452" s="2421">
        <v>30.2</v>
      </c>
      <c r="AH452" s="2715">
        <f t="shared" si="47"/>
        <v>0.52708943410227183</v>
      </c>
      <c r="AI452" s="2715">
        <f t="shared" si="48"/>
        <v>0.52758943410227177</v>
      </c>
      <c r="AJ452" s="2715">
        <f t="shared" si="49"/>
        <v>0.52658943410227188</v>
      </c>
      <c r="AK452" s="2421">
        <f>IF(AND(дома!$Z$29&gt;=AJ452,дома!$Z$29&lt;=AI452),связи1!AG452,0)</f>
        <v>0</v>
      </c>
      <c r="AL452" s="2421">
        <f>IF(AND(дома!$AA$29&gt;=AJ452,дома!$AA$29&lt;=AI452),связи1!AG452,0)</f>
        <v>0</v>
      </c>
    </row>
    <row r="453" spans="1:38">
      <c r="A453" s="2421" t="str">
        <f>'Прайс лист'!B1503</f>
        <v>Г-образный профиль 40*50, 12мм</v>
      </c>
      <c r="B453" s="2421"/>
      <c r="C453" s="2421"/>
      <c r="D453" s="1055">
        <f>'Прайс лист'!G1503</f>
        <v>66</v>
      </c>
      <c r="E453" s="2421"/>
      <c r="AG453" s="2421">
        <v>30.3</v>
      </c>
      <c r="AH453" s="2715">
        <f t="shared" si="47"/>
        <v>0.52883476335426616</v>
      </c>
      <c r="AI453" s="2715">
        <f t="shared" si="48"/>
        <v>0.5293347633542661</v>
      </c>
      <c r="AJ453" s="2715">
        <f t="shared" si="49"/>
        <v>0.52833476335426621</v>
      </c>
      <c r="AK453" s="2421">
        <f>IF(AND(дома!$Z$29&gt;=AJ453,дома!$Z$29&lt;=AI453),связи1!AG453,0)</f>
        <v>0</v>
      </c>
      <c r="AL453" s="2421">
        <f>IF(AND(дома!$AA$29&gt;=AJ453,дома!$AA$29&lt;=AI453),связи1!AG453,0)</f>
        <v>0</v>
      </c>
    </row>
    <row r="454" spans="1:38">
      <c r="A454" s="2421" t="str">
        <f>'Прайс лист'!B1504</f>
        <v>Г-образный профиль 40*60, 12мм</v>
      </c>
      <c r="B454" s="2421"/>
      <c r="C454" s="2421"/>
      <c r="D454" s="1055">
        <f>'Прайс лист'!G1504</f>
        <v>70</v>
      </c>
      <c r="E454" s="2421"/>
      <c r="AG454" s="2421">
        <v>30.4</v>
      </c>
      <c r="AH454" s="2715">
        <f t="shared" si="47"/>
        <v>0.53058009260626038</v>
      </c>
      <c r="AI454" s="2715">
        <f t="shared" si="48"/>
        <v>0.53108009260626032</v>
      </c>
      <c r="AJ454" s="2715">
        <f t="shared" si="49"/>
        <v>0.53008009260626043</v>
      </c>
      <c r="AK454" s="2421">
        <f>IF(AND(дома!$Z$29&gt;=AJ454,дома!$Z$29&lt;=AI454),связи1!AG454,0)</f>
        <v>0</v>
      </c>
      <c r="AL454" s="2421">
        <f>IF(AND(дома!$AA$29&gt;=AJ454,дома!$AA$29&lt;=AI454),связи1!AG454,0)</f>
        <v>0</v>
      </c>
    </row>
    <row r="455" spans="1:38">
      <c r="AG455" s="2421">
        <v>30.5</v>
      </c>
      <c r="AH455" s="2715">
        <f t="shared" si="47"/>
        <v>0.53232542185825471</v>
      </c>
      <c r="AI455" s="2715">
        <f t="shared" si="48"/>
        <v>0.53282542185825466</v>
      </c>
      <c r="AJ455" s="2715">
        <f t="shared" si="49"/>
        <v>0.53182542185825477</v>
      </c>
      <c r="AK455" s="2421">
        <f>IF(AND(дома!$Z$29&gt;=AJ455,дома!$Z$29&lt;=AI455),связи1!AG455,0)</f>
        <v>0</v>
      </c>
      <c r="AL455" s="2421">
        <f>IF(AND(дома!$AA$29&gt;=AJ455,дома!$AA$29&lt;=AI455),связи1!AG455,0)</f>
        <v>0</v>
      </c>
    </row>
    <row r="456" spans="1:38">
      <c r="A456" s="2379" t="s">
        <v>4572</v>
      </c>
      <c r="AG456" s="2421">
        <v>30.6</v>
      </c>
      <c r="AH456" s="2715">
        <f t="shared" si="47"/>
        <v>0.53407075111024893</v>
      </c>
      <c r="AI456" s="2715">
        <f t="shared" si="48"/>
        <v>0.53457075111024888</v>
      </c>
      <c r="AJ456" s="2715">
        <f t="shared" si="49"/>
        <v>0.53357075111024899</v>
      </c>
      <c r="AK456" s="2421">
        <f>IF(AND(дома!$Z$29&gt;=AJ456,дома!$Z$29&lt;=AI456),связи1!AG456,0)</f>
        <v>0</v>
      </c>
      <c r="AL456" s="2421">
        <f>IF(AND(дома!$AA$29&gt;=AJ456,дома!$AA$29&lt;=AI456),связи1!AG456,0)</f>
        <v>0</v>
      </c>
    </row>
    <row r="457" spans="1:38">
      <c r="A457" s="2379" t="s">
        <v>2065</v>
      </c>
      <c r="P457" s="2787" t="s">
        <v>1541</v>
      </c>
      <c r="AG457" s="2421">
        <v>30.7</v>
      </c>
      <c r="AH457" s="2715">
        <f t="shared" si="47"/>
        <v>0.53581608036224326</v>
      </c>
      <c r="AI457" s="2715">
        <f t="shared" si="48"/>
        <v>0.53631608036224321</v>
      </c>
      <c r="AJ457" s="2715">
        <f t="shared" si="49"/>
        <v>0.53531608036224332</v>
      </c>
      <c r="AK457" s="2421">
        <f>IF(AND(дома!$Z$29&gt;=AJ457,дома!$Z$29&lt;=AI457),связи1!AG457,0)</f>
        <v>0</v>
      </c>
      <c r="AL457" s="2421">
        <f>IF(AND(дома!$AA$29&gt;=AJ457,дома!$AA$29&lt;=AI457),связи1!AG457,0)</f>
        <v>0</v>
      </c>
    </row>
    <row r="458" spans="1:38" ht="16">
      <c r="I458" s="2792" t="str">
        <f t="shared" ref="I458:O458" si="54">A407</f>
        <v>нет</v>
      </c>
      <c r="J458" s="2722">
        <f t="shared" si="54"/>
        <v>0</v>
      </c>
      <c r="K458" s="2722">
        <f t="shared" si="54"/>
        <v>0</v>
      </c>
      <c r="L458" s="2722">
        <f t="shared" si="54"/>
        <v>0</v>
      </c>
      <c r="M458" s="2722">
        <f t="shared" si="54"/>
        <v>0</v>
      </c>
      <c r="N458" s="2722">
        <f t="shared" si="54"/>
        <v>0</v>
      </c>
      <c r="O458" s="2722">
        <f t="shared" si="54"/>
        <v>0</v>
      </c>
      <c r="P458" s="1197" t="str">
        <f t="shared" ref="P458:P467" si="55">I458</f>
        <v>нет</v>
      </c>
      <c r="S458" s="2379">
        <v>0</v>
      </c>
      <c r="U458" s="2379">
        <v>0</v>
      </c>
      <c r="W458" s="2379">
        <v>0</v>
      </c>
      <c r="Y458" s="2379">
        <v>0</v>
      </c>
      <c r="AG458" s="2421">
        <v>30.8</v>
      </c>
      <c r="AH458" s="2715">
        <f t="shared" si="47"/>
        <v>0.5375614096142376</v>
      </c>
      <c r="AI458" s="2715">
        <f t="shared" si="48"/>
        <v>0.53806140961423754</v>
      </c>
      <c r="AJ458" s="2715">
        <f t="shared" si="49"/>
        <v>0.53706140961423765</v>
      </c>
      <c r="AK458" s="2421">
        <f>IF(AND(дома!$Z$29&gt;=AJ458,дома!$Z$29&lt;=AI458),связи1!AG458,0)</f>
        <v>0</v>
      </c>
      <c r="AL458" s="2421">
        <f>IF(AND(дома!$AA$29&gt;=AJ458,дома!$AA$29&lt;=AI458),связи1!AG458,0)</f>
        <v>0</v>
      </c>
    </row>
    <row r="459" spans="1:38" ht="16">
      <c r="A459" s="1197" t="str">
        <f>'Прайс лист'!B425</f>
        <v>Шкант</v>
      </c>
      <c r="B459" s="1197">
        <f>'Прайс лист'!G425</f>
        <v>6</v>
      </c>
      <c r="I459" s="2792" t="str">
        <f t="shared" ref="I459:I467" si="56">A408</f>
        <v>Доска сухая, 200*50мм</v>
      </c>
      <c r="J459" s="2722">
        <f t="shared" ref="J459:J467" si="57">B408</f>
        <v>9000</v>
      </c>
      <c r="K459" s="2722">
        <f t="shared" ref="K459:K467" si="58">C408</f>
        <v>100</v>
      </c>
      <c r="L459" s="2722">
        <f t="shared" ref="L459:L488" si="59">J459/K459</f>
        <v>90</v>
      </c>
      <c r="M459" s="2722">
        <f t="shared" ref="M459:M467" si="60">E408</f>
        <v>1.0000000000000002E-2</v>
      </c>
      <c r="N459" s="2722">
        <f t="shared" ref="N459:N467" si="61">F408</f>
        <v>0.2</v>
      </c>
      <c r="O459" s="2722">
        <f t="shared" ref="O459:O467" si="62">G408</f>
        <v>0.05</v>
      </c>
      <c r="P459" s="1197" t="str">
        <f t="shared" si="55"/>
        <v>Доска сухая, 200*50мм</v>
      </c>
      <c r="Q459" s="2793">
        <f t="shared" ref="Q459:Q467" si="63">L459</f>
        <v>90</v>
      </c>
      <c r="S459" s="2379" t="str">
        <f>'Прайс лист'!B848</f>
        <v xml:space="preserve">Пластина соеденительная 150х240х2           </v>
      </c>
      <c r="T459" s="1197">
        <f>'Прайс лист'!G848</f>
        <v>55</v>
      </c>
      <c r="U459" s="2379" t="str">
        <f>'Прайс лист'!B892</f>
        <v xml:space="preserve">Гвозди строительные 3,5 x 120           </v>
      </c>
      <c r="V459" s="1197">
        <f>'Прайс лист'!F892</f>
        <v>0.85</v>
      </c>
      <c r="W459" s="2379" t="str">
        <f>'Прайс лист'!B862</f>
        <v xml:space="preserve">Болты анкерные с гайкой 12,0 x 120          </v>
      </c>
      <c r="X459" s="1197">
        <f>'Прайс лист'!G862</f>
        <v>11.5</v>
      </c>
      <c r="AG459" s="2421">
        <v>30.9</v>
      </c>
      <c r="AH459" s="2715">
        <f t="shared" si="47"/>
        <v>0.53930673886623182</v>
      </c>
      <c r="AI459" s="2715">
        <f t="shared" si="48"/>
        <v>0.53980673886623176</v>
      </c>
      <c r="AJ459" s="2715">
        <f t="shared" si="49"/>
        <v>0.53880673886623187</v>
      </c>
      <c r="AK459" s="2421">
        <f>IF(AND(дома!$Z$29&gt;=AJ459,дома!$Z$29&lt;=AI459),связи1!AG459,0)</f>
        <v>0</v>
      </c>
      <c r="AL459" s="2421">
        <f>IF(AND(дома!$AA$29&gt;=AJ459,дома!$AA$29&lt;=AI459),связи1!AG459,0)</f>
        <v>0</v>
      </c>
    </row>
    <row r="460" spans="1:38" ht="16">
      <c r="A460" s="1197" t="str">
        <f>'Прайс лист'!B531</f>
        <v>Пружинный узел</v>
      </c>
      <c r="B460" s="1197">
        <f>'Прайс лист'!G531</f>
        <v>51</v>
      </c>
      <c r="I460" s="2792" t="str">
        <f t="shared" si="56"/>
        <v>Доска сухая, 150*50мм</v>
      </c>
      <c r="J460" s="2722">
        <f t="shared" si="57"/>
        <v>9000</v>
      </c>
      <c r="K460" s="2722">
        <f t="shared" si="58"/>
        <v>133.33333333333334</v>
      </c>
      <c r="L460" s="2722">
        <f t="shared" si="59"/>
        <v>67.5</v>
      </c>
      <c r="M460" s="2722">
        <f t="shared" si="60"/>
        <v>7.4999999999999997E-3</v>
      </c>
      <c r="N460" s="2722">
        <f t="shared" si="61"/>
        <v>0.15</v>
      </c>
      <c r="O460" s="2722">
        <f t="shared" si="62"/>
        <v>0.05</v>
      </c>
      <c r="P460" s="1197" t="str">
        <f t="shared" si="55"/>
        <v>Доска сухая, 150*50мм</v>
      </c>
      <c r="Q460" s="2793">
        <f t="shared" si="63"/>
        <v>67.5</v>
      </c>
      <c r="S460" s="2794" t="str">
        <f>'Прайс лист'!B848</f>
        <v xml:space="preserve">Пластина соеденительная 150х240х2           </v>
      </c>
      <c r="T460" s="1197">
        <f>'Прайс лист'!G848</f>
        <v>55</v>
      </c>
      <c r="U460" s="2379" t="str">
        <f>'Прайс лист'!B892</f>
        <v xml:space="preserve">Гвозди строительные 3,5 x 120           </v>
      </c>
      <c r="V460" s="1197">
        <f>'Прайс лист'!F892</f>
        <v>0.85</v>
      </c>
      <c r="W460" s="2379" t="str">
        <f>'Прайс лист'!B862</f>
        <v xml:space="preserve">Болты анкерные с гайкой 12,0 x 120          </v>
      </c>
      <c r="X460" s="1197">
        <f>'Прайс лист'!G862</f>
        <v>11.5</v>
      </c>
      <c r="AG460" s="2421"/>
      <c r="AH460" s="2715"/>
      <c r="AI460" s="2715"/>
      <c r="AJ460" s="2715"/>
      <c r="AK460" s="2421"/>
      <c r="AL460" s="2421"/>
    </row>
    <row r="461" spans="1:38" ht="16">
      <c r="A461" s="2379" t="str">
        <f>'Прайс лист'!B529</f>
        <v>Глухарь для сборки сруба</v>
      </c>
      <c r="B461" s="1197">
        <f>'Прайс лист'!G529</f>
        <v>50</v>
      </c>
      <c r="I461" s="2792" t="str">
        <f t="shared" si="56"/>
        <v>Доска сухая, 100*50мм</v>
      </c>
      <c r="J461" s="2722">
        <f t="shared" si="57"/>
        <v>9000</v>
      </c>
      <c r="K461" s="2722">
        <f t="shared" si="58"/>
        <v>200</v>
      </c>
      <c r="L461" s="2722">
        <f t="shared" si="59"/>
        <v>45</v>
      </c>
      <c r="M461" s="2722">
        <f t="shared" si="60"/>
        <v>5.000000000000001E-3</v>
      </c>
      <c r="N461" s="2722">
        <f t="shared" si="61"/>
        <v>0.1</v>
      </c>
      <c r="O461" s="2722">
        <f t="shared" si="62"/>
        <v>0.05</v>
      </c>
      <c r="P461" s="1197" t="str">
        <f t="shared" si="55"/>
        <v>Доска сухая, 100*50мм</v>
      </c>
      <c r="Q461" s="2793">
        <f t="shared" si="63"/>
        <v>45</v>
      </c>
      <c r="S461" s="2794" t="str">
        <f>'Прайс лист'!B846</f>
        <v xml:space="preserve">Пластина соеденительная 100х240х2           </v>
      </c>
      <c r="T461" s="1197">
        <f>'Прайс лист'!G846</f>
        <v>31.54</v>
      </c>
      <c r="U461" s="2379" t="str">
        <f>'Прайс лист'!B892</f>
        <v xml:space="preserve">Гвозди строительные 3,5 x 120           </v>
      </c>
      <c r="V461" s="1197">
        <f>'Прайс лист'!F892</f>
        <v>0.85</v>
      </c>
      <c r="W461" s="2379" t="str">
        <f>'Прайс лист'!B862</f>
        <v xml:space="preserve">Болты анкерные с гайкой 12,0 x 120          </v>
      </c>
      <c r="X461" s="1197">
        <f>'Прайс лист'!G862</f>
        <v>11.5</v>
      </c>
      <c r="AG461" s="2421">
        <v>31</v>
      </c>
      <c r="AH461" s="2715">
        <f>AG461*3.1415926535897/180</f>
        <v>0.54105206811822615</v>
      </c>
      <c r="AI461" s="2715">
        <f>AH461+0.0005</f>
        <v>0.54155206811822609</v>
      </c>
      <c r="AJ461" s="2715">
        <f>AH461-0.0005</f>
        <v>0.5405520681182262</v>
      </c>
      <c r="AK461" s="2421">
        <f>IF(AND(дома!$Z$29&gt;=AJ461,дома!$Z$29&lt;=AI461),связи1!AG461,0)</f>
        <v>0</v>
      </c>
      <c r="AL461" s="2421">
        <f>IF(AND(дома!$AA$29&gt;=AJ461,дома!$AA$29&lt;=AI461),связи1!AG461,0)</f>
        <v>0</v>
      </c>
    </row>
    <row r="462" spans="1:38" ht="16">
      <c r="I462" s="2792" t="str">
        <f t="shared" si="56"/>
        <v>Доска сухая калиброванная, 190*45мм</v>
      </c>
      <c r="J462" s="2722">
        <f t="shared" si="57"/>
        <v>12500</v>
      </c>
      <c r="K462" s="2722">
        <f t="shared" si="58"/>
        <v>116.95906432748539</v>
      </c>
      <c r="L462" s="2722">
        <f t="shared" si="59"/>
        <v>106.87499999999999</v>
      </c>
      <c r="M462" s="2722">
        <f t="shared" si="60"/>
        <v>8.5500000000000003E-3</v>
      </c>
      <c r="N462" s="2722">
        <f t="shared" si="61"/>
        <v>0.19</v>
      </c>
      <c r="O462" s="2722">
        <f t="shared" si="62"/>
        <v>4.4999999999999998E-2</v>
      </c>
      <c r="P462" s="1197" t="str">
        <f t="shared" si="55"/>
        <v>Доска сухая калиброванная, 190*45мм</v>
      </c>
      <c r="Q462" s="2793">
        <f t="shared" si="63"/>
        <v>106.87499999999999</v>
      </c>
      <c r="S462" s="2794" t="str">
        <f>'Прайс лист'!B848</f>
        <v xml:space="preserve">Пластина соеденительная 150х240х2           </v>
      </c>
      <c r="T462" s="1197">
        <f>'Прайс лист'!G848</f>
        <v>55</v>
      </c>
      <c r="U462" s="2379" t="str">
        <f>'Прайс лист'!B898</f>
        <v xml:space="preserve">Гвозди ершоные 2,8 х 90            </v>
      </c>
      <c r="V462" s="1197">
        <f>'Прайс лист'!F898</f>
        <v>0.95</v>
      </c>
      <c r="W462" s="2379" t="str">
        <f>'Прайс лист'!B862</f>
        <v xml:space="preserve">Болты анкерные с гайкой 12,0 x 120          </v>
      </c>
      <c r="X462" s="1197">
        <f>'Прайс лист'!G862</f>
        <v>11.5</v>
      </c>
      <c r="AG462" s="2421">
        <v>31.1</v>
      </c>
      <c r="AH462" s="2715">
        <f>AG462*3.1415926535897/180</f>
        <v>0.54279739737022037</v>
      </c>
      <c r="AI462" s="2715">
        <f>AH462+0.0005</f>
        <v>0.54329739737022031</v>
      </c>
      <c r="AJ462" s="2715">
        <f>AH462-0.0005</f>
        <v>0.54229739737022042</v>
      </c>
      <c r="AK462" s="2421">
        <f>IF(AND(дома!$Z$29&gt;=AJ462,дома!$Z$29&lt;=AI462),связи1!AG462,0)</f>
        <v>0</v>
      </c>
      <c r="AL462" s="2421">
        <f>IF(AND(дома!$AA$29&gt;=AJ462,дома!$AA$29&lt;=AI462),связи1!AG462,0)</f>
        <v>0</v>
      </c>
    </row>
    <row r="463" spans="1:38" ht="16">
      <c r="I463" s="2792" t="str">
        <f t="shared" si="56"/>
        <v>Доска сухая калиброванная, 145*45мм</v>
      </c>
      <c r="J463" s="2722">
        <f t="shared" si="57"/>
        <v>12500</v>
      </c>
      <c r="K463" s="2722">
        <f t="shared" si="58"/>
        <v>153.25670498084293</v>
      </c>
      <c r="L463" s="2722">
        <f t="shared" si="59"/>
        <v>81.562499999999986</v>
      </c>
      <c r="M463" s="2722">
        <f t="shared" si="60"/>
        <v>6.5249999999999996E-3</v>
      </c>
      <c r="N463" s="2722">
        <f t="shared" si="61"/>
        <v>0.14499999999999999</v>
      </c>
      <c r="O463" s="2722">
        <f t="shared" si="62"/>
        <v>4.4999999999999998E-2</v>
      </c>
      <c r="P463" s="1197" t="str">
        <f t="shared" si="55"/>
        <v>Доска сухая калиброванная, 145*45мм</v>
      </c>
      <c r="Q463" s="2793">
        <f t="shared" si="63"/>
        <v>81.562499999999986</v>
      </c>
      <c r="S463" s="2379" t="str">
        <f>'Прайс лист'!B846</f>
        <v xml:space="preserve">Пластина соеденительная 100х240х2           </v>
      </c>
      <c r="T463" s="1197">
        <f>'Прайс лист'!G846</f>
        <v>31.54</v>
      </c>
      <c r="U463" s="2379" t="str">
        <f>'Прайс лист'!B898</f>
        <v xml:space="preserve">Гвозди ершоные 2,8 х 90            </v>
      </c>
      <c r="V463" s="1197">
        <f>'Прайс лист'!F898</f>
        <v>0.95</v>
      </c>
      <c r="W463" s="2379" t="str">
        <f>'Прайс лист'!B862</f>
        <v xml:space="preserve">Болты анкерные с гайкой 12,0 x 120          </v>
      </c>
      <c r="X463" s="1197">
        <f>'Прайс лист'!G862</f>
        <v>11.5</v>
      </c>
      <c r="AG463" s="2421">
        <v>31.2</v>
      </c>
      <c r="AH463" s="2715">
        <f>AG463*3.1415926535897/180</f>
        <v>0.54454272662221459</v>
      </c>
      <c r="AI463" s="2715">
        <f>AH463+0.0005</f>
        <v>0.54504272662221454</v>
      </c>
      <c r="AJ463" s="2715">
        <f>AH463-0.0005</f>
        <v>0.54404272662221465</v>
      </c>
      <c r="AK463" s="2421">
        <f>IF(AND(дома!$Z$29&gt;=AJ463,дома!$Z$29&lt;=AI463),связи1!AG463,0)</f>
        <v>0</v>
      </c>
      <c r="AL463" s="2421">
        <f>IF(AND(дома!$AA$29&gt;=AJ463,дома!$AA$29&lt;=AI463),связи1!AG463,0)</f>
        <v>0</v>
      </c>
    </row>
    <row r="464" spans="1:38" ht="16">
      <c r="I464" s="2792" t="str">
        <f t="shared" si="56"/>
        <v>Доска сухая калиброванная, 100*45мм</v>
      </c>
      <c r="J464" s="2722">
        <f t="shared" si="57"/>
        <v>12500</v>
      </c>
      <c r="K464" s="2722">
        <f t="shared" si="58"/>
        <v>222.22222222222223</v>
      </c>
      <c r="L464" s="2722">
        <f t="shared" si="59"/>
        <v>56.25</v>
      </c>
      <c r="M464" s="2722">
        <f t="shared" si="60"/>
        <v>4.4999999999999997E-3</v>
      </c>
      <c r="N464" s="2722">
        <f t="shared" si="61"/>
        <v>0.1</v>
      </c>
      <c r="O464" s="2722">
        <f t="shared" si="62"/>
        <v>4.4999999999999998E-2</v>
      </c>
      <c r="P464" s="1197" t="str">
        <f t="shared" si="55"/>
        <v>Доска сухая калиброванная, 100*45мм</v>
      </c>
      <c r="Q464" s="2793">
        <f t="shared" si="63"/>
        <v>56.25</v>
      </c>
      <c r="S464" s="2379" t="str">
        <f>'Прайс лист'!B846</f>
        <v xml:space="preserve">Пластина соеденительная 100х240х2           </v>
      </c>
      <c r="T464" s="1197">
        <f>'Прайс лист'!G846</f>
        <v>31.54</v>
      </c>
      <c r="U464" s="2379" t="str">
        <f>'Прайс лист'!B898</f>
        <v xml:space="preserve">Гвозди ершоные 2,8 х 90            </v>
      </c>
      <c r="V464" s="1197">
        <f>'Прайс лист'!F898</f>
        <v>0.95</v>
      </c>
      <c r="W464" s="2379" t="str">
        <f>'Прайс лист'!B862</f>
        <v xml:space="preserve">Болты анкерные с гайкой 12,0 x 120          </v>
      </c>
      <c r="X464" s="1197">
        <f>'Прайс лист'!G862</f>
        <v>11.5</v>
      </c>
      <c r="AG464" s="2421"/>
      <c r="AH464" s="2715"/>
      <c r="AI464" s="2715"/>
      <c r="AJ464" s="2715"/>
      <c r="AK464" s="2421"/>
      <c r="AL464" s="2421"/>
    </row>
    <row r="465" spans="1:38" ht="16">
      <c r="I465" s="2792" t="str">
        <f t="shared" si="56"/>
        <v>Доска сырая, 200*50мм</v>
      </c>
      <c r="J465" s="2722">
        <f t="shared" si="57"/>
        <v>6500</v>
      </c>
      <c r="K465" s="2722">
        <f t="shared" si="58"/>
        <v>100</v>
      </c>
      <c r="L465" s="2722">
        <f t="shared" si="59"/>
        <v>65</v>
      </c>
      <c r="M465" s="2722">
        <f t="shared" si="60"/>
        <v>1.0000000000000002E-2</v>
      </c>
      <c r="N465" s="2722">
        <f t="shared" si="61"/>
        <v>0.2</v>
      </c>
      <c r="O465" s="2722">
        <f t="shared" si="62"/>
        <v>0.05</v>
      </c>
      <c r="P465" s="1197" t="str">
        <f t="shared" si="55"/>
        <v>Доска сырая, 200*50мм</v>
      </c>
      <c r="Q465" s="2793">
        <f t="shared" si="63"/>
        <v>65</v>
      </c>
      <c r="S465" s="2379" t="str">
        <f>'Прайс лист'!B848</f>
        <v xml:space="preserve">Пластина соеденительная 150х240х2           </v>
      </c>
      <c r="T465" s="1197">
        <f>'Прайс лист'!G848</f>
        <v>55</v>
      </c>
      <c r="U465" s="2379" t="str">
        <f>'Прайс лист'!B892</f>
        <v xml:space="preserve">Гвозди строительные 3,5 x 120           </v>
      </c>
      <c r="V465" s="1197">
        <f>'Прайс лист'!F892</f>
        <v>0.85</v>
      </c>
      <c r="W465" s="2379" t="str">
        <f>'Прайс лист'!B862</f>
        <v xml:space="preserve">Болты анкерные с гайкой 12,0 x 120          </v>
      </c>
      <c r="X465" s="1197">
        <f>'Прайс лист'!G862</f>
        <v>11.5</v>
      </c>
      <c r="AG465" s="2421">
        <v>31.3</v>
      </c>
      <c r="AH465" s="2715">
        <f t="shared" ref="AH465:AH496" si="64">AG465*3.1415926535897/180</f>
        <v>0.54628805587420892</v>
      </c>
      <c r="AI465" s="2715">
        <f t="shared" ref="AI465:AI496" si="65">AH465+0.0005</f>
        <v>0.54678805587420887</v>
      </c>
      <c r="AJ465" s="2715">
        <f t="shared" ref="AJ465:AJ496" si="66">AH465-0.0005</f>
        <v>0.54578805587420898</v>
      </c>
      <c r="AK465" s="2421">
        <f>IF(AND(дома!$Z$29&gt;=AJ465,дома!$Z$29&lt;=AI465),связи1!AG465,0)</f>
        <v>0</v>
      </c>
      <c r="AL465" s="2421">
        <f>IF(AND(дома!$AA$29&gt;=AJ465,дома!$AA$29&lt;=AI465),связи1!AG465,0)</f>
        <v>0</v>
      </c>
    </row>
    <row r="466" spans="1:38" ht="16">
      <c r="I466" s="2792" t="str">
        <f t="shared" si="56"/>
        <v>Доска сырая, 150*50мм</v>
      </c>
      <c r="J466" s="2722">
        <f t="shared" si="57"/>
        <v>6500</v>
      </c>
      <c r="K466" s="2722">
        <f t="shared" si="58"/>
        <v>133.33333333333334</v>
      </c>
      <c r="L466" s="2722">
        <f t="shared" si="59"/>
        <v>48.75</v>
      </c>
      <c r="M466" s="2722">
        <f t="shared" si="60"/>
        <v>7.4999999999999997E-3</v>
      </c>
      <c r="N466" s="2722">
        <f t="shared" si="61"/>
        <v>0.15</v>
      </c>
      <c r="O466" s="2722">
        <f t="shared" si="62"/>
        <v>0.05</v>
      </c>
      <c r="P466" s="1197" t="str">
        <f t="shared" si="55"/>
        <v>Доска сырая, 150*50мм</v>
      </c>
      <c r="Q466" s="2793">
        <f t="shared" si="63"/>
        <v>48.75</v>
      </c>
      <c r="S466" s="2379" t="str">
        <f>'Прайс лист'!B846</f>
        <v xml:space="preserve">Пластина соеденительная 100х240х2           </v>
      </c>
      <c r="T466" s="1197">
        <f>'Прайс лист'!G846</f>
        <v>31.54</v>
      </c>
      <c r="U466" s="2379" t="str">
        <f>'Прайс лист'!B892</f>
        <v xml:space="preserve">Гвозди строительные 3,5 x 120           </v>
      </c>
      <c r="V466" s="1197">
        <f>'Прайс лист'!F892</f>
        <v>0.85</v>
      </c>
      <c r="W466" s="2379" t="str">
        <f>'Прайс лист'!B862</f>
        <v xml:space="preserve">Болты анкерные с гайкой 12,0 x 120          </v>
      </c>
      <c r="X466" s="1197">
        <f>'Прайс лист'!G862</f>
        <v>11.5</v>
      </c>
      <c r="AG466" s="2421">
        <v>31.4</v>
      </c>
      <c r="AH466" s="2715">
        <f t="shared" si="64"/>
        <v>0.54803338512620314</v>
      </c>
      <c r="AI466" s="2715">
        <f t="shared" si="65"/>
        <v>0.54853338512620309</v>
      </c>
      <c r="AJ466" s="2715">
        <f t="shared" si="66"/>
        <v>0.5475333851262032</v>
      </c>
      <c r="AK466" s="2421">
        <f>IF(AND(дома!$Z$29&gt;=AJ466,дома!$Z$29&lt;=AI466),связи1!AG466,0)</f>
        <v>0</v>
      </c>
      <c r="AL466" s="2421">
        <f>IF(AND(дома!$AA$29&gt;=AJ466,дома!$AA$29&lt;=AI466),связи1!AG466,0)</f>
        <v>0</v>
      </c>
    </row>
    <row r="467" spans="1:38" ht="16">
      <c r="I467" s="2792" t="str">
        <f t="shared" si="56"/>
        <v>Доска сырая, 100*50мм</v>
      </c>
      <c r="J467" s="2722">
        <f t="shared" si="57"/>
        <v>6500</v>
      </c>
      <c r="K467" s="2722">
        <f t="shared" si="58"/>
        <v>200</v>
      </c>
      <c r="L467" s="2722">
        <f t="shared" si="59"/>
        <v>32.5</v>
      </c>
      <c r="M467" s="2722">
        <f t="shared" si="60"/>
        <v>5.000000000000001E-3</v>
      </c>
      <c r="N467" s="2722">
        <f t="shared" si="61"/>
        <v>0.1</v>
      </c>
      <c r="O467" s="2722">
        <f t="shared" si="62"/>
        <v>0.05</v>
      </c>
      <c r="P467" s="1197" t="str">
        <f t="shared" si="55"/>
        <v>Доска сырая, 100*50мм</v>
      </c>
      <c r="Q467" s="2793">
        <f t="shared" si="63"/>
        <v>32.5</v>
      </c>
      <c r="S467" s="2379" t="str">
        <f>'Прайс лист'!B846</f>
        <v xml:space="preserve">Пластина соеденительная 100х240х2           </v>
      </c>
      <c r="T467" s="1197">
        <f>'Прайс лист'!G846</f>
        <v>31.54</v>
      </c>
      <c r="U467" s="2379" t="str">
        <f>'Прайс лист'!B892</f>
        <v xml:space="preserve">Гвозди строительные 3,5 x 120           </v>
      </c>
      <c r="V467" s="1197">
        <f>'Прайс лист'!F892</f>
        <v>0.85</v>
      </c>
      <c r="W467" s="2379" t="str">
        <f>'Прайс лист'!B862</f>
        <v xml:space="preserve">Болты анкерные с гайкой 12,0 x 120          </v>
      </c>
      <c r="X467" s="1197">
        <f>'Прайс лист'!G862</f>
        <v>11.5</v>
      </c>
      <c r="AG467" s="2421">
        <v>31.5</v>
      </c>
      <c r="AH467" s="2715">
        <f t="shared" si="64"/>
        <v>0.54977871437819748</v>
      </c>
      <c r="AI467" s="2715">
        <f t="shared" si="65"/>
        <v>0.55027871437819742</v>
      </c>
      <c r="AJ467" s="2715">
        <f t="shared" si="66"/>
        <v>0.54927871437819753</v>
      </c>
      <c r="AK467" s="2421">
        <f>IF(AND(дома!$Z$29&gt;=AJ467,дома!$Z$29&lt;=AI467),связи1!AG467,0)</f>
        <v>0</v>
      </c>
      <c r="AL467" s="2421">
        <f>IF(AND(дома!$AA$29&gt;=AJ467,дома!$AA$29&lt;=AI467),связи1!AG467,0)</f>
        <v>0</v>
      </c>
    </row>
    <row r="468" spans="1:38" ht="16">
      <c r="A468" s="2379" t="s">
        <v>4573</v>
      </c>
      <c r="I468" s="2792" t="str">
        <f>'Прайс лист'!B558</f>
        <v>ГПС 100х50-1,2</v>
      </c>
      <c r="J468" s="2723">
        <f>'Прайс лист'!G558</f>
        <v>163</v>
      </c>
      <c r="K468" s="2722">
        <f>'Прайс лист'!D558</f>
        <v>2.59</v>
      </c>
      <c r="L468" s="2724">
        <f t="shared" si="59"/>
        <v>62.934362934362937</v>
      </c>
      <c r="M468" s="2722">
        <f t="shared" ref="M468:M488" si="67">N468*O468</f>
        <v>5.000000000000001E-3</v>
      </c>
      <c r="N468" s="2722">
        <v>0.1</v>
      </c>
      <c r="O468" s="2722">
        <v>0.05</v>
      </c>
      <c r="P468" s="1197" t="str">
        <f>'Прайс лист'!B579</f>
        <v>ГПН 102х35-1,2</v>
      </c>
      <c r="Q468" s="2725">
        <f>'Прайс лист'!G579</f>
        <v>127</v>
      </c>
      <c r="S468" s="2379" t="str">
        <f>'Прайс лист'!B846</f>
        <v xml:space="preserve">Пластина соеденительная 100х240х2           </v>
      </c>
      <c r="T468" s="1197">
        <f>'Прайс лист'!G846</f>
        <v>31.54</v>
      </c>
      <c r="U468" s="2379" t="str">
        <f>'Прайс лист'!B882</f>
        <v>Саморез 5,5 х 25</v>
      </c>
      <c r="V468" s="1197">
        <f>'Прайс лист'!F882</f>
        <v>2.5</v>
      </c>
      <c r="W468" s="2379" t="str">
        <f>'Прайс лист'!B861</f>
        <v xml:space="preserve">Болты анкерные с гайкой 12,0 x 100          </v>
      </c>
      <c r="X468" s="1197">
        <f>'Прайс лист'!G861</f>
        <v>11.2</v>
      </c>
      <c r="Y468" s="1197" t="str">
        <f>'Прайс лист'!B642</f>
        <v>L 50 x 50, 1,2мм</v>
      </c>
      <c r="Z468" s="2725">
        <f>'Прайс лист'!G642</f>
        <v>77</v>
      </c>
      <c r="AG468" s="2421">
        <v>31.6</v>
      </c>
      <c r="AH468" s="2715">
        <f t="shared" si="64"/>
        <v>0.5515240436301917</v>
      </c>
      <c r="AI468" s="2715">
        <f t="shared" si="65"/>
        <v>0.55202404363019164</v>
      </c>
      <c r="AJ468" s="2715">
        <f t="shared" si="66"/>
        <v>0.55102404363019175</v>
      </c>
      <c r="AK468" s="2421">
        <f>IF(AND(дома!$Z$29&gt;=AJ468,дома!$Z$29&lt;=AI468),связи1!AG468,0)</f>
        <v>0</v>
      </c>
      <c r="AL468" s="2421">
        <f>IF(AND(дома!$AA$29&gt;=AJ468,дома!$AA$29&lt;=AI468),связи1!AG468,0)</f>
        <v>0</v>
      </c>
    </row>
    <row r="469" spans="1:38" ht="16">
      <c r="A469" s="2379" t="s">
        <v>4574</v>
      </c>
      <c r="I469" s="2792" t="str">
        <f>'Прайс лист'!B559</f>
        <v>ГПС 100х50-1,5</v>
      </c>
      <c r="J469" s="2723">
        <f>'Прайс лист'!G559</f>
        <v>204</v>
      </c>
      <c r="K469" s="2722">
        <f>'Прайс лист'!D559</f>
        <v>3.21</v>
      </c>
      <c r="L469" s="2724">
        <f t="shared" si="59"/>
        <v>63.55140186915888</v>
      </c>
      <c r="M469" s="2722">
        <f t="shared" si="67"/>
        <v>5.000000000000001E-3</v>
      </c>
      <c r="N469" s="2722">
        <v>0.1</v>
      </c>
      <c r="O469" s="2722">
        <v>0.05</v>
      </c>
      <c r="P469" s="1197" t="str">
        <f>'Прайс лист'!B580</f>
        <v>ГПН 102х35-1,5</v>
      </c>
      <c r="Q469" s="2725">
        <f>'Прайс лист'!G580</f>
        <v>158</v>
      </c>
      <c r="S469" s="2379" t="str">
        <f>'Прайс лист'!B846</f>
        <v xml:space="preserve">Пластина соеденительная 100х240х2           </v>
      </c>
      <c r="T469" s="1197">
        <f>'Прайс лист'!G846</f>
        <v>31.54</v>
      </c>
      <c r="U469" s="2379" t="str">
        <f>'Прайс лист'!B882</f>
        <v>Саморез 5,5 х 25</v>
      </c>
      <c r="V469" s="1197">
        <f>'Прайс лист'!F882</f>
        <v>2.5</v>
      </c>
      <c r="W469" s="2379" t="str">
        <f>'Прайс лист'!B861</f>
        <v xml:space="preserve">Болты анкерные с гайкой 12,0 x 100          </v>
      </c>
      <c r="X469" s="1197">
        <f>'Прайс лист'!G861</f>
        <v>11.2</v>
      </c>
      <c r="Y469" s="2379" t="str">
        <f>'Прайс лист'!B642</f>
        <v>L 50 x 50, 1,2мм</v>
      </c>
      <c r="Z469" s="2725">
        <f>'Прайс лист'!G642</f>
        <v>77</v>
      </c>
      <c r="AG469" s="2421">
        <v>31.7</v>
      </c>
      <c r="AH469" s="2715">
        <f t="shared" si="64"/>
        <v>0.55326937288218603</v>
      </c>
      <c r="AI469" s="2715">
        <f t="shared" si="65"/>
        <v>0.55376937288218597</v>
      </c>
      <c r="AJ469" s="2715">
        <f t="shared" si="66"/>
        <v>0.55276937288218608</v>
      </c>
      <c r="AK469" s="2421">
        <f>IF(AND(дома!$Z$29&gt;=AJ469,дома!$Z$29&lt;=AI469),связи1!AG469,0)</f>
        <v>0</v>
      </c>
      <c r="AL469" s="2421">
        <f>IF(AND(дома!$AA$29&gt;=AJ469,дома!$AA$29&lt;=AI469),связи1!AG469,0)</f>
        <v>0</v>
      </c>
    </row>
    <row r="470" spans="1:38" ht="16">
      <c r="A470" s="2379" t="s">
        <v>4575</v>
      </c>
      <c r="I470" s="2792" t="str">
        <f>'Прайс лист'!B560</f>
        <v>ГПС 100х50-2,0</v>
      </c>
      <c r="J470" s="2723">
        <f>'Прайс лист'!G560</f>
        <v>272</v>
      </c>
      <c r="K470" s="2722">
        <f>'Прайс лист'!D560</f>
        <v>4.2300000000000004</v>
      </c>
      <c r="L470" s="2724">
        <f t="shared" si="59"/>
        <v>64.302600472813239</v>
      </c>
      <c r="M470" s="2722">
        <f t="shared" si="67"/>
        <v>5.000000000000001E-3</v>
      </c>
      <c r="N470" s="2722">
        <v>0.1</v>
      </c>
      <c r="O470" s="2722">
        <v>0.05</v>
      </c>
      <c r="P470" s="1197" t="str">
        <f>'Прайс лист'!B581</f>
        <v>ГПН 102х35-2,0</v>
      </c>
      <c r="Q470" s="2725">
        <f>'Прайс лист'!G581</f>
        <v>199</v>
      </c>
      <c r="S470" s="2379" t="str">
        <f>'Прайс лист'!B846</f>
        <v xml:space="preserve">Пластина соеденительная 100х240х2           </v>
      </c>
      <c r="T470" s="1197">
        <f>'Прайс лист'!G846</f>
        <v>31.54</v>
      </c>
      <c r="U470" s="2379" t="str">
        <f>'Прайс лист'!B882</f>
        <v>Саморез 5,5 х 25</v>
      </c>
      <c r="V470" s="1197">
        <f>'Прайс лист'!F882</f>
        <v>2.5</v>
      </c>
      <c r="W470" s="2379" t="str">
        <f>'Прайс лист'!B861</f>
        <v xml:space="preserve">Болты анкерные с гайкой 12,0 x 100          </v>
      </c>
      <c r="X470" s="1197">
        <f>'Прайс лист'!G861</f>
        <v>11.2</v>
      </c>
      <c r="Y470" s="2379" t="str">
        <f>'Прайс лист'!B642</f>
        <v>L 50 x 50, 1,2мм</v>
      </c>
      <c r="Z470" s="2725">
        <f>'Прайс лист'!G642</f>
        <v>77</v>
      </c>
      <c r="AG470" s="2421">
        <v>31.8</v>
      </c>
      <c r="AH470" s="2715">
        <f t="shared" si="64"/>
        <v>0.55501470213418036</v>
      </c>
      <c r="AI470" s="2715">
        <f t="shared" si="65"/>
        <v>0.5555147021341803</v>
      </c>
      <c r="AJ470" s="2715">
        <f t="shared" si="66"/>
        <v>0.55451470213418041</v>
      </c>
      <c r="AK470" s="2421">
        <f>IF(AND(дома!$Z$29&gt;=AJ470,дома!$Z$29&lt;=AI470),связи1!AG470,0)</f>
        <v>0</v>
      </c>
      <c r="AL470" s="2421">
        <f>IF(AND(дома!$AA$29&gt;=AJ470,дома!$AA$29&lt;=AI470),связи1!AG470,0)</f>
        <v>0</v>
      </c>
    </row>
    <row r="471" spans="1:38" ht="16">
      <c r="A471" s="2379" t="s">
        <v>4576</v>
      </c>
      <c r="I471" s="2792" t="str">
        <f>'Прайс лист'!B561</f>
        <v>ГПС 120х50-1,2</v>
      </c>
      <c r="J471" s="2723">
        <f>'Прайс лист'!G561</f>
        <v>179</v>
      </c>
      <c r="K471" s="2722">
        <f>'Прайс лист'!D561</f>
        <v>2.7</v>
      </c>
      <c r="L471" s="2724">
        <f t="shared" si="59"/>
        <v>66.296296296296291</v>
      </c>
      <c r="M471" s="2722">
        <f t="shared" si="67"/>
        <v>6.0000000000000001E-3</v>
      </c>
      <c r="N471" s="2722">
        <v>0.12</v>
      </c>
      <c r="O471" s="2722">
        <v>0.05</v>
      </c>
      <c r="P471" s="1197" t="str">
        <f>'Прайс лист'!B582</f>
        <v>ГПН 122х35-1,2</v>
      </c>
      <c r="Q471" s="2725">
        <f>'Прайс лист'!G582</f>
        <v>131</v>
      </c>
      <c r="S471" s="2379" t="str">
        <f>'Прайс лист'!B846</f>
        <v xml:space="preserve">Пластина соеденительная 100х240х2           </v>
      </c>
      <c r="T471" s="1197">
        <f>'Прайс лист'!G846</f>
        <v>31.54</v>
      </c>
      <c r="U471" s="2379" t="str">
        <f>'Прайс лист'!B882</f>
        <v>Саморез 5,5 х 25</v>
      </c>
      <c r="V471" s="1197">
        <f>'Прайс лист'!F882</f>
        <v>2.5</v>
      </c>
      <c r="W471" s="2379" t="str">
        <f>'Прайс лист'!B861</f>
        <v xml:space="preserve">Болты анкерные с гайкой 12,0 x 100          </v>
      </c>
      <c r="X471" s="1197">
        <f>'Прайс лист'!G861</f>
        <v>11.2</v>
      </c>
      <c r="Y471" s="2379" t="str">
        <f>'Прайс лист'!B642</f>
        <v>L 50 x 50, 1,2мм</v>
      </c>
      <c r="Z471" s="2725">
        <f>'Прайс лист'!G642</f>
        <v>77</v>
      </c>
      <c r="AG471" s="2421">
        <v>31.9</v>
      </c>
      <c r="AH471" s="2715">
        <f t="shared" si="64"/>
        <v>0.55676003138617447</v>
      </c>
      <c r="AI471" s="2715">
        <f t="shared" si="65"/>
        <v>0.55726003138617441</v>
      </c>
      <c r="AJ471" s="2715">
        <f t="shared" si="66"/>
        <v>0.55626003138617452</v>
      </c>
      <c r="AK471" s="2421">
        <f>IF(AND(дома!$Z$29&gt;=AJ471,дома!$Z$29&lt;=AI471),связи1!AG471,0)</f>
        <v>0</v>
      </c>
      <c r="AL471" s="2421">
        <f>IF(AND(дома!$AA$29&gt;=AJ471,дома!$AA$29&lt;=AI471),связи1!AG471,0)</f>
        <v>0</v>
      </c>
    </row>
    <row r="472" spans="1:38" ht="16">
      <c r="A472" s="2379" t="s">
        <v>4577</v>
      </c>
      <c r="I472" s="2792" t="str">
        <f>'Прайс лист'!B562</f>
        <v>ГПС 120х50-1,5</v>
      </c>
      <c r="J472" s="2723">
        <f>'Прайс лист'!G562</f>
        <v>224</v>
      </c>
      <c r="K472" s="2722">
        <f>'Прайс лист'!D562</f>
        <v>3.4</v>
      </c>
      <c r="L472" s="2724">
        <f t="shared" si="59"/>
        <v>65.882352941176478</v>
      </c>
      <c r="M472" s="2722">
        <f t="shared" si="67"/>
        <v>6.0000000000000001E-3</v>
      </c>
      <c r="N472" s="2722">
        <v>0.12</v>
      </c>
      <c r="O472" s="2722">
        <v>0.05</v>
      </c>
      <c r="P472" s="1197" t="str">
        <f>'Прайс лист'!B583</f>
        <v>ГПН 122х35-1,5</v>
      </c>
      <c r="Q472" s="2725">
        <f>'Прайс лист'!G583</f>
        <v>163</v>
      </c>
      <c r="S472" s="2379" t="str">
        <f>'Прайс лист'!B846</f>
        <v xml:space="preserve">Пластина соеденительная 100х240х2           </v>
      </c>
      <c r="T472" s="1197">
        <f>'Прайс лист'!G846</f>
        <v>31.54</v>
      </c>
      <c r="U472" s="2379" t="str">
        <f>'Прайс лист'!B882</f>
        <v>Саморез 5,5 х 25</v>
      </c>
      <c r="V472" s="1197">
        <f>'Прайс лист'!F882</f>
        <v>2.5</v>
      </c>
      <c r="W472" s="2379" t="str">
        <f>'Прайс лист'!B861</f>
        <v xml:space="preserve">Болты анкерные с гайкой 12,0 x 100          </v>
      </c>
      <c r="X472" s="1197">
        <f>'Прайс лист'!G861</f>
        <v>11.2</v>
      </c>
      <c r="Y472" s="2379" t="str">
        <f>'Прайс лист'!B642</f>
        <v>L 50 x 50, 1,2мм</v>
      </c>
      <c r="Z472" s="2725">
        <f>'Прайс лист'!G642</f>
        <v>77</v>
      </c>
      <c r="AG472" s="2421">
        <v>32</v>
      </c>
      <c r="AH472" s="2715">
        <f t="shared" si="64"/>
        <v>0.55850536063816891</v>
      </c>
      <c r="AI472" s="2715">
        <f t="shared" si="65"/>
        <v>0.55900536063816886</v>
      </c>
      <c r="AJ472" s="2715">
        <f t="shared" si="66"/>
        <v>0.55800536063816897</v>
      </c>
      <c r="AK472" s="2421">
        <f>IF(AND(дома!$Z$29&gt;=AJ472,дома!$Z$29&lt;=AI472),связи1!AG472,0)</f>
        <v>0</v>
      </c>
      <c r="AL472" s="2421">
        <f>IF(AND(дома!$AA$29&gt;=AJ472,дома!$AA$29&lt;=AI472),связи1!AG472,0)</f>
        <v>0</v>
      </c>
    </row>
    <row r="473" spans="1:38" ht="16">
      <c r="A473" s="2379" t="s">
        <v>4578</v>
      </c>
      <c r="I473" s="2792" t="str">
        <f>'Прайс лист'!B563</f>
        <v>ГПС 120х50-2,0</v>
      </c>
      <c r="J473" s="2723">
        <f>'Прайс лист'!G563</f>
        <v>299</v>
      </c>
      <c r="K473" s="2722">
        <f>'Прайс лист'!D563</f>
        <v>4.5599999999999996</v>
      </c>
      <c r="L473" s="2724">
        <f t="shared" si="59"/>
        <v>65.570175438596493</v>
      </c>
      <c r="M473" s="2722">
        <f t="shared" si="67"/>
        <v>6.0000000000000001E-3</v>
      </c>
      <c r="N473" s="2722">
        <v>0.12</v>
      </c>
      <c r="O473" s="2722">
        <v>0.05</v>
      </c>
      <c r="P473" s="1197" t="str">
        <f>'Прайс лист'!B584</f>
        <v>ГПН 122х35-2,0</v>
      </c>
      <c r="Q473" s="2725">
        <f>'Прайс лист'!G584</f>
        <v>216</v>
      </c>
      <c r="S473" s="2379" t="str">
        <f>'Прайс лист'!B846</f>
        <v xml:space="preserve">Пластина соеденительная 100х240х2           </v>
      </c>
      <c r="T473" s="1197">
        <f>'Прайс лист'!G846</f>
        <v>31.54</v>
      </c>
      <c r="U473" s="2379" t="str">
        <f>'Прайс лист'!B882</f>
        <v>Саморез 5,5 х 25</v>
      </c>
      <c r="V473" s="1197">
        <f>'Прайс лист'!F882</f>
        <v>2.5</v>
      </c>
      <c r="W473" s="2379" t="str">
        <f>'Прайс лист'!B861</f>
        <v xml:space="preserve">Болты анкерные с гайкой 12,0 x 100          </v>
      </c>
      <c r="X473" s="1197">
        <f>'Прайс лист'!G861</f>
        <v>11.2</v>
      </c>
      <c r="Y473" s="2379" t="str">
        <f>'Прайс лист'!B642</f>
        <v>L 50 x 50, 1,2мм</v>
      </c>
      <c r="Z473" s="2725">
        <f>'Прайс лист'!G642</f>
        <v>77</v>
      </c>
      <c r="AG473" s="2421">
        <v>32.1</v>
      </c>
      <c r="AH473" s="2715">
        <f t="shared" si="64"/>
        <v>0.56025068989016324</v>
      </c>
      <c r="AI473" s="2715">
        <f t="shared" si="65"/>
        <v>0.56075068989016319</v>
      </c>
      <c r="AJ473" s="2715">
        <f t="shared" si="66"/>
        <v>0.5597506898901633</v>
      </c>
      <c r="AK473" s="2421">
        <f>IF(AND(дома!$Z$29&gt;=AJ473,дома!$Z$29&lt;=AI473),связи1!AG473,0)</f>
        <v>0</v>
      </c>
      <c r="AL473" s="2421">
        <f>IF(AND(дома!$AA$29&gt;=AJ473,дома!$AA$29&lt;=AI473),связи1!AG473,0)</f>
        <v>0</v>
      </c>
    </row>
    <row r="474" spans="1:38" ht="16">
      <c r="I474" s="2792" t="str">
        <f>'Прайс лист'!B564</f>
        <v>ГПС 150х50-1,2</v>
      </c>
      <c r="J474" s="2723">
        <f>'Прайс лист'!G564</f>
        <v>201</v>
      </c>
      <c r="K474" s="2722">
        <f>'Прайс лист'!D564</f>
        <v>3.19</v>
      </c>
      <c r="L474" s="2724">
        <f t="shared" si="59"/>
        <v>63.009404388714735</v>
      </c>
      <c r="M474" s="2722">
        <f t="shared" si="67"/>
        <v>7.4999999999999997E-3</v>
      </c>
      <c r="N474" s="2722">
        <v>0.15</v>
      </c>
      <c r="O474" s="2722">
        <v>0.05</v>
      </c>
      <c r="P474" s="1197" t="str">
        <f>'Прайс лист'!B585</f>
        <v>ГПН 152х35-1,2</v>
      </c>
      <c r="Q474" s="2725">
        <f>'Прайс лист'!G585</f>
        <v>163</v>
      </c>
      <c r="S474" s="2379" t="str">
        <f>'Прайс лист'!B846</f>
        <v xml:space="preserve">Пластина соеденительная 100х240х2           </v>
      </c>
      <c r="T474" s="1197">
        <f>'Прайс лист'!G846</f>
        <v>31.54</v>
      </c>
      <c r="U474" s="2379" t="str">
        <f>'Прайс лист'!B882</f>
        <v>Саморез 5,5 х 25</v>
      </c>
      <c r="V474" s="1197">
        <f>'Прайс лист'!F882</f>
        <v>2.5</v>
      </c>
      <c r="W474" s="2379" t="str">
        <f>'Прайс лист'!B861</f>
        <v xml:space="preserve">Болты анкерные с гайкой 12,0 x 100          </v>
      </c>
      <c r="X474" s="1197">
        <f>'Прайс лист'!G861</f>
        <v>11.2</v>
      </c>
      <c r="Y474" s="2379" t="str">
        <f>'Прайс лист'!B642</f>
        <v>L 50 x 50, 1,2мм</v>
      </c>
      <c r="Z474" s="2725">
        <f>'Прайс лист'!G642</f>
        <v>77</v>
      </c>
      <c r="AG474" s="2421">
        <v>32.200000000000003</v>
      </c>
      <c r="AH474" s="2715">
        <f t="shared" si="64"/>
        <v>0.56199601914215747</v>
      </c>
      <c r="AI474" s="2715">
        <f t="shared" si="65"/>
        <v>0.56249601914215741</v>
      </c>
      <c r="AJ474" s="2715">
        <f t="shared" si="66"/>
        <v>0.56149601914215752</v>
      </c>
      <c r="AK474" s="2421">
        <f>IF(AND(дома!$Z$29&gt;=AJ474,дома!$Z$29&lt;=AI474),связи1!AG474,0)</f>
        <v>0</v>
      </c>
      <c r="AL474" s="2421">
        <f>IF(AND(дома!$AA$29&gt;=AJ474,дома!$AA$29&lt;=AI474),связи1!AG474,0)</f>
        <v>0</v>
      </c>
    </row>
    <row r="475" spans="1:38" ht="16">
      <c r="A475" s="2379" t="s">
        <v>2342</v>
      </c>
      <c r="I475" s="2792" t="str">
        <f>'Прайс лист'!B565</f>
        <v>ГПС 150х50-1,5</v>
      </c>
      <c r="J475" s="2723">
        <f>'Прайс лист'!G565</f>
        <v>252</v>
      </c>
      <c r="K475" s="2722">
        <f>'Прайс лист'!D565</f>
        <v>3.96</v>
      </c>
      <c r="L475" s="2724">
        <f t="shared" si="59"/>
        <v>63.63636363636364</v>
      </c>
      <c r="M475" s="2722">
        <f t="shared" si="67"/>
        <v>7.4999999999999997E-3</v>
      </c>
      <c r="N475" s="2722">
        <v>0.15</v>
      </c>
      <c r="O475" s="2722">
        <v>0.05</v>
      </c>
      <c r="P475" s="1197" t="str">
        <f>'Прайс лист'!B586</f>
        <v>ГПН 152х35-1,5</v>
      </c>
      <c r="Q475" s="2725">
        <f>'Прайс лист'!G586</f>
        <v>203</v>
      </c>
      <c r="S475" s="2379" t="str">
        <f>'Прайс лист'!B846</f>
        <v xml:space="preserve">Пластина соеденительная 100х240х2           </v>
      </c>
      <c r="T475" s="1197">
        <f>'Прайс лист'!G846</f>
        <v>31.54</v>
      </c>
      <c r="U475" s="2379" t="str">
        <f>'Прайс лист'!B882</f>
        <v>Саморез 5,5 х 25</v>
      </c>
      <c r="V475" s="1197">
        <f>'Прайс лист'!F882</f>
        <v>2.5</v>
      </c>
      <c r="W475" s="2379" t="str">
        <f>'Прайс лист'!B861</f>
        <v xml:space="preserve">Болты анкерные с гайкой 12,0 x 100          </v>
      </c>
      <c r="X475" s="1197">
        <f>'Прайс лист'!G861</f>
        <v>11.2</v>
      </c>
      <c r="Y475" s="2379" t="str">
        <f>'Прайс лист'!B642</f>
        <v>L 50 x 50, 1,2мм</v>
      </c>
      <c r="Z475" s="2725">
        <f>'Прайс лист'!G642</f>
        <v>77</v>
      </c>
      <c r="AG475" s="2421">
        <v>32.299999999999997</v>
      </c>
      <c r="AH475" s="2715">
        <f t="shared" si="64"/>
        <v>0.56374134839415169</v>
      </c>
      <c r="AI475" s="2715">
        <f t="shared" si="65"/>
        <v>0.56424134839415163</v>
      </c>
      <c r="AJ475" s="2715">
        <f t="shared" si="66"/>
        <v>0.56324134839415174</v>
      </c>
      <c r="AK475" s="2421">
        <f>IF(AND(дома!$Z$29&gt;=AJ475,дома!$Z$29&lt;=AI475),связи1!AG475,0)</f>
        <v>0</v>
      </c>
      <c r="AL475" s="2421">
        <f>IF(AND(дома!$AA$29&gt;=AJ475,дома!$AA$29&lt;=AI475),связи1!AG475,0)</f>
        <v>0</v>
      </c>
    </row>
    <row r="476" spans="1:38" ht="16">
      <c r="A476" s="2379" t="s">
        <v>4579</v>
      </c>
      <c r="I476" s="2792" t="str">
        <f>'Прайс лист'!B566</f>
        <v>ГПС 150х50-2,0</v>
      </c>
      <c r="J476" s="2723">
        <f>'Прайс лист'!G566</f>
        <v>330</v>
      </c>
      <c r="K476" s="2722">
        <f>'Прайс лист'!D566</f>
        <v>5.23</v>
      </c>
      <c r="L476" s="2724">
        <f t="shared" si="59"/>
        <v>63.097514340344162</v>
      </c>
      <c r="M476" s="2722">
        <f t="shared" si="67"/>
        <v>7.4999999999999997E-3</v>
      </c>
      <c r="N476" s="2722">
        <v>0.15</v>
      </c>
      <c r="O476" s="2722">
        <v>0.05</v>
      </c>
      <c r="P476" s="1197" t="str">
        <f>'Прайс лист'!B587</f>
        <v>ГПН 152х35-2,0</v>
      </c>
      <c r="Q476" s="2725">
        <f>'Прайс лист'!G587</f>
        <v>259</v>
      </c>
      <c r="S476" s="2379" t="str">
        <f>'Прайс лист'!B846</f>
        <v xml:space="preserve">Пластина соеденительная 100х240х2           </v>
      </c>
      <c r="T476" s="1197">
        <f>'Прайс лист'!G846</f>
        <v>31.54</v>
      </c>
      <c r="U476" s="2379" t="str">
        <f>'Прайс лист'!B882</f>
        <v>Саморез 5,5 х 25</v>
      </c>
      <c r="V476" s="1197">
        <f>'Прайс лист'!F882</f>
        <v>2.5</v>
      </c>
      <c r="W476" s="2379" t="str">
        <f>'Прайс лист'!B861</f>
        <v xml:space="preserve">Болты анкерные с гайкой 12,0 x 100          </v>
      </c>
      <c r="X476" s="1197">
        <f>'Прайс лист'!G861</f>
        <v>11.2</v>
      </c>
      <c r="Y476" s="2379" t="str">
        <f>'Прайс лист'!B642</f>
        <v>L 50 x 50, 1,2мм</v>
      </c>
      <c r="Z476" s="2725">
        <f>'Прайс лист'!G642</f>
        <v>77</v>
      </c>
      <c r="AG476" s="2421">
        <v>32.4</v>
      </c>
      <c r="AH476" s="2715">
        <f t="shared" si="64"/>
        <v>0.56548667764614602</v>
      </c>
      <c r="AI476" s="2715">
        <f t="shared" si="65"/>
        <v>0.56598667764614596</v>
      </c>
      <c r="AJ476" s="2715">
        <f t="shared" si="66"/>
        <v>0.56498667764614607</v>
      </c>
      <c r="AK476" s="2421">
        <f>IF(AND(дома!$Z$29&gt;=AJ476,дома!$Z$29&lt;=AI476),связи1!AG476,0)</f>
        <v>0</v>
      </c>
      <c r="AL476" s="2421">
        <f>IF(AND(дома!$AA$29&gt;=AJ476,дома!$AA$29&lt;=AI476),связи1!AG476,0)</f>
        <v>0</v>
      </c>
    </row>
    <row r="477" spans="1:38" ht="16">
      <c r="I477" s="2792" t="str">
        <f>'Прайс лист'!B567</f>
        <v>ГПС 170х50-1,2</v>
      </c>
      <c r="J477" s="2723">
        <f>'Прайс лист'!G567</f>
        <v>215</v>
      </c>
      <c r="K477" s="2722">
        <f>'Прайс лист'!D567</f>
        <v>3.26</v>
      </c>
      <c r="L477" s="2724">
        <f t="shared" si="59"/>
        <v>65.950920245398777</v>
      </c>
      <c r="M477" s="2722">
        <f t="shared" si="67"/>
        <v>8.5000000000000006E-3</v>
      </c>
      <c r="N477" s="2722">
        <v>0.17</v>
      </c>
      <c r="O477" s="2722">
        <v>0.05</v>
      </c>
      <c r="P477" s="1197" t="str">
        <f>'Прайс лист'!B588</f>
        <v>ГПН 172х35-1,2</v>
      </c>
      <c r="Q477" s="2725">
        <f>'Прайс лист'!G588</f>
        <v>166</v>
      </c>
      <c r="S477" s="2379" t="str">
        <f>'Прайс лист'!B846</f>
        <v xml:space="preserve">Пластина соеденительная 100х240х2           </v>
      </c>
      <c r="T477" s="1197">
        <f>'Прайс лист'!G846</f>
        <v>31.54</v>
      </c>
      <c r="U477" s="2379" t="str">
        <f>'Прайс лист'!B882</f>
        <v>Саморез 5,5 х 25</v>
      </c>
      <c r="V477" s="1197">
        <f>'Прайс лист'!F882</f>
        <v>2.5</v>
      </c>
      <c r="W477" s="2379" t="str">
        <f>'Прайс лист'!B861</f>
        <v xml:space="preserve">Болты анкерные с гайкой 12,0 x 100          </v>
      </c>
      <c r="X477" s="1197">
        <f>'Прайс лист'!G861</f>
        <v>11.2</v>
      </c>
      <c r="Y477" s="2379" t="str">
        <f>'Прайс лист'!B642</f>
        <v>L 50 x 50, 1,2мм</v>
      </c>
      <c r="Z477" s="2725">
        <f>'Прайс лист'!G642</f>
        <v>77</v>
      </c>
      <c r="AG477" s="2421">
        <v>32.5</v>
      </c>
      <c r="AH477" s="2715">
        <f t="shared" si="64"/>
        <v>0.56723200689814024</v>
      </c>
      <c r="AI477" s="2715">
        <f t="shared" si="65"/>
        <v>0.56773200689814018</v>
      </c>
      <c r="AJ477" s="2715">
        <f t="shared" si="66"/>
        <v>0.56673200689814029</v>
      </c>
      <c r="AK477" s="2421">
        <f>IF(AND(дома!$Z$29&gt;=AJ477,дома!$Z$29&lt;=AI477),связи1!AG477,0)</f>
        <v>0</v>
      </c>
      <c r="AL477" s="2421">
        <f>IF(AND(дома!$AA$29&gt;=AJ477,дома!$AA$29&lt;=AI477),связи1!AG477,0)</f>
        <v>0</v>
      </c>
    </row>
    <row r="478" spans="1:38" ht="16">
      <c r="A478" s="2379" t="s">
        <v>2097</v>
      </c>
      <c r="I478" s="2792" t="str">
        <f>'Прайс лист'!B568</f>
        <v>ГПС 170х50-1,5</v>
      </c>
      <c r="J478" s="2723">
        <f>'Прайс лист'!G568</f>
        <v>269</v>
      </c>
      <c r="K478" s="2722">
        <f>'Прайс лист'!D568</f>
        <v>4.0999999999999996</v>
      </c>
      <c r="L478" s="2724">
        <f t="shared" si="59"/>
        <v>65.609756097560975</v>
      </c>
      <c r="M478" s="2722">
        <f t="shared" si="67"/>
        <v>8.5000000000000006E-3</v>
      </c>
      <c r="N478" s="2722">
        <v>0.17</v>
      </c>
      <c r="O478" s="2722">
        <v>0.05</v>
      </c>
      <c r="P478" s="1197" t="str">
        <f>'Прайс лист'!B589</f>
        <v>ГПН 172х35-1,5</v>
      </c>
      <c r="Q478" s="2725">
        <f>'Прайс лист'!G589</f>
        <v>207</v>
      </c>
      <c r="S478" s="2379" t="str">
        <f>'Прайс лист'!B846</f>
        <v xml:space="preserve">Пластина соеденительная 100х240х2           </v>
      </c>
      <c r="T478" s="1197">
        <f>'Прайс лист'!G846</f>
        <v>31.54</v>
      </c>
      <c r="U478" s="2379" t="str">
        <f>'Прайс лист'!B882</f>
        <v>Саморез 5,5 х 25</v>
      </c>
      <c r="V478" s="1197">
        <f>'Прайс лист'!F882</f>
        <v>2.5</v>
      </c>
      <c r="W478" s="2379" t="str">
        <f>'Прайс лист'!B861</f>
        <v xml:space="preserve">Болты анкерные с гайкой 12,0 x 100          </v>
      </c>
      <c r="X478" s="1197">
        <f>'Прайс лист'!G861</f>
        <v>11.2</v>
      </c>
      <c r="Y478" s="2379" t="str">
        <f>'Прайс лист'!B642</f>
        <v>L 50 x 50, 1,2мм</v>
      </c>
      <c r="Z478" s="2725">
        <f>'Прайс лист'!G642</f>
        <v>77</v>
      </c>
      <c r="AG478" s="2421">
        <v>32.6</v>
      </c>
      <c r="AH478" s="2715">
        <f t="shared" si="64"/>
        <v>0.56897733615013457</v>
      </c>
      <c r="AI478" s="2715">
        <f t="shared" si="65"/>
        <v>0.56947733615013452</v>
      </c>
      <c r="AJ478" s="2715">
        <f t="shared" si="66"/>
        <v>0.56847733615013463</v>
      </c>
      <c r="AK478" s="2421">
        <f>IF(AND(дома!$Z$29&gt;=AJ478,дома!$Z$29&lt;=AI478),связи1!AG478,0)</f>
        <v>0</v>
      </c>
      <c r="AL478" s="2421">
        <f>IF(AND(дома!$AA$29&gt;=AJ478,дома!$AA$29&lt;=AI478),связи1!AG478,0)</f>
        <v>0</v>
      </c>
    </row>
    <row r="479" spans="1:38" ht="16">
      <c r="A479" s="2379" t="s">
        <v>4580</v>
      </c>
      <c r="I479" s="2792" t="str">
        <f>'Прайс лист'!B569</f>
        <v>ГПС 170х50-2,0</v>
      </c>
      <c r="J479" s="2723">
        <f>'Прайс лист'!G569</f>
        <v>358</v>
      </c>
      <c r="K479" s="2722">
        <f>'Прайс лист'!D569</f>
        <v>5.5</v>
      </c>
      <c r="L479" s="2724">
        <f t="shared" si="59"/>
        <v>65.090909090909093</v>
      </c>
      <c r="M479" s="2722">
        <f t="shared" si="67"/>
        <v>8.5000000000000006E-3</v>
      </c>
      <c r="N479" s="2722">
        <v>0.17</v>
      </c>
      <c r="O479" s="2722">
        <v>0.05</v>
      </c>
      <c r="P479" s="1197" t="str">
        <f>'Прайс лист'!B590</f>
        <v>ГПН 172х35-2,0</v>
      </c>
      <c r="Q479" s="2725">
        <f>'Прайс лист'!G590</f>
        <v>274</v>
      </c>
      <c r="S479" s="2379" t="str">
        <f>'Прайс лист'!B846</f>
        <v xml:space="preserve">Пластина соеденительная 100х240х2           </v>
      </c>
      <c r="T479" s="1197">
        <f>'Прайс лист'!G846</f>
        <v>31.54</v>
      </c>
      <c r="U479" s="2379" t="str">
        <f>'Прайс лист'!B882</f>
        <v>Саморез 5,5 х 25</v>
      </c>
      <c r="V479" s="1197">
        <f>'Прайс лист'!F882</f>
        <v>2.5</v>
      </c>
      <c r="W479" s="2379" t="str">
        <f>'Прайс лист'!B861</f>
        <v xml:space="preserve">Болты анкерные с гайкой 12,0 x 100          </v>
      </c>
      <c r="X479" s="1197">
        <f>'Прайс лист'!G861</f>
        <v>11.2</v>
      </c>
      <c r="Y479" s="2379" t="str">
        <f>'Прайс лист'!B642</f>
        <v>L 50 x 50, 1,2мм</v>
      </c>
      <c r="Z479" s="2725">
        <f>'Прайс лист'!G642</f>
        <v>77</v>
      </c>
      <c r="AG479" s="2421">
        <v>32.700000000000003</v>
      </c>
      <c r="AH479" s="2715">
        <f t="shared" si="64"/>
        <v>0.57072266540212879</v>
      </c>
      <c r="AI479" s="2715">
        <f t="shared" si="65"/>
        <v>0.57122266540212874</v>
      </c>
      <c r="AJ479" s="2715">
        <f t="shared" si="66"/>
        <v>0.57022266540212885</v>
      </c>
      <c r="AK479" s="2421">
        <f>IF(AND(дома!$Z$29&gt;=AJ479,дома!$Z$29&lt;=AI479),связи1!AG479,0)</f>
        <v>0</v>
      </c>
      <c r="AL479" s="2421">
        <f>IF(AND(дома!$AA$29&gt;=AJ479,дома!$AA$29&lt;=AI479),связи1!AG479,0)</f>
        <v>0</v>
      </c>
    </row>
    <row r="480" spans="1:38" ht="16">
      <c r="A480" s="2379" t="s">
        <v>4581</v>
      </c>
      <c r="I480" s="2792" t="str">
        <f>'Прайс лист'!B570</f>
        <v>ГПС 200х50-1,2</v>
      </c>
      <c r="J480" s="2723">
        <f>'Прайс лист'!G570</f>
        <v>239</v>
      </c>
      <c r="K480" s="2722">
        <f>'Прайс лист'!D570</f>
        <v>3.79</v>
      </c>
      <c r="L480" s="2724">
        <f t="shared" si="59"/>
        <v>63.060686015831131</v>
      </c>
      <c r="M480" s="2722">
        <f t="shared" si="67"/>
        <v>1.0000000000000002E-2</v>
      </c>
      <c r="N480" s="2722">
        <v>0.2</v>
      </c>
      <c r="O480" s="2722">
        <v>0.05</v>
      </c>
      <c r="P480" s="1197" t="str">
        <f>'Прайс лист'!B591</f>
        <v>ГПН 202х35-1,2</v>
      </c>
      <c r="Q480" s="2725">
        <f>'Прайс лист'!G591</f>
        <v>201</v>
      </c>
      <c r="S480" s="2379" t="str">
        <f>'Прайс лист'!B848</f>
        <v xml:space="preserve">Пластина соеденительная 150х240х2           </v>
      </c>
      <c r="T480" s="1197">
        <f>'Прайс лист'!G848</f>
        <v>55</v>
      </c>
      <c r="U480" s="2379" t="str">
        <f>'Прайс лист'!B882</f>
        <v>Саморез 5,5 х 25</v>
      </c>
      <c r="V480" s="1197">
        <f>'Прайс лист'!F882</f>
        <v>2.5</v>
      </c>
      <c r="W480" s="2379" t="str">
        <f>'Прайс лист'!B861</f>
        <v xml:space="preserve">Болты анкерные с гайкой 12,0 x 100          </v>
      </c>
      <c r="X480" s="1197">
        <f>'Прайс лист'!G861</f>
        <v>11.2</v>
      </c>
      <c r="Y480" s="2379" t="str">
        <f>'Прайс лист'!B642</f>
        <v>L 50 x 50, 1,2мм</v>
      </c>
      <c r="Z480" s="2725">
        <f>'Прайс лист'!G642</f>
        <v>77</v>
      </c>
      <c r="AG480" s="2421">
        <v>32.799999999999997</v>
      </c>
      <c r="AH480" s="2715">
        <f t="shared" si="64"/>
        <v>0.57246799465412301</v>
      </c>
      <c r="AI480" s="2715">
        <f t="shared" si="65"/>
        <v>0.57296799465412296</v>
      </c>
      <c r="AJ480" s="2715">
        <f t="shared" si="66"/>
        <v>0.57196799465412307</v>
      </c>
      <c r="AK480" s="2421">
        <f>IF(AND(дома!$Z$29&gt;=AJ480,дома!$Z$29&lt;=AI480),связи1!AG480,0)</f>
        <v>0</v>
      </c>
      <c r="AL480" s="2421">
        <f>IF(AND(дома!$AA$29&gt;=AJ480,дома!$AA$29&lt;=AI480),связи1!AG480,0)</f>
        <v>0</v>
      </c>
    </row>
    <row r="481" spans="1:38" ht="16">
      <c r="A481" s="2379" t="s">
        <v>2098</v>
      </c>
      <c r="I481" s="2792" t="str">
        <f>'Прайс лист'!B571</f>
        <v>ГПС 200х50-1,5</v>
      </c>
      <c r="J481" s="2723">
        <f>'Прайс лист'!G571</f>
        <v>299</v>
      </c>
      <c r="K481" s="2722">
        <f>'Прайс лист'!D571</f>
        <v>4.71</v>
      </c>
      <c r="L481" s="2724">
        <f t="shared" si="59"/>
        <v>63.481953290870486</v>
      </c>
      <c r="M481" s="2722">
        <f t="shared" si="67"/>
        <v>1.0000000000000002E-2</v>
      </c>
      <c r="N481" s="2722">
        <v>0.2</v>
      </c>
      <c r="O481" s="2722">
        <v>0.05</v>
      </c>
      <c r="P481" s="1197" t="str">
        <f>'Прайс лист'!B592</f>
        <v>ГПН 202х35-1,5</v>
      </c>
      <c r="Q481" s="2725">
        <f>'Прайс лист'!G592</f>
        <v>252</v>
      </c>
      <c r="S481" s="2379" t="str">
        <f>'Прайс лист'!B848</f>
        <v xml:space="preserve">Пластина соеденительная 150х240х2           </v>
      </c>
      <c r="T481" s="1197">
        <f>'Прайс лист'!G848</f>
        <v>55</v>
      </c>
      <c r="U481" s="2379" t="str">
        <f>'Прайс лист'!B882</f>
        <v>Саморез 5,5 х 25</v>
      </c>
      <c r="V481" s="1197">
        <f>'Прайс лист'!F882</f>
        <v>2.5</v>
      </c>
      <c r="W481" s="2379" t="str">
        <f>'Прайс лист'!B861</f>
        <v xml:space="preserve">Болты анкерные с гайкой 12,0 x 100          </v>
      </c>
      <c r="X481" s="1197">
        <f>'Прайс лист'!G861</f>
        <v>11.2</v>
      </c>
      <c r="Y481" s="2379" t="str">
        <f>'Прайс лист'!B642</f>
        <v>L 50 x 50, 1,2мм</v>
      </c>
      <c r="Z481" s="2725">
        <f>'Прайс лист'!G642</f>
        <v>77</v>
      </c>
      <c r="AG481" s="2421">
        <v>32.9</v>
      </c>
      <c r="AH481" s="2715">
        <f t="shared" si="64"/>
        <v>0.57421332390611735</v>
      </c>
      <c r="AI481" s="2715">
        <f t="shared" si="65"/>
        <v>0.57471332390611729</v>
      </c>
      <c r="AJ481" s="2715">
        <f t="shared" si="66"/>
        <v>0.5737133239061174</v>
      </c>
      <c r="AK481" s="2421">
        <f>IF(AND(дома!$Z$29&gt;=AJ481,дома!$Z$29&lt;=AI481),связи1!AG481,0)</f>
        <v>0</v>
      </c>
      <c r="AL481" s="2421">
        <f>IF(AND(дома!$AA$29&gt;=AJ481,дома!$AA$29&lt;=AI481),связи1!AG481,0)</f>
        <v>0</v>
      </c>
    </row>
    <row r="482" spans="1:38" ht="16">
      <c r="I482" s="2792" t="str">
        <f>'Прайс лист'!B572</f>
        <v>ГПС 200х50-2,0</v>
      </c>
      <c r="J482" s="2723">
        <f>'Прайс лист'!G572</f>
        <v>397</v>
      </c>
      <c r="K482" s="2722">
        <f>'Прайс лист'!D572</f>
        <v>6.23</v>
      </c>
      <c r="L482" s="2724">
        <f t="shared" si="59"/>
        <v>63.723916532905292</v>
      </c>
      <c r="M482" s="2722">
        <f t="shared" si="67"/>
        <v>1.0000000000000002E-2</v>
      </c>
      <c r="N482" s="2722">
        <v>0.2</v>
      </c>
      <c r="O482" s="2722">
        <v>0.05</v>
      </c>
      <c r="P482" s="1197" t="str">
        <f>'Прайс лист'!B593</f>
        <v>ГПН 202х35-2,0</v>
      </c>
      <c r="Q482" s="2725">
        <f>'Прайс лист'!G593</f>
        <v>318</v>
      </c>
      <c r="S482" s="2379" t="str">
        <f>'Прайс лист'!B848</f>
        <v xml:space="preserve">Пластина соеденительная 150х240х2           </v>
      </c>
      <c r="T482" s="1197">
        <f>'Прайс лист'!G848</f>
        <v>55</v>
      </c>
      <c r="U482" s="2379" t="str">
        <f>'Прайс лист'!B882</f>
        <v>Саморез 5,5 х 25</v>
      </c>
      <c r="V482" s="1197">
        <f>'Прайс лист'!F882</f>
        <v>2.5</v>
      </c>
      <c r="W482" s="2379" t="str">
        <f>'Прайс лист'!B861</f>
        <v xml:space="preserve">Болты анкерные с гайкой 12,0 x 100          </v>
      </c>
      <c r="X482" s="1197">
        <f>'Прайс лист'!G861</f>
        <v>11.2</v>
      </c>
      <c r="Y482" s="2379" t="str">
        <f>'Прайс лист'!B642</f>
        <v>L 50 x 50, 1,2мм</v>
      </c>
      <c r="Z482" s="2725">
        <f>'Прайс лист'!G642</f>
        <v>77</v>
      </c>
      <c r="AG482" s="2421">
        <v>33</v>
      </c>
      <c r="AH482" s="2715">
        <f t="shared" si="64"/>
        <v>0.57595865315811168</v>
      </c>
      <c r="AI482" s="2715">
        <f t="shared" si="65"/>
        <v>0.57645865315811162</v>
      </c>
      <c r="AJ482" s="2715">
        <f t="shared" si="66"/>
        <v>0.57545865315811173</v>
      </c>
      <c r="AK482" s="2421">
        <f>IF(AND(дома!$Z$29&gt;=AJ482,дома!$Z$29&lt;=AI482),связи1!AG482,0)</f>
        <v>0</v>
      </c>
      <c r="AL482" s="2421">
        <f>IF(AND(дома!$AA$29&gt;=AJ482,дома!$AA$29&lt;=AI482),связи1!AG482,0)</f>
        <v>0</v>
      </c>
    </row>
    <row r="483" spans="1:38" ht="16">
      <c r="A483" s="1197" t="str">
        <f>'Прайс лист'!B1638</f>
        <v>монтаж свай гидравликой</v>
      </c>
      <c r="B483" s="1197">
        <f>'Прайс лист'!G1638</f>
        <v>1000</v>
      </c>
      <c r="I483" s="2792" t="str">
        <f>'Прайс лист'!B573</f>
        <v>ГПС 250х50-1,2</v>
      </c>
      <c r="J483" s="2723">
        <f>'Прайс лист'!G573</f>
        <v>274</v>
      </c>
      <c r="K483" s="2722">
        <f>'Прайс лист'!D573</f>
        <v>4.47</v>
      </c>
      <c r="L483" s="2724">
        <f t="shared" si="59"/>
        <v>61.297539149888145</v>
      </c>
      <c r="M483" s="2722">
        <f t="shared" si="67"/>
        <v>1.2500000000000001E-2</v>
      </c>
      <c r="N483" s="2722">
        <v>0.25</v>
      </c>
      <c r="O483" s="2722">
        <v>0.05</v>
      </c>
      <c r="P483" s="1197" t="str">
        <f>'Прайс лист'!B594</f>
        <v>ГПН 252х35-1,2</v>
      </c>
      <c r="Q483" s="2725">
        <f>'Прайс лист'!G594</f>
        <v>226</v>
      </c>
      <c r="S483" s="2379" t="str">
        <f>'Прайс лист'!B848</f>
        <v xml:space="preserve">Пластина соеденительная 150х240х2           </v>
      </c>
      <c r="T483" s="1197">
        <f>'Прайс лист'!G848</f>
        <v>55</v>
      </c>
      <c r="U483" s="2379" t="str">
        <f>'Прайс лист'!B882</f>
        <v>Саморез 5,5 х 25</v>
      </c>
      <c r="V483" s="1197">
        <f>'Прайс лист'!F882</f>
        <v>2.5</v>
      </c>
      <c r="W483" s="2379" t="str">
        <f>'Прайс лист'!B861</f>
        <v xml:space="preserve">Болты анкерные с гайкой 12,0 x 100          </v>
      </c>
      <c r="X483" s="1197">
        <f>'Прайс лист'!G861</f>
        <v>11.2</v>
      </c>
      <c r="Y483" s="2379" t="str">
        <f>'Прайс лист'!B642</f>
        <v>L 50 x 50, 1,2мм</v>
      </c>
      <c r="Z483" s="2725">
        <f>'Прайс лист'!G642</f>
        <v>77</v>
      </c>
      <c r="AG483" s="2421">
        <v>33.1</v>
      </c>
      <c r="AH483" s="2715">
        <f t="shared" si="64"/>
        <v>0.57770398241010601</v>
      </c>
      <c r="AI483" s="2715">
        <f t="shared" si="65"/>
        <v>0.57820398241010595</v>
      </c>
      <c r="AJ483" s="2715">
        <f t="shared" si="66"/>
        <v>0.57720398241010606</v>
      </c>
      <c r="AK483" s="2421">
        <f>IF(AND(дома!$Z$29&gt;=AJ483,дома!$Z$29&lt;=AI483),связи1!AG483,0)</f>
        <v>0</v>
      </c>
      <c r="AL483" s="2421">
        <f>IF(AND(дома!$AA$29&gt;=AJ483,дома!$AA$29&lt;=AI483),связи1!AG483,0)</f>
        <v>0</v>
      </c>
    </row>
    <row r="484" spans="1:38" ht="16">
      <c r="A484" s="1197" t="str">
        <f>'Прайс лист'!B1637</f>
        <v>монтаж свай в ручную</v>
      </c>
      <c r="B484" s="1197">
        <f>'Прайс лист'!G1637</f>
        <v>1000</v>
      </c>
      <c r="I484" s="2792" t="str">
        <f>'Прайс лист'!B574</f>
        <v>ГПС 250х50-1,5</v>
      </c>
      <c r="J484" s="2723">
        <f>'Прайс лист'!G574</f>
        <v>344</v>
      </c>
      <c r="K484" s="2722">
        <f>'Прайс лист'!D574</f>
        <v>5.25</v>
      </c>
      <c r="L484" s="2724">
        <f t="shared" si="59"/>
        <v>65.523809523809518</v>
      </c>
      <c r="M484" s="2722">
        <f t="shared" si="67"/>
        <v>1.2500000000000001E-2</v>
      </c>
      <c r="N484" s="2722">
        <v>0.25</v>
      </c>
      <c r="O484" s="2722">
        <v>0.05</v>
      </c>
      <c r="P484" s="1197" t="str">
        <f>'Прайс лист'!B595</f>
        <v>ГПН 252х35-1,5</v>
      </c>
      <c r="Q484" s="2725">
        <f>'Прайс лист'!G595</f>
        <v>283</v>
      </c>
      <c r="S484" s="2379" t="str">
        <f>'Прайс лист'!B848</f>
        <v xml:space="preserve">Пластина соеденительная 150х240х2           </v>
      </c>
      <c r="T484" s="1197">
        <f>'Прайс лист'!G848</f>
        <v>55</v>
      </c>
      <c r="U484" s="2379" t="str">
        <f>'Прайс лист'!B882</f>
        <v>Саморез 5,5 х 25</v>
      </c>
      <c r="V484" s="1197">
        <f>'Прайс лист'!F882</f>
        <v>2.5</v>
      </c>
      <c r="W484" s="2379" t="str">
        <f>'Прайс лист'!B861</f>
        <v xml:space="preserve">Болты анкерные с гайкой 12,0 x 100          </v>
      </c>
      <c r="X484" s="1197">
        <f>'Прайс лист'!G861</f>
        <v>11.2</v>
      </c>
      <c r="Y484" s="2379" t="str">
        <f>'Прайс лист'!B642</f>
        <v>L 50 x 50, 1,2мм</v>
      </c>
      <c r="Z484" s="2725">
        <f>'Прайс лист'!G642</f>
        <v>77</v>
      </c>
      <c r="AG484" s="2421">
        <v>33.200000000000003</v>
      </c>
      <c r="AH484" s="2715">
        <f t="shared" si="64"/>
        <v>0.57944931166210023</v>
      </c>
      <c r="AI484" s="2715">
        <f t="shared" si="65"/>
        <v>0.57994931166210018</v>
      </c>
      <c r="AJ484" s="2715">
        <f t="shared" si="66"/>
        <v>0.57894931166210029</v>
      </c>
      <c r="AK484" s="2421">
        <f>IF(AND(дома!$Z$29&gt;=AJ484,дома!$Z$29&lt;=AI484),связи1!AG484,0)</f>
        <v>0</v>
      </c>
      <c r="AL484" s="2421">
        <f>IF(AND(дома!$AA$29&gt;=AJ484,дома!$AA$29&lt;=AI484),связи1!AG484,0)</f>
        <v>0</v>
      </c>
    </row>
    <row r="485" spans="1:38" ht="16">
      <c r="I485" s="2792" t="str">
        <f>'Прайс лист'!B575</f>
        <v>ГПС 250х50-2,0</v>
      </c>
      <c r="J485" s="2723">
        <f>'Прайс лист'!G575</f>
        <v>450</v>
      </c>
      <c r="K485" s="2722">
        <f>'Прайс лист'!D575</f>
        <v>7.36</v>
      </c>
      <c r="L485" s="2724">
        <f t="shared" si="59"/>
        <v>61.141304347826086</v>
      </c>
      <c r="M485" s="2722">
        <f t="shared" si="67"/>
        <v>1.2500000000000001E-2</v>
      </c>
      <c r="N485" s="2722">
        <v>0.25</v>
      </c>
      <c r="O485" s="2722">
        <v>0.05</v>
      </c>
      <c r="P485" s="1197" t="str">
        <f>'Прайс лист'!B596</f>
        <v>ГПН 252х35-2,0</v>
      </c>
      <c r="Q485" s="2725">
        <f>'Прайс лист'!G596</f>
        <v>378</v>
      </c>
      <c r="S485" s="2379" t="str">
        <f>'Прайс лист'!B848</f>
        <v xml:space="preserve">Пластина соеденительная 150х240х2           </v>
      </c>
      <c r="T485" s="1197">
        <f>'Прайс лист'!G848</f>
        <v>55</v>
      </c>
      <c r="U485" s="2379" t="str">
        <f>'Прайс лист'!B882</f>
        <v>Саморез 5,5 х 25</v>
      </c>
      <c r="V485" s="1197">
        <f>'Прайс лист'!F882</f>
        <v>2.5</v>
      </c>
      <c r="W485" s="2379" t="str">
        <f>'Прайс лист'!B861</f>
        <v xml:space="preserve">Болты анкерные с гайкой 12,0 x 100          </v>
      </c>
      <c r="X485" s="1197">
        <f>'Прайс лист'!G861</f>
        <v>11.2</v>
      </c>
      <c r="Y485" s="2379" t="str">
        <f>'Прайс лист'!B642</f>
        <v>L 50 x 50, 1,2мм</v>
      </c>
      <c r="Z485" s="2725">
        <f>'Прайс лист'!G642</f>
        <v>77</v>
      </c>
      <c r="AG485" s="2421">
        <v>33.299999999999997</v>
      </c>
      <c r="AH485" s="2715">
        <f t="shared" si="64"/>
        <v>0.58119464091409445</v>
      </c>
      <c r="AI485" s="2715">
        <f t="shared" si="65"/>
        <v>0.5816946409140944</v>
      </c>
      <c r="AJ485" s="2715">
        <f t="shared" si="66"/>
        <v>0.58069464091409451</v>
      </c>
      <c r="AK485" s="2421">
        <f>IF(AND(дома!$Z$29&gt;=AJ485,дома!$Z$29&lt;=AI485),связи1!AG485,0)</f>
        <v>0</v>
      </c>
      <c r="AL485" s="2421">
        <f>IF(AND(дома!$AA$29&gt;=AJ485,дома!$AA$29&lt;=AI485),связи1!AG485,0)</f>
        <v>0</v>
      </c>
    </row>
    <row r="486" spans="1:38" ht="16">
      <c r="I486" s="2792" t="str">
        <f>'Прайс лист'!B576</f>
        <v>ГПС 280х50-1,2</v>
      </c>
      <c r="J486" s="2723">
        <f>'Прайс лист'!G576</f>
        <v>293</v>
      </c>
      <c r="K486" s="2722">
        <f>'Прайс лист'!D576</f>
        <v>4.5199999999999996</v>
      </c>
      <c r="L486" s="2724">
        <f t="shared" si="59"/>
        <v>64.823008849557525</v>
      </c>
      <c r="M486" s="2722">
        <f t="shared" si="67"/>
        <v>1.4000000000000002E-2</v>
      </c>
      <c r="N486" s="2722">
        <v>0.28000000000000003</v>
      </c>
      <c r="O486" s="2722">
        <v>0.05</v>
      </c>
      <c r="P486" s="1197" t="str">
        <f>'Прайс лист'!B597</f>
        <v>ГПН 282х35-1,2</v>
      </c>
      <c r="Q486" s="2725">
        <f>'Прайс лист'!G597</f>
        <v>275</v>
      </c>
      <c r="S486" s="2379" t="str">
        <f>'Прайс лист'!B848</f>
        <v xml:space="preserve">Пластина соеденительная 150х240х2           </v>
      </c>
      <c r="T486" s="1197">
        <f>'Прайс лист'!G848</f>
        <v>55</v>
      </c>
      <c r="U486" s="2379" t="str">
        <f>'Прайс лист'!B882</f>
        <v>Саморез 5,5 х 25</v>
      </c>
      <c r="V486" s="1197">
        <f>'Прайс лист'!F882</f>
        <v>2.5</v>
      </c>
      <c r="W486" s="2379" t="str">
        <f>'Прайс лист'!B861</f>
        <v xml:space="preserve">Болты анкерные с гайкой 12,0 x 100          </v>
      </c>
      <c r="X486" s="1197">
        <f>'Прайс лист'!G861</f>
        <v>11.2</v>
      </c>
      <c r="Y486" s="2379" t="str">
        <f>'Прайс лист'!B642</f>
        <v>L 50 x 50, 1,2мм</v>
      </c>
      <c r="Z486" s="2725">
        <f>'Прайс лист'!G642</f>
        <v>77</v>
      </c>
      <c r="AG486" s="2421">
        <v>33.4</v>
      </c>
      <c r="AH486" s="2715">
        <f t="shared" si="64"/>
        <v>0.58293997016608878</v>
      </c>
      <c r="AI486" s="2715">
        <f t="shared" si="65"/>
        <v>0.58343997016608873</v>
      </c>
      <c r="AJ486" s="2715">
        <f t="shared" si="66"/>
        <v>0.58243997016608884</v>
      </c>
      <c r="AK486" s="2421">
        <f>IF(AND(дома!$Z$29&gt;=AJ486,дома!$Z$29&lt;=AI486),связи1!AG486,0)</f>
        <v>0</v>
      </c>
      <c r="AL486" s="2421">
        <f>IF(AND(дома!$AA$29&gt;=AJ486,дома!$AA$29&lt;=AI486),связи1!AG486,0)</f>
        <v>0</v>
      </c>
    </row>
    <row r="487" spans="1:38" ht="16">
      <c r="I487" s="2792" t="str">
        <f>'Прайс лист'!B577</f>
        <v>ГПС 280х50-1,5</v>
      </c>
      <c r="J487" s="2723">
        <f>'Прайс лист'!G577</f>
        <v>367</v>
      </c>
      <c r="K487" s="2722">
        <f>'Прайс лист'!D577</f>
        <v>5.66</v>
      </c>
      <c r="L487" s="2724">
        <f t="shared" si="59"/>
        <v>64.840989399293278</v>
      </c>
      <c r="M487" s="2722">
        <f t="shared" si="67"/>
        <v>1.4000000000000002E-2</v>
      </c>
      <c r="N487" s="2722">
        <v>0.28000000000000003</v>
      </c>
      <c r="O487" s="2722">
        <v>0.05</v>
      </c>
      <c r="P487" s="1197" t="str">
        <f>'Прайс лист'!B598</f>
        <v>ГПН 282х35-1,5</v>
      </c>
      <c r="Q487" s="2725">
        <f>'Прайс лист'!G598</f>
        <v>306</v>
      </c>
      <c r="S487" s="2379" t="str">
        <f>'Прайс лист'!B848</f>
        <v xml:space="preserve">Пластина соеденительная 150х240х2           </v>
      </c>
      <c r="T487" s="1197">
        <f>'Прайс лист'!G848</f>
        <v>55</v>
      </c>
      <c r="U487" s="2379" t="str">
        <f>'Прайс лист'!B882</f>
        <v>Саморез 5,5 х 25</v>
      </c>
      <c r="V487" s="1197">
        <f>'Прайс лист'!F882</f>
        <v>2.5</v>
      </c>
      <c r="W487" s="2379" t="str">
        <f>'Прайс лист'!B861</f>
        <v xml:space="preserve">Болты анкерные с гайкой 12,0 x 100          </v>
      </c>
      <c r="X487" s="1197">
        <f>'Прайс лист'!G861</f>
        <v>11.2</v>
      </c>
      <c r="Y487" s="2379" t="str">
        <f>'Прайс лист'!B642</f>
        <v>L 50 x 50, 1,2мм</v>
      </c>
      <c r="Z487" s="2725">
        <f>'Прайс лист'!G642</f>
        <v>77</v>
      </c>
      <c r="AG487" s="2421">
        <v>33.5</v>
      </c>
      <c r="AH487" s="2715">
        <f t="shared" si="64"/>
        <v>0.584685299418083</v>
      </c>
      <c r="AI487" s="2715">
        <f t="shared" si="65"/>
        <v>0.58518529941808295</v>
      </c>
      <c r="AJ487" s="2715">
        <f t="shared" si="66"/>
        <v>0.58418529941808306</v>
      </c>
      <c r="AK487" s="2421">
        <f>IF(AND(дома!$Z$29&gt;=AJ487,дома!$Z$29&lt;=AI487),связи1!AG487,0)</f>
        <v>0</v>
      </c>
      <c r="AL487" s="2421">
        <f>IF(AND(дома!$AA$29&gt;=AJ487,дома!$AA$29&lt;=AI487),связи1!AG487,0)</f>
        <v>0</v>
      </c>
    </row>
    <row r="488" spans="1:38" ht="16">
      <c r="A488" s="2421" t="s">
        <v>493</v>
      </c>
      <c r="B488" s="2421">
        <v>0</v>
      </c>
      <c r="I488" s="2792" t="str">
        <f>'Прайс лист'!B578</f>
        <v>ГПС 280х50-2,0</v>
      </c>
      <c r="J488" s="2723">
        <f>'Прайс лист'!G578</f>
        <v>489</v>
      </c>
      <c r="K488" s="2722">
        <f>'Прайс лист'!D578</f>
        <v>7.62</v>
      </c>
      <c r="L488" s="2724">
        <f t="shared" si="59"/>
        <v>64.173228346456696</v>
      </c>
      <c r="M488" s="2722">
        <f t="shared" si="67"/>
        <v>1.4000000000000002E-2</v>
      </c>
      <c r="N488" s="2722">
        <v>0.28000000000000003</v>
      </c>
      <c r="O488" s="2722">
        <v>0.05</v>
      </c>
      <c r="P488" s="1197" t="str">
        <f>'Прайс лист'!B599</f>
        <v>ГПН 282х35-2,0</v>
      </c>
      <c r="Q488" s="2725">
        <f>'Прайс лист'!G599</f>
        <v>407</v>
      </c>
      <c r="S488" s="2379" t="str">
        <f>'Прайс лист'!B848</f>
        <v xml:space="preserve">Пластина соеденительная 150х240х2           </v>
      </c>
      <c r="T488" s="1197">
        <f>'Прайс лист'!G848</f>
        <v>55</v>
      </c>
      <c r="U488" s="2379" t="str">
        <f>'Прайс лист'!B882</f>
        <v>Саморез 5,5 х 25</v>
      </c>
      <c r="V488" s="1197">
        <f>'Прайс лист'!F882</f>
        <v>2.5</v>
      </c>
      <c r="W488" s="2379" t="str">
        <f>'Прайс лист'!B861</f>
        <v xml:space="preserve">Болты анкерные с гайкой 12,0 x 100          </v>
      </c>
      <c r="X488" s="1197">
        <f>'Прайс лист'!G861</f>
        <v>11.2</v>
      </c>
      <c r="Y488" s="2379" t="str">
        <f>'Прайс лист'!B642</f>
        <v>L 50 x 50, 1,2мм</v>
      </c>
      <c r="Z488" s="2725">
        <f>'Прайс лист'!G642</f>
        <v>77</v>
      </c>
      <c r="AG488" s="2421">
        <v>33.6</v>
      </c>
      <c r="AH488" s="2715">
        <f t="shared" si="64"/>
        <v>0.58643062867007734</v>
      </c>
      <c r="AI488" s="2715">
        <f t="shared" si="65"/>
        <v>0.58693062867007728</v>
      </c>
      <c r="AJ488" s="2715">
        <f t="shared" si="66"/>
        <v>0.58593062867007739</v>
      </c>
      <c r="AK488" s="2421">
        <f>IF(AND(дома!$Z$29&gt;=AJ488,дома!$Z$29&lt;=AI488),связи1!AG488,0)</f>
        <v>0</v>
      </c>
      <c r="AL488" s="2421">
        <f>IF(AND(дома!$AA$29&gt;=AJ488,дома!$AA$29&lt;=AI488),связи1!AG488,0)</f>
        <v>0</v>
      </c>
    </row>
    <row r="489" spans="1:38">
      <c r="A489" s="2421" t="str">
        <f>'Прайс лист'!B428</f>
        <v>Лен-джут 100х5х20000 мм</v>
      </c>
      <c r="B489" s="1055">
        <f>'Прайс лист'!G428</f>
        <v>110</v>
      </c>
      <c r="AG489" s="2421">
        <v>33.700000000000003</v>
      </c>
      <c r="AH489" s="2715">
        <f t="shared" si="64"/>
        <v>0.58817595792207156</v>
      </c>
      <c r="AI489" s="2715">
        <f t="shared" si="65"/>
        <v>0.5886759579220715</v>
      </c>
      <c r="AJ489" s="2715">
        <f t="shared" si="66"/>
        <v>0.58767595792207161</v>
      </c>
      <c r="AK489" s="2421">
        <f>IF(AND(дома!$Z$29&gt;=AJ489,дома!$Z$29&lt;=AI489),связи1!AG489,0)</f>
        <v>0</v>
      </c>
      <c r="AL489" s="2421">
        <f>IF(AND(дома!$AA$29&gt;=AJ489,дома!$AA$29&lt;=AI489),связи1!AG489,0)</f>
        <v>0</v>
      </c>
    </row>
    <row r="490" spans="1:38">
      <c r="A490" s="2421" t="str">
        <f>'Прайс лист'!B429</f>
        <v>Лен-джут 150х5х20000 мм</v>
      </c>
      <c r="B490" s="1055">
        <f>'Прайс лист'!G429</f>
        <v>140</v>
      </c>
      <c r="AG490" s="2421">
        <v>33.799999999999997</v>
      </c>
      <c r="AH490" s="2715">
        <f t="shared" si="64"/>
        <v>0.58992128717406578</v>
      </c>
      <c r="AI490" s="2715">
        <f t="shared" si="65"/>
        <v>0.59042128717406572</v>
      </c>
      <c r="AJ490" s="2715">
        <f t="shared" si="66"/>
        <v>0.58942128717406583</v>
      </c>
      <c r="AK490" s="2421">
        <f>IF(AND(дома!$Z$29&gt;=AJ490,дома!$Z$29&lt;=AI490),связи1!AG490,0)</f>
        <v>0</v>
      </c>
      <c r="AL490" s="2421">
        <f>IF(AND(дома!$AA$29&gt;=AJ490,дома!$AA$29&lt;=AI490),связи1!AG490,0)</f>
        <v>0</v>
      </c>
    </row>
    <row r="491" spans="1:38">
      <c r="A491" s="2421" t="str">
        <f>'Прайс лист'!B430</f>
        <v>Лен-джут 200х5х20000 мм</v>
      </c>
      <c r="B491" s="1055">
        <f>'Прайс лист'!G430</f>
        <v>175</v>
      </c>
      <c r="AG491" s="2421">
        <v>33.9</v>
      </c>
      <c r="AH491" s="2715">
        <f t="shared" si="64"/>
        <v>0.59166661642606011</v>
      </c>
      <c r="AI491" s="2715">
        <f t="shared" si="65"/>
        <v>0.59216661642606006</v>
      </c>
      <c r="AJ491" s="2715">
        <f t="shared" si="66"/>
        <v>0.59116661642606017</v>
      </c>
      <c r="AK491" s="2421">
        <f>IF(AND(дома!$Z$29&gt;=AJ491,дома!$Z$29&lt;=AI491),связи1!AG491,0)</f>
        <v>0</v>
      </c>
      <c r="AL491" s="2421">
        <f>IF(AND(дома!$AA$29&gt;=AJ491,дома!$AA$29&lt;=AI491),связи1!AG491,0)</f>
        <v>0</v>
      </c>
    </row>
    <row r="492" spans="1:38">
      <c r="A492" s="2421" t="str">
        <f>'Прайс лист'!B431</f>
        <v>Лен-джут 80х5х20000 мм</v>
      </c>
      <c r="B492" s="1055">
        <f>'Прайс лист'!G431</f>
        <v>750</v>
      </c>
      <c r="AG492" s="2421">
        <v>34</v>
      </c>
      <c r="AH492" s="2715">
        <f t="shared" si="64"/>
        <v>0.59341194567805444</v>
      </c>
      <c r="AI492" s="2715">
        <f t="shared" si="65"/>
        <v>0.59391194567805439</v>
      </c>
      <c r="AJ492" s="2715">
        <f t="shared" si="66"/>
        <v>0.5929119456780545</v>
      </c>
      <c r="AK492" s="2421">
        <f>IF(AND(дома!$Z$29&gt;=AJ492,дома!$Z$29&lt;=AI492),связи1!AG492,0)</f>
        <v>0</v>
      </c>
      <c r="AL492" s="2421">
        <f>IF(AND(дома!$AA$29&gt;=AJ492,дома!$AA$29&lt;=AI492),связи1!AG492,0)</f>
        <v>0</v>
      </c>
    </row>
    <row r="493" spans="1:38">
      <c r="A493" s="2421" t="str">
        <f>'Прайс лист'!B432</f>
        <v>Лен-джут 160х5х20000 мм</v>
      </c>
      <c r="B493" s="1055">
        <f>'Прайс лист'!G432</f>
        <v>1500</v>
      </c>
      <c r="AG493" s="2421">
        <v>34.1</v>
      </c>
      <c r="AH493" s="2715">
        <f t="shared" si="64"/>
        <v>0.59515727493004877</v>
      </c>
      <c r="AI493" s="2715">
        <f t="shared" si="65"/>
        <v>0.59565727493004872</v>
      </c>
      <c r="AJ493" s="2715">
        <f t="shared" si="66"/>
        <v>0.59465727493004883</v>
      </c>
      <c r="AK493" s="2421">
        <f>IF(AND(дома!$Z$29&gt;=AJ493,дома!$Z$29&lt;=AI493),связи1!AG493,0)</f>
        <v>0</v>
      </c>
      <c r="AL493" s="2421">
        <f>IF(AND(дома!$AA$29&gt;=AJ493,дома!$AA$29&lt;=AI493),связи1!AG493,0)</f>
        <v>0</v>
      </c>
    </row>
    <row r="494" spans="1:38">
      <c r="AG494" s="2421">
        <v>34.200000000000003</v>
      </c>
      <c r="AH494" s="2715">
        <f t="shared" si="64"/>
        <v>0.596902604182043</v>
      </c>
      <c r="AI494" s="2715">
        <f t="shared" si="65"/>
        <v>0.59740260418204294</v>
      </c>
      <c r="AJ494" s="2715">
        <f t="shared" si="66"/>
        <v>0.59640260418204305</v>
      </c>
      <c r="AK494" s="2421">
        <f>IF(AND(дома!$Z$29&gt;=AJ494,дома!$Z$29&lt;=AI494),связи1!AG494,0)</f>
        <v>0</v>
      </c>
      <c r="AL494" s="2421">
        <f>IF(AND(дома!$AA$29&gt;=AJ494,дома!$AA$29&lt;=AI494),связи1!AG494,0)</f>
        <v>0</v>
      </c>
    </row>
    <row r="495" spans="1:38">
      <c r="A495" s="2379" t="str">
        <f>'Прайс лист'!B978</f>
        <v>Нет</v>
      </c>
      <c r="B495" s="2379">
        <f>'Прайс лист'!E978</f>
        <v>0</v>
      </c>
      <c r="C495" s="2379">
        <f>'Прайс лист'!D978</f>
        <v>0</v>
      </c>
      <c r="D495" s="2379">
        <f>'Прайс лист'!C978</f>
        <v>0</v>
      </c>
      <c r="E495" s="2379">
        <f>'Прайс лист'!F978</f>
        <v>0</v>
      </c>
      <c r="F495" s="2379">
        <f>'Прайс лист'!G978</f>
        <v>0</v>
      </c>
      <c r="AG495" s="2421">
        <v>36.200000000000003</v>
      </c>
      <c r="AH495" s="2715">
        <f t="shared" si="64"/>
        <v>0.63180918922192864</v>
      </c>
      <c r="AI495" s="2715">
        <f t="shared" si="65"/>
        <v>0.63230918922192858</v>
      </c>
      <c r="AJ495" s="2715">
        <f t="shared" si="66"/>
        <v>0.63130918922192869</v>
      </c>
      <c r="AK495" s="2421">
        <f>IF(AND(дома!$Z$29&gt;=AJ495,дома!$Z$29&lt;=AI495),связи1!AG495,0)</f>
        <v>0</v>
      </c>
      <c r="AL495" s="2421">
        <f>IF(AND(дома!$AA$29&gt;=AJ495,дома!$AA$29&lt;=AI495),связи1!AG495,0)</f>
        <v>0</v>
      </c>
    </row>
    <row r="496" spans="1:38">
      <c r="A496" s="2379" t="str">
        <f>'Прайс лист'!B979</f>
        <v>0,7НФ/150/75 Красный</v>
      </c>
      <c r="B496" s="2379">
        <f>'Прайс лист'!E979/1000</f>
        <v>0.25</v>
      </c>
      <c r="C496" s="2379">
        <f>'Прайс лист'!D979/1000</f>
        <v>8.5000000000000006E-2</v>
      </c>
      <c r="D496" s="2379">
        <f>'Прайс лист'!C979/1000</f>
        <v>6.5000000000000002E-2</v>
      </c>
      <c r="E496" s="2379">
        <f>'Прайс лист'!F979</f>
        <v>11.59</v>
      </c>
      <c r="F496" s="2379">
        <f t="shared" ref="F496:F534" si="68">CEILING(1/B496/D496*E496,1)</f>
        <v>714</v>
      </c>
      <c r="AG496" s="2421">
        <v>36.299999999999997</v>
      </c>
      <c r="AH496" s="2715">
        <f t="shared" si="64"/>
        <v>0.63355451847392275</v>
      </c>
      <c r="AI496" s="2715">
        <f t="shared" si="65"/>
        <v>0.63405451847392269</v>
      </c>
      <c r="AJ496" s="2715">
        <f t="shared" si="66"/>
        <v>0.6330545184739228</v>
      </c>
      <c r="AK496" s="2421">
        <f>IF(AND(дома!$Z$29&gt;=AJ496,дома!$Z$29&lt;=AI496),связи1!AG496,0)</f>
        <v>0</v>
      </c>
      <c r="AL496" s="2421">
        <f>IF(AND(дома!$AA$29&gt;=AJ496,дома!$AA$29&lt;=AI496),связи1!AG496,0)</f>
        <v>0</v>
      </c>
    </row>
    <row r="497" spans="1:38">
      <c r="A497" s="2379" t="str">
        <f>'Прайс лист'!B980</f>
        <v>0,7НФ/150/75 Аренберг</v>
      </c>
      <c r="B497" s="2379">
        <f>'Прайс лист'!E980/1000</f>
        <v>0.25</v>
      </c>
      <c r="C497" s="2379">
        <f>'Прайс лист'!D980/1000</f>
        <v>8.5000000000000006E-2</v>
      </c>
      <c r="D497" s="2379">
        <f>'Прайс лист'!C980/1000</f>
        <v>6.5000000000000002E-2</v>
      </c>
      <c r="E497" s="2379">
        <f>'Прайс лист'!F980</f>
        <v>17.079999999999998</v>
      </c>
      <c r="F497" s="2379">
        <f t="shared" si="68"/>
        <v>1052</v>
      </c>
      <c r="AG497" s="2421">
        <v>36.4</v>
      </c>
      <c r="AH497" s="2715">
        <f t="shared" ref="AH497:AH528" si="69">AG497*3.1415926535897/180</f>
        <v>0.63529984772591708</v>
      </c>
      <c r="AI497" s="2715">
        <f t="shared" ref="AI497:AI528" si="70">AH497+0.0005</f>
        <v>0.63579984772591702</v>
      </c>
      <c r="AJ497" s="2715">
        <f t="shared" ref="AJ497:AJ528" si="71">AH497-0.0005</f>
        <v>0.63479984772591713</v>
      </c>
      <c r="AK497" s="2421">
        <f>IF(AND(дома!$Z$29&gt;=AJ497,дома!$Z$29&lt;=AI497),связи1!AG497,0)</f>
        <v>0</v>
      </c>
      <c r="AL497" s="2421">
        <f>IF(AND(дома!$AA$29&gt;=AJ497,дома!$AA$29&lt;=AI497),связи1!AG497,0)</f>
        <v>0</v>
      </c>
    </row>
    <row r="498" spans="1:38">
      <c r="A498" s="2379" t="str">
        <f>'Прайс лист'!B981</f>
        <v>0,7НФ/150/75 Гляссе</v>
      </c>
      <c r="B498" s="2379">
        <f>'Прайс лист'!E981/1000</f>
        <v>0.25</v>
      </c>
      <c r="C498" s="2379">
        <f>'Прайс лист'!D981/1000</f>
        <v>8.5000000000000006E-2</v>
      </c>
      <c r="D498" s="2379">
        <f>'Прайс лист'!C981/1000</f>
        <v>6.5000000000000002E-2</v>
      </c>
      <c r="E498" s="2379">
        <f>'Прайс лист'!F981</f>
        <v>17.079999999999998</v>
      </c>
      <c r="F498" s="2379">
        <f t="shared" si="68"/>
        <v>1052</v>
      </c>
      <c r="AG498" s="2421">
        <v>36.5</v>
      </c>
      <c r="AH498" s="2715">
        <f t="shared" si="69"/>
        <v>0.63704517697791141</v>
      </c>
      <c r="AI498" s="2715">
        <f t="shared" si="70"/>
        <v>0.63754517697791135</v>
      </c>
      <c r="AJ498" s="2715">
        <f t="shared" si="71"/>
        <v>0.63654517697791146</v>
      </c>
      <c r="AK498" s="2421">
        <f>IF(AND(дома!$Z$29&gt;=AJ498,дома!$Z$29&lt;=AI498),связи1!AG498,0)</f>
        <v>0</v>
      </c>
      <c r="AL498" s="2421">
        <f>IF(AND(дома!$AA$29&gt;=AJ498,дома!$AA$29&lt;=AI498),связи1!AG498,0)</f>
        <v>0</v>
      </c>
    </row>
    <row r="499" spans="1:38">
      <c r="A499" s="2379" t="str">
        <f>'Прайс лист'!B982</f>
        <v>0,7НФ/150/75 Терракот</v>
      </c>
      <c r="B499" s="2379">
        <f>'Прайс лист'!E982/1000</f>
        <v>0.25</v>
      </c>
      <c r="C499" s="2379">
        <f>'Прайс лист'!D982/1000</f>
        <v>8.5000000000000006E-2</v>
      </c>
      <c r="D499" s="2379">
        <f>'Прайс лист'!C982/1000</f>
        <v>6.5000000000000002E-2</v>
      </c>
      <c r="E499" s="2379">
        <f>'Прайс лист'!F982</f>
        <v>17.079999999999998</v>
      </c>
      <c r="F499" s="2379">
        <f t="shared" si="68"/>
        <v>1052</v>
      </c>
      <c r="AG499" s="2421">
        <v>36.6</v>
      </c>
      <c r="AH499" s="2715">
        <f t="shared" si="69"/>
        <v>0.63879050622990563</v>
      </c>
      <c r="AI499" s="2715">
        <f t="shared" si="70"/>
        <v>0.63929050622990558</v>
      </c>
      <c r="AJ499" s="2715">
        <f t="shared" si="71"/>
        <v>0.63829050622990569</v>
      </c>
      <c r="AK499" s="2421">
        <f>IF(AND(дома!$Z$29&gt;=AJ499,дома!$Z$29&lt;=AI499),связи1!AG499,0)</f>
        <v>0</v>
      </c>
      <c r="AL499" s="2421">
        <f>IF(AND(дома!$AA$29&gt;=AJ499,дома!$AA$29&lt;=AI499),связи1!AG499,0)</f>
        <v>0</v>
      </c>
    </row>
    <row r="500" spans="1:38">
      <c r="A500" s="2379" t="str">
        <f>'Прайс лист'!B983</f>
        <v>0,7НФ/150/75 Шоколад</v>
      </c>
      <c r="B500" s="2379">
        <f>'Прайс лист'!E983/1000</f>
        <v>0.25</v>
      </c>
      <c r="C500" s="2379">
        <f>'Прайс лист'!D983/1000</f>
        <v>8.5000000000000006E-2</v>
      </c>
      <c r="D500" s="2379">
        <f>'Прайс лист'!C983/1000</f>
        <v>6.5000000000000002E-2</v>
      </c>
      <c r="E500" s="2379">
        <f>'Прайс лист'!F983</f>
        <v>17.079999999999998</v>
      </c>
      <c r="F500" s="2379">
        <f t="shared" si="68"/>
        <v>1052</v>
      </c>
      <c r="AG500" s="2421">
        <v>36.700000000000003</v>
      </c>
      <c r="AH500" s="2715">
        <f t="shared" si="69"/>
        <v>0.64053583548189996</v>
      </c>
      <c r="AI500" s="2715">
        <f t="shared" si="70"/>
        <v>0.64103583548189991</v>
      </c>
      <c r="AJ500" s="2715">
        <f t="shared" si="71"/>
        <v>0.64003583548190002</v>
      </c>
      <c r="AK500" s="2421">
        <f>IF(AND(дома!$Z$29&gt;=AJ500,дома!$Z$29&lt;=AI500),связи1!AG500,0)</f>
        <v>0</v>
      </c>
      <c r="AL500" s="2421">
        <f>IF(AND(дома!$AA$29&gt;=AJ500,дома!$AA$29&lt;=AI500),связи1!AG500,0)</f>
        <v>0</v>
      </c>
    </row>
    <row r="501" spans="1:38">
      <c r="A501" s="2379" t="str">
        <f>'Прайс лист'!B984</f>
        <v>0,7НФ/150/75 Темный Шоколад</v>
      </c>
      <c r="B501" s="2379">
        <f>'Прайс лист'!E984/1000</f>
        <v>0.25</v>
      </c>
      <c r="C501" s="2379">
        <f>'Прайс лист'!D984/1000</f>
        <v>8.5000000000000006E-2</v>
      </c>
      <c r="D501" s="2379">
        <f>'Прайс лист'!C984/1000</f>
        <v>6.5000000000000002E-2</v>
      </c>
      <c r="E501" s="2379">
        <f>'Прайс лист'!F984</f>
        <v>17.079999999999998</v>
      </c>
      <c r="F501" s="2379">
        <f t="shared" si="68"/>
        <v>1052</v>
      </c>
      <c r="AG501" s="2421">
        <v>36.799999999999997</v>
      </c>
      <c r="AH501" s="2715">
        <f t="shared" si="69"/>
        <v>0.64228116473389418</v>
      </c>
      <c r="AI501" s="2715">
        <f t="shared" si="70"/>
        <v>0.64278116473389413</v>
      </c>
      <c r="AJ501" s="2715">
        <f t="shared" si="71"/>
        <v>0.64178116473389424</v>
      </c>
      <c r="AK501" s="2421">
        <f>IF(AND(дома!$Z$29&gt;=AJ501,дома!$Z$29&lt;=AI501),связи1!AG501,0)</f>
        <v>0</v>
      </c>
      <c r="AL501" s="2421">
        <f>IF(AND(дома!$AA$29&gt;=AJ501,дома!$AA$29&lt;=AI501),связи1!AG501,0)</f>
        <v>0</v>
      </c>
    </row>
    <row r="502" spans="1:38">
      <c r="A502" s="2379" t="str">
        <f>'Прайс лист'!B985</f>
        <v>0,7НФ/150/75 Бавария Микс</v>
      </c>
      <c r="B502" s="2379">
        <f>'Прайс лист'!E985/1000</f>
        <v>0.25</v>
      </c>
      <c r="C502" s="2379">
        <f>'Прайс лист'!D985/1000</f>
        <v>8.5000000000000006E-2</v>
      </c>
      <c r="D502" s="2379">
        <f>'Прайс лист'!C985/1000</f>
        <v>6.5000000000000002E-2</v>
      </c>
      <c r="E502" s="2379">
        <f>'Прайс лист'!F985</f>
        <v>17.079999999999998</v>
      </c>
      <c r="F502" s="2379">
        <f t="shared" si="68"/>
        <v>1052</v>
      </c>
      <c r="AG502" s="2421">
        <v>36.9</v>
      </c>
      <c r="AH502" s="2715">
        <f t="shared" si="69"/>
        <v>0.6440264939858884</v>
      </c>
      <c r="AI502" s="2715">
        <f t="shared" si="70"/>
        <v>0.64452649398588835</v>
      </c>
      <c r="AJ502" s="2715">
        <f t="shared" si="71"/>
        <v>0.64352649398588846</v>
      </c>
      <c r="AK502" s="2421">
        <f>IF(AND(дома!$Z$29&gt;=AJ502,дома!$Z$29&lt;=AI502),связи1!AG502,0)</f>
        <v>0</v>
      </c>
      <c r="AL502" s="2421">
        <f>IF(AND(дома!$AA$29&gt;=AJ502,дома!$AA$29&lt;=AI502),связи1!AG502,0)</f>
        <v>0</v>
      </c>
    </row>
    <row r="503" spans="1:38">
      <c r="A503" s="2379" t="str">
        <f>'Прайс лист'!B986</f>
        <v>0,7НФ/150/50 Белый</v>
      </c>
      <c r="B503" s="2379">
        <f>'Прайс лист'!E986/1000</f>
        <v>0.25</v>
      </c>
      <c r="C503" s="2379">
        <f>'Прайс лист'!D986/1000</f>
        <v>8.5000000000000006E-2</v>
      </c>
      <c r="D503" s="2379">
        <f>'Прайс лист'!C986/1000</f>
        <v>6.5000000000000002E-2</v>
      </c>
      <c r="E503" s="2379">
        <f>'Прайс лист'!F986</f>
        <v>20.77</v>
      </c>
      <c r="F503" s="2379">
        <f t="shared" si="68"/>
        <v>1279</v>
      </c>
      <c r="AG503" s="2421">
        <v>37</v>
      </c>
      <c r="AH503" s="2715">
        <f t="shared" si="69"/>
        <v>0.64577182323788274</v>
      </c>
      <c r="AI503" s="2715">
        <f t="shared" si="70"/>
        <v>0.64627182323788268</v>
      </c>
      <c r="AJ503" s="2715">
        <f t="shared" si="71"/>
        <v>0.64527182323788279</v>
      </c>
      <c r="AK503" s="2421">
        <f>IF(AND(дома!$Z$29&gt;=AJ503,дома!$Z$29&lt;=AI503),связи1!AG503,0)</f>
        <v>0</v>
      </c>
      <c r="AL503" s="2421">
        <f>IF(AND(дома!$AA$29&gt;=AJ503,дома!$AA$29&lt;=AI503),связи1!AG503,0)</f>
        <v>0</v>
      </c>
    </row>
    <row r="504" spans="1:38">
      <c r="A504" s="2379" t="str">
        <f>'Прайс лист'!B987</f>
        <v>0,7НФ/150/50 Лотос</v>
      </c>
      <c r="B504" s="2379">
        <f>'Прайс лист'!E987/1000</f>
        <v>0.25</v>
      </c>
      <c r="C504" s="2379">
        <f>'Прайс лист'!D987/1000</f>
        <v>8.5000000000000006E-2</v>
      </c>
      <c r="D504" s="2379">
        <f>'Прайс лист'!C987/1000</f>
        <v>6.5000000000000002E-2</v>
      </c>
      <c r="E504" s="2379">
        <f>'Прайс лист'!F987</f>
        <v>18.329999999999998</v>
      </c>
      <c r="F504" s="2379">
        <f t="shared" si="68"/>
        <v>1128</v>
      </c>
      <c r="AG504" s="2421">
        <v>37.1</v>
      </c>
      <c r="AH504" s="2715">
        <f t="shared" si="69"/>
        <v>0.64751715248987707</v>
      </c>
      <c r="AI504" s="2715">
        <f t="shared" si="70"/>
        <v>0.64801715248987701</v>
      </c>
      <c r="AJ504" s="2715">
        <f t="shared" si="71"/>
        <v>0.64701715248987712</v>
      </c>
      <c r="AK504" s="2421">
        <f>IF(AND(дома!$Z$29&gt;=AJ504,дома!$Z$29&lt;=AI504),связи1!AG504,0)</f>
        <v>0</v>
      </c>
      <c r="AL504" s="2421">
        <f>IF(AND(дома!$AA$29&gt;=AJ504,дома!$AA$29&lt;=AI504),связи1!AG504,0)</f>
        <v>0</v>
      </c>
    </row>
    <row r="505" spans="1:38">
      <c r="A505" s="2379" t="str">
        <f>'Прайс лист'!B988</f>
        <v>0,7НФ/150/50 Камелот Гляссе</v>
      </c>
      <c r="B505" s="2379">
        <f>'Прайс лист'!E988/1000</f>
        <v>0.25</v>
      </c>
      <c r="C505" s="2379">
        <f>'Прайс лист'!D988/1000</f>
        <v>8.5000000000000006E-2</v>
      </c>
      <c r="D505" s="2379">
        <f>'Прайс лист'!C988/1000</f>
        <v>6.5000000000000002E-2</v>
      </c>
      <c r="E505" s="2379">
        <f>'Прайс лист'!F988</f>
        <v>20.76</v>
      </c>
      <c r="F505" s="2379">
        <f t="shared" si="68"/>
        <v>1278</v>
      </c>
      <c r="AG505" s="2421">
        <v>37.200000000000003</v>
      </c>
      <c r="AH505" s="2715">
        <f t="shared" si="69"/>
        <v>0.6492624817418714</v>
      </c>
      <c r="AI505" s="2715">
        <f t="shared" si="70"/>
        <v>0.64976248174187134</v>
      </c>
      <c r="AJ505" s="2715">
        <f t="shared" si="71"/>
        <v>0.64876248174187146</v>
      </c>
      <c r="AK505" s="2421">
        <f>IF(AND(дома!$Z$29&gt;=AJ505,дома!$Z$29&lt;=AI505),связи1!AG505,0)</f>
        <v>0</v>
      </c>
      <c r="AL505" s="2421">
        <f>IF(AND(дома!$AA$29&gt;=AJ505,дома!$AA$29&lt;=AI505),связи1!AG505,0)</f>
        <v>0</v>
      </c>
    </row>
    <row r="506" spans="1:38">
      <c r="A506" s="2379" t="str">
        <f>'Прайс лист'!B989</f>
        <v>0,7НФ/150/50 Камелот Терракот</v>
      </c>
      <c r="B506" s="2379">
        <f>'Прайс лист'!E989/1000</f>
        <v>0.25</v>
      </c>
      <c r="C506" s="2379">
        <f>'Прайс лист'!D989/1000</f>
        <v>8.5000000000000006E-2</v>
      </c>
      <c r="D506" s="2379">
        <f>'Прайс лист'!C989/1000</f>
        <v>6.5000000000000002E-2</v>
      </c>
      <c r="E506" s="2379">
        <f>'Прайс лист'!F989</f>
        <v>20.76</v>
      </c>
      <c r="F506" s="2379">
        <f t="shared" si="68"/>
        <v>1278</v>
      </c>
      <c r="AG506" s="2421">
        <v>37.299999999999997</v>
      </c>
      <c r="AH506" s="2715">
        <f t="shared" si="69"/>
        <v>0.65100781099386551</v>
      </c>
      <c r="AI506" s="2715">
        <f t="shared" si="70"/>
        <v>0.65150781099386545</v>
      </c>
      <c r="AJ506" s="2715">
        <f t="shared" si="71"/>
        <v>0.65050781099386557</v>
      </c>
      <c r="AK506" s="2421">
        <f>IF(AND(дома!$Z$29&gt;=AJ506,дома!$Z$29&lt;=AI506),связи1!AG506,0)</f>
        <v>0</v>
      </c>
      <c r="AL506" s="2421">
        <f>IF(AND(дома!$AA$29&gt;=AJ506,дома!$AA$29&lt;=AI506),связи1!AG506,0)</f>
        <v>0</v>
      </c>
    </row>
    <row r="507" spans="1:38">
      <c r="A507" s="2379" t="str">
        <f>'Прайс лист'!B990</f>
        <v>0,7НФ/150/50 Камелот Шоколад</v>
      </c>
      <c r="B507" s="2379">
        <f>'Прайс лист'!E990/1000</f>
        <v>0.25</v>
      </c>
      <c r="C507" s="2379">
        <f>'Прайс лист'!D990/1000</f>
        <v>8.5000000000000006E-2</v>
      </c>
      <c r="D507" s="2379">
        <f>'Прайс лист'!C990/1000</f>
        <v>6.5000000000000002E-2</v>
      </c>
      <c r="E507" s="2379">
        <f>'Прайс лист'!F990</f>
        <v>20.76</v>
      </c>
      <c r="F507" s="2379">
        <f t="shared" si="68"/>
        <v>1278</v>
      </c>
      <c r="AG507" s="2421">
        <v>37.4</v>
      </c>
      <c r="AH507" s="2715">
        <f t="shared" si="69"/>
        <v>0.65275314024585984</v>
      </c>
      <c r="AI507" s="2715">
        <f t="shared" si="70"/>
        <v>0.65325314024585979</v>
      </c>
      <c r="AJ507" s="2715">
        <f t="shared" si="71"/>
        <v>0.6522531402458599</v>
      </c>
      <c r="AK507" s="2421">
        <f>IF(AND(дома!$Z$29&gt;=AJ507,дома!$Z$29&lt;=AI507),связи1!AG507,0)</f>
        <v>0</v>
      </c>
      <c r="AL507" s="2421">
        <f>IF(AND(дома!$AA$29&gt;=AJ507,дома!$AA$29&lt;=AI507),связи1!AG507,0)</f>
        <v>0</v>
      </c>
    </row>
    <row r="508" spans="1:38">
      <c r="A508" s="2379" t="str">
        <f>'Прайс лист'!B991</f>
        <v>0,7НФ/150/50 Камелот Темный Шоколад</v>
      </c>
      <c r="B508" s="2379">
        <f>'Прайс лист'!E991/1000</f>
        <v>0.25</v>
      </c>
      <c r="C508" s="2379">
        <f>'Прайс лист'!D991/1000</f>
        <v>8.5000000000000006E-2</v>
      </c>
      <c r="D508" s="2379">
        <f>'Прайс лист'!C991/1000</f>
        <v>6.5000000000000002E-2</v>
      </c>
      <c r="E508" s="2379">
        <f>'Прайс лист'!F991</f>
        <v>22.73</v>
      </c>
      <c r="F508" s="2379">
        <f t="shared" si="68"/>
        <v>1399</v>
      </c>
      <c r="AG508" s="2421">
        <v>37.5</v>
      </c>
      <c r="AH508" s="2715">
        <f t="shared" si="69"/>
        <v>0.65449846949785417</v>
      </c>
      <c r="AI508" s="2715">
        <f t="shared" si="70"/>
        <v>0.65499846949785412</v>
      </c>
      <c r="AJ508" s="2715">
        <f t="shared" si="71"/>
        <v>0.65399846949785423</v>
      </c>
      <c r="AK508" s="2421">
        <f>IF(AND(дома!$Z$29&gt;=AJ508,дома!$Z$29&lt;=AI508),связи1!AG508,0)</f>
        <v>0</v>
      </c>
      <c r="AL508" s="2421">
        <f>IF(AND(дома!$AA$29&gt;=AJ508,дома!$AA$29&lt;=AI508),связи1!AG508,0)</f>
        <v>0</v>
      </c>
    </row>
    <row r="509" spans="1:38">
      <c r="A509" s="2379" t="str">
        <f>'Прайс лист'!B992</f>
        <v>0,7НФ/150/50 Камелот Микс</v>
      </c>
      <c r="B509" s="2379">
        <f>'Прайс лист'!E992/1000</f>
        <v>0.25</v>
      </c>
      <c r="C509" s="2379">
        <f>'Прайс лист'!D992/1000</f>
        <v>8.5000000000000006E-2</v>
      </c>
      <c r="D509" s="2379">
        <f>'Прайс лист'!C992/1000</f>
        <v>6.5000000000000002E-2</v>
      </c>
      <c r="E509" s="2379">
        <f>'Прайс лист'!F992</f>
        <v>20.76</v>
      </c>
      <c r="F509" s="2379">
        <f t="shared" si="68"/>
        <v>1278</v>
      </c>
      <c r="AG509" s="2421">
        <v>37.6</v>
      </c>
      <c r="AH509" s="2715">
        <f t="shared" si="69"/>
        <v>0.65624379874984851</v>
      </c>
      <c r="AI509" s="2715">
        <f t="shared" si="70"/>
        <v>0.65674379874984845</v>
      </c>
      <c r="AJ509" s="2715">
        <f t="shared" si="71"/>
        <v>0.65574379874984856</v>
      </c>
      <c r="AK509" s="2421">
        <f>IF(AND(дома!$Z$29&gt;=AJ509,дома!$Z$29&lt;=AI509),связи1!AG509,0)</f>
        <v>0</v>
      </c>
      <c r="AL509" s="2421">
        <f>IF(AND(дома!$AA$29&gt;=AJ509,дома!$AA$29&lt;=AI509),связи1!AG509,0)</f>
        <v>0</v>
      </c>
    </row>
    <row r="510" spans="1:38">
      <c r="A510" s="2379" t="str">
        <f>'Прайс лист'!B993</f>
        <v>1НФ/150/75 Красный</v>
      </c>
      <c r="B510" s="2379">
        <f>'Прайс лист'!E993/1000</f>
        <v>0.25</v>
      </c>
      <c r="C510" s="2379">
        <f>'Прайс лист'!D993/1000</f>
        <v>0.12</v>
      </c>
      <c r="D510" s="2379">
        <f>'Прайс лист'!C993/1000</f>
        <v>6.5000000000000002E-2</v>
      </c>
      <c r="E510" s="2379">
        <f>'Прайс лист'!F993</f>
        <v>13.63</v>
      </c>
      <c r="F510" s="2379">
        <f t="shared" si="68"/>
        <v>839</v>
      </c>
      <c r="AG510" s="2421">
        <v>37.700000000000003</v>
      </c>
      <c r="AH510" s="2715">
        <f t="shared" si="69"/>
        <v>0.65798912800184273</v>
      </c>
      <c r="AI510" s="2715">
        <f t="shared" si="70"/>
        <v>0.65848912800184267</v>
      </c>
      <c r="AJ510" s="2715">
        <f t="shared" si="71"/>
        <v>0.65748912800184278</v>
      </c>
      <c r="AK510" s="2421">
        <f>IF(AND(дома!$Z$29&gt;=AJ510,дома!$Z$29&lt;=AI510),связи1!AG510,0)</f>
        <v>0</v>
      </c>
      <c r="AL510" s="2421">
        <f>IF(AND(дома!$AA$29&gt;=AJ510,дома!$AA$29&lt;=AI510),связи1!AG510,0)</f>
        <v>0</v>
      </c>
    </row>
    <row r="511" spans="1:38">
      <c r="A511" s="2379" t="str">
        <f>'Прайс лист'!B994</f>
        <v>1НФ/150/75 Аренберг</v>
      </c>
      <c r="B511" s="2379">
        <f>'Прайс лист'!E994/1000</f>
        <v>0.25</v>
      </c>
      <c r="C511" s="2379">
        <f>'Прайс лист'!D994/1000</f>
        <v>0.12</v>
      </c>
      <c r="D511" s="2379">
        <f>'Прайс лист'!C994/1000</f>
        <v>6.5000000000000002E-2</v>
      </c>
      <c r="E511" s="2379">
        <f>'Прайс лист'!F994</f>
        <v>20.09</v>
      </c>
      <c r="F511" s="2379">
        <f t="shared" si="68"/>
        <v>1237</v>
      </c>
      <c r="AG511" s="2421">
        <v>37.799999999999997</v>
      </c>
      <c r="AH511" s="2715">
        <f t="shared" si="69"/>
        <v>0.65973445725383695</v>
      </c>
      <c r="AI511" s="2715">
        <f t="shared" si="70"/>
        <v>0.66023445725383689</v>
      </c>
      <c r="AJ511" s="2715">
        <f t="shared" si="71"/>
        <v>0.659234457253837</v>
      </c>
      <c r="AK511" s="2421">
        <f>IF(AND(дома!$Z$29&gt;=AJ511,дома!$Z$29&lt;=AI511),связи1!AG511,0)</f>
        <v>0</v>
      </c>
      <c r="AL511" s="2421">
        <f>IF(AND(дома!$AA$29&gt;=AJ511,дома!$AA$29&lt;=AI511),связи1!AG511,0)</f>
        <v>0</v>
      </c>
    </row>
    <row r="512" spans="1:38">
      <c r="A512" s="2379" t="str">
        <f>'Прайс лист'!B995</f>
        <v>1НФ/150/75 Эльц</v>
      </c>
      <c r="B512" s="2379">
        <f>'Прайс лист'!E995/1000</f>
        <v>0.25</v>
      </c>
      <c r="C512" s="2379">
        <f>'Прайс лист'!D995/1000</f>
        <v>0.12</v>
      </c>
      <c r="D512" s="2379">
        <f>'Прайс лист'!C995/1000</f>
        <v>6.5000000000000002E-2</v>
      </c>
      <c r="E512" s="2379">
        <f>'Прайс лист'!F995</f>
        <v>23.09</v>
      </c>
      <c r="F512" s="2379">
        <f t="shared" si="68"/>
        <v>1421</v>
      </c>
      <c r="AG512" s="2421">
        <v>37.9</v>
      </c>
      <c r="AH512" s="2715">
        <f t="shared" si="69"/>
        <v>0.66147978650583128</v>
      </c>
      <c r="AI512" s="2715">
        <f t="shared" si="70"/>
        <v>0.66197978650583122</v>
      </c>
      <c r="AJ512" s="2715">
        <f t="shared" si="71"/>
        <v>0.66097978650583133</v>
      </c>
      <c r="AK512" s="2421">
        <f>IF(AND(дома!$Z$29&gt;=AJ512,дома!$Z$29&lt;=AI512),связи1!AG512,0)</f>
        <v>0</v>
      </c>
      <c r="AL512" s="2421">
        <f>IF(AND(дома!$AA$29&gt;=AJ512,дома!$AA$29&lt;=AI512),связи1!AG512,0)</f>
        <v>0</v>
      </c>
    </row>
    <row r="513" spans="1:38">
      <c r="A513" s="2379" t="str">
        <f>'Прайс лист'!B996</f>
        <v>1НФ/150/75 Рочестер</v>
      </c>
      <c r="B513" s="2379">
        <f>'Прайс лист'!E996/1000</f>
        <v>0.25</v>
      </c>
      <c r="C513" s="2379">
        <f>'Прайс лист'!D996/1000</f>
        <v>0.12</v>
      </c>
      <c r="D513" s="2379">
        <f>'Прайс лист'!C996/1000</f>
        <v>6.5000000000000002E-2</v>
      </c>
      <c r="E513" s="2379">
        <f>'Прайс лист'!F996</f>
        <v>23.09</v>
      </c>
      <c r="F513" s="2379">
        <f t="shared" si="68"/>
        <v>1421</v>
      </c>
      <c r="AG513" s="2421">
        <v>38</v>
      </c>
      <c r="AH513" s="2715">
        <f t="shared" si="69"/>
        <v>0.6632251157578255</v>
      </c>
      <c r="AI513" s="2715">
        <f t="shared" si="70"/>
        <v>0.66372511575782545</v>
      </c>
      <c r="AJ513" s="2715">
        <f t="shared" si="71"/>
        <v>0.66272511575782556</v>
      </c>
      <c r="AK513" s="2421">
        <f>IF(AND(дома!$Z$29&gt;=AJ513,дома!$Z$29&lt;=AI513),связи1!AG513,0)</f>
        <v>0</v>
      </c>
      <c r="AL513" s="2421">
        <f>IF(AND(дома!$AA$29&gt;=AJ513,дома!$AA$29&lt;=AI513),связи1!AG513,0)</f>
        <v>0</v>
      </c>
    </row>
    <row r="514" spans="1:38">
      <c r="A514" s="2379" t="str">
        <f>'Прайс лист'!B997</f>
        <v>1НФ/150/75 Гляссе</v>
      </c>
      <c r="B514" s="2379">
        <f>'Прайс лист'!E997/1000</f>
        <v>0.25</v>
      </c>
      <c r="C514" s="2379">
        <f>'Прайс лист'!D997/1000</f>
        <v>0.12</v>
      </c>
      <c r="D514" s="2379">
        <f>'Прайс лист'!C997/1000</f>
        <v>6.5000000000000002E-2</v>
      </c>
      <c r="E514" s="2379">
        <f>'Прайс лист'!F997</f>
        <v>20.09</v>
      </c>
      <c r="F514" s="2379">
        <f t="shared" si="68"/>
        <v>1237</v>
      </c>
      <c r="AG514" s="2421">
        <v>38.1</v>
      </c>
      <c r="AH514" s="2715">
        <f t="shared" si="69"/>
        <v>0.66497044500981983</v>
      </c>
      <c r="AI514" s="2715">
        <f t="shared" si="70"/>
        <v>0.66547044500981978</v>
      </c>
      <c r="AJ514" s="2715">
        <f t="shared" si="71"/>
        <v>0.66447044500981989</v>
      </c>
      <c r="AK514" s="2421">
        <f>IF(AND(дома!$Z$29&gt;=AJ514,дома!$Z$29&lt;=AI514),связи1!AG514,0)</f>
        <v>0</v>
      </c>
      <c r="AL514" s="2421">
        <f>IF(AND(дома!$AA$29&gt;=AJ514,дома!$AA$29&lt;=AI514),связи1!AG514,0)</f>
        <v>0</v>
      </c>
    </row>
    <row r="515" spans="1:38">
      <c r="A515" s="2379" t="str">
        <f>'Прайс лист'!B998</f>
        <v>1НФ/150/75 Терракот</v>
      </c>
      <c r="B515" s="2379">
        <f>'Прайс лист'!E998/1000</f>
        <v>0.25</v>
      </c>
      <c r="C515" s="2379">
        <f>'Прайс лист'!D998/1000</f>
        <v>0.12</v>
      </c>
      <c r="D515" s="2379">
        <f>'Прайс лист'!C998/1000</f>
        <v>6.5000000000000002E-2</v>
      </c>
      <c r="E515" s="2379">
        <f>'Прайс лист'!F998</f>
        <v>20.09</v>
      </c>
      <c r="F515" s="2379">
        <f t="shared" si="68"/>
        <v>1237</v>
      </c>
      <c r="AG515" s="2421">
        <v>38.200000000000003</v>
      </c>
      <c r="AH515" s="2715">
        <f t="shared" si="69"/>
        <v>0.66671577426181416</v>
      </c>
      <c r="AI515" s="2715">
        <f t="shared" si="70"/>
        <v>0.66721577426181411</v>
      </c>
      <c r="AJ515" s="2715">
        <f t="shared" si="71"/>
        <v>0.66621577426181422</v>
      </c>
      <c r="AK515" s="2421">
        <f>IF(AND(дома!$Z$29&gt;=AJ515,дома!$Z$29&lt;=AI515),связи1!AG515,0)</f>
        <v>0</v>
      </c>
      <c r="AL515" s="2421">
        <f>IF(AND(дома!$AA$29&gt;=AJ515,дома!$AA$29&lt;=AI515),связи1!AG515,0)</f>
        <v>0</v>
      </c>
    </row>
    <row r="516" spans="1:38">
      <c r="A516" s="2379" t="str">
        <f>'Прайс лист'!B999</f>
        <v>1НФ/150/75 Шоколад</v>
      </c>
      <c r="B516" s="2379">
        <f>'Прайс лист'!E999/1000</f>
        <v>0.25</v>
      </c>
      <c r="C516" s="2379">
        <f>'Прайс лист'!D999/1000</f>
        <v>0.12</v>
      </c>
      <c r="D516" s="2379">
        <f>'Прайс лист'!C999/1000</f>
        <v>6.5000000000000002E-2</v>
      </c>
      <c r="E516" s="2379">
        <f>'Прайс лист'!F999</f>
        <v>20.09</v>
      </c>
      <c r="F516" s="2379">
        <f t="shared" si="68"/>
        <v>1237</v>
      </c>
      <c r="AG516" s="2421">
        <v>38.299999999999997</v>
      </c>
      <c r="AH516" s="2715">
        <f t="shared" si="69"/>
        <v>0.66846110351380827</v>
      </c>
      <c r="AI516" s="2715">
        <f t="shared" si="70"/>
        <v>0.66896110351380822</v>
      </c>
      <c r="AJ516" s="2715">
        <f t="shared" si="71"/>
        <v>0.66796110351380833</v>
      </c>
      <c r="AK516" s="2421">
        <f>IF(AND(дома!$Z$29&gt;=AJ516,дома!$Z$29&lt;=AI516),связи1!AG516,0)</f>
        <v>0</v>
      </c>
      <c r="AL516" s="2421">
        <f>IF(AND(дома!$AA$29&gt;=AJ516,дома!$AA$29&lt;=AI516),связи1!AG516,0)</f>
        <v>0</v>
      </c>
    </row>
    <row r="517" spans="1:38">
      <c r="A517" s="2379" t="str">
        <f>'Прайс лист'!B1000</f>
        <v>1НФ/150/75 Темный Шоколад</v>
      </c>
      <c r="B517" s="2379">
        <f>'Прайс лист'!E1000/1000</f>
        <v>0.25</v>
      </c>
      <c r="C517" s="2379">
        <f>'Прайс лист'!D1000/1000</f>
        <v>0.12</v>
      </c>
      <c r="D517" s="2379">
        <f>'Прайс лист'!C1000/1000</f>
        <v>6.5000000000000002E-2</v>
      </c>
      <c r="E517" s="2379">
        <f>'Прайс лист'!F1000</f>
        <v>20.09</v>
      </c>
      <c r="F517" s="2379">
        <f t="shared" si="68"/>
        <v>1237</v>
      </c>
      <c r="AG517" s="2421">
        <v>38.4</v>
      </c>
      <c r="AH517" s="2715">
        <f t="shared" si="69"/>
        <v>0.67020643276580261</v>
      </c>
      <c r="AI517" s="2715">
        <f t="shared" si="70"/>
        <v>0.67070643276580255</v>
      </c>
      <c r="AJ517" s="2715">
        <f t="shared" si="71"/>
        <v>0.66970643276580266</v>
      </c>
      <c r="AK517" s="2421">
        <f>IF(AND(дома!$Z$29&gt;=AJ517,дома!$Z$29&lt;=AI517),связи1!AG517,0)</f>
        <v>0</v>
      </c>
      <c r="AL517" s="2421">
        <f>IF(AND(дома!$AA$29&gt;=AJ517,дома!$AA$29&lt;=AI517),связи1!AG517,0)</f>
        <v>0</v>
      </c>
    </row>
    <row r="518" spans="1:38">
      <c r="A518" s="2379" t="str">
        <f>'Прайс лист'!B1001</f>
        <v>1НФ/150/75 Бавария микс</v>
      </c>
      <c r="B518" s="2379">
        <f>'Прайс лист'!E1001/1000</f>
        <v>0.25</v>
      </c>
      <c r="C518" s="2379">
        <f>'Прайс лист'!D1001/1000</f>
        <v>0.12</v>
      </c>
      <c r="D518" s="2379">
        <f>'Прайс лист'!C1001/1000</f>
        <v>6.5000000000000002E-2</v>
      </c>
      <c r="E518" s="2379">
        <f>'Прайс лист'!F1001</f>
        <v>20.09</v>
      </c>
      <c r="F518" s="2379">
        <f t="shared" si="68"/>
        <v>1237</v>
      </c>
      <c r="AG518" s="2421">
        <v>38.5</v>
      </c>
      <c r="AH518" s="2715">
        <f t="shared" si="69"/>
        <v>0.67195176201779694</v>
      </c>
      <c r="AI518" s="2715">
        <f t="shared" si="70"/>
        <v>0.67245176201779688</v>
      </c>
      <c r="AJ518" s="2715">
        <f t="shared" si="71"/>
        <v>0.67145176201779699</v>
      </c>
      <c r="AK518" s="2421">
        <f>IF(AND(дома!$Z$29&gt;=AJ518,дома!$Z$29&lt;=AI518),связи1!AG518,0)</f>
        <v>0</v>
      </c>
      <c r="AL518" s="2421">
        <f>IF(AND(дома!$AA$29&gt;=AJ518,дома!$AA$29&lt;=AI518),связи1!AG518,0)</f>
        <v>0</v>
      </c>
    </row>
    <row r="519" spans="1:38">
      <c r="A519" s="2379" t="str">
        <f>'Прайс лист'!B1002</f>
        <v>1НФ/150/50 Белый</v>
      </c>
      <c r="B519" s="2379">
        <f>'Прайс лист'!E1002/1000</f>
        <v>0.25</v>
      </c>
      <c r="C519" s="2379">
        <f>'Прайс лист'!D1002/1000</f>
        <v>0.12</v>
      </c>
      <c r="D519" s="2379">
        <f>'Прайс лист'!C1002/1000</f>
        <v>6.5000000000000002E-2</v>
      </c>
      <c r="E519" s="2379">
        <f>'Прайс лист'!F1002</f>
        <v>24.43</v>
      </c>
      <c r="F519" s="2379">
        <f t="shared" si="68"/>
        <v>1504</v>
      </c>
      <c r="AG519" s="2421">
        <v>38.6</v>
      </c>
      <c r="AH519" s="2715">
        <f t="shared" si="69"/>
        <v>0.67369709126979127</v>
      </c>
      <c r="AI519" s="2715">
        <f t="shared" si="70"/>
        <v>0.67419709126979122</v>
      </c>
      <c r="AJ519" s="2715">
        <f t="shared" si="71"/>
        <v>0.67319709126979133</v>
      </c>
      <c r="AK519" s="2421">
        <f>IF(AND(дома!$Z$29&gt;=AJ519,дома!$Z$29&lt;=AI519),связи1!AG519,0)</f>
        <v>0</v>
      </c>
      <c r="AL519" s="2421">
        <f>IF(AND(дома!$AA$29&gt;=AJ519,дома!$AA$29&lt;=AI519),связи1!AG519,0)</f>
        <v>0</v>
      </c>
    </row>
    <row r="520" spans="1:38">
      <c r="A520" s="2379" t="str">
        <f>'Прайс лист'!B1003</f>
        <v>1НФ/150/50 Лотос</v>
      </c>
      <c r="B520" s="2379">
        <f>'Прайс лист'!E1003/1000</f>
        <v>0.25</v>
      </c>
      <c r="C520" s="2379">
        <f>'Прайс лист'!D1003/1000</f>
        <v>0.12</v>
      </c>
      <c r="D520" s="2379">
        <f>'Прайс лист'!C1003/1000</f>
        <v>6.5000000000000002E-2</v>
      </c>
      <c r="E520" s="2379">
        <f>'Прайс лист'!F1003</f>
        <v>21.57</v>
      </c>
      <c r="F520" s="2379">
        <f t="shared" si="68"/>
        <v>1328</v>
      </c>
      <c r="AG520" s="2421">
        <v>38.700000000000003</v>
      </c>
      <c r="AH520" s="2715">
        <f t="shared" si="69"/>
        <v>0.67544242052178549</v>
      </c>
      <c r="AI520" s="2715">
        <f t="shared" si="70"/>
        <v>0.67594242052178544</v>
      </c>
      <c r="AJ520" s="2715">
        <f t="shared" si="71"/>
        <v>0.67494242052178555</v>
      </c>
      <c r="AK520" s="2421">
        <f>IF(AND(дома!$Z$29&gt;=AJ520,дома!$Z$29&lt;=AI520),связи1!AG520,0)</f>
        <v>0</v>
      </c>
      <c r="AL520" s="2421">
        <f>IF(AND(дома!$AA$29&gt;=AJ520,дома!$AA$29&lt;=AI520),связи1!AG520,0)</f>
        <v>0</v>
      </c>
    </row>
    <row r="521" spans="1:38">
      <c r="A521" s="2379" t="str">
        <f>'Прайс лист'!B1004</f>
        <v>1НФ/150/50 Камелот Микс</v>
      </c>
      <c r="B521" s="2379">
        <f>'Прайс лист'!E1004/1000</f>
        <v>0.25</v>
      </c>
      <c r="C521" s="2379">
        <f>'Прайс лист'!D1004/1000</f>
        <v>0.12</v>
      </c>
      <c r="D521" s="2379">
        <f>'Прайс лист'!C1004/1000</f>
        <v>6.5000000000000002E-2</v>
      </c>
      <c r="E521" s="2379">
        <f>'Прайс лист'!F1004</f>
        <v>24.43</v>
      </c>
      <c r="F521" s="2379">
        <f t="shared" si="68"/>
        <v>1504</v>
      </c>
      <c r="AG521" s="2421">
        <v>38.799999999999997</v>
      </c>
      <c r="AH521" s="2715">
        <f t="shared" si="69"/>
        <v>0.67718774977377971</v>
      </c>
      <c r="AI521" s="2715">
        <f t="shared" si="70"/>
        <v>0.67768774977377966</v>
      </c>
      <c r="AJ521" s="2715">
        <f t="shared" si="71"/>
        <v>0.67668774977377977</v>
      </c>
      <c r="AK521" s="2421">
        <f>IF(AND(дома!$Z$29&gt;=AJ521,дома!$Z$29&lt;=AI521),связи1!AG521,0)</f>
        <v>0</v>
      </c>
      <c r="AL521" s="2421">
        <f>IF(AND(дома!$AA$29&gt;=AJ521,дома!$AA$29&lt;=AI521),связи1!AG521,0)</f>
        <v>0</v>
      </c>
    </row>
    <row r="522" spans="1:38">
      <c r="A522" s="2379" t="str">
        <f>'Прайс лист'!B1005</f>
        <v>1НФ/150/50 Камелот Гляссе</v>
      </c>
      <c r="B522" s="2379">
        <f>'Прайс лист'!E1005/1000</f>
        <v>0.25</v>
      </c>
      <c r="C522" s="2379">
        <f>'Прайс лист'!D1005/1000</f>
        <v>0.12</v>
      </c>
      <c r="D522" s="2379">
        <f>'Прайс лист'!C1005/1000</f>
        <v>6.5000000000000002E-2</v>
      </c>
      <c r="E522" s="2379">
        <f>'Прайс лист'!F1005</f>
        <v>24.43</v>
      </c>
      <c r="F522" s="2379">
        <f t="shared" si="68"/>
        <v>1504</v>
      </c>
      <c r="AG522" s="2421">
        <v>38.9</v>
      </c>
      <c r="AH522" s="2715">
        <f t="shared" si="69"/>
        <v>0.67893307902577404</v>
      </c>
      <c r="AI522" s="2715">
        <f t="shared" si="70"/>
        <v>0.67943307902577399</v>
      </c>
      <c r="AJ522" s="2715">
        <f t="shared" si="71"/>
        <v>0.6784330790257741</v>
      </c>
      <c r="AK522" s="2421">
        <f>IF(AND(дома!$Z$29&gt;=AJ522,дома!$Z$29&lt;=AI522),связи1!AG522,0)</f>
        <v>0</v>
      </c>
      <c r="AL522" s="2421">
        <f>IF(AND(дома!$AA$29&gt;=AJ522,дома!$AA$29&lt;=AI522),связи1!AG522,0)</f>
        <v>0</v>
      </c>
    </row>
    <row r="523" spans="1:38">
      <c r="A523" s="2379" t="str">
        <f>'Прайс лист'!B1006</f>
        <v>1НФ/150/50 Камелот Терракот</v>
      </c>
      <c r="B523" s="2379">
        <f>'Прайс лист'!E1006/1000</f>
        <v>0.25</v>
      </c>
      <c r="C523" s="2379">
        <f>'Прайс лист'!D1006/1000</f>
        <v>0.12</v>
      </c>
      <c r="D523" s="2379">
        <f>'Прайс лист'!C1006/1000</f>
        <v>6.5000000000000002E-2</v>
      </c>
      <c r="E523" s="2379">
        <f>'Прайс лист'!F1006</f>
        <v>24.43</v>
      </c>
      <c r="F523" s="2379">
        <f t="shared" si="68"/>
        <v>1504</v>
      </c>
      <c r="AG523" s="2421">
        <v>39</v>
      </c>
      <c r="AH523" s="2715">
        <f t="shared" si="69"/>
        <v>0.68067840827776827</v>
      </c>
      <c r="AI523" s="2715">
        <f t="shared" si="70"/>
        <v>0.68117840827776821</v>
      </c>
      <c r="AJ523" s="2715">
        <f t="shared" si="71"/>
        <v>0.68017840827776832</v>
      </c>
      <c r="AK523" s="2421">
        <f>IF(AND(дома!$Z$29&gt;=AJ523,дома!$Z$29&lt;=AI523),связи1!AG523,0)</f>
        <v>0</v>
      </c>
      <c r="AL523" s="2421">
        <f>IF(AND(дома!$AA$29&gt;=AJ523,дома!$AA$29&lt;=AI523),связи1!AG523,0)</f>
        <v>0</v>
      </c>
    </row>
    <row r="524" spans="1:38">
      <c r="A524" s="2379" t="str">
        <f>'Прайс лист'!B1007</f>
        <v>1НФ/150/50 Камелот Шоколад</v>
      </c>
      <c r="B524" s="2379">
        <f>'Прайс лист'!E1007/1000</f>
        <v>0.25</v>
      </c>
      <c r="C524" s="2379">
        <f>'Прайс лист'!D1007/1000</f>
        <v>0.12</v>
      </c>
      <c r="D524" s="2379">
        <f>'Прайс лист'!C1007/1000</f>
        <v>6.5000000000000002E-2</v>
      </c>
      <c r="E524" s="2379">
        <f>'Прайс лист'!F1007</f>
        <v>24.43</v>
      </c>
      <c r="F524" s="2379">
        <f t="shared" si="68"/>
        <v>1504</v>
      </c>
      <c r="AG524" s="2421">
        <v>39.1</v>
      </c>
      <c r="AH524" s="2715">
        <f t="shared" si="69"/>
        <v>0.6824237375297626</v>
      </c>
      <c r="AI524" s="2715">
        <f t="shared" si="70"/>
        <v>0.68292373752976254</v>
      </c>
      <c r="AJ524" s="2715">
        <f t="shared" si="71"/>
        <v>0.68192373752976265</v>
      </c>
      <c r="AK524" s="2421">
        <f>IF(AND(дома!$Z$29&gt;=AJ524,дома!$Z$29&lt;=AI524),связи1!AG524,0)</f>
        <v>0</v>
      </c>
      <c r="AL524" s="2421">
        <f>IF(AND(дома!$AA$29&gt;=AJ524,дома!$AA$29&lt;=AI524),связи1!AG524,0)</f>
        <v>0</v>
      </c>
    </row>
    <row r="525" spans="1:38">
      <c r="A525" s="2379" t="str">
        <f>'Прайс лист'!B1008</f>
        <v>1НФ/150/50 Камелот Темный  Шоколад</v>
      </c>
      <c r="B525" s="2379">
        <f>'Прайс лист'!E1008/1000</f>
        <v>0.25</v>
      </c>
      <c r="C525" s="2379">
        <f>'Прайс лист'!D1008/1000</f>
        <v>0.12</v>
      </c>
      <c r="D525" s="2379">
        <f>'Прайс лист'!C1008/1000</f>
        <v>6.5000000000000002E-2</v>
      </c>
      <c r="E525" s="2379">
        <f>'Прайс лист'!F1008</f>
        <v>26.87</v>
      </c>
      <c r="F525" s="2379">
        <f t="shared" si="68"/>
        <v>1654</v>
      </c>
      <c r="AG525" s="2421">
        <v>39.200000000000003</v>
      </c>
      <c r="AH525" s="2715">
        <f t="shared" si="69"/>
        <v>0.68416906678175693</v>
      </c>
      <c r="AI525" s="2715">
        <f t="shared" si="70"/>
        <v>0.68466906678175687</v>
      </c>
      <c r="AJ525" s="2715">
        <f t="shared" si="71"/>
        <v>0.68366906678175698</v>
      </c>
      <c r="AK525" s="2421">
        <f>IF(AND(дома!$Z$29&gt;=AJ525,дома!$Z$29&lt;=AI525),связи1!AG525,0)</f>
        <v>0</v>
      </c>
      <c r="AL525" s="2421">
        <f>IF(AND(дома!$AA$29&gt;=AJ525,дома!$AA$29&lt;=AI525),связи1!AG525,0)</f>
        <v>0</v>
      </c>
    </row>
    <row r="526" spans="1:38">
      <c r="A526" s="2379" t="str">
        <f>'Прайс лист'!B1009</f>
        <v>1,4НФ/150/75 Красный</v>
      </c>
      <c r="B526" s="2379">
        <f>'Прайс лист'!E1009/1000</f>
        <v>0.25</v>
      </c>
      <c r="C526" s="2379">
        <f>'Прайс лист'!D1009/1000</f>
        <v>0.12</v>
      </c>
      <c r="D526" s="2379">
        <f>'Прайс лист'!C1009/1000</f>
        <v>8.7999999999999995E-2</v>
      </c>
      <c r="E526" s="2379">
        <f>'Прайс лист'!F1009</f>
        <v>18.39</v>
      </c>
      <c r="F526" s="2379">
        <f t="shared" si="68"/>
        <v>836</v>
      </c>
      <c r="AG526" s="2421">
        <v>39.299999999999997</v>
      </c>
      <c r="AH526" s="2715">
        <f t="shared" si="69"/>
        <v>0.68591439603375104</v>
      </c>
      <c r="AI526" s="2715">
        <f t="shared" si="70"/>
        <v>0.68641439603375098</v>
      </c>
      <c r="AJ526" s="2715">
        <f t="shared" si="71"/>
        <v>0.68541439603375109</v>
      </c>
      <c r="AK526" s="2421">
        <f>IF(AND(дома!$Z$29&gt;=AJ526,дома!$Z$29&lt;=AI526),связи1!AG526,0)</f>
        <v>0</v>
      </c>
      <c r="AL526" s="2421">
        <f>IF(AND(дома!$AA$29&gt;=AJ526,дома!$AA$29&lt;=AI526),связи1!AG526,0)</f>
        <v>0</v>
      </c>
    </row>
    <row r="527" spans="1:38">
      <c r="A527" s="2379" t="str">
        <f>'Прайс лист'!B1010</f>
        <v>1,4НФ/150/75 Аренберг</v>
      </c>
      <c r="B527" s="2379">
        <f>'Прайс лист'!E1010/1000</f>
        <v>0.25</v>
      </c>
      <c r="C527" s="2379">
        <f>'Прайс лист'!D1010/1000</f>
        <v>0.12</v>
      </c>
      <c r="D527" s="2379">
        <f>'Прайс лист'!C1010/1000</f>
        <v>8.7999999999999995E-2</v>
      </c>
      <c r="E527" s="2379">
        <f>'Прайс лист'!F1010</f>
        <v>27.12</v>
      </c>
      <c r="F527" s="2379">
        <f t="shared" si="68"/>
        <v>1233</v>
      </c>
      <c r="AG527" s="2421">
        <v>39.4</v>
      </c>
      <c r="AH527" s="2715">
        <f t="shared" si="69"/>
        <v>0.68765972528574537</v>
      </c>
      <c r="AI527" s="2715">
        <f t="shared" si="70"/>
        <v>0.68815972528574532</v>
      </c>
      <c r="AJ527" s="2715">
        <f t="shared" si="71"/>
        <v>0.68715972528574543</v>
      </c>
      <c r="AK527" s="2421">
        <f>IF(AND(дома!$Z$29&gt;=AJ527,дома!$Z$29&lt;=AI527),связи1!AG527,0)</f>
        <v>0</v>
      </c>
      <c r="AL527" s="2421">
        <f>IF(AND(дома!$AA$29&gt;=AJ527,дома!$AA$29&lt;=AI527),связи1!AG527,0)</f>
        <v>0</v>
      </c>
    </row>
    <row r="528" spans="1:38">
      <c r="A528" s="2379" t="str">
        <f>'Прайс лист'!B1011</f>
        <v>1,4НФ/150/75 Гляссе</v>
      </c>
      <c r="B528" s="2379">
        <f>'Прайс лист'!E1011/1000</f>
        <v>0.25</v>
      </c>
      <c r="C528" s="2379">
        <f>'Прайс лист'!D1011/1000</f>
        <v>0.12</v>
      </c>
      <c r="D528" s="2379">
        <f>'Прайс лист'!C1011/1000</f>
        <v>8.7999999999999995E-2</v>
      </c>
      <c r="E528" s="2379">
        <f>'Прайс лист'!F1011</f>
        <v>27.12</v>
      </c>
      <c r="F528" s="2379">
        <f t="shared" si="68"/>
        <v>1233</v>
      </c>
      <c r="AG528" s="2421">
        <v>39.5</v>
      </c>
      <c r="AH528" s="2715">
        <f t="shared" si="69"/>
        <v>0.6894050545377397</v>
      </c>
      <c r="AI528" s="2715">
        <f t="shared" si="70"/>
        <v>0.68990505453773965</v>
      </c>
      <c r="AJ528" s="2715">
        <f t="shared" si="71"/>
        <v>0.68890505453773976</v>
      </c>
      <c r="AK528" s="2421">
        <f>IF(AND(дома!$Z$29&gt;=AJ528,дома!$Z$29&lt;=AI528),связи1!AG528,0)</f>
        <v>0</v>
      </c>
      <c r="AL528" s="2421">
        <f>IF(AND(дома!$AA$29&gt;=AJ528,дома!$AA$29&lt;=AI528),связи1!AG528,0)</f>
        <v>0</v>
      </c>
    </row>
    <row r="529" spans="1:38">
      <c r="A529" s="2379" t="str">
        <f>'Прайс лист'!B1012</f>
        <v>1,4НФ/150/75 Терракот</v>
      </c>
      <c r="B529" s="2379">
        <f>'Прайс лист'!E1012/1000</f>
        <v>0.25</v>
      </c>
      <c r="C529" s="2379">
        <f>'Прайс лист'!D1012/1000</f>
        <v>0.12</v>
      </c>
      <c r="D529" s="2379">
        <f>'Прайс лист'!C1012/1000</f>
        <v>8.7999999999999995E-2</v>
      </c>
      <c r="E529" s="2379">
        <f>'Прайс лист'!F1012</f>
        <v>27.12</v>
      </c>
      <c r="F529" s="2379">
        <f t="shared" si="68"/>
        <v>1233</v>
      </c>
      <c r="AG529" s="2421">
        <v>39.6</v>
      </c>
      <c r="AH529" s="2715">
        <f t="shared" ref="AH529:AH560" si="72">AG529*3.1415926535897/180</f>
        <v>0.69115038378973404</v>
      </c>
      <c r="AI529" s="2715">
        <f t="shared" ref="AI529:AI560" si="73">AH529+0.0005</f>
        <v>0.69165038378973398</v>
      </c>
      <c r="AJ529" s="2715">
        <f t="shared" ref="AJ529:AJ560" si="74">AH529-0.0005</f>
        <v>0.69065038378973409</v>
      </c>
      <c r="AK529" s="2421">
        <f>IF(AND(дома!$Z$29&gt;=AJ529,дома!$Z$29&lt;=AI529),связи1!AG529,0)</f>
        <v>0</v>
      </c>
      <c r="AL529" s="2421">
        <f>IF(AND(дома!$AA$29&gt;=AJ529,дома!$AA$29&lt;=AI529),связи1!AG529,0)</f>
        <v>0</v>
      </c>
    </row>
    <row r="530" spans="1:38">
      <c r="A530" s="2379" t="str">
        <f>'Прайс лист'!B1013</f>
        <v>1,4НФ/150/75 Шоколад</v>
      </c>
      <c r="B530" s="2379">
        <f>'Прайс лист'!E1013/1000</f>
        <v>0.25</v>
      </c>
      <c r="C530" s="2379">
        <f>'Прайс лист'!D1013/1000</f>
        <v>0.12</v>
      </c>
      <c r="D530" s="2379">
        <f>'Прайс лист'!C1013/1000</f>
        <v>8.7999999999999995E-2</v>
      </c>
      <c r="E530" s="1197">
        <f>'Прайс лист'!F1013</f>
        <v>27.12</v>
      </c>
      <c r="F530" s="2379">
        <f t="shared" si="68"/>
        <v>1233</v>
      </c>
      <c r="AG530" s="2421">
        <v>39.700000000000003</v>
      </c>
      <c r="AH530" s="2715">
        <f t="shared" si="72"/>
        <v>0.69289571304172826</v>
      </c>
      <c r="AI530" s="2715">
        <f t="shared" si="73"/>
        <v>0.6933957130417282</v>
      </c>
      <c r="AJ530" s="2715">
        <f t="shared" si="74"/>
        <v>0.69239571304172831</v>
      </c>
      <c r="AK530" s="2421">
        <f>IF(AND(дома!$Z$29&gt;=AJ530,дома!$Z$29&lt;=AI530),связи1!AG530,0)</f>
        <v>0</v>
      </c>
      <c r="AL530" s="2421">
        <f>IF(AND(дома!$AA$29&gt;=AJ530,дома!$AA$29&lt;=AI530),связи1!AG530,0)</f>
        <v>0</v>
      </c>
    </row>
    <row r="531" spans="1:38">
      <c r="A531" s="2379" t="str">
        <f>'Прайс лист'!B1014</f>
        <v>1,4НФ/150/75 Темный Шоколад</v>
      </c>
      <c r="B531" s="2379">
        <f>'Прайс лист'!E1014/1000</f>
        <v>0.25</v>
      </c>
      <c r="C531" s="2379">
        <f>'Прайс лист'!D1014/1000</f>
        <v>0.12</v>
      </c>
      <c r="D531" s="2379">
        <f>'Прайс лист'!C1014/1000</f>
        <v>8.7999999999999995E-2</v>
      </c>
      <c r="E531" s="2379">
        <f>'Прайс лист'!F1014</f>
        <v>27.12</v>
      </c>
      <c r="F531" s="2379">
        <f t="shared" si="68"/>
        <v>1233</v>
      </c>
      <c r="AG531" s="2421">
        <v>39.799999999999997</v>
      </c>
      <c r="AH531" s="2715">
        <f t="shared" si="72"/>
        <v>0.69464104229372248</v>
      </c>
      <c r="AI531" s="2715">
        <f t="shared" si="73"/>
        <v>0.69514104229372242</v>
      </c>
      <c r="AJ531" s="2715">
        <f t="shared" si="74"/>
        <v>0.69414104229372253</v>
      </c>
      <c r="AK531" s="2421">
        <f>IF(AND(дома!$Z$29&gt;=AJ531,дома!$Z$29&lt;=AI531),связи1!AG531,0)</f>
        <v>0</v>
      </c>
      <c r="AL531" s="2421">
        <f>IF(AND(дома!$AA$29&gt;=AJ531,дома!$AA$29&lt;=AI531),связи1!AG531,0)</f>
        <v>0</v>
      </c>
    </row>
    <row r="532" spans="1:38">
      <c r="A532" s="2379" t="str">
        <f>'Прайс лист'!B1015</f>
        <v>1,4НФ/150/75 Бавария Микс</v>
      </c>
      <c r="B532" s="2379">
        <f>'Прайс лист'!E1015/1000</f>
        <v>0.25</v>
      </c>
      <c r="C532" s="2379">
        <f>'Прайс лист'!D1015/1000</f>
        <v>0.12</v>
      </c>
      <c r="D532" s="2379">
        <f>'Прайс лист'!C1015/1000</f>
        <v>8.7999999999999995E-2</v>
      </c>
      <c r="E532" s="2379">
        <f>'Прайс лист'!F1015</f>
        <v>27.12</v>
      </c>
      <c r="F532" s="2379">
        <f t="shared" si="68"/>
        <v>1233</v>
      </c>
      <c r="AG532" s="2421">
        <v>39.9</v>
      </c>
      <c r="AH532" s="2715">
        <f t="shared" si="72"/>
        <v>0.69638637154571681</v>
      </c>
      <c r="AI532" s="2715">
        <f t="shared" si="73"/>
        <v>0.69688637154571675</v>
      </c>
      <c r="AJ532" s="2715">
        <f t="shared" si="74"/>
        <v>0.69588637154571686</v>
      </c>
      <c r="AK532" s="2421">
        <f>IF(AND(дома!$Z$29&gt;=AJ532,дома!$Z$29&lt;=AI532),связи1!AG532,0)</f>
        <v>0</v>
      </c>
      <c r="AL532" s="2421">
        <f>IF(AND(дома!$AA$29&gt;=AJ532,дома!$AA$29&lt;=AI532),связи1!AG532,0)</f>
        <v>0</v>
      </c>
    </row>
    <row r="533" spans="1:38">
      <c r="A533" s="2379" t="str">
        <f>'Прайс лист'!B1016</f>
        <v>1,4НФ/150/50 Белый</v>
      </c>
      <c r="B533" s="2379">
        <f>'Прайс лист'!E1016/1000</f>
        <v>0.25</v>
      </c>
      <c r="C533" s="2379">
        <f>'Прайс лист'!D1016/1000</f>
        <v>0.12</v>
      </c>
      <c r="D533" s="2379">
        <f>'Прайс лист'!C1016/1000</f>
        <v>8.7999999999999995E-2</v>
      </c>
      <c r="E533" s="2379">
        <f>'Прайс лист'!F1016</f>
        <v>32.99</v>
      </c>
      <c r="F533" s="2379">
        <f t="shared" si="68"/>
        <v>1500</v>
      </c>
      <c r="AG533" s="2421">
        <v>40</v>
      </c>
      <c r="AH533" s="2715">
        <f t="shared" si="72"/>
        <v>0.69813170079771114</v>
      </c>
      <c r="AI533" s="2715">
        <f t="shared" si="73"/>
        <v>0.69863170079771109</v>
      </c>
      <c r="AJ533" s="2715">
        <f t="shared" si="74"/>
        <v>0.6976317007977112</v>
      </c>
      <c r="AK533" s="2421">
        <f>IF(AND(дома!$Z$29&gt;=AJ533,дома!$Z$29&lt;=AI533),связи1!AG533,0)</f>
        <v>0</v>
      </c>
      <c r="AL533" s="2421">
        <f>IF(AND(дома!$AA$29&gt;=AJ533,дома!$AA$29&lt;=AI533),связи1!AG533,0)</f>
        <v>0</v>
      </c>
    </row>
    <row r="534" spans="1:38">
      <c r="A534" s="2379" t="str">
        <f>'Прайс лист'!B1017</f>
        <v>1,4НФ/150/50 Лотос</v>
      </c>
      <c r="B534" s="2379">
        <f>'Прайс лист'!E1017/1000</f>
        <v>0.25</v>
      </c>
      <c r="C534" s="2379">
        <f>'Прайс лист'!D1017/1000</f>
        <v>0.12</v>
      </c>
      <c r="D534" s="2379">
        <f>'Прайс лист'!C1017/1000</f>
        <v>8.7999999999999995E-2</v>
      </c>
      <c r="E534" s="2379">
        <f>'Прайс лист'!F1017</f>
        <v>29.12</v>
      </c>
      <c r="F534" s="2379">
        <f t="shared" si="68"/>
        <v>1324</v>
      </c>
      <c r="AG534" s="2421">
        <v>40.1</v>
      </c>
      <c r="AH534" s="2715">
        <f t="shared" si="72"/>
        <v>0.69987703004970536</v>
      </c>
      <c r="AI534" s="2715">
        <f t="shared" si="73"/>
        <v>0.70037703004970531</v>
      </c>
      <c r="AJ534" s="2715">
        <f t="shared" si="74"/>
        <v>0.69937703004970542</v>
      </c>
      <c r="AK534" s="2421">
        <f>IF(AND(дома!$Z$29&gt;=AJ534,дома!$Z$29&lt;=AI534),связи1!AG534,0)</f>
        <v>0</v>
      </c>
      <c r="AL534" s="2421">
        <f>IF(AND(дома!$AA$29&gt;=AJ534,дома!$AA$29&lt;=AI534),связи1!AG534,0)</f>
        <v>0</v>
      </c>
    </row>
    <row r="535" spans="1:38">
      <c r="AG535" s="2421">
        <v>40.200000000000003</v>
      </c>
      <c r="AH535" s="2715">
        <f t="shared" si="72"/>
        <v>0.70162235930169969</v>
      </c>
      <c r="AI535" s="2715">
        <f t="shared" si="73"/>
        <v>0.70212235930169964</v>
      </c>
      <c r="AJ535" s="2715">
        <f t="shared" si="74"/>
        <v>0.70112235930169975</v>
      </c>
      <c r="AK535" s="2421">
        <f>IF(AND(дома!$Z$29&gt;=AJ535,дома!$Z$29&lt;=AI535),связи1!AG535,0)</f>
        <v>0</v>
      </c>
      <c r="AL535" s="2421">
        <f>IF(AND(дома!$AA$29&gt;=AJ535,дома!$AA$29&lt;=AI535),связи1!AG535,0)</f>
        <v>0</v>
      </c>
    </row>
    <row r="536" spans="1:38">
      <c r="A536" s="2379" t="s">
        <v>2492</v>
      </c>
      <c r="AG536" s="2421">
        <v>40.299999999999997</v>
      </c>
      <c r="AH536" s="2715">
        <f t="shared" si="72"/>
        <v>0.70336768855369391</v>
      </c>
      <c r="AI536" s="2715">
        <f t="shared" si="73"/>
        <v>0.70386768855369386</v>
      </c>
      <c r="AJ536" s="2715">
        <f t="shared" si="74"/>
        <v>0.70286768855369397</v>
      </c>
      <c r="AK536" s="2421">
        <f>IF(AND(дома!$Z$29&gt;=AJ536,дома!$Z$29&lt;=AI536),связи1!AG536,0)</f>
        <v>0</v>
      </c>
      <c r="AL536" s="2421">
        <f>IF(AND(дома!$AA$29&gt;=AJ536,дома!$AA$29&lt;=AI536),связи1!AG536,0)</f>
        <v>0</v>
      </c>
    </row>
    <row r="537" spans="1:38">
      <c r="A537" s="2379" t="s">
        <v>4582</v>
      </c>
      <c r="AG537" s="2421">
        <v>40.4</v>
      </c>
      <c r="AH537" s="2715">
        <f t="shared" si="72"/>
        <v>0.70511301780568814</v>
      </c>
      <c r="AI537" s="2715">
        <f t="shared" si="73"/>
        <v>0.70561301780568808</v>
      </c>
      <c r="AJ537" s="2715">
        <f t="shared" si="74"/>
        <v>0.70461301780568819</v>
      </c>
      <c r="AK537" s="2421">
        <f>IF(AND(дома!$Z$29&gt;=AJ537,дома!$Z$29&lt;=AI537),связи1!AG537,0)</f>
        <v>0</v>
      </c>
      <c r="AL537" s="2421">
        <f>IF(AND(дома!$AA$29&gt;=AJ537,дома!$AA$29&lt;=AI537),связи1!AG537,0)</f>
        <v>0</v>
      </c>
    </row>
    <row r="538" spans="1:38">
      <c r="AG538" s="2421">
        <v>40.5</v>
      </c>
      <c r="AH538" s="2715">
        <f t="shared" si="72"/>
        <v>0.70685834705768247</v>
      </c>
      <c r="AI538" s="2715">
        <f t="shared" si="73"/>
        <v>0.70735834705768241</v>
      </c>
      <c r="AJ538" s="2715">
        <f t="shared" si="74"/>
        <v>0.70635834705768252</v>
      </c>
      <c r="AK538" s="2421">
        <f>IF(AND(дома!$Z$29&gt;=AJ538,дома!$Z$29&lt;=AI538),связи1!AG538,0)</f>
        <v>0</v>
      </c>
      <c r="AL538" s="2421">
        <f>IF(AND(дома!$AA$29&gt;=AJ538,дома!$AA$29&lt;=AI538),связи1!AG538,0)</f>
        <v>0</v>
      </c>
    </row>
    <row r="539" spans="1:38">
      <c r="A539" s="2379" t="s">
        <v>1610</v>
      </c>
      <c r="AG539" s="2421">
        <v>40.6</v>
      </c>
      <c r="AH539" s="2715">
        <f t="shared" si="72"/>
        <v>0.7086036763096768</v>
      </c>
      <c r="AI539" s="2715">
        <f t="shared" si="73"/>
        <v>0.70910367630967674</v>
      </c>
      <c r="AJ539" s="2715">
        <f t="shared" si="74"/>
        <v>0.70810367630967685</v>
      </c>
      <c r="AK539" s="2421">
        <f>IF(AND(дома!$Z$29&gt;=AJ539,дома!$Z$29&lt;=AI539),связи1!AG539,0)</f>
        <v>0</v>
      </c>
      <c r="AL539" s="2421">
        <f>IF(AND(дома!$AA$29&gt;=AJ539,дома!$AA$29&lt;=AI539),связи1!AG539,0)</f>
        <v>0</v>
      </c>
    </row>
    <row r="540" spans="1:38">
      <c r="A540" s="2379" t="s">
        <v>1798</v>
      </c>
      <c r="AG540" s="2421">
        <v>40.700000000000003</v>
      </c>
      <c r="AH540" s="2715">
        <f t="shared" si="72"/>
        <v>0.71034900556167113</v>
      </c>
      <c r="AI540" s="2715">
        <f t="shared" si="73"/>
        <v>0.71084900556167108</v>
      </c>
      <c r="AJ540" s="2715">
        <f t="shared" si="74"/>
        <v>0.70984900556167119</v>
      </c>
      <c r="AK540" s="2421">
        <f>IF(AND(дома!$Z$29&gt;=AJ540,дома!$Z$29&lt;=AI540),связи1!AG540,0)</f>
        <v>0</v>
      </c>
      <c r="AL540" s="2421">
        <f>IF(AND(дома!$AA$29&gt;=AJ540,дома!$AA$29&lt;=AI540),связи1!AG540,0)</f>
        <v>0</v>
      </c>
    </row>
    <row r="541" spans="1:38">
      <c r="AG541" s="2421">
        <v>40.799999999999997</v>
      </c>
      <c r="AH541" s="2715">
        <f t="shared" si="72"/>
        <v>0.71209433481366524</v>
      </c>
      <c r="AI541" s="2715">
        <f t="shared" si="73"/>
        <v>0.71259433481366519</v>
      </c>
      <c r="AJ541" s="2715">
        <f t="shared" si="74"/>
        <v>0.7115943348136653</v>
      </c>
      <c r="AK541" s="2421">
        <f>IF(AND(дома!$Z$29&gt;=AJ541,дома!$Z$29&lt;=AI541),связи1!AG541,0)</f>
        <v>0</v>
      </c>
      <c r="AL541" s="2421">
        <f>IF(AND(дома!$AA$29&gt;=AJ541,дома!$AA$29&lt;=AI541),связи1!AG541,0)</f>
        <v>0</v>
      </c>
    </row>
    <row r="542" spans="1:38">
      <c r="A542" s="2379" t="s">
        <v>2356</v>
      </c>
      <c r="AG542" s="2421">
        <v>40.9</v>
      </c>
      <c r="AH542" s="2715">
        <f t="shared" si="72"/>
        <v>0.71383966406565957</v>
      </c>
      <c r="AI542" s="2715">
        <f t="shared" si="73"/>
        <v>0.71433966406565952</v>
      </c>
      <c r="AJ542" s="2715">
        <f t="shared" si="74"/>
        <v>0.71333966406565963</v>
      </c>
      <c r="AK542" s="2421">
        <f>IF(AND(дома!$Z$29&gt;=AJ542,дома!$Z$29&lt;=AI542),связи1!AG542,0)</f>
        <v>0</v>
      </c>
      <c r="AL542" s="2421">
        <f>IF(AND(дома!$AA$29&gt;=AJ542,дома!$AA$29&lt;=AI542),связи1!AG542,0)</f>
        <v>0</v>
      </c>
    </row>
    <row r="543" spans="1:38">
      <c r="A543" s="2379" t="s">
        <v>4583</v>
      </c>
      <c r="AG543" s="2421">
        <v>41</v>
      </c>
      <c r="AH543" s="2715">
        <f t="shared" si="72"/>
        <v>0.71558499331765391</v>
      </c>
      <c r="AI543" s="2715">
        <f t="shared" si="73"/>
        <v>0.71608499331765385</v>
      </c>
      <c r="AJ543" s="2715">
        <f t="shared" si="74"/>
        <v>0.71508499331765396</v>
      </c>
      <c r="AK543" s="2421">
        <f>IF(AND(дома!$Z$29&gt;=AJ543,дома!$Z$29&lt;=AI543),связи1!AG543,0)</f>
        <v>0</v>
      </c>
      <c r="AL543" s="2421">
        <f>IF(AND(дома!$AA$29&gt;=AJ543,дома!$AA$29&lt;=AI543),связи1!AG543,0)</f>
        <v>0</v>
      </c>
    </row>
    <row r="544" spans="1:38">
      <c r="AG544" s="2421">
        <v>41.1</v>
      </c>
      <c r="AH544" s="2715">
        <f t="shared" si="72"/>
        <v>0.71733032256964813</v>
      </c>
      <c r="AI544" s="2715">
        <f t="shared" si="73"/>
        <v>0.71783032256964807</v>
      </c>
      <c r="AJ544" s="2715">
        <f t="shared" si="74"/>
        <v>0.71683032256964818</v>
      </c>
      <c r="AK544" s="2421">
        <f>IF(AND(дома!$Z$29&gt;=AJ544,дома!$Z$29&lt;=AI544),связи1!AG544,0)</f>
        <v>0</v>
      </c>
      <c r="AL544" s="2421">
        <f>IF(AND(дома!$AA$29&gt;=AJ544,дома!$AA$29&lt;=AI544),связи1!AG544,0)</f>
        <v>0</v>
      </c>
    </row>
    <row r="545" spans="1:38">
      <c r="A545" s="2379" t="s">
        <v>4584</v>
      </c>
      <c r="AG545" s="2421">
        <v>41.2</v>
      </c>
      <c r="AH545" s="2715">
        <f t="shared" si="72"/>
        <v>0.71907565182164235</v>
      </c>
      <c r="AI545" s="2715">
        <f t="shared" si="73"/>
        <v>0.71957565182164229</v>
      </c>
      <c r="AJ545" s="2715">
        <f t="shared" si="74"/>
        <v>0.7185756518216424</v>
      </c>
      <c r="AK545" s="2421">
        <f>IF(AND(дома!$Z$29&gt;=AJ545,дома!$Z$29&lt;=AI545),связи1!AG545,0)</f>
        <v>0</v>
      </c>
      <c r="AL545" s="2421">
        <f>IF(AND(дома!$AA$29&gt;=AJ545,дома!$AA$29&lt;=AI545),связи1!AG545,0)</f>
        <v>0</v>
      </c>
    </row>
    <row r="546" spans="1:38">
      <c r="A546" s="2379" t="s">
        <v>2357</v>
      </c>
      <c r="AG546" s="2421">
        <v>41.3</v>
      </c>
      <c r="AH546" s="2715">
        <f t="shared" si="72"/>
        <v>0.72082098107363668</v>
      </c>
      <c r="AI546" s="2715">
        <f t="shared" si="73"/>
        <v>0.72132098107363662</v>
      </c>
      <c r="AJ546" s="2715">
        <f t="shared" si="74"/>
        <v>0.72032098107363673</v>
      </c>
      <c r="AK546" s="2421">
        <f>IF(AND(дома!$Z$29&gt;=AJ546,дома!$Z$29&lt;=AI546),связи1!AG546,0)</f>
        <v>0</v>
      </c>
      <c r="AL546" s="2421">
        <f>IF(AND(дома!$AA$29&gt;=AJ546,дома!$AA$29&lt;=AI546),связи1!AG546,0)</f>
        <v>0</v>
      </c>
    </row>
    <row r="547" spans="1:38">
      <c r="AG547" s="2421">
        <v>41.4</v>
      </c>
      <c r="AH547" s="2715">
        <f t="shared" si="72"/>
        <v>0.7225663103256309</v>
      </c>
      <c r="AI547" s="2715">
        <f t="shared" si="73"/>
        <v>0.72306631032563085</v>
      </c>
      <c r="AJ547" s="2715">
        <f t="shared" si="74"/>
        <v>0.72206631032563096</v>
      </c>
      <c r="AK547" s="2421">
        <f>IF(AND(дома!$Z$29&gt;=AJ547,дома!$Z$29&lt;=AI547),связи1!AG547,0)</f>
        <v>0</v>
      </c>
      <c r="AL547" s="2421">
        <f>IF(AND(дома!$AA$29&gt;=AJ547,дома!$AA$29&lt;=AI547),связи1!AG547,0)</f>
        <v>0</v>
      </c>
    </row>
    <row r="548" spans="1:38" ht="16">
      <c r="A548" s="2795" t="s">
        <v>1093</v>
      </c>
      <c r="B548" s="2796" t="s">
        <v>120</v>
      </c>
      <c r="C548" s="2797" t="s">
        <v>1753</v>
      </c>
      <c r="D548" s="2798"/>
      <c r="E548" s="2798"/>
      <c r="F548" s="2796"/>
      <c r="AG548" s="2421">
        <v>41.5</v>
      </c>
      <c r="AH548" s="2715">
        <f t="shared" si="72"/>
        <v>0.72431163957762523</v>
      </c>
      <c r="AI548" s="2715">
        <f t="shared" si="73"/>
        <v>0.72481163957762518</v>
      </c>
      <c r="AJ548" s="2715">
        <f t="shared" si="74"/>
        <v>0.72381163957762529</v>
      </c>
      <c r="AK548" s="2421">
        <f>IF(AND(дома!$Z$29&gt;=AJ548,дома!$Z$29&lt;=AI548),связи1!AG548,0)</f>
        <v>0</v>
      </c>
      <c r="AL548" s="2421">
        <f>IF(AND(дома!$AA$29&gt;=AJ548,дома!$AA$29&lt;=AI548),связи1!AG548,0)</f>
        <v>0</v>
      </c>
    </row>
    <row r="549" spans="1:38" ht="16">
      <c r="A549" s="1100" t="s">
        <v>2016</v>
      </c>
      <c r="B549" s="2799" t="s">
        <v>159</v>
      </c>
      <c r="C549" s="2799" t="s">
        <v>1966</v>
      </c>
      <c r="D549" s="438" t="s">
        <v>1970</v>
      </c>
      <c r="E549" s="546" t="s">
        <v>2017</v>
      </c>
      <c r="F549" s="438" t="s">
        <v>2018</v>
      </c>
      <c r="AG549" s="2421">
        <v>41.6</v>
      </c>
      <c r="AH549" s="2715">
        <f t="shared" si="72"/>
        <v>0.72605696882961956</v>
      </c>
      <c r="AI549" s="2715">
        <f t="shared" si="73"/>
        <v>0.72655696882961951</v>
      </c>
      <c r="AJ549" s="2715">
        <f t="shared" si="74"/>
        <v>0.72555696882961962</v>
      </c>
      <c r="AK549" s="2421">
        <f>IF(AND(дома!$Z$29&gt;=AJ549,дома!$Z$29&lt;=AI549),связи1!AG549,0)</f>
        <v>0</v>
      </c>
      <c r="AL549" s="2421">
        <f>IF(AND(дома!$AA$29&gt;=AJ549,дома!$AA$29&lt;=AI549),связи1!AG549,0)</f>
        <v>0</v>
      </c>
    </row>
    <row r="550" spans="1:38" ht="16">
      <c r="A550" s="1100" t="s">
        <v>2019</v>
      </c>
      <c r="B550" s="2799" t="s">
        <v>159</v>
      </c>
      <c r="C550" s="1043">
        <f>'Ввод данных'!C378</f>
        <v>1</v>
      </c>
      <c r="D550" s="1043">
        <f>'Ввод данных'!D378</f>
        <v>1</v>
      </c>
      <c r="E550" s="1043">
        <f>'Ввод данных'!E378</f>
        <v>1</v>
      </c>
      <c r="F550" s="1043">
        <f>'Ввод данных'!F378</f>
        <v>1</v>
      </c>
      <c r="AG550" s="2421">
        <v>41.7</v>
      </c>
      <c r="AH550" s="2715">
        <f t="shared" si="72"/>
        <v>0.7278022980816139</v>
      </c>
      <c r="AI550" s="2715">
        <f t="shared" si="73"/>
        <v>0.72830229808161384</v>
      </c>
      <c r="AJ550" s="2715">
        <f t="shared" si="74"/>
        <v>0.72730229808161395</v>
      </c>
      <c r="AK550" s="2421">
        <f>IF(AND(дома!$Z$29&gt;=AJ550,дома!$Z$29&lt;=AI550),связи1!AG550,0)</f>
        <v>0</v>
      </c>
      <c r="AL550" s="2421">
        <f>IF(AND(дома!$AA$29&gt;=AJ550,дома!$AA$29&lt;=AI550),связи1!AG550,0)</f>
        <v>0</v>
      </c>
    </row>
    <row r="551" spans="1:38" ht="16">
      <c r="A551" s="985" t="s">
        <v>1754</v>
      </c>
      <c r="B551" s="438" t="s">
        <v>156</v>
      </c>
      <c r="C551" s="488">
        <f>IF('Ввод данных'!C379=0,1,'Ввод данных'!C379)</f>
        <v>3</v>
      </c>
      <c r="D551" s="488">
        <f>IF('Ввод данных'!D379=0,1,'Ввод данных'!D379)</f>
        <v>3</v>
      </c>
      <c r="E551" s="488">
        <f>IF('Ввод данных'!E379=0,1,'Ввод данных'!E379)</f>
        <v>3</v>
      </c>
      <c r="F551" s="488">
        <f>IF('Ввод данных'!F379=0,1,'Ввод данных'!F379)</f>
        <v>3</v>
      </c>
      <c r="AG551" s="2421">
        <v>41.8</v>
      </c>
      <c r="AH551" s="2715">
        <f t="shared" si="72"/>
        <v>0.72954762733360801</v>
      </c>
      <c r="AI551" s="2715">
        <f t="shared" si="73"/>
        <v>0.73004762733360795</v>
      </c>
      <c r="AJ551" s="2715">
        <f t="shared" si="74"/>
        <v>0.72904762733360806</v>
      </c>
      <c r="AK551" s="2421">
        <f>IF(AND(дома!$Z$29&gt;=AJ551,дома!$Z$29&lt;=AI551),связи1!AG551,0)</f>
        <v>0</v>
      </c>
      <c r="AL551" s="2421">
        <f>IF(AND(дома!$AA$29&gt;=AJ551,дома!$AA$29&lt;=AI551),связи1!AG551,0)</f>
        <v>0</v>
      </c>
    </row>
    <row r="552" spans="1:38" ht="16">
      <c r="A552" s="985" t="s">
        <v>1755</v>
      </c>
      <c r="B552" s="438" t="s">
        <v>156</v>
      </c>
      <c r="C552" s="488">
        <f>IF('Ввод данных'!C380=0,1,'Ввод данных'!C380)</f>
        <v>6</v>
      </c>
      <c r="D552" s="488">
        <f>IF('Ввод данных'!D380=0,1,'Ввод данных'!D380)</f>
        <v>3</v>
      </c>
      <c r="E552" s="488">
        <f>IF('Ввод данных'!E380=0,1,'Ввод данных'!E380)</f>
        <v>3</v>
      </c>
      <c r="F552" s="488">
        <f>IF('Ввод данных'!F380=0,1,'Ввод данных'!F380)</f>
        <v>5</v>
      </c>
      <c r="AG552" s="2421">
        <v>41.9</v>
      </c>
      <c r="AH552" s="2715">
        <f t="shared" si="72"/>
        <v>0.73129295658560234</v>
      </c>
      <c r="AI552" s="2715">
        <f t="shared" si="73"/>
        <v>0.73179295658560228</v>
      </c>
      <c r="AJ552" s="2715">
        <f t="shared" si="74"/>
        <v>0.73079295658560239</v>
      </c>
      <c r="AK552" s="2421">
        <f>IF(AND(дома!$Z$29&gt;=AJ552,дома!$Z$29&lt;=AI552),связи1!AG552,0)</f>
        <v>0</v>
      </c>
      <c r="AL552" s="2421">
        <f>IF(AND(дома!$AA$29&gt;=AJ552,дома!$AA$29&lt;=AI552),связи1!AG552,0)</f>
        <v>0</v>
      </c>
    </row>
    <row r="553" spans="1:38" ht="16">
      <c r="A553" s="985" t="s">
        <v>1756</v>
      </c>
      <c r="B553" s="438" t="s">
        <v>156</v>
      </c>
      <c r="C553" s="488">
        <f>IF('Ввод данных'!C381=0,1,'Ввод данных'!C381)</f>
        <v>2.9</v>
      </c>
      <c r="D553" s="488">
        <f>IF('Ввод данных'!D381=0,1,'Ввод данных'!D381)</f>
        <v>2.9</v>
      </c>
      <c r="E553" s="488">
        <f>IF('Ввод данных'!E381=0,1,'Ввод данных'!E381)</f>
        <v>2.9</v>
      </c>
      <c r="F553" s="488">
        <f>IF('Ввод данных'!F381=0,1,'Ввод данных'!F381)</f>
        <v>3</v>
      </c>
      <c r="AG553" s="2421">
        <v>42</v>
      </c>
      <c r="AH553" s="2715">
        <f t="shared" si="72"/>
        <v>0.73303828583759667</v>
      </c>
      <c r="AI553" s="2715">
        <f t="shared" si="73"/>
        <v>0.73353828583759662</v>
      </c>
      <c r="AJ553" s="2715">
        <f t="shared" si="74"/>
        <v>0.73253828583759673</v>
      </c>
      <c r="AK553" s="2421">
        <f>IF(AND(дома!$Z$29&gt;=AJ553,дома!$Z$29&lt;=AI553),связи1!AG553,0)</f>
        <v>0</v>
      </c>
      <c r="AL553" s="2421">
        <f>IF(AND(дома!$AA$29&gt;=AJ553,дома!$AA$29&lt;=AI553),связи1!AG553,0)</f>
        <v>0</v>
      </c>
    </row>
    <row r="554" spans="1:38" ht="16">
      <c r="A554" s="985" t="s">
        <v>1757</v>
      </c>
      <c r="B554" s="438" t="s">
        <v>156</v>
      </c>
      <c r="C554" s="488">
        <f>IF('Ввод данных'!C382=0,1,'Ввод данных'!C382)</f>
        <v>5</v>
      </c>
      <c r="D554" s="488">
        <f>IF('Ввод данных'!D382=0,1,'Ввод данных'!D382)</f>
        <v>4.0999999999999996</v>
      </c>
      <c r="E554" s="488">
        <f>IF('Ввод данных'!E382=0,1,'Ввод данных'!E382)</f>
        <v>6</v>
      </c>
      <c r="F554" s="488">
        <f>IF('Ввод данных'!F382=0,1,'Ввод данных'!F382)</f>
        <v>4</v>
      </c>
      <c r="AG554" s="2421">
        <v>42.1</v>
      </c>
      <c r="AH554" s="2715">
        <f t="shared" si="72"/>
        <v>0.73478361508959089</v>
      </c>
      <c r="AI554" s="2715">
        <f t="shared" si="73"/>
        <v>0.73528361508959084</v>
      </c>
      <c r="AJ554" s="2715">
        <f t="shared" si="74"/>
        <v>0.73428361508959095</v>
      </c>
      <c r="AK554" s="2421">
        <f>IF(AND(дома!$Z$29&gt;=AJ554,дома!$Z$29&lt;=AI554),связи1!AG554,0)</f>
        <v>0</v>
      </c>
      <c r="AL554" s="2421">
        <f>IF(AND(дома!$AA$29&gt;=AJ554,дома!$AA$29&lt;=AI554),связи1!AG554,0)</f>
        <v>0</v>
      </c>
    </row>
    <row r="555" spans="1:38" ht="16">
      <c r="A555" s="985" t="s">
        <v>2576</v>
      </c>
      <c r="B555" s="438" t="s">
        <v>156</v>
      </c>
      <c r="C555" s="488">
        <f>IF('Ввод данных'!C383=0,1,'Ввод данных'!C383)</f>
        <v>1.2</v>
      </c>
      <c r="D555" s="488">
        <f>IF('Ввод данных'!D383=0,1,'Ввод данных'!D383)</f>
        <v>2.1</v>
      </c>
      <c r="E555" s="488">
        <f>IF('Ввод данных'!E383=0,1,'Ввод данных'!E383)</f>
        <v>1.5</v>
      </c>
      <c r="F555" s="488">
        <f>IF('Ввод данных'!F383=0,1,'Ввод данных'!F383)</f>
        <v>2.7</v>
      </c>
      <c r="AG555" s="2421">
        <v>42.2</v>
      </c>
      <c r="AH555" s="2715">
        <f t="shared" si="72"/>
        <v>0.73652894434158511</v>
      </c>
      <c r="AI555" s="2715">
        <f t="shared" si="73"/>
        <v>0.73702894434158506</v>
      </c>
      <c r="AJ555" s="2715">
        <f t="shared" si="74"/>
        <v>0.73602894434158517</v>
      </c>
      <c r="AK555" s="2421">
        <f>IF(AND(дома!$Z$29&gt;=AJ555,дома!$Z$29&lt;=AI555),связи1!AG555,0)</f>
        <v>0</v>
      </c>
      <c r="AL555" s="2421">
        <f>IF(AND(дома!$AA$29&gt;=AJ555,дома!$AA$29&lt;=AI555),связи1!AG555,0)</f>
        <v>0</v>
      </c>
    </row>
    <row r="556" spans="1:38" ht="16">
      <c r="A556" s="985" t="s">
        <v>1760</v>
      </c>
      <c r="B556" s="438" t="s">
        <v>156</v>
      </c>
      <c r="C556" s="488">
        <f>IF('Ввод данных'!C384=0,1,'Ввод данных'!C384)</f>
        <v>2.5</v>
      </c>
      <c r="D556" s="488">
        <f>IF('Ввод данных'!D384=0,1,'Ввод данных'!D384)</f>
        <v>2.2000000000000002</v>
      </c>
      <c r="E556" s="488">
        <f>IF('Ввод данных'!E384=0,1,'Ввод данных'!E384)</f>
        <v>2.2000000000000002</v>
      </c>
      <c r="F556" s="488">
        <f>IF('Ввод данных'!F384=0,1,'Ввод данных'!F384)</f>
        <v>2.7</v>
      </c>
      <c r="AG556" s="2421">
        <v>42.3</v>
      </c>
      <c r="AH556" s="2715">
        <f t="shared" si="72"/>
        <v>0.73827427359357944</v>
      </c>
      <c r="AI556" s="2715">
        <f t="shared" si="73"/>
        <v>0.73877427359357939</v>
      </c>
      <c r="AJ556" s="2715">
        <f t="shared" si="74"/>
        <v>0.7377742735935795</v>
      </c>
      <c r="AK556" s="2421">
        <f>IF(AND(дома!$Z$29&gt;=AJ556,дома!$Z$29&lt;=AI556),связи1!AG556,0)</f>
        <v>0</v>
      </c>
      <c r="AL556" s="2421">
        <f>IF(AND(дома!$AA$29&gt;=AJ556,дома!$AA$29&lt;=AI556),связи1!AG556,0)</f>
        <v>0</v>
      </c>
    </row>
    <row r="557" spans="1:38" ht="16">
      <c r="A557" s="985" t="s">
        <v>2579</v>
      </c>
      <c r="B557" s="771" t="s">
        <v>156</v>
      </c>
      <c r="C557" s="488">
        <f>IF(связи1!C566=0,1,связи1!C566)</f>
        <v>1.9000000000000001</v>
      </c>
      <c r="D557" s="488">
        <f>IF(связи1!D566=0,1,связи1!D566)</f>
        <v>0.99999999999999978</v>
      </c>
      <c r="E557" s="488">
        <f>IF(связи1!E566=0,1,связи1!E566)</f>
        <v>2.9</v>
      </c>
      <c r="F557" s="488">
        <f>IF(связи1!F566=0,1,связи1!F566)</f>
        <v>0.8</v>
      </c>
      <c r="AG557" s="2421">
        <v>42.4</v>
      </c>
      <c r="AH557" s="2715">
        <f t="shared" si="72"/>
        <v>0.74001960284557367</v>
      </c>
      <c r="AI557" s="2715">
        <f t="shared" si="73"/>
        <v>0.74051960284557361</v>
      </c>
      <c r="AJ557" s="2715">
        <f t="shared" si="74"/>
        <v>0.73951960284557372</v>
      </c>
      <c r="AK557" s="2421">
        <f>IF(AND(дома!$Z$29&gt;=AJ557,дома!$Z$29&lt;=AI557),связи1!AG557,0)</f>
        <v>0</v>
      </c>
      <c r="AL557" s="2421">
        <f>IF(AND(дома!$AA$29&gt;=AJ557,дома!$AA$29&lt;=AI557),связи1!AG557,0)</f>
        <v>0</v>
      </c>
    </row>
    <row r="558" spans="1:38" ht="16">
      <c r="A558" s="985" t="s">
        <v>4585</v>
      </c>
      <c r="B558" s="438" t="s">
        <v>156</v>
      </c>
      <c r="C558" s="488">
        <f>IF(связи1!C567=0,1,связи1!C567)</f>
        <v>1.2</v>
      </c>
      <c r="D558" s="488">
        <f>IF(связи1!D567=0,1,связи1!D567)</f>
        <v>2.1</v>
      </c>
      <c r="E558" s="488">
        <f>IF(связи1!E567=0,1,связи1!E567)</f>
        <v>1.5</v>
      </c>
      <c r="F558" s="488">
        <f>IF(связи1!F567=0,1,связи1!F567)</f>
        <v>2.7</v>
      </c>
      <c r="AG558" s="2421">
        <v>42.5</v>
      </c>
      <c r="AH558" s="2715">
        <f t="shared" si="72"/>
        <v>0.741764932097568</v>
      </c>
      <c r="AI558" s="2715">
        <f t="shared" si="73"/>
        <v>0.74226493209756794</v>
      </c>
      <c r="AJ558" s="2715">
        <f t="shared" si="74"/>
        <v>0.74126493209756805</v>
      </c>
      <c r="AK558" s="2421">
        <f>IF(AND(дома!$Z$29&gt;=AJ558,дома!$Z$29&lt;=AI558),связи1!AG558,0)</f>
        <v>0</v>
      </c>
      <c r="AL558" s="2421">
        <f>IF(AND(дома!$AA$29&gt;=AJ558,дома!$AA$29&lt;=AI558),связи1!AG558,0)</f>
        <v>0</v>
      </c>
    </row>
    <row r="559" spans="1:38" ht="16">
      <c r="A559" s="2800" t="s">
        <v>4586</v>
      </c>
      <c r="B559" s="556" t="s">
        <v>156</v>
      </c>
      <c r="C559" s="488">
        <f>IF('Ввод данных'!C387=0,1,'Ввод данных'!C387)</f>
        <v>0.5</v>
      </c>
      <c r="D559" s="488">
        <f>IF('Ввод данных'!D387=0,1,'Ввод данных'!D387)</f>
        <v>0.6</v>
      </c>
      <c r="E559" s="488">
        <f>IF('Ввод данных'!E387=0,1,'Ввод данных'!E387)</f>
        <v>0.6</v>
      </c>
      <c r="F559" s="488">
        <f>IF('Ввод данных'!F387=0,1,'Ввод данных'!F387)</f>
        <v>0.6</v>
      </c>
      <c r="AG559" s="2421">
        <v>42.6</v>
      </c>
      <c r="AH559" s="2715">
        <f t="shared" si="72"/>
        <v>0.74351026134956233</v>
      </c>
      <c r="AI559" s="2715">
        <f t="shared" si="73"/>
        <v>0.74401026134956227</v>
      </c>
      <c r="AJ559" s="2715">
        <f t="shared" si="74"/>
        <v>0.74301026134956238</v>
      </c>
      <c r="AK559" s="2421">
        <f>IF(AND(дома!$Z$29&gt;=AJ559,дома!$Z$29&lt;=AI559),связи1!AG559,0)</f>
        <v>0</v>
      </c>
      <c r="AL559" s="2421">
        <f>IF(AND(дома!$AA$29&gt;=AJ559,дома!$AA$29&lt;=AI559),связи1!AG559,0)</f>
        <v>0</v>
      </c>
    </row>
    <row r="560" spans="1:38" ht="16">
      <c r="A560" s="2800" t="s">
        <v>4587</v>
      </c>
      <c r="B560" s="556" t="s">
        <v>156</v>
      </c>
      <c r="C560" s="488">
        <f>IF('Ввод данных'!C388=0,1,'Ввод данных'!C388)</f>
        <v>0.7</v>
      </c>
      <c r="D560" s="488">
        <f>IF('Ввод данных'!D388=0,1,'Ввод данных'!D388)</f>
        <v>0.6</v>
      </c>
      <c r="E560" s="488">
        <f>IF('Ввод данных'!E388=0,1,'Ввод данных'!E388)</f>
        <v>0.6</v>
      </c>
      <c r="F560" s="488">
        <f>IF('Ввод данных'!F388=0,1,'Ввод данных'!F388)</f>
        <v>0.6</v>
      </c>
      <c r="AG560" s="2421">
        <v>42.7</v>
      </c>
      <c r="AH560" s="2715">
        <f t="shared" si="72"/>
        <v>0.74525559060155666</v>
      </c>
      <c r="AI560" s="2715">
        <f t="shared" si="73"/>
        <v>0.74575559060155661</v>
      </c>
      <c r="AJ560" s="2715">
        <f t="shared" si="74"/>
        <v>0.74475559060155672</v>
      </c>
      <c r="AK560" s="2421">
        <f>IF(AND(дома!$Z$29&gt;=AJ560,дома!$Z$29&lt;=AI560),связи1!AG560,0)</f>
        <v>0</v>
      </c>
      <c r="AL560" s="2421">
        <f>IF(AND(дома!$AA$29&gt;=AJ560,дома!$AA$29&lt;=AI560),связи1!AG560,0)</f>
        <v>0</v>
      </c>
    </row>
    <row r="561" spans="1:38" ht="16">
      <c r="A561" s="2800" t="s">
        <v>2023</v>
      </c>
      <c r="B561" s="556" t="s">
        <v>156</v>
      </c>
      <c r="C561" s="488">
        <f>IF('Ввод данных'!C389=0,1,'Ввод данных'!C389)</f>
        <v>0.5</v>
      </c>
      <c r="D561" s="488">
        <f>IF('Ввод данных'!D389=0,1,'Ввод данных'!D389)</f>
        <v>0.5</v>
      </c>
      <c r="E561" s="488">
        <f>IF('Ввод данных'!E389=0,1,'Ввод данных'!E389)</f>
        <v>0.8</v>
      </c>
      <c r="F561" s="488">
        <f>IF('Ввод данных'!F389=0,1,'Ввод данных'!F389)</f>
        <v>0.8</v>
      </c>
      <c r="AG561" s="2421">
        <v>42.8</v>
      </c>
      <c r="AH561" s="2715">
        <f t="shared" ref="AH561:AH592" si="75">AG561*3.1415926535897/180</f>
        <v>0.74700091985355077</v>
      </c>
      <c r="AI561" s="2715">
        <f t="shared" ref="AI561:AI592" si="76">AH561+0.0005</f>
        <v>0.74750091985355072</v>
      </c>
      <c r="AJ561" s="2715">
        <f t="shared" ref="AJ561:AJ568" si="77">AH561-0.0005</f>
        <v>0.74650091985355083</v>
      </c>
      <c r="AK561" s="2421">
        <f>IF(AND(дома!$Z$29&gt;=AJ561,дома!$Z$29&lt;=AI561),связи1!AG561,0)</f>
        <v>0</v>
      </c>
      <c r="AL561" s="2421">
        <f>IF(AND(дома!$AA$29&gt;=AJ561,дома!$AA$29&lt;=AI561),связи1!AG561,0)</f>
        <v>0</v>
      </c>
    </row>
    <row r="562" spans="1:38" ht="16">
      <c r="A562" s="2800" t="s">
        <v>2024</v>
      </c>
      <c r="B562" s="1110" t="s">
        <v>156</v>
      </c>
      <c r="C562" s="488">
        <f>IF('Ввод данных'!C390=0,1,'Ввод данных'!C390)</f>
        <v>0.7</v>
      </c>
      <c r="D562" s="488">
        <f>IF('Ввод данных'!D390=0,1,'Ввод данных'!D390)</f>
        <v>0.4</v>
      </c>
      <c r="E562" s="488">
        <f>IF('Ввод данных'!E390=0,1,'Ввод данных'!E390)</f>
        <v>0.9</v>
      </c>
      <c r="F562" s="488">
        <f>IF('Ввод данных'!F390=0,1,'Ввод данных'!F390)</f>
        <v>0.9</v>
      </c>
      <c r="AG562" s="2421">
        <v>42.9</v>
      </c>
      <c r="AH562" s="2715">
        <f t="shared" si="75"/>
        <v>0.7487462491055451</v>
      </c>
      <c r="AI562" s="2715">
        <f t="shared" si="76"/>
        <v>0.74924624910554505</v>
      </c>
      <c r="AJ562" s="2715">
        <f t="shared" si="77"/>
        <v>0.74824624910554516</v>
      </c>
      <c r="AK562" s="2421">
        <f>IF(AND(дома!$Z$29&gt;=AJ562,дома!$Z$29&lt;=AI562),связи1!AG562,0)</f>
        <v>0</v>
      </c>
      <c r="AL562" s="2421">
        <f>IF(AND(дома!$AA$29&gt;=AJ562,дома!$AA$29&lt;=AI562),связи1!AG562,0)</f>
        <v>0</v>
      </c>
    </row>
    <row r="563" spans="1:38" ht="16">
      <c r="A563" s="2800" t="s">
        <v>2025</v>
      </c>
      <c r="B563" s="556" t="s">
        <v>156</v>
      </c>
      <c r="C563" s="488">
        <f>IF('Ввод данных'!C391=0,1,'Ввод данных'!C391)</f>
        <v>2</v>
      </c>
      <c r="D563" s="488">
        <f>IF('Ввод данных'!D391=0,1,'Ввод данных'!D391)</f>
        <v>1</v>
      </c>
      <c r="E563" s="488">
        <f>IF('Ввод данных'!E391=0,1,'Ввод данных'!E391)</f>
        <v>2</v>
      </c>
      <c r="F563" s="488">
        <f>IF('Ввод данных'!F391=0,1,'Ввод данных'!F391)</f>
        <v>3</v>
      </c>
      <c r="AG563" s="2421">
        <v>43</v>
      </c>
      <c r="AH563" s="2715">
        <f t="shared" si="75"/>
        <v>0.75049157835753944</v>
      </c>
      <c r="AI563" s="2715">
        <f t="shared" si="76"/>
        <v>0.75099157835753938</v>
      </c>
      <c r="AJ563" s="2715">
        <f t="shared" si="77"/>
        <v>0.74999157835753949</v>
      </c>
      <c r="AK563" s="2421">
        <f>IF(AND(дома!$Z$29&gt;=AJ563,дома!$Z$29&lt;=AI563),связи1!AG563,0)</f>
        <v>0</v>
      </c>
      <c r="AL563" s="2421">
        <f>IF(AND(дома!$AA$29&gt;=AJ563,дома!$AA$29&lt;=AI563),связи1!AG563,0)</f>
        <v>0</v>
      </c>
    </row>
    <row r="564" spans="1:38">
      <c r="AG564" s="2421">
        <v>43.1</v>
      </c>
      <c r="AH564" s="2715">
        <f t="shared" si="75"/>
        <v>0.75223690760953366</v>
      </c>
      <c r="AI564" s="2715">
        <f t="shared" si="76"/>
        <v>0.7527369076095336</v>
      </c>
      <c r="AJ564" s="2715">
        <f t="shared" si="77"/>
        <v>0.75173690760953371</v>
      </c>
      <c r="AK564" s="2421">
        <f>IF(AND(дома!$Z$29&gt;=AJ564,дома!$Z$29&lt;=AI564),связи1!AG564,0)</f>
        <v>0</v>
      </c>
      <c r="AL564" s="2421">
        <f>IF(AND(дома!$AA$29&gt;=AJ564,дома!$AA$29&lt;=AI564),связи1!AG564,0)</f>
        <v>0</v>
      </c>
    </row>
    <row r="565" spans="1:38">
      <c r="AG565" s="2421">
        <v>43.2</v>
      </c>
      <c r="AH565" s="2715">
        <f t="shared" si="75"/>
        <v>0.7539822368615281</v>
      </c>
      <c r="AI565" s="2715">
        <f t="shared" si="76"/>
        <v>0.75448223686152804</v>
      </c>
      <c r="AJ565" s="2715">
        <f t="shared" si="77"/>
        <v>0.75348223686152815</v>
      </c>
      <c r="AK565" s="2421">
        <f>IF(AND(дома!$Z$29&gt;=AJ565,дома!$Z$29&lt;=AI565),связи1!AG565,0)</f>
        <v>0</v>
      </c>
      <c r="AL565" s="2421">
        <f>IF(AND(дома!$AA$29&gt;=AJ565,дома!$AA$29&lt;=AI565),связи1!AG565,0)</f>
        <v>0</v>
      </c>
    </row>
    <row r="566" spans="1:38">
      <c r="A566" s="548" t="s">
        <v>2579</v>
      </c>
      <c r="B566" s="771" t="s">
        <v>156</v>
      </c>
      <c r="C566" s="551">
        <f>'Ввод данных'!C382-'Ввод данных'!C381-0.2</f>
        <v>1.9000000000000001</v>
      </c>
      <c r="D566" s="551">
        <f>'Ввод данных'!D382-'Ввод данных'!D381-0.2</f>
        <v>0.99999999999999978</v>
      </c>
      <c r="E566" s="551">
        <f>'Ввод данных'!E382-'Ввод данных'!E381-0.2</f>
        <v>2.9</v>
      </c>
      <c r="F566" s="551">
        <f>'Ввод данных'!F382-'Ввод данных'!F381-0.2</f>
        <v>0.8</v>
      </c>
      <c r="AG566" s="2421">
        <v>43.3</v>
      </c>
      <c r="AH566" s="2715">
        <f t="shared" si="75"/>
        <v>0.75572756611352221</v>
      </c>
      <c r="AI566" s="2715">
        <f t="shared" si="76"/>
        <v>0.75622756611352215</v>
      </c>
      <c r="AJ566" s="2715">
        <f t="shared" si="77"/>
        <v>0.75522756611352226</v>
      </c>
      <c r="AK566" s="2421">
        <f>IF(AND(дома!$Z$29&gt;=AJ566,дома!$Z$29&lt;=AI566),связи1!AG566,0)</f>
        <v>0</v>
      </c>
      <c r="AL566" s="2421">
        <f>IF(AND(дома!$AA$29&gt;=AJ566,дома!$AA$29&lt;=AI566),связи1!AG566,0)</f>
        <v>0</v>
      </c>
    </row>
    <row r="567" spans="1:38">
      <c r="A567" s="548" t="s">
        <v>4585</v>
      </c>
      <c r="B567" s="438" t="s">
        <v>156</v>
      </c>
      <c r="C567" s="551">
        <f>'Ввод данных'!C383</f>
        <v>1.2</v>
      </c>
      <c r="D567" s="551">
        <f>'Ввод данных'!D383</f>
        <v>2.1</v>
      </c>
      <c r="E567" s="551">
        <f>'Ввод данных'!E383</f>
        <v>1.5</v>
      </c>
      <c r="F567" s="551">
        <f>'Ввод данных'!F383</f>
        <v>2.7</v>
      </c>
      <c r="AG567" s="2421">
        <v>43.4</v>
      </c>
      <c r="AH567" s="2715">
        <f t="shared" si="75"/>
        <v>0.75747289536551643</v>
      </c>
      <c r="AI567" s="2715">
        <f t="shared" si="76"/>
        <v>0.75797289536551637</v>
      </c>
      <c r="AJ567" s="2715">
        <f t="shared" si="77"/>
        <v>0.75697289536551648</v>
      </c>
      <c r="AK567" s="2421">
        <f>IF(AND(дома!$Z$29&gt;=AJ567,дома!$Z$29&lt;=AI567),связи1!AG567,0)</f>
        <v>0</v>
      </c>
      <c r="AL567" s="2421">
        <f>IF(AND(дома!$AA$29&gt;=AJ567,дома!$AA$29&lt;=AI567),связи1!AG567,0)</f>
        <v>0</v>
      </c>
    </row>
    <row r="568" spans="1:38">
      <c r="AG568" s="2421">
        <v>43.5</v>
      </c>
      <c r="AH568" s="2715">
        <f t="shared" si="75"/>
        <v>0.75921822461751087</v>
      </c>
      <c r="AI568" s="2715">
        <f t="shared" si="76"/>
        <v>0.75971822461751082</v>
      </c>
      <c r="AJ568" s="2715">
        <f t="shared" si="77"/>
        <v>0.75871822461751093</v>
      </c>
      <c r="AK568" s="2421">
        <f>IF(AND(дома!$Z$29&gt;=AJ568,дома!$Z$29&lt;=AI568),связи1!AG568,0)</f>
        <v>0</v>
      </c>
      <c r="AL568" s="2421">
        <f>IF(AND(дома!$AA$29&gt;=AJ568,дома!$AA$29&lt;=AI568),связи1!AG568,0)</f>
        <v>0</v>
      </c>
    </row>
    <row r="570" spans="1:38">
      <c r="A570" s="2421" t="s">
        <v>1901</v>
      </c>
    </row>
    <row r="571" spans="1:38">
      <c r="A571" s="1055" t="str">
        <f>'Прайс лист'!B333</f>
        <v>Нет</v>
      </c>
    </row>
    <row r="572" spans="1:38">
      <c r="A572" s="2801" t="str">
        <f>'Прайс лист'!B334</f>
        <v>Листв. влаж, 200*200мм</v>
      </c>
    </row>
    <row r="573" spans="1:38">
      <c r="A573" s="1055" t="str">
        <f>'Прайс лист'!B335</f>
        <v>Листв. влаж, 200*180мм</v>
      </c>
    </row>
    <row r="574" spans="1:38">
      <c r="A574" s="1055" t="str">
        <f>'Прайс лист'!B336</f>
        <v>Листв. влаж, 200*150мм</v>
      </c>
    </row>
    <row r="575" spans="1:38">
      <c r="A575" s="1055" t="str">
        <f>'Прайс лист'!B337</f>
        <v>Листв. влаж, 200*100мм</v>
      </c>
    </row>
    <row r="576" spans="1:38">
      <c r="A576" s="1055" t="str">
        <f>'Прайс лист'!B338</f>
        <v>Листв. влаж, 180*180мм</v>
      </c>
    </row>
    <row r="577" spans="1:1">
      <c r="A577" s="1055" t="str">
        <f>'Прайс лист'!B339</f>
        <v>Листв. влаж, 180*150мм</v>
      </c>
    </row>
    <row r="578" spans="1:1">
      <c r="A578" s="1055" t="str">
        <f>'Прайс лист'!B340</f>
        <v>Листв. влаж, 180*100мм</v>
      </c>
    </row>
    <row r="579" spans="1:1">
      <c r="A579" s="1055" t="str">
        <f>'Прайс лист'!B341</f>
        <v>Листв. влаж, 150*150мм</v>
      </c>
    </row>
    <row r="580" spans="1:1">
      <c r="A580" s="1055" t="str">
        <f>'Прайс лист'!B342</f>
        <v>Листв. влаж, 150*100мм</v>
      </c>
    </row>
    <row r="581" spans="1:1">
      <c r="A581" s="1055" t="str">
        <f>'Прайс лист'!B343</f>
        <v>Листв. влаж, 100*100мм</v>
      </c>
    </row>
    <row r="582" spans="1:1">
      <c r="A582" s="1055" t="str">
        <f>'Прайс лист'!B344</f>
        <v>Сосна влаж, 200*200мм</v>
      </c>
    </row>
    <row r="583" spans="1:1">
      <c r="A583" s="1055" t="str">
        <f>'Прайс лист'!B345</f>
        <v>Сосна влаж, 200*180мм</v>
      </c>
    </row>
    <row r="584" spans="1:1">
      <c r="A584" s="1055" t="str">
        <f>'Прайс лист'!B346</f>
        <v>Сосна влаж, 200*150мм</v>
      </c>
    </row>
    <row r="585" spans="1:1">
      <c r="A585" s="1055" t="str">
        <f>'Прайс лист'!B347</f>
        <v>Сосна влаж, 200*100мм</v>
      </c>
    </row>
    <row r="586" spans="1:1">
      <c r="A586" s="1055" t="str">
        <f>'Прайс лист'!B348</f>
        <v>Сосна влаж, 180*180мм</v>
      </c>
    </row>
    <row r="587" spans="1:1">
      <c r="A587" s="1055" t="str">
        <f>'Прайс лист'!B349</f>
        <v>Сосна влаж, 180*150мм</v>
      </c>
    </row>
    <row r="588" spans="1:1">
      <c r="A588" s="1055" t="str">
        <f>'Прайс лист'!B350</f>
        <v>Сосна влаж, 180*100мм</v>
      </c>
    </row>
    <row r="589" spans="1:1">
      <c r="A589" s="1055" t="str">
        <f>'Прайс лист'!B351</f>
        <v>Сосна влаж, 150*150мм</v>
      </c>
    </row>
    <row r="590" spans="1:1">
      <c r="A590" s="1055" t="str">
        <f>'Прайс лист'!B352</f>
        <v>Сосна влаж, 150*100мм</v>
      </c>
    </row>
    <row r="591" spans="1:1">
      <c r="A591" s="1055" t="str">
        <f>'Прайс лист'!B353</f>
        <v>Сосна влаж, 100*100мм</v>
      </c>
    </row>
    <row r="592" spans="1:1">
      <c r="A592" s="1055" t="str">
        <f>'Прайс лист'!B354</f>
        <v>Брус клееный профилированный Шир. 240 выс. 270</v>
      </c>
    </row>
    <row r="593" spans="1:1">
      <c r="A593" s="1055" t="str">
        <f>'Прайс лист'!B355</f>
        <v>Брус клееный профилированный Шир. 200 выс. 270</v>
      </c>
    </row>
    <row r="594" spans="1:1">
      <c r="A594" s="1055" t="str">
        <f>'Прайс лист'!B356</f>
        <v>Брус клееный профилированный Шир. 160 выс. 270</v>
      </c>
    </row>
    <row r="595" spans="1:1">
      <c r="A595" s="1055" t="str">
        <f>'Прайс лист'!B357</f>
        <v>Брус клееный профилированный Шир. 120 выс. 270</v>
      </c>
    </row>
    <row r="596" spans="1:1">
      <c r="A596" s="1055" t="str">
        <f>'Прайс лист'!B358</f>
        <v>Брус клееный профилированный Шир. 240 выс. 230</v>
      </c>
    </row>
    <row r="597" spans="1:1">
      <c r="A597" s="1055" t="str">
        <f>'Прайс лист'!B359</f>
        <v>Брус клееный профилированный Шир. 200 выс. 230</v>
      </c>
    </row>
    <row r="598" spans="1:1">
      <c r="A598" s="1055" t="str">
        <f>'Прайс лист'!B360</f>
        <v>Брус клееный профилированный Шир. 160 выс. 230</v>
      </c>
    </row>
    <row r="599" spans="1:1">
      <c r="A599" s="1055" t="str">
        <f>'Прайс лист'!B361</f>
        <v>Брус клееный профилированный Шир. 120 выс. 230</v>
      </c>
    </row>
    <row r="600" spans="1:1">
      <c r="A600" s="1055" t="str">
        <f>'Прайс лист'!B362</f>
        <v>Брус клееный профилированный Шир. 240 выс. 185</v>
      </c>
    </row>
    <row r="601" spans="1:1">
      <c r="A601" s="1055" t="str">
        <f>'Прайс лист'!B363</f>
        <v>Брус клееный профилированный Шир. 200 выс. 185</v>
      </c>
    </row>
    <row r="602" spans="1:1">
      <c r="A602" s="1055" t="str">
        <f>'Прайс лист'!B364</f>
        <v>Брус клееный профилированный Шир. 160 выс. 185</v>
      </c>
    </row>
    <row r="603" spans="1:1">
      <c r="A603" s="1055" t="str">
        <f>'Прайс лист'!B365</f>
        <v>Брус клееный профилированный Шир. 120 выс. 185</v>
      </c>
    </row>
    <row r="604" spans="1:1">
      <c r="A604" s="1055" t="str">
        <f>'Прайс лист'!B366</f>
        <v>Брус клееный профилированный Шир. 240 выс. 180</v>
      </c>
    </row>
    <row r="605" spans="1:1">
      <c r="A605" s="1055" t="str">
        <f>'Прайс лист'!B367</f>
        <v>Брус клееный профилированный Шир. 200 выс. 180</v>
      </c>
    </row>
    <row r="606" spans="1:1">
      <c r="A606" s="1055" t="str">
        <f>'Прайс лист'!B368</f>
        <v>Брус клееный профилированный Шир. 160 выс. 180</v>
      </c>
    </row>
    <row r="607" spans="1:1">
      <c r="A607" s="1055" t="str">
        <f>'Прайс лист'!B369</f>
        <v>Брус клееный профилированный Шир. 120 выс. 180</v>
      </c>
    </row>
    <row r="608" spans="1:1">
      <c r="A608" s="1055" t="str">
        <f>'Прайс лист'!B370</f>
        <v>Брус клееный профилированный Шир. 240 выс. 160</v>
      </c>
    </row>
    <row r="609" spans="1:1">
      <c r="A609" s="1055" t="str">
        <f>'Прайс лист'!B371</f>
        <v>Брус клееный профилированный Шир. 200 выс. 160</v>
      </c>
    </row>
    <row r="610" spans="1:1">
      <c r="A610" s="1055" t="str">
        <f>'Прайс лист'!B372</f>
        <v>Брус клееный профилированный Шир. 160 выс. 160</v>
      </c>
    </row>
    <row r="611" spans="1:1">
      <c r="A611" s="1055" t="str">
        <f>'Прайс лист'!B373</f>
        <v>Брус клееный профилированный Шир. 120 выс. 160</v>
      </c>
    </row>
    <row r="612" spans="1:1">
      <c r="A612" s="1055" t="str">
        <f>'Прайс лист'!B374</f>
        <v>Брус клееный профилированный Шир. 240 выс. 145</v>
      </c>
    </row>
    <row r="613" spans="1:1">
      <c r="A613" s="1055" t="str">
        <f>'Прайс лист'!B375</f>
        <v>Брус клееный профилированный Шир. 200 выс. 145</v>
      </c>
    </row>
    <row r="614" spans="1:1">
      <c r="A614" s="1055" t="str">
        <f>'Прайс лист'!B376</f>
        <v>Брус клееный профилированный Шир. 160 выс. 145</v>
      </c>
    </row>
    <row r="615" spans="1:1">
      <c r="A615" s="1055" t="str">
        <f>'Прайс лист'!B377</f>
        <v>Брус клееный профилированный Шир. 120 выс. 145</v>
      </c>
    </row>
    <row r="616" spans="1:1">
      <c r="A616" s="1055" t="str">
        <f>'Прайс лист'!B378</f>
        <v>Брус клееный проф 1 ламель кедр Шир. 240 выс. 140</v>
      </c>
    </row>
    <row r="617" spans="1:1">
      <c r="A617" s="1055" t="str">
        <f>'Прайс лист'!B379</f>
        <v>Брус клееный проф 1 ламель кедр Шир. 200 выс. 140</v>
      </c>
    </row>
    <row r="618" spans="1:1">
      <c r="A618" s="1055" t="str">
        <f>'Прайс лист'!B380</f>
        <v>Брус клееный проф 1 ламель кедр Шир. 160 выс. 140</v>
      </c>
    </row>
    <row r="619" spans="1:1">
      <c r="A619" s="1055" t="str">
        <f>'Прайс лист'!B381</f>
        <v>Брус клееный проф 1 ламель кедр Шир. 120 выс. 140</v>
      </c>
    </row>
    <row r="620" spans="1:1">
      <c r="A620" s="1055" t="str">
        <f>'Прайс лист'!B382</f>
        <v>Брус клееный проф 2 ламель кедр Шир. 240 выс. 140</v>
      </c>
    </row>
    <row r="621" spans="1:1">
      <c r="A621" s="1055" t="str">
        <f>'Прайс лист'!B383</f>
        <v>Брус клееный проф 2 ламель кедр Шир. 200 выс. 140</v>
      </c>
    </row>
    <row r="622" spans="1:1">
      <c r="A622" s="1055" t="str">
        <f>'Прайс лист'!B384</f>
        <v>Брус клееный проф 2 ламель кедр Шир. 160 выс. 140</v>
      </c>
    </row>
    <row r="623" spans="1:1">
      <c r="A623" s="1055" t="str">
        <f>'Прайс лист'!B385</f>
        <v>Брус клееный проф 2 ламель кедр Шир. 120 выс. 140</v>
      </c>
    </row>
    <row r="624" spans="1:1">
      <c r="A624" s="1055" t="str">
        <f>'Прайс лист'!B386</f>
        <v>Брус клееный проф. лиственница Шир. 240 выс. 140</v>
      </c>
    </row>
    <row r="625" spans="1:1">
      <c r="A625" s="1055" t="str">
        <f>'Прайс лист'!B387</f>
        <v>Брус клееный проф. лиственница Шир. 200 выс. 140</v>
      </c>
    </row>
    <row r="626" spans="1:1">
      <c r="A626" s="1055" t="str">
        <f>'Прайс лист'!B388</f>
        <v>Брус клееный проф. лиственница Шир. 160 выс. 140</v>
      </c>
    </row>
    <row r="627" spans="1:1">
      <c r="A627" s="1055" t="str">
        <f>'Прайс лист'!B389</f>
        <v>Брус клееный проф. лиственница Шир. 120 выс. 140</v>
      </c>
    </row>
    <row r="628" spans="1:1">
      <c r="A628" s="1055" t="str">
        <f>'Прайс лист'!B390</f>
        <v>Проф.брус сух. 80*100мм</v>
      </c>
    </row>
    <row r="629" spans="1:1">
      <c r="A629" s="1055" t="str">
        <f>'Прайс лист'!B391</f>
        <v>Проф.брус сух. 80*150мм</v>
      </c>
    </row>
    <row r="630" spans="1:1">
      <c r="A630" s="1055" t="str">
        <f>'Прайс лист'!B392</f>
        <v>Проф.брус сух. 100*100мм</v>
      </c>
    </row>
    <row r="631" spans="1:1">
      <c r="A631" s="1055" t="str">
        <f>'Прайс лист'!B393</f>
        <v>Проф.брус сух. 100*150мм</v>
      </c>
    </row>
    <row r="632" spans="1:1">
      <c r="A632" s="1055" t="str">
        <f>'Прайс лист'!B394</f>
        <v>Проф.брус сух. 140*120мм</v>
      </c>
    </row>
    <row r="633" spans="1:1">
      <c r="A633" s="1055" t="str">
        <f>'Прайс лист'!B395</f>
        <v>Проф.брус сух. 140*140мм</v>
      </c>
    </row>
    <row r="634" spans="1:1">
      <c r="A634" s="1055" t="str">
        <f>'Прайс лист'!B396</f>
        <v>Проф.брус сух. 140*190мм</v>
      </c>
    </row>
    <row r="635" spans="1:1">
      <c r="A635" s="1055" t="str">
        <f>'Прайс лист'!B397</f>
        <v>Проф.брус сух. 150*100мм</v>
      </c>
    </row>
    <row r="636" spans="1:1">
      <c r="A636" s="1055" t="str">
        <f>'Прайс лист'!B398</f>
        <v>Проф.брус сух. 150*150мм</v>
      </c>
    </row>
    <row r="637" spans="1:1">
      <c r="A637" s="1055" t="str">
        <f>'Прайс лист'!B399</f>
        <v>Проф.брус сух. 150*180мм</v>
      </c>
    </row>
    <row r="638" spans="1:1">
      <c r="A638" s="1055" t="str">
        <f>'Прайс лист'!B400</f>
        <v>Проф.брус сух. 200*100мм</v>
      </c>
    </row>
    <row r="639" spans="1:1">
      <c r="A639" s="1055" t="str">
        <f>'Прайс лист'!B401</f>
        <v>Проф.брус сух. 200*150мм</v>
      </c>
    </row>
    <row r="640" spans="1:1">
      <c r="A640" s="1055" t="str">
        <f>'Прайс лист'!B402</f>
        <v>Проф.брус сух. 200*180мм</v>
      </c>
    </row>
    <row r="641" spans="1:1">
      <c r="A641" s="1055" t="str">
        <f>'Прайс лист'!B403</f>
        <v>Проф.брус вл. 80*100мм</v>
      </c>
    </row>
    <row r="642" spans="1:1">
      <c r="A642" s="1055" t="str">
        <f>'Прайс лист'!B404</f>
        <v>Проф.брус вл. 80*150мм</v>
      </c>
    </row>
    <row r="643" spans="1:1">
      <c r="A643" s="1055" t="str">
        <f>'Прайс лист'!B405</f>
        <v>Проф.брус вл. 100*100мм</v>
      </c>
    </row>
    <row r="644" spans="1:1">
      <c r="A644" s="1055" t="str">
        <f>'Прайс лист'!B406</f>
        <v>Проф.брус вл. 100*150мм</v>
      </c>
    </row>
    <row r="645" spans="1:1">
      <c r="A645" s="1055" t="str">
        <f>'Прайс лист'!B407</f>
        <v>Проф.брус вл. 140*140мм</v>
      </c>
    </row>
    <row r="646" spans="1:1">
      <c r="A646" s="1055" t="str">
        <f>'Прайс лист'!B408</f>
        <v>Проф.брус вл. 140*190мм</v>
      </c>
    </row>
    <row r="647" spans="1:1">
      <c r="A647" s="1055" t="str">
        <f>'Прайс лист'!B409</f>
        <v>Проф.брус вл. 140*230мм</v>
      </c>
    </row>
    <row r="648" spans="1:1">
      <c r="A648" s="1055" t="str">
        <f>'Прайс лист'!B410</f>
        <v>Проф.брус вл. 140*250мм</v>
      </c>
    </row>
    <row r="649" spans="1:1">
      <c r="A649" s="1055" t="str">
        <f>'Прайс лист'!B411</f>
        <v>Проф.брус вл. 150*100мм</v>
      </c>
    </row>
    <row r="650" spans="1:1">
      <c r="A650" s="1055" t="str">
        <f>'Прайс лист'!B412</f>
        <v>Проф.брус вл. 150*150мм</v>
      </c>
    </row>
    <row r="651" spans="1:1">
      <c r="A651" s="1055" t="str">
        <f>'Прайс лист'!B413</f>
        <v>Проф.брус вл. 150*180мм</v>
      </c>
    </row>
    <row r="652" spans="1:1">
      <c r="A652" s="1055" t="str">
        <f>'Прайс лист'!B414</f>
        <v>Проф.брус вл. 190*190мм</v>
      </c>
    </row>
    <row r="653" spans="1:1">
      <c r="A653" s="1055" t="str">
        <f>'Прайс лист'!B415</f>
        <v>Проф.брус вл. 190*230мм</v>
      </c>
    </row>
    <row r="654" spans="1:1">
      <c r="A654" s="1055" t="str">
        <f>'Прайс лист'!B416</f>
        <v>Проф.брус вл. 190*250мм</v>
      </c>
    </row>
    <row r="655" spans="1:1">
      <c r="A655" s="1055" t="str">
        <f>'Прайс лист'!B417</f>
        <v>Проф.брус вл. 200*100мм</v>
      </c>
    </row>
    <row r="656" spans="1:1">
      <c r="A656" s="1055" t="str">
        <f>'Прайс лист'!B418</f>
        <v>Проф.брус вл. 200*150мм</v>
      </c>
    </row>
    <row r="657" spans="1:1">
      <c r="A657" s="1055" t="str">
        <f>'Прайс лист'!B419</f>
        <v>Проф.брус вл. 200*180мм</v>
      </c>
    </row>
    <row r="658" spans="1:1">
      <c r="A658" s="1055" t="str">
        <f>'Прайс лист'!B558</f>
        <v>ГПС 100х50-1,2</v>
      </c>
    </row>
    <row r="659" spans="1:1">
      <c r="A659" s="1055" t="str">
        <f>'Прайс лист'!B559</f>
        <v>ГПС 100х50-1,5</v>
      </c>
    </row>
    <row r="660" spans="1:1">
      <c r="A660" s="1055" t="str">
        <f>'Прайс лист'!B560</f>
        <v>ГПС 100х50-2,0</v>
      </c>
    </row>
    <row r="661" spans="1:1">
      <c r="A661" s="1055" t="str">
        <f>'Прайс лист'!B561</f>
        <v>ГПС 120х50-1,2</v>
      </c>
    </row>
    <row r="662" spans="1:1">
      <c r="A662" s="1055" t="str">
        <f>'Прайс лист'!B562</f>
        <v>ГПС 120х50-1,5</v>
      </c>
    </row>
    <row r="663" spans="1:1">
      <c r="A663" s="1055" t="str">
        <f>'Прайс лист'!B563</f>
        <v>ГПС 120х50-2,0</v>
      </c>
    </row>
    <row r="664" spans="1:1">
      <c r="A664" s="1055" t="str">
        <f>'Прайс лист'!B564</f>
        <v>ГПС 150х50-1,2</v>
      </c>
    </row>
    <row r="665" spans="1:1">
      <c r="A665" s="1055" t="str">
        <f>'Прайс лист'!B565</f>
        <v>ГПС 150х50-1,5</v>
      </c>
    </row>
    <row r="666" spans="1:1">
      <c r="A666" s="1055" t="str">
        <f>'Прайс лист'!B566</f>
        <v>ГПС 150х50-2,0</v>
      </c>
    </row>
    <row r="667" spans="1:1">
      <c r="A667" s="1055" t="str">
        <f>'Прайс лист'!B567</f>
        <v>ГПС 170х50-1,2</v>
      </c>
    </row>
    <row r="668" spans="1:1">
      <c r="A668" s="1055" t="str">
        <f>'Прайс лист'!B568</f>
        <v>ГПС 170х50-1,5</v>
      </c>
    </row>
    <row r="669" spans="1:1">
      <c r="A669" s="1055" t="str">
        <f>'Прайс лист'!B569</f>
        <v>ГПС 170х50-2,0</v>
      </c>
    </row>
    <row r="670" spans="1:1">
      <c r="A670" s="1055" t="str">
        <f>'Прайс лист'!B570</f>
        <v>ГПС 200х50-1,2</v>
      </c>
    </row>
    <row r="671" spans="1:1">
      <c r="A671" s="1055" t="str">
        <f>'Прайс лист'!B571</f>
        <v>ГПС 200х50-1,5</v>
      </c>
    </row>
    <row r="672" spans="1:1">
      <c r="A672" s="1055" t="str">
        <f>'Прайс лист'!B572</f>
        <v>ГПС 200х50-2,0</v>
      </c>
    </row>
    <row r="673" spans="1:1">
      <c r="A673" s="1055" t="str">
        <f>'Прайс лист'!B573</f>
        <v>ГПС 250х50-1,2</v>
      </c>
    </row>
    <row r="674" spans="1:1">
      <c r="A674" s="1055" t="str">
        <f>'Прайс лист'!B574</f>
        <v>ГПС 250х50-1,5</v>
      </c>
    </row>
    <row r="675" spans="1:1">
      <c r="A675" s="1055" t="str">
        <f>'Прайс лист'!B575</f>
        <v>ГПС 250х50-2,0</v>
      </c>
    </row>
    <row r="676" spans="1:1">
      <c r="A676" s="1055" t="str">
        <f>'Прайс лист'!B576</f>
        <v>ГПС 280х50-1,2</v>
      </c>
    </row>
    <row r="677" spans="1:1">
      <c r="A677" s="1055" t="str">
        <f>'Прайс лист'!B577</f>
        <v>ГПС 280х50-1,5</v>
      </c>
    </row>
    <row r="678" spans="1:1">
      <c r="A678" s="1055" t="str">
        <f>'Прайс лист'!B578</f>
        <v>ГПС 280х50-2,0</v>
      </c>
    </row>
    <row r="679" spans="1:1">
      <c r="A679" s="1055"/>
    </row>
    <row r="680" spans="1:1">
      <c r="A680" s="2421"/>
    </row>
    <row r="746" spans="1:38">
      <c r="AG746" s="2421">
        <v>61.300000000000097</v>
      </c>
      <c r="AH746" s="2715">
        <f t="shared" ref="AH746:AH751" si="78">AG746*3.1415926535897/180</f>
        <v>1.0698868314724939</v>
      </c>
      <c r="AI746" s="2715">
        <f t="shared" ref="AI746:AI751" si="79">AH746+0.0005</f>
        <v>1.0703868314724938</v>
      </c>
      <c r="AJ746" s="2715">
        <f t="shared" ref="AJ746:AJ751" si="80">AH746-0.0005</f>
        <v>1.0693868314724939</v>
      </c>
      <c r="AK746" s="2421">
        <f>IF(AND(дома!$Z$29&gt;=AJ746,дома!$Z$29&lt;=AI746),связи1!AG746,0)</f>
        <v>0</v>
      </c>
      <c r="AL746" s="2421">
        <f>IF(AND(дома!$AA$29&gt;=AJ746,дома!$AA$29&lt;=AI746),связи1!AG746,0)</f>
        <v>0</v>
      </c>
    </row>
    <row r="747" spans="1:38">
      <c r="AG747" s="2421">
        <v>61.400000000000098</v>
      </c>
      <c r="AH747" s="2715">
        <f t="shared" si="78"/>
        <v>1.0716321607244883</v>
      </c>
      <c r="AI747" s="2715">
        <f t="shared" si="79"/>
        <v>1.0721321607244882</v>
      </c>
      <c r="AJ747" s="2715">
        <f t="shared" si="80"/>
        <v>1.0711321607244884</v>
      </c>
      <c r="AK747" s="2421">
        <f>IF(AND(дома!$Z$29&gt;=AJ747,дома!$Z$29&lt;=AI747),связи1!AG747,0)</f>
        <v>0</v>
      </c>
      <c r="AL747" s="2421">
        <f>IF(AND(дома!$AA$29&gt;=AJ747,дома!$AA$29&lt;=AI747),связи1!AG747,0)</f>
        <v>0</v>
      </c>
    </row>
    <row r="748" spans="1:38">
      <c r="AG748" s="2421">
        <v>61.500000000000099</v>
      </c>
      <c r="AH748" s="2715">
        <f t="shared" si="78"/>
        <v>1.0733774899764825</v>
      </c>
      <c r="AI748" s="2715">
        <f t="shared" si="79"/>
        <v>1.0738774899764825</v>
      </c>
      <c r="AJ748" s="2715">
        <f t="shared" si="80"/>
        <v>1.0728774899764826</v>
      </c>
      <c r="AK748" s="2421">
        <f>IF(AND(дома!$Z$29&gt;=AJ748,дома!$Z$29&lt;=AI748),связи1!AG748,0)</f>
        <v>0</v>
      </c>
      <c r="AL748" s="2421">
        <f>IF(AND(дома!$AA$29&gt;=AJ748,дома!$AA$29&lt;=AI748),связи1!AG748,0)</f>
        <v>0</v>
      </c>
    </row>
    <row r="749" spans="1:38" ht="16">
      <c r="A749" s="2379" t="s">
        <v>4588</v>
      </c>
      <c r="B749" s="2379" t="s">
        <v>4589</v>
      </c>
      <c r="C749" s="2379" t="s">
        <v>1802</v>
      </c>
      <c r="F749" s="320" t="s">
        <v>1737</v>
      </c>
      <c r="G749" s="2421" t="s">
        <v>2542</v>
      </c>
      <c r="H749" s="2421" t="s">
        <v>854</v>
      </c>
      <c r="AG749" s="2421">
        <v>61.600000000000101</v>
      </c>
      <c r="AH749" s="2715">
        <f t="shared" si="78"/>
        <v>1.075122819228477</v>
      </c>
      <c r="AI749" s="2715">
        <f t="shared" si="79"/>
        <v>1.0756228192284769</v>
      </c>
      <c r="AJ749" s="2715">
        <f t="shared" si="80"/>
        <v>1.074622819228477</v>
      </c>
      <c r="AK749" s="2421">
        <f>IF(AND(дома!$Z$29&gt;=AJ749,дома!$Z$29&lt;=AI749),связи1!AG749,0)</f>
        <v>0</v>
      </c>
      <c r="AL749" s="2421">
        <f>IF(AND(дома!$AA$29&gt;=AJ749,дома!$AA$29&lt;=AI749),связи1!AG749,0)</f>
        <v>0</v>
      </c>
    </row>
    <row r="750" spans="1:38" ht="16">
      <c r="A750" s="158" t="s">
        <v>4590</v>
      </c>
      <c r="B750" s="2802"/>
      <c r="C750" s="380">
        <f>'Ввод данных'!B1501</f>
        <v>100</v>
      </c>
      <c r="F750" s="158" t="s">
        <v>1738</v>
      </c>
      <c r="G750" s="2421"/>
      <c r="H750" s="1055">
        <f>'Прайс лист'!G2015</f>
        <v>500</v>
      </c>
      <c r="AG750" s="2421">
        <v>61.700000000000102</v>
      </c>
      <c r="AH750" s="2715">
        <f t="shared" si="78"/>
        <v>1.0768681484804712</v>
      </c>
      <c r="AI750" s="2715">
        <f t="shared" si="79"/>
        <v>1.0773681484804711</v>
      </c>
      <c r="AJ750" s="2715">
        <f t="shared" si="80"/>
        <v>1.0763681484804712</v>
      </c>
      <c r="AK750" s="2421">
        <f>IF(AND(дома!$Z$29&gt;=AJ750,дома!$Z$29&lt;=AI750),связи1!AG750,0)</f>
        <v>0</v>
      </c>
      <c r="AL750" s="2421">
        <f>IF(AND(дома!$AA$29&gt;=AJ750,дома!$AA$29&lt;=AI750),связи1!AG750,0)</f>
        <v>0</v>
      </c>
    </row>
    <row r="751" spans="1:38" ht="16">
      <c r="A751" s="2803" t="s">
        <v>1660</v>
      </c>
      <c r="B751" s="2802">
        <v>1100</v>
      </c>
      <c r="C751" s="380"/>
      <c r="D751" s="2379">
        <v>1150</v>
      </c>
      <c r="F751" s="158" t="s">
        <v>1739</v>
      </c>
      <c r="G751" s="2421"/>
      <c r="H751" s="1055">
        <f>'Прайс лист'!G2016</f>
        <v>3000</v>
      </c>
      <c r="AG751" s="2421">
        <v>61.800000000000097</v>
      </c>
      <c r="AH751" s="2715">
        <f t="shared" si="78"/>
        <v>1.0786134777324652</v>
      </c>
      <c r="AI751" s="2715">
        <f t="shared" si="79"/>
        <v>1.0791134777324651</v>
      </c>
      <c r="AJ751" s="2715">
        <f t="shared" si="80"/>
        <v>1.0781134777324652</v>
      </c>
      <c r="AK751" s="2421">
        <f>IF(AND(дома!$Z$29&gt;=AJ751,дома!$Z$29&lt;=AI751),связи1!AG751,0)</f>
        <v>0</v>
      </c>
      <c r="AL751" s="2421">
        <f>IF(AND(дома!$AA$29&gt;=AJ751,дома!$AA$29&lt;=AI751),связи1!AG751,0)</f>
        <v>0</v>
      </c>
    </row>
    <row r="752" spans="1:38" ht="16">
      <c r="A752" s="2804" t="s">
        <v>493</v>
      </c>
      <c r="B752" s="799">
        <v>0</v>
      </c>
      <c r="C752" s="380">
        <f>B752</f>
        <v>0</v>
      </c>
      <c r="F752" s="158" t="s">
        <v>1740</v>
      </c>
      <c r="G752" s="2421"/>
      <c r="H752" s="1055">
        <f>'Прайс лист'!G2017</f>
        <v>20000</v>
      </c>
      <c r="AG752" s="2421"/>
      <c r="AH752" s="2715"/>
      <c r="AI752" s="2715"/>
      <c r="AJ752" s="2715"/>
      <c r="AK752" s="2421"/>
      <c r="AL752" s="2421"/>
    </row>
    <row r="753" spans="1:38" ht="16">
      <c r="A753" s="2805" t="s">
        <v>1662</v>
      </c>
      <c r="B753" s="2806">
        <f>'Прайс лист'!G1906</f>
        <v>1000</v>
      </c>
      <c r="C753" s="380">
        <f>C750*1000/B751</f>
        <v>90.909090909090907</v>
      </c>
      <c r="F753" s="158" t="s">
        <v>1741</v>
      </c>
      <c r="G753" s="2421"/>
      <c r="H753" s="1055">
        <f>'Прайс лист'!G2018</f>
        <v>1500</v>
      </c>
      <c r="AG753" s="2421">
        <v>61.900000000000098</v>
      </c>
      <c r="AH753" s="2715">
        <f>AG753*3.1415926535897/180</f>
        <v>1.0803588069844596</v>
      </c>
      <c r="AI753" s="2715">
        <f>AH753+0.0005</f>
        <v>1.0808588069844596</v>
      </c>
      <c r="AJ753" s="2715">
        <f>AH753-0.0005</f>
        <v>1.0798588069844597</v>
      </c>
      <c r="AK753" s="2421">
        <f>IF(AND(дома!$Z$29&gt;=AJ753,дома!$Z$29&lt;=AI753),связи1!AG753,0)</f>
        <v>0</v>
      </c>
      <c r="AL753" s="2421">
        <f>IF(AND(дома!$AA$29&gt;=AJ753,дома!$AA$29&lt;=AI753),связи1!AG753,0)</f>
        <v>0</v>
      </c>
    </row>
    <row r="754" spans="1:38" ht="16">
      <c r="A754" s="2805" t="s">
        <v>1663</v>
      </c>
      <c r="B754" s="2806">
        <f>'Прайс лист'!G1907</f>
        <v>1000</v>
      </c>
      <c r="C754" s="380">
        <f>C750*1000/B751</f>
        <v>90.909090909090907</v>
      </c>
      <c r="F754" s="158" t="s">
        <v>1742</v>
      </c>
      <c r="G754" s="2421"/>
      <c r="H754" s="1055">
        <f>'Прайс лист'!G2019</f>
        <v>500</v>
      </c>
      <c r="AG754" s="2421"/>
      <c r="AH754" s="2715"/>
      <c r="AI754" s="2715"/>
      <c r="AJ754" s="2715"/>
      <c r="AK754" s="2421"/>
      <c r="AL754" s="2421"/>
    </row>
    <row r="755" spans="1:38" ht="16">
      <c r="A755" s="2805" t="s">
        <v>1664</v>
      </c>
      <c r="B755" s="2806">
        <f>'Прайс лист'!G1908</f>
        <v>1000</v>
      </c>
      <c r="C755" s="380">
        <f>C750*1000/B751</f>
        <v>90.909090909090907</v>
      </c>
      <c r="F755" s="158" t="s">
        <v>1743</v>
      </c>
      <c r="G755" s="2421"/>
      <c r="H755" s="1055">
        <f>'Прайс лист'!G2020</f>
        <v>100</v>
      </c>
      <c r="AG755" s="2421"/>
      <c r="AH755" s="2715"/>
      <c r="AI755" s="2715"/>
      <c r="AJ755" s="2715"/>
      <c r="AK755" s="2421"/>
      <c r="AL755" s="2421"/>
    </row>
    <row r="756" spans="1:38" ht="16">
      <c r="A756" s="2805" t="s">
        <v>1665</v>
      </c>
      <c r="B756" s="2806">
        <f>'Прайс лист'!G1909</f>
        <v>1000</v>
      </c>
      <c r="C756" s="380">
        <f>C750*1000/B751</f>
        <v>90.909090909090907</v>
      </c>
      <c r="F756" s="158" t="s">
        <v>1744</v>
      </c>
      <c r="G756" s="2421"/>
      <c r="H756" s="1055">
        <f>'Прайс лист'!G2021</f>
        <v>700</v>
      </c>
      <c r="AG756" s="2421"/>
      <c r="AH756" s="2715"/>
      <c r="AI756" s="2715"/>
      <c r="AJ756" s="2715"/>
      <c r="AK756" s="2421"/>
      <c r="AL756" s="2421"/>
    </row>
    <row r="757" spans="1:38">
      <c r="A757" s="2805" t="s">
        <v>1666</v>
      </c>
      <c r="B757" s="2806">
        <f>'Прайс лист'!G1910</f>
        <v>1000</v>
      </c>
      <c r="C757" s="380">
        <f>C750*1000/B751</f>
        <v>90.909090909090907</v>
      </c>
      <c r="AG757" s="2421"/>
      <c r="AH757" s="2715"/>
      <c r="AI757" s="2715"/>
      <c r="AJ757" s="2715"/>
      <c r="AK757" s="2421"/>
      <c r="AL757" s="2421"/>
    </row>
    <row r="758" spans="1:38">
      <c r="A758" s="2805" t="s">
        <v>1667</v>
      </c>
      <c r="B758" s="2806">
        <f>'Прайс лист'!G1911</f>
        <v>1000</v>
      </c>
      <c r="C758" s="380">
        <f>C750*1000/B751</f>
        <v>90.909090909090907</v>
      </c>
      <c r="AG758" s="2421">
        <v>62.000000000000099</v>
      </c>
      <c r="AH758" s="2715">
        <f>AG758*3.1415926535897/180</f>
        <v>1.0821041362364539</v>
      </c>
      <c r="AI758" s="2715">
        <f>AH758+0.0005</f>
        <v>1.0826041362364538</v>
      </c>
      <c r="AJ758" s="2715">
        <f>AH758-0.0005</f>
        <v>1.0816041362364539</v>
      </c>
      <c r="AK758" s="2421">
        <f>IF(AND(дома!$Z$29&gt;=AJ758,дома!$Z$29&lt;=AI758),связи1!AG758,0)</f>
        <v>0</v>
      </c>
      <c r="AL758" s="2421">
        <f>IF(AND(дома!$AA$29&gt;=AJ758,дома!$AA$29&lt;=AI758),связи1!AG758,0)</f>
        <v>0</v>
      </c>
    </row>
    <row r="759" spans="1:38">
      <c r="A759" s="2805" t="s">
        <v>1668</v>
      </c>
      <c r="B759" s="2806">
        <f>'Прайс лист'!G1912</f>
        <v>1000</v>
      </c>
      <c r="C759" s="380">
        <f>C750*1000/B751</f>
        <v>90.909090909090907</v>
      </c>
      <c r="AG759" s="2421"/>
      <c r="AH759" s="2715"/>
      <c r="AI759" s="2715"/>
      <c r="AJ759" s="2715"/>
      <c r="AK759" s="2421"/>
      <c r="AL759" s="2421"/>
    </row>
    <row r="760" spans="1:38">
      <c r="A760" s="2805" t="s">
        <v>1669</v>
      </c>
      <c r="B760" s="2806">
        <f>'Прайс лист'!G1913</f>
        <v>1000</v>
      </c>
      <c r="C760" s="380">
        <f>C750*1000/B751</f>
        <v>90.909090909090907</v>
      </c>
      <c r="AG760" s="2421"/>
      <c r="AH760" s="2715"/>
      <c r="AI760" s="2715"/>
      <c r="AJ760" s="2715"/>
      <c r="AK760" s="2421"/>
      <c r="AL760" s="2421"/>
    </row>
    <row r="761" spans="1:38">
      <c r="A761" s="2805" t="s">
        <v>1670</v>
      </c>
      <c r="B761" s="2806">
        <f>'Прайс лист'!G1914</f>
        <v>1000</v>
      </c>
      <c r="C761" s="380">
        <f>C750*1000/B751</f>
        <v>90.909090909090907</v>
      </c>
      <c r="AG761" s="2421"/>
      <c r="AH761" s="2715"/>
      <c r="AI761" s="2715"/>
      <c r="AJ761" s="2715"/>
      <c r="AK761" s="2421"/>
      <c r="AL761" s="2421"/>
    </row>
    <row r="762" spans="1:38">
      <c r="A762" s="2805" t="s">
        <v>1671</v>
      </c>
      <c r="B762" s="2806">
        <f>'Прайс лист'!G1915</f>
        <v>1000</v>
      </c>
      <c r="C762" s="380">
        <f>C750*1000/B751</f>
        <v>90.909090909090907</v>
      </c>
      <c r="AG762" s="2421"/>
      <c r="AH762" s="2715"/>
      <c r="AI762" s="2715"/>
      <c r="AJ762" s="2715"/>
      <c r="AK762" s="2421"/>
      <c r="AL762" s="2421"/>
    </row>
    <row r="763" spans="1:38">
      <c r="A763" s="2805" t="s">
        <v>1672</v>
      </c>
      <c r="B763" s="2806">
        <f>'Прайс лист'!G1916</f>
        <v>1000</v>
      </c>
      <c r="C763" s="380">
        <f>C750*1000/B751</f>
        <v>90.909090909090907</v>
      </c>
      <c r="AG763" s="2421">
        <v>62.100000000000101</v>
      </c>
      <c r="AH763" s="2715">
        <f>AG763*3.1415926535897/180</f>
        <v>1.0838494654884483</v>
      </c>
      <c r="AI763" s="2715">
        <f>AH763+0.0005</f>
        <v>1.0843494654884482</v>
      </c>
      <c r="AJ763" s="2715">
        <f>AH763-0.0005</f>
        <v>1.0833494654884483</v>
      </c>
      <c r="AK763" s="2421">
        <f>IF(AND(дома!$Z$29&gt;=AJ763,дома!$Z$29&lt;=AI763),связи1!AG763,0)</f>
        <v>0</v>
      </c>
      <c r="AL763" s="2421">
        <f>IF(AND(дома!$AA$29&gt;=AJ763,дома!$AA$29&lt;=AI763),связи1!AG763,0)</f>
        <v>0</v>
      </c>
    </row>
    <row r="764" spans="1:38">
      <c r="A764" s="2805" t="s">
        <v>1673</v>
      </c>
      <c r="B764" s="2806">
        <f>'Прайс лист'!G1917</f>
        <v>1000</v>
      </c>
      <c r="C764" s="380">
        <f>C750*1000/B751</f>
        <v>90.909090909090907</v>
      </c>
      <c r="AG764" s="2421"/>
      <c r="AH764" s="2715"/>
      <c r="AI764" s="2715"/>
      <c r="AJ764" s="2715"/>
      <c r="AK764" s="2421"/>
      <c r="AL764" s="2421"/>
    </row>
    <row r="765" spans="1:38">
      <c r="A765" s="2805" t="s">
        <v>1674</v>
      </c>
      <c r="B765" s="2806">
        <f>'Прайс лист'!G1918</f>
        <v>1000</v>
      </c>
      <c r="C765" s="380">
        <f>C750*1000/B751</f>
        <v>90.909090909090907</v>
      </c>
      <c r="AG765" s="2421"/>
      <c r="AH765" s="2715"/>
      <c r="AI765" s="2715"/>
      <c r="AJ765" s="2715"/>
      <c r="AK765" s="2421"/>
      <c r="AL765" s="2421"/>
    </row>
    <row r="766" spans="1:38">
      <c r="A766" s="2805" t="s">
        <v>1675</v>
      </c>
      <c r="B766" s="2806">
        <f>'Прайс лист'!G1919</f>
        <v>1000</v>
      </c>
      <c r="C766" s="380">
        <f>C750*1000/B751</f>
        <v>90.909090909090907</v>
      </c>
      <c r="AG766" s="2421"/>
      <c r="AH766" s="2715"/>
      <c r="AI766" s="2715"/>
      <c r="AJ766" s="2715"/>
      <c r="AK766" s="2421"/>
      <c r="AL766" s="2421"/>
    </row>
    <row r="767" spans="1:38">
      <c r="A767" s="2805" t="s">
        <v>1676</v>
      </c>
      <c r="B767" s="2806">
        <f>'Прайс лист'!G1920</f>
        <v>1000</v>
      </c>
      <c r="C767" s="380">
        <f>C750*1000/B751</f>
        <v>90.909090909090907</v>
      </c>
      <c r="AG767" s="2421"/>
      <c r="AH767" s="2715"/>
      <c r="AI767" s="2715"/>
      <c r="AJ767" s="2715"/>
      <c r="AK767" s="2421"/>
      <c r="AL767" s="2421"/>
    </row>
    <row r="768" spans="1:38">
      <c r="A768" s="2805" t="s">
        <v>1677</v>
      </c>
      <c r="B768" s="2806">
        <f>'Прайс лист'!G1921</f>
        <v>1000</v>
      </c>
      <c r="C768" s="380">
        <f>C750*1000/B751</f>
        <v>90.909090909090907</v>
      </c>
      <c r="AG768" s="2421">
        <v>62.200000000000102</v>
      </c>
      <c r="AH768" s="2715">
        <f>AG768*3.1415926535897/180</f>
        <v>1.0855947947404425</v>
      </c>
      <c r="AI768" s="2715">
        <f>AH768+0.0005</f>
        <v>1.0860947947404425</v>
      </c>
      <c r="AJ768" s="2715">
        <f>AH768-0.0005</f>
        <v>1.0850947947404426</v>
      </c>
      <c r="AK768" s="2421">
        <f>IF(AND(дома!$Z$29&gt;=AJ768,дома!$Z$29&lt;=AI768),связи1!AG768,0)</f>
        <v>0</v>
      </c>
      <c r="AL768" s="2421">
        <f>IF(AND(дома!$AA$29&gt;=AJ768,дома!$AA$29&lt;=AI768),связи1!AG768,0)</f>
        <v>0</v>
      </c>
    </row>
    <row r="769" spans="1:38">
      <c r="A769" s="2805" t="s">
        <v>1678</v>
      </c>
      <c r="B769" s="2806">
        <f>'Прайс лист'!G1922</f>
        <v>1000</v>
      </c>
      <c r="C769" s="380">
        <f>C750*1000/B751</f>
        <v>90.909090909090907</v>
      </c>
      <c r="AG769" s="2421"/>
      <c r="AH769" s="2715"/>
      <c r="AI769" s="2715"/>
      <c r="AJ769" s="2715"/>
      <c r="AK769" s="2421"/>
      <c r="AL769" s="2421"/>
    </row>
    <row r="770" spans="1:38">
      <c r="A770" s="2805" t="s">
        <v>1679</v>
      </c>
      <c r="B770" s="2806">
        <f>'Прайс лист'!G1923</f>
        <v>1000</v>
      </c>
      <c r="C770" s="380">
        <f>C750*1000/B751</f>
        <v>90.909090909090907</v>
      </c>
      <c r="AG770" s="2421"/>
      <c r="AH770" s="2715"/>
      <c r="AI770" s="2715"/>
      <c r="AJ770" s="2715"/>
      <c r="AK770" s="2421"/>
      <c r="AL770" s="2421"/>
    </row>
    <row r="771" spans="1:38">
      <c r="A771" s="2805" t="s">
        <v>1680</v>
      </c>
      <c r="B771" s="2806">
        <f>'Прайс лист'!G1924</f>
        <v>1000</v>
      </c>
      <c r="C771" s="380">
        <f>C750*1000/B751</f>
        <v>90.909090909090907</v>
      </c>
      <c r="AG771" s="2421"/>
      <c r="AH771" s="2715"/>
      <c r="AI771" s="2715"/>
      <c r="AJ771" s="2715"/>
      <c r="AK771" s="2421"/>
      <c r="AL771" s="2421"/>
    </row>
    <row r="772" spans="1:38">
      <c r="A772" s="2805" t="s">
        <v>1681</v>
      </c>
      <c r="B772" s="2806">
        <f>'Прайс лист'!G1925</f>
        <v>1000</v>
      </c>
      <c r="C772" s="380">
        <f>C750*1000/B751</f>
        <v>90.909090909090907</v>
      </c>
      <c r="AG772" s="2421"/>
      <c r="AH772" s="2715"/>
      <c r="AI772" s="2715"/>
      <c r="AJ772" s="2715"/>
      <c r="AK772" s="2421"/>
      <c r="AL772" s="2421"/>
    </row>
    <row r="773" spans="1:38">
      <c r="A773" s="2805" t="s">
        <v>1682</v>
      </c>
      <c r="B773" s="2806">
        <f>'Прайс лист'!G1926</f>
        <v>1000</v>
      </c>
      <c r="C773" s="380">
        <f>C750*1000/B751</f>
        <v>90.909090909090907</v>
      </c>
      <c r="AG773" s="2421">
        <v>62.300000000000097</v>
      </c>
      <c r="AH773" s="2715">
        <f>AG773*3.1415926535897/180</f>
        <v>1.0873401239924367</v>
      </c>
      <c r="AI773" s="2715">
        <f>AH773+0.0005</f>
        <v>1.0878401239924367</v>
      </c>
      <c r="AJ773" s="2715">
        <f>AH773-0.0005</f>
        <v>1.0868401239924368</v>
      </c>
      <c r="AK773" s="2421">
        <f>IF(AND(дома!$Z$29&gt;=AJ773,дома!$Z$29&lt;=AI773),связи1!AG773,0)</f>
        <v>0</v>
      </c>
      <c r="AL773" s="2421">
        <f>IF(AND(дома!$AA$29&gt;=AJ773,дома!$AA$29&lt;=AI773),связи1!AG773,0)</f>
        <v>0</v>
      </c>
    </row>
    <row r="774" spans="1:38">
      <c r="A774" s="2805" t="s">
        <v>1683</v>
      </c>
      <c r="B774" s="2806">
        <f>'Прайс лист'!G1927</f>
        <v>1000</v>
      </c>
      <c r="C774" s="380">
        <f>C750*1000/B751</f>
        <v>90.909090909090907</v>
      </c>
      <c r="AG774" s="2421"/>
      <c r="AH774" s="2715"/>
      <c r="AI774" s="2715"/>
      <c r="AJ774" s="2715"/>
      <c r="AK774" s="2421"/>
      <c r="AL774" s="2421"/>
    </row>
    <row r="775" spans="1:38">
      <c r="A775" s="2805" t="s">
        <v>1684</v>
      </c>
      <c r="B775" s="2806">
        <f>'Прайс лист'!G1928</f>
        <v>1000</v>
      </c>
      <c r="C775" s="380">
        <f>C750*1000/B751</f>
        <v>90.909090909090907</v>
      </c>
      <c r="AG775" s="2421"/>
      <c r="AH775" s="2715"/>
      <c r="AI775" s="2715"/>
      <c r="AJ775" s="2715"/>
      <c r="AK775" s="2421"/>
      <c r="AL775" s="2421"/>
    </row>
    <row r="776" spans="1:38">
      <c r="A776" s="2805" t="s">
        <v>1685</v>
      </c>
      <c r="B776" s="2806">
        <f>'Прайс лист'!G1929</f>
        <v>1000</v>
      </c>
      <c r="C776" s="380">
        <f>C750*1000/B751</f>
        <v>90.909090909090907</v>
      </c>
      <c r="AG776" s="2421"/>
      <c r="AH776" s="2715"/>
      <c r="AI776" s="2715"/>
      <c r="AJ776" s="2715"/>
      <c r="AK776" s="2421"/>
      <c r="AL776" s="2421"/>
    </row>
    <row r="777" spans="1:38">
      <c r="A777" s="2805" t="s">
        <v>1686</v>
      </c>
      <c r="B777" s="2806">
        <f>'Прайс лист'!G1930</f>
        <v>1000</v>
      </c>
      <c r="C777" s="380">
        <f>C750*1000/B751</f>
        <v>90.909090909090907</v>
      </c>
      <c r="AG777" s="2421"/>
      <c r="AH777" s="2715"/>
      <c r="AI777" s="2715"/>
      <c r="AJ777" s="2715"/>
      <c r="AK777" s="2421"/>
      <c r="AL777" s="2421"/>
    </row>
    <row r="778" spans="1:38">
      <c r="A778" s="2805" t="s">
        <v>1687</v>
      </c>
      <c r="B778" s="2806">
        <f>'Прайс лист'!G1931</f>
        <v>1000</v>
      </c>
      <c r="C778" s="380">
        <f>C750*1000/B751</f>
        <v>90.909090909090907</v>
      </c>
      <c r="AG778" s="2421">
        <v>62.400000000000098</v>
      </c>
      <c r="AH778" s="2715">
        <f>AG778*3.1415926535897/180</f>
        <v>1.089085453244431</v>
      </c>
      <c r="AI778" s="2715">
        <f>AH778+0.0005</f>
        <v>1.0895854532444309</v>
      </c>
      <c r="AJ778" s="2715">
        <f>AH778-0.0005</f>
        <v>1.088585453244431</v>
      </c>
      <c r="AK778" s="2421">
        <f>IF(AND(дома!$Z$29&gt;=AJ778,дома!$Z$29&lt;=AI778),связи1!AG778,0)</f>
        <v>0</v>
      </c>
      <c r="AL778" s="2421">
        <f>IF(AND(дома!$AA$29&gt;=AJ778,дома!$AA$29&lt;=AI778),связи1!AG778,0)</f>
        <v>0</v>
      </c>
    </row>
    <row r="779" spans="1:38">
      <c r="A779" s="2805" t="s">
        <v>1688</v>
      </c>
      <c r="B779" s="2806">
        <f>'Прайс лист'!G1932</f>
        <v>1000</v>
      </c>
      <c r="C779" s="380">
        <f>C750*1000/B751</f>
        <v>90.909090909090907</v>
      </c>
      <c r="AG779" s="2421"/>
      <c r="AH779" s="2715"/>
      <c r="AI779" s="2715"/>
      <c r="AJ779" s="2715"/>
      <c r="AK779" s="2421"/>
      <c r="AL779" s="2421"/>
    </row>
    <row r="780" spans="1:38">
      <c r="A780" s="2805" t="s">
        <v>1689</v>
      </c>
      <c r="B780" s="2806">
        <f>'Прайс лист'!G1933</f>
        <v>1000</v>
      </c>
      <c r="C780" s="380">
        <f>C750*1000/B751</f>
        <v>90.909090909090907</v>
      </c>
      <c r="AG780" s="2421"/>
      <c r="AH780" s="2715"/>
      <c r="AI780" s="2715"/>
      <c r="AJ780" s="2715"/>
      <c r="AK780" s="2421"/>
      <c r="AL780" s="2421"/>
    </row>
    <row r="781" spans="1:38">
      <c r="A781" s="2805" t="s">
        <v>1690</v>
      </c>
      <c r="B781" s="2806">
        <f>'Прайс лист'!G1934</f>
        <v>1000</v>
      </c>
      <c r="C781" s="380">
        <f>C750*1000/B751</f>
        <v>90.909090909090907</v>
      </c>
      <c r="AG781" s="2421"/>
      <c r="AH781" s="2715"/>
      <c r="AI781" s="2715"/>
      <c r="AJ781" s="2715"/>
      <c r="AK781" s="2421"/>
      <c r="AL781" s="2421"/>
    </row>
    <row r="782" spans="1:38">
      <c r="A782" s="2805" t="s">
        <v>1691</v>
      </c>
      <c r="B782" s="2806">
        <f>'Прайс лист'!G1935</f>
        <v>1000</v>
      </c>
      <c r="C782" s="380">
        <f>C750*1000/B751</f>
        <v>90.909090909090907</v>
      </c>
      <c r="AG782" s="2421"/>
      <c r="AH782" s="2715"/>
      <c r="AI782" s="2715"/>
      <c r="AJ782" s="2715"/>
      <c r="AK782" s="2421"/>
      <c r="AL782" s="2421"/>
    </row>
    <row r="783" spans="1:38">
      <c r="A783" s="2805" t="s">
        <v>1692</v>
      </c>
      <c r="B783" s="2806">
        <f>'Прайс лист'!G1936</f>
        <v>1000</v>
      </c>
      <c r="C783" s="380">
        <f>C750*1000/B751</f>
        <v>90.909090909090907</v>
      </c>
      <c r="AG783" s="2421">
        <v>62.500000000000099</v>
      </c>
      <c r="AH783" s="2715">
        <f>AG783*3.1415926535897/180</f>
        <v>1.0908307824964252</v>
      </c>
      <c r="AI783" s="2715">
        <f>AH783+0.0005</f>
        <v>1.0913307824964251</v>
      </c>
      <c r="AJ783" s="2715">
        <f>AH783-0.0005</f>
        <v>1.0903307824964252</v>
      </c>
      <c r="AK783" s="2421">
        <f>IF(AND(дома!$Z$29&gt;=AJ783,дома!$Z$29&lt;=AI783),связи1!AG783,0)</f>
        <v>0</v>
      </c>
      <c r="AL783" s="2421">
        <f>IF(AND(дома!$AA$29&gt;=AJ783,дома!$AA$29&lt;=AI783),связи1!AG783,0)</f>
        <v>0</v>
      </c>
    </row>
    <row r="784" spans="1:38">
      <c r="A784" s="2805" t="s">
        <v>1693</v>
      </c>
      <c r="B784" s="2806">
        <f>'Прайс лист'!G1937</f>
        <v>1000</v>
      </c>
      <c r="C784" s="380">
        <f>C750*1000/B751</f>
        <v>90.909090909090907</v>
      </c>
      <c r="AG784" s="2421"/>
      <c r="AH784" s="2715"/>
      <c r="AI784" s="2715"/>
      <c r="AJ784" s="2715"/>
      <c r="AK784" s="2421"/>
      <c r="AL784" s="2421"/>
    </row>
    <row r="785" spans="1:38">
      <c r="A785" s="2805" t="s">
        <v>1694</v>
      </c>
      <c r="B785" s="2806">
        <f>'Прайс лист'!G1938</f>
        <v>1000</v>
      </c>
      <c r="C785" s="380">
        <f>C750*1000/B751</f>
        <v>90.909090909090907</v>
      </c>
      <c r="AG785" s="2421"/>
      <c r="AH785" s="2715"/>
      <c r="AI785" s="2715"/>
      <c r="AJ785" s="2715"/>
      <c r="AK785" s="2421"/>
      <c r="AL785" s="2421"/>
    </row>
    <row r="786" spans="1:38">
      <c r="A786" s="2805" t="s">
        <v>1695</v>
      </c>
      <c r="B786" s="2806">
        <f>'Прайс лист'!G1939</f>
        <v>1000</v>
      </c>
      <c r="C786" s="380">
        <f>C750*1000/B751</f>
        <v>90.909090909090907</v>
      </c>
      <c r="AG786" s="2421"/>
      <c r="AH786" s="2715"/>
      <c r="AI786" s="2715"/>
      <c r="AJ786" s="2715"/>
      <c r="AK786" s="2421"/>
      <c r="AL786" s="2421"/>
    </row>
    <row r="787" spans="1:38">
      <c r="A787" s="2805" t="s">
        <v>1696</v>
      </c>
      <c r="B787" s="2806">
        <f>'Прайс лист'!G1940</f>
        <v>1000</v>
      </c>
      <c r="C787" s="380">
        <f>C750*1000/B751</f>
        <v>90.909090909090907</v>
      </c>
      <c r="AG787" s="2421"/>
      <c r="AH787" s="2715"/>
      <c r="AI787" s="2715"/>
      <c r="AJ787" s="2715"/>
      <c r="AK787" s="2421"/>
      <c r="AL787" s="2421"/>
    </row>
    <row r="788" spans="1:38">
      <c r="A788" s="2805"/>
      <c r="B788" s="476"/>
      <c r="C788" s="380"/>
      <c r="AG788" s="2421"/>
      <c r="AH788" s="2715"/>
      <c r="AI788" s="2715"/>
      <c r="AJ788" s="2715"/>
      <c r="AK788" s="2421"/>
      <c r="AL788" s="2421"/>
    </row>
    <row r="789" spans="1:38" ht="16">
      <c r="A789" s="2803" t="s">
        <v>1697</v>
      </c>
      <c r="B789" s="476"/>
      <c r="C789" s="380"/>
      <c r="AG789" s="2421"/>
      <c r="AH789" s="2715"/>
      <c r="AI789" s="2715"/>
      <c r="AJ789" s="2715"/>
      <c r="AK789" s="2421"/>
      <c r="AL789" s="2421"/>
    </row>
    <row r="790" spans="1:38">
      <c r="A790" s="2807" t="s">
        <v>493</v>
      </c>
      <c r="B790" s="799">
        <v>0</v>
      </c>
      <c r="C790" s="744"/>
      <c r="AG790" s="2421">
        <v>62.600000000000101</v>
      </c>
      <c r="AH790" s="2715">
        <f>AG790*3.1415926535897/180</f>
        <v>1.0925761117484196</v>
      </c>
      <c r="AI790" s="2715">
        <f>AH790+0.0005</f>
        <v>1.0930761117484196</v>
      </c>
      <c r="AJ790" s="2715">
        <f>AH790-0.0005</f>
        <v>1.0920761117484197</v>
      </c>
      <c r="AK790" s="2421">
        <f>IF(AND(дома!$Z$29&gt;=AJ790,дома!$Z$29&lt;=AI790),связи1!AG790,0)</f>
        <v>0</v>
      </c>
      <c r="AL790" s="2421">
        <f>IF(AND(дома!$AA$29&gt;=AJ790,дома!$AA$29&lt;=AI790),связи1!AG790,0)</f>
        <v>0</v>
      </c>
    </row>
    <row r="791" spans="1:38">
      <c r="A791" s="2805" t="s">
        <v>1699</v>
      </c>
      <c r="B791" s="1055">
        <f>'Прайс лист'!G1946</f>
        <v>160</v>
      </c>
      <c r="C791" s="1055">
        <f>(C750*(D751/1000)*2.2*2)*100/1000</f>
        <v>50.6</v>
      </c>
      <c r="D791" s="1197">
        <f>C791/'Прайс лист'!D1946*B791</f>
        <v>4261.0526315789484</v>
      </c>
      <c r="AG791" s="2421">
        <v>62.700000000000102</v>
      </c>
      <c r="AH791" s="2715">
        <f>AG791*3.1415926535897/180</f>
        <v>1.0943214410004138</v>
      </c>
      <c r="AI791" s="2715">
        <f>AH791+0.0005</f>
        <v>1.0948214410004138</v>
      </c>
      <c r="AJ791" s="2715">
        <f>AH791-0.0005</f>
        <v>1.0938214410004139</v>
      </c>
      <c r="AK791" s="2421">
        <f>IF(AND(дома!$Z$29&gt;=AJ791,дома!$Z$29&lt;=AI791),связи1!AG791,0)</f>
        <v>0</v>
      </c>
      <c r="AL791" s="2421">
        <f>IF(AND(дома!$AA$29&gt;=AJ791,дома!$AA$29&lt;=AI791),связи1!AG791,0)</f>
        <v>0</v>
      </c>
    </row>
    <row r="792" spans="1:38">
      <c r="A792" s="2805" t="s">
        <v>1700</v>
      </c>
      <c r="B792" s="1055">
        <f>'Прайс лист'!G1947</f>
        <v>180</v>
      </c>
      <c r="C792" s="2421">
        <f>(C750*(D751/1000)*2.2*2)*100/1000</f>
        <v>50.6</v>
      </c>
      <c r="D792" s="2379">
        <f>C792/'Прайс лист'!D1947*B792</f>
        <v>4554</v>
      </c>
      <c r="AG792" s="2421">
        <v>62.800000000000097</v>
      </c>
      <c r="AH792" s="2715">
        <f>AG792*3.1415926535897/180</f>
        <v>1.0960667702524081</v>
      </c>
      <c r="AI792" s="2715">
        <f>AH792+0.0005</f>
        <v>1.096566770252408</v>
      </c>
      <c r="AJ792" s="2715">
        <f>AH792-0.0005</f>
        <v>1.0955667702524081</v>
      </c>
      <c r="AK792" s="2421">
        <f>IF(AND(дома!$Z$29&gt;=AJ792,дома!$Z$29&lt;=AI792),связи1!AG792,0)</f>
        <v>0</v>
      </c>
      <c r="AL792" s="2421">
        <f>IF(AND(дома!$AA$29&gt;=AJ792,дома!$AA$29&lt;=AI792),связи1!AG792,0)</f>
        <v>0</v>
      </c>
    </row>
    <row r="793" spans="1:38">
      <c r="A793" s="2805" t="s">
        <v>1701</v>
      </c>
      <c r="B793" s="1055">
        <f>'Прайс лист'!G1948</f>
        <v>190</v>
      </c>
      <c r="C793" s="2421">
        <f>(C750*(D751/1000)*2.2*2)*100/1000</f>
        <v>50.6</v>
      </c>
      <c r="D793" s="2379">
        <f>C793/'Прайс лист'!D1948*B793</f>
        <v>1602.3333333333335</v>
      </c>
      <c r="AG793" s="2421"/>
      <c r="AH793" s="2715"/>
      <c r="AI793" s="2715"/>
      <c r="AJ793" s="2715"/>
      <c r="AK793" s="2421"/>
      <c r="AL793" s="2421"/>
    </row>
    <row r="794" spans="1:38">
      <c r="A794" s="2805" t="s">
        <v>1702</v>
      </c>
      <c r="B794" s="1055">
        <f>'Прайс лист'!G1949</f>
        <v>200</v>
      </c>
      <c r="C794" s="2421">
        <f>(C750*(D751/1000)*2.2*2)*100/1000</f>
        <v>50.6</v>
      </c>
      <c r="D794" s="2379">
        <f>C794/'Прайс лист'!D1949*B794</f>
        <v>5060</v>
      </c>
      <c r="AG794" s="2421">
        <v>62.900000000000098</v>
      </c>
      <c r="AH794" s="2715">
        <f t="shared" ref="AH794:AH835" si="81">AG794*3.1415926535897/180</f>
        <v>1.0978120995044025</v>
      </c>
      <c r="AI794" s="2715">
        <f t="shared" ref="AI794:AI835" si="82">AH794+0.0005</f>
        <v>1.0983120995044025</v>
      </c>
      <c r="AJ794" s="2715">
        <f t="shared" ref="AJ794:AJ835" si="83">AH794-0.0005</f>
        <v>1.0973120995044026</v>
      </c>
      <c r="AK794" s="2421">
        <f>IF(AND(дома!$Z$29&gt;=AJ794,дома!$Z$29&lt;=AI794),связи1!AG794,0)</f>
        <v>0</v>
      </c>
      <c r="AL794" s="2421">
        <f>IF(AND(дома!$AA$29&gt;=AJ794,дома!$AA$29&lt;=AI794),связи1!AG794,0)</f>
        <v>0</v>
      </c>
    </row>
    <row r="795" spans="1:38">
      <c r="A795" s="2805" t="s">
        <v>1703</v>
      </c>
      <c r="B795" s="1055">
        <f>'Прайс лист'!G1950</f>
        <v>300</v>
      </c>
      <c r="C795" s="2421">
        <f>(C750*(D751/1000)*2.2*2)*100/1000</f>
        <v>50.6</v>
      </c>
      <c r="D795" s="2379">
        <f>C795/'Прайс лист'!D1950*B795</f>
        <v>6072.0000000000009</v>
      </c>
      <c r="AG795" s="2421">
        <v>63.000000000000099</v>
      </c>
      <c r="AH795" s="2715">
        <f t="shared" si="81"/>
        <v>1.0995574287563967</v>
      </c>
      <c r="AI795" s="2715">
        <f t="shared" si="82"/>
        <v>1.1000574287563967</v>
      </c>
      <c r="AJ795" s="2715">
        <f t="shared" si="83"/>
        <v>1.0990574287563968</v>
      </c>
      <c r="AK795" s="2421">
        <f>IF(AND(дома!$Z$29&gt;=AJ795,дома!$Z$29&lt;=AI795),связи1!AG795,0)</f>
        <v>0</v>
      </c>
      <c r="AL795" s="2421">
        <f>IF(AND(дома!$AA$29&gt;=AJ795,дома!$AA$29&lt;=AI795),связи1!AG795,0)</f>
        <v>0</v>
      </c>
    </row>
    <row r="796" spans="1:38">
      <c r="A796" s="2805" t="s">
        <v>1704</v>
      </c>
      <c r="B796" s="1055">
        <f>'Прайс лист'!G1951</f>
        <v>500</v>
      </c>
      <c r="C796" s="2421">
        <f>(C750*(D751/1000)*2.2*2)*100/1000</f>
        <v>50.6</v>
      </c>
      <c r="D796" s="2379">
        <f>C796/'Прайс лист'!D1951*B796</f>
        <v>8433.3333333333339</v>
      </c>
      <c r="AG796" s="2421">
        <v>63.100000000000101</v>
      </c>
      <c r="AH796" s="2715">
        <f t="shared" si="81"/>
        <v>1.1013027580083909</v>
      </c>
      <c r="AI796" s="2715">
        <f t="shared" si="82"/>
        <v>1.1018027580083909</v>
      </c>
      <c r="AJ796" s="2715">
        <f t="shared" si="83"/>
        <v>1.100802758008391</v>
      </c>
      <c r="AK796" s="2421">
        <f>IF(AND(дома!$Z$29&gt;=AJ796,дома!$Z$29&lt;=AI796),связи1!AG796,0)</f>
        <v>0</v>
      </c>
      <c r="AL796" s="2421">
        <f>IF(AND(дома!$AA$29&gt;=AJ796,дома!$AA$29&lt;=AI796),связи1!AG796,0)</f>
        <v>0</v>
      </c>
    </row>
    <row r="797" spans="1:38">
      <c r="AG797" s="2421">
        <v>63.200000000000102</v>
      </c>
      <c r="AH797" s="2715">
        <f t="shared" si="81"/>
        <v>1.1030480872603852</v>
      </c>
      <c r="AI797" s="2715">
        <f t="shared" si="82"/>
        <v>1.1035480872603851</v>
      </c>
      <c r="AJ797" s="2715">
        <f t="shared" si="83"/>
        <v>1.1025480872603852</v>
      </c>
      <c r="AK797" s="2421">
        <f>IF(AND(дома!$Z$29&gt;=AJ797,дома!$Z$29&lt;=AI797),связи1!AG797,0)</f>
        <v>0</v>
      </c>
      <c r="AL797" s="2421">
        <f>IF(AND(дома!$AA$29&gt;=AJ797,дома!$AA$29&lt;=AI797),связи1!AG797,0)</f>
        <v>0</v>
      </c>
    </row>
    <row r="798" spans="1:38">
      <c r="AG798" s="2421">
        <v>63.300000000000097</v>
      </c>
      <c r="AH798" s="2715">
        <f t="shared" si="81"/>
        <v>1.1047934165123794</v>
      </c>
      <c r="AI798" s="2715">
        <f t="shared" si="82"/>
        <v>1.1052934165123793</v>
      </c>
      <c r="AJ798" s="2715">
        <f t="shared" si="83"/>
        <v>1.1042934165123794</v>
      </c>
      <c r="AK798" s="2421">
        <f>IF(AND(дома!$Z$29&gt;=AJ798,дома!$Z$29&lt;=AI798),связи1!AG798,0)</f>
        <v>0</v>
      </c>
      <c r="AL798" s="2421">
        <f>IF(AND(дома!$AA$29&gt;=AJ798,дома!$AA$29&lt;=AI798),связи1!AG798,0)</f>
        <v>0</v>
      </c>
    </row>
    <row r="799" spans="1:38" ht="16">
      <c r="A799" s="2803" t="s">
        <v>2529</v>
      </c>
      <c r="AG799" s="2421">
        <v>63.400000000000098</v>
      </c>
      <c r="AH799" s="2715">
        <f t="shared" si="81"/>
        <v>1.1065387457643738</v>
      </c>
      <c r="AI799" s="2715">
        <f t="shared" si="82"/>
        <v>1.1070387457643738</v>
      </c>
      <c r="AJ799" s="2715">
        <f t="shared" si="83"/>
        <v>1.1060387457643739</v>
      </c>
      <c r="AK799" s="2421">
        <f>IF(AND(дома!$Z$29&gt;=AJ799,дома!$Z$29&lt;=AI799),связи1!AG799,0)</f>
        <v>0</v>
      </c>
      <c r="AL799" s="2421">
        <f>IF(AND(дома!$AA$29&gt;=AJ799,дома!$AA$29&lt;=AI799),связи1!AG799,0)</f>
        <v>0</v>
      </c>
    </row>
    <row r="800" spans="1:38">
      <c r="A800" s="2808" t="s">
        <v>493</v>
      </c>
      <c r="B800" s="2421">
        <v>0</v>
      </c>
      <c r="C800" s="2421"/>
      <c r="AG800" s="2421">
        <v>63.500000000000099</v>
      </c>
      <c r="AH800" s="2715">
        <f t="shared" si="81"/>
        <v>1.1082840750163681</v>
      </c>
      <c r="AI800" s="2715">
        <f t="shared" si="82"/>
        <v>1.108784075016368</v>
      </c>
      <c r="AJ800" s="2715">
        <f t="shared" si="83"/>
        <v>1.1077840750163681</v>
      </c>
      <c r="AK800" s="2421">
        <f>IF(AND(дома!$Z$29&gt;=AJ800,дома!$Z$29&lt;=AI800),связи1!AG800,0)</f>
        <v>0</v>
      </c>
      <c r="AL800" s="2421">
        <f>IF(AND(дома!$AA$29&gt;=AJ800,дома!$AA$29&lt;=AI800),связи1!AG800,0)</f>
        <v>0</v>
      </c>
    </row>
    <row r="801" spans="1:38">
      <c r="A801" s="2808" t="s">
        <v>2530</v>
      </c>
      <c r="B801" s="1055">
        <f>'Прайс лист'!G1956</f>
        <v>300</v>
      </c>
      <c r="C801" s="2421"/>
      <c r="AG801" s="2421">
        <v>63.600000000000101</v>
      </c>
      <c r="AH801" s="2715">
        <f t="shared" si="81"/>
        <v>1.1100294042683625</v>
      </c>
      <c r="AI801" s="2715">
        <f t="shared" si="82"/>
        <v>1.1105294042683624</v>
      </c>
      <c r="AJ801" s="2715">
        <f t="shared" si="83"/>
        <v>1.1095294042683626</v>
      </c>
      <c r="AK801" s="2421">
        <f>IF(AND(дома!$Z$29&gt;=AJ801,дома!$Z$29&lt;=AI801),связи1!AG801,0)</f>
        <v>0</v>
      </c>
      <c r="AL801" s="2421">
        <f>IF(AND(дома!$AA$29&gt;=AJ801,дома!$AA$29&lt;=AI801),связи1!AG801,0)</f>
        <v>0</v>
      </c>
    </row>
    <row r="802" spans="1:38">
      <c r="A802" s="2808" t="s">
        <v>4591</v>
      </c>
      <c r="B802" s="1055">
        <f>'Прайс лист'!G1956</f>
        <v>300</v>
      </c>
      <c r="C802" s="2421"/>
      <c r="AG802" s="2421">
        <v>63.700000000000102</v>
      </c>
      <c r="AH802" s="2715">
        <f t="shared" si="81"/>
        <v>1.1117747335203567</v>
      </c>
      <c r="AI802" s="2715">
        <f t="shared" si="82"/>
        <v>1.1122747335203567</v>
      </c>
      <c r="AJ802" s="2715">
        <f t="shared" si="83"/>
        <v>1.1112747335203568</v>
      </c>
      <c r="AK802" s="2421">
        <f>IF(AND(дома!$Z$29&gt;=AJ802,дома!$Z$29&lt;=AI802),связи1!AG802,0)</f>
        <v>0</v>
      </c>
      <c r="AL802" s="2421">
        <f>IF(AND(дома!$AA$29&gt;=AJ802,дома!$AA$29&lt;=AI802),связи1!AG802,0)</f>
        <v>0</v>
      </c>
    </row>
    <row r="803" spans="1:38">
      <c r="A803" s="2808" t="s">
        <v>4592</v>
      </c>
      <c r="B803" s="1055">
        <f>'Прайс лист'!G1956</f>
        <v>300</v>
      </c>
      <c r="C803" s="2421"/>
      <c r="AG803" s="2421">
        <v>63.800000000000097</v>
      </c>
      <c r="AH803" s="2715">
        <f t="shared" si="81"/>
        <v>1.1135200627723507</v>
      </c>
      <c r="AI803" s="2715">
        <f t="shared" si="82"/>
        <v>1.1140200627723507</v>
      </c>
      <c r="AJ803" s="2715">
        <f t="shared" si="83"/>
        <v>1.1130200627723508</v>
      </c>
      <c r="AK803" s="2421">
        <f>IF(AND(дома!$Z$29&gt;=AJ803,дома!$Z$29&lt;=AI803),связи1!AG803,0)</f>
        <v>0</v>
      </c>
      <c r="AL803" s="2421">
        <f>IF(AND(дома!$AA$29&gt;=AJ803,дома!$AA$29&lt;=AI803),связи1!AG803,0)</f>
        <v>0</v>
      </c>
    </row>
    <row r="804" spans="1:38">
      <c r="AG804" s="2421">
        <v>63.900000000000098</v>
      </c>
      <c r="AH804" s="2715">
        <f t="shared" si="81"/>
        <v>1.1152653920243452</v>
      </c>
      <c r="AI804" s="2715">
        <f t="shared" si="82"/>
        <v>1.1157653920243451</v>
      </c>
      <c r="AJ804" s="2715">
        <f t="shared" si="83"/>
        <v>1.1147653920243452</v>
      </c>
      <c r="AK804" s="2421">
        <f>IF(AND(дома!$Z$29&gt;=AJ804,дома!$Z$29&lt;=AI804),связи1!AG804,0)</f>
        <v>0</v>
      </c>
      <c r="AL804" s="2421">
        <f>IF(AND(дома!$AA$29&gt;=AJ804,дома!$AA$29&lt;=AI804),связи1!AG804,0)</f>
        <v>0</v>
      </c>
    </row>
    <row r="805" spans="1:38">
      <c r="AG805" s="2421">
        <v>64.000000000000099</v>
      </c>
      <c r="AH805" s="2715">
        <f t="shared" si="81"/>
        <v>1.1170107212763394</v>
      </c>
      <c r="AI805" s="2715">
        <f t="shared" si="82"/>
        <v>1.1175107212763393</v>
      </c>
      <c r="AJ805" s="2715">
        <f t="shared" si="83"/>
        <v>1.1165107212763394</v>
      </c>
      <c r="AK805" s="2421">
        <f>IF(AND(дома!$Z$29&gt;=AJ805,дома!$Z$29&lt;=AI805),связи1!AG805,0)</f>
        <v>0</v>
      </c>
      <c r="AL805" s="2421">
        <f>IF(AND(дома!$AA$29&gt;=AJ805,дома!$AA$29&lt;=AI805),связи1!AG805,0)</f>
        <v>0</v>
      </c>
    </row>
    <row r="806" spans="1:38" ht="16">
      <c r="A806" s="2809" t="s">
        <v>1707</v>
      </c>
      <c r="AG806" s="2421">
        <v>64.100000000000094</v>
      </c>
      <c r="AH806" s="2715">
        <f t="shared" si="81"/>
        <v>1.1187560505283336</v>
      </c>
      <c r="AI806" s="2715">
        <f t="shared" si="82"/>
        <v>1.1192560505283335</v>
      </c>
      <c r="AJ806" s="2715">
        <f t="shared" si="83"/>
        <v>1.1182560505283337</v>
      </c>
      <c r="AK806" s="2421">
        <f>IF(AND(дома!$Z$29&gt;=AJ806,дома!$Z$29&lt;=AI806),связи1!AG806,0)</f>
        <v>0</v>
      </c>
      <c r="AL806" s="2421">
        <f>IF(AND(дома!$AA$29&gt;=AJ806,дома!$AA$29&lt;=AI806),связи1!AG806,0)</f>
        <v>0</v>
      </c>
    </row>
    <row r="807" spans="1:38">
      <c r="A807" s="2805" t="s">
        <v>1708</v>
      </c>
      <c r="B807" s="1055">
        <f>'Прайс лист'!G1961</f>
        <v>2000</v>
      </c>
      <c r="C807" s="2421"/>
      <c r="AG807" s="2421">
        <v>64.200000000000102</v>
      </c>
      <c r="AH807" s="2715">
        <f t="shared" si="81"/>
        <v>1.120501379780328</v>
      </c>
      <c r="AI807" s="2715">
        <f t="shared" si="82"/>
        <v>1.121001379780328</v>
      </c>
      <c r="AJ807" s="2715">
        <f t="shared" si="83"/>
        <v>1.1200013797803281</v>
      </c>
      <c r="AK807" s="2421">
        <f>IF(AND(дома!$Z$29&gt;=AJ807,дома!$Z$29&lt;=AI807),связи1!AG807,0)</f>
        <v>0</v>
      </c>
      <c r="AL807" s="2421">
        <f>IF(AND(дома!$AA$29&gt;=AJ807,дома!$AA$29&lt;=AI807),связи1!AG807,0)</f>
        <v>0</v>
      </c>
    </row>
    <row r="808" spans="1:38">
      <c r="A808" s="2805" t="s">
        <v>1709</v>
      </c>
      <c r="B808" s="1055">
        <f>'Прайс лист'!G1962</f>
        <v>2000</v>
      </c>
      <c r="C808" s="2421"/>
      <c r="AG808" s="2421">
        <v>64.300000000000097</v>
      </c>
      <c r="AH808" s="2715">
        <f t="shared" si="81"/>
        <v>1.1222467090323223</v>
      </c>
      <c r="AI808" s="2715">
        <f t="shared" si="82"/>
        <v>1.1227467090323222</v>
      </c>
      <c r="AJ808" s="2715">
        <f t="shared" si="83"/>
        <v>1.1217467090323223</v>
      </c>
      <c r="AK808" s="2421">
        <f>IF(AND(дома!$Z$29&gt;=AJ808,дома!$Z$29&lt;=AI808),связи1!AG808,0)</f>
        <v>0</v>
      </c>
      <c r="AL808" s="2421">
        <f>IF(AND(дома!$AA$29&gt;=AJ808,дома!$AA$29&lt;=AI808),связи1!AG808,0)</f>
        <v>0</v>
      </c>
    </row>
    <row r="809" spans="1:38">
      <c r="A809" s="2805" t="s">
        <v>1710</v>
      </c>
      <c r="B809" s="1055">
        <f>'Прайс лист'!G1963</f>
        <v>2000</v>
      </c>
      <c r="C809" s="2421"/>
      <c r="AG809" s="2421">
        <v>64.400000000000105</v>
      </c>
      <c r="AH809" s="2715">
        <f t="shared" si="81"/>
        <v>1.1239920382843167</v>
      </c>
      <c r="AI809" s="2715">
        <f t="shared" si="82"/>
        <v>1.1244920382843167</v>
      </c>
      <c r="AJ809" s="2715">
        <f t="shared" si="83"/>
        <v>1.1234920382843168</v>
      </c>
      <c r="AK809" s="2421">
        <f>IF(AND(дома!$Z$29&gt;=AJ809,дома!$Z$29&lt;=AI809),связи1!AG809,0)</f>
        <v>0</v>
      </c>
      <c r="AL809" s="2421">
        <f>IF(AND(дома!$AA$29&gt;=AJ809,дома!$AA$29&lt;=AI809),связи1!AG809,0)</f>
        <v>0</v>
      </c>
    </row>
    <row r="810" spans="1:38">
      <c r="A810" s="2805" t="s">
        <v>1711</v>
      </c>
      <c r="B810" s="1055">
        <f>'Прайс лист'!G1964</f>
        <v>2000</v>
      </c>
      <c r="C810" s="2421"/>
      <c r="AG810" s="2421">
        <v>64.500000000000099</v>
      </c>
      <c r="AH810" s="2715">
        <f t="shared" si="81"/>
        <v>1.1257373675363109</v>
      </c>
      <c r="AI810" s="2715">
        <f t="shared" si="82"/>
        <v>1.1262373675363109</v>
      </c>
      <c r="AJ810" s="2715">
        <f t="shared" si="83"/>
        <v>1.125237367536311</v>
      </c>
      <c r="AK810" s="2421">
        <f>IF(AND(дома!$Z$29&gt;=AJ810,дома!$Z$29&lt;=AI810),связи1!AG810,0)</f>
        <v>0</v>
      </c>
      <c r="AL810" s="2421">
        <f>IF(AND(дома!$AA$29&gt;=AJ810,дома!$AA$29&lt;=AI810),связи1!AG810,0)</f>
        <v>0</v>
      </c>
    </row>
    <row r="811" spans="1:38">
      <c r="A811" s="2805" t="s">
        <v>1712</v>
      </c>
      <c r="B811" s="1055">
        <f>'Прайс лист'!G1965</f>
        <v>2000</v>
      </c>
      <c r="C811" s="2421"/>
      <c r="AG811" s="2421">
        <v>64.600000000000094</v>
      </c>
      <c r="AH811" s="2715">
        <f t="shared" si="81"/>
        <v>1.1274826967883049</v>
      </c>
      <c r="AI811" s="2715">
        <f t="shared" si="82"/>
        <v>1.1279826967883049</v>
      </c>
      <c r="AJ811" s="2715">
        <f t="shared" si="83"/>
        <v>1.126982696788305</v>
      </c>
      <c r="AK811" s="2421">
        <f>IF(AND(дома!$Z$29&gt;=AJ811,дома!$Z$29&lt;=AI811),связи1!AG811,0)</f>
        <v>0</v>
      </c>
      <c r="AL811" s="2421">
        <f>IF(AND(дома!$AA$29&gt;=AJ811,дома!$AA$29&lt;=AI811),связи1!AG811,0)</f>
        <v>0</v>
      </c>
    </row>
    <row r="812" spans="1:38">
      <c r="A812" s="2805" t="s">
        <v>1713</v>
      </c>
      <c r="B812" s="1055">
        <f>'Прайс лист'!G1966</f>
        <v>2000</v>
      </c>
      <c r="C812" s="2421"/>
      <c r="AG812" s="2421">
        <v>64.700000000000102</v>
      </c>
      <c r="AH812" s="2715">
        <f t="shared" si="81"/>
        <v>1.1292280260402994</v>
      </c>
      <c r="AI812" s="2715">
        <f t="shared" si="82"/>
        <v>1.1297280260402993</v>
      </c>
      <c r="AJ812" s="2715">
        <f t="shared" si="83"/>
        <v>1.1287280260402994</v>
      </c>
      <c r="AK812" s="2421">
        <f>IF(AND(дома!$Z$29&gt;=AJ812,дома!$Z$29&lt;=AI812),связи1!AG812,0)</f>
        <v>0</v>
      </c>
      <c r="AL812" s="2421">
        <f>IF(AND(дома!$AA$29&gt;=AJ812,дома!$AA$29&lt;=AI812),связи1!AG812,0)</f>
        <v>0</v>
      </c>
    </row>
    <row r="813" spans="1:38">
      <c r="A813" s="2805" t="s">
        <v>1714</v>
      </c>
      <c r="B813" s="1055">
        <f>'Прайс лист'!G1967</f>
        <v>2000</v>
      </c>
      <c r="C813" s="2421"/>
      <c r="AG813" s="2421">
        <v>64.800000000000097</v>
      </c>
      <c r="AH813" s="2715">
        <f t="shared" si="81"/>
        <v>1.1309733552922938</v>
      </c>
      <c r="AI813" s="2715">
        <f t="shared" si="82"/>
        <v>1.1314733552922938</v>
      </c>
      <c r="AJ813" s="2715">
        <f t="shared" si="83"/>
        <v>1.1304733552922939</v>
      </c>
      <c r="AK813" s="2421">
        <f>IF(AND(дома!$Z$29&gt;=AJ813,дома!$Z$29&lt;=AI813),связи1!AG813,0)</f>
        <v>0</v>
      </c>
      <c r="AL813" s="2421">
        <f>IF(AND(дома!$AA$29&gt;=AJ813,дома!$AA$29&lt;=AI813),связи1!AG813,0)</f>
        <v>0</v>
      </c>
    </row>
    <row r="814" spans="1:38">
      <c r="A814" s="2805" t="s">
        <v>1715</v>
      </c>
      <c r="B814" s="1055">
        <f>'Прайс лист'!G1968</f>
        <v>2000</v>
      </c>
      <c r="C814" s="2421"/>
      <c r="AG814" s="2421">
        <v>64.900000000000105</v>
      </c>
      <c r="AH814" s="2715">
        <f t="shared" si="81"/>
        <v>1.132718684544288</v>
      </c>
      <c r="AI814" s="2715">
        <f t="shared" si="82"/>
        <v>1.133218684544288</v>
      </c>
      <c r="AJ814" s="2715">
        <f t="shared" si="83"/>
        <v>1.1322186845442881</v>
      </c>
      <c r="AK814" s="2421">
        <f>IF(AND(дома!$Z$29&gt;=AJ814,дома!$Z$29&lt;=AI814),связи1!AG814,0)</f>
        <v>0</v>
      </c>
      <c r="AL814" s="2421">
        <f>IF(AND(дома!$AA$29&gt;=AJ814,дома!$AA$29&lt;=AI814),связи1!AG814,0)</f>
        <v>0</v>
      </c>
    </row>
    <row r="815" spans="1:38">
      <c r="A815" s="2805" t="s">
        <v>1716</v>
      </c>
      <c r="B815" s="1055">
        <f>'Прайс лист'!G1969</f>
        <v>2000</v>
      </c>
      <c r="C815" s="2421"/>
      <c r="AG815" s="2421">
        <v>65.000000000000099</v>
      </c>
      <c r="AH815" s="2715">
        <f t="shared" si="81"/>
        <v>1.1344640137962823</v>
      </c>
      <c r="AI815" s="2715">
        <f t="shared" si="82"/>
        <v>1.1349640137962822</v>
      </c>
      <c r="AJ815" s="2715">
        <f t="shared" si="83"/>
        <v>1.1339640137962823</v>
      </c>
      <c r="AK815" s="2421">
        <f>IF(AND(дома!$Z$29&gt;=AJ815,дома!$Z$29&lt;=AI815),связи1!AG815,0)</f>
        <v>0</v>
      </c>
      <c r="AL815" s="2421">
        <f>IF(AND(дома!$AA$29&gt;=AJ815,дома!$AA$29&lt;=AI815),связи1!AG815,0)</f>
        <v>0</v>
      </c>
    </row>
    <row r="816" spans="1:38">
      <c r="A816" s="2805" t="s">
        <v>1717</v>
      </c>
      <c r="B816" s="1055">
        <f>'Прайс лист'!G1970</f>
        <v>2000</v>
      </c>
      <c r="C816" s="2421"/>
      <c r="AG816" s="2421">
        <v>65.100000000000094</v>
      </c>
      <c r="AH816" s="2715">
        <f t="shared" si="81"/>
        <v>1.1362093430482765</v>
      </c>
      <c r="AI816" s="2715">
        <f t="shared" si="82"/>
        <v>1.1367093430482764</v>
      </c>
      <c r="AJ816" s="2715">
        <f t="shared" si="83"/>
        <v>1.1357093430482765</v>
      </c>
      <c r="AK816" s="2421">
        <f>IF(AND(дома!$Z$29&gt;=AJ816,дома!$Z$29&lt;=AI816),связи1!AG816,0)</f>
        <v>0</v>
      </c>
      <c r="AL816" s="2421">
        <f>IF(AND(дома!$AA$29&gt;=AJ816,дома!$AA$29&lt;=AI816),связи1!AG816,0)</f>
        <v>0</v>
      </c>
    </row>
    <row r="817" spans="1:38">
      <c r="AG817" s="2421">
        <v>65.200000000000102</v>
      </c>
      <c r="AH817" s="2715">
        <f t="shared" si="81"/>
        <v>1.1379546723002709</v>
      </c>
      <c r="AI817" s="2715">
        <f t="shared" si="82"/>
        <v>1.1384546723002709</v>
      </c>
      <c r="AJ817" s="2715">
        <f t="shared" si="83"/>
        <v>1.137454672300271</v>
      </c>
      <c r="AK817" s="2421">
        <f>IF(AND(дома!$Z$29&gt;=AJ817,дома!$Z$29&lt;=AI817),связи1!AG817,0)</f>
        <v>0</v>
      </c>
      <c r="AL817" s="2421">
        <f>IF(AND(дома!$AA$29&gt;=AJ817,дома!$AA$29&lt;=AI817),связи1!AG817,0)</f>
        <v>0</v>
      </c>
    </row>
    <row r="818" spans="1:38">
      <c r="AG818" s="2421">
        <v>65.300000000000097</v>
      </c>
      <c r="AH818" s="2715">
        <f t="shared" si="81"/>
        <v>1.1397000015522649</v>
      </c>
      <c r="AI818" s="2715">
        <f t="shared" si="82"/>
        <v>1.1402000015522649</v>
      </c>
      <c r="AJ818" s="2715">
        <f t="shared" si="83"/>
        <v>1.139200001552265</v>
      </c>
      <c r="AK818" s="2421">
        <f>IF(AND(дома!$Z$29&gt;=AJ818,дома!$Z$29&lt;=AI818),связи1!AG818,0)</f>
        <v>0</v>
      </c>
      <c r="AL818" s="2421">
        <f>IF(AND(дома!$AA$29&gt;=AJ818,дома!$AA$29&lt;=AI818),связи1!AG818,0)</f>
        <v>0</v>
      </c>
    </row>
    <row r="819" spans="1:38" ht="16">
      <c r="A819" s="2803" t="s">
        <v>2532</v>
      </c>
      <c r="AG819" s="2421">
        <v>65.400000000000105</v>
      </c>
      <c r="AH819" s="2715">
        <f t="shared" si="81"/>
        <v>1.1414453308042594</v>
      </c>
      <c r="AI819" s="2715">
        <f t="shared" si="82"/>
        <v>1.1419453308042593</v>
      </c>
      <c r="AJ819" s="2715">
        <f t="shared" si="83"/>
        <v>1.1409453308042594</v>
      </c>
      <c r="AK819" s="2421">
        <f>IF(AND(дома!$Z$29&gt;=AJ819,дома!$Z$29&lt;=AI819),связи1!AG819,0)</f>
        <v>0</v>
      </c>
      <c r="AL819" s="2421">
        <f>IF(AND(дома!$AA$29&gt;=AJ819,дома!$AA$29&lt;=AI819),связи1!AG819,0)</f>
        <v>0</v>
      </c>
    </row>
    <row r="820" spans="1:38">
      <c r="A820" s="2379">
        <v>2</v>
      </c>
      <c r="B820" s="2421"/>
      <c r="C820" s="2421"/>
      <c r="AG820" s="2421">
        <v>65.500000000000099</v>
      </c>
      <c r="AH820" s="2715">
        <f t="shared" si="81"/>
        <v>1.1431906600562536</v>
      </c>
      <c r="AI820" s="2715">
        <f t="shared" si="82"/>
        <v>1.1436906600562535</v>
      </c>
      <c r="AJ820" s="2715">
        <f t="shared" si="83"/>
        <v>1.1426906600562536</v>
      </c>
      <c r="AK820" s="2421">
        <f>IF(AND(дома!$Z$29&gt;=AJ820,дома!$Z$29&lt;=AI820),связи1!AG820,0)</f>
        <v>0</v>
      </c>
      <c r="AL820" s="2421">
        <f>IF(AND(дома!$AA$29&gt;=AJ820,дома!$AA$29&lt;=AI820),связи1!AG820,0)</f>
        <v>0</v>
      </c>
    </row>
    <row r="821" spans="1:38">
      <c r="A821" s="2379">
        <v>2.5</v>
      </c>
      <c r="B821" s="2421"/>
      <c r="C821" s="2421"/>
      <c r="AG821" s="2421">
        <v>65.600000000000094</v>
      </c>
      <c r="AH821" s="2715">
        <f t="shared" si="81"/>
        <v>1.1449359893082478</v>
      </c>
      <c r="AI821" s="2715">
        <f t="shared" si="82"/>
        <v>1.1454359893082477</v>
      </c>
      <c r="AJ821" s="2715">
        <f t="shared" si="83"/>
        <v>1.1444359893082479</v>
      </c>
      <c r="AK821" s="2421">
        <f>IF(AND(дома!$Z$29&gt;=AJ821,дома!$Z$29&lt;=AI821),связи1!AG821,0)</f>
        <v>0</v>
      </c>
      <c r="AL821" s="2421">
        <f>IF(AND(дома!$AA$29&gt;=AJ821,дома!$AA$29&lt;=AI821),связи1!AG821,0)</f>
        <v>0</v>
      </c>
    </row>
    <row r="822" spans="1:38">
      <c r="A822" s="2379">
        <v>3</v>
      </c>
      <c r="B822" s="2421"/>
      <c r="C822" s="2421"/>
      <c r="AG822" s="2421">
        <v>65.700000000000102</v>
      </c>
      <c r="AH822" s="2715">
        <f t="shared" si="81"/>
        <v>1.1466813185602422</v>
      </c>
      <c r="AI822" s="2715">
        <f t="shared" si="82"/>
        <v>1.1471813185602422</v>
      </c>
      <c r="AJ822" s="2715">
        <f t="shared" si="83"/>
        <v>1.1461813185602423</v>
      </c>
      <c r="AK822" s="2421">
        <f>IF(AND(дома!$Z$29&gt;=AJ822,дома!$Z$29&lt;=AI822),связи1!AG822,0)</f>
        <v>0</v>
      </c>
      <c r="AL822" s="2421">
        <f>IF(AND(дома!$AA$29&gt;=AJ822,дома!$AA$29&lt;=AI822),связи1!AG822,0)</f>
        <v>0</v>
      </c>
    </row>
    <row r="823" spans="1:38">
      <c r="AG823" s="2421">
        <v>65.800000000000097</v>
      </c>
      <c r="AH823" s="2715">
        <f t="shared" si="81"/>
        <v>1.1484266478122365</v>
      </c>
      <c r="AI823" s="2715">
        <f t="shared" si="82"/>
        <v>1.1489266478122364</v>
      </c>
      <c r="AJ823" s="2715">
        <f t="shared" si="83"/>
        <v>1.1479266478122365</v>
      </c>
      <c r="AK823" s="2421">
        <f>IF(AND(дома!$Z$29&gt;=AJ823,дома!$Z$29&lt;=AI823),связи1!AG823,0)</f>
        <v>0</v>
      </c>
      <c r="AL823" s="2421">
        <f>IF(AND(дома!$AA$29&gt;=AJ823,дома!$AA$29&lt;=AI823),связи1!AG823,0)</f>
        <v>0</v>
      </c>
    </row>
    <row r="824" spans="1:38" ht="16">
      <c r="A824" s="2803" t="s">
        <v>1744</v>
      </c>
      <c r="AG824" s="2421">
        <v>65.900000000000105</v>
      </c>
      <c r="AH824" s="2715">
        <f t="shared" si="81"/>
        <v>1.1501719770642309</v>
      </c>
      <c r="AI824" s="2715">
        <f t="shared" si="82"/>
        <v>1.1506719770642309</v>
      </c>
      <c r="AJ824" s="2715">
        <f t="shared" si="83"/>
        <v>1.149671977064231</v>
      </c>
      <c r="AK824" s="2421">
        <f>IF(AND(дома!$Z$29&gt;=AJ824,дома!$Z$29&lt;=AI824),связи1!AG824,0)</f>
        <v>0</v>
      </c>
      <c r="AL824" s="2421">
        <f>IF(AND(дома!$AA$29&gt;=AJ824,дома!$AA$29&lt;=AI824),связи1!AG824,0)</f>
        <v>0</v>
      </c>
    </row>
    <row r="825" spans="1:38">
      <c r="A825" s="2808" t="s">
        <v>2534</v>
      </c>
      <c r="B825" s="1055">
        <f>'Прайс лист'!G1974</f>
        <v>340</v>
      </c>
      <c r="C825" s="2421"/>
      <c r="AG825" s="2421">
        <v>66.000000000000099</v>
      </c>
      <c r="AH825" s="2715">
        <f t="shared" si="81"/>
        <v>1.1519173063162249</v>
      </c>
      <c r="AI825" s="2715">
        <f t="shared" si="82"/>
        <v>1.1524173063162249</v>
      </c>
      <c r="AJ825" s="2715">
        <f t="shared" si="83"/>
        <v>1.151417306316225</v>
      </c>
      <c r="AK825" s="2421">
        <f>IF(AND(дома!$Z$29&gt;=AJ825,дома!$Z$29&lt;=AI825),связи1!AG825,0)</f>
        <v>0</v>
      </c>
      <c r="AL825" s="2421">
        <f>IF(AND(дома!$AA$29&gt;=AJ825,дома!$AA$29&lt;=AI825),связи1!AG825,0)</f>
        <v>0</v>
      </c>
    </row>
    <row r="826" spans="1:38">
      <c r="A826" s="2808" t="s">
        <v>493</v>
      </c>
      <c r="B826" s="2421">
        <v>0</v>
      </c>
      <c r="C826" s="2421"/>
      <c r="AG826" s="2421">
        <v>66.100000000000094</v>
      </c>
      <c r="AH826" s="2715">
        <f t="shared" si="81"/>
        <v>1.1536626355682194</v>
      </c>
      <c r="AI826" s="2715">
        <f t="shared" si="82"/>
        <v>1.1541626355682193</v>
      </c>
      <c r="AJ826" s="2715">
        <f t="shared" si="83"/>
        <v>1.1531626355682194</v>
      </c>
      <c r="AK826" s="2421">
        <f>IF(AND(дома!$Z$29&gt;=AJ826,дома!$Z$29&lt;=AI826),связи1!AG826,0)</f>
        <v>0</v>
      </c>
      <c r="AL826" s="2421">
        <f>IF(AND(дома!$AA$29&gt;=AJ826,дома!$AA$29&lt;=AI826),связи1!AG826,0)</f>
        <v>0</v>
      </c>
    </row>
    <row r="827" spans="1:38">
      <c r="AG827" s="2421">
        <v>66.200000000000102</v>
      </c>
      <c r="AH827" s="2715">
        <f t="shared" si="81"/>
        <v>1.1554079648202136</v>
      </c>
      <c r="AI827" s="2715">
        <f t="shared" si="82"/>
        <v>1.1559079648202135</v>
      </c>
      <c r="AJ827" s="2715">
        <f t="shared" si="83"/>
        <v>1.1549079648202136</v>
      </c>
      <c r="AK827" s="2421">
        <f>IF(AND(дома!$Z$29&gt;=AJ827,дома!$Z$29&lt;=AI827),связи1!AG827,0)</f>
        <v>0</v>
      </c>
      <c r="AL827" s="2421">
        <f>IF(AND(дома!$AA$29&gt;=AJ827,дома!$AA$29&lt;=AI827),связи1!AG827,0)</f>
        <v>0</v>
      </c>
    </row>
    <row r="828" spans="1:38">
      <c r="AG828" s="2421">
        <v>66.300000000000097</v>
      </c>
      <c r="AH828" s="2715">
        <f t="shared" si="81"/>
        <v>1.1571532940722078</v>
      </c>
      <c r="AI828" s="2715">
        <f t="shared" si="82"/>
        <v>1.1576532940722077</v>
      </c>
      <c r="AJ828" s="2715">
        <f t="shared" si="83"/>
        <v>1.1566532940722078</v>
      </c>
      <c r="AK828" s="2421">
        <f>IF(AND(дома!$Z$29&gt;=AJ828,дома!$Z$29&lt;=AI828),связи1!AG828,0)</f>
        <v>0</v>
      </c>
      <c r="AL828" s="2421">
        <f>IF(AND(дома!$AA$29&gt;=AJ828,дома!$AA$29&lt;=AI828),связи1!AG828,0)</f>
        <v>0</v>
      </c>
    </row>
    <row r="829" spans="1:38" ht="16">
      <c r="A829" s="2803" t="s">
        <v>2533</v>
      </c>
      <c r="AG829" s="2421">
        <v>66.400000000000105</v>
      </c>
      <c r="AH829" s="2715">
        <f t="shared" si="81"/>
        <v>1.1588986233242022</v>
      </c>
      <c r="AI829" s="2715">
        <f t="shared" si="82"/>
        <v>1.1593986233242022</v>
      </c>
      <c r="AJ829" s="2715">
        <f t="shared" si="83"/>
        <v>1.1583986233242023</v>
      </c>
      <c r="AK829" s="2421">
        <f>IF(AND(дома!$Z$29&gt;=AJ829,дома!$Z$29&lt;=AI829),связи1!AG829,0)</f>
        <v>0</v>
      </c>
      <c r="AL829" s="2421">
        <f>IF(AND(дома!$AA$29&gt;=AJ829,дома!$AA$29&lt;=AI829),связи1!AG829,0)</f>
        <v>0</v>
      </c>
    </row>
    <row r="830" spans="1:38">
      <c r="A830" s="2808" t="s">
        <v>2534</v>
      </c>
      <c r="B830" s="1055">
        <f>'Прайс лист'!G1976</f>
        <v>160</v>
      </c>
      <c r="C830" s="2421"/>
      <c r="AG830" s="2421">
        <v>66.500000000000099</v>
      </c>
      <c r="AH830" s="2715">
        <f t="shared" si="81"/>
        <v>1.1606439525761965</v>
      </c>
      <c r="AI830" s="2715">
        <f t="shared" si="82"/>
        <v>1.1611439525761964</v>
      </c>
      <c r="AJ830" s="2715">
        <f t="shared" si="83"/>
        <v>1.1601439525761965</v>
      </c>
      <c r="AK830" s="2421">
        <f>IF(AND(дома!$Z$29&gt;=AJ830,дома!$Z$29&lt;=AI830),связи1!AG830,0)</f>
        <v>0</v>
      </c>
      <c r="AL830" s="2421">
        <f>IF(AND(дома!$AA$29&gt;=AJ830,дома!$AA$29&lt;=AI830),связи1!AG830,0)</f>
        <v>0</v>
      </c>
    </row>
    <row r="831" spans="1:38">
      <c r="A831" s="2808" t="s">
        <v>493</v>
      </c>
      <c r="B831" s="2421">
        <v>0</v>
      </c>
      <c r="C831" s="2421"/>
      <c r="AG831" s="2421">
        <v>66.600000000000094</v>
      </c>
      <c r="AH831" s="2715">
        <f t="shared" si="81"/>
        <v>1.1623892818281905</v>
      </c>
      <c r="AI831" s="2715">
        <f t="shared" si="82"/>
        <v>1.1628892818281904</v>
      </c>
      <c r="AJ831" s="2715">
        <f t="shared" si="83"/>
        <v>1.1618892818281905</v>
      </c>
      <c r="AK831" s="2421">
        <f>IF(AND(дома!$Z$29&gt;=AJ831,дома!$Z$29&lt;=AI831),связи1!AG831,0)</f>
        <v>0</v>
      </c>
      <c r="AL831" s="2421">
        <f>IF(AND(дома!$AA$29&gt;=AJ831,дома!$AA$29&lt;=AI831),связи1!AG831,0)</f>
        <v>0</v>
      </c>
    </row>
    <row r="832" spans="1:38">
      <c r="AG832" s="2421">
        <v>66.700000000000102</v>
      </c>
      <c r="AH832" s="2715">
        <f t="shared" si="81"/>
        <v>1.1641346110801849</v>
      </c>
      <c r="AI832" s="2715">
        <f t="shared" si="82"/>
        <v>1.1646346110801848</v>
      </c>
      <c r="AJ832" s="2715">
        <f t="shared" si="83"/>
        <v>1.163634611080185</v>
      </c>
      <c r="AK832" s="2421">
        <f>IF(AND(дома!$Z$29&gt;=AJ832,дома!$Z$29&lt;=AI832),связи1!AG832,0)</f>
        <v>0</v>
      </c>
      <c r="AL832" s="2421">
        <f>IF(AND(дома!$AA$29&gt;=AJ832,дома!$AA$29&lt;=AI832),связи1!AG832,0)</f>
        <v>0</v>
      </c>
    </row>
    <row r="833" spans="1:38" ht="16">
      <c r="A833" s="319" t="s">
        <v>1720</v>
      </c>
      <c r="AG833" s="2421">
        <v>66.800000000000097</v>
      </c>
      <c r="AH833" s="2715">
        <f t="shared" si="81"/>
        <v>1.1658799403321791</v>
      </c>
      <c r="AI833" s="2715">
        <f t="shared" si="82"/>
        <v>1.1663799403321791</v>
      </c>
      <c r="AJ833" s="2715">
        <f t="shared" si="83"/>
        <v>1.1653799403321792</v>
      </c>
      <c r="AK833" s="2421">
        <f>IF(AND(дома!$Z$29&gt;=AJ833,дома!$Z$29&lt;=AI833),связи1!AG833,0)</f>
        <v>0</v>
      </c>
      <c r="AL833" s="2421">
        <f>IF(AND(дома!$AA$29&gt;=AJ833,дома!$AA$29&lt;=AI833),связи1!AG833,0)</f>
        <v>0</v>
      </c>
    </row>
    <row r="834" spans="1:38">
      <c r="A834" s="2808" t="s">
        <v>2535</v>
      </c>
      <c r="B834" s="1055">
        <f>'Прайс лист'!G1979</f>
        <v>15</v>
      </c>
      <c r="C834" s="2421"/>
      <c r="AG834" s="2421">
        <v>66.900000000000105</v>
      </c>
      <c r="AH834" s="2715">
        <f t="shared" si="81"/>
        <v>1.1676252695841736</v>
      </c>
      <c r="AI834" s="2715">
        <f t="shared" si="82"/>
        <v>1.1681252695841735</v>
      </c>
      <c r="AJ834" s="2715">
        <f t="shared" si="83"/>
        <v>1.1671252695841736</v>
      </c>
      <c r="AK834" s="2421">
        <f>IF(AND(дома!$Z$29&gt;=AJ834,дома!$Z$29&lt;=AI834),связи1!AG834,0)</f>
        <v>0</v>
      </c>
      <c r="AL834" s="2421">
        <f>IF(AND(дома!$AA$29&gt;=AJ834,дома!$AA$29&lt;=AI834),связи1!AG834,0)</f>
        <v>0</v>
      </c>
    </row>
    <row r="835" spans="1:38">
      <c r="A835" s="2808" t="s">
        <v>493</v>
      </c>
      <c r="B835" s="2421">
        <v>0</v>
      </c>
      <c r="C835" s="2421"/>
      <c r="AG835" s="2421">
        <v>67.000000000000099</v>
      </c>
      <c r="AH835" s="2715">
        <f t="shared" si="81"/>
        <v>1.1693705988361678</v>
      </c>
      <c r="AI835" s="2715">
        <f t="shared" si="82"/>
        <v>1.1698705988361677</v>
      </c>
      <c r="AJ835" s="2715">
        <f t="shared" si="83"/>
        <v>1.1688705988361678</v>
      </c>
      <c r="AK835" s="2421">
        <f>IF(AND(дома!$Z$29&gt;=AJ835,дома!$Z$29&lt;=AI835),связи1!AG835,0)</f>
        <v>0</v>
      </c>
      <c r="AL835" s="2421">
        <f>IF(AND(дома!$AA$29&gt;=AJ835,дома!$AA$29&lt;=AI835),связи1!AG835,0)</f>
        <v>0</v>
      </c>
    </row>
    <row r="836" spans="1:38">
      <c r="A836" s="2808"/>
      <c r="AG836" s="2421"/>
      <c r="AH836" s="2715"/>
      <c r="AI836" s="2715"/>
      <c r="AJ836" s="2715"/>
      <c r="AK836" s="2421"/>
      <c r="AL836" s="2421"/>
    </row>
    <row r="837" spans="1:38" ht="16">
      <c r="A837" s="319" t="s">
        <v>1721</v>
      </c>
      <c r="AG837" s="2421"/>
      <c r="AH837" s="2715"/>
      <c r="AI837" s="2715"/>
      <c r="AJ837" s="2715"/>
      <c r="AK837" s="2421"/>
      <c r="AL837" s="2421"/>
    </row>
    <row r="838" spans="1:38" ht="16">
      <c r="A838" s="2804" t="s">
        <v>2535</v>
      </c>
      <c r="B838" s="1055">
        <f>'Прайс лист'!G1980</f>
        <v>25</v>
      </c>
      <c r="C838" s="2421"/>
      <c r="AG838" s="2421"/>
      <c r="AH838" s="2715"/>
      <c r="AI838" s="2715"/>
      <c r="AJ838" s="2715"/>
      <c r="AK838" s="2421"/>
      <c r="AL838" s="2421"/>
    </row>
    <row r="839" spans="1:38">
      <c r="A839" s="2808" t="s">
        <v>493</v>
      </c>
      <c r="B839" s="2421">
        <v>0</v>
      </c>
      <c r="C839" s="2421"/>
      <c r="AG839" s="2421"/>
      <c r="AH839" s="2715"/>
      <c r="AI839" s="2715"/>
      <c r="AJ839" s="2715"/>
      <c r="AK839" s="2421"/>
      <c r="AL839" s="2421"/>
    </row>
    <row r="840" spans="1:38">
      <c r="AG840" s="2421">
        <v>67.100000000000094</v>
      </c>
      <c r="AH840" s="2715">
        <f t="shared" ref="AH840:AH903" si="84">AG840*3.1415926535897/180</f>
        <v>1.171115928088162</v>
      </c>
      <c r="AI840" s="2715">
        <f t="shared" ref="AI840:AI903" si="85">AH840+0.0005</f>
        <v>1.171615928088162</v>
      </c>
      <c r="AJ840" s="2715">
        <f t="shared" ref="AJ840:AJ903" si="86">AH840-0.0005</f>
        <v>1.1706159280881621</v>
      </c>
      <c r="AK840" s="2421">
        <f>IF(AND(дома!$Z$29&gt;=AJ840,дома!$Z$29&lt;=AI840),связи1!AG840,0)</f>
        <v>0</v>
      </c>
      <c r="AL840" s="2421">
        <f>IF(AND(дома!$AA$29&gt;=AJ840,дома!$AA$29&lt;=AI840),связи1!AG840,0)</f>
        <v>0</v>
      </c>
    </row>
    <row r="841" spans="1:38" ht="16">
      <c r="A841" s="2803" t="s">
        <v>1722</v>
      </c>
      <c r="AG841" s="2421">
        <v>67.200000000000102</v>
      </c>
      <c r="AH841" s="2715">
        <f t="shared" si="84"/>
        <v>1.1728612573401564</v>
      </c>
      <c r="AI841" s="2715">
        <f t="shared" si="85"/>
        <v>1.1733612573401564</v>
      </c>
      <c r="AJ841" s="2715">
        <f t="shared" si="86"/>
        <v>1.1723612573401565</v>
      </c>
      <c r="AK841" s="2421">
        <f>IF(AND(дома!$Z$29&gt;=AJ841,дома!$Z$29&lt;=AI841),связи1!AG841,0)</f>
        <v>0</v>
      </c>
      <c r="AL841" s="2421">
        <f>IF(AND(дома!$AA$29&gt;=AJ841,дома!$AA$29&lt;=AI841),связи1!AG841,0)</f>
        <v>0</v>
      </c>
    </row>
    <row r="842" spans="1:38" ht="16">
      <c r="A842" s="2804" t="s">
        <v>1723</v>
      </c>
      <c r="B842" s="1055">
        <f>'Прайс лист'!G1983</f>
        <v>100</v>
      </c>
      <c r="C842" s="2421"/>
      <c r="AG842" s="2421">
        <v>67.300000000000097</v>
      </c>
      <c r="AH842" s="2715">
        <f t="shared" si="84"/>
        <v>1.1746065865921504</v>
      </c>
      <c r="AI842" s="2715">
        <f t="shared" si="85"/>
        <v>1.1751065865921504</v>
      </c>
      <c r="AJ842" s="2715">
        <f t="shared" si="86"/>
        <v>1.1741065865921505</v>
      </c>
      <c r="AK842" s="2421">
        <f>IF(AND(дома!$Z$29&gt;=AJ842,дома!$Z$29&lt;=AI842),связи1!AG842,0)</f>
        <v>0</v>
      </c>
      <c r="AL842" s="2421">
        <f>IF(AND(дома!$AA$29&gt;=AJ842,дома!$AA$29&lt;=AI842),связи1!AG842,0)</f>
        <v>0</v>
      </c>
    </row>
    <row r="843" spans="1:38" ht="16">
      <c r="A843" s="2804" t="s">
        <v>1724</v>
      </c>
      <c r="B843" s="1055">
        <f>'Прайс лист'!G1984</f>
        <v>100</v>
      </c>
      <c r="C843" s="2421"/>
      <c r="AG843" s="2421">
        <v>67.400000000000105</v>
      </c>
      <c r="AH843" s="2715">
        <f t="shared" si="84"/>
        <v>1.1763519158441449</v>
      </c>
      <c r="AI843" s="2715">
        <f t="shared" si="85"/>
        <v>1.1768519158441448</v>
      </c>
      <c r="AJ843" s="2715">
        <f t="shared" si="86"/>
        <v>1.1758519158441449</v>
      </c>
      <c r="AK843" s="2421">
        <f>IF(AND(дома!$Z$29&gt;=AJ843,дома!$Z$29&lt;=AI843),связи1!AG843,0)</f>
        <v>0</v>
      </c>
      <c r="AL843" s="2421">
        <f>IF(AND(дома!$AA$29&gt;=AJ843,дома!$AA$29&lt;=AI843),связи1!AG843,0)</f>
        <v>0</v>
      </c>
    </row>
    <row r="844" spans="1:38" ht="16">
      <c r="A844" s="2804" t="s">
        <v>1725</v>
      </c>
      <c r="B844" s="1055">
        <f>'Прайс лист'!G1985</f>
        <v>100</v>
      </c>
      <c r="C844" s="2421"/>
      <c r="AG844" s="2421">
        <v>67.500000000000099</v>
      </c>
      <c r="AH844" s="2715">
        <f t="shared" si="84"/>
        <v>1.1780972450961391</v>
      </c>
      <c r="AI844" s="2715">
        <f t="shared" si="85"/>
        <v>1.1785972450961391</v>
      </c>
      <c r="AJ844" s="2715">
        <f t="shared" si="86"/>
        <v>1.1775972450961392</v>
      </c>
      <c r="AK844" s="2421">
        <f>IF(AND(дома!$Z$29&gt;=AJ844,дома!$Z$29&lt;=AI844),связи1!AG844,0)</f>
        <v>0</v>
      </c>
      <c r="AL844" s="2421">
        <f>IF(AND(дома!$AA$29&gt;=AJ844,дома!$AA$29&lt;=AI844),связи1!AG844,0)</f>
        <v>0</v>
      </c>
    </row>
    <row r="845" spans="1:38">
      <c r="AG845" s="2421">
        <v>67.600000000000094</v>
      </c>
      <c r="AH845" s="2715">
        <f t="shared" si="84"/>
        <v>1.1798425743481333</v>
      </c>
      <c r="AI845" s="2715">
        <f t="shared" si="85"/>
        <v>1.1803425743481333</v>
      </c>
      <c r="AJ845" s="2715">
        <f t="shared" si="86"/>
        <v>1.1793425743481334</v>
      </c>
      <c r="AK845" s="2421">
        <f>IF(AND(дома!$Z$29&gt;=AJ845,дома!$Z$29&lt;=AI845),связи1!AG845,0)</f>
        <v>0</v>
      </c>
      <c r="AL845" s="2421">
        <f>IF(AND(дома!$AA$29&gt;=AJ845,дома!$AA$29&lt;=AI845),связи1!AG845,0)</f>
        <v>0</v>
      </c>
    </row>
    <row r="846" spans="1:38">
      <c r="AG846" s="2421">
        <v>67.700000000000102</v>
      </c>
      <c r="AH846" s="2715">
        <f t="shared" si="84"/>
        <v>1.1815879036001278</v>
      </c>
      <c r="AI846" s="2715">
        <f t="shared" si="85"/>
        <v>1.1820879036001277</v>
      </c>
      <c r="AJ846" s="2715">
        <f t="shared" si="86"/>
        <v>1.1810879036001278</v>
      </c>
      <c r="AK846" s="2421">
        <f>IF(AND(дома!$Z$29&gt;=AJ846,дома!$Z$29&lt;=AI846),связи1!AG846,0)</f>
        <v>0</v>
      </c>
      <c r="AL846" s="2421">
        <f>IF(AND(дома!$AA$29&gt;=AJ846,дома!$AA$29&lt;=AI846),связи1!AG846,0)</f>
        <v>0</v>
      </c>
    </row>
    <row r="847" spans="1:38" ht="16">
      <c r="A847" s="2810" t="s">
        <v>1726</v>
      </c>
      <c r="AG847" s="2421">
        <v>67.800000000000097</v>
      </c>
      <c r="AH847" s="2715">
        <f t="shared" si="84"/>
        <v>1.183333232852122</v>
      </c>
      <c r="AI847" s="2715">
        <f t="shared" si="85"/>
        <v>1.1838332328521219</v>
      </c>
      <c r="AJ847" s="2715">
        <f t="shared" si="86"/>
        <v>1.1828332328521221</v>
      </c>
      <c r="AK847" s="2421">
        <f>IF(AND(дома!$Z$29&gt;=AJ847,дома!$Z$29&lt;=AI847),связи1!AG847,0)</f>
        <v>0</v>
      </c>
      <c r="AL847" s="2421">
        <f>IF(AND(дома!$AA$29&gt;=AJ847,дома!$AA$29&lt;=AI847),связи1!AG847,0)</f>
        <v>0</v>
      </c>
    </row>
    <row r="848" spans="1:38" ht="16">
      <c r="A848" s="2804" t="s">
        <v>1727</v>
      </c>
      <c r="B848" s="1055">
        <f>'Прайс лист'!G1989</f>
        <v>2500</v>
      </c>
      <c r="C848" s="2421">
        <f>'Ввод данных'!B1517</f>
        <v>0</v>
      </c>
      <c r="AG848" s="2421">
        <v>67.900000000000105</v>
      </c>
      <c r="AH848" s="2715">
        <f t="shared" si="84"/>
        <v>1.1850785621041164</v>
      </c>
      <c r="AI848" s="2715">
        <f t="shared" si="85"/>
        <v>1.1855785621041164</v>
      </c>
      <c r="AJ848" s="2715">
        <f t="shared" si="86"/>
        <v>1.1845785621041165</v>
      </c>
      <c r="AK848" s="2421">
        <f>IF(AND(дома!$Z$29&gt;=AJ848,дома!$Z$29&lt;=AI848),связи1!AG848,0)</f>
        <v>0</v>
      </c>
      <c r="AL848" s="2421">
        <f>IF(AND(дома!$AA$29&gt;=AJ848,дома!$AA$29&lt;=AI848),связи1!AG848,0)</f>
        <v>0</v>
      </c>
    </row>
    <row r="849" spans="1:38" ht="16">
      <c r="A849" s="2804" t="s">
        <v>1728</v>
      </c>
      <c r="B849" s="1055">
        <f>'Прайс лист'!G1990</f>
        <v>2500</v>
      </c>
      <c r="C849" s="2421">
        <f>'Ввод данных'!B1517</f>
        <v>0</v>
      </c>
      <c r="AG849" s="2421">
        <v>68.000000000000099</v>
      </c>
      <c r="AH849" s="2715">
        <f t="shared" si="84"/>
        <v>1.1868238913561104</v>
      </c>
      <c r="AI849" s="2715">
        <f t="shared" si="85"/>
        <v>1.1873238913561104</v>
      </c>
      <c r="AJ849" s="2715">
        <f t="shared" si="86"/>
        <v>1.1863238913561105</v>
      </c>
      <c r="AK849" s="2421">
        <f>IF(AND(дома!$Z$29&gt;=AJ849,дома!$Z$29&lt;=AI849),связи1!AG849,0)</f>
        <v>0</v>
      </c>
      <c r="AL849" s="2421">
        <f>IF(AND(дома!$AA$29&gt;=AJ849,дома!$AA$29&lt;=AI849),связи1!AG849,0)</f>
        <v>0</v>
      </c>
    </row>
    <row r="850" spans="1:38">
      <c r="AG850" s="2421">
        <v>68.100000000000094</v>
      </c>
      <c r="AH850" s="2715">
        <f t="shared" si="84"/>
        <v>1.1885692206081049</v>
      </c>
      <c r="AI850" s="2715">
        <f t="shared" si="85"/>
        <v>1.1890692206081048</v>
      </c>
      <c r="AJ850" s="2715">
        <f t="shared" si="86"/>
        <v>1.1880692206081049</v>
      </c>
      <c r="AK850" s="2421">
        <f>IF(AND(дома!$Z$29&gt;=AJ850,дома!$Z$29&lt;=AI850),связи1!AG850,0)</f>
        <v>0</v>
      </c>
      <c r="AL850" s="2421">
        <f>IF(AND(дома!$AA$29&gt;=AJ850,дома!$AA$29&lt;=AI850),связи1!AG850,0)</f>
        <v>0</v>
      </c>
    </row>
    <row r="851" spans="1:38" ht="16">
      <c r="A851" s="2803" t="s">
        <v>1729</v>
      </c>
      <c r="B851" s="1197">
        <f>'Прайс лист'!G1993</f>
        <v>3500</v>
      </c>
      <c r="AG851" s="2421">
        <v>68.200000000000102</v>
      </c>
      <c r="AH851" s="2715">
        <f t="shared" si="84"/>
        <v>1.1903145498600991</v>
      </c>
      <c r="AI851" s="2715">
        <f t="shared" si="85"/>
        <v>1.190814549860099</v>
      </c>
      <c r="AJ851" s="2715">
        <f t="shared" si="86"/>
        <v>1.1898145498600992</v>
      </c>
      <c r="AK851" s="2421">
        <f>IF(AND(дома!$Z$29&gt;=AJ851,дома!$Z$29&lt;=AI851),связи1!AG851,0)</f>
        <v>0</v>
      </c>
      <c r="AL851" s="2421">
        <f>IF(AND(дома!$AA$29&gt;=AJ851,дома!$AA$29&lt;=AI851),связи1!AG851,0)</f>
        <v>0</v>
      </c>
    </row>
    <row r="852" spans="1:38" ht="16">
      <c r="A852" s="2804" t="s">
        <v>493</v>
      </c>
      <c r="B852" s="2421">
        <v>0</v>
      </c>
      <c r="C852" s="2421">
        <v>0</v>
      </c>
      <c r="AG852" s="2421">
        <v>68.300000000000097</v>
      </c>
      <c r="AH852" s="2715">
        <f t="shared" si="84"/>
        <v>1.1920598791120933</v>
      </c>
      <c r="AI852" s="2715">
        <f t="shared" si="85"/>
        <v>1.1925598791120933</v>
      </c>
      <c r="AJ852" s="2715">
        <f t="shared" si="86"/>
        <v>1.1915598791120934</v>
      </c>
      <c r="AK852" s="2421">
        <f>IF(AND(дома!$Z$29&gt;=AJ852,дома!$Z$29&lt;=AI852),связи1!AG852,0)</f>
        <v>0</v>
      </c>
      <c r="AL852" s="2421">
        <f>IF(AND(дома!$AA$29&gt;=AJ852,дома!$AA$29&lt;=AI852),связи1!AG852,0)</f>
        <v>0</v>
      </c>
    </row>
    <row r="853" spans="1:38">
      <c r="A853" s="2379">
        <v>1</v>
      </c>
      <c r="B853" s="2421"/>
      <c r="C853" s="2421">
        <f>A853</f>
        <v>1</v>
      </c>
      <c r="AG853" s="2421">
        <v>68.400000000000105</v>
      </c>
      <c r="AH853" s="2715">
        <f t="shared" si="84"/>
        <v>1.1938052083640878</v>
      </c>
      <c r="AI853" s="2715">
        <f t="shared" si="85"/>
        <v>1.1943052083640877</v>
      </c>
      <c r="AJ853" s="2715">
        <f t="shared" si="86"/>
        <v>1.1933052083640878</v>
      </c>
      <c r="AK853" s="2421">
        <f>IF(AND(дома!$Z$29&gt;=AJ853,дома!$Z$29&lt;=AI853),связи1!AG853,0)</f>
        <v>0</v>
      </c>
      <c r="AL853" s="2421">
        <f>IF(AND(дома!$AA$29&gt;=AJ853,дома!$AA$29&lt;=AI853),связи1!AG853,0)</f>
        <v>0</v>
      </c>
    </row>
    <row r="854" spans="1:38">
      <c r="A854" s="2379">
        <v>2</v>
      </c>
      <c r="B854" s="2421"/>
      <c r="C854" s="2421">
        <f>A854</f>
        <v>2</v>
      </c>
      <c r="AG854" s="2421">
        <v>68.500000000000099</v>
      </c>
      <c r="AH854" s="2715">
        <f t="shared" si="84"/>
        <v>1.195550537616082</v>
      </c>
      <c r="AI854" s="2715">
        <f t="shared" si="85"/>
        <v>1.1960505376160819</v>
      </c>
      <c r="AJ854" s="2715">
        <f t="shared" si="86"/>
        <v>1.195050537616082</v>
      </c>
      <c r="AK854" s="2421">
        <f>IF(AND(дома!$Z$29&gt;=AJ854,дома!$Z$29&lt;=AI854),связи1!AG854,0)</f>
        <v>0</v>
      </c>
      <c r="AL854" s="2421">
        <f>IF(AND(дома!$AA$29&gt;=AJ854,дома!$AA$29&lt;=AI854),связи1!AG854,0)</f>
        <v>0</v>
      </c>
    </row>
    <row r="855" spans="1:38">
      <c r="A855" s="2379">
        <v>3</v>
      </c>
      <c r="B855" s="2421"/>
      <c r="C855" s="2421">
        <f>A855</f>
        <v>3</v>
      </c>
      <c r="AG855" s="2421">
        <v>68.600000000000094</v>
      </c>
      <c r="AH855" s="2715">
        <f t="shared" si="84"/>
        <v>1.197295866868076</v>
      </c>
      <c r="AI855" s="2715">
        <f t="shared" si="85"/>
        <v>1.1977958668680759</v>
      </c>
      <c r="AJ855" s="2715">
        <f t="shared" si="86"/>
        <v>1.196795866868076</v>
      </c>
      <c r="AK855" s="2421">
        <f>IF(AND(дома!$Z$29&gt;=AJ855,дома!$Z$29&lt;=AI855),связи1!AG855,0)</f>
        <v>0</v>
      </c>
      <c r="AL855" s="2421">
        <f>IF(AND(дома!$AA$29&gt;=AJ855,дома!$AA$29&lt;=AI855),связи1!AG855,0)</f>
        <v>0</v>
      </c>
    </row>
    <row r="856" spans="1:38">
      <c r="AG856" s="2421">
        <v>68.700000000000102</v>
      </c>
      <c r="AH856" s="2715">
        <f t="shared" si="84"/>
        <v>1.1990411961200704</v>
      </c>
      <c r="AI856" s="2715">
        <f t="shared" si="85"/>
        <v>1.1995411961200704</v>
      </c>
      <c r="AJ856" s="2715">
        <f t="shared" si="86"/>
        <v>1.1985411961200705</v>
      </c>
      <c r="AK856" s="2421">
        <f>IF(AND(дома!$Z$29&gt;=AJ856,дома!$Z$29&lt;=AI856),связи1!AG856,0)</f>
        <v>0</v>
      </c>
      <c r="AL856" s="2421">
        <f>IF(AND(дома!$AA$29&gt;=AJ856,дома!$AA$29&lt;=AI856),связи1!AG856,0)</f>
        <v>0</v>
      </c>
    </row>
    <row r="857" spans="1:38" ht="16">
      <c r="A857" s="2803" t="s">
        <v>2537</v>
      </c>
      <c r="AG857" s="2421">
        <v>68.800000000000097</v>
      </c>
      <c r="AH857" s="2715">
        <f t="shared" si="84"/>
        <v>1.2007865253720647</v>
      </c>
      <c r="AI857" s="2715">
        <f t="shared" si="85"/>
        <v>1.2012865253720646</v>
      </c>
      <c r="AJ857" s="2715">
        <f t="shared" si="86"/>
        <v>1.2002865253720647</v>
      </c>
      <c r="AK857" s="2421">
        <f>IF(AND(дома!$Z$29&gt;=AJ857,дома!$Z$29&lt;=AI857),связи1!AG857,0)</f>
        <v>0</v>
      </c>
      <c r="AL857" s="2421">
        <f>IF(AND(дома!$AA$29&gt;=AJ857,дома!$AA$29&lt;=AI857),связи1!AG857,0)</f>
        <v>0</v>
      </c>
    </row>
    <row r="858" spans="1:38" ht="16">
      <c r="A858" s="319">
        <v>3</v>
      </c>
      <c r="B858" s="2421"/>
      <c r="C858" s="2421"/>
      <c r="AG858" s="2421">
        <v>68.900000000000105</v>
      </c>
      <c r="AH858" s="2715">
        <f t="shared" si="84"/>
        <v>1.2025318546240591</v>
      </c>
      <c r="AI858" s="2715">
        <f t="shared" si="85"/>
        <v>1.203031854624059</v>
      </c>
      <c r="AJ858" s="2715">
        <f t="shared" si="86"/>
        <v>1.2020318546240591</v>
      </c>
      <c r="AK858" s="2421">
        <f>IF(AND(дома!$Z$29&gt;=AJ858,дома!$Z$29&lt;=AI858),связи1!AG858,0)</f>
        <v>0</v>
      </c>
      <c r="AL858" s="2421">
        <f>IF(AND(дома!$AA$29&gt;=AJ858,дома!$AA$29&lt;=AI858),связи1!AG858,0)</f>
        <v>0</v>
      </c>
    </row>
    <row r="859" spans="1:38">
      <c r="A859" s="2379">
        <v>3.5</v>
      </c>
      <c r="B859" s="2421"/>
      <c r="C859" s="2421"/>
      <c r="AG859" s="2421">
        <v>69.000000000000099</v>
      </c>
      <c r="AH859" s="2715">
        <f t="shared" si="84"/>
        <v>1.2042771838760533</v>
      </c>
      <c r="AI859" s="2715">
        <f t="shared" si="85"/>
        <v>1.2047771838760533</v>
      </c>
      <c r="AJ859" s="2715">
        <f t="shared" si="86"/>
        <v>1.2037771838760534</v>
      </c>
      <c r="AK859" s="2421">
        <f>IF(AND(дома!$Z$29&gt;=AJ859,дома!$Z$29&lt;=AI859),связи1!AG859,0)</f>
        <v>0</v>
      </c>
      <c r="AL859" s="2421">
        <f>IF(AND(дома!$AA$29&gt;=AJ859,дома!$AA$29&lt;=AI859),связи1!AG859,0)</f>
        <v>0</v>
      </c>
    </row>
    <row r="860" spans="1:38">
      <c r="A860" s="2379">
        <v>4</v>
      </c>
      <c r="B860" s="2421"/>
      <c r="C860" s="2421"/>
      <c r="AG860" s="2421">
        <v>69.100000000000094</v>
      </c>
      <c r="AH860" s="2715">
        <f t="shared" si="84"/>
        <v>1.2060225131280475</v>
      </c>
      <c r="AI860" s="2715">
        <f t="shared" si="85"/>
        <v>1.2065225131280475</v>
      </c>
      <c r="AJ860" s="2715">
        <f t="shared" si="86"/>
        <v>1.2055225131280476</v>
      </c>
      <c r="AK860" s="2421">
        <f>IF(AND(дома!$Z$29&gt;=AJ860,дома!$Z$29&lt;=AI860),связи1!AG860,0)</f>
        <v>0</v>
      </c>
      <c r="AL860" s="2421">
        <f>IF(AND(дома!$AA$29&gt;=AJ860,дома!$AA$29&lt;=AI860),связи1!AG860,0)</f>
        <v>0</v>
      </c>
    </row>
    <row r="861" spans="1:38">
      <c r="A861" s="2808" t="s">
        <v>4593</v>
      </c>
      <c r="B861" s="2421"/>
      <c r="C861" s="2421"/>
      <c r="AG861" s="2421">
        <v>69.200000000000102</v>
      </c>
      <c r="AH861" s="2715">
        <f t="shared" si="84"/>
        <v>1.207767842380042</v>
      </c>
      <c r="AI861" s="2715">
        <f t="shared" si="85"/>
        <v>1.2082678423800419</v>
      </c>
      <c r="AJ861" s="2715">
        <f t="shared" si="86"/>
        <v>1.207267842380042</v>
      </c>
      <c r="AK861" s="2421">
        <f>IF(AND(дома!$Z$29&gt;=AJ861,дома!$Z$29&lt;=AI861),связи1!AG861,0)</f>
        <v>0</v>
      </c>
      <c r="AL861" s="2421">
        <f>IF(AND(дома!$AA$29&gt;=AJ861,дома!$AA$29&lt;=AI861),связи1!AG861,0)</f>
        <v>0</v>
      </c>
    </row>
    <row r="862" spans="1:38">
      <c r="AG862" s="2421">
        <v>69.300000000000097</v>
      </c>
      <c r="AH862" s="2715">
        <f t="shared" si="84"/>
        <v>1.209513171632036</v>
      </c>
      <c r="AI862" s="2715">
        <f t="shared" si="85"/>
        <v>1.2100131716320359</v>
      </c>
      <c r="AJ862" s="2715">
        <f t="shared" si="86"/>
        <v>1.209013171632036</v>
      </c>
      <c r="AK862" s="2421">
        <f>IF(AND(дома!$Z$29&gt;=AJ862,дома!$Z$29&lt;=AI862),связи1!AG862,0)</f>
        <v>0</v>
      </c>
      <c r="AL862" s="2421">
        <f>IF(AND(дома!$AA$29&gt;=AJ862,дома!$AA$29&lt;=AI862),связи1!AG862,0)</f>
        <v>0</v>
      </c>
    </row>
    <row r="863" spans="1:38">
      <c r="AG863" s="2421">
        <v>69.400000000000105</v>
      </c>
      <c r="AH863" s="2715">
        <f t="shared" si="84"/>
        <v>1.2112585008840306</v>
      </c>
      <c r="AI863" s="2715">
        <f t="shared" si="85"/>
        <v>1.2117585008840306</v>
      </c>
      <c r="AJ863" s="2715">
        <f t="shared" si="86"/>
        <v>1.2107585008840307</v>
      </c>
      <c r="AK863" s="2421">
        <f>IF(AND(дома!$Z$29&gt;=AJ863,дома!$Z$29&lt;=AI863),связи1!AG863,0)</f>
        <v>0</v>
      </c>
      <c r="AL863" s="2421">
        <f>IF(AND(дома!$AA$29&gt;=AJ863,дома!$AA$29&lt;=AI863),связи1!AG863,0)</f>
        <v>0</v>
      </c>
    </row>
    <row r="864" spans="1:38" ht="16">
      <c r="A864" s="2803" t="s">
        <v>1730</v>
      </c>
      <c r="B864" s="1197">
        <f>'Прайс лист'!G1995</f>
        <v>5000</v>
      </c>
      <c r="AG864" s="2421">
        <v>69.500000000000099</v>
      </c>
      <c r="AH864" s="2715">
        <f t="shared" si="84"/>
        <v>1.2130038301360246</v>
      </c>
      <c r="AI864" s="2715">
        <f t="shared" si="85"/>
        <v>1.2135038301360246</v>
      </c>
      <c r="AJ864" s="2715">
        <f t="shared" si="86"/>
        <v>1.2125038301360247</v>
      </c>
      <c r="AK864" s="2421">
        <f>IF(AND(дома!$Z$29&gt;=AJ864,дома!$Z$29&lt;=AI864),связи1!AG864,0)</f>
        <v>0</v>
      </c>
      <c r="AL864" s="2421">
        <f>IF(AND(дома!$AA$29&gt;=AJ864,дома!$AA$29&lt;=AI864),связи1!AG864,0)</f>
        <v>0</v>
      </c>
    </row>
    <row r="865" spans="1:38">
      <c r="A865" s="2808" t="s">
        <v>493</v>
      </c>
      <c r="B865" s="2421"/>
      <c r="C865" s="2421">
        <v>0</v>
      </c>
      <c r="AG865" s="2421">
        <v>69.600000000000094</v>
      </c>
      <c r="AH865" s="2715">
        <f t="shared" si="84"/>
        <v>1.2147491593880189</v>
      </c>
      <c r="AI865" s="2715">
        <f t="shared" si="85"/>
        <v>1.2152491593880188</v>
      </c>
      <c r="AJ865" s="2715">
        <f t="shared" si="86"/>
        <v>1.2142491593880189</v>
      </c>
      <c r="AK865" s="2421">
        <f>IF(AND(дома!$Z$29&gt;=AJ865,дома!$Z$29&lt;=AI865),связи1!AG865,0)</f>
        <v>0</v>
      </c>
      <c r="AL865" s="2421">
        <f>IF(AND(дома!$AA$29&gt;=AJ865,дома!$AA$29&lt;=AI865),связи1!AG865,0)</f>
        <v>0</v>
      </c>
    </row>
    <row r="866" spans="1:38">
      <c r="A866" s="2379">
        <v>1</v>
      </c>
      <c r="B866" s="2421"/>
      <c r="C866" s="2421">
        <f>A866</f>
        <v>1</v>
      </c>
      <c r="AG866" s="2421">
        <v>69.700000000000102</v>
      </c>
      <c r="AH866" s="2715">
        <f t="shared" si="84"/>
        <v>1.2164944886400133</v>
      </c>
      <c r="AI866" s="2715">
        <f t="shared" si="85"/>
        <v>1.2169944886400132</v>
      </c>
      <c r="AJ866" s="2715">
        <f t="shared" si="86"/>
        <v>1.2159944886400134</v>
      </c>
      <c r="AK866" s="2421">
        <f>IF(AND(дома!$Z$29&gt;=AJ866,дома!$Z$29&lt;=AI866),связи1!AG866,0)</f>
        <v>0</v>
      </c>
      <c r="AL866" s="2421">
        <f>IF(AND(дома!$AA$29&gt;=AJ866,дома!$AA$29&lt;=AI866),связи1!AG866,0)</f>
        <v>0</v>
      </c>
    </row>
    <row r="867" spans="1:38">
      <c r="A867" s="2379">
        <v>2</v>
      </c>
      <c r="B867" s="2421"/>
      <c r="C867" s="2421">
        <f>A867</f>
        <v>2</v>
      </c>
      <c r="AG867" s="2421">
        <v>69.800000000000097</v>
      </c>
      <c r="AH867" s="2715">
        <f t="shared" si="84"/>
        <v>1.2182398178920075</v>
      </c>
      <c r="AI867" s="2715">
        <f t="shared" si="85"/>
        <v>1.2187398178920075</v>
      </c>
      <c r="AJ867" s="2715">
        <f t="shared" si="86"/>
        <v>1.2177398178920076</v>
      </c>
      <c r="AK867" s="2421">
        <f>IF(AND(дома!$Z$29&gt;=AJ867,дома!$Z$29&lt;=AI867),связи1!AG867,0)</f>
        <v>0</v>
      </c>
      <c r="AL867" s="2421">
        <f>IF(AND(дома!$AA$29&gt;=AJ867,дома!$AA$29&lt;=AI867),связи1!AG867,0)</f>
        <v>0</v>
      </c>
    </row>
    <row r="868" spans="1:38">
      <c r="A868" s="2379">
        <v>3</v>
      </c>
      <c r="B868" s="2421"/>
      <c r="C868" s="2421">
        <f>A868</f>
        <v>3</v>
      </c>
      <c r="AG868" s="2421">
        <v>69.900000000000105</v>
      </c>
      <c r="AH868" s="2715">
        <f t="shared" si="84"/>
        <v>1.219985147144002</v>
      </c>
      <c r="AI868" s="2715">
        <f t="shared" si="85"/>
        <v>1.2204851471440019</v>
      </c>
      <c r="AJ868" s="2715">
        <f t="shared" si="86"/>
        <v>1.219485147144002</v>
      </c>
      <c r="AK868" s="2421">
        <f>IF(AND(дома!$Z$29&gt;=AJ868,дома!$Z$29&lt;=AI868),связи1!AG868,0)</f>
        <v>0</v>
      </c>
      <c r="AL868" s="2421">
        <f>IF(AND(дома!$AA$29&gt;=AJ868,дома!$AA$29&lt;=AI868),связи1!AG868,0)</f>
        <v>0</v>
      </c>
    </row>
    <row r="869" spans="1:38">
      <c r="AG869" s="2421">
        <v>70.000000000000099</v>
      </c>
      <c r="AH869" s="2715">
        <f t="shared" si="84"/>
        <v>1.2217304763959962</v>
      </c>
      <c r="AI869" s="2715">
        <f t="shared" si="85"/>
        <v>1.2222304763959961</v>
      </c>
      <c r="AJ869" s="2715">
        <f t="shared" si="86"/>
        <v>1.2212304763959962</v>
      </c>
      <c r="AK869" s="2421">
        <f>IF(AND(дома!$Z$29&gt;=AJ869,дома!$Z$29&lt;=AI869),связи1!AG869,0)</f>
        <v>0</v>
      </c>
      <c r="AL869" s="2421">
        <f>IF(AND(дома!$AA$29&gt;=AJ869,дома!$AA$29&lt;=AI869),связи1!AG869,0)</f>
        <v>0</v>
      </c>
    </row>
    <row r="870" spans="1:38" ht="16">
      <c r="A870" s="2803" t="s">
        <v>1732</v>
      </c>
      <c r="AG870" s="2421">
        <v>70.100000000000094</v>
      </c>
      <c r="AH870" s="2715">
        <f t="shared" si="84"/>
        <v>1.2234758056479902</v>
      </c>
      <c r="AI870" s="2715">
        <f t="shared" si="85"/>
        <v>1.2239758056479901</v>
      </c>
      <c r="AJ870" s="2715">
        <f t="shared" si="86"/>
        <v>1.2229758056479902</v>
      </c>
      <c r="AK870" s="2421">
        <f>IF(AND(дома!$Z$29&gt;=AJ870,дома!$Z$29&lt;=AI870),связи1!AG870,0)</f>
        <v>0</v>
      </c>
      <c r="AL870" s="2421">
        <f>IF(AND(дома!$AA$29&gt;=AJ870,дома!$AA$29&lt;=AI870),связи1!AG870,0)</f>
        <v>0</v>
      </c>
    </row>
    <row r="871" spans="1:38">
      <c r="A871" s="2808" t="s">
        <v>1733</v>
      </c>
      <c r="B871" s="1055">
        <f>'Прайс лист'!G2000</f>
        <v>500</v>
      </c>
      <c r="C871" s="2421"/>
      <c r="AG871" s="2421">
        <v>70.200000000000102</v>
      </c>
      <c r="AH871" s="2715">
        <f t="shared" si="84"/>
        <v>1.2252211348999846</v>
      </c>
      <c r="AI871" s="2715">
        <f t="shared" si="85"/>
        <v>1.2257211348999846</v>
      </c>
      <c r="AJ871" s="2715">
        <f t="shared" si="86"/>
        <v>1.2247211348999847</v>
      </c>
      <c r="AK871" s="2421">
        <f>IF(AND(дома!$Z$29&gt;=AJ871,дома!$Z$29&lt;=AI871),связи1!AG871,0)</f>
        <v>0</v>
      </c>
      <c r="AL871" s="2421">
        <f>IF(AND(дома!$AA$29&gt;=AJ871,дома!$AA$29&lt;=AI871),связи1!AG871,0)</f>
        <v>0</v>
      </c>
    </row>
    <row r="872" spans="1:38">
      <c r="A872" s="2808" t="s">
        <v>1734</v>
      </c>
      <c r="B872" s="1055">
        <f>'Прайс лист'!G2001</f>
        <v>500</v>
      </c>
      <c r="C872" s="2421"/>
      <c r="AG872" s="2421">
        <v>70.300000000000097</v>
      </c>
      <c r="AH872" s="2715">
        <f t="shared" si="84"/>
        <v>1.2269664641519791</v>
      </c>
      <c r="AI872" s="2715">
        <f t="shared" si="85"/>
        <v>1.227466464151979</v>
      </c>
      <c r="AJ872" s="2715">
        <f t="shared" si="86"/>
        <v>1.2264664641519791</v>
      </c>
      <c r="AK872" s="2421">
        <f>IF(AND(дома!$Z$29&gt;=AJ872,дома!$Z$29&lt;=AI872),связи1!AG872,0)</f>
        <v>0</v>
      </c>
      <c r="AL872" s="2421">
        <f>IF(AND(дома!$AA$29&gt;=AJ872,дома!$AA$29&lt;=AI872),связи1!AG872,0)</f>
        <v>0</v>
      </c>
    </row>
    <row r="873" spans="1:38">
      <c r="A873" s="2808" t="s">
        <v>1735</v>
      </c>
      <c r="B873" s="1055">
        <f>'Прайс лист'!G2002</f>
        <v>500</v>
      </c>
      <c r="C873" s="2421"/>
      <c r="AG873" s="2421">
        <v>70.400000000000105</v>
      </c>
      <c r="AH873" s="2715">
        <f t="shared" si="84"/>
        <v>1.2287117934039733</v>
      </c>
      <c r="AI873" s="2715">
        <f t="shared" si="85"/>
        <v>1.2292117934039732</v>
      </c>
      <c r="AJ873" s="2715">
        <f t="shared" si="86"/>
        <v>1.2282117934039734</v>
      </c>
      <c r="AK873" s="2421">
        <f>IF(AND(дома!$Z$29&gt;=AJ873,дома!$Z$29&lt;=AI873),связи1!AG873,0)</f>
        <v>0</v>
      </c>
      <c r="AL873" s="2421">
        <f>IF(AND(дома!$AA$29&gt;=AJ873,дома!$AA$29&lt;=AI873),связи1!AG873,0)</f>
        <v>0</v>
      </c>
    </row>
    <row r="874" spans="1:38">
      <c r="AG874" s="2421">
        <v>70.500000000000099</v>
      </c>
      <c r="AH874" s="2715">
        <f t="shared" si="84"/>
        <v>1.2304571226559675</v>
      </c>
      <c r="AI874" s="2715">
        <f t="shared" si="85"/>
        <v>1.2309571226559675</v>
      </c>
      <c r="AJ874" s="2715">
        <f t="shared" si="86"/>
        <v>1.2299571226559676</v>
      </c>
      <c r="AK874" s="2421">
        <f>IF(AND(дома!$Z$29&gt;=AJ874,дома!$Z$29&lt;=AI874),связи1!AG874,0)</f>
        <v>0</v>
      </c>
      <c r="AL874" s="2421">
        <f>IF(AND(дома!$AA$29&gt;=AJ874,дома!$AA$29&lt;=AI874),связи1!AG874,0)</f>
        <v>0</v>
      </c>
    </row>
    <row r="875" spans="1:38" ht="16">
      <c r="A875" s="2803" t="s">
        <v>2539</v>
      </c>
      <c r="B875" s="1197">
        <f>'Прайс лист'!G1997</f>
        <v>2000</v>
      </c>
      <c r="AG875" s="2421">
        <v>70.600000000000094</v>
      </c>
      <c r="AH875" s="2715">
        <f t="shared" si="84"/>
        <v>1.2322024519079617</v>
      </c>
      <c r="AI875" s="2715">
        <f t="shared" si="85"/>
        <v>1.2327024519079617</v>
      </c>
      <c r="AJ875" s="2715">
        <f t="shared" si="86"/>
        <v>1.2317024519079618</v>
      </c>
      <c r="AK875" s="2421">
        <f>IF(AND(дома!$Z$29&gt;=AJ875,дома!$Z$29&lt;=AI875),связи1!AG875,0)</f>
        <v>0</v>
      </c>
      <c r="AL875" s="2421">
        <f>IF(AND(дома!$AA$29&gt;=AJ875,дома!$AA$29&lt;=AI875),связи1!AG875,0)</f>
        <v>0</v>
      </c>
    </row>
    <row r="876" spans="1:38">
      <c r="A876" s="2808" t="s">
        <v>493</v>
      </c>
      <c r="AG876" s="2421">
        <v>70.700000000000102</v>
      </c>
      <c r="AH876" s="2715">
        <f t="shared" si="84"/>
        <v>1.2339477811599562</v>
      </c>
      <c r="AI876" s="2715">
        <f t="shared" si="85"/>
        <v>1.2344477811599561</v>
      </c>
      <c r="AJ876" s="2715">
        <f t="shared" si="86"/>
        <v>1.2334477811599562</v>
      </c>
      <c r="AK876" s="2421">
        <f>IF(AND(дома!$Z$29&gt;=AJ876,дома!$Z$29&lt;=AI876),связи1!AG876,0)</f>
        <v>0</v>
      </c>
      <c r="AL876" s="2421">
        <f>IF(AND(дома!$AA$29&gt;=AJ876,дома!$AA$29&lt;=AI876),связи1!AG876,0)</f>
        <v>0</v>
      </c>
    </row>
    <row r="877" spans="1:38">
      <c r="A877" s="2379">
        <v>1</v>
      </c>
      <c r="AG877" s="2421">
        <v>70.800000000000097</v>
      </c>
      <c r="AH877" s="2715">
        <f t="shared" si="84"/>
        <v>1.2356931104119502</v>
      </c>
      <c r="AI877" s="2715">
        <f t="shared" si="85"/>
        <v>1.2361931104119501</v>
      </c>
      <c r="AJ877" s="2715">
        <f t="shared" si="86"/>
        <v>1.2351931104119502</v>
      </c>
      <c r="AK877" s="2421">
        <f>IF(AND(дома!$Z$29&gt;=AJ877,дома!$Z$29&lt;=AI877),связи1!AG877,0)</f>
        <v>0</v>
      </c>
      <c r="AL877" s="2421">
        <f>IF(AND(дома!$AA$29&gt;=AJ877,дома!$AA$29&lt;=AI877),связи1!AG877,0)</f>
        <v>0</v>
      </c>
    </row>
    <row r="878" spans="1:38">
      <c r="A878" s="2379">
        <v>2</v>
      </c>
      <c r="AG878" s="2421">
        <v>70.900000000000105</v>
      </c>
      <c r="AH878" s="2715">
        <f t="shared" si="84"/>
        <v>1.2374384396639446</v>
      </c>
      <c r="AI878" s="2715">
        <f t="shared" si="85"/>
        <v>1.2379384396639446</v>
      </c>
      <c r="AJ878" s="2715">
        <f t="shared" si="86"/>
        <v>1.2369384396639447</v>
      </c>
      <c r="AK878" s="2421">
        <f>IF(AND(дома!$Z$29&gt;=AJ878,дома!$Z$29&lt;=AI878),связи1!AG878,0)</f>
        <v>0</v>
      </c>
      <c r="AL878" s="2421">
        <f>IF(AND(дома!$AA$29&gt;=AJ878,дома!$AA$29&lt;=AI878),связи1!AG878,0)</f>
        <v>0</v>
      </c>
    </row>
    <row r="879" spans="1:38">
      <c r="A879" s="2379">
        <v>3</v>
      </c>
      <c r="AG879" s="2421">
        <v>71.000000000000099</v>
      </c>
      <c r="AH879" s="2715">
        <f t="shared" si="84"/>
        <v>1.2391837689159391</v>
      </c>
      <c r="AI879" s="2715">
        <f t="shared" si="85"/>
        <v>1.239683768915939</v>
      </c>
      <c r="AJ879" s="2715">
        <f t="shared" si="86"/>
        <v>1.2386837689159391</v>
      </c>
      <c r="AK879" s="2421">
        <f>IF(AND(дома!$Z$29&gt;=AJ879,дома!$Z$29&lt;=AI879),связи1!AG879,0)</f>
        <v>0</v>
      </c>
      <c r="AL879" s="2421">
        <f>IF(AND(дома!$AA$29&gt;=AJ879,дома!$AA$29&lt;=AI879),связи1!AG879,0)</f>
        <v>0</v>
      </c>
    </row>
    <row r="880" spans="1:38">
      <c r="AG880" s="2421">
        <v>71.100000000000094</v>
      </c>
      <c r="AH880" s="2715">
        <f t="shared" si="84"/>
        <v>1.2409290981679331</v>
      </c>
      <c r="AI880" s="2715">
        <f t="shared" si="85"/>
        <v>1.241429098167933</v>
      </c>
      <c r="AJ880" s="2715">
        <f t="shared" si="86"/>
        <v>1.2404290981679331</v>
      </c>
      <c r="AK880" s="2421">
        <f>IF(AND(дома!$Z$29&gt;=AJ880,дома!$Z$29&lt;=AI880),связи1!AG880,0)</f>
        <v>0</v>
      </c>
      <c r="AL880" s="2421">
        <f>IF(AND(дома!$AA$29&gt;=AJ880,дома!$AA$29&lt;=AI880),связи1!AG880,0)</f>
        <v>0</v>
      </c>
    </row>
    <row r="881" spans="1:38" ht="16">
      <c r="A881" s="2803" t="s">
        <v>1736</v>
      </c>
      <c r="AG881" s="2421">
        <v>71.200000000000102</v>
      </c>
      <c r="AH881" s="2715">
        <f t="shared" si="84"/>
        <v>1.2426744274199275</v>
      </c>
      <c r="AI881" s="2715">
        <f t="shared" si="85"/>
        <v>1.2431744274199275</v>
      </c>
      <c r="AJ881" s="2715">
        <f t="shared" si="86"/>
        <v>1.2421744274199276</v>
      </c>
      <c r="AK881" s="2421">
        <f>IF(AND(дома!$Z$29&gt;=AJ881,дома!$Z$29&lt;=AI881),связи1!AG881,0)</f>
        <v>0</v>
      </c>
      <c r="AL881" s="2421">
        <f>IF(AND(дома!$AA$29&gt;=AJ881,дома!$AA$29&lt;=AI881),связи1!AG881,0)</f>
        <v>0</v>
      </c>
    </row>
    <row r="882" spans="1:38">
      <c r="A882" s="2808" t="s">
        <v>1733</v>
      </c>
      <c r="B882" s="1197">
        <f>'Прайс лист'!G2007</f>
        <v>600</v>
      </c>
      <c r="AG882" s="2421">
        <v>71.300000000000097</v>
      </c>
      <c r="AH882" s="2715">
        <f t="shared" si="84"/>
        <v>1.2444197566719217</v>
      </c>
      <c r="AI882" s="2715">
        <f t="shared" si="85"/>
        <v>1.2449197566719217</v>
      </c>
      <c r="AJ882" s="2715">
        <f t="shared" si="86"/>
        <v>1.2439197566719218</v>
      </c>
      <c r="AK882" s="2421">
        <f>IF(AND(дома!$Z$29&gt;=AJ882,дома!$Z$29&lt;=AI882),связи1!AG882,0)</f>
        <v>0</v>
      </c>
      <c r="AL882" s="2421">
        <f>IF(AND(дома!$AA$29&gt;=AJ882,дома!$AA$29&lt;=AI882),связи1!AG882,0)</f>
        <v>0</v>
      </c>
    </row>
    <row r="883" spans="1:38">
      <c r="A883" s="2808" t="s">
        <v>1734</v>
      </c>
      <c r="B883" s="1197">
        <f>'Прайс лист'!G2008</f>
        <v>600</v>
      </c>
      <c r="AG883" s="2421">
        <v>71.400000000000105</v>
      </c>
      <c r="AH883" s="2715">
        <f t="shared" si="84"/>
        <v>1.2461650859239162</v>
      </c>
      <c r="AI883" s="2715">
        <f t="shared" si="85"/>
        <v>1.2466650859239161</v>
      </c>
      <c r="AJ883" s="2715">
        <f t="shared" si="86"/>
        <v>1.2456650859239162</v>
      </c>
      <c r="AK883" s="2421">
        <f>IF(AND(дома!$Z$29&gt;=AJ883,дома!$Z$29&lt;=AI883),связи1!AG883,0)</f>
        <v>0</v>
      </c>
      <c r="AL883" s="2421">
        <f>IF(AND(дома!$AA$29&gt;=AJ883,дома!$AA$29&lt;=AI883),связи1!AG883,0)</f>
        <v>0</v>
      </c>
    </row>
    <row r="884" spans="1:38">
      <c r="A884" s="2808" t="s">
        <v>1735</v>
      </c>
      <c r="B884" s="1197">
        <f>'Прайс лист'!G2009</f>
        <v>600</v>
      </c>
      <c r="AG884" s="2421">
        <v>71.500000000000099</v>
      </c>
      <c r="AH884" s="2715">
        <f t="shared" si="84"/>
        <v>1.2479104151759102</v>
      </c>
      <c r="AI884" s="2715">
        <f t="shared" si="85"/>
        <v>1.2484104151759101</v>
      </c>
      <c r="AJ884" s="2715">
        <f t="shared" si="86"/>
        <v>1.2474104151759102</v>
      </c>
      <c r="AK884" s="2421">
        <f>IF(AND(дома!$Z$29&gt;=AJ884,дома!$Z$29&lt;=AI884),связи1!AG884,0)</f>
        <v>0</v>
      </c>
      <c r="AL884" s="2421">
        <f>IF(AND(дома!$AA$29&gt;=AJ884,дома!$AA$29&lt;=AI884),связи1!AG884,0)</f>
        <v>0</v>
      </c>
    </row>
    <row r="885" spans="1:38">
      <c r="AG885" s="2421">
        <v>71.600000000000094</v>
      </c>
      <c r="AH885" s="2715">
        <f t="shared" si="84"/>
        <v>1.2496557444279046</v>
      </c>
      <c r="AI885" s="2715">
        <f t="shared" si="85"/>
        <v>1.2501557444279046</v>
      </c>
      <c r="AJ885" s="2715">
        <f t="shared" si="86"/>
        <v>1.2491557444279047</v>
      </c>
      <c r="AK885" s="2421">
        <f>IF(AND(дома!$Z$29&gt;=AJ885,дома!$Z$29&lt;=AI885),связи1!AG885,0)</f>
        <v>0</v>
      </c>
      <c r="AL885" s="2421">
        <f>IF(AND(дома!$AA$29&gt;=AJ885,дома!$AA$29&lt;=AI885),связи1!AG885,0)</f>
        <v>0</v>
      </c>
    </row>
    <row r="886" spans="1:38">
      <c r="A886" s="2811" t="s">
        <v>4594</v>
      </c>
      <c r="B886" s="2379">
        <f>'Ввод данных'!B1524</f>
        <v>0</v>
      </c>
      <c r="AG886" s="2421">
        <v>71.700000000000102</v>
      </c>
      <c r="AH886" s="2715">
        <f t="shared" si="84"/>
        <v>1.2514010736798988</v>
      </c>
      <c r="AI886" s="2715">
        <f t="shared" si="85"/>
        <v>1.2519010736798988</v>
      </c>
      <c r="AJ886" s="2715">
        <f t="shared" si="86"/>
        <v>1.2509010736798989</v>
      </c>
      <c r="AK886" s="2421">
        <f>IF(AND(дома!$Z$29&gt;=AJ886,дома!$Z$29&lt;=AI886),связи1!AG886,0)</f>
        <v>0</v>
      </c>
      <c r="AL886" s="2421">
        <f>IF(AND(дома!$AA$29&gt;=AJ886,дома!$AA$29&lt;=AI886),связи1!AG886,0)</f>
        <v>0</v>
      </c>
    </row>
    <row r="887" spans="1:38">
      <c r="A887" s="2811" t="s">
        <v>4595</v>
      </c>
      <c r="B887" s="2379">
        <f>'Ввод данных'!B1525</f>
        <v>0</v>
      </c>
      <c r="AG887" s="2421">
        <v>71.800000000000097</v>
      </c>
      <c r="AH887" s="2715">
        <f t="shared" si="84"/>
        <v>1.2531464029318931</v>
      </c>
      <c r="AI887" s="2715">
        <f t="shared" si="85"/>
        <v>1.253646402931893</v>
      </c>
      <c r="AJ887" s="2715">
        <f t="shared" si="86"/>
        <v>1.2526464029318931</v>
      </c>
      <c r="AK887" s="2421">
        <f>IF(AND(дома!$Z$29&gt;=AJ887,дома!$Z$29&lt;=AI887),связи1!AG887,0)</f>
        <v>0</v>
      </c>
      <c r="AL887" s="2421">
        <f>IF(AND(дома!$AA$29&gt;=AJ887,дома!$AA$29&lt;=AI887),связи1!AG887,0)</f>
        <v>0</v>
      </c>
    </row>
    <row r="888" spans="1:38">
      <c r="AG888" s="2421">
        <v>71.900000000000105</v>
      </c>
      <c r="AH888" s="2715">
        <f t="shared" si="84"/>
        <v>1.2548917321838875</v>
      </c>
      <c r="AI888" s="2715">
        <f t="shared" si="85"/>
        <v>1.2553917321838874</v>
      </c>
      <c r="AJ888" s="2715">
        <f t="shared" si="86"/>
        <v>1.2543917321838876</v>
      </c>
      <c r="AK888" s="2421">
        <f>IF(AND(дома!$Z$29&gt;=AJ888,дома!$Z$29&lt;=AI888),связи1!AG888,0)</f>
        <v>0</v>
      </c>
      <c r="AL888" s="2421">
        <f>IF(AND(дома!$AA$29&gt;=AJ888,дома!$AA$29&lt;=AI888),связи1!AG888,0)</f>
        <v>0</v>
      </c>
    </row>
    <row r="889" spans="1:38">
      <c r="AG889" s="2421">
        <v>72.000000000000099</v>
      </c>
      <c r="AH889" s="2715">
        <f t="shared" si="84"/>
        <v>1.2566370614358817</v>
      </c>
      <c r="AI889" s="2715">
        <f t="shared" si="85"/>
        <v>1.2571370614358817</v>
      </c>
      <c r="AJ889" s="2715">
        <f t="shared" si="86"/>
        <v>1.2561370614358818</v>
      </c>
      <c r="AK889" s="2421">
        <f>IF(AND(дома!$Z$29&gt;=AJ889,дома!$Z$29&lt;=AI889),связи1!AG889,0)</f>
        <v>0</v>
      </c>
      <c r="AL889" s="2421">
        <f>IF(AND(дома!$AA$29&gt;=AJ889,дома!$AA$29&lt;=AI889),связи1!AG889,0)</f>
        <v>0</v>
      </c>
    </row>
    <row r="890" spans="1:38">
      <c r="AG890" s="2421">
        <v>72.100000000000094</v>
      </c>
      <c r="AH890" s="2715">
        <f t="shared" si="84"/>
        <v>1.2583823906878757</v>
      </c>
      <c r="AI890" s="2715">
        <f t="shared" si="85"/>
        <v>1.2588823906878757</v>
      </c>
      <c r="AJ890" s="2715">
        <f t="shared" si="86"/>
        <v>1.2578823906878758</v>
      </c>
      <c r="AK890" s="2421">
        <f>IF(AND(дома!$Z$29&gt;=AJ890,дома!$Z$29&lt;=AI890),связи1!AG890,0)</f>
        <v>0</v>
      </c>
      <c r="AL890" s="2421">
        <f>IF(AND(дома!$AA$29&gt;=AJ890,дома!$AA$29&lt;=AI890),связи1!AG890,0)</f>
        <v>0</v>
      </c>
    </row>
    <row r="891" spans="1:38">
      <c r="AG891" s="2421">
        <v>72.200000000000102</v>
      </c>
      <c r="AH891" s="2715">
        <f t="shared" si="84"/>
        <v>1.2601277199398702</v>
      </c>
      <c r="AI891" s="2715">
        <f t="shared" si="85"/>
        <v>1.2606277199398701</v>
      </c>
      <c r="AJ891" s="2715">
        <f t="shared" si="86"/>
        <v>1.2596277199398702</v>
      </c>
      <c r="AK891" s="2421">
        <f>IF(AND(дома!$Z$29&gt;=AJ891,дома!$Z$29&lt;=AI891),связи1!AG891,0)</f>
        <v>0</v>
      </c>
      <c r="AL891" s="2421">
        <f>IF(AND(дома!$AA$29&gt;=AJ891,дома!$AA$29&lt;=AI891),связи1!AG891,0)</f>
        <v>0</v>
      </c>
    </row>
    <row r="892" spans="1:38">
      <c r="AG892" s="2421">
        <v>72.300000000000097</v>
      </c>
      <c r="AH892" s="2715">
        <f t="shared" si="84"/>
        <v>1.2618730491918646</v>
      </c>
      <c r="AI892" s="2715">
        <f t="shared" si="85"/>
        <v>1.2623730491918645</v>
      </c>
      <c r="AJ892" s="2715">
        <f t="shared" si="86"/>
        <v>1.2613730491918647</v>
      </c>
      <c r="AK892" s="2421">
        <f>IF(AND(дома!$Z$29&gt;=AJ892,дома!$Z$29&lt;=AI892),связи1!AG892,0)</f>
        <v>0</v>
      </c>
      <c r="AL892" s="2421">
        <f>IF(AND(дома!$AA$29&gt;=AJ892,дома!$AA$29&lt;=AI892),связи1!AG892,0)</f>
        <v>0</v>
      </c>
    </row>
    <row r="893" spans="1:38">
      <c r="AG893" s="2421">
        <v>72.400000000000105</v>
      </c>
      <c r="AH893" s="2715">
        <f t="shared" si="84"/>
        <v>1.2636183784438588</v>
      </c>
      <c r="AI893" s="2715">
        <f t="shared" si="85"/>
        <v>1.2641183784438588</v>
      </c>
      <c r="AJ893" s="2715">
        <f t="shared" si="86"/>
        <v>1.2631183784438589</v>
      </c>
      <c r="AK893" s="2421">
        <f>IF(AND(дома!$Z$29&gt;=AJ893,дома!$Z$29&lt;=AI893),связи1!AG893,0)</f>
        <v>0</v>
      </c>
      <c r="AL893" s="2421">
        <f>IF(AND(дома!$AA$29&gt;=AJ893,дома!$AA$29&lt;=AI893),связи1!AG893,0)</f>
        <v>0</v>
      </c>
    </row>
    <row r="894" spans="1:38">
      <c r="AG894" s="2421">
        <v>72.500000000000099</v>
      </c>
      <c r="AH894" s="2715">
        <f t="shared" si="84"/>
        <v>1.265363707695853</v>
      </c>
      <c r="AI894" s="2715">
        <f t="shared" si="85"/>
        <v>1.265863707695853</v>
      </c>
      <c r="AJ894" s="2715">
        <f t="shared" si="86"/>
        <v>1.2648637076958531</v>
      </c>
      <c r="AK894" s="2421">
        <f>IF(AND(дома!$Z$29&gt;=AJ894,дома!$Z$29&lt;=AI894),связи1!AG894,0)</f>
        <v>0</v>
      </c>
      <c r="AL894" s="2421">
        <f>IF(AND(дома!$AA$29&gt;=AJ894,дома!$AA$29&lt;=AI894),связи1!AG894,0)</f>
        <v>0</v>
      </c>
    </row>
    <row r="895" spans="1:38">
      <c r="AG895" s="2421">
        <v>72.600000000000094</v>
      </c>
      <c r="AH895" s="2715">
        <f t="shared" si="84"/>
        <v>1.2671090369478473</v>
      </c>
      <c r="AI895" s="2715">
        <f t="shared" si="85"/>
        <v>1.2676090369478472</v>
      </c>
      <c r="AJ895" s="2715">
        <f t="shared" si="86"/>
        <v>1.2666090369478473</v>
      </c>
      <c r="AK895" s="2421">
        <f>IF(AND(дома!$Z$29&gt;=AJ895,дома!$Z$29&lt;=AI895),связи1!AG895,0)</f>
        <v>0</v>
      </c>
      <c r="AL895" s="2421">
        <f>IF(AND(дома!$AA$29&gt;=AJ895,дома!$AA$29&lt;=AI895),связи1!AG895,0)</f>
        <v>0</v>
      </c>
    </row>
    <row r="896" spans="1:38">
      <c r="AG896" s="2421">
        <v>72.700000000000102</v>
      </c>
      <c r="AH896" s="2715">
        <f t="shared" si="84"/>
        <v>1.2688543661998417</v>
      </c>
      <c r="AI896" s="2715">
        <f t="shared" si="85"/>
        <v>1.2693543661998417</v>
      </c>
      <c r="AJ896" s="2715">
        <f t="shared" si="86"/>
        <v>1.2683543661998418</v>
      </c>
      <c r="AK896" s="2421">
        <f>IF(AND(дома!$Z$29&gt;=AJ896,дома!$Z$29&lt;=AI896),связи1!AG896,0)</f>
        <v>0</v>
      </c>
      <c r="AL896" s="2421">
        <f>IF(AND(дома!$AA$29&gt;=AJ896,дома!$AA$29&lt;=AI896),связи1!AG896,0)</f>
        <v>0</v>
      </c>
    </row>
    <row r="897" spans="33:38">
      <c r="AG897" s="2421">
        <v>72.800000000000097</v>
      </c>
      <c r="AH897" s="2715">
        <f t="shared" si="84"/>
        <v>1.2705996954518357</v>
      </c>
      <c r="AI897" s="2715">
        <f t="shared" si="85"/>
        <v>1.2710996954518357</v>
      </c>
      <c r="AJ897" s="2715">
        <f t="shared" si="86"/>
        <v>1.2700996954518358</v>
      </c>
      <c r="AK897" s="2421">
        <f>IF(AND(дома!$Z$29&gt;=AJ897,дома!$Z$29&lt;=AI897),связи1!AG897,0)</f>
        <v>0</v>
      </c>
      <c r="AL897" s="2421">
        <f>IF(AND(дома!$AA$29&gt;=AJ897,дома!$AA$29&lt;=AI897),связи1!AG897,0)</f>
        <v>0</v>
      </c>
    </row>
    <row r="898" spans="33:38">
      <c r="AG898" s="2421">
        <v>72.900000000000105</v>
      </c>
      <c r="AH898" s="2715">
        <f t="shared" si="84"/>
        <v>1.2723450247038302</v>
      </c>
      <c r="AI898" s="2715">
        <f t="shared" si="85"/>
        <v>1.2728450247038301</v>
      </c>
      <c r="AJ898" s="2715">
        <f t="shared" si="86"/>
        <v>1.2718450247038302</v>
      </c>
      <c r="AK898" s="2421">
        <f>IF(AND(дома!$Z$29&gt;=AJ898,дома!$Z$29&lt;=AI898),связи1!AG898,0)</f>
        <v>0</v>
      </c>
      <c r="AL898" s="2421">
        <f>IF(AND(дома!$AA$29&gt;=AJ898,дома!$AA$29&lt;=AI898),связи1!AG898,0)</f>
        <v>0</v>
      </c>
    </row>
    <row r="899" spans="33:38">
      <c r="AG899" s="2421">
        <v>73.000000000000099</v>
      </c>
      <c r="AH899" s="2715">
        <f t="shared" si="84"/>
        <v>1.2740903539558244</v>
      </c>
      <c r="AI899" s="2715">
        <f t="shared" si="85"/>
        <v>1.2745903539558243</v>
      </c>
      <c r="AJ899" s="2715">
        <f t="shared" si="86"/>
        <v>1.2735903539558244</v>
      </c>
      <c r="AK899" s="2421">
        <f>IF(AND(дома!$Z$29&gt;=AJ899,дома!$Z$29&lt;=AI899),связи1!AG899,0)</f>
        <v>0</v>
      </c>
      <c r="AL899" s="2421">
        <f>IF(AND(дома!$AA$29&gt;=AJ899,дома!$AA$29&lt;=AI899),связи1!AG899,0)</f>
        <v>0</v>
      </c>
    </row>
    <row r="900" spans="33:38">
      <c r="AG900" s="2421">
        <v>73.100000000000094</v>
      </c>
      <c r="AH900" s="2715">
        <f t="shared" si="84"/>
        <v>1.2758356832078186</v>
      </c>
      <c r="AI900" s="2715">
        <f t="shared" si="85"/>
        <v>1.2763356832078185</v>
      </c>
      <c r="AJ900" s="2715">
        <f t="shared" si="86"/>
        <v>1.2753356832078186</v>
      </c>
      <c r="AK900" s="2421">
        <f>IF(AND(дома!$Z$29&gt;=AJ900,дома!$Z$29&lt;=AI900),связи1!AG900,0)</f>
        <v>0</v>
      </c>
      <c r="AL900" s="2421">
        <f>IF(AND(дома!$AA$29&gt;=AJ900,дома!$AA$29&lt;=AI900),связи1!AG900,0)</f>
        <v>0</v>
      </c>
    </row>
    <row r="901" spans="33:38">
      <c r="AG901" s="2421">
        <v>73.200000000000102</v>
      </c>
      <c r="AH901" s="2715">
        <f t="shared" si="84"/>
        <v>1.277581012459813</v>
      </c>
      <c r="AI901" s="2715">
        <f t="shared" si="85"/>
        <v>1.278081012459813</v>
      </c>
      <c r="AJ901" s="2715">
        <f t="shared" si="86"/>
        <v>1.2770810124598131</v>
      </c>
      <c r="AK901" s="2421">
        <f>IF(AND(дома!$Z$29&gt;=AJ901,дома!$Z$29&lt;=AI901),связи1!AG901,0)</f>
        <v>0</v>
      </c>
      <c r="AL901" s="2421">
        <f>IF(AND(дома!$AA$29&gt;=AJ901,дома!$AA$29&lt;=AI901),связи1!AG901,0)</f>
        <v>0</v>
      </c>
    </row>
    <row r="902" spans="33:38">
      <c r="AG902" s="2421">
        <v>73.300000000000097</v>
      </c>
      <c r="AH902" s="2715">
        <f t="shared" si="84"/>
        <v>1.2793263417118073</v>
      </c>
      <c r="AI902" s="2715">
        <f t="shared" si="85"/>
        <v>1.2798263417118072</v>
      </c>
      <c r="AJ902" s="2715">
        <f t="shared" si="86"/>
        <v>1.2788263417118073</v>
      </c>
      <c r="AK902" s="2421">
        <f>IF(AND(дома!$Z$29&gt;=AJ902,дома!$Z$29&lt;=AI902),связи1!AG902,0)</f>
        <v>0</v>
      </c>
      <c r="AL902" s="2421">
        <f>IF(AND(дома!$AA$29&gt;=AJ902,дома!$AA$29&lt;=AI902),связи1!AG902,0)</f>
        <v>0</v>
      </c>
    </row>
    <row r="903" spans="33:38">
      <c r="AG903" s="2421">
        <v>73.400000000000105</v>
      </c>
      <c r="AH903" s="2715">
        <f t="shared" si="84"/>
        <v>1.2810716709638017</v>
      </c>
      <c r="AI903" s="2715">
        <f t="shared" si="85"/>
        <v>1.2815716709638016</v>
      </c>
      <c r="AJ903" s="2715">
        <f t="shared" si="86"/>
        <v>1.2805716709638018</v>
      </c>
      <c r="AK903" s="2421">
        <f>IF(AND(дома!$Z$29&gt;=AJ903,дома!$Z$29&lt;=AI903),связи1!AG903,0)</f>
        <v>0</v>
      </c>
      <c r="AL903" s="2421">
        <f>IF(AND(дома!$AA$29&gt;=AJ903,дома!$AA$29&lt;=AI903),связи1!AG903,0)</f>
        <v>0</v>
      </c>
    </row>
    <row r="904" spans="33:38">
      <c r="AG904" s="2421">
        <v>73.500000000000099</v>
      </c>
      <c r="AH904" s="2715">
        <f t="shared" ref="AH904:AH967" si="87">AG904*3.1415926535897/180</f>
        <v>1.2828170002157957</v>
      </c>
      <c r="AI904" s="2715">
        <f t="shared" ref="AI904:AI967" si="88">AH904+0.0005</f>
        <v>1.2833170002157956</v>
      </c>
      <c r="AJ904" s="2715">
        <f t="shared" ref="AJ904:AJ967" si="89">AH904-0.0005</f>
        <v>1.2823170002157958</v>
      </c>
      <c r="AK904" s="2421">
        <f>IF(AND(дома!$Z$29&gt;=AJ904,дома!$Z$29&lt;=AI904),связи1!AG904,0)</f>
        <v>0</v>
      </c>
      <c r="AL904" s="2421">
        <f>IF(AND(дома!$AA$29&gt;=AJ904,дома!$AA$29&lt;=AI904),связи1!AG904,0)</f>
        <v>0</v>
      </c>
    </row>
    <row r="905" spans="33:38">
      <c r="AG905" s="2421">
        <v>73.600000000000094</v>
      </c>
      <c r="AH905" s="2715">
        <f t="shared" si="87"/>
        <v>1.2845623294677901</v>
      </c>
      <c r="AI905" s="2715">
        <f t="shared" si="88"/>
        <v>1.2850623294677901</v>
      </c>
      <c r="AJ905" s="2715">
        <f t="shared" si="89"/>
        <v>1.2840623294677902</v>
      </c>
      <c r="AK905" s="2421">
        <f>IF(AND(дома!$Z$29&gt;=AJ905,дома!$Z$29&lt;=AI905),связи1!AG905,0)</f>
        <v>0</v>
      </c>
      <c r="AL905" s="2421">
        <f>IF(AND(дома!$AA$29&gt;=AJ905,дома!$AA$29&lt;=AI905),связи1!AG905,0)</f>
        <v>0</v>
      </c>
    </row>
    <row r="906" spans="33:38">
      <c r="AG906" s="2421">
        <v>73.700000000000102</v>
      </c>
      <c r="AH906" s="2715">
        <f t="shared" si="87"/>
        <v>1.2863076587197844</v>
      </c>
      <c r="AI906" s="2715">
        <f t="shared" si="88"/>
        <v>1.2868076587197843</v>
      </c>
      <c r="AJ906" s="2715">
        <f t="shared" si="89"/>
        <v>1.2858076587197844</v>
      </c>
      <c r="AK906" s="2421">
        <f>IF(AND(дома!$Z$29&gt;=AJ906,дома!$Z$29&lt;=AI906),связи1!AG906,0)</f>
        <v>0</v>
      </c>
      <c r="AL906" s="2421">
        <f>IF(AND(дома!$AA$29&gt;=AJ906,дома!$AA$29&lt;=AI906),связи1!AG906,0)</f>
        <v>0</v>
      </c>
    </row>
    <row r="907" spans="33:38">
      <c r="AG907" s="2421">
        <v>73.800000000000097</v>
      </c>
      <c r="AH907" s="2715">
        <f t="shared" si="87"/>
        <v>1.2880529879717786</v>
      </c>
      <c r="AI907" s="2715">
        <f t="shared" si="88"/>
        <v>1.2885529879717785</v>
      </c>
      <c r="AJ907" s="2715">
        <f t="shared" si="89"/>
        <v>1.2875529879717786</v>
      </c>
      <c r="AK907" s="2421">
        <f>IF(AND(дома!$Z$29&gt;=AJ907,дома!$Z$29&lt;=AI907),связи1!AG907,0)</f>
        <v>0</v>
      </c>
      <c r="AL907" s="2421">
        <f>IF(AND(дома!$AA$29&gt;=AJ907,дома!$AA$29&lt;=AI907),связи1!AG907,0)</f>
        <v>0</v>
      </c>
    </row>
    <row r="908" spans="33:38">
      <c r="AG908" s="2421">
        <v>73.900000000000105</v>
      </c>
      <c r="AH908" s="2715">
        <f t="shared" si="87"/>
        <v>1.289798317223773</v>
      </c>
      <c r="AI908" s="2715">
        <f t="shared" si="88"/>
        <v>1.290298317223773</v>
      </c>
      <c r="AJ908" s="2715">
        <f t="shared" si="89"/>
        <v>1.2892983172237731</v>
      </c>
      <c r="AK908" s="2421">
        <f>IF(AND(дома!$Z$29&gt;=AJ908,дома!$Z$29&lt;=AI908),связи1!AG908,0)</f>
        <v>0</v>
      </c>
      <c r="AL908" s="2421">
        <f>IF(AND(дома!$AA$29&gt;=AJ908,дома!$AA$29&lt;=AI908),связи1!AG908,0)</f>
        <v>0</v>
      </c>
    </row>
    <row r="909" spans="33:38">
      <c r="AG909" s="2421">
        <v>74.000000000000099</v>
      </c>
      <c r="AH909" s="2715">
        <f t="shared" si="87"/>
        <v>1.2915436464757672</v>
      </c>
      <c r="AI909" s="2715">
        <f t="shared" si="88"/>
        <v>1.2920436464757672</v>
      </c>
      <c r="AJ909" s="2715">
        <f t="shared" si="89"/>
        <v>1.2910436464757673</v>
      </c>
      <c r="AK909" s="2421">
        <f>IF(AND(дома!$Z$29&gt;=AJ909,дома!$Z$29&lt;=AI909),связи1!AG909,0)</f>
        <v>0</v>
      </c>
      <c r="AL909" s="2421">
        <f>IF(AND(дома!$AA$29&gt;=AJ909,дома!$AA$29&lt;=AI909),связи1!AG909,0)</f>
        <v>0</v>
      </c>
    </row>
    <row r="910" spans="33:38">
      <c r="AG910" s="2421">
        <v>74.100000000000094</v>
      </c>
      <c r="AH910" s="2715">
        <f t="shared" si="87"/>
        <v>1.2932889757277612</v>
      </c>
      <c r="AI910" s="2715">
        <f t="shared" si="88"/>
        <v>1.2937889757277612</v>
      </c>
      <c r="AJ910" s="2715">
        <f t="shared" si="89"/>
        <v>1.2927889757277613</v>
      </c>
      <c r="AK910" s="2421">
        <f>IF(AND(дома!$Z$29&gt;=AJ910,дома!$Z$29&lt;=AI910),связи1!AG910,0)</f>
        <v>0</v>
      </c>
      <c r="AL910" s="2421">
        <f>IF(AND(дома!$AA$29&gt;=AJ910,дома!$AA$29&lt;=AI910),связи1!AG910,0)</f>
        <v>0</v>
      </c>
    </row>
    <row r="911" spans="33:38">
      <c r="AG911" s="2421">
        <v>74.200000000000102</v>
      </c>
      <c r="AH911" s="2715">
        <f t="shared" si="87"/>
        <v>1.2950343049797557</v>
      </c>
      <c r="AI911" s="2715">
        <f t="shared" si="88"/>
        <v>1.2955343049797556</v>
      </c>
      <c r="AJ911" s="2715">
        <f t="shared" si="89"/>
        <v>1.2945343049797557</v>
      </c>
      <c r="AK911" s="2421">
        <f>IF(AND(дома!$Z$29&gt;=AJ911,дома!$Z$29&lt;=AI911),связи1!AG911,0)</f>
        <v>0</v>
      </c>
      <c r="AL911" s="2421">
        <f>IF(AND(дома!$AA$29&gt;=AJ911,дома!$AA$29&lt;=AI911),связи1!AG911,0)</f>
        <v>0</v>
      </c>
    </row>
    <row r="912" spans="33:38">
      <c r="AG912" s="2421">
        <v>74.300000000000097</v>
      </c>
      <c r="AH912" s="2715">
        <f t="shared" si="87"/>
        <v>1.2967796342317501</v>
      </c>
      <c r="AI912" s="2715">
        <f t="shared" si="88"/>
        <v>1.2972796342317501</v>
      </c>
      <c r="AJ912" s="2715">
        <f t="shared" si="89"/>
        <v>1.2962796342317502</v>
      </c>
      <c r="AK912" s="2421">
        <f>IF(AND(дома!$Z$29&gt;=AJ912,дома!$Z$29&lt;=AI912),связи1!AG912,0)</f>
        <v>0</v>
      </c>
      <c r="AL912" s="2421">
        <f>IF(AND(дома!$AA$29&gt;=AJ912,дома!$AA$29&lt;=AI912),связи1!AG912,0)</f>
        <v>0</v>
      </c>
    </row>
    <row r="913" spans="33:38">
      <c r="AG913" s="2421">
        <v>74.400000000000105</v>
      </c>
      <c r="AH913" s="2715">
        <f t="shared" si="87"/>
        <v>1.2985249634837444</v>
      </c>
      <c r="AI913" s="2715">
        <f t="shared" si="88"/>
        <v>1.2990249634837443</v>
      </c>
      <c r="AJ913" s="2715">
        <f t="shared" si="89"/>
        <v>1.2980249634837444</v>
      </c>
      <c r="AK913" s="2421">
        <f>IF(AND(дома!$Z$29&gt;=AJ913,дома!$Z$29&lt;=AI913),связи1!AG913,0)</f>
        <v>0</v>
      </c>
      <c r="AL913" s="2421">
        <f>IF(AND(дома!$AA$29&gt;=AJ913,дома!$AA$29&lt;=AI913),связи1!AG913,0)</f>
        <v>0</v>
      </c>
    </row>
    <row r="914" spans="33:38">
      <c r="AG914" s="2421">
        <v>74.500000000000099</v>
      </c>
      <c r="AH914" s="2715">
        <f t="shared" si="87"/>
        <v>1.3002702927357386</v>
      </c>
      <c r="AI914" s="2715">
        <f t="shared" si="88"/>
        <v>1.3007702927357385</v>
      </c>
      <c r="AJ914" s="2715">
        <f t="shared" si="89"/>
        <v>1.2997702927357386</v>
      </c>
      <c r="AK914" s="2421">
        <f>IF(AND(дома!$Z$29&gt;=AJ914,дома!$Z$29&lt;=AI914),связи1!AG914,0)</f>
        <v>0</v>
      </c>
      <c r="AL914" s="2421">
        <f>IF(AND(дома!$AA$29&gt;=AJ914,дома!$AA$29&lt;=AI914),связи1!AG914,0)</f>
        <v>0</v>
      </c>
    </row>
    <row r="915" spans="33:38">
      <c r="AG915" s="2421">
        <v>74.600000000000094</v>
      </c>
      <c r="AH915" s="2715">
        <f t="shared" si="87"/>
        <v>1.3020156219877328</v>
      </c>
      <c r="AI915" s="2715">
        <f t="shared" si="88"/>
        <v>1.3025156219877327</v>
      </c>
      <c r="AJ915" s="2715">
        <f t="shared" si="89"/>
        <v>1.3015156219877329</v>
      </c>
      <c r="AK915" s="2421">
        <f>IF(AND(дома!$Z$29&gt;=AJ915,дома!$Z$29&lt;=AI915),связи1!AG915,0)</f>
        <v>0</v>
      </c>
      <c r="AL915" s="2421">
        <f>IF(AND(дома!$AA$29&gt;=AJ915,дома!$AA$29&lt;=AI915),связи1!AG915,0)</f>
        <v>0</v>
      </c>
    </row>
    <row r="916" spans="33:38">
      <c r="AG916" s="2421">
        <v>74.700000000000102</v>
      </c>
      <c r="AH916" s="2715">
        <f t="shared" si="87"/>
        <v>1.3037609512397272</v>
      </c>
      <c r="AI916" s="2715">
        <f t="shared" si="88"/>
        <v>1.3042609512397272</v>
      </c>
      <c r="AJ916" s="2715">
        <f t="shared" si="89"/>
        <v>1.3032609512397273</v>
      </c>
      <c r="AK916" s="2421">
        <f>IF(AND(дома!$Z$29&gt;=AJ916,дома!$Z$29&lt;=AI916),связи1!AG916,0)</f>
        <v>0</v>
      </c>
      <c r="AL916" s="2421">
        <f>IF(AND(дома!$AA$29&gt;=AJ916,дома!$AA$29&lt;=AI916),связи1!AG916,0)</f>
        <v>0</v>
      </c>
    </row>
    <row r="917" spans="33:38">
      <c r="AG917" s="2421">
        <v>74.800000000000097</v>
      </c>
      <c r="AH917" s="2715">
        <f t="shared" si="87"/>
        <v>1.3055062804917212</v>
      </c>
      <c r="AI917" s="2715">
        <f t="shared" si="88"/>
        <v>1.3060062804917212</v>
      </c>
      <c r="AJ917" s="2715">
        <f t="shared" si="89"/>
        <v>1.3050062804917213</v>
      </c>
      <c r="AK917" s="2421">
        <f>IF(AND(дома!$Z$29&gt;=AJ917,дома!$Z$29&lt;=AI917),связи1!AG917,0)</f>
        <v>0</v>
      </c>
      <c r="AL917" s="2421">
        <f>IF(AND(дома!$AA$29&gt;=AJ917,дома!$AA$29&lt;=AI917),связи1!AG917,0)</f>
        <v>0</v>
      </c>
    </row>
    <row r="918" spans="33:38">
      <c r="AG918" s="2421">
        <v>74.900000000000105</v>
      </c>
      <c r="AH918" s="2715">
        <f t="shared" si="87"/>
        <v>1.3072516097437159</v>
      </c>
      <c r="AI918" s="2715">
        <f t="shared" si="88"/>
        <v>1.3077516097437158</v>
      </c>
      <c r="AJ918" s="2715">
        <f t="shared" si="89"/>
        <v>1.306751609743716</v>
      </c>
      <c r="AK918" s="2421">
        <f>IF(AND(дома!$Z$29&gt;=AJ918,дома!$Z$29&lt;=AI918),связи1!AG918,0)</f>
        <v>0</v>
      </c>
      <c r="AL918" s="2421">
        <f>IF(AND(дома!$AA$29&gt;=AJ918,дома!$AA$29&lt;=AI918),связи1!AG918,0)</f>
        <v>0</v>
      </c>
    </row>
    <row r="919" spans="33:38">
      <c r="AG919" s="2421">
        <v>75.000000000000099</v>
      </c>
      <c r="AH919" s="2715">
        <f t="shared" si="87"/>
        <v>1.3089969389957099</v>
      </c>
      <c r="AI919" s="2715">
        <f t="shared" si="88"/>
        <v>1.3094969389957098</v>
      </c>
      <c r="AJ919" s="2715">
        <f t="shared" si="89"/>
        <v>1.30849693899571</v>
      </c>
      <c r="AK919" s="2421">
        <f>IF(AND(дома!$Z$29&gt;=AJ919,дома!$Z$29&lt;=AI919),связи1!AG919,0)</f>
        <v>0</v>
      </c>
      <c r="AL919" s="2421">
        <f>IF(AND(дома!$AA$29&gt;=AJ919,дома!$AA$29&lt;=AI919),связи1!AG919,0)</f>
        <v>0</v>
      </c>
    </row>
    <row r="920" spans="33:38">
      <c r="AG920" s="2421">
        <v>75.100000000000094</v>
      </c>
      <c r="AH920" s="2715">
        <f t="shared" si="87"/>
        <v>1.3107422682477043</v>
      </c>
      <c r="AI920" s="2715">
        <f t="shared" si="88"/>
        <v>1.3112422682477043</v>
      </c>
      <c r="AJ920" s="2715">
        <f t="shared" si="89"/>
        <v>1.3102422682477044</v>
      </c>
      <c r="AK920" s="2421">
        <f>IF(AND(дома!$Z$29&gt;=AJ920,дома!$Z$29&lt;=AI920),связи1!AG920,0)</f>
        <v>0</v>
      </c>
      <c r="AL920" s="2421">
        <f>IF(AND(дома!$AA$29&gt;=AJ920,дома!$AA$29&lt;=AI920),связи1!AG920,0)</f>
        <v>0</v>
      </c>
    </row>
    <row r="921" spans="33:38">
      <c r="AG921" s="2421">
        <v>75.200000000000102</v>
      </c>
      <c r="AH921" s="2715">
        <f t="shared" si="87"/>
        <v>1.3124875974996988</v>
      </c>
      <c r="AI921" s="2715">
        <f t="shared" si="88"/>
        <v>1.3129875974996987</v>
      </c>
      <c r="AJ921" s="2715">
        <f t="shared" si="89"/>
        <v>1.3119875974996988</v>
      </c>
      <c r="AK921" s="2421">
        <f>IF(AND(дома!$Z$29&gt;=AJ921,дома!$Z$29&lt;=AI921),связи1!AG921,0)</f>
        <v>0</v>
      </c>
      <c r="AL921" s="2421">
        <f>IF(AND(дома!$AA$29&gt;=AJ921,дома!$AA$29&lt;=AI921),связи1!AG921,0)</f>
        <v>0</v>
      </c>
    </row>
    <row r="922" spans="33:38">
      <c r="AG922" s="2421">
        <v>75.300000000000097</v>
      </c>
      <c r="AH922" s="2715">
        <f t="shared" si="87"/>
        <v>1.3142329267516928</v>
      </c>
      <c r="AI922" s="2715">
        <f t="shared" si="88"/>
        <v>1.3147329267516927</v>
      </c>
      <c r="AJ922" s="2715">
        <f t="shared" si="89"/>
        <v>1.3137329267516928</v>
      </c>
      <c r="AK922" s="2421">
        <f>IF(AND(дома!$Z$29&gt;=AJ922,дома!$Z$29&lt;=AI922),связи1!AG922,0)</f>
        <v>0</v>
      </c>
      <c r="AL922" s="2421">
        <f>IF(AND(дома!$AA$29&gt;=AJ922,дома!$AA$29&lt;=AI922),связи1!AG922,0)</f>
        <v>0</v>
      </c>
    </row>
    <row r="923" spans="33:38">
      <c r="AG923" s="2421">
        <v>75.400000000000105</v>
      </c>
      <c r="AH923" s="2715">
        <f t="shared" si="87"/>
        <v>1.3159782560036872</v>
      </c>
      <c r="AI923" s="2715">
        <f t="shared" si="88"/>
        <v>1.3164782560036872</v>
      </c>
      <c r="AJ923" s="2715">
        <f t="shared" si="89"/>
        <v>1.3154782560036873</v>
      </c>
      <c r="AK923" s="2421">
        <f>IF(AND(дома!$Z$29&gt;=AJ923,дома!$Z$29&lt;=AI923),связи1!AG923,0)</f>
        <v>0</v>
      </c>
      <c r="AL923" s="2421">
        <f>IF(AND(дома!$AA$29&gt;=AJ923,дома!$AA$29&lt;=AI923),связи1!AG923,0)</f>
        <v>0</v>
      </c>
    </row>
    <row r="924" spans="33:38">
      <c r="AG924" s="2421">
        <v>75.500000000000099</v>
      </c>
      <c r="AH924" s="2715">
        <f t="shared" si="87"/>
        <v>1.3177235852556815</v>
      </c>
      <c r="AI924" s="2715">
        <f t="shared" si="88"/>
        <v>1.3182235852556814</v>
      </c>
      <c r="AJ924" s="2715">
        <f t="shared" si="89"/>
        <v>1.3172235852556815</v>
      </c>
      <c r="AK924" s="2421">
        <f>IF(AND(дома!$Z$29&gt;=AJ924,дома!$Z$29&lt;=AI924),связи1!AG924,0)</f>
        <v>0</v>
      </c>
      <c r="AL924" s="2421">
        <f>IF(AND(дома!$AA$29&gt;=AJ924,дома!$AA$29&lt;=AI924),связи1!AG924,0)</f>
        <v>0</v>
      </c>
    </row>
    <row r="925" spans="33:38">
      <c r="AG925" s="2421">
        <v>75.600000000000094</v>
      </c>
      <c r="AH925" s="2715">
        <f t="shared" si="87"/>
        <v>1.3194689145076757</v>
      </c>
      <c r="AI925" s="2715">
        <f t="shared" si="88"/>
        <v>1.3199689145076756</v>
      </c>
      <c r="AJ925" s="2715">
        <f t="shared" si="89"/>
        <v>1.3189689145076757</v>
      </c>
      <c r="AK925" s="2421">
        <f>IF(AND(дома!$Z$29&gt;=AJ925,дома!$Z$29&lt;=AI925),связи1!AG925,0)</f>
        <v>0</v>
      </c>
      <c r="AL925" s="2421">
        <f>IF(AND(дома!$AA$29&gt;=AJ925,дома!$AA$29&lt;=AI925),связи1!AG925,0)</f>
        <v>0</v>
      </c>
    </row>
    <row r="926" spans="33:38">
      <c r="AG926" s="2421">
        <v>75.700000000000102</v>
      </c>
      <c r="AH926" s="2715">
        <f t="shared" si="87"/>
        <v>1.3212142437596699</v>
      </c>
      <c r="AI926" s="2715">
        <f t="shared" si="88"/>
        <v>1.3217142437596698</v>
      </c>
      <c r="AJ926" s="2715">
        <f t="shared" si="89"/>
        <v>1.3207142437596699</v>
      </c>
      <c r="AK926" s="2421">
        <f>IF(AND(дома!$Z$29&gt;=AJ926,дома!$Z$29&lt;=AI926),связи1!AG926,0)</f>
        <v>0</v>
      </c>
      <c r="AL926" s="2421">
        <f>IF(AND(дома!$AA$29&gt;=AJ926,дома!$AA$29&lt;=AI926),связи1!AG926,0)</f>
        <v>0</v>
      </c>
    </row>
    <row r="927" spans="33:38">
      <c r="AG927" s="2421">
        <v>75.800000000000097</v>
      </c>
      <c r="AH927" s="2715">
        <f t="shared" si="87"/>
        <v>1.3229595730116643</v>
      </c>
      <c r="AI927" s="2715">
        <f t="shared" si="88"/>
        <v>1.3234595730116643</v>
      </c>
      <c r="AJ927" s="2715">
        <f t="shared" si="89"/>
        <v>1.3224595730116644</v>
      </c>
      <c r="AK927" s="2421">
        <f>IF(AND(дома!$Z$29&gt;=AJ927,дома!$Z$29&lt;=AI927),связи1!AG927,0)</f>
        <v>0</v>
      </c>
      <c r="AL927" s="2421">
        <f>IF(AND(дома!$AA$29&gt;=AJ927,дома!$AA$29&lt;=AI927),связи1!AG927,0)</f>
        <v>0</v>
      </c>
    </row>
    <row r="928" spans="33:38">
      <c r="AG928" s="2421">
        <v>75.900000000000105</v>
      </c>
      <c r="AH928" s="2715">
        <f t="shared" si="87"/>
        <v>1.3247049022636586</v>
      </c>
      <c r="AI928" s="2715">
        <f t="shared" si="88"/>
        <v>1.3252049022636585</v>
      </c>
      <c r="AJ928" s="2715">
        <f t="shared" si="89"/>
        <v>1.3242049022636586</v>
      </c>
      <c r="AK928" s="2421">
        <f>IF(AND(дома!$Z$29&gt;=AJ928,дома!$Z$29&lt;=AI928),связи1!AG928,0)</f>
        <v>0</v>
      </c>
      <c r="AL928" s="2421">
        <f>IF(AND(дома!$AA$29&gt;=AJ928,дома!$AA$29&lt;=AI928),связи1!AG928,0)</f>
        <v>0</v>
      </c>
    </row>
    <row r="929" spans="33:38">
      <c r="AG929" s="2421">
        <v>76.000000000000099</v>
      </c>
      <c r="AH929" s="2715">
        <f t="shared" si="87"/>
        <v>1.3264502315156528</v>
      </c>
      <c r="AI929" s="2715">
        <f t="shared" si="88"/>
        <v>1.3269502315156527</v>
      </c>
      <c r="AJ929" s="2715">
        <f t="shared" si="89"/>
        <v>1.3259502315156528</v>
      </c>
      <c r="AK929" s="2421">
        <f>IF(AND(дома!$Z$29&gt;=AJ929,дома!$Z$29&lt;=AI929),связи1!AG929,0)</f>
        <v>0</v>
      </c>
      <c r="AL929" s="2421">
        <f>IF(AND(дома!$AA$29&gt;=AJ929,дома!$AA$29&lt;=AI929),связи1!AG929,0)</f>
        <v>0</v>
      </c>
    </row>
    <row r="930" spans="33:38">
      <c r="AG930" s="2421">
        <v>76.100000000000094</v>
      </c>
      <c r="AH930" s="2715">
        <f t="shared" si="87"/>
        <v>1.328195560767647</v>
      </c>
      <c r="AI930" s="2715">
        <f t="shared" si="88"/>
        <v>1.3286955607676469</v>
      </c>
      <c r="AJ930" s="2715">
        <f t="shared" si="89"/>
        <v>1.3276955607676471</v>
      </c>
      <c r="AK930" s="2421">
        <f>IF(AND(дома!$Z$29&gt;=AJ930,дома!$Z$29&lt;=AI930),связи1!AG930,0)</f>
        <v>0</v>
      </c>
      <c r="AL930" s="2421">
        <f>IF(AND(дома!$AA$29&gt;=AJ930,дома!$AA$29&lt;=AI930),связи1!AG930,0)</f>
        <v>0</v>
      </c>
    </row>
    <row r="931" spans="33:38">
      <c r="AG931" s="2421">
        <v>76.200000000000102</v>
      </c>
      <c r="AH931" s="2715">
        <f t="shared" si="87"/>
        <v>1.3299408900196414</v>
      </c>
      <c r="AI931" s="2715">
        <f t="shared" si="88"/>
        <v>1.3304408900196414</v>
      </c>
      <c r="AJ931" s="2715">
        <f t="shared" si="89"/>
        <v>1.3294408900196415</v>
      </c>
      <c r="AK931" s="2421">
        <f>IF(AND(дома!$Z$29&gt;=AJ931,дома!$Z$29&lt;=AI931),связи1!AG931,0)</f>
        <v>0</v>
      </c>
      <c r="AL931" s="2421">
        <f>IF(AND(дома!$AA$29&gt;=AJ931,дома!$AA$29&lt;=AI931),связи1!AG931,0)</f>
        <v>0</v>
      </c>
    </row>
    <row r="932" spans="33:38">
      <c r="AG932" s="2421">
        <v>76.300000000000097</v>
      </c>
      <c r="AH932" s="2715">
        <f t="shared" si="87"/>
        <v>1.3316862192716354</v>
      </c>
      <c r="AI932" s="2715">
        <f t="shared" si="88"/>
        <v>1.3321862192716354</v>
      </c>
      <c r="AJ932" s="2715">
        <f t="shared" si="89"/>
        <v>1.3311862192716355</v>
      </c>
      <c r="AK932" s="2421">
        <f>IF(AND(дома!$Z$29&gt;=AJ932,дома!$Z$29&lt;=AI932),связи1!AG932,0)</f>
        <v>0</v>
      </c>
      <c r="AL932" s="2421">
        <f>IF(AND(дома!$AA$29&gt;=AJ932,дома!$AA$29&lt;=AI932),связи1!AG932,0)</f>
        <v>0</v>
      </c>
    </row>
    <row r="933" spans="33:38">
      <c r="AG933" s="2421">
        <v>76.400000000000105</v>
      </c>
      <c r="AH933" s="2715">
        <f t="shared" si="87"/>
        <v>1.3334315485236299</v>
      </c>
      <c r="AI933" s="2715">
        <f t="shared" si="88"/>
        <v>1.3339315485236298</v>
      </c>
      <c r="AJ933" s="2715">
        <f t="shared" si="89"/>
        <v>1.3329315485236299</v>
      </c>
      <c r="AK933" s="2421">
        <f>IF(AND(дома!$Z$29&gt;=AJ933,дома!$Z$29&lt;=AI933),связи1!AG933,0)</f>
        <v>0</v>
      </c>
      <c r="AL933" s="2421">
        <f>IF(AND(дома!$AA$29&gt;=AJ933,дома!$AA$29&lt;=AI933),связи1!AG933,0)</f>
        <v>0</v>
      </c>
    </row>
    <row r="934" spans="33:38">
      <c r="AG934" s="2421">
        <v>76.500000000000099</v>
      </c>
      <c r="AH934" s="2715">
        <f t="shared" si="87"/>
        <v>1.3351768777756243</v>
      </c>
      <c r="AI934" s="2715">
        <f t="shared" si="88"/>
        <v>1.3356768777756243</v>
      </c>
      <c r="AJ934" s="2715">
        <f t="shared" si="89"/>
        <v>1.3346768777756244</v>
      </c>
      <c r="AK934" s="2421">
        <f>IF(AND(дома!$Z$29&gt;=AJ934,дома!$Z$29&lt;=AI934),связи1!AG934,0)</f>
        <v>0</v>
      </c>
      <c r="AL934" s="2421">
        <f>IF(AND(дома!$AA$29&gt;=AJ934,дома!$AA$29&lt;=AI934),связи1!AG934,0)</f>
        <v>0</v>
      </c>
    </row>
    <row r="935" spans="33:38">
      <c r="AG935" s="2421">
        <v>76.600000000000094</v>
      </c>
      <c r="AH935" s="2715">
        <f t="shared" si="87"/>
        <v>1.3369222070276183</v>
      </c>
      <c r="AI935" s="2715">
        <f t="shared" si="88"/>
        <v>1.3374222070276183</v>
      </c>
      <c r="AJ935" s="2715">
        <f t="shared" si="89"/>
        <v>1.3364222070276184</v>
      </c>
      <c r="AK935" s="2421">
        <f>IF(AND(дома!$Z$29&gt;=AJ935,дома!$Z$29&lt;=AI935),связи1!AG935,0)</f>
        <v>0</v>
      </c>
      <c r="AL935" s="2421">
        <f>IF(AND(дома!$AA$29&gt;=AJ935,дома!$AA$29&lt;=AI935),связи1!AG935,0)</f>
        <v>0</v>
      </c>
    </row>
    <row r="936" spans="33:38">
      <c r="AG936" s="2421">
        <v>76.700000000000102</v>
      </c>
      <c r="AH936" s="2715">
        <f t="shared" si="87"/>
        <v>1.3386675362796128</v>
      </c>
      <c r="AI936" s="2715">
        <f t="shared" si="88"/>
        <v>1.3391675362796127</v>
      </c>
      <c r="AJ936" s="2715">
        <f t="shared" si="89"/>
        <v>1.3381675362796128</v>
      </c>
      <c r="AK936" s="2421">
        <f>IF(AND(дома!$Z$29&gt;=AJ936,дома!$Z$29&lt;=AI936),связи1!AG936,0)</f>
        <v>0</v>
      </c>
      <c r="AL936" s="2421">
        <f>IF(AND(дома!$AA$29&gt;=AJ936,дома!$AA$29&lt;=AI936),связи1!AG936,0)</f>
        <v>0</v>
      </c>
    </row>
    <row r="937" spans="33:38">
      <c r="AG937" s="2421">
        <v>76.800000000000097</v>
      </c>
      <c r="AH937" s="2715">
        <f t="shared" si="87"/>
        <v>1.340412865531607</v>
      </c>
      <c r="AI937" s="2715">
        <f t="shared" si="88"/>
        <v>1.3409128655316069</v>
      </c>
      <c r="AJ937" s="2715">
        <f t="shared" si="89"/>
        <v>1.339912865531607</v>
      </c>
      <c r="AK937" s="2421">
        <f>IF(AND(дома!$Z$29&gt;=AJ937,дома!$Z$29&lt;=AI937),связи1!AG937,0)</f>
        <v>0</v>
      </c>
      <c r="AL937" s="2421">
        <f>IF(AND(дома!$AA$29&gt;=AJ937,дома!$AA$29&lt;=AI937),связи1!AG937,0)</f>
        <v>0</v>
      </c>
    </row>
    <row r="938" spans="33:38">
      <c r="AG938" s="2421">
        <v>76.900000000000105</v>
      </c>
      <c r="AH938" s="2715">
        <f t="shared" si="87"/>
        <v>1.3421581947836014</v>
      </c>
      <c r="AI938" s="2715">
        <f t="shared" si="88"/>
        <v>1.3426581947836014</v>
      </c>
      <c r="AJ938" s="2715">
        <f t="shared" si="89"/>
        <v>1.3416581947836015</v>
      </c>
      <c r="AK938" s="2421">
        <f>IF(AND(дома!$Z$29&gt;=AJ938,дома!$Z$29&lt;=AI938),связи1!AG938,0)</f>
        <v>0</v>
      </c>
      <c r="AL938" s="2421">
        <f>IF(AND(дома!$AA$29&gt;=AJ938,дома!$AA$29&lt;=AI938),связи1!AG938,0)</f>
        <v>0</v>
      </c>
    </row>
    <row r="939" spans="33:38">
      <c r="AG939" s="2421">
        <v>77.000000000000099</v>
      </c>
      <c r="AH939" s="2715">
        <f t="shared" si="87"/>
        <v>1.3439035240355954</v>
      </c>
      <c r="AI939" s="2715">
        <f t="shared" si="88"/>
        <v>1.3444035240355954</v>
      </c>
      <c r="AJ939" s="2715">
        <f t="shared" si="89"/>
        <v>1.3434035240355955</v>
      </c>
      <c r="AK939" s="2421">
        <f>IF(AND(дома!$Z$29&gt;=AJ939,дома!$Z$29&lt;=AI939),связи1!AG939,0)</f>
        <v>0</v>
      </c>
      <c r="AL939" s="2421">
        <f>IF(AND(дома!$AA$29&gt;=AJ939,дома!$AA$29&lt;=AI939),связи1!AG939,0)</f>
        <v>0</v>
      </c>
    </row>
    <row r="940" spans="33:38">
      <c r="AG940" s="2421">
        <v>77.100000000000094</v>
      </c>
      <c r="AH940" s="2715">
        <f t="shared" si="87"/>
        <v>1.3456488532875899</v>
      </c>
      <c r="AI940" s="2715">
        <f t="shared" si="88"/>
        <v>1.3461488532875898</v>
      </c>
      <c r="AJ940" s="2715">
        <f t="shared" si="89"/>
        <v>1.3451488532875899</v>
      </c>
      <c r="AK940" s="2421">
        <f>IF(AND(дома!$Z$29&gt;=AJ940,дома!$Z$29&lt;=AI940),связи1!AG940,0)</f>
        <v>0</v>
      </c>
      <c r="AL940" s="2421">
        <f>IF(AND(дома!$AA$29&gt;=AJ940,дома!$AA$29&lt;=AI940),связи1!AG940,0)</f>
        <v>0</v>
      </c>
    </row>
    <row r="941" spans="33:38">
      <c r="AG941" s="2421">
        <v>77.200000000000102</v>
      </c>
      <c r="AH941" s="2715">
        <f t="shared" si="87"/>
        <v>1.3473941825395843</v>
      </c>
      <c r="AI941" s="2715">
        <f t="shared" si="88"/>
        <v>1.3478941825395843</v>
      </c>
      <c r="AJ941" s="2715">
        <f t="shared" si="89"/>
        <v>1.3468941825395844</v>
      </c>
      <c r="AK941" s="2421">
        <f>IF(AND(дома!$Z$29&gt;=AJ941,дома!$Z$29&lt;=AI941),связи1!AG941,0)</f>
        <v>0</v>
      </c>
      <c r="AL941" s="2421">
        <f>IF(AND(дома!$AA$29&gt;=AJ941,дома!$AA$29&lt;=AI941),связи1!AG941,0)</f>
        <v>0</v>
      </c>
    </row>
    <row r="942" spans="33:38">
      <c r="AG942" s="2421">
        <v>77.300000000000097</v>
      </c>
      <c r="AH942" s="2715">
        <f t="shared" si="87"/>
        <v>1.3491395117915783</v>
      </c>
      <c r="AI942" s="2715">
        <f t="shared" si="88"/>
        <v>1.3496395117915783</v>
      </c>
      <c r="AJ942" s="2715">
        <f t="shared" si="89"/>
        <v>1.3486395117915784</v>
      </c>
      <c r="AK942" s="2421">
        <f>IF(AND(дома!$Z$29&gt;=AJ942,дома!$Z$29&lt;=AI942),связи1!AG942,0)</f>
        <v>0</v>
      </c>
      <c r="AL942" s="2421">
        <f>IF(AND(дома!$AA$29&gt;=AJ942,дома!$AA$29&lt;=AI942),связи1!AG942,0)</f>
        <v>0</v>
      </c>
    </row>
    <row r="943" spans="33:38">
      <c r="AG943" s="2421">
        <v>77.400000000000105</v>
      </c>
      <c r="AH943" s="2715">
        <f t="shared" si="87"/>
        <v>1.3508848410435728</v>
      </c>
      <c r="AI943" s="2715">
        <f t="shared" si="88"/>
        <v>1.3513848410435727</v>
      </c>
      <c r="AJ943" s="2715">
        <f t="shared" si="89"/>
        <v>1.3503848410435728</v>
      </c>
      <c r="AK943" s="2421">
        <f>IF(AND(дома!$Z$29&gt;=AJ943,дома!$Z$29&lt;=AI943),связи1!AG943,0)</f>
        <v>0</v>
      </c>
      <c r="AL943" s="2421">
        <f>IF(AND(дома!$AA$29&gt;=AJ943,дома!$AA$29&lt;=AI943),связи1!AG943,0)</f>
        <v>0</v>
      </c>
    </row>
    <row r="944" spans="33:38">
      <c r="AG944" s="2421">
        <v>77.500000000000099</v>
      </c>
      <c r="AH944" s="2715">
        <f t="shared" si="87"/>
        <v>1.352630170295567</v>
      </c>
      <c r="AI944" s="2715">
        <f t="shared" si="88"/>
        <v>1.3531301702955669</v>
      </c>
      <c r="AJ944" s="2715">
        <f t="shared" si="89"/>
        <v>1.352130170295567</v>
      </c>
      <c r="AK944" s="2421">
        <f>IF(AND(дома!$Z$29&gt;=AJ944,дома!$Z$29&lt;=AI944),связи1!AG944,0)</f>
        <v>0</v>
      </c>
      <c r="AL944" s="2421">
        <f>IF(AND(дома!$AA$29&gt;=AJ944,дома!$AA$29&lt;=AI944),связи1!AG944,0)</f>
        <v>0</v>
      </c>
    </row>
    <row r="945" spans="33:38">
      <c r="AG945" s="2421">
        <v>77.600000000000094</v>
      </c>
      <c r="AH945" s="2715">
        <f t="shared" si="87"/>
        <v>1.3543754995475612</v>
      </c>
      <c r="AI945" s="2715">
        <f t="shared" si="88"/>
        <v>1.3548754995475611</v>
      </c>
      <c r="AJ945" s="2715">
        <f t="shared" si="89"/>
        <v>1.3538754995475613</v>
      </c>
      <c r="AK945" s="2421">
        <f>IF(AND(дома!$Z$29&gt;=AJ945,дома!$Z$29&lt;=AI945),связи1!AG945,0)</f>
        <v>0</v>
      </c>
      <c r="AL945" s="2421">
        <f>IF(AND(дома!$AA$29&gt;=AJ945,дома!$AA$29&lt;=AI945),связи1!AG945,0)</f>
        <v>0</v>
      </c>
    </row>
    <row r="946" spans="33:38">
      <c r="AG946" s="2421">
        <v>77.700000000000102</v>
      </c>
      <c r="AH946" s="2715">
        <f t="shared" si="87"/>
        <v>1.3561208287995554</v>
      </c>
      <c r="AI946" s="2715">
        <f t="shared" si="88"/>
        <v>1.3566208287995554</v>
      </c>
      <c r="AJ946" s="2715">
        <f t="shared" si="89"/>
        <v>1.3556208287995555</v>
      </c>
      <c r="AK946" s="2421">
        <f>IF(AND(дома!$Z$29&gt;=AJ946,дома!$Z$29&lt;=AI946),связи1!AG946,0)</f>
        <v>0</v>
      </c>
      <c r="AL946" s="2421">
        <f>IF(AND(дома!$AA$29&gt;=AJ946,дома!$AA$29&lt;=AI946),связи1!AG946,0)</f>
        <v>0</v>
      </c>
    </row>
    <row r="947" spans="33:38">
      <c r="AG947" s="2421">
        <v>77.800000000000097</v>
      </c>
      <c r="AH947" s="2715">
        <f t="shared" si="87"/>
        <v>1.3578661580515499</v>
      </c>
      <c r="AI947" s="2715">
        <f t="shared" si="88"/>
        <v>1.3583661580515498</v>
      </c>
      <c r="AJ947" s="2715">
        <f t="shared" si="89"/>
        <v>1.3573661580515499</v>
      </c>
      <c r="AK947" s="2421">
        <f>IF(AND(дома!$Z$29&gt;=AJ947,дома!$Z$29&lt;=AI947),связи1!AG947,0)</f>
        <v>0</v>
      </c>
      <c r="AL947" s="2421">
        <f>IF(AND(дома!$AA$29&gt;=AJ947,дома!$AA$29&lt;=AI947),связи1!AG947,0)</f>
        <v>0</v>
      </c>
    </row>
    <row r="948" spans="33:38">
      <c r="AG948" s="2421">
        <v>77.900000000000105</v>
      </c>
      <c r="AH948" s="2715">
        <f t="shared" si="87"/>
        <v>1.3596114873035441</v>
      </c>
      <c r="AI948" s="2715">
        <f t="shared" si="88"/>
        <v>1.360111487303544</v>
      </c>
      <c r="AJ948" s="2715">
        <f t="shared" si="89"/>
        <v>1.3591114873035441</v>
      </c>
      <c r="AK948" s="2421">
        <f>IF(AND(дома!$Z$29&gt;=AJ948,дома!$Z$29&lt;=AI948),связи1!AG948,0)</f>
        <v>0</v>
      </c>
      <c r="AL948" s="2421">
        <f>IF(AND(дома!$AA$29&gt;=AJ948,дома!$AA$29&lt;=AI948),связи1!AG948,0)</f>
        <v>0</v>
      </c>
    </row>
    <row r="949" spans="33:38">
      <c r="AG949" s="2421">
        <v>78.000000000000099</v>
      </c>
      <c r="AH949" s="2715">
        <f t="shared" si="87"/>
        <v>1.3613568165555383</v>
      </c>
      <c r="AI949" s="2715">
        <f t="shared" si="88"/>
        <v>1.3618568165555383</v>
      </c>
      <c r="AJ949" s="2715">
        <f t="shared" si="89"/>
        <v>1.3608568165555384</v>
      </c>
      <c r="AK949" s="2421">
        <f>IF(AND(дома!$Z$29&gt;=AJ949,дома!$Z$29&lt;=AI949),связи1!AG949,0)</f>
        <v>0</v>
      </c>
      <c r="AL949" s="2421">
        <f>IF(AND(дома!$AA$29&gt;=AJ949,дома!$AA$29&lt;=AI949),связи1!AG949,0)</f>
        <v>0</v>
      </c>
    </row>
    <row r="950" spans="33:38">
      <c r="AG950" s="2421">
        <v>78.100000000000094</v>
      </c>
      <c r="AH950" s="2715">
        <f t="shared" si="87"/>
        <v>1.3631021458075325</v>
      </c>
      <c r="AI950" s="2715">
        <f t="shared" si="88"/>
        <v>1.3636021458075325</v>
      </c>
      <c r="AJ950" s="2715">
        <f t="shared" si="89"/>
        <v>1.3626021458075326</v>
      </c>
      <c r="AK950" s="2421">
        <f>IF(AND(дома!$Z$29&gt;=AJ950,дома!$Z$29&lt;=AI950),связи1!AG950,0)</f>
        <v>0</v>
      </c>
      <c r="AL950" s="2421">
        <f>IF(AND(дома!$AA$29&gt;=AJ950,дома!$AA$29&lt;=AI950),связи1!AG950,0)</f>
        <v>0</v>
      </c>
    </row>
    <row r="951" spans="33:38">
      <c r="AG951" s="2421">
        <v>78.200000000000102</v>
      </c>
      <c r="AH951" s="2715">
        <f t="shared" si="87"/>
        <v>1.364847475059527</v>
      </c>
      <c r="AI951" s="2715">
        <f t="shared" si="88"/>
        <v>1.3653474750595269</v>
      </c>
      <c r="AJ951" s="2715">
        <f t="shared" si="89"/>
        <v>1.364347475059527</v>
      </c>
      <c r="AK951" s="2421">
        <f>IF(AND(дома!$Z$29&gt;=AJ951,дома!$Z$29&lt;=AI951),связи1!AG951,0)</f>
        <v>0</v>
      </c>
      <c r="AL951" s="2421">
        <f>IF(AND(дома!$AA$29&gt;=AJ951,дома!$AA$29&lt;=AI951),связи1!AG951,0)</f>
        <v>0</v>
      </c>
    </row>
    <row r="952" spans="33:38">
      <c r="AG952" s="2421">
        <v>78.300000000000097</v>
      </c>
      <c r="AH952" s="2715">
        <f t="shared" si="87"/>
        <v>1.366592804311521</v>
      </c>
      <c r="AI952" s="2715">
        <f t="shared" si="88"/>
        <v>1.3670928043115209</v>
      </c>
      <c r="AJ952" s="2715">
        <f t="shared" si="89"/>
        <v>1.366092804311521</v>
      </c>
      <c r="AK952" s="2421">
        <f>IF(AND(дома!$Z$29&gt;=AJ952,дома!$Z$29&lt;=AI952),связи1!AG952,0)</f>
        <v>0</v>
      </c>
      <c r="AL952" s="2421">
        <f>IF(AND(дома!$AA$29&gt;=AJ952,дома!$AA$29&lt;=AI952),связи1!AG952,0)</f>
        <v>0</v>
      </c>
    </row>
    <row r="953" spans="33:38">
      <c r="AG953" s="2421">
        <v>78.400000000000105</v>
      </c>
      <c r="AH953" s="2715">
        <f t="shared" si="87"/>
        <v>1.3683381335635154</v>
      </c>
      <c r="AI953" s="2715">
        <f t="shared" si="88"/>
        <v>1.3688381335635154</v>
      </c>
      <c r="AJ953" s="2715">
        <f t="shared" si="89"/>
        <v>1.3678381335635155</v>
      </c>
      <c r="AK953" s="2421">
        <f>IF(AND(дома!$Z$29&gt;=AJ953,дома!$Z$29&lt;=AI953),связи1!AG953,0)</f>
        <v>0</v>
      </c>
      <c r="AL953" s="2421">
        <f>IF(AND(дома!$AA$29&gt;=AJ953,дома!$AA$29&lt;=AI953),связи1!AG953,0)</f>
        <v>0</v>
      </c>
    </row>
    <row r="954" spans="33:38">
      <c r="AG954" s="2421">
        <v>78.500000000000099</v>
      </c>
      <c r="AH954" s="2715">
        <f t="shared" si="87"/>
        <v>1.3700834628155099</v>
      </c>
      <c r="AI954" s="2715">
        <f t="shared" si="88"/>
        <v>1.3705834628155098</v>
      </c>
      <c r="AJ954" s="2715">
        <f t="shared" si="89"/>
        <v>1.3695834628155099</v>
      </c>
      <c r="AK954" s="2421">
        <f>IF(AND(дома!$Z$29&gt;=AJ954,дома!$Z$29&lt;=AI954),связи1!AG954,0)</f>
        <v>0</v>
      </c>
      <c r="AL954" s="2421">
        <f>IF(AND(дома!$AA$29&gt;=AJ954,дома!$AA$29&lt;=AI954),связи1!AG954,0)</f>
        <v>0</v>
      </c>
    </row>
    <row r="955" spans="33:38">
      <c r="AG955" s="2421">
        <v>78.600000000000094</v>
      </c>
      <c r="AH955" s="2715">
        <f t="shared" si="87"/>
        <v>1.3718287920675039</v>
      </c>
      <c r="AI955" s="2715">
        <f t="shared" si="88"/>
        <v>1.3723287920675038</v>
      </c>
      <c r="AJ955" s="2715">
        <f t="shared" si="89"/>
        <v>1.3713287920675039</v>
      </c>
      <c r="AK955" s="2421">
        <f>IF(AND(дома!$Z$29&gt;=AJ955,дома!$Z$29&lt;=AI955),связи1!AG955,0)</f>
        <v>0</v>
      </c>
      <c r="AL955" s="2421">
        <f>IF(AND(дома!$AA$29&gt;=AJ955,дома!$AA$29&lt;=AI955),связи1!AG955,0)</f>
        <v>0</v>
      </c>
    </row>
    <row r="956" spans="33:38">
      <c r="AG956" s="2421">
        <v>78.700000000000102</v>
      </c>
      <c r="AH956" s="2715">
        <f t="shared" si="87"/>
        <v>1.3735741213194983</v>
      </c>
      <c r="AI956" s="2715">
        <f t="shared" si="88"/>
        <v>1.3740741213194982</v>
      </c>
      <c r="AJ956" s="2715">
        <f t="shared" si="89"/>
        <v>1.3730741213194984</v>
      </c>
      <c r="AK956" s="2421">
        <f>IF(AND(дома!$Z$29&gt;=AJ956,дома!$Z$29&lt;=AI956),связи1!AG956,0)</f>
        <v>0</v>
      </c>
      <c r="AL956" s="2421">
        <f>IF(AND(дома!$AA$29&gt;=AJ956,дома!$AA$29&lt;=AI956),связи1!AG956,0)</f>
        <v>0</v>
      </c>
    </row>
    <row r="957" spans="33:38">
      <c r="AG957" s="2421">
        <v>78.800000000000097</v>
      </c>
      <c r="AH957" s="2715">
        <f t="shared" si="87"/>
        <v>1.3753194505714925</v>
      </c>
      <c r="AI957" s="2715">
        <f t="shared" si="88"/>
        <v>1.3758194505714925</v>
      </c>
      <c r="AJ957" s="2715">
        <f t="shared" si="89"/>
        <v>1.3748194505714926</v>
      </c>
      <c r="AK957" s="2421">
        <f>IF(AND(дома!$Z$29&gt;=AJ957,дома!$Z$29&lt;=AI957),связи1!AG957,0)</f>
        <v>0</v>
      </c>
      <c r="AL957" s="2421">
        <f>IF(AND(дома!$AA$29&gt;=AJ957,дома!$AA$29&lt;=AI957),связи1!AG957,0)</f>
        <v>0</v>
      </c>
    </row>
    <row r="958" spans="33:38">
      <c r="AG958" s="2421">
        <v>78.900000000000105</v>
      </c>
      <c r="AH958" s="2715">
        <f t="shared" si="87"/>
        <v>1.377064779823487</v>
      </c>
      <c r="AI958" s="2715">
        <f t="shared" si="88"/>
        <v>1.3775647798234869</v>
      </c>
      <c r="AJ958" s="2715">
        <f t="shared" si="89"/>
        <v>1.376564779823487</v>
      </c>
      <c r="AK958" s="2421">
        <f>IF(AND(дома!$Z$29&gt;=AJ958,дома!$Z$29&lt;=AI958),связи1!AG958,0)</f>
        <v>0</v>
      </c>
      <c r="AL958" s="2421">
        <f>IF(AND(дома!$AA$29&gt;=AJ958,дома!$AA$29&lt;=AI958),связи1!AG958,0)</f>
        <v>0</v>
      </c>
    </row>
    <row r="959" spans="33:38">
      <c r="AG959" s="2421">
        <v>79.000000000000099</v>
      </c>
      <c r="AH959" s="2715">
        <f t="shared" si="87"/>
        <v>1.378810109075481</v>
      </c>
      <c r="AI959" s="2715">
        <f t="shared" si="88"/>
        <v>1.3793101090754809</v>
      </c>
      <c r="AJ959" s="2715">
        <f t="shared" si="89"/>
        <v>1.378310109075481</v>
      </c>
      <c r="AK959" s="2421">
        <f>IF(AND(дома!$Z$29&gt;=AJ959,дома!$Z$29&lt;=AI959),связи1!AG959,0)</f>
        <v>0</v>
      </c>
      <c r="AL959" s="2421">
        <f>IF(AND(дома!$AA$29&gt;=AJ959,дома!$AA$29&lt;=AI959),связи1!AG959,0)</f>
        <v>0</v>
      </c>
    </row>
    <row r="960" spans="33:38">
      <c r="AG960" s="2421">
        <v>79.100000000000094</v>
      </c>
      <c r="AH960" s="2715">
        <f t="shared" si="87"/>
        <v>1.3805554383274754</v>
      </c>
      <c r="AI960" s="2715">
        <f t="shared" si="88"/>
        <v>1.3810554383274753</v>
      </c>
      <c r="AJ960" s="2715">
        <f t="shared" si="89"/>
        <v>1.3800554383274755</v>
      </c>
      <c r="AK960" s="2421">
        <f>IF(AND(дома!$Z$29&gt;=AJ960,дома!$Z$29&lt;=AI960),связи1!AG960,0)</f>
        <v>0</v>
      </c>
      <c r="AL960" s="2421">
        <f>IF(AND(дома!$AA$29&gt;=AJ960,дома!$AA$29&lt;=AI960),связи1!AG960,0)</f>
        <v>0</v>
      </c>
    </row>
    <row r="961" spans="33:38">
      <c r="AG961" s="2421">
        <v>79.200000000000102</v>
      </c>
      <c r="AH961" s="2715">
        <f t="shared" si="87"/>
        <v>1.3823007675794696</v>
      </c>
      <c r="AI961" s="2715">
        <f t="shared" si="88"/>
        <v>1.3828007675794696</v>
      </c>
      <c r="AJ961" s="2715">
        <f t="shared" si="89"/>
        <v>1.3818007675794697</v>
      </c>
      <c r="AK961" s="2421">
        <f>IF(AND(дома!$Z$29&gt;=AJ961,дома!$Z$29&lt;=AI961),связи1!AG961,0)</f>
        <v>0</v>
      </c>
      <c r="AL961" s="2421">
        <f>IF(AND(дома!$AA$29&gt;=AJ961,дома!$AA$29&lt;=AI961),связи1!AG961,0)</f>
        <v>0</v>
      </c>
    </row>
    <row r="962" spans="33:38">
      <c r="AG962" s="2421">
        <v>79.300000000000097</v>
      </c>
      <c r="AH962" s="2715">
        <f t="shared" si="87"/>
        <v>1.3840460968314638</v>
      </c>
      <c r="AI962" s="2715">
        <f t="shared" si="88"/>
        <v>1.3845460968314638</v>
      </c>
      <c r="AJ962" s="2715">
        <f t="shared" si="89"/>
        <v>1.3835460968314639</v>
      </c>
      <c r="AK962" s="2421">
        <f>IF(AND(дома!$Z$29&gt;=AJ962,дома!$Z$29&lt;=AI962),связи1!AG962,0)</f>
        <v>0</v>
      </c>
      <c r="AL962" s="2421">
        <f>IF(AND(дома!$AA$29&gt;=AJ962,дома!$AA$29&lt;=AI962),связи1!AG962,0)</f>
        <v>0</v>
      </c>
    </row>
    <row r="963" spans="33:38">
      <c r="AG963" s="2421">
        <v>79.400000000000105</v>
      </c>
      <c r="AH963" s="2715">
        <f t="shared" si="87"/>
        <v>1.3857914260834583</v>
      </c>
      <c r="AI963" s="2715">
        <f t="shared" si="88"/>
        <v>1.3862914260834582</v>
      </c>
      <c r="AJ963" s="2715">
        <f t="shared" si="89"/>
        <v>1.3852914260834583</v>
      </c>
      <c r="AK963" s="2421">
        <f>IF(AND(дома!$Z$29&gt;=AJ963,дома!$Z$29&lt;=AI963),связи1!AG963,0)</f>
        <v>0</v>
      </c>
      <c r="AL963" s="2421">
        <f>IF(AND(дома!$AA$29&gt;=AJ963,дома!$AA$29&lt;=AI963),связи1!AG963,0)</f>
        <v>0</v>
      </c>
    </row>
    <row r="964" spans="33:38">
      <c r="AG964" s="2421">
        <v>79.500000000000099</v>
      </c>
      <c r="AH964" s="2715">
        <f t="shared" si="87"/>
        <v>1.3875367553354525</v>
      </c>
      <c r="AI964" s="2715">
        <f t="shared" si="88"/>
        <v>1.3880367553354525</v>
      </c>
      <c r="AJ964" s="2715">
        <f t="shared" si="89"/>
        <v>1.3870367553354526</v>
      </c>
      <c r="AK964" s="2421">
        <f>IF(AND(дома!$Z$29&gt;=AJ964,дома!$Z$29&lt;=AI964),связи1!AG964,0)</f>
        <v>0</v>
      </c>
      <c r="AL964" s="2421">
        <f>IF(AND(дома!$AA$29&gt;=AJ964,дома!$AA$29&lt;=AI964),связи1!AG964,0)</f>
        <v>0</v>
      </c>
    </row>
    <row r="965" spans="33:38">
      <c r="AG965" s="2421">
        <v>79.600000000000094</v>
      </c>
      <c r="AH965" s="2715">
        <f t="shared" si="87"/>
        <v>1.3892820845874465</v>
      </c>
      <c r="AI965" s="2715">
        <f t="shared" si="88"/>
        <v>1.3897820845874465</v>
      </c>
      <c r="AJ965" s="2715">
        <f t="shared" si="89"/>
        <v>1.3887820845874466</v>
      </c>
      <c r="AK965" s="2421">
        <f>IF(AND(дома!$Z$29&gt;=AJ965,дома!$Z$29&lt;=AI965),связи1!AG965,0)</f>
        <v>0</v>
      </c>
      <c r="AL965" s="2421">
        <f>IF(AND(дома!$AA$29&gt;=AJ965,дома!$AA$29&lt;=AI965),связи1!AG965,0)</f>
        <v>0</v>
      </c>
    </row>
    <row r="966" spans="33:38">
      <c r="AG966" s="2421">
        <v>79.700000000000102</v>
      </c>
      <c r="AH966" s="2715">
        <f t="shared" si="87"/>
        <v>1.391027413839441</v>
      </c>
      <c r="AI966" s="2715">
        <f t="shared" si="88"/>
        <v>1.3915274138394409</v>
      </c>
      <c r="AJ966" s="2715">
        <f t="shared" si="89"/>
        <v>1.390527413839441</v>
      </c>
      <c r="AK966" s="2421">
        <f>IF(AND(дома!$Z$29&gt;=AJ966,дома!$Z$29&lt;=AI966),связи1!AG966,0)</f>
        <v>0</v>
      </c>
      <c r="AL966" s="2421">
        <f>IF(AND(дома!$AA$29&gt;=AJ966,дома!$AA$29&lt;=AI966),связи1!AG966,0)</f>
        <v>0</v>
      </c>
    </row>
    <row r="967" spans="33:38">
      <c r="AG967" s="2421">
        <v>79.800000000000097</v>
      </c>
      <c r="AH967" s="2715">
        <f t="shared" si="87"/>
        <v>1.3927727430914354</v>
      </c>
      <c r="AI967" s="2715">
        <f t="shared" si="88"/>
        <v>1.3932727430914353</v>
      </c>
      <c r="AJ967" s="2715">
        <f t="shared" si="89"/>
        <v>1.3922727430914354</v>
      </c>
      <c r="AK967" s="2421">
        <f>IF(AND(дома!$Z$29&gt;=AJ967,дома!$Z$29&lt;=AI967),связи1!AG967,0)</f>
        <v>0</v>
      </c>
      <c r="AL967" s="2421">
        <f>IF(AND(дома!$AA$29&gt;=AJ967,дома!$AA$29&lt;=AI967),связи1!AG967,0)</f>
        <v>0</v>
      </c>
    </row>
    <row r="968" spans="33:38">
      <c r="AG968" s="2421">
        <v>79.900000000000105</v>
      </c>
      <c r="AH968" s="2715">
        <f t="shared" ref="AH968:AH1031" si="90">AG968*3.1415926535897/180</f>
        <v>1.3945180723434296</v>
      </c>
      <c r="AI968" s="2715">
        <f t="shared" ref="AI968:AI1031" si="91">AH968+0.0005</f>
        <v>1.3950180723434296</v>
      </c>
      <c r="AJ968" s="2715">
        <f t="shared" ref="AJ968:AJ1031" si="92">AH968-0.0005</f>
        <v>1.3940180723434297</v>
      </c>
      <c r="AK968" s="2421">
        <f>IF(AND(дома!$Z$29&gt;=AJ968,дома!$Z$29&lt;=AI968),связи1!AG968,0)</f>
        <v>0</v>
      </c>
      <c r="AL968" s="2421">
        <f>IF(AND(дома!$AA$29&gt;=AJ968,дома!$AA$29&lt;=AI968),связи1!AG968,0)</f>
        <v>0</v>
      </c>
    </row>
    <row r="969" spans="33:38">
      <c r="AG969" s="2421">
        <v>80.000000000000099</v>
      </c>
      <c r="AH969" s="2715">
        <f t="shared" si="90"/>
        <v>1.3962634015954238</v>
      </c>
      <c r="AI969" s="2715">
        <f t="shared" si="91"/>
        <v>1.3967634015954238</v>
      </c>
      <c r="AJ969" s="2715">
        <f t="shared" si="92"/>
        <v>1.3957634015954239</v>
      </c>
      <c r="AK969" s="2421">
        <f>IF(AND(дома!$Z$29&gt;=AJ969,дома!$Z$29&lt;=AI969),связи1!AG969,0)</f>
        <v>0</v>
      </c>
      <c r="AL969" s="2421">
        <f>IF(AND(дома!$AA$29&gt;=AJ969,дома!$AA$29&lt;=AI969),связи1!AG969,0)</f>
        <v>0</v>
      </c>
    </row>
    <row r="970" spans="33:38">
      <c r="AG970" s="2421">
        <v>80.100000000000094</v>
      </c>
      <c r="AH970" s="2715">
        <f t="shared" si="90"/>
        <v>1.3980087308474181</v>
      </c>
      <c r="AI970" s="2715">
        <f t="shared" si="91"/>
        <v>1.398508730847418</v>
      </c>
      <c r="AJ970" s="2715">
        <f t="shared" si="92"/>
        <v>1.3975087308474181</v>
      </c>
      <c r="AK970" s="2421">
        <f>IF(AND(дома!$Z$29&gt;=AJ970,дома!$Z$29&lt;=AI970),связи1!AG970,0)</f>
        <v>0</v>
      </c>
      <c r="AL970" s="2421">
        <f>IF(AND(дома!$AA$29&gt;=AJ970,дома!$AA$29&lt;=AI970),связи1!AG970,0)</f>
        <v>0</v>
      </c>
    </row>
    <row r="971" spans="33:38">
      <c r="AG971" s="2421">
        <v>80.200000000000102</v>
      </c>
      <c r="AH971" s="2715">
        <f t="shared" si="90"/>
        <v>1.3997540600994125</v>
      </c>
      <c r="AI971" s="2715">
        <f t="shared" si="91"/>
        <v>1.4002540600994124</v>
      </c>
      <c r="AJ971" s="2715">
        <f t="shared" si="92"/>
        <v>1.3992540600994126</v>
      </c>
      <c r="AK971" s="2421">
        <f>IF(AND(дома!$Z$29&gt;=AJ971,дома!$Z$29&lt;=AI971),связи1!AG971,0)</f>
        <v>0</v>
      </c>
      <c r="AL971" s="2421">
        <f>IF(AND(дома!$AA$29&gt;=AJ971,дома!$AA$29&lt;=AI971),связи1!AG971,0)</f>
        <v>0</v>
      </c>
    </row>
    <row r="972" spans="33:38">
      <c r="AG972" s="2421">
        <v>80.300000000000097</v>
      </c>
      <c r="AH972" s="2715">
        <f t="shared" si="90"/>
        <v>1.4014993893514067</v>
      </c>
      <c r="AI972" s="2715">
        <f t="shared" si="91"/>
        <v>1.4019993893514067</v>
      </c>
      <c r="AJ972" s="2715">
        <f t="shared" si="92"/>
        <v>1.4009993893514068</v>
      </c>
      <c r="AK972" s="2421">
        <f>IF(AND(дома!$Z$29&gt;=AJ972,дома!$Z$29&lt;=AI972),связи1!AG972,0)</f>
        <v>0</v>
      </c>
      <c r="AL972" s="2421">
        <f>IF(AND(дома!$AA$29&gt;=AJ972,дома!$AA$29&lt;=AI972),связи1!AG972,0)</f>
        <v>0</v>
      </c>
    </row>
    <row r="973" spans="33:38">
      <c r="AG973" s="2421">
        <v>80.400000000000105</v>
      </c>
      <c r="AH973" s="2715">
        <f t="shared" si="90"/>
        <v>1.4032447186034012</v>
      </c>
      <c r="AI973" s="2715">
        <f t="shared" si="91"/>
        <v>1.4037447186034011</v>
      </c>
      <c r="AJ973" s="2715">
        <f t="shared" si="92"/>
        <v>1.4027447186034012</v>
      </c>
      <c r="AK973" s="2421">
        <f>IF(AND(дома!$Z$29&gt;=AJ973,дома!$Z$29&lt;=AI973),связи1!AG973,0)</f>
        <v>0</v>
      </c>
      <c r="AL973" s="2421">
        <f>IF(AND(дома!$AA$29&gt;=AJ973,дома!$AA$29&lt;=AI973),связи1!AG973,0)</f>
        <v>0</v>
      </c>
    </row>
    <row r="974" spans="33:38">
      <c r="AG974" s="2421">
        <v>80.500000000000099</v>
      </c>
      <c r="AH974" s="2715">
        <f t="shared" si="90"/>
        <v>1.4049900478553954</v>
      </c>
      <c r="AI974" s="2715">
        <f t="shared" si="91"/>
        <v>1.4054900478553953</v>
      </c>
      <c r="AJ974" s="2715">
        <f t="shared" si="92"/>
        <v>1.4044900478553954</v>
      </c>
      <c r="AK974" s="2421">
        <f>IF(AND(дома!$Z$29&gt;=AJ974,дома!$Z$29&lt;=AI974),связи1!AG974,0)</f>
        <v>0</v>
      </c>
      <c r="AL974" s="2421">
        <f>IF(AND(дома!$AA$29&gt;=AJ974,дома!$AA$29&lt;=AI974),связи1!AG974,0)</f>
        <v>0</v>
      </c>
    </row>
    <row r="975" spans="33:38">
      <c r="AG975" s="2421">
        <v>80.600000000000094</v>
      </c>
      <c r="AH975" s="2715">
        <f t="shared" si="90"/>
        <v>1.4067353771073896</v>
      </c>
      <c r="AI975" s="2715">
        <f t="shared" si="91"/>
        <v>1.4072353771073896</v>
      </c>
      <c r="AJ975" s="2715">
        <f t="shared" si="92"/>
        <v>1.4062353771073897</v>
      </c>
      <c r="AK975" s="2421">
        <f>IF(AND(дома!$Z$29&gt;=AJ975,дома!$Z$29&lt;=AI975),связи1!AG975,0)</f>
        <v>0</v>
      </c>
      <c r="AL975" s="2421">
        <f>IF(AND(дома!$AA$29&gt;=AJ975,дома!$AA$29&lt;=AI975),связи1!AG975,0)</f>
        <v>0</v>
      </c>
    </row>
    <row r="976" spans="33:38">
      <c r="AG976" s="2421">
        <v>80.700000000000102</v>
      </c>
      <c r="AH976" s="2715">
        <f t="shared" si="90"/>
        <v>1.408480706359384</v>
      </c>
      <c r="AI976" s="2715">
        <f t="shared" si="91"/>
        <v>1.408980706359384</v>
      </c>
      <c r="AJ976" s="2715">
        <f t="shared" si="92"/>
        <v>1.4079807063593841</v>
      </c>
      <c r="AK976" s="2421">
        <f>IF(AND(дома!$Z$29&gt;=AJ976,дома!$Z$29&lt;=AI976),связи1!AG976,0)</f>
        <v>0</v>
      </c>
      <c r="AL976" s="2421">
        <f>IF(AND(дома!$AA$29&gt;=AJ976,дома!$AA$29&lt;=AI976),связи1!AG976,0)</f>
        <v>0</v>
      </c>
    </row>
    <row r="977" spans="33:38">
      <c r="AG977" s="2421">
        <v>80.800000000000097</v>
      </c>
      <c r="AH977" s="2715">
        <f t="shared" si="90"/>
        <v>1.410226035611378</v>
      </c>
      <c r="AI977" s="2715">
        <f t="shared" si="91"/>
        <v>1.410726035611378</v>
      </c>
      <c r="AJ977" s="2715">
        <f t="shared" si="92"/>
        <v>1.4097260356113781</v>
      </c>
      <c r="AK977" s="2421">
        <f>IF(AND(дома!$Z$29&gt;=AJ977,дома!$Z$29&lt;=AI977),связи1!AG977,0)</f>
        <v>0</v>
      </c>
      <c r="AL977" s="2421">
        <f>IF(AND(дома!$AA$29&gt;=AJ977,дома!$AA$29&lt;=AI977),связи1!AG977,0)</f>
        <v>0</v>
      </c>
    </row>
    <row r="978" spans="33:38">
      <c r="AG978" s="2421">
        <v>80.900000000000105</v>
      </c>
      <c r="AH978" s="2715">
        <f t="shared" si="90"/>
        <v>1.4119713648633725</v>
      </c>
      <c r="AI978" s="2715">
        <f t="shared" si="91"/>
        <v>1.4124713648633724</v>
      </c>
      <c r="AJ978" s="2715">
        <f t="shared" si="92"/>
        <v>1.4114713648633725</v>
      </c>
      <c r="AK978" s="2421">
        <f>IF(AND(дома!$Z$29&gt;=AJ978,дома!$Z$29&lt;=AI978),связи1!AG978,0)</f>
        <v>0</v>
      </c>
      <c r="AL978" s="2421">
        <f>IF(AND(дома!$AA$29&gt;=AJ978,дома!$AA$29&lt;=AI978),связи1!AG978,0)</f>
        <v>0</v>
      </c>
    </row>
    <row r="979" spans="33:38">
      <c r="AG979" s="2421">
        <v>81.000000000000099</v>
      </c>
      <c r="AH979" s="2715">
        <f t="shared" si="90"/>
        <v>1.4137166941153667</v>
      </c>
      <c r="AI979" s="2715">
        <f t="shared" si="91"/>
        <v>1.4142166941153667</v>
      </c>
      <c r="AJ979" s="2715">
        <f t="shared" si="92"/>
        <v>1.4132166941153668</v>
      </c>
      <c r="AK979" s="2421">
        <f>IF(AND(дома!$Z$29&gt;=AJ979,дома!$Z$29&lt;=AI979),связи1!AG979,0)</f>
        <v>0</v>
      </c>
      <c r="AL979" s="2421">
        <f>IF(AND(дома!$AA$29&gt;=AJ979,дома!$AA$29&lt;=AI979),связи1!AG979,0)</f>
        <v>0</v>
      </c>
    </row>
    <row r="980" spans="33:38">
      <c r="AG980" s="2421">
        <v>81.100000000000094</v>
      </c>
      <c r="AH980" s="2715">
        <f t="shared" si="90"/>
        <v>1.4154620233673609</v>
      </c>
      <c r="AI980" s="2715">
        <f t="shared" si="91"/>
        <v>1.4159620233673609</v>
      </c>
      <c r="AJ980" s="2715">
        <f t="shared" si="92"/>
        <v>1.414962023367361</v>
      </c>
      <c r="AK980" s="2421">
        <f>IF(AND(дома!$Z$29&gt;=AJ980,дома!$Z$29&lt;=AI980),связи1!AG980,0)</f>
        <v>0</v>
      </c>
      <c r="AL980" s="2421">
        <f>IF(AND(дома!$AA$29&gt;=AJ980,дома!$AA$29&lt;=AI980),связи1!AG980,0)</f>
        <v>0</v>
      </c>
    </row>
    <row r="981" spans="33:38">
      <c r="AG981" s="2421">
        <v>81.200000000000102</v>
      </c>
      <c r="AH981" s="2715">
        <f t="shared" si="90"/>
        <v>1.4172073526193552</v>
      </c>
      <c r="AI981" s="2715">
        <f t="shared" si="91"/>
        <v>1.4177073526193551</v>
      </c>
      <c r="AJ981" s="2715">
        <f t="shared" si="92"/>
        <v>1.4167073526193552</v>
      </c>
      <c r="AK981" s="2421">
        <f>IF(AND(дома!$Z$29&gt;=AJ981,дома!$Z$29&lt;=AI981),связи1!AG981,0)</f>
        <v>0</v>
      </c>
      <c r="AL981" s="2421">
        <f>IF(AND(дома!$AA$29&gt;=AJ981,дома!$AA$29&lt;=AI981),связи1!AG981,0)</f>
        <v>0</v>
      </c>
    </row>
    <row r="982" spans="33:38">
      <c r="AG982" s="2421">
        <v>81.300000000000097</v>
      </c>
      <c r="AH982" s="2715">
        <f t="shared" si="90"/>
        <v>1.4189526818713496</v>
      </c>
      <c r="AI982" s="2715">
        <f t="shared" si="91"/>
        <v>1.4194526818713495</v>
      </c>
      <c r="AJ982" s="2715">
        <f t="shared" si="92"/>
        <v>1.4184526818713497</v>
      </c>
      <c r="AK982" s="2421">
        <f>IF(AND(дома!$Z$29&gt;=AJ982,дома!$Z$29&lt;=AI982),связи1!AG982,0)</f>
        <v>0</v>
      </c>
      <c r="AL982" s="2421">
        <f>IF(AND(дома!$AA$29&gt;=AJ982,дома!$AA$29&lt;=AI982),связи1!AG982,0)</f>
        <v>0</v>
      </c>
    </row>
    <row r="983" spans="33:38">
      <c r="AG983" s="2421">
        <v>81.400000000000105</v>
      </c>
      <c r="AH983" s="2715">
        <f t="shared" si="90"/>
        <v>1.420698011123344</v>
      </c>
      <c r="AI983" s="2715">
        <f t="shared" si="91"/>
        <v>1.421198011123344</v>
      </c>
      <c r="AJ983" s="2715">
        <f t="shared" si="92"/>
        <v>1.4201980111233441</v>
      </c>
      <c r="AK983" s="2421">
        <f>IF(AND(дома!$Z$29&gt;=AJ983,дома!$Z$29&lt;=AI983),связи1!AG983,0)</f>
        <v>0</v>
      </c>
      <c r="AL983" s="2421">
        <f>IF(AND(дома!$AA$29&gt;=AJ983,дома!$AA$29&lt;=AI983),связи1!AG983,0)</f>
        <v>0</v>
      </c>
    </row>
    <row r="984" spans="33:38">
      <c r="AG984" s="2421">
        <v>81.500000000000099</v>
      </c>
      <c r="AH984" s="2715">
        <f t="shared" si="90"/>
        <v>1.422443340375338</v>
      </c>
      <c r="AI984" s="2715">
        <f t="shared" si="91"/>
        <v>1.422943340375338</v>
      </c>
      <c r="AJ984" s="2715">
        <f t="shared" si="92"/>
        <v>1.4219433403753381</v>
      </c>
      <c r="AK984" s="2421">
        <f>IF(AND(дома!$Z$29&gt;=AJ984,дома!$Z$29&lt;=AI984),связи1!AG984,0)</f>
        <v>0</v>
      </c>
      <c r="AL984" s="2421">
        <f>IF(AND(дома!$AA$29&gt;=AJ984,дома!$AA$29&lt;=AI984),связи1!AG984,0)</f>
        <v>0</v>
      </c>
    </row>
    <row r="985" spans="33:38">
      <c r="AG985" s="2421">
        <v>81.600000000000094</v>
      </c>
      <c r="AH985" s="2715">
        <f t="shared" si="90"/>
        <v>1.4241886696273323</v>
      </c>
      <c r="AI985" s="2715">
        <f t="shared" si="91"/>
        <v>1.4246886696273322</v>
      </c>
      <c r="AJ985" s="2715">
        <f t="shared" si="92"/>
        <v>1.4236886696273323</v>
      </c>
      <c r="AK985" s="2421">
        <f>IF(AND(дома!$Z$29&gt;=AJ985,дома!$Z$29&lt;=AI985),связи1!AG985,0)</f>
        <v>0</v>
      </c>
      <c r="AL985" s="2421">
        <f>IF(AND(дома!$AA$29&gt;=AJ985,дома!$AA$29&lt;=AI985),связи1!AG985,0)</f>
        <v>0</v>
      </c>
    </row>
    <row r="986" spans="33:38">
      <c r="AG986" s="2421">
        <v>81.700000000000102</v>
      </c>
      <c r="AH986" s="2715">
        <f t="shared" si="90"/>
        <v>1.4259339988793265</v>
      </c>
      <c r="AI986" s="2715">
        <f t="shared" si="91"/>
        <v>1.4264339988793264</v>
      </c>
      <c r="AJ986" s="2715">
        <f t="shared" si="92"/>
        <v>1.4254339988793265</v>
      </c>
      <c r="AK986" s="2421">
        <f>IF(AND(дома!$Z$29&gt;=AJ986,дома!$Z$29&lt;=AI986),связи1!AG986,0)</f>
        <v>0</v>
      </c>
      <c r="AL986" s="2421">
        <f>IF(AND(дома!$AA$29&gt;=AJ986,дома!$AA$29&lt;=AI986),связи1!AG986,0)</f>
        <v>0</v>
      </c>
    </row>
    <row r="987" spans="33:38">
      <c r="AG987" s="2421">
        <v>81.800000000000097</v>
      </c>
      <c r="AH987" s="2715">
        <f t="shared" si="90"/>
        <v>1.4276793281313209</v>
      </c>
      <c r="AI987" s="2715">
        <f t="shared" si="91"/>
        <v>1.4281793281313209</v>
      </c>
      <c r="AJ987" s="2715">
        <f t="shared" si="92"/>
        <v>1.427179328131321</v>
      </c>
      <c r="AK987" s="2421">
        <f>IF(AND(дома!$Z$29&gt;=AJ987,дома!$Z$29&lt;=AI987),связи1!AG987,0)</f>
        <v>0</v>
      </c>
      <c r="AL987" s="2421">
        <f>IF(AND(дома!$AA$29&gt;=AJ987,дома!$AA$29&lt;=AI987),связи1!AG987,0)</f>
        <v>0</v>
      </c>
    </row>
    <row r="988" spans="33:38">
      <c r="AG988" s="2421">
        <v>81.900000000000105</v>
      </c>
      <c r="AH988" s="2715">
        <f t="shared" si="90"/>
        <v>1.4294246573833154</v>
      </c>
      <c r="AI988" s="2715">
        <f t="shared" si="91"/>
        <v>1.4299246573833153</v>
      </c>
      <c r="AJ988" s="2715">
        <f t="shared" si="92"/>
        <v>1.4289246573833154</v>
      </c>
      <c r="AK988" s="2421">
        <f>IF(AND(дома!$Z$29&gt;=AJ988,дома!$Z$29&lt;=AI988),связи1!AG988,0)</f>
        <v>0</v>
      </c>
      <c r="AL988" s="2421">
        <f>IF(AND(дома!$AA$29&gt;=AJ988,дома!$AA$29&lt;=AI988),связи1!AG988,0)</f>
        <v>0</v>
      </c>
    </row>
    <row r="989" spans="33:38">
      <c r="AG989" s="2421">
        <v>82.000000000000099</v>
      </c>
      <c r="AH989" s="2715">
        <f t="shared" si="90"/>
        <v>1.4311699866353094</v>
      </c>
      <c r="AI989" s="2715">
        <f t="shared" si="91"/>
        <v>1.4316699866353093</v>
      </c>
      <c r="AJ989" s="2715">
        <f t="shared" si="92"/>
        <v>1.4306699866353094</v>
      </c>
      <c r="AK989" s="2421">
        <f>IF(AND(дома!$Z$29&gt;=AJ989,дома!$Z$29&lt;=AI989),связи1!AG989,0)</f>
        <v>0</v>
      </c>
      <c r="AL989" s="2421">
        <f>IF(AND(дома!$AA$29&gt;=AJ989,дома!$AA$29&lt;=AI989),связи1!AG989,0)</f>
        <v>0</v>
      </c>
    </row>
    <row r="990" spans="33:38">
      <c r="AG990" s="2421">
        <v>82.100000000000094</v>
      </c>
      <c r="AH990" s="2715">
        <f t="shared" si="90"/>
        <v>1.4329153158873036</v>
      </c>
      <c r="AI990" s="2715">
        <f t="shared" si="91"/>
        <v>1.4334153158873035</v>
      </c>
      <c r="AJ990" s="2715">
        <f t="shared" si="92"/>
        <v>1.4324153158873036</v>
      </c>
      <c r="AK990" s="2421">
        <f>IF(AND(дома!$Z$29&gt;=AJ990,дома!$Z$29&lt;=AI990),связи1!AG990,0)</f>
        <v>0</v>
      </c>
      <c r="AL990" s="2421">
        <f>IF(AND(дома!$AA$29&gt;=AJ990,дома!$AA$29&lt;=AI990),связи1!AG990,0)</f>
        <v>0</v>
      </c>
    </row>
    <row r="991" spans="33:38">
      <c r="AG991" s="2421">
        <v>82.200000000000102</v>
      </c>
      <c r="AH991" s="2715">
        <f t="shared" si="90"/>
        <v>1.4346606451392983</v>
      </c>
      <c r="AI991" s="2715">
        <f t="shared" si="91"/>
        <v>1.4351606451392982</v>
      </c>
      <c r="AJ991" s="2715">
        <f t="shared" si="92"/>
        <v>1.4341606451392983</v>
      </c>
      <c r="AK991" s="2421">
        <f>IF(AND(дома!$Z$29&gt;=AJ991,дома!$Z$29&lt;=AI991),связи1!AG991,0)</f>
        <v>0</v>
      </c>
      <c r="AL991" s="2421">
        <f>IF(AND(дома!$AA$29&gt;=AJ991,дома!$AA$29&lt;=AI991),связи1!AG991,0)</f>
        <v>0</v>
      </c>
    </row>
    <row r="992" spans="33:38">
      <c r="AG992" s="2421">
        <v>82.300000000000097</v>
      </c>
      <c r="AH992" s="2715">
        <f t="shared" si="90"/>
        <v>1.436405974391292</v>
      </c>
      <c r="AI992" s="2715">
        <f t="shared" si="91"/>
        <v>1.436905974391292</v>
      </c>
      <c r="AJ992" s="2715">
        <f t="shared" si="92"/>
        <v>1.4359059743912921</v>
      </c>
      <c r="AK992" s="2421">
        <f>IF(AND(дома!$Z$29&gt;=AJ992,дома!$Z$29&lt;=AI992),связи1!AG992,0)</f>
        <v>0</v>
      </c>
      <c r="AL992" s="2421">
        <f>IF(AND(дома!$AA$29&gt;=AJ992,дома!$AA$29&lt;=AI992),связи1!AG992,0)</f>
        <v>0</v>
      </c>
    </row>
    <row r="993" spans="33:38">
      <c r="AG993" s="2421">
        <v>82.400000000000105</v>
      </c>
      <c r="AH993" s="2715">
        <f t="shared" si="90"/>
        <v>1.4381513036432867</v>
      </c>
      <c r="AI993" s="2715">
        <f t="shared" si="91"/>
        <v>1.4386513036432866</v>
      </c>
      <c r="AJ993" s="2715">
        <f t="shared" si="92"/>
        <v>1.4376513036432867</v>
      </c>
      <c r="AK993" s="2421">
        <f>IF(AND(дома!$Z$29&gt;=AJ993,дома!$Z$29&lt;=AI993),связи1!AG993,0)</f>
        <v>0</v>
      </c>
      <c r="AL993" s="2421">
        <f>IF(AND(дома!$AA$29&gt;=AJ993,дома!$AA$29&lt;=AI993),связи1!AG993,0)</f>
        <v>0</v>
      </c>
    </row>
    <row r="994" spans="33:38">
      <c r="AG994" s="2421">
        <v>82.500000000000099</v>
      </c>
      <c r="AH994" s="2715">
        <f t="shared" si="90"/>
        <v>1.4398966328952809</v>
      </c>
      <c r="AI994" s="2715">
        <f t="shared" si="91"/>
        <v>1.4403966328952809</v>
      </c>
      <c r="AJ994" s="2715">
        <f t="shared" si="92"/>
        <v>1.439396632895281</v>
      </c>
      <c r="AK994" s="2421">
        <f>IF(AND(дома!$Z$29&gt;=AJ994,дома!$Z$29&lt;=AI994),связи1!AG994,0)</f>
        <v>0</v>
      </c>
      <c r="AL994" s="2421">
        <f>IF(AND(дома!$AA$29&gt;=AJ994,дома!$AA$29&lt;=AI994),связи1!AG994,0)</f>
        <v>0</v>
      </c>
    </row>
    <row r="995" spans="33:38">
      <c r="AG995" s="2421">
        <v>82.600000000000094</v>
      </c>
      <c r="AH995" s="2715">
        <f t="shared" si="90"/>
        <v>1.4416419621472749</v>
      </c>
      <c r="AI995" s="2715">
        <f t="shared" si="91"/>
        <v>1.4421419621472749</v>
      </c>
      <c r="AJ995" s="2715">
        <f t="shared" si="92"/>
        <v>1.441141962147275</v>
      </c>
      <c r="AK995" s="2421">
        <f>IF(AND(дома!$Z$29&gt;=AJ995,дома!$Z$29&lt;=AI995),связи1!AG995,0)</f>
        <v>0</v>
      </c>
      <c r="AL995" s="2421">
        <f>IF(AND(дома!$AA$29&gt;=AJ995,дома!$AA$29&lt;=AI995),связи1!AG995,0)</f>
        <v>0</v>
      </c>
    </row>
    <row r="996" spans="33:38">
      <c r="AG996" s="2421">
        <v>82.700000000000102</v>
      </c>
      <c r="AH996" s="2715">
        <f t="shared" si="90"/>
        <v>1.4433872913992696</v>
      </c>
      <c r="AI996" s="2715">
        <f t="shared" si="91"/>
        <v>1.4438872913992695</v>
      </c>
      <c r="AJ996" s="2715">
        <f t="shared" si="92"/>
        <v>1.4428872913992696</v>
      </c>
      <c r="AK996" s="2421">
        <f>IF(AND(дома!$Z$29&gt;=AJ996,дома!$Z$29&lt;=AI996),связи1!AG996,0)</f>
        <v>0</v>
      </c>
      <c r="AL996" s="2421">
        <f>IF(AND(дома!$AA$29&gt;=AJ996,дома!$AA$29&lt;=AI996),связи1!AG996,0)</f>
        <v>0</v>
      </c>
    </row>
    <row r="997" spans="33:38">
      <c r="AG997" s="2421">
        <v>82.800000000000097</v>
      </c>
      <c r="AH997" s="2715">
        <f t="shared" si="90"/>
        <v>1.4451326206512638</v>
      </c>
      <c r="AI997" s="2715">
        <f t="shared" si="91"/>
        <v>1.4456326206512637</v>
      </c>
      <c r="AJ997" s="2715">
        <f t="shared" si="92"/>
        <v>1.4446326206512639</v>
      </c>
      <c r="AK997" s="2421">
        <f>IF(AND(дома!$Z$29&gt;=AJ997,дома!$Z$29&lt;=AI997),связи1!AG997,0)</f>
        <v>0</v>
      </c>
      <c r="AL997" s="2421">
        <f>IF(AND(дома!$AA$29&gt;=AJ997,дома!$AA$29&lt;=AI997),связи1!AG997,0)</f>
        <v>0</v>
      </c>
    </row>
    <row r="998" spans="33:38">
      <c r="AG998" s="2421">
        <v>82.900000000000105</v>
      </c>
      <c r="AH998" s="2715">
        <f t="shared" si="90"/>
        <v>1.446877949903258</v>
      </c>
      <c r="AI998" s="2715">
        <f t="shared" si="91"/>
        <v>1.447377949903258</v>
      </c>
      <c r="AJ998" s="2715">
        <f t="shared" si="92"/>
        <v>1.4463779499032581</v>
      </c>
      <c r="AK998" s="2421">
        <f>IF(AND(дома!$Z$29&gt;=AJ998,дома!$Z$29&lt;=AI998),связи1!AG998,0)</f>
        <v>0</v>
      </c>
      <c r="AL998" s="2421">
        <f>IF(AND(дома!$AA$29&gt;=AJ998,дома!$AA$29&lt;=AI998),связи1!AG998,0)</f>
        <v>0</v>
      </c>
    </row>
    <row r="999" spans="33:38">
      <c r="AG999" s="2421">
        <v>83.000000000000099</v>
      </c>
      <c r="AH999" s="2715">
        <f t="shared" si="90"/>
        <v>1.4486232791552522</v>
      </c>
      <c r="AI999" s="2715">
        <f t="shared" si="91"/>
        <v>1.4491232791552522</v>
      </c>
      <c r="AJ999" s="2715">
        <f t="shared" si="92"/>
        <v>1.4481232791552523</v>
      </c>
      <c r="AK999" s="2421">
        <f>IF(AND(дома!$Z$29&gt;=AJ999,дома!$Z$29&lt;=AI999),связи1!AG999,0)</f>
        <v>0</v>
      </c>
      <c r="AL999" s="2421">
        <f>IF(AND(дома!$AA$29&gt;=AJ999,дома!$AA$29&lt;=AI999),связи1!AG999,0)</f>
        <v>0</v>
      </c>
    </row>
    <row r="1000" spans="33:38">
      <c r="AG1000" s="2421">
        <v>83.100000000000094</v>
      </c>
      <c r="AH1000" s="2715">
        <f t="shared" si="90"/>
        <v>1.4503686084072465</v>
      </c>
      <c r="AI1000" s="2715">
        <f t="shared" si="91"/>
        <v>1.4508686084072464</v>
      </c>
      <c r="AJ1000" s="2715">
        <f t="shared" si="92"/>
        <v>1.4498686084072465</v>
      </c>
      <c r="AK1000" s="2421">
        <f>IF(AND(дома!$Z$29&gt;=AJ1000,дома!$Z$29&lt;=AI1000),связи1!AG1000,0)</f>
        <v>0</v>
      </c>
      <c r="AL1000" s="2421">
        <f>IF(AND(дома!$AA$29&gt;=AJ1000,дома!$AA$29&lt;=AI1000),связи1!AG1000,0)</f>
        <v>0</v>
      </c>
    </row>
    <row r="1001" spans="33:38">
      <c r="AG1001" s="2421">
        <v>83.200000000000102</v>
      </c>
      <c r="AH1001" s="2715">
        <f t="shared" si="90"/>
        <v>1.4521139376592407</v>
      </c>
      <c r="AI1001" s="2715">
        <f t="shared" si="91"/>
        <v>1.4526139376592406</v>
      </c>
      <c r="AJ1001" s="2715">
        <f t="shared" si="92"/>
        <v>1.4516139376592407</v>
      </c>
      <c r="AK1001" s="2421">
        <f>IF(AND(дома!$Z$29&gt;=AJ1001,дома!$Z$29&lt;=AI1001),связи1!AG1001,0)</f>
        <v>0</v>
      </c>
      <c r="AL1001" s="2421">
        <f>IF(AND(дома!$AA$29&gt;=AJ1001,дома!$AA$29&lt;=AI1001),связи1!AG1001,0)</f>
        <v>0</v>
      </c>
    </row>
    <row r="1002" spans="33:38">
      <c r="AG1002" s="2421">
        <v>83.300000000000097</v>
      </c>
      <c r="AH1002" s="2715">
        <f t="shared" si="90"/>
        <v>1.4538592669112351</v>
      </c>
      <c r="AI1002" s="2715">
        <f t="shared" si="91"/>
        <v>1.4543592669112351</v>
      </c>
      <c r="AJ1002" s="2715">
        <f t="shared" si="92"/>
        <v>1.4533592669112352</v>
      </c>
      <c r="AK1002" s="2421">
        <f>IF(AND(дома!$Z$29&gt;=AJ1002,дома!$Z$29&lt;=AI1002),связи1!AG1002,0)</f>
        <v>0</v>
      </c>
      <c r="AL1002" s="2421">
        <f>IF(AND(дома!$AA$29&gt;=AJ1002,дома!$AA$29&lt;=AI1002),связи1!AG1002,0)</f>
        <v>0</v>
      </c>
    </row>
    <row r="1003" spans="33:38">
      <c r="AG1003" s="2421">
        <v>83.400000000000105</v>
      </c>
      <c r="AH1003" s="2715">
        <f t="shared" si="90"/>
        <v>1.4556045961632293</v>
      </c>
      <c r="AI1003" s="2715">
        <f t="shared" si="91"/>
        <v>1.4561045961632293</v>
      </c>
      <c r="AJ1003" s="2715">
        <f t="shared" si="92"/>
        <v>1.4551045961632294</v>
      </c>
      <c r="AK1003" s="2421">
        <f>IF(AND(дома!$Z$29&gt;=AJ1003,дома!$Z$29&lt;=AI1003),связи1!AG1003,0)</f>
        <v>0</v>
      </c>
      <c r="AL1003" s="2421">
        <f>IF(AND(дома!$AA$29&gt;=AJ1003,дома!$AA$29&lt;=AI1003),связи1!AG1003,0)</f>
        <v>0</v>
      </c>
    </row>
    <row r="1004" spans="33:38">
      <c r="AG1004" s="2421">
        <v>83.500000000000099</v>
      </c>
      <c r="AH1004" s="2715">
        <f t="shared" si="90"/>
        <v>1.4573499254152236</v>
      </c>
      <c r="AI1004" s="2715">
        <f t="shared" si="91"/>
        <v>1.4578499254152235</v>
      </c>
      <c r="AJ1004" s="2715">
        <f t="shared" si="92"/>
        <v>1.4568499254152236</v>
      </c>
      <c r="AK1004" s="2421">
        <f>IF(AND(дома!$Z$29&gt;=AJ1004,дома!$Z$29&lt;=AI1004),связи1!AG1004,0)</f>
        <v>0</v>
      </c>
      <c r="AL1004" s="2421">
        <f>IF(AND(дома!$AA$29&gt;=AJ1004,дома!$AA$29&lt;=AI1004),связи1!AG1004,0)</f>
        <v>0</v>
      </c>
    </row>
    <row r="1005" spans="33:38">
      <c r="AG1005" s="2421">
        <v>83.600000000000094</v>
      </c>
      <c r="AH1005" s="2715">
        <f t="shared" si="90"/>
        <v>1.4590952546672178</v>
      </c>
      <c r="AI1005" s="2715">
        <f t="shared" si="91"/>
        <v>1.4595952546672177</v>
      </c>
      <c r="AJ1005" s="2715">
        <f t="shared" si="92"/>
        <v>1.4585952546672178</v>
      </c>
      <c r="AK1005" s="2421">
        <f>IF(AND(дома!$Z$29&gt;=AJ1005,дома!$Z$29&lt;=AI1005),связи1!AG1005,0)</f>
        <v>0</v>
      </c>
      <c r="AL1005" s="2421">
        <f>IF(AND(дома!$AA$29&gt;=AJ1005,дома!$AA$29&lt;=AI1005),связи1!AG1005,0)</f>
        <v>0</v>
      </c>
    </row>
    <row r="1006" spans="33:38">
      <c r="AG1006" s="2421">
        <v>83.700000000000102</v>
      </c>
      <c r="AH1006" s="2715">
        <f t="shared" si="90"/>
        <v>1.460840583919212</v>
      </c>
      <c r="AI1006" s="2715">
        <f t="shared" si="91"/>
        <v>1.461340583919212</v>
      </c>
      <c r="AJ1006" s="2715">
        <f t="shared" si="92"/>
        <v>1.4603405839192121</v>
      </c>
      <c r="AK1006" s="2421">
        <f>IF(AND(дома!$Z$29&gt;=AJ1006,дома!$Z$29&lt;=AI1006),связи1!AG1006,0)</f>
        <v>0</v>
      </c>
      <c r="AL1006" s="2421">
        <f>IF(AND(дома!$AA$29&gt;=AJ1006,дома!$AA$29&lt;=AI1006),связи1!AG1006,0)</f>
        <v>0</v>
      </c>
    </row>
    <row r="1007" spans="33:38">
      <c r="AG1007" s="2421">
        <v>83.800000000000097</v>
      </c>
      <c r="AH1007" s="2715">
        <f t="shared" si="90"/>
        <v>1.4625859131712065</v>
      </c>
      <c r="AI1007" s="2715">
        <f t="shared" si="91"/>
        <v>1.4630859131712064</v>
      </c>
      <c r="AJ1007" s="2715">
        <f t="shared" si="92"/>
        <v>1.4620859131712065</v>
      </c>
      <c r="AK1007" s="2421">
        <f>IF(AND(дома!$Z$29&gt;=AJ1007,дома!$Z$29&lt;=AI1007),связи1!AG1007,0)</f>
        <v>0</v>
      </c>
      <c r="AL1007" s="2421">
        <f>IF(AND(дома!$AA$29&gt;=AJ1007,дома!$AA$29&lt;=AI1007),связи1!AG1007,0)</f>
        <v>0</v>
      </c>
    </row>
    <row r="1008" spans="33:38">
      <c r="AG1008" s="2421">
        <v>83.900000000000105</v>
      </c>
      <c r="AH1008" s="2715">
        <f t="shared" si="90"/>
        <v>1.4643312424232009</v>
      </c>
      <c r="AI1008" s="2715">
        <f t="shared" si="91"/>
        <v>1.4648312424232008</v>
      </c>
      <c r="AJ1008" s="2715">
        <f t="shared" si="92"/>
        <v>1.463831242423201</v>
      </c>
      <c r="AK1008" s="2421">
        <f>IF(AND(дома!$Z$29&gt;=AJ1008,дома!$Z$29&lt;=AI1008),связи1!AG1008,0)</f>
        <v>0</v>
      </c>
      <c r="AL1008" s="2421">
        <f>IF(AND(дома!$AA$29&gt;=AJ1008,дома!$AA$29&lt;=AI1008),связи1!AG1008,0)</f>
        <v>0</v>
      </c>
    </row>
    <row r="1009" spans="33:38">
      <c r="AG1009" s="2421">
        <v>84.000000000000099</v>
      </c>
      <c r="AH1009" s="2715">
        <f t="shared" si="90"/>
        <v>1.4660765716751949</v>
      </c>
      <c r="AI1009" s="2715">
        <f t="shared" si="91"/>
        <v>1.4665765716751948</v>
      </c>
      <c r="AJ1009" s="2715">
        <f t="shared" si="92"/>
        <v>1.465576571675195</v>
      </c>
      <c r="AK1009" s="2421">
        <f>IF(AND(дома!$Z$29&gt;=AJ1009,дома!$Z$29&lt;=AI1009),связи1!AG1009,0)</f>
        <v>0</v>
      </c>
      <c r="AL1009" s="2421">
        <f>IF(AND(дома!$AA$29&gt;=AJ1009,дома!$AA$29&lt;=AI1009),связи1!AG1009,0)</f>
        <v>0</v>
      </c>
    </row>
    <row r="1010" spans="33:38">
      <c r="AG1010" s="2421">
        <v>84.100000000000094</v>
      </c>
      <c r="AH1010" s="2715">
        <f t="shared" si="90"/>
        <v>1.4678219009271891</v>
      </c>
      <c r="AI1010" s="2715">
        <f t="shared" si="91"/>
        <v>1.4683219009271891</v>
      </c>
      <c r="AJ1010" s="2715">
        <f t="shared" si="92"/>
        <v>1.4673219009271892</v>
      </c>
      <c r="AK1010" s="2421">
        <f>IF(AND(дома!$Z$29&gt;=AJ1010,дома!$Z$29&lt;=AI1010),связи1!AG1010,0)</f>
        <v>0</v>
      </c>
      <c r="AL1010" s="2421">
        <f>IF(AND(дома!$AA$29&gt;=AJ1010,дома!$AA$29&lt;=AI1010),связи1!AG1010,0)</f>
        <v>0</v>
      </c>
    </row>
    <row r="1011" spans="33:38">
      <c r="AG1011" s="2421">
        <v>84.200000000000102</v>
      </c>
      <c r="AH1011" s="2715">
        <f t="shared" si="90"/>
        <v>1.4695672301791838</v>
      </c>
      <c r="AI1011" s="2715">
        <f t="shared" si="91"/>
        <v>1.4700672301791837</v>
      </c>
      <c r="AJ1011" s="2715">
        <f t="shared" si="92"/>
        <v>1.4690672301791838</v>
      </c>
      <c r="AK1011" s="2421">
        <f>IF(AND(дома!$Z$29&gt;=AJ1011,дома!$Z$29&lt;=AI1011),связи1!AG1011,0)</f>
        <v>0</v>
      </c>
      <c r="AL1011" s="2421">
        <f>IF(AND(дома!$AA$29&gt;=AJ1011,дома!$AA$29&lt;=AI1011),связи1!AG1011,0)</f>
        <v>0</v>
      </c>
    </row>
    <row r="1012" spans="33:38">
      <c r="AG1012" s="2421">
        <v>84.300000000000097</v>
      </c>
      <c r="AH1012" s="2715">
        <f t="shared" si="90"/>
        <v>1.4713125594311776</v>
      </c>
      <c r="AI1012" s="2715">
        <f t="shared" si="91"/>
        <v>1.4718125594311775</v>
      </c>
      <c r="AJ1012" s="2715">
        <f t="shared" si="92"/>
        <v>1.4708125594311776</v>
      </c>
      <c r="AK1012" s="2421">
        <f>IF(AND(дома!$Z$29&gt;=AJ1012,дома!$Z$29&lt;=AI1012),связи1!AG1012,0)</f>
        <v>0</v>
      </c>
      <c r="AL1012" s="2421">
        <f>IF(AND(дома!$AA$29&gt;=AJ1012,дома!$AA$29&lt;=AI1012),связи1!AG1012,0)</f>
        <v>0</v>
      </c>
    </row>
    <row r="1013" spans="33:38">
      <c r="AG1013" s="2421">
        <v>84.400000000000105</v>
      </c>
      <c r="AH1013" s="2715">
        <f t="shared" si="90"/>
        <v>1.4730578886831722</v>
      </c>
      <c r="AI1013" s="2715">
        <f t="shared" si="91"/>
        <v>1.4735578886831722</v>
      </c>
      <c r="AJ1013" s="2715">
        <f t="shared" si="92"/>
        <v>1.4725578886831723</v>
      </c>
      <c r="AK1013" s="2421">
        <f>IF(AND(дома!$Z$29&gt;=AJ1013,дома!$Z$29&lt;=AI1013),связи1!AG1013,0)</f>
        <v>0</v>
      </c>
      <c r="AL1013" s="2421">
        <f>IF(AND(дома!$AA$29&gt;=AJ1013,дома!$AA$29&lt;=AI1013),связи1!AG1013,0)</f>
        <v>0</v>
      </c>
    </row>
    <row r="1014" spans="33:38">
      <c r="AG1014" s="2421">
        <v>84.500000000000099</v>
      </c>
      <c r="AH1014" s="2715">
        <f t="shared" si="90"/>
        <v>1.4748032179351664</v>
      </c>
      <c r="AI1014" s="2715">
        <f t="shared" si="91"/>
        <v>1.4753032179351664</v>
      </c>
      <c r="AJ1014" s="2715">
        <f t="shared" si="92"/>
        <v>1.4743032179351665</v>
      </c>
      <c r="AK1014" s="2421">
        <f>IF(AND(дома!$Z$29&gt;=AJ1014,дома!$Z$29&lt;=AI1014),связи1!AG1014,0)</f>
        <v>0</v>
      </c>
      <c r="AL1014" s="2421">
        <f>IF(AND(дома!$AA$29&gt;=AJ1014,дома!$AA$29&lt;=AI1014),связи1!AG1014,0)</f>
        <v>0</v>
      </c>
    </row>
    <row r="1015" spans="33:38">
      <c r="AG1015" s="2421">
        <v>84.600000000000094</v>
      </c>
      <c r="AH1015" s="2715">
        <f t="shared" si="90"/>
        <v>1.4765485471871604</v>
      </c>
      <c r="AI1015" s="2715">
        <f t="shared" si="91"/>
        <v>1.4770485471871604</v>
      </c>
      <c r="AJ1015" s="2715">
        <f t="shared" si="92"/>
        <v>1.4760485471871605</v>
      </c>
      <c r="AK1015" s="2421">
        <f>IF(AND(дома!$Z$29&gt;=AJ1015,дома!$Z$29&lt;=AI1015),связи1!AG1015,0)</f>
        <v>0</v>
      </c>
      <c r="AL1015" s="2421">
        <f>IF(AND(дома!$AA$29&gt;=AJ1015,дома!$AA$29&lt;=AI1015),связи1!AG1015,0)</f>
        <v>0</v>
      </c>
    </row>
    <row r="1016" spans="33:38">
      <c r="AG1016" s="2421">
        <v>84.700000000000102</v>
      </c>
      <c r="AH1016" s="2715">
        <f t="shared" si="90"/>
        <v>1.4782938764391551</v>
      </c>
      <c r="AI1016" s="2715">
        <f t="shared" si="91"/>
        <v>1.4787938764391551</v>
      </c>
      <c r="AJ1016" s="2715">
        <f t="shared" si="92"/>
        <v>1.4777938764391552</v>
      </c>
      <c r="AK1016" s="2421">
        <f>IF(AND(дома!$Z$29&gt;=AJ1016,дома!$Z$29&lt;=AI1016),связи1!AG1016,0)</f>
        <v>0</v>
      </c>
      <c r="AL1016" s="2421">
        <f>IF(AND(дома!$AA$29&gt;=AJ1016,дома!$AA$29&lt;=AI1016),связи1!AG1016,0)</f>
        <v>0</v>
      </c>
    </row>
    <row r="1017" spans="33:38">
      <c r="AG1017" s="2421">
        <v>84.800000000000097</v>
      </c>
      <c r="AH1017" s="2715">
        <f t="shared" si="90"/>
        <v>1.4800392056911493</v>
      </c>
      <c r="AI1017" s="2715">
        <f t="shared" si="91"/>
        <v>1.4805392056911493</v>
      </c>
      <c r="AJ1017" s="2715">
        <f t="shared" si="92"/>
        <v>1.4795392056911494</v>
      </c>
      <c r="AK1017" s="2421">
        <f>IF(AND(дома!$Z$29&gt;=AJ1017,дома!$Z$29&lt;=AI1017),связи1!AG1017,0)</f>
        <v>0</v>
      </c>
      <c r="AL1017" s="2421">
        <f>IF(AND(дома!$AA$29&gt;=AJ1017,дома!$AA$29&lt;=AI1017),связи1!AG1017,0)</f>
        <v>0</v>
      </c>
    </row>
    <row r="1018" spans="33:38">
      <c r="AG1018" s="2421">
        <v>84.900000000000105</v>
      </c>
      <c r="AH1018" s="2715">
        <f t="shared" si="90"/>
        <v>1.4817845349431435</v>
      </c>
      <c r="AI1018" s="2715">
        <f t="shared" si="91"/>
        <v>1.4822845349431435</v>
      </c>
      <c r="AJ1018" s="2715">
        <f t="shared" si="92"/>
        <v>1.4812845349431436</v>
      </c>
      <c r="AK1018" s="2421">
        <f>IF(AND(дома!$Z$29&gt;=AJ1018,дома!$Z$29&lt;=AI1018),связи1!AG1018,0)</f>
        <v>0</v>
      </c>
      <c r="AL1018" s="2421">
        <f>IF(AND(дома!$AA$29&gt;=AJ1018,дома!$AA$29&lt;=AI1018),связи1!AG1018,0)</f>
        <v>0</v>
      </c>
    </row>
    <row r="1019" spans="33:38">
      <c r="AG1019" s="2421">
        <v>85.000000000000099</v>
      </c>
      <c r="AH1019" s="2715">
        <f t="shared" si="90"/>
        <v>1.4835298641951378</v>
      </c>
      <c r="AI1019" s="2715">
        <f t="shared" si="91"/>
        <v>1.4840298641951377</v>
      </c>
      <c r="AJ1019" s="2715">
        <f t="shared" si="92"/>
        <v>1.4830298641951378</v>
      </c>
      <c r="AK1019" s="2421">
        <f>IF(AND(дома!$Z$29&gt;=AJ1019,дома!$Z$29&lt;=AI1019),связи1!AG1019,0)</f>
        <v>0</v>
      </c>
      <c r="AL1019" s="2421">
        <f>IF(AND(дома!$AA$29&gt;=AJ1019,дома!$AA$29&lt;=AI1019),связи1!AG1019,0)</f>
        <v>0</v>
      </c>
    </row>
    <row r="1020" spans="33:38">
      <c r="AG1020" s="2421">
        <v>85.100000000000094</v>
      </c>
      <c r="AH1020" s="2715">
        <f t="shared" si="90"/>
        <v>1.485275193447132</v>
      </c>
      <c r="AI1020" s="2715">
        <f t="shared" si="91"/>
        <v>1.4857751934471319</v>
      </c>
      <c r="AJ1020" s="2715">
        <f t="shared" si="92"/>
        <v>1.484775193447132</v>
      </c>
      <c r="AK1020" s="2421">
        <f>IF(AND(дома!$Z$29&gt;=AJ1020,дома!$Z$29&lt;=AI1020),связи1!AG1020,0)</f>
        <v>0</v>
      </c>
      <c r="AL1020" s="2421">
        <f>IF(AND(дома!$AA$29&gt;=AJ1020,дома!$AA$29&lt;=AI1020),связи1!AG1020,0)</f>
        <v>0</v>
      </c>
    </row>
    <row r="1021" spans="33:38">
      <c r="AG1021" s="2421">
        <v>85.200000000000102</v>
      </c>
      <c r="AH1021" s="2715">
        <f t="shared" si="90"/>
        <v>1.4870205226991262</v>
      </c>
      <c r="AI1021" s="2715">
        <f t="shared" si="91"/>
        <v>1.4875205226991262</v>
      </c>
      <c r="AJ1021" s="2715">
        <f t="shared" si="92"/>
        <v>1.4865205226991263</v>
      </c>
      <c r="AK1021" s="2421">
        <f>IF(AND(дома!$Z$29&gt;=AJ1021,дома!$Z$29&lt;=AI1021),связи1!AG1021,0)</f>
        <v>0</v>
      </c>
      <c r="AL1021" s="2421">
        <f>IF(AND(дома!$AA$29&gt;=AJ1021,дома!$AA$29&lt;=AI1021),связи1!AG1021,0)</f>
        <v>0</v>
      </c>
    </row>
    <row r="1022" spans="33:38">
      <c r="AG1022" s="2421">
        <v>85.300000000000097</v>
      </c>
      <c r="AH1022" s="2715">
        <f t="shared" si="90"/>
        <v>1.4887658519511207</v>
      </c>
      <c r="AI1022" s="2715">
        <f t="shared" si="91"/>
        <v>1.4892658519511206</v>
      </c>
      <c r="AJ1022" s="2715">
        <f t="shared" si="92"/>
        <v>1.4882658519511207</v>
      </c>
      <c r="AK1022" s="2421">
        <f>IF(AND(дома!$Z$29&gt;=AJ1022,дома!$Z$29&lt;=AI1022),связи1!AG1022,0)</f>
        <v>0</v>
      </c>
      <c r="AL1022" s="2421">
        <f>IF(AND(дома!$AA$29&gt;=AJ1022,дома!$AA$29&lt;=AI1022),связи1!AG1022,0)</f>
        <v>0</v>
      </c>
    </row>
    <row r="1023" spans="33:38">
      <c r="AG1023" s="2421">
        <v>85.400000000000105</v>
      </c>
      <c r="AH1023" s="2715">
        <f t="shared" si="90"/>
        <v>1.4905111812031151</v>
      </c>
      <c r="AI1023" s="2715">
        <f t="shared" si="91"/>
        <v>1.491011181203115</v>
      </c>
      <c r="AJ1023" s="2715">
        <f t="shared" si="92"/>
        <v>1.4900111812031152</v>
      </c>
      <c r="AK1023" s="2421">
        <f>IF(AND(дома!$Z$29&gt;=AJ1023,дома!$Z$29&lt;=AI1023),связи1!AG1023,0)</f>
        <v>0</v>
      </c>
      <c r="AL1023" s="2421">
        <f>IF(AND(дома!$AA$29&gt;=AJ1023,дома!$AA$29&lt;=AI1023),связи1!AG1023,0)</f>
        <v>0</v>
      </c>
    </row>
    <row r="1024" spans="33:38">
      <c r="AG1024" s="2421">
        <v>85.500000000000099</v>
      </c>
      <c r="AH1024" s="2715">
        <f t="shared" si="90"/>
        <v>1.4922565104551091</v>
      </c>
      <c r="AI1024" s="2715">
        <f t="shared" si="91"/>
        <v>1.492756510455109</v>
      </c>
      <c r="AJ1024" s="2715">
        <f t="shared" si="92"/>
        <v>1.4917565104551092</v>
      </c>
      <c r="AK1024" s="2421">
        <f>IF(AND(дома!$Z$29&gt;=AJ1024,дома!$Z$29&lt;=AI1024),связи1!AG1024,0)</f>
        <v>0</v>
      </c>
      <c r="AL1024" s="2421">
        <f>IF(AND(дома!$AA$29&gt;=AJ1024,дома!$AA$29&lt;=AI1024),связи1!AG1024,0)</f>
        <v>0</v>
      </c>
    </row>
    <row r="1025" spans="33:38">
      <c r="AG1025" s="2421">
        <v>85.600000000000094</v>
      </c>
      <c r="AH1025" s="2715">
        <f t="shared" si="90"/>
        <v>1.4940018397071033</v>
      </c>
      <c r="AI1025" s="2715">
        <f t="shared" si="91"/>
        <v>1.4945018397071033</v>
      </c>
      <c r="AJ1025" s="2715">
        <f t="shared" si="92"/>
        <v>1.4935018397071034</v>
      </c>
      <c r="AK1025" s="2421">
        <f>IF(AND(дома!$Z$29&gt;=AJ1025,дома!$Z$29&lt;=AI1025),связи1!AG1025,0)</f>
        <v>0</v>
      </c>
      <c r="AL1025" s="2421">
        <f>IF(AND(дома!$AA$29&gt;=AJ1025,дома!$AA$29&lt;=AI1025),связи1!AG1025,0)</f>
        <v>0</v>
      </c>
    </row>
    <row r="1026" spans="33:38">
      <c r="AG1026" s="2421">
        <v>85.700000000000102</v>
      </c>
      <c r="AH1026" s="2715">
        <f t="shared" si="90"/>
        <v>1.495747168959098</v>
      </c>
      <c r="AI1026" s="2715">
        <f t="shared" si="91"/>
        <v>1.4962471689590979</v>
      </c>
      <c r="AJ1026" s="2715">
        <f t="shared" si="92"/>
        <v>1.495247168959098</v>
      </c>
      <c r="AK1026" s="2421">
        <f>IF(AND(дома!$Z$29&gt;=AJ1026,дома!$Z$29&lt;=AI1026),связи1!AG1026,0)</f>
        <v>0</v>
      </c>
      <c r="AL1026" s="2421">
        <f>IF(AND(дома!$AA$29&gt;=AJ1026,дома!$AA$29&lt;=AI1026),связи1!AG1026,0)</f>
        <v>0</v>
      </c>
    </row>
    <row r="1027" spans="33:38">
      <c r="AG1027" s="2421">
        <v>85.800000000000097</v>
      </c>
      <c r="AH1027" s="2715">
        <f t="shared" si="90"/>
        <v>1.4974924982110918</v>
      </c>
      <c r="AI1027" s="2715">
        <f t="shared" si="91"/>
        <v>1.4979924982110917</v>
      </c>
      <c r="AJ1027" s="2715">
        <f t="shared" si="92"/>
        <v>1.4969924982110918</v>
      </c>
      <c r="AK1027" s="2421">
        <f>IF(AND(дома!$Z$29&gt;=AJ1027,дома!$Z$29&lt;=AI1027),связи1!AG1027,0)</f>
        <v>0</v>
      </c>
      <c r="AL1027" s="2421">
        <f>IF(AND(дома!$AA$29&gt;=AJ1027,дома!$AA$29&lt;=AI1027),связи1!AG1027,0)</f>
        <v>0</v>
      </c>
    </row>
    <row r="1028" spans="33:38">
      <c r="AG1028" s="2421">
        <v>85.900000000000105</v>
      </c>
      <c r="AH1028" s="2715">
        <f t="shared" si="90"/>
        <v>1.4992378274630864</v>
      </c>
      <c r="AI1028" s="2715">
        <f t="shared" si="91"/>
        <v>1.4997378274630864</v>
      </c>
      <c r="AJ1028" s="2715">
        <f t="shared" si="92"/>
        <v>1.4987378274630865</v>
      </c>
      <c r="AK1028" s="2421">
        <f>IF(AND(дома!$Z$29&gt;=AJ1028,дома!$Z$29&lt;=AI1028),связи1!AG1028,0)</f>
        <v>0</v>
      </c>
      <c r="AL1028" s="2421">
        <f>IF(AND(дома!$AA$29&gt;=AJ1028,дома!$AA$29&lt;=AI1028),связи1!AG1028,0)</f>
        <v>0</v>
      </c>
    </row>
    <row r="1029" spans="33:38">
      <c r="AG1029" s="2421">
        <v>86.000000000000099</v>
      </c>
      <c r="AH1029" s="2715">
        <f t="shared" si="90"/>
        <v>1.5009831567150806</v>
      </c>
      <c r="AI1029" s="2715">
        <f t="shared" si="91"/>
        <v>1.5014831567150806</v>
      </c>
      <c r="AJ1029" s="2715">
        <f t="shared" si="92"/>
        <v>1.5004831567150807</v>
      </c>
      <c r="AK1029" s="2421">
        <f>IF(AND(дома!$Z$29&gt;=AJ1029,дома!$Z$29&lt;=AI1029),связи1!AG1029,0)</f>
        <v>0</v>
      </c>
      <c r="AL1029" s="2421">
        <f>IF(AND(дома!$AA$29&gt;=AJ1029,дома!$AA$29&lt;=AI1029),связи1!AG1029,0)</f>
        <v>0</v>
      </c>
    </row>
    <row r="1030" spans="33:38">
      <c r="AG1030" s="2421">
        <v>86.100000000000094</v>
      </c>
      <c r="AH1030" s="2715">
        <f t="shared" si="90"/>
        <v>1.5027284859670746</v>
      </c>
      <c r="AI1030" s="2715">
        <f t="shared" si="91"/>
        <v>1.5032284859670746</v>
      </c>
      <c r="AJ1030" s="2715">
        <f t="shared" si="92"/>
        <v>1.5022284859670747</v>
      </c>
      <c r="AK1030" s="2421">
        <f>IF(AND(дома!$Z$29&gt;=AJ1030,дома!$Z$29&lt;=AI1030),связи1!AG1030,0)</f>
        <v>0</v>
      </c>
      <c r="AL1030" s="2421">
        <f>IF(AND(дома!$AA$29&gt;=AJ1030,дома!$AA$29&lt;=AI1030),связи1!AG1030,0)</f>
        <v>0</v>
      </c>
    </row>
    <row r="1031" spans="33:38">
      <c r="AG1031" s="2421">
        <v>86.200000000000102</v>
      </c>
      <c r="AH1031" s="2715">
        <f t="shared" si="90"/>
        <v>1.5044738152190693</v>
      </c>
      <c r="AI1031" s="2715">
        <f t="shared" si="91"/>
        <v>1.5049738152190693</v>
      </c>
      <c r="AJ1031" s="2715">
        <f t="shared" si="92"/>
        <v>1.5039738152190694</v>
      </c>
      <c r="AK1031" s="2421">
        <f>IF(AND(дома!$Z$29&gt;=AJ1031,дома!$Z$29&lt;=AI1031),связи1!AG1031,0)</f>
        <v>0</v>
      </c>
      <c r="AL1031" s="2421">
        <f>IF(AND(дома!$AA$29&gt;=AJ1031,дома!$AA$29&lt;=AI1031),связи1!AG1031,0)</f>
        <v>0</v>
      </c>
    </row>
    <row r="1032" spans="33:38">
      <c r="AG1032" s="2421">
        <v>86.300000000000097</v>
      </c>
      <c r="AH1032" s="2715">
        <f t="shared" ref="AH1032:AH1095" si="93">AG1032*3.1415926535897/180</f>
        <v>1.5062191444710635</v>
      </c>
      <c r="AI1032" s="2715">
        <f t="shared" ref="AI1032:AI1095" si="94">AH1032+0.0005</f>
        <v>1.5067191444710635</v>
      </c>
      <c r="AJ1032" s="2715">
        <f t="shared" ref="AJ1032:AJ1069" si="95">AH1032-0.0005</f>
        <v>1.5057191444710636</v>
      </c>
      <c r="AK1032" s="2421">
        <f>IF(AND(дома!$Z$29&gt;=AJ1032,дома!$Z$29&lt;=AI1032),связи1!AG1032,0)</f>
        <v>0</v>
      </c>
      <c r="AL1032" s="2421">
        <f>IF(AND(дома!$AA$29&gt;=AJ1032,дома!$AA$29&lt;=AI1032),связи1!AG1032,0)</f>
        <v>0</v>
      </c>
    </row>
    <row r="1033" spans="33:38">
      <c r="AG1033" s="2421">
        <v>86.400000000000105</v>
      </c>
      <c r="AH1033" s="2715">
        <f t="shared" si="93"/>
        <v>1.5079644737230578</v>
      </c>
      <c r="AI1033" s="2715">
        <f t="shared" si="94"/>
        <v>1.5084644737230577</v>
      </c>
      <c r="AJ1033" s="2715">
        <f t="shared" si="95"/>
        <v>1.5074644737230578</v>
      </c>
      <c r="AK1033" s="2421">
        <f>IF(AND(дома!$Z$29&gt;=AJ1033,дома!$Z$29&lt;=AI1033),связи1!AG1033,0)</f>
        <v>0</v>
      </c>
      <c r="AL1033" s="2421">
        <f>IF(AND(дома!$AA$29&gt;=AJ1033,дома!$AA$29&lt;=AI1033),связи1!AG1033,0)</f>
        <v>0</v>
      </c>
    </row>
    <row r="1034" spans="33:38">
      <c r="AG1034" s="2421">
        <v>86.500000000000099</v>
      </c>
      <c r="AH1034" s="2715">
        <f t="shared" si="93"/>
        <v>1.509709802975052</v>
      </c>
      <c r="AI1034" s="2715">
        <f t="shared" si="94"/>
        <v>1.5102098029750519</v>
      </c>
      <c r="AJ1034" s="2715">
        <f t="shared" si="95"/>
        <v>1.509209802975052</v>
      </c>
      <c r="AK1034" s="2421">
        <f>IF(AND(дома!$Z$29&gt;=AJ1034,дома!$Z$29&lt;=AI1034),связи1!AG1034,0)</f>
        <v>0</v>
      </c>
      <c r="AL1034" s="2421">
        <f>IF(AND(дома!$AA$29&gt;=AJ1034,дома!$AA$29&lt;=AI1034),связи1!AG1034,0)</f>
        <v>0</v>
      </c>
    </row>
    <row r="1035" spans="33:38">
      <c r="AG1035" s="2421">
        <v>86.600000000000094</v>
      </c>
      <c r="AH1035" s="2715">
        <f t="shared" si="93"/>
        <v>1.5114551322270462</v>
      </c>
      <c r="AI1035" s="2715">
        <f t="shared" si="94"/>
        <v>1.5119551322270461</v>
      </c>
      <c r="AJ1035" s="2715">
        <f t="shared" si="95"/>
        <v>1.5109551322270462</v>
      </c>
      <c r="AK1035" s="2421">
        <f>IF(AND(дома!$Z$29&gt;=AJ1035,дома!$Z$29&lt;=AI1035),связи1!AG1035,0)</f>
        <v>0</v>
      </c>
      <c r="AL1035" s="2421">
        <f>IF(AND(дома!$AA$29&gt;=AJ1035,дома!$AA$29&lt;=AI1035),связи1!AG1035,0)</f>
        <v>0</v>
      </c>
    </row>
    <row r="1036" spans="33:38">
      <c r="AG1036" s="2421">
        <v>86.700000000000102</v>
      </c>
      <c r="AH1036" s="2715">
        <f t="shared" si="93"/>
        <v>1.5132004614790406</v>
      </c>
      <c r="AI1036" s="2715">
        <f t="shared" si="94"/>
        <v>1.5137004614790406</v>
      </c>
      <c r="AJ1036" s="2715">
        <f t="shared" si="95"/>
        <v>1.5127004614790407</v>
      </c>
      <c r="AK1036" s="2421">
        <f>IF(AND(дома!$Z$29&gt;=AJ1036,дома!$Z$29&lt;=AI1036),связи1!AG1036,0)</f>
        <v>0</v>
      </c>
      <c r="AL1036" s="2421">
        <f>IF(AND(дома!$AA$29&gt;=AJ1036,дома!$AA$29&lt;=AI1036),связи1!AG1036,0)</f>
        <v>0</v>
      </c>
    </row>
    <row r="1037" spans="33:38">
      <c r="AG1037" s="2421">
        <v>86.800000000000097</v>
      </c>
      <c r="AH1037" s="2715">
        <f t="shared" si="93"/>
        <v>1.5149457907310349</v>
      </c>
      <c r="AI1037" s="2715">
        <f t="shared" si="94"/>
        <v>1.5154457907310348</v>
      </c>
      <c r="AJ1037" s="2715">
        <f t="shared" si="95"/>
        <v>1.5144457907310349</v>
      </c>
      <c r="AK1037" s="2421">
        <f>IF(AND(дома!$Z$29&gt;=AJ1037,дома!$Z$29&lt;=AI1037),связи1!AG1037,0)</f>
        <v>0</v>
      </c>
      <c r="AL1037" s="2421">
        <f>IF(AND(дома!$AA$29&gt;=AJ1037,дома!$AA$29&lt;=AI1037),связи1!AG1037,0)</f>
        <v>0</v>
      </c>
    </row>
    <row r="1038" spans="33:38">
      <c r="AG1038" s="2421">
        <v>86.900000000000105</v>
      </c>
      <c r="AH1038" s="2715">
        <f t="shared" si="93"/>
        <v>1.5166911199830291</v>
      </c>
      <c r="AI1038" s="2715">
        <f t="shared" si="94"/>
        <v>1.517191119983029</v>
      </c>
      <c r="AJ1038" s="2715">
        <f t="shared" si="95"/>
        <v>1.5161911199830291</v>
      </c>
      <c r="AK1038" s="2421">
        <f>IF(AND(дома!$Z$29&gt;=AJ1038,дома!$Z$29&lt;=AI1038),связи1!AG1038,0)</f>
        <v>0</v>
      </c>
      <c r="AL1038" s="2421">
        <f>IF(AND(дома!$AA$29&gt;=AJ1038,дома!$AA$29&lt;=AI1038),связи1!AG1038,0)</f>
        <v>0</v>
      </c>
    </row>
    <row r="1039" spans="33:38">
      <c r="AG1039" s="2421">
        <v>87.000000000000099</v>
      </c>
      <c r="AH1039" s="2715">
        <f t="shared" si="93"/>
        <v>1.5184364492350233</v>
      </c>
      <c r="AI1039" s="2715">
        <f t="shared" si="94"/>
        <v>1.5189364492350232</v>
      </c>
      <c r="AJ1039" s="2715">
        <f t="shared" si="95"/>
        <v>1.5179364492350234</v>
      </c>
      <c r="AK1039" s="2421">
        <f>IF(AND(дома!$Z$29&gt;=AJ1039,дома!$Z$29&lt;=AI1039),связи1!AG1039,0)</f>
        <v>0</v>
      </c>
      <c r="AL1039" s="2421">
        <f>IF(AND(дома!$AA$29&gt;=AJ1039,дома!$AA$29&lt;=AI1039),связи1!AG1039,0)</f>
        <v>0</v>
      </c>
    </row>
    <row r="1040" spans="33:38">
      <c r="AG1040" s="2421">
        <v>87.100000000000094</v>
      </c>
      <c r="AH1040" s="2715">
        <f t="shared" si="93"/>
        <v>1.5201817784870175</v>
      </c>
      <c r="AI1040" s="2715">
        <f t="shared" si="94"/>
        <v>1.5206817784870175</v>
      </c>
      <c r="AJ1040" s="2715">
        <f t="shared" si="95"/>
        <v>1.5196817784870176</v>
      </c>
      <c r="AK1040" s="2421">
        <f>IF(AND(дома!$Z$29&gt;=AJ1040,дома!$Z$29&lt;=AI1040),связи1!AG1040,0)</f>
        <v>0</v>
      </c>
      <c r="AL1040" s="2421">
        <f>IF(AND(дома!$AA$29&gt;=AJ1040,дома!$AA$29&lt;=AI1040),связи1!AG1040,0)</f>
        <v>0</v>
      </c>
    </row>
    <row r="1041" spans="33:38">
      <c r="AG1041" s="2421">
        <v>87.200000000000102</v>
      </c>
      <c r="AH1041" s="2715">
        <f t="shared" si="93"/>
        <v>1.5219271077390117</v>
      </c>
      <c r="AI1041" s="2715">
        <f t="shared" si="94"/>
        <v>1.5224271077390117</v>
      </c>
      <c r="AJ1041" s="2715">
        <f t="shared" si="95"/>
        <v>1.5214271077390118</v>
      </c>
      <c r="AK1041" s="2421">
        <f>IF(AND(дома!$Z$29&gt;=AJ1041,дома!$Z$29&lt;=AI1041),связи1!AG1041,0)</f>
        <v>0</v>
      </c>
      <c r="AL1041" s="2421">
        <f>IF(AND(дома!$AA$29&gt;=AJ1041,дома!$AA$29&lt;=AI1041),связи1!AG1041,0)</f>
        <v>0</v>
      </c>
    </row>
    <row r="1042" spans="33:38">
      <c r="AG1042" s="2421">
        <v>87.300000000000097</v>
      </c>
      <c r="AH1042" s="2715">
        <f t="shared" si="93"/>
        <v>1.5236724369910062</v>
      </c>
      <c r="AI1042" s="2715">
        <f t="shared" si="94"/>
        <v>1.5241724369910061</v>
      </c>
      <c r="AJ1042" s="2715">
        <f t="shared" si="95"/>
        <v>1.5231724369910062</v>
      </c>
      <c r="AK1042" s="2421">
        <f>IF(AND(дома!$Z$29&gt;=AJ1042,дома!$Z$29&lt;=AI1042),связи1!AG1042,0)</f>
        <v>0</v>
      </c>
      <c r="AL1042" s="2421">
        <f>IF(AND(дома!$AA$29&gt;=AJ1042,дома!$AA$29&lt;=AI1042),связи1!AG1042,0)</f>
        <v>0</v>
      </c>
    </row>
    <row r="1043" spans="33:38">
      <c r="AG1043" s="2421">
        <v>87.400000000000105</v>
      </c>
      <c r="AH1043" s="2715">
        <f t="shared" si="93"/>
        <v>1.5254177662430006</v>
      </c>
      <c r="AI1043" s="2715">
        <f t="shared" si="94"/>
        <v>1.5259177662430006</v>
      </c>
      <c r="AJ1043" s="2715">
        <f t="shared" si="95"/>
        <v>1.5249177662430007</v>
      </c>
      <c r="AK1043" s="2421">
        <f>IF(AND(дома!$Z$29&gt;=AJ1043,дома!$Z$29&lt;=AI1043),связи1!AG1043,0)</f>
        <v>0</v>
      </c>
      <c r="AL1043" s="2421">
        <f>IF(AND(дома!$AA$29&gt;=AJ1043,дома!$AA$29&lt;=AI1043),связи1!AG1043,0)</f>
        <v>0</v>
      </c>
    </row>
    <row r="1044" spans="33:38">
      <c r="AG1044" s="2421">
        <v>87.500000000000099</v>
      </c>
      <c r="AH1044" s="2715">
        <f t="shared" si="93"/>
        <v>1.5271630954949946</v>
      </c>
      <c r="AI1044" s="2715">
        <f t="shared" si="94"/>
        <v>1.5276630954949946</v>
      </c>
      <c r="AJ1044" s="2715">
        <f t="shared" si="95"/>
        <v>1.5266630954949947</v>
      </c>
      <c r="AK1044" s="2421">
        <f>IF(AND(дома!$Z$29&gt;=AJ1044,дома!$Z$29&lt;=AI1044),связи1!AG1044,0)</f>
        <v>0</v>
      </c>
      <c r="AL1044" s="2421">
        <f>IF(AND(дома!$AA$29&gt;=AJ1044,дома!$AA$29&lt;=AI1044),связи1!AG1044,0)</f>
        <v>0</v>
      </c>
    </row>
    <row r="1045" spans="33:38">
      <c r="AG1045" s="2421">
        <v>87.600000000000094</v>
      </c>
      <c r="AH1045" s="2715">
        <f t="shared" si="93"/>
        <v>1.5289084247469888</v>
      </c>
      <c r="AI1045" s="2715">
        <f t="shared" si="94"/>
        <v>1.5294084247469888</v>
      </c>
      <c r="AJ1045" s="2715">
        <f t="shared" si="95"/>
        <v>1.5284084247469889</v>
      </c>
      <c r="AK1045" s="2421">
        <f>IF(AND(дома!$Z$29&gt;=AJ1045,дома!$Z$29&lt;=AI1045),связи1!AG1045,0)</f>
        <v>0</v>
      </c>
      <c r="AL1045" s="2421">
        <f>IF(AND(дома!$AA$29&gt;=AJ1045,дома!$AA$29&lt;=AI1045),связи1!AG1045,0)</f>
        <v>0</v>
      </c>
    </row>
    <row r="1046" spans="33:38">
      <c r="AG1046" s="2421">
        <v>87.700000000000102</v>
      </c>
      <c r="AH1046" s="2715">
        <f t="shared" si="93"/>
        <v>1.5306537539989835</v>
      </c>
      <c r="AI1046" s="2715">
        <f t="shared" si="94"/>
        <v>1.5311537539989835</v>
      </c>
      <c r="AJ1046" s="2715">
        <f t="shared" si="95"/>
        <v>1.5301537539989836</v>
      </c>
      <c r="AK1046" s="2421">
        <f>IF(AND(дома!$Z$29&gt;=AJ1046,дома!$Z$29&lt;=AI1046),связи1!AG1046,0)</f>
        <v>0</v>
      </c>
      <c r="AL1046" s="2421">
        <f>IF(AND(дома!$AA$29&gt;=AJ1046,дома!$AA$29&lt;=AI1046),связи1!AG1046,0)</f>
        <v>0</v>
      </c>
    </row>
    <row r="1047" spans="33:38">
      <c r="AG1047" s="2421">
        <v>87.800000000000097</v>
      </c>
      <c r="AH1047" s="2715">
        <f t="shared" si="93"/>
        <v>1.5323990832509773</v>
      </c>
      <c r="AI1047" s="2715">
        <f t="shared" si="94"/>
        <v>1.5328990832509772</v>
      </c>
      <c r="AJ1047" s="2715">
        <f t="shared" si="95"/>
        <v>1.5318990832509773</v>
      </c>
      <c r="AK1047" s="2421">
        <f>IF(AND(дома!$Z$29&gt;=AJ1047,дома!$Z$29&lt;=AI1047),связи1!AG1047,0)</f>
        <v>0</v>
      </c>
      <c r="AL1047" s="2421">
        <f>IF(AND(дома!$AA$29&gt;=AJ1047,дома!$AA$29&lt;=AI1047),связи1!AG1047,0)</f>
        <v>0</v>
      </c>
    </row>
    <row r="1048" spans="33:38">
      <c r="AG1048" s="2421">
        <v>87.900000000000105</v>
      </c>
      <c r="AH1048" s="2715">
        <f t="shared" si="93"/>
        <v>1.534144412502972</v>
      </c>
      <c r="AI1048" s="2715">
        <f t="shared" si="94"/>
        <v>1.5346444125029719</v>
      </c>
      <c r="AJ1048" s="2715">
        <f t="shared" si="95"/>
        <v>1.533644412502972</v>
      </c>
      <c r="AK1048" s="2421">
        <f>IF(AND(дома!$Z$29&gt;=AJ1048,дома!$Z$29&lt;=AI1048),связи1!AG1048,0)</f>
        <v>0</v>
      </c>
      <c r="AL1048" s="2421">
        <f>IF(AND(дома!$AA$29&gt;=AJ1048,дома!$AA$29&lt;=AI1048),связи1!AG1048,0)</f>
        <v>0</v>
      </c>
    </row>
    <row r="1049" spans="33:38">
      <c r="AG1049" s="2421">
        <v>88.000000000000099</v>
      </c>
      <c r="AH1049" s="2715">
        <f t="shared" si="93"/>
        <v>1.5358897417549662</v>
      </c>
      <c r="AI1049" s="2715">
        <f t="shared" si="94"/>
        <v>1.5363897417549661</v>
      </c>
      <c r="AJ1049" s="2715">
        <f t="shared" si="95"/>
        <v>1.5353897417549662</v>
      </c>
      <c r="AK1049" s="2421">
        <f>IF(AND(дома!$Z$29&gt;=AJ1049,дома!$Z$29&lt;=AI1049),связи1!AG1049,0)</f>
        <v>0</v>
      </c>
      <c r="AL1049" s="2421">
        <f>IF(AND(дома!$AA$29&gt;=AJ1049,дома!$AA$29&lt;=AI1049),связи1!AG1049,0)</f>
        <v>0</v>
      </c>
    </row>
    <row r="1050" spans="33:38">
      <c r="AG1050" s="2421">
        <v>88.100000000000094</v>
      </c>
      <c r="AH1050" s="2715">
        <f t="shared" si="93"/>
        <v>1.5376350710069602</v>
      </c>
      <c r="AI1050" s="2715">
        <f t="shared" si="94"/>
        <v>1.5381350710069601</v>
      </c>
      <c r="AJ1050" s="2715">
        <f t="shared" si="95"/>
        <v>1.5371350710069602</v>
      </c>
      <c r="AK1050" s="2421">
        <f>IF(AND(дома!$Z$29&gt;=AJ1050,дома!$Z$29&lt;=AI1050),связи1!AG1050,0)</f>
        <v>0</v>
      </c>
      <c r="AL1050" s="2421">
        <f>IF(AND(дома!$AA$29&gt;=AJ1050,дома!$AA$29&lt;=AI1050),связи1!AG1050,0)</f>
        <v>0</v>
      </c>
    </row>
    <row r="1051" spans="33:38">
      <c r="AG1051" s="2421">
        <v>88.200000000000102</v>
      </c>
      <c r="AH1051" s="2715">
        <f t="shared" si="93"/>
        <v>1.5393804002589548</v>
      </c>
      <c r="AI1051" s="2715">
        <f t="shared" si="94"/>
        <v>1.5398804002589548</v>
      </c>
      <c r="AJ1051" s="2715">
        <f t="shared" si="95"/>
        <v>1.5388804002589549</v>
      </c>
      <c r="AK1051" s="2421">
        <f>IF(AND(дома!$Z$29&gt;=AJ1051,дома!$Z$29&lt;=AI1051),связи1!AG1051,0)</f>
        <v>0</v>
      </c>
      <c r="AL1051" s="2421">
        <f>IF(AND(дома!$AA$29&gt;=AJ1051,дома!$AA$29&lt;=AI1051),связи1!AG1051,0)</f>
        <v>0</v>
      </c>
    </row>
    <row r="1052" spans="33:38">
      <c r="AG1052" s="2421">
        <v>88.300000000000097</v>
      </c>
      <c r="AH1052" s="2715">
        <f t="shared" si="93"/>
        <v>1.5411257295109491</v>
      </c>
      <c r="AI1052" s="2715">
        <f t="shared" si="94"/>
        <v>1.541625729510949</v>
      </c>
      <c r="AJ1052" s="2715">
        <f t="shared" si="95"/>
        <v>1.5406257295109491</v>
      </c>
      <c r="AK1052" s="2421">
        <f>IF(AND(дома!$Z$29&gt;=AJ1052,дома!$Z$29&lt;=AI1052),связи1!AG1052,0)</f>
        <v>0</v>
      </c>
      <c r="AL1052" s="2421">
        <f>IF(AND(дома!$AA$29&gt;=AJ1052,дома!$AA$29&lt;=AI1052),связи1!AG1052,0)</f>
        <v>0</v>
      </c>
    </row>
    <row r="1053" spans="33:38">
      <c r="AG1053" s="2421">
        <v>88.400000000000105</v>
      </c>
      <c r="AH1053" s="2715">
        <f t="shared" si="93"/>
        <v>1.5428710587629433</v>
      </c>
      <c r="AI1053" s="2715">
        <f t="shared" si="94"/>
        <v>1.5433710587629432</v>
      </c>
      <c r="AJ1053" s="2715">
        <f t="shared" si="95"/>
        <v>1.5423710587629433</v>
      </c>
      <c r="AK1053" s="2421">
        <f>IF(AND(дома!$Z$29&gt;=AJ1053,дома!$Z$29&lt;=AI1053),связи1!AG1053,0)</f>
        <v>0</v>
      </c>
      <c r="AL1053" s="2421">
        <f>IF(AND(дома!$AA$29&gt;=AJ1053,дома!$AA$29&lt;=AI1053),связи1!AG1053,0)</f>
        <v>0</v>
      </c>
    </row>
    <row r="1054" spans="33:38">
      <c r="AG1054" s="2421">
        <v>88.500000000000099</v>
      </c>
      <c r="AH1054" s="2715">
        <f t="shared" si="93"/>
        <v>1.5446163880149375</v>
      </c>
      <c r="AI1054" s="2715">
        <f t="shared" si="94"/>
        <v>1.5451163880149374</v>
      </c>
      <c r="AJ1054" s="2715">
        <f t="shared" si="95"/>
        <v>1.5441163880149376</v>
      </c>
      <c r="AK1054" s="2421">
        <f>IF(AND(дома!$Z$29&gt;=AJ1054,дома!$Z$29&lt;=AI1054),связи1!AG1054,0)</f>
        <v>0</v>
      </c>
      <c r="AL1054" s="2421">
        <f>IF(AND(дома!$AA$29&gt;=AJ1054,дома!$AA$29&lt;=AI1054),связи1!AG1054,0)</f>
        <v>0</v>
      </c>
    </row>
    <row r="1055" spans="33:38">
      <c r="AG1055" s="2421">
        <v>88.600000000000094</v>
      </c>
      <c r="AH1055" s="2715">
        <f t="shared" si="93"/>
        <v>1.5463617172669317</v>
      </c>
      <c r="AI1055" s="2715">
        <f t="shared" si="94"/>
        <v>1.5468617172669317</v>
      </c>
      <c r="AJ1055" s="2715">
        <f t="shared" si="95"/>
        <v>1.5458617172669318</v>
      </c>
      <c r="AK1055" s="2421">
        <f>IF(AND(дома!$Z$29&gt;=AJ1055,дома!$Z$29&lt;=AI1055),связи1!AG1055,0)</f>
        <v>0</v>
      </c>
      <c r="AL1055" s="2421">
        <f>IF(AND(дома!$AA$29&gt;=AJ1055,дома!$AA$29&lt;=AI1055),связи1!AG1055,0)</f>
        <v>0</v>
      </c>
    </row>
    <row r="1056" spans="33:38">
      <c r="AG1056" s="2421">
        <v>88.700000000000102</v>
      </c>
      <c r="AH1056" s="2715">
        <f t="shared" si="93"/>
        <v>1.5481070465189259</v>
      </c>
      <c r="AI1056" s="2715">
        <f t="shared" si="94"/>
        <v>1.5486070465189259</v>
      </c>
      <c r="AJ1056" s="2715">
        <f t="shared" si="95"/>
        <v>1.547607046518926</v>
      </c>
      <c r="AK1056" s="2421">
        <f>IF(AND(дома!$Z$29&gt;=AJ1056,дома!$Z$29&lt;=AI1056),связи1!AG1056,0)</f>
        <v>0</v>
      </c>
      <c r="AL1056" s="2421">
        <f>IF(AND(дома!$AA$29&gt;=AJ1056,дома!$AA$29&lt;=AI1056),связи1!AG1056,0)</f>
        <v>0</v>
      </c>
    </row>
    <row r="1057" spans="33:38">
      <c r="AG1057" s="2421">
        <v>88.800000000000097</v>
      </c>
      <c r="AH1057" s="2715">
        <f t="shared" si="93"/>
        <v>1.5498523757709204</v>
      </c>
      <c r="AI1057" s="2715">
        <f t="shared" si="94"/>
        <v>1.5503523757709203</v>
      </c>
      <c r="AJ1057" s="2715">
        <f t="shared" si="95"/>
        <v>1.5493523757709204</v>
      </c>
      <c r="AK1057" s="2421">
        <f>IF(AND(дома!$Z$29&gt;=AJ1057,дома!$Z$29&lt;=AI1057),связи1!AG1057,0)</f>
        <v>0</v>
      </c>
      <c r="AL1057" s="2421">
        <f>IF(AND(дома!$AA$29&gt;=AJ1057,дома!$AA$29&lt;=AI1057),связи1!AG1057,0)</f>
        <v>0</v>
      </c>
    </row>
    <row r="1058" spans="33:38">
      <c r="AG1058" s="2421">
        <v>88.900000000000105</v>
      </c>
      <c r="AH1058" s="2715">
        <f t="shared" si="93"/>
        <v>1.5515977050229146</v>
      </c>
      <c r="AI1058" s="2715">
        <f t="shared" si="94"/>
        <v>1.5520977050229146</v>
      </c>
      <c r="AJ1058" s="2715">
        <f t="shared" si="95"/>
        <v>1.5510977050229147</v>
      </c>
      <c r="AK1058" s="2421">
        <f>IF(AND(дома!$Z$29&gt;=AJ1058,дома!$Z$29&lt;=AI1058),связи1!AG1058,0)</f>
        <v>0</v>
      </c>
      <c r="AL1058" s="2421">
        <f>IF(AND(дома!$AA$29&gt;=AJ1058,дома!$AA$29&lt;=AI1058),связи1!AG1058,0)</f>
        <v>0</v>
      </c>
    </row>
    <row r="1059" spans="33:38">
      <c r="AG1059" s="2421">
        <v>89.000000000000099</v>
      </c>
      <c r="AH1059" s="2715">
        <f t="shared" si="93"/>
        <v>1.5533430342749088</v>
      </c>
      <c r="AI1059" s="2715">
        <f t="shared" si="94"/>
        <v>1.5538430342749088</v>
      </c>
      <c r="AJ1059" s="2715">
        <f t="shared" si="95"/>
        <v>1.5528430342749089</v>
      </c>
      <c r="AK1059" s="2421">
        <f>IF(AND(дома!$Z$29&gt;=AJ1059,дома!$Z$29&lt;=AI1059),связи1!AG1059,0)</f>
        <v>0</v>
      </c>
      <c r="AL1059" s="2421">
        <f>IF(AND(дома!$AA$29&gt;=AJ1059,дома!$AA$29&lt;=AI1059),связи1!AG1059,0)</f>
        <v>0</v>
      </c>
    </row>
    <row r="1060" spans="33:38">
      <c r="AG1060" s="2421">
        <v>89.100000000000094</v>
      </c>
      <c r="AH1060" s="2715">
        <f t="shared" si="93"/>
        <v>1.5550883635269031</v>
      </c>
      <c r="AI1060" s="2715">
        <f t="shared" si="94"/>
        <v>1.555588363526903</v>
      </c>
      <c r="AJ1060" s="2715">
        <f t="shared" si="95"/>
        <v>1.5545883635269031</v>
      </c>
      <c r="AK1060" s="2421">
        <f>IF(AND(дома!$Z$29&gt;=AJ1060,дома!$Z$29&lt;=AI1060),связи1!AG1060,0)</f>
        <v>0</v>
      </c>
      <c r="AL1060" s="2421">
        <f>IF(AND(дома!$AA$29&gt;=AJ1060,дома!$AA$29&lt;=AI1060),связи1!AG1060,0)</f>
        <v>0</v>
      </c>
    </row>
    <row r="1061" spans="33:38">
      <c r="AG1061" s="2421">
        <v>89.200000000000102</v>
      </c>
      <c r="AH1061" s="2715">
        <f t="shared" si="93"/>
        <v>1.5568336927788973</v>
      </c>
      <c r="AI1061" s="2715">
        <f t="shared" si="94"/>
        <v>1.5573336927788972</v>
      </c>
      <c r="AJ1061" s="2715">
        <f t="shared" si="95"/>
        <v>1.5563336927788973</v>
      </c>
      <c r="AK1061" s="2421">
        <f>IF(AND(дома!$Z$29&gt;=AJ1061,дома!$Z$29&lt;=AI1061),связи1!AG1061,0)</f>
        <v>0</v>
      </c>
      <c r="AL1061" s="2421">
        <f>IF(AND(дома!$AA$29&gt;=AJ1061,дома!$AA$29&lt;=AI1061),связи1!AG1061,0)</f>
        <v>0</v>
      </c>
    </row>
    <row r="1062" spans="33:38">
      <c r="AG1062" s="2421">
        <v>89.300000000000097</v>
      </c>
      <c r="AH1062" s="2715">
        <f t="shared" si="93"/>
        <v>1.5585790220308917</v>
      </c>
      <c r="AI1062" s="2715">
        <f t="shared" si="94"/>
        <v>1.5590790220308917</v>
      </c>
      <c r="AJ1062" s="2715">
        <f t="shared" si="95"/>
        <v>1.5580790220308918</v>
      </c>
      <c r="AK1062" s="2421">
        <f>IF(AND(дома!$Z$29&gt;=AJ1062,дома!$Z$29&lt;=AI1062),связи1!AG1062,0)</f>
        <v>0</v>
      </c>
      <c r="AL1062" s="2421">
        <f>IF(AND(дома!$AA$29&gt;=AJ1062,дома!$AA$29&lt;=AI1062),связи1!AG1062,0)</f>
        <v>0</v>
      </c>
    </row>
    <row r="1063" spans="33:38">
      <c r="AG1063" s="2421">
        <v>89.400000000000105</v>
      </c>
      <c r="AH1063" s="2715">
        <f t="shared" si="93"/>
        <v>1.5603243512828862</v>
      </c>
      <c r="AI1063" s="2715">
        <f t="shared" si="94"/>
        <v>1.5608243512828861</v>
      </c>
      <c r="AJ1063" s="2715">
        <f t="shared" si="95"/>
        <v>1.5598243512828862</v>
      </c>
      <c r="AK1063" s="2421">
        <f>IF(AND(дома!$Z$29&gt;=AJ1063,дома!$Z$29&lt;=AI1063),связи1!AG1063,0)</f>
        <v>0</v>
      </c>
      <c r="AL1063" s="2421">
        <f>IF(AND(дома!$AA$29&gt;=AJ1063,дома!$AA$29&lt;=AI1063),связи1!AG1063,0)</f>
        <v>0</v>
      </c>
    </row>
    <row r="1064" spans="33:38">
      <c r="AG1064" s="2421">
        <v>89.500000000000099</v>
      </c>
      <c r="AH1064" s="2715">
        <f t="shared" si="93"/>
        <v>1.5620696805348802</v>
      </c>
      <c r="AI1064" s="2715">
        <f t="shared" si="94"/>
        <v>1.5625696805348801</v>
      </c>
      <c r="AJ1064" s="2715">
        <f t="shared" si="95"/>
        <v>1.5615696805348802</v>
      </c>
      <c r="AK1064" s="2421">
        <f>IF(AND(дома!$Z$29&gt;=AJ1064,дома!$Z$29&lt;=AI1064),связи1!AG1064,0)</f>
        <v>0</v>
      </c>
      <c r="AL1064" s="2421">
        <f>IF(AND(дома!$AA$29&gt;=AJ1064,дома!$AA$29&lt;=AI1064),связи1!AG1064,0)</f>
        <v>0</v>
      </c>
    </row>
    <row r="1065" spans="33:38">
      <c r="AG1065" s="2421">
        <v>89.600000000000094</v>
      </c>
      <c r="AH1065" s="2715">
        <f t="shared" si="93"/>
        <v>1.5638150097868744</v>
      </c>
      <c r="AI1065" s="2715">
        <f t="shared" si="94"/>
        <v>1.5643150097868743</v>
      </c>
      <c r="AJ1065" s="2715">
        <f t="shared" si="95"/>
        <v>1.5633150097868744</v>
      </c>
      <c r="AK1065" s="2421">
        <f>IF(AND(дома!$Z$29&gt;=AJ1065,дома!$Z$29&lt;=AI1065),связи1!AG1065,0)</f>
        <v>0</v>
      </c>
      <c r="AL1065" s="2421">
        <f>IF(AND(дома!$AA$29&gt;=AJ1065,дома!$AA$29&lt;=AI1065),связи1!AG1065,0)</f>
        <v>0</v>
      </c>
    </row>
    <row r="1066" spans="33:38">
      <c r="AG1066" s="2421">
        <v>89.700000000000102</v>
      </c>
      <c r="AH1066" s="2715">
        <f t="shared" si="93"/>
        <v>1.565560339038869</v>
      </c>
      <c r="AI1066" s="2715">
        <f t="shared" si="94"/>
        <v>1.566060339038869</v>
      </c>
      <c r="AJ1066" s="2715">
        <f t="shared" si="95"/>
        <v>1.5650603390388691</v>
      </c>
      <c r="AK1066" s="2421">
        <f>IF(AND(дома!$Z$29&gt;=AJ1066,дома!$Z$29&lt;=AI1066),связи1!AG1066,0)</f>
        <v>0</v>
      </c>
      <c r="AL1066" s="2421">
        <f>IF(AND(дома!$AA$29&gt;=AJ1066,дома!$AA$29&lt;=AI1066),связи1!AG1066,0)</f>
        <v>0</v>
      </c>
    </row>
    <row r="1067" spans="33:38">
      <c r="AG1067" s="2421">
        <v>89.800000000000097</v>
      </c>
      <c r="AH1067" s="2715">
        <f t="shared" si="93"/>
        <v>1.5673056682908628</v>
      </c>
      <c r="AI1067" s="2715">
        <f t="shared" si="94"/>
        <v>1.5678056682908628</v>
      </c>
      <c r="AJ1067" s="2715">
        <f t="shared" si="95"/>
        <v>1.5668056682908629</v>
      </c>
      <c r="AK1067" s="2421">
        <f>IF(AND(дома!$Z$29&gt;=AJ1067,дома!$Z$29&lt;=AI1067),связи1!AG1067,0)</f>
        <v>0</v>
      </c>
      <c r="AL1067" s="2421">
        <f>IF(AND(дома!$AA$29&gt;=AJ1067,дома!$AA$29&lt;=AI1067),связи1!AG1067,0)</f>
        <v>0</v>
      </c>
    </row>
    <row r="1068" spans="33:38">
      <c r="AG1068" s="2421">
        <v>89.900000000000105</v>
      </c>
      <c r="AH1068" s="2715">
        <f t="shared" si="93"/>
        <v>1.5690509975428575</v>
      </c>
      <c r="AI1068" s="2715">
        <f t="shared" si="94"/>
        <v>1.5695509975428574</v>
      </c>
      <c r="AJ1068" s="2715">
        <f t="shared" si="95"/>
        <v>1.5685509975428575</v>
      </c>
      <c r="AK1068" s="2421">
        <f>IF(AND(дома!$Z$29&gt;=AJ1068,дома!$Z$29&lt;=AI1068),связи1!AG1068,0)</f>
        <v>0</v>
      </c>
      <c r="AL1068" s="2421">
        <f>IF(AND(дома!$AA$29&gt;=AJ1068,дома!$AA$29&lt;=AI1068),связи1!AG1068,0)</f>
        <v>0</v>
      </c>
    </row>
    <row r="1069" spans="33:38">
      <c r="AG1069" s="2421">
        <v>90.000000000000099</v>
      </c>
      <c r="AH1069" s="2715">
        <f t="shared" si="93"/>
        <v>1.5707963267948517</v>
      </c>
      <c r="AI1069" s="2715">
        <f t="shared" si="94"/>
        <v>1.5712963267948516</v>
      </c>
      <c r="AJ1069" s="2715">
        <f t="shared" si="95"/>
        <v>1.5702963267948518</v>
      </c>
      <c r="AK1069" s="2421">
        <f>IF(AND(дома!$Z$29&gt;=AJ1069,дома!$Z$29&lt;=AI1069),связи1!AG1069,0)</f>
        <v>0</v>
      </c>
      <c r="AL1069" s="2421">
        <f>IF(AND(дома!$AA$29&gt;=AJ1069,дома!$AA$29&lt;=AI1069),связи1!AG1069,0)</f>
        <v>0</v>
      </c>
    </row>
  </sheetData>
  <mergeCells count="5">
    <mergeCell ref="N6:O6"/>
    <mergeCell ref="N11:O11"/>
    <mergeCell ref="B42:D42"/>
    <mergeCell ref="F146:H146"/>
    <mergeCell ref="I146:K146"/>
  </mergeCells>
  <dataValidations count="5">
    <dataValidation type="list" allowBlank="1" showInputMessage="1" showErrorMessage="1" sqref="N15" xr:uid="{00000000-0002-0000-0A00-000000000000}">
      <formula1>INDIRECT($A$21)</formula1>
      <formula2>0</formula2>
    </dataValidation>
    <dataValidation type="list" allowBlank="1" showInputMessage="1" showErrorMessage="1" sqref="N13" xr:uid="{00000000-0002-0000-0A00-000001000000}">
      <formula1>INDIRECT($A$19)</formula1>
      <formula2>0</formula2>
    </dataValidation>
    <dataValidation type="list" allowBlank="1" showInputMessage="1" showErrorMessage="1" sqref="N10" xr:uid="{00000000-0002-0000-0A00-000002000000}">
      <formula1>INDIRECT($A$16)</formula1>
      <formula2>0</formula2>
    </dataValidation>
    <dataValidation type="list" allowBlank="1" showInputMessage="1" showErrorMessage="1" sqref="N8" xr:uid="{00000000-0002-0000-0A00-000003000000}">
      <formula1>INDIRECT($A$14)</formula1>
      <formula2>0</formula2>
    </dataValidation>
    <dataValidation type="list" allowBlank="1" showInputMessage="1" showErrorMessage="1" sqref="N2 N4:N5 N7 N9 N12 N14" xr:uid="{00000000-0002-0000-0A00-000004000000}">
      <formula1>$I$305:$I$315</formula1>
      <formula2>0</formula2>
    </dataValidation>
  </dataValidations>
  <pageMargins left="0.7" right="0.7" top="0.75" bottom="0.75" header="0.51180555555555496" footer="0.51180555555555496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555"/>
  <sheetViews>
    <sheetView zoomScale="60" zoomScaleNormal="60" workbookViewId="0">
      <selection activeCell="F211" sqref="F211"/>
    </sheetView>
  </sheetViews>
  <sheetFormatPr baseColWidth="10" defaultColWidth="8.5" defaultRowHeight="15"/>
  <cols>
    <col min="1" max="1" width="37.5" customWidth="1"/>
    <col min="2" max="2" width="10.33203125" customWidth="1"/>
    <col min="3" max="3" width="10" customWidth="1"/>
    <col min="4" max="4" width="12.5" customWidth="1"/>
    <col min="5" max="5" width="13.6640625" customWidth="1"/>
    <col min="6" max="6" width="11.1640625" customWidth="1"/>
    <col min="7" max="7" width="13.5" customWidth="1"/>
    <col min="11" max="11" width="12.5" customWidth="1"/>
  </cols>
  <sheetData>
    <row r="1" spans="1:14" ht="16">
      <c r="A1" s="2125" t="s">
        <v>1093</v>
      </c>
      <c r="B1" s="2125"/>
      <c r="C1" s="2125"/>
      <c r="D1" s="2126" t="s">
        <v>120</v>
      </c>
      <c r="E1" s="2126" t="s">
        <v>1753</v>
      </c>
      <c r="F1" s="2127"/>
      <c r="G1" s="1258"/>
      <c r="H1" s="1258"/>
      <c r="I1" s="1258"/>
      <c r="J1" s="1258"/>
      <c r="K1" s="1195"/>
      <c r="L1" s="1195"/>
      <c r="M1" s="1195"/>
      <c r="N1" s="1195"/>
    </row>
    <row r="2" spans="1:14" ht="16">
      <c r="A2" s="3168" t="s">
        <v>2779</v>
      </c>
      <c r="B2" s="3168"/>
      <c r="C2" s="3168"/>
      <c r="D2" s="2128"/>
      <c r="E2" s="2129" t="e">
        <f>'Ввод данных'!#REF!</f>
        <v>#REF!</v>
      </c>
      <c r="F2" s="2130"/>
      <c r="G2" s="2127"/>
      <c r="H2" s="2131"/>
      <c r="I2" s="2088"/>
      <c r="J2" s="2088"/>
      <c r="K2" s="1195"/>
      <c r="L2" s="1195"/>
      <c r="M2" s="1195"/>
      <c r="N2" s="1195"/>
    </row>
    <row r="3" spans="1:14" ht="16">
      <c r="A3" s="3139" t="s">
        <v>2746</v>
      </c>
      <c r="B3" s="3139"/>
      <c r="C3" s="3139"/>
      <c r="D3" s="2128" t="s">
        <v>156</v>
      </c>
      <c r="E3" s="2129">
        <f>'Ввод данных'!C11</f>
        <v>10</v>
      </c>
      <c r="F3" s="2131"/>
      <c r="G3" s="2127"/>
      <c r="H3" s="2131"/>
      <c r="I3" s="2088"/>
      <c r="J3" s="2088"/>
      <c r="K3" s="1195"/>
      <c r="L3" s="1195"/>
      <c r="M3" s="1195"/>
      <c r="N3" s="1195"/>
    </row>
    <row r="4" spans="1:14" ht="16">
      <c r="A4" s="3139" t="s">
        <v>2782</v>
      </c>
      <c r="B4" s="3139"/>
      <c r="C4" s="3139"/>
      <c r="D4" s="2128" t="s">
        <v>156</v>
      </c>
      <c r="E4" s="2129">
        <f>'Ввод данных'!C12</f>
        <v>10</v>
      </c>
      <c r="F4" s="2131"/>
      <c r="G4" s="2131"/>
      <c r="H4" s="2131"/>
      <c r="I4" s="1036"/>
      <c r="J4" s="1036"/>
      <c r="K4" s="1195"/>
      <c r="L4" s="1195"/>
      <c r="M4" s="1195"/>
      <c r="N4" s="1195"/>
    </row>
    <row r="5" spans="1:14" ht="16">
      <c r="A5" s="3139" t="s">
        <v>2783</v>
      </c>
      <c r="B5" s="3139"/>
      <c r="C5" s="3139"/>
      <c r="D5" s="2128" t="s">
        <v>156</v>
      </c>
      <c r="E5" s="2129">
        <f>'Ввод данных'!C13</f>
        <v>3</v>
      </c>
      <c r="F5" s="2131"/>
      <c r="G5" s="2131"/>
      <c r="H5" s="2131"/>
      <c r="I5" s="1276"/>
      <c r="J5" s="1276"/>
      <c r="K5" s="1195"/>
      <c r="L5" s="1195"/>
      <c r="M5" s="1195"/>
      <c r="N5" s="1195"/>
    </row>
    <row r="6" spans="1:14" ht="16">
      <c r="A6" s="3139" t="s">
        <v>2793</v>
      </c>
      <c r="B6" s="3139"/>
      <c r="C6" s="3139"/>
      <c r="D6" s="2128" t="s">
        <v>156</v>
      </c>
      <c r="E6" s="2129">
        <f>связи1!K207</f>
        <v>1.2</v>
      </c>
      <c r="F6" s="2131"/>
      <c r="G6" s="2131"/>
      <c r="H6" s="2131"/>
      <c r="I6" s="2132"/>
      <c r="J6" s="1276"/>
      <c r="K6" s="1195"/>
      <c r="L6" s="1195"/>
      <c r="M6" s="1195"/>
      <c r="N6" s="1195"/>
    </row>
    <row r="7" spans="1:14" ht="16">
      <c r="A7" s="3139" t="s">
        <v>3870</v>
      </c>
      <c r="B7" s="3139"/>
      <c r="C7" s="3139"/>
      <c r="D7" s="2133" t="s">
        <v>156</v>
      </c>
      <c r="E7" s="2129">
        <f>'Ввод данных'!C16</f>
        <v>2.2000000000000002</v>
      </c>
      <c r="F7" s="936"/>
      <c r="G7" s="2131"/>
      <c r="H7" s="2132"/>
      <c r="I7" s="2132"/>
      <c r="J7" s="1276"/>
      <c r="K7" s="1195"/>
      <c r="L7" s="1195"/>
      <c r="M7" s="1195"/>
      <c r="N7" s="1195"/>
    </row>
    <row r="8" spans="1:14" ht="16">
      <c r="A8" s="3139" t="s">
        <v>3871</v>
      </c>
      <c r="B8" s="3139"/>
      <c r="C8" s="3139"/>
      <c r="D8" s="2128" t="s">
        <v>156</v>
      </c>
      <c r="E8" s="2129">
        <f>связи1!K206</f>
        <v>4.8</v>
      </c>
      <c r="F8" s="2131"/>
      <c r="G8" s="936"/>
      <c r="H8" s="2127"/>
      <c r="I8" s="2127"/>
      <c r="J8" s="2127"/>
      <c r="K8" s="1195"/>
      <c r="L8" s="1195"/>
      <c r="M8" s="1195"/>
      <c r="N8" s="1195"/>
    </row>
    <row r="9" spans="1:14" ht="16">
      <c r="A9" s="3169" t="s">
        <v>3872</v>
      </c>
      <c r="B9" s="3169"/>
      <c r="C9" s="3169"/>
      <c r="D9" s="2134" t="s">
        <v>1820</v>
      </c>
      <c r="E9" s="2129"/>
      <c r="F9" s="2131" t="s">
        <v>3873</v>
      </c>
      <c r="G9" s="1036"/>
      <c r="H9" s="2131"/>
      <c r="I9" s="2135"/>
      <c r="J9" s="2135"/>
      <c r="K9" s="1195"/>
      <c r="L9" s="1195"/>
      <c r="M9" s="1195"/>
      <c r="N9" s="1195"/>
    </row>
    <row r="10" spans="1:14" ht="15.5" customHeight="1">
      <c r="A10" s="3170" t="s">
        <v>2854</v>
      </c>
      <c r="B10" s="3170"/>
      <c r="C10" s="3170"/>
      <c r="D10" s="2136" t="s">
        <v>120</v>
      </c>
      <c r="E10" s="2137" t="s">
        <v>293</v>
      </c>
      <c r="F10" s="2138"/>
      <c r="G10" s="1036"/>
      <c r="H10" s="2131"/>
      <c r="I10" s="2135"/>
      <c r="J10" s="2135"/>
      <c r="K10" s="1195"/>
      <c r="L10" s="1195"/>
      <c r="M10" s="1195"/>
      <c r="N10" s="1195"/>
    </row>
    <row r="11" spans="1:14" ht="16">
      <c r="A11" s="3139" t="s">
        <v>2001</v>
      </c>
      <c r="B11" s="3139"/>
      <c r="C11" s="3139"/>
      <c r="D11" s="960" t="s">
        <v>156</v>
      </c>
      <c r="E11" s="2129"/>
      <c r="F11" s="2139">
        <f>дома!AA38</f>
        <v>7.8</v>
      </c>
      <c r="G11" s="2130" t="s">
        <v>3521</v>
      </c>
      <c r="H11" s="2131"/>
      <c r="I11" s="2135"/>
      <c r="J11" s="2135"/>
      <c r="K11" s="1195"/>
      <c r="L11" s="1195"/>
      <c r="M11" s="1195"/>
      <c r="N11" s="1195"/>
    </row>
    <row r="12" spans="1:14" ht="16">
      <c r="A12" s="3139" t="s">
        <v>2557</v>
      </c>
      <c r="B12" s="3139"/>
      <c r="C12" s="3139"/>
      <c r="D12" s="960" t="s">
        <v>156</v>
      </c>
      <c r="E12" s="2129"/>
      <c r="F12" s="2139">
        <f>дома!AA42</f>
        <v>7.8</v>
      </c>
      <c r="G12" s="2130" t="s">
        <v>3522</v>
      </c>
      <c r="H12" s="2131"/>
      <c r="I12" s="2135"/>
      <c r="J12" s="2135"/>
      <c r="K12" s="1195"/>
      <c r="L12" s="1195"/>
      <c r="M12" s="1195"/>
      <c r="N12" s="1195"/>
    </row>
    <row r="13" spans="1:14" ht="16">
      <c r="A13" s="3139" t="s">
        <v>2558</v>
      </c>
      <c r="B13" s="3139"/>
      <c r="C13" s="3139"/>
      <c r="D13" s="960" t="s">
        <v>156</v>
      </c>
      <c r="E13" s="2129"/>
      <c r="F13" s="2139">
        <f>дома!AA51</f>
        <v>0</v>
      </c>
      <c r="G13" s="2130" t="s">
        <v>3523</v>
      </c>
      <c r="H13" s="2131"/>
      <c r="I13" s="2135"/>
      <c r="J13" s="2135"/>
      <c r="K13" s="1195"/>
      <c r="L13" s="1195"/>
      <c r="M13" s="1195"/>
      <c r="N13" s="1195"/>
    </row>
    <row r="14" spans="1:14" ht="16">
      <c r="A14" s="3171" t="s">
        <v>1515</v>
      </c>
      <c r="B14" s="3171"/>
      <c r="C14" s="3171"/>
      <c r="D14" s="923" t="s">
        <v>1800</v>
      </c>
      <c r="E14" s="923" t="s">
        <v>293</v>
      </c>
      <c r="F14" s="2137" t="s">
        <v>1802</v>
      </c>
      <c r="G14" s="2140" t="s">
        <v>2866</v>
      </c>
      <c r="H14" s="2130"/>
      <c r="I14" s="2135"/>
      <c r="J14" s="2135"/>
      <c r="K14" s="1195"/>
      <c r="L14" s="1195"/>
      <c r="M14" s="1195"/>
      <c r="N14" s="1195"/>
    </row>
    <row r="15" spans="1:14" ht="16">
      <c r="A15" s="3172" t="s">
        <v>2902</v>
      </c>
      <c r="B15" s="3172"/>
      <c r="C15" s="3172"/>
      <c r="D15" s="2141">
        <f>'Ввод данных'!C68</f>
        <v>1</v>
      </c>
      <c r="E15" s="2129">
        <f>'Ввод данных'!D68</f>
        <v>1.2</v>
      </c>
      <c r="F15" s="2139">
        <f>'Ввод данных'!E68</f>
        <v>1</v>
      </c>
      <c r="G15" s="939">
        <f>D15*E15*F15</f>
        <v>1.2</v>
      </c>
      <c r="H15" s="2130"/>
      <c r="I15" s="2135"/>
      <c r="J15" s="2135"/>
      <c r="K15" s="1195"/>
      <c r="L15" s="1195"/>
      <c r="M15" s="1195"/>
      <c r="N15" s="1195"/>
    </row>
    <row r="16" spans="1:14" ht="16">
      <c r="A16" s="3172" t="s">
        <v>2903</v>
      </c>
      <c r="B16" s="3172"/>
      <c r="C16" s="3172"/>
      <c r="D16" s="2141">
        <f>'Ввод данных'!C69</f>
        <v>0.6</v>
      </c>
      <c r="E16" s="2129">
        <f>'Ввод данных'!D69</f>
        <v>0.6</v>
      </c>
      <c r="F16" s="2139">
        <f>'Ввод данных'!E69</f>
        <v>0</v>
      </c>
      <c r="G16" s="939">
        <f>D16*E16*F16</f>
        <v>0</v>
      </c>
      <c r="H16" s="2130"/>
      <c r="I16" s="2135"/>
      <c r="J16" s="2135"/>
      <c r="K16" s="1195"/>
      <c r="L16" s="1195"/>
      <c r="M16" s="1195"/>
      <c r="N16" s="1195"/>
    </row>
    <row r="17" spans="1:14" ht="16">
      <c r="A17" s="3172" t="s">
        <v>2904</v>
      </c>
      <c r="B17" s="3172"/>
      <c r="C17" s="3172"/>
      <c r="D17" s="2141">
        <f>'Ввод данных'!C70</f>
        <v>1</v>
      </c>
      <c r="E17" s="2129">
        <f>'Ввод данных'!D70</f>
        <v>2</v>
      </c>
      <c r="F17" s="2139">
        <f>'Ввод данных'!E70</f>
        <v>0</v>
      </c>
      <c r="G17" s="939">
        <f>D17*E17*F17</f>
        <v>0</v>
      </c>
      <c r="H17" s="2130"/>
      <c r="I17" s="2135"/>
      <c r="J17" s="2135"/>
      <c r="K17" s="1195"/>
      <c r="L17" s="1195"/>
      <c r="M17" s="1195"/>
      <c r="N17" s="1195"/>
    </row>
    <row r="18" spans="1:14" ht="16">
      <c r="A18" s="3172" t="s">
        <v>2894</v>
      </c>
      <c r="B18" s="3172"/>
      <c r="C18" s="3172"/>
      <c r="D18" s="2141">
        <f>'Ввод данных'!C73</f>
        <v>0.8</v>
      </c>
      <c r="E18" s="2129">
        <f>'Ввод данных'!D73</f>
        <v>2.1</v>
      </c>
      <c r="F18" s="2139">
        <f>'Ввод данных'!E73</f>
        <v>0</v>
      </c>
      <c r="G18" s="939">
        <f>D18*E18*F18</f>
        <v>0</v>
      </c>
      <c r="H18" s="2130"/>
      <c r="I18" s="2135"/>
      <c r="J18" s="2135"/>
      <c r="K18" s="1195"/>
      <c r="L18" s="1195"/>
      <c r="M18" s="1195"/>
      <c r="N18" s="1195"/>
    </row>
    <row r="19" spans="1:14" ht="16">
      <c r="A19" s="3173" t="s">
        <v>2898</v>
      </c>
      <c r="B19" s="3173"/>
      <c r="C19" s="3173"/>
      <c r="D19" s="3173"/>
      <c r="E19" s="3173"/>
      <c r="F19" s="3173"/>
      <c r="G19" s="939">
        <f>SUM(G15:G18)</f>
        <v>1.2</v>
      </c>
      <c r="H19" s="2130"/>
      <c r="I19" s="2135"/>
      <c r="J19" s="2135"/>
      <c r="K19" s="1195"/>
      <c r="L19" s="1195"/>
      <c r="M19" s="1195"/>
      <c r="N19" s="1195"/>
    </row>
    <row r="20" spans="1:14" ht="15.5" customHeight="1">
      <c r="A20" s="3174" t="s">
        <v>2593</v>
      </c>
      <c r="B20" s="3174"/>
      <c r="C20" s="3174"/>
      <c r="D20" s="933" t="s">
        <v>1800</v>
      </c>
      <c r="E20" s="933" t="s">
        <v>293</v>
      </c>
      <c r="F20" s="933" t="s">
        <v>1802</v>
      </c>
      <c r="G20" s="933" t="s">
        <v>2900</v>
      </c>
      <c r="H20" s="2130"/>
      <c r="I20" s="2135"/>
      <c r="J20" s="2135"/>
      <c r="K20" s="1195"/>
      <c r="L20" s="1195"/>
      <c r="M20" s="1195"/>
      <c r="N20" s="1195"/>
    </row>
    <row r="21" spans="1:14" ht="15.5" customHeight="1">
      <c r="A21" s="3175" t="s">
        <v>2902</v>
      </c>
      <c r="B21" s="3175"/>
      <c r="C21" s="3175"/>
      <c r="D21" s="2141">
        <f>'Ввод данных'!C91</f>
        <v>0.8</v>
      </c>
      <c r="E21" s="2129">
        <f>'Ввод данных'!D91</f>
        <v>2.1</v>
      </c>
      <c r="F21" s="2139">
        <f>'Ввод данных'!E91</f>
        <v>0</v>
      </c>
      <c r="G21" s="938">
        <f>D21*E21*F21</f>
        <v>0</v>
      </c>
      <c r="H21" s="2130"/>
      <c r="I21" s="2135"/>
      <c r="J21" s="2135"/>
      <c r="K21" s="1195"/>
      <c r="L21" s="1195"/>
      <c r="M21" s="1195"/>
      <c r="N21" s="1195"/>
    </row>
    <row r="22" spans="1:14" ht="15.5" customHeight="1">
      <c r="A22" s="3175" t="s">
        <v>2903</v>
      </c>
      <c r="B22" s="3175"/>
      <c r="C22" s="3175"/>
      <c r="D22" s="2141">
        <f>'Ввод данных'!C92</f>
        <v>0.6</v>
      </c>
      <c r="E22" s="2129">
        <f>'Ввод данных'!D92</f>
        <v>2</v>
      </c>
      <c r="F22" s="2139">
        <f>'Ввод данных'!E92</f>
        <v>0</v>
      </c>
      <c r="G22" s="938">
        <f>D22*E22*F22</f>
        <v>0</v>
      </c>
      <c r="H22" s="2130"/>
      <c r="I22" s="2135"/>
      <c r="J22" s="2135"/>
      <c r="K22" s="1195"/>
      <c r="L22" s="1195"/>
      <c r="M22" s="1195"/>
      <c r="N22" s="1195"/>
    </row>
    <row r="23" spans="1:14" ht="15.5" customHeight="1">
      <c r="A23" s="3175" t="s">
        <v>2904</v>
      </c>
      <c r="B23" s="3175"/>
      <c r="C23" s="3175"/>
      <c r="D23" s="2141">
        <f>'Ввод данных'!C95</f>
        <v>0.9</v>
      </c>
      <c r="E23" s="2129">
        <f>'Ввод данных'!D95</f>
        <v>2.1</v>
      </c>
      <c r="F23" s="2139">
        <f>'Ввод данных'!E95</f>
        <v>0</v>
      </c>
      <c r="G23" s="938">
        <f>D23*E23*F23</f>
        <v>0</v>
      </c>
      <c r="H23" s="2130"/>
      <c r="I23" s="2135"/>
      <c r="J23" s="2135"/>
      <c r="K23" s="1195"/>
      <c r="L23" s="1195"/>
      <c r="M23" s="1195"/>
      <c r="N23" s="1195"/>
    </row>
    <row r="24" spans="1:14" ht="15.5" customHeight="1">
      <c r="A24" s="3175" t="s">
        <v>2905</v>
      </c>
      <c r="B24" s="3175"/>
      <c r="C24" s="3175"/>
      <c r="D24" s="2141">
        <f>'Ввод данных'!C99</f>
        <v>0.8</v>
      </c>
      <c r="E24" s="2129">
        <f>'Ввод данных'!D99</f>
        <v>2.1</v>
      </c>
      <c r="F24" s="2139">
        <f>'Ввод данных'!E99</f>
        <v>0</v>
      </c>
      <c r="G24" s="938">
        <f>D24*E24*F24</f>
        <v>0</v>
      </c>
      <c r="H24" s="2130"/>
      <c r="I24" s="2135"/>
      <c r="J24" s="2135"/>
      <c r="K24" s="1195"/>
      <c r="L24" s="1195"/>
      <c r="M24" s="1195"/>
      <c r="N24" s="1195"/>
    </row>
    <row r="25" spans="1:14" ht="16">
      <c r="A25" s="3173" t="s">
        <v>3874</v>
      </c>
      <c r="B25" s="3173"/>
      <c r="C25" s="3173"/>
      <c r="D25" s="3173"/>
      <c r="E25" s="3173"/>
      <c r="F25" s="3173"/>
      <c r="G25" s="938">
        <f>SUM(G21:G24)</f>
        <v>0</v>
      </c>
      <c r="H25" s="2130"/>
      <c r="I25" s="2135"/>
      <c r="J25" s="2135"/>
      <c r="K25" s="1195"/>
      <c r="L25" s="1195"/>
      <c r="M25" s="1195"/>
      <c r="N25" s="1195"/>
    </row>
    <row r="26" spans="1:14" ht="15.5" customHeight="1">
      <c r="A26" s="3174" t="s">
        <v>1217</v>
      </c>
      <c r="B26" s="3174"/>
      <c r="C26" s="3174"/>
      <c r="D26" s="933" t="s">
        <v>1800</v>
      </c>
      <c r="E26" s="933" t="s">
        <v>293</v>
      </c>
      <c r="F26" s="933" t="s">
        <v>1802</v>
      </c>
      <c r="G26" s="933" t="s">
        <v>2900</v>
      </c>
      <c r="H26" s="2130"/>
      <c r="I26" s="2135"/>
      <c r="J26" s="2135"/>
      <c r="K26" s="1195"/>
      <c r="L26" s="1195"/>
      <c r="M26" s="1195"/>
      <c r="N26" s="1195"/>
    </row>
    <row r="27" spans="1:14" ht="15.5" customHeight="1">
      <c r="A27" s="3175" t="s">
        <v>2902</v>
      </c>
      <c r="B27" s="3175"/>
      <c r="C27" s="3175"/>
      <c r="D27" s="2141">
        <f>'Ввод данных'!C85</f>
        <v>0.8</v>
      </c>
      <c r="E27" s="2129">
        <f>'Ввод данных'!D85</f>
        <v>2</v>
      </c>
      <c r="F27" s="2139">
        <f>'Ввод данных'!E85</f>
        <v>0</v>
      </c>
      <c r="G27" s="938">
        <f>D27*E27*F27</f>
        <v>0</v>
      </c>
      <c r="H27" s="2130"/>
      <c r="I27" s="2135"/>
      <c r="J27" s="2135"/>
      <c r="K27" s="1195"/>
      <c r="L27" s="1195"/>
      <c r="M27" s="1195"/>
      <c r="N27" s="1195"/>
    </row>
    <row r="28" spans="1:14" ht="15.5" customHeight="1">
      <c r="A28" s="3175" t="s">
        <v>2903</v>
      </c>
      <c r="B28" s="3175"/>
      <c r="C28" s="3175"/>
      <c r="D28" s="2141">
        <f>'Ввод данных'!C86</f>
        <v>0.9</v>
      </c>
      <c r="E28" s="2129">
        <f>'Ввод данных'!D86</f>
        <v>2.1</v>
      </c>
      <c r="F28" s="2139">
        <f>'Ввод данных'!E86</f>
        <v>0</v>
      </c>
      <c r="G28" s="938">
        <f>D28*E28*F28</f>
        <v>0</v>
      </c>
      <c r="H28" s="2130"/>
      <c r="I28" s="2135"/>
      <c r="J28" s="2135"/>
      <c r="K28" s="1195"/>
      <c r="L28" s="1195"/>
      <c r="M28" s="1195"/>
      <c r="N28" s="1195"/>
    </row>
    <row r="29" spans="1:14" ht="15.5" customHeight="1">
      <c r="A29" s="3175" t="s">
        <v>2904</v>
      </c>
      <c r="B29" s="3175"/>
      <c r="C29" s="3175"/>
      <c r="D29" s="2141">
        <f>'Ввод данных'!C87</f>
        <v>1</v>
      </c>
      <c r="E29" s="2129">
        <f>'Ввод данных'!D87</f>
        <v>2</v>
      </c>
      <c r="F29" s="2139">
        <f>'Ввод данных'!E87</f>
        <v>0</v>
      </c>
      <c r="G29" s="938">
        <f>D29*E29*F29</f>
        <v>0</v>
      </c>
      <c r="H29" s="2130"/>
      <c r="I29" s="2135"/>
      <c r="J29" s="2135"/>
      <c r="K29" s="1195"/>
      <c r="L29" s="1195"/>
      <c r="M29" s="1195"/>
      <c r="N29" s="1195"/>
    </row>
    <row r="30" spans="1:14" ht="16">
      <c r="A30" s="3173" t="s">
        <v>2898</v>
      </c>
      <c r="B30" s="3173"/>
      <c r="C30" s="3173"/>
      <c r="D30" s="3173"/>
      <c r="E30" s="3173"/>
      <c r="F30" s="3173"/>
      <c r="G30" s="938">
        <f>SUM(G27:G29)</f>
        <v>0</v>
      </c>
      <c r="H30" s="2130"/>
      <c r="I30" s="2135"/>
      <c r="J30" s="2135"/>
      <c r="K30" s="1195"/>
      <c r="L30" s="1195"/>
      <c r="M30" s="1195"/>
      <c r="N30" s="1195"/>
    </row>
    <row r="31" spans="1:14" ht="16">
      <c r="A31" s="2142"/>
      <c r="B31" s="2142"/>
      <c r="C31" s="2142"/>
      <c r="D31" s="2142"/>
      <c r="E31" s="2131"/>
      <c r="F31" s="2131"/>
      <c r="G31" s="2131"/>
      <c r="H31" s="2135"/>
      <c r="I31" s="2135"/>
      <c r="J31" s="2135"/>
      <c r="K31" s="1195"/>
      <c r="L31" s="1195"/>
      <c r="M31" s="1195"/>
      <c r="N31" s="1195"/>
    </row>
    <row r="32" spans="1:14" ht="16">
      <c r="A32" s="3176" t="s">
        <v>1236</v>
      </c>
      <c r="B32" s="3176"/>
      <c r="C32" s="2137" t="s">
        <v>208</v>
      </c>
      <c r="D32" s="2137" t="s">
        <v>853</v>
      </c>
      <c r="E32" s="2143" t="s">
        <v>1802</v>
      </c>
      <c r="F32" s="923" t="s">
        <v>853</v>
      </c>
      <c r="G32" s="2131"/>
      <c r="H32" s="2135"/>
      <c r="I32" s="2135"/>
      <c r="J32" s="2135"/>
      <c r="K32" s="1195"/>
      <c r="L32" s="1195"/>
      <c r="M32" s="1195"/>
      <c r="N32" s="1195"/>
    </row>
    <row r="33" spans="1:14" ht="15.5" customHeight="1">
      <c r="A33" s="3177" t="s">
        <v>1862</v>
      </c>
      <c r="B33" s="3177"/>
      <c r="C33" s="2144" t="s">
        <v>156</v>
      </c>
      <c r="D33" s="2141">
        <f>'Ввод данных'!C112</f>
        <v>6</v>
      </c>
      <c r="E33" s="2129">
        <f>'Ввод данных'!D112</f>
        <v>2</v>
      </c>
      <c r="F33" s="938">
        <f t="shared" ref="F33:F64" si="0">D33*E33</f>
        <v>12</v>
      </c>
      <c r="G33" s="2131"/>
      <c r="H33" s="2135"/>
      <c r="I33" s="2135"/>
      <c r="J33" s="2135"/>
      <c r="K33" s="1195"/>
      <c r="L33" s="1195"/>
      <c r="M33" s="1195"/>
      <c r="N33" s="1195"/>
    </row>
    <row r="34" spans="1:14" ht="16">
      <c r="A34" s="3177"/>
      <c r="B34" s="3177"/>
      <c r="C34" s="2144" t="s">
        <v>156</v>
      </c>
      <c r="D34" s="2141">
        <f>'Ввод данных'!C113</f>
        <v>4</v>
      </c>
      <c r="E34" s="2129">
        <f>'Ввод данных'!D113</f>
        <v>1</v>
      </c>
      <c r="F34" s="938">
        <f t="shared" si="0"/>
        <v>4</v>
      </c>
      <c r="G34" s="2131"/>
      <c r="H34" s="2135"/>
      <c r="I34" s="2135"/>
      <c r="J34" s="2135"/>
      <c r="K34" s="1195"/>
      <c r="L34" s="1195"/>
      <c r="M34" s="1195"/>
      <c r="N34" s="1195"/>
    </row>
    <row r="35" spans="1:14" ht="16">
      <c r="A35" s="3177"/>
      <c r="B35" s="3177"/>
      <c r="C35" s="2144" t="s">
        <v>156</v>
      </c>
      <c r="D35" s="2141">
        <f>'Ввод данных'!C114</f>
        <v>0</v>
      </c>
      <c r="E35" s="2129">
        <f>'Ввод данных'!D114</f>
        <v>0</v>
      </c>
      <c r="F35" s="938">
        <f t="shared" si="0"/>
        <v>0</v>
      </c>
      <c r="G35" s="2131"/>
      <c r="H35" s="2135"/>
      <c r="I35" s="2135"/>
      <c r="J35" s="2135"/>
      <c r="K35" s="1195"/>
      <c r="L35" s="1195"/>
      <c r="M35" s="1195"/>
      <c r="N35" s="1195"/>
    </row>
    <row r="36" spans="1:14" ht="16">
      <c r="A36" s="3177"/>
      <c r="B36" s="3177"/>
      <c r="C36" s="2144" t="s">
        <v>156</v>
      </c>
      <c r="D36" s="2141">
        <f>'Ввод данных'!C115</f>
        <v>0</v>
      </c>
      <c r="E36" s="2129">
        <f>'Ввод данных'!D115</f>
        <v>0</v>
      </c>
      <c r="F36" s="938">
        <f t="shared" si="0"/>
        <v>0</v>
      </c>
      <c r="G36" s="2131"/>
      <c r="H36" s="2135"/>
      <c r="I36" s="2135"/>
      <c r="J36" s="2135"/>
      <c r="K36" s="1195"/>
      <c r="L36" s="1195"/>
      <c r="M36" s="1195"/>
      <c r="N36" s="1195"/>
    </row>
    <row r="37" spans="1:14" ht="15.5" customHeight="1">
      <c r="A37" s="3177" t="s">
        <v>1866</v>
      </c>
      <c r="B37" s="3177"/>
      <c r="C37" s="2144" t="s">
        <v>156</v>
      </c>
      <c r="D37" s="2141">
        <f>'Ввод данных'!C116</f>
        <v>1.8</v>
      </c>
      <c r="E37" s="2129">
        <f>'Ввод данных'!D116</f>
        <v>1</v>
      </c>
      <c r="F37" s="938">
        <f t="shared" si="0"/>
        <v>1.8</v>
      </c>
      <c r="G37" s="2131"/>
      <c r="H37" s="2135"/>
      <c r="I37" s="2135"/>
      <c r="J37" s="2131"/>
      <c r="K37" s="1195"/>
      <c r="L37" s="1195"/>
      <c r="M37" s="1195"/>
      <c r="N37" s="1195"/>
    </row>
    <row r="38" spans="1:14" ht="16">
      <c r="A38" s="3177"/>
      <c r="B38" s="3177"/>
      <c r="C38" s="2144" t="s">
        <v>156</v>
      </c>
      <c r="D38" s="2141">
        <f>'Ввод данных'!C117</f>
        <v>0</v>
      </c>
      <c r="E38" s="2129">
        <f>'Ввод данных'!D117</f>
        <v>0</v>
      </c>
      <c r="F38" s="938">
        <f t="shared" si="0"/>
        <v>0</v>
      </c>
      <c r="G38" s="2131"/>
      <c r="H38" s="2135"/>
      <c r="I38" s="2131"/>
      <c r="J38" s="2131"/>
      <c r="K38" s="1195"/>
      <c r="L38" s="1195"/>
      <c r="M38" s="1195"/>
      <c r="N38" s="1195"/>
    </row>
    <row r="39" spans="1:14" ht="16">
      <c r="A39" s="3177"/>
      <c r="B39" s="3177"/>
      <c r="C39" s="2144" t="s">
        <v>156</v>
      </c>
      <c r="D39" s="2141">
        <f>'Ввод данных'!C118</f>
        <v>0</v>
      </c>
      <c r="E39" s="2129">
        <f>'Ввод данных'!D118</f>
        <v>0</v>
      </c>
      <c r="F39" s="938">
        <f t="shared" si="0"/>
        <v>0</v>
      </c>
      <c r="G39" s="2131"/>
      <c r="H39" s="2135"/>
      <c r="I39" s="2135"/>
      <c r="J39" s="2131"/>
      <c r="K39" s="1195"/>
      <c r="L39" s="1195"/>
      <c r="M39" s="1195"/>
      <c r="N39" s="1195"/>
    </row>
    <row r="40" spans="1:14" ht="16">
      <c r="A40" s="3177"/>
      <c r="B40" s="3177"/>
      <c r="C40" s="2144" t="s">
        <v>156</v>
      </c>
      <c r="D40" s="2141">
        <f>'Ввод данных'!C119</f>
        <v>0</v>
      </c>
      <c r="E40" s="2129">
        <f>'Ввод данных'!D119</f>
        <v>0</v>
      </c>
      <c r="F40" s="938">
        <f t="shared" si="0"/>
        <v>0</v>
      </c>
      <c r="G40" s="2131"/>
      <c r="H40" s="2135"/>
      <c r="I40" s="2131"/>
      <c r="J40" s="2131"/>
      <c r="K40" s="1195"/>
      <c r="L40" s="1195"/>
      <c r="M40" s="1195"/>
      <c r="N40" s="1195"/>
    </row>
    <row r="41" spans="1:14" ht="15.5" customHeight="1">
      <c r="A41" s="3177" t="s">
        <v>1867</v>
      </c>
      <c r="B41" s="3177"/>
      <c r="C41" s="2144" t="s">
        <v>156</v>
      </c>
      <c r="D41" s="2141">
        <f>'Ввод данных'!C120</f>
        <v>0</v>
      </c>
      <c r="E41" s="2129">
        <f>'Ввод данных'!D120</f>
        <v>0</v>
      </c>
      <c r="F41" s="938">
        <f t="shared" si="0"/>
        <v>0</v>
      </c>
      <c r="G41" s="2131"/>
      <c r="H41" s="2135"/>
      <c r="I41" s="2131"/>
      <c r="J41" s="2131"/>
      <c r="K41" s="1195"/>
      <c r="L41" s="1195"/>
      <c r="M41" s="1195"/>
      <c r="N41" s="1195"/>
    </row>
    <row r="42" spans="1:14" ht="16">
      <c r="A42" s="3177"/>
      <c r="B42" s="3177"/>
      <c r="C42" s="2144" t="s">
        <v>156</v>
      </c>
      <c r="D42" s="2141">
        <f>'Ввод данных'!C121</f>
        <v>0</v>
      </c>
      <c r="E42" s="2129">
        <f>'Ввод данных'!D121</f>
        <v>0</v>
      </c>
      <c r="F42" s="938">
        <f t="shared" si="0"/>
        <v>0</v>
      </c>
      <c r="G42" s="2131"/>
      <c r="H42" s="2135"/>
      <c r="I42" s="2131"/>
      <c r="J42" s="2131"/>
      <c r="K42" s="1195"/>
      <c r="L42" s="1195"/>
      <c r="M42" s="1195"/>
      <c r="N42" s="1195"/>
    </row>
    <row r="43" spans="1:14" ht="16">
      <c r="A43" s="3177"/>
      <c r="B43" s="3177"/>
      <c r="C43" s="2144" t="s">
        <v>156</v>
      </c>
      <c r="D43" s="2141">
        <f>'Ввод данных'!C122</f>
        <v>0</v>
      </c>
      <c r="E43" s="2129">
        <f>'Ввод данных'!D122</f>
        <v>0</v>
      </c>
      <c r="F43" s="938">
        <f t="shared" si="0"/>
        <v>0</v>
      </c>
      <c r="G43" s="2131"/>
      <c r="H43" s="2135"/>
      <c r="I43" s="2145"/>
      <c r="J43" s="2131"/>
      <c r="K43" s="1195"/>
      <c r="L43" s="1195"/>
      <c r="M43" s="1195"/>
      <c r="N43" s="1195"/>
    </row>
    <row r="44" spans="1:14" ht="16">
      <c r="A44" s="3177"/>
      <c r="B44" s="3177"/>
      <c r="C44" s="2144" t="s">
        <v>156</v>
      </c>
      <c r="D44" s="2141">
        <f>'Ввод данных'!C123</f>
        <v>0</v>
      </c>
      <c r="E44" s="2129">
        <f>'Ввод данных'!D123</f>
        <v>0</v>
      </c>
      <c r="F44" s="938">
        <f t="shared" si="0"/>
        <v>0</v>
      </c>
      <c r="G44" s="2131"/>
      <c r="H44" s="2135"/>
      <c r="I44" s="2131"/>
      <c r="J44" s="2131"/>
      <c r="K44" s="1195"/>
      <c r="L44" s="1195"/>
      <c r="M44" s="1195"/>
      <c r="N44" s="1195"/>
    </row>
    <row r="45" spans="1:14" ht="15.5" customHeight="1">
      <c r="A45" s="3177" t="s">
        <v>1869</v>
      </c>
      <c r="B45" s="3177"/>
      <c r="C45" s="2144" t="s">
        <v>156</v>
      </c>
      <c r="D45" s="2141">
        <f>'Ввод данных'!C124</f>
        <v>3</v>
      </c>
      <c r="E45" s="2129">
        <f>'Ввод данных'!D124</f>
        <v>2</v>
      </c>
      <c r="F45" s="938">
        <f t="shared" si="0"/>
        <v>6</v>
      </c>
      <c r="G45" s="2131"/>
      <c r="H45" s="2135"/>
      <c r="I45" s="2131"/>
      <c r="J45" s="2131"/>
      <c r="K45" s="1195"/>
      <c r="L45" s="1195"/>
      <c r="M45" s="1195"/>
      <c r="N45" s="1195"/>
    </row>
    <row r="46" spans="1:14" ht="16">
      <c r="A46" s="3177"/>
      <c r="B46" s="3177"/>
      <c r="C46" s="2144" t="s">
        <v>156</v>
      </c>
      <c r="D46" s="2141">
        <f>'Ввод данных'!C125</f>
        <v>0</v>
      </c>
      <c r="E46" s="2129">
        <f>'Ввод данных'!D125</f>
        <v>0</v>
      </c>
      <c r="F46" s="938">
        <f t="shared" si="0"/>
        <v>0</v>
      </c>
      <c r="G46" s="2131"/>
      <c r="H46" s="2146"/>
      <c r="I46" s="2131"/>
      <c r="J46" s="2131"/>
      <c r="K46" s="1195"/>
      <c r="L46" s="1195"/>
      <c r="M46" s="1195"/>
      <c r="N46" s="1195"/>
    </row>
    <row r="47" spans="1:14" ht="16">
      <c r="A47" s="3177"/>
      <c r="B47" s="3177"/>
      <c r="C47" s="2144" t="s">
        <v>156</v>
      </c>
      <c r="D47" s="2141">
        <f>'Ввод данных'!C126</f>
        <v>0</v>
      </c>
      <c r="E47" s="2129">
        <f>'Ввод данных'!D126</f>
        <v>0</v>
      </c>
      <c r="F47" s="938">
        <f t="shared" si="0"/>
        <v>0</v>
      </c>
      <c r="G47" s="2131"/>
      <c r="H47" s="2146"/>
      <c r="I47" s="2131"/>
      <c r="J47" s="2131"/>
      <c r="K47" s="1195"/>
      <c r="L47" s="1195"/>
      <c r="M47" s="1195"/>
      <c r="N47" s="1195"/>
    </row>
    <row r="48" spans="1:14" ht="16">
      <c r="A48" s="3177"/>
      <c r="B48" s="3177"/>
      <c r="C48" s="2144" t="s">
        <v>156</v>
      </c>
      <c r="D48" s="2141">
        <f>'Ввод данных'!C127</f>
        <v>0</v>
      </c>
      <c r="E48" s="2129">
        <f>'Ввод данных'!D127</f>
        <v>0</v>
      </c>
      <c r="F48" s="938">
        <f t="shared" si="0"/>
        <v>0</v>
      </c>
      <c r="G48" s="2131"/>
      <c r="H48" s="2146"/>
      <c r="I48" s="2131"/>
      <c r="J48" s="2131"/>
      <c r="K48" s="1195"/>
      <c r="L48" s="1195"/>
      <c r="M48" s="1195"/>
      <c r="N48" s="1195"/>
    </row>
    <row r="49" spans="1:14" ht="15.5" customHeight="1">
      <c r="A49" s="3177" t="s">
        <v>1870</v>
      </c>
      <c r="B49" s="3177"/>
      <c r="C49" s="2144" t="s">
        <v>156</v>
      </c>
      <c r="D49" s="2141">
        <f>'Ввод данных'!C128</f>
        <v>3.5</v>
      </c>
      <c r="E49" s="2129">
        <f>'Ввод данных'!D128</f>
        <v>1</v>
      </c>
      <c r="F49" s="938">
        <f t="shared" si="0"/>
        <v>3.5</v>
      </c>
      <c r="G49" s="2147"/>
      <c r="H49" s="2148"/>
      <c r="I49" s="3178" t="s">
        <v>1906</v>
      </c>
      <c r="J49" s="2131"/>
      <c r="K49" s="1195"/>
      <c r="L49" s="1195"/>
      <c r="M49" s="1195"/>
      <c r="N49" s="1195"/>
    </row>
    <row r="50" spans="1:14" ht="16">
      <c r="A50" s="3177"/>
      <c r="B50" s="3177"/>
      <c r="C50" s="2144" t="s">
        <v>156</v>
      </c>
      <c r="D50" s="2141">
        <f>'Ввод данных'!C129</f>
        <v>0</v>
      </c>
      <c r="E50" s="2129">
        <f>'Ввод данных'!D129</f>
        <v>0</v>
      </c>
      <c r="F50" s="938">
        <f t="shared" si="0"/>
        <v>0</v>
      </c>
      <c r="G50" s="2147"/>
      <c r="H50" s="2148"/>
      <c r="I50" s="3178"/>
      <c r="J50" s="2131"/>
      <c r="K50" s="1195"/>
      <c r="L50" s="1195"/>
      <c r="M50" s="1195"/>
      <c r="N50" s="1195"/>
    </row>
    <row r="51" spans="1:14" ht="16">
      <c r="A51" s="3177"/>
      <c r="B51" s="3177"/>
      <c r="C51" s="2144" t="s">
        <v>156</v>
      </c>
      <c r="D51" s="2141">
        <f>'Ввод данных'!C130</f>
        <v>0</v>
      </c>
      <c r="E51" s="2129">
        <f>'Ввод данных'!D130</f>
        <v>0</v>
      </c>
      <c r="F51" s="938">
        <f t="shared" si="0"/>
        <v>0</v>
      </c>
      <c r="G51" s="2147"/>
      <c r="H51" s="2148"/>
      <c r="I51" s="3178"/>
      <c r="J51" s="2131"/>
      <c r="K51" s="1195"/>
      <c r="L51" s="1195"/>
      <c r="M51" s="1195"/>
      <c r="N51" s="1195"/>
    </row>
    <row r="52" spans="1:14" ht="16">
      <c r="A52" s="3177"/>
      <c r="B52" s="3177"/>
      <c r="C52" s="2144" t="s">
        <v>156</v>
      </c>
      <c r="D52" s="2141">
        <f>'Ввод данных'!C131</f>
        <v>0</v>
      </c>
      <c r="E52" s="2129">
        <f>'Ввод данных'!D131</f>
        <v>0</v>
      </c>
      <c r="F52" s="938">
        <f t="shared" si="0"/>
        <v>0</v>
      </c>
      <c r="G52" s="2149"/>
      <c r="H52" s="2149"/>
      <c r="I52" s="3178"/>
      <c r="J52" s="2131"/>
      <c r="K52" s="1195"/>
      <c r="L52" s="1195"/>
      <c r="M52" s="1195"/>
      <c r="N52" s="1195"/>
    </row>
    <row r="53" spans="1:14" ht="15.5" customHeight="1">
      <c r="A53" s="3177" t="s">
        <v>1872</v>
      </c>
      <c r="B53" s="3177"/>
      <c r="C53" s="2144" t="s">
        <v>156</v>
      </c>
      <c r="D53" s="2141">
        <f>'Ввод данных'!C132</f>
        <v>0</v>
      </c>
      <c r="E53" s="2129">
        <f>'Ввод данных'!D132</f>
        <v>0</v>
      </c>
      <c r="F53" s="938">
        <f t="shared" si="0"/>
        <v>0</v>
      </c>
      <c r="G53" s="2131"/>
      <c r="H53" s="2146"/>
      <c r="I53" s="3178"/>
      <c r="J53" s="2131"/>
      <c r="K53" s="1195"/>
      <c r="L53" s="1195"/>
      <c r="M53" s="1195"/>
      <c r="N53" s="1195"/>
    </row>
    <row r="54" spans="1:14" ht="16">
      <c r="A54" s="3177"/>
      <c r="B54" s="3177"/>
      <c r="C54" s="2144" t="s">
        <v>156</v>
      </c>
      <c r="D54" s="2141">
        <f>'Ввод данных'!C133</f>
        <v>0</v>
      </c>
      <c r="E54" s="2129">
        <f>'Ввод данных'!D133</f>
        <v>0</v>
      </c>
      <c r="F54" s="938">
        <f t="shared" si="0"/>
        <v>0</v>
      </c>
      <c r="G54" s="2131"/>
      <c r="H54" s="2146"/>
      <c r="I54" s="3178"/>
      <c r="J54" s="2131"/>
      <c r="K54" s="1195"/>
      <c r="L54" s="1195"/>
      <c r="M54" s="1195"/>
      <c r="N54" s="1195"/>
    </row>
    <row r="55" spans="1:14" ht="16">
      <c r="A55" s="3177"/>
      <c r="B55" s="3177"/>
      <c r="C55" s="2144" t="s">
        <v>156</v>
      </c>
      <c r="D55" s="2141">
        <f>'Ввод данных'!C134</f>
        <v>0</v>
      </c>
      <c r="E55" s="2129">
        <f>'Ввод данных'!D134</f>
        <v>0</v>
      </c>
      <c r="F55" s="938">
        <f t="shared" si="0"/>
        <v>0</v>
      </c>
      <c r="G55" s="2131"/>
      <c r="H55" s="2146"/>
      <c r="I55" s="3178"/>
      <c r="J55" s="2131"/>
      <c r="K55" s="1195"/>
      <c r="L55" s="1195"/>
      <c r="M55" s="1195"/>
      <c r="N55" s="1195"/>
    </row>
    <row r="56" spans="1:14" ht="16">
      <c r="A56" s="3177"/>
      <c r="B56" s="3177"/>
      <c r="C56" s="2144" t="s">
        <v>156</v>
      </c>
      <c r="D56" s="2141">
        <f>'Ввод данных'!C135</f>
        <v>0</v>
      </c>
      <c r="E56" s="2129">
        <f>'Ввод данных'!D135</f>
        <v>0</v>
      </c>
      <c r="F56" s="938">
        <f t="shared" si="0"/>
        <v>0</v>
      </c>
      <c r="G56" s="2131"/>
      <c r="H56" s="2150"/>
      <c r="I56" s="3178"/>
      <c r="J56" s="2131"/>
      <c r="K56" s="1195"/>
      <c r="L56" s="1195"/>
      <c r="M56" s="1195"/>
      <c r="N56" s="1195"/>
    </row>
    <row r="57" spans="1:14" ht="15.5" customHeight="1">
      <c r="A57" s="3177" t="s">
        <v>1875</v>
      </c>
      <c r="B57" s="3177"/>
      <c r="C57" s="2144" t="s">
        <v>156</v>
      </c>
      <c r="D57" s="2141">
        <f>'Ввод данных'!C136</f>
        <v>4</v>
      </c>
      <c r="E57" s="2129">
        <f>'Ввод данных'!D136</f>
        <v>1</v>
      </c>
      <c r="F57" s="938">
        <f t="shared" si="0"/>
        <v>4</v>
      </c>
      <c r="G57" s="2131"/>
      <c r="H57" s="2150"/>
      <c r="I57" s="2131"/>
      <c r="J57" s="2131"/>
      <c r="K57" s="1195"/>
      <c r="L57" s="1195"/>
      <c r="M57" s="1195"/>
      <c r="N57" s="1195"/>
    </row>
    <row r="58" spans="1:14" ht="16">
      <c r="A58" s="3177"/>
      <c r="B58" s="3177"/>
      <c r="C58" s="2144" t="s">
        <v>156</v>
      </c>
      <c r="D58" s="2141">
        <f>'Ввод данных'!C137</f>
        <v>2</v>
      </c>
      <c r="E58" s="2129">
        <f>'Ввод данных'!D137</f>
        <v>1</v>
      </c>
      <c r="F58" s="938">
        <f t="shared" si="0"/>
        <v>2</v>
      </c>
      <c r="G58" s="2131"/>
      <c r="H58" s="2150"/>
      <c r="I58" s="2131"/>
      <c r="J58" s="2131"/>
      <c r="K58" s="1195"/>
      <c r="L58" s="1195"/>
      <c r="M58" s="1195"/>
      <c r="N58" s="1195"/>
    </row>
    <row r="59" spans="1:14" ht="16">
      <c r="A59" s="3177"/>
      <c r="B59" s="3177"/>
      <c r="C59" s="2144" t="s">
        <v>156</v>
      </c>
      <c r="D59" s="2141">
        <f>'Ввод данных'!C138</f>
        <v>3</v>
      </c>
      <c r="E59" s="2129">
        <f>'Ввод данных'!D138</f>
        <v>1</v>
      </c>
      <c r="F59" s="938">
        <f t="shared" si="0"/>
        <v>3</v>
      </c>
      <c r="G59" s="2131"/>
      <c r="H59" s="2150"/>
      <c r="I59" s="2131"/>
      <c r="J59" s="2131"/>
      <c r="K59" s="1195"/>
      <c r="L59" s="1195"/>
      <c r="M59" s="1195"/>
      <c r="N59" s="1195"/>
    </row>
    <row r="60" spans="1:14" ht="16">
      <c r="A60" s="3177"/>
      <c r="B60" s="3177"/>
      <c r="C60" s="2144" t="s">
        <v>156</v>
      </c>
      <c r="D60" s="2141">
        <f>'Ввод данных'!C139</f>
        <v>0</v>
      </c>
      <c r="E60" s="2129">
        <f>'Ввод данных'!D139</f>
        <v>0</v>
      </c>
      <c r="F60" s="938">
        <f t="shared" si="0"/>
        <v>0</v>
      </c>
      <c r="G60" s="2131"/>
      <c r="H60" s="2150"/>
      <c r="I60" s="2145"/>
      <c r="J60" s="2131"/>
      <c r="K60" s="1195"/>
      <c r="L60" s="1195"/>
      <c r="M60" s="1195"/>
      <c r="N60" s="1195"/>
    </row>
    <row r="61" spans="1:14" ht="15.5" customHeight="1">
      <c r="A61" s="3177" t="s">
        <v>1880</v>
      </c>
      <c r="B61" s="3177"/>
      <c r="C61" s="2144" t="s">
        <v>156</v>
      </c>
      <c r="D61" s="2141">
        <f>'Ввод данных'!C140</f>
        <v>0</v>
      </c>
      <c r="E61" s="2129">
        <f>'Ввод данных'!D140</f>
        <v>0</v>
      </c>
      <c r="F61" s="938">
        <f t="shared" si="0"/>
        <v>0</v>
      </c>
      <c r="G61" s="2131"/>
      <c r="H61" s="2150"/>
      <c r="I61" s="2131"/>
      <c r="J61" s="2151"/>
      <c r="K61" s="1195"/>
      <c r="L61" s="1195"/>
      <c r="M61" s="1195"/>
      <c r="N61" s="1195"/>
    </row>
    <row r="62" spans="1:14" ht="16">
      <c r="A62" s="3177"/>
      <c r="B62" s="3177"/>
      <c r="C62" s="2144" t="s">
        <v>156</v>
      </c>
      <c r="D62" s="2141">
        <f>'Ввод данных'!C141</f>
        <v>0</v>
      </c>
      <c r="E62" s="2129">
        <f>'Ввод данных'!D141</f>
        <v>0</v>
      </c>
      <c r="F62" s="938">
        <f t="shared" si="0"/>
        <v>0</v>
      </c>
      <c r="G62" s="2131"/>
      <c r="H62" s="2150"/>
      <c r="I62" s="2145"/>
      <c r="J62" s="2151"/>
      <c r="K62" s="1195"/>
      <c r="L62" s="1195"/>
      <c r="M62" s="1195"/>
      <c r="N62" s="1195"/>
    </row>
    <row r="63" spans="1:14" ht="16">
      <c r="A63" s="3177"/>
      <c r="B63" s="3177"/>
      <c r="C63" s="2144" t="s">
        <v>156</v>
      </c>
      <c r="D63" s="2141">
        <f>'Ввод данных'!C142</f>
        <v>0</v>
      </c>
      <c r="E63" s="2129">
        <f>'Ввод данных'!D142</f>
        <v>0</v>
      </c>
      <c r="F63" s="938">
        <f t="shared" si="0"/>
        <v>0</v>
      </c>
      <c r="G63" s="2131"/>
      <c r="H63" s="2150"/>
      <c r="I63" s="2131"/>
      <c r="J63" s="2131"/>
      <c r="K63" s="1195"/>
      <c r="L63" s="1195"/>
      <c r="M63" s="1195"/>
      <c r="N63" s="1195"/>
    </row>
    <row r="64" spans="1:14" ht="16">
      <c r="A64" s="3177"/>
      <c r="B64" s="3177"/>
      <c r="C64" s="2144" t="s">
        <v>156</v>
      </c>
      <c r="D64" s="2141">
        <f>'Ввод данных'!C143</f>
        <v>0</v>
      </c>
      <c r="E64" s="2129">
        <f>'Ввод данных'!D143</f>
        <v>0</v>
      </c>
      <c r="F64" s="938">
        <f t="shared" si="0"/>
        <v>0</v>
      </c>
      <c r="G64" s="2131"/>
      <c r="H64" s="2150"/>
      <c r="I64" s="2131"/>
      <c r="J64" s="2131"/>
      <c r="K64" s="1195"/>
      <c r="L64" s="1195"/>
      <c r="M64" s="1195"/>
      <c r="N64" s="1195"/>
    </row>
    <row r="65" spans="1:14" ht="15.5" customHeight="1">
      <c r="A65" s="3179" t="s">
        <v>3875</v>
      </c>
      <c r="B65" s="3179"/>
      <c r="C65" s="938" t="s">
        <v>133</v>
      </c>
      <c r="D65" s="939">
        <f>(E3+E4+E3+E4)*E5+(E3+E4+E3+E4)*E6+(E3/2)*E8*2*E9+(E3+E4+E3+E4)*E11*F11+(E3+E4+E3+E4)*E12*F12+(E3+E4+E3+E4)*E13*F13</f>
        <v>168</v>
      </c>
      <c r="E65" s="927"/>
      <c r="F65" s="2151"/>
      <c r="G65" s="2131"/>
      <c r="H65" s="2150"/>
      <c r="I65" s="2131"/>
      <c r="J65" s="2131"/>
      <c r="K65" s="1195"/>
      <c r="L65" s="1195"/>
      <c r="M65" s="1195"/>
      <c r="N65" s="1195"/>
    </row>
    <row r="66" spans="1:14" ht="15.5" customHeight="1">
      <c r="A66" s="3179" t="s">
        <v>3876</v>
      </c>
      <c r="B66" s="3179"/>
      <c r="C66" s="938" t="s">
        <v>133</v>
      </c>
      <c r="D66" s="939">
        <f>D65-G30-G19</f>
        <v>166.8</v>
      </c>
      <c r="E66" s="927"/>
      <c r="F66" s="2151"/>
      <c r="G66" s="2131"/>
      <c r="H66" s="2150"/>
      <c r="I66" s="2131"/>
      <c r="J66" s="2131"/>
      <c r="K66" s="1195"/>
      <c r="L66" s="1195"/>
      <c r="M66" s="1195"/>
      <c r="N66" s="1195"/>
    </row>
    <row r="67" spans="1:14" ht="15.5" customHeight="1">
      <c r="A67" s="3179" t="s">
        <v>2908</v>
      </c>
      <c r="B67" s="3179"/>
      <c r="C67" s="938" t="s">
        <v>133</v>
      </c>
      <c r="D67" s="939" t="e">
        <f>(F33+F34+F35+F36+F41+F42+F43+F44)*E5+(F49+F50+F51+F52)*(E2-1)*E7+(F57+F58+F59+F60)*((E6+E7)/1.7)*(E2-1)</f>
        <v>#REF!</v>
      </c>
      <c r="E67" s="927"/>
      <c r="F67" s="2151"/>
      <c r="G67" s="2131"/>
      <c r="H67" s="2150"/>
      <c r="I67" s="2131"/>
      <c r="J67" s="2131"/>
      <c r="K67" s="1195"/>
      <c r="L67" s="1195"/>
      <c r="M67" s="1195"/>
      <c r="N67" s="1195"/>
    </row>
    <row r="68" spans="1:14" ht="15.5" customHeight="1">
      <c r="A68" s="3179" t="s">
        <v>2909</v>
      </c>
      <c r="B68" s="3179"/>
      <c r="C68" s="938" t="s">
        <v>133</v>
      </c>
      <c r="D68" s="939" t="e">
        <f>(F37+F38+F39+F40+F45+F46+F47+F48)*E5+(F53+F54+F55+F56)*(E2-1)*E7+(F61+F62+F63+F64)*((E6+E7)/1.7)*(E2-1)</f>
        <v>#REF!</v>
      </c>
      <c r="E68" s="927"/>
      <c r="F68" s="2151"/>
      <c r="G68" s="2131"/>
      <c r="H68" s="2150"/>
      <c r="I68" s="2131"/>
      <c r="J68" s="2131"/>
      <c r="K68" s="1195"/>
      <c r="L68" s="1195"/>
      <c r="M68" s="1195"/>
      <c r="N68" s="1195"/>
    </row>
    <row r="69" spans="1:14" ht="16">
      <c r="A69" s="3180" t="s">
        <v>2910</v>
      </c>
      <c r="B69" s="3180"/>
      <c r="C69" s="938" t="s">
        <v>133</v>
      </c>
      <c r="D69" s="939" t="e">
        <f>(D68+D67)-G25</f>
        <v>#REF!</v>
      </c>
      <c r="E69" s="927"/>
      <c r="F69" s="2151"/>
      <c r="G69" s="2131"/>
      <c r="H69" s="2150"/>
      <c r="I69" s="2131"/>
      <c r="J69" s="2131"/>
      <c r="K69" s="1195"/>
      <c r="L69" s="1195"/>
      <c r="M69" s="1195"/>
      <c r="N69" s="1195"/>
    </row>
    <row r="70" spans="1:14" ht="15.5" customHeight="1">
      <c r="A70" s="3179" t="s">
        <v>3877</v>
      </c>
      <c r="B70" s="3179"/>
      <c r="C70" s="486" t="s">
        <v>133</v>
      </c>
      <c r="D70" s="488" t="e">
        <f>D66+D69</f>
        <v>#REF!</v>
      </c>
      <c r="E70" s="366"/>
      <c r="F70" s="452"/>
      <c r="G70" s="354"/>
      <c r="H70" s="2150"/>
      <c r="I70" s="354"/>
      <c r="J70" s="354"/>
      <c r="K70" s="1195"/>
      <c r="L70" s="1195"/>
      <c r="M70" s="1195"/>
      <c r="N70" s="1195"/>
    </row>
    <row r="71" spans="1:14" ht="16">
      <c r="A71" s="3181" t="s">
        <v>2635</v>
      </c>
      <c r="B71" s="3181"/>
      <c r="C71" s="3181"/>
      <c r="D71" s="3181"/>
      <c r="E71" s="3181"/>
      <c r="F71" s="2139">
        <f>дома!J12</f>
        <v>1</v>
      </c>
      <c r="G71" s="2130" t="s">
        <v>3568</v>
      </c>
      <c r="H71" s="2150"/>
      <c r="I71" s="354"/>
      <c r="J71" s="354"/>
      <c r="K71" s="1195"/>
      <c r="L71" s="1195"/>
      <c r="M71" s="1195"/>
      <c r="N71" s="1195"/>
    </row>
    <row r="72" spans="1:14" ht="16">
      <c r="A72" s="3139" t="s">
        <v>3426</v>
      </c>
      <c r="B72" s="3139"/>
      <c r="C72" s="2154" t="s">
        <v>156</v>
      </c>
      <c r="D72" s="2155">
        <f>E3+E3+E4+E4+F33+F34+F35+F36+F41+F42+F43+F44</f>
        <v>56</v>
      </c>
      <c r="E72" s="2130"/>
      <c r="F72" s="2130"/>
      <c r="G72" s="1276"/>
      <c r="H72" s="2150"/>
      <c r="I72" s="354"/>
      <c r="J72" s="354"/>
      <c r="K72" s="1195"/>
      <c r="L72" s="1195"/>
      <c r="M72" s="1195"/>
      <c r="N72" s="1195"/>
    </row>
    <row r="73" spans="1:14" ht="16">
      <c r="A73" s="3139" t="s">
        <v>3427</v>
      </c>
      <c r="B73" s="3139"/>
      <c r="C73" s="965" t="s">
        <v>133</v>
      </c>
      <c r="D73" s="2156" t="e">
        <f>E3*E4*E2</f>
        <v>#REF!</v>
      </c>
      <c r="E73" s="2130"/>
      <c r="F73" s="2130"/>
      <c r="G73" s="1276"/>
      <c r="H73" s="2150"/>
      <c r="I73" s="354"/>
      <c r="J73" s="354"/>
      <c r="K73" s="1195"/>
      <c r="L73" s="1195"/>
      <c r="M73" s="1195"/>
      <c r="N73" s="1195"/>
    </row>
    <row r="74" spans="1:14" ht="16">
      <c r="A74" s="2157"/>
      <c r="B74" s="2157"/>
      <c r="C74" s="2158"/>
      <c r="D74" s="2130"/>
      <c r="E74" s="2130"/>
      <c r="F74" s="2130"/>
      <c r="G74" s="1276"/>
      <c r="H74" s="2150"/>
      <c r="I74" s="354"/>
      <c r="J74" s="354"/>
      <c r="K74" s="1195"/>
      <c r="L74" s="1195"/>
      <c r="M74" s="1195"/>
      <c r="N74" s="1195"/>
    </row>
    <row r="75" spans="1:14" ht="16">
      <c r="A75" s="2159"/>
      <c r="B75" s="2159"/>
      <c r="C75" s="452"/>
      <c r="D75" s="366"/>
      <c r="E75" s="366"/>
      <c r="F75" s="452"/>
      <c r="G75" s="354"/>
      <c r="H75" s="2150"/>
      <c r="I75" s="354"/>
      <c r="J75" s="354"/>
      <c r="K75" s="1195"/>
      <c r="L75" s="1195"/>
      <c r="M75" s="1195"/>
      <c r="N75" s="1195"/>
    </row>
    <row r="76" spans="1:14" ht="16">
      <c r="A76" s="3147" t="s">
        <v>1925</v>
      </c>
      <c r="B76" s="3147"/>
      <c r="C76" s="3147"/>
      <c r="D76" s="3147"/>
      <c r="E76" s="3147"/>
      <c r="F76" s="3147"/>
      <c r="G76" s="975" t="str">
        <f>'Ввод данных'!F237</f>
        <v>Не считать</v>
      </c>
      <c r="H76" s="354" t="s">
        <v>3823</v>
      </c>
      <c r="I76" s="354"/>
      <c r="J76" s="354"/>
      <c r="K76" s="1195"/>
      <c r="L76" s="1195"/>
      <c r="M76" s="1195"/>
      <c r="N76" s="1195"/>
    </row>
    <row r="77" spans="1:14" ht="16">
      <c r="A77" s="3128" t="s">
        <v>2705</v>
      </c>
      <c r="B77" s="3128"/>
      <c r="C77" s="3128"/>
      <c r="D77" s="2160" t="s">
        <v>156</v>
      </c>
      <c r="E77" s="2160">
        <f>E80*4+E79*2</f>
        <v>47.724357521861535</v>
      </c>
      <c r="F77" s="2139"/>
      <c r="G77" s="354"/>
      <c r="H77" s="2146"/>
      <c r="I77" s="354"/>
      <c r="J77" s="354"/>
      <c r="K77" s="1195"/>
      <c r="L77" s="1195"/>
      <c r="M77" s="1195"/>
      <c r="N77" s="1195"/>
    </row>
    <row r="78" spans="1:14" ht="16">
      <c r="A78" s="3120" t="s">
        <v>3441</v>
      </c>
      <c r="B78" s="3120"/>
      <c r="C78" s="3120"/>
      <c r="D78" s="3120"/>
      <c r="E78" s="1291">
        <f>E8</f>
        <v>4.8</v>
      </c>
      <c r="F78" s="354"/>
      <c r="G78" s="354"/>
      <c r="H78" s="2146"/>
      <c r="I78" s="354"/>
      <c r="J78" s="354"/>
      <c r="K78" s="1195"/>
      <c r="L78" s="1195"/>
      <c r="M78" s="1195"/>
      <c r="N78" s="1195"/>
    </row>
    <row r="79" spans="1:14" ht="16">
      <c r="A79" s="3081" t="s">
        <v>2743</v>
      </c>
      <c r="B79" s="3081"/>
      <c r="C79" s="3081"/>
      <c r="D79" s="263" t="s">
        <v>156</v>
      </c>
      <c r="E79" s="263">
        <f>E4</f>
        <v>10</v>
      </c>
      <c r="F79" s="480"/>
      <c r="G79" s="354"/>
      <c r="H79" s="2146"/>
      <c r="I79" s="354"/>
      <c r="J79" s="354"/>
      <c r="K79" s="1195"/>
      <c r="L79" s="1195"/>
      <c r="M79" s="1195"/>
      <c r="N79" s="1195"/>
    </row>
    <row r="80" spans="1:14" ht="16">
      <c r="A80" s="3081" t="s">
        <v>2600</v>
      </c>
      <c r="B80" s="3081"/>
      <c r="C80" s="3081"/>
      <c r="D80" s="263" t="s">
        <v>156</v>
      </c>
      <c r="E80" s="263">
        <f>SQRT((E3/2)*(E3/2)+E8*E8)</f>
        <v>6.9310893804653828</v>
      </c>
      <c r="F80" s="480"/>
      <c r="G80" s="354"/>
      <c r="H80" s="2146"/>
      <c r="I80" s="354"/>
      <c r="J80" s="354"/>
      <c r="K80" s="1195"/>
      <c r="L80" s="1195"/>
      <c r="M80" s="1195"/>
      <c r="N80" s="1195"/>
    </row>
    <row r="81" spans="1:14" ht="16">
      <c r="A81" s="3081" t="s">
        <v>1927</v>
      </c>
      <c r="B81" s="3081"/>
      <c r="C81" s="3081"/>
      <c r="D81" s="263" t="s">
        <v>156</v>
      </c>
      <c r="E81" s="2129">
        <f>'Ввод данных'!C206</f>
        <v>0.5</v>
      </c>
      <c r="F81" s="2161"/>
      <c r="G81" s="354"/>
      <c r="H81" s="2146"/>
      <c r="I81" s="354"/>
      <c r="J81" s="354"/>
      <c r="K81" s="1195"/>
      <c r="L81" s="1195"/>
      <c r="M81" s="1195"/>
      <c r="N81" s="1195"/>
    </row>
    <row r="82" spans="1:14" ht="16">
      <c r="A82" s="3081" t="s">
        <v>1896</v>
      </c>
      <c r="B82" s="3081"/>
      <c r="C82" s="3081"/>
      <c r="D82" s="263" t="s">
        <v>156</v>
      </c>
      <c r="E82" s="2129">
        <f>'Ввод данных'!C208</f>
        <v>0.8</v>
      </c>
      <c r="F82" s="2161"/>
      <c r="G82" s="354"/>
      <c r="H82" s="2146"/>
      <c r="I82" s="354"/>
      <c r="J82" s="354"/>
      <c r="K82" s="1195"/>
      <c r="L82" s="1195"/>
      <c r="M82" s="1195"/>
      <c r="N82" s="1195"/>
    </row>
    <row r="83" spans="1:14" ht="16">
      <c r="A83" s="3119" t="s">
        <v>2765</v>
      </c>
      <c r="B83" s="3119"/>
      <c r="C83" s="3119"/>
      <c r="D83" s="486" t="s">
        <v>156</v>
      </c>
      <c r="E83" s="1291">
        <f>E80+E82</f>
        <v>7.7310893804653826</v>
      </c>
      <c r="F83" s="354"/>
      <c r="G83" s="354"/>
      <c r="H83" s="2146"/>
      <c r="I83" s="354"/>
      <c r="J83" s="354"/>
      <c r="K83" s="1195"/>
      <c r="L83" s="1195"/>
      <c r="M83" s="1195"/>
      <c r="N83" s="1195"/>
    </row>
    <row r="84" spans="1:14" ht="16">
      <c r="A84" s="3119" t="s">
        <v>2768</v>
      </c>
      <c r="B84" s="3119"/>
      <c r="C84" s="3119"/>
      <c r="D84" s="486" t="s">
        <v>156</v>
      </c>
      <c r="E84" s="1291">
        <f>E79+E81+E81</f>
        <v>11</v>
      </c>
      <c r="F84" s="354"/>
      <c r="G84" s="354"/>
      <c r="H84" s="2146"/>
      <c r="I84" s="354"/>
      <c r="J84" s="354"/>
      <c r="K84" s="1195"/>
      <c r="L84" s="1195"/>
      <c r="M84" s="1195"/>
      <c r="N84" s="1195"/>
    </row>
    <row r="85" spans="1:14" ht="16">
      <c r="A85" s="3081" t="s">
        <v>2773</v>
      </c>
      <c r="B85" s="3081"/>
      <c r="C85" s="3081"/>
      <c r="D85" s="263" t="s">
        <v>133</v>
      </c>
      <c r="E85" s="263">
        <f>E80*E79*2</f>
        <v>138.62178760930766</v>
      </c>
      <c r="F85" s="2161"/>
      <c r="G85" s="354"/>
      <c r="H85" s="2146"/>
      <c r="I85" s="354"/>
      <c r="J85" s="354"/>
      <c r="K85" s="1195"/>
      <c r="L85" s="1195"/>
      <c r="M85" s="1195"/>
      <c r="N85" s="1195"/>
    </row>
    <row r="86" spans="1:14" ht="16">
      <c r="A86" s="3081" t="s">
        <v>2766</v>
      </c>
      <c r="B86" s="3081"/>
      <c r="C86" s="3081"/>
      <c r="D86" s="263" t="s">
        <v>133</v>
      </c>
      <c r="E86" s="263">
        <f>(E80*E81)*4+(E79+E81+E81)*E82*2</f>
        <v>31.462178760930769</v>
      </c>
      <c r="F86" s="618"/>
      <c r="G86" s="354"/>
      <c r="H86" s="2146"/>
      <c r="I86" s="354"/>
      <c r="J86" s="354"/>
      <c r="K86" s="1195"/>
      <c r="L86" s="1195"/>
      <c r="M86" s="1195"/>
      <c r="N86" s="1195"/>
    </row>
    <row r="87" spans="1:14" ht="16">
      <c r="A87" s="3081" t="s">
        <v>2781</v>
      </c>
      <c r="B87" s="3081"/>
      <c r="C87" s="3081"/>
      <c r="D87" s="263" t="s">
        <v>133</v>
      </c>
      <c r="E87" s="263">
        <f>E85+E86</f>
        <v>170.08396637023844</v>
      </c>
      <c r="F87" s="618"/>
      <c r="G87" s="354"/>
      <c r="H87" s="2146"/>
      <c r="I87" s="354"/>
      <c r="J87" s="354"/>
      <c r="K87" s="1195"/>
      <c r="L87" s="1195"/>
      <c r="M87" s="1195"/>
      <c r="N87" s="1195"/>
    </row>
    <row r="88" spans="1:14" ht="16">
      <c r="A88" s="486" t="s">
        <v>2774</v>
      </c>
      <c r="B88" s="486"/>
      <c r="C88" s="486"/>
      <c r="D88" s="486" t="s">
        <v>133</v>
      </c>
      <c r="E88" s="486">
        <f>E87*1.2</f>
        <v>204.10075964428611</v>
      </c>
      <c r="F88" s="354"/>
      <c r="G88" s="354"/>
      <c r="H88" s="2146"/>
      <c r="I88" s="354"/>
      <c r="J88" s="354"/>
      <c r="K88" s="1195"/>
      <c r="L88" s="1195"/>
      <c r="M88" s="1195"/>
      <c r="N88" s="1195"/>
    </row>
    <row r="89" spans="1:14" ht="16">
      <c r="A89" s="548" t="s">
        <v>2628</v>
      </c>
      <c r="B89" s="746"/>
      <c r="C89" s="786"/>
      <c r="D89" s="486" t="s">
        <v>1820</v>
      </c>
      <c r="E89" s="486"/>
      <c r="F89" s="2139"/>
      <c r="G89" s="354"/>
      <c r="H89" s="2146"/>
      <c r="I89" s="354"/>
      <c r="J89" s="354"/>
      <c r="K89" s="1195"/>
      <c r="L89" s="1195"/>
      <c r="M89" s="1195"/>
      <c r="N89" s="1195"/>
    </row>
    <row r="90" spans="1:14" ht="16">
      <c r="A90" s="1061" t="s">
        <v>3518</v>
      </c>
      <c r="B90" s="2162"/>
      <c r="C90" s="2163"/>
      <c r="D90" s="263" t="s">
        <v>156</v>
      </c>
      <c r="E90" s="263">
        <v>0.15</v>
      </c>
      <c r="F90" s="2139"/>
      <c r="G90" s="354"/>
      <c r="H90" s="2146"/>
      <c r="I90" s="354"/>
      <c r="J90" s="354"/>
      <c r="K90" s="1195"/>
      <c r="L90" s="1195"/>
      <c r="M90" s="1195"/>
      <c r="N90" s="1195"/>
    </row>
    <row r="91" spans="1:14" ht="16">
      <c r="A91" s="1056"/>
      <c r="B91" s="2164"/>
      <c r="C91" s="2165"/>
      <c r="D91" s="263" t="s">
        <v>156</v>
      </c>
      <c r="E91" s="263">
        <v>0.2</v>
      </c>
      <c r="F91" s="2139"/>
      <c r="G91" s="424"/>
      <c r="H91" s="2146"/>
      <c r="I91" s="424"/>
      <c r="J91" s="424"/>
      <c r="K91" s="1195"/>
      <c r="L91" s="1195"/>
      <c r="M91" s="1195"/>
      <c r="N91" s="1195"/>
    </row>
    <row r="92" spans="1:14" ht="16">
      <c r="A92" s="1061" t="s">
        <v>2632</v>
      </c>
      <c r="B92" s="2162"/>
      <c r="C92" s="2163"/>
      <c r="D92" s="263" t="s">
        <v>156</v>
      </c>
      <c r="E92" s="263">
        <v>0.15</v>
      </c>
      <c r="F92" s="2139"/>
      <c r="G92" s="424"/>
      <c r="H92" s="2146"/>
      <c r="I92" s="424"/>
      <c r="J92" s="424"/>
      <c r="K92" s="1195"/>
      <c r="L92" s="1195"/>
      <c r="M92" s="1195"/>
      <c r="N92" s="1195"/>
    </row>
    <row r="93" spans="1:14" ht="16">
      <c r="A93" s="1056"/>
      <c r="B93" s="2164"/>
      <c r="C93" s="2165"/>
      <c r="D93" s="263" t="s">
        <v>156</v>
      </c>
      <c r="E93" s="263">
        <v>0.2</v>
      </c>
      <c r="F93" s="2139"/>
      <c r="G93" s="424"/>
      <c r="H93" s="2146"/>
      <c r="I93" s="424"/>
      <c r="J93" s="424"/>
      <c r="K93" s="1195"/>
      <c r="L93" s="1195"/>
      <c r="M93" s="1195"/>
      <c r="N93" s="1195"/>
    </row>
    <row r="94" spans="1:14" ht="16">
      <c r="A94" s="424"/>
      <c r="B94" s="424"/>
      <c r="C94" s="424"/>
      <c r="D94" s="424"/>
      <c r="E94" s="424"/>
      <c r="F94" s="424"/>
      <c r="G94" s="424"/>
      <c r="H94" s="2146"/>
      <c r="I94" s="424"/>
      <c r="J94" s="424"/>
      <c r="K94" s="1195"/>
      <c r="L94" s="1195"/>
      <c r="M94" s="1195"/>
      <c r="N94" s="1195"/>
    </row>
    <row r="95" spans="1:14" ht="16">
      <c r="A95" s="424"/>
      <c r="B95" s="424"/>
      <c r="C95" s="424"/>
      <c r="D95" s="424"/>
      <c r="E95" s="424"/>
      <c r="F95" s="424"/>
      <c r="G95" s="424"/>
      <c r="H95" s="2146"/>
      <c r="I95" s="424"/>
      <c r="J95" s="424"/>
      <c r="K95" s="1195"/>
      <c r="L95" s="1195"/>
      <c r="M95" s="1195"/>
      <c r="N95" s="1195"/>
    </row>
    <row r="96" spans="1:14" ht="16">
      <c r="A96" s="3147" t="s">
        <v>1942</v>
      </c>
      <c r="B96" s="3147"/>
      <c r="C96" s="3147"/>
      <c r="D96" s="3147"/>
      <c r="E96" s="3147"/>
      <c r="F96" s="3147"/>
      <c r="G96" s="975" t="str">
        <f>'Ввод данных'!F273</f>
        <v>Не считать</v>
      </c>
      <c r="H96" s="354" t="s">
        <v>3878</v>
      </c>
      <c r="I96" s="424"/>
      <c r="J96" s="424"/>
      <c r="K96" s="1195"/>
      <c r="L96" s="1195"/>
      <c r="M96" s="1195"/>
      <c r="N96" s="1195"/>
    </row>
    <row r="97" spans="1:14" ht="24">
      <c r="A97" s="3128" t="s">
        <v>2705</v>
      </c>
      <c r="B97" s="3128"/>
      <c r="C97" s="3128"/>
      <c r="D97" s="1238" t="s">
        <v>156</v>
      </c>
      <c r="E97" s="2166">
        <f>E3+E4+E3+E4</f>
        <v>40</v>
      </c>
      <c r="F97" s="2167"/>
      <c r="G97" s="2168"/>
      <c r="H97" s="2146"/>
      <c r="I97" s="424"/>
      <c r="J97" s="424"/>
      <c r="K97" s="1195"/>
      <c r="L97" s="1195"/>
      <c r="M97" s="1195"/>
      <c r="N97" s="1195"/>
    </row>
    <row r="98" spans="1:14" ht="16">
      <c r="A98" s="3119" t="s">
        <v>2739</v>
      </c>
      <c r="B98" s="3119"/>
      <c r="C98" s="3119"/>
      <c r="D98" s="699" t="s">
        <v>156</v>
      </c>
      <c r="E98" s="2169">
        <f>E4</f>
        <v>10</v>
      </c>
      <c r="F98" s="424"/>
      <c r="G98" s="424"/>
      <c r="H98" s="2170"/>
      <c r="I98" s="424"/>
      <c r="J98" s="424"/>
      <c r="K98" s="1195"/>
      <c r="L98" s="1195"/>
      <c r="M98" s="1195"/>
      <c r="N98" s="1195"/>
    </row>
    <row r="99" spans="1:14" ht="16">
      <c r="A99" s="3119" t="s">
        <v>2744</v>
      </c>
      <c r="B99" s="3119"/>
      <c r="C99" s="3119"/>
      <c r="D99" s="699" t="s">
        <v>156</v>
      </c>
      <c r="E99" s="2169">
        <f>E3</f>
        <v>10</v>
      </c>
      <c r="F99" s="425"/>
      <c r="G99" s="425"/>
      <c r="H99" s="2170"/>
      <c r="I99" s="424"/>
      <c r="J99" s="424"/>
      <c r="K99" s="1195"/>
      <c r="L99" s="1195"/>
      <c r="M99" s="1195"/>
      <c r="N99" s="1195"/>
    </row>
    <row r="100" spans="1:14" ht="16">
      <c r="A100" s="3120" t="s">
        <v>3441</v>
      </c>
      <c r="B100" s="3120"/>
      <c r="C100" s="3120"/>
      <c r="D100" s="3120"/>
      <c r="E100" s="2171">
        <f>E8</f>
        <v>4.8</v>
      </c>
      <c r="F100" s="425"/>
      <c r="G100" s="425"/>
      <c r="H100" s="2170"/>
      <c r="I100" s="424"/>
      <c r="J100" s="424"/>
      <c r="K100" s="1195"/>
      <c r="L100" s="1195"/>
      <c r="M100" s="1195"/>
      <c r="N100" s="1195"/>
    </row>
    <row r="101" spans="1:14" ht="16">
      <c r="A101" s="3081" t="s">
        <v>1943</v>
      </c>
      <c r="B101" s="3081"/>
      <c r="C101" s="3081"/>
      <c r="D101" s="261" t="s">
        <v>156</v>
      </c>
      <c r="E101" s="2129">
        <f>'Ввод данных'!C248</f>
        <v>5</v>
      </c>
      <c r="F101" s="2053"/>
      <c r="G101" s="2053"/>
      <c r="H101" s="2170"/>
      <c r="I101" s="424"/>
      <c r="J101" s="424"/>
      <c r="K101" s="1195"/>
      <c r="L101" s="1195"/>
      <c r="M101" s="1195"/>
      <c r="N101" s="1195"/>
    </row>
    <row r="102" spans="1:14" ht="16">
      <c r="A102" s="3081" t="s">
        <v>2752</v>
      </c>
      <c r="B102" s="3081"/>
      <c r="C102" s="3081"/>
      <c r="D102" s="261" t="s">
        <v>156</v>
      </c>
      <c r="E102" s="2172">
        <f>SQRT(E100*E100+((E99/2)+E104)*((E99/2)+E104))</f>
        <v>7.3</v>
      </c>
      <c r="F102" s="2053"/>
      <c r="G102" s="2053"/>
      <c r="H102" s="2170"/>
      <c r="I102" s="424"/>
      <c r="J102" s="424"/>
      <c r="K102" s="1195"/>
      <c r="L102" s="1195"/>
      <c r="M102" s="1195"/>
      <c r="N102" s="1195"/>
    </row>
    <row r="103" spans="1:14" ht="16">
      <c r="A103" s="3081" t="s">
        <v>2755</v>
      </c>
      <c r="B103" s="3081"/>
      <c r="C103" s="3081"/>
      <c r="D103" s="261" t="s">
        <v>156</v>
      </c>
      <c r="E103" s="2172">
        <f>SQRT(E100*E100+((E98-E101)/2)*((E98-E101)/2))</f>
        <v>5.4120236510939232</v>
      </c>
      <c r="F103" s="2173"/>
      <c r="G103" s="2174"/>
      <c r="H103" s="2170"/>
      <c r="I103" s="424"/>
      <c r="J103" s="424"/>
      <c r="K103" s="1195"/>
      <c r="L103" s="1195"/>
      <c r="M103" s="1195"/>
      <c r="N103" s="1195"/>
    </row>
    <row r="104" spans="1:14" ht="16">
      <c r="A104" s="3081" t="s">
        <v>1927</v>
      </c>
      <c r="B104" s="3081"/>
      <c r="C104" s="3081"/>
      <c r="D104" s="261" t="s">
        <v>156</v>
      </c>
      <c r="E104" s="2129">
        <f>'Ввод данных'!C249</f>
        <v>0.5</v>
      </c>
      <c r="F104" s="2173"/>
      <c r="G104" s="2174"/>
      <c r="H104" s="2170"/>
      <c r="I104" s="424"/>
      <c r="J104" s="424"/>
      <c r="K104" s="1195"/>
      <c r="L104" s="1195"/>
      <c r="M104" s="1195"/>
      <c r="N104" s="1195"/>
    </row>
    <row r="105" spans="1:14" ht="16">
      <c r="A105" s="3081" t="s">
        <v>1896</v>
      </c>
      <c r="B105" s="3081"/>
      <c r="C105" s="3081"/>
      <c r="D105" s="261" t="s">
        <v>156</v>
      </c>
      <c r="E105" s="2129">
        <f>'Ввод данных'!C250</f>
        <v>0.5</v>
      </c>
      <c r="F105" s="2173"/>
      <c r="G105" s="2174"/>
      <c r="H105" s="2170"/>
      <c r="I105" s="424"/>
      <c r="J105" s="424"/>
      <c r="K105" s="1195"/>
      <c r="L105" s="1195"/>
      <c r="M105" s="1195"/>
      <c r="N105" s="1195"/>
    </row>
    <row r="106" spans="1:14" ht="16">
      <c r="A106" s="3119" t="s">
        <v>2757</v>
      </c>
      <c r="B106" s="3119"/>
      <c r="C106" s="3119"/>
      <c r="D106" s="699" t="s">
        <v>156</v>
      </c>
      <c r="E106" s="2169">
        <f>SQRT(G103*G103+((E99/2)+E104)*((E99/2)+E104))</f>
        <v>5.5</v>
      </c>
      <c r="F106" s="425"/>
      <c r="G106" s="425"/>
      <c r="H106" s="2170"/>
      <c r="I106" s="424"/>
      <c r="J106" s="424"/>
      <c r="K106" s="1195"/>
      <c r="L106" s="1195"/>
      <c r="M106" s="1195"/>
      <c r="N106" s="1195"/>
    </row>
    <row r="107" spans="1:14" ht="16">
      <c r="A107" s="3081" t="s">
        <v>2766</v>
      </c>
      <c r="B107" s="3081"/>
      <c r="C107" s="3081"/>
      <c r="D107" s="261" t="s">
        <v>133</v>
      </c>
      <c r="E107" s="2172">
        <f>(E99+E104+E104)*E105*2+E98*2*E104</f>
        <v>21</v>
      </c>
      <c r="F107" s="2175"/>
      <c r="G107" s="2174"/>
      <c r="H107" s="2170"/>
      <c r="I107" s="354"/>
      <c r="J107" s="354"/>
      <c r="K107" s="1195"/>
      <c r="L107" s="1195"/>
      <c r="M107" s="1195"/>
      <c r="N107" s="1195"/>
    </row>
    <row r="108" spans="1:14" ht="16">
      <c r="A108" s="3081" t="s">
        <v>2769</v>
      </c>
      <c r="B108" s="3081"/>
      <c r="C108" s="3081"/>
      <c r="D108" s="699" t="s">
        <v>133</v>
      </c>
      <c r="E108" s="2169">
        <f>((E99/2)+E104)*E103*2+((E98+E105+E105-E101)/2)*((E98+E105+E105-E101)/2)*4+E101*E102*2</f>
        <v>168.53226016203314</v>
      </c>
      <c r="F108" s="424"/>
      <c r="G108" s="424"/>
      <c r="H108" s="2170"/>
      <c r="I108" s="354"/>
      <c r="J108" s="354"/>
      <c r="K108" s="1195"/>
      <c r="L108" s="1195"/>
      <c r="M108" s="1195"/>
      <c r="N108" s="1195"/>
    </row>
    <row r="109" spans="1:14" ht="16">
      <c r="A109" s="3081" t="s">
        <v>2774</v>
      </c>
      <c r="B109" s="3081"/>
      <c r="C109" s="3081"/>
      <c r="D109" s="261" t="s">
        <v>133</v>
      </c>
      <c r="E109" s="2172">
        <f>E108*1.5</f>
        <v>252.79839024304971</v>
      </c>
      <c r="F109" s="2139"/>
      <c r="G109" s="2174"/>
      <c r="H109" s="2170"/>
      <c r="I109" s="354"/>
      <c r="J109" s="354"/>
      <c r="K109" s="1195"/>
      <c r="L109" s="1195"/>
      <c r="M109" s="1195"/>
      <c r="N109" s="1195"/>
    </row>
    <row r="110" spans="1:14" ht="16">
      <c r="A110" s="3119" t="s">
        <v>2628</v>
      </c>
      <c r="B110" s="3119"/>
      <c r="C110" s="3119"/>
      <c r="D110" s="704" t="s">
        <v>1820</v>
      </c>
      <c r="E110" s="2171"/>
      <c r="F110" s="2139"/>
      <c r="G110" s="2174"/>
      <c r="H110" s="2170"/>
      <c r="I110" s="354"/>
      <c r="J110" s="354"/>
      <c r="K110" s="1195"/>
      <c r="L110" s="1195"/>
      <c r="M110" s="1195"/>
      <c r="N110" s="1195"/>
    </row>
    <row r="111" spans="1:14" ht="16">
      <c r="A111" s="3080" t="s">
        <v>3518</v>
      </c>
      <c r="B111" s="3080"/>
      <c r="C111" s="3080"/>
      <c r="D111" s="263" t="s">
        <v>156</v>
      </c>
      <c r="E111" s="1057">
        <v>0.15</v>
      </c>
      <c r="F111" s="2139"/>
      <c r="G111" s="2174"/>
      <c r="H111" s="2170"/>
      <c r="I111" s="354"/>
      <c r="J111" s="354"/>
      <c r="K111" s="1195"/>
      <c r="L111" s="1195"/>
      <c r="M111" s="1195"/>
      <c r="N111" s="1195"/>
    </row>
    <row r="112" spans="1:14" ht="16">
      <c r="A112" s="3080"/>
      <c r="B112" s="3080"/>
      <c r="C112" s="3080"/>
      <c r="D112" s="263" t="s">
        <v>156</v>
      </c>
      <c r="E112" s="1057">
        <v>0.2</v>
      </c>
      <c r="F112" s="2139"/>
      <c r="G112" s="2174"/>
      <c r="H112" s="2170"/>
      <c r="I112" s="354"/>
      <c r="J112" s="354"/>
      <c r="K112" s="1195"/>
      <c r="L112" s="1195"/>
      <c r="M112" s="1195"/>
      <c r="N112" s="1195"/>
    </row>
    <row r="113" spans="1:14" ht="16">
      <c r="A113" s="3080" t="s">
        <v>2632</v>
      </c>
      <c r="B113" s="3080"/>
      <c r="C113" s="3080"/>
      <c r="D113" s="263" t="s">
        <v>156</v>
      </c>
      <c r="E113" s="1057">
        <v>0.15</v>
      </c>
      <c r="F113" s="2139"/>
      <c r="G113" s="2174"/>
      <c r="H113" s="2146"/>
      <c r="I113" s="354"/>
      <c r="J113" s="354"/>
      <c r="K113" s="1195"/>
      <c r="L113" s="1195"/>
      <c r="M113" s="1195"/>
      <c r="N113" s="1195"/>
    </row>
    <row r="114" spans="1:14" ht="16">
      <c r="A114" s="3080"/>
      <c r="B114" s="3080"/>
      <c r="C114" s="3080"/>
      <c r="D114" s="263" t="s">
        <v>156</v>
      </c>
      <c r="E114" s="1057">
        <v>0.2</v>
      </c>
      <c r="F114" s="2139"/>
      <c r="G114" s="2174"/>
      <c r="H114" s="2146"/>
      <c r="I114" s="354"/>
      <c r="J114" s="354"/>
      <c r="K114" s="1195"/>
      <c r="L114" s="1195"/>
      <c r="M114" s="1195"/>
      <c r="N114" s="1195"/>
    </row>
    <row r="115" spans="1:14" ht="16">
      <c r="A115" s="490"/>
      <c r="B115" s="490"/>
      <c r="C115" s="490"/>
      <c r="D115" s="492"/>
      <c r="E115" s="513"/>
      <c r="F115" s="516"/>
      <c r="G115" s="2174"/>
      <c r="H115" s="2146"/>
      <c r="I115" s="354"/>
      <c r="J115" s="354"/>
      <c r="K115" s="1195"/>
      <c r="L115" s="1195"/>
      <c r="M115" s="1195"/>
      <c r="N115" s="1195"/>
    </row>
    <row r="116" spans="1:14" ht="16">
      <c r="A116" s="490"/>
      <c r="B116" s="490"/>
      <c r="C116" s="490"/>
      <c r="D116" s="492"/>
      <c r="E116" s="513"/>
      <c r="F116" s="516"/>
      <c r="G116" s="2174"/>
      <c r="H116" s="2146"/>
      <c r="I116" s="354"/>
      <c r="J116" s="354"/>
      <c r="K116" s="1195"/>
      <c r="L116" s="1195"/>
      <c r="M116" s="1195"/>
      <c r="N116" s="1195"/>
    </row>
    <row r="117" spans="1:14" ht="16">
      <c r="A117" s="354"/>
      <c r="B117" s="354"/>
      <c r="C117" s="354"/>
      <c r="D117" s="354"/>
      <c r="E117" s="354"/>
      <c r="F117" s="354"/>
      <c r="G117" s="2174"/>
      <c r="H117" s="2146"/>
      <c r="I117" s="354"/>
      <c r="J117" s="354"/>
      <c r="K117" s="1195"/>
      <c r="L117" s="1195"/>
      <c r="M117" s="1195"/>
      <c r="N117" s="1195"/>
    </row>
    <row r="118" spans="1:14" ht="16">
      <c r="A118" s="492"/>
      <c r="B118" s="492"/>
      <c r="C118" s="941"/>
      <c r="D118" s="2176"/>
      <c r="E118" s="2176"/>
      <c r="F118" s="452"/>
      <c r="G118" s="354"/>
      <c r="H118" s="2170"/>
      <c r="I118" s="354"/>
      <c r="J118" s="354"/>
      <c r="K118" s="1195"/>
      <c r="L118" s="1195"/>
      <c r="M118" s="1195"/>
      <c r="N118" s="1195"/>
    </row>
    <row r="119" spans="1:14" ht="16">
      <c r="A119" s="3147" t="s">
        <v>1965</v>
      </c>
      <c r="B119" s="3147"/>
      <c r="C119" s="3147"/>
      <c r="D119" s="3147"/>
      <c r="E119" s="3147"/>
      <c r="F119" s="3147"/>
      <c r="G119" s="975" t="str">
        <f>'Ввод данных'!F353</f>
        <v>Не считать</v>
      </c>
      <c r="H119" s="354" t="s">
        <v>3879</v>
      </c>
      <c r="I119" s="354"/>
      <c r="J119" s="354"/>
      <c r="K119" s="1195"/>
      <c r="L119" s="1195"/>
      <c r="M119" s="1195"/>
      <c r="N119" s="1195"/>
    </row>
    <row r="120" spans="1:14" ht="16">
      <c r="A120" s="3147" t="s">
        <v>1236</v>
      </c>
      <c r="B120" s="3147"/>
      <c r="C120" s="3147"/>
      <c r="D120" s="1208" t="s">
        <v>120</v>
      </c>
      <c r="E120" s="1208" t="s">
        <v>1802</v>
      </c>
      <c r="F120" s="1208"/>
      <c r="G120" s="366"/>
      <c r="H120" s="354"/>
      <c r="I120" s="354"/>
      <c r="J120" s="354"/>
      <c r="K120" s="1195"/>
      <c r="L120" s="1195"/>
      <c r="M120" s="1195"/>
      <c r="N120" s="1195"/>
    </row>
    <row r="121" spans="1:14" ht="16">
      <c r="A121" s="3119" t="s">
        <v>2902</v>
      </c>
      <c r="B121" s="3119"/>
      <c r="C121" s="3119"/>
      <c r="D121" s="725" t="s">
        <v>159</v>
      </c>
      <c r="E121" s="486">
        <v>1</v>
      </c>
      <c r="F121" s="2139" t="e">
        <f>'Ввод данных'!#REF!</f>
        <v>#REF!</v>
      </c>
      <c r="G121" s="354"/>
      <c r="H121" s="354"/>
      <c r="I121" s="354"/>
      <c r="J121" s="354"/>
      <c r="K121" s="1195"/>
      <c r="L121" s="1195"/>
      <c r="M121" s="1195"/>
      <c r="N121" s="1195"/>
    </row>
    <row r="122" spans="1:14" ht="24">
      <c r="A122" s="3182" t="s">
        <v>2903</v>
      </c>
      <c r="B122" s="3182"/>
      <c r="C122" s="3182"/>
      <c r="D122" s="1238" t="s">
        <v>159</v>
      </c>
      <c r="E122" s="2177">
        <v>1</v>
      </c>
      <c r="F122" s="2139" t="e">
        <f>'Ввод данных'!#REF!</f>
        <v>#REF!</v>
      </c>
      <c r="G122" s="2168"/>
      <c r="H122" s="2146"/>
      <c r="I122" s="354"/>
      <c r="J122" s="354"/>
      <c r="K122" s="1195"/>
      <c r="L122" s="1195"/>
      <c r="M122" s="1195"/>
      <c r="N122" s="1195"/>
    </row>
    <row r="123" spans="1:14" ht="16">
      <c r="A123" s="3119" t="s">
        <v>1978</v>
      </c>
      <c r="B123" s="3119"/>
      <c r="C123" s="3119"/>
      <c r="D123" s="699" t="s">
        <v>156</v>
      </c>
      <c r="E123" s="2129">
        <f>'Ввод данных'!C331</f>
        <v>1</v>
      </c>
      <c r="F123" s="424"/>
      <c r="G123" s="424"/>
      <c r="H123" s="2170"/>
      <c r="I123" s="354"/>
      <c r="J123" s="354"/>
      <c r="K123" s="1195"/>
      <c r="L123" s="1195"/>
      <c r="M123" s="1195"/>
      <c r="N123" s="1195"/>
    </row>
    <row r="124" spans="1:14" ht="16">
      <c r="A124" s="3119" t="s">
        <v>1979</v>
      </c>
      <c r="B124" s="3119"/>
      <c r="C124" s="3119"/>
      <c r="D124" s="699" t="s">
        <v>156</v>
      </c>
      <c r="E124" s="2129">
        <f>'Ввод данных'!C332</f>
        <v>2</v>
      </c>
      <c r="F124" s="425"/>
      <c r="G124" s="425"/>
      <c r="H124" s="2170"/>
      <c r="I124" s="354"/>
      <c r="J124" s="354"/>
      <c r="K124" s="2127"/>
      <c r="L124" s="1195"/>
      <c r="M124" s="1195"/>
      <c r="N124" s="1195"/>
    </row>
    <row r="125" spans="1:14" ht="16">
      <c r="A125" s="3183" t="s">
        <v>3500</v>
      </c>
      <c r="B125" s="3183"/>
      <c r="C125" s="3183"/>
      <c r="D125" s="761" t="s">
        <v>156</v>
      </c>
      <c r="E125" s="2129">
        <f>'Ввод данных'!C329</f>
        <v>2</v>
      </c>
      <c r="F125" s="425"/>
      <c r="G125" s="425"/>
      <c r="H125" s="2170"/>
      <c r="I125" s="354"/>
      <c r="J125" s="354"/>
      <c r="K125" s="2130"/>
      <c r="L125" s="1195"/>
      <c r="M125" s="1195"/>
      <c r="N125" s="1195"/>
    </row>
    <row r="126" spans="1:14" ht="16">
      <c r="A126" s="3081" t="s">
        <v>1943</v>
      </c>
      <c r="B126" s="3081"/>
      <c r="C126" s="3081"/>
      <c r="D126" s="261" t="s">
        <v>156</v>
      </c>
      <c r="E126" s="2129">
        <f>'Ввод данных'!C333</f>
        <v>2</v>
      </c>
      <c r="F126" s="2053"/>
      <c r="G126" s="2053"/>
      <c r="H126" s="2170"/>
      <c r="I126" s="354"/>
      <c r="J126" s="354"/>
      <c r="K126" s="2130"/>
      <c r="L126" s="1195"/>
      <c r="M126" s="1195"/>
      <c r="N126" s="1195"/>
    </row>
    <row r="127" spans="1:14" ht="16">
      <c r="A127" s="3081" t="s">
        <v>3504</v>
      </c>
      <c r="B127" s="3081"/>
      <c r="C127" s="3081"/>
      <c r="D127" s="261" t="s">
        <v>156</v>
      </c>
      <c r="E127" s="2172">
        <f>SQRT((E124/2)*(E124/2)+E125*E125)</f>
        <v>2.2360679774997898</v>
      </c>
      <c r="F127" s="2053"/>
      <c r="G127" s="2053"/>
      <c r="H127" s="2170"/>
      <c r="I127" s="354"/>
      <c r="J127" s="354"/>
      <c r="K127" s="2130"/>
      <c r="L127" s="1195"/>
      <c r="M127" s="1195"/>
      <c r="N127" s="1195"/>
    </row>
    <row r="128" spans="1:14" ht="16">
      <c r="A128" s="547" t="s">
        <v>3505</v>
      </c>
      <c r="B128" s="1233"/>
      <c r="C128" s="784"/>
      <c r="D128" s="699" t="s">
        <v>156</v>
      </c>
      <c r="E128" s="2169">
        <f>SQRT((E126-E123)*(E126-E123)+E127*E127)</f>
        <v>2.4494897427831783</v>
      </c>
      <c r="F128" s="2173"/>
      <c r="G128" s="2174"/>
      <c r="H128" s="2170"/>
      <c r="I128" s="354"/>
      <c r="J128" s="354"/>
      <c r="K128" s="2130"/>
      <c r="L128" s="1195"/>
      <c r="M128" s="1195"/>
      <c r="N128" s="1195"/>
    </row>
    <row r="129" spans="1:14" ht="16">
      <c r="A129" s="547" t="s">
        <v>3507</v>
      </c>
      <c r="B129" s="1233"/>
      <c r="C129" s="784"/>
      <c r="D129" s="261" t="s">
        <v>156</v>
      </c>
      <c r="E129" s="2172">
        <f>SQRT(E126*E126+E127*E127)</f>
        <v>3</v>
      </c>
      <c r="F129" s="2173"/>
      <c r="G129" s="2174"/>
      <c r="H129" s="2170"/>
      <c r="I129" s="354"/>
      <c r="J129" s="354"/>
      <c r="K129" s="2130"/>
      <c r="L129" s="1195"/>
      <c r="M129" s="1195"/>
      <c r="N129" s="1195"/>
    </row>
    <row r="130" spans="1:14" ht="16">
      <c r="A130" s="3081" t="s">
        <v>3508</v>
      </c>
      <c r="B130" s="3081"/>
      <c r="C130" s="3081"/>
      <c r="D130" s="261" t="s">
        <v>133</v>
      </c>
      <c r="E130" s="2172">
        <f>E127*(E126-E123)+E127*E123*2</f>
        <v>6.7082039324993694</v>
      </c>
      <c r="F130" s="2173"/>
      <c r="G130" s="2174"/>
      <c r="H130" s="2170"/>
      <c r="I130" s="354"/>
      <c r="J130" s="354"/>
      <c r="K130" s="927"/>
      <c r="L130" s="1195"/>
      <c r="M130" s="1195"/>
      <c r="N130" s="1195"/>
    </row>
    <row r="131" spans="1:14" ht="16">
      <c r="A131" s="3119" t="s">
        <v>3880</v>
      </c>
      <c r="B131" s="3119"/>
      <c r="C131" s="3119"/>
      <c r="D131" s="725" t="s">
        <v>133</v>
      </c>
      <c r="E131" s="1291">
        <f>E127*E126</f>
        <v>4.4721359549995796</v>
      </c>
      <c r="F131" s="425"/>
      <c r="G131" s="425"/>
      <c r="H131" s="2170"/>
      <c r="I131" s="354"/>
      <c r="J131" s="354"/>
      <c r="K131" s="2130"/>
      <c r="L131" s="1195"/>
      <c r="M131" s="1195"/>
      <c r="N131" s="1195"/>
    </row>
    <row r="132" spans="1:14" ht="16">
      <c r="A132" s="3119" t="s">
        <v>3510</v>
      </c>
      <c r="B132" s="3119"/>
      <c r="C132" s="3119"/>
      <c r="D132" s="725" t="s">
        <v>133</v>
      </c>
      <c r="E132" s="486">
        <f>SQRT(E129*E129-(E124/2)*(E124/2))</f>
        <v>2.8284271247461903</v>
      </c>
      <c r="F132" s="354"/>
      <c r="G132" s="2174"/>
      <c r="H132" s="2170"/>
      <c r="I132" s="354"/>
      <c r="J132" s="354"/>
      <c r="K132" s="2178"/>
      <c r="L132" s="1195"/>
      <c r="M132" s="1195"/>
      <c r="N132" s="1195"/>
    </row>
    <row r="133" spans="1:14" ht="16">
      <c r="A133" s="3081" t="s">
        <v>3512</v>
      </c>
      <c r="B133" s="3081"/>
      <c r="C133" s="3081"/>
      <c r="D133" s="486" t="s">
        <v>133</v>
      </c>
      <c r="E133" s="486">
        <f>E130*1.35</f>
        <v>9.0560753088741492</v>
      </c>
      <c r="F133" s="354"/>
      <c r="G133" s="424"/>
      <c r="H133" s="2170"/>
      <c r="I133" s="354"/>
      <c r="J133" s="354"/>
      <c r="K133" s="2138"/>
      <c r="L133" s="1195"/>
      <c r="M133" s="1195"/>
      <c r="N133" s="1195"/>
    </row>
    <row r="134" spans="1:14" ht="16">
      <c r="A134" s="3081" t="s">
        <v>3881</v>
      </c>
      <c r="B134" s="3081"/>
      <c r="C134" s="3081"/>
      <c r="D134" s="488" t="s">
        <v>133</v>
      </c>
      <c r="E134" s="488">
        <f>E131*1.35</f>
        <v>6.0373835392494328</v>
      </c>
      <c r="F134" s="354"/>
      <c r="G134" s="2174"/>
      <c r="H134" s="2170"/>
      <c r="I134" s="354"/>
      <c r="J134" s="354"/>
      <c r="K134" s="2138"/>
      <c r="L134" s="1195"/>
      <c r="M134" s="1195"/>
      <c r="N134" s="1195"/>
    </row>
    <row r="135" spans="1:14" ht="16">
      <c r="A135" s="3119" t="s">
        <v>2628</v>
      </c>
      <c r="B135" s="3119"/>
      <c r="C135" s="3119"/>
      <c r="D135" s="704" t="s">
        <v>1820</v>
      </c>
      <c r="E135" s="2171"/>
      <c r="F135" s="2139"/>
      <c r="G135" s="2174"/>
      <c r="H135" s="2170"/>
      <c r="I135" s="354"/>
      <c r="J135" s="354"/>
      <c r="K135" s="2130"/>
      <c r="L135" s="1195"/>
      <c r="M135" s="1195"/>
      <c r="N135" s="1195"/>
    </row>
    <row r="136" spans="1:14" ht="16">
      <c r="A136" s="3080" t="s">
        <v>3518</v>
      </c>
      <c r="B136" s="3080"/>
      <c r="C136" s="3080"/>
      <c r="D136" s="261" t="s">
        <v>156</v>
      </c>
      <c r="E136" s="1057">
        <v>0.15</v>
      </c>
      <c r="F136" s="2139"/>
      <c r="G136" s="2174"/>
      <c r="H136" s="2170"/>
      <c r="I136" s="354"/>
      <c r="J136" s="354"/>
      <c r="K136" s="2130"/>
      <c r="L136" s="1195"/>
      <c r="M136" s="1195"/>
      <c r="N136" s="1195"/>
    </row>
    <row r="137" spans="1:14" ht="16">
      <c r="A137" s="3080"/>
      <c r="B137" s="3080"/>
      <c r="C137" s="3080"/>
      <c r="D137" s="261" t="s">
        <v>156</v>
      </c>
      <c r="E137" s="1057">
        <v>0.2</v>
      </c>
      <c r="F137" s="2139"/>
      <c r="G137" s="2174"/>
      <c r="H137" s="2170"/>
      <c r="I137" s="354"/>
      <c r="J137" s="354"/>
      <c r="K137" s="2130"/>
      <c r="L137" s="1195"/>
      <c r="M137" s="1195"/>
      <c r="N137" s="1195"/>
    </row>
    <row r="138" spans="1:14" ht="16">
      <c r="A138" s="3080" t="s">
        <v>2632</v>
      </c>
      <c r="B138" s="3080"/>
      <c r="C138" s="3080"/>
      <c r="D138" s="261" t="s">
        <v>156</v>
      </c>
      <c r="E138" s="1057">
        <v>0.15</v>
      </c>
      <c r="F138" s="2139"/>
      <c r="G138" s="354"/>
      <c r="H138" s="2150"/>
      <c r="I138" s="354"/>
      <c r="J138" s="354"/>
      <c r="K138" s="2130"/>
      <c r="L138" s="1195"/>
      <c r="M138" s="1195"/>
      <c r="N138" s="1195"/>
    </row>
    <row r="139" spans="1:14" ht="16">
      <c r="A139" s="3080"/>
      <c r="B139" s="3080"/>
      <c r="C139" s="3080"/>
      <c r="D139" s="261" t="s">
        <v>156</v>
      </c>
      <c r="E139" s="1057">
        <v>0.2</v>
      </c>
      <c r="F139" s="2139"/>
      <c r="G139" s="354"/>
      <c r="H139" s="2150"/>
      <c r="I139" s="354"/>
      <c r="J139" s="354"/>
      <c r="K139" s="2130"/>
      <c r="L139" s="1195"/>
      <c r="M139" s="1195"/>
      <c r="N139" s="1195"/>
    </row>
    <row r="140" spans="1:14" ht="16">
      <c r="A140" s="354"/>
      <c r="B140" s="354"/>
      <c r="C140" s="354"/>
      <c r="D140" s="354"/>
      <c r="E140" s="354"/>
      <c r="F140" s="452"/>
      <c r="G140" s="354"/>
      <c r="H140" s="2150"/>
      <c r="I140" s="354"/>
      <c r="J140" s="354"/>
      <c r="K140" s="1036"/>
      <c r="L140" s="1195"/>
      <c r="M140" s="1195"/>
      <c r="N140" s="1195"/>
    </row>
    <row r="141" spans="1:14" ht="16">
      <c r="A141" s="2131"/>
      <c r="B141" s="2131"/>
      <c r="C141" s="2131"/>
      <c r="D141" s="2131"/>
      <c r="E141" s="2130"/>
      <c r="F141" s="2158"/>
      <c r="G141" s="2131"/>
      <c r="H141" s="2150"/>
      <c r="I141" s="2150"/>
      <c r="J141" s="2150"/>
      <c r="K141" s="1036"/>
      <c r="L141" s="1195"/>
      <c r="M141" s="1195"/>
      <c r="N141" s="1195"/>
    </row>
    <row r="142" spans="1:14" ht="16">
      <c r="A142" s="2131"/>
      <c r="B142" s="2131"/>
      <c r="C142" s="2131"/>
      <c r="D142" s="2131"/>
      <c r="E142" s="2131"/>
      <c r="F142" s="2131"/>
      <c r="G142" s="2131"/>
      <c r="H142" s="2150"/>
      <c r="I142" s="2150"/>
      <c r="J142" s="2150"/>
      <c r="K142" s="1036"/>
      <c r="L142" s="1195"/>
      <c r="M142" s="1195"/>
      <c r="N142" s="1195"/>
    </row>
    <row r="143" spans="1:14" ht="16">
      <c r="A143" s="922" t="s">
        <v>2544</v>
      </c>
      <c r="B143" s="2179"/>
      <c r="C143" s="2137" t="s">
        <v>120</v>
      </c>
      <c r="D143" s="2137" t="s">
        <v>1753</v>
      </c>
      <c r="E143" s="2129" t="str">
        <f>'Ввод данных'!F416</f>
        <v>Не считать</v>
      </c>
      <c r="F143" s="2180" t="s">
        <v>2545</v>
      </c>
      <c r="G143" s="2131"/>
      <c r="H143" s="2150"/>
      <c r="I143" s="2150"/>
      <c r="J143" s="2150"/>
      <c r="K143" s="1036"/>
      <c r="L143" s="1195"/>
      <c r="M143" s="1195"/>
      <c r="N143" s="1195"/>
    </row>
    <row r="144" spans="1:14" ht="16">
      <c r="A144" s="3119" t="s">
        <v>2547</v>
      </c>
      <c r="B144" s="3119"/>
      <c r="C144" s="786" t="s">
        <v>159</v>
      </c>
      <c r="D144" s="2141"/>
      <c r="E144" s="2131"/>
      <c r="F144" s="2131"/>
      <c r="G144" s="2131"/>
      <c r="H144" s="2131"/>
      <c r="I144" s="2131"/>
      <c r="J144" s="2131"/>
      <c r="K144" s="927"/>
      <c r="L144" s="1195"/>
      <c r="M144" s="1195"/>
      <c r="N144" s="1195"/>
    </row>
    <row r="145" spans="1:14" ht="16">
      <c r="A145" s="3119" t="s">
        <v>2552</v>
      </c>
      <c r="B145" s="3119"/>
      <c r="C145" s="786" t="s">
        <v>159</v>
      </c>
      <c r="D145" s="2141"/>
      <c r="E145" s="2131"/>
      <c r="F145" s="2131"/>
      <c r="G145" s="2131"/>
      <c r="H145" s="2131"/>
      <c r="I145" s="2131"/>
      <c r="J145" s="2131"/>
      <c r="K145" s="927"/>
      <c r="L145" s="1195"/>
      <c r="M145" s="1195"/>
      <c r="N145" s="1195"/>
    </row>
    <row r="146" spans="1:14" ht="16">
      <c r="A146" s="3119" t="s">
        <v>1236</v>
      </c>
      <c r="B146" s="3119"/>
      <c r="C146" s="354" t="s">
        <v>120</v>
      </c>
      <c r="D146" s="486" t="s">
        <v>1753</v>
      </c>
      <c r="E146" s="486" t="s">
        <v>293</v>
      </c>
      <c r="F146" s="486" t="s">
        <v>1820</v>
      </c>
      <c r="G146" s="2131"/>
      <c r="H146" s="2131"/>
      <c r="I146" s="2131"/>
      <c r="J146" s="2131"/>
      <c r="K146" s="927"/>
      <c r="L146" s="1195"/>
      <c r="M146" s="1195"/>
      <c r="N146" s="1195"/>
    </row>
    <row r="147" spans="1:14" ht="16">
      <c r="A147" s="3119" t="s">
        <v>2001</v>
      </c>
      <c r="B147" s="3119"/>
      <c r="C147" s="746" t="s">
        <v>156</v>
      </c>
      <c r="D147" s="699" t="e">
        <f>D150*D151*F147</f>
        <v>#REF!</v>
      </c>
      <c r="E147" s="2129" t="str">
        <f>связи1!E549</f>
        <v>№3</v>
      </c>
      <c r="F147" s="2139" t="e">
        <f>'Ввод данных'!#REF!</f>
        <v>#REF!</v>
      </c>
      <c r="G147" s="366" t="s">
        <v>3521</v>
      </c>
      <c r="H147" s="354"/>
      <c r="I147" s="2131"/>
      <c r="J147" s="2131"/>
      <c r="K147" s="927"/>
      <c r="L147" s="1195"/>
      <c r="M147" s="1195"/>
      <c r="N147" s="1195"/>
    </row>
    <row r="148" spans="1:14" ht="16">
      <c r="A148" s="3119" t="s">
        <v>2557</v>
      </c>
      <c r="B148" s="3119"/>
      <c r="C148" s="746" t="s">
        <v>156</v>
      </c>
      <c r="D148" s="699" t="e">
        <f>D150*D151*F148</f>
        <v>#REF!</v>
      </c>
      <c r="E148" s="2129">
        <f>связи1!E550</f>
        <v>1</v>
      </c>
      <c r="F148" s="2139" t="e">
        <f>'Ввод данных'!#REF!</f>
        <v>#REF!</v>
      </c>
      <c r="G148" s="366" t="s">
        <v>3522</v>
      </c>
      <c r="H148" s="354"/>
      <c r="I148" s="2131"/>
      <c r="J148" s="2131"/>
      <c r="K148" s="927"/>
      <c r="L148" s="1195"/>
      <c r="M148" s="1195"/>
      <c r="N148" s="1195"/>
    </row>
    <row r="149" spans="1:14" ht="16">
      <c r="A149" s="3139" t="s">
        <v>2558</v>
      </c>
      <c r="B149" s="3139"/>
      <c r="C149" s="986" t="s">
        <v>156</v>
      </c>
      <c r="D149" s="965">
        <f>D150*D151*F149</f>
        <v>0</v>
      </c>
      <c r="E149" s="2129">
        <f>'Ввод данных'!E362</f>
        <v>0</v>
      </c>
      <c r="F149" s="2139">
        <f>'Ввод данных'!G366</f>
        <v>0</v>
      </c>
      <c r="G149" s="366" t="s">
        <v>3523</v>
      </c>
      <c r="H149" s="2150"/>
      <c r="I149" s="2150"/>
      <c r="J149" s="2150"/>
      <c r="K149" s="927"/>
      <c r="L149" s="1195"/>
      <c r="M149" s="1195"/>
      <c r="N149" s="1195"/>
    </row>
    <row r="150" spans="1:14" ht="16">
      <c r="A150" s="3139" t="s">
        <v>2071</v>
      </c>
      <c r="B150" s="3139"/>
      <c r="C150" s="2128" t="s">
        <v>156</v>
      </c>
      <c r="D150" s="2141"/>
      <c r="E150" s="2131"/>
      <c r="F150" s="2131"/>
      <c r="G150" s="2131"/>
      <c r="H150" s="2150"/>
      <c r="I150" s="2150"/>
      <c r="J150" s="2150"/>
      <c r="K150" s="927"/>
      <c r="L150" s="1195"/>
      <c r="M150" s="1195"/>
      <c r="N150" s="1195"/>
    </row>
    <row r="151" spans="1:14" ht="16">
      <c r="A151" s="3139" t="s">
        <v>2573</v>
      </c>
      <c r="B151" s="3139"/>
      <c r="C151" s="2144" t="s">
        <v>156</v>
      </c>
      <c r="D151" s="2141"/>
      <c r="E151" s="2131"/>
      <c r="F151" s="2131"/>
      <c r="G151" s="2131"/>
      <c r="H151" s="2130"/>
      <c r="I151" s="2150"/>
      <c r="J151" s="2150"/>
      <c r="K151" s="927"/>
      <c r="L151" s="1195"/>
      <c r="M151" s="1195"/>
      <c r="N151" s="1195"/>
    </row>
    <row r="152" spans="1:14" ht="16">
      <c r="A152" s="3139" t="s">
        <v>3882</v>
      </c>
      <c r="B152" s="3139"/>
      <c r="C152" s="2144" t="s">
        <v>156</v>
      </c>
      <c r="D152" s="2141"/>
      <c r="E152" s="2131"/>
      <c r="F152" s="2131"/>
      <c r="G152" s="2131"/>
      <c r="H152" s="2130"/>
      <c r="I152" s="2150"/>
      <c r="J152" s="2150"/>
      <c r="K152" s="927"/>
      <c r="L152" s="1195"/>
      <c r="M152" s="1195"/>
      <c r="N152" s="1195"/>
    </row>
    <row r="153" spans="1:14" ht="16">
      <c r="A153" s="3139" t="s">
        <v>3883</v>
      </c>
      <c r="B153" s="3139"/>
      <c r="C153" s="2144" t="s">
        <v>156</v>
      </c>
      <c r="D153" s="2141"/>
      <c r="E153" s="2131"/>
      <c r="F153" s="2131"/>
      <c r="G153" s="2131"/>
      <c r="H153" s="2130"/>
      <c r="I153" s="2150"/>
      <c r="J153" s="2150"/>
      <c r="K153" s="927"/>
      <c r="L153" s="1195"/>
      <c r="M153" s="1195"/>
      <c r="N153" s="1195"/>
    </row>
    <row r="154" spans="1:14" ht="16">
      <c r="A154" s="3139" t="s">
        <v>3884</v>
      </c>
      <c r="B154" s="3139"/>
      <c r="C154" s="2144" t="s">
        <v>156</v>
      </c>
      <c r="D154" s="2141"/>
      <c r="E154" s="2131"/>
      <c r="F154" s="2131"/>
      <c r="G154" s="2131"/>
      <c r="H154" s="2131"/>
      <c r="I154" s="2150"/>
      <c r="J154" s="2150"/>
      <c r="K154" s="927"/>
      <c r="L154" s="1195"/>
      <c r="M154" s="1195"/>
      <c r="N154" s="1195"/>
    </row>
    <row r="155" spans="1:14" ht="16">
      <c r="A155" s="3169" t="s">
        <v>3885</v>
      </c>
      <c r="B155" s="3169"/>
      <c r="C155" s="2144" t="s">
        <v>156</v>
      </c>
      <c r="D155" s="2156">
        <f>D154-D152</f>
        <v>0</v>
      </c>
      <c r="E155" s="2131"/>
      <c r="F155" s="2131"/>
      <c r="G155" s="2131"/>
      <c r="H155" s="2131"/>
      <c r="I155" s="2150"/>
      <c r="J155" s="2150"/>
      <c r="K155" s="927"/>
      <c r="L155" s="1195"/>
      <c r="M155" s="1195"/>
      <c r="N155" s="1195"/>
    </row>
    <row r="156" spans="1:14" ht="16">
      <c r="A156" s="3139" t="s">
        <v>3886</v>
      </c>
      <c r="B156" s="3139"/>
      <c r="C156" s="2144" t="s">
        <v>156</v>
      </c>
      <c r="D156" s="2144" t="e">
        <f>(D153+D152+D155+E147+E148+E149)*E143</f>
        <v>#VALUE!</v>
      </c>
      <c r="E156" s="2131"/>
      <c r="F156" s="2131"/>
      <c r="G156" s="2131"/>
      <c r="H156" s="2131"/>
      <c r="I156" s="2150"/>
      <c r="J156" s="2150"/>
      <c r="K156" s="927"/>
      <c r="L156" s="1195"/>
      <c r="M156" s="1195"/>
      <c r="N156" s="1195"/>
    </row>
    <row r="157" spans="1:14" ht="16">
      <c r="A157" s="3139" t="s">
        <v>1093</v>
      </c>
      <c r="B157" s="3139"/>
      <c r="C157" s="2131" t="s">
        <v>120</v>
      </c>
      <c r="D157" s="2181" t="s">
        <v>853</v>
      </c>
      <c r="E157" s="2144" t="s">
        <v>1802</v>
      </c>
      <c r="F157" s="2156" t="s">
        <v>853</v>
      </c>
      <c r="G157" s="2156" t="s">
        <v>2548</v>
      </c>
      <c r="H157" s="2130"/>
      <c r="I157" s="2150"/>
      <c r="J157" s="2150"/>
      <c r="K157" s="2182"/>
      <c r="L157" s="1195"/>
      <c r="M157" s="1195"/>
      <c r="N157" s="1195"/>
    </row>
    <row r="158" spans="1:14" ht="16">
      <c r="A158" s="3124" t="s">
        <v>2553</v>
      </c>
      <c r="B158" s="3124"/>
      <c r="C158" s="2144" t="s">
        <v>156</v>
      </c>
      <c r="D158" s="2141">
        <f>связи1!D552</f>
        <v>3</v>
      </c>
      <c r="E158" s="2129">
        <f>связи1!E552</f>
        <v>3</v>
      </c>
      <c r="F158" s="2156">
        <f t="shared" ref="F158:F165" si="1">D158*E158</f>
        <v>9</v>
      </c>
      <c r="G158" s="2156">
        <f>F158*D153</f>
        <v>0</v>
      </c>
      <c r="H158" s="2130"/>
      <c r="I158" s="2150"/>
      <c r="J158" s="2150"/>
      <c r="K158" s="2158"/>
      <c r="L158" s="1195"/>
      <c r="M158" s="1195"/>
      <c r="N158" s="1195"/>
    </row>
    <row r="159" spans="1:14" ht="16">
      <c r="A159" s="3124"/>
      <c r="B159" s="3124"/>
      <c r="C159" s="2144" t="s">
        <v>1322</v>
      </c>
      <c r="D159" s="2141">
        <f>связи1!D553</f>
        <v>2.9</v>
      </c>
      <c r="E159" s="2129">
        <f>связи1!E553</f>
        <v>2.9</v>
      </c>
      <c r="F159" s="2156">
        <f t="shared" si="1"/>
        <v>8.41</v>
      </c>
      <c r="G159" s="2156">
        <f>F159*D153</f>
        <v>0</v>
      </c>
      <c r="H159" s="2130"/>
      <c r="I159" s="2150"/>
      <c r="J159" s="2150"/>
      <c r="K159" s="927"/>
      <c r="L159" s="1195"/>
      <c r="M159" s="1195"/>
      <c r="N159" s="1195"/>
    </row>
    <row r="160" spans="1:14" ht="16">
      <c r="A160" s="3124" t="s">
        <v>2556</v>
      </c>
      <c r="B160" s="3124"/>
      <c r="C160" s="2144" t="s">
        <v>156</v>
      </c>
      <c r="D160" s="2141">
        <f>связи1!D556</f>
        <v>2.2000000000000002</v>
      </c>
      <c r="E160" s="2129">
        <f>связи1!E556</f>
        <v>2.2000000000000002</v>
      </c>
      <c r="F160" s="2156">
        <f t="shared" si="1"/>
        <v>4.8400000000000007</v>
      </c>
      <c r="G160" s="2156">
        <f>F160*D153</f>
        <v>0</v>
      </c>
      <c r="H160" s="2130"/>
      <c r="I160" s="2150"/>
      <c r="J160" s="2150"/>
      <c r="K160" s="927"/>
      <c r="L160" s="1195"/>
      <c r="M160" s="1195"/>
      <c r="N160" s="1195"/>
    </row>
    <row r="161" spans="1:14" ht="16">
      <c r="A161" s="3124"/>
      <c r="B161" s="3124"/>
      <c r="C161" s="2144" t="s">
        <v>156</v>
      </c>
      <c r="D161" s="2141">
        <f>связи1!D557</f>
        <v>0.99999999999999978</v>
      </c>
      <c r="E161" s="2129">
        <f>связи1!E557</f>
        <v>2.9</v>
      </c>
      <c r="F161" s="2156">
        <f t="shared" si="1"/>
        <v>2.8999999999999995</v>
      </c>
      <c r="G161" s="2156">
        <f>F161*D153</f>
        <v>0</v>
      </c>
      <c r="H161" s="2130"/>
      <c r="I161" s="2150"/>
      <c r="J161" s="2150"/>
      <c r="K161" s="927"/>
      <c r="L161" s="1195"/>
      <c r="M161" s="1195"/>
      <c r="N161" s="1195"/>
    </row>
    <row r="162" spans="1:14" ht="16">
      <c r="A162" s="3124" t="s">
        <v>2559</v>
      </c>
      <c r="B162" s="3124"/>
      <c r="C162" s="2144" t="s">
        <v>1322</v>
      </c>
      <c r="D162" s="2141">
        <f>связи1!D558</f>
        <v>2.1</v>
      </c>
      <c r="E162" s="2129"/>
      <c r="F162" s="2156">
        <f t="shared" si="1"/>
        <v>0</v>
      </c>
      <c r="G162" s="2156">
        <f>F162*D152*D145</f>
        <v>0</v>
      </c>
      <c r="H162" s="2150"/>
      <c r="I162" s="2150"/>
      <c r="J162" s="2150"/>
      <c r="K162" s="927"/>
      <c r="L162" s="1195"/>
      <c r="M162" s="1195"/>
      <c r="N162" s="1195"/>
    </row>
    <row r="163" spans="1:14" ht="16">
      <c r="A163" s="3124"/>
      <c r="B163" s="3124"/>
      <c r="C163" s="2144" t="s">
        <v>156</v>
      </c>
      <c r="D163" s="2141" t="e">
        <f>'Ввод данных'!#REF!</f>
        <v>#REF!</v>
      </c>
      <c r="E163" s="2129" t="e">
        <f>'Ввод данных'!#REF!</f>
        <v>#REF!</v>
      </c>
      <c r="F163" s="2156" t="e">
        <f t="shared" si="1"/>
        <v>#REF!</v>
      </c>
      <c r="G163" s="2156" t="e">
        <f>F163*D152*D145</f>
        <v>#REF!</v>
      </c>
      <c r="H163" s="2150"/>
      <c r="I163" s="2150"/>
      <c r="J163" s="2150"/>
      <c r="K163" s="927"/>
      <c r="L163" s="1195"/>
      <c r="M163" s="1195"/>
      <c r="N163" s="1195"/>
    </row>
    <row r="164" spans="1:14" ht="16">
      <c r="A164" s="3124" t="s">
        <v>2559</v>
      </c>
      <c r="B164" s="3124"/>
      <c r="C164" s="2144" t="s">
        <v>156</v>
      </c>
      <c r="D164" s="2141" t="e">
        <f>'Ввод данных'!#REF!</f>
        <v>#REF!</v>
      </c>
      <c r="E164" s="2129" t="e">
        <f>'Ввод данных'!#REF!</f>
        <v>#REF!</v>
      </c>
      <c r="F164" s="2156" t="e">
        <f t="shared" si="1"/>
        <v>#REF!</v>
      </c>
      <c r="G164" s="938" t="e">
        <f>F164*D152*D145</f>
        <v>#REF!</v>
      </c>
      <c r="H164" s="936"/>
      <c r="I164" s="936"/>
      <c r="J164" s="2150"/>
      <c r="K164" s="927"/>
      <c r="L164" s="1195"/>
      <c r="M164" s="1195"/>
      <c r="N164" s="1195"/>
    </row>
    <row r="165" spans="1:14" ht="16">
      <c r="A165" s="3124"/>
      <c r="B165" s="3124"/>
      <c r="C165" s="2144" t="s">
        <v>156</v>
      </c>
      <c r="D165" s="2141" t="e">
        <f>'Ввод данных'!#REF!</f>
        <v>#REF!</v>
      </c>
      <c r="E165" s="2129" t="e">
        <f>'Ввод данных'!#REF!</f>
        <v>#REF!</v>
      </c>
      <c r="F165" s="2156" t="e">
        <f t="shared" si="1"/>
        <v>#REF!</v>
      </c>
      <c r="G165" s="938" t="e">
        <f>F165*D152*D145</f>
        <v>#REF!</v>
      </c>
      <c r="H165" s="936"/>
      <c r="I165" s="936"/>
      <c r="J165" s="1262"/>
      <c r="K165" s="927"/>
      <c r="L165" s="1195"/>
      <c r="M165" s="1195"/>
      <c r="N165" s="1195"/>
    </row>
    <row r="166" spans="1:14" ht="16">
      <c r="A166" s="3141" t="s">
        <v>2578</v>
      </c>
      <c r="B166" s="3141"/>
      <c r="C166" s="3141"/>
      <c r="D166" s="3141"/>
      <c r="E166" s="3141"/>
      <c r="F166" s="2156" t="e">
        <f>SUM(F158:F165)</f>
        <v>#REF!</v>
      </c>
      <c r="G166" s="2156" t="e">
        <f>SUM(G158:G165)</f>
        <v>#REF!</v>
      </c>
      <c r="H166" s="2150"/>
      <c r="I166" s="2150"/>
      <c r="J166" s="936"/>
      <c r="K166" s="927"/>
      <c r="L166" s="1195"/>
      <c r="M166" s="1195"/>
      <c r="N166" s="1195"/>
    </row>
    <row r="167" spans="1:14" ht="16">
      <c r="A167" s="988" t="s">
        <v>2208</v>
      </c>
      <c r="B167" s="989"/>
      <c r="C167" s="788" t="s">
        <v>120</v>
      </c>
      <c r="D167" s="788" t="s">
        <v>2580</v>
      </c>
      <c r="E167" s="788" t="s">
        <v>2581</v>
      </c>
      <c r="F167" s="788" t="s">
        <v>1802</v>
      </c>
      <c r="G167" s="2137" t="s">
        <v>2548</v>
      </c>
      <c r="H167" s="2150"/>
      <c r="I167" s="1048"/>
      <c r="J167" s="1262"/>
      <c r="K167" s="927"/>
      <c r="L167" s="1195"/>
      <c r="M167" s="1195"/>
      <c r="N167" s="1195"/>
    </row>
    <row r="168" spans="1:14" ht="16">
      <c r="A168" s="3124" t="s">
        <v>2210</v>
      </c>
      <c r="B168" s="3124"/>
      <c r="C168" s="725" t="s">
        <v>156</v>
      </c>
      <c r="D168" s="2141" t="e">
        <f>'Ввод данных'!#REF!</f>
        <v>#REF!</v>
      </c>
      <c r="E168" s="2129" t="e">
        <f>'Ввод данных'!#REF!</f>
        <v>#REF!</v>
      </c>
      <c r="F168" s="2139">
        <f>'Ввод данных'!G377</f>
        <v>0</v>
      </c>
      <c r="G168" s="507" t="e">
        <f t="shared" ref="G168:G174" si="2">D168*E168*F168</f>
        <v>#REF!</v>
      </c>
      <c r="H168" s="2150"/>
      <c r="I168" s="2135"/>
      <c r="J168" s="1262"/>
      <c r="K168" s="927"/>
      <c r="L168" s="1195"/>
      <c r="M168" s="1195"/>
      <c r="N168" s="1195"/>
    </row>
    <row r="169" spans="1:14" ht="16">
      <c r="A169" s="3124"/>
      <c r="B169" s="3124"/>
      <c r="C169" s="725" t="s">
        <v>156</v>
      </c>
      <c r="D169" s="2141" t="e">
        <f>'Ввод данных'!#REF!</f>
        <v>#REF!</v>
      </c>
      <c r="E169" s="2129" t="e">
        <f>'Ввод данных'!#REF!</f>
        <v>#REF!</v>
      </c>
      <c r="F169" s="2139">
        <f>'Ввод данных'!G378</f>
        <v>0</v>
      </c>
      <c r="G169" s="507" t="e">
        <f t="shared" si="2"/>
        <v>#REF!</v>
      </c>
      <c r="H169" s="2150"/>
      <c r="I169" s="1048"/>
      <c r="J169" s="1262"/>
      <c r="K169" s="927"/>
      <c r="L169" s="1195"/>
      <c r="M169" s="1195"/>
      <c r="N169" s="1195"/>
    </row>
    <row r="170" spans="1:14" ht="16">
      <c r="A170" s="3124"/>
      <c r="B170" s="3124"/>
      <c r="C170" s="725" t="s">
        <v>156</v>
      </c>
      <c r="D170" s="2141" t="e">
        <f>'Ввод данных'!#REF!</f>
        <v>#REF!</v>
      </c>
      <c r="E170" s="2129" t="e">
        <f>'Ввод данных'!#REF!</f>
        <v>#REF!</v>
      </c>
      <c r="F170" s="2139">
        <f>'Ввод данных'!G379</f>
        <v>0</v>
      </c>
      <c r="G170" s="507" t="e">
        <f t="shared" si="2"/>
        <v>#REF!</v>
      </c>
      <c r="H170" s="2183"/>
      <c r="I170" s="1048"/>
      <c r="J170" s="1262"/>
      <c r="K170" s="927"/>
      <c r="L170" s="1195"/>
      <c r="M170" s="1195"/>
      <c r="N170" s="1195"/>
    </row>
    <row r="171" spans="1:14" ht="16">
      <c r="A171" s="3142" t="s">
        <v>2593</v>
      </c>
      <c r="B171" s="3142"/>
      <c r="C171" s="725" t="s">
        <v>156</v>
      </c>
      <c r="D171" s="2141" t="e">
        <f>'Ввод данных'!#REF!</f>
        <v>#REF!</v>
      </c>
      <c r="E171" s="2129"/>
      <c r="F171" s="2139" t="e">
        <f>'Ввод данных'!#REF!</f>
        <v>#REF!</v>
      </c>
      <c r="G171" s="507" t="e">
        <f t="shared" si="2"/>
        <v>#REF!</v>
      </c>
      <c r="H171" s="936"/>
      <c r="I171" s="1048"/>
      <c r="J171" s="1262"/>
      <c r="K171" s="927"/>
      <c r="L171" s="1195"/>
      <c r="M171" s="1195"/>
      <c r="N171" s="1195"/>
    </row>
    <row r="172" spans="1:14" ht="16">
      <c r="A172" s="3142"/>
      <c r="B172" s="3142"/>
      <c r="C172" s="725" t="s">
        <v>156</v>
      </c>
      <c r="D172" s="2141"/>
      <c r="E172" s="2129"/>
      <c r="F172" s="2139"/>
      <c r="G172" s="507">
        <f t="shared" si="2"/>
        <v>0</v>
      </c>
      <c r="H172" s="2183"/>
      <c r="I172" s="1048"/>
      <c r="J172" s="1262"/>
      <c r="K172" s="927"/>
      <c r="L172" s="1195"/>
      <c r="M172" s="1195"/>
      <c r="N172" s="1195"/>
    </row>
    <row r="173" spans="1:14" ht="16">
      <c r="A173" s="3139" t="s">
        <v>1217</v>
      </c>
      <c r="B173" s="3139"/>
      <c r="C173" s="961" t="s">
        <v>156</v>
      </c>
      <c r="D173" s="2141">
        <f>связи1!D559</f>
        <v>0.6</v>
      </c>
      <c r="E173" s="2129">
        <f>связи1!E559</f>
        <v>0.6</v>
      </c>
      <c r="F173" s="2139" t="e">
        <f>'Ввод данных'!#REF!</f>
        <v>#REF!</v>
      </c>
      <c r="G173" s="938" t="e">
        <f t="shared" si="2"/>
        <v>#REF!</v>
      </c>
      <c r="H173" s="936"/>
      <c r="I173" s="936"/>
      <c r="J173" s="1262"/>
      <c r="K173" s="927"/>
      <c r="L173" s="1195"/>
      <c r="M173" s="1195"/>
      <c r="N173" s="1195"/>
    </row>
    <row r="174" spans="1:14" ht="16">
      <c r="A174" s="3119" t="s">
        <v>2213</v>
      </c>
      <c r="B174" s="3119"/>
      <c r="C174" s="961" t="s">
        <v>156</v>
      </c>
      <c r="D174" s="2141">
        <f>связи1!D561</f>
        <v>0.5</v>
      </c>
      <c r="E174" s="2129">
        <f>связи1!E561</f>
        <v>0.8</v>
      </c>
      <c r="F174" s="2139">
        <f>связи1!F548</f>
        <v>0</v>
      </c>
      <c r="G174" s="938">
        <f t="shared" si="2"/>
        <v>0</v>
      </c>
      <c r="H174" s="2184"/>
      <c r="I174" s="1262" t="s">
        <v>3887</v>
      </c>
      <c r="J174" s="1262"/>
      <c r="K174" s="927"/>
      <c r="L174" s="1195"/>
      <c r="M174" s="1195"/>
      <c r="N174" s="1195"/>
    </row>
    <row r="175" spans="1:14" ht="16">
      <c r="A175" s="970" t="s">
        <v>2599</v>
      </c>
      <c r="B175" s="1034"/>
      <c r="C175" s="1034"/>
      <c r="D175" s="1034"/>
      <c r="E175" s="1034"/>
      <c r="F175" s="1035"/>
      <c r="G175" s="1152" t="e">
        <f>SUM(G168:G174)*E143</f>
        <v>#REF!</v>
      </c>
      <c r="H175" s="2183"/>
      <c r="I175" s="1048"/>
      <c r="J175" s="1262"/>
      <c r="K175" s="927"/>
      <c r="L175" s="1195"/>
      <c r="M175" s="1195"/>
      <c r="N175" s="1195"/>
    </row>
    <row r="176" spans="1:14" ht="16">
      <c r="A176" s="938" t="s">
        <v>3888</v>
      </c>
      <c r="B176" s="938"/>
      <c r="C176" s="938" t="s">
        <v>133</v>
      </c>
      <c r="D176" s="938" t="e">
        <f>G166-G171-G172</f>
        <v>#REF!</v>
      </c>
      <c r="E176" s="936"/>
      <c r="F176" s="936"/>
      <c r="G176" s="2135"/>
      <c r="H176" s="2183"/>
      <c r="I176" s="1048"/>
      <c r="J176" s="1262"/>
      <c r="K176" s="927"/>
      <c r="L176" s="1195"/>
      <c r="M176" s="1195"/>
      <c r="N176" s="1195"/>
    </row>
    <row r="177" spans="1:14" ht="16">
      <c r="A177" s="938" t="s">
        <v>2648</v>
      </c>
      <c r="B177" s="938"/>
      <c r="C177" s="938" t="s">
        <v>133</v>
      </c>
      <c r="D177" s="938" t="e">
        <f>(D153*D144+D152*D145+E147*F147+E148*F148+E149*F149)*(D151+D151+D150)-G168-G169-G170-G173-G174*H174</f>
        <v>#VALUE!</v>
      </c>
      <c r="E177" s="936"/>
      <c r="F177" s="936"/>
      <c r="G177" s="2135"/>
      <c r="H177" s="2183"/>
      <c r="I177" s="1048"/>
      <c r="J177" s="1262"/>
      <c r="K177" s="927"/>
      <c r="L177" s="1195"/>
      <c r="M177" s="1195"/>
      <c r="N177" s="1195"/>
    </row>
    <row r="178" spans="1:14" ht="16">
      <c r="A178" s="938" t="s">
        <v>3889</v>
      </c>
      <c r="B178" s="938"/>
      <c r="C178" s="938" t="s">
        <v>133</v>
      </c>
      <c r="D178" s="938" t="e">
        <f>D176*2+D177</f>
        <v>#REF!</v>
      </c>
      <c r="E178" s="936"/>
      <c r="F178" s="936"/>
      <c r="G178" s="2135"/>
      <c r="H178" s="2183"/>
      <c r="I178" s="1048"/>
      <c r="J178" s="1262"/>
      <c r="K178" s="927"/>
      <c r="L178" s="1195"/>
      <c r="M178" s="1195"/>
      <c r="N178" s="1195"/>
    </row>
    <row r="179" spans="1:14" ht="16">
      <c r="A179" s="2185" t="s">
        <v>2592</v>
      </c>
      <c r="B179" s="2186"/>
      <c r="C179" s="2187" t="s">
        <v>120</v>
      </c>
      <c r="D179" s="2187" t="s">
        <v>853</v>
      </c>
      <c r="E179" s="2129">
        <f>связи1!E558</f>
        <v>1.5</v>
      </c>
      <c r="F179" s="2188" t="s">
        <v>3890</v>
      </c>
      <c r="G179" s="2135"/>
      <c r="H179" s="2183"/>
      <c r="I179" s="1048"/>
      <c r="J179" s="1262"/>
      <c r="K179" s="927"/>
      <c r="L179" s="1195"/>
      <c r="M179" s="1195"/>
      <c r="N179" s="1195"/>
    </row>
    <row r="180" spans="1:14" ht="16">
      <c r="A180" s="1023" t="s">
        <v>2820</v>
      </c>
      <c r="B180" s="2189"/>
      <c r="C180" s="558" t="s">
        <v>156</v>
      </c>
      <c r="D180" s="558">
        <f>SQRT(D151*D151+D155*D155)</f>
        <v>0</v>
      </c>
      <c r="E180" s="502"/>
      <c r="F180" s="502"/>
      <c r="G180" s="2135"/>
      <c r="H180" s="2183"/>
      <c r="I180" s="1048"/>
      <c r="J180" s="1262"/>
      <c r="K180" s="927"/>
      <c r="L180" s="1195"/>
      <c r="M180" s="1195"/>
      <c r="N180" s="1195"/>
    </row>
    <row r="181" spans="1:14" ht="16">
      <c r="A181" s="1023" t="s">
        <v>3545</v>
      </c>
      <c r="B181" s="2189"/>
      <c r="C181" s="558" t="s">
        <v>156</v>
      </c>
      <c r="D181" s="2141">
        <f>связи1!C559</f>
        <v>0.5</v>
      </c>
      <c r="E181" s="502"/>
      <c r="F181" s="502"/>
      <c r="G181" s="2135"/>
      <c r="H181" s="2183"/>
      <c r="I181" s="1048"/>
      <c r="J181" s="1262"/>
      <c r="K181" s="927"/>
      <c r="L181" s="1195"/>
      <c r="M181" s="1195"/>
      <c r="N181" s="1195"/>
    </row>
    <row r="182" spans="1:14" ht="16">
      <c r="A182" s="1023" t="s">
        <v>3891</v>
      </c>
      <c r="B182" s="2189"/>
      <c r="C182" s="558" t="s">
        <v>156</v>
      </c>
      <c r="D182" s="2141">
        <f>связи1!C561</f>
        <v>0.5</v>
      </c>
      <c r="E182" s="502"/>
      <c r="F182" s="502"/>
      <c r="G182" s="2135"/>
      <c r="H182" s="3119" t="s">
        <v>2547</v>
      </c>
      <c r="I182" s="3119"/>
      <c r="J182" s="786" t="s">
        <v>159</v>
      </c>
      <c r="K182" s="2141" t="e">
        <f>'Ввод данных'!#REF!</f>
        <v>#REF!</v>
      </c>
      <c r="L182" s="1195"/>
      <c r="M182" s="1195"/>
      <c r="N182" s="1195"/>
    </row>
    <row r="183" spans="1:14" ht="16">
      <c r="A183" s="1023" t="s">
        <v>2609</v>
      </c>
      <c r="B183" s="2190"/>
      <c r="C183" s="557" t="s">
        <v>133</v>
      </c>
      <c r="D183" s="558">
        <f>D180*D150</f>
        <v>0</v>
      </c>
      <c r="E183" s="502"/>
      <c r="F183" s="502"/>
      <c r="G183" s="2135"/>
      <c r="H183" s="3119" t="s">
        <v>2552</v>
      </c>
      <c r="I183" s="3119"/>
      <c r="J183" s="786" t="s">
        <v>159</v>
      </c>
      <c r="K183" s="2141" t="e">
        <f>'Ввод данных'!#REF!</f>
        <v>#REF!</v>
      </c>
      <c r="L183" s="1195"/>
      <c r="M183" s="1195"/>
      <c r="N183" s="1195"/>
    </row>
    <row r="184" spans="1:14" ht="16">
      <c r="A184" s="1023" t="s">
        <v>2610</v>
      </c>
      <c r="B184" s="2190"/>
      <c r="C184" s="557" t="s">
        <v>133</v>
      </c>
      <c r="D184" s="558">
        <f>(D180+D181)*(D150+D182+D182)</f>
        <v>0.5</v>
      </c>
      <c r="E184" s="502"/>
      <c r="F184" s="502"/>
      <c r="G184" s="2135"/>
      <c r="H184" s="488" t="s">
        <v>2638</v>
      </c>
      <c r="I184" s="699" t="s">
        <v>133</v>
      </c>
      <c r="J184" s="488">
        <f>K142*K143*K136+K142*K143*K137</f>
        <v>0</v>
      </c>
      <c r="K184" s="927"/>
      <c r="L184" s="1195"/>
      <c r="M184" s="1195"/>
      <c r="N184" s="1195"/>
    </row>
    <row r="185" spans="1:14" ht="16">
      <c r="A185" s="3119" t="s">
        <v>2628</v>
      </c>
      <c r="B185" s="3119"/>
      <c r="C185" s="3119"/>
      <c r="D185" s="704" t="s">
        <v>1820</v>
      </c>
      <c r="E185" s="2171" t="s">
        <v>293</v>
      </c>
      <c r="F185" s="2139"/>
      <c r="G185" s="936"/>
      <c r="H185" s="938" t="s">
        <v>3888</v>
      </c>
      <c r="I185" s="938"/>
      <c r="J185" s="938" t="s">
        <v>133</v>
      </c>
      <c r="K185" s="938">
        <f>N175-N180-N181</f>
        <v>0</v>
      </c>
      <c r="L185" s="1195"/>
      <c r="M185" s="1195"/>
      <c r="N185" s="1195"/>
    </row>
    <row r="186" spans="1:14" ht="16">
      <c r="A186" s="3080" t="s">
        <v>3518</v>
      </c>
      <c r="B186" s="3080"/>
      <c r="C186" s="3080"/>
      <c r="D186" s="261" t="s">
        <v>156</v>
      </c>
      <c r="E186" s="1057">
        <v>0.15</v>
      </c>
      <c r="F186" s="2139">
        <f>связи1!F551</f>
        <v>3</v>
      </c>
      <c r="G186" s="936"/>
      <c r="H186" s="938" t="s">
        <v>2648</v>
      </c>
      <c r="I186" s="938"/>
      <c r="J186" s="938" t="s">
        <v>133</v>
      </c>
      <c r="K186" s="938">
        <f>(K162*K153+K161*K154+L156*M156+L157*M157+L158*M158)*(K160+K160+K159)-N177-N178-N179-N182-N183</f>
        <v>0</v>
      </c>
      <c r="L186" s="1195"/>
      <c r="M186" s="1195"/>
      <c r="N186" s="1195"/>
    </row>
    <row r="187" spans="1:14" ht="16">
      <c r="A187" s="3080"/>
      <c r="B187" s="3080"/>
      <c r="C187" s="3080"/>
      <c r="D187" s="261" t="s">
        <v>156</v>
      </c>
      <c r="E187" s="1057">
        <v>0.2</v>
      </c>
      <c r="F187" s="2139">
        <f>связи1!F552</f>
        <v>5</v>
      </c>
      <c r="G187" s="936"/>
      <c r="H187" s="938" t="s">
        <v>3889</v>
      </c>
      <c r="I187" s="938"/>
      <c r="J187" s="938" t="s">
        <v>133</v>
      </c>
      <c r="K187" s="938">
        <f>K185*2+K186</f>
        <v>0</v>
      </c>
      <c r="L187" s="1195"/>
      <c r="M187" s="1195"/>
      <c r="N187" s="1195"/>
    </row>
    <row r="188" spans="1:14" ht="16">
      <c r="A188" s="3080" t="s">
        <v>2632</v>
      </c>
      <c r="B188" s="3080"/>
      <c r="C188" s="3080"/>
      <c r="D188" s="261" t="s">
        <v>156</v>
      </c>
      <c r="E188" s="1057">
        <v>0.15</v>
      </c>
      <c r="F188" s="2139">
        <f>связи1!F553</f>
        <v>3</v>
      </c>
      <c r="G188" s="936"/>
      <c r="H188" s="970" t="s">
        <v>2599</v>
      </c>
      <c r="I188" s="1034"/>
      <c r="J188" s="1034"/>
      <c r="K188" s="1034"/>
      <c r="L188" s="1195"/>
      <c r="M188" s="1195"/>
      <c r="N188" s="1195"/>
    </row>
    <row r="189" spans="1:14" ht="16">
      <c r="A189" s="3080"/>
      <c r="B189" s="3080"/>
      <c r="C189" s="3080"/>
      <c r="D189" s="261" t="s">
        <v>156</v>
      </c>
      <c r="E189" s="1057">
        <v>0.2</v>
      </c>
      <c r="F189" s="2139">
        <f>связи1!F554</f>
        <v>4</v>
      </c>
      <c r="G189" s="936"/>
      <c r="H189" s="3139" t="s">
        <v>2071</v>
      </c>
      <c r="I189" s="3139"/>
      <c r="J189" s="2128" t="s">
        <v>156</v>
      </c>
      <c r="K189" s="2141"/>
      <c r="L189" s="1195"/>
      <c r="M189" s="1195"/>
      <c r="N189" s="1195"/>
    </row>
    <row r="190" spans="1:14" ht="16">
      <c r="A190" s="2191" t="s">
        <v>2635</v>
      </c>
      <c r="B190" s="2191"/>
      <c r="C190" s="2191"/>
      <c r="D190" s="2191"/>
      <c r="E190" s="2129" t="e">
        <f>'Ввод данных'!#REF!</f>
        <v>#REF!</v>
      </c>
      <c r="F190" s="366" t="s">
        <v>3568</v>
      </c>
      <c r="G190" s="928"/>
      <c r="H190" s="3139" t="s">
        <v>2573</v>
      </c>
      <c r="I190" s="3139"/>
      <c r="J190" s="2144" t="s">
        <v>156</v>
      </c>
      <c r="K190" s="2141"/>
      <c r="L190" s="1195"/>
      <c r="M190" s="1195"/>
      <c r="N190" s="1195"/>
    </row>
    <row r="191" spans="1:14" ht="16">
      <c r="A191" s="488" t="s">
        <v>2572</v>
      </c>
      <c r="B191" s="699" t="s">
        <v>156</v>
      </c>
      <c r="C191" s="488">
        <f>D150+D151*2</f>
        <v>0</v>
      </c>
      <c r="D191" s="366"/>
      <c r="E191" s="366"/>
      <c r="F191" s="502"/>
      <c r="G191" s="928"/>
      <c r="H191" s="3139" t="s">
        <v>3882</v>
      </c>
      <c r="I191" s="3139"/>
      <c r="J191" s="2144" t="s">
        <v>156</v>
      </c>
      <c r="K191" s="2141"/>
      <c r="L191" s="1195"/>
      <c r="M191" s="1195"/>
      <c r="N191" s="1195"/>
    </row>
    <row r="192" spans="1:14" ht="16">
      <c r="A192" s="488" t="s">
        <v>2638</v>
      </c>
      <c r="B192" s="699" t="s">
        <v>133</v>
      </c>
      <c r="C192" s="488">
        <f>D150*D151*D144+D150*D151*D145</f>
        <v>0</v>
      </c>
      <c r="D192" s="366"/>
      <c r="E192" s="366"/>
      <c r="F192" s="502"/>
      <c r="G192" s="928"/>
      <c r="H192" s="3139" t="s">
        <v>3883</v>
      </c>
      <c r="I192" s="3139"/>
      <c r="J192" s="2144" t="s">
        <v>156</v>
      </c>
      <c r="K192" s="2141"/>
      <c r="L192" s="1195"/>
      <c r="M192" s="1195"/>
      <c r="N192" s="1195"/>
    </row>
    <row r="193" spans="1:14" ht="16">
      <c r="A193" s="366"/>
      <c r="B193" s="381"/>
      <c r="C193" s="366"/>
      <c r="D193" s="366"/>
      <c r="E193" s="366"/>
      <c r="F193" s="502"/>
      <c r="G193" s="928"/>
      <c r="H193" s="3139" t="s">
        <v>3884</v>
      </c>
      <c r="I193" s="3139"/>
      <c r="J193" s="2144" t="s">
        <v>156</v>
      </c>
      <c r="K193" s="2141"/>
      <c r="L193" s="1195"/>
      <c r="M193" s="1195"/>
      <c r="N193" s="1195"/>
    </row>
    <row r="194" spans="1:14" ht="16">
      <c r="A194" s="366"/>
      <c r="B194" s="381"/>
      <c r="C194" s="366"/>
      <c r="D194" s="366"/>
      <c r="E194" s="366"/>
      <c r="F194" s="502"/>
      <c r="G194" s="928"/>
      <c r="H194" s="3169" t="s">
        <v>3885</v>
      </c>
      <c r="I194" s="3169"/>
      <c r="J194" s="2144" t="s">
        <v>156</v>
      </c>
      <c r="K194" s="2156">
        <f>K193-K191</f>
        <v>0</v>
      </c>
      <c r="L194" s="1195"/>
      <c r="M194" s="1195"/>
      <c r="N194" s="1195"/>
    </row>
    <row r="195" spans="1:14" ht="16">
      <c r="A195" s="2191" t="s">
        <v>2030</v>
      </c>
      <c r="B195" s="788" t="s">
        <v>120</v>
      </c>
      <c r="C195" s="788" t="s">
        <v>1753</v>
      </c>
      <c r="D195" s="2141" t="str">
        <f>'Ввод данных'!F458</f>
        <v>Не считать</v>
      </c>
      <c r="E195" s="2192" t="s">
        <v>3520</v>
      </c>
      <c r="F195" s="464"/>
      <c r="G195" s="2193"/>
      <c r="H195" s="3119" t="s">
        <v>2001</v>
      </c>
      <c r="I195" s="3119"/>
      <c r="J195" s="746" t="s">
        <v>156</v>
      </c>
      <c r="K195" s="699">
        <f>K198*K199*M195</f>
        <v>0</v>
      </c>
      <c r="L195" s="1195"/>
      <c r="M195" s="1195"/>
      <c r="N195" s="1195"/>
    </row>
    <row r="196" spans="1:14" ht="16">
      <c r="A196" s="486" t="s">
        <v>2547</v>
      </c>
      <c r="B196" s="486" t="s">
        <v>159</v>
      </c>
      <c r="C196" s="2194">
        <f>'Ввод данных'!E422</f>
        <v>0</v>
      </c>
      <c r="D196" s="354"/>
      <c r="E196" s="354"/>
      <c r="F196" s="354"/>
      <c r="G196" s="354"/>
      <c r="H196" s="3119" t="s">
        <v>2557</v>
      </c>
      <c r="I196" s="3119"/>
      <c r="J196" s="746" t="s">
        <v>156</v>
      </c>
      <c r="K196" s="699">
        <f>K198*K199*M196</f>
        <v>0</v>
      </c>
      <c r="L196" s="1195"/>
      <c r="M196" s="1195"/>
      <c r="N196" s="1195"/>
    </row>
    <row r="197" spans="1:14" ht="16">
      <c r="A197" s="486" t="s">
        <v>2552</v>
      </c>
      <c r="B197" s="486" t="s">
        <v>159</v>
      </c>
      <c r="C197" s="2194">
        <f>'Ввод данных'!E423</f>
        <v>0</v>
      </c>
      <c r="D197" s="936"/>
      <c r="E197" s="354"/>
      <c r="F197" s="354"/>
      <c r="G197" s="354"/>
      <c r="H197" s="3139" t="s">
        <v>2558</v>
      </c>
      <c r="I197" s="3139"/>
      <c r="J197" s="986" t="s">
        <v>156</v>
      </c>
      <c r="K197" s="965">
        <f>K198*K199*M197</f>
        <v>0</v>
      </c>
      <c r="L197" s="1195"/>
      <c r="M197" s="1195"/>
      <c r="N197" s="1195"/>
    </row>
    <row r="198" spans="1:14" ht="16">
      <c r="A198" s="464" t="s">
        <v>1236</v>
      </c>
      <c r="B198" s="464" t="s">
        <v>120</v>
      </c>
      <c r="C198" s="464" t="s">
        <v>2548</v>
      </c>
      <c r="D198" s="486" t="s">
        <v>2975</v>
      </c>
      <c r="E198" s="936"/>
      <c r="F198" s="936"/>
      <c r="G198" s="354"/>
      <c r="H198" s="2150"/>
      <c r="I198" s="1048"/>
      <c r="J198" s="1262"/>
      <c r="K198" s="2130"/>
      <c r="L198" s="1195"/>
      <c r="M198" s="1195"/>
      <c r="N198" s="1195"/>
    </row>
    <row r="199" spans="1:14" ht="16">
      <c r="A199" s="486" t="s">
        <v>2001</v>
      </c>
      <c r="B199" s="486" t="s">
        <v>159</v>
      </c>
      <c r="C199" s="938" t="e">
        <f>(C204*C208+(C207-C204)*C202+(C207-C204)*((C208-C202)/2)*2)*E199</f>
        <v>#REF!</v>
      </c>
      <c r="D199" s="2141">
        <f>'Ввод данных'!D425</f>
        <v>0</v>
      </c>
      <c r="E199" s="2129" t="e">
        <f>'Ввод данных'!#REF!</f>
        <v>#REF!</v>
      </c>
      <c r="F199" s="366" t="s">
        <v>3521</v>
      </c>
      <c r="G199" s="354"/>
      <c r="H199" s="2150"/>
      <c r="I199" s="1048"/>
      <c r="J199" s="1262"/>
      <c r="K199" s="2130"/>
      <c r="L199" s="1195"/>
      <c r="M199" s="1195"/>
      <c r="N199" s="1195"/>
    </row>
    <row r="200" spans="1:14" ht="16">
      <c r="A200" s="486" t="s">
        <v>2557</v>
      </c>
      <c r="B200" s="486" t="s">
        <v>159</v>
      </c>
      <c r="C200" s="938" t="e">
        <f>(C204*C208+(C207-C204)*C202+(C207-C204)*((C208-C202)/2)*2)*E200</f>
        <v>#REF!</v>
      </c>
      <c r="D200" s="2141">
        <f>'Ввод данных'!D426</f>
        <v>0</v>
      </c>
      <c r="E200" s="2129" t="e">
        <f>'Ввод данных'!#REF!</f>
        <v>#REF!</v>
      </c>
      <c r="F200" s="366" t="s">
        <v>3522</v>
      </c>
      <c r="G200" s="2193"/>
      <c r="H200" s="2150"/>
      <c r="I200" s="1048"/>
      <c r="J200" s="1262"/>
      <c r="K200" s="2130"/>
      <c r="L200" s="1195"/>
      <c r="M200" s="1195"/>
      <c r="N200" s="1195"/>
    </row>
    <row r="201" spans="1:14" ht="16">
      <c r="A201" s="486" t="s">
        <v>2558</v>
      </c>
      <c r="B201" s="486" t="s">
        <v>159</v>
      </c>
      <c r="C201" s="938" t="e">
        <f>(C204*C208+(C207-C204)*C202+(C207-C204)*((C208-C202)/2)*2)*E201</f>
        <v>#REF!</v>
      </c>
      <c r="D201" s="2141">
        <f>'Ввод данных'!D427</f>
        <v>0</v>
      </c>
      <c r="E201" s="2129" t="e">
        <f>'Ввод данных'!#REF!</f>
        <v>#REF!</v>
      </c>
      <c r="F201" s="366" t="s">
        <v>3523</v>
      </c>
      <c r="G201" s="2135"/>
      <c r="H201" s="2183"/>
      <c r="I201" s="1048"/>
      <c r="J201" s="1262"/>
      <c r="K201" s="2130"/>
      <c r="L201" s="1195"/>
      <c r="M201" s="1195"/>
      <c r="N201" s="1195"/>
    </row>
    <row r="202" spans="1:14" ht="16">
      <c r="A202" s="704" t="s">
        <v>3524</v>
      </c>
      <c r="B202" s="725" t="s">
        <v>156</v>
      </c>
      <c r="C202" s="2194"/>
      <c r="D202" s="464"/>
      <c r="E202" s="464"/>
      <c r="F202" s="464"/>
      <c r="G202" s="2135"/>
      <c r="H202" s="2183"/>
      <c r="I202" s="1048"/>
      <c r="J202" s="1262"/>
      <c r="K202" s="2130"/>
      <c r="L202" s="1195"/>
      <c r="M202" s="1195"/>
      <c r="N202" s="1195"/>
    </row>
    <row r="203" spans="1:14" ht="16">
      <c r="A203" s="704" t="s">
        <v>3525</v>
      </c>
      <c r="B203" s="725" t="s">
        <v>156</v>
      </c>
      <c r="C203" s="699">
        <f>SQRT((C208-C202)/2*(C208-C202)/2+(C207-C204)*(C207-C204))</f>
        <v>0</v>
      </c>
      <c r="D203" s="464"/>
      <c r="E203" s="464"/>
      <c r="F203" s="464"/>
      <c r="G203" s="2135"/>
      <c r="H203" s="2183"/>
      <c r="I203" s="1048"/>
      <c r="J203" s="1262"/>
      <c r="K203" s="2130"/>
      <c r="L203" s="1195"/>
      <c r="M203" s="1195"/>
      <c r="N203" s="1195"/>
    </row>
    <row r="204" spans="1:14" ht="16">
      <c r="A204" s="704" t="s">
        <v>3526</v>
      </c>
      <c r="B204" s="725" t="s">
        <v>156</v>
      </c>
      <c r="C204" s="2194"/>
      <c r="D204" s="2141"/>
      <c r="E204" s="464"/>
      <c r="F204" s="464"/>
      <c r="G204" s="2135"/>
      <c r="H204" s="2183"/>
      <c r="I204" s="1048"/>
      <c r="J204" s="1262"/>
      <c r="K204" s="2130"/>
      <c r="L204" s="1195"/>
      <c r="M204" s="1195"/>
      <c r="N204" s="1195"/>
    </row>
    <row r="205" spans="1:14" ht="16">
      <c r="A205" s="704" t="s">
        <v>3892</v>
      </c>
      <c r="B205" s="725" t="s">
        <v>156</v>
      </c>
      <c r="C205" s="2194"/>
      <c r="D205" s="381"/>
      <c r="E205" s="464"/>
      <c r="F205" s="464"/>
      <c r="G205" s="2135"/>
      <c r="H205" s="2183"/>
      <c r="I205" s="1048"/>
      <c r="J205" s="1262"/>
      <c r="K205" s="2130"/>
      <c r="L205" s="1195"/>
      <c r="M205" s="1195"/>
      <c r="N205" s="1195"/>
    </row>
    <row r="206" spans="1:14" ht="16">
      <c r="A206" s="704" t="s">
        <v>3529</v>
      </c>
      <c r="B206" s="725" t="s">
        <v>156</v>
      </c>
      <c r="C206" s="2194"/>
      <c r="D206" s="453"/>
      <c r="E206" s="464"/>
      <c r="F206" s="464"/>
      <c r="G206" s="2135"/>
      <c r="H206" s="2183"/>
      <c r="I206" s="1048"/>
      <c r="J206" s="1262"/>
      <c r="K206" s="2130"/>
      <c r="L206" s="1195"/>
      <c r="M206" s="1195"/>
      <c r="N206" s="1195"/>
    </row>
    <row r="207" spans="1:14" ht="16">
      <c r="A207" s="577" t="s">
        <v>3530</v>
      </c>
      <c r="B207" s="725" t="s">
        <v>156</v>
      </c>
      <c r="C207" s="2194"/>
      <c r="D207" s="464"/>
      <c r="E207" s="464"/>
      <c r="F207" s="464"/>
      <c r="G207" s="2135"/>
      <c r="H207" s="936"/>
      <c r="I207" s="1048"/>
      <c r="J207" s="1262"/>
      <c r="K207" s="2130"/>
      <c r="L207" s="1195"/>
      <c r="M207" s="1195"/>
      <c r="N207" s="1195"/>
    </row>
    <row r="208" spans="1:14" ht="16">
      <c r="A208" s="577" t="s">
        <v>3531</v>
      </c>
      <c r="B208" s="725" t="s">
        <v>156</v>
      </c>
      <c r="C208" s="2194"/>
      <c r="D208" s="464"/>
      <c r="E208" s="464"/>
      <c r="F208" s="464"/>
      <c r="G208" s="2135"/>
      <c r="H208" s="2183"/>
      <c r="I208" s="1048"/>
      <c r="J208" s="1262"/>
      <c r="K208" s="2130"/>
      <c r="L208" s="1195"/>
      <c r="M208" s="1195"/>
      <c r="N208" s="1195"/>
    </row>
    <row r="209" spans="1:14" ht="16">
      <c r="A209" s="2195" t="s">
        <v>3893</v>
      </c>
      <c r="B209" s="2196" t="s">
        <v>156</v>
      </c>
      <c r="C209" s="2194"/>
      <c r="D209" s="2131"/>
      <c r="E209" s="2131"/>
      <c r="F209" s="2131"/>
      <c r="G209" s="936"/>
      <c r="H209" s="2183"/>
      <c r="I209" s="1048"/>
      <c r="J209" s="1262"/>
      <c r="K209" s="2130"/>
      <c r="L209" s="1195"/>
      <c r="M209" s="1195"/>
      <c r="N209" s="1195"/>
    </row>
    <row r="210" spans="1:14" ht="16">
      <c r="A210" s="2197" t="s">
        <v>1236</v>
      </c>
      <c r="B210" s="788" t="s">
        <v>120</v>
      </c>
      <c r="C210" s="788" t="s">
        <v>2580</v>
      </c>
      <c r="D210" s="788" t="s">
        <v>2581</v>
      </c>
      <c r="E210" s="788" t="s">
        <v>1802</v>
      </c>
      <c r="F210" s="923" t="s">
        <v>3894</v>
      </c>
      <c r="G210" s="2135"/>
      <c r="H210" s="2183"/>
      <c r="I210" s="1048"/>
      <c r="J210" s="1262"/>
      <c r="K210" s="2130"/>
      <c r="L210" s="1195"/>
      <c r="M210" s="1195"/>
      <c r="N210" s="1195"/>
    </row>
    <row r="211" spans="1:14" ht="16">
      <c r="A211" s="720" t="s">
        <v>2210</v>
      </c>
      <c r="B211" s="725" t="s">
        <v>156</v>
      </c>
      <c r="C211" s="2194">
        <f>'Ввод данных'!C432</f>
        <v>2.7</v>
      </c>
      <c r="D211" s="2141">
        <f>'Ввод данных'!D429</f>
        <v>0</v>
      </c>
      <c r="E211" s="2129" t="e">
        <f>'Ввод данных'!#REF!</f>
        <v>#REF!</v>
      </c>
      <c r="F211" s="2198" t="e">
        <f>C211*D211*E211</f>
        <v>#REF!</v>
      </c>
      <c r="G211" s="2135"/>
      <c r="H211" s="2183"/>
      <c r="I211" s="1048"/>
      <c r="J211" s="1262"/>
      <c r="K211" s="2130"/>
      <c r="L211" s="1195"/>
      <c r="M211" s="1195"/>
      <c r="N211" s="1195"/>
    </row>
    <row r="212" spans="1:14" ht="16">
      <c r="A212" s="2199"/>
      <c r="B212" s="725" t="s">
        <v>156</v>
      </c>
      <c r="C212" s="2194"/>
      <c r="D212" s="2141">
        <f>'Ввод данных'!D430</f>
        <v>0</v>
      </c>
      <c r="E212" s="2129" t="e">
        <f>'Ввод данных'!#REF!</f>
        <v>#REF!</v>
      </c>
      <c r="F212" s="2198" t="e">
        <f>C212*D212*E212</f>
        <v>#REF!</v>
      </c>
      <c r="G212" s="2135"/>
      <c r="H212" s="2183"/>
      <c r="I212" s="1048"/>
      <c r="J212" s="1262"/>
      <c r="K212" s="2130"/>
      <c r="L212" s="1195"/>
      <c r="M212" s="1195"/>
      <c r="N212" s="1195"/>
    </row>
    <row r="213" spans="1:14" ht="16">
      <c r="A213" s="762"/>
      <c r="B213" s="725" t="s">
        <v>156</v>
      </c>
      <c r="C213" s="2194"/>
      <c r="D213" s="2141">
        <f>'Ввод данных'!D431</f>
        <v>0</v>
      </c>
      <c r="E213" s="2129" t="e">
        <f>'Ввод данных'!#REF!</f>
        <v>#REF!</v>
      </c>
      <c r="F213" s="2198" t="e">
        <f>C213*D213*E213</f>
        <v>#REF!</v>
      </c>
      <c r="G213" s="2135"/>
      <c r="H213" s="2183"/>
      <c r="I213" s="1048"/>
      <c r="J213" s="1262"/>
      <c r="K213" s="2130"/>
      <c r="L213" s="1195"/>
      <c r="M213" s="1195"/>
      <c r="N213" s="1195"/>
    </row>
    <row r="214" spans="1:14" ht="16">
      <c r="A214" s="720" t="s">
        <v>3895</v>
      </c>
      <c r="B214" s="725" t="s">
        <v>156</v>
      </c>
      <c r="C214" s="2194" t="e">
        <f>'Ввод данных'!#REF!</f>
        <v>#REF!</v>
      </c>
      <c r="D214" s="2141">
        <f>'Ввод данных'!D432</f>
        <v>0</v>
      </c>
      <c r="E214" s="2129" t="e">
        <f>'Ввод данных'!#REF!</f>
        <v>#REF!</v>
      </c>
      <c r="F214" s="2198" t="e">
        <f>C214*D214*E214</f>
        <v>#REF!</v>
      </c>
      <c r="G214" s="2135"/>
      <c r="H214" s="2183"/>
      <c r="I214" s="1048"/>
      <c r="J214" s="1262"/>
      <c r="K214" s="2130"/>
      <c r="L214" s="1195"/>
      <c r="M214" s="1195"/>
      <c r="N214" s="1195"/>
    </row>
    <row r="215" spans="1:14" ht="16">
      <c r="A215" s="762"/>
      <c r="B215" s="725" t="s">
        <v>156</v>
      </c>
      <c r="C215" s="2194">
        <f>'Ввод данных'!C434</f>
        <v>0</v>
      </c>
      <c r="D215" s="2141">
        <f>'Ввод данных'!D433</f>
        <v>0</v>
      </c>
      <c r="E215" s="2129" t="e">
        <f>'Ввод данных'!#REF!</f>
        <v>#REF!</v>
      </c>
      <c r="F215" s="2198" t="e">
        <f>C215*D215*E215</f>
        <v>#REF!</v>
      </c>
      <c r="G215" s="2135"/>
      <c r="H215" s="2183"/>
      <c r="I215" s="1048"/>
      <c r="J215" s="1262"/>
      <c r="K215" s="2130"/>
      <c r="L215" s="1195"/>
      <c r="M215" s="1195"/>
      <c r="N215" s="1195"/>
    </row>
    <row r="216" spans="1:14" ht="16">
      <c r="A216" s="938" t="s">
        <v>3896</v>
      </c>
      <c r="B216" s="938" t="s">
        <v>133</v>
      </c>
      <c r="C216" s="938" t="e">
        <f>F211+F212+F215+F214+F213</f>
        <v>#REF!</v>
      </c>
      <c r="D216" s="936"/>
      <c r="E216" s="936"/>
      <c r="F216" s="936"/>
      <c r="G216" s="2135"/>
      <c r="H216" s="2183"/>
      <c r="I216" s="1048"/>
      <c r="J216" s="1262"/>
      <c r="K216" s="2130"/>
      <c r="L216" s="1195"/>
      <c r="M216" s="1195"/>
      <c r="N216" s="1195"/>
    </row>
    <row r="217" spans="1:14" ht="16">
      <c r="A217" s="938" t="s">
        <v>3541</v>
      </c>
      <c r="B217" s="938" t="s">
        <v>133</v>
      </c>
      <c r="C217" s="938" t="e">
        <f>(C204*2+C203*2+C202)*(C205+C209*C197+D199*E199+D200*E200+D201*E201)</f>
        <v>#REF!</v>
      </c>
      <c r="D217" s="936"/>
      <c r="E217" s="936"/>
      <c r="F217" s="936"/>
      <c r="G217" s="2135"/>
      <c r="H217" s="2183"/>
      <c r="I217" s="1048"/>
      <c r="J217" s="1262"/>
      <c r="K217" s="2130"/>
      <c r="L217" s="1195"/>
      <c r="M217" s="1195"/>
      <c r="N217" s="1195"/>
    </row>
    <row r="218" spans="1:14" ht="16">
      <c r="A218" s="938" t="s">
        <v>3542</v>
      </c>
      <c r="B218" s="938" t="s">
        <v>133</v>
      </c>
      <c r="C218" s="938" t="e">
        <f>C217-C216</f>
        <v>#REF!</v>
      </c>
      <c r="D218" s="936"/>
      <c r="E218" s="936"/>
      <c r="F218" s="936"/>
      <c r="G218" s="2135"/>
      <c r="H218" s="2183"/>
      <c r="I218" s="1048"/>
      <c r="J218" s="1262"/>
      <c r="K218" s="2130"/>
      <c r="L218" s="1195"/>
      <c r="M218" s="1195"/>
      <c r="N218" s="1195"/>
    </row>
    <row r="219" spans="1:14" ht="16">
      <c r="A219" s="2200" t="s">
        <v>3543</v>
      </c>
      <c r="B219" s="2200"/>
      <c r="C219" s="2187" t="s">
        <v>120</v>
      </c>
      <c r="D219" s="2187" t="s">
        <v>853</v>
      </c>
      <c r="E219" s="2129" t="e">
        <f>'Ввод данных'!#REF!</f>
        <v>#REF!</v>
      </c>
      <c r="F219" s="2188" t="s">
        <v>3555</v>
      </c>
      <c r="G219" s="2135"/>
      <c r="H219" s="2183"/>
      <c r="I219" s="1048"/>
      <c r="J219" s="1262"/>
      <c r="K219" s="2130"/>
      <c r="L219" s="1195"/>
      <c r="M219" s="1195"/>
      <c r="N219" s="1195"/>
    </row>
    <row r="220" spans="1:14" ht="16">
      <c r="A220" s="942" t="s">
        <v>3544</v>
      </c>
      <c r="B220" s="943"/>
      <c r="C220" s="961" t="s">
        <v>156</v>
      </c>
      <c r="D220" s="938">
        <f>SQRT((C208/2)*(C208/2)+C206*C206)</f>
        <v>0</v>
      </c>
      <c r="E220" s="1276"/>
      <c r="F220" s="1276"/>
      <c r="G220" s="2135"/>
      <c r="H220" s="2183"/>
      <c r="I220" s="1048"/>
      <c r="J220" s="1262"/>
      <c r="K220" s="2130"/>
      <c r="L220" s="1195"/>
      <c r="M220" s="1195"/>
      <c r="N220" s="1195"/>
    </row>
    <row r="221" spans="1:14" ht="16">
      <c r="A221" s="942" t="s">
        <v>3548</v>
      </c>
      <c r="B221" s="943"/>
      <c r="C221" s="961" t="s">
        <v>156</v>
      </c>
      <c r="D221" s="938">
        <f>SQRT(D220*D220+C204*C204)</f>
        <v>0</v>
      </c>
      <c r="E221" s="1276"/>
      <c r="F221" s="1276"/>
      <c r="G221" s="2135"/>
      <c r="H221" s="2183"/>
      <c r="I221" s="1048"/>
      <c r="J221" s="1262"/>
      <c r="K221" s="2130"/>
      <c r="L221" s="1195"/>
      <c r="M221" s="1195"/>
      <c r="N221" s="1195"/>
    </row>
    <row r="222" spans="1:14" ht="16">
      <c r="A222" s="942" t="s">
        <v>3549</v>
      </c>
      <c r="B222" s="943"/>
      <c r="C222" s="961" t="s">
        <v>156</v>
      </c>
      <c r="D222" s="938">
        <f>SQRT(D221*D221+C203*C203)</f>
        <v>0</v>
      </c>
      <c r="E222" s="1276"/>
      <c r="F222" s="1276"/>
      <c r="G222" s="2135"/>
      <c r="H222" s="2183"/>
      <c r="I222" s="1048"/>
      <c r="J222" s="1262"/>
      <c r="K222" s="2130"/>
      <c r="L222" s="1195"/>
      <c r="M222" s="1195"/>
      <c r="N222" s="1195"/>
    </row>
    <row r="223" spans="1:14" ht="16">
      <c r="A223" s="2201" t="s">
        <v>2609</v>
      </c>
      <c r="B223" s="2202"/>
      <c r="C223" s="920" t="s">
        <v>133</v>
      </c>
      <c r="D223" s="1319">
        <f>D220*C204+D221*C203*1.1+(C202/2)*SQRT(C207*C207+C206*C206)*2</f>
        <v>0</v>
      </c>
      <c r="E223" s="1276"/>
      <c r="F223" s="1276"/>
      <c r="G223" s="2135"/>
      <c r="H223" s="2183"/>
      <c r="I223" s="1048"/>
      <c r="J223" s="1262"/>
      <c r="K223" s="381"/>
      <c r="L223" s="1195"/>
      <c r="M223" s="1195"/>
      <c r="N223" s="1195"/>
    </row>
    <row r="224" spans="1:14" ht="16">
      <c r="A224" s="2201" t="s">
        <v>3545</v>
      </c>
      <c r="B224" s="2203"/>
      <c r="C224" s="920" t="s">
        <v>156</v>
      </c>
      <c r="D224" s="2141">
        <f>'Ввод данных'!C433</f>
        <v>0.8</v>
      </c>
      <c r="E224" s="1276"/>
      <c r="F224" s="1276"/>
      <c r="G224" s="2135"/>
      <c r="H224" s="2183"/>
      <c r="I224" s="1048"/>
      <c r="J224" s="1262"/>
      <c r="K224" s="466"/>
      <c r="L224" s="1195"/>
      <c r="M224" s="1195"/>
      <c r="N224" s="1195"/>
    </row>
    <row r="225" spans="1:14" ht="16">
      <c r="A225" s="942" t="s">
        <v>3550</v>
      </c>
      <c r="B225" s="943"/>
      <c r="C225" s="938" t="s">
        <v>156</v>
      </c>
      <c r="D225" s="1246">
        <f>D220+D224</f>
        <v>0.8</v>
      </c>
      <c r="E225" s="1276"/>
      <c r="F225" s="1276"/>
      <c r="G225" s="2135"/>
      <c r="H225" s="2183"/>
      <c r="I225" s="1048"/>
      <c r="J225" s="1262"/>
      <c r="K225" s="466"/>
      <c r="L225" s="1195"/>
      <c r="M225" s="1195"/>
      <c r="N225" s="1195"/>
    </row>
    <row r="226" spans="1:14" ht="16">
      <c r="A226" s="942" t="s">
        <v>3552</v>
      </c>
      <c r="B226" s="943"/>
      <c r="C226" s="938" t="s">
        <v>156</v>
      </c>
      <c r="D226" s="1246">
        <f>D221+D224</f>
        <v>0.8</v>
      </c>
      <c r="E226" s="1276"/>
      <c r="F226" s="1276"/>
      <c r="G226" s="2135"/>
      <c r="H226" s="2183"/>
      <c r="I226" s="1048"/>
      <c r="J226" s="1262"/>
      <c r="K226" s="466"/>
      <c r="L226" s="1195"/>
      <c r="M226" s="1195"/>
      <c r="N226" s="1195"/>
    </row>
    <row r="227" spans="1:14" ht="16">
      <c r="A227" s="942" t="s">
        <v>3554</v>
      </c>
      <c r="B227" s="943"/>
      <c r="C227" s="938" t="s">
        <v>156</v>
      </c>
      <c r="D227" s="1246">
        <f>D222+D224</f>
        <v>0.8</v>
      </c>
      <c r="E227" s="1276"/>
      <c r="F227" s="1276"/>
      <c r="G227" s="2135"/>
      <c r="H227" s="2183"/>
      <c r="I227" s="1048"/>
      <c r="J227" s="1262"/>
      <c r="K227" s="466"/>
      <c r="L227" s="1195"/>
      <c r="M227" s="1195"/>
      <c r="N227" s="1195"/>
    </row>
    <row r="228" spans="1:14" ht="16">
      <c r="A228" s="2201" t="s">
        <v>2610</v>
      </c>
      <c r="B228" s="2202"/>
      <c r="C228" s="920" t="s">
        <v>133</v>
      </c>
      <c r="D228" s="1319" t="e">
        <f>((C204*D224*2+C203*D224*2+C202*D224)*1.1+D223)*E219</f>
        <v>#REF!</v>
      </c>
      <c r="E228" s="1276"/>
      <c r="F228" s="1276"/>
      <c r="G228" s="2135"/>
      <c r="H228" s="2183"/>
      <c r="I228" s="1048"/>
      <c r="J228" s="1262"/>
      <c r="K228" s="466"/>
      <c r="L228" s="1195"/>
      <c r="M228" s="1195"/>
      <c r="N228" s="1195"/>
    </row>
    <row r="229" spans="1:14" ht="16">
      <c r="A229" s="2204" t="s">
        <v>2635</v>
      </c>
      <c r="B229" s="2204"/>
      <c r="C229" s="2204"/>
      <c r="D229" s="2204"/>
      <c r="E229" s="2129" t="e">
        <f>'Ввод данных'!#REF!</f>
        <v>#REF!</v>
      </c>
      <c r="F229" s="2130" t="s">
        <v>3568</v>
      </c>
      <c r="G229" s="2135"/>
      <c r="H229" s="2183"/>
      <c r="I229" s="1048"/>
      <c r="J229" s="1262"/>
      <c r="K229" s="927"/>
      <c r="L229" s="1195"/>
      <c r="M229" s="1195"/>
      <c r="N229" s="1195"/>
    </row>
    <row r="230" spans="1:14" ht="16">
      <c r="A230" s="2205" t="s">
        <v>2572</v>
      </c>
      <c r="B230" s="2154" t="s">
        <v>156</v>
      </c>
      <c r="C230" s="2205">
        <f>C204*2+C203*2+C202</f>
        <v>0</v>
      </c>
      <c r="D230" s="2130"/>
      <c r="E230" s="2130"/>
      <c r="F230" s="1276"/>
      <c r="G230" s="2135"/>
      <c r="H230" s="2183"/>
      <c r="I230" s="1048"/>
      <c r="J230" s="1262"/>
      <c r="K230" s="1036"/>
      <c r="L230" s="1195"/>
      <c r="M230" s="1195"/>
      <c r="N230" s="1195"/>
    </row>
    <row r="231" spans="1:14" ht="16">
      <c r="A231" s="2156" t="s">
        <v>3427</v>
      </c>
      <c r="B231" s="965" t="s">
        <v>133</v>
      </c>
      <c r="C231" s="2156" t="e">
        <f>C199+C200</f>
        <v>#REF!</v>
      </c>
      <c r="D231" s="2130"/>
      <c r="E231" s="2130"/>
      <c r="F231" s="1276"/>
      <c r="G231" s="2135"/>
      <c r="H231" s="2183"/>
      <c r="I231" s="1048"/>
      <c r="J231" s="1262"/>
      <c r="K231" s="2188"/>
      <c r="L231" s="1195"/>
      <c r="M231" s="1195"/>
      <c r="N231" s="1195"/>
    </row>
    <row r="232" spans="1:14" ht="16">
      <c r="A232" s="936"/>
      <c r="B232" s="936"/>
      <c r="C232" s="936"/>
      <c r="D232" s="936"/>
      <c r="E232" s="936"/>
      <c r="F232" s="936"/>
      <c r="G232" s="2135"/>
      <c r="H232" s="2183"/>
      <c r="I232" s="1048"/>
      <c r="J232" s="1262"/>
      <c r="K232" s="1276"/>
      <c r="L232" s="1195"/>
      <c r="M232" s="1195"/>
      <c r="N232" s="1195"/>
    </row>
    <row r="233" spans="1:14" ht="16">
      <c r="A233" s="936"/>
      <c r="B233" s="936"/>
      <c r="C233" s="936"/>
      <c r="D233" s="936"/>
      <c r="E233" s="936"/>
      <c r="F233" s="936"/>
      <c r="G233" s="2135"/>
      <c r="H233" s="2183"/>
      <c r="I233" s="1048"/>
      <c r="J233" s="1262"/>
      <c r="K233" s="1276"/>
      <c r="L233" s="1195"/>
      <c r="M233" s="1195"/>
      <c r="N233" s="1195"/>
    </row>
    <row r="234" spans="1:14" ht="16">
      <c r="A234" s="936"/>
      <c r="B234" s="936"/>
      <c r="C234" s="936"/>
      <c r="D234" s="936"/>
      <c r="E234" s="936"/>
      <c r="F234" s="936"/>
      <c r="G234" s="2135"/>
      <c r="H234" s="2183"/>
      <c r="I234" s="1048"/>
      <c r="J234" s="1262"/>
      <c r="K234" s="1276"/>
      <c r="L234" s="1195"/>
      <c r="M234" s="1195"/>
      <c r="N234" s="1195"/>
    </row>
    <row r="235" spans="1:14" ht="16">
      <c r="A235" s="936"/>
      <c r="B235" s="936"/>
      <c r="C235" s="936"/>
      <c r="D235" s="936"/>
      <c r="E235" s="936"/>
      <c r="F235" s="936"/>
      <c r="G235" s="2135"/>
      <c r="H235" s="2183"/>
      <c r="I235" s="1048"/>
      <c r="J235" s="1262"/>
      <c r="K235" s="1276"/>
      <c r="L235" s="1195"/>
      <c r="M235" s="1195"/>
      <c r="N235" s="1195"/>
    </row>
    <row r="236" spans="1:14" ht="16">
      <c r="A236" s="2188"/>
      <c r="B236" s="2188"/>
      <c r="C236" s="2206"/>
      <c r="D236" s="1276"/>
      <c r="E236" s="1276"/>
      <c r="F236" s="1276"/>
      <c r="G236" s="2135"/>
      <c r="H236" s="2183"/>
      <c r="I236" s="1048"/>
      <c r="J236" s="1262"/>
      <c r="K236" s="1276"/>
      <c r="L236" s="1195"/>
      <c r="M236" s="1195"/>
      <c r="N236" s="1195"/>
    </row>
    <row r="237" spans="1:14" ht="16">
      <c r="A237" s="936"/>
      <c r="B237" s="936"/>
      <c r="C237" s="936"/>
      <c r="D237" s="936"/>
      <c r="E237" s="366"/>
      <c r="F237" s="2130"/>
      <c r="G237" s="936"/>
      <c r="H237" s="2183"/>
      <c r="I237" s="1048"/>
      <c r="J237" s="1262"/>
      <c r="K237" s="2130"/>
      <c r="L237" s="1195"/>
      <c r="M237" s="1195"/>
      <c r="N237" s="1195"/>
    </row>
    <row r="238" spans="1:14" ht="16">
      <c r="A238" s="936"/>
      <c r="B238" s="936"/>
      <c r="C238" s="936"/>
      <c r="D238" s="936"/>
      <c r="E238" s="366"/>
      <c r="F238" s="366"/>
      <c r="G238" s="2131"/>
      <c r="H238" s="2183"/>
      <c r="I238" s="1048"/>
      <c r="J238" s="1262"/>
      <c r="K238" s="1276"/>
      <c r="L238" s="1195"/>
      <c r="M238" s="1195"/>
      <c r="N238" s="1195"/>
    </row>
    <row r="239" spans="1:14" ht="16">
      <c r="A239" s="936"/>
      <c r="B239" s="936"/>
      <c r="C239" s="936"/>
      <c r="D239" s="936"/>
      <c r="E239" s="366"/>
      <c r="F239" s="366"/>
      <c r="G239" s="2131"/>
      <c r="H239" s="2183"/>
      <c r="I239" s="1048"/>
      <c r="J239" s="1262"/>
      <c r="K239" s="1276"/>
      <c r="L239" s="1195"/>
      <c r="M239" s="1195"/>
      <c r="N239" s="1195"/>
    </row>
    <row r="240" spans="1:14" ht="16">
      <c r="A240" s="936"/>
      <c r="B240" s="936"/>
      <c r="C240" s="936"/>
      <c r="D240" s="936"/>
      <c r="E240" s="2130"/>
      <c r="F240" s="2130"/>
      <c r="G240" s="2131"/>
      <c r="H240" s="2183"/>
      <c r="I240" s="1048"/>
      <c r="J240" s="1262"/>
      <c r="K240" s="927"/>
      <c r="L240" s="1195"/>
      <c r="M240" s="1195"/>
      <c r="N240" s="1195"/>
    </row>
    <row r="241" spans="1:14" ht="16">
      <c r="A241" s="2207" t="s">
        <v>2069</v>
      </c>
      <c r="B241" s="787" t="s">
        <v>120</v>
      </c>
      <c r="C241" s="789" t="s">
        <v>1753</v>
      </c>
      <c r="D241" s="2141" t="str">
        <f>'Ввод данных'!F512</f>
        <v>Не считать</v>
      </c>
      <c r="E241" s="2130" t="s">
        <v>3897</v>
      </c>
      <c r="F241" s="2130"/>
      <c r="G241" s="2131"/>
      <c r="H241" s="2183"/>
      <c r="I241" s="1048"/>
      <c r="J241" s="1262"/>
      <c r="K241" s="927"/>
      <c r="L241" s="1195"/>
      <c r="M241" s="1195"/>
      <c r="N241" s="1195"/>
    </row>
    <row r="242" spans="1:14" ht="16">
      <c r="A242" s="2156" t="s">
        <v>2058</v>
      </c>
      <c r="B242" s="961" t="s">
        <v>156</v>
      </c>
      <c r="C242" s="486">
        <v>3</v>
      </c>
      <c r="D242" s="366"/>
      <c r="E242" s="2130"/>
      <c r="F242" s="2130"/>
      <c r="G242" s="2131"/>
      <c r="H242" s="2183"/>
      <c r="I242" s="1048"/>
      <c r="J242" s="1262"/>
      <c r="K242" s="381"/>
      <c r="L242" s="1195"/>
      <c r="M242" s="1195"/>
      <c r="N242" s="1195"/>
    </row>
    <row r="243" spans="1:14" ht="16">
      <c r="A243" s="2156" t="s">
        <v>3898</v>
      </c>
      <c r="B243" s="961" t="s">
        <v>156</v>
      </c>
      <c r="C243" s="2194">
        <f>'Ввод данных'!C467</f>
        <v>1</v>
      </c>
      <c r="D243" s="366"/>
      <c r="E243" s="2130"/>
      <c r="F243" s="2130"/>
      <c r="G243" s="2131"/>
      <c r="H243" s="2183"/>
      <c r="I243" s="1048"/>
      <c r="J243" s="1262"/>
      <c r="K243" s="366"/>
      <c r="L243" s="1195"/>
      <c r="M243" s="1195"/>
      <c r="N243" s="1195"/>
    </row>
    <row r="244" spans="1:14" ht="16">
      <c r="A244" s="2144" t="s">
        <v>3838</v>
      </c>
      <c r="B244" s="961" t="s">
        <v>156</v>
      </c>
      <c r="C244" s="2194">
        <f>'Ввод данных'!C468</f>
        <v>0.9</v>
      </c>
      <c r="D244" s="366"/>
      <c r="E244" s="2130"/>
      <c r="F244" s="2130"/>
      <c r="G244" s="2130"/>
      <c r="H244" s="2183"/>
      <c r="I244" s="1048"/>
      <c r="J244" s="1036"/>
      <c r="K244" s="366"/>
      <c r="L244" s="1195"/>
      <c r="M244" s="1195"/>
      <c r="N244" s="1195"/>
    </row>
    <row r="245" spans="1:14" ht="16">
      <c r="A245" s="2156" t="s">
        <v>3899</v>
      </c>
      <c r="B245" s="965" t="s">
        <v>133</v>
      </c>
      <c r="C245" s="2156">
        <f>C242*C243</f>
        <v>3</v>
      </c>
      <c r="D245" s="366"/>
      <c r="E245" s="2130"/>
      <c r="F245" s="2130"/>
      <c r="G245" s="2130"/>
      <c r="H245" s="2183"/>
      <c r="I245" s="1048"/>
      <c r="J245" s="1036"/>
      <c r="K245" s="366"/>
      <c r="L245" s="1195"/>
      <c r="M245" s="1195"/>
      <c r="N245" s="1195"/>
    </row>
    <row r="246" spans="1:14" ht="16">
      <c r="A246" s="939" t="s">
        <v>3900</v>
      </c>
      <c r="B246" s="939" t="s">
        <v>133</v>
      </c>
      <c r="C246" s="2156">
        <f>(C242+C243+C243)*C244</f>
        <v>4.5</v>
      </c>
      <c r="D246" s="366"/>
      <c r="E246" s="2130"/>
      <c r="F246" s="2130"/>
      <c r="G246" s="2130"/>
      <c r="H246" s="2183"/>
      <c r="I246" s="1048"/>
      <c r="J246" s="1036"/>
      <c r="K246" s="366"/>
      <c r="L246" s="1195"/>
      <c r="M246" s="1195"/>
      <c r="N246" s="1195"/>
    </row>
    <row r="247" spans="1:14" ht="16">
      <c r="A247" s="936"/>
      <c r="B247" s="936"/>
      <c r="C247" s="936"/>
      <c r="D247" s="366"/>
      <c r="E247" s="2130"/>
      <c r="F247" s="2130"/>
      <c r="G247" s="2130"/>
      <c r="H247" s="2183"/>
      <c r="I247" s="1048"/>
      <c r="J247" s="1036"/>
      <c r="K247" s="366"/>
      <c r="L247" s="1195"/>
      <c r="M247" s="1195"/>
      <c r="N247" s="1195"/>
    </row>
    <row r="248" spans="1:14" ht="16">
      <c r="A248" s="2130"/>
      <c r="B248" s="2158"/>
      <c r="C248" s="2130"/>
      <c r="D248" s="2130"/>
      <c r="E248" s="2130"/>
      <c r="F248" s="2130"/>
      <c r="G248" s="2130"/>
      <c r="H248" s="2183"/>
      <c r="I248" s="1048"/>
      <c r="J248" s="1036"/>
      <c r="K248" s="381"/>
      <c r="L248" s="1195"/>
      <c r="M248" s="1195"/>
      <c r="N248" s="1195"/>
    </row>
    <row r="249" spans="1:14" ht="16">
      <c r="A249" s="2130"/>
      <c r="B249" s="2158"/>
      <c r="C249" s="2130"/>
      <c r="D249" s="2130"/>
      <c r="E249" s="2130"/>
      <c r="F249" s="2130"/>
      <c r="G249" s="2130"/>
      <c r="H249" s="2183"/>
      <c r="I249" s="1048"/>
      <c r="J249" s="1036"/>
      <c r="K249" s="381"/>
      <c r="L249" s="1195"/>
      <c r="M249" s="1195"/>
      <c r="N249" s="1195"/>
    </row>
    <row r="250" spans="1:14" ht="16">
      <c r="A250" s="2130"/>
      <c r="B250" s="2158"/>
      <c r="C250" s="2130"/>
      <c r="D250" s="2130"/>
      <c r="E250" s="2130"/>
      <c r="F250" s="2130"/>
      <c r="G250" s="2130"/>
      <c r="H250" s="2183"/>
      <c r="I250" s="1048"/>
      <c r="J250" s="1036"/>
      <c r="K250" s="381"/>
      <c r="L250" s="1195"/>
      <c r="M250" s="1195"/>
      <c r="N250" s="1195"/>
    </row>
    <row r="251" spans="1:14" ht="16">
      <c r="A251" s="2130"/>
      <c r="B251" s="2158"/>
      <c r="C251" s="2130"/>
      <c r="D251" s="2130"/>
      <c r="E251" s="2130"/>
      <c r="F251" s="2130"/>
      <c r="G251" s="2130"/>
      <c r="H251" s="2183"/>
      <c r="I251" s="1048"/>
      <c r="J251" s="1036"/>
      <c r="K251" s="381"/>
      <c r="L251" s="1195"/>
      <c r="M251" s="1195"/>
      <c r="N251" s="1195"/>
    </row>
    <row r="252" spans="1:14" ht="16">
      <c r="A252" s="2130"/>
      <c r="B252" s="2158"/>
      <c r="C252" s="2130"/>
      <c r="D252" s="2130"/>
      <c r="E252" s="2130"/>
      <c r="F252" s="2130"/>
      <c r="G252" s="2130"/>
      <c r="H252" s="2183"/>
      <c r="I252" s="1048"/>
      <c r="J252" s="1036"/>
      <c r="K252" s="381"/>
      <c r="L252" s="1195"/>
      <c r="M252" s="1195"/>
      <c r="N252" s="1195"/>
    </row>
    <row r="253" spans="1:14" ht="16">
      <c r="A253" s="2130"/>
      <c r="B253" s="2158"/>
      <c r="C253" s="2130"/>
      <c r="D253" s="2130"/>
      <c r="E253" s="2130"/>
      <c r="F253" s="2130"/>
      <c r="G253" s="2130"/>
      <c r="H253" s="2183"/>
      <c r="I253" s="1048"/>
      <c r="J253" s="1036"/>
      <c r="K253" s="381"/>
      <c r="L253" s="1195"/>
      <c r="M253" s="1195"/>
      <c r="N253" s="1195"/>
    </row>
    <row r="254" spans="1:14" ht="16">
      <c r="A254" s="2130"/>
      <c r="B254" s="2158"/>
      <c r="C254" s="2130"/>
      <c r="D254" s="2130"/>
      <c r="E254" s="2130"/>
      <c r="F254" s="2130"/>
      <c r="G254" s="2130"/>
      <c r="H254" s="2183"/>
      <c r="I254" s="1048"/>
      <c r="J254" s="1036"/>
      <c r="K254" s="381"/>
      <c r="L254" s="1195"/>
      <c r="M254" s="1195"/>
      <c r="N254" s="1195"/>
    </row>
    <row r="255" spans="1:14" ht="16">
      <c r="A255" s="2130"/>
      <c r="B255" s="2158"/>
      <c r="C255" s="2130"/>
      <c r="D255" s="2130"/>
      <c r="E255" s="2130"/>
      <c r="F255" s="2130"/>
      <c r="G255" s="2130"/>
      <c r="H255" s="2183"/>
      <c r="I255" s="1048"/>
      <c r="J255" s="1036"/>
      <c r="K255" s="2130"/>
      <c r="L255" s="1195"/>
      <c r="M255" s="1195"/>
      <c r="N255" s="1195"/>
    </row>
    <row r="256" spans="1:14" ht="16">
      <c r="A256" s="2130"/>
      <c r="B256" s="2158"/>
      <c r="C256" s="2130"/>
      <c r="D256" s="2130"/>
      <c r="E256" s="2130"/>
      <c r="F256" s="2130"/>
      <c r="G256" s="2130"/>
      <c r="H256" s="2183"/>
      <c r="I256" s="1048"/>
      <c r="J256" s="1036"/>
      <c r="K256" s="927"/>
      <c r="L256" s="1195"/>
      <c r="M256" s="1195"/>
      <c r="N256" s="1195"/>
    </row>
    <row r="257" spans="1:14" ht="16">
      <c r="A257" s="936"/>
      <c r="B257" s="936"/>
      <c r="C257" s="936"/>
      <c r="D257" s="936"/>
      <c r="E257" s="366"/>
      <c r="F257" s="2130"/>
      <c r="G257" s="366"/>
      <c r="H257" s="2183"/>
      <c r="I257" s="1048"/>
      <c r="J257" s="936"/>
      <c r="K257" s="927"/>
      <c r="L257" s="1195"/>
      <c r="M257" s="1195"/>
      <c r="N257" s="1195"/>
    </row>
    <row r="258" spans="1:14" ht="16">
      <c r="A258" s="936"/>
      <c r="B258" s="936"/>
      <c r="C258" s="936"/>
      <c r="D258" s="936"/>
      <c r="E258" s="366"/>
      <c r="F258" s="366"/>
      <c r="G258" s="2130"/>
      <c r="H258" s="2183"/>
      <c r="I258" s="1048"/>
      <c r="J258" s="936"/>
      <c r="K258" s="927"/>
      <c r="L258" s="1195"/>
      <c r="M258" s="1195"/>
      <c r="N258" s="1195"/>
    </row>
    <row r="259" spans="1:14" ht="16">
      <c r="A259" s="936"/>
      <c r="B259" s="936"/>
      <c r="C259" s="936"/>
      <c r="D259" s="936"/>
      <c r="E259" s="366"/>
      <c r="F259" s="366"/>
      <c r="G259" s="2130"/>
      <c r="H259" s="2183"/>
      <c r="I259" s="1048"/>
      <c r="J259" s="936"/>
      <c r="K259" s="927"/>
      <c r="L259" s="1195"/>
      <c r="M259" s="1195"/>
      <c r="N259" s="1195"/>
    </row>
    <row r="260" spans="1:14" ht="16">
      <c r="A260" s="936"/>
      <c r="B260" s="936"/>
      <c r="C260" s="936"/>
      <c r="D260" s="936"/>
      <c r="E260" s="2130"/>
      <c r="F260" s="2130"/>
      <c r="G260" s="2130"/>
      <c r="H260" s="2183"/>
      <c r="I260" s="1048"/>
      <c r="J260" s="936"/>
      <c r="K260" s="2158"/>
      <c r="L260" s="1195"/>
      <c r="M260" s="1195"/>
      <c r="N260" s="1195"/>
    </row>
    <row r="261" spans="1:14" ht="16">
      <c r="A261" s="936"/>
      <c r="B261" s="936"/>
      <c r="C261" s="936"/>
      <c r="D261" s="936"/>
      <c r="E261" s="2130"/>
      <c r="F261" s="2130"/>
      <c r="G261" s="2130"/>
      <c r="H261" s="2183"/>
      <c r="I261" s="1048"/>
      <c r="J261" s="936"/>
      <c r="K261" s="466"/>
      <c r="L261" s="1195"/>
      <c r="M261" s="1195"/>
      <c r="N261" s="1195"/>
    </row>
    <row r="262" spans="1:14" ht="16">
      <c r="A262" s="936"/>
      <c r="B262" s="936"/>
      <c r="C262" s="936"/>
      <c r="D262" s="936"/>
      <c r="E262" s="2130"/>
      <c r="F262" s="2130"/>
      <c r="G262" s="2130"/>
      <c r="H262" s="2183"/>
      <c r="I262" s="1048"/>
      <c r="J262" s="936"/>
      <c r="K262" s="466"/>
      <c r="L262" s="1195"/>
      <c r="M262" s="1195"/>
      <c r="N262" s="1195"/>
    </row>
    <row r="263" spans="1:14" ht="16">
      <c r="A263" s="2208" t="s">
        <v>3812</v>
      </c>
      <c r="B263" s="2209" t="s">
        <v>120</v>
      </c>
      <c r="C263" s="787" t="s">
        <v>1753</v>
      </c>
      <c r="D263" s="2141" t="str">
        <f>'Ввод данных'!F617</f>
        <v>Не считать</v>
      </c>
      <c r="E263" s="2130" t="s">
        <v>3813</v>
      </c>
      <c r="F263" s="2130"/>
      <c r="G263" s="2130"/>
      <c r="H263" s="2183"/>
      <c r="I263" s="1048"/>
      <c r="J263" s="936"/>
      <c r="K263" s="466"/>
      <c r="L263" s="1195"/>
      <c r="M263" s="1195"/>
      <c r="N263" s="1195"/>
    </row>
    <row r="264" spans="1:14" ht="16">
      <c r="A264" s="938" t="s">
        <v>2002</v>
      </c>
      <c r="B264" s="938" t="s">
        <v>159</v>
      </c>
      <c r="C264" s="2194">
        <f>'Ввод данных'!E520</f>
        <v>0</v>
      </c>
      <c r="D264" s="2151"/>
      <c r="E264" s="2130"/>
      <c r="F264" s="2130"/>
      <c r="G264" s="2130"/>
      <c r="H264" s="2183"/>
      <c r="I264" s="1048"/>
      <c r="J264" s="936"/>
      <c r="K264" s="466"/>
      <c r="L264" s="1195"/>
      <c r="M264" s="1195"/>
      <c r="N264" s="1195"/>
    </row>
    <row r="265" spans="1:14" ht="16">
      <c r="A265" s="938" t="s">
        <v>3814</v>
      </c>
      <c r="B265" s="938" t="s">
        <v>159</v>
      </c>
      <c r="C265" s="2194">
        <f>'Ввод данных'!E521</f>
        <v>0</v>
      </c>
      <c r="D265" s="938" t="s">
        <v>2975</v>
      </c>
      <c r="E265" s="2130"/>
      <c r="F265" s="2130"/>
      <c r="G265" s="2130"/>
      <c r="H265" s="2183"/>
      <c r="I265" s="1048"/>
      <c r="J265" s="936"/>
      <c r="K265" s="466"/>
      <c r="L265" s="1195"/>
      <c r="M265" s="1195"/>
      <c r="N265" s="1195"/>
    </row>
    <row r="266" spans="1:14" ht="16">
      <c r="A266" s="938" t="s">
        <v>2001</v>
      </c>
      <c r="B266" s="938" t="s">
        <v>159</v>
      </c>
      <c r="C266" s="938"/>
      <c r="D266" s="2141" t="e">
        <f>'Ввод данных'!#REF!</f>
        <v>#REF!</v>
      </c>
      <c r="E266" s="2129" t="e">
        <f>'Ввод данных'!#REF!</f>
        <v>#REF!</v>
      </c>
      <c r="F266" s="2130" t="s">
        <v>3521</v>
      </c>
      <c r="G266" s="2130"/>
      <c r="H266" s="2183"/>
      <c r="I266" s="1048"/>
      <c r="J266" s="936"/>
      <c r="K266" s="927"/>
      <c r="L266" s="1195"/>
      <c r="M266" s="1195"/>
      <c r="N266" s="1195"/>
    </row>
    <row r="267" spans="1:14" ht="16">
      <c r="A267" s="938" t="s">
        <v>2557</v>
      </c>
      <c r="B267" s="938" t="s">
        <v>159</v>
      </c>
      <c r="C267" s="938"/>
      <c r="D267" s="2141" t="e">
        <f>'Ввод данных'!#REF!</f>
        <v>#REF!</v>
      </c>
      <c r="E267" s="2129" t="e">
        <f>'Ввод данных'!#REF!</f>
        <v>#REF!</v>
      </c>
      <c r="F267" s="2130" t="s">
        <v>3522</v>
      </c>
      <c r="G267" s="2130"/>
      <c r="H267" s="2183"/>
      <c r="I267" s="1048"/>
      <c r="J267" s="936"/>
      <c r="K267" s="927"/>
      <c r="L267" s="1195"/>
      <c r="M267" s="1195"/>
      <c r="N267" s="1195"/>
    </row>
    <row r="268" spans="1:14" ht="16">
      <c r="A268" s="938" t="s">
        <v>2558</v>
      </c>
      <c r="B268" s="938" t="s">
        <v>159</v>
      </c>
      <c r="C268" s="938"/>
      <c r="D268" s="2141" t="e">
        <f>'Ввод данных'!#REF!</f>
        <v>#REF!</v>
      </c>
      <c r="E268" s="2129" t="e">
        <f>'Ввод данных'!#REF!</f>
        <v>#REF!</v>
      </c>
      <c r="F268" s="2130" t="s">
        <v>3523</v>
      </c>
      <c r="G268" s="2130"/>
      <c r="H268" s="2183"/>
      <c r="I268" s="1048"/>
      <c r="J268" s="936"/>
      <c r="K268" s="927"/>
      <c r="L268" s="1195"/>
      <c r="M268" s="1195"/>
      <c r="N268" s="1195"/>
    </row>
    <row r="269" spans="1:14" ht="16">
      <c r="A269" s="704" t="s">
        <v>2091</v>
      </c>
      <c r="B269" s="725" t="s">
        <v>156</v>
      </c>
      <c r="C269" s="2194">
        <f>'Ввод данных'!C522</f>
        <v>3</v>
      </c>
      <c r="D269" s="464"/>
      <c r="E269" s="2130"/>
      <c r="F269" s="2130"/>
      <c r="G269" s="2130"/>
      <c r="H269" s="2183"/>
      <c r="I269" s="1048"/>
      <c r="J269" s="936"/>
      <c r="K269" s="2188"/>
      <c r="L269" s="1195"/>
      <c r="M269" s="1195"/>
      <c r="N269" s="1195"/>
    </row>
    <row r="270" spans="1:14" ht="16">
      <c r="A270" s="704" t="s">
        <v>3901</v>
      </c>
      <c r="B270" s="725" t="s">
        <v>156</v>
      </c>
      <c r="C270" s="2194">
        <f>'Ввод данных'!C523</f>
        <v>3</v>
      </c>
      <c r="D270" s="464"/>
      <c r="E270" s="2130"/>
      <c r="F270" s="2130"/>
      <c r="G270" s="2130"/>
      <c r="H270" s="2183"/>
      <c r="I270" s="1048"/>
      <c r="J270" s="936"/>
      <c r="K270" s="1276"/>
      <c r="L270" s="1195"/>
      <c r="M270" s="1195"/>
      <c r="N270" s="1195"/>
    </row>
    <row r="271" spans="1:14" ht="16">
      <c r="A271" s="704" t="s">
        <v>2093</v>
      </c>
      <c r="B271" s="725" t="s">
        <v>156</v>
      </c>
      <c r="C271" s="2194">
        <f>'Ввод данных'!C524</f>
        <v>2.7</v>
      </c>
      <c r="D271" s="381"/>
      <c r="E271" s="2130"/>
      <c r="F271" s="2130"/>
      <c r="G271" s="2130"/>
      <c r="H271" s="2183"/>
      <c r="I271" s="1048"/>
      <c r="J271" s="936"/>
      <c r="K271" s="1276"/>
      <c r="L271" s="1195"/>
      <c r="M271" s="1195"/>
      <c r="N271" s="1195"/>
    </row>
    <row r="272" spans="1:14" ht="16">
      <c r="A272" s="704" t="s">
        <v>2094</v>
      </c>
      <c r="B272" s="725" t="s">
        <v>156</v>
      </c>
      <c r="C272" s="2194">
        <f>'Ввод данных'!C525</f>
        <v>2.7</v>
      </c>
      <c r="D272" s="381"/>
      <c r="E272" s="2130"/>
      <c r="F272" s="2130"/>
      <c r="G272" s="2130"/>
      <c r="H272" s="2183"/>
      <c r="I272" s="1048"/>
      <c r="J272" s="936"/>
      <c r="K272" s="1276"/>
      <c r="L272" s="1195"/>
      <c r="M272" s="1195"/>
      <c r="N272" s="1195"/>
    </row>
    <row r="273" spans="1:14" ht="16">
      <c r="A273" s="2210" t="s">
        <v>1236</v>
      </c>
      <c r="B273" s="2210" t="s">
        <v>120</v>
      </c>
      <c r="C273" s="933" t="s">
        <v>2548</v>
      </c>
      <c r="D273" s="936"/>
      <c r="E273" s="2130"/>
      <c r="F273" s="2130"/>
      <c r="G273" s="2130"/>
      <c r="H273" s="2183"/>
      <c r="I273" s="1048"/>
      <c r="J273" s="936"/>
      <c r="K273" s="1276"/>
      <c r="L273" s="1195"/>
      <c r="M273" s="1195"/>
      <c r="N273" s="1195"/>
    </row>
    <row r="274" spans="1:14" ht="16">
      <c r="A274" s="938" t="s">
        <v>3902</v>
      </c>
      <c r="B274" s="960" t="s">
        <v>133</v>
      </c>
      <c r="C274" s="938" t="e">
        <f>C269*C270*E266</f>
        <v>#REF!</v>
      </c>
      <c r="D274" s="936"/>
      <c r="E274" s="2130"/>
      <c r="F274" s="2130"/>
      <c r="G274" s="2130"/>
      <c r="H274" s="2183"/>
      <c r="I274" s="1048"/>
      <c r="J274" s="936"/>
      <c r="K274" s="1276"/>
      <c r="L274" s="1195"/>
      <c r="M274" s="1195"/>
      <c r="N274" s="1195"/>
    </row>
    <row r="275" spans="1:14" ht="16">
      <c r="A275" s="938" t="s">
        <v>3903</v>
      </c>
      <c r="B275" s="960" t="s">
        <v>133</v>
      </c>
      <c r="C275" s="938" t="e">
        <f>C269*C270*E267</f>
        <v>#REF!</v>
      </c>
      <c r="D275" s="936"/>
      <c r="E275" s="2130"/>
      <c r="F275" s="2130"/>
      <c r="G275" s="2130"/>
      <c r="H275" s="2183"/>
      <c r="I275" s="1048"/>
      <c r="J275" s="936"/>
      <c r="K275" s="1276"/>
      <c r="L275" s="1195"/>
      <c r="M275" s="1195"/>
      <c r="N275" s="1195"/>
    </row>
    <row r="276" spans="1:14" ht="16">
      <c r="A276" s="938" t="s">
        <v>3904</v>
      </c>
      <c r="B276" s="960" t="s">
        <v>133</v>
      </c>
      <c r="C276" s="938" t="e">
        <f>C269*C270*E268</f>
        <v>#REF!</v>
      </c>
      <c r="D276" s="936"/>
      <c r="E276" s="2130"/>
      <c r="F276" s="2130"/>
      <c r="G276" s="2130"/>
      <c r="H276" s="2183"/>
      <c r="I276" s="1048"/>
      <c r="J276" s="936"/>
      <c r="K276" s="1276"/>
      <c r="L276" s="1195"/>
      <c r="M276" s="1195"/>
      <c r="N276" s="1195"/>
    </row>
    <row r="277" spans="1:14" ht="16">
      <c r="A277" s="3184" t="s">
        <v>2635</v>
      </c>
      <c r="B277" s="3184"/>
      <c r="C277" s="3184"/>
      <c r="D277" s="3184"/>
      <c r="E277" s="2129">
        <f>'Ввод данных'!D555</f>
        <v>2</v>
      </c>
      <c r="F277" s="2130" t="s">
        <v>3568</v>
      </c>
      <c r="G277" s="2130"/>
      <c r="H277" s="2183"/>
      <c r="I277" s="1048"/>
      <c r="J277" s="936"/>
      <c r="K277" s="1276"/>
      <c r="L277" s="1195"/>
      <c r="M277" s="1195"/>
      <c r="N277" s="1195"/>
    </row>
    <row r="278" spans="1:14" ht="16">
      <c r="A278" s="2205" t="s">
        <v>2572</v>
      </c>
      <c r="B278" s="2154" t="s">
        <v>156</v>
      </c>
      <c r="C278" s="2205">
        <f>(C270+C270+C269)*E277</f>
        <v>18</v>
      </c>
      <c r="D278" s="2130"/>
      <c r="E278" s="2130"/>
      <c r="F278" s="2130"/>
      <c r="G278" s="2130"/>
      <c r="H278" s="2183"/>
      <c r="I278" s="1048"/>
      <c r="J278" s="936"/>
      <c r="K278" s="1276"/>
      <c r="L278" s="1195"/>
      <c r="M278" s="1195"/>
      <c r="N278" s="1195"/>
    </row>
    <row r="279" spans="1:14" ht="16">
      <c r="A279" s="2156" t="s">
        <v>3427</v>
      </c>
      <c r="B279" s="965" t="s">
        <v>133</v>
      </c>
      <c r="C279" s="2156">
        <f>C269*C270*E277</f>
        <v>18</v>
      </c>
      <c r="D279" s="2130"/>
      <c r="E279" s="2130"/>
      <c r="F279" s="2130"/>
      <c r="G279" s="2130"/>
      <c r="H279" s="2183"/>
      <c r="I279" s="1048"/>
      <c r="J279" s="936"/>
      <c r="K279" s="1276"/>
      <c r="L279" s="1195"/>
      <c r="M279" s="1195"/>
      <c r="N279" s="1195"/>
    </row>
    <row r="280" spans="1:14" ht="16">
      <c r="A280" s="2130"/>
      <c r="B280" s="2158"/>
      <c r="C280" s="2130"/>
      <c r="D280" s="2130"/>
      <c r="E280" s="2130"/>
      <c r="F280" s="2130"/>
      <c r="G280" s="2130"/>
      <c r="H280" s="2183"/>
      <c r="I280" s="1048"/>
      <c r="J280" s="936"/>
      <c r="K280" s="1276"/>
      <c r="L280" s="1195"/>
      <c r="M280" s="1195"/>
      <c r="N280" s="1195"/>
    </row>
    <row r="281" spans="1:14" ht="16">
      <c r="A281" s="2130"/>
      <c r="B281" s="2158"/>
      <c r="C281" s="2130"/>
      <c r="D281" s="2130"/>
      <c r="E281" s="2130"/>
      <c r="F281" s="2130"/>
      <c r="G281" s="2130"/>
      <c r="H281" s="2183"/>
      <c r="I281" s="1048"/>
      <c r="J281" s="936"/>
      <c r="K281" s="1276"/>
      <c r="L281" s="1195"/>
      <c r="M281" s="1195"/>
      <c r="N281" s="1195"/>
    </row>
    <row r="282" spans="1:14" ht="16">
      <c r="A282" s="2130"/>
      <c r="B282" s="2158"/>
      <c r="C282" s="2130"/>
      <c r="D282" s="2130"/>
      <c r="E282" s="2130"/>
      <c r="F282" s="2130"/>
      <c r="G282" s="2130"/>
      <c r="H282" s="2183"/>
      <c r="I282" s="1048"/>
      <c r="J282" s="936"/>
      <c r="K282" s="1276"/>
      <c r="L282" s="1195"/>
      <c r="M282" s="1195"/>
      <c r="N282" s="1195"/>
    </row>
    <row r="283" spans="1:14" ht="16">
      <c r="A283" s="2130"/>
      <c r="B283" s="2130"/>
      <c r="C283" s="2130"/>
      <c r="D283" s="2130"/>
      <c r="E283" s="2130"/>
      <c r="F283" s="2130"/>
      <c r="G283" s="2130"/>
      <c r="H283" s="2183"/>
      <c r="I283" s="1048"/>
      <c r="J283" s="936"/>
      <c r="K283" s="1276"/>
      <c r="L283" s="1195"/>
      <c r="M283" s="1195"/>
      <c r="N283" s="1195"/>
    </row>
    <row r="284" spans="1:14" ht="16">
      <c r="A284" s="503"/>
      <c r="B284" s="366"/>
      <c r="C284" s="366"/>
      <c r="D284" s="366"/>
      <c r="E284" s="366"/>
      <c r="F284" s="2130"/>
      <c r="G284" s="366"/>
      <c r="H284" s="2183"/>
      <c r="I284" s="1048"/>
      <c r="J284" s="936"/>
      <c r="K284" s="1276"/>
      <c r="L284" s="1195"/>
      <c r="M284" s="1195"/>
      <c r="N284" s="1195"/>
    </row>
    <row r="285" spans="1:14" ht="16">
      <c r="A285" s="366"/>
      <c r="B285" s="381"/>
      <c r="C285" s="366"/>
      <c r="D285" s="366"/>
      <c r="E285" s="366"/>
      <c r="F285" s="366"/>
      <c r="G285" s="2130"/>
      <c r="H285" s="2183"/>
      <c r="I285" s="1048"/>
      <c r="J285" s="936"/>
      <c r="K285" s="1276"/>
      <c r="L285" s="1195"/>
      <c r="M285" s="1195"/>
      <c r="N285" s="1195"/>
    </row>
    <row r="286" spans="1:14" ht="16">
      <c r="A286" s="366"/>
      <c r="B286" s="381"/>
      <c r="C286" s="366"/>
      <c r="D286" s="366"/>
      <c r="E286" s="366"/>
      <c r="F286" s="366"/>
      <c r="G286" s="2130"/>
      <c r="H286" s="2183"/>
      <c r="I286" s="1048"/>
      <c r="J286" s="1036"/>
      <c r="K286" s="1276"/>
      <c r="L286" s="1195"/>
      <c r="M286" s="1195"/>
      <c r="N286" s="1195"/>
    </row>
    <row r="287" spans="1:14" ht="16">
      <c r="A287" s="2130"/>
      <c r="B287" s="2158"/>
      <c r="C287" s="2130"/>
      <c r="D287" s="366"/>
      <c r="E287" s="2130"/>
      <c r="F287" s="2130"/>
      <c r="G287" s="2130"/>
      <c r="H287" s="2183"/>
      <c r="I287" s="1048"/>
      <c r="J287" s="1036"/>
      <c r="K287" s="1276"/>
      <c r="L287" s="1195"/>
      <c r="M287" s="1195"/>
      <c r="N287" s="1195"/>
    </row>
    <row r="288" spans="1:14" ht="16">
      <c r="A288" s="2130"/>
      <c r="B288" s="2158"/>
      <c r="C288" s="2130"/>
      <c r="D288" s="2130"/>
      <c r="E288" s="2130"/>
      <c r="F288" s="2130"/>
      <c r="G288" s="2130"/>
      <c r="H288" s="2183"/>
      <c r="I288" s="1048"/>
      <c r="J288" s="1036"/>
      <c r="K288" s="1276"/>
      <c r="L288" s="1195"/>
      <c r="M288" s="1195"/>
      <c r="N288" s="1195"/>
    </row>
    <row r="289" spans="1:14" ht="16">
      <c r="A289" s="3181" t="s">
        <v>3905</v>
      </c>
      <c r="B289" s="3181"/>
      <c r="C289" s="3181"/>
      <c r="D289" s="3181"/>
      <c r="E289" s="3181"/>
      <c r="F289" s="2139" t="e">
        <f>'Ввод данных'!#REF!</f>
        <v>#REF!</v>
      </c>
      <c r="G289" s="2180" t="s">
        <v>3906</v>
      </c>
      <c r="H289" s="2150"/>
      <c r="I289" s="2150"/>
      <c r="J289" s="2150"/>
      <c r="K289" s="1276"/>
      <c r="L289" s="1195"/>
      <c r="M289" s="1195"/>
      <c r="N289" s="1195"/>
    </row>
    <row r="290" spans="1:14" ht="16">
      <c r="A290" s="3176" t="s">
        <v>1236</v>
      </c>
      <c r="B290" s="3176"/>
      <c r="C290" s="933" t="s">
        <v>120</v>
      </c>
      <c r="D290" s="2137" t="s">
        <v>1552</v>
      </c>
      <c r="E290" s="2137" t="s">
        <v>1820</v>
      </c>
      <c r="F290" s="2130"/>
      <c r="G290" s="2130"/>
      <c r="H290" s="2130"/>
      <c r="I290" s="2130"/>
      <c r="J290" s="2131"/>
      <c r="K290" s="1276"/>
      <c r="L290" s="1195"/>
      <c r="M290" s="1195"/>
      <c r="N290" s="1195"/>
    </row>
    <row r="291" spans="1:14" ht="16">
      <c r="A291" s="3139" t="s">
        <v>134</v>
      </c>
      <c r="B291" s="3139"/>
      <c r="C291" s="2156" t="s">
        <v>156</v>
      </c>
      <c r="D291" s="2141">
        <f>'Ввод данных'!C830</f>
        <v>0.6</v>
      </c>
      <c r="E291" s="2129">
        <f>'Ввод данных'!D829</f>
        <v>0</v>
      </c>
      <c r="F291" s="2130" t="s">
        <v>3907</v>
      </c>
      <c r="G291" s="2130"/>
      <c r="H291" s="2130"/>
      <c r="I291" s="2130"/>
      <c r="J291" s="2131"/>
      <c r="K291" s="1276"/>
      <c r="L291" s="1195"/>
      <c r="M291" s="1195"/>
      <c r="N291" s="1195"/>
    </row>
    <row r="292" spans="1:14" ht="16">
      <c r="A292" s="3139" t="s">
        <v>3908</v>
      </c>
      <c r="B292" s="3139"/>
      <c r="C292" s="939" t="s">
        <v>156</v>
      </c>
      <c r="D292" s="2141" t="e">
        <f>'Ввод данных'!#REF!</f>
        <v>#REF!</v>
      </c>
      <c r="E292" s="2129">
        <f>'Ввод данных'!D830</f>
        <v>0</v>
      </c>
      <c r="F292" s="2130" t="s">
        <v>3909</v>
      </c>
      <c r="G292" s="2130"/>
      <c r="H292" s="2130"/>
      <c r="I292" s="2130"/>
      <c r="J292" s="2131"/>
      <c r="K292" s="1276"/>
      <c r="L292" s="1195"/>
      <c r="M292" s="1195"/>
      <c r="N292" s="1195"/>
    </row>
    <row r="293" spans="1:14" ht="16">
      <c r="A293" s="3139" t="s">
        <v>2214</v>
      </c>
      <c r="B293" s="3139"/>
      <c r="C293" s="939" t="s">
        <v>156</v>
      </c>
      <c r="D293" s="965"/>
      <c r="E293" s="2129">
        <f>'Ввод данных'!D832</f>
        <v>0</v>
      </c>
      <c r="F293" s="2130" t="s">
        <v>3910</v>
      </c>
      <c r="G293" s="2130"/>
      <c r="H293" s="2150"/>
      <c r="I293" s="2150"/>
      <c r="J293" s="2150"/>
      <c r="K293" s="1276"/>
      <c r="L293" s="1195"/>
      <c r="M293" s="1195"/>
      <c r="N293" s="1195"/>
    </row>
    <row r="294" spans="1:14" ht="16">
      <c r="A294" s="3139" t="s">
        <v>2203</v>
      </c>
      <c r="B294" s="3139"/>
      <c r="C294" s="2211" t="s">
        <v>156</v>
      </c>
      <c r="D294" s="2141">
        <f>'Ввод данных'!C832</f>
        <v>4</v>
      </c>
      <c r="E294" s="2131"/>
      <c r="F294" s="2131"/>
      <c r="G294" s="2131"/>
      <c r="H294" s="2150"/>
      <c r="I294" s="2150"/>
      <c r="J294" s="2150"/>
      <c r="K294" s="1276"/>
      <c r="L294" s="1195"/>
      <c r="M294" s="1195"/>
      <c r="N294" s="1195"/>
    </row>
    <row r="295" spans="1:14" ht="16">
      <c r="A295" s="3139" t="s">
        <v>2204</v>
      </c>
      <c r="B295" s="3139"/>
      <c r="C295" s="2144" t="s">
        <v>156</v>
      </c>
      <c r="D295" s="2141">
        <f>'Ввод данных'!C833</f>
        <v>5</v>
      </c>
      <c r="E295" s="2131"/>
      <c r="F295" s="2131"/>
      <c r="G295" s="2131"/>
      <c r="H295" s="2130"/>
      <c r="I295" s="2150"/>
      <c r="J295" s="2150"/>
      <c r="K295" s="1276"/>
      <c r="L295" s="1195"/>
      <c r="M295" s="1195"/>
      <c r="N295" s="1195"/>
    </row>
    <row r="296" spans="1:14" ht="16">
      <c r="A296" s="3139" t="s">
        <v>2205</v>
      </c>
      <c r="B296" s="3139"/>
      <c r="C296" s="2144" t="s">
        <v>156</v>
      </c>
      <c r="D296" s="2141">
        <f>'Ввод данных'!C834</f>
        <v>3</v>
      </c>
      <c r="E296" s="2131"/>
      <c r="F296" s="2131"/>
      <c r="G296" s="2131"/>
      <c r="H296" s="2130"/>
      <c r="I296" s="2150"/>
      <c r="J296" s="2150"/>
      <c r="K296" s="1276"/>
      <c r="L296" s="1195"/>
      <c r="M296" s="1195"/>
      <c r="N296" s="1195"/>
    </row>
    <row r="297" spans="1:14" ht="16">
      <c r="A297" s="3139" t="s">
        <v>3911</v>
      </c>
      <c r="B297" s="3139"/>
      <c r="C297" s="2156" t="s">
        <v>133</v>
      </c>
      <c r="D297" s="2156">
        <f>D294*D295</f>
        <v>20</v>
      </c>
      <c r="E297" s="2131"/>
      <c r="F297" s="2131"/>
      <c r="G297" s="2131"/>
      <c r="H297" s="2130"/>
      <c r="I297" s="2150"/>
      <c r="J297" s="2150"/>
      <c r="K297" s="1276"/>
      <c r="L297" s="1195"/>
      <c r="M297" s="1195"/>
      <c r="N297" s="1195"/>
    </row>
    <row r="298" spans="1:14" ht="16">
      <c r="A298" s="3139" t="s">
        <v>3912</v>
      </c>
      <c r="B298" s="3139"/>
      <c r="C298" s="2156" t="s">
        <v>135</v>
      </c>
      <c r="D298" s="2156">
        <f>D294*D295*D296</f>
        <v>60</v>
      </c>
      <c r="E298" s="2131"/>
      <c r="F298" s="2131"/>
      <c r="G298" s="2131"/>
      <c r="H298" s="2131"/>
      <c r="I298" s="2150"/>
      <c r="J298" s="2150"/>
      <c r="K298" s="1276"/>
      <c r="L298" s="1195"/>
      <c r="M298" s="1195"/>
      <c r="N298" s="1195"/>
    </row>
    <row r="299" spans="1:14" ht="16">
      <c r="A299" s="3169" t="s">
        <v>3913</v>
      </c>
      <c r="B299" s="3169"/>
      <c r="C299" s="2156" t="s">
        <v>135</v>
      </c>
      <c r="D299" s="2156" t="e">
        <f>(D294+D294+D295+D295)*D296*(D291*E291+D292*E292)</f>
        <v>#REF!</v>
      </c>
      <c r="E299" s="2131"/>
      <c r="F299" s="2131"/>
      <c r="G299" s="2131"/>
      <c r="H299" s="2131"/>
      <c r="I299" s="2150"/>
      <c r="J299" s="2150"/>
      <c r="K299" s="1276"/>
      <c r="L299" s="1195"/>
      <c r="M299" s="1195"/>
      <c r="N299" s="1195"/>
    </row>
    <row r="300" spans="1:14" ht="16">
      <c r="A300" s="3176" t="s">
        <v>1093</v>
      </c>
      <c r="B300" s="3176"/>
      <c r="C300" s="2213" t="s">
        <v>120</v>
      </c>
      <c r="D300" s="2214" t="s">
        <v>853</v>
      </c>
      <c r="E300" s="2137" t="s">
        <v>1802</v>
      </c>
      <c r="F300" s="2137" t="s">
        <v>853</v>
      </c>
      <c r="G300" s="2131"/>
      <c r="H300" s="2131"/>
      <c r="I300" s="2150"/>
      <c r="J300" s="2150"/>
      <c r="K300" s="1276"/>
      <c r="L300" s="1195"/>
      <c r="M300" s="1195"/>
      <c r="N300" s="1195"/>
    </row>
    <row r="301" spans="1:14" ht="16">
      <c r="A301" s="3124" t="s">
        <v>2206</v>
      </c>
      <c r="B301" s="3124"/>
      <c r="C301" s="2144" t="s">
        <v>156</v>
      </c>
      <c r="D301" s="2141">
        <f>'Ввод данных'!C836</f>
        <v>3</v>
      </c>
      <c r="E301" s="2129">
        <f>'Ввод данных'!D836</f>
        <v>0</v>
      </c>
      <c r="F301" s="2156">
        <f>D301*E301</f>
        <v>0</v>
      </c>
      <c r="G301" s="2130"/>
      <c r="H301" s="2130"/>
      <c r="I301" s="2150"/>
      <c r="J301" s="2150"/>
      <c r="K301" s="1276"/>
      <c r="L301" s="1195"/>
      <c r="M301" s="1195"/>
      <c r="N301" s="1195"/>
    </row>
    <row r="302" spans="1:14" ht="16">
      <c r="A302" s="3124"/>
      <c r="B302" s="3124"/>
      <c r="C302" s="2144"/>
      <c r="D302" s="2141">
        <f>'Ввод данных'!C837</f>
        <v>1</v>
      </c>
      <c r="E302" s="2129">
        <f>'Ввод данных'!D837</f>
        <v>0</v>
      </c>
      <c r="F302" s="2156">
        <f>D302*E302</f>
        <v>0</v>
      </c>
      <c r="G302" s="2130"/>
      <c r="H302" s="2130"/>
      <c r="I302" s="2150"/>
      <c r="J302" s="2150"/>
      <c r="K302" s="1276"/>
      <c r="L302" s="1195"/>
      <c r="M302" s="1195"/>
      <c r="N302" s="1195"/>
    </row>
    <row r="303" spans="1:14" ht="16">
      <c r="A303" s="3124" t="s">
        <v>2207</v>
      </c>
      <c r="B303" s="3124"/>
      <c r="C303" s="2144" t="s">
        <v>156</v>
      </c>
      <c r="D303" s="2141">
        <f>'Ввод данных'!C838</f>
        <v>0</v>
      </c>
      <c r="E303" s="2129">
        <f>'Ввод данных'!D838</f>
        <v>0</v>
      </c>
      <c r="F303" s="2156">
        <f>D303*E303</f>
        <v>0</v>
      </c>
      <c r="G303" s="2130"/>
      <c r="H303" s="2130"/>
      <c r="I303" s="2150"/>
      <c r="J303" s="2150"/>
      <c r="K303" s="1276"/>
      <c r="L303" s="1195"/>
      <c r="M303" s="1195"/>
      <c r="N303" s="1195"/>
    </row>
    <row r="304" spans="1:14" ht="16">
      <c r="A304" s="3124"/>
      <c r="B304" s="3124"/>
      <c r="C304" s="2144"/>
      <c r="D304" s="2141">
        <f>'Ввод данных'!C839</f>
        <v>0</v>
      </c>
      <c r="E304" s="2129">
        <f>'Ввод данных'!D839</f>
        <v>0</v>
      </c>
      <c r="F304" s="2156">
        <f>D304*E304</f>
        <v>0</v>
      </c>
      <c r="G304" s="2130"/>
      <c r="H304" s="2130"/>
      <c r="I304" s="2150"/>
      <c r="J304" s="2150"/>
      <c r="K304" s="1276"/>
      <c r="L304" s="1195"/>
      <c r="M304" s="1195"/>
      <c r="N304" s="1195"/>
    </row>
    <row r="305" spans="1:14" ht="16">
      <c r="A305" s="3119" t="s">
        <v>3914</v>
      </c>
      <c r="B305" s="3119"/>
      <c r="C305" s="3119"/>
      <c r="D305" s="3119"/>
      <c r="E305" s="3119"/>
      <c r="F305" s="2156">
        <f>SUM(F301:F304)</f>
        <v>0</v>
      </c>
      <c r="G305" s="2130"/>
      <c r="H305" s="2130"/>
      <c r="I305" s="2150"/>
      <c r="J305" s="2150"/>
      <c r="K305" s="1276"/>
      <c r="L305" s="1195"/>
      <c r="M305" s="1195"/>
      <c r="N305" s="1195"/>
    </row>
    <row r="306" spans="1:14" ht="16">
      <c r="A306" s="3147" t="s">
        <v>2208</v>
      </c>
      <c r="B306" s="3147"/>
      <c r="C306" s="788" t="s">
        <v>120</v>
      </c>
      <c r="D306" s="788" t="s">
        <v>2580</v>
      </c>
      <c r="E306" s="788" t="s">
        <v>2581</v>
      </c>
      <c r="F306" s="788" t="s">
        <v>1802</v>
      </c>
      <c r="G306" s="2137" t="s">
        <v>2548</v>
      </c>
      <c r="H306" s="2150"/>
      <c r="I306" s="1048"/>
      <c r="J306" s="2150"/>
      <c r="K306" s="1276"/>
      <c r="L306" s="1195"/>
      <c r="M306" s="1195"/>
      <c r="N306" s="1195"/>
    </row>
    <row r="307" spans="1:14" ht="16">
      <c r="A307" s="3124" t="s">
        <v>2210</v>
      </c>
      <c r="B307" s="3124"/>
      <c r="C307" s="725" t="s">
        <v>156</v>
      </c>
      <c r="D307" s="2141">
        <f>'Ввод данных'!C841</f>
        <v>0</v>
      </c>
      <c r="E307" s="2129">
        <f>'Ввод данных'!D841</f>
        <v>0</v>
      </c>
      <c r="F307" s="2139">
        <f>'Ввод данных'!E841</f>
        <v>0</v>
      </c>
      <c r="G307" s="507">
        <f t="shared" ref="G307:G312" si="3">D307*E307*F307</f>
        <v>0</v>
      </c>
      <c r="H307" s="2150"/>
      <c r="I307" s="2135"/>
      <c r="J307" s="2150"/>
      <c r="K307" s="1276"/>
      <c r="L307" s="1195"/>
      <c r="M307" s="1195"/>
      <c r="N307" s="1195"/>
    </row>
    <row r="308" spans="1:14" ht="16">
      <c r="A308" s="3124"/>
      <c r="B308" s="3124"/>
      <c r="C308" s="725" t="s">
        <v>156</v>
      </c>
      <c r="D308" s="2141">
        <f>'Ввод данных'!C842</f>
        <v>0</v>
      </c>
      <c r="E308" s="2129">
        <f>'Ввод данных'!D842</f>
        <v>0</v>
      </c>
      <c r="F308" s="2139">
        <f>'Ввод данных'!E842</f>
        <v>0</v>
      </c>
      <c r="G308" s="507">
        <f t="shared" si="3"/>
        <v>0</v>
      </c>
      <c r="H308" s="2150"/>
      <c r="I308" s="1048"/>
      <c r="J308" s="2150"/>
      <c r="K308" s="1276"/>
      <c r="L308" s="1195"/>
      <c r="M308" s="1195"/>
      <c r="N308" s="1195"/>
    </row>
    <row r="309" spans="1:14" ht="16">
      <c r="A309" s="3124"/>
      <c r="B309" s="3124"/>
      <c r="C309" s="725" t="s">
        <v>156</v>
      </c>
      <c r="D309" s="2141">
        <f>'Ввод данных'!C843</f>
        <v>0</v>
      </c>
      <c r="E309" s="2129">
        <f>'Ввод данных'!D843</f>
        <v>0</v>
      </c>
      <c r="F309" s="2139">
        <f>'Ввод данных'!E843</f>
        <v>0</v>
      </c>
      <c r="G309" s="507">
        <f t="shared" si="3"/>
        <v>0</v>
      </c>
      <c r="H309" s="2183"/>
      <c r="I309" s="1048"/>
      <c r="J309" s="1262"/>
      <c r="K309" s="1276"/>
      <c r="L309" s="1195"/>
      <c r="M309" s="1195"/>
      <c r="N309" s="1195"/>
    </row>
    <row r="310" spans="1:14" ht="16">
      <c r="A310" s="3142" t="s">
        <v>2211</v>
      </c>
      <c r="B310" s="3142"/>
      <c r="C310" s="725" t="s">
        <v>156</v>
      </c>
      <c r="D310" s="2141">
        <f>'Ввод данных'!C844</f>
        <v>1</v>
      </c>
      <c r="E310" s="2129">
        <f>'Ввод данных'!D844</f>
        <v>2</v>
      </c>
      <c r="F310" s="2139">
        <f>'Ввод данных'!E844</f>
        <v>0</v>
      </c>
      <c r="G310" s="507">
        <f t="shared" si="3"/>
        <v>0</v>
      </c>
      <c r="H310" s="936"/>
      <c r="I310" s="1048"/>
      <c r="J310" s="936"/>
      <c r="K310" s="1276"/>
      <c r="L310" s="1195"/>
      <c r="M310" s="1195"/>
      <c r="N310" s="1195"/>
    </row>
    <row r="311" spans="1:14" ht="16">
      <c r="A311" s="3142"/>
      <c r="B311" s="3142"/>
      <c r="C311" s="725" t="s">
        <v>156</v>
      </c>
      <c r="D311" s="2141">
        <f>'Ввод данных'!C845</f>
        <v>0</v>
      </c>
      <c r="E311" s="2129">
        <f>'Ввод данных'!D845</f>
        <v>2.7</v>
      </c>
      <c r="F311" s="2139">
        <f>'Ввод данных'!E845</f>
        <v>0</v>
      </c>
      <c r="G311" s="507">
        <f t="shared" si="3"/>
        <v>0</v>
      </c>
      <c r="H311" s="2183"/>
      <c r="I311" s="1048"/>
      <c r="J311" s="1262"/>
      <c r="K311" s="1276"/>
      <c r="L311" s="1195"/>
      <c r="M311" s="1195"/>
      <c r="N311" s="1195"/>
    </row>
    <row r="312" spans="1:14" ht="16">
      <c r="A312" s="3119" t="s">
        <v>2213</v>
      </c>
      <c r="B312" s="3119"/>
      <c r="C312" s="961" t="s">
        <v>156</v>
      </c>
      <c r="D312" s="2141">
        <f>'Ввод данных'!C846</f>
        <v>2</v>
      </c>
      <c r="E312" s="2129">
        <f>'Ввод данных'!D846</f>
        <v>2</v>
      </c>
      <c r="F312" s="2139">
        <f>'Ввод данных'!E846</f>
        <v>0</v>
      </c>
      <c r="G312" s="938">
        <f t="shared" si="3"/>
        <v>0</v>
      </c>
      <c r="H312" s="2184" t="e">
        <f>'Ввод данных'!#REF!</f>
        <v>#REF!</v>
      </c>
      <c r="I312" s="1262" t="s">
        <v>3887</v>
      </c>
      <c r="J312" s="1262"/>
      <c r="K312" s="1276"/>
      <c r="L312" s="1195"/>
      <c r="M312" s="1195"/>
      <c r="N312" s="1195"/>
    </row>
    <row r="313" spans="1:14" ht="16">
      <c r="A313" s="3139" t="s">
        <v>3915</v>
      </c>
      <c r="B313" s="3139"/>
      <c r="C313" s="938" t="s">
        <v>133</v>
      </c>
      <c r="D313" s="938">
        <f>G307+G308+G309+G310+G311</f>
        <v>0</v>
      </c>
      <c r="E313" s="936"/>
      <c r="F313" s="936"/>
      <c r="G313" s="936"/>
      <c r="H313" s="936"/>
      <c r="I313" s="936"/>
      <c r="J313" s="1262"/>
      <c r="K313" s="1276"/>
      <c r="L313" s="1195"/>
      <c r="M313" s="1195"/>
      <c r="N313" s="1195"/>
    </row>
    <row r="314" spans="1:14" ht="16">
      <c r="A314" s="3172" t="s">
        <v>3916</v>
      </c>
      <c r="B314" s="3172"/>
      <c r="C314" s="971" t="s">
        <v>135</v>
      </c>
      <c r="D314" s="971" t="e">
        <f>D313*(D291*E291+D292*E292)</f>
        <v>#REF!</v>
      </c>
      <c r="E314" s="1036"/>
      <c r="F314" s="1036"/>
      <c r="G314" s="2135"/>
      <c r="H314" s="2183"/>
      <c r="I314" s="1048"/>
      <c r="J314" s="1262"/>
      <c r="K314" s="1276"/>
      <c r="L314" s="1195"/>
      <c r="M314" s="1195"/>
      <c r="N314" s="1195"/>
    </row>
    <row r="315" spans="1:14" ht="16">
      <c r="A315" s="935" t="s">
        <v>3917</v>
      </c>
      <c r="B315" s="935"/>
      <c r="C315" s="938" t="s">
        <v>135</v>
      </c>
      <c r="D315" s="1246" t="e">
        <f>D299-D314</f>
        <v>#REF!</v>
      </c>
      <c r="E315" s="936"/>
      <c r="F315" s="936"/>
      <c r="G315" s="936"/>
      <c r="H315" s="936"/>
      <c r="I315" s="936"/>
      <c r="J315" s="1262"/>
      <c r="K315" s="1276"/>
      <c r="L315" s="1195"/>
      <c r="M315" s="1195"/>
      <c r="N315" s="1195"/>
    </row>
    <row r="316" spans="1:14" ht="16">
      <c r="A316" s="3181" t="s">
        <v>2635</v>
      </c>
      <c r="B316" s="3181"/>
      <c r="C316" s="3181"/>
      <c r="D316" s="3181"/>
      <c r="E316" s="2129"/>
      <c r="F316" s="2130" t="s">
        <v>3568</v>
      </c>
      <c r="G316" s="936"/>
      <c r="H316" s="936"/>
      <c r="I316" s="936"/>
      <c r="J316" s="1262"/>
      <c r="K316" s="1276"/>
      <c r="L316" s="1195"/>
      <c r="M316" s="1195"/>
      <c r="N316" s="1195"/>
    </row>
    <row r="317" spans="1:14" ht="16">
      <c r="A317" s="3139" t="s">
        <v>2572</v>
      </c>
      <c r="B317" s="3139"/>
      <c r="C317" s="2154" t="s">
        <v>156</v>
      </c>
      <c r="D317" s="2205">
        <f>D294*2+D295*2+F305</f>
        <v>18</v>
      </c>
      <c r="E317" s="2130"/>
      <c r="F317" s="1276"/>
      <c r="G317" s="2135"/>
      <c r="H317" s="2183"/>
      <c r="I317" s="1048"/>
      <c r="J317" s="1262"/>
      <c r="K317" s="1276"/>
      <c r="L317" s="1195"/>
      <c r="M317" s="1195"/>
      <c r="N317" s="1195"/>
    </row>
    <row r="318" spans="1:14" ht="16">
      <c r="A318" s="3139" t="s">
        <v>3427</v>
      </c>
      <c r="B318" s="3139"/>
      <c r="C318" s="2215" t="s">
        <v>133</v>
      </c>
      <c r="D318" s="2216">
        <f>D294*D295</f>
        <v>20</v>
      </c>
      <c r="E318" s="2130"/>
      <c r="F318" s="1276"/>
      <c r="G318" s="2135"/>
      <c r="H318" s="2183"/>
      <c r="I318" s="1048"/>
      <c r="J318" s="1262"/>
      <c r="K318" s="1276"/>
      <c r="L318" s="1195"/>
      <c r="M318" s="1195"/>
      <c r="N318" s="1195"/>
    </row>
    <row r="319" spans="1:14" ht="16">
      <c r="A319" s="3139" t="s">
        <v>3918</v>
      </c>
      <c r="B319" s="3139"/>
      <c r="C319" s="961" t="s">
        <v>133</v>
      </c>
      <c r="D319" s="1319" t="e">
        <f>D317*(D291*E291+D292*E292)</f>
        <v>#REF!</v>
      </c>
      <c r="E319" s="1276"/>
      <c r="F319" s="1276"/>
      <c r="G319" s="2135"/>
      <c r="H319" s="2183"/>
      <c r="I319" s="1048"/>
      <c r="J319" s="1262"/>
      <c r="K319" s="1276"/>
      <c r="L319" s="1195"/>
      <c r="M319" s="1195"/>
      <c r="N319" s="1195"/>
    </row>
    <row r="320" spans="1:14" ht="16">
      <c r="A320" s="3172" t="s">
        <v>3919</v>
      </c>
      <c r="B320" s="3172"/>
      <c r="C320" s="920" t="s">
        <v>133</v>
      </c>
      <c r="D320" s="1319" t="e">
        <f>D297-D319</f>
        <v>#REF!</v>
      </c>
      <c r="E320" s="1276"/>
      <c r="F320" s="1276"/>
      <c r="G320" s="2135"/>
      <c r="H320" s="2183"/>
      <c r="I320" s="1048"/>
      <c r="J320" s="1262"/>
      <c r="K320" s="1276"/>
      <c r="L320" s="1195"/>
      <c r="M320" s="1195"/>
      <c r="N320" s="1195"/>
    </row>
    <row r="321" spans="1:14" ht="16">
      <c r="A321" s="3185" t="s">
        <v>3920</v>
      </c>
      <c r="B321" s="3185"/>
      <c r="C321" s="3185"/>
      <c r="D321" s="3185"/>
      <c r="E321" s="3185"/>
      <c r="F321" s="3185"/>
      <c r="G321" s="3185"/>
      <c r="H321" s="3185"/>
      <c r="I321" s="3185"/>
      <c r="J321" s="3185"/>
      <c r="K321" s="3185"/>
      <c r="L321" s="3186"/>
      <c r="M321" s="1195"/>
      <c r="N321" s="1195"/>
    </row>
    <row r="322" spans="1:14" ht="16">
      <c r="A322" s="3185"/>
      <c r="B322" s="3185"/>
      <c r="C322" s="3185"/>
      <c r="D322" s="3185"/>
      <c r="E322" s="3185"/>
      <c r="F322" s="3185"/>
      <c r="G322" s="3185"/>
      <c r="H322" s="3185"/>
      <c r="I322" s="3185"/>
      <c r="J322" s="3185"/>
      <c r="K322" s="3185"/>
      <c r="L322" s="3186"/>
      <c r="M322" s="1195"/>
      <c r="N322" s="1195"/>
    </row>
    <row r="323" spans="1:14" ht="15.5" customHeight="1">
      <c r="A323" s="3187" t="s">
        <v>3570</v>
      </c>
      <c r="B323" s="3187"/>
      <c r="C323" s="3187"/>
      <c r="D323" s="3187"/>
      <c r="E323" s="3187"/>
      <c r="F323" s="3187"/>
      <c r="G323" s="3187" t="s">
        <v>3571</v>
      </c>
      <c r="H323" s="3187"/>
      <c r="I323" s="3187"/>
      <c r="J323" s="3187"/>
      <c r="K323" s="3187"/>
      <c r="L323" s="3187"/>
      <c r="M323" s="1195"/>
      <c r="N323" s="1195"/>
    </row>
    <row r="324" spans="1:14" ht="51">
      <c r="A324" s="2217" t="s">
        <v>1515</v>
      </c>
      <c r="B324" s="2218" t="s">
        <v>1800</v>
      </c>
      <c r="C324" s="2219" t="s">
        <v>293</v>
      </c>
      <c r="D324" s="2219" t="s">
        <v>1802</v>
      </c>
      <c r="E324" s="2218"/>
      <c r="F324" s="2219" t="s">
        <v>3572</v>
      </c>
      <c r="G324" s="2219" t="s">
        <v>2593</v>
      </c>
      <c r="H324" s="2218" t="s">
        <v>1800</v>
      </c>
      <c r="I324" s="2218" t="s">
        <v>293</v>
      </c>
      <c r="J324" s="2218" t="s">
        <v>1802</v>
      </c>
      <c r="K324" s="2218"/>
      <c r="L324" s="2218" t="s">
        <v>3573</v>
      </c>
      <c r="M324" s="2220"/>
      <c r="N324" s="1195"/>
    </row>
    <row r="325" spans="1:14" ht="17">
      <c r="A325" s="275" t="s">
        <v>2902</v>
      </c>
      <c r="B325" s="2221">
        <v>1.4</v>
      </c>
      <c r="C325" s="2222">
        <v>1.7</v>
      </c>
      <c r="D325" s="2222">
        <v>4</v>
      </c>
      <c r="E325" s="229"/>
      <c r="F325" s="2223">
        <f>B325*C325*D325</f>
        <v>9.52</v>
      </c>
      <c r="G325" s="2223" t="s">
        <v>2902</v>
      </c>
      <c r="H325" s="2221">
        <v>0.9</v>
      </c>
      <c r="I325" s="2221">
        <v>2</v>
      </c>
      <c r="J325" s="2221">
        <v>5</v>
      </c>
      <c r="K325" s="229"/>
      <c r="L325" s="229">
        <f>H325*I325*J325</f>
        <v>9</v>
      </c>
      <c r="M325" s="2220"/>
      <c r="N325" s="1195"/>
    </row>
    <row r="326" spans="1:14" ht="17">
      <c r="A326" s="275" t="s">
        <v>2903</v>
      </c>
      <c r="B326" s="2221">
        <v>0.5</v>
      </c>
      <c r="C326" s="2222">
        <v>0.8</v>
      </c>
      <c r="D326" s="2222">
        <v>1</v>
      </c>
      <c r="E326" s="229"/>
      <c r="F326" s="2223">
        <f>B326*C326*D326</f>
        <v>0.4</v>
      </c>
      <c r="G326" s="2223" t="s">
        <v>2903</v>
      </c>
      <c r="H326" s="2221">
        <v>1</v>
      </c>
      <c r="I326" s="2221">
        <v>2</v>
      </c>
      <c r="J326" s="2221">
        <v>2</v>
      </c>
      <c r="K326" s="229"/>
      <c r="L326" s="229">
        <f>H326*I326*J326</f>
        <v>4</v>
      </c>
      <c r="M326" s="2220"/>
      <c r="N326" s="1195"/>
    </row>
    <row r="327" spans="1:14" ht="17">
      <c r="A327" s="275" t="s">
        <v>2904</v>
      </c>
      <c r="B327" s="2221">
        <v>1.4</v>
      </c>
      <c r="C327" s="2222">
        <v>1.5</v>
      </c>
      <c r="D327" s="2222">
        <v>3</v>
      </c>
      <c r="E327" s="229"/>
      <c r="F327" s="2223">
        <f>B327*C327*D327</f>
        <v>6.2999999999999989</v>
      </c>
      <c r="G327" s="2223" t="s">
        <v>2904</v>
      </c>
      <c r="H327" s="2221">
        <v>0.7</v>
      </c>
      <c r="I327" s="2221">
        <v>2</v>
      </c>
      <c r="J327" s="2221">
        <v>2</v>
      </c>
      <c r="K327" s="229"/>
      <c r="L327" s="229">
        <f>H327*I327*J327</f>
        <v>2.8</v>
      </c>
      <c r="M327" s="2224"/>
      <c r="N327" s="1195"/>
    </row>
    <row r="328" spans="1:14" ht="16">
      <c r="A328" s="275" t="s">
        <v>2905</v>
      </c>
      <c r="B328" s="2221">
        <v>1</v>
      </c>
      <c r="C328" s="2222">
        <v>1.7</v>
      </c>
      <c r="D328" s="2222">
        <v>2</v>
      </c>
      <c r="E328" s="229"/>
      <c r="F328" s="2223">
        <f>B328*C328*D328</f>
        <v>3.4</v>
      </c>
      <c r="G328" s="2223"/>
      <c r="H328" s="2221"/>
      <c r="I328" s="2221"/>
      <c r="J328" s="2221"/>
      <c r="K328" s="229"/>
      <c r="L328" s="229">
        <f>H328*I328*J328</f>
        <v>0</v>
      </c>
      <c r="M328" s="2224"/>
      <c r="N328" s="1195"/>
    </row>
    <row r="329" spans="1:14" ht="16">
      <c r="A329" s="3188" t="s">
        <v>3574</v>
      </c>
      <c r="B329" s="3188"/>
      <c r="C329" s="3188"/>
      <c r="D329" s="3188"/>
      <c r="E329" s="3188"/>
      <c r="F329" s="2223">
        <f>SUM(F325:F328)</f>
        <v>19.619999999999997</v>
      </c>
      <c r="G329" s="3188" t="s">
        <v>3922</v>
      </c>
      <c r="H329" s="3188"/>
      <c r="I329" s="3188"/>
      <c r="J329" s="3188"/>
      <c r="K329" s="3188"/>
      <c r="L329" s="229">
        <f>SUM(L325:L327)</f>
        <v>15.8</v>
      </c>
      <c r="M329" s="2225"/>
      <c r="N329" s="1195"/>
    </row>
    <row r="330" spans="1:14" ht="34">
      <c r="A330" s="2217" t="s">
        <v>2069</v>
      </c>
      <c r="B330" s="2218" t="s">
        <v>209</v>
      </c>
      <c r="C330" s="2219" t="s">
        <v>273</v>
      </c>
      <c r="D330" s="2219" t="s">
        <v>1802</v>
      </c>
      <c r="E330" s="2218"/>
      <c r="F330" s="2219" t="s">
        <v>3581</v>
      </c>
      <c r="G330" s="2219" t="s">
        <v>1217</v>
      </c>
      <c r="H330" s="2218" t="s">
        <v>1800</v>
      </c>
      <c r="I330" s="2218" t="s">
        <v>293</v>
      </c>
      <c r="J330" s="2218" t="s">
        <v>1802</v>
      </c>
      <c r="K330" s="2218"/>
      <c r="L330" s="2218" t="s">
        <v>3573</v>
      </c>
      <c r="M330" s="2224"/>
      <c r="N330" s="1195"/>
    </row>
    <row r="331" spans="1:14" ht="17">
      <c r="A331" s="132" t="s">
        <v>2069</v>
      </c>
      <c r="B331" s="2221">
        <v>4</v>
      </c>
      <c r="C331" s="2222">
        <v>0.9</v>
      </c>
      <c r="D331" s="2222">
        <v>1</v>
      </c>
      <c r="E331" s="2221"/>
      <c r="F331" s="2223">
        <f>B331*C331*D331</f>
        <v>3.6</v>
      </c>
      <c r="G331" s="2223" t="s">
        <v>3582</v>
      </c>
      <c r="H331" s="2221">
        <v>1</v>
      </c>
      <c r="I331" s="2221">
        <v>2</v>
      </c>
      <c r="J331" s="2221">
        <v>2</v>
      </c>
      <c r="K331" s="229"/>
      <c r="L331" s="229">
        <f>H331*I331*J331</f>
        <v>4</v>
      </c>
      <c r="M331" s="2225"/>
      <c r="N331" s="1195"/>
    </row>
    <row r="332" spans="1:14" ht="17">
      <c r="A332" s="132"/>
      <c r="B332" s="2226"/>
      <c r="C332" s="2227"/>
      <c r="D332" s="2227"/>
      <c r="E332" s="2226"/>
      <c r="F332" s="2223"/>
      <c r="G332" s="2223" t="s">
        <v>1184</v>
      </c>
      <c r="H332" s="2221">
        <v>0.9</v>
      </c>
      <c r="I332" s="2221">
        <v>2</v>
      </c>
      <c r="J332" s="2221">
        <v>1</v>
      </c>
      <c r="K332" s="229"/>
      <c r="L332" s="229">
        <f>H332*I332*J332</f>
        <v>1.8</v>
      </c>
      <c r="M332" s="2225"/>
      <c r="N332" s="1195"/>
    </row>
    <row r="333" spans="1:14" ht="16">
      <c r="A333" s="3188" t="s">
        <v>3583</v>
      </c>
      <c r="B333" s="3188"/>
      <c r="C333" s="3188"/>
      <c r="D333" s="3188"/>
      <c r="E333" s="3188"/>
      <c r="F333" s="2227">
        <f>F331</f>
        <v>3.6</v>
      </c>
      <c r="G333" s="3188" t="s">
        <v>3584</v>
      </c>
      <c r="H333" s="3188"/>
      <c r="I333" s="3188"/>
      <c r="J333" s="3188"/>
      <c r="K333" s="3188"/>
      <c r="L333" s="229">
        <f>SUM(L331:L332)</f>
        <v>5.8</v>
      </c>
      <c r="M333" s="2225"/>
      <c r="N333" s="2228"/>
    </row>
    <row r="334" spans="1:14" ht="16">
      <c r="A334" s="2229"/>
      <c r="B334" s="2229"/>
      <c r="C334" s="2230"/>
      <c r="D334" s="2230"/>
      <c r="E334" s="2229"/>
      <c r="F334" s="2231"/>
      <c r="G334" s="2232"/>
      <c r="H334" s="2233"/>
      <c r="I334" s="2233"/>
      <c r="J334" s="2233"/>
      <c r="K334" s="2233"/>
      <c r="L334" s="2234"/>
      <c r="M334" s="2225"/>
      <c r="N334" s="2234"/>
    </row>
    <row r="335" spans="1:14" ht="15.5" customHeight="1">
      <c r="A335" s="3187" t="s">
        <v>3586</v>
      </c>
      <c r="B335" s="3187"/>
      <c r="C335" s="3187"/>
      <c r="D335" s="3187"/>
      <c r="E335" s="3187"/>
      <c r="F335" s="3187"/>
      <c r="G335" s="3187"/>
      <c r="H335" s="3187"/>
      <c r="I335" s="3187"/>
      <c r="J335" s="2233"/>
      <c r="K335" s="2233"/>
      <c r="L335" s="2234"/>
      <c r="M335" s="2225"/>
      <c r="N335" s="2234"/>
    </row>
    <row r="336" spans="1:14" ht="46.5" customHeight="1">
      <c r="A336" s="2217" t="s">
        <v>1093</v>
      </c>
      <c r="B336" s="2218" t="s">
        <v>3587</v>
      </c>
      <c r="C336" s="2219" t="s">
        <v>1800</v>
      </c>
      <c r="D336" s="2219" t="s">
        <v>853</v>
      </c>
      <c r="E336" s="2218" t="s">
        <v>1992</v>
      </c>
      <c r="F336" s="2219" t="s">
        <v>1931</v>
      </c>
      <c r="G336" s="2235" t="s">
        <v>2751</v>
      </c>
      <c r="H336" s="3189" t="s">
        <v>3923</v>
      </c>
      <c r="I336" s="3189"/>
      <c r="J336" s="1195"/>
      <c r="K336" s="2228"/>
      <c r="L336" s="2228"/>
      <c r="M336" s="2220"/>
      <c r="N336" s="2228"/>
    </row>
    <row r="337" spans="1:14" ht="16">
      <c r="A337" s="275" t="s">
        <v>3589</v>
      </c>
      <c r="B337" s="2236">
        <f>дома!B1319</f>
        <v>1</v>
      </c>
      <c r="C337" s="2237">
        <f>дома!C1319</f>
        <v>10</v>
      </c>
      <c r="D337" s="2237">
        <f>дома!D1319</f>
        <v>10</v>
      </c>
      <c r="E337" s="2236">
        <f>дома!E1319</f>
        <v>3</v>
      </c>
      <c r="F337" s="2237">
        <f>дома!F1319</f>
        <v>0</v>
      </c>
      <c r="G337" s="2237">
        <f>дома!G1319</f>
        <v>0</v>
      </c>
      <c r="H337" s="2236">
        <f>дома!I1319</f>
        <v>0</v>
      </c>
      <c r="I337" s="2238"/>
      <c r="J337" s="1195"/>
      <c r="K337" s="2228"/>
      <c r="L337" s="2228"/>
      <c r="M337" s="2220"/>
      <c r="N337" s="2228"/>
    </row>
    <row r="338" spans="1:14" ht="31" customHeight="1">
      <c r="A338" s="2239" t="s">
        <v>1236</v>
      </c>
      <c r="B338" s="2240" t="s">
        <v>120</v>
      </c>
      <c r="C338" s="3190" t="s">
        <v>3924</v>
      </c>
      <c r="D338" s="3190"/>
      <c r="E338" s="2240" t="s">
        <v>1802</v>
      </c>
      <c r="F338" s="2241" t="s">
        <v>3591</v>
      </c>
      <c r="G338" s="3191" t="s">
        <v>1236</v>
      </c>
      <c r="H338" s="3191"/>
      <c r="I338" s="2240" t="s">
        <v>3593</v>
      </c>
      <c r="J338" s="2240" t="s">
        <v>3594</v>
      </c>
      <c r="K338" s="2240" t="s">
        <v>1802</v>
      </c>
      <c r="L338" s="2240" t="s">
        <v>3573</v>
      </c>
      <c r="M338" s="2228"/>
      <c r="N338" s="2228"/>
    </row>
    <row r="339" spans="1:14" ht="15.5" customHeight="1">
      <c r="A339" s="3192" t="s">
        <v>3596</v>
      </c>
      <c r="B339" s="229" t="s">
        <v>156</v>
      </c>
      <c r="C339" s="3193">
        <f>дома!C1321</f>
        <v>6</v>
      </c>
      <c r="D339" s="3193"/>
      <c r="E339" s="2221">
        <f>дома!D1321</f>
        <v>2</v>
      </c>
      <c r="F339" s="2223">
        <f>C339*E339*E337</f>
        <v>36</v>
      </c>
      <c r="G339" s="3192" t="s">
        <v>3597</v>
      </c>
      <c r="H339" s="3192"/>
      <c r="I339" s="229" t="s">
        <v>156</v>
      </c>
      <c r="J339" s="2221">
        <f>дома!N1321</f>
        <v>3.5</v>
      </c>
      <c r="K339" s="2221">
        <f>дома!O1321</f>
        <v>1</v>
      </c>
      <c r="L339" s="229">
        <f>J339*K339*G337</f>
        <v>0</v>
      </c>
      <c r="M339" s="2228"/>
      <c r="N339" s="2228"/>
    </row>
    <row r="340" spans="1:14" ht="16">
      <c r="A340" s="3192"/>
      <c r="B340" s="229" t="s">
        <v>156</v>
      </c>
      <c r="C340" s="3193">
        <f>дома!C1322</f>
        <v>4</v>
      </c>
      <c r="D340" s="3193"/>
      <c r="E340" s="2221">
        <f>дома!D1322</f>
        <v>1</v>
      </c>
      <c r="F340" s="2223">
        <f>C340*E340*E337</f>
        <v>12</v>
      </c>
      <c r="G340" s="3192"/>
      <c r="H340" s="3192"/>
      <c r="I340" s="229" t="s">
        <v>156</v>
      </c>
      <c r="J340" s="2221">
        <f>дома!N1322</f>
        <v>0</v>
      </c>
      <c r="K340" s="2221">
        <f>дома!O1322</f>
        <v>0</v>
      </c>
      <c r="L340" s="229">
        <f>J340*K340*G337</f>
        <v>0</v>
      </c>
      <c r="M340" s="2228"/>
      <c r="N340" s="2228"/>
    </row>
    <row r="341" spans="1:14" ht="16">
      <c r="A341" s="3192"/>
      <c r="B341" s="229" t="s">
        <v>156</v>
      </c>
      <c r="C341" s="3193">
        <f>дома!C1323</f>
        <v>0</v>
      </c>
      <c r="D341" s="3193"/>
      <c r="E341" s="2221">
        <f>дома!D1323</f>
        <v>0</v>
      </c>
      <c r="F341" s="2223">
        <f>C341*E341*E337</f>
        <v>0</v>
      </c>
      <c r="G341" s="3192"/>
      <c r="H341" s="3192"/>
      <c r="I341" s="229" t="s">
        <v>156</v>
      </c>
      <c r="J341" s="2221">
        <f>дома!N1323</f>
        <v>0</v>
      </c>
      <c r="K341" s="2221">
        <f>дома!O1323</f>
        <v>0</v>
      </c>
      <c r="L341" s="229">
        <f>J341*K341*G337</f>
        <v>0</v>
      </c>
      <c r="M341" s="2228"/>
      <c r="N341" s="2228"/>
    </row>
    <row r="342" spans="1:14" ht="16">
      <c r="A342" s="3192"/>
      <c r="B342" s="229"/>
      <c r="C342" s="3193">
        <f>дома!C1324</f>
        <v>0</v>
      </c>
      <c r="D342" s="3193"/>
      <c r="E342" s="2221">
        <f>дома!D1324</f>
        <v>0</v>
      </c>
      <c r="F342" s="2223">
        <f>C342*E342*E337</f>
        <v>0</v>
      </c>
      <c r="G342" s="3192"/>
      <c r="H342" s="3192"/>
      <c r="I342" s="229"/>
      <c r="J342" s="2221">
        <f>дома!N1324</f>
        <v>0</v>
      </c>
      <c r="K342" s="2221">
        <f>дома!O1324</f>
        <v>0</v>
      </c>
      <c r="L342" s="229">
        <f>J342*K342*G337</f>
        <v>0</v>
      </c>
      <c r="M342" s="2228"/>
      <c r="N342" s="2228"/>
    </row>
    <row r="343" spans="1:14" ht="15.5" customHeight="1">
      <c r="A343" s="3192" t="s">
        <v>3598</v>
      </c>
      <c r="B343" s="229"/>
      <c r="C343" s="3193">
        <f>дома!C1325</f>
        <v>1.8</v>
      </c>
      <c r="D343" s="3193"/>
      <c r="E343" s="2221">
        <f>дома!D1325</f>
        <v>1</v>
      </c>
      <c r="F343" s="2223">
        <f>C343*E343*E337</f>
        <v>5.4</v>
      </c>
      <c r="G343" s="3192" t="s">
        <v>3599</v>
      </c>
      <c r="H343" s="3192"/>
      <c r="I343" s="229"/>
      <c r="J343" s="2221">
        <f>дома!N1325</f>
        <v>0</v>
      </c>
      <c r="K343" s="2221">
        <f>дома!O1325</f>
        <v>0</v>
      </c>
      <c r="L343" s="229">
        <f>J343*K343*G337</f>
        <v>0</v>
      </c>
      <c r="M343" s="2228"/>
      <c r="N343" s="2228"/>
    </row>
    <row r="344" spans="1:14" ht="16">
      <c r="A344" s="3192"/>
      <c r="B344" s="229"/>
      <c r="C344" s="3193">
        <f>дома!C1326</f>
        <v>0</v>
      </c>
      <c r="D344" s="3193"/>
      <c r="E344" s="2221">
        <f>дома!D1326</f>
        <v>0</v>
      </c>
      <c r="F344" s="2223">
        <f>C344*E344*E337</f>
        <v>0</v>
      </c>
      <c r="G344" s="3192"/>
      <c r="H344" s="3192"/>
      <c r="I344" s="229"/>
      <c r="J344" s="2221">
        <f>дома!N1326</f>
        <v>0</v>
      </c>
      <c r="K344" s="2221">
        <f>дома!O1326</f>
        <v>0</v>
      </c>
      <c r="L344" s="229">
        <f>J344*K344*G337</f>
        <v>0</v>
      </c>
      <c r="M344" s="2228"/>
      <c r="N344" s="2228"/>
    </row>
    <row r="345" spans="1:14" ht="16">
      <c r="A345" s="3192"/>
      <c r="B345" s="229"/>
      <c r="C345" s="3193">
        <f>дома!C1327</f>
        <v>0</v>
      </c>
      <c r="D345" s="3193"/>
      <c r="E345" s="2221">
        <f>дома!D1327</f>
        <v>0</v>
      </c>
      <c r="F345" s="2223">
        <f>C345*E345*E337</f>
        <v>0</v>
      </c>
      <c r="G345" s="3192"/>
      <c r="H345" s="3192"/>
      <c r="I345" s="229"/>
      <c r="J345" s="2221">
        <f>дома!N1327</f>
        <v>0</v>
      </c>
      <c r="K345" s="2221">
        <f>дома!O1327</f>
        <v>0</v>
      </c>
      <c r="L345" s="229">
        <f>J345*K345*G337</f>
        <v>0</v>
      </c>
      <c r="M345" s="2228"/>
      <c r="N345" s="2228"/>
    </row>
    <row r="346" spans="1:14" ht="16">
      <c r="A346" s="3192"/>
      <c r="B346" s="229"/>
      <c r="C346" s="3193">
        <f>дома!C1328</f>
        <v>0</v>
      </c>
      <c r="D346" s="3193"/>
      <c r="E346" s="2221">
        <f>дома!D1328</f>
        <v>0</v>
      </c>
      <c r="F346" s="2223">
        <f>C346*E346*E337</f>
        <v>0</v>
      </c>
      <c r="G346" s="3192"/>
      <c r="H346" s="3192"/>
      <c r="I346" s="229"/>
      <c r="J346" s="2221">
        <f>дома!N1328</f>
        <v>0</v>
      </c>
      <c r="K346" s="2221">
        <f>дома!O1328</f>
        <v>0</v>
      </c>
      <c r="L346" s="229">
        <f>J346*K346*G337</f>
        <v>0</v>
      </c>
      <c r="M346" s="2228"/>
      <c r="N346" s="2228"/>
    </row>
    <row r="347" spans="1:14" ht="15.5" customHeight="1">
      <c r="A347" s="3192" t="s">
        <v>3600</v>
      </c>
      <c r="B347" s="229" t="s">
        <v>156</v>
      </c>
      <c r="C347" s="3193">
        <f>дома!C1329</f>
        <v>0</v>
      </c>
      <c r="D347" s="3193"/>
      <c r="E347" s="2221">
        <f>дома!D1329</f>
        <v>0</v>
      </c>
      <c r="F347" s="2223">
        <f>C347*E347*E337</f>
        <v>0</v>
      </c>
      <c r="G347" s="3192" t="s">
        <v>3601</v>
      </c>
      <c r="H347" s="3192"/>
      <c r="I347" s="229" t="s">
        <v>156</v>
      </c>
      <c r="J347" s="2221">
        <f>дома!N1329</f>
        <v>4</v>
      </c>
      <c r="K347" s="2221">
        <f>дома!O1329</f>
        <v>1</v>
      </c>
      <c r="L347" s="229">
        <f>J347*K347*(G337+F337)/2</f>
        <v>0</v>
      </c>
      <c r="M347" s="2228"/>
      <c r="N347" s="2228"/>
    </row>
    <row r="348" spans="1:14" ht="16">
      <c r="A348" s="3192"/>
      <c r="B348" s="229" t="s">
        <v>156</v>
      </c>
      <c r="C348" s="3193">
        <f>дома!C1330</f>
        <v>0</v>
      </c>
      <c r="D348" s="3193"/>
      <c r="E348" s="2221">
        <f>дома!D1330</f>
        <v>0</v>
      </c>
      <c r="F348" s="2223">
        <f>C348*E348*E337</f>
        <v>0</v>
      </c>
      <c r="G348" s="3192"/>
      <c r="H348" s="3192"/>
      <c r="I348" s="229" t="s">
        <v>156</v>
      </c>
      <c r="J348" s="2221">
        <f>дома!N1330</f>
        <v>2</v>
      </c>
      <c r="K348" s="2221">
        <f>дома!O1330</f>
        <v>1</v>
      </c>
      <c r="L348" s="229">
        <f>J348*K348*(G337+F337)/2</f>
        <v>0</v>
      </c>
      <c r="M348" s="2228"/>
      <c r="N348" s="2228"/>
    </row>
    <row r="349" spans="1:14" ht="16">
      <c r="A349" s="3192"/>
      <c r="B349" s="229" t="s">
        <v>156</v>
      </c>
      <c r="C349" s="3193">
        <f>дома!C1331</f>
        <v>0</v>
      </c>
      <c r="D349" s="3193"/>
      <c r="E349" s="2221">
        <f>дома!D1331</f>
        <v>0</v>
      </c>
      <c r="F349" s="2223">
        <f>C349*E349*E337</f>
        <v>0</v>
      </c>
      <c r="G349" s="3192"/>
      <c r="H349" s="3192"/>
      <c r="I349" s="229" t="s">
        <v>156</v>
      </c>
      <c r="J349" s="2221">
        <f>дома!N1331</f>
        <v>3</v>
      </c>
      <c r="K349" s="2221">
        <f>дома!O1331</f>
        <v>1</v>
      </c>
      <c r="L349" s="229">
        <f>J349*K349*(G337+F337)/2</f>
        <v>0</v>
      </c>
      <c r="M349" s="2228"/>
      <c r="N349" s="2228"/>
    </row>
    <row r="350" spans="1:14" ht="16">
      <c r="A350" s="3192"/>
      <c r="B350" s="229"/>
      <c r="C350" s="3193">
        <f>дома!C1332</f>
        <v>0</v>
      </c>
      <c r="D350" s="3193"/>
      <c r="E350" s="2221">
        <f>дома!D1332</f>
        <v>0</v>
      </c>
      <c r="F350" s="2223">
        <f>C350*E350*E337</f>
        <v>0</v>
      </c>
      <c r="G350" s="3192"/>
      <c r="H350" s="3192"/>
      <c r="I350" s="229"/>
      <c r="J350" s="2221">
        <f>дома!N1332</f>
        <v>0</v>
      </c>
      <c r="K350" s="2221">
        <f>дома!O1332</f>
        <v>0</v>
      </c>
      <c r="L350" s="229">
        <f>J350*K350*(G337+F337)/2</f>
        <v>0</v>
      </c>
      <c r="M350" s="2228"/>
      <c r="N350" s="2228"/>
    </row>
    <row r="351" spans="1:14" ht="15.5" customHeight="1">
      <c r="A351" s="3192" t="s">
        <v>3602</v>
      </c>
      <c r="B351" s="229"/>
      <c r="C351" s="3193">
        <f>дома!C1333</f>
        <v>3</v>
      </c>
      <c r="D351" s="3193"/>
      <c r="E351" s="2221">
        <f>дома!D1333</f>
        <v>2</v>
      </c>
      <c r="F351" s="2223">
        <f>C351*E351*E337</f>
        <v>18</v>
      </c>
      <c r="G351" s="3192" t="s">
        <v>3603</v>
      </c>
      <c r="H351" s="3192"/>
      <c r="I351" s="229"/>
      <c r="J351" s="2221">
        <f>дома!N1333</f>
        <v>0</v>
      </c>
      <c r="K351" s="2221">
        <f>дома!O1333</f>
        <v>0</v>
      </c>
      <c r="L351" s="229">
        <f>J351*K351*(G337+F337)/2</f>
        <v>0</v>
      </c>
      <c r="M351" s="2228"/>
      <c r="N351" s="2228"/>
    </row>
    <row r="352" spans="1:14" ht="16">
      <c r="A352" s="3192"/>
      <c r="B352" s="229"/>
      <c r="C352" s="3193">
        <f>дома!C1334</f>
        <v>0</v>
      </c>
      <c r="D352" s="3193"/>
      <c r="E352" s="2221">
        <f>дома!D1334</f>
        <v>0</v>
      </c>
      <c r="F352" s="2223">
        <f>C352*E352*E337</f>
        <v>0</v>
      </c>
      <c r="G352" s="3192"/>
      <c r="H352" s="3192"/>
      <c r="I352" s="229"/>
      <c r="J352" s="2221">
        <f>дома!N1334</f>
        <v>0</v>
      </c>
      <c r="K352" s="2221">
        <f>дома!O1334</f>
        <v>0</v>
      </c>
      <c r="L352" s="229">
        <f>J352*K352*(G337+F337)/2</f>
        <v>0</v>
      </c>
      <c r="M352" s="2228"/>
      <c r="N352" s="2228"/>
    </row>
    <row r="353" spans="1:14" ht="16">
      <c r="A353" s="3192"/>
      <c r="B353" s="229"/>
      <c r="C353" s="3193">
        <f>дома!C1335</f>
        <v>0</v>
      </c>
      <c r="D353" s="3193"/>
      <c r="E353" s="2221">
        <f>дома!D1335</f>
        <v>0</v>
      </c>
      <c r="F353" s="2223">
        <f>C353*E353*E337</f>
        <v>0</v>
      </c>
      <c r="G353" s="3192"/>
      <c r="H353" s="3192"/>
      <c r="I353" s="229"/>
      <c r="J353" s="2221">
        <f>дома!N1335</f>
        <v>0</v>
      </c>
      <c r="K353" s="2221">
        <f>дома!O1335</f>
        <v>0</v>
      </c>
      <c r="L353" s="229">
        <f>J353*K353*(G337+F337)/2</f>
        <v>0</v>
      </c>
      <c r="M353" s="2228"/>
      <c r="N353" s="2228"/>
    </row>
    <row r="354" spans="1:14" ht="16">
      <c r="A354" s="3192"/>
      <c r="B354" s="229"/>
      <c r="C354" s="3193">
        <f>дома!C1336</f>
        <v>0</v>
      </c>
      <c r="D354" s="3193"/>
      <c r="E354" s="2221">
        <f>дома!D1336</f>
        <v>0</v>
      </c>
      <c r="F354" s="2223">
        <f>C354*E354*E337</f>
        <v>0</v>
      </c>
      <c r="G354" s="3192"/>
      <c r="H354" s="3192"/>
      <c r="I354" s="229"/>
      <c r="J354" s="2221">
        <f>дома!N1336</f>
        <v>0</v>
      </c>
      <c r="K354" s="2221">
        <f>дома!O1336</f>
        <v>0</v>
      </c>
      <c r="L354" s="229">
        <f>J354*K354*(G337+F337)/2</f>
        <v>0</v>
      </c>
      <c r="M354" s="2228"/>
      <c r="N354" s="2228"/>
    </row>
    <row r="355" spans="1:14" ht="16">
      <c r="A355" s="490"/>
      <c r="B355" s="2228"/>
      <c r="C355" s="2242"/>
      <c r="D355" s="2242"/>
      <c r="E355" s="1165" t="s">
        <v>3925</v>
      </c>
      <c r="F355" s="2243">
        <f>SUM(F339:F349)</f>
        <v>53.4</v>
      </c>
      <c r="G355" s="2244"/>
      <c r="H355" s="2244"/>
      <c r="I355" s="2234"/>
      <c r="J355" s="2220"/>
      <c r="K355" s="1165" t="s">
        <v>3925</v>
      </c>
      <c r="L355" s="1165">
        <f>SUM(L339:L349)</f>
        <v>0</v>
      </c>
      <c r="M355" s="2228"/>
      <c r="N355" s="2228"/>
    </row>
    <row r="356" spans="1:14" ht="16">
      <c r="A356" s="490"/>
      <c r="B356" s="2228"/>
      <c r="C356" s="2242"/>
      <c r="D356" s="2242"/>
      <c r="E356" s="2228"/>
      <c r="F356" s="2277"/>
      <c r="G356" s="2244"/>
      <c r="H356" s="2244"/>
      <c r="I356" s="2234"/>
      <c r="J356" s="2220"/>
      <c r="K356" s="2228"/>
      <c r="L356" s="2228"/>
      <c r="M356" s="2228"/>
      <c r="N356" s="2228"/>
    </row>
    <row r="357" spans="1:14" ht="16">
      <c r="A357" s="3200" t="s">
        <v>1112</v>
      </c>
      <c r="B357" s="3200"/>
      <c r="C357" s="3200"/>
      <c r="D357" s="3200"/>
      <c r="E357" s="3200"/>
      <c r="F357" s="3200"/>
      <c r="G357" s="3200"/>
      <c r="H357" s="3200"/>
      <c r="I357" s="3200"/>
      <c r="J357" s="3200"/>
      <c r="K357" s="3200"/>
      <c r="L357" s="1195"/>
      <c r="M357" s="1195"/>
      <c r="N357" s="1195"/>
    </row>
    <row r="358" spans="1:14" ht="16">
      <c r="A358" s="3200"/>
      <c r="B358" s="3200"/>
      <c r="C358" s="3200"/>
      <c r="D358" s="3200"/>
      <c r="E358" s="3200"/>
      <c r="F358" s="3200"/>
      <c r="G358" s="3200"/>
      <c r="H358" s="3200"/>
      <c r="I358" s="3200"/>
      <c r="J358" s="3200"/>
      <c r="K358" s="3200"/>
      <c r="L358" s="1195"/>
      <c r="M358" s="1195"/>
      <c r="N358" s="1195"/>
    </row>
    <row r="359" spans="1:14" ht="24">
      <c r="A359" s="3198" t="s">
        <v>1806</v>
      </c>
      <c r="B359" s="3198"/>
      <c r="C359" s="3198"/>
      <c r="D359" s="3198"/>
      <c r="E359" s="3198"/>
      <c r="F359" s="3198"/>
      <c r="G359" s="2252">
        <f>'Ввод данных'!D1266</f>
        <v>1</v>
      </c>
      <c r="H359" s="888">
        <f>'Ввод данных'!D1267</f>
        <v>1</v>
      </c>
      <c r="I359" s="888"/>
      <c r="J359" s="888"/>
      <c r="K359" s="888"/>
      <c r="L359" s="1194"/>
      <c r="M359" s="1194"/>
      <c r="N359" s="1194"/>
    </row>
    <row r="360" spans="1:14" ht="24">
      <c r="A360" s="3198"/>
      <c r="B360" s="3198"/>
      <c r="C360" s="3198"/>
      <c r="D360" s="3198"/>
      <c r="E360" s="3198"/>
      <c r="F360" s="3198"/>
      <c r="G360" s="2253"/>
      <c r="H360" s="888"/>
      <c r="I360" s="888"/>
      <c r="J360" s="888"/>
      <c r="K360" s="888"/>
      <c r="L360" s="1194"/>
      <c r="M360" s="1194"/>
      <c r="N360" s="1194"/>
    </row>
    <row r="361" spans="1:14" ht="16">
      <c r="A361" s="275" t="s">
        <v>2499</v>
      </c>
      <c r="B361" s="2812">
        <f>'Ввод данных'!C1283</f>
        <v>1</v>
      </c>
      <c r="C361" s="2245"/>
      <c r="D361" s="2245"/>
      <c r="E361" s="2245"/>
      <c r="F361" s="2245"/>
      <c r="G361" s="2257"/>
      <c r="H361" s="1195"/>
      <c r="I361" s="1195"/>
      <c r="J361" s="1195"/>
      <c r="K361" s="1195"/>
      <c r="L361" s="1195"/>
      <c r="M361" s="1195"/>
      <c r="N361" s="1195"/>
    </row>
    <row r="362" spans="1:14" ht="16">
      <c r="A362" s="275" t="s">
        <v>4596</v>
      </c>
      <c r="B362" s="2812">
        <f>'Ввод данных'!C1285</f>
        <v>20</v>
      </c>
      <c r="C362" s="2245"/>
      <c r="D362" s="2245"/>
      <c r="E362" s="2245"/>
      <c r="F362" s="2245"/>
      <c r="G362" s="2257"/>
      <c r="H362" s="1195"/>
      <c r="I362" s="1195"/>
      <c r="J362" s="1195"/>
      <c r="K362" s="1195"/>
      <c r="L362" s="1195"/>
      <c r="M362" s="1195"/>
      <c r="N362" s="1195"/>
    </row>
    <row r="363" spans="1:14" ht="16">
      <c r="A363" s="275" t="s">
        <v>4597</v>
      </c>
      <c r="B363" s="2812">
        <f>'Ввод данных'!C1287</f>
        <v>40</v>
      </c>
      <c r="C363" s="2245"/>
      <c r="D363" s="2245"/>
      <c r="E363" s="2245"/>
      <c r="F363" s="2245"/>
      <c r="G363" s="2257"/>
      <c r="H363" s="1195"/>
      <c r="I363" s="1195"/>
      <c r="J363" s="1195"/>
      <c r="K363" s="1195"/>
      <c r="L363" s="1195"/>
      <c r="M363" s="1195"/>
      <c r="N363" s="1195"/>
    </row>
    <row r="364" spans="1:14" ht="16">
      <c r="A364" s="275" t="s">
        <v>4598</v>
      </c>
      <c r="B364" s="2812">
        <f>'Ввод данных'!C1290</f>
        <v>4</v>
      </c>
      <c r="C364" s="2245"/>
      <c r="D364" s="2245"/>
      <c r="E364" s="2245"/>
      <c r="F364" s="2245"/>
      <c r="G364" s="2257"/>
      <c r="H364" s="1195"/>
      <c r="I364" s="1195"/>
      <c r="J364" s="1195"/>
      <c r="K364" s="1195"/>
      <c r="L364" s="1195"/>
      <c r="M364" s="1195"/>
      <c r="N364" s="1195"/>
    </row>
    <row r="365" spans="1:14" ht="16">
      <c r="A365" s="229" t="s">
        <v>2720</v>
      </c>
      <c r="B365" s="229" t="s">
        <v>120</v>
      </c>
      <c r="C365" s="229" t="s">
        <v>1802</v>
      </c>
      <c r="D365" s="229" t="s">
        <v>1601</v>
      </c>
      <c r="E365" s="229" t="s">
        <v>3696</v>
      </c>
      <c r="F365" s="1194"/>
      <c r="G365" s="3130" t="s">
        <v>1409</v>
      </c>
      <c r="H365" s="3130"/>
      <c r="I365" s="229" t="s">
        <v>1802</v>
      </c>
      <c r="J365" s="229" t="s">
        <v>1601</v>
      </c>
      <c r="K365" s="229" t="s">
        <v>3696</v>
      </c>
      <c r="L365" s="1195"/>
      <c r="M365" s="1195"/>
      <c r="N365" s="1195"/>
    </row>
    <row r="366" spans="1:14" ht="16">
      <c r="A366" s="229" t="str">
        <f>'Ввод данных'!A1272</f>
        <v>Кабель ВВГнг(А)-LS 3х2,5 0,66</v>
      </c>
      <c r="B366" s="229" t="s">
        <v>156</v>
      </c>
      <c r="C366" s="229">
        <f>((C337+D337+C337+D337+C339*E339*E337+C340*E340*E337+C341*E341*E337+C342*E342*E337+C343*E343*E337+C344*E344*E337+C345*E345*E337+C346*E346*E337+C347*E347*E337+C348*E348*E337+C349*E349*E337+C350*E350*E337+C351*E351*E337+C352*E352*E337+C353*E353*E337)+(B337-1)*(C337+C337+D337+D337)+((B337-1)*(J339*K339+J340*K340+J341*K341+J342*K342+J343*K343+J344*K344+J345*K345+J346*K346+J347*K347+J348*K348+J349*K349+J350*K350+J351*K351+J352*K352+J353*K353))*2*B337*G359)</f>
        <v>111.4</v>
      </c>
      <c r="D366" s="229">
        <f>VLOOKUP(A366,'Прайс лист'!B1207:G1212,6,0)</f>
        <v>47.36</v>
      </c>
      <c r="E366" s="229">
        <f t="shared" ref="E366:E385" si="4">C366*D366</f>
        <v>5275.9040000000005</v>
      </c>
      <c r="F366" s="1194"/>
      <c r="G366" s="2284" t="s">
        <v>1602</v>
      </c>
      <c r="H366" s="2285"/>
      <c r="I366" s="229">
        <f>(C366+C368+C370)*H359</f>
        <v>373.20000000000005</v>
      </c>
      <c r="J366" s="229">
        <f>'Прайс лист'!G1839</f>
        <v>100</v>
      </c>
      <c r="K366" s="229">
        <f t="shared" ref="K366:K373" si="5">I366*J366</f>
        <v>37320.000000000007</v>
      </c>
      <c r="L366" s="1195"/>
      <c r="M366" s="1195"/>
      <c r="N366" s="1195"/>
    </row>
    <row r="367" spans="1:14" ht="16">
      <c r="A367" s="229" t="str">
        <f>'Ввод данных'!A1274</f>
        <v>Труба ПВХ гофрировонная гибкая 20</v>
      </c>
      <c r="B367" s="229" t="s">
        <v>156</v>
      </c>
      <c r="C367" s="229">
        <f>C366*1.1</f>
        <v>122.54000000000002</v>
      </c>
      <c r="D367" s="229">
        <f>VLOOKUP(A367,'Прайс лист'!B1213:G1235,6,0)</f>
        <v>5.0199999999999996</v>
      </c>
      <c r="E367" s="229">
        <f t="shared" si="4"/>
        <v>615.1508</v>
      </c>
      <c r="F367" s="1194"/>
      <c r="G367" s="2284" t="s">
        <v>1603</v>
      </c>
      <c r="H367" s="2285"/>
      <c r="I367" s="229">
        <f>I366*H359</f>
        <v>373.20000000000005</v>
      </c>
      <c r="J367" s="229">
        <f>'Прайс лист'!G1840</f>
        <v>50</v>
      </c>
      <c r="K367" s="229">
        <f t="shared" si="5"/>
        <v>18660.000000000004</v>
      </c>
      <c r="L367" s="1195"/>
      <c r="M367" s="1195"/>
      <c r="N367" s="1195"/>
    </row>
    <row r="368" spans="1:14" ht="16">
      <c r="A368" s="229" t="str">
        <f>'Ввод данных'!A1276</f>
        <v>Кабель ВВГнг(А)-LS 3х1,5 0,66</v>
      </c>
      <c r="B368" s="229" t="s">
        <v>156</v>
      </c>
      <c r="C368" s="229">
        <f>(C337+D337+C337+D337+C339*E339*E337+C340*E340*E337+C341*E341*E337+C342*E342*E337+C343*E343*E337+C344*E344*E337)*2*B337*G359</f>
        <v>186.8</v>
      </c>
      <c r="D368" s="229">
        <f>VLOOKUP(A368,'Прайс лист'!B1207:G1212,6,0)</f>
        <v>29.81</v>
      </c>
      <c r="E368" s="229">
        <f t="shared" si="4"/>
        <v>5568.5079999999998</v>
      </c>
      <c r="F368" s="1194"/>
      <c r="G368" s="98" t="s">
        <v>4599</v>
      </c>
      <c r="H368" s="98"/>
      <c r="I368" s="229">
        <f>C374</f>
        <v>6</v>
      </c>
      <c r="J368" s="229">
        <f>'Прайс лист'!G1841</f>
        <v>500</v>
      </c>
      <c r="K368" s="229">
        <f t="shared" si="5"/>
        <v>3000</v>
      </c>
      <c r="L368" s="1195"/>
      <c r="M368" s="1195"/>
      <c r="N368" s="1195"/>
    </row>
    <row r="369" spans="1:14" ht="16">
      <c r="A369" s="229" t="str">
        <f>'Ввод данных'!A1278</f>
        <v>Труба ПВХ гофрировонная гибкая 25</v>
      </c>
      <c r="B369" s="229" t="s">
        <v>156</v>
      </c>
      <c r="C369" s="229">
        <f>C368*1.1</f>
        <v>205.48000000000002</v>
      </c>
      <c r="D369" s="229">
        <f>VLOOKUP(A369,'Прайс лист'!B1213:G1235,6,0)</f>
        <v>6.38</v>
      </c>
      <c r="E369" s="229">
        <f t="shared" si="4"/>
        <v>1310.9624000000001</v>
      </c>
      <c r="F369" s="1194"/>
      <c r="G369" s="2284" t="s">
        <v>4600</v>
      </c>
      <c r="H369" s="2285"/>
      <c r="I369" s="229">
        <f>C381</f>
        <v>40</v>
      </c>
      <c r="J369" s="229">
        <f>'Прайс лист'!G1842</f>
        <v>200</v>
      </c>
      <c r="K369" s="229">
        <f t="shared" si="5"/>
        <v>8000</v>
      </c>
      <c r="L369" s="1195"/>
      <c r="M369" s="1195"/>
      <c r="N369" s="1195"/>
    </row>
    <row r="370" spans="1:14" ht="16">
      <c r="A370" s="229" t="str">
        <f>'Ввод данных'!A1280</f>
        <v>Кабель ВВГнг(А)-LS 3х4 0,66</v>
      </c>
      <c r="B370" s="229" t="s">
        <v>156</v>
      </c>
      <c r="C370" s="229">
        <f>(C337+D337+D337)*2.5*G359</f>
        <v>75</v>
      </c>
      <c r="D370" s="229">
        <f>VLOOKUP(A370,'Прайс лист'!B1207:G1212,6,0)</f>
        <v>68</v>
      </c>
      <c r="E370" s="229">
        <f t="shared" si="4"/>
        <v>5100</v>
      </c>
      <c r="F370" s="1194"/>
      <c r="G370" s="2284" t="s">
        <v>4601</v>
      </c>
      <c r="H370" s="2285"/>
      <c r="I370" s="229">
        <f>C382</f>
        <v>20</v>
      </c>
      <c r="J370" s="229">
        <f>'Прайс лист'!G1843</f>
        <v>200</v>
      </c>
      <c r="K370" s="229">
        <f t="shared" si="5"/>
        <v>4000</v>
      </c>
      <c r="L370" s="1195"/>
      <c r="M370" s="1195"/>
      <c r="N370" s="1195"/>
    </row>
    <row r="371" spans="1:14" ht="16">
      <c r="A371" s="229" t="str">
        <f>'Ввод данных'!A1282</f>
        <v>Труба ПВХ гофрировонная гибкая 32</v>
      </c>
      <c r="B371" s="229" t="s">
        <v>156</v>
      </c>
      <c r="C371" s="229">
        <f>C370*1.1</f>
        <v>82.5</v>
      </c>
      <c r="D371" s="229">
        <f>VLOOKUP(A371,'Прайс лист'!B1213:G1235,6,0)</f>
        <v>6.38</v>
      </c>
      <c r="E371" s="229">
        <f t="shared" si="4"/>
        <v>526.35</v>
      </c>
      <c r="F371" s="1194"/>
      <c r="G371" s="2284" t="s">
        <v>4602</v>
      </c>
      <c r="H371" s="2285"/>
      <c r="I371" s="229">
        <f>C376</f>
        <v>1</v>
      </c>
      <c r="J371" s="229">
        <f>'Прайс лист'!G1844</f>
        <v>6000</v>
      </c>
      <c r="K371" s="229">
        <f t="shared" si="5"/>
        <v>6000</v>
      </c>
      <c r="L371" s="1195"/>
      <c r="M371" s="1195"/>
      <c r="N371" s="1195"/>
    </row>
    <row r="372" spans="1:14" ht="16">
      <c r="A372" s="229" t="str">
        <f>'Прайс лист'!B1236</f>
        <v>крепления для гофры</v>
      </c>
      <c r="B372" s="229" t="s">
        <v>159</v>
      </c>
      <c r="C372" s="2262">
        <f>CEILING((C371+C369+C366)*G359*IF('Ввод данных'!A1270=связи1!A536,1,0.5),1)</f>
        <v>400</v>
      </c>
      <c r="D372" s="229">
        <f>'Прайс лист'!G1236</f>
        <v>1</v>
      </c>
      <c r="E372" s="229">
        <f t="shared" si="4"/>
        <v>400</v>
      </c>
      <c r="F372" s="1194"/>
      <c r="G372" s="2284" t="s">
        <v>1608</v>
      </c>
      <c r="H372" s="2285"/>
      <c r="I372" s="229">
        <f>I369</f>
        <v>40</v>
      </c>
      <c r="J372" s="229">
        <f>'Прайс лист'!G1845</f>
        <v>250</v>
      </c>
      <c r="K372" s="229">
        <f t="shared" si="5"/>
        <v>10000</v>
      </c>
      <c r="L372" s="1195"/>
      <c r="M372" s="1195"/>
      <c r="N372" s="1195"/>
    </row>
    <row r="373" spans="1:14" ht="16">
      <c r="A373" s="229" t="str">
        <f>'Прайс лист'!B1237</f>
        <v>саморез для крепления гофры</v>
      </c>
      <c r="B373" s="229" t="s">
        <v>159</v>
      </c>
      <c r="C373" s="229">
        <f>C372*2*G359</f>
        <v>800</v>
      </c>
      <c r="D373" s="229">
        <f>'Прайс лист'!G1237</f>
        <v>0.25</v>
      </c>
      <c r="E373" s="229">
        <f t="shared" si="4"/>
        <v>200</v>
      </c>
      <c r="F373" s="1194"/>
      <c r="G373" s="2284" t="s">
        <v>1609</v>
      </c>
      <c r="H373" s="2285"/>
      <c r="I373" s="229">
        <f>I370</f>
        <v>20</v>
      </c>
      <c r="J373" s="229">
        <f>'Прайс лист'!G1846</f>
        <v>250</v>
      </c>
      <c r="K373" s="229">
        <f t="shared" si="5"/>
        <v>5000</v>
      </c>
      <c r="L373" s="1195"/>
      <c r="M373" s="1195"/>
      <c r="N373" s="1195"/>
    </row>
    <row r="374" spans="1:14" ht="16">
      <c r="A374" s="229" t="str">
        <f>'Прайс лист'!B1238</f>
        <v>Коробка распределения</v>
      </c>
      <c r="B374" s="229" t="s">
        <v>159</v>
      </c>
      <c r="C374" s="229">
        <f>6*B337*G359</f>
        <v>6</v>
      </c>
      <c r="D374" s="229">
        <f>'Прайс лист'!G1238</f>
        <v>20</v>
      </c>
      <c r="E374" s="229">
        <f t="shared" si="4"/>
        <v>120</v>
      </c>
      <c r="F374" s="1194"/>
      <c r="G374" s="1042"/>
      <c r="H374" s="1042"/>
      <c r="I374" s="1042"/>
      <c r="J374" s="1042"/>
      <c r="K374" s="1042"/>
      <c r="L374" s="1195"/>
      <c r="M374" s="1195"/>
      <c r="N374" s="1195"/>
    </row>
    <row r="375" spans="1:14" ht="16">
      <c r="A375" s="229" t="str">
        <f>'Прайс лист'!B1239</f>
        <v>Вага</v>
      </c>
      <c r="B375" s="229" t="s">
        <v>159</v>
      </c>
      <c r="C375" s="229">
        <f>G359*(B362+B363)*8</f>
        <v>480</v>
      </c>
      <c r="D375" s="229">
        <f>'Прайс лист'!G1239</f>
        <v>10</v>
      </c>
      <c r="E375" s="229">
        <f t="shared" si="4"/>
        <v>4800</v>
      </c>
      <c r="F375" s="1194"/>
      <c r="G375" s="1042"/>
      <c r="H375" s="1042"/>
      <c r="I375" s="1042"/>
      <c r="J375" s="1042"/>
      <c r="K375" s="1042"/>
      <c r="L375" s="1195"/>
      <c r="M375" s="1195"/>
      <c r="N375" s="1195"/>
    </row>
    <row r="376" spans="1:14" ht="16">
      <c r="A376" s="229" t="str">
        <f>'Прайс лист'!B1240</f>
        <v>Щиток электрический</v>
      </c>
      <c r="B376" s="229" t="s">
        <v>159</v>
      </c>
      <c r="C376" s="229">
        <f>B361</f>
        <v>1</v>
      </c>
      <c r="D376" s="229">
        <f>'Прайс лист'!G1240</f>
        <v>1200</v>
      </c>
      <c r="E376" s="229">
        <f t="shared" si="4"/>
        <v>1200</v>
      </c>
      <c r="F376" s="1194"/>
      <c r="G376" s="3271"/>
      <c r="H376" s="3271"/>
      <c r="I376" s="229"/>
      <c r="J376" s="229"/>
      <c r="K376" s="229"/>
      <c r="L376" s="1195"/>
      <c r="M376" s="1195"/>
      <c r="N376" s="1195"/>
    </row>
    <row r="377" spans="1:14" ht="16">
      <c r="A377" s="229" t="str">
        <f>'Прайс лист'!B1241</f>
        <v>автомат, 3 полюса, 32амп</v>
      </c>
      <c r="B377" s="229" t="s">
        <v>159</v>
      </c>
      <c r="C377" s="229">
        <v>2</v>
      </c>
      <c r="D377" s="229">
        <f>'Прайс лист'!G1241</f>
        <v>180</v>
      </c>
      <c r="E377" s="229">
        <f t="shared" si="4"/>
        <v>360</v>
      </c>
      <c r="F377" s="1194"/>
      <c r="G377" s="3271"/>
      <c r="H377" s="3271"/>
      <c r="I377" s="229"/>
      <c r="J377" s="229"/>
      <c r="K377" s="229"/>
      <c r="L377" s="1195"/>
      <c r="M377" s="1195"/>
      <c r="N377" s="1195"/>
    </row>
    <row r="378" spans="1:14" ht="16">
      <c r="A378" s="229" t="str">
        <f>'Прайс лист'!B1242</f>
        <v>автомат, 1 полюс, 16амп</v>
      </c>
      <c r="B378" s="229" t="s">
        <v>159</v>
      </c>
      <c r="C378" s="229">
        <v>20</v>
      </c>
      <c r="D378" s="229">
        <f>'Прайс лист'!G1242</f>
        <v>70</v>
      </c>
      <c r="E378" s="229">
        <f t="shared" si="4"/>
        <v>1400</v>
      </c>
      <c r="F378" s="1194"/>
      <c r="G378" s="3271"/>
      <c r="H378" s="3271"/>
      <c r="I378" s="229"/>
      <c r="J378" s="229"/>
      <c r="K378" s="229"/>
      <c r="L378" s="1195"/>
      <c r="M378" s="1195"/>
      <c r="N378" s="1195"/>
    </row>
    <row r="379" spans="1:14" ht="16">
      <c r="A379" s="229" t="str">
        <f>'Прайс лист'!B1243</f>
        <v>автомат, 1 полюс, 25 амп</v>
      </c>
      <c r="B379" s="229" t="s">
        <v>159</v>
      </c>
      <c r="C379" s="229">
        <v>2</v>
      </c>
      <c r="D379" s="229">
        <f>'Прайс лист'!G1243</f>
        <v>167</v>
      </c>
      <c r="E379" s="229">
        <f t="shared" si="4"/>
        <v>334</v>
      </c>
      <c r="F379" s="1194"/>
      <c r="G379" s="3271"/>
      <c r="H379" s="3271"/>
      <c r="I379" s="229"/>
      <c r="J379" s="229"/>
      <c r="K379" s="229"/>
      <c r="L379" s="1195"/>
      <c r="M379" s="1195"/>
      <c r="N379" s="1195"/>
    </row>
    <row r="380" spans="1:14" ht="16">
      <c r="A380" s="229" t="str">
        <f>'Прайс лист'!B1244</f>
        <v>Коробка электрическая</v>
      </c>
      <c r="B380" s="229" t="s">
        <v>159</v>
      </c>
      <c r="C380" s="229">
        <f>C381*G359+C382*G359</f>
        <v>60</v>
      </c>
      <c r="D380" s="229">
        <f>'Прайс лист'!G1244</f>
        <v>6</v>
      </c>
      <c r="E380" s="229">
        <f t="shared" si="4"/>
        <v>360</v>
      </c>
      <c r="F380" s="1194"/>
      <c r="G380" s="3271"/>
      <c r="H380" s="3271"/>
      <c r="I380" s="229"/>
      <c r="J380" s="229"/>
      <c r="K380" s="229"/>
      <c r="L380" s="1195"/>
      <c r="M380" s="1195"/>
      <c r="N380" s="1195"/>
    </row>
    <row r="381" spans="1:14" ht="16">
      <c r="A381" s="229" t="str">
        <f>'Ввод данных'!A1285</f>
        <v>Розетка 2</v>
      </c>
      <c r="B381" s="229" t="s">
        <v>159</v>
      </c>
      <c r="C381" s="229">
        <f>B363</f>
        <v>40</v>
      </c>
      <c r="D381" s="229">
        <f>'Прайс лист'!G1245</f>
        <v>100</v>
      </c>
      <c r="E381" s="229">
        <f t="shared" si="4"/>
        <v>4000</v>
      </c>
      <c r="F381" s="1194"/>
      <c r="G381" s="3271"/>
      <c r="H381" s="3271"/>
      <c r="I381" s="229"/>
      <c r="J381" s="229"/>
      <c r="K381" s="229"/>
      <c r="L381" s="1195"/>
      <c r="M381" s="1195"/>
      <c r="N381" s="1195"/>
    </row>
    <row r="382" spans="1:14" ht="16">
      <c r="A382" s="229" t="str">
        <f>'Ввод данных'!A1287</f>
        <v>Выключатель 3</v>
      </c>
      <c r="B382" s="229" t="s">
        <v>159</v>
      </c>
      <c r="C382" s="229">
        <f>B362</f>
        <v>20</v>
      </c>
      <c r="D382" s="229">
        <f>'Прайс лист'!G1250</f>
        <v>100</v>
      </c>
      <c r="E382" s="229">
        <f t="shared" si="4"/>
        <v>2000</v>
      </c>
      <c r="F382" s="1194"/>
      <c r="G382" s="3271"/>
      <c r="H382" s="3271"/>
      <c r="I382" s="229"/>
      <c r="J382" s="229"/>
      <c r="K382" s="229"/>
      <c r="L382" s="1195"/>
      <c r="M382" s="1195"/>
      <c r="N382" s="1195"/>
    </row>
    <row r="383" spans="1:14" ht="16">
      <c r="A383" s="229" t="str">
        <f>'Ввод данных'!A1290</f>
        <v>Нет техники</v>
      </c>
      <c r="B383" s="229" t="str">
        <f>'Ввод данных'!B1290</f>
        <v>час</v>
      </c>
      <c r="C383" s="229">
        <f>'Ввод данных'!C1290</f>
        <v>4</v>
      </c>
      <c r="D383" s="229">
        <f>VLOOKUP(A383,'Прайс лист'!B180:G194,6,0)</f>
        <v>0</v>
      </c>
      <c r="E383" s="229">
        <f t="shared" si="4"/>
        <v>0</v>
      </c>
      <c r="F383" s="1194"/>
      <c r="G383" s="2813"/>
      <c r="H383" s="2814"/>
      <c r="I383" s="229"/>
      <c r="J383" s="229"/>
      <c r="K383" s="229"/>
      <c r="L383" s="1195"/>
      <c r="M383" s="1195"/>
      <c r="N383" s="1195"/>
    </row>
    <row r="384" spans="1:14" ht="16">
      <c r="A384" s="229" t="str">
        <f>'Ввод данных'!A1291</f>
        <v>Нет техники</v>
      </c>
      <c r="B384" s="229" t="str">
        <f>'Ввод данных'!B1291</f>
        <v>час</v>
      </c>
      <c r="C384" s="229">
        <f>'Ввод данных'!C1291</f>
        <v>0</v>
      </c>
      <c r="D384" s="229">
        <f>VLOOKUP(A384,'Прайс лист'!B180:G194,6,0)</f>
        <v>0</v>
      </c>
      <c r="E384" s="229">
        <f t="shared" si="4"/>
        <v>0</v>
      </c>
      <c r="F384" s="1194"/>
      <c r="G384" s="2813"/>
      <c r="H384" s="2814"/>
      <c r="I384" s="229"/>
      <c r="J384" s="229"/>
      <c r="K384" s="229"/>
      <c r="L384" s="1195"/>
      <c r="M384" s="1195"/>
      <c r="N384" s="1195"/>
    </row>
    <row r="385" spans="1:14" ht="16">
      <c r="A385" s="229" t="str">
        <f>'Ввод данных'!A1292</f>
        <v>расходные материалы для электрики</v>
      </c>
      <c r="B385" s="229" t="str">
        <f>'Ввод данных'!B1292</f>
        <v>рублей</v>
      </c>
      <c r="C385" s="229">
        <f>1</f>
        <v>1</v>
      </c>
      <c r="D385" s="229">
        <f>'Ввод данных'!C1292</f>
        <v>5000</v>
      </c>
      <c r="E385" s="229">
        <f t="shared" si="4"/>
        <v>5000</v>
      </c>
      <c r="F385" s="1194"/>
      <c r="G385" s="2813"/>
      <c r="H385" s="2814"/>
      <c r="I385" s="229"/>
      <c r="J385" s="229"/>
      <c r="K385" s="229"/>
      <c r="L385" s="1195"/>
      <c r="M385" s="1195"/>
      <c r="N385" s="1195"/>
    </row>
    <row r="386" spans="1:14" ht="16">
      <c r="A386" s="2228"/>
      <c r="B386" s="2228"/>
      <c r="C386" s="2228"/>
      <c r="D386" s="2228"/>
      <c r="E386" s="229">
        <f>SUM(E366:E385)</f>
        <v>38570.875199999995</v>
      </c>
      <c r="F386" s="1194"/>
      <c r="G386" s="1194"/>
      <c r="H386" s="1194"/>
      <c r="I386" s="1194"/>
      <c r="J386" s="1194"/>
      <c r="K386" s="229">
        <f>SUM(K366:K385)</f>
        <v>91980.000000000015</v>
      </c>
      <c r="L386" s="1195"/>
      <c r="M386" s="1195"/>
      <c r="N386" s="1195"/>
    </row>
    <row r="387" spans="1:14" ht="16">
      <c r="A387" s="229" t="s">
        <v>4603</v>
      </c>
      <c r="B387" s="229">
        <f>E386</f>
        <v>38570.875199999995</v>
      </c>
      <c r="C387" s="2228"/>
      <c r="D387" s="2228"/>
      <c r="E387" s="2228"/>
      <c r="F387" s="1194"/>
      <c r="G387" s="1194"/>
      <c r="H387" s="1194"/>
      <c r="I387" s="1194"/>
      <c r="J387" s="1194"/>
      <c r="K387" s="2228"/>
      <c r="L387" s="1195"/>
      <c r="M387" s="1195"/>
      <c r="N387" s="1195"/>
    </row>
    <row r="388" spans="1:14" ht="16">
      <c r="A388" s="229" t="s">
        <v>4604</v>
      </c>
      <c r="B388" s="229">
        <f>K386</f>
        <v>91980.000000000015</v>
      </c>
      <c r="C388" s="2228"/>
      <c r="D388" s="2228"/>
      <c r="E388" s="2228"/>
      <c r="F388" s="1194"/>
      <c r="G388" s="1194"/>
      <c r="H388" s="1194"/>
      <c r="I388" s="1194"/>
      <c r="J388" s="1194"/>
      <c r="K388" s="2228"/>
      <c r="L388" s="1195"/>
      <c r="M388" s="1195"/>
      <c r="N388" s="1195"/>
    </row>
    <row r="389" spans="1:14" ht="16">
      <c r="A389" s="229" t="s">
        <v>4605</v>
      </c>
      <c r="B389" s="229">
        <f>(B387+B388)*B390</f>
        <v>0</v>
      </c>
      <c r="C389" s="2228"/>
      <c r="D389" s="2228"/>
      <c r="E389" s="2228"/>
      <c r="F389" s="1194"/>
      <c r="G389" s="1194"/>
      <c r="H389" s="1194"/>
      <c r="I389" s="1194"/>
      <c r="J389" s="1194"/>
      <c r="K389" s="2228"/>
      <c r="L389" s="1195"/>
      <c r="M389" s="1195"/>
      <c r="N389" s="1195"/>
    </row>
    <row r="390" spans="1:14" ht="16">
      <c r="A390" s="2270" t="s">
        <v>2503</v>
      </c>
      <c r="B390" s="2250"/>
      <c r="C390" s="3196" t="s">
        <v>3663</v>
      </c>
      <c r="D390" s="3196"/>
      <c r="E390" s="3196"/>
      <c r="F390" s="3196"/>
      <c r="G390" s="1194"/>
      <c r="H390" s="1194"/>
      <c r="I390" s="1194"/>
      <c r="J390" s="1194"/>
      <c r="K390" s="2228"/>
      <c r="L390" s="1195"/>
      <c r="M390" s="1195"/>
      <c r="N390" s="1195"/>
    </row>
    <row r="391" spans="1:14" ht="16">
      <c r="A391" s="1194"/>
      <c r="B391" s="1194"/>
      <c r="C391" s="1194"/>
      <c r="D391" s="1194"/>
      <c r="E391" s="1194"/>
      <c r="F391" s="1194"/>
      <c r="G391" s="1194"/>
      <c r="H391" s="1194"/>
      <c r="I391" s="1194"/>
      <c r="J391" s="1194"/>
      <c r="K391" s="1194"/>
      <c r="L391" s="1195"/>
      <c r="M391" s="1195"/>
      <c r="N391" s="1195"/>
    </row>
    <row r="392" spans="1:14" ht="16">
      <c r="A392" s="3200" t="s">
        <v>1161</v>
      </c>
      <c r="B392" s="3200"/>
      <c r="C392" s="3200"/>
      <c r="D392" s="3200"/>
      <c r="E392" s="3200"/>
      <c r="F392" s="3200"/>
      <c r="G392" s="3200"/>
      <c r="H392" s="3200"/>
      <c r="I392" s="3200"/>
      <c r="J392" s="3200"/>
      <c r="K392" s="3200"/>
      <c r="L392" s="1195"/>
      <c r="M392" s="1195"/>
      <c r="N392" s="1195"/>
    </row>
    <row r="393" spans="1:14" ht="16">
      <c r="A393" s="3200"/>
      <c r="B393" s="3200"/>
      <c r="C393" s="3200"/>
      <c r="D393" s="3200"/>
      <c r="E393" s="3200"/>
      <c r="F393" s="3200"/>
      <c r="G393" s="3200"/>
      <c r="H393" s="3200"/>
      <c r="I393" s="3200"/>
      <c r="J393" s="3200"/>
      <c r="K393" s="3200"/>
      <c r="L393" s="1195"/>
      <c r="M393" s="1195"/>
      <c r="N393" s="1195"/>
    </row>
    <row r="394" spans="1:14" ht="24">
      <c r="A394" s="3198" t="s">
        <v>1806</v>
      </c>
      <c r="B394" s="3198"/>
      <c r="C394" s="3198"/>
      <c r="D394" s="3198"/>
      <c r="E394" s="3198"/>
      <c r="F394" s="3198"/>
      <c r="G394" s="2252">
        <f>'Ввод данных'!D1298</f>
        <v>1</v>
      </c>
      <c r="H394" s="888">
        <f>'Ввод данных'!D1299</f>
        <v>1</v>
      </c>
      <c r="I394" s="888"/>
      <c r="J394" s="888"/>
      <c r="K394" s="888"/>
      <c r="L394" s="1194"/>
      <c r="M394" s="1194"/>
      <c r="N394" s="1194"/>
    </row>
    <row r="395" spans="1:14" ht="24">
      <c r="A395" s="3198"/>
      <c r="B395" s="3198"/>
      <c r="C395" s="3198"/>
      <c r="D395" s="3198"/>
      <c r="E395" s="3198"/>
      <c r="F395" s="3198"/>
      <c r="G395" s="2253"/>
      <c r="H395" s="888"/>
      <c r="I395" s="888"/>
      <c r="J395" s="888"/>
      <c r="K395" s="888"/>
      <c r="L395" s="1194"/>
      <c r="M395" s="1194"/>
      <c r="N395" s="1194"/>
    </row>
    <row r="396" spans="1:14" ht="24">
      <c r="A396" s="260" t="s">
        <v>4606</v>
      </c>
      <c r="B396" s="2815">
        <f>IF('Ввод данных'!A1302=связи1!A69,1,0)</f>
        <v>0</v>
      </c>
      <c r="C396" s="888"/>
      <c r="D396" s="888"/>
      <c r="E396" s="888"/>
      <c r="F396" s="888"/>
      <c r="G396" s="888"/>
      <c r="H396" s="888"/>
      <c r="I396" s="888"/>
      <c r="J396" s="888"/>
      <c r="K396" s="888"/>
      <c r="L396" s="1195"/>
      <c r="M396" s="1195"/>
      <c r="N396" s="1195"/>
    </row>
    <row r="397" spans="1:14" ht="24">
      <c r="A397" s="260" t="s">
        <v>4607</v>
      </c>
      <c r="B397" s="2815">
        <f>IF('Ввод данных'!A1302=связи1!A70,1,0)</f>
        <v>1</v>
      </c>
      <c r="C397" s="888"/>
      <c r="D397" s="888"/>
      <c r="E397" s="888"/>
      <c r="F397" s="888"/>
      <c r="G397" s="888"/>
      <c r="H397" s="888"/>
      <c r="I397" s="888"/>
      <c r="J397" s="888"/>
      <c r="K397" s="888"/>
      <c r="L397" s="1195"/>
      <c r="M397" s="1195"/>
      <c r="N397" s="1195"/>
    </row>
    <row r="398" spans="1:14" ht="16">
      <c r="A398" s="229" t="s">
        <v>1236</v>
      </c>
      <c r="B398" s="229" t="s">
        <v>1094</v>
      </c>
      <c r="C398" s="229" t="s">
        <v>1802</v>
      </c>
      <c r="D398" s="229" t="s">
        <v>2721</v>
      </c>
      <c r="E398" s="229" t="s">
        <v>3696</v>
      </c>
      <c r="F398" s="1194"/>
      <c r="G398" s="3130" t="s">
        <v>1409</v>
      </c>
      <c r="H398" s="3130"/>
      <c r="I398" s="229" t="s">
        <v>1802</v>
      </c>
      <c r="J398" s="229" t="s">
        <v>1601</v>
      </c>
      <c r="K398" s="229" t="s">
        <v>3696</v>
      </c>
      <c r="L398" s="1195"/>
      <c r="M398" s="1195"/>
      <c r="N398" s="1195"/>
    </row>
    <row r="399" spans="1:14" ht="16">
      <c r="A399" s="98" t="s">
        <v>1162</v>
      </c>
      <c r="B399" s="98" t="s">
        <v>156</v>
      </c>
      <c r="C399" s="100">
        <f>((((C337+D337+C337+D337)*B337+(6*E337))*B396)*1.3+((C337+D337+C337+D337)*B337+(6*E337))*B397*2*G394)*1.3</f>
        <v>150.80000000000001</v>
      </c>
      <c r="D399" s="99">
        <f>'Прайс лист'!G1261</f>
        <v>40</v>
      </c>
      <c r="E399" s="100">
        <f t="shared" ref="E399:E412" si="6">C399*D399</f>
        <v>6032</v>
      </c>
      <c r="F399" s="2286"/>
      <c r="G399" s="3130" t="s">
        <v>1612</v>
      </c>
      <c r="H399" s="3130"/>
      <c r="I399" s="99">
        <f>C399*H394+C406*H394</f>
        <v>180.8</v>
      </c>
      <c r="J399" s="99">
        <f>'Прайс лист'!G1849</f>
        <v>200</v>
      </c>
      <c r="K399" s="100">
        <f t="shared" ref="K399:K411" si="7">I399*J399</f>
        <v>36160</v>
      </c>
      <c r="L399" s="1195"/>
      <c r="M399" s="1195"/>
      <c r="N399" s="1195"/>
    </row>
    <row r="400" spans="1:14" ht="16">
      <c r="A400" s="98" t="s">
        <v>1163</v>
      </c>
      <c r="B400" s="98" t="s">
        <v>159</v>
      </c>
      <c r="C400" s="100">
        <f>C399/3*G394</f>
        <v>50.266666666666673</v>
      </c>
      <c r="D400" s="99">
        <f>'Прайс лист'!G1262</f>
        <v>10</v>
      </c>
      <c r="E400" s="100">
        <f t="shared" si="6"/>
        <v>502.66666666666674</v>
      </c>
      <c r="F400" s="2286"/>
      <c r="G400" s="3130" t="s">
        <v>1613</v>
      </c>
      <c r="H400" s="3130"/>
      <c r="I400" s="99">
        <f>'Ввод данных'!C1303</f>
        <v>5</v>
      </c>
      <c r="J400" s="99">
        <f>'Прайс лист'!G1850</f>
        <v>1000</v>
      </c>
      <c r="K400" s="100">
        <f t="shared" si="7"/>
        <v>5000</v>
      </c>
      <c r="L400" s="1195"/>
      <c r="M400" s="1195"/>
      <c r="N400" s="1195"/>
    </row>
    <row r="401" spans="1:14" ht="16">
      <c r="A401" s="98" t="s">
        <v>1164</v>
      </c>
      <c r="B401" s="98" t="s">
        <v>159</v>
      </c>
      <c r="C401" s="100">
        <f>C399/2.5*G394</f>
        <v>60.320000000000007</v>
      </c>
      <c r="D401" s="99">
        <f>'Прайс лист'!G1263</f>
        <v>10</v>
      </c>
      <c r="E401" s="100">
        <f t="shared" si="6"/>
        <v>603.20000000000005</v>
      </c>
      <c r="F401" s="2286"/>
      <c r="G401" s="3130" t="s">
        <v>1612</v>
      </c>
      <c r="H401" s="3130"/>
      <c r="I401" s="99">
        <f>C406*H394</f>
        <v>30</v>
      </c>
      <c r="J401" s="99">
        <f>'Прайс лист'!G1851</f>
        <v>200</v>
      </c>
      <c r="K401" s="100">
        <f t="shared" si="7"/>
        <v>6000</v>
      </c>
      <c r="L401" s="1195"/>
      <c r="M401" s="1195"/>
      <c r="N401" s="1195"/>
    </row>
    <row r="402" spans="1:14" ht="16">
      <c r="A402" s="98" t="s">
        <v>1165</v>
      </c>
      <c r="B402" s="98" t="s">
        <v>159</v>
      </c>
      <c r="C402" s="100">
        <f>(C337*D337*B337)/2</f>
        <v>50</v>
      </c>
      <c r="D402" s="99">
        <f>'Прайс лист'!G1264</f>
        <v>300</v>
      </c>
      <c r="E402" s="100">
        <f t="shared" si="6"/>
        <v>15000</v>
      </c>
      <c r="F402" s="2286"/>
      <c r="G402" s="3130"/>
      <c r="H402" s="3130"/>
      <c r="I402" s="99"/>
      <c r="J402" s="99"/>
      <c r="K402" s="100">
        <f t="shared" si="7"/>
        <v>0</v>
      </c>
      <c r="L402" s="1195"/>
      <c r="M402" s="1195"/>
      <c r="N402" s="1195"/>
    </row>
    <row r="403" spans="1:14" ht="16">
      <c r="A403" s="98" t="s">
        <v>1166</v>
      </c>
      <c r="B403" s="98" t="s">
        <v>159</v>
      </c>
      <c r="C403" s="100">
        <f>C402</f>
        <v>50</v>
      </c>
      <c r="D403" s="99">
        <f>'Прайс лист'!G1265</f>
        <v>250</v>
      </c>
      <c r="E403" s="100">
        <f t="shared" si="6"/>
        <v>12500</v>
      </c>
      <c r="F403" s="1194"/>
      <c r="G403" s="3130"/>
      <c r="H403" s="3130"/>
      <c r="I403" s="229"/>
      <c r="J403" s="99"/>
      <c r="K403" s="100">
        <f t="shared" si="7"/>
        <v>0</v>
      </c>
      <c r="L403" s="1195"/>
      <c r="M403" s="1195"/>
      <c r="N403" s="1195"/>
    </row>
    <row r="404" spans="1:14" ht="16">
      <c r="A404" s="98" t="s">
        <v>1167</v>
      </c>
      <c r="B404" s="98" t="s">
        <v>159</v>
      </c>
      <c r="C404" s="100">
        <f>C402*2*G394</f>
        <v>100</v>
      </c>
      <c r="D404" s="99">
        <f>'Прайс лист'!G1266</f>
        <v>300</v>
      </c>
      <c r="E404" s="100">
        <f t="shared" si="6"/>
        <v>30000</v>
      </c>
      <c r="F404" s="1194"/>
      <c r="G404" s="3130"/>
      <c r="H404" s="3130"/>
      <c r="I404" s="229"/>
      <c r="J404" s="99"/>
      <c r="K404" s="100">
        <f t="shared" si="7"/>
        <v>0</v>
      </c>
      <c r="L404" s="1195"/>
      <c r="M404" s="1195"/>
      <c r="N404" s="1195"/>
    </row>
    <row r="405" spans="1:14" ht="16">
      <c r="A405" s="98" t="s">
        <v>1168</v>
      </c>
      <c r="B405" s="98" t="s">
        <v>159</v>
      </c>
      <c r="C405" s="100">
        <f>C404</f>
        <v>100</v>
      </c>
      <c r="D405" s="99">
        <f>'Прайс лист'!G1267</f>
        <v>200</v>
      </c>
      <c r="E405" s="100">
        <f t="shared" si="6"/>
        <v>20000</v>
      </c>
      <c r="F405" s="1194"/>
      <c r="G405" s="3130"/>
      <c r="H405" s="3130"/>
      <c r="I405" s="229"/>
      <c r="J405" s="99"/>
      <c r="K405" s="100">
        <f t="shared" si="7"/>
        <v>0</v>
      </c>
      <c r="L405" s="1195"/>
      <c r="M405" s="1195"/>
      <c r="N405" s="1195"/>
    </row>
    <row r="406" spans="1:14" ht="16">
      <c r="A406" s="98" t="s">
        <v>1169</v>
      </c>
      <c r="B406" s="98" t="s">
        <v>156</v>
      </c>
      <c r="C406" s="100">
        <f>30*G394</f>
        <v>30</v>
      </c>
      <c r="D406" s="99">
        <f>'Прайс лист'!G1268</f>
        <v>36</v>
      </c>
      <c r="E406" s="100">
        <f t="shared" si="6"/>
        <v>1080</v>
      </c>
      <c r="F406" s="1194"/>
      <c r="G406" s="3130"/>
      <c r="H406" s="3130"/>
      <c r="I406" s="229"/>
      <c r="J406" s="99"/>
      <c r="K406" s="100">
        <f t="shared" si="7"/>
        <v>0</v>
      </c>
      <c r="L406" s="1195"/>
      <c r="M406" s="1195"/>
      <c r="N406" s="1195"/>
    </row>
    <row r="407" spans="1:14" ht="16">
      <c r="A407" s="98" t="s">
        <v>1170</v>
      </c>
      <c r="B407" s="98" t="s">
        <v>159</v>
      </c>
      <c r="C407" s="100">
        <v>1</v>
      </c>
      <c r="D407" s="99">
        <f>'Прайс лист'!G1269</f>
        <v>100</v>
      </c>
      <c r="E407" s="100">
        <f t="shared" si="6"/>
        <v>100</v>
      </c>
      <c r="F407" s="1194"/>
      <c r="G407" s="3130"/>
      <c r="H407" s="3130"/>
      <c r="I407" s="229"/>
      <c r="J407" s="99"/>
      <c r="K407" s="100">
        <f t="shared" si="7"/>
        <v>0</v>
      </c>
      <c r="L407" s="1195"/>
      <c r="M407" s="1195"/>
      <c r="N407" s="1195"/>
    </row>
    <row r="408" spans="1:14" ht="16">
      <c r="A408" s="98" t="s">
        <v>1163</v>
      </c>
      <c r="B408" s="98" t="s">
        <v>159</v>
      </c>
      <c r="C408" s="100">
        <f>C406/3*G394</f>
        <v>10</v>
      </c>
      <c r="D408" s="99">
        <f>'Прайс лист'!G1270</f>
        <v>10</v>
      </c>
      <c r="E408" s="100">
        <f t="shared" si="6"/>
        <v>100</v>
      </c>
      <c r="F408" s="1194"/>
      <c r="G408" s="3130"/>
      <c r="H408" s="3130"/>
      <c r="I408" s="229"/>
      <c r="J408" s="99"/>
      <c r="K408" s="100">
        <f t="shared" si="7"/>
        <v>0</v>
      </c>
      <c r="L408" s="1195"/>
      <c r="M408" s="1195"/>
      <c r="N408" s="1195"/>
    </row>
    <row r="409" spans="1:14" ht="16">
      <c r="A409" s="98" t="s">
        <v>1164</v>
      </c>
      <c r="B409" s="98" t="s">
        <v>159</v>
      </c>
      <c r="C409" s="100">
        <f>C406/2*G394</f>
        <v>15</v>
      </c>
      <c r="D409" s="99">
        <f>'Прайс лист'!G1271</f>
        <v>10</v>
      </c>
      <c r="E409" s="100">
        <f t="shared" si="6"/>
        <v>150</v>
      </c>
      <c r="F409" s="1194"/>
      <c r="G409" s="3130"/>
      <c r="H409" s="3130"/>
      <c r="I409" s="229"/>
      <c r="J409" s="99"/>
      <c r="K409" s="100">
        <f t="shared" si="7"/>
        <v>0</v>
      </c>
      <c r="L409" s="1195"/>
      <c r="M409" s="1195"/>
      <c r="N409" s="1195"/>
    </row>
    <row r="410" spans="1:14" ht="16">
      <c r="A410" s="98" t="str">
        <f>'Ввод данных'!A1306</f>
        <v>Нет техники</v>
      </c>
      <c r="B410" s="98" t="str">
        <f>'Ввод данных'!B1306</f>
        <v>час</v>
      </c>
      <c r="C410" s="98">
        <f>'Ввод данных'!C1306</f>
        <v>0</v>
      </c>
      <c r="D410" s="99">
        <f>VLOOKUP(A410,'Прайс лист'!B180:G194,6,0)</f>
        <v>0</v>
      </c>
      <c r="E410" s="100">
        <f t="shared" si="6"/>
        <v>0</v>
      </c>
      <c r="F410" s="1194"/>
      <c r="G410" s="3130"/>
      <c r="H410" s="3130"/>
      <c r="I410" s="229"/>
      <c r="J410" s="99"/>
      <c r="K410" s="100">
        <f t="shared" si="7"/>
        <v>0</v>
      </c>
      <c r="L410" s="1195"/>
      <c r="M410" s="1195"/>
      <c r="N410" s="1195"/>
    </row>
    <row r="411" spans="1:14" ht="16">
      <c r="A411" s="98" t="str">
        <f>'Ввод данных'!A1307</f>
        <v>Нет техники</v>
      </c>
      <c r="B411" s="98" t="str">
        <f>'Ввод данных'!B1307</f>
        <v>час</v>
      </c>
      <c r="C411" s="98">
        <f>'Ввод данных'!C1307</f>
        <v>0</v>
      </c>
      <c r="D411" s="99">
        <f>VLOOKUP(A411,'Прайс лист'!B180:G194,6,0)</f>
        <v>0</v>
      </c>
      <c r="E411" s="100">
        <f t="shared" si="6"/>
        <v>0</v>
      </c>
      <c r="F411" s="1194"/>
      <c r="G411" s="3199"/>
      <c r="H411" s="3199"/>
      <c r="I411" s="229"/>
      <c r="J411" s="99"/>
      <c r="K411" s="100">
        <f t="shared" si="7"/>
        <v>0</v>
      </c>
      <c r="L411" s="1195"/>
      <c r="M411" s="1195"/>
      <c r="N411" s="1195"/>
    </row>
    <row r="412" spans="1:14" ht="16">
      <c r="A412" s="98" t="str">
        <f>'Ввод данных'!A1308</f>
        <v>расходные материалы для отопления</v>
      </c>
      <c r="B412" s="98" t="str">
        <f>'Ввод данных'!B1308</f>
        <v>рублей</v>
      </c>
      <c r="C412" s="98">
        <f>1</f>
        <v>1</v>
      </c>
      <c r="D412" s="2286">
        <f>'Ввод данных'!C1308</f>
        <v>5000</v>
      </c>
      <c r="E412" s="100">
        <f t="shared" si="6"/>
        <v>5000</v>
      </c>
      <c r="F412" s="1194"/>
      <c r="G412" s="2286"/>
      <c r="H412" s="2286"/>
      <c r="I412" s="2228"/>
      <c r="J412" s="2286"/>
      <c r="K412" s="2342"/>
      <c r="L412" s="1195"/>
      <c r="M412" s="1195"/>
      <c r="N412" s="1195"/>
    </row>
    <row r="413" spans="1:14" ht="16">
      <c r="A413" s="2753"/>
      <c r="B413" s="2753"/>
      <c r="C413" s="2816"/>
      <c r="D413" s="2228"/>
      <c r="E413" s="229">
        <f>SUM(E399:E409)</f>
        <v>86067.866666666669</v>
      </c>
      <c r="F413" s="1194"/>
      <c r="G413" s="2228"/>
      <c r="H413" s="2228"/>
      <c r="I413" s="2228"/>
      <c r="J413" s="2228"/>
      <c r="K413" s="1165">
        <f>SUM(K399:K409)</f>
        <v>47160</v>
      </c>
      <c r="L413" s="1195"/>
      <c r="M413" s="1195"/>
      <c r="N413" s="1195"/>
    </row>
    <row r="414" spans="1:14" ht="16">
      <c r="A414" s="229" t="s">
        <v>3940</v>
      </c>
      <c r="B414" s="229">
        <f>E413</f>
        <v>86067.866666666669</v>
      </c>
      <c r="C414" s="2228"/>
      <c r="D414" s="2228"/>
      <c r="E414" s="2228"/>
      <c r="F414" s="1194"/>
      <c r="G414" s="1194"/>
      <c r="H414" s="1194"/>
      <c r="I414" s="1194"/>
      <c r="J414" s="1194"/>
      <c r="K414" s="2228"/>
      <c r="L414" s="1195"/>
      <c r="M414" s="1195"/>
      <c r="N414" s="1195"/>
    </row>
    <row r="415" spans="1:14" ht="16">
      <c r="A415" s="229" t="s">
        <v>3941</v>
      </c>
      <c r="B415" s="229">
        <f>K413</f>
        <v>47160</v>
      </c>
      <c r="C415" s="2228"/>
      <c r="D415" s="2228"/>
      <c r="E415" s="2228"/>
      <c r="F415" s="1194"/>
      <c r="G415" s="1194"/>
      <c r="H415" s="1194"/>
      <c r="I415" s="1194"/>
      <c r="J415" s="1194"/>
      <c r="K415" s="2228"/>
      <c r="L415" s="1195"/>
      <c r="M415" s="1195"/>
      <c r="N415" s="1195"/>
    </row>
    <row r="416" spans="1:14" ht="16">
      <c r="A416" s="229" t="s">
        <v>2728</v>
      </c>
      <c r="B416" s="229">
        <f>(B414+B415)*B417</f>
        <v>0</v>
      </c>
      <c r="C416" s="2228"/>
      <c r="D416" s="2228"/>
      <c r="E416" s="2228"/>
      <c r="F416" s="1194"/>
      <c r="G416" s="1194"/>
      <c r="H416" s="1194"/>
      <c r="I416" s="1194"/>
      <c r="J416" s="1194"/>
      <c r="K416" s="2228"/>
      <c r="L416" s="1195"/>
      <c r="M416" s="1195"/>
      <c r="N416" s="1195"/>
    </row>
    <row r="417" spans="1:14" ht="16">
      <c r="A417" s="2270" t="s">
        <v>2509</v>
      </c>
      <c r="B417" s="2250"/>
      <c r="C417" s="3196" t="s">
        <v>3663</v>
      </c>
      <c r="D417" s="3196"/>
      <c r="E417" s="3196"/>
      <c r="F417" s="3196"/>
      <c r="G417" s="1194"/>
      <c r="H417" s="1194"/>
      <c r="I417" s="1194"/>
      <c r="J417" s="1194"/>
      <c r="K417" s="2228"/>
      <c r="L417" s="1195"/>
      <c r="M417" s="1195"/>
      <c r="N417" s="1195"/>
    </row>
    <row r="418" spans="1:14" ht="16">
      <c r="A418" s="1194"/>
      <c r="B418" s="1194"/>
      <c r="C418" s="1194"/>
      <c r="D418" s="1194"/>
      <c r="E418" s="1194"/>
      <c r="F418" s="1194"/>
      <c r="G418" s="1194"/>
      <c r="H418" s="1194"/>
      <c r="I418" s="1194"/>
      <c r="J418" s="1194"/>
      <c r="K418" s="1194"/>
      <c r="L418" s="1195"/>
      <c r="M418" s="1195"/>
      <c r="N418" s="1195"/>
    </row>
    <row r="419" spans="1:14" ht="16">
      <c r="A419" s="3200" t="s">
        <v>1171</v>
      </c>
      <c r="B419" s="3200"/>
      <c r="C419" s="3200"/>
      <c r="D419" s="3200"/>
      <c r="E419" s="3200"/>
      <c r="F419" s="3200"/>
      <c r="G419" s="3200"/>
      <c r="H419" s="3200"/>
      <c r="I419" s="3200"/>
      <c r="J419" s="3200"/>
      <c r="K419" s="3200"/>
      <c r="L419" s="1195"/>
      <c r="M419" s="1195"/>
      <c r="N419" s="1195"/>
    </row>
    <row r="420" spans="1:14" ht="16">
      <c r="A420" s="3200"/>
      <c r="B420" s="3200"/>
      <c r="C420" s="3200"/>
      <c r="D420" s="3200"/>
      <c r="E420" s="3200"/>
      <c r="F420" s="3200"/>
      <c r="G420" s="3200"/>
      <c r="H420" s="3200"/>
      <c r="I420" s="3200"/>
      <c r="J420" s="3200"/>
      <c r="K420" s="3200"/>
      <c r="L420" s="1195"/>
      <c r="M420" s="1195"/>
      <c r="N420" s="1195"/>
    </row>
    <row r="421" spans="1:14" ht="16">
      <c r="A421" s="275" t="s">
        <v>1172</v>
      </c>
      <c r="B421" s="275" t="s">
        <v>154</v>
      </c>
      <c r="C421" s="2221">
        <f>'Ввод данных'!C1316</f>
        <v>5</v>
      </c>
      <c r="D421" s="2221">
        <v>1</v>
      </c>
      <c r="E421" s="1194"/>
      <c r="F421" s="1194"/>
      <c r="G421" s="1194"/>
      <c r="H421" s="1194"/>
      <c r="I421" s="1194"/>
      <c r="J421" s="1194"/>
      <c r="K421" s="1194"/>
      <c r="L421" s="1195"/>
      <c r="M421" s="1195"/>
      <c r="N421" s="1195"/>
    </row>
    <row r="422" spans="1:14" ht="16">
      <c r="A422" s="229" t="s">
        <v>2510</v>
      </c>
      <c r="B422" s="229" t="s">
        <v>159</v>
      </c>
      <c r="C422" s="2221">
        <f>VLOOKUP('Ввод данных'!C1317,связи1!A2:B3,2,0)</f>
        <v>1</v>
      </c>
      <c r="D422" s="1194"/>
      <c r="E422" s="1194"/>
      <c r="F422" s="1194"/>
      <c r="G422" s="1194"/>
      <c r="H422" s="1194"/>
      <c r="I422" s="1194"/>
      <c r="J422" s="1194"/>
      <c r="K422" s="1194"/>
      <c r="L422" s="1195"/>
      <c r="M422" s="1195"/>
      <c r="N422" s="1195"/>
    </row>
    <row r="423" spans="1:14" ht="16">
      <c r="A423" s="229" t="s">
        <v>2511</v>
      </c>
      <c r="B423" s="229" t="s">
        <v>159</v>
      </c>
      <c r="C423" s="2221">
        <f>VLOOKUP('Ввод данных'!C1318,связи1!A2:B3,2,0)</f>
        <v>1</v>
      </c>
      <c r="D423" s="1194"/>
      <c r="E423" s="1194"/>
      <c r="F423" s="1194"/>
      <c r="G423" s="1194"/>
      <c r="H423" s="1194"/>
      <c r="I423" s="1194"/>
      <c r="J423" s="1194"/>
      <c r="K423" s="1194"/>
      <c r="L423" s="1195"/>
      <c r="M423" s="1195"/>
      <c r="N423" s="1195"/>
    </row>
    <row r="424" spans="1:14" ht="16">
      <c r="A424" s="229" t="s">
        <v>2512</v>
      </c>
      <c r="B424" s="229" t="s">
        <v>156</v>
      </c>
      <c r="C424" s="2221">
        <f>'Ввод данных'!C1319</f>
        <v>60</v>
      </c>
      <c r="D424" s="1194"/>
      <c r="E424" s="1194"/>
      <c r="F424" s="1194"/>
      <c r="G424" s="1194"/>
      <c r="H424" s="1194"/>
      <c r="I424" s="1194"/>
      <c r="J424" s="1194"/>
      <c r="K424" s="1194"/>
      <c r="L424" s="1195"/>
      <c r="M424" s="1195"/>
      <c r="N424" s="1195"/>
    </row>
    <row r="425" spans="1:14" ht="16">
      <c r="A425" s="229" t="s">
        <v>4598</v>
      </c>
      <c r="B425" s="229" t="s">
        <v>159</v>
      </c>
      <c r="C425" s="2221">
        <f>'Ввод данных'!C1303</f>
        <v>5</v>
      </c>
      <c r="D425" s="1194"/>
      <c r="E425" s="1194"/>
      <c r="F425" s="1194"/>
      <c r="G425" s="1194"/>
      <c r="H425" s="1194"/>
      <c r="I425" s="1194"/>
      <c r="J425" s="1194"/>
      <c r="K425" s="1194"/>
      <c r="L425" s="1195"/>
      <c r="M425" s="1195"/>
      <c r="N425" s="1195"/>
    </row>
    <row r="426" spans="1:14" ht="16">
      <c r="A426" s="2817" t="s">
        <v>4608</v>
      </c>
      <c r="B426" s="2817" t="s">
        <v>1094</v>
      </c>
      <c r="C426" s="2817" t="s">
        <v>1802</v>
      </c>
      <c r="D426" s="2817" t="s">
        <v>1601</v>
      </c>
      <c r="E426" s="2817" t="s">
        <v>2722</v>
      </c>
      <c r="F426" s="1194"/>
      <c r="G426" s="3272" t="s">
        <v>1614</v>
      </c>
      <c r="H426" s="3272"/>
      <c r="I426" s="2817" t="s">
        <v>1802</v>
      </c>
      <c r="J426" s="2817" t="s">
        <v>1601</v>
      </c>
      <c r="K426" s="2817" t="s">
        <v>2722</v>
      </c>
      <c r="L426" s="1195"/>
      <c r="M426" s="1195"/>
      <c r="N426" s="1195"/>
    </row>
    <row r="427" spans="1:14" ht="16">
      <c r="A427" s="229" t="s">
        <v>1174</v>
      </c>
      <c r="B427" s="229" t="s">
        <v>159</v>
      </c>
      <c r="C427" s="229">
        <v>1</v>
      </c>
      <c r="D427" s="229">
        <f>'Прайс лист'!G1278</f>
        <v>2500</v>
      </c>
      <c r="E427" s="229">
        <f t="shared" ref="E427:E438" si="8">C427*D427</f>
        <v>2500</v>
      </c>
      <c r="F427" s="1194"/>
      <c r="G427" s="2655" t="s">
        <v>1615</v>
      </c>
      <c r="H427" s="2818"/>
      <c r="I427" s="229">
        <f>D421</f>
        <v>1</v>
      </c>
      <c r="J427" s="229">
        <f>'Прайс лист'!G1854</f>
        <v>1500</v>
      </c>
      <c r="K427" s="229">
        <f t="shared" ref="K427:K433" si="9">I427*J427</f>
        <v>1500</v>
      </c>
      <c r="L427" s="1195"/>
      <c r="M427" s="1195"/>
      <c r="N427" s="1195"/>
    </row>
    <row r="428" spans="1:14" ht="16">
      <c r="A428" s="229" t="s">
        <v>1175</v>
      </c>
      <c r="B428" s="229" t="s">
        <v>156</v>
      </c>
      <c r="C428" s="229">
        <f>C424*1.2</f>
        <v>72</v>
      </c>
      <c r="D428" s="229">
        <f>'Прайс лист'!G1279</f>
        <v>19</v>
      </c>
      <c r="E428" s="229">
        <f t="shared" si="8"/>
        <v>1368</v>
      </c>
      <c r="F428" s="1194"/>
      <c r="G428" s="3130" t="s">
        <v>1616</v>
      </c>
      <c r="H428" s="3130"/>
      <c r="I428" s="229">
        <f>C422</f>
        <v>1</v>
      </c>
      <c r="J428" s="229">
        <f>'Прайс лист'!G1855</f>
        <v>1500</v>
      </c>
      <c r="K428" s="229">
        <f t="shared" si="9"/>
        <v>1500</v>
      </c>
      <c r="L428" s="1195"/>
      <c r="M428" s="1195"/>
      <c r="N428" s="1195"/>
    </row>
    <row r="429" spans="1:14" ht="16">
      <c r="A429" s="229" t="s">
        <v>1176</v>
      </c>
      <c r="B429" s="229" t="s">
        <v>156</v>
      </c>
      <c r="C429" s="229">
        <f>C428</f>
        <v>72</v>
      </c>
      <c r="D429" s="229">
        <f>'Прайс лист'!G1280</f>
        <v>5</v>
      </c>
      <c r="E429" s="229">
        <f t="shared" si="8"/>
        <v>360</v>
      </c>
      <c r="F429" s="1194"/>
      <c r="G429" s="3130" t="s">
        <v>4609</v>
      </c>
      <c r="H429" s="3130"/>
      <c r="I429" s="229">
        <f>C423</f>
        <v>1</v>
      </c>
      <c r="J429" s="229">
        <f>'Прайс лист'!G1856</f>
        <v>3000</v>
      </c>
      <c r="K429" s="229">
        <f t="shared" si="9"/>
        <v>3000</v>
      </c>
      <c r="L429" s="1195"/>
      <c r="M429" s="1195"/>
      <c r="N429" s="1195"/>
    </row>
    <row r="430" spans="1:14" ht="16">
      <c r="A430" s="229" t="s">
        <v>1177</v>
      </c>
      <c r="B430" s="229" t="s">
        <v>1178</v>
      </c>
      <c r="C430" s="229">
        <v>1</v>
      </c>
      <c r="D430" s="229">
        <f>'Прайс лист'!G1281</f>
        <v>100</v>
      </c>
      <c r="E430" s="229">
        <f t="shared" si="8"/>
        <v>100</v>
      </c>
      <c r="F430" s="1194"/>
      <c r="G430" s="3130" t="s">
        <v>4610</v>
      </c>
      <c r="H430" s="3130"/>
      <c r="I430" s="229">
        <f>C431</f>
        <v>1</v>
      </c>
      <c r="J430" s="229">
        <f>'Прайс лист'!G1857</f>
        <v>2500</v>
      </c>
      <c r="K430" s="229">
        <f t="shared" si="9"/>
        <v>2500</v>
      </c>
      <c r="L430" s="1195"/>
      <c r="M430" s="1195"/>
      <c r="N430" s="1195"/>
    </row>
    <row r="431" spans="1:14" ht="16">
      <c r="A431" s="229" t="s">
        <v>1179</v>
      </c>
      <c r="B431" s="229" t="s">
        <v>159</v>
      </c>
      <c r="C431" s="229">
        <f>C423</f>
        <v>1</v>
      </c>
      <c r="D431" s="229">
        <f>'Прайс лист'!G1282</f>
        <v>8000</v>
      </c>
      <c r="E431" s="229">
        <f t="shared" si="8"/>
        <v>8000</v>
      </c>
      <c r="F431" s="1194"/>
      <c r="G431" s="3130" t="s">
        <v>1619</v>
      </c>
      <c r="H431" s="3130"/>
      <c r="I431" s="229">
        <f>C432</f>
        <v>1</v>
      </c>
      <c r="J431" s="229">
        <f>'Прайс лист'!G1858</f>
        <v>4000</v>
      </c>
      <c r="K431" s="229">
        <f t="shared" si="9"/>
        <v>4000</v>
      </c>
      <c r="L431" s="1195"/>
      <c r="M431" s="1195"/>
      <c r="N431" s="1195"/>
    </row>
    <row r="432" spans="1:14" ht="16">
      <c r="A432" s="229" t="s">
        <v>1180</v>
      </c>
      <c r="B432" s="229" t="s">
        <v>159</v>
      </c>
      <c r="C432" s="229">
        <f>C423</f>
        <v>1</v>
      </c>
      <c r="D432" s="229">
        <f>'Прайс лист'!G1283</f>
        <v>10000</v>
      </c>
      <c r="E432" s="229">
        <f t="shared" si="8"/>
        <v>10000</v>
      </c>
      <c r="F432" s="1194"/>
      <c r="G432" s="3130" t="s">
        <v>4611</v>
      </c>
      <c r="H432" s="3130"/>
      <c r="I432" s="229">
        <f>C434</f>
        <v>10</v>
      </c>
      <c r="J432" s="229">
        <f>'Прайс лист'!G1859</f>
        <v>500</v>
      </c>
      <c r="K432" s="229">
        <f t="shared" si="9"/>
        <v>5000</v>
      </c>
      <c r="L432" s="1195"/>
      <c r="M432" s="1195"/>
      <c r="N432" s="1195"/>
    </row>
    <row r="433" spans="1:14" ht="16">
      <c r="A433" s="229" t="s">
        <v>1181</v>
      </c>
      <c r="B433" s="229" t="s">
        <v>156</v>
      </c>
      <c r="C433" s="229">
        <f>C428</f>
        <v>72</v>
      </c>
      <c r="D433" s="229">
        <f>'Прайс лист'!G1284</f>
        <v>35</v>
      </c>
      <c r="E433" s="229">
        <f t="shared" si="8"/>
        <v>2520</v>
      </c>
      <c r="F433" s="1194"/>
      <c r="G433" s="3199"/>
      <c r="H433" s="3199"/>
      <c r="I433" s="229"/>
      <c r="J433" s="229">
        <f>'Прайс лист'!G1860</f>
        <v>7000</v>
      </c>
      <c r="K433" s="229">
        <f t="shared" si="9"/>
        <v>0</v>
      </c>
      <c r="L433" s="1195"/>
      <c r="M433" s="1195"/>
      <c r="N433" s="1195"/>
    </row>
    <row r="434" spans="1:14" ht="16">
      <c r="A434" s="229" t="s">
        <v>1182</v>
      </c>
      <c r="B434" s="229" t="s">
        <v>156</v>
      </c>
      <c r="C434" s="229">
        <v>10</v>
      </c>
      <c r="D434" s="229">
        <f>'Прайс лист'!G1285</f>
        <v>500</v>
      </c>
      <c r="E434" s="229">
        <f t="shared" si="8"/>
        <v>5000</v>
      </c>
      <c r="F434" s="1194"/>
      <c r="G434" s="3130"/>
      <c r="H434" s="3130"/>
      <c r="I434" s="229"/>
      <c r="J434" s="229"/>
      <c r="K434" s="229"/>
      <c r="L434" s="1195"/>
      <c r="M434" s="1195"/>
      <c r="N434" s="1195"/>
    </row>
    <row r="435" spans="1:14" ht="16">
      <c r="A435" s="229" t="s">
        <v>1183</v>
      </c>
      <c r="B435" s="229" t="s">
        <v>159</v>
      </c>
      <c r="C435" s="229">
        <f>C423</f>
        <v>1</v>
      </c>
      <c r="D435" s="229">
        <f>'Прайс лист'!G1286</f>
        <v>3000</v>
      </c>
      <c r="E435" s="229">
        <f t="shared" si="8"/>
        <v>3000</v>
      </c>
      <c r="F435" s="1194"/>
      <c r="G435" s="3130"/>
      <c r="H435" s="3130"/>
      <c r="I435" s="229"/>
      <c r="J435" s="229"/>
      <c r="K435" s="229"/>
      <c r="L435" s="1195"/>
      <c r="M435" s="1195"/>
      <c r="N435" s="1195"/>
    </row>
    <row r="436" spans="1:14" ht="16">
      <c r="A436" s="229" t="str">
        <f>'Ввод данных'!A1321</f>
        <v>Нет техники</v>
      </c>
      <c r="B436" s="229" t="str">
        <f>'Ввод данных'!B1321</f>
        <v>час</v>
      </c>
      <c r="C436" s="229">
        <f>'Ввод данных'!C1321</f>
        <v>4</v>
      </c>
      <c r="D436" s="229">
        <f>VLOOKUP(A436,'Прайс лист'!B180:G194,6,0)</f>
        <v>0</v>
      </c>
      <c r="E436" s="229">
        <f t="shared" si="8"/>
        <v>0</v>
      </c>
      <c r="F436" s="1194"/>
      <c r="G436" s="3130"/>
      <c r="H436" s="3130"/>
      <c r="I436" s="229"/>
      <c r="J436" s="229"/>
      <c r="K436" s="229"/>
      <c r="L436" s="1195"/>
      <c r="M436" s="1195"/>
      <c r="N436" s="1195"/>
    </row>
    <row r="437" spans="1:14" ht="16">
      <c r="A437" s="229" t="str">
        <f>'Ввод данных'!A1322</f>
        <v>Нет техники</v>
      </c>
      <c r="B437" s="229" t="str">
        <f>'Ввод данных'!B1322</f>
        <v>час</v>
      </c>
      <c r="C437" s="229">
        <f>'Ввод данных'!C1322</f>
        <v>0</v>
      </c>
      <c r="D437" s="229">
        <f>VLOOKUP(A437,'Прайс лист'!B180:G194,6,0)</f>
        <v>0</v>
      </c>
      <c r="E437" s="229">
        <f t="shared" si="8"/>
        <v>0</v>
      </c>
      <c r="F437" s="1194"/>
      <c r="G437" s="3130"/>
      <c r="H437" s="3130"/>
      <c r="I437" s="229"/>
      <c r="J437" s="229"/>
      <c r="K437" s="229"/>
      <c r="L437" s="1195"/>
      <c r="M437" s="1195"/>
      <c r="N437" s="1195"/>
    </row>
    <row r="438" spans="1:14" ht="16">
      <c r="A438" s="229" t="str">
        <f>'Ввод данных'!A1323</f>
        <v>расходные материалы скважина</v>
      </c>
      <c r="B438" s="229" t="str">
        <f>'Ввод данных'!B1323</f>
        <v>рублей</v>
      </c>
      <c r="C438" s="229">
        <f>1</f>
        <v>1</v>
      </c>
      <c r="D438" s="1058">
        <f>'Ввод данных'!C1323</f>
        <v>5000</v>
      </c>
      <c r="E438" s="229">
        <f t="shared" si="8"/>
        <v>5000</v>
      </c>
      <c r="F438" s="1194"/>
      <c r="G438" s="3130"/>
      <c r="H438" s="3130"/>
      <c r="I438" s="229"/>
      <c r="J438" s="229"/>
      <c r="K438" s="229"/>
      <c r="L438" s="1195"/>
      <c r="M438" s="1195"/>
      <c r="N438" s="1195"/>
    </row>
    <row r="439" spans="1:14" ht="16">
      <c r="F439" s="1194"/>
      <c r="G439" s="3199"/>
      <c r="H439" s="3199"/>
      <c r="I439" s="229"/>
      <c r="J439" s="229"/>
      <c r="K439" s="229"/>
      <c r="L439" s="1195"/>
      <c r="M439" s="1195"/>
      <c r="N439" s="1195"/>
    </row>
    <row r="440" spans="1:14" ht="16">
      <c r="A440" s="2228"/>
      <c r="B440" s="2228"/>
      <c r="C440" s="2228"/>
      <c r="D440" s="2228"/>
      <c r="E440" s="229"/>
      <c r="F440" s="1194"/>
      <c r="G440" s="2286"/>
      <c r="H440" s="2286"/>
      <c r="I440" s="2228"/>
      <c r="J440" s="2228"/>
      <c r="K440" s="229"/>
      <c r="L440" s="1195"/>
      <c r="M440" s="1195"/>
      <c r="N440" s="1195"/>
    </row>
    <row r="441" spans="1:14" ht="16">
      <c r="A441" s="2228"/>
      <c r="B441" s="2228"/>
      <c r="C441" s="2228"/>
      <c r="D441" s="2228"/>
      <c r="E441" s="229">
        <f>SUM(E427:E437)</f>
        <v>32848</v>
      </c>
      <c r="F441" s="1194"/>
      <c r="G441" s="2228"/>
      <c r="H441" s="2228"/>
      <c r="I441" s="2228"/>
      <c r="J441" s="2228"/>
      <c r="K441" s="229">
        <f>SUM(K427:K439)</f>
        <v>17500</v>
      </c>
      <c r="L441" s="1195"/>
      <c r="M441" s="1195"/>
      <c r="N441" s="1195"/>
    </row>
    <row r="442" spans="1:14" ht="16">
      <c r="A442" s="229" t="s">
        <v>3940</v>
      </c>
      <c r="B442" s="229">
        <f>E441</f>
        <v>32848</v>
      </c>
      <c r="C442" s="2228"/>
      <c r="D442" s="2228"/>
      <c r="E442" s="2228"/>
      <c r="F442" s="1194"/>
      <c r="G442" s="2228"/>
      <c r="H442" s="2228"/>
      <c r="I442" s="2228"/>
      <c r="J442" s="2228"/>
      <c r="K442" s="2228"/>
      <c r="L442" s="1195"/>
      <c r="M442" s="1195"/>
      <c r="N442" s="1195"/>
    </row>
    <row r="443" spans="1:14" ht="16">
      <c r="A443" s="229" t="s">
        <v>3941</v>
      </c>
      <c r="B443" s="229">
        <f>K441</f>
        <v>17500</v>
      </c>
      <c r="C443" s="2228"/>
      <c r="D443" s="2228"/>
      <c r="E443" s="2228"/>
      <c r="F443" s="1194"/>
      <c r="G443" s="2228"/>
      <c r="H443" s="2228"/>
      <c r="I443" s="2228"/>
      <c r="J443" s="2228"/>
      <c r="K443" s="2228"/>
      <c r="L443" s="1195"/>
      <c r="M443" s="1195"/>
      <c r="N443" s="1195"/>
    </row>
    <row r="444" spans="1:14" ht="16">
      <c r="A444" s="229" t="s">
        <v>2728</v>
      </c>
      <c r="B444" s="229">
        <f>(B442+B443)*B445</f>
        <v>0</v>
      </c>
      <c r="C444" s="2228"/>
      <c r="D444" s="2228"/>
      <c r="E444" s="2228"/>
      <c r="F444" s="1194"/>
      <c r="G444" s="2228"/>
      <c r="H444" s="2228"/>
      <c r="I444" s="2228"/>
      <c r="J444" s="2228"/>
      <c r="K444" s="2228"/>
      <c r="L444" s="1195"/>
      <c r="M444" s="1195"/>
      <c r="N444" s="1195"/>
    </row>
    <row r="445" spans="1:14" ht="16">
      <c r="A445" s="2270" t="s">
        <v>2514</v>
      </c>
      <c r="B445" s="2250"/>
      <c r="C445" s="3196" t="s">
        <v>3663</v>
      </c>
      <c r="D445" s="3196"/>
      <c r="E445" s="3196"/>
      <c r="F445" s="3196"/>
      <c r="G445" s="2228"/>
      <c r="H445" s="2228"/>
      <c r="I445" s="2228"/>
      <c r="J445" s="2228"/>
      <c r="K445" s="2228"/>
      <c r="L445" s="1195"/>
      <c r="M445" s="1195"/>
      <c r="N445" s="1195"/>
    </row>
    <row r="446" spans="1:14" ht="16">
      <c r="A446" s="1194"/>
      <c r="B446" s="1194"/>
      <c r="C446" s="1194"/>
      <c r="D446" s="1194"/>
      <c r="E446" s="1194"/>
      <c r="F446" s="1194"/>
      <c r="G446" s="1194"/>
      <c r="H446" s="1194"/>
      <c r="I446" s="1194"/>
      <c r="J446" s="1194"/>
      <c r="K446" s="1194"/>
      <c r="L446" s="1195"/>
      <c r="M446" s="1195"/>
      <c r="N446" s="1195"/>
    </row>
    <row r="447" spans="1:14" ht="16">
      <c r="A447" s="3200" t="s">
        <v>1092</v>
      </c>
      <c r="B447" s="3200"/>
      <c r="C447" s="3200"/>
      <c r="D447" s="3200"/>
      <c r="E447" s="3200"/>
      <c r="F447" s="3200"/>
      <c r="G447" s="3200"/>
      <c r="H447" s="3200"/>
      <c r="I447" s="3200"/>
      <c r="J447" s="3200"/>
      <c r="K447" s="3200"/>
      <c r="L447" s="1195"/>
      <c r="M447" s="1195"/>
      <c r="N447" s="1195"/>
    </row>
    <row r="448" spans="1:14" ht="16">
      <c r="A448" s="3200"/>
      <c r="B448" s="3200"/>
      <c r="C448" s="3200"/>
      <c r="D448" s="3200"/>
      <c r="E448" s="3200"/>
      <c r="F448" s="3200"/>
      <c r="G448" s="3200"/>
      <c r="H448" s="3200"/>
      <c r="I448" s="3200"/>
      <c r="J448" s="3200"/>
      <c r="K448" s="3200"/>
      <c r="L448" s="1195"/>
      <c r="M448" s="1195"/>
      <c r="N448" s="1195"/>
    </row>
    <row r="449" spans="1:14" ht="16">
      <c r="A449" s="2265" t="s">
        <v>4612</v>
      </c>
      <c r="B449" s="2819" t="s">
        <v>159</v>
      </c>
      <c r="C449" s="2221">
        <f>'Ввод данных'!C1331</f>
        <v>1</v>
      </c>
      <c r="D449" s="2228"/>
      <c r="E449" s="2228"/>
      <c r="F449" s="2228"/>
      <c r="G449" s="2228"/>
      <c r="H449" s="2228"/>
      <c r="I449" s="2228"/>
      <c r="J449" s="2228"/>
      <c r="K449" s="1194"/>
      <c r="L449" s="1195"/>
      <c r="M449" s="1195"/>
      <c r="N449" s="1195"/>
    </row>
    <row r="450" spans="1:14" ht="16">
      <c r="A450" s="2265" t="s">
        <v>4613</v>
      </c>
      <c r="B450" s="2819" t="s">
        <v>159</v>
      </c>
      <c r="C450" s="2221">
        <f>'Ввод данных'!C1332</f>
        <v>3</v>
      </c>
      <c r="D450" s="2228"/>
      <c r="E450" s="2228"/>
      <c r="F450" s="2228"/>
      <c r="G450" s="2228"/>
      <c r="H450" s="2228"/>
      <c r="I450" s="2228"/>
      <c r="J450" s="2228"/>
      <c r="K450" s="1194"/>
      <c r="L450" s="1195"/>
      <c r="M450" s="1195"/>
      <c r="N450" s="1195"/>
    </row>
    <row r="451" spans="1:14" ht="16">
      <c r="A451" s="2265" t="s">
        <v>4614</v>
      </c>
      <c r="B451" s="2819" t="s">
        <v>159</v>
      </c>
      <c r="C451" s="2221">
        <f>'Ввод данных'!C1333</f>
        <v>1</v>
      </c>
      <c r="D451" s="2228"/>
      <c r="E451" s="2228"/>
      <c r="F451" s="2228"/>
      <c r="G451" s="2228"/>
      <c r="H451" s="2228"/>
      <c r="I451" s="2228"/>
      <c r="J451" s="2228"/>
      <c r="K451" s="1194"/>
      <c r="L451" s="1195"/>
      <c r="M451" s="1195"/>
      <c r="N451" s="1195"/>
    </row>
    <row r="452" spans="1:14" ht="16">
      <c r="A452" s="229" t="s">
        <v>4615</v>
      </c>
      <c r="B452" s="2226" t="s">
        <v>159</v>
      </c>
      <c r="C452" s="2221">
        <f>'Ввод данных'!C1334</f>
        <v>0</v>
      </c>
      <c r="D452" s="2228"/>
      <c r="E452" s="2228"/>
      <c r="F452" s="2228"/>
      <c r="G452" s="2228"/>
      <c r="H452" s="2228"/>
      <c r="I452" s="2228"/>
      <c r="J452" s="2228"/>
      <c r="K452" s="1194"/>
      <c r="L452" s="1195"/>
      <c r="M452" s="1195"/>
      <c r="N452" s="1195"/>
    </row>
    <row r="453" spans="1:14" ht="16">
      <c r="A453" s="229" t="s">
        <v>2519</v>
      </c>
      <c r="B453" s="229" t="s">
        <v>159</v>
      </c>
      <c r="C453" s="2221">
        <f>VLOOKUP('Ввод данных'!C1343,связи1!A2:B3,2,0)</f>
        <v>1</v>
      </c>
      <c r="D453" s="2228"/>
      <c r="E453" s="2228"/>
      <c r="F453" s="2228"/>
      <c r="G453" s="2228"/>
      <c r="H453" s="2228"/>
      <c r="I453" s="2228"/>
      <c r="J453" s="2228"/>
      <c r="K453" s="1194"/>
      <c r="L453" s="1195"/>
      <c r="M453" s="1195"/>
      <c r="N453" s="1195"/>
    </row>
    <row r="454" spans="1:14" ht="16">
      <c r="A454" s="229" t="s">
        <v>2520</v>
      </c>
      <c r="B454" s="229" t="s">
        <v>156</v>
      </c>
      <c r="C454" s="2221">
        <f>'Ввод данных'!C1344</f>
        <v>10</v>
      </c>
      <c r="D454" s="2228"/>
      <c r="E454" s="2228"/>
      <c r="F454" s="2228"/>
      <c r="G454" s="2228"/>
      <c r="H454" s="2228"/>
      <c r="I454" s="2228"/>
      <c r="J454" s="2228"/>
      <c r="K454" s="1194"/>
      <c r="L454" s="1195"/>
      <c r="M454" s="1195"/>
      <c r="N454" s="1195"/>
    </row>
    <row r="455" spans="1:14" ht="16">
      <c r="A455" s="2226" t="s">
        <v>2521</v>
      </c>
      <c r="B455" s="229" t="s">
        <v>156</v>
      </c>
      <c r="C455" s="2221">
        <f>'Ввод данных'!C1345</f>
        <v>8</v>
      </c>
      <c r="D455" s="2228"/>
      <c r="E455" s="2228"/>
      <c r="F455" s="2228"/>
      <c r="G455" s="2228"/>
      <c r="H455" s="2228"/>
      <c r="I455" s="2228"/>
      <c r="J455" s="2228"/>
      <c r="K455" s="1194"/>
      <c r="L455" s="1195"/>
      <c r="M455" s="1195"/>
      <c r="N455" s="1195"/>
    </row>
    <row r="456" spans="1:14" ht="16">
      <c r="A456" s="259" t="s">
        <v>4616</v>
      </c>
      <c r="B456" s="259" t="s">
        <v>4616</v>
      </c>
      <c r="C456" s="259">
        <f>VLOOKUP('Ввод данных'!C1337,связи1!A2:B3,2,0)</f>
        <v>1</v>
      </c>
      <c r="D456" s="2228"/>
      <c r="E456" s="2228"/>
      <c r="F456" s="2228"/>
      <c r="G456" s="2228"/>
      <c r="H456" s="2228"/>
      <c r="I456" s="2228"/>
      <c r="J456" s="2228"/>
      <c r="K456" s="1194"/>
      <c r="L456" s="1195"/>
      <c r="M456" s="1195"/>
      <c r="N456" s="1195"/>
    </row>
    <row r="457" spans="1:14" ht="16">
      <c r="A457" s="259" t="str">
        <f>'Ввод данных'!A1338</f>
        <v>дно бетонное, диаметр 2м.п.</v>
      </c>
      <c r="B457" s="259" t="str">
        <f>'Ввод данных'!B1338</f>
        <v>шт</v>
      </c>
      <c r="C457" s="259">
        <f>'Ввод данных'!C1338*C456</f>
        <v>1</v>
      </c>
      <c r="D457" s="2228"/>
      <c r="E457" s="2228"/>
      <c r="F457" s="2228"/>
      <c r="G457" s="2228"/>
      <c r="H457" s="2228"/>
      <c r="I457" s="2228"/>
      <c r="J457" s="2228"/>
      <c r="K457" s="1194"/>
      <c r="L457" s="1195"/>
      <c r="M457" s="1195"/>
      <c r="N457" s="1195"/>
    </row>
    <row r="458" spans="1:14" ht="16">
      <c r="A458" s="259" t="str">
        <f>'Ввод данных'!A1339</f>
        <v>кольцо бетонное, диаметр 2м.п.</v>
      </c>
      <c r="B458" s="259" t="str">
        <f>'Ввод данных'!B1339</f>
        <v>шт</v>
      </c>
      <c r="C458" s="259">
        <f>'Ввод данных'!C1339*C456</f>
        <v>3</v>
      </c>
      <c r="D458" s="2228"/>
      <c r="E458" s="2228"/>
      <c r="F458" s="2228"/>
      <c r="G458" s="2228"/>
      <c r="H458" s="2228"/>
      <c r="I458" s="2228"/>
      <c r="J458" s="2228"/>
      <c r="K458" s="1194"/>
      <c r="L458" s="1195"/>
      <c r="M458" s="1195"/>
      <c r="N458" s="1195"/>
    </row>
    <row r="459" spans="1:14" ht="16">
      <c r="A459" s="259" t="str">
        <f>'Ввод данных'!A1340</f>
        <v>крышка бетонная, диаметр 2м.п.</v>
      </c>
      <c r="B459" s="259" t="str">
        <f>'Ввод данных'!B1340</f>
        <v>шт</v>
      </c>
      <c r="C459" s="259">
        <f>'Ввод данных'!C1340*C456</f>
        <v>1</v>
      </c>
      <c r="D459" s="2228"/>
      <c r="E459" s="2228"/>
      <c r="F459" s="2228"/>
      <c r="G459" s="2228"/>
      <c r="H459" s="2228"/>
      <c r="I459" s="2228"/>
      <c r="J459" s="2228"/>
      <c r="K459" s="1194"/>
      <c r="L459" s="1195"/>
      <c r="M459" s="1195"/>
      <c r="N459" s="1195"/>
    </row>
    <row r="460" spans="1:14" ht="16">
      <c r="A460" s="259" t="str">
        <f>'Ввод данных'!A1341</f>
        <v>Нет люка для крышки</v>
      </c>
      <c r="B460" s="259" t="str">
        <f>'Ввод данных'!B1341</f>
        <v>шт</v>
      </c>
      <c r="C460" s="259">
        <f>'Ввод данных'!C1341*C456</f>
        <v>0</v>
      </c>
      <c r="D460" s="2228"/>
      <c r="E460" s="2228"/>
      <c r="F460" s="2228"/>
      <c r="G460" s="2228"/>
      <c r="H460" s="2228"/>
      <c r="I460" s="2228"/>
      <c r="J460" s="2228"/>
      <c r="K460" s="1194"/>
      <c r="L460" s="1195"/>
      <c r="M460" s="1195"/>
      <c r="N460" s="1195"/>
    </row>
    <row r="461" spans="1:14" ht="16">
      <c r="A461" s="259"/>
      <c r="B461" s="259"/>
      <c r="C461" s="2221"/>
      <c r="D461" s="2228"/>
      <c r="E461" s="2228"/>
      <c r="F461" s="2228"/>
      <c r="G461" s="2228"/>
      <c r="H461" s="2228"/>
      <c r="I461" s="2228"/>
      <c r="J461" s="2228"/>
      <c r="K461" s="1194"/>
      <c r="L461" s="1195"/>
      <c r="M461" s="1195"/>
      <c r="N461" s="1195"/>
    </row>
    <row r="462" spans="1:14" ht="16">
      <c r="A462" s="259"/>
      <c r="B462" s="259"/>
      <c r="C462" s="2221"/>
      <c r="D462" s="2228"/>
      <c r="E462" s="2228"/>
      <c r="F462" s="2228"/>
      <c r="G462" s="2228"/>
      <c r="H462" s="2228"/>
      <c r="I462" s="2228"/>
      <c r="J462" s="2228"/>
      <c r="K462" s="1194"/>
      <c r="L462" s="1195"/>
      <c r="M462" s="1195"/>
      <c r="N462" s="1195"/>
    </row>
    <row r="463" spans="1:14" ht="16">
      <c r="A463" s="229" t="s">
        <v>1236</v>
      </c>
      <c r="B463" s="229" t="s">
        <v>1094</v>
      </c>
      <c r="C463" s="229" t="s">
        <v>1802</v>
      </c>
      <c r="D463" s="229" t="s">
        <v>2721</v>
      </c>
      <c r="E463" s="229" t="s">
        <v>2722</v>
      </c>
      <c r="F463" s="1194"/>
      <c r="G463" s="229" t="s">
        <v>4617</v>
      </c>
      <c r="H463" s="229" t="s">
        <v>1094</v>
      </c>
      <c r="I463" s="229" t="s">
        <v>1802</v>
      </c>
      <c r="J463" s="229" t="s">
        <v>2721</v>
      </c>
      <c r="K463" s="229" t="s">
        <v>2722</v>
      </c>
      <c r="L463" s="1195"/>
      <c r="M463" s="1195"/>
      <c r="N463" s="1195"/>
    </row>
    <row r="464" spans="1:14" ht="16">
      <c r="A464" s="229" t="str">
        <f>'Ввод данных'!A1331</f>
        <v>дно бетонное, диаметр 1,5м.п.</v>
      </c>
      <c r="B464" s="229" t="s">
        <v>159</v>
      </c>
      <c r="C464" s="229">
        <f>C449</f>
        <v>1</v>
      </c>
      <c r="D464" s="229">
        <f>VLOOKUP('Ввод данных'!A1331,связи1!A74:B78,2,0)</f>
        <v>2000</v>
      </c>
      <c r="E464" s="229">
        <f t="shared" ref="E464:E479" si="10">C464*D464</f>
        <v>2000</v>
      </c>
      <c r="F464" s="1194"/>
      <c r="G464" s="229" t="s">
        <v>1623</v>
      </c>
      <c r="H464" s="229" t="s">
        <v>159</v>
      </c>
      <c r="I464" s="229">
        <f>C464+C473</f>
        <v>2</v>
      </c>
      <c r="J464" s="229">
        <f>'Прайс лист'!G1862</f>
        <v>1000</v>
      </c>
      <c r="K464" s="229">
        <f t="shared" ref="K464:K470" si="11">I464*J464</f>
        <v>2000</v>
      </c>
      <c r="L464" s="1195"/>
      <c r="M464" s="1195"/>
      <c r="N464" s="1195"/>
    </row>
    <row r="465" spans="1:14" ht="16">
      <c r="A465" s="229" t="str">
        <f>'Ввод данных'!A1332</f>
        <v>кольцо бетонное, диаметр 1,5м.п.</v>
      </c>
      <c r="B465" s="229" t="s">
        <v>159</v>
      </c>
      <c r="C465" s="229">
        <f>C450</f>
        <v>3</v>
      </c>
      <c r="D465" s="229">
        <f>VLOOKUP('Ввод данных'!A1332,связи1!A79:B83,2,0)</f>
        <v>2800</v>
      </c>
      <c r="E465" s="229">
        <f t="shared" si="10"/>
        <v>8400</v>
      </c>
      <c r="F465" s="1194"/>
      <c r="G465" s="229" t="s">
        <v>1624</v>
      </c>
      <c r="H465" s="229" t="s">
        <v>159</v>
      </c>
      <c r="I465" s="229">
        <f>C465+C474</f>
        <v>6</v>
      </c>
      <c r="J465" s="229">
        <f>'Прайс лист'!G1863</f>
        <v>1000</v>
      </c>
      <c r="K465" s="229">
        <f t="shared" si="11"/>
        <v>6000</v>
      </c>
      <c r="L465" s="1195"/>
      <c r="M465" s="1195"/>
      <c r="N465" s="1195"/>
    </row>
    <row r="466" spans="1:14" ht="16">
      <c r="A466" s="229" t="str">
        <f>'Ввод данных'!A1333</f>
        <v>крышка бетонная, диаметр 1,5м.п.</v>
      </c>
      <c r="B466" s="229" t="s">
        <v>159</v>
      </c>
      <c r="C466" s="229">
        <f>C451</f>
        <v>1</v>
      </c>
      <c r="D466" s="229">
        <f>VLOOKUP('Ввод данных'!A1333,связи1!A84:B88,2,0)</f>
        <v>4000</v>
      </c>
      <c r="E466" s="229">
        <f t="shared" si="10"/>
        <v>4000</v>
      </c>
      <c r="F466" s="1194"/>
      <c r="G466" s="229" t="s">
        <v>1625</v>
      </c>
      <c r="H466" s="229" t="s">
        <v>159</v>
      </c>
      <c r="I466" s="229">
        <f>C466+C475</f>
        <v>2</v>
      </c>
      <c r="J466" s="229">
        <f>'Прайс лист'!G1864</f>
        <v>1000</v>
      </c>
      <c r="K466" s="229">
        <f t="shared" si="11"/>
        <v>2000</v>
      </c>
      <c r="L466" s="1195"/>
      <c r="M466" s="1195"/>
      <c r="N466" s="1195"/>
    </row>
    <row r="467" spans="1:14" ht="16">
      <c r="A467" s="229" t="str">
        <f>'Ввод данных'!A1334</f>
        <v>Нет люка для крышки</v>
      </c>
      <c r="B467" s="229" t="s">
        <v>159</v>
      </c>
      <c r="C467" s="229">
        <f>C452</f>
        <v>0</v>
      </c>
      <c r="D467" s="229">
        <f>VLOOKUP('Ввод данных'!A1334,связи1!A89:B91,2,0)</f>
        <v>0</v>
      </c>
      <c r="E467" s="229">
        <f t="shared" si="10"/>
        <v>0</v>
      </c>
      <c r="F467" s="1194"/>
      <c r="G467" s="229" t="s">
        <v>1626</v>
      </c>
      <c r="H467" s="229" t="s">
        <v>159</v>
      </c>
      <c r="I467" s="229">
        <f>C467+C476</f>
        <v>0</v>
      </c>
      <c r="J467" s="229">
        <f>'Прайс лист'!G1865</f>
        <v>1000</v>
      </c>
      <c r="K467" s="229">
        <f t="shared" si="11"/>
        <v>0</v>
      </c>
      <c r="L467" s="1195"/>
      <c r="M467" s="1195"/>
      <c r="N467" s="1195"/>
    </row>
    <row r="468" spans="1:14" ht="16">
      <c r="A468" s="1058" t="str">
        <f>'Прайс лист'!B1201</f>
        <v>Горловина для септика бетонная</v>
      </c>
      <c r="B468" s="1058" t="str">
        <f>'Ввод данных'!B1335</f>
        <v>шт</v>
      </c>
      <c r="C468" s="1058">
        <f>'Ввод данных'!C1335</f>
        <v>1</v>
      </c>
      <c r="D468" s="1058">
        <f>'Прайс лист'!G1201</f>
        <v>1000</v>
      </c>
      <c r="E468" s="229">
        <f t="shared" si="10"/>
        <v>1000</v>
      </c>
      <c r="F468" s="1194"/>
      <c r="G468" s="2820" t="s">
        <v>4618</v>
      </c>
      <c r="H468" s="2820" t="s">
        <v>159</v>
      </c>
      <c r="I468" s="1167">
        <f>C468</f>
        <v>1</v>
      </c>
      <c r="J468" s="1167">
        <f>'Прайс лист'!G1868</f>
        <v>800</v>
      </c>
      <c r="K468" s="229">
        <f t="shared" si="11"/>
        <v>800</v>
      </c>
      <c r="L468" s="1195"/>
      <c r="M468" s="1195"/>
      <c r="N468" s="1195"/>
    </row>
    <row r="469" spans="1:14" ht="16">
      <c r="A469" s="229" t="str">
        <f>'Прайс лист'!B1119</f>
        <v>Труба канализационная D110</v>
      </c>
      <c r="B469" s="229" t="s">
        <v>156</v>
      </c>
      <c r="C469" s="229">
        <f>C454</f>
        <v>10</v>
      </c>
      <c r="D469" s="229">
        <f>'Прайс лист'!G1119</f>
        <v>70</v>
      </c>
      <c r="E469" s="229">
        <f t="shared" si="10"/>
        <v>700</v>
      </c>
      <c r="F469" s="1194"/>
      <c r="G469" s="229" t="s">
        <v>4619</v>
      </c>
      <c r="H469" s="229" t="s">
        <v>156</v>
      </c>
      <c r="I469" s="229">
        <f>C469</f>
        <v>10</v>
      </c>
      <c r="J469" s="229">
        <f>'Прайс лист'!G1866</f>
        <v>500</v>
      </c>
      <c r="K469" s="229">
        <f t="shared" si="11"/>
        <v>5000</v>
      </c>
      <c r="L469" s="1195"/>
      <c r="M469" s="1195"/>
      <c r="N469" s="1195"/>
    </row>
    <row r="470" spans="1:14" ht="16">
      <c r="A470" s="229" t="s">
        <v>4620</v>
      </c>
      <c r="B470" s="229" t="s">
        <v>156</v>
      </c>
      <c r="C470" s="229">
        <f>C455</f>
        <v>8</v>
      </c>
      <c r="D470" s="229">
        <f>'Прайс лист'!G1200</f>
        <v>300</v>
      </c>
      <c r="E470" s="229">
        <f t="shared" si="10"/>
        <v>2400</v>
      </c>
      <c r="F470" s="1194"/>
      <c r="G470" s="229" t="s">
        <v>2519</v>
      </c>
      <c r="H470" s="229" t="s">
        <v>159</v>
      </c>
      <c r="I470" s="229">
        <f>C453</f>
        <v>1</v>
      </c>
      <c r="J470" s="229">
        <f>'Прайс лист'!G1867</f>
        <v>2500</v>
      </c>
      <c r="K470" s="229">
        <f t="shared" si="11"/>
        <v>2500</v>
      </c>
      <c r="L470" s="1195"/>
      <c r="M470" s="1195"/>
      <c r="N470" s="1195"/>
    </row>
    <row r="471" spans="1:14" ht="16">
      <c r="A471" s="229" t="s">
        <v>4621</v>
      </c>
      <c r="B471" s="229" t="s">
        <v>159</v>
      </c>
      <c r="C471" s="229">
        <v>3</v>
      </c>
      <c r="D471" s="229">
        <f>'Прайс лист'!G1202*C453</f>
        <v>100</v>
      </c>
      <c r="E471" s="229">
        <f t="shared" si="10"/>
        <v>300</v>
      </c>
      <c r="F471" s="1194"/>
      <c r="G471" s="229"/>
      <c r="H471" s="229"/>
      <c r="I471" s="229"/>
      <c r="J471" s="229"/>
      <c r="K471" s="229"/>
      <c r="L471" s="1195"/>
      <c r="M471" s="1195"/>
      <c r="N471" s="1195"/>
    </row>
    <row r="472" spans="1:14" ht="16">
      <c r="A472" s="229" t="s">
        <v>4622</v>
      </c>
      <c r="B472" s="229" t="s">
        <v>159</v>
      </c>
      <c r="C472" s="229">
        <v>3</v>
      </c>
      <c r="D472" s="229">
        <f>'Прайс лист'!G1202</f>
        <v>100</v>
      </c>
      <c r="E472" s="229">
        <f t="shared" si="10"/>
        <v>300</v>
      </c>
      <c r="F472" s="1194"/>
      <c r="G472" s="229"/>
      <c r="H472" s="229"/>
      <c r="I472" s="229"/>
      <c r="J472" s="229"/>
      <c r="K472" s="229"/>
      <c r="L472" s="1195"/>
      <c r="M472" s="1195"/>
      <c r="N472" s="1195"/>
    </row>
    <row r="473" spans="1:14" ht="16">
      <c r="A473" s="1058" t="str">
        <f>'Ввод данных'!A1338</f>
        <v>дно бетонное, диаметр 2м.п.</v>
      </c>
      <c r="B473" s="1058" t="str">
        <f>'Ввод данных'!B1338</f>
        <v>шт</v>
      </c>
      <c r="C473" s="1058">
        <f>C457</f>
        <v>1</v>
      </c>
      <c r="D473" s="1042">
        <f>VLOOKUP(A473,связи1!A74:B78,2,0)</f>
        <v>2000</v>
      </c>
      <c r="E473" s="229">
        <f t="shared" si="10"/>
        <v>2000</v>
      </c>
      <c r="F473" s="1194"/>
      <c r="G473" s="229"/>
      <c r="H473" s="229"/>
      <c r="I473" s="229"/>
      <c r="J473" s="229"/>
      <c r="K473" s="229"/>
      <c r="L473" s="1195"/>
      <c r="M473" s="1195"/>
      <c r="N473" s="1195"/>
    </row>
    <row r="474" spans="1:14" ht="16">
      <c r="A474" s="1058" t="str">
        <f>'Ввод данных'!A1339</f>
        <v>кольцо бетонное, диаметр 2м.п.</v>
      </c>
      <c r="B474" s="1058" t="str">
        <f>'Ввод данных'!B1339</f>
        <v>шт</v>
      </c>
      <c r="C474" s="1058">
        <f>C458</f>
        <v>3</v>
      </c>
      <c r="D474" s="1042">
        <f>VLOOKUP(A474,связи1!A79:B83,2,0)</f>
        <v>3300</v>
      </c>
      <c r="E474" s="229">
        <f t="shared" si="10"/>
        <v>9900</v>
      </c>
      <c r="F474" s="1194"/>
      <c r="G474" s="2228"/>
      <c r="H474" s="2228"/>
      <c r="I474" s="2228"/>
      <c r="J474" s="2228"/>
      <c r="K474" s="229"/>
      <c r="L474" s="1195"/>
      <c r="M474" s="1195"/>
      <c r="N474" s="1195"/>
    </row>
    <row r="475" spans="1:14" ht="16">
      <c r="A475" s="1058" t="str">
        <f>'Ввод данных'!A1340</f>
        <v>крышка бетонная, диаметр 2м.п.</v>
      </c>
      <c r="B475" s="1058" t="str">
        <f>'Ввод данных'!B1340</f>
        <v>шт</v>
      </c>
      <c r="C475" s="1058">
        <f>C459</f>
        <v>1</v>
      </c>
      <c r="D475" s="1042">
        <f>VLOOKUP(A475,связи1!A84:B88,2,0)</f>
        <v>4000</v>
      </c>
      <c r="E475" s="229">
        <f t="shared" si="10"/>
        <v>4000</v>
      </c>
      <c r="F475" s="1194"/>
      <c r="G475" s="2228"/>
      <c r="H475" s="2228"/>
      <c r="I475" s="2228"/>
      <c r="J475" s="2228"/>
      <c r="K475" s="229"/>
      <c r="L475" s="1195"/>
      <c r="M475" s="1195"/>
      <c r="N475" s="1195"/>
    </row>
    <row r="476" spans="1:14" ht="16">
      <c r="A476" s="1058" t="str">
        <f>'Ввод данных'!A1341</f>
        <v>Нет люка для крышки</v>
      </c>
      <c r="B476" s="1058" t="str">
        <f>'Ввод данных'!B1341</f>
        <v>шт</v>
      </c>
      <c r="C476" s="1058">
        <f>C460</f>
        <v>0</v>
      </c>
      <c r="D476" s="1042">
        <f>VLOOKUP(A476,связи1!A89:B91,2,0)</f>
        <v>0</v>
      </c>
      <c r="E476" s="229">
        <f t="shared" si="10"/>
        <v>0</v>
      </c>
      <c r="F476" s="1194"/>
      <c r="G476" s="2228"/>
      <c r="H476" s="2228"/>
      <c r="I476" s="2228"/>
      <c r="J476" s="2228"/>
      <c r="K476" s="229"/>
      <c r="L476" s="1195"/>
      <c r="M476" s="1195"/>
      <c r="N476" s="1195"/>
    </row>
    <row r="477" spans="1:14" ht="16">
      <c r="A477" s="1058" t="str">
        <f>'Ввод данных'!A1347</f>
        <v>Экскаватор погрузчик</v>
      </c>
      <c r="B477" s="1058" t="str">
        <f>'Ввод данных'!B1347</f>
        <v>час</v>
      </c>
      <c r="C477" s="1058">
        <f>'Ввод данных'!C1347</f>
        <v>5</v>
      </c>
      <c r="D477" s="1042">
        <f>VLOOKUP(A477,'Прайс лист'!B180:G194,6,0)</f>
        <v>2200</v>
      </c>
      <c r="E477" s="229">
        <f t="shared" si="10"/>
        <v>11000</v>
      </c>
      <c r="F477" s="1194"/>
      <c r="G477" s="2228"/>
      <c r="H477" s="2228"/>
      <c r="I477" s="2228"/>
      <c r="J477" s="2228"/>
      <c r="K477" s="229"/>
      <c r="L477" s="1195"/>
      <c r="M477" s="1195"/>
      <c r="N477" s="1195"/>
    </row>
    <row r="478" spans="1:14" ht="16">
      <c r="A478" s="1058" t="str">
        <f>'Ввод данных'!A1348</f>
        <v>Манипулятор 5т</v>
      </c>
      <c r="B478" s="1058" t="str">
        <f>'Ввод данных'!B1348</f>
        <v>час</v>
      </c>
      <c r="C478" s="1058">
        <f>'Ввод данных'!C1348</f>
        <v>3</v>
      </c>
      <c r="D478" s="1042">
        <f>VLOOKUP(A478,'Прайс лист'!B180:G194,6,0)</f>
        <v>2500</v>
      </c>
      <c r="E478" s="229">
        <f t="shared" si="10"/>
        <v>7500</v>
      </c>
      <c r="F478" s="1194"/>
      <c r="G478" s="2228"/>
      <c r="H478" s="2228"/>
      <c r="I478" s="2228"/>
      <c r="J478" s="2228"/>
      <c r="K478" s="229"/>
      <c r="L478" s="1195"/>
      <c r="M478" s="1195"/>
      <c r="N478" s="1195"/>
    </row>
    <row r="479" spans="1:14" ht="16">
      <c r="A479" s="1058" t="str">
        <f>'Ввод данных'!A1350</f>
        <v>расходные материалы для септика</v>
      </c>
      <c r="B479" s="1058" t="str">
        <f>'Ввод данных'!B1350</f>
        <v>рублей</v>
      </c>
      <c r="C479" s="1058">
        <f>1</f>
        <v>1</v>
      </c>
      <c r="D479" s="1058">
        <f>'Ввод данных'!C1350</f>
        <v>5000</v>
      </c>
      <c r="E479" s="229">
        <f t="shared" si="10"/>
        <v>5000</v>
      </c>
      <c r="F479" s="1194"/>
      <c r="G479" s="2228"/>
      <c r="H479" s="2228"/>
      <c r="I479" s="2228"/>
      <c r="J479" s="2228"/>
      <c r="K479" s="229"/>
      <c r="L479" s="1195"/>
      <c r="M479" s="1195"/>
      <c r="N479" s="1195"/>
    </row>
    <row r="480" spans="1:14" ht="16">
      <c r="A480" s="1194"/>
      <c r="B480" s="1194"/>
      <c r="C480" s="1194"/>
      <c r="D480" s="1194"/>
      <c r="E480" s="229">
        <f>SUM(E464:E472)</f>
        <v>19100</v>
      </c>
      <c r="F480" s="1194"/>
      <c r="G480" s="1194"/>
      <c r="H480" s="1194"/>
      <c r="I480" s="1194"/>
      <c r="J480" s="1194"/>
      <c r="K480" s="229">
        <f>SUM(K464:K473)</f>
        <v>18300</v>
      </c>
      <c r="L480" s="1195"/>
      <c r="M480" s="1195"/>
      <c r="N480" s="1195"/>
    </row>
    <row r="481" spans="1:14" ht="16">
      <c r="A481" s="229" t="s">
        <v>3940</v>
      </c>
      <c r="B481" s="229">
        <f>E480</f>
        <v>19100</v>
      </c>
      <c r="C481" s="1194"/>
      <c r="D481" s="1194"/>
      <c r="E481" s="1194"/>
      <c r="F481" s="1194"/>
      <c r="G481" s="1194"/>
      <c r="H481" s="1194"/>
      <c r="I481" s="1194"/>
      <c r="J481" s="1194"/>
      <c r="K481" s="1194"/>
      <c r="L481" s="1195"/>
      <c r="M481" s="1195"/>
      <c r="N481" s="1195"/>
    </row>
    <row r="482" spans="1:14" ht="16">
      <c r="A482" s="229" t="s">
        <v>3941</v>
      </c>
      <c r="B482" s="229">
        <f>K480</f>
        <v>18300</v>
      </c>
      <c r="C482" s="1194"/>
      <c r="D482" s="1194"/>
      <c r="E482" s="1194"/>
      <c r="F482" s="1194"/>
      <c r="G482" s="1194"/>
      <c r="H482" s="1194"/>
      <c r="I482" s="1194"/>
      <c r="J482" s="1194"/>
      <c r="K482" s="1194"/>
      <c r="L482" s="1195"/>
      <c r="M482" s="1195"/>
      <c r="N482" s="1195"/>
    </row>
    <row r="483" spans="1:14" ht="16">
      <c r="A483" s="229" t="s">
        <v>2728</v>
      </c>
      <c r="B483" s="229">
        <f>(B481+B482)*B484</f>
        <v>0</v>
      </c>
      <c r="C483" s="1194"/>
      <c r="D483" s="1194"/>
      <c r="E483" s="1194"/>
      <c r="F483" s="1194"/>
      <c r="G483" s="1194"/>
      <c r="H483" s="1194"/>
      <c r="I483" s="1194"/>
      <c r="J483" s="1194"/>
      <c r="K483" s="1194"/>
      <c r="L483" s="1195"/>
      <c r="M483" s="1195"/>
      <c r="N483" s="1195"/>
    </row>
    <row r="484" spans="1:14" ht="16">
      <c r="A484" s="2270" t="s">
        <v>2523</v>
      </c>
      <c r="B484" s="2250"/>
      <c r="C484" s="3196" t="s">
        <v>3663</v>
      </c>
      <c r="D484" s="3196"/>
      <c r="E484" s="3196"/>
      <c r="F484" s="3196"/>
      <c r="G484" s="1194"/>
      <c r="H484" s="1194"/>
      <c r="I484" s="1194"/>
      <c r="J484" s="1194"/>
      <c r="K484" s="1194"/>
      <c r="L484" s="1195"/>
      <c r="M484" s="1195"/>
      <c r="N484" s="1195"/>
    </row>
    <row r="485" spans="1:14" ht="16">
      <c r="A485" s="1194"/>
      <c r="B485" s="1194"/>
      <c r="C485" s="1194"/>
      <c r="D485" s="1194"/>
      <c r="E485" s="1194"/>
      <c r="F485" s="1194"/>
      <c r="G485" s="1194"/>
      <c r="H485" s="1194"/>
      <c r="I485" s="1194"/>
      <c r="J485" s="1194"/>
      <c r="K485" s="1194"/>
      <c r="L485" s="1195"/>
      <c r="M485" s="1195"/>
      <c r="N485" s="1195"/>
    </row>
    <row r="486" spans="1:14" ht="16">
      <c r="A486" s="3200" t="s">
        <v>1184</v>
      </c>
      <c r="B486" s="3200"/>
      <c r="C486" s="3200"/>
      <c r="D486" s="3200"/>
      <c r="E486" s="3200"/>
      <c r="F486" s="3200"/>
      <c r="G486" s="3200"/>
      <c r="H486" s="3200"/>
      <c r="I486" s="3200"/>
      <c r="J486" s="3200"/>
      <c r="K486" s="3200"/>
      <c r="L486" s="1195"/>
      <c r="M486" s="1195"/>
      <c r="N486" s="1195"/>
    </row>
    <row r="487" spans="1:14" ht="16">
      <c r="A487" s="3200"/>
      <c r="B487" s="3200"/>
      <c r="C487" s="3200"/>
      <c r="D487" s="3200"/>
      <c r="E487" s="3200"/>
      <c r="F487" s="3200"/>
      <c r="G487" s="3200"/>
      <c r="H487" s="3200"/>
      <c r="I487" s="3200"/>
      <c r="J487" s="3200"/>
      <c r="K487" s="3200"/>
      <c r="L487" s="1195"/>
      <c r="M487" s="1195"/>
      <c r="N487" s="1195"/>
    </row>
    <row r="488" spans="1:14" ht="24">
      <c r="A488" s="2264"/>
      <c r="B488" s="2821"/>
      <c r="C488" s="2821"/>
      <c r="D488" s="2822"/>
      <c r="E488" s="2822">
        <f>'Ввод данных'!D1356</f>
        <v>1</v>
      </c>
      <c r="F488" s="2822"/>
      <c r="G488" s="2822">
        <f>'Ввод данных'!D1357</f>
        <v>1</v>
      </c>
      <c r="H488" s="2822"/>
      <c r="I488" s="2822"/>
      <c r="J488" s="2822"/>
      <c r="K488" s="2822"/>
      <c r="L488" s="1195"/>
      <c r="M488" s="1195"/>
      <c r="N488" s="1195"/>
    </row>
    <row r="489" spans="1:14" ht="24">
      <c r="A489" s="2264"/>
      <c r="B489" s="2821"/>
      <c r="C489" s="2821"/>
      <c r="D489" s="2822"/>
      <c r="E489" s="2822"/>
      <c r="F489" s="2822"/>
      <c r="G489" s="2822"/>
      <c r="H489" s="2822"/>
      <c r="I489" s="2822"/>
      <c r="J489" s="2822"/>
      <c r="K489" s="2822"/>
      <c r="L489" s="1195"/>
      <c r="M489" s="1195"/>
      <c r="N489" s="1195"/>
    </row>
    <row r="490" spans="1:14" ht="24">
      <c r="A490" s="229" t="s">
        <v>1188</v>
      </c>
      <c r="B490" s="2265" t="s">
        <v>159</v>
      </c>
      <c r="C490" s="2823">
        <f>VLOOKUP('Ввод данных'!C1360,связи1!A2:B3,2,0)</f>
        <v>1</v>
      </c>
      <c r="D490" s="888"/>
      <c r="E490" s="888"/>
      <c r="F490" s="888"/>
      <c r="G490" s="888"/>
      <c r="H490" s="888"/>
      <c r="I490" s="888"/>
      <c r="J490" s="888"/>
      <c r="K490" s="888"/>
      <c r="L490" s="1194"/>
      <c r="M490" s="1194"/>
      <c r="N490" s="1194"/>
    </row>
    <row r="491" spans="1:14" ht="24">
      <c r="A491" s="229" t="s">
        <v>1189</v>
      </c>
      <c r="B491" s="2265" t="s">
        <v>159</v>
      </c>
      <c r="C491" s="2823">
        <f>VLOOKUP('Ввод данных'!C1361,связи1!A2:B3,2,0)</f>
        <v>1</v>
      </c>
      <c r="D491" s="888"/>
      <c r="E491" s="888"/>
      <c r="F491" s="888"/>
      <c r="G491" s="888"/>
      <c r="H491" s="888"/>
      <c r="I491" s="888"/>
      <c r="J491" s="888"/>
      <c r="K491" s="888"/>
      <c r="L491" s="1194"/>
      <c r="M491" s="1194"/>
      <c r="N491" s="1194"/>
    </row>
    <row r="492" spans="1:14" ht="24">
      <c r="A492" s="229" t="s">
        <v>2524</v>
      </c>
      <c r="B492" s="2265" t="s">
        <v>159</v>
      </c>
      <c r="C492" s="2823">
        <f>VLOOKUP('Ввод данных'!C1362,связи1!A2:B3,2,0)</f>
        <v>1</v>
      </c>
      <c r="D492" s="888"/>
      <c r="E492" s="888"/>
      <c r="F492" s="888"/>
      <c r="G492" s="888"/>
      <c r="H492" s="888"/>
      <c r="I492" s="888"/>
      <c r="J492" s="888"/>
      <c r="K492" s="888"/>
      <c r="L492" s="1194"/>
      <c r="M492" s="1194"/>
      <c r="N492" s="1194"/>
    </row>
    <row r="493" spans="1:14" ht="24">
      <c r="A493" s="229" t="s">
        <v>1186</v>
      </c>
      <c r="B493" s="2265" t="s">
        <v>159</v>
      </c>
      <c r="C493" s="2823">
        <f>VLOOKUP('Ввод данных'!C1363,связи1!A2:B3,2,0)</f>
        <v>1</v>
      </c>
      <c r="D493" s="888"/>
      <c r="E493" s="888"/>
      <c r="F493" s="888"/>
      <c r="G493" s="888"/>
      <c r="H493" s="888"/>
      <c r="I493" s="888"/>
      <c r="J493" s="888"/>
      <c r="K493" s="888"/>
      <c r="L493" s="1194"/>
      <c r="M493" s="1194"/>
      <c r="N493" s="1194"/>
    </row>
    <row r="494" spans="1:14" ht="24">
      <c r="A494" s="229" t="s">
        <v>1187</v>
      </c>
      <c r="B494" s="2265" t="s">
        <v>159</v>
      </c>
      <c r="C494" s="2823">
        <f>VLOOKUP('Ввод данных'!C1364,связи1!A2:B3,2,0)</f>
        <v>1</v>
      </c>
      <c r="D494" s="888"/>
      <c r="E494" s="888"/>
      <c r="F494" s="888"/>
      <c r="G494" s="888"/>
      <c r="H494" s="888"/>
      <c r="I494" s="888"/>
      <c r="J494" s="888"/>
      <c r="K494" s="888"/>
      <c r="L494" s="1194"/>
      <c r="M494" s="1194"/>
      <c r="N494" s="1194"/>
    </row>
    <row r="495" spans="1:14" ht="16">
      <c r="A495" s="2307"/>
      <c r="B495" s="2307"/>
      <c r="C495" s="2307"/>
      <c r="D495" s="2307"/>
      <c r="E495" s="2307"/>
      <c r="F495" s="2307"/>
      <c r="G495" s="2307"/>
      <c r="H495" s="2307"/>
      <c r="I495" s="2307"/>
      <c r="J495" s="2307"/>
      <c r="K495" s="2307"/>
      <c r="L495" s="2307"/>
      <c r="M495" s="2307"/>
      <c r="N495" s="2307"/>
    </row>
    <row r="496" spans="1:14" ht="16">
      <c r="A496" s="1195"/>
      <c r="B496" s="1195"/>
      <c r="C496" s="1195"/>
      <c r="D496" s="1195"/>
      <c r="E496" s="1195"/>
      <c r="F496" s="1195"/>
      <c r="G496" s="1195"/>
      <c r="H496" s="1195"/>
      <c r="I496" s="1195"/>
      <c r="J496" s="1195"/>
      <c r="K496" s="1195"/>
      <c r="L496" s="1195"/>
      <c r="M496" s="1195"/>
      <c r="N496" s="1195"/>
    </row>
    <row r="497" spans="1:14" ht="16">
      <c r="A497" s="1195"/>
      <c r="B497" s="1195"/>
      <c r="C497" s="1195"/>
      <c r="D497" s="1195"/>
      <c r="E497" s="1195"/>
      <c r="F497" s="1195"/>
      <c r="G497" s="1195"/>
      <c r="H497" s="1195"/>
      <c r="I497" s="1195"/>
      <c r="J497" s="1195"/>
      <c r="K497" s="1195"/>
      <c r="L497" s="1195"/>
      <c r="M497" s="1195"/>
      <c r="N497" s="1195"/>
    </row>
    <row r="498" spans="1:14" ht="16">
      <c r="A498" s="1195"/>
      <c r="B498" s="1195"/>
      <c r="C498" s="1195"/>
      <c r="D498" s="1195"/>
      <c r="E498" s="1195"/>
      <c r="F498" s="1195"/>
      <c r="G498" s="1195"/>
      <c r="H498" s="1195"/>
      <c r="I498" s="1195"/>
      <c r="J498" s="1195"/>
      <c r="K498" s="1195"/>
      <c r="L498" s="1195"/>
      <c r="M498" s="1195"/>
      <c r="N498" s="1195"/>
    </row>
    <row r="499" spans="1:14" ht="16">
      <c r="A499" s="1195"/>
      <c r="B499" s="1195"/>
      <c r="C499" s="1195"/>
      <c r="D499" s="1195"/>
      <c r="E499" s="1195"/>
      <c r="F499" s="1195"/>
      <c r="G499" s="1195"/>
      <c r="H499" s="1195"/>
      <c r="I499" s="1195"/>
      <c r="J499" s="1195"/>
      <c r="K499" s="1195"/>
      <c r="L499" s="1195"/>
      <c r="M499" s="1195"/>
      <c r="N499" s="1195"/>
    </row>
    <row r="500" spans="1:14" ht="16">
      <c r="A500" s="1195"/>
      <c r="B500" s="1195"/>
      <c r="C500" s="1195"/>
      <c r="D500" s="1195"/>
      <c r="E500" s="1195"/>
      <c r="F500" s="1195"/>
      <c r="G500" s="1195"/>
      <c r="H500" s="1195"/>
      <c r="I500" s="1195"/>
      <c r="J500" s="1195"/>
      <c r="K500" s="1195"/>
      <c r="L500" s="1195"/>
      <c r="M500" s="1195"/>
      <c r="N500" s="1195"/>
    </row>
    <row r="501" spans="1:14" ht="16">
      <c r="A501" s="1195"/>
      <c r="B501" s="1195"/>
      <c r="C501" s="1195"/>
      <c r="D501" s="1195"/>
      <c r="E501" s="1195"/>
      <c r="F501" s="1195"/>
      <c r="G501" s="1195"/>
      <c r="H501" s="1195"/>
      <c r="I501" s="1195"/>
      <c r="J501" s="1195"/>
      <c r="K501" s="1195"/>
      <c r="L501" s="1195"/>
      <c r="M501" s="1195"/>
      <c r="N501" s="1195"/>
    </row>
    <row r="502" spans="1:14" ht="16">
      <c r="A502" s="1195"/>
      <c r="B502" s="1195"/>
      <c r="C502" s="1195"/>
      <c r="D502" s="1195"/>
      <c r="E502" s="1195"/>
      <c r="F502" s="1195"/>
      <c r="G502" s="1195"/>
      <c r="H502" s="1195"/>
      <c r="I502" s="1195"/>
      <c r="J502" s="1195"/>
      <c r="K502" s="1195"/>
      <c r="L502" s="1195"/>
      <c r="M502" s="1195"/>
      <c r="N502" s="1195"/>
    </row>
    <row r="503" spans="1:14" ht="16">
      <c r="A503" s="1195"/>
      <c r="B503" s="1195"/>
      <c r="C503" s="1195"/>
      <c r="D503" s="1195"/>
      <c r="E503" s="1195"/>
      <c r="F503" s="1195"/>
      <c r="G503" s="1195"/>
      <c r="H503" s="1195"/>
      <c r="I503" s="1195"/>
      <c r="J503" s="1195"/>
      <c r="K503" s="1195"/>
      <c r="L503" s="1195"/>
      <c r="M503" s="1195"/>
      <c r="N503" s="1195"/>
    </row>
    <row r="504" spans="1:14" ht="16">
      <c r="A504" s="1195"/>
      <c r="B504" s="1195"/>
      <c r="C504" s="1195"/>
      <c r="D504" s="1195"/>
      <c r="E504" s="1195"/>
      <c r="F504" s="1195"/>
      <c r="G504" s="1195"/>
      <c r="H504" s="1195"/>
      <c r="I504" s="1195"/>
      <c r="J504" s="1195"/>
      <c r="K504" s="1195"/>
      <c r="L504" s="1195"/>
      <c r="M504" s="1195"/>
      <c r="N504" s="1195"/>
    </row>
    <row r="505" spans="1:14" ht="16">
      <c r="A505" s="1195"/>
      <c r="B505" s="1195"/>
      <c r="C505" s="1195"/>
      <c r="D505" s="1195"/>
      <c r="E505" s="1195"/>
      <c r="F505" s="1195"/>
      <c r="G505" s="1195"/>
      <c r="H505" s="1195"/>
      <c r="I505" s="1195"/>
      <c r="J505" s="1195"/>
      <c r="K505" s="1195"/>
      <c r="L505" s="1195"/>
      <c r="M505" s="1195"/>
      <c r="N505" s="1195"/>
    </row>
    <row r="506" spans="1:14" ht="16">
      <c r="A506" s="1195"/>
      <c r="B506" s="1195"/>
      <c r="C506" s="1195"/>
      <c r="D506" s="1195"/>
      <c r="E506" s="1195"/>
      <c r="F506" s="1195"/>
      <c r="G506" s="1195"/>
      <c r="H506" s="1195"/>
      <c r="I506" s="1195"/>
      <c r="J506" s="1195"/>
      <c r="K506" s="1195"/>
      <c r="L506" s="1195"/>
      <c r="M506" s="1195"/>
      <c r="N506" s="1195"/>
    </row>
    <row r="507" spans="1:14" ht="16">
      <c r="A507" s="1195"/>
      <c r="B507" s="1195"/>
      <c r="C507" s="1195"/>
      <c r="D507" s="1195"/>
      <c r="E507" s="1195"/>
      <c r="F507" s="1195"/>
      <c r="G507" s="1195"/>
      <c r="H507" s="1195"/>
      <c r="I507" s="1195"/>
      <c r="J507" s="1195"/>
      <c r="K507" s="1195"/>
      <c r="L507" s="1195"/>
      <c r="M507" s="1195"/>
      <c r="N507" s="1195"/>
    </row>
    <row r="508" spans="1:14" ht="16">
      <c r="A508" s="1195"/>
      <c r="B508" s="1195"/>
      <c r="C508" s="1195"/>
      <c r="D508" s="1195"/>
      <c r="E508" s="1195"/>
      <c r="F508" s="1195"/>
      <c r="G508" s="1195"/>
      <c r="H508" s="1195"/>
      <c r="I508" s="1195"/>
      <c r="J508" s="1195"/>
      <c r="K508" s="1195"/>
      <c r="L508" s="1195"/>
      <c r="M508" s="1195"/>
      <c r="N508" s="1195"/>
    </row>
    <row r="509" spans="1:14" ht="16">
      <c r="A509" s="1195"/>
      <c r="B509" s="1195"/>
      <c r="C509" s="1195"/>
      <c r="D509" s="1195"/>
      <c r="E509" s="1195"/>
      <c r="F509" s="1195"/>
      <c r="G509" s="1195"/>
      <c r="H509" s="1195"/>
      <c r="I509" s="1195"/>
      <c r="J509" s="1195"/>
      <c r="K509" s="1195"/>
      <c r="L509" s="1195"/>
      <c r="M509" s="1195"/>
      <c r="N509" s="1195"/>
    </row>
    <row r="510" spans="1:14" ht="16">
      <c r="A510" s="1195"/>
      <c r="B510" s="1195"/>
      <c r="C510" s="1195"/>
      <c r="D510" s="1195"/>
      <c r="E510" s="1195"/>
      <c r="F510" s="1195"/>
      <c r="G510" s="1195"/>
      <c r="H510" s="1195"/>
      <c r="I510" s="1195"/>
      <c r="J510" s="1195"/>
      <c r="K510" s="1195"/>
      <c r="L510" s="1195"/>
      <c r="M510" s="1195"/>
      <c r="N510" s="1195"/>
    </row>
    <row r="511" spans="1:14" ht="16">
      <c r="A511" s="1195"/>
      <c r="B511" s="1195"/>
      <c r="C511" s="1195"/>
      <c r="D511" s="1195"/>
      <c r="E511" s="1195"/>
      <c r="F511" s="1195"/>
      <c r="G511" s="1195"/>
      <c r="H511" s="1195"/>
      <c r="I511" s="1195"/>
      <c r="J511" s="1195"/>
      <c r="K511" s="1195"/>
      <c r="L511" s="1195"/>
      <c r="M511" s="1195"/>
      <c r="N511" s="1195"/>
    </row>
    <row r="512" spans="1:14" ht="16">
      <c r="A512" s="1195"/>
      <c r="B512" s="1195"/>
      <c r="C512" s="1195"/>
      <c r="D512" s="1195"/>
      <c r="E512" s="1195"/>
      <c r="F512" s="1195"/>
      <c r="G512" s="1195"/>
      <c r="H512" s="1195"/>
      <c r="I512" s="1195"/>
      <c r="J512" s="1195"/>
      <c r="K512" s="1195"/>
      <c r="L512" s="1195"/>
      <c r="M512" s="1195"/>
      <c r="N512" s="1195"/>
    </row>
    <row r="513" spans="1:14" ht="16">
      <c r="A513" s="1194"/>
      <c r="B513" s="1194"/>
      <c r="C513" s="1194"/>
      <c r="D513" s="1194"/>
      <c r="E513" s="1194"/>
      <c r="F513" s="1194"/>
      <c r="G513" s="1194"/>
      <c r="H513" s="1194"/>
      <c r="I513" s="1194"/>
      <c r="J513" s="1194"/>
      <c r="K513" s="1194"/>
      <c r="L513" s="1195"/>
      <c r="M513" s="1195"/>
      <c r="N513" s="1195"/>
    </row>
    <row r="514" spans="1:14" ht="16">
      <c r="A514" s="2263"/>
      <c r="B514" s="1195"/>
      <c r="C514" s="2257"/>
      <c r="D514" s="2257"/>
      <c r="E514" s="1195"/>
      <c r="F514" s="2257"/>
      <c r="G514" s="2257"/>
      <c r="H514" s="1195"/>
      <c r="I514" s="1195"/>
      <c r="J514" s="1195"/>
      <c r="K514" s="1195"/>
      <c r="L514" s="1195"/>
      <c r="M514" s="1195"/>
      <c r="N514" s="1195"/>
    </row>
    <row r="515" spans="1:14" ht="16">
      <c r="A515" s="2263"/>
      <c r="B515" s="1195"/>
      <c r="C515" s="2257"/>
      <c r="D515" s="2257"/>
      <c r="E515" s="1195"/>
      <c r="F515" s="2257"/>
      <c r="G515" s="2257"/>
      <c r="H515" s="1195"/>
      <c r="I515" s="1195"/>
      <c r="J515" s="1195"/>
      <c r="K515" s="1195"/>
      <c r="L515" s="1195"/>
      <c r="M515" s="1195"/>
      <c r="N515" s="1195"/>
    </row>
    <row r="516" spans="1:14" ht="16">
      <c r="A516" s="2263"/>
      <c r="B516" s="1195"/>
      <c r="C516" s="2257"/>
      <c r="D516" s="2257"/>
      <c r="E516" s="1195"/>
      <c r="F516" s="2257"/>
      <c r="G516" s="2257"/>
      <c r="H516" s="1195"/>
      <c r="I516" s="1195"/>
      <c r="J516" s="1195"/>
      <c r="K516" s="1195"/>
      <c r="L516" s="1195"/>
      <c r="M516" s="1195"/>
      <c r="N516" s="1195"/>
    </row>
    <row r="517" spans="1:14" ht="16">
      <c r="A517" s="2263"/>
      <c r="B517" s="1195"/>
      <c r="C517" s="2257"/>
      <c r="D517" s="2257"/>
      <c r="E517" s="1195"/>
      <c r="F517" s="2257"/>
      <c r="G517" s="2257"/>
      <c r="H517" s="1195"/>
      <c r="I517" s="1195"/>
      <c r="J517" s="1195"/>
      <c r="K517" s="1195"/>
      <c r="L517" s="1195"/>
      <c r="M517" s="1195"/>
      <c r="N517" s="1195"/>
    </row>
    <row r="518" spans="1:14" ht="16">
      <c r="A518" s="2263"/>
      <c r="B518" s="1195"/>
      <c r="C518" s="2257"/>
      <c r="D518" s="2257"/>
      <c r="E518" s="1195"/>
      <c r="F518" s="2257"/>
      <c r="G518" s="2257"/>
      <c r="H518" s="1195"/>
      <c r="I518" s="1195"/>
      <c r="J518" s="1195"/>
      <c r="K518" s="1195"/>
      <c r="L518" s="1195"/>
      <c r="M518" s="1195"/>
      <c r="N518" s="1195"/>
    </row>
    <row r="519" spans="1:14" ht="16">
      <c r="A519" s="2263"/>
      <c r="B519" s="1195"/>
      <c r="C519" s="2257"/>
      <c r="D519" s="2257"/>
      <c r="E519" s="1195"/>
      <c r="F519" s="2257"/>
      <c r="G519" s="2257"/>
      <c r="H519" s="1195"/>
      <c r="I519" s="1195"/>
      <c r="J519" s="1195"/>
      <c r="K519" s="1195"/>
      <c r="L519" s="1195"/>
      <c r="M519" s="1195"/>
      <c r="N519" s="1195"/>
    </row>
    <row r="520" spans="1:14" ht="16">
      <c r="A520" s="2263"/>
      <c r="B520" s="1195"/>
      <c r="C520" s="2257"/>
      <c r="D520" s="2257"/>
      <c r="E520" s="1195"/>
      <c r="F520" s="2257"/>
      <c r="G520" s="2257"/>
      <c r="H520" s="1195"/>
      <c r="I520" s="1195"/>
      <c r="J520" s="1195"/>
      <c r="K520" s="1195"/>
      <c r="L520" s="1195"/>
      <c r="M520" s="1195"/>
      <c r="N520" s="1195"/>
    </row>
    <row r="521" spans="1:14" ht="16">
      <c r="A521" s="2263"/>
      <c r="B521" s="1195"/>
      <c r="C521" s="2257"/>
      <c r="D521" s="2257"/>
      <c r="E521" s="1195"/>
      <c r="F521" s="2257"/>
      <c r="G521" s="2257"/>
      <c r="H521" s="1195"/>
      <c r="I521" s="1195"/>
      <c r="J521" s="1195"/>
      <c r="K521" s="1195"/>
      <c r="L521" s="1195"/>
      <c r="M521" s="1195"/>
      <c r="N521" s="1195"/>
    </row>
    <row r="522" spans="1:14" ht="16">
      <c r="A522" s="2263"/>
      <c r="B522" s="1195"/>
      <c r="C522" s="2257"/>
      <c r="D522" s="2257"/>
      <c r="E522" s="1195"/>
      <c r="F522" s="2257"/>
      <c r="G522" s="2257"/>
      <c r="H522" s="1195"/>
      <c r="I522" s="1195"/>
      <c r="J522" s="1195"/>
      <c r="K522" s="1195"/>
      <c r="L522" s="1195"/>
      <c r="M522" s="1195"/>
      <c r="N522" s="1195"/>
    </row>
    <row r="523" spans="1:14" ht="16">
      <c r="A523" s="2263"/>
      <c r="B523" s="1195"/>
      <c r="C523" s="2257"/>
      <c r="D523" s="2257"/>
      <c r="E523" s="1195"/>
      <c r="F523" s="2257"/>
      <c r="G523" s="2257"/>
      <c r="H523" s="1195"/>
      <c r="I523" s="1195"/>
      <c r="J523" s="1195"/>
      <c r="K523" s="1195"/>
      <c r="L523" s="1195"/>
      <c r="M523" s="1195"/>
      <c r="N523" s="1195"/>
    </row>
    <row r="524" spans="1:14" ht="16">
      <c r="A524" s="2263"/>
      <c r="B524" s="1195"/>
      <c r="C524" s="2257"/>
      <c r="D524" s="2257"/>
      <c r="E524" s="1195"/>
      <c r="F524" s="2257"/>
      <c r="G524" s="2257"/>
      <c r="H524" s="1195"/>
      <c r="I524" s="1195"/>
      <c r="J524" s="1195"/>
      <c r="K524" s="1195"/>
      <c r="L524" s="1195"/>
      <c r="M524" s="1195"/>
      <c r="N524" s="1195"/>
    </row>
    <row r="525" spans="1:14" ht="16">
      <c r="A525" s="2263"/>
      <c r="B525" s="1195"/>
      <c r="C525" s="2257"/>
      <c r="D525" s="2257"/>
      <c r="E525" s="1195"/>
      <c r="F525" s="2257"/>
      <c r="G525" s="2257"/>
      <c r="H525" s="1195"/>
      <c r="I525" s="1195"/>
      <c r="J525" s="1195"/>
      <c r="K525" s="1195"/>
      <c r="L525" s="1195"/>
      <c r="M525" s="1195"/>
      <c r="N525" s="1195"/>
    </row>
    <row r="526" spans="1:14" ht="16">
      <c r="A526" s="2263"/>
      <c r="B526" s="1195"/>
      <c r="C526" s="2257"/>
      <c r="D526" s="2257"/>
      <c r="E526" s="1195"/>
      <c r="F526" s="2257"/>
      <c r="G526" s="2257"/>
      <c r="H526" s="1195"/>
      <c r="I526" s="1195"/>
      <c r="J526" s="1195"/>
      <c r="K526" s="1195"/>
      <c r="L526" s="1195"/>
      <c r="M526" s="1195"/>
      <c r="N526" s="1195"/>
    </row>
    <row r="527" spans="1:14" ht="16">
      <c r="A527" s="2263"/>
      <c r="B527" s="1195"/>
      <c r="C527" s="2257"/>
      <c r="D527" s="2257"/>
      <c r="E527" s="1195"/>
      <c r="F527" s="2257"/>
      <c r="G527" s="2257"/>
      <c r="H527" s="1195"/>
      <c r="I527" s="1195"/>
      <c r="J527" s="1195"/>
      <c r="K527" s="1195"/>
      <c r="L527" s="1195"/>
      <c r="M527" s="1195"/>
      <c r="N527" s="1195"/>
    </row>
    <row r="528" spans="1:14" ht="16">
      <c r="A528" s="2263"/>
      <c r="B528" s="1195"/>
      <c r="C528" s="2257"/>
      <c r="D528" s="2257"/>
      <c r="E528" s="1195"/>
      <c r="F528" s="2257"/>
      <c r="G528" s="2257"/>
      <c r="H528" s="1195"/>
      <c r="I528" s="1195"/>
      <c r="J528" s="1195"/>
      <c r="K528" s="1195"/>
      <c r="L528" s="1195"/>
      <c r="M528" s="1195"/>
      <c r="N528" s="1195"/>
    </row>
    <row r="529" spans="1:14" ht="16">
      <c r="A529" s="2263"/>
      <c r="B529" s="1195"/>
      <c r="C529" s="2257"/>
      <c r="D529" s="2257"/>
      <c r="E529" s="1195"/>
      <c r="F529" s="2257"/>
      <c r="G529" s="2257"/>
      <c r="H529" s="1195"/>
      <c r="I529" s="1195"/>
      <c r="J529" s="1195"/>
      <c r="K529" s="1195"/>
      <c r="L529" s="1195"/>
      <c r="M529" s="1195"/>
      <c r="N529" s="1195"/>
    </row>
    <row r="530" spans="1:14" ht="16">
      <c r="A530" s="2263"/>
      <c r="B530" s="1195"/>
      <c r="C530" s="2257"/>
      <c r="D530" s="2257"/>
      <c r="E530" s="1195"/>
      <c r="F530" s="2257"/>
      <c r="G530" s="2257"/>
      <c r="H530" s="1195"/>
      <c r="I530" s="1195"/>
      <c r="J530" s="1195"/>
      <c r="K530" s="1195"/>
      <c r="L530" s="1195"/>
      <c r="M530" s="1195"/>
      <c r="N530" s="1195"/>
    </row>
    <row r="531" spans="1:14" ht="16">
      <c r="A531" s="2263"/>
      <c r="B531" s="1195"/>
      <c r="C531" s="2257"/>
      <c r="D531" s="2257"/>
      <c r="E531" s="1195"/>
      <c r="F531" s="2257"/>
      <c r="G531" s="2257"/>
      <c r="H531" s="1195"/>
      <c r="I531" s="1195"/>
      <c r="J531" s="1195"/>
      <c r="K531" s="1195"/>
      <c r="L531" s="1195"/>
      <c r="M531" s="1195"/>
      <c r="N531" s="1195"/>
    </row>
    <row r="532" spans="1:14" ht="16">
      <c r="A532" s="2263"/>
      <c r="B532" s="1195"/>
      <c r="C532" s="2257"/>
      <c r="D532" s="2257"/>
      <c r="E532" s="1195"/>
      <c r="F532" s="2257"/>
      <c r="G532" s="2257"/>
      <c r="H532" s="1195"/>
      <c r="I532" s="1195"/>
      <c r="J532" s="1195"/>
      <c r="K532" s="1195"/>
      <c r="L532" s="1195"/>
      <c r="M532" s="1195"/>
      <c r="N532" s="1195"/>
    </row>
    <row r="533" spans="1:14" ht="16">
      <c r="A533" s="2263"/>
      <c r="B533" s="1195"/>
      <c r="C533" s="2257"/>
      <c r="D533" s="2257"/>
      <c r="E533" s="1195"/>
      <c r="F533" s="2257"/>
      <c r="G533" s="2257"/>
      <c r="H533" s="1195"/>
      <c r="I533" s="1195"/>
      <c r="J533" s="1195"/>
      <c r="K533" s="1195"/>
      <c r="L533" s="1195"/>
      <c r="M533" s="1195"/>
      <c r="N533" s="1195"/>
    </row>
    <row r="534" spans="1:14" ht="16">
      <c r="A534" s="2263"/>
      <c r="B534" s="1195"/>
      <c r="C534" s="2257"/>
      <c r="D534" s="2257"/>
      <c r="E534" s="1195"/>
      <c r="F534" s="2257"/>
      <c r="G534" s="2257"/>
      <c r="H534" s="1195"/>
      <c r="I534" s="1195"/>
      <c r="J534" s="1195"/>
      <c r="K534" s="1195"/>
      <c r="L534" s="1195"/>
      <c r="M534" s="1195"/>
      <c r="N534" s="1195"/>
    </row>
    <row r="535" spans="1:14" ht="16">
      <c r="A535" s="2263"/>
      <c r="B535" s="1195"/>
      <c r="C535" s="2257"/>
      <c r="D535" s="2257"/>
      <c r="E535" s="1195"/>
      <c r="F535" s="2257"/>
      <c r="G535" s="2257"/>
      <c r="H535" s="1195"/>
      <c r="I535" s="1195"/>
      <c r="J535" s="1195"/>
      <c r="K535" s="1195"/>
      <c r="L535" s="1195"/>
      <c r="M535" s="1195"/>
      <c r="N535" s="1195"/>
    </row>
    <row r="536" spans="1:14" ht="16">
      <c r="A536" s="2263"/>
      <c r="B536" s="1195"/>
      <c r="C536" s="2257"/>
      <c r="D536" s="2257"/>
      <c r="E536" s="1195"/>
      <c r="F536" s="2257"/>
      <c r="G536" s="2257"/>
      <c r="H536" s="1195"/>
      <c r="I536" s="1195"/>
      <c r="J536" s="1195"/>
      <c r="K536" s="1195"/>
      <c r="L536" s="1195"/>
      <c r="M536" s="1195"/>
      <c r="N536" s="1195"/>
    </row>
    <row r="537" spans="1:14" ht="16">
      <c r="A537" s="2263"/>
      <c r="B537" s="1195"/>
      <c r="C537" s="2257"/>
      <c r="D537" s="2257"/>
      <c r="E537" s="1195"/>
      <c r="F537" s="2257"/>
      <c r="G537" s="2257"/>
      <c r="H537" s="1195"/>
      <c r="I537" s="1195"/>
      <c r="J537" s="1195"/>
      <c r="K537" s="1195"/>
      <c r="L537" s="1195"/>
      <c r="M537" s="1195"/>
      <c r="N537" s="1195"/>
    </row>
    <row r="538" spans="1:14" ht="16">
      <c r="A538" s="2263"/>
      <c r="B538" s="1195"/>
      <c r="C538" s="2257"/>
      <c r="D538" s="2257"/>
      <c r="E538" s="1195"/>
      <c r="F538" s="2257"/>
      <c r="G538" s="2257"/>
      <c r="H538" s="1195"/>
      <c r="I538" s="1195"/>
      <c r="J538" s="1195"/>
      <c r="K538" s="1195"/>
      <c r="L538" s="1195"/>
      <c r="M538" s="1195"/>
      <c r="N538" s="1195"/>
    </row>
    <row r="539" spans="1:14" ht="16">
      <c r="A539" s="2263"/>
      <c r="B539" s="1195"/>
      <c r="C539" s="2257"/>
      <c r="D539" s="2257"/>
      <c r="E539" s="1195"/>
      <c r="F539" s="2257"/>
      <c r="G539" s="2257"/>
      <c r="H539" s="1195"/>
      <c r="I539" s="1195"/>
      <c r="J539" s="1195"/>
      <c r="K539" s="1195"/>
      <c r="L539" s="1195"/>
      <c r="M539" s="1195"/>
      <c r="N539" s="1195"/>
    </row>
    <row r="540" spans="1:14" ht="16">
      <c r="A540" s="2263"/>
      <c r="B540" s="1195"/>
      <c r="C540" s="2257"/>
      <c r="D540" s="2257"/>
      <c r="E540" s="1195"/>
      <c r="F540" s="2257"/>
      <c r="G540" s="2257"/>
      <c r="H540" s="1195"/>
      <c r="I540" s="1195"/>
      <c r="J540" s="1195"/>
      <c r="K540" s="1195"/>
      <c r="L540" s="1195"/>
      <c r="M540" s="1195"/>
      <c r="N540" s="1195"/>
    </row>
    <row r="541" spans="1:14" ht="16">
      <c r="A541" s="2263"/>
      <c r="B541" s="1195"/>
      <c r="C541" s="2257"/>
      <c r="D541" s="2257"/>
      <c r="E541" s="1195"/>
      <c r="F541" s="2257"/>
      <c r="G541" s="2257"/>
      <c r="H541" s="1195"/>
      <c r="I541" s="1195"/>
      <c r="J541" s="1195"/>
      <c r="K541" s="1195"/>
      <c r="L541" s="1195"/>
      <c r="M541" s="1195"/>
      <c r="N541" s="1195"/>
    </row>
    <row r="542" spans="1:14" ht="16">
      <c r="A542" s="2263"/>
      <c r="B542" s="1195"/>
      <c r="C542" s="2257"/>
      <c r="D542" s="2257"/>
      <c r="E542" s="1195"/>
      <c r="F542" s="2257"/>
      <c r="G542" s="2257"/>
      <c r="H542" s="1195"/>
      <c r="I542" s="1195"/>
      <c r="J542" s="1195"/>
      <c r="K542" s="1195"/>
      <c r="L542" s="1195"/>
      <c r="M542" s="1195"/>
      <c r="N542" s="1195"/>
    </row>
    <row r="543" spans="1:14" ht="16">
      <c r="A543" s="2263"/>
      <c r="B543" s="1195"/>
      <c r="C543" s="2257"/>
      <c r="D543" s="2257"/>
      <c r="E543" s="1195"/>
      <c r="F543" s="2257"/>
      <c r="G543" s="2257"/>
      <c r="H543" s="1195"/>
      <c r="I543" s="1195"/>
      <c r="J543" s="1195"/>
      <c r="K543" s="1195"/>
      <c r="L543" s="1195"/>
      <c r="M543" s="1195"/>
      <c r="N543" s="1195"/>
    </row>
    <row r="544" spans="1:14" ht="16">
      <c r="A544" s="2263"/>
      <c r="B544" s="1195"/>
      <c r="C544" s="2257"/>
      <c r="D544" s="2257"/>
      <c r="E544" s="1195"/>
      <c r="F544" s="2257"/>
      <c r="G544" s="2257"/>
      <c r="H544" s="1195"/>
      <c r="I544" s="1195"/>
      <c r="J544" s="1195"/>
      <c r="K544" s="1195"/>
      <c r="L544" s="1195"/>
      <c r="M544" s="1195"/>
      <c r="N544" s="1195"/>
    </row>
    <row r="545" spans="1:14" ht="16">
      <c r="A545" s="2263"/>
      <c r="B545" s="1195"/>
      <c r="C545" s="2257"/>
      <c r="D545" s="2257"/>
      <c r="E545" s="1195"/>
      <c r="F545" s="2257"/>
      <c r="G545" s="2257"/>
      <c r="H545" s="1195"/>
      <c r="I545" s="1195"/>
      <c r="J545" s="1195"/>
      <c r="K545" s="1195"/>
      <c r="L545" s="1195"/>
      <c r="M545" s="1195"/>
      <c r="N545" s="1195"/>
    </row>
    <row r="546" spans="1:14" ht="16">
      <c r="A546" s="2263"/>
      <c r="B546" s="1195"/>
      <c r="C546" s="2257"/>
      <c r="D546" s="2257"/>
      <c r="E546" s="1195"/>
      <c r="F546" s="2257"/>
      <c r="G546" s="2257"/>
      <c r="H546" s="1195"/>
      <c r="I546" s="1195"/>
      <c r="J546" s="1195"/>
      <c r="K546" s="1195"/>
      <c r="L546" s="1195"/>
      <c r="M546" s="1195"/>
      <c r="N546" s="1195"/>
    </row>
    <row r="547" spans="1:14" ht="16">
      <c r="A547" s="2263"/>
      <c r="B547" s="1195"/>
      <c r="C547" s="2257"/>
      <c r="D547" s="2257"/>
      <c r="E547" s="1195"/>
      <c r="F547" s="2257"/>
      <c r="G547" s="2257"/>
      <c r="H547" s="1195"/>
      <c r="I547" s="1195"/>
      <c r="J547" s="1195"/>
      <c r="K547" s="1195"/>
      <c r="L547" s="1195"/>
      <c r="M547" s="1195"/>
      <c r="N547" s="1195"/>
    </row>
    <row r="548" spans="1:14" ht="16">
      <c r="A548" s="2263"/>
      <c r="B548" s="1195"/>
      <c r="C548" s="2257"/>
      <c r="D548" s="2257"/>
      <c r="E548" s="1195"/>
      <c r="F548" s="2257"/>
      <c r="G548" s="2257"/>
      <c r="H548" s="1195"/>
      <c r="I548" s="1195"/>
      <c r="J548" s="1195"/>
      <c r="K548" s="1195"/>
      <c r="L548" s="1195"/>
      <c r="M548" s="1195"/>
      <c r="N548" s="1195"/>
    </row>
    <row r="549" spans="1:14" ht="16">
      <c r="A549" s="2263"/>
      <c r="B549" s="1195"/>
      <c r="C549" s="2257"/>
      <c r="D549" s="2257"/>
      <c r="E549" s="1195"/>
      <c r="F549" s="2257"/>
      <c r="G549" s="2257"/>
      <c r="H549" s="1195"/>
      <c r="I549" s="1195"/>
      <c r="J549" s="1195"/>
      <c r="K549" s="1195"/>
      <c r="L549" s="1195"/>
      <c r="M549" s="1195"/>
      <c r="N549" s="1195"/>
    </row>
    <row r="550" spans="1:14" ht="16">
      <c r="A550" s="2263"/>
      <c r="B550" s="1195"/>
      <c r="C550" s="2257"/>
      <c r="D550" s="2257"/>
      <c r="E550" s="1195"/>
      <c r="F550" s="2257"/>
      <c r="G550" s="2257"/>
      <c r="H550" s="1195"/>
      <c r="I550" s="1195"/>
      <c r="J550" s="1195"/>
      <c r="K550" s="1195"/>
      <c r="L550" s="1195"/>
      <c r="M550" s="1195"/>
      <c r="N550" s="1195"/>
    </row>
    <row r="551" spans="1:14" ht="16">
      <c r="A551" s="2263"/>
      <c r="B551" s="1195"/>
      <c r="C551" s="2257"/>
      <c r="D551" s="2257"/>
      <c r="E551" s="1195"/>
      <c r="F551" s="2257"/>
      <c r="G551" s="2257"/>
      <c r="H551" s="1195"/>
      <c r="I551" s="1195"/>
      <c r="J551" s="1195"/>
      <c r="K551" s="1195"/>
      <c r="L551" s="1195"/>
      <c r="M551" s="1195"/>
      <c r="N551" s="1195"/>
    </row>
    <row r="552" spans="1:14" ht="16">
      <c r="A552" s="2263"/>
      <c r="B552" s="1195"/>
      <c r="C552" s="2257"/>
      <c r="D552" s="2257"/>
      <c r="E552" s="1195"/>
      <c r="F552" s="2257"/>
      <c r="G552" s="2257"/>
      <c r="H552" s="1195"/>
      <c r="I552" s="1195"/>
      <c r="J552" s="1195"/>
      <c r="K552" s="1195"/>
      <c r="L552" s="1195"/>
      <c r="M552" s="1195"/>
      <c r="N552" s="1195"/>
    </row>
    <row r="553" spans="1:14" ht="16">
      <c r="A553" s="2263"/>
      <c r="B553" s="1195"/>
      <c r="C553" s="2257"/>
      <c r="D553" s="2257"/>
      <c r="E553" s="1195"/>
      <c r="F553" s="2257"/>
      <c r="G553" s="2257"/>
      <c r="H553" s="1195"/>
      <c r="I553" s="1195"/>
      <c r="J553" s="1195"/>
      <c r="K553" s="1195"/>
      <c r="L553" s="1195"/>
      <c r="M553" s="1195"/>
      <c r="N553" s="1195"/>
    </row>
    <row r="554" spans="1:14" ht="16">
      <c r="A554" s="2263"/>
      <c r="B554" s="1195"/>
      <c r="C554" s="2257"/>
      <c r="D554" s="2257"/>
      <c r="E554" s="1195"/>
      <c r="F554" s="2257"/>
      <c r="G554" s="2257"/>
      <c r="H554" s="1195"/>
      <c r="I554" s="1195"/>
      <c r="J554" s="1195"/>
      <c r="K554" s="1195"/>
      <c r="L554" s="1195"/>
      <c r="M554" s="1195"/>
      <c r="N554" s="1195"/>
    </row>
    <row r="555" spans="1:14" ht="16">
      <c r="A555" s="2263"/>
      <c r="B555" s="1195"/>
      <c r="C555" s="2257"/>
      <c r="D555" s="2257"/>
      <c r="E555" s="1195"/>
      <c r="F555" s="2257"/>
      <c r="G555" s="2257"/>
      <c r="H555" s="1195"/>
      <c r="I555" s="1195"/>
      <c r="J555" s="1195"/>
      <c r="K555" s="1195"/>
      <c r="L555" s="1195"/>
      <c r="M555" s="1195"/>
      <c r="N555" s="1195"/>
    </row>
  </sheetData>
  <mergeCells count="240">
    <mergeCell ref="G437:H437"/>
    <mergeCell ref="G438:H438"/>
    <mergeCell ref="G439:H439"/>
    <mergeCell ref="C445:F445"/>
    <mergeCell ref="A447:K448"/>
    <mergeCell ref="C484:F484"/>
    <mergeCell ref="A486:K487"/>
    <mergeCell ref="G428:H428"/>
    <mergeCell ref="G429:H429"/>
    <mergeCell ref="G430:H430"/>
    <mergeCell ref="G431:H431"/>
    <mergeCell ref="G432:H432"/>
    <mergeCell ref="G433:H433"/>
    <mergeCell ref="G434:H434"/>
    <mergeCell ref="G435:H435"/>
    <mergeCell ref="G436:H436"/>
    <mergeCell ref="G406:H406"/>
    <mergeCell ref="G407:H407"/>
    <mergeCell ref="G408:H408"/>
    <mergeCell ref="G409:H409"/>
    <mergeCell ref="G410:H410"/>
    <mergeCell ref="G411:H411"/>
    <mergeCell ref="C417:F417"/>
    <mergeCell ref="A419:K420"/>
    <mergeCell ref="G426:H426"/>
    <mergeCell ref="A394:F395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376:H376"/>
    <mergeCell ref="G377:H377"/>
    <mergeCell ref="G378:H378"/>
    <mergeCell ref="G379:H379"/>
    <mergeCell ref="G380:H380"/>
    <mergeCell ref="G381:H381"/>
    <mergeCell ref="G382:H382"/>
    <mergeCell ref="C390:F390"/>
    <mergeCell ref="A392:K393"/>
    <mergeCell ref="A351:A354"/>
    <mergeCell ref="C351:D351"/>
    <mergeCell ref="G351:H354"/>
    <mergeCell ref="C352:D352"/>
    <mergeCell ref="C353:D353"/>
    <mergeCell ref="C354:D354"/>
    <mergeCell ref="A357:K358"/>
    <mergeCell ref="A359:F360"/>
    <mergeCell ref="G365:H365"/>
    <mergeCell ref="A343:A346"/>
    <mergeCell ref="C343:D343"/>
    <mergeCell ref="G343:H346"/>
    <mergeCell ref="C344:D344"/>
    <mergeCell ref="C345:D345"/>
    <mergeCell ref="C346:D346"/>
    <mergeCell ref="A347:A350"/>
    <mergeCell ref="C347:D347"/>
    <mergeCell ref="G347:H350"/>
    <mergeCell ref="C348:D348"/>
    <mergeCell ref="C349:D349"/>
    <mergeCell ref="C350:D350"/>
    <mergeCell ref="A333:E333"/>
    <mergeCell ref="G333:K333"/>
    <mergeCell ref="A335:I335"/>
    <mergeCell ref="H336:I336"/>
    <mergeCell ref="C338:D338"/>
    <mergeCell ref="G338:H338"/>
    <mergeCell ref="A339:A342"/>
    <mergeCell ref="C339:D339"/>
    <mergeCell ref="G339:H342"/>
    <mergeCell ref="C340:D340"/>
    <mergeCell ref="C341:D341"/>
    <mergeCell ref="C342:D342"/>
    <mergeCell ref="A317:B317"/>
    <mergeCell ref="A318:B318"/>
    <mergeCell ref="A319:B319"/>
    <mergeCell ref="A320:B320"/>
    <mergeCell ref="A321:K322"/>
    <mergeCell ref="L321:L322"/>
    <mergeCell ref="A323:F323"/>
    <mergeCell ref="G323:L323"/>
    <mergeCell ref="A329:E329"/>
    <mergeCell ref="G329:K329"/>
    <mergeCell ref="A303:B304"/>
    <mergeCell ref="A305:E305"/>
    <mergeCell ref="A306:B306"/>
    <mergeCell ref="A307:B309"/>
    <mergeCell ref="A310:B311"/>
    <mergeCell ref="A312:B312"/>
    <mergeCell ref="A313:B313"/>
    <mergeCell ref="A314:B314"/>
    <mergeCell ref="A316:D316"/>
    <mergeCell ref="A293:B293"/>
    <mergeCell ref="A294:B294"/>
    <mergeCell ref="A295:B295"/>
    <mergeCell ref="A296:B296"/>
    <mergeCell ref="A297:B297"/>
    <mergeCell ref="A298:B298"/>
    <mergeCell ref="A299:B299"/>
    <mergeCell ref="A300:B300"/>
    <mergeCell ref="A301:B302"/>
    <mergeCell ref="H194:I194"/>
    <mergeCell ref="H195:I195"/>
    <mergeCell ref="H196:I196"/>
    <mergeCell ref="H197:I197"/>
    <mergeCell ref="A277:D277"/>
    <mergeCell ref="A289:E289"/>
    <mergeCell ref="A290:B290"/>
    <mergeCell ref="A291:B291"/>
    <mergeCell ref="A292:B292"/>
    <mergeCell ref="H183:I183"/>
    <mergeCell ref="A185:C185"/>
    <mergeCell ref="A186:C187"/>
    <mergeCell ref="A188:C189"/>
    <mergeCell ref="H189:I189"/>
    <mergeCell ref="H190:I190"/>
    <mergeCell ref="H191:I191"/>
    <mergeCell ref="H192:I192"/>
    <mergeCell ref="H193:I193"/>
    <mergeCell ref="A160:B161"/>
    <mergeCell ref="A162:B163"/>
    <mergeCell ref="A164:B165"/>
    <mergeCell ref="A166:E166"/>
    <mergeCell ref="A168:B170"/>
    <mergeCell ref="A171:B172"/>
    <mergeCell ref="A173:B173"/>
    <mergeCell ref="A174:B174"/>
    <mergeCell ref="H182:I182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9"/>
    <mergeCell ref="A135:C135"/>
    <mergeCell ref="A136:C137"/>
    <mergeCell ref="A138:C139"/>
    <mergeCell ref="A144:B144"/>
    <mergeCell ref="A145:B145"/>
    <mergeCell ref="A146:B146"/>
    <mergeCell ref="A147:B147"/>
    <mergeCell ref="A148:B148"/>
    <mergeCell ref="A149:B149"/>
    <mergeCell ref="A124:C124"/>
    <mergeCell ref="A125:C125"/>
    <mergeCell ref="A126:C126"/>
    <mergeCell ref="A127:C127"/>
    <mergeCell ref="A130:C130"/>
    <mergeCell ref="A131:C131"/>
    <mergeCell ref="A132:C132"/>
    <mergeCell ref="A133:C133"/>
    <mergeCell ref="A134:C134"/>
    <mergeCell ref="A109:C109"/>
    <mergeCell ref="A110:C110"/>
    <mergeCell ref="A111:C112"/>
    <mergeCell ref="A113:C114"/>
    <mergeCell ref="A119:F119"/>
    <mergeCell ref="A120:C120"/>
    <mergeCell ref="A121:C121"/>
    <mergeCell ref="A122:C122"/>
    <mergeCell ref="A123:C123"/>
    <mergeCell ref="A100:D100"/>
    <mergeCell ref="A101:C101"/>
    <mergeCell ref="A102:C102"/>
    <mergeCell ref="A103:C103"/>
    <mergeCell ref="A104:C104"/>
    <mergeCell ref="A105:C105"/>
    <mergeCell ref="A106:C106"/>
    <mergeCell ref="A107:C107"/>
    <mergeCell ref="A108:C108"/>
    <mergeCell ref="A83:C83"/>
    <mergeCell ref="A84:C84"/>
    <mergeCell ref="A85:C85"/>
    <mergeCell ref="A86:C86"/>
    <mergeCell ref="A87:C87"/>
    <mergeCell ref="A96:F96"/>
    <mergeCell ref="A97:C97"/>
    <mergeCell ref="A98:C98"/>
    <mergeCell ref="A99:C99"/>
    <mergeCell ref="A72:B72"/>
    <mergeCell ref="A73:B73"/>
    <mergeCell ref="A76:F76"/>
    <mergeCell ref="A77:C77"/>
    <mergeCell ref="A78:D78"/>
    <mergeCell ref="A79:C79"/>
    <mergeCell ref="A80:C80"/>
    <mergeCell ref="A81:C81"/>
    <mergeCell ref="A82:C82"/>
    <mergeCell ref="A57:B60"/>
    <mergeCell ref="A61:B64"/>
    <mergeCell ref="A65:B65"/>
    <mergeCell ref="A66:B66"/>
    <mergeCell ref="A67:B67"/>
    <mergeCell ref="A68:B68"/>
    <mergeCell ref="A69:B69"/>
    <mergeCell ref="A70:B70"/>
    <mergeCell ref="A71:E71"/>
    <mergeCell ref="A29:C29"/>
    <mergeCell ref="A30:F30"/>
    <mergeCell ref="A32:B32"/>
    <mergeCell ref="A33:B36"/>
    <mergeCell ref="A37:B40"/>
    <mergeCell ref="A41:B44"/>
    <mergeCell ref="A45:B48"/>
    <mergeCell ref="A49:B52"/>
    <mergeCell ref="I49:I56"/>
    <mergeCell ref="A53:B56"/>
    <mergeCell ref="A20:C20"/>
    <mergeCell ref="A21:C21"/>
    <mergeCell ref="A22:C22"/>
    <mergeCell ref="A23:C23"/>
    <mergeCell ref="A24:C24"/>
    <mergeCell ref="A25:F25"/>
    <mergeCell ref="A26:C26"/>
    <mergeCell ref="A27:C27"/>
    <mergeCell ref="A28:C28"/>
    <mergeCell ref="A11:C11"/>
    <mergeCell ref="A12:C12"/>
    <mergeCell ref="A13:C13"/>
    <mergeCell ref="A14:C14"/>
    <mergeCell ref="A15:C15"/>
    <mergeCell ref="A16:C16"/>
    <mergeCell ref="A17:C17"/>
    <mergeCell ref="A18:C18"/>
    <mergeCell ref="A19:F19"/>
    <mergeCell ref="A2:C2"/>
    <mergeCell ref="A3:C3"/>
    <mergeCell ref="A4:C4"/>
    <mergeCell ref="A5:C5"/>
    <mergeCell ref="A6:C6"/>
    <mergeCell ref="A7:C7"/>
    <mergeCell ref="A8:C8"/>
    <mergeCell ref="A9:C9"/>
    <mergeCell ref="A10:C10"/>
  </mergeCells>
  <pageMargins left="0.7" right="0.7" top="0.75" bottom="0.75" header="0.51180555555555496" footer="0.51180555555555496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F0"/>
  </sheetPr>
  <dimension ref="A1:AMJ2547"/>
  <sheetViews>
    <sheetView showGridLines="0" topLeftCell="A5" zoomScale="60" zoomScaleNormal="60" workbookViewId="0">
      <selection activeCell="N5" sqref="N5"/>
    </sheetView>
  </sheetViews>
  <sheetFormatPr baseColWidth="10" defaultColWidth="9.1640625" defaultRowHeight="16" outlineLevelCol="1"/>
  <cols>
    <col min="1" max="1" width="0.6640625" style="910" customWidth="1"/>
    <col min="2" max="2" width="51.1640625" style="910" customWidth="1"/>
    <col min="3" max="3" width="9.33203125" style="2824" customWidth="1"/>
    <col min="4" max="4" width="10.5" style="2825" customWidth="1"/>
    <col min="5" max="5" width="14" style="2826" customWidth="1"/>
    <col min="6" max="6" width="17.33203125" style="2826" customWidth="1"/>
    <col min="7" max="7" width="13.1640625" style="2826" customWidth="1"/>
    <col min="8" max="8" width="15.5" style="2827" customWidth="1"/>
    <col min="9" max="9" width="10.5" style="2828" hidden="1" customWidth="1"/>
    <col min="10" max="10" width="13.83203125" style="910" customWidth="1" outlineLevel="1"/>
    <col min="11" max="11" width="12.83203125" style="910" customWidth="1" outlineLevel="1"/>
    <col min="12" max="33" width="9.1640625" style="2829"/>
    <col min="34" max="1024" width="9.1640625" style="910"/>
  </cols>
  <sheetData>
    <row r="1" spans="1:12">
      <c r="A1" s="2830"/>
      <c r="B1" s="2831" t="s">
        <v>4623</v>
      </c>
      <c r="C1" s="2832"/>
      <c r="D1" s="2833"/>
      <c r="E1" s="2834"/>
      <c r="F1" s="2834"/>
      <c r="G1" s="2834"/>
      <c r="H1" s="2835"/>
      <c r="I1" s="2836"/>
      <c r="J1" s="2829"/>
      <c r="K1" s="2837"/>
    </row>
    <row r="2" spans="1:12">
      <c r="A2" s="2830"/>
      <c r="B2" s="2831" t="s">
        <v>4624</v>
      </c>
      <c r="C2" s="2832"/>
      <c r="D2" s="3273" t="s">
        <v>4625</v>
      </c>
      <c r="E2" s="3273"/>
      <c r="F2" s="3273"/>
      <c r="G2" s="3273"/>
      <c r="H2" s="2839">
        <f>'Ввод данных'!C12</f>
        <v>10</v>
      </c>
      <c r="I2" s="2836"/>
      <c r="J2" s="2829"/>
      <c r="K2" s="2837"/>
    </row>
    <row r="3" spans="1:12">
      <c r="A3" s="2830"/>
      <c r="B3" s="2831"/>
      <c r="C3" s="2832"/>
      <c r="D3" s="3273" t="s">
        <v>4626</v>
      </c>
      <c r="E3" s="3273"/>
      <c r="F3" s="3273"/>
      <c r="G3" s="3273"/>
      <c r="H3" s="2839">
        <f>'Ввод данных'!C11</f>
        <v>10</v>
      </c>
      <c r="I3" s="2836"/>
      <c r="J3" s="2829"/>
      <c r="K3" s="2837"/>
    </row>
    <row r="4" spans="1:12">
      <c r="A4" s="2830"/>
      <c r="B4" s="2831"/>
      <c r="C4" s="2832"/>
      <c r="D4" s="3273" t="s">
        <v>2032</v>
      </c>
      <c r="E4" s="3273"/>
      <c r="F4" s="3273"/>
      <c r="G4" s="3273"/>
      <c r="H4" s="2839">
        <f>дома!C15</f>
        <v>1</v>
      </c>
      <c r="I4" s="2836"/>
      <c r="J4" s="2829"/>
      <c r="K4" s="2837"/>
    </row>
    <row r="5" spans="1:12">
      <c r="A5" s="2830"/>
      <c r="B5" s="2831"/>
      <c r="C5" s="2832"/>
      <c r="D5" s="3273" t="s">
        <v>4627</v>
      </c>
      <c r="E5" s="3273"/>
      <c r="F5" s="3273"/>
      <c r="G5" s="3273"/>
      <c r="H5" s="2839">
        <f>дома!J108</f>
        <v>100</v>
      </c>
      <c r="I5" s="2836"/>
      <c r="J5" s="2829"/>
      <c r="K5" s="2837"/>
    </row>
    <row r="6" spans="1:12">
      <c r="A6" s="2830"/>
      <c r="B6" s="2831"/>
      <c r="C6" s="2832"/>
      <c r="D6" s="3273" t="s">
        <v>4628</v>
      </c>
      <c r="E6" s="3273"/>
      <c r="F6" s="3273"/>
      <c r="G6" s="3273"/>
      <c r="H6" s="2839">
        <f>дома!K108</f>
        <v>100</v>
      </c>
      <c r="I6" s="2836"/>
      <c r="J6" s="2829"/>
      <c r="K6" s="2837"/>
    </row>
    <row r="7" spans="1:12">
      <c r="A7" s="2830"/>
      <c r="B7" s="2830"/>
      <c r="C7" s="2840"/>
      <c r="D7" s="2841"/>
      <c r="E7" s="2842"/>
      <c r="F7" s="2842"/>
      <c r="G7" s="2842"/>
      <c r="H7" s="2843"/>
      <c r="I7" s="2844"/>
      <c r="J7" s="2829"/>
      <c r="K7" s="2837"/>
    </row>
    <row r="8" spans="1:12">
      <c r="A8" s="2830"/>
      <c r="B8" s="3274" t="s">
        <v>4629</v>
      </c>
      <c r="C8" s="3274"/>
      <c r="D8" s="3274"/>
      <c r="E8" s="3274"/>
      <c r="F8" s="3274"/>
      <c r="G8" s="3274"/>
      <c r="H8" s="3274"/>
      <c r="I8" s="2844"/>
      <c r="J8" s="2829"/>
      <c r="K8" s="2837"/>
    </row>
    <row r="9" spans="1:12">
      <c r="A9" s="2845"/>
      <c r="B9" s="3274" t="s">
        <v>4630</v>
      </c>
      <c r="C9" s="3274"/>
      <c r="D9" s="3274"/>
      <c r="E9" s="3274"/>
      <c r="F9" s="3274"/>
      <c r="G9" s="3274"/>
      <c r="H9" s="3274"/>
      <c r="I9" s="2844"/>
      <c r="J9" s="2829"/>
      <c r="K9" s="2837"/>
    </row>
    <row r="10" spans="1:12">
      <c r="A10" s="2845"/>
      <c r="B10" s="2846"/>
      <c r="C10" s="2846"/>
      <c r="D10" s="2847"/>
      <c r="E10" s="2848"/>
      <c r="F10" s="2848"/>
      <c r="G10" s="2848"/>
      <c r="H10" s="2849"/>
      <c r="I10" s="2844"/>
      <c r="J10" s="2850"/>
      <c r="K10" s="2851"/>
    </row>
    <row r="11" spans="1:12">
      <c r="A11" s="2852"/>
      <c r="B11" s="433" t="s">
        <v>4631</v>
      </c>
      <c r="C11" s="433" t="s">
        <v>3593</v>
      </c>
      <c r="D11" s="378" t="s">
        <v>1802</v>
      </c>
      <c r="E11" s="815" t="s">
        <v>4632</v>
      </c>
      <c r="F11" s="815" t="s">
        <v>4633</v>
      </c>
      <c r="G11" s="815" t="s">
        <v>4634</v>
      </c>
      <c r="H11" s="243" t="s">
        <v>4635</v>
      </c>
      <c r="I11" s="2853"/>
      <c r="J11" s="3275" t="s">
        <v>4636</v>
      </c>
      <c r="K11" s="3275"/>
      <c r="L11" s="2854"/>
    </row>
    <row r="12" spans="1:12" ht="21">
      <c r="A12" s="2829"/>
      <c r="B12" s="3276" t="s">
        <v>4637</v>
      </c>
      <c r="C12" s="3276"/>
      <c r="D12" s="3276"/>
      <c r="E12" s="3276"/>
      <c r="F12" s="2855"/>
      <c r="G12" s="2855"/>
      <c r="H12" s="2856">
        <f>VLOOKUP('Ввод данных'!F890,связи1!A2:B3,2,0)*фундамент!D562</f>
        <v>0</v>
      </c>
      <c r="I12" s="2857">
        <f>H12</f>
        <v>0</v>
      </c>
      <c r="J12" s="2858"/>
      <c r="K12" s="2858"/>
      <c r="L12" s="2854"/>
    </row>
    <row r="13" spans="1:12">
      <c r="A13" s="2859"/>
      <c r="B13" s="3277" t="s">
        <v>2720</v>
      </c>
      <c r="C13" s="3277"/>
      <c r="D13" s="3277"/>
      <c r="E13" s="3277"/>
      <c r="F13" s="2860"/>
      <c r="G13" s="2860"/>
      <c r="H13" s="2861">
        <f>H12</f>
        <v>0</v>
      </c>
      <c r="I13" s="2862">
        <f>H13</f>
        <v>0</v>
      </c>
      <c r="J13" s="2863" t="s">
        <v>4638</v>
      </c>
      <c r="K13" s="279" t="s">
        <v>4639</v>
      </c>
      <c r="L13" s="2854"/>
    </row>
    <row r="14" spans="1:12">
      <c r="A14" s="2864"/>
      <c r="B14" s="275" t="str">
        <f>фундамент!A597</f>
        <v>Сосна влаж,150*40мм</v>
      </c>
      <c r="C14" s="99" t="str">
        <f>фундамент!B597</f>
        <v>м3</v>
      </c>
      <c r="D14" s="275">
        <f>фундамент!C597</f>
        <v>0</v>
      </c>
      <c r="E14" s="275">
        <f>фундамент!D597</f>
        <v>6500</v>
      </c>
      <c r="F14" s="2865">
        <v>8000</v>
      </c>
      <c r="G14" s="275">
        <f t="shared" ref="G14:G22" si="0">IF(F14&gt;0,D14*F14,E14*D14)</f>
        <v>0</v>
      </c>
      <c r="H14" s="2315">
        <f>D14*E14*H12</f>
        <v>0</v>
      </c>
      <c r="I14" s="2866">
        <f t="shared" ref="I14:I23" si="1">IF(G14&gt;H14,G14,H14)*$H$12</f>
        <v>0</v>
      </c>
      <c r="J14" s="2863"/>
      <c r="K14" s="223">
        <f t="shared" ref="K14:K23" si="2">D14-J14</f>
        <v>0</v>
      </c>
      <c r="L14" s="2854"/>
    </row>
    <row r="15" spans="1:12">
      <c r="A15" s="2864"/>
      <c r="B15" s="275" t="str">
        <f>фундамент!A598</f>
        <v xml:space="preserve">Пленка гидроизоляционная </v>
      </c>
      <c r="C15" s="99" t="str">
        <f>фундамент!B598</f>
        <v>м2</v>
      </c>
      <c r="D15" s="275">
        <f>фундамент!C598</f>
        <v>0</v>
      </c>
      <c r="E15" s="275">
        <f>фундамент!D598</f>
        <v>15</v>
      </c>
      <c r="F15" s="2284"/>
      <c r="G15" s="275">
        <f t="shared" si="0"/>
        <v>0</v>
      </c>
      <c r="H15" s="2315">
        <f>D15*E15*H12</f>
        <v>0</v>
      </c>
      <c r="I15" s="2866">
        <f t="shared" si="1"/>
        <v>0</v>
      </c>
      <c r="J15" s="2863"/>
      <c r="K15" s="223">
        <f t="shared" si="2"/>
        <v>0</v>
      </c>
      <c r="L15" s="2854"/>
    </row>
    <row r="16" spans="1:12">
      <c r="A16" s="2864"/>
      <c r="B16" s="275" t="str">
        <f>фундамент!A599</f>
        <v>Гидроизол</v>
      </c>
      <c r="C16" s="99" t="str">
        <f>фундамент!B599</f>
        <v>м2</v>
      </c>
      <c r="D16" s="275">
        <f>фундамент!C599</f>
        <v>0</v>
      </c>
      <c r="E16" s="275">
        <f>фундамент!D599</f>
        <v>70</v>
      </c>
      <c r="F16" s="2284"/>
      <c r="G16" s="275">
        <f t="shared" si="0"/>
        <v>0</v>
      </c>
      <c r="H16" s="2315">
        <f>D16*E16*H12</f>
        <v>0</v>
      </c>
      <c r="I16" s="2866">
        <f t="shared" si="1"/>
        <v>0</v>
      </c>
      <c r="J16" s="2863"/>
      <c r="K16" s="223">
        <f t="shared" si="2"/>
        <v>0</v>
      </c>
      <c r="L16" s="2854"/>
    </row>
    <row r="17" spans="1:12">
      <c r="A17" s="2864"/>
      <c r="B17" s="275" t="str">
        <f>фундамент!A600</f>
        <v>Арматура стальная Ø 12</v>
      </c>
      <c r="C17" s="99" t="str">
        <f>фундамент!B600</f>
        <v>м.п</v>
      </c>
      <c r="D17" s="275">
        <f>фундамент!C600</f>
        <v>0</v>
      </c>
      <c r="E17" s="275">
        <f>фундамент!D600</f>
        <v>29.215199999999999</v>
      </c>
      <c r="F17" s="2284"/>
      <c r="G17" s="275">
        <f t="shared" si="0"/>
        <v>0</v>
      </c>
      <c r="H17" s="2867">
        <f>D17*E17*H12</f>
        <v>0</v>
      </c>
      <c r="I17" s="2866">
        <f t="shared" si="1"/>
        <v>0</v>
      </c>
      <c r="J17" s="2863"/>
      <c r="K17" s="223">
        <f t="shared" si="2"/>
        <v>0</v>
      </c>
      <c r="L17" s="2854"/>
    </row>
    <row r="18" spans="1:12">
      <c r="A18" s="2864"/>
      <c r="B18" s="275" t="str">
        <f>фундамент!A601</f>
        <v>Нет арматуры</v>
      </c>
      <c r="C18" s="99" t="str">
        <f>фундамент!B601</f>
        <v>м.п</v>
      </c>
      <c r="D18" s="275">
        <f>фундамент!C601</f>
        <v>0</v>
      </c>
      <c r="E18" s="275">
        <f>фундамент!D601</f>
        <v>0</v>
      </c>
      <c r="F18" s="2284"/>
      <c r="G18" s="275">
        <f t="shared" si="0"/>
        <v>0</v>
      </c>
      <c r="H18" s="2315">
        <f>D18*E18*H12</f>
        <v>0</v>
      </c>
      <c r="I18" s="2866">
        <f t="shared" si="1"/>
        <v>0</v>
      </c>
      <c r="J18" s="2863"/>
      <c r="K18" s="223">
        <f t="shared" si="2"/>
        <v>0</v>
      </c>
      <c r="L18" s="2854"/>
    </row>
    <row r="19" spans="1:12">
      <c r="A19" s="2864"/>
      <c r="B19" s="275" t="str">
        <f>фундамент!A602</f>
        <v>Вязальная проволока</v>
      </c>
      <c r="C19" s="99" t="str">
        <f>фундамент!B602</f>
        <v>кг</v>
      </c>
      <c r="D19" s="275">
        <f>фундамент!C602</f>
        <v>0</v>
      </c>
      <c r="E19" s="275">
        <f>фундамент!D602</f>
        <v>80</v>
      </c>
      <c r="F19" s="2284"/>
      <c r="G19" s="275">
        <f t="shared" si="0"/>
        <v>0</v>
      </c>
      <c r="H19" s="2315">
        <f>D19*E19*H12</f>
        <v>0</v>
      </c>
      <c r="I19" s="2866">
        <f t="shared" si="1"/>
        <v>0</v>
      </c>
      <c r="J19" s="2863"/>
      <c r="K19" s="223">
        <f t="shared" si="2"/>
        <v>0</v>
      </c>
      <c r="L19" s="2854"/>
    </row>
    <row r="20" spans="1:12">
      <c r="A20" s="2864"/>
      <c r="B20" s="275" t="str">
        <f>фундамент!A603</f>
        <v xml:space="preserve">Гвозди строительные 3,5 x 90            </v>
      </c>
      <c r="C20" s="99" t="str">
        <f>фундамент!B603</f>
        <v>кг</v>
      </c>
      <c r="D20" s="275">
        <f>фундамент!C603</f>
        <v>0</v>
      </c>
      <c r="E20" s="275">
        <f>фундамент!D603</f>
        <v>70</v>
      </c>
      <c r="F20" s="2284"/>
      <c r="G20" s="275">
        <f t="shared" si="0"/>
        <v>0</v>
      </c>
      <c r="H20" s="2315">
        <f>D20*E20*H12</f>
        <v>0</v>
      </c>
      <c r="I20" s="2866">
        <f t="shared" si="1"/>
        <v>0</v>
      </c>
      <c r="J20" s="2863"/>
      <c r="K20" s="223">
        <f t="shared" si="2"/>
        <v>0</v>
      </c>
      <c r="L20" s="2854"/>
    </row>
    <row r="21" spans="1:12">
      <c r="A21" s="2864"/>
      <c r="B21" s="275" t="str">
        <f>фундамент!A604</f>
        <v>ПГС, машина 13м3</v>
      </c>
      <c r="C21" s="99" t="str">
        <f>фундамент!B604</f>
        <v>маш</v>
      </c>
      <c r="D21" s="275">
        <f>фундамент!C604</f>
        <v>0</v>
      </c>
      <c r="E21" s="275">
        <f>фундамент!D604</f>
        <v>10000</v>
      </c>
      <c r="F21" s="2284"/>
      <c r="G21" s="275">
        <f t="shared" si="0"/>
        <v>0</v>
      </c>
      <c r="H21" s="2315">
        <f>D21*E21*H12</f>
        <v>0</v>
      </c>
      <c r="I21" s="2866">
        <f t="shared" si="1"/>
        <v>0</v>
      </c>
      <c r="J21" s="2863"/>
      <c r="K21" s="223">
        <f t="shared" si="2"/>
        <v>0</v>
      </c>
      <c r="L21" s="2854"/>
    </row>
    <row r="22" spans="1:12">
      <c r="A22" s="2864"/>
      <c r="B22" s="275" t="str">
        <f>фундамент!A605</f>
        <v>Бетон, м200</v>
      </c>
      <c r="C22" s="99" t="str">
        <f>фундамент!B605</f>
        <v>м3</v>
      </c>
      <c r="D22" s="275">
        <f>фундамент!C605</f>
        <v>0</v>
      </c>
      <c r="E22" s="275">
        <f>фундамент!D605</f>
        <v>2500</v>
      </c>
      <c r="F22" s="2284"/>
      <c r="G22" s="275">
        <f t="shared" si="0"/>
        <v>0</v>
      </c>
      <c r="H22" s="2315">
        <f>D22*E22*H12</f>
        <v>0</v>
      </c>
      <c r="I22" s="2866">
        <f t="shared" si="1"/>
        <v>0</v>
      </c>
      <c r="J22" s="2863"/>
      <c r="K22" s="223">
        <f t="shared" si="2"/>
        <v>0</v>
      </c>
      <c r="L22" s="2854"/>
    </row>
    <row r="23" spans="1:12">
      <c r="A23" s="2864"/>
      <c r="B23" s="3278" t="s">
        <v>4640</v>
      </c>
      <c r="C23" s="3278"/>
      <c r="D23" s="3278"/>
      <c r="E23" s="3278"/>
      <c r="F23" s="2869"/>
      <c r="G23" s="96">
        <f>SUM(G14:G22)*H12</f>
        <v>0</v>
      </c>
      <c r="H23" s="96">
        <f>SUM(H14:H22)</f>
        <v>0</v>
      </c>
      <c r="I23" s="2866">
        <f t="shared" si="1"/>
        <v>0</v>
      </c>
      <c r="J23" s="2863"/>
      <c r="K23" s="223">
        <f t="shared" si="2"/>
        <v>0</v>
      </c>
      <c r="L23" s="2854"/>
    </row>
    <row r="24" spans="1:12">
      <c r="A24" s="2864"/>
      <c r="B24" s="3279" t="s">
        <v>1409</v>
      </c>
      <c r="C24" s="3279"/>
      <c r="D24" s="3279"/>
      <c r="E24" s="3279"/>
      <c r="F24" s="2870"/>
      <c r="G24" s="941"/>
      <c r="H24" s="2861">
        <f>H12</f>
        <v>0</v>
      </c>
      <c r="I24" s="2871">
        <f>H24</f>
        <v>0</v>
      </c>
      <c r="J24" s="2872"/>
      <c r="K24" s="2873"/>
    </row>
    <row r="25" spans="1:12">
      <c r="A25" s="2874"/>
      <c r="B25" s="98" t="str">
        <f>фундамент!G597</f>
        <v>сборка опалубки</v>
      </c>
      <c r="C25" s="99" t="str">
        <f>фундамент!I597</f>
        <v>м2</v>
      </c>
      <c r="D25" s="275">
        <f>фундамент!J597</f>
        <v>0</v>
      </c>
      <c r="E25" s="99">
        <f>фундамент!K597</f>
        <v>300</v>
      </c>
      <c r="F25" s="99"/>
      <c r="G25" s="275">
        <f t="shared" ref="G25:G32" si="3">IF(F25&gt;0,D25*F25,E25*D25)</f>
        <v>0</v>
      </c>
      <c r="H25" s="2315">
        <f>D25*E25*H12</f>
        <v>0</v>
      </c>
      <c r="I25" s="2866">
        <f t="shared" ref="I25:I33" si="4">IF(G25&gt;H25,G25,H25)*$H$24</f>
        <v>0</v>
      </c>
      <c r="J25" s="2875"/>
      <c r="K25" s="2876"/>
    </row>
    <row r="26" spans="1:12">
      <c r="A26" s="2864"/>
      <c r="B26" s="98" t="str">
        <f>фундамент!G598</f>
        <v>разборка опалубки</v>
      </c>
      <c r="C26" s="99" t="str">
        <f>фундамент!I598</f>
        <v>м2</v>
      </c>
      <c r="D26" s="275">
        <f>фундамент!J598</f>
        <v>0</v>
      </c>
      <c r="E26" s="99">
        <f>фундамент!K598</f>
        <v>100</v>
      </c>
      <c r="F26" s="99"/>
      <c r="G26" s="275">
        <f t="shared" si="3"/>
        <v>0</v>
      </c>
      <c r="H26" s="2315">
        <f>D26*E26*H12</f>
        <v>0</v>
      </c>
      <c r="I26" s="2866">
        <f t="shared" si="4"/>
        <v>0</v>
      </c>
      <c r="J26" s="2875"/>
      <c r="K26" s="2876"/>
    </row>
    <row r="27" spans="1:12">
      <c r="A27" s="2864"/>
      <c r="B27" s="98" t="str">
        <f>фундамент!G599</f>
        <v>трамбовка</v>
      </c>
      <c r="C27" s="99" t="str">
        <f>фундамент!I599</f>
        <v>м2</v>
      </c>
      <c r="D27" s="275">
        <f>фундамент!J599</f>
        <v>0</v>
      </c>
      <c r="E27" s="99">
        <f>фундамент!K599</f>
        <v>600</v>
      </c>
      <c r="F27" s="99"/>
      <c r="G27" s="275">
        <f t="shared" si="3"/>
        <v>0</v>
      </c>
      <c r="H27" s="2315">
        <f>D27*E27*H12</f>
        <v>0</v>
      </c>
      <c r="I27" s="2866">
        <f t="shared" si="4"/>
        <v>0</v>
      </c>
      <c r="J27" s="2875"/>
      <c r="K27" s="2876"/>
    </row>
    <row r="28" spans="1:12">
      <c r="A28" s="2864"/>
      <c r="B28" s="98" t="str">
        <f>фундамент!G600</f>
        <v>настил пленки</v>
      </c>
      <c r="C28" s="99" t="str">
        <f>фундамент!I600</f>
        <v>м2</v>
      </c>
      <c r="D28" s="275">
        <f>фундамент!J600</f>
        <v>0</v>
      </c>
      <c r="E28" s="99">
        <f>фундамент!K600</f>
        <v>10</v>
      </c>
      <c r="F28" s="99"/>
      <c r="G28" s="275">
        <f t="shared" si="3"/>
        <v>0</v>
      </c>
      <c r="H28" s="2315">
        <f>D28*E28*H12</f>
        <v>0</v>
      </c>
      <c r="I28" s="2866">
        <f t="shared" si="4"/>
        <v>0</v>
      </c>
      <c r="J28" s="2875"/>
      <c r="K28" s="2876"/>
    </row>
    <row r="29" spans="1:12">
      <c r="A29" s="2864"/>
      <c r="B29" s="98" t="str">
        <f>фундамент!G601</f>
        <v>армирование</v>
      </c>
      <c r="C29" s="99" t="str">
        <f>фундамент!I601</f>
        <v>м.п</v>
      </c>
      <c r="D29" s="275">
        <f>фундамент!J601</f>
        <v>0</v>
      </c>
      <c r="E29" s="99">
        <f>фундамент!K601</f>
        <v>30</v>
      </c>
      <c r="F29" s="99"/>
      <c r="G29" s="275">
        <f t="shared" si="3"/>
        <v>0</v>
      </c>
      <c r="H29" s="2315">
        <f>D29*E29*H12</f>
        <v>0</v>
      </c>
      <c r="I29" s="2866">
        <f t="shared" si="4"/>
        <v>0</v>
      </c>
      <c r="J29" s="2875"/>
      <c r="K29" s="2876"/>
    </row>
    <row r="30" spans="1:12">
      <c r="A30" s="2864"/>
      <c r="B30" s="98" t="str">
        <f>фундамент!G602</f>
        <v>армирование</v>
      </c>
      <c r="C30" s="99" t="str">
        <f>фундамент!I602</f>
        <v>м.п.</v>
      </c>
      <c r="D30" s="275">
        <f>фундамент!J602</f>
        <v>0</v>
      </c>
      <c r="E30" s="99">
        <f>фундамент!K602</f>
        <v>30</v>
      </c>
      <c r="F30" s="99"/>
      <c r="G30" s="275">
        <f t="shared" si="3"/>
        <v>0</v>
      </c>
      <c r="H30" s="2315">
        <f>D30*E30*H12</f>
        <v>0</v>
      </c>
      <c r="I30" s="2866">
        <f t="shared" si="4"/>
        <v>0</v>
      </c>
      <c r="J30" s="2875"/>
      <c r="K30" s="2876"/>
    </row>
    <row r="31" spans="1:12">
      <c r="A31" s="2864"/>
      <c r="B31" s="98" t="str">
        <f>фундамент!G603</f>
        <v>настил гидроизола</v>
      </c>
      <c r="C31" s="99" t="str">
        <f>фундамент!I603</f>
        <v>м2</v>
      </c>
      <c r="D31" s="275">
        <f>фундамент!J603</f>
        <v>0</v>
      </c>
      <c r="E31" s="99">
        <f>фундамент!K603</f>
        <v>100</v>
      </c>
      <c r="F31" s="99"/>
      <c r="G31" s="275">
        <f t="shared" si="3"/>
        <v>0</v>
      </c>
      <c r="H31" s="2315">
        <f>D31*E31*H12</f>
        <v>0</v>
      </c>
      <c r="I31" s="2866">
        <f t="shared" si="4"/>
        <v>0</v>
      </c>
      <c r="J31" s="2875"/>
      <c r="K31" s="2876"/>
    </row>
    <row r="32" spans="1:12">
      <c r="A32" s="2864"/>
      <c r="B32" s="98" t="str">
        <f>фундамент!G604</f>
        <v>приемка бетона</v>
      </c>
      <c r="C32" s="99" t="str">
        <f>фундамент!I604</f>
        <v>м3</v>
      </c>
      <c r="D32" s="275">
        <f>фундамент!J604</f>
        <v>0</v>
      </c>
      <c r="E32" s="99">
        <f>фундамент!K604</f>
        <v>1200</v>
      </c>
      <c r="F32" s="99"/>
      <c r="G32" s="275">
        <f t="shared" si="3"/>
        <v>0</v>
      </c>
      <c r="H32" s="2315">
        <f>D32*E32*H12</f>
        <v>0</v>
      </c>
      <c r="I32" s="2866">
        <f t="shared" si="4"/>
        <v>0</v>
      </c>
      <c r="J32" s="2875"/>
      <c r="K32" s="2876"/>
    </row>
    <row r="33" spans="1:12">
      <c r="A33" s="2864"/>
      <c r="B33" s="3278" t="s">
        <v>4641</v>
      </c>
      <c r="C33" s="3278"/>
      <c r="D33" s="3278"/>
      <c r="E33" s="3278"/>
      <c r="F33" s="2868"/>
      <c r="G33" s="2315">
        <f>SUM(G25:G32)*H24</f>
        <v>0</v>
      </c>
      <c r="H33" s="2315">
        <f>SUM(H25:H32)</f>
        <v>0</v>
      </c>
      <c r="I33" s="2866">
        <f t="shared" si="4"/>
        <v>0</v>
      </c>
      <c r="J33" s="2875"/>
      <c r="K33" s="2876"/>
    </row>
    <row r="34" spans="1:12" ht="21">
      <c r="A34" s="2864"/>
      <c r="B34" s="3280" t="s">
        <v>4642</v>
      </c>
      <c r="C34" s="3280"/>
      <c r="D34" s="3280"/>
      <c r="E34" s="3280"/>
      <c r="F34" s="2877"/>
      <c r="G34" s="941"/>
      <c r="H34" s="2878">
        <f>фундамент!F514*фундамент!E537</f>
        <v>0</v>
      </c>
      <c r="I34" s="2879">
        <f>H34</f>
        <v>0</v>
      </c>
      <c r="J34" s="2830"/>
      <c r="K34" s="2876"/>
    </row>
    <row r="35" spans="1:12">
      <c r="A35" s="2874"/>
      <c r="B35" s="3281" t="s">
        <v>2720</v>
      </c>
      <c r="C35" s="3281"/>
      <c r="D35" s="3281"/>
      <c r="E35" s="3281"/>
      <c r="F35" s="2880"/>
      <c r="G35" s="941"/>
      <c r="H35" s="2881">
        <f>H34</f>
        <v>0</v>
      </c>
      <c r="I35" s="2879">
        <f>H35</f>
        <v>0</v>
      </c>
      <c r="J35" s="2882"/>
      <c r="K35" s="2883"/>
    </row>
    <row r="36" spans="1:12">
      <c r="A36" s="2874"/>
      <c r="B36" s="275" t="str">
        <f>фундамент!A613</f>
        <v>Скальник, 1 маш 13м3</v>
      </c>
      <c r="C36" s="99" t="str">
        <f>фундамент!B613</f>
        <v>маш</v>
      </c>
      <c r="D36" s="275">
        <f>фундамент!C613</f>
        <v>0</v>
      </c>
      <c r="E36" s="275">
        <f>фундамент!D613</f>
        <v>15000</v>
      </c>
      <c r="F36" s="275"/>
      <c r="G36" s="275">
        <f t="shared" ref="G36:G53" si="5">IF(F36&gt;0,D36*F36,E36*D36)</f>
        <v>0</v>
      </c>
      <c r="H36" s="2315">
        <f t="shared" ref="H36:H53" si="6">D36*E36*$H$34</f>
        <v>0</v>
      </c>
      <c r="I36" s="2866">
        <f t="shared" ref="I36:I54" si="7">IF(G36&gt;H36,G36,H36)*$H$34</f>
        <v>0</v>
      </c>
      <c r="J36" s="2863"/>
      <c r="K36" s="223">
        <f t="shared" ref="K36:K54" si="8">D36-J36</f>
        <v>0</v>
      </c>
      <c r="L36" s="2854"/>
    </row>
    <row r="37" spans="1:12">
      <c r="A37" s="2864"/>
      <c r="B37" s="275" t="str">
        <f>фундамент!A614</f>
        <v>ПГС, машина 13м3</v>
      </c>
      <c r="C37" s="99" t="str">
        <f>фундамент!B614</f>
        <v>маш</v>
      </c>
      <c r="D37" s="275">
        <f>фундамент!C614</f>
        <v>0</v>
      </c>
      <c r="E37" s="275">
        <f>фундамент!D614</f>
        <v>10000</v>
      </c>
      <c r="F37" s="275"/>
      <c r="G37" s="275">
        <f t="shared" si="5"/>
        <v>0</v>
      </c>
      <c r="H37" s="2315">
        <f t="shared" si="6"/>
        <v>0</v>
      </c>
      <c r="I37" s="2866">
        <f t="shared" si="7"/>
        <v>0</v>
      </c>
      <c r="J37" s="2863"/>
      <c r="K37" s="223">
        <f t="shared" si="8"/>
        <v>0</v>
      </c>
      <c r="L37" s="2854"/>
    </row>
    <row r="38" spans="1:12">
      <c r="A38" s="2864"/>
      <c r="B38" s="275" t="str">
        <f>фундамент!A615</f>
        <v>Песок, машина 13м3</v>
      </c>
      <c r="C38" s="99" t="str">
        <f>фундамент!B615</f>
        <v>маш</v>
      </c>
      <c r="D38" s="275">
        <f>фундамент!C615</f>
        <v>0</v>
      </c>
      <c r="E38" s="275">
        <f>фундамент!D615</f>
        <v>12000</v>
      </c>
      <c r="F38" s="275"/>
      <c r="G38" s="275">
        <f t="shared" si="5"/>
        <v>0</v>
      </c>
      <c r="H38" s="2315">
        <f t="shared" si="6"/>
        <v>0</v>
      </c>
      <c r="I38" s="2866">
        <f t="shared" si="7"/>
        <v>0</v>
      </c>
      <c r="J38" s="2863"/>
      <c r="K38" s="223">
        <f t="shared" si="8"/>
        <v>0</v>
      </c>
      <c r="L38" s="2854"/>
    </row>
    <row r="39" spans="1:12">
      <c r="A39" s="2864"/>
      <c r="B39" s="275" t="str">
        <f>фундамент!A616</f>
        <v>Геотекстиль</v>
      </c>
      <c r="C39" s="99" t="str">
        <f>фундамент!B616</f>
        <v>м2</v>
      </c>
      <c r="D39" s="275">
        <f>фундамент!C616</f>
        <v>0</v>
      </c>
      <c r="E39" s="275">
        <f>фундамент!D616</f>
        <v>100</v>
      </c>
      <c r="F39" s="275"/>
      <c r="G39" s="275">
        <f t="shared" si="5"/>
        <v>0</v>
      </c>
      <c r="H39" s="2315">
        <f t="shared" si="6"/>
        <v>0</v>
      </c>
      <c r="I39" s="2866">
        <f t="shared" si="7"/>
        <v>0</v>
      </c>
      <c r="J39" s="2863"/>
      <c r="K39" s="223">
        <f t="shared" si="8"/>
        <v>0</v>
      </c>
      <c r="L39" s="2854"/>
    </row>
    <row r="40" spans="1:12">
      <c r="A40" s="2864"/>
      <c r="B40" s="275" t="str">
        <f>фундамент!A617</f>
        <v>Плитный,28кг/м3, технониколь, 100мм</v>
      </c>
      <c r="C40" s="99" t="str">
        <f>фундамент!B617</f>
        <v>м3</v>
      </c>
      <c r="D40" s="275">
        <f>фундамент!C617</f>
        <v>0</v>
      </c>
      <c r="E40" s="275">
        <f>фундамент!D617</f>
        <v>1700</v>
      </c>
      <c r="F40" s="275"/>
      <c r="G40" s="275">
        <f t="shared" si="5"/>
        <v>0</v>
      </c>
      <c r="H40" s="2315">
        <f t="shared" si="6"/>
        <v>0</v>
      </c>
      <c r="I40" s="2866">
        <f t="shared" si="7"/>
        <v>0</v>
      </c>
      <c r="J40" s="2863"/>
      <c r="K40" s="223">
        <f t="shared" si="8"/>
        <v>0</v>
      </c>
      <c r="L40" s="2854"/>
    </row>
    <row r="41" spans="1:12">
      <c r="A41" s="2864"/>
      <c r="B41" s="275" t="str">
        <f>фундамент!A618</f>
        <v xml:space="preserve">Пленка гидроизоляционная </v>
      </c>
      <c r="C41" s="99" t="str">
        <f>фундамент!B618</f>
        <v>м2</v>
      </c>
      <c r="D41" s="275">
        <f>фундамент!C618</f>
        <v>0</v>
      </c>
      <c r="E41" s="275">
        <f>фундамент!D618</f>
        <v>15</v>
      </c>
      <c r="F41" s="275"/>
      <c r="G41" s="275">
        <f t="shared" si="5"/>
        <v>0</v>
      </c>
      <c r="H41" s="2315">
        <f t="shared" si="6"/>
        <v>0</v>
      </c>
      <c r="I41" s="2866">
        <f t="shared" si="7"/>
        <v>0</v>
      </c>
      <c r="J41" s="2863"/>
      <c r="K41" s="223">
        <f t="shared" si="8"/>
        <v>0</v>
      </c>
      <c r="L41" s="2854"/>
    </row>
    <row r="42" spans="1:12">
      <c r="A42" s="2864"/>
      <c r="B42" s="275" t="str">
        <f>фундамент!A619</f>
        <v>Кладочная сетка, 100*100/150*150/200*200мм</v>
      </c>
      <c r="C42" s="99" t="str">
        <f>фундамент!B619</f>
        <v>м2</v>
      </c>
      <c r="D42" s="275">
        <f>фундамент!C619</f>
        <v>0</v>
      </c>
      <c r="E42" s="275">
        <f>фундамент!D619</f>
        <v>70</v>
      </c>
      <c r="F42" s="275"/>
      <c r="G42" s="275">
        <f t="shared" si="5"/>
        <v>0</v>
      </c>
      <c r="H42" s="2315">
        <f t="shared" si="6"/>
        <v>0</v>
      </c>
      <c r="I42" s="2866">
        <f t="shared" si="7"/>
        <v>0</v>
      </c>
      <c r="J42" s="2863"/>
      <c r="K42" s="223">
        <f t="shared" si="8"/>
        <v>0</v>
      </c>
      <c r="L42" s="2854"/>
    </row>
    <row r="43" spans="1:12">
      <c r="A43" s="2864"/>
      <c r="B43" s="275" t="str">
        <f>фундамент!A620</f>
        <v>Стяжки пластиковые</v>
      </c>
      <c r="C43" s="99" t="str">
        <f>фундамент!B620</f>
        <v>шт</v>
      </c>
      <c r="D43" s="275">
        <f>фундамент!C620</f>
        <v>0</v>
      </c>
      <c r="E43" s="275">
        <f>фундамент!D620</f>
        <v>2</v>
      </c>
      <c r="F43" s="275"/>
      <c r="G43" s="275">
        <f t="shared" si="5"/>
        <v>0</v>
      </c>
      <c r="H43" s="2315">
        <f t="shared" si="6"/>
        <v>0</v>
      </c>
      <c r="I43" s="2866">
        <f t="shared" si="7"/>
        <v>0</v>
      </c>
      <c r="J43" s="2863"/>
      <c r="K43" s="223">
        <f t="shared" si="8"/>
        <v>0</v>
      </c>
      <c r="L43" s="2854"/>
    </row>
    <row r="44" spans="1:12">
      <c r="A44" s="2864"/>
      <c r="B44" s="275" t="str">
        <f>фундамент!A621</f>
        <v>Стяжки пластиковые</v>
      </c>
      <c r="C44" s="99" t="str">
        <f>фундамент!B621</f>
        <v>шт</v>
      </c>
      <c r="D44" s="275">
        <f>фундамент!C621</f>
        <v>0</v>
      </c>
      <c r="E44" s="275">
        <f>фундамент!D621</f>
        <v>2</v>
      </c>
      <c r="F44" s="275"/>
      <c r="G44" s="275">
        <f t="shared" si="5"/>
        <v>0</v>
      </c>
      <c r="H44" s="2315">
        <f t="shared" si="6"/>
        <v>0</v>
      </c>
      <c r="I44" s="2866">
        <f t="shared" si="7"/>
        <v>0</v>
      </c>
      <c r="J44" s="2863"/>
      <c r="K44" s="223">
        <f t="shared" si="8"/>
        <v>0</v>
      </c>
      <c r="L44" s="2854"/>
    </row>
    <row r="45" spans="1:12">
      <c r="A45" s="2864"/>
      <c r="B45" s="275" t="str">
        <f>фундамент!A622</f>
        <v>Труба теплого пола 3</v>
      </c>
      <c r="C45" s="99" t="str">
        <f>фундамент!B622</f>
        <v>м.п</v>
      </c>
      <c r="D45" s="275">
        <f>фундамент!C622</f>
        <v>0</v>
      </c>
      <c r="E45" s="275">
        <f>фундамент!D622</f>
        <v>60</v>
      </c>
      <c r="F45" s="275"/>
      <c r="G45" s="275">
        <f t="shared" si="5"/>
        <v>0</v>
      </c>
      <c r="H45" s="2315">
        <f t="shared" si="6"/>
        <v>0</v>
      </c>
      <c r="I45" s="2866">
        <f t="shared" si="7"/>
        <v>0</v>
      </c>
      <c r="J45" s="2863"/>
      <c r="K45" s="223">
        <f t="shared" si="8"/>
        <v>0</v>
      </c>
      <c r="L45" s="2854"/>
    </row>
    <row r="46" spans="1:12">
      <c r="A46" s="2864"/>
      <c r="B46" s="275" t="str">
        <f>фундамент!A623</f>
        <v>Коллектор 6</v>
      </c>
      <c r="C46" s="99" t="str">
        <f>фундамент!B623</f>
        <v>шт</v>
      </c>
      <c r="D46" s="275">
        <f>фундамент!C623</f>
        <v>0</v>
      </c>
      <c r="E46" s="275">
        <f>фундамент!D623</f>
        <v>15000</v>
      </c>
      <c r="F46" s="275"/>
      <c r="G46" s="275">
        <f t="shared" si="5"/>
        <v>0</v>
      </c>
      <c r="H46" s="2315">
        <f t="shared" si="6"/>
        <v>0</v>
      </c>
      <c r="I46" s="2866">
        <f t="shared" si="7"/>
        <v>0</v>
      </c>
      <c r="J46" s="2863"/>
      <c r="K46" s="223">
        <f t="shared" si="8"/>
        <v>0</v>
      </c>
      <c r="L46" s="2854"/>
    </row>
    <row r="47" spans="1:12">
      <c r="A47" s="2864"/>
      <c r="B47" s="275" t="str">
        <f>фундамент!A624</f>
        <v>Арматура стальная Ø 10 </v>
      </c>
      <c r="C47" s="99" t="str">
        <f>фундамент!B624</f>
        <v>м.п.</v>
      </c>
      <c r="D47" s="275">
        <f>фундамент!C624</f>
        <v>0</v>
      </c>
      <c r="E47" s="275">
        <f>фундамент!D624</f>
        <v>21.0397</v>
      </c>
      <c r="F47" s="275"/>
      <c r="G47" s="275">
        <f t="shared" si="5"/>
        <v>0</v>
      </c>
      <c r="H47" s="2315">
        <f t="shared" si="6"/>
        <v>0</v>
      </c>
      <c r="I47" s="2866">
        <f t="shared" si="7"/>
        <v>0</v>
      </c>
      <c r="J47" s="2863"/>
      <c r="K47" s="223">
        <f t="shared" si="8"/>
        <v>0</v>
      </c>
      <c r="L47" s="2854"/>
    </row>
    <row r="48" spans="1:12">
      <c r="A48" s="2864"/>
      <c r="B48" s="275" t="str">
        <f>фундамент!A625</f>
        <v>Вязальная проволока</v>
      </c>
      <c r="C48" s="99" t="str">
        <f>фундамент!B625</f>
        <v>кг</v>
      </c>
      <c r="D48" s="275">
        <f>фундамент!C625</f>
        <v>0</v>
      </c>
      <c r="E48" s="275">
        <f>фундамент!D625</f>
        <v>80</v>
      </c>
      <c r="F48" s="275"/>
      <c r="G48" s="275">
        <f t="shared" si="5"/>
        <v>0</v>
      </c>
      <c r="H48" s="2315">
        <f t="shared" si="6"/>
        <v>0</v>
      </c>
      <c r="I48" s="2866">
        <f t="shared" si="7"/>
        <v>0</v>
      </c>
      <c r="J48" s="2863"/>
      <c r="K48" s="223">
        <f t="shared" si="8"/>
        <v>0</v>
      </c>
      <c r="L48" s="2854"/>
    </row>
    <row r="49" spans="1:12">
      <c r="A49" s="2864"/>
      <c r="B49" s="275" t="str">
        <f>фундамент!A626</f>
        <v>Подставка под арматурный каркас</v>
      </c>
      <c r="C49" s="99" t="str">
        <f>фундамент!B626</f>
        <v>шт</v>
      </c>
      <c r="D49" s="275">
        <f>фундамент!C626</f>
        <v>0</v>
      </c>
      <c r="E49" s="275">
        <f>фундамент!D626</f>
        <v>5</v>
      </c>
      <c r="F49" s="275"/>
      <c r="G49" s="275">
        <f t="shared" si="5"/>
        <v>0</v>
      </c>
      <c r="H49" s="2315">
        <f t="shared" si="6"/>
        <v>0</v>
      </c>
      <c r="I49" s="2866">
        <f t="shared" si="7"/>
        <v>0</v>
      </c>
      <c r="J49" s="2863"/>
      <c r="K49" s="223">
        <f t="shared" si="8"/>
        <v>0</v>
      </c>
      <c r="L49" s="2854"/>
    </row>
    <row r="50" spans="1:12">
      <c r="A50" s="2864"/>
      <c r="B50" s="275" t="str">
        <f>фундамент!A627</f>
        <v>труба дренажная d90 с перфорацией, в фильтре</v>
      </c>
      <c r="C50" s="99" t="str">
        <f>фундамент!B627</f>
        <v>шт</v>
      </c>
      <c r="D50" s="275">
        <f>фундамент!C627</f>
        <v>0</v>
      </c>
      <c r="E50" s="275">
        <f>фундамент!D627</f>
        <v>95</v>
      </c>
      <c r="F50" s="275"/>
      <c r="G50" s="275">
        <f t="shared" si="5"/>
        <v>0</v>
      </c>
      <c r="H50" s="2315">
        <f t="shared" si="6"/>
        <v>0</v>
      </c>
      <c r="I50" s="2866">
        <f t="shared" si="7"/>
        <v>0</v>
      </c>
      <c r="J50" s="2863"/>
      <c r="K50" s="223">
        <f t="shared" si="8"/>
        <v>0</v>
      </c>
      <c r="L50" s="2854"/>
    </row>
    <row r="51" spans="1:12">
      <c r="A51" s="2864"/>
      <c r="B51" s="275" t="str">
        <f>фундамент!A628</f>
        <v>Дренажный колодец D400</v>
      </c>
      <c r="C51" s="99" t="str">
        <f>фундамент!B628</f>
        <v>шт</v>
      </c>
      <c r="D51" s="275">
        <f>фундамент!C628</f>
        <v>0</v>
      </c>
      <c r="E51" s="275">
        <f>фундамент!D628</f>
        <v>2500</v>
      </c>
      <c r="F51" s="275"/>
      <c r="G51" s="275">
        <f t="shared" si="5"/>
        <v>0</v>
      </c>
      <c r="H51" s="2315">
        <f t="shared" si="6"/>
        <v>0</v>
      </c>
      <c r="I51" s="2866">
        <f t="shared" si="7"/>
        <v>0</v>
      </c>
      <c r="J51" s="2863"/>
      <c r="K51" s="223">
        <f t="shared" si="8"/>
        <v>0</v>
      </c>
      <c r="L51" s="2854"/>
    </row>
    <row r="52" spans="1:12">
      <c r="A52" s="2864"/>
      <c r="B52" s="275" t="str">
        <f>фундамент!A629</f>
        <v>Демпферная лента</v>
      </c>
      <c r="C52" s="99" t="str">
        <f>фундамент!B629</f>
        <v>м.п.</v>
      </c>
      <c r="D52" s="275">
        <f>фундамент!C629</f>
        <v>0</v>
      </c>
      <c r="E52" s="275">
        <f>фундамент!D629</f>
        <v>50</v>
      </c>
      <c r="F52" s="275"/>
      <c r="G52" s="275">
        <f t="shared" si="5"/>
        <v>0</v>
      </c>
      <c r="H52" s="2315">
        <f t="shared" si="6"/>
        <v>0</v>
      </c>
      <c r="I52" s="2866">
        <f t="shared" si="7"/>
        <v>0</v>
      </c>
      <c r="J52" s="2863"/>
      <c r="K52" s="223">
        <f t="shared" si="8"/>
        <v>0</v>
      </c>
      <c r="L52" s="2854"/>
    </row>
    <row r="53" spans="1:12">
      <c r="A53" s="2864"/>
      <c r="B53" s="275" t="str">
        <f>фундамент!A630</f>
        <v>Бетон, м350</v>
      </c>
      <c r="C53" s="99" t="str">
        <f>фундамент!B630</f>
        <v>м3</v>
      </c>
      <c r="D53" s="275">
        <f>фундамент!C630</f>
        <v>0</v>
      </c>
      <c r="E53" s="275">
        <f>фундамент!D630</f>
        <v>3500</v>
      </c>
      <c r="F53" s="275"/>
      <c r="G53" s="275">
        <f t="shared" si="5"/>
        <v>0</v>
      </c>
      <c r="H53" s="2315">
        <f t="shared" si="6"/>
        <v>0</v>
      </c>
      <c r="I53" s="2866">
        <f t="shared" si="7"/>
        <v>0</v>
      </c>
      <c r="J53" s="2863"/>
      <c r="K53" s="223">
        <f t="shared" si="8"/>
        <v>0</v>
      </c>
      <c r="L53" s="2854"/>
    </row>
    <row r="54" spans="1:12">
      <c r="A54" s="2864"/>
      <c r="B54" s="3278" t="s">
        <v>4640</v>
      </c>
      <c r="C54" s="3278"/>
      <c r="D54" s="3278"/>
      <c r="E54" s="3278"/>
      <c r="F54" s="2868"/>
      <c r="G54" s="96">
        <f>SUM(G36:G53)*H34</f>
        <v>0</v>
      </c>
      <c r="H54" s="96">
        <f>SUM(H36:H53)</f>
        <v>0</v>
      </c>
      <c r="I54" s="2866">
        <f t="shared" si="7"/>
        <v>0</v>
      </c>
      <c r="J54" s="2863"/>
      <c r="K54" s="223">
        <f t="shared" si="8"/>
        <v>0</v>
      </c>
      <c r="L54" s="2854"/>
    </row>
    <row r="55" spans="1:12">
      <c r="A55" s="2864"/>
      <c r="B55" s="3279" t="s">
        <v>1409</v>
      </c>
      <c r="C55" s="3279"/>
      <c r="D55" s="3279"/>
      <c r="E55" s="3279"/>
      <c r="F55" s="2870"/>
      <c r="G55" s="941"/>
      <c r="H55" s="2861">
        <f>H34</f>
        <v>0</v>
      </c>
      <c r="I55" s="2879">
        <f>H55</f>
        <v>0</v>
      </c>
      <c r="J55" s="2872"/>
      <c r="K55" s="2873"/>
    </row>
    <row r="56" spans="1:12">
      <c r="A56" s="2874"/>
      <c r="B56" s="98" t="str">
        <f>фундамент!G613</f>
        <v>трамбовка скальник</v>
      </c>
      <c r="C56" s="99" t="str">
        <f>фундамент!I613</f>
        <v>м2</v>
      </c>
      <c r="D56" s="275">
        <f>фундамент!J613</f>
        <v>0</v>
      </c>
      <c r="E56" s="100">
        <f>фундамент!K613</f>
        <v>400</v>
      </c>
      <c r="F56" s="100"/>
      <c r="G56" s="275">
        <f t="shared" ref="G56:G69" si="9">IF(F56&gt;0,D56*F56,E56*D56)</f>
        <v>0</v>
      </c>
      <c r="H56" s="2315">
        <f t="shared" ref="H56:H69" si="10">D56*E56*$H$34</f>
        <v>0</v>
      </c>
      <c r="I56" s="2866">
        <f t="shared" ref="I56:I70" si="11">IF(G56&gt;H56,G56,H56)*$H$55</f>
        <v>0</v>
      </c>
      <c r="J56" s="2875"/>
      <c r="K56" s="2876"/>
    </row>
    <row r="57" spans="1:12">
      <c r="A57" s="2864"/>
      <c r="B57" s="98" t="str">
        <f>фундамент!G614</f>
        <v>трамбовка пгс</v>
      </c>
      <c r="C57" s="99" t="str">
        <f>фундамент!I614</f>
        <v>м2</v>
      </c>
      <c r="D57" s="275">
        <f>фундамент!J614</f>
        <v>0</v>
      </c>
      <c r="E57" s="100">
        <f>фундамент!K614</f>
        <v>600</v>
      </c>
      <c r="F57" s="100"/>
      <c r="G57" s="275">
        <f t="shared" si="9"/>
        <v>0</v>
      </c>
      <c r="H57" s="2315">
        <f t="shared" si="10"/>
        <v>0</v>
      </c>
      <c r="I57" s="2866">
        <f t="shared" si="11"/>
        <v>0</v>
      </c>
      <c r="J57" s="2875"/>
      <c r="K57" s="2876"/>
    </row>
    <row r="58" spans="1:12">
      <c r="A58" s="2864"/>
      <c r="B58" s="98" t="str">
        <f>фундамент!G615</f>
        <v>трамбовка песок</v>
      </c>
      <c r="C58" s="99" t="str">
        <f>фундамент!I615</f>
        <v>м2</v>
      </c>
      <c r="D58" s="275">
        <f>фундамент!J615</f>
        <v>0</v>
      </c>
      <c r="E58" s="100">
        <f>фундамент!K615</f>
        <v>350</v>
      </c>
      <c r="F58" s="100"/>
      <c r="G58" s="275">
        <f t="shared" si="9"/>
        <v>0</v>
      </c>
      <c r="H58" s="2315">
        <f t="shared" si="10"/>
        <v>0</v>
      </c>
      <c r="I58" s="2866">
        <f t="shared" si="11"/>
        <v>0</v>
      </c>
      <c r="J58" s="2875"/>
      <c r="K58" s="2876"/>
    </row>
    <row r="59" spans="1:12">
      <c r="A59" s="2864"/>
      <c r="B59" s="98" t="str">
        <f>фундамент!G616</f>
        <v>укладка геотекстиля</v>
      </c>
      <c r="C59" s="99" t="str">
        <f>фундамент!I616</f>
        <v>м2</v>
      </c>
      <c r="D59" s="275">
        <f>фундамент!J616</f>
        <v>0</v>
      </c>
      <c r="E59" s="100">
        <f>фундамент!K616</f>
        <v>200</v>
      </c>
      <c r="F59" s="100"/>
      <c r="G59" s="275">
        <f t="shared" si="9"/>
        <v>0</v>
      </c>
      <c r="H59" s="2315">
        <f t="shared" si="10"/>
        <v>0</v>
      </c>
      <c r="I59" s="2866">
        <f t="shared" si="11"/>
        <v>0</v>
      </c>
      <c r="J59" s="2875"/>
      <c r="K59" s="2876"/>
    </row>
    <row r="60" spans="1:12">
      <c r="A60" s="2864"/>
      <c r="B60" s="98" t="str">
        <f>фундамент!G617</f>
        <v>укладка карбона</v>
      </c>
      <c r="C60" s="99" t="str">
        <f>фундамент!I617</f>
        <v>м2</v>
      </c>
      <c r="D60" s="275">
        <f>фундамент!J617</f>
        <v>0</v>
      </c>
      <c r="E60" s="100">
        <f>фундамент!K617</f>
        <v>200</v>
      </c>
      <c r="F60" s="100"/>
      <c r="G60" s="275">
        <f t="shared" si="9"/>
        <v>0</v>
      </c>
      <c r="H60" s="2315">
        <f t="shared" si="10"/>
        <v>0</v>
      </c>
      <c r="I60" s="2866">
        <f t="shared" si="11"/>
        <v>0</v>
      </c>
      <c r="J60" s="2875"/>
      <c r="K60" s="2876"/>
    </row>
    <row r="61" spans="1:12">
      <c r="A61" s="2864"/>
      <c r="B61" s="98" t="str">
        <f>фундамент!G618</f>
        <v>укладка пленки</v>
      </c>
      <c r="C61" s="99" t="str">
        <f>фундамент!I618</f>
        <v>м2</v>
      </c>
      <c r="D61" s="275">
        <f>фундамент!J618</f>
        <v>0</v>
      </c>
      <c r="E61" s="100">
        <f>фундамент!K618</f>
        <v>10</v>
      </c>
      <c r="F61" s="100"/>
      <c r="G61" s="275">
        <f t="shared" si="9"/>
        <v>0</v>
      </c>
      <c r="H61" s="2315">
        <f t="shared" si="10"/>
        <v>0</v>
      </c>
      <c r="I61" s="2866">
        <f t="shared" si="11"/>
        <v>0</v>
      </c>
      <c r="J61" s="2875"/>
      <c r="K61" s="2876"/>
    </row>
    <row r="62" spans="1:12">
      <c r="A62" s="2864"/>
      <c r="B62" s="98" t="str">
        <f>фундамент!G619</f>
        <v>укладка сетки</v>
      </c>
      <c r="C62" s="99" t="str">
        <f>фундамент!I619</f>
        <v>м2</v>
      </c>
      <c r="D62" s="275">
        <f>фундамент!J619</f>
        <v>0</v>
      </c>
      <c r="E62" s="100">
        <f>фундамент!K619</f>
        <v>100</v>
      </c>
      <c r="F62" s="100"/>
      <c r="G62" s="275">
        <f t="shared" si="9"/>
        <v>0</v>
      </c>
      <c r="H62" s="2315">
        <f t="shared" si="10"/>
        <v>0</v>
      </c>
      <c r="I62" s="2866">
        <f t="shared" si="11"/>
        <v>0</v>
      </c>
      <c r="J62" s="2875"/>
      <c r="K62" s="2876"/>
    </row>
    <row r="63" spans="1:12">
      <c r="A63" s="2864"/>
      <c r="B63" s="98" t="str">
        <f>фундамент!G620</f>
        <v>укладка теп. Пола</v>
      </c>
      <c r="C63" s="99" t="str">
        <f>фундамент!I620</f>
        <v>м2</v>
      </c>
      <c r="D63" s="275">
        <f>фундамент!J620</f>
        <v>0</v>
      </c>
      <c r="E63" s="100">
        <f>фундамент!K620</f>
        <v>600</v>
      </c>
      <c r="F63" s="100"/>
      <c r="G63" s="275">
        <f t="shared" si="9"/>
        <v>0</v>
      </c>
      <c r="H63" s="2315">
        <f t="shared" si="10"/>
        <v>0</v>
      </c>
      <c r="I63" s="2866">
        <f t="shared" si="11"/>
        <v>0</v>
      </c>
      <c r="J63" s="2875"/>
      <c r="K63" s="2876"/>
    </row>
    <row r="64" spans="1:12">
      <c r="A64" s="2864"/>
      <c r="B64" s="98" t="str">
        <f>фундамент!G621</f>
        <v>монтаж коллектора</v>
      </c>
      <c r="C64" s="99" t="str">
        <f>фундамент!I621</f>
        <v>шт</v>
      </c>
      <c r="D64" s="275">
        <f>фундамент!J621</f>
        <v>0</v>
      </c>
      <c r="E64" s="100">
        <f>фундамент!K621</f>
        <v>1000</v>
      </c>
      <c r="F64" s="100"/>
      <c r="G64" s="275">
        <f t="shared" si="9"/>
        <v>0</v>
      </c>
      <c r="H64" s="2315">
        <f t="shared" si="10"/>
        <v>0</v>
      </c>
      <c r="I64" s="2866">
        <f t="shared" si="11"/>
        <v>0</v>
      </c>
      <c r="J64" s="2875"/>
      <c r="K64" s="2876"/>
    </row>
    <row r="65" spans="1:12">
      <c r="A65" s="2864"/>
      <c r="B65" s="98" t="str">
        <f>фундамент!G622</f>
        <v xml:space="preserve">армирование </v>
      </c>
      <c r="C65" s="99" t="str">
        <f>фундамент!I622</f>
        <v>м2</v>
      </c>
      <c r="D65" s="275">
        <f>фундамент!J622</f>
        <v>0</v>
      </c>
      <c r="E65" s="100">
        <f>фундамент!K622</f>
        <v>300</v>
      </c>
      <c r="F65" s="100"/>
      <c r="G65" s="275">
        <f t="shared" si="9"/>
        <v>0</v>
      </c>
      <c r="H65" s="2315">
        <f t="shared" si="10"/>
        <v>0</v>
      </c>
      <c r="I65" s="2866">
        <f t="shared" si="11"/>
        <v>0</v>
      </c>
      <c r="J65" s="2875"/>
      <c r="K65" s="2876"/>
    </row>
    <row r="66" spans="1:12">
      <c r="A66" s="2864"/>
      <c r="B66" s="98" t="str">
        <f>фундамент!G623</f>
        <v>монтаж дренажн труб</v>
      </c>
      <c r="C66" s="99" t="str">
        <f>фундамент!I623</f>
        <v>м.п.</v>
      </c>
      <c r="D66" s="275">
        <f>фундамент!J623</f>
        <v>0</v>
      </c>
      <c r="E66" s="100">
        <f>фундамент!K623</f>
        <v>200</v>
      </c>
      <c r="F66" s="100"/>
      <c r="G66" s="275">
        <f t="shared" si="9"/>
        <v>0</v>
      </c>
      <c r="H66" s="2315">
        <f t="shared" si="10"/>
        <v>0</v>
      </c>
      <c r="I66" s="2866">
        <f t="shared" si="11"/>
        <v>0</v>
      </c>
      <c r="J66" s="2875"/>
      <c r="K66" s="2876"/>
    </row>
    <row r="67" spans="1:12">
      <c r="A67" s="2864"/>
      <c r="B67" s="98" t="str">
        <f>фундамент!G624</f>
        <v>монтаж дренаж колодец</v>
      </c>
      <c r="C67" s="99" t="str">
        <f>фундамент!I624</f>
        <v>шт</v>
      </c>
      <c r="D67" s="275">
        <f>фундамент!J624</f>
        <v>0</v>
      </c>
      <c r="E67" s="100">
        <f>фундамент!K624</f>
        <v>300</v>
      </c>
      <c r="F67" s="100"/>
      <c r="G67" s="275">
        <f t="shared" si="9"/>
        <v>0</v>
      </c>
      <c r="H67" s="2315">
        <f t="shared" si="10"/>
        <v>0</v>
      </c>
      <c r="I67" s="2866">
        <f t="shared" si="11"/>
        <v>0</v>
      </c>
      <c r="J67" s="2875"/>
      <c r="K67" s="2876"/>
    </row>
    <row r="68" spans="1:12">
      <c r="A68" s="2864"/>
      <c r="B68" s="98" t="str">
        <f>фундамент!G625</f>
        <v>приемка бетона на пол</v>
      </c>
      <c r="C68" s="99" t="str">
        <f>фундамент!I625</f>
        <v>м2</v>
      </c>
      <c r="D68" s="275">
        <f>фундамент!J625</f>
        <v>0</v>
      </c>
      <c r="E68" s="100">
        <f>фундамент!K625</f>
        <v>350</v>
      </c>
      <c r="F68" s="100"/>
      <c r="G68" s="275">
        <f t="shared" si="9"/>
        <v>0</v>
      </c>
      <c r="H68" s="2315">
        <f t="shared" si="10"/>
        <v>0</v>
      </c>
      <c r="I68" s="2866">
        <f t="shared" si="11"/>
        <v>0</v>
      </c>
      <c r="J68" s="2875"/>
      <c r="K68" s="2876"/>
    </row>
    <row r="69" spans="1:12">
      <c r="A69" s="2864"/>
      <c r="B69" s="98" t="str">
        <f>фундамент!G626</f>
        <v>демпферная лента</v>
      </c>
      <c r="C69" s="99" t="str">
        <f>фундамент!I626</f>
        <v>м.п.</v>
      </c>
      <c r="D69" s="275">
        <f>фундамент!J626</f>
        <v>0</v>
      </c>
      <c r="E69" s="100">
        <f>фундамент!K626</f>
        <v>100</v>
      </c>
      <c r="F69" s="100"/>
      <c r="G69" s="275">
        <f t="shared" si="9"/>
        <v>0</v>
      </c>
      <c r="H69" s="2315">
        <f t="shared" si="10"/>
        <v>0</v>
      </c>
      <c r="I69" s="2866">
        <f t="shared" si="11"/>
        <v>0</v>
      </c>
      <c r="J69" s="2875"/>
      <c r="K69" s="2876"/>
    </row>
    <row r="70" spans="1:12">
      <c r="A70" s="2864"/>
      <c r="B70" s="3278" t="s">
        <v>4641</v>
      </c>
      <c r="C70" s="3278"/>
      <c r="D70" s="3278"/>
      <c r="E70" s="3278"/>
      <c r="F70" s="2868"/>
      <c r="G70" s="2315">
        <f>SUM(G56:G69)*H55</f>
        <v>0</v>
      </c>
      <c r="H70" s="2315">
        <f>SUM(H56:H69)</f>
        <v>0</v>
      </c>
      <c r="I70" s="2866">
        <f t="shared" si="11"/>
        <v>0</v>
      </c>
      <c r="J70" s="2875"/>
      <c r="K70" s="2876"/>
    </row>
    <row r="71" spans="1:12" ht="21">
      <c r="A71" s="2864"/>
      <c r="B71" s="3280" t="s">
        <v>4643</v>
      </c>
      <c r="C71" s="3280"/>
      <c r="D71" s="3280"/>
      <c r="E71" s="3280"/>
      <c r="F71" s="2877"/>
      <c r="G71" s="941"/>
      <c r="H71" s="2878">
        <f>фундамент!F514*фундамент!E517</f>
        <v>0</v>
      </c>
      <c r="I71" s="2879">
        <f>H71</f>
        <v>0</v>
      </c>
      <c r="J71" s="2830"/>
      <c r="K71" s="2876"/>
    </row>
    <row r="72" spans="1:12">
      <c r="A72" s="2874"/>
      <c r="B72" s="3281" t="s">
        <v>2720</v>
      </c>
      <c r="C72" s="3281"/>
      <c r="D72" s="3281"/>
      <c r="E72" s="3281"/>
      <c r="F72" s="2884"/>
      <c r="G72" s="941"/>
      <c r="H72" s="2881">
        <f>H71</f>
        <v>0</v>
      </c>
      <c r="I72" s="2879">
        <f>H72</f>
        <v>0</v>
      </c>
      <c r="J72" s="2882"/>
      <c r="K72" s="2883"/>
    </row>
    <row r="73" spans="1:12">
      <c r="A73" s="2874"/>
      <c r="B73" s="98" t="str">
        <f>фундамент!A638</f>
        <v xml:space="preserve">Праймер для обработки </v>
      </c>
      <c r="C73" s="99" t="str">
        <f>фундамент!B638</f>
        <v>л</v>
      </c>
      <c r="D73" s="275">
        <f>фундамент!C638</f>
        <v>0</v>
      </c>
      <c r="E73" s="100">
        <f>фундамент!D638</f>
        <v>100</v>
      </c>
      <c r="F73" s="100"/>
      <c r="G73" s="275">
        <f t="shared" ref="G73:G86" si="12">IF(F73&gt;0,D73*F73,E73*D73)</f>
        <v>0</v>
      </c>
      <c r="H73" s="96">
        <f t="shared" ref="H73:H86" si="13">D73*E73*$H$72</f>
        <v>0</v>
      </c>
      <c r="I73" s="2866">
        <f t="shared" ref="I73:I87" si="14">IF(G73&gt;H73,G73,H73)*$H$71</f>
        <v>0</v>
      </c>
      <c r="J73" s="2863"/>
      <c r="K73" s="223">
        <f t="shared" ref="K73:K87" si="15">D73-J73</f>
        <v>0</v>
      </c>
      <c r="L73" s="2854"/>
    </row>
    <row r="74" spans="1:12">
      <c r="A74" s="2864"/>
      <c r="B74" s="98" t="str">
        <f>фундамент!A639</f>
        <v>Гидроизол</v>
      </c>
      <c r="C74" s="99" t="str">
        <f>фундамент!B639</f>
        <v>м2</v>
      </c>
      <c r="D74" s="275">
        <f>фундамент!C639</f>
        <v>0</v>
      </c>
      <c r="E74" s="100">
        <f>фундамент!D639</f>
        <v>70</v>
      </c>
      <c r="F74" s="100"/>
      <c r="G74" s="275">
        <f t="shared" si="12"/>
        <v>0</v>
      </c>
      <c r="H74" s="96">
        <f t="shared" si="13"/>
        <v>0</v>
      </c>
      <c r="I74" s="2866">
        <f t="shared" si="14"/>
        <v>0</v>
      </c>
      <c r="J74" s="2863"/>
      <c r="K74" s="223">
        <f t="shared" si="15"/>
        <v>0</v>
      </c>
      <c r="L74" s="2854"/>
    </row>
    <row r="75" spans="1:12">
      <c r="A75" s="2864"/>
      <c r="B75" s="98" t="str">
        <f>фундамент!A640</f>
        <v>Мастика битумная</v>
      </c>
      <c r="C75" s="99" t="str">
        <f>фундамент!B640</f>
        <v>кг</v>
      </c>
      <c r="D75" s="275">
        <f>фундамент!C640</f>
        <v>0</v>
      </c>
      <c r="E75" s="100">
        <f>фундамент!D640</f>
        <v>100</v>
      </c>
      <c r="F75" s="100"/>
      <c r="G75" s="275">
        <f t="shared" si="12"/>
        <v>0</v>
      </c>
      <c r="H75" s="96">
        <f t="shared" si="13"/>
        <v>0</v>
      </c>
      <c r="I75" s="2866">
        <f t="shared" si="14"/>
        <v>0</v>
      </c>
      <c r="J75" s="2863"/>
      <c r="K75" s="223">
        <f t="shared" si="15"/>
        <v>0</v>
      </c>
      <c r="L75" s="2854"/>
    </row>
    <row r="76" spans="1:12">
      <c r="A76" s="2864"/>
      <c r="B76" s="98" t="str">
        <f>фундамент!A641</f>
        <v>Блоки ФБС</v>
      </c>
      <c r="C76" s="99" t="str">
        <f>фундамент!B641</f>
        <v>м3</v>
      </c>
      <c r="D76" s="275">
        <f>фундамент!C641</f>
        <v>0</v>
      </c>
      <c r="E76" s="100">
        <f>фундамент!D641</f>
        <v>1200</v>
      </c>
      <c r="F76" s="100"/>
      <c r="G76" s="275">
        <f t="shared" si="12"/>
        <v>0</v>
      </c>
      <c r="H76" s="96">
        <f t="shared" si="13"/>
        <v>0</v>
      </c>
      <c r="I76" s="2866">
        <f t="shared" si="14"/>
        <v>0</v>
      </c>
      <c r="J76" s="2863"/>
      <c r="K76" s="223">
        <f t="shared" si="15"/>
        <v>0</v>
      </c>
      <c r="L76" s="2854"/>
    </row>
    <row r="77" spans="1:12">
      <c r="A77" s="2864"/>
      <c r="B77" s="98" t="str">
        <f>фундамент!A642</f>
        <v>Кладочная сетка, 100*100/150*150/200*200мм</v>
      </c>
      <c r="C77" s="99" t="str">
        <f>фундамент!B642</f>
        <v>м2</v>
      </c>
      <c r="D77" s="275">
        <f>фундамент!C642</f>
        <v>0</v>
      </c>
      <c r="E77" s="100">
        <f>фундамент!D642</f>
        <v>70</v>
      </c>
      <c r="F77" s="100"/>
      <c r="G77" s="275">
        <f t="shared" si="12"/>
        <v>0</v>
      </c>
      <c r="H77" s="96">
        <f t="shared" si="13"/>
        <v>0</v>
      </c>
      <c r="I77" s="2866">
        <f t="shared" si="14"/>
        <v>0</v>
      </c>
      <c r="J77" s="2863"/>
      <c r="K77" s="223">
        <f t="shared" si="15"/>
        <v>0</v>
      </c>
      <c r="L77" s="2854"/>
    </row>
    <row r="78" spans="1:12">
      <c r="A78" s="2864"/>
      <c r="B78" s="98" t="str">
        <f>фундамент!A643</f>
        <v>Вязальная проволока</v>
      </c>
      <c r="C78" s="99" t="str">
        <f>фундамент!B643</f>
        <v>кг</v>
      </c>
      <c r="D78" s="275">
        <f>фундамент!C643</f>
        <v>0</v>
      </c>
      <c r="E78" s="100">
        <f>фундамент!D643</f>
        <v>80</v>
      </c>
      <c r="F78" s="100"/>
      <c r="G78" s="275">
        <f t="shared" si="12"/>
        <v>0</v>
      </c>
      <c r="H78" s="96">
        <f t="shared" si="13"/>
        <v>0</v>
      </c>
      <c r="I78" s="2866">
        <f t="shared" si="14"/>
        <v>0</v>
      </c>
      <c r="J78" s="2863"/>
      <c r="K78" s="223">
        <f t="shared" si="15"/>
        <v>0</v>
      </c>
      <c r="L78" s="2854"/>
    </row>
    <row r="79" spans="1:12">
      <c r="A79" s="2864"/>
      <c r="B79" s="98" t="str">
        <f>фундамент!A644</f>
        <v>Раствор, м250</v>
      </c>
      <c r="C79" s="99" t="str">
        <f>фундамент!B644</f>
        <v>м3</v>
      </c>
      <c r="D79" s="275">
        <f>фундамент!C644</f>
        <v>0</v>
      </c>
      <c r="E79" s="100">
        <f>фундамент!D644</f>
        <v>2500</v>
      </c>
      <c r="F79" s="100"/>
      <c r="G79" s="275">
        <f t="shared" si="12"/>
        <v>0</v>
      </c>
      <c r="H79" s="96">
        <f t="shared" si="13"/>
        <v>0</v>
      </c>
      <c r="I79" s="2866">
        <f t="shared" si="14"/>
        <v>0</v>
      </c>
      <c r="J79" s="2863"/>
      <c r="K79" s="223">
        <f t="shared" si="15"/>
        <v>0</v>
      </c>
      <c r="L79" s="2854"/>
    </row>
    <row r="80" spans="1:12">
      <c r="A80" s="2864"/>
      <c r="B80" s="98" t="str">
        <f>фундамент!A645</f>
        <v>Сосна влаж,150*40мм</v>
      </c>
      <c r="C80" s="99" t="str">
        <f>фундамент!B645</f>
        <v>м3</v>
      </c>
      <c r="D80" s="275">
        <f>фундамент!C645</f>
        <v>0</v>
      </c>
      <c r="E80" s="100">
        <f>фундамент!D645</f>
        <v>6500</v>
      </c>
      <c r="F80" s="100"/>
      <c r="G80" s="275">
        <f t="shared" si="12"/>
        <v>0</v>
      </c>
      <c r="H80" s="96">
        <f t="shared" si="13"/>
        <v>0</v>
      </c>
      <c r="I80" s="2866">
        <f t="shared" si="14"/>
        <v>0</v>
      </c>
      <c r="J80" s="2863"/>
      <c r="K80" s="223">
        <f t="shared" si="15"/>
        <v>0</v>
      </c>
      <c r="L80" s="2854"/>
    </row>
    <row r="81" spans="1:12">
      <c r="A81" s="2864"/>
      <c r="B81" s="98" t="str">
        <f>фундамент!A646</f>
        <v>Арматура стальная Ø 10 </v>
      </c>
      <c r="C81" s="99" t="str">
        <f>фундамент!B646</f>
        <v>м.п.</v>
      </c>
      <c r="D81" s="275">
        <f>фундамент!C646</f>
        <v>0</v>
      </c>
      <c r="E81" s="100">
        <f>фундамент!D646</f>
        <v>21.0397</v>
      </c>
      <c r="F81" s="100"/>
      <c r="G81" s="275">
        <f t="shared" si="12"/>
        <v>0</v>
      </c>
      <c r="H81" s="96">
        <f t="shared" si="13"/>
        <v>0</v>
      </c>
      <c r="I81" s="2866">
        <f t="shared" si="14"/>
        <v>0</v>
      </c>
      <c r="J81" s="2863"/>
      <c r="K81" s="223">
        <f t="shared" si="15"/>
        <v>0</v>
      </c>
      <c r="L81" s="2854"/>
    </row>
    <row r="82" spans="1:12">
      <c r="A82" s="2864"/>
      <c r="B82" s="98" t="str">
        <f>фундамент!A647</f>
        <v>Нет арматуры</v>
      </c>
      <c r="C82" s="99" t="str">
        <f>фундамент!B647</f>
        <v>м.п.</v>
      </c>
      <c r="D82" s="275">
        <f>фундамент!C647</f>
        <v>0</v>
      </c>
      <c r="E82" s="100">
        <f>фундамент!D647</f>
        <v>0</v>
      </c>
      <c r="F82" s="100"/>
      <c r="G82" s="275">
        <f t="shared" si="12"/>
        <v>0</v>
      </c>
      <c r="H82" s="96">
        <f t="shared" si="13"/>
        <v>0</v>
      </c>
      <c r="I82" s="2866">
        <f t="shared" si="14"/>
        <v>0</v>
      </c>
      <c r="J82" s="2863"/>
      <c r="K82" s="223">
        <f t="shared" si="15"/>
        <v>0</v>
      </c>
      <c r="L82" s="2854"/>
    </row>
    <row r="83" spans="1:12">
      <c r="A83" s="2864"/>
      <c r="B83" s="98" t="str">
        <f>фундамент!A648</f>
        <v>Бетон, м300</v>
      </c>
      <c r="C83" s="99" t="str">
        <f>фундамент!B648</f>
        <v>м3</v>
      </c>
      <c r="D83" s="275">
        <f>фундамент!C648</f>
        <v>0</v>
      </c>
      <c r="E83" s="100">
        <f>фундамент!D648</f>
        <v>3000</v>
      </c>
      <c r="F83" s="100"/>
      <c r="G83" s="275">
        <f t="shared" si="12"/>
        <v>0</v>
      </c>
      <c r="H83" s="96">
        <f t="shared" si="13"/>
        <v>0</v>
      </c>
      <c r="I83" s="2866">
        <f t="shared" si="14"/>
        <v>0</v>
      </c>
      <c r="J83" s="2863"/>
      <c r="K83" s="223">
        <f t="shared" si="15"/>
        <v>0</v>
      </c>
      <c r="L83" s="2854"/>
    </row>
    <row r="84" spans="1:12">
      <c r="A84" s="2864"/>
      <c r="B84" s="98" t="str">
        <f>фундамент!A649</f>
        <v xml:space="preserve">Праймер для обработки </v>
      </c>
      <c r="C84" s="99" t="str">
        <f>фундамент!B649</f>
        <v>л</v>
      </c>
      <c r="D84" s="275">
        <f>фундамент!C649</f>
        <v>0</v>
      </c>
      <c r="E84" s="100">
        <f>фундамент!D649</f>
        <v>100</v>
      </c>
      <c r="F84" s="100"/>
      <c r="G84" s="275">
        <f t="shared" si="12"/>
        <v>0</v>
      </c>
      <c r="H84" s="96">
        <f t="shared" si="13"/>
        <v>0</v>
      </c>
      <c r="I84" s="2866">
        <f t="shared" si="14"/>
        <v>0</v>
      </c>
      <c r="J84" s="2863"/>
      <c r="K84" s="223">
        <f t="shared" si="15"/>
        <v>0</v>
      </c>
      <c r="L84" s="2854"/>
    </row>
    <row r="85" spans="1:12">
      <c r="A85" s="2864"/>
      <c r="B85" s="98" t="str">
        <f>фундамент!A650</f>
        <v>Плитный,28кг/м3, технониколь, 100мм</v>
      </c>
      <c r="C85" s="99" t="str">
        <f>фундамент!B650</f>
        <v>м3</v>
      </c>
      <c r="D85" s="275">
        <f>фундамент!C650</f>
        <v>0</v>
      </c>
      <c r="E85" s="100">
        <f>фундамент!D650</f>
        <v>1700</v>
      </c>
      <c r="F85" s="100"/>
      <c r="G85" s="275">
        <f t="shared" si="12"/>
        <v>0</v>
      </c>
      <c r="H85" s="96">
        <f t="shared" si="13"/>
        <v>0</v>
      </c>
      <c r="I85" s="2866">
        <f t="shared" si="14"/>
        <v>0</v>
      </c>
      <c r="J85" s="2863"/>
      <c r="K85" s="223">
        <f t="shared" si="15"/>
        <v>0</v>
      </c>
      <c r="L85" s="2854"/>
    </row>
    <row r="86" spans="1:12">
      <c r="A86" s="2864"/>
      <c r="B86" s="98" t="str">
        <f>фундамент!A651</f>
        <v>Грибок для крепления утеплителя</v>
      </c>
      <c r="C86" s="99" t="str">
        <f>фундамент!B651</f>
        <v>шт</v>
      </c>
      <c r="D86" s="275">
        <f>фундамент!C651</f>
        <v>0</v>
      </c>
      <c r="E86" s="100">
        <f>фундамент!D651</f>
        <v>15</v>
      </c>
      <c r="F86" s="100"/>
      <c r="G86" s="275">
        <f t="shared" si="12"/>
        <v>0</v>
      </c>
      <c r="H86" s="96">
        <f t="shared" si="13"/>
        <v>0</v>
      </c>
      <c r="I86" s="2866">
        <f t="shared" si="14"/>
        <v>0</v>
      </c>
      <c r="J86" s="2863"/>
      <c r="K86" s="223">
        <f t="shared" si="15"/>
        <v>0</v>
      </c>
      <c r="L86" s="2854"/>
    </row>
    <row r="87" spans="1:12">
      <c r="A87" s="2864"/>
      <c r="B87" s="3278" t="s">
        <v>4640</v>
      </c>
      <c r="C87" s="3278"/>
      <c r="D87" s="3278"/>
      <c r="E87" s="3278"/>
      <c r="F87" s="2868"/>
      <c r="G87" s="96">
        <f>SUM(G73:G86)*H71</f>
        <v>0</v>
      </c>
      <c r="H87" s="96">
        <f>SUM(H73:H86)</f>
        <v>0</v>
      </c>
      <c r="I87" s="2866">
        <f t="shared" si="14"/>
        <v>0</v>
      </c>
      <c r="J87" s="2863"/>
      <c r="K87" s="223">
        <f t="shared" si="15"/>
        <v>0</v>
      </c>
      <c r="L87" s="2854"/>
    </row>
    <row r="88" spans="1:12">
      <c r="A88" s="2864"/>
      <c r="B88" s="3279" t="s">
        <v>1409</v>
      </c>
      <c r="C88" s="3279"/>
      <c r="D88" s="3279"/>
      <c r="E88" s="3279"/>
      <c r="F88" s="2870"/>
      <c r="G88" s="941"/>
      <c r="H88" s="2861">
        <f>H71</f>
        <v>0</v>
      </c>
      <c r="I88" s="2879">
        <f>H88</f>
        <v>0</v>
      </c>
      <c r="J88" s="2872"/>
      <c r="K88" s="2873"/>
    </row>
    <row r="89" spans="1:12">
      <c r="A89" s="2874"/>
      <c r="B89" s="98" t="str">
        <f>фундамент!G638</f>
        <v>обработка праймер</v>
      </c>
      <c r="C89" s="99" t="s">
        <v>133</v>
      </c>
      <c r="D89" s="275">
        <f>фундамент!J638</f>
        <v>0</v>
      </c>
      <c r="E89" s="100">
        <f>фундамент!K638</f>
        <v>200</v>
      </c>
      <c r="F89" s="100"/>
      <c r="G89" s="275">
        <f t="shared" ref="G89:G97" si="16">IF(F89&gt;0,D89*F89,E89*D89)</f>
        <v>0</v>
      </c>
      <c r="H89" s="96">
        <f t="shared" ref="H89:H97" si="17">D89*E89*$H$72</f>
        <v>0</v>
      </c>
      <c r="I89" s="2866">
        <f t="shared" ref="I89:I98" si="18">IF(G89&gt;H89,G89,H89)*$H$88</f>
        <v>0</v>
      </c>
      <c r="J89" s="2875"/>
      <c r="K89" s="2876"/>
    </row>
    <row r="90" spans="1:12">
      <c r="A90" s="2864"/>
      <c r="B90" s="98" t="str">
        <f>фундамент!G639</f>
        <v>настил гидроизола</v>
      </c>
      <c r="C90" s="99" t="s">
        <v>133</v>
      </c>
      <c r="D90" s="275">
        <f>фундамент!J639</f>
        <v>0</v>
      </c>
      <c r="E90" s="100">
        <f>фундамент!K639</f>
        <v>100</v>
      </c>
      <c r="F90" s="100"/>
      <c r="G90" s="275">
        <f t="shared" si="16"/>
        <v>0</v>
      </c>
      <c r="H90" s="96">
        <f t="shared" si="17"/>
        <v>0</v>
      </c>
      <c r="I90" s="2866">
        <f t="shared" si="18"/>
        <v>0</v>
      </c>
      <c r="J90" s="2875"/>
      <c r="K90" s="2876"/>
    </row>
    <row r="91" spans="1:12">
      <c r="A91" s="2864"/>
      <c r="B91" s="98" t="str">
        <f>фундамент!G640</f>
        <v>Кладка блоков ФБС</v>
      </c>
      <c r="C91" s="99" t="s">
        <v>135</v>
      </c>
      <c r="D91" s="275">
        <f>фундамент!J640</f>
        <v>0</v>
      </c>
      <c r="E91" s="100">
        <f>фундамент!K640</f>
        <v>1000</v>
      </c>
      <c r="F91" s="100"/>
      <c r="G91" s="275">
        <f t="shared" si="16"/>
        <v>0</v>
      </c>
      <c r="H91" s="96">
        <f t="shared" si="17"/>
        <v>0</v>
      </c>
      <c r="I91" s="2866">
        <f t="shared" si="18"/>
        <v>0</v>
      </c>
      <c r="J91" s="2875"/>
      <c r="K91" s="2876"/>
    </row>
    <row r="92" spans="1:12">
      <c r="A92" s="2864"/>
      <c r="B92" s="98" t="str">
        <f>фундамент!G641</f>
        <v>укладка сетки</v>
      </c>
      <c r="C92" s="99" t="s">
        <v>133</v>
      </c>
      <c r="D92" s="275">
        <f>фундамент!J641</f>
        <v>0</v>
      </c>
      <c r="E92" s="100">
        <f>фундамент!K641</f>
        <v>100</v>
      </c>
      <c r="F92" s="100"/>
      <c r="G92" s="275">
        <f t="shared" si="16"/>
        <v>0</v>
      </c>
      <c r="H92" s="96">
        <f t="shared" si="17"/>
        <v>0</v>
      </c>
      <c r="I92" s="2866">
        <f t="shared" si="18"/>
        <v>0</v>
      </c>
      <c r="J92" s="2875"/>
      <c r="K92" s="2876"/>
    </row>
    <row r="93" spans="1:12">
      <c r="A93" s="2864"/>
      <c r="B93" s="98" t="str">
        <f>фундамент!G642</f>
        <v>гидроизоляция стен</v>
      </c>
      <c r="C93" s="99" t="s">
        <v>133</v>
      </c>
      <c r="D93" s="275">
        <f>фундамент!J642</f>
        <v>0</v>
      </c>
      <c r="E93" s="100">
        <f>фундамент!K642</f>
        <v>200</v>
      </c>
      <c r="F93" s="100"/>
      <c r="G93" s="275">
        <f t="shared" si="16"/>
        <v>0</v>
      </c>
      <c r="H93" s="96">
        <f t="shared" si="17"/>
        <v>0</v>
      </c>
      <c r="I93" s="2866">
        <f t="shared" si="18"/>
        <v>0</v>
      </c>
      <c r="J93" s="2875"/>
      <c r="K93" s="2876"/>
    </row>
    <row r="94" spans="1:12">
      <c r="A94" s="2864"/>
      <c r="B94" s="98" t="str">
        <f>фундамент!G643</f>
        <v>Монтаж утеплителя стен наружних</v>
      </c>
      <c r="C94" s="2885" t="s">
        <v>133</v>
      </c>
      <c r="D94" s="275">
        <f>фундамент!J643</f>
        <v>0</v>
      </c>
      <c r="E94" s="100">
        <f>фундамент!K643</f>
        <v>200</v>
      </c>
      <c r="F94" s="100"/>
      <c r="G94" s="275">
        <f t="shared" si="16"/>
        <v>0</v>
      </c>
      <c r="H94" s="96">
        <f t="shared" si="17"/>
        <v>0</v>
      </c>
      <c r="I94" s="2866">
        <f t="shared" si="18"/>
        <v>0</v>
      </c>
      <c r="J94" s="2875"/>
      <c r="K94" s="2876"/>
    </row>
    <row r="95" spans="1:12">
      <c r="A95" s="2864"/>
      <c r="B95" s="98" t="str">
        <f>фундамент!G644</f>
        <v>сборка опалубки</v>
      </c>
      <c r="C95" s="99" t="s">
        <v>133</v>
      </c>
      <c r="D95" s="275">
        <f>фундамент!J644</f>
        <v>0</v>
      </c>
      <c r="E95" s="100">
        <f>фундамент!K644</f>
        <v>300</v>
      </c>
      <c r="F95" s="100"/>
      <c r="G95" s="275">
        <f t="shared" si="16"/>
        <v>0</v>
      </c>
      <c r="H95" s="96">
        <f t="shared" si="17"/>
        <v>0</v>
      </c>
      <c r="I95" s="2866">
        <f t="shared" si="18"/>
        <v>0</v>
      </c>
      <c r="J95" s="2875"/>
      <c r="K95" s="2876"/>
    </row>
    <row r="96" spans="1:12">
      <c r="A96" s="2864"/>
      <c r="B96" s="98" t="str">
        <f>фундамент!G645</f>
        <v>разборка опалубки</v>
      </c>
      <c r="C96" s="99" t="s">
        <v>133</v>
      </c>
      <c r="D96" s="275">
        <f>фундамент!J645</f>
        <v>0</v>
      </c>
      <c r="E96" s="100">
        <f>фундамент!K645</f>
        <v>100</v>
      </c>
      <c r="F96" s="100"/>
      <c r="G96" s="275">
        <f t="shared" si="16"/>
        <v>0</v>
      </c>
      <c r="H96" s="96">
        <f t="shared" si="17"/>
        <v>0</v>
      </c>
      <c r="I96" s="2866">
        <f t="shared" si="18"/>
        <v>0</v>
      </c>
      <c r="J96" s="2875"/>
      <c r="K96" s="2876"/>
    </row>
    <row r="97" spans="1:12">
      <c r="A97" s="2852"/>
      <c r="B97" s="98" t="str">
        <f>фундамент!G646</f>
        <v>приемка бетона</v>
      </c>
      <c r="C97" s="2885" t="s">
        <v>135</v>
      </c>
      <c r="D97" s="275">
        <f>фундамент!J646</f>
        <v>0</v>
      </c>
      <c r="E97" s="100">
        <f>фундамент!K646</f>
        <v>350</v>
      </c>
      <c r="F97" s="100"/>
      <c r="G97" s="275">
        <f t="shared" si="16"/>
        <v>0</v>
      </c>
      <c r="H97" s="96">
        <f t="shared" si="17"/>
        <v>0</v>
      </c>
      <c r="I97" s="2866">
        <f t="shared" si="18"/>
        <v>0</v>
      </c>
      <c r="J97" s="2886"/>
      <c r="K97" s="2883"/>
    </row>
    <row r="98" spans="1:12">
      <c r="A98" s="2864"/>
      <c r="B98" s="3278" t="s">
        <v>4641</v>
      </c>
      <c r="C98" s="3278"/>
      <c r="D98" s="3278"/>
      <c r="E98" s="3278"/>
      <c r="F98" s="2868"/>
      <c r="G98" s="2315">
        <f>SUM(G89:G97)*H88</f>
        <v>0</v>
      </c>
      <c r="H98" s="2315">
        <f>SUM(H89:H97)</f>
        <v>0</v>
      </c>
      <c r="I98" s="2866">
        <f t="shared" si="18"/>
        <v>0</v>
      </c>
      <c r="J98" s="2875"/>
      <c r="K98" s="2876"/>
    </row>
    <row r="99" spans="1:12" ht="21">
      <c r="A99" s="2864"/>
      <c r="B99" s="3280" t="s">
        <v>4644</v>
      </c>
      <c r="C99" s="3280"/>
      <c r="D99" s="3280"/>
      <c r="E99" s="3280"/>
      <c r="F99" s="2877"/>
      <c r="G99" s="941"/>
      <c r="H99" s="2878">
        <f>фундамент!F514*фундамент!E518</f>
        <v>0</v>
      </c>
      <c r="I99" s="2879">
        <f>H99</f>
        <v>0</v>
      </c>
      <c r="J99" s="2830"/>
      <c r="K99" s="2876"/>
    </row>
    <row r="100" spans="1:12">
      <c r="A100" s="2874"/>
      <c r="B100" s="3281" t="s">
        <v>2720</v>
      </c>
      <c r="C100" s="3281"/>
      <c r="D100" s="3281"/>
      <c r="E100" s="3281"/>
      <c r="F100" s="2884"/>
      <c r="G100" s="941"/>
      <c r="H100" s="2881">
        <f>H99</f>
        <v>0</v>
      </c>
      <c r="I100" s="2879">
        <f>H100</f>
        <v>0</v>
      </c>
      <c r="J100" s="2882"/>
      <c r="K100" s="2883"/>
    </row>
    <row r="101" spans="1:12">
      <c r="A101" s="2874"/>
      <c r="B101" s="98" t="str">
        <f>фундамент!A659</f>
        <v xml:space="preserve">Праймер для обработки </v>
      </c>
      <c r="C101" s="99" t="str">
        <f>фундамент!B659</f>
        <v>л</v>
      </c>
      <c r="D101" s="275">
        <f>фундамент!C659</f>
        <v>0</v>
      </c>
      <c r="E101" s="98">
        <f>фундамент!D659</f>
        <v>100</v>
      </c>
      <c r="F101" s="98"/>
      <c r="G101" s="275">
        <f t="shared" ref="G101:G111" si="19">IF(F101&gt;0,D101*F101,E101*D101)</f>
        <v>0</v>
      </c>
      <c r="H101" s="96">
        <f t="shared" ref="H101:H111" si="20">D101*E101*$H$100</f>
        <v>0</v>
      </c>
      <c r="I101" s="2866">
        <f t="shared" ref="I101:I112" si="21">IF(G101&gt;H101,G101,H101)*$H$99</f>
        <v>0</v>
      </c>
      <c r="J101" s="2863"/>
      <c r="K101" s="223">
        <f t="shared" ref="K101:K112" si="22">D101-J101</f>
        <v>0</v>
      </c>
      <c r="L101" s="2854"/>
    </row>
    <row r="102" spans="1:12">
      <c r="A102" s="2864"/>
      <c r="B102" s="98" t="str">
        <f>фундамент!A660</f>
        <v>Гидроизол</v>
      </c>
      <c r="C102" s="99" t="str">
        <f>фундамент!B660</f>
        <v>м2</v>
      </c>
      <c r="D102" s="275">
        <f>фундамент!C660</f>
        <v>0</v>
      </c>
      <c r="E102" s="98">
        <f>фундамент!D660</f>
        <v>70</v>
      </c>
      <c r="F102" s="98"/>
      <c r="G102" s="275">
        <f t="shared" si="19"/>
        <v>0</v>
      </c>
      <c r="H102" s="96">
        <f t="shared" si="20"/>
        <v>0</v>
      </c>
      <c r="I102" s="2866">
        <f t="shared" si="21"/>
        <v>0</v>
      </c>
      <c r="J102" s="2863"/>
      <c r="K102" s="223">
        <f t="shared" si="22"/>
        <v>0</v>
      </c>
      <c r="L102" s="2854"/>
    </row>
    <row r="103" spans="1:12">
      <c r="A103" s="2864"/>
      <c r="B103" s="98" t="str">
        <f>фундамент!A661</f>
        <v>Мастика битумная</v>
      </c>
      <c r="C103" s="99" t="str">
        <f>фундамент!B661</f>
        <v>кг</v>
      </c>
      <c r="D103" s="275">
        <f>фундамент!C661</f>
        <v>0</v>
      </c>
      <c r="E103" s="98">
        <f>фундамент!D661</f>
        <v>100</v>
      </c>
      <c r="F103" s="98"/>
      <c r="G103" s="275">
        <f t="shared" si="19"/>
        <v>0</v>
      </c>
      <c r="H103" s="96">
        <f t="shared" si="20"/>
        <v>0</v>
      </c>
      <c r="I103" s="2866">
        <f t="shared" si="21"/>
        <v>0</v>
      </c>
      <c r="J103" s="2863"/>
      <c r="K103" s="223">
        <f t="shared" si="22"/>
        <v>0</v>
      </c>
      <c r="L103" s="2854"/>
    </row>
    <row r="104" spans="1:12">
      <c r="A104" s="2864"/>
      <c r="B104" s="98" t="str">
        <f>фундамент!A662</f>
        <v>Сосна влаж,150*40мм</v>
      </c>
      <c r="C104" s="99" t="str">
        <f>фундамент!B662</f>
        <v>м3</v>
      </c>
      <c r="D104" s="275">
        <f>фундамент!C662</f>
        <v>0</v>
      </c>
      <c r="E104" s="98">
        <f>фундамент!D662</f>
        <v>6500</v>
      </c>
      <c r="F104" s="98"/>
      <c r="G104" s="275">
        <f t="shared" si="19"/>
        <v>0</v>
      </c>
      <c r="H104" s="96">
        <f t="shared" si="20"/>
        <v>0</v>
      </c>
      <c r="I104" s="2866">
        <f t="shared" si="21"/>
        <v>0</v>
      </c>
      <c r="J104" s="2863"/>
      <c r="K104" s="223">
        <f t="shared" si="22"/>
        <v>0</v>
      </c>
      <c r="L104" s="2854"/>
    </row>
    <row r="105" spans="1:12">
      <c r="A105" s="2864"/>
      <c r="B105" s="98" t="str">
        <f>фундамент!A663</f>
        <v>Крепления для опалубки</v>
      </c>
      <c r="C105" s="99" t="str">
        <f>фундамент!B663</f>
        <v>шт</v>
      </c>
      <c r="D105" s="275">
        <f>фундамент!C663</f>
        <v>0</v>
      </c>
      <c r="E105" s="98">
        <f>фундамент!D663</f>
        <v>20</v>
      </c>
      <c r="F105" s="98"/>
      <c r="G105" s="275">
        <f t="shared" si="19"/>
        <v>0</v>
      </c>
      <c r="H105" s="96">
        <f t="shared" si="20"/>
        <v>0</v>
      </c>
      <c r="I105" s="2866">
        <f t="shared" si="21"/>
        <v>0</v>
      </c>
      <c r="J105" s="2863"/>
      <c r="K105" s="223">
        <f t="shared" si="22"/>
        <v>0</v>
      </c>
      <c r="L105" s="2854"/>
    </row>
    <row r="106" spans="1:12">
      <c r="A106" s="2864"/>
      <c r="B106" s="98" t="str">
        <f>фундамент!A664</f>
        <v>Арматура стальная Ø 12</v>
      </c>
      <c r="C106" s="99" t="str">
        <f>фундамент!B664</f>
        <v>м.п.</v>
      </c>
      <c r="D106" s="275">
        <f>фундамент!C664</f>
        <v>0</v>
      </c>
      <c r="E106" s="98">
        <f>фундамент!D664</f>
        <v>29.215199999999999</v>
      </c>
      <c r="F106" s="98"/>
      <c r="G106" s="275">
        <f t="shared" si="19"/>
        <v>0</v>
      </c>
      <c r="H106" s="96">
        <f t="shared" si="20"/>
        <v>0</v>
      </c>
      <c r="I106" s="2866">
        <f t="shared" si="21"/>
        <v>0</v>
      </c>
      <c r="J106" s="2863"/>
      <c r="K106" s="223">
        <f t="shared" si="22"/>
        <v>0</v>
      </c>
      <c r="L106" s="2854"/>
    </row>
    <row r="107" spans="1:12">
      <c r="A107" s="2864"/>
      <c r="B107" s="98" t="str">
        <f>фундамент!A665</f>
        <v>Вязальная проволока</v>
      </c>
      <c r="C107" s="99" t="str">
        <f>фундамент!B665</f>
        <v>кг</v>
      </c>
      <c r="D107" s="275">
        <f>фундамент!C665</f>
        <v>0</v>
      </c>
      <c r="E107" s="98">
        <f>фундамент!D665</f>
        <v>80</v>
      </c>
      <c r="F107" s="98"/>
      <c r="G107" s="275">
        <f t="shared" si="19"/>
        <v>0</v>
      </c>
      <c r="H107" s="96">
        <f t="shared" si="20"/>
        <v>0</v>
      </c>
      <c r="I107" s="2866">
        <f t="shared" si="21"/>
        <v>0</v>
      </c>
      <c r="J107" s="2863"/>
      <c r="K107" s="223">
        <f t="shared" si="22"/>
        <v>0</v>
      </c>
      <c r="L107" s="2854"/>
    </row>
    <row r="108" spans="1:12">
      <c r="A108" s="2864"/>
      <c r="B108" s="98" t="str">
        <f>фундамент!A666</f>
        <v>Бетон, м300</v>
      </c>
      <c r="C108" s="99" t="str">
        <f>фундамент!B666</f>
        <v>м3</v>
      </c>
      <c r="D108" s="275">
        <f>фундамент!C666</f>
        <v>0</v>
      </c>
      <c r="E108" s="98">
        <f>фундамент!D666</f>
        <v>3000</v>
      </c>
      <c r="F108" s="98"/>
      <c r="G108" s="275">
        <f t="shared" si="19"/>
        <v>0</v>
      </c>
      <c r="H108" s="96">
        <f t="shared" si="20"/>
        <v>0</v>
      </c>
      <c r="I108" s="2866">
        <f t="shared" si="21"/>
        <v>0</v>
      </c>
      <c r="J108" s="2863"/>
      <c r="K108" s="223">
        <f t="shared" si="22"/>
        <v>0</v>
      </c>
      <c r="L108" s="2854"/>
    </row>
    <row r="109" spans="1:12">
      <c r="A109" s="2864"/>
      <c r="B109" s="98" t="str">
        <f>фундамент!A667</f>
        <v xml:space="preserve">Праймер для обработки </v>
      </c>
      <c r="C109" s="99" t="str">
        <f>фундамент!B667</f>
        <v>кг</v>
      </c>
      <c r="D109" s="275">
        <f>фундамент!C667</f>
        <v>0</v>
      </c>
      <c r="E109" s="98">
        <f>фундамент!D667</f>
        <v>100</v>
      </c>
      <c r="F109" s="98"/>
      <c r="G109" s="275">
        <f t="shared" si="19"/>
        <v>0</v>
      </c>
      <c r="H109" s="96">
        <f t="shared" si="20"/>
        <v>0</v>
      </c>
      <c r="I109" s="2866">
        <f t="shared" si="21"/>
        <v>0</v>
      </c>
      <c r="J109" s="2863"/>
      <c r="K109" s="223">
        <f t="shared" si="22"/>
        <v>0</v>
      </c>
      <c r="L109" s="2854"/>
    </row>
    <row r="110" spans="1:12">
      <c r="A110" s="2864"/>
      <c r="B110" s="98" t="str">
        <f>фундамент!A668</f>
        <v>Плитный,28кг/м3, технониколь, 100мм</v>
      </c>
      <c r="C110" s="99" t="str">
        <f>фундамент!B668</f>
        <v>м3</v>
      </c>
      <c r="D110" s="275">
        <f>фундамент!C668</f>
        <v>0</v>
      </c>
      <c r="E110" s="98">
        <f>фундамент!D668</f>
        <v>1700</v>
      </c>
      <c r="F110" s="98"/>
      <c r="G110" s="275">
        <f t="shared" si="19"/>
        <v>0</v>
      </c>
      <c r="H110" s="96">
        <f t="shared" si="20"/>
        <v>0</v>
      </c>
      <c r="I110" s="2866">
        <f t="shared" si="21"/>
        <v>0</v>
      </c>
      <c r="J110" s="2863"/>
      <c r="K110" s="223">
        <f t="shared" si="22"/>
        <v>0</v>
      </c>
      <c r="L110" s="2854"/>
    </row>
    <row r="111" spans="1:12">
      <c r="A111" s="2864"/>
      <c r="B111" s="98" t="str">
        <f>фундамент!A669</f>
        <v>Грибок для крепления утеплителя</v>
      </c>
      <c r="C111" s="99" t="str">
        <f>фундамент!B669</f>
        <v>шт</v>
      </c>
      <c r="D111" s="275">
        <f>фундамент!C669</f>
        <v>0</v>
      </c>
      <c r="E111" s="98">
        <f>фундамент!D669</f>
        <v>15</v>
      </c>
      <c r="F111" s="98"/>
      <c r="G111" s="275">
        <f t="shared" si="19"/>
        <v>0</v>
      </c>
      <c r="H111" s="96">
        <f t="shared" si="20"/>
        <v>0</v>
      </c>
      <c r="I111" s="2866">
        <f t="shared" si="21"/>
        <v>0</v>
      </c>
      <c r="J111" s="2863"/>
      <c r="K111" s="223">
        <f t="shared" si="22"/>
        <v>0</v>
      </c>
      <c r="L111" s="2854"/>
    </row>
    <row r="112" spans="1:12">
      <c r="A112" s="2864"/>
      <c r="B112" s="3278" t="s">
        <v>4640</v>
      </c>
      <c r="C112" s="3278"/>
      <c r="D112" s="3278"/>
      <c r="E112" s="3278"/>
      <c r="F112" s="2868"/>
      <c r="G112" s="96">
        <f>SUM(G101:G111)*H99</f>
        <v>0</v>
      </c>
      <c r="H112" s="96">
        <f>SUM(H101:H111)</f>
        <v>0</v>
      </c>
      <c r="I112" s="2866">
        <f t="shared" si="21"/>
        <v>0</v>
      </c>
      <c r="J112" s="2863"/>
      <c r="K112" s="223">
        <f t="shared" si="22"/>
        <v>0</v>
      </c>
      <c r="L112" s="2854"/>
    </row>
    <row r="113" spans="1:12">
      <c r="A113" s="2864"/>
      <c r="B113" s="3279" t="s">
        <v>1409</v>
      </c>
      <c r="C113" s="3279"/>
      <c r="D113" s="3279"/>
      <c r="E113" s="3279"/>
      <c r="F113" s="2870"/>
      <c r="G113" s="941"/>
      <c r="H113" s="2861">
        <f>H99</f>
        <v>0</v>
      </c>
      <c r="I113" s="2879">
        <f>H113</f>
        <v>0</v>
      </c>
      <c r="J113" s="2872"/>
      <c r="K113" s="2873"/>
    </row>
    <row r="114" spans="1:12">
      <c r="A114" s="2874"/>
      <c r="B114" s="98" t="str">
        <f>фундамент!G659</f>
        <v>обработка праймер</v>
      </c>
      <c r="C114" s="99" t="s">
        <v>133</v>
      </c>
      <c r="D114" s="275">
        <f>фундамент!J659</f>
        <v>0</v>
      </c>
      <c r="E114" s="100">
        <f>фундамент!K659</f>
        <v>200</v>
      </c>
      <c r="F114" s="100"/>
      <c r="G114" s="275">
        <f t="shared" ref="G114:G121" si="23">IF(F114&gt;0,D114*F114,E114*D114)</f>
        <v>0</v>
      </c>
      <c r="H114" s="96">
        <f t="shared" ref="H114:H121" si="24">D114*E114*$H$100</f>
        <v>0</v>
      </c>
      <c r="I114" s="2866">
        <f t="shared" ref="I114:I122" si="25">IF(G114&gt;H114,G114,H114)*$H$113</f>
        <v>0</v>
      </c>
      <c r="J114" s="2875"/>
      <c r="K114" s="2876"/>
    </row>
    <row r="115" spans="1:12">
      <c r="A115" s="2864"/>
      <c r="B115" s="98" t="str">
        <f>фундамент!G660</f>
        <v>настил гидроизола</v>
      </c>
      <c r="C115" s="99" t="s">
        <v>133</v>
      </c>
      <c r="D115" s="275">
        <f>фундамент!J660</f>
        <v>0</v>
      </c>
      <c r="E115" s="100">
        <f>фундамент!K660</f>
        <v>100</v>
      </c>
      <c r="F115" s="100"/>
      <c r="G115" s="275">
        <f t="shared" si="23"/>
        <v>0</v>
      </c>
      <c r="H115" s="96">
        <f t="shared" si="24"/>
        <v>0</v>
      </c>
      <c r="I115" s="2866">
        <f t="shared" si="25"/>
        <v>0</v>
      </c>
      <c r="J115" s="2875"/>
      <c r="K115" s="2876"/>
    </row>
    <row r="116" spans="1:12">
      <c r="A116" s="2864"/>
      <c r="B116" s="98" t="str">
        <f>фундамент!G661</f>
        <v>вязка арматуры</v>
      </c>
      <c r="C116" s="99" t="s">
        <v>156</v>
      </c>
      <c r="D116" s="275">
        <f>фундамент!J661</f>
        <v>0</v>
      </c>
      <c r="E116" s="100">
        <f>фундамент!K661</f>
        <v>300</v>
      </c>
      <c r="F116" s="100"/>
      <c r="G116" s="275">
        <f t="shared" si="23"/>
        <v>0</v>
      </c>
      <c r="H116" s="96">
        <f t="shared" si="24"/>
        <v>0</v>
      </c>
      <c r="I116" s="2866">
        <f t="shared" si="25"/>
        <v>0</v>
      </c>
      <c r="J116" s="2875"/>
      <c r="K116" s="2876"/>
    </row>
    <row r="117" spans="1:12">
      <c r="A117" s="2864"/>
      <c r="B117" s="98" t="str">
        <f>фундамент!G662</f>
        <v>сборка опалубки</v>
      </c>
      <c r="C117" s="99" t="s">
        <v>133</v>
      </c>
      <c r="D117" s="275">
        <f>фундамент!J662</f>
        <v>0</v>
      </c>
      <c r="E117" s="100">
        <f>фундамент!K662</f>
        <v>300</v>
      </c>
      <c r="F117" s="100"/>
      <c r="G117" s="275">
        <f t="shared" si="23"/>
        <v>0</v>
      </c>
      <c r="H117" s="96">
        <f t="shared" si="24"/>
        <v>0</v>
      </c>
      <c r="I117" s="2866">
        <f t="shared" si="25"/>
        <v>0</v>
      </c>
      <c r="J117" s="2875"/>
      <c r="K117" s="2876"/>
    </row>
    <row r="118" spans="1:12">
      <c r="A118" s="2864"/>
      <c r="B118" s="98" t="str">
        <f>фундамент!G663</f>
        <v>разборка опалубки</v>
      </c>
      <c r="C118" s="99" t="s">
        <v>133</v>
      </c>
      <c r="D118" s="275">
        <f>фундамент!J663</f>
        <v>0</v>
      </c>
      <c r="E118" s="100">
        <f>фундамент!K663</f>
        <v>100</v>
      </c>
      <c r="F118" s="100"/>
      <c r="G118" s="275">
        <f t="shared" si="23"/>
        <v>0</v>
      </c>
      <c r="H118" s="96">
        <f t="shared" si="24"/>
        <v>0</v>
      </c>
      <c r="I118" s="2866">
        <f t="shared" si="25"/>
        <v>0</v>
      </c>
      <c r="J118" s="2875"/>
      <c r="K118" s="2876"/>
    </row>
    <row r="119" spans="1:12">
      <c r="A119" s="2864"/>
      <c r="B119" s="98" t="str">
        <f>фундамент!G664</f>
        <v>приемка бетона</v>
      </c>
      <c r="C119" s="2885" t="s">
        <v>135</v>
      </c>
      <c r="D119" s="275">
        <f>фундамент!J664</f>
        <v>0</v>
      </c>
      <c r="E119" s="100">
        <f>фундамент!K664</f>
        <v>1200</v>
      </c>
      <c r="F119" s="100"/>
      <c r="G119" s="275">
        <f t="shared" si="23"/>
        <v>0</v>
      </c>
      <c r="H119" s="96">
        <f t="shared" si="24"/>
        <v>0</v>
      </c>
      <c r="I119" s="2866">
        <f t="shared" si="25"/>
        <v>0</v>
      </c>
      <c r="J119" s="2875"/>
      <c r="K119" s="2876"/>
    </row>
    <row r="120" spans="1:12">
      <c r="A120" s="2864"/>
      <c r="B120" s="98" t="str">
        <f>фундамент!G665</f>
        <v>гидроизоляция стен</v>
      </c>
      <c r="C120" s="2885" t="s">
        <v>133</v>
      </c>
      <c r="D120" s="275">
        <f>фундамент!J665</f>
        <v>0</v>
      </c>
      <c r="E120" s="100">
        <f>фундамент!K665</f>
        <v>200</v>
      </c>
      <c r="F120" s="100"/>
      <c r="G120" s="275">
        <f t="shared" si="23"/>
        <v>0</v>
      </c>
      <c r="H120" s="96">
        <f t="shared" si="24"/>
        <v>0</v>
      </c>
      <c r="I120" s="2866">
        <f t="shared" si="25"/>
        <v>0</v>
      </c>
      <c r="J120" s="2875"/>
      <c r="K120" s="2876"/>
    </row>
    <row r="121" spans="1:12">
      <c r="A121" s="2864"/>
      <c r="B121" s="98" t="str">
        <f>фундамент!G666</f>
        <v>утепление фундамента</v>
      </c>
      <c r="C121" s="99" t="s">
        <v>133</v>
      </c>
      <c r="D121" s="275">
        <f>фундамент!J666</f>
        <v>0</v>
      </c>
      <c r="E121" s="100">
        <f>фундамент!K666</f>
        <v>200</v>
      </c>
      <c r="F121" s="100"/>
      <c r="G121" s="275">
        <f t="shared" si="23"/>
        <v>0</v>
      </c>
      <c r="H121" s="96">
        <f t="shared" si="24"/>
        <v>0</v>
      </c>
      <c r="I121" s="2866">
        <f t="shared" si="25"/>
        <v>0</v>
      </c>
      <c r="J121" s="2875"/>
      <c r="K121" s="2876"/>
    </row>
    <row r="122" spans="1:12">
      <c r="A122" s="2864"/>
      <c r="B122" s="3278" t="s">
        <v>4641</v>
      </c>
      <c r="C122" s="3278"/>
      <c r="D122" s="3278"/>
      <c r="E122" s="3278"/>
      <c r="F122" s="2868"/>
      <c r="G122" s="96">
        <f>SUM(G114:G121)*H113</f>
        <v>0</v>
      </c>
      <c r="H122" s="96">
        <f>SUM(H114:H121)</f>
        <v>0</v>
      </c>
      <c r="I122" s="2866">
        <f t="shared" si="25"/>
        <v>0</v>
      </c>
      <c r="J122" s="2875"/>
      <c r="K122" s="2876"/>
    </row>
    <row r="123" spans="1:12" ht="21">
      <c r="A123" s="2864"/>
      <c r="B123" s="3282" t="s">
        <v>4645</v>
      </c>
      <c r="C123" s="3282"/>
      <c r="D123" s="3282"/>
      <c r="E123" s="3282"/>
      <c r="F123" s="2887"/>
      <c r="G123" s="941"/>
      <c r="H123" s="2888">
        <f>VLOOKUP('Ввод данных'!F714,связи1!A2:B3,2,0)</f>
        <v>0</v>
      </c>
      <c r="I123" s="2879">
        <f>H123</f>
        <v>0</v>
      </c>
      <c r="J123" s="2830"/>
      <c r="K123" s="2876"/>
    </row>
    <row r="124" spans="1:12">
      <c r="A124" s="2874"/>
      <c r="B124" s="3281" t="s">
        <v>2720</v>
      </c>
      <c r="C124" s="3281"/>
      <c r="D124" s="3281"/>
      <c r="E124" s="3281"/>
      <c r="F124" s="2880"/>
      <c r="G124" s="941"/>
      <c r="H124" s="2889">
        <f>H123</f>
        <v>0</v>
      </c>
      <c r="I124" s="2879">
        <f>H124</f>
        <v>0</v>
      </c>
      <c r="J124" s="2850"/>
      <c r="K124" s="2851"/>
    </row>
    <row r="125" spans="1:12">
      <c r="A125" s="2829"/>
      <c r="B125" s="302" t="str">
        <f>фундамент!A271</f>
        <v>пробное забуривание</v>
      </c>
      <c r="C125" s="2890" t="str">
        <f>фундамент!B271</f>
        <v>шт</v>
      </c>
      <c r="D125" s="302">
        <f>фундамент!C271</f>
        <v>1</v>
      </c>
      <c r="E125" s="302">
        <f>фундамент!D271</f>
        <v>5000</v>
      </c>
      <c r="F125" s="302"/>
      <c r="G125" s="275">
        <f t="shared" ref="G125:G130" si="26">IF(F125&gt;0,D125*F125,E125*D125)</f>
        <v>5000</v>
      </c>
      <c r="H125" s="2315">
        <f t="shared" ref="H125:H130" si="27">D125*E125*$H$124</f>
        <v>0</v>
      </c>
      <c r="I125" s="2866">
        <f t="shared" ref="I125:I131" si="28">IF(G125&gt;H125,G125,H125)*$H$123</f>
        <v>0</v>
      </c>
      <c r="J125" s="2863"/>
      <c r="K125" s="223">
        <f t="shared" ref="K125:K131" si="29">D125-J125</f>
        <v>1</v>
      </c>
      <c r="L125" s="2854"/>
    </row>
    <row r="126" spans="1:12">
      <c r="A126" s="2837"/>
      <c r="B126" s="302" t="str">
        <f>фундамент!A272</f>
        <v>108мм, 2,5м длина, 1 лопасть</v>
      </c>
      <c r="C126" s="2890" t="str">
        <f>фундамент!B272</f>
        <v>шт</v>
      </c>
      <c r="D126" s="302">
        <f>фундамент!C272</f>
        <v>25</v>
      </c>
      <c r="E126" s="302">
        <f>фундамент!D272</f>
        <v>1950</v>
      </c>
      <c r="F126" s="302"/>
      <c r="G126" s="275">
        <f t="shared" si="26"/>
        <v>48750</v>
      </c>
      <c r="H126" s="2315">
        <f t="shared" si="27"/>
        <v>0</v>
      </c>
      <c r="I126" s="2866">
        <f t="shared" si="28"/>
        <v>0</v>
      </c>
      <c r="J126" s="2863"/>
      <c r="K126" s="223">
        <f t="shared" si="29"/>
        <v>25</v>
      </c>
      <c r="L126" s="2854"/>
    </row>
    <row r="127" spans="1:12">
      <c r="A127" s="2837"/>
      <c r="B127" s="302" t="str">
        <f>фундамент!A273</f>
        <v>Оголовкок для свай 200*200</v>
      </c>
      <c r="C127" s="2890" t="str">
        <f>фундамент!B273</f>
        <v>шт</v>
      </c>
      <c r="D127" s="302">
        <f>фундамент!C273</f>
        <v>25</v>
      </c>
      <c r="E127" s="302">
        <f>фундамент!D273</f>
        <v>250</v>
      </c>
      <c r="F127" s="302"/>
      <c r="G127" s="275">
        <f t="shared" si="26"/>
        <v>6250</v>
      </c>
      <c r="H127" s="2315">
        <f t="shared" si="27"/>
        <v>0</v>
      </c>
      <c r="I127" s="2866">
        <f t="shared" si="28"/>
        <v>0</v>
      </c>
      <c r="J127" s="2863"/>
      <c r="K127" s="223">
        <f t="shared" si="29"/>
        <v>25</v>
      </c>
      <c r="L127" s="2854"/>
    </row>
    <row r="128" spans="1:12">
      <c r="A128" s="2837"/>
      <c r="B128" s="302" t="str">
        <f>фундамент!A274</f>
        <v>обвязка металлом</v>
      </c>
      <c r="C128" s="2890" t="str">
        <f>фундамент!B274</f>
        <v>м.п.</v>
      </c>
      <c r="D128" s="302">
        <f>фундамент!C274</f>
        <v>56</v>
      </c>
      <c r="E128" s="302">
        <f>фундамент!D274</f>
        <v>100</v>
      </c>
      <c r="F128" s="302"/>
      <c r="G128" s="275">
        <f t="shared" si="26"/>
        <v>5600</v>
      </c>
      <c r="H128" s="2315">
        <f t="shared" si="27"/>
        <v>0</v>
      </c>
      <c r="I128" s="2866">
        <f t="shared" si="28"/>
        <v>0</v>
      </c>
      <c r="J128" s="2863"/>
      <c r="K128" s="223">
        <f t="shared" si="29"/>
        <v>56</v>
      </c>
      <c r="L128" s="2854"/>
    </row>
    <row r="129" spans="1:13">
      <c r="A129" s="2837"/>
      <c r="B129" s="302" t="str">
        <f>фундамент!A275</f>
        <v>Раствор, м200</v>
      </c>
      <c r="C129" s="2890" t="str">
        <f>фундамент!B275</f>
        <v>м3</v>
      </c>
      <c r="D129" s="302">
        <f>фундамент!C275</f>
        <v>1.1304000000000001</v>
      </c>
      <c r="E129" s="302">
        <f>фундамент!D275</f>
        <v>2100</v>
      </c>
      <c r="F129" s="302"/>
      <c r="G129" s="275">
        <f t="shared" si="26"/>
        <v>2373.84</v>
      </c>
      <c r="H129" s="2315">
        <f t="shared" si="27"/>
        <v>0</v>
      </c>
      <c r="I129" s="2866">
        <f t="shared" si="28"/>
        <v>0</v>
      </c>
      <c r="J129" s="2863"/>
      <c r="K129" s="223">
        <f t="shared" si="29"/>
        <v>1.1304000000000001</v>
      </c>
      <c r="L129" s="2854"/>
    </row>
    <row r="130" spans="1:13">
      <c r="A130" s="2837"/>
      <c r="B130" s="302" t="str">
        <f>фундамент!A276</f>
        <v>Электроды ок 47</v>
      </c>
      <c r="C130" s="2890" t="str">
        <f>фундамент!B276</f>
        <v>шт</v>
      </c>
      <c r="D130" s="302">
        <f>фундамент!C276</f>
        <v>25</v>
      </c>
      <c r="E130" s="302">
        <f>фундамент!D276</f>
        <v>10</v>
      </c>
      <c r="F130" s="302"/>
      <c r="G130" s="275">
        <f t="shared" si="26"/>
        <v>250</v>
      </c>
      <c r="H130" s="2315">
        <f t="shared" si="27"/>
        <v>0</v>
      </c>
      <c r="I130" s="2866">
        <f t="shared" si="28"/>
        <v>0</v>
      </c>
      <c r="J130" s="2863"/>
      <c r="K130" s="223">
        <f t="shared" si="29"/>
        <v>25</v>
      </c>
      <c r="L130" s="2854"/>
    </row>
    <row r="131" spans="1:13">
      <c r="A131" s="2837"/>
      <c r="B131" s="3278" t="s">
        <v>4640</v>
      </c>
      <c r="C131" s="3278"/>
      <c r="D131" s="3278"/>
      <c r="E131" s="3278"/>
      <c r="F131" s="2868"/>
      <c r="G131" s="2315">
        <f>SUM(G125:G130)*H123</f>
        <v>0</v>
      </c>
      <c r="H131" s="2315">
        <f>SUM(H125:H130)</f>
        <v>0</v>
      </c>
      <c r="I131" s="2866">
        <f t="shared" si="28"/>
        <v>0</v>
      </c>
      <c r="J131" s="2863"/>
      <c r="K131" s="223">
        <f t="shared" si="29"/>
        <v>0</v>
      </c>
      <c r="L131" s="2854"/>
    </row>
    <row r="132" spans="1:13">
      <c r="A132" s="2837"/>
      <c r="B132" s="3279" t="s">
        <v>1409</v>
      </c>
      <c r="C132" s="3279"/>
      <c r="D132" s="3279"/>
      <c r="E132" s="3279"/>
      <c r="F132" s="2870"/>
      <c r="G132" s="941"/>
      <c r="H132" s="2891">
        <f>H123</f>
        <v>0</v>
      </c>
      <c r="I132" s="2879">
        <f>H132</f>
        <v>0</v>
      </c>
      <c r="J132" s="2892"/>
      <c r="K132" s="2893"/>
    </row>
    <row r="133" spans="1:13">
      <c r="A133" s="2829"/>
      <c r="B133" s="2763" t="str">
        <f>фундамент!G271</f>
        <v>разбивка осей</v>
      </c>
      <c r="C133" s="2890" t="s">
        <v>159</v>
      </c>
      <c r="D133" s="2418">
        <f>фундамент!J271</f>
        <v>1</v>
      </c>
      <c r="E133" s="2894">
        <f>фундамент!K271</f>
        <v>7000</v>
      </c>
      <c r="F133" s="2894"/>
      <c r="G133" s="275">
        <f t="shared" ref="G133:G139" si="30">IF(F133&gt;0,D133*F133,E133*D133)</f>
        <v>7000</v>
      </c>
      <c r="H133" s="2315">
        <f t="shared" ref="H133:H139" si="31">D133*E133*$H$124</f>
        <v>0</v>
      </c>
      <c r="I133" s="2866">
        <f t="shared" ref="I133:I140" si="32">IF(G133&gt;H133,G133,H133)*$H$123</f>
        <v>0</v>
      </c>
      <c r="L133" s="910"/>
      <c r="M133" s="910"/>
    </row>
    <row r="134" spans="1:13">
      <c r="A134" s="2837"/>
      <c r="B134" s="2763" t="str">
        <f>фундамент!G272</f>
        <v>монтаж свай</v>
      </c>
      <c r="C134" s="2890" t="s">
        <v>159</v>
      </c>
      <c r="D134" s="2418">
        <f>фундамент!J272</f>
        <v>25</v>
      </c>
      <c r="E134" s="2894">
        <f>фундамент!K272</f>
        <v>1000</v>
      </c>
      <c r="F134" s="2894"/>
      <c r="G134" s="275">
        <f t="shared" si="30"/>
        <v>25000</v>
      </c>
      <c r="H134" s="2315">
        <f t="shared" si="31"/>
        <v>0</v>
      </c>
      <c r="I134" s="2866">
        <f t="shared" si="32"/>
        <v>0</v>
      </c>
      <c r="L134" s="910"/>
      <c r="M134" s="910"/>
    </row>
    <row r="135" spans="1:13">
      <c r="A135" s="2837"/>
      <c r="B135" s="2763" t="str">
        <f>фундамент!G273</f>
        <v>монтаж оголовков</v>
      </c>
      <c r="C135" s="2890" t="s">
        <v>159</v>
      </c>
      <c r="D135" s="2418">
        <f>фундамент!J273</f>
        <v>25</v>
      </c>
      <c r="E135" s="2894">
        <f>фундамент!K273</f>
        <v>100</v>
      </c>
      <c r="F135" s="2894"/>
      <c r="G135" s="275">
        <f t="shared" si="30"/>
        <v>2500</v>
      </c>
      <c r="H135" s="2315">
        <f t="shared" si="31"/>
        <v>0</v>
      </c>
      <c r="I135" s="2866">
        <f t="shared" si="32"/>
        <v>0</v>
      </c>
      <c r="L135" s="910"/>
      <c r="M135" s="910"/>
    </row>
    <row r="136" spans="1:13">
      <c r="A136" s="2837"/>
      <c r="B136" s="2763" t="str">
        <f>фундамент!G274</f>
        <v>обвязка металлом</v>
      </c>
      <c r="C136" s="2890" t="s">
        <v>156</v>
      </c>
      <c r="D136" s="2418">
        <f>фундамент!J274</f>
        <v>56</v>
      </c>
      <c r="E136" s="2894">
        <f>фундамент!K274</f>
        <v>100</v>
      </c>
      <c r="F136" s="2894"/>
      <c r="G136" s="275">
        <f t="shared" si="30"/>
        <v>5600</v>
      </c>
      <c r="H136" s="2315">
        <f t="shared" si="31"/>
        <v>0</v>
      </c>
      <c r="I136" s="2866">
        <f t="shared" si="32"/>
        <v>0</v>
      </c>
      <c r="L136" s="910"/>
      <c r="M136" s="910"/>
    </row>
    <row r="137" spans="1:13">
      <c r="A137" s="2837"/>
      <c r="B137" s="2763" t="str">
        <f>фундамент!G275</f>
        <v>заливка бетоном</v>
      </c>
      <c r="C137" s="2890" t="s">
        <v>159</v>
      </c>
      <c r="D137" s="2418">
        <f>фундамент!J275</f>
        <v>25</v>
      </c>
      <c r="E137" s="2894">
        <f>фундамент!K275</f>
        <v>200</v>
      </c>
      <c r="F137" s="2894"/>
      <c r="G137" s="275">
        <f t="shared" si="30"/>
        <v>5000</v>
      </c>
      <c r="H137" s="2315">
        <f t="shared" si="31"/>
        <v>0</v>
      </c>
      <c r="I137" s="2866">
        <f t="shared" si="32"/>
        <v>0</v>
      </c>
      <c r="J137" s="2854"/>
      <c r="K137" s="2837"/>
    </row>
    <row r="138" spans="1:13">
      <c r="A138" s="2837"/>
      <c r="B138" s="2763" t="str">
        <f>фундамент!G276</f>
        <v>Обрезка винтовых свай по невелиру</v>
      </c>
      <c r="C138" s="2890" t="s">
        <v>159</v>
      </c>
      <c r="D138" s="2418">
        <f>фундамент!J276</f>
        <v>25</v>
      </c>
      <c r="E138" s="2894">
        <f>фундамент!K276</f>
        <v>200</v>
      </c>
      <c r="F138" s="2894"/>
      <c r="G138" s="275">
        <f t="shared" si="30"/>
        <v>5000</v>
      </c>
      <c r="H138" s="2315">
        <f t="shared" si="31"/>
        <v>0</v>
      </c>
      <c r="I138" s="2866">
        <f t="shared" si="32"/>
        <v>0</v>
      </c>
      <c r="J138" s="2854"/>
      <c r="K138" s="2837"/>
    </row>
    <row r="139" spans="1:13">
      <c r="A139" s="2837"/>
      <c r="B139" s="2763" t="str">
        <f>фундамент!G277</f>
        <v>Наварка оголовка</v>
      </c>
      <c r="C139" s="2890" t="s">
        <v>159</v>
      </c>
      <c r="D139" s="2418">
        <f>фундамент!J277</f>
        <v>25</v>
      </c>
      <c r="E139" s="2894">
        <f>фундамент!K277</f>
        <v>250</v>
      </c>
      <c r="F139" s="2894"/>
      <c r="G139" s="275">
        <f t="shared" si="30"/>
        <v>6250</v>
      </c>
      <c r="H139" s="2315">
        <f t="shared" si="31"/>
        <v>0</v>
      </c>
      <c r="I139" s="2866">
        <f t="shared" si="32"/>
        <v>0</v>
      </c>
      <c r="J139" s="2854"/>
      <c r="K139" s="2837"/>
    </row>
    <row r="140" spans="1:13">
      <c r="A140" s="2837"/>
      <c r="B140" s="3278" t="s">
        <v>4641</v>
      </c>
      <c r="C140" s="3278"/>
      <c r="D140" s="3278"/>
      <c r="E140" s="3278"/>
      <c r="F140" s="2868"/>
      <c r="G140" s="2315">
        <f>SUM(G133:G139)*H132</f>
        <v>0</v>
      </c>
      <c r="H140" s="2315">
        <f>SUM(H133:H139)</f>
        <v>0</v>
      </c>
      <c r="I140" s="2866">
        <f t="shared" si="32"/>
        <v>0</v>
      </c>
      <c r="J140" s="2854"/>
      <c r="K140" s="2837"/>
    </row>
    <row r="141" spans="1:13" ht="21">
      <c r="A141" s="2837"/>
      <c r="B141" s="3283" t="s">
        <v>4646</v>
      </c>
      <c r="C141" s="3283"/>
      <c r="D141" s="3283"/>
      <c r="E141" s="3283"/>
      <c r="F141" s="2895"/>
      <c r="G141" s="941"/>
      <c r="H141" s="2896">
        <f>фундамент!B287*VLOOKUP('Ввод данных'!D578,связи1!A2:B3,2,0)</f>
        <v>0</v>
      </c>
      <c r="I141" s="2879">
        <f>H141</f>
        <v>0</v>
      </c>
      <c r="J141" s="2829"/>
      <c r="K141" s="2837"/>
    </row>
    <row r="142" spans="1:13">
      <c r="A142" s="2837"/>
      <c r="B142" s="3281" t="s">
        <v>2720</v>
      </c>
      <c r="C142" s="3281"/>
      <c r="D142" s="3281"/>
      <c r="E142" s="3281"/>
      <c r="F142" s="2897"/>
      <c r="G142" s="941"/>
      <c r="H142" s="2896">
        <f>H141</f>
        <v>0</v>
      </c>
      <c r="I142" s="2879">
        <f>H142</f>
        <v>0</v>
      </c>
      <c r="J142" s="2850"/>
      <c r="K142" s="2851"/>
    </row>
    <row r="143" spans="1:13">
      <c r="A143" s="2837"/>
      <c r="B143" s="2898" t="str">
        <f>фундамент!A290</f>
        <v>пробное забуривание</v>
      </c>
      <c r="C143" s="236" t="str">
        <f t="shared" ref="C143:C148" si="33">C125</f>
        <v>шт</v>
      </c>
      <c r="D143" s="2899">
        <f>фундамент!C290</f>
        <v>1</v>
      </c>
      <c r="E143" s="35">
        <f>фундамент!D290</f>
        <v>5000</v>
      </c>
      <c r="F143" s="35"/>
      <c r="G143" s="275">
        <f t="shared" ref="G143:G148" si="34">IF(F143&gt;0,D143*F143,E143*D143)</f>
        <v>5000</v>
      </c>
      <c r="H143" s="2315">
        <f t="shared" ref="H143:H148" si="35">D143*E143*$H$141</f>
        <v>0</v>
      </c>
      <c r="I143" s="2866">
        <f t="shared" ref="I143:I149" si="36">IF(G143&gt;H143,G143,H143)*$H$141</f>
        <v>0</v>
      </c>
      <c r="J143" s="2863"/>
      <c r="K143" s="223">
        <f t="shared" ref="K143:K149" si="37">D143-J143</f>
        <v>1</v>
      </c>
      <c r="L143" s="2854"/>
    </row>
    <row r="144" spans="1:13">
      <c r="A144" s="2837"/>
      <c r="B144" s="2898" t="str">
        <f>фундамент!A291</f>
        <v>76мм, 3,5м длина, 2 лопасть</v>
      </c>
      <c r="C144" s="236" t="str">
        <f t="shared" si="33"/>
        <v>шт</v>
      </c>
      <c r="D144" s="2899">
        <f>фундамент!C291</f>
        <v>8</v>
      </c>
      <c r="E144" s="35">
        <f>фундамент!D291</f>
        <v>2130</v>
      </c>
      <c r="F144" s="35"/>
      <c r="G144" s="275">
        <f t="shared" si="34"/>
        <v>17040</v>
      </c>
      <c r="H144" s="2315">
        <f t="shared" si="35"/>
        <v>0</v>
      </c>
      <c r="I144" s="2866">
        <f t="shared" si="36"/>
        <v>0</v>
      </c>
      <c r="J144" s="2863"/>
      <c r="K144" s="223">
        <f t="shared" si="37"/>
        <v>8</v>
      </c>
      <c r="L144" s="2854"/>
    </row>
    <row r="145" spans="1:12">
      <c r="A145" s="2837"/>
      <c r="B145" s="2898" t="str">
        <f>фундамент!A292</f>
        <v>Оголовкок для свай 250*250</v>
      </c>
      <c r="C145" s="236" t="str">
        <f t="shared" si="33"/>
        <v>шт</v>
      </c>
      <c r="D145" s="2899">
        <f>фундамент!C292</f>
        <v>8</v>
      </c>
      <c r="E145" s="35">
        <f>фундамент!D292</f>
        <v>300</v>
      </c>
      <c r="F145" s="35"/>
      <c r="G145" s="275">
        <f t="shared" si="34"/>
        <v>2400</v>
      </c>
      <c r="H145" s="2315">
        <f t="shared" si="35"/>
        <v>0</v>
      </c>
      <c r="I145" s="2866">
        <f t="shared" si="36"/>
        <v>0</v>
      </c>
      <c r="J145" s="2863"/>
      <c r="K145" s="223">
        <f t="shared" si="37"/>
        <v>8</v>
      </c>
      <c r="L145" s="2854"/>
    </row>
    <row r="146" spans="1:12">
      <c r="A146" s="2837"/>
      <c r="B146" s="2898" t="str">
        <f>фундамент!A293</f>
        <v>обвязка металлом, 20/40/3000</v>
      </c>
      <c r="C146" s="236" t="str">
        <f t="shared" si="33"/>
        <v>м.п.</v>
      </c>
      <c r="D146" s="2899">
        <f>фундамент!C293</f>
        <v>8</v>
      </c>
      <c r="E146" s="35">
        <f>фундамент!D293</f>
        <v>100</v>
      </c>
      <c r="F146" s="35"/>
      <c r="G146" s="275">
        <f t="shared" si="34"/>
        <v>800</v>
      </c>
      <c r="H146" s="2315">
        <f t="shared" si="35"/>
        <v>0</v>
      </c>
      <c r="I146" s="2866">
        <f t="shared" si="36"/>
        <v>0</v>
      </c>
      <c r="J146" s="2863"/>
      <c r="K146" s="223">
        <f t="shared" si="37"/>
        <v>8</v>
      </c>
      <c r="L146" s="2854"/>
    </row>
    <row r="147" spans="1:12">
      <c r="A147" s="2837"/>
      <c r="B147" s="2898" t="str">
        <f>фундамент!A294</f>
        <v>Раствор, м200</v>
      </c>
      <c r="C147" s="236" t="str">
        <f t="shared" si="33"/>
        <v>м3</v>
      </c>
      <c r="D147" s="2899">
        <f>фундамент!C294</f>
        <v>0.36172799999999999</v>
      </c>
      <c r="E147" s="35">
        <f>фундамент!D294</f>
        <v>2100</v>
      </c>
      <c r="F147" s="35"/>
      <c r="G147" s="275">
        <f t="shared" si="34"/>
        <v>759.62879999999996</v>
      </c>
      <c r="H147" s="2315">
        <f t="shared" si="35"/>
        <v>0</v>
      </c>
      <c r="I147" s="2866">
        <f t="shared" si="36"/>
        <v>0</v>
      </c>
      <c r="J147" s="2863"/>
      <c r="K147" s="223">
        <f t="shared" si="37"/>
        <v>0.36172799999999999</v>
      </c>
      <c r="L147" s="2854"/>
    </row>
    <row r="148" spans="1:12">
      <c r="A148" s="2837"/>
      <c r="B148" s="2898" t="str">
        <f>фундамент!A295</f>
        <v>Электроды ок 47</v>
      </c>
      <c r="C148" s="236" t="str">
        <f t="shared" si="33"/>
        <v>шт</v>
      </c>
      <c r="D148" s="2899">
        <f>фундамент!C295</f>
        <v>8</v>
      </c>
      <c r="E148" s="35">
        <f>фундамент!D295</f>
        <v>10</v>
      </c>
      <c r="F148" s="35"/>
      <c r="G148" s="275">
        <f t="shared" si="34"/>
        <v>80</v>
      </c>
      <c r="H148" s="2315">
        <f t="shared" si="35"/>
        <v>0</v>
      </c>
      <c r="I148" s="2866">
        <f t="shared" si="36"/>
        <v>0</v>
      </c>
      <c r="J148" s="2863"/>
      <c r="K148" s="223">
        <f t="shared" si="37"/>
        <v>8</v>
      </c>
      <c r="L148" s="2854"/>
    </row>
    <row r="149" spans="1:12">
      <c r="A149" s="2837"/>
      <c r="B149" s="3278" t="s">
        <v>4640</v>
      </c>
      <c r="C149" s="3278"/>
      <c r="D149" s="3278"/>
      <c r="E149" s="3278"/>
      <c r="F149" s="2868"/>
      <c r="G149" s="2315">
        <f>SUM(G143:G148)*H141</f>
        <v>0</v>
      </c>
      <c r="H149" s="2315">
        <f>SUM(H143:H148)</f>
        <v>0</v>
      </c>
      <c r="I149" s="2866">
        <f t="shared" si="36"/>
        <v>0</v>
      </c>
      <c r="J149" s="2863"/>
      <c r="K149" s="223">
        <f t="shared" si="37"/>
        <v>0</v>
      </c>
      <c r="L149" s="2854"/>
    </row>
    <row r="150" spans="1:12">
      <c r="A150" s="2837"/>
      <c r="B150" s="3284" t="str">
        <f>B132</f>
        <v>Работы</v>
      </c>
      <c r="C150" s="3284"/>
      <c r="D150" s="3284"/>
      <c r="E150" s="3284"/>
      <c r="F150" s="2900"/>
      <c r="G150" s="941"/>
      <c r="H150" s="2896">
        <f>H141</f>
        <v>0</v>
      </c>
      <c r="I150" s="2879">
        <f>H150</f>
        <v>0</v>
      </c>
      <c r="J150" s="2892"/>
      <c r="K150" s="2893"/>
    </row>
    <row r="151" spans="1:12">
      <c r="A151" s="2837"/>
      <c r="B151" s="2898" t="str">
        <f>фундамент!G290</f>
        <v>разбивка осей</v>
      </c>
      <c r="C151" s="236" t="str">
        <f>фундамент!I290</f>
        <v>шт</v>
      </c>
      <c r="D151" s="2899">
        <f>фундамент!J290</f>
        <v>1</v>
      </c>
      <c r="E151" s="35">
        <f>фундамент!K290</f>
        <v>7000</v>
      </c>
      <c r="F151" s="35"/>
      <c r="G151" s="275">
        <f t="shared" ref="G151:G157" si="38">IF(F151&gt;0,D151*F151,E151*D151)</f>
        <v>7000</v>
      </c>
      <c r="H151" s="2315">
        <f t="shared" ref="H151:H157" si="39">D151*E151*$H$150</f>
        <v>0</v>
      </c>
      <c r="I151" s="2866">
        <f t="shared" ref="I151:I158" si="40">IF(G151&gt;H151,G151,H151)*$H$141</f>
        <v>0</v>
      </c>
      <c r="J151" s="2854"/>
      <c r="K151" s="2837"/>
    </row>
    <row r="152" spans="1:12">
      <c r="A152" s="2837"/>
      <c r="B152" s="2898" t="str">
        <f>фундамент!G291</f>
        <v>монтаж свай гидравликой</v>
      </c>
      <c r="C152" s="236" t="str">
        <f>фундамент!I291</f>
        <v>шт</v>
      </c>
      <c r="D152" s="2899">
        <f>фундамент!J291</f>
        <v>1</v>
      </c>
      <c r="E152" s="35">
        <f>фундамент!K291</f>
        <v>1000</v>
      </c>
      <c r="F152" s="35"/>
      <c r="G152" s="275">
        <f t="shared" si="38"/>
        <v>1000</v>
      </c>
      <c r="H152" s="2315">
        <f t="shared" si="39"/>
        <v>0</v>
      </c>
      <c r="I152" s="2866">
        <f t="shared" si="40"/>
        <v>0</v>
      </c>
      <c r="J152" s="2854"/>
      <c r="K152" s="2837"/>
    </row>
    <row r="153" spans="1:12">
      <c r="A153" s="2837"/>
      <c r="B153" s="2898" t="str">
        <f>фундамент!G292</f>
        <v>монтаж оголовков</v>
      </c>
      <c r="C153" s="236" t="str">
        <f>фундамент!I292</f>
        <v>шт</v>
      </c>
      <c r="D153" s="2899">
        <f>фундамент!J292</f>
        <v>8</v>
      </c>
      <c r="E153" s="35">
        <f>фундамент!K292</f>
        <v>100</v>
      </c>
      <c r="F153" s="35"/>
      <c r="G153" s="275">
        <f t="shared" si="38"/>
        <v>800</v>
      </c>
      <c r="H153" s="2315">
        <f t="shared" si="39"/>
        <v>0</v>
      </c>
      <c r="I153" s="2866">
        <f t="shared" si="40"/>
        <v>0</v>
      </c>
      <c r="J153" s="2854"/>
      <c r="K153" s="2837"/>
    </row>
    <row r="154" spans="1:12">
      <c r="A154" s="2837"/>
      <c r="B154" s="2898" t="str">
        <f>фундамент!G293</f>
        <v>обвязка металлом</v>
      </c>
      <c r="C154" s="236" t="str">
        <f>фундамент!I293</f>
        <v>м.п.</v>
      </c>
      <c r="D154" s="2899">
        <f>фундамент!J293</f>
        <v>8</v>
      </c>
      <c r="E154" s="35">
        <f>фундамент!K293</f>
        <v>100</v>
      </c>
      <c r="F154" s="35"/>
      <c r="G154" s="275">
        <f t="shared" si="38"/>
        <v>800</v>
      </c>
      <c r="H154" s="2315">
        <f t="shared" si="39"/>
        <v>0</v>
      </c>
      <c r="I154" s="2866">
        <f t="shared" si="40"/>
        <v>0</v>
      </c>
      <c r="J154" s="2854"/>
      <c r="K154" s="2837"/>
    </row>
    <row r="155" spans="1:12">
      <c r="A155" s="2837"/>
      <c r="B155" s="2898" t="str">
        <f>фундамент!G294</f>
        <v>заливка бетоном</v>
      </c>
      <c r="C155" s="236" t="str">
        <f>фундамент!I294</f>
        <v>шт</v>
      </c>
      <c r="D155" s="2899">
        <f>фундамент!J294</f>
        <v>8</v>
      </c>
      <c r="E155" s="35">
        <f>фундамент!K294</f>
        <v>200</v>
      </c>
      <c r="F155" s="35"/>
      <c r="G155" s="275">
        <f t="shared" si="38"/>
        <v>1600</v>
      </c>
      <c r="H155" s="2315">
        <f t="shared" si="39"/>
        <v>0</v>
      </c>
      <c r="I155" s="2866">
        <f t="shared" si="40"/>
        <v>0</v>
      </c>
      <c r="J155" s="2854"/>
      <c r="K155" s="2837"/>
    </row>
    <row r="156" spans="1:12">
      <c r="A156" s="2837"/>
      <c r="B156" s="2898" t="str">
        <f>фундамент!G295</f>
        <v>Обрезка винтовых свай по невелиру</v>
      </c>
      <c r="C156" s="236" t="str">
        <f>фундамент!I295</f>
        <v>шт</v>
      </c>
      <c r="D156" s="2899">
        <f>фундамент!J295</f>
        <v>8</v>
      </c>
      <c r="E156" s="35">
        <f>фундамент!K295</f>
        <v>200</v>
      </c>
      <c r="F156" s="35"/>
      <c r="G156" s="275">
        <f t="shared" si="38"/>
        <v>1600</v>
      </c>
      <c r="H156" s="2315">
        <f t="shared" si="39"/>
        <v>0</v>
      </c>
      <c r="I156" s="2866">
        <f t="shared" si="40"/>
        <v>0</v>
      </c>
      <c r="J156" s="2854"/>
      <c r="K156" s="2837"/>
    </row>
    <row r="157" spans="1:12">
      <c r="A157" s="2837"/>
      <c r="B157" s="2898" t="str">
        <f>фундамент!G296</f>
        <v>Наварка оголовка</v>
      </c>
      <c r="C157" s="236" t="str">
        <f>фундамент!I296</f>
        <v>шт</v>
      </c>
      <c r="D157" s="2899">
        <f>фундамент!J296</f>
        <v>8</v>
      </c>
      <c r="E157" s="35">
        <f>фундамент!K296</f>
        <v>250</v>
      </c>
      <c r="F157" s="35"/>
      <c r="G157" s="275">
        <f t="shared" si="38"/>
        <v>2000</v>
      </c>
      <c r="H157" s="2315">
        <f t="shared" si="39"/>
        <v>0</v>
      </c>
      <c r="I157" s="2866">
        <f t="shared" si="40"/>
        <v>0</v>
      </c>
      <c r="J157" s="2854"/>
      <c r="K157" s="2837"/>
    </row>
    <row r="158" spans="1:12">
      <c r="A158" s="2837"/>
      <c r="B158" s="3278" t="s">
        <v>4641</v>
      </c>
      <c r="C158" s="3278"/>
      <c r="D158" s="3278"/>
      <c r="E158" s="3278"/>
      <c r="F158" s="2868"/>
      <c r="G158" s="2315">
        <f>SUM(G151:G157)*H150</f>
        <v>0</v>
      </c>
      <c r="H158" s="2315">
        <f>SUM(H151:H157)</f>
        <v>0</v>
      </c>
      <c r="I158" s="2866">
        <f t="shared" si="40"/>
        <v>0</v>
      </c>
      <c r="J158" s="2854"/>
      <c r="K158" s="2837"/>
    </row>
    <row r="159" spans="1:12" ht="21">
      <c r="A159" s="2837"/>
      <c r="B159" s="3283" t="s">
        <v>4647</v>
      </c>
      <c r="C159" s="3283"/>
      <c r="D159" s="3283"/>
      <c r="E159" s="3283"/>
      <c r="F159" s="2895"/>
      <c r="G159" s="941"/>
      <c r="H159" s="2896">
        <f>фундамент!B302</f>
        <v>0</v>
      </c>
      <c r="I159" s="2879">
        <f>H159</f>
        <v>0</v>
      </c>
      <c r="J159" s="2829"/>
      <c r="K159" s="2837"/>
    </row>
    <row r="160" spans="1:12">
      <c r="A160" s="2837"/>
      <c r="B160" s="3281" t="s">
        <v>2720</v>
      </c>
      <c r="C160" s="3281"/>
      <c r="D160" s="3281"/>
      <c r="E160" s="3281"/>
      <c r="F160" s="2897"/>
      <c r="G160" s="941"/>
      <c r="H160" s="2896">
        <f>H159</f>
        <v>0</v>
      </c>
      <c r="I160" s="2879">
        <f>H160</f>
        <v>0</v>
      </c>
      <c r="J160" s="2850"/>
      <c r="K160" s="2851"/>
    </row>
    <row r="161" spans="1:12">
      <c r="A161" s="2837"/>
      <c r="B161" s="2898" t="str">
        <f>фундамент!A305</f>
        <v>пробное забуривание</v>
      </c>
      <c r="C161" s="236" t="str">
        <f>фундамент!B305</f>
        <v>шт</v>
      </c>
      <c r="D161" s="2899">
        <f>фундамент!C305</f>
        <v>1</v>
      </c>
      <c r="E161" s="35">
        <f>фундамент!D305</f>
        <v>5000</v>
      </c>
      <c r="F161" s="35"/>
      <c r="G161" s="275">
        <f t="shared" ref="G161:G166" si="41">IF(F161&gt;0,D161*F161,E161*D161)</f>
        <v>5000</v>
      </c>
      <c r="H161" s="2315">
        <f t="shared" ref="H161:H166" si="42">D161*E161*$H$159</f>
        <v>0</v>
      </c>
      <c r="I161" s="2866">
        <f t="shared" ref="I161:I167" si="43">IF(G161&gt;H161,G161,H161)*$H$159</f>
        <v>0</v>
      </c>
      <c r="J161" s="2863"/>
      <c r="K161" s="223">
        <f t="shared" ref="K161:K167" si="44">D161-J161</f>
        <v>1</v>
      </c>
      <c r="L161" s="2854"/>
    </row>
    <row r="162" spans="1:12">
      <c r="A162" s="2837"/>
      <c r="B162" s="2898" t="str">
        <f>фундамент!A306</f>
        <v>89мм, 4,5м длина, 2 лопасть</v>
      </c>
      <c r="C162" s="236" t="str">
        <f>фундамент!B306</f>
        <v>шт</v>
      </c>
      <c r="D162" s="2899">
        <f>фундамент!C306</f>
        <v>5</v>
      </c>
      <c r="E162" s="35">
        <f>фундамент!D306</f>
        <v>2760</v>
      </c>
      <c r="F162" s="35"/>
      <c r="G162" s="275">
        <f t="shared" si="41"/>
        <v>13800</v>
      </c>
      <c r="H162" s="2315">
        <f t="shared" si="42"/>
        <v>0</v>
      </c>
      <c r="I162" s="2866">
        <f t="shared" si="43"/>
        <v>0</v>
      </c>
      <c r="J162" s="2863"/>
      <c r="K162" s="223">
        <f t="shared" si="44"/>
        <v>5</v>
      </c>
      <c r="L162" s="2854"/>
    </row>
    <row r="163" spans="1:12">
      <c r="A163" s="2837"/>
      <c r="B163" s="2898" t="str">
        <f>фундамент!A307</f>
        <v>Оголовкок для свай 200*200</v>
      </c>
      <c r="C163" s="236" t="str">
        <f>фундамент!B307</f>
        <v>шт</v>
      </c>
      <c r="D163" s="2899">
        <f>фундамент!C307</f>
        <v>5</v>
      </c>
      <c r="E163" s="35">
        <f>фундамент!D307</f>
        <v>250</v>
      </c>
      <c r="F163" s="35"/>
      <c r="G163" s="275">
        <f t="shared" si="41"/>
        <v>1250</v>
      </c>
      <c r="H163" s="2315">
        <f t="shared" si="42"/>
        <v>0</v>
      </c>
      <c r="I163" s="2866">
        <f t="shared" si="43"/>
        <v>0</v>
      </c>
      <c r="J163" s="2863"/>
      <c r="K163" s="223">
        <f t="shared" si="44"/>
        <v>5</v>
      </c>
      <c r="L163" s="2854"/>
    </row>
    <row r="164" spans="1:12">
      <c r="A164" s="2837"/>
      <c r="B164" s="2898" t="str">
        <f>фундамент!A308</f>
        <v>обвязка металлом, 20/40/3000</v>
      </c>
      <c r="C164" s="236" t="str">
        <f>фундамент!B308</f>
        <v>м.п.</v>
      </c>
      <c r="D164" s="2899">
        <f>фундамент!C308</f>
        <v>5</v>
      </c>
      <c r="E164" s="35">
        <f>фундамент!D308</f>
        <v>100</v>
      </c>
      <c r="F164" s="35"/>
      <c r="G164" s="275">
        <f t="shared" si="41"/>
        <v>500</v>
      </c>
      <c r="H164" s="2315">
        <f t="shared" si="42"/>
        <v>0</v>
      </c>
      <c r="I164" s="2866">
        <f t="shared" si="43"/>
        <v>0</v>
      </c>
      <c r="J164" s="2863"/>
      <c r="K164" s="223">
        <f t="shared" si="44"/>
        <v>5</v>
      </c>
      <c r="L164" s="2854"/>
    </row>
    <row r="165" spans="1:12">
      <c r="A165" s="2837"/>
      <c r="B165" s="2898" t="str">
        <f>фундамент!A309</f>
        <v>Раствор, м200</v>
      </c>
      <c r="C165" s="236" t="str">
        <f>фундамент!B309</f>
        <v>м3</v>
      </c>
      <c r="D165" s="2899">
        <f>фундамент!C309</f>
        <v>0.22608</v>
      </c>
      <c r="E165" s="35">
        <f>фундамент!D309</f>
        <v>2100</v>
      </c>
      <c r="F165" s="35"/>
      <c r="G165" s="275">
        <f t="shared" si="41"/>
        <v>474.76800000000003</v>
      </c>
      <c r="H165" s="2315">
        <f t="shared" si="42"/>
        <v>0</v>
      </c>
      <c r="I165" s="2866">
        <f t="shared" si="43"/>
        <v>0</v>
      </c>
      <c r="J165" s="2863"/>
      <c r="K165" s="223">
        <f t="shared" si="44"/>
        <v>0.22608</v>
      </c>
      <c r="L165" s="2854"/>
    </row>
    <row r="166" spans="1:12">
      <c r="A166" s="2837"/>
      <c r="B166" s="2898" t="str">
        <f>фундамент!A310</f>
        <v>Электроды ок 47</v>
      </c>
      <c r="C166" s="236" t="str">
        <f>фундамент!B310</f>
        <v>шт</v>
      </c>
      <c r="D166" s="2899">
        <f>фундамент!C310</f>
        <v>5</v>
      </c>
      <c r="E166" s="35">
        <f>фундамент!D310</f>
        <v>10</v>
      </c>
      <c r="F166" s="35"/>
      <c r="G166" s="275">
        <f t="shared" si="41"/>
        <v>50</v>
      </c>
      <c r="H166" s="2315">
        <f t="shared" si="42"/>
        <v>0</v>
      </c>
      <c r="I166" s="2866">
        <f t="shared" si="43"/>
        <v>0</v>
      </c>
      <c r="J166" s="2863"/>
      <c r="K166" s="223">
        <f t="shared" si="44"/>
        <v>5</v>
      </c>
      <c r="L166" s="2854"/>
    </row>
    <row r="167" spans="1:12">
      <c r="A167" s="2837"/>
      <c r="B167" s="3278" t="s">
        <v>4640</v>
      </c>
      <c r="C167" s="3278"/>
      <c r="D167" s="3278"/>
      <c r="E167" s="3278"/>
      <c r="F167" s="2868"/>
      <c r="G167" s="2315">
        <f>SUM(G161:G166)*H159</f>
        <v>0</v>
      </c>
      <c r="H167" s="2315">
        <f>SUM(H161:H166)</f>
        <v>0</v>
      </c>
      <c r="I167" s="2866">
        <f t="shared" si="43"/>
        <v>0</v>
      </c>
      <c r="J167" s="2863"/>
      <c r="K167" s="223">
        <f t="shared" si="44"/>
        <v>0</v>
      </c>
      <c r="L167" s="2854"/>
    </row>
    <row r="168" spans="1:12">
      <c r="A168" s="2837"/>
      <c r="B168" s="3284" t="str">
        <f>B150</f>
        <v>Работы</v>
      </c>
      <c r="C168" s="3284"/>
      <c r="D168" s="3284"/>
      <c r="E168" s="3284"/>
      <c r="F168" s="2900"/>
      <c r="G168" s="941"/>
      <c r="H168" s="2896">
        <f>H160</f>
        <v>0</v>
      </c>
      <c r="I168" s="2879">
        <f>H168</f>
        <v>0</v>
      </c>
      <c r="J168" s="2892"/>
      <c r="K168" s="2893"/>
    </row>
    <row r="169" spans="1:12">
      <c r="A169" s="2837"/>
      <c r="B169" s="2898" t="str">
        <f>фундамент!G304</f>
        <v>разбивка осей</v>
      </c>
      <c r="C169" s="236" t="str">
        <f>фундамент!I304</f>
        <v>шт</v>
      </c>
      <c r="D169" s="2899">
        <f>фундамент!J304</f>
        <v>1</v>
      </c>
      <c r="E169" s="35">
        <f>фундамент!K304</f>
        <v>7000</v>
      </c>
      <c r="F169" s="35"/>
      <c r="G169" s="275">
        <f t="shared" ref="G169:G175" si="45">IF(F169&gt;0,D169*F169,E169*D169)</f>
        <v>7000</v>
      </c>
      <c r="H169" s="2315">
        <f t="shared" ref="H169:H175" si="46">D169*E169*$H$168</f>
        <v>0</v>
      </c>
      <c r="I169" s="2866">
        <f t="shared" ref="I169:I176" si="47">IF(G169&gt;H169,G169,H169)*$H$159</f>
        <v>0</v>
      </c>
      <c r="J169" s="2854"/>
      <c r="K169" s="2837"/>
    </row>
    <row r="170" spans="1:12">
      <c r="A170" s="2837"/>
      <c r="B170" s="2898" t="str">
        <f>фундамент!G305</f>
        <v>монтаж свай гидравликой</v>
      </c>
      <c r="C170" s="236" t="str">
        <f>фундамент!I305</f>
        <v>шт</v>
      </c>
      <c r="D170" s="2899">
        <f>фундамент!J305</f>
        <v>5</v>
      </c>
      <c r="E170" s="35">
        <f>фундамент!K305</f>
        <v>1000</v>
      </c>
      <c r="F170" s="35"/>
      <c r="G170" s="275">
        <f t="shared" si="45"/>
        <v>5000</v>
      </c>
      <c r="H170" s="2315">
        <f t="shared" si="46"/>
        <v>0</v>
      </c>
      <c r="I170" s="2866">
        <f t="shared" si="47"/>
        <v>0</v>
      </c>
      <c r="J170" s="2854"/>
      <c r="K170" s="2837"/>
    </row>
    <row r="171" spans="1:12">
      <c r="A171" s="2837"/>
      <c r="B171" s="2898" t="str">
        <f>фундамент!G306</f>
        <v>монтаж оголовков</v>
      </c>
      <c r="C171" s="236" t="str">
        <f>фундамент!I306</f>
        <v>шт</v>
      </c>
      <c r="D171" s="2899">
        <f>фундамент!J306</f>
        <v>5</v>
      </c>
      <c r="E171" s="35">
        <f>фундамент!K306</f>
        <v>100</v>
      </c>
      <c r="F171" s="35"/>
      <c r="G171" s="275">
        <f t="shared" si="45"/>
        <v>500</v>
      </c>
      <c r="H171" s="2315">
        <f t="shared" si="46"/>
        <v>0</v>
      </c>
      <c r="I171" s="2866">
        <f t="shared" si="47"/>
        <v>0</v>
      </c>
      <c r="J171" s="2854"/>
      <c r="K171" s="2837"/>
    </row>
    <row r="172" spans="1:12">
      <c r="A172" s="2837"/>
      <c r="B172" s="2898" t="str">
        <f>фундамент!G307</f>
        <v>обвязка металлом</v>
      </c>
      <c r="C172" s="236" t="str">
        <f>фундамент!I307</f>
        <v>м.п.</v>
      </c>
      <c r="D172" s="2899">
        <f>фундамент!J307</f>
        <v>5</v>
      </c>
      <c r="E172" s="35">
        <f>фундамент!K307</f>
        <v>100</v>
      </c>
      <c r="F172" s="35"/>
      <c r="G172" s="275">
        <f t="shared" si="45"/>
        <v>500</v>
      </c>
      <c r="H172" s="2315">
        <f t="shared" si="46"/>
        <v>0</v>
      </c>
      <c r="I172" s="2866">
        <f t="shared" si="47"/>
        <v>0</v>
      </c>
      <c r="J172" s="2854"/>
      <c r="K172" s="2837"/>
    </row>
    <row r="173" spans="1:12">
      <c r="A173" s="2837"/>
      <c r="B173" s="2898" t="str">
        <f>фундамент!G308</f>
        <v>заливка бетоном</v>
      </c>
      <c r="C173" s="236" t="str">
        <f>фундамент!I308</f>
        <v>шт</v>
      </c>
      <c r="D173" s="2899">
        <f>фундамент!J308</f>
        <v>5</v>
      </c>
      <c r="E173" s="35">
        <f>фундамент!K308</f>
        <v>200</v>
      </c>
      <c r="F173" s="35"/>
      <c r="G173" s="275">
        <f t="shared" si="45"/>
        <v>1000</v>
      </c>
      <c r="H173" s="2315">
        <f t="shared" si="46"/>
        <v>0</v>
      </c>
      <c r="I173" s="2866">
        <f t="shared" si="47"/>
        <v>0</v>
      </c>
      <c r="J173" s="2854"/>
      <c r="K173" s="2837"/>
    </row>
    <row r="174" spans="1:12">
      <c r="A174" s="2837"/>
      <c r="B174" s="2898" t="str">
        <f>фундамент!G309</f>
        <v>Обрезка винтовых свай по невелиру</v>
      </c>
      <c r="C174" s="236" t="str">
        <f>фундамент!I309</f>
        <v>шт</v>
      </c>
      <c r="D174" s="2899">
        <f>фундамент!J309</f>
        <v>5</v>
      </c>
      <c r="E174" s="35">
        <f>фундамент!K309</f>
        <v>200</v>
      </c>
      <c r="F174" s="35"/>
      <c r="G174" s="275">
        <f t="shared" si="45"/>
        <v>1000</v>
      </c>
      <c r="H174" s="2315">
        <f t="shared" si="46"/>
        <v>0</v>
      </c>
      <c r="I174" s="2866">
        <f t="shared" si="47"/>
        <v>0</v>
      </c>
      <c r="J174" s="2854"/>
      <c r="K174" s="2837"/>
    </row>
    <row r="175" spans="1:12">
      <c r="A175" s="2837"/>
      <c r="B175" s="2898" t="str">
        <f>фундамент!G310</f>
        <v>Наварка оголовка</v>
      </c>
      <c r="C175" s="236" t="str">
        <f>фундамент!I310</f>
        <v>шт</v>
      </c>
      <c r="D175" s="2899">
        <f>фундамент!J310</f>
        <v>5</v>
      </c>
      <c r="E175" s="35">
        <f>фундамент!K310</f>
        <v>250</v>
      </c>
      <c r="F175" s="35"/>
      <c r="G175" s="275">
        <f t="shared" si="45"/>
        <v>1250</v>
      </c>
      <c r="H175" s="2315">
        <f t="shared" si="46"/>
        <v>0</v>
      </c>
      <c r="I175" s="2866">
        <f t="shared" si="47"/>
        <v>0</v>
      </c>
      <c r="J175" s="2854"/>
      <c r="K175" s="2837"/>
    </row>
    <row r="176" spans="1:12">
      <c r="A176" s="2837"/>
      <c r="B176" s="3278" t="s">
        <v>4641</v>
      </c>
      <c r="C176" s="3278"/>
      <c r="D176" s="3278"/>
      <c r="E176" s="3278"/>
      <c r="F176" s="2868"/>
      <c r="G176" s="2315">
        <f>SUM(G169:G175)*H168</f>
        <v>0</v>
      </c>
      <c r="H176" s="2315">
        <f>SUM(H169:H175)</f>
        <v>0</v>
      </c>
      <c r="I176" s="2866">
        <f t="shared" si="47"/>
        <v>0</v>
      </c>
      <c r="J176" s="2854"/>
      <c r="K176" s="2837"/>
    </row>
    <row r="177" spans="1:12" ht="21">
      <c r="A177" s="2837"/>
      <c r="B177" s="3282" t="s">
        <v>4047</v>
      </c>
      <c r="C177" s="3282"/>
      <c r="D177" s="3282"/>
      <c r="E177" s="3282"/>
      <c r="F177" s="2887"/>
      <c r="G177" s="941"/>
      <c r="H177" s="2901">
        <f>VLOOKUP('Ввод данных'!F764,связи1!A2:B3,2,0)*IF('Ввод данных'!C739=связи1!A3,1,0)</f>
        <v>0</v>
      </c>
      <c r="I177" s="2879">
        <f>H177</f>
        <v>0</v>
      </c>
      <c r="J177" s="2829"/>
      <c r="K177" s="2837"/>
    </row>
    <row r="178" spans="1:12">
      <c r="A178" s="2829"/>
      <c r="B178" s="3285" t="s">
        <v>2720</v>
      </c>
      <c r="C178" s="3285"/>
      <c r="D178" s="3285"/>
      <c r="E178" s="3285"/>
      <c r="F178" s="2902"/>
      <c r="G178" s="941"/>
      <c r="H178" s="2903">
        <f>H177</f>
        <v>0</v>
      </c>
      <c r="I178" s="2879">
        <f>H178</f>
        <v>0</v>
      </c>
      <c r="J178" s="2850"/>
      <c r="K178" s="2851"/>
    </row>
    <row r="179" spans="1:12">
      <c r="A179" s="2829"/>
      <c r="B179" s="302" t="str">
        <f>фундамент!A345</f>
        <v>Сосна влаж,150*40мм</v>
      </c>
      <c r="C179" s="2890" t="str">
        <f>фундамент!B345</f>
        <v>м3</v>
      </c>
      <c r="D179" s="302">
        <f>фундамент!C345</f>
        <v>3.843840000000001</v>
      </c>
      <c r="E179" s="302">
        <f>фундамент!D345</f>
        <v>6500</v>
      </c>
      <c r="F179" s="302"/>
      <c r="G179" s="275">
        <f t="shared" ref="G179:G195" si="48">IF(F179&gt;0,D179*F179,E179*D179)</f>
        <v>24984.960000000006</v>
      </c>
      <c r="H179" s="96">
        <f t="shared" ref="H179:H195" si="49">D179*E179*$H$178</f>
        <v>0</v>
      </c>
      <c r="I179" s="2866">
        <f t="shared" ref="I179:I196" si="50">IF(G179&gt;H179,G179,H179)*$H$177</f>
        <v>0</v>
      </c>
      <c r="J179" s="2863"/>
      <c r="K179" s="223">
        <f t="shared" ref="K179:K196" si="51">D179-J179</f>
        <v>3.843840000000001</v>
      </c>
      <c r="L179" s="2854"/>
    </row>
    <row r="180" spans="1:12">
      <c r="A180" s="2837"/>
      <c r="B180" s="302" t="str">
        <f>фундамент!A346</f>
        <v xml:space="preserve">Пленка гидроизоляционная </v>
      </c>
      <c r="C180" s="2890" t="str">
        <f>фундамент!B346</f>
        <v>м2</v>
      </c>
      <c r="D180" s="302">
        <f>фундамент!C346</f>
        <v>96.096000000000018</v>
      </c>
      <c r="E180" s="302">
        <f>фундамент!D346</f>
        <v>15</v>
      </c>
      <c r="F180" s="302"/>
      <c r="G180" s="275">
        <f t="shared" si="48"/>
        <v>1441.4400000000003</v>
      </c>
      <c r="H180" s="96">
        <f t="shared" si="49"/>
        <v>0</v>
      </c>
      <c r="I180" s="2866">
        <f t="shared" si="50"/>
        <v>0</v>
      </c>
      <c r="J180" s="2863"/>
      <c r="K180" s="223">
        <f t="shared" si="51"/>
        <v>96.096000000000018</v>
      </c>
      <c r="L180" s="2854"/>
    </row>
    <row r="181" spans="1:12">
      <c r="A181" s="2837"/>
      <c r="B181" s="302" t="str">
        <f>фундамент!A348</f>
        <v>Арматура стальная Ø 8</v>
      </c>
      <c r="C181" s="2890" t="str">
        <f>фундамент!B348</f>
        <v>м.п</v>
      </c>
      <c r="D181" s="302">
        <f>фундамент!C348</f>
        <v>443.52000000000004</v>
      </c>
      <c r="E181" s="302">
        <f>фундамент!D348</f>
        <v>16.037000000000003</v>
      </c>
      <c r="F181" s="302"/>
      <c r="G181" s="275">
        <f t="shared" si="48"/>
        <v>7112.7302400000017</v>
      </c>
      <c r="H181" s="96">
        <f t="shared" si="49"/>
        <v>0</v>
      </c>
      <c r="I181" s="2866">
        <f t="shared" si="50"/>
        <v>0</v>
      </c>
      <c r="J181" s="2863"/>
      <c r="K181" s="223">
        <f t="shared" si="51"/>
        <v>443.52000000000004</v>
      </c>
      <c r="L181" s="2854"/>
    </row>
    <row r="182" spans="1:12">
      <c r="A182" s="2837"/>
      <c r="B182" s="302" t="str">
        <f>фундамент!A349</f>
        <v>Арматура стальная Ø 6</v>
      </c>
      <c r="C182" s="2890" t="str">
        <f>фундамент!B349</f>
        <v>м.п</v>
      </c>
      <c r="D182" s="302">
        <f>фундамент!C349</f>
        <v>304.92000000000007</v>
      </c>
      <c r="E182" s="302">
        <f>фундамент!D349</f>
        <v>9.0131999999999994</v>
      </c>
      <c r="F182" s="302"/>
      <c r="G182" s="275">
        <f t="shared" si="48"/>
        <v>2748.3049440000004</v>
      </c>
      <c r="H182" s="96">
        <f t="shared" si="49"/>
        <v>0</v>
      </c>
      <c r="I182" s="2866">
        <f t="shared" si="50"/>
        <v>0</v>
      </c>
      <c r="J182" s="2863"/>
      <c r="K182" s="223">
        <f t="shared" si="51"/>
        <v>304.92000000000007</v>
      </c>
      <c r="L182" s="2854"/>
    </row>
    <row r="183" spans="1:12">
      <c r="A183" s="2837"/>
      <c r="B183" s="302" t="str">
        <f>фундамент!A350</f>
        <v>Вязальная проволока</v>
      </c>
      <c r="C183" s="2890" t="str">
        <f>фундамент!B350</f>
        <v>кг</v>
      </c>
      <c r="D183" s="302">
        <f>фундамент!C350</f>
        <v>16.465680000000003</v>
      </c>
      <c r="E183" s="302">
        <f>фундамент!D350</f>
        <v>80</v>
      </c>
      <c r="F183" s="302"/>
      <c r="G183" s="275">
        <f t="shared" si="48"/>
        <v>1317.2544000000003</v>
      </c>
      <c r="H183" s="96">
        <f t="shared" si="49"/>
        <v>0</v>
      </c>
      <c r="I183" s="2866">
        <f t="shared" si="50"/>
        <v>0</v>
      </c>
      <c r="J183" s="2863"/>
      <c r="K183" s="223">
        <f t="shared" si="51"/>
        <v>16.465680000000003</v>
      </c>
      <c r="L183" s="2854"/>
    </row>
    <row r="184" spans="1:12">
      <c r="A184" s="2837"/>
      <c r="B184" s="302" t="str">
        <f>фундамент!A351</f>
        <v xml:space="preserve">Гвозди строительные 3,5 x 90            </v>
      </c>
      <c r="C184" s="2890" t="str">
        <f>фундамент!B351</f>
        <v>кг</v>
      </c>
      <c r="D184" s="302">
        <f>фундамент!C351</f>
        <v>21.141120000000008</v>
      </c>
      <c r="E184" s="302">
        <f>фундамент!D351</f>
        <v>70</v>
      </c>
      <c r="F184" s="302"/>
      <c r="G184" s="275">
        <f t="shared" si="48"/>
        <v>1479.8784000000005</v>
      </c>
      <c r="H184" s="96">
        <f t="shared" si="49"/>
        <v>0</v>
      </c>
      <c r="I184" s="2866">
        <f t="shared" si="50"/>
        <v>0</v>
      </c>
      <c r="J184" s="2863"/>
      <c r="K184" s="223">
        <f t="shared" si="51"/>
        <v>21.141120000000008</v>
      </c>
      <c r="L184" s="2854"/>
    </row>
    <row r="185" spans="1:12">
      <c r="A185" s="2837"/>
      <c r="B185" s="302" t="str">
        <f>фундамент!A352</f>
        <v>Гидроизол</v>
      </c>
      <c r="C185" s="2890" t="str">
        <f>фундамент!B352</f>
        <v>м2</v>
      </c>
      <c r="D185" s="302">
        <f>фундамент!C352</f>
        <v>18.480000000000004</v>
      </c>
      <c r="E185" s="302">
        <f>фундамент!D352</f>
        <v>70</v>
      </c>
      <c r="F185" s="302"/>
      <c r="G185" s="275">
        <f t="shared" si="48"/>
        <v>1293.6000000000004</v>
      </c>
      <c r="H185" s="96">
        <f t="shared" si="49"/>
        <v>0</v>
      </c>
      <c r="I185" s="2866">
        <f t="shared" si="50"/>
        <v>0</v>
      </c>
      <c r="J185" s="2863"/>
      <c r="K185" s="223">
        <f t="shared" si="51"/>
        <v>18.480000000000004</v>
      </c>
      <c r="L185" s="2854"/>
    </row>
    <row r="186" spans="1:12">
      <c r="A186" s="2837"/>
      <c r="B186" s="302" t="str">
        <f>фундамент!A353</f>
        <v>ПГС, машина 13м3</v>
      </c>
      <c r="C186" s="2890" t="str">
        <f>фундамент!B353</f>
        <v>маш</v>
      </c>
      <c r="D186" s="302">
        <f>фундамент!C353</f>
        <v>0.6160000000000001</v>
      </c>
      <c r="E186" s="302">
        <f>фундамент!D353</f>
        <v>10000</v>
      </c>
      <c r="F186" s="302"/>
      <c r="G186" s="275">
        <f t="shared" si="48"/>
        <v>6160.0000000000009</v>
      </c>
      <c r="H186" s="96">
        <f t="shared" si="49"/>
        <v>0</v>
      </c>
      <c r="I186" s="2866">
        <f t="shared" si="50"/>
        <v>0</v>
      </c>
      <c r="J186" s="2863"/>
      <c r="K186" s="223">
        <f t="shared" si="51"/>
        <v>0.6160000000000001</v>
      </c>
      <c r="L186" s="2854"/>
    </row>
    <row r="187" spans="1:12">
      <c r="A187" s="2837"/>
      <c r="B187" s="302" t="str">
        <f>фундамент!A354</f>
        <v>Бетон, м250</v>
      </c>
      <c r="C187" s="2890" t="str">
        <f>фундамент!B354</f>
        <v>м3</v>
      </c>
      <c r="D187" s="302">
        <f>фундамент!C354</f>
        <v>11.088000000000001</v>
      </c>
      <c r="E187" s="302">
        <f>фундамент!D354</f>
        <v>2750</v>
      </c>
      <c r="F187" s="302"/>
      <c r="G187" s="275">
        <f t="shared" si="48"/>
        <v>30492.000000000004</v>
      </c>
      <c r="H187" s="96">
        <f t="shared" si="49"/>
        <v>0</v>
      </c>
      <c r="I187" s="2866">
        <f t="shared" si="50"/>
        <v>0</v>
      </c>
      <c r="J187" s="2863"/>
      <c r="K187" s="223">
        <f t="shared" si="51"/>
        <v>11.088000000000001</v>
      </c>
      <c r="L187" s="2854"/>
    </row>
    <row r="188" spans="1:12">
      <c r="A188" s="2837"/>
      <c r="B188" s="302" t="str">
        <f>фундамент!A355</f>
        <v>Нет</v>
      </c>
      <c r="C188" s="2890" t="str">
        <f>фундамент!B355</f>
        <v>м3</v>
      </c>
      <c r="D188" s="302">
        <f>фундамент!C355</f>
        <v>0</v>
      </c>
      <c r="E188" s="302">
        <f>фундамент!D355</f>
        <v>0</v>
      </c>
      <c r="F188" s="302"/>
      <c r="G188" s="275">
        <f t="shared" si="48"/>
        <v>0</v>
      </c>
      <c r="H188" s="96">
        <f t="shared" si="49"/>
        <v>0</v>
      </c>
      <c r="I188" s="2866">
        <f t="shared" si="50"/>
        <v>0</v>
      </c>
      <c r="J188" s="2863"/>
      <c r="K188" s="223">
        <f t="shared" si="51"/>
        <v>0</v>
      </c>
      <c r="L188" s="2854"/>
    </row>
    <row r="189" spans="1:12">
      <c r="A189" s="2837"/>
      <c r="B189" s="302" t="str">
        <f>фундамент!A356</f>
        <v>Грибок для крепления утеплителя</v>
      </c>
      <c r="C189" s="2890" t="str">
        <f>фундамент!B356</f>
        <v>шт</v>
      </c>
      <c r="D189" s="302">
        <f>фундамент!C356</f>
        <v>0</v>
      </c>
      <c r="E189" s="302">
        <f>фундамент!D356</f>
        <v>15</v>
      </c>
      <c r="F189" s="302"/>
      <c r="G189" s="275">
        <f t="shared" si="48"/>
        <v>0</v>
      </c>
      <c r="H189" s="96">
        <f t="shared" si="49"/>
        <v>0</v>
      </c>
      <c r="I189" s="2866">
        <f t="shared" si="50"/>
        <v>0</v>
      </c>
      <c r="J189" s="2863"/>
      <c r="K189" s="223">
        <f t="shared" si="51"/>
        <v>0</v>
      </c>
      <c r="L189" s="2854"/>
    </row>
    <row r="190" spans="1:12">
      <c r="A190" s="2837"/>
      <c r="B190" s="302" t="str">
        <f>фундамент!A357</f>
        <v>Нет</v>
      </c>
      <c r="C190" s="2890" t="str">
        <f>фундамент!B357</f>
        <v>м3</v>
      </c>
      <c r="D190" s="302">
        <f>фундамент!C357</f>
        <v>0</v>
      </c>
      <c r="E190" s="302">
        <f>фундамент!D357</f>
        <v>0</v>
      </c>
      <c r="F190" s="302"/>
      <c r="G190" s="275">
        <f t="shared" si="48"/>
        <v>0</v>
      </c>
      <c r="H190" s="96">
        <f t="shared" si="49"/>
        <v>0</v>
      </c>
      <c r="I190" s="2866">
        <f t="shared" si="50"/>
        <v>0</v>
      </c>
      <c r="J190" s="2863"/>
      <c r="K190" s="223">
        <f t="shared" si="51"/>
        <v>0</v>
      </c>
      <c r="L190" s="2854"/>
    </row>
    <row r="191" spans="1:12">
      <c r="A191" s="2837"/>
      <c r="B191" s="302" t="str">
        <f>фундамент!A358</f>
        <v>ПГС, машина 5м3</v>
      </c>
      <c r="C191" s="2890" t="str">
        <f>фундамент!B358</f>
        <v>маш</v>
      </c>
      <c r="D191" s="302">
        <f>фундамент!C358</f>
        <v>0</v>
      </c>
      <c r="E191" s="302">
        <f>фундамент!D358</f>
        <v>6000</v>
      </c>
      <c r="F191" s="302"/>
      <c r="G191" s="275">
        <f t="shared" si="48"/>
        <v>0</v>
      </c>
      <c r="H191" s="96">
        <f t="shared" si="49"/>
        <v>0</v>
      </c>
      <c r="I191" s="2866">
        <f t="shared" si="50"/>
        <v>0</v>
      </c>
      <c r="J191" s="2863"/>
      <c r="K191" s="223">
        <f t="shared" si="51"/>
        <v>0</v>
      </c>
      <c r="L191" s="2854"/>
    </row>
    <row r="192" spans="1:12">
      <c r="A192" s="2837"/>
      <c r="B192" s="302" t="str">
        <f>фундамент!A359</f>
        <v>Кладочная сетка, 100*100/150*150/200*200мм</v>
      </c>
      <c r="C192" s="2890" t="str">
        <f>фундамент!B359</f>
        <v>м2</v>
      </c>
      <c r="D192" s="302">
        <f>фундамент!C359</f>
        <v>0</v>
      </c>
      <c r="E192" s="302">
        <f>фундамент!D359</f>
        <v>70</v>
      </c>
      <c r="F192" s="302"/>
      <c r="G192" s="275">
        <f t="shared" si="48"/>
        <v>0</v>
      </c>
      <c r="H192" s="96">
        <f t="shared" si="49"/>
        <v>0</v>
      </c>
      <c r="I192" s="2866">
        <f t="shared" si="50"/>
        <v>0</v>
      </c>
      <c r="J192" s="2863"/>
      <c r="K192" s="223">
        <f t="shared" si="51"/>
        <v>0</v>
      </c>
      <c r="L192" s="2854"/>
    </row>
    <row r="193" spans="1:12">
      <c r="A193" s="2837"/>
      <c r="B193" s="302" t="str">
        <f>фундамент!A360</f>
        <v>Бетон, м200</v>
      </c>
      <c r="C193" s="2890" t="str">
        <f>фундамент!B360</f>
        <v>м3</v>
      </c>
      <c r="D193" s="302">
        <f>фундамент!C360</f>
        <v>0</v>
      </c>
      <c r="E193" s="302">
        <f>фундамент!D360</f>
        <v>2500</v>
      </c>
      <c r="F193" s="302"/>
      <c r="G193" s="275">
        <f t="shared" si="48"/>
        <v>0</v>
      </c>
      <c r="H193" s="96">
        <f t="shared" si="49"/>
        <v>0</v>
      </c>
      <c r="I193" s="2866">
        <f t="shared" si="50"/>
        <v>0</v>
      </c>
      <c r="J193" s="2863"/>
      <c r="K193" s="223">
        <f t="shared" si="51"/>
        <v>0</v>
      </c>
      <c r="L193" s="2854"/>
    </row>
    <row r="194" spans="1:12">
      <c r="A194" s="2837"/>
      <c r="B194" s="302" t="str">
        <f>фундамент!G361</f>
        <v>Труба теплого пола 3</v>
      </c>
      <c r="C194" s="2890" t="str">
        <f>фундамент!I361</f>
        <v>м.п</v>
      </c>
      <c r="D194" s="302">
        <f>фундамент!J361</f>
        <v>308</v>
      </c>
      <c r="E194" s="302">
        <f>фундамент!K361</f>
        <v>60</v>
      </c>
      <c r="F194" s="302"/>
      <c r="G194" s="275">
        <f t="shared" si="48"/>
        <v>18480</v>
      </c>
      <c r="H194" s="96">
        <f t="shared" si="49"/>
        <v>0</v>
      </c>
      <c r="I194" s="2866">
        <f t="shared" si="50"/>
        <v>0</v>
      </c>
      <c r="J194" s="2863"/>
      <c r="K194" s="223">
        <f t="shared" si="51"/>
        <v>308</v>
      </c>
      <c r="L194" s="2854"/>
    </row>
    <row r="195" spans="1:12">
      <c r="A195" s="2837"/>
      <c r="B195" s="302" t="str">
        <f>фундамент!G362</f>
        <v>Коллектор 1</v>
      </c>
      <c r="C195" s="2890" t="str">
        <f>фундамент!I362</f>
        <v>шт</v>
      </c>
      <c r="D195" s="302">
        <f>фундамент!J362</f>
        <v>1.1000000000000001</v>
      </c>
      <c r="E195" s="302">
        <f>фундамент!K362</f>
        <v>5000</v>
      </c>
      <c r="F195" s="302"/>
      <c r="G195" s="275">
        <f t="shared" si="48"/>
        <v>5500</v>
      </c>
      <c r="H195" s="96">
        <f t="shared" si="49"/>
        <v>0</v>
      </c>
      <c r="I195" s="2866">
        <f t="shared" si="50"/>
        <v>0</v>
      </c>
      <c r="J195" s="2863"/>
      <c r="K195" s="2904">
        <f t="shared" si="51"/>
        <v>1.1000000000000001</v>
      </c>
      <c r="L195" s="2854"/>
    </row>
    <row r="196" spans="1:12">
      <c r="A196" s="2837"/>
      <c r="B196" s="3278" t="s">
        <v>4640</v>
      </c>
      <c r="C196" s="3278"/>
      <c r="D196" s="3278"/>
      <c r="E196" s="3278"/>
      <c r="F196" s="2868"/>
      <c r="G196" s="2315">
        <f>SUM(G179:G195)*H177</f>
        <v>0</v>
      </c>
      <c r="H196" s="2315">
        <f>SUM(H179:H195)</f>
        <v>0</v>
      </c>
      <c r="I196" s="2866">
        <f t="shared" si="50"/>
        <v>0</v>
      </c>
      <c r="J196" s="2863"/>
      <c r="K196" s="223">
        <f t="shared" si="51"/>
        <v>0</v>
      </c>
      <c r="L196" s="2854"/>
    </row>
    <row r="197" spans="1:12">
      <c r="A197" s="2837"/>
      <c r="B197" s="3279" t="s">
        <v>1409</v>
      </c>
      <c r="C197" s="3279"/>
      <c r="D197" s="3279"/>
      <c r="E197" s="3279"/>
      <c r="F197" s="2870"/>
      <c r="G197" s="941"/>
      <c r="H197" s="2891">
        <f>H177</f>
        <v>0</v>
      </c>
      <c r="I197" s="2879">
        <f>H197</f>
        <v>0</v>
      </c>
      <c r="J197" s="2892"/>
      <c r="K197" s="2893"/>
    </row>
    <row r="198" spans="1:12">
      <c r="A198" s="2829"/>
      <c r="B198" s="2763" t="str">
        <f>фундамент!G345</f>
        <v>разбивка осей</v>
      </c>
      <c r="C198" s="2890" t="str">
        <f>фундамент!I345</f>
        <v>шт</v>
      </c>
      <c r="D198" s="302">
        <f>фундамент!J345</f>
        <v>1.05</v>
      </c>
      <c r="E198" s="179">
        <f>фундамент!K345</f>
        <v>7000</v>
      </c>
      <c r="F198" s="179"/>
      <c r="G198" s="275">
        <f t="shared" ref="G198:G212" si="52">IF(F198&gt;0,D198*F198,E198*D198)</f>
        <v>7350</v>
      </c>
      <c r="H198" s="2315">
        <f t="shared" ref="H198:H212" si="53">D198*E198*$H$178</f>
        <v>0</v>
      </c>
      <c r="I198" s="2866">
        <f t="shared" ref="I198:I213" si="54">IF(G198&gt;H198,G198,H198)*$H$177</f>
        <v>0</v>
      </c>
      <c r="J198" s="2854"/>
      <c r="K198" s="2837"/>
    </row>
    <row r="199" spans="1:12">
      <c r="A199" s="2837"/>
      <c r="B199" s="2763" t="str">
        <f>фундамент!G346</f>
        <v>сборка опалубки</v>
      </c>
      <c r="C199" s="2890" t="str">
        <f>фундамент!I346</f>
        <v>м2</v>
      </c>
      <c r="D199" s="302">
        <f>фундамент!J346</f>
        <v>70.56</v>
      </c>
      <c r="E199" s="179">
        <f>фундамент!K346</f>
        <v>300</v>
      </c>
      <c r="F199" s="179"/>
      <c r="G199" s="275">
        <f t="shared" si="52"/>
        <v>21168</v>
      </c>
      <c r="H199" s="2315">
        <f t="shared" si="53"/>
        <v>0</v>
      </c>
      <c r="I199" s="2866">
        <f t="shared" si="54"/>
        <v>0</v>
      </c>
      <c r="J199" s="2854"/>
      <c r="K199" s="2837"/>
    </row>
    <row r="200" spans="1:12">
      <c r="A200" s="2837"/>
      <c r="B200" s="2763" t="str">
        <f>фундамент!G347</f>
        <v>разборка опалубки</v>
      </c>
      <c r="C200" s="2890" t="str">
        <f>фундамент!I347</f>
        <v>м2</v>
      </c>
      <c r="D200" s="302">
        <f>фундамент!J347</f>
        <v>74.088000000000008</v>
      </c>
      <c r="E200" s="179">
        <f>фундамент!K347</f>
        <v>100</v>
      </c>
      <c r="F200" s="179"/>
      <c r="G200" s="275">
        <f t="shared" si="52"/>
        <v>7408.8000000000011</v>
      </c>
      <c r="H200" s="2315">
        <f t="shared" si="53"/>
        <v>0</v>
      </c>
      <c r="I200" s="2866">
        <f t="shared" si="54"/>
        <v>0</v>
      </c>
      <c r="J200" s="2854"/>
      <c r="K200" s="2837"/>
    </row>
    <row r="201" spans="1:12">
      <c r="A201" s="2837"/>
      <c r="B201" s="2763" t="str">
        <f>фундамент!G348</f>
        <v>настил пленки</v>
      </c>
      <c r="C201" s="2890" t="str">
        <f>фундамент!I348</f>
        <v>м2</v>
      </c>
      <c r="D201" s="302">
        <f>фундамент!J348</f>
        <v>77.792400000000015</v>
      </c>
      <c r="E201" s="179">
        <f>фундамент!K348</f>
        <v>10</v>
      </c>
      <c r="F201" s="179"/>
      <c r="G201" s="275">
        <f t="shared" si="52"/>
        <v>777.92400000000021</v>
      </c>
      <c r="H201" s="2315">
        <f t="shared" si="53"/>
        <v>0</v>
      </c>
      <c r="I201" s="2866">
        <f t="shared" si="54"/>
        <v>0</v>
      </c>
      <c r="J201" s="2854"/>
      <c r="K201" s="2837"/>
    </row>
    <row r="202" spans="1:12">
      <c r="A202" s="2837"/>
      <c r="B202" s="2763" t="str">
        <f>фундамент!G350</f>
        <v>армирование</v>
      </c>
      <c r="C202" s="2890" t="str">
        <f>фундамент!I350</f>
        <v>м.п</v>
      </c>
      <c r="D202" s="302">
        <f>фундамент!J350</f>
        <v>423.36</v>
      </c>
      <c r="E202" s="179">
        <f>фундамент!K350</f>
        <v>30</v>
      </c>
      <c r="F202" s="179"/>
      <c r="G202" s="275">
        <f t="shared" si="52"/>
        <v>12700.800000000001</v>
      </c>
      <c r="H202" s="2315">
        <f t="shared" si="53"/>
        <v>0</v>
      </c>
      <c r="I202" s="2866">
        <f t="shared" si="54"/>
        <v>0</v>
      </c>
      <c r="J202" s="2854"/>
      <c r="K202" s="2837"/>
    </row>
    <row r="203" spans="1:12">
      <c r="A203" s="2837"/>
      <c r="B203" s="2763" t="str">
        <f>фундамент!G351</f>
        <v>армирование</v>
      </c>
      <c r="C203" s="2890" t="str">
        <f>фундамент!I351</f>
        <v>м.п.</v>
      </c>
      <c r="D203" s="302">
        <f>фундамент!J351</f>
        <v>194.04000000000005</v>
      </c>
      <c r="E203" s="179">
        <f>фундамент!K351</f>
        <v>500</v>
      </c>
      <c r="F203" s="179"/>
      <c r="G203" s="275">
        <f t="shared" si="52"/>
        <v>97020.000000000029</v>
      </c>
      <c r="H203" s="2315">
        <f t="shared" si="53"/>
        <v>0</v>
      </c>
      <c r="I203" s="2866">
        <f t="shared" si="54"/>
        <v>0</v>
      </c>
      <c r="J203" s="2854"/>
      <c r="K203" s="2837"/>
    </row>
    <row r="204" spans="1:12">
      <c r="A204" s="2837"/>
      <c r="B204" s="2763" t="str">
        <f>фундамент!G352</f>
        <v>настил гидроизола</v>
      </c>
      <c r="C204" s="2890" t="str">
        <f>фундамент!I352</f>
        <v>м2</v>
      </c>
      <c r="D204" s="302">
        <f>фундамент!J352</f>
        <v>17.64</v>
      </c>
      <c r="E204" s="179">
        <f>фундамент!K352</f>
        <v>100</v>
      </c>
      <c r="F204" s="179"/>
      <c r="G204" s="275">
        <f t="shared" si="52"/>
        <v>1764</v>
      </c>
      <c r="H204" s="2315">
        <f t="shared" si="53"/>
        <v>0</v>
      </c>
      <c r="I204" s="2866">
        <f t="shared" si="54"/>
        <v>0</v>
      </c>
      <c r="J204" s="2854"/>
      <c r="K204" s="2837"/>
    </row>
    <row r="205" spans="1:12">
      <c r="A205" s="2837"/>
      <c r="B205" s="2763" t="str">
        <f>фундамент!G353</f>
        <v>трамбовка</v>
      </c>
      <c r="C205" s="2890" t="str">
        <f>фундамент!I353</f>
        <v>м2</v>
      </c>
      <c r="D205" s="302">
        <f>фундамент!J353</f>
        <v>18.522000000000002</v>
      </c>
      <c r="E205" s="179">
        <f>фундамент!K353</f>
        <v>350</v>
      </c>
      <c r="F205" s="179"/>
      <c r="G205" s="275">
        <f t="shared" si="52"/>
        <v>6482.7000000000007</v>
      </c>
      <c r="H205" s="2315">
        <f t="shared" si="53"/>
        <v>0</v>
      </c>
      <c r="I205" s="2866">
        <f t="shared" si="54"/>
        <v>0</v>
      </c>
      <c r="J205" s="2854"/>
      <c r="K205" s="2837"/>
    </row>
    <row r="206" spans="1:12">
      <c r="A206" s="2837"/>
      <c r="B206" s="2763" t="str">
        <f>фундамент!G354</f>
        <v>приемка бетона</v>
      </c>
      <c r="C206" s="2890" t="str">
        <f>фундамент!I354</f>
        <v>м3</v>
      </c>
      <c r="D206" s="302">
        <f>фундамент!J354</f>
        <v>10.584000000000001</v>
      </c>
      <c r="E206" s="179">
        <f>фундамент!K354</f>
        <v>1200</v>
      </c>
      <c r="F206" s="179"/>
      <c r="G206" s="275">
        <f t="shared" si="52"/>
        <v>12700.800000000001</v>
      </c>
      <c r="H206" s="2315">
        <f t="shared" si="53"/>
        <v>0</v>
      </c>
      <c r="I206" s="2866">
        <f t="shared" si="54"/>
        <v>0</v>
      </c>
      <c r="J206" s="2854"/>
      <c r="K206" s="2837"/>
    </row>
    <row r="207" spans="1:12">
      <c r="A207" s="2837"/>
      <c r="B207" s="2763" t="str">
        <f>фундамент!G355</f>
        <v>утепление фундамента</v>
      </c>
      <c r="C207" s="2890" t="str">
        <f>фундамент!I355</f>
        <v>м2</v>
      </c>
      <c r="D207" s="302">
        <f>фундамент!J355</f>
        <v>0</v>
      </c>
      <c r="E207" s="179">
        <f>фундамент!K355</f>
        <v>200</v>
      </c>
      <c r="F207" s="179"/>
      <c r="G207" s="275">
        <f t="shared" si="52"/>
        <v>0</v>
      </c>
      <c r="H207" s="2315">
        <f t="shared" si="53"/>
        <v>0</v>
      </c>
      <c r="I207" s="2866">
        <f t="shared" si="54"/>
        <v>0</v>
      </c>
      <c r="J207" s="2854"/>
      <c r="K207" s="2837"/>
    </row>
    <row r="208" spans="1:12">
      <c r="A208" s="2837"/>
      <c r="B208" s="2763" t="str">
        <f>фундамент!G356</f>
        <v>утепление отмостки</v>
      </c>
      <c r="C208" s="2890" t="str">
        <f>фундамент!I356</f>
        <v>м2</v>
      </c>
      <c r="D208" s="302">
        <f>фундамент!J356</f>
        <v>0</v>
      </c>
      <c r="E208" s="179">
        <f>фундамент!K356</f>
        <v>200</v>
      </c>
      <c r="F208" s="179"/>
      <c r="G208" s="275">
        <f t="shared" si="52"/>
        <v>0</v>
      </c>
      <c r="H208" s="2315">
        <f t="shared" si="53"/>
        <v>0</v>
      </c>
      <c r="I208" s="2866">
        <f t="shared" si="54"/>
        <v>0</v>
      </c>
      <c r="J208" s="2854"/>
      <c r="K208" s="2837"/>
    </row>
    <row r="209" spans="1:12">
      <c r="A209" s="2837"/>
      <c r="B209" s="2763" t="str">
        <f>фундамент!G357</f>
        <v>трамбовка пгс</v>
      </c>
      <c r="C209" s="2890" t="str">
        <f>фундамент!I357</f>
        <v>м2</v>
      </c>
      <c r="D209" s="302">
        <f>фундамент!J357</f>
        <v>0</v>
      </c>
      <c r="E209" s="179">
        <f>фундамент!K357</f>
        <v>600</v>
      </c>
      <c r="F209" s="179"/>
      <c r="G209" s="275">
        <f t="shared" si="52"/>
        <v>0</v>
      </c>
      <c r="H209" s="2315">
        <f t="shared" si="53"/>
        <v>0</v>
      </c>
      <c r="I209" s="2866">
        <f t="shared" si="54"/>
        <v>0</v>
      </c>
      <c r="J209" s="2854"/>
      <c r="K209" s="2837"/>
    </row>
    <row r="210" spans="1:12">
      <c r="A210" s="2837"/>
      <c r="B210" s="2763" t="str">
        <f>фундамент!G358</f>
        <v>кладка сетки</v>
      </c>
      <c r="C210" s="2890" t="str">
        <f>фундамент!I358</f>
        <v>м2</v>
      </c>
      <c r="D210" s="302">
        <f>фундамент!J358</f>
        <v>0</v>
      </c>
      <c r="E210" s="179">
        <f>фундамент!K358</f>
        <v>100</v>
      </c>
      <c r="F210" s="179"/>
      <c r="G210" s="275">
        <f t="shared" si="52"/>
        <v>0</v>
      </c>
      <c r="H210" s="2315">
        <f t="shared" si="53"/>
        <v>0</v>
      </c>
      <c r="I210" s="2866">
        <f t="shared" si="54"/>
        <v>0</v>
      </c>
      <c r="J210" s="2854"/>
      <c r="K210" s="2837"/>
    </row>
    <row r="211" spans="1:12">
      <c r="A211" s="2837"/>
      <c r="B211" s="2763" t="str">
        <f>фундамент!G359</f>
        <v>приемка бетона</v>
      </c>
      <c r="C211" s="2890" t="s">
        <v>135</v>
      </c>
      <c r="D211" s="302">
        <f>фундамент!J359</f>
        <v>0</v>
      </c>
      <c r="E211" s="179">
        <f>фундамент!K359</f>
        <v>1200</v>
      </c>
      <c r="F211" s="179"/>
      <c r="G211" s="275">
        <f t="shared" si="52"/>
        <v>0</v>
      </c>
      <c r="H211" s="2315">
        <f t="shared" si="53"/>
        <v>0</v>
      </c>
      <c r="I211" s="2866">
        <f t="shared" si="54"/>
        <v>0</v>
      </c>
      <c r="J211" s="2854"/>
      <c r="K211" s="2837"/>
    </row>
    <row r="212" spans="1:12">
      <c r="A212" s="2837"/>
      <c r="B212" s="2763" t="str">
        <f>фундамент!G363</f>
        <v>укладка теп. Пола</v>
      </c>
      <c r="C212" s="2890" t="str">
        <f>фундамент!I363</f>
        <v>м2</v>
      </c>
      <c r="D212" s="302">
        <f>фундамент!J363</f>
        <v>105</v>
      </c>
      <c r="E212" s="179">
        <f>фундамент!K363</f>
        <v>600</v>
      </c>
      <c r="F212" s="179"/>
      <c r="G212" s="275">
        <f t="shared" si="52"/>
        <v>63000</v>
      </c>
      <c r="H212" s="2315">
        <f t="shared" si="53"/>
        <v>0</v>
      </c>
      <c r="I212" s="2866">
        <f t="shared" si="54"/>
        <v>0</v>
      </c>
      <c r="J212" s="2854"/>
      <c r="K212" s="2837"/>
    </row>
    <row r="213" spans="1:12">
      <c r="A213" s="2837"/>
      <c r="B213" s="3278" t="s">
        <v>4641</v>
      </c>
      <c r="C213" s="3278"/>
      <c r="D213" s="3278"/>
      <c r="E213" s="3278"/>
      <c r="F213" s="2868"/>
      <c r="G213" s="2315">
        <f>SUM(G198:G212)*H197</f>
        <v>0</v>
      </c>
      <c r="H213" s="2315">
        <f>SUM(H198:H212)</f>
        <v>0</v>
      </c>
      <c r="I213" s="2866">
        <f t="shared" si="54"/>
        <v>0</v>
      </c>
      <c r="J213" s="2854"/>
      <c r="K213" s="2837"/>
    </row>
    <row r="214" spans="1:12" ht="21">
      <c r="A214" s="2837"/>
      <c r="B214" s="3282" t="s">
        <v>2145</v>
      </c>
      <c r="C214" s="3282"/>
      <c r="D214" s="3282"/>
      <c r="E214" s="3282"/>
      <c r="F214" s="2887"/>
      <c r="G214" s="941"/>
      <c r="H214" s="2901">
        <f>VLOOKUP('Ввод данных'!F764,связи1!A2:B3,2,0)*VLOOKUP('Ввод данных'!C739,связи1!A2:B3,2,0)</f>
        <v>0</v>
      </c>
      <c r="I214" s="2879">
        <f>H214</f>
        <v>0</v>
      </c>
      <c r="J214" s="2829"/>
      <c r="K214" s="2837"/>
    </row>
    <row r="215" spans="1:12">
      <c r="A215" s="2829"/>
      <c r="B215" s="3285" t="s">
        <v>2720</v>
      </c>
      <c r="C215" s="3285"/>
      <c r="D215" s="3285"/>
      <c r="E215" s="3285"/>
      <c r="F215" s="2902"/>
      <c r="G215" s="941"/>
      <c r="H215" s="2903">
        <f>H214</f>
        <v>0</v>
      </c>
      <c r="I215" s="2879">
        <f>H215</f>
        <v>0</v>
      </c>
      <c r="J215" s="2850"/>
      <c r="K215" s="2851"/>
    </row>
    <row r="216" spans="1:12">
      <c r="A216" s="2829"/>
      <c r="B216" s="302" t="str">
        <f>фундамент!A409</f>
        <v>Экскаватор погрузчик, бурение</v>
      </c>
      <c r="C216" s="2890" t="str">
        <f>фундамент!B409</f>
        <v>шт</v>
      </c>
      <c r="D216" s="302">
        <f>фундамент!C409</f>
        <v>82.500000000000014</v>
      </c>
      <c r="E216" s="302">
        <f>фундамент!D409</f>
        <v>300</v>
      </c>
      <c r="F216" s="302"/>
      <c r="G216" s="275">
        <f t="shared" ref="G216:G235" si="55">IF(F216&gt;0,D216*F216,E216*D216)</f>
        <v>24750.000000000004</v>
      </c>
      <c r="H216" s="2905">
        <f t="shared" ref="H216:H235" si="56">D216*E216*$H$215</f>
        <v>0</v>
      </c>
      <c r="I216" s="2866">
        <f t="shared" ref="I216:I236" si="57">IF(G216&gt;H216,G216,H216)*$H$214</f>
        <v>0</v>
      </c>
      <c r="J216" s="2863"/>
      <c r="K216" s="223">
        <f t="shared" ref="K216:K236" si="58">D216-J216</f>
        <v>82.500000000000014</v>
      </c>
      <c r="L216" s="2854"/>
    </row>
    <row r="217" spans="1:12">
      <c r="A217" s="2837"/>
      <c r="B217" s="302" t="str">
        <f>фундамент!A410</f>
        <v>Бетон, м300</v>
      </c>
      <c r="C217" s="2890" t="str">
        <f>фундамент!B410</f>
        <v>м3</v>
      </c>
      <c r="D217" s="302">
        <f>фундамент!C410</f>
        <v>5.8286249999999997</v>
      </c>
      <c r="E217" s="302">
        <f>фундамент!D410</f>
        <v>3000</v>
      </c>
      <c r="F217" s="302"/>
      <c r="G217" s="275">
        <f t="shared" si="55"/>
        <v>17485.875</v>
      </c>
      <c r="H217" s="2905">
        <f t="shared" si="56"/>
        <v>0</v>
      </c>
      <c r="I217" s="2866">
        <f t="shared" si="57"/>
        <v>0</v>
      </c>
      <c r="J217" s="2863"/>
      <c r="K217" s="223">
        <f t="shared" si="58"/>
        <v>5.8286249999999997</v>
      </c>
      <c r="L217" s="2854"/>
    </row>
    <row r="218" spans="1:12">
      <c r="A218" s="2837"/>
      <c r="B218" s="302" t="str">
        <f>фундамент!A411</f>
        <v>Арматурный скелет для свай</v>
      </c>
      <c r="C218" s="2890" t="str">
        <f>фундамент!B411</f>
        <v>м.п.</v>
      </c>
      <c r="D218" s="302">
        <f>фундамент!C411</f>
        <v>272.25000000000006</v>
      </c>
      <c r="E218" s="302">
        <f>фундамент!D411</f>
        <v>500</v>
      </c>
      <c r="F218" s="302"/>
      <c r="G218" s="275">
        <f t="shared" si="55"/>
        <v>136125.00000000003</v>
      </c>
      <c r="H218" s="2905">
        <f t="shared" si="56"/>
        <v>0</v>
      </c>
      <c r="I218" s="2866">
        <f t="shared" si="57"/>
        <v>0</v>
      </c>
      <c r="J218" s="2863"/>
      <c r="K218" s="223">
        <f t="shared" si="58"/>
        <v>272.25000000000006</v>
      </c>
      <c r="L218" s="2854"/>
    </row>
    <row r="219" spans="1:12">
      <c r="A219" s="2837"/>
      <c r="B219" s="302" t="str">
        <f>фундамент!A412</f>
        <v>Сосна влаж,150*40мм</v>
      </c>
      <c r="C219" s="2890" t="str">
        <f>фундамент!B412</f>
        <v>м3</v>
      </c>
      <c r="D219" s="302">
        <f>фундамент!C412</f>
        <v>3.843840000000001</v>
      </c>
      <c r="E219" s="302">
        <f>фундамент!D412</f>
        <v>6500</v>
      </c>
      <c r="F219" s="302"/>
      <c r="G219" s="275">
        <f t="shared" si="55"/>
        <v>24984.960000000006</v>
      </c>
      <c r="H219" s="2905">
        <f t="shared" si="56"/>
        <v>0</v>
      </c>
      <c r="I219" s="2866">
        <f t="shared" si="57"/>
        <v>0</v>
      </c>
      <c r="J219" s="2863"/>
      <c r="K219" s="223">
        <f t="shared" si="58"/>
        <v>3.843840000000001</v>
      </c>
      <c r="L219" s="2854"/>
    </row>
    <row r="220" spans="1:12">
      <c r="A220" s="2837"/>
      <c r="B220" s="302" t="str">
        <f>фундамент!A413</f>
        <v xml:space="preserve">Пленка гидроизоляционная </v>
      </c>
      <c r="C220" s="2890" t="str">
        <f>фундамент!B413</f>
        <v>м2</v>
      </c>
      <c r="D220" s="302">
        <f>фундамент!C413</f>
        <v>96.096000000000018</v>
      </c>
      <c r="E220" s="302">
        <f>фундамент!D413</f>
        <v>15</v>
      </c>
      <c r="F220" s="302"/>
      <c r="G220" s="275">
        <f t="shared" si="55"/>
        <v>1441.4400000000003</v>
      </c>
      <c r="H220" s="2905">
        <f t="shared" si="56"/>
        <v>0</v>
      </c>
      <c r="I220" s="2866">
        <f t="shared" si="57"/>
        <v>0</v>
      </c>
      <c r="J220" s="2863"/>
      <c r="K220" s="223">
        <f t="shared" si="58"/>
        <v>96.096000000000018</v>
      </c>
      <c r="L220" s="2854"/>
    </row>
    <row r="221" spans="1:12">
      <c r="A221" s="2837"/>
      <c r="B221" s="302" t="str">
        <f>фундамент!A415</f>
        <v>Арматура стальная Ø 8</v>
      </c>
      <c r="C221" s="2890" t="str">
        <f>фундамент!B415</f>
        <v>м.п</v>
      </c>
      <c r="D221" s="302">
        <f>фундамент!C415</f>
        <v>443.52000000000004</v>
      </c>
      <c r="E221" s="302">
        <f>фундамент!D415</f>
        <v>16.037000000000003</v>
      </c>
      <c r="F221" s="302"/>
      <c r="G221" s="275">
        <f t="shared" si="55"/>
        <v>7112.7302400000017</v>
      </c>
      <c r="H221" s="2905">
        <f t="shared" si="56"/>
        <v>0</v>
      </c>
      <c r="I221" s="2866">
        <f t="shared" si="57"/>
        <v>0</v>
      </c>
      <c r="J221" s="2863"/>
      <c r="K221" s="223">
        <f t="shared" si="58"/>
        <v>443.52000000000004</v>
      </c>
      <c r="L221" s="2854"/>
    </row>
    <row r="222" spans="1:12">
      <c r="A222" s="2837"/>
      <c r="B222" s="302" t="str">
        <f>фундамент!A416</f>
        <v>Арматура стальная Ø 6</v>
      </c>
      <c r="C222" s="2890" t="str">
        <f>фундамент!B416</f>
        <v>м.п</v>
      </c>
      <c r="D222" s="302">
        <f>фундамент!C416</f>
        <v>304.92000000000007</v>
      </c>
      <c r="E222" s="302">
        <f>фундамент!D416</f>
        <v>9.0131999999999994</v>
      </c>
      <c r="F222" s="302"/>
      <c r="G222" s="275">
        <f t="shared" si="55"/>
        <v>2748.3049440000004</v>
      </c>
      <c r="H222" s="2905">
        <f t="shared" si="56"/>
        <v>0</v>
      </c>
      <c r="I222" s="2866">
        <f t="shared" si="57"/>
        <v>0</v>
      </c>
      <c r="J222" s="2863"/>
      <c r="K222" s="223">
        <f t="shared" si="58"/>
        <v>304.92000000000007</v>
      </c>
      <c r="L222" s="2854"/>
    </row>
    <row r="223" spans="1:12">
      <c r="A223" s="2837"/>
      <c r="B223" s="302" t="str">
        <f>фундамент!A417</f>
        <v>Вязальная проволока</v>
      </c>
      <c r="C223" s="2890" t="str">
        <f>фундамент!B417</f>
        <v>кг</v>
      </c>
      <c r="D223" s="302">
        <f>фундамент!C417</f>
        <v>16.465680000000003</v>
      </c>
      <c r="E223" s="302">
        <f>фундамент!D417</f>
        <v>80</v>
      </c>
      <c r="F223" s="302"/>
      <c r="G223" s="275">
        <f t="shared" si="55"/>
        <v>1317.2544000000003</v>
      </c>
      <c r="H223" s="2905">
        <f t="shared" si="56"/>
        <v>0</v>
      </c>
      <c r="I223" s="2866">
        <f t="shared" si="57"/>
        <v>0</v>
      </c>
      <c r="J223" s="2863"/>
      <c r="K223" s="223">
        <f t="shared" si="58"/>
        <v>16.465680000000003</v>
      </c>
      <c r="L223" s="2854"/>
    </row>
    <row r="224" spans="1:12">
      <c r="A224" s="2837"/>
      <c r="B224" s="302" t="str">
        <f>фундамент!A418</f>
        <v xml:space="preserve">Гвозди строительные 3,5 x 90            </v>
      </c>
      <c r="C224" s="2890" t="str">
        <f>фундамент!B418</f>
        <v>кг</v>
      </c>
      <c r="D224" s="302">
        <f>фундамент!C418</f>
        <v>21.141120000000008</v>
      </c>
      <c r="E224" s="302">
        <f>фундамент!D418</f>
        <v>70</v>
      </c>
      <c r="F224" s="302"/>
      <c r="G224" s="275">
        <f t="shared" si="55"/>
        <v>1479.8784000000005</v>
      </c>
      <c r="H224" s="2905">
        <f t="shared" si="56"/>
        <v>0</v>
      </c>
      <c r="I224" s="2866">
        <f t="shared" si="57"/>
        <v>0</v>
      </c>
      <c r="J224" s="2863"/>
      <c r="K224" s="223">
        <f t="shared" si="58"/>
        <v>21.141120000000008</v>
      </c>
      <c r="L224" s="2854"/>
    </row>
    <row r="225" spans="1:14">
      <c r="A225" s="2837"/>
      <c r="B225" s="302" t="str">
        <f>фундамент!A419</f>
        <v>Гидроизол</v>
      </c>
      <c r="C225" s="2890" t="str">
        <f>фундамент!B419</f>
        <v>м2</v>
      </c>
      <c r="D225" s="302">
        <f>фундамент!C419</f>
        <v>18.480000000000004</v>
      </c>
      <c r="E225" s="302">
        <f>фундамент!D419</f>
        <v>70</v>
      </c>
      <c r="F225" s="302"/>
      <c r="G225" s="275">
        <f t="shared" si="55"/>
        <v>1293.6000000000004</v>
      </c>
      <c r="H225" s="2905">
        <f t="shared" si="56"/>
        <v>0</v>
      </c>
      <c r="I225" s="2866">
        <f t="shared" si="57"/>
        <v>0</v>
      </c>
      <c r="J225" s="2863"/>
      <c r="K225" s="223">
        <f t="shared" si="58"/>
        <v>18.480000000000004</v>
      </c>
      <c r="L225" s="2854"/>
    </row>
    <row r="226" spans="1:14">
      <c r="A226" s="2837"/>
      <c r="B226" s="302" t="str">
        <f>фундамент!A420</f>
        <v>ПГС, машина 13м3</v>
      </c>
      <c r="C226" s="2890" t="str">
        <f>фундамент!B420</f>
        <v>маш</v>
      </c>
      <c r="D226" s="302">
        <f>фундамент!C420</f>
        <v>0.6160000000000001</v>
      </c>
      <c r="E226" s="302">
        <f>фундамент!D420</f>
        <v>10000</v>
      </c>
      <c r="F226" s="302"/>
      <c r="G226" s="275">
        <f t="shared" si="55"/>
        <v>6160.0000000000009</v>
      </c>
      <c r="H226" s="2905">
        <f t="shared" si="56"/>
        <v>0</v>
      </c>
      <c r="I226" s="2866">
        <f t="shared" si="57"/>
        <v>0</v>
      </c>
      <c r="J226" s="2863"/>
      <c r="K226" s="223">
        <f t="shared" si="58"/>
        <v>0.6160000000000001</v>
      </c>
      <c r="L226" s="2854"/>
    </row>
    <row r="227" spans="1:14">
      <c r="A227" s="2837"/>
      <c r="B227" s="302" t="str">
        <f>фундамент!A421</f>
        <v>Бетон, м250</v>
      </c>
      <c r="C227" s="2890" t="str">
        <f>фундамент!B421</f>
        <v>м3</v>
      </c>
      <c r="D227" s="302">
        <f>фундамент!C421</f>
        <v>11.088000000000001</v>
      </c>
      <c r="E227" s="302">
        <f>фундамент!D421</f>
        <v>2750</v>
      </c>
      <c r="F227" s="302"/>
      <c r="G227" s="275">
        <f t="shared" si="55"/>
        <v>30492.000000000004</v>
      </c>
      <c r="H227" s="2905">
        <f t="shared" si="56"/>
        <v>0</v>
      </c>
      <c r="I227" s="2866">
        <f t="shared" si="57"/>
        <v>0</v>
      </c>
      <c r="J227" s="2863"/>
      <c r="K227" s="223">
        <f t="shared" si="58"/>
        <v>11.088000000000001</v>
      </c>
      <c r="L227" s="2854"/>
    </row>
    <row r="228" spans="1:14">
      <c r="A228" s="2837"/>
      <c r="B228" s="302" t="str">
        <f>фундамент!A422</f>
        <v>Нет</v>
      </c>
      <c r="C228" s="2890" t="str">
        <f>фундамент!B422</f>
        <v>м3</v>
      </c>
      <c r="D228" s="302">
        <f>фундамент!C422</f>
        <v>0</v>
      </c>
      <c r="E228" s="302">
        <f>фундамент!D422</f>
        <v>0</v>
      </c>
      <c r="F228" s="302"/>
      <c r="G228" s="275">
        <f t="shared" si="55"/>
        <v>0</v>
      </c>
      <c r="H228" s="2905">
        <f t="shared" si="56"/>
        <v>0</v>
      </c>
      <c r="I228" s="2866">
        <f t="shared" si="57"/>
        <v>0</v>
      </c>
      <c r="J228" s="2863"/>
      <c r="K228" s="223">
        <f t="shared" si="58"/>
        <v>0</v>
      </c>
      <c r="L228" s="2854"/>
    </row>
    <row r="229" spans="1:14">
      <c r="A229" s="2837"/>
      <c r="B229" s="302" t="str">
        <f>фундамент!A423</f>
        <v>Грибок для крепления утеплителя</v>
      </c>
      <c r="C229" s="2890" t="str">
        <f>фундамент!B423</f>
        <v>шт</v>
      </c>
      <c r="D229" s="302">
        <f>фундамент!C423</f>
        <v>0</v>
      </c>
      <c r="E229" s="302">
        <f>фундамент!D423</f>
        <v>15</v>
      </c>
      <c r="F229" s="302"/>
      <c r="G229" s="275">
        <f t="shared" si="55"/>
        <v>0</v>
      </c>
      <c r="H229" s="2905">
        <f t="shared" si="56"/>
        <v>0</v>
      </c>
      <c r="I229" s="2866">
        <f t="shared" si="57"/>
        <v>0</v>
      </c>
      <c r="J229" s="2863"/>
      <c r="K229" s="223">
        <f t="shared" si="58"/>
        <v>0</v>
      </c>
      <c r="L229" s="2854"/>
    </row>
    <row r="230" spans="1:14">
      <c r="A230" s="2837"/>
      <c r="B230" s="302" t="str">
        <f>фундамент!A424</f>
        <v>Нет</v>
      </c>
      <c r="C230" s="2890" t="str">
        <f>фундамент!B424</f>
        <v>м3</v>
      </c>
      <c r="D230" s="302">
        <f>фундамент!C424</f>
        <v>0</v>
      </c>
      <c r="E230" s="302">
        <f>фундамент!D424</f>
        <v>0</v>
      </c>
      <c r="F230" s="302"/>
      <c r="G230" s="275">
        <f t="shared" si="55"/>
        <v>0</v>
      </c>
      <c r="H230" s="2905">
        <f t="shared" si="56"/>
        <v>0</v>
      </c>
      <c r="I230" s="2866">
        <f t="shared" si="57"/>
        <v>0</v>
      </c>
      <c r="J230" s="2863"/>
      <c r="K230" s="223">
        <f t="shared" si="58"/>
        <v>0</v>
      </c>
      <c r="L230" s="2854"/>
    </row>
    <row r="231" spans="1:14">
      <c r="A231" s="2837"/>
      <c r="B231" s="302" t="str">
        <f>фундамент!A425</f>
        <v>ПГС, машина 5м3</v>
      </c>
      <c r="C231" s="2890" t="str">
        <f>фундамент!B425</f>
        <v>маш</v>
      </c>
      <c r="D231" s="302">
        <f>фундамент!C425</f>
        <v>0</v>
      </c>
      <c r="E231" s="302">
        <f>фундамент!D425</f>
        <v>6000</v>
      </c>
      <c r="F231" s="302"/>
      <c r="G231" s="275">
        <f t="shared" si="55"/>
        <v>0</v>
      </c>
      <c r="H231" s="2905">
        <f t="shared" si="56"/>
        <v>0</v>
      </c>
      <c r="I231" s="2866">
        <f t="shared" si="57"/>
        <v>0</v>
      </c>
      <c r="J231" s="2863"/>
      <c r="K231" s="223">
        <f t="shared" si="58"/>
        <v>0</v>
      </c>
      <c r="L231" s="2854"/>
    </row>
    <row r="232" spans="1:14">
      <c r="A232" s="2837"/>
      <c r="B232" s="302" t="str">
        <f>фундамент!A426</f>
        <v>Кладочная сетка, 100*100/150*150/200*200мм</v>
      </c>
      <c r="C232" s="2890" t="str">
        <f>фундамент!B426</f>
        <v>м2</v>
      </c>
      <c r="D232" s="302">
        <f>фундамент!C426</f>
        <v>0</v>
      </c>
      <c r="E232" s="302">
        <f>фундамент!D426</f>
        <v>70</v>
      </c>
      <c r="F232" s="302"/>
      <c r="G232" s="275">
        <f t="shared" si="55"/>
        <v>0</v>
      </c>
      <c r="H232" s="2905">
        <f t="shared" si="56"/>
        <v>0</v>
      </c>
      <c r="I232" s="2866">
        <f t="shared" si="57"/>
        <v>0</v>
      </c>
      <c r="J232" s="2863"/>
      <c r="K232" s="223">
        <f t="shared" si="58"/>
        <v>0</v>
      </c>
      <c r="L232" s="2854"/>
    </row>
    <row r="233" spans="1:14">
      <c r="A233" s="2837"/>
      <c r="B233" s="302" t="str">
        <f>фундамент!A427</f>
        <v>Бетон, м200</v>
      </c>
      <c r="C233" s="2890" t="str">
        <f>фундамент!B427</f>
        <v>м3</v>
      </c>
      <c r="D233" s="302">
        <f>фундамент!C427</f>
        <v>0</v>
      </c>
      <c r="E233" s="302">
        <f>фундамент!D427</f>
        <v>2500</v>
      </c>
      <c r="F233" s="302"/>
      <c r="G233" s="275">
        <f t="shared" si="55"/>
        <v>0</v>
      </c>
      <c r="H233" s="2905">
        <f t="shared" si="56"/>
        <v>0</v>
      </c>
      <c r="I233" s="2866">
        <f t="shared" si="57"/>
        <v>0</v>
      </c>
      <c r="J233" s="2863"/>
      <c r="K233" s="223">
        <f t="shared" si="58"/>
        <v>0</v>
      </c>
      <c r="L233" s="2854"/>
    </row>
    <row r="234" spans="1:14">
      <c r="A234" s="2837"/>
      <c r="B234" s="302" t="str">
        <f>фундамент!G427</f>
        <v>Труба теплого пола 3</v>
      </c>
      <c r="C234" s="2890" t="str">
        <f>фундамент!I427</f>
        <v>м.п</v>
      </c>
      <c r="D234" s="302">
        <f>фундамент!J427</f>
        <v>308</v>
      </c>
      <c r="E234" s="302">
        <f>фундамент!K427</f>
        <v>60</v>
      </c>
      <c r="F234" s="302"/>
      <c r="G234" s="275">
        <f t="shared" si="55"/>
        <v>18480</v>
      </c>
      <c r="H234" s="2905">
        <f t="shared" si="56"/>
        <v>0</v>
      </c>
      <c r="I234" s="2866">
        <f t="shared" si="57"/>
        <v>0</v>
      </c>
      <c r="J234" s="2863"/>
      <c r="K234" s="223">
        <f t="shared" si="58"/>
        <v>308</v>
      </c>
      <c r="L234" s="2858"/>
      <c r="M234" s="2858"/>
      <c r="N234" s="2858"/>
    </row>
    <row r="235" spans="1:14">
      <c r="A235" s="2837"/>
      <c r="B235" s="302" t="str">
        <f>фундамент!G428</f>
        <v>Коллектор 1</v>
      </c>
      <c r="C235" s="2890" t="str">
        <f>фундамент!I428</f>
        <v>шт</v>
      </c>
      <c r="D235" s="2418">
        <f>фундамент!J428</f>
        <v>1.1000000000000001</v>
      </c>
      <c r="E235" s="302">
        <f>фундамент!K428</f>
        <v>5000</v>
      </c>
      <c r="F235" s="302"/>
      <c r="G235" s="275">
        <f t="shared" si="55"/>
        <v>5500</v>
      </c>
      <c r="H235" s="2905">
        <f t="shared" si="56"/>
        <v>0</v>
      </c>
      <c r="I235" s="2866">
        <f t="shared" si="57"/>
        <v>0</v>
      </c>
      <c r="J235" s="2863"/>
      <c r="K235" s="223">
        <f t="shared" si="58"/>
        <v>1.1000000000000001</v>
      </c>
      <c r="L235" s="2858"/>
      <c r="M235" s="2858"/>
      <c r="N235" s="2858"/>
    </row>
    <row r="236" spans="1:14">
      <c r="A236" s="2837"/>
      <c r="B236" s="3278" t="s">
        <v>4640</v>
      </c>
      <c r="C236" s="3278"/>
      <c r="D236" s="3278"/>
      <c r="E236" s="3278"/>
      <c r="F236" s="2868"/>
      <c r="G236" s="2315">
        <f>SUM(G216:G235)*H214</f>
        <v>0</v>
      </c>
      <c r="H236" s="2906">
        <f>SUM(H216:H235)</f>
        <v>0</v>
      </c>
      <c r="I236" s="2866">
        <f t="shared" si="57"/>
        <v>0</v>
      </c>
      <c r="J236" s="2863"/>
      <c r="K236" s="223">
        <f t="shared" si="58"/>
        <v>0</v>
      </c>
      <c r="L236" s="910"/>
      <c r="M236" s="910"/>
      <c r="N236" s="910"/>
    </row>
    <row r="237" spans="1:14">
      <c r="A237" s="2837"/>
      <c r="B237" s="3279" t="s">
        <v>1409</v>
      </c>
      <c r="C237" s="3279"/>
      <c r="D237" s="3279"/>
      <c r="E237" s="3279"/>
      <c r="F237" s="2870"/>
      <c r="G237" s="941"/>
      <c r="H237" s="2907">
        <f>H214</f>
        <v>0</v>
      </c>
      <c r="I237" s="2879">
        <f>H237</f>
        <v>0</v>
      </c>
      <c r="J237" s="2908"/>
      <c r="L237" s="910"/>
      <c r="M237" s="910"/>
      <c r="N237" s="910"/>
    </row>
    <row r="238" spans="1:14">
      <c r="A238" s="2829"/>
      <c r="B238" s="2763" t="str">
        <f>фундамент!G409</f>
        <v>приемка бетона</v>
      </c>
      <c r="C238" s="2890" t="s">
        <v>135</v>
      </c>
      <c r="D238" s="275">
        <f>фундамент!J409</f>
        <v>5.5636874999999995</v>
      </c>
      <c r="E238" s="100">
        <f>фундамент!K409</f>
        <v>1200</v>
      </c>
      <c r="F238" s="100"/>
      <c r="G238" s="275">
        <f t="shared" ref="G238:G254" si="59">IF(F238&gt;0,D238*F238,E238*D238)</f>
        <v>6676.4249999999993</v>
      </c>
      <c r="H238" s="2315">
        <f t="shared" ref="H238:H254" si="60">D238*E238*$H$215</f>
        <v>0</v>
      </c>
      <c r="I238" s="2866">
        <f t="shared" ref="I238:I255" si="61">IF(G238&gt;H238,G238,H238)*$H$214</f>
        <v>0</v>
      </c>
      <c r="J238" s="2854"/>
      <c r="K238" s="2837"/>
    </row>
    <row r="239" spans="1:14">
      <c r="A239" s="2837"/>
      <c r="B239" s="2763" t="str">
        <f>фундамент!G410</f>
        <v>армирование свай скелет из арматуры</v>
      </c>
      <c r="C239" s="2890" t="s">
        <v>156</v>
      </c>
      <c r="D239" s="275">
        <f>фундамент!J410</f>
        <v>78.75</v>
      </c>
      <c r="E239" s="100">
        <f>фундамент!K410</f>
        <v>500</v>
      </c>
      <c r="F239" s="100"/>
      <c r="G239" s="275">
        <f t="shared" si="59"/>
        <v>39375</v>
      </c>
      <c r="H239" s="2315">
        <f t="shared" si="60"/>
        <v>0</v>
      </c>
      <c r="I239" s="2866">
        <f t="shared" si="61"/>
        <v>0</v>
      </c>
      <c r="J239" s="2854"/>
      <c r="K239" s="2837"/>
    </row>
    <row r="240" spans="1:14">
      <c r="A240" s="2837"/>
      <c r="B240" s="2763" t="str">
        <f>фундамент!G411</f>
        <v>разбивка осей</v>
      </c>
      <c r="C240" s="2890" t="s">
        <v>159</v>
      </c>
      <c r="D240" s="275">
        <f>фундамент!J411</f>
        <v>1.05</v>
      </c>
      <c r="E240" s="100">
        <f>фундамент!K411</f>
        <v>7000</v>
      </c>
      <c r="F240" s="100"/>
      <c r="G240" s="275">
        <f t="shared" si="59"/>
        <v>7350</v>
      </c>
      <c r="H240" s="2315">
        <f t="shared" si="60"/>
        <v>0</v>
      </c>
      <c r="I240" s="2866">
        <f t="shared" si="61"/>
        <v>0</v>
      </c>
      <c r="J240" s="2854"/>
      <c r="K240" s="2837"/>
    </row>
    <row r="241" spans="1:11">
      <c r="A241" s="2837"/>
      <c r="B241" s="2763" t="str">
        <f>фундамент!G412</f>
        <v>сборка опалубки</v>
      </c>
      <c r="C241" s="2890" t="s">
        <v>133</v>
      </c>
      <c r="D241" s="275">
        <f>фундамент!J412</f>
        <v>70.56</v>
      </c>
      <c r="E241" s="100">
        <f>фундамент!K412</f>
        <v>300</v>
      </c>
      <c r="F241" s="100"/>
      <c r="G241" s="275">
        <f t="shared" si="59"/>
        <v>21168</v>
      </c>
      <c r="H241" s="2315">
        <f t="shared" si="60"/>
        <v>0</v>
      </c>
      <c r="I241" s="2866">
        <f t="shared" si="61"/>
        <v>0</v>
      </c>
      <c r="J241" s="2854"/>
      <c r="K241" s="2837"/>
    </row>
    <row r="242" spans="1:11">
      <c r="A242" s="2837"/>
      <c r="B242" s="2763" t="str">
        <f>фундамент!G413</f>
        <v>разборка опалубки</v>
      </c>
      <c r="C242" s="2890" t="s">
        <v>133</v>
      </c>
      <c r="D242" s="275">
        <f>фундамент!J413</f>
        <v>74.088000000000008</v>
      </c>
      <c r="E242" s="100">
        <f>фундамент!K413</f>
        <v>100</v>
      </c>
      <c r="F242" s="100"/>
      <c r="G242" s="275">
        <f t="shared" si="59"/>
        <v>7408.8000000000011</v>
      </c>
      <c r="H242" s="2315">
        <f t="shared" si="60"/>
        <v>0</v>
      </c>
      <c r="I242" s="2866">
        <f t="shared" si="61"/>
        <v>0</v>
      </c>
      <c r="J242" s="2854"/>
      <c r="K242" s="2837"/>
    </row>
    <row r="243" spans="1:11">
      <c r="A243" s="2837"/>
      <c r="B243" s="2763" t="str">
        <f>фундамент!G414</f>
        <v>настил пленки</v>
      </c>
      <c r="C243" s="2890" t="s">
        <v>133</v>
      </c>
      <c r="D243" s="275">
        <f>фундамент!J414</f>
        <v>77.792400000000015</v>
      </c>
      <c r="E243" s="100">
        <f>фундамент!K414</f>
        <v>10</v>
      </c>
      <c r="F243" s="100"/>
      <c r="G243" s="275">
        <f t="shared" si="59"/>
        <v>777.92400000000021</v>
      </c>
      <c r="H243" s="2315">
        <f t="shared" si="60"/>
        <v>0</v>
      </c>
      <c r="I243" s="2866">
        <f t="shared" si="61"/>
        <v>0</v>
      </c>
      <c r="J243" s="2854"/>
      <c r="K243" s="2837"/>
    </row>
    <row r="244" spans="1:11">
      <c r="A244" s="2837"/>
      <c r="B244" s="2763" t="str">
        <f>фундамент!G416</f>
        <v>армирование</v>
      </c>
      <c r="C244" s="2890" t="s">
        <v>1415</v>
      </c>
      <c r="D244" s="275">
        <f>фундамент!J416</f>
        <v>423.36</v>
      </c>
      <c r="E244" s="100">
        <f>фундамент!K416</f>
        <v>30</v>
      </c>
      <c r="F244" s="100"/>
      <c r="G244" s="275">
        <f t="shared" si="59"/>
        <v>12700.800000000001</v>
      </c>
      <c r="H244" s="2315">
        <f t="shared" si="60"/>
        <v>0</v>
      </c>
      <c r="I244" s="2866">
        <f t="shared" si="61"/>
        <v>0</v>
      </c>
      <c r="J244" s="2854"/>
      <c r="K244" s="2837"/>
    </row>
    <row r="245" spans="1:11">
      <c r="A245" s="2837"/>
      <c r="B245" s="2763" t="str">
        <f>фундамент!G417</f>
        <v>армирование</v>
      </c>
      <c r="C245" s="2890" t="s">
        <v>156</v>
      </c>
      <c r="D245" s="275">
        <f>фундамент!J417</f>
        <v>194.04000000000005</v>
      </c>
      <c r="E245" s="100">
        <f>фундамент!K417</f>
        <v>30</v>
      </c>
      <c r="F245" s="100"/>
      <c r="G245" s="275">
        <f t="shared" si="59"/>
        <v>5821.2000000000016</v>
      </c>
      <c r="H245" s="2315">
        <f t="shared" si="60"/>
        <v>0</v>
      </c>
      <c r="I245" s="2866">
        <f t="shared" si="61"/>
        <v>0</v>
      </c>
      <c r="J245" s="2854"/>
      <c r="K245" s="2837"/>
    </row>
    <row r="246" spans="1:11">
      <c r="A246" s="2837"/>
      <c r="B246" s="2763" t="str">
        <f>фундамент!G418</f>
        <v>настил гидроизола</v>
      </c>
      <c r="C246" s="2890" t="s">
        <v>133</v>
      </c>
      <c r="D246" s="275">
        <f>фундамент!J418</f>
        <v>17.64</v>
      </c>
      <c r="E246" s="100">
        <f>фундамент!K418</f>
        <v>100</v>
      </c>
      <c r="F246" s="100"/>
      <c r="G246" s="275">
        <f t="shared" si="59"/>
        <v>1764</v>
      </c>
      <c r="H246" s="2315">
        <f t="shared" si="60"/>
        <v>0</v>
      </c>
      <c r="I246" s="2866">
        <f t="shared" si="61"/>
        <v>0</v>
      </c>
      <c r="J246" s="2854"/>
      <c r="K246" s="2837"/>
    </row>
    <row r="247" spans="1:11">
      <c r="A247" s="2837"/>
      <c r="B247" s="2763" t="str">
        <f>фундамент!G419</f>
        <v>трамбовка</v>
      </c>
      <c r="C247" s="2890" t="s">
        <v>133</v>
      </c>
      <c r="D247" s="275">
        <f>фундамент!J419</f>
        <v>18.522000000000002</v>
      </c>
      <c r="E247" s="100">
        <f>фундамент!K419</f>
        <v>600</v>
      </c>
      <c r="F247" s="100"/>
      <c r="G247" s="275">
        <f t="shared" si="59"/>
        <v>11113.2</v>
      </c>
      <c r="H247" s="2315">
        <f t="shared" si="60"/>
        <v>0</v>
      </c>
      <c r="I247" s="2866">
        <f t="shared" si="61"/>
        <v>0</v>
      </c>
      <c r="J247" s="2854"/>
      <c r="K247" s="2837"/>
    </row>
    <row r="248" spans="1:11">
      <c r="A248" s="2837"/>
      <c r="B248" s="2763" t="str">
        <f>фундамент!G420</f>
        <v>приемка бетона</v>
      </c>
      <c r="C248" s="2890" t="s">
        <v>135</v>
      </c>
      <c r="D248" s="275">
        <f>фундамент!J420</f>
        <v>10.584000000000001</v>
      </c>
      <c r="E248" s="100">
        <f>фундамент!K420</f>
        <v>1200</v>
      </c>
      <c r="F248" s="100"/>
      <c r="G248" s="275">
        <f t="shared" si="59"/>
        <v>12700.800000000001</v>
      </c>
      <c r="H248" s="2315">
        <f t="shared" si="60"/>
        <v>0</v>
      </c>
      <c r="I248" s="2866">
        <f t="shared" si="61"/>
        <v>0</v>
      </c>
      <c r="J248" s="2854"/>
      <c r="K248" s="2837"/>
    </row>
    <row r="249" spans="1:11">
      <c r="A249" s="2837"/>
      <c r="B249" s="2763" t="str">
        <f>фундамент!G421</f>
        <v>утепление фундамента</v>
      </c>
      <c r="C249" s="2890" t="s">
        <v>133</v>
      </c>
      <c r="D249" s="275">
        <f>фундамент!J421</f>
        <v>0</v>
      </c>
      <c r="E249" s="100">
        <f>фундамент!K421</f>
        <v>200</v>
      </c>
      <c r="F249" s="100"/>
      <c r="G249" s="275">
        <f t="shared" si="59"/>
        <v>0</v>
      </c>
      <c r="H249" s="2315">
        <f t="shared" si="60"/>
        <v>0</v>
      </c>
      <c r="I249" s="2866">
        <f t="shared" si="61"/>
        <v>0</v>
      </c>
      <c r="J249" s="2854"/>
      <c r="K249" s="2837"/>
    </row>
    <row r="250" spans="1:11">
      <c r="A250" s="2837"/>
      <c r="B250" s="2763" t="str">
        <f>фундамент!G422</f>
        <v>утепление отмостки</v>
      </c>
      <c r="C250" s="2890" t="s">
        <v>133</v>
      </c>
      <c r="D250" s="275">
        <f>фундамент!J422</f>
        <v>0</v>
      </c>
      <c r="E250" s="100">
        <f>фундамент!K422</f>
        <v>200</v>
      </c>
      <c r="F250" s="100"/>
      <c r="G250" s="275">
        <f t="shared" si="59"/>
        <v>0</v>
      </c>
      <c r="H250" s="2315">
        <f t="shared" si="60"/>
        <v>0</v>
      </c>
      <c r="I250" s="2866">
        <f t="shared" si="61"/>
        <v>0</v>
      </c>
      <c r="J250" s="2854"/>
      <c r="K250" s="2837"/>
    </row>
    <row r="251" spans="1:11">
      <c r="A251" s="2837"/>
      <c r="B251" s="2763" t="str">
        <f>фундамент!G423</f>
        <v>трамбовка пгс</v>
      </c>
      <c r="C251" s="2890" t="s">
        <v>133</v>
      </c>
      <c r="D251" s="275">
        <f>фундамент!J423</f>
        <v>0</v>
      </c>
      <c r="E251" s="100">
        <f>фундамент!K423</f>
        <v>600</v>
      </c>
      <c r="F251" s="100"/>
      <c r="G251" s="275">
        <f t="shared" si="59"/>
        <v>0</v>
      </c>
      <c r="H251" s="2315">
        <f t="shared" si="60"/>
        <v>0</v>
      </c>
      <c r="I251" s="2866">
        <f t="shared" si="61"/>
        <v>0</v>
      </c>
      <c r="J251" s="2854"/>
      <c r="K251" s="2837"/>
    </row>
    <row r="252" spans="1:11">
      <c r="A252" s="2837"/>
      <c r="B252" s="2763" t="str">
        <f>фундамент!G424</f>
        <v>кладка сетки</v>
      </c>
      <c r="C252" s="2890" t="s">
        <v>133</v>
      </c>
      <c r="D252" s="275">
        <f>фундамент!J424</f>
        <v>0</v>
      </c>
      <c r="E252" s="100">
        <f>фундамент!K424</f>
        <v>100</v>
      </c>
      <c r="F252" s="100"/>
      <c r="G252" s="275">
        <f t="shared" si="59"/>
        <v>0</v>
      </c>
      <c r="H252" s="2315">
        <f t="shared" si="60"/>
        <v>0</v>
      </c>
      <c r="I252" s="2866">
        <f t="shared" si="61"/>
        <v>0</v>
      </c>
      <c r="J252" s="2854"/>
      <c r="K252" s="2837"/>
    </row>
    <row r="253" spans="1:11">
      <c r="A253" s="2837"/>
      <c r="B253" s="2763" t="str">
        <f>фундамент!G425</f>
        <v>приемка бетона</v>
      </c>
      <c r="C253" s="2890" t="s">
        <v>133</v>
      </c>
      <c r="D253" s="275">
        <f>фундамент!J425</f>
        <v>0</v>
      </c>
      <c r="E253" s="100">
        <f>фундамент!K425</f>
        <v>1200</v>
      </c>
      <c r="F253" s="100"/>
      <c r="G253" s="275">
        <f t="shared" si="59"/>
        <v>0</v>
      </c>
      <c r="H253" s="2315">
        <f t="shared" si="60"/>
        <v>0</v>
      </c>
      <c r="I253" s="2866">
        <f t="shared" si="61"/>
        <v>0</v>
      </c>
      <c r="J253" s="2854"/>
      <c r="K253" s="2837"/>
    </row>
    <row r="254" spans="1:11">
      <c r="A254" s="2837"/>
      <c r="B254" s="2763" t="str">
        <f>фундамент!G429</f>
        <v>укладка теп. Пола</v>
      </c>
      <c r="C254" s="2890" t="str">
        <f>фундамент!I429</f>
        <v>м2</v>
      </c>
      <c r="D254" s="275">
        <f>фундамент!J429</f>
        <v>105</v>
      </c>
      <c r="E254" s="100">
        <f>фундамент!K429</f>
        <v>600</v>
      </c>
      <c r="F254" s="100"/>
      <c r="G254" s="275">
        <f t="shared" si="59"/>
        <v>63000</v>
      </c>
      <c r="H254" s="2315">
        <f t="shared" si="60"/>
        <v>0</v>
      </c>
      <c r="I254" s="2866">
        <f t="shared" si="61"/>
        <v>0</v>
      </c>
      <c r="J254" s="2854"/>
      <c r="K254" s="2837"/>
    </row>
    <row r="255" spans="1:11">
      <c r="A255" s="2837"/>
      <c r="B255" s="3278" t="s">
        <v>4641</v>
      </c>
      <c r="C255" s="3278"/>
      <c r="D255" s="3278"/>
      <c r="E255" s="3278"/>
      <c r="F255" s="2868"/>
      <c r="G255" s="2315">
        <f>SUM(G238:G254)*H237</f>
        <v>0</v>
      </c>
      <c r="H255" s="2315">
        <f>SUM(H238:H254)</f>
        <v>0</v>
      </c>
      <c r="I255" s="2866">
        <f t="shared" si="61"/>
        <v>0</v>
      </c>
      <c r="J255" s="2854"/>
      <c r="K255" s="2837"/>
    </row>
    <row r="256" spans="1:11" ht="21">
      <c r="A256" s="2837"/>
      <c r="B256" s="3282" t="s">
        <v>4648</v>
      </c>
      <c r="C256" s="3282"/>
      <c r="D256" s="3282"/>
      <c r="E256" s="3282"/>
      <c r="F256" s="2909"/>
      <c r="G256" s="941"/>
      <c r="H256" s="2901">
        <f>VLOOKUP('Ввод данных'!F822,связи1!A2:B3,2,0)</f>
        <v>0</v>
      </c>
      <c r="I256" s="2879">
        <f>H256</f>
        <v>0</v>
      </c>
      <c r="J256" s="2829"/>
      <c r="K256" s="2837"/>
    </row>
    <row r="257" spans="1:12">
      <c r="A257" s="2829"/>
      <c r="B257" s="3285" t="s">
        <v>2720</v>
      </c>
      <c r="C257" s="3285"/>
      <c r="D257" s="3285"/>
      <c r="E257" s="3285"/>
      <c r="F257" s="2910"/>
      <c r="G257" s="941"/>
      <c r="H257" s="2903">
        <f>H256</f>
        <v>0</v>
      </c>
      <c r="I257" s="2879">
        <f>H257</f>
        <v>0</v>
      </c>
      <c r="J257" s="2850"/>
      <c r="K257" s="2851"/>
    </row>
    <row r="258" spans="1:12">
      <c r="A258" s="2829"/>
      <c r="B258" s="302" t="str">
        <f>фундамент!A478</f>
        <v>Скальник, 1 маш 13м3</v>
      </c>
      <c r="C258" s="2890" t="str">
        <f>фундамент!B478</f>
        <v>маш</v>
      </c>
      <c r="D258" s="302">
        <f>фундамент!C478</f>
        <v>1.5384615384615385</v>
      </c>
      <c r="E258" s="179">
        <f>фундамент!D478</f>
        <v>15000</v>
      </c>
      <c r="F258" s="179"/>
      <c r="G258" s="275">
        <f t="shared" ref="G258:G280" si="62">IF(F258&gt;0,D258*F258,E258*D258)</f>
        <v>23076.923076923078</v>
      </c>
      <c r="H258" s="96">
        <f t="shared" ref="H258:H280" si="63">D258*E258*$H$257</f>
        <v>0</v>
      </c>
      <c r="I258" s="2911">
        <f t="shared" ref="I258:I281" si="64">IF(G258&gt;H258,G258,H258)*$H$256</f>
        <v>0</v>
      </c>
      <c r="J258" s="2863"/>
      <c r="K258" s="223">
        <f t="shared" ref="K258:K281" si="65">D258-J258</f>
        <v>1.5384615384615385</v>
      </c>
      <c r="L258" s="2854"/>
    </row>
    <row r="259" spans="1:12">
      <c r="A259" s="2837"/>
      <c r="B259" s="302" t="str">
        <f>фундамент!A479</f>
        <v>ПГС, машина 13м3</v>
      </c>
      <c r="C259" s="2890" t="str">
        <f>фундамент!B479</f>
        <v>маш</v>
      </c>
      <c r="D259" s="302">
        <f>фундамент!C479</f>
        <v>1.5384615384615385</v>
      </c>
      <c r="E259" s="179">
        <f>фундамент!D479</f>
        <v>10000</v>
      </c>
      <c r="F259" s="179"/>
      <c r="G259" s="275">
        <f t="shared" si="62"/>
        <v>15384.615384615385</v>
      </c>
      <c r="H259" s="96">
        <f t="shared" si="63"/>
        <v>0</v>
      </c>
      <c r="I259" s="2911">
        <f t="shared" si="64"/>
        <v>0</v>
      </c>
      <c r="J259" s="2863"/>
      <c r="K259" s="223">
        <f t="shared" si="65"/>
        <v>1.5384615384615385</v>
      </c>
      <c r="L259" s="2854"/>
    </row>
    <row r="260" spans="1:12">
      <c r="A260" s="2837"/>
      <c r="B260" s="302" t="str">
        <f>фундамент!A480</f>
        <v>Песок, машина 13м3</v>
      </c>
      <c r="C260" s="2890" t="str">
        <f>фундамент!B480</f>
        <v>маш</v>
      </c>
      <c r="D260" s="302">
        <f>фундамент!C480</f>
        <v>0.76923076923076927</v>
      </c>
      <c r="E260" s="179">
        <f>фундамент!D480</f>
        <v>12000</v>
      </c>
      <c r="F260" s="179"/>
      <c r="G260" s="275">
        <f t="shared" si="62"/>
        <v>9230.7692307692305</v>
      </c>
      <c r="H260" s="96">
        <f t="shared" si="63"/>
        <v>0</v>
      </c>
      <c r="I260" s="2911">
        <f t="shared" si="64"/>
        <v>0</v>
      </c>
      <c r="J260" s="2863"/>
      <c r="K260" s="223">
        <f t="shared" si="65"/>
        <v>0.76923076923076927</v>
      </c>
      <c r="L260" s="2854"/>
    </row>
    <row r="261" spans="1:12">
      <c r="A261" s="2837"/>
      <c r="B261" s="302" t="str">
        <f>фундамент!A481</f>
        <v>Сосна влаж,180*40мм</v>
      </c>
      <c r="C261" s="2890" t="str">
        <f>фундамент!B481</f>
        <v>м3</v>
      </c>
      <c r="D261" s="302">
        <f>фундамент!C481</f>
        <v>0</v>
      </c>
      <c r="E261" s="179">
        <f>фундамент!D481</f>
        <v>6500</v>
      </c>
      <c r="F261" s="179"/>
      <c r="G261" s="275">
        <f t="shared" si="62"/>
        <v>0</v>
      </c>
      <c r="H261" s="96">
        <f t="shared" si="63"/>
        <v>0</v>
      </c>
      <c r="I261" s="2911">
        <f t="shared" si="64"/>
        <v>0</v>
      </c>
      <c r="J261" s="2863"/>
      <c r="K261" s="223">
        <f t="shared" si="65"/>
        <v>0</v>
      </c>
      <c r="L261" s="2854"/>
    </row>
    <row r="262" spans="1:12">
      <c r="A262" s="2837"/>
      <c r="B262" s="302" t="str">
        <f>фундамент!A482</f>
        <v>Нет утеплителя</v>
      </c>
      <c r="C262" s="2890" t="str">
        <f>фундамент!B482</f>
        <v>м3</v>
      </c>
      <c r="D262" s="302">
        <f>фундамент!C482</f>
        <v>0</v>
      </c>
      <c r="E262" s="302">
        <f>фундамент!D482</f>
        <v>0</v>
      </c>
      <c r="F262" s="302"/>
      <c r="G262" s="275">
        <f t="shared" si="62"/>
        <v>0</v>
      </c>
      <c r="H262" s="96">
        <f t="shared" si="63"/>
        <v>0</v>
      </c>
      <c r="I262" s="2911">
        <f t="shared" si="64"/>
        <v>0</v>
      </c>
      <c r="J262" s="2863"/>
      <c r="K262" s="223">
        <f t="shared" si="65"/>
        <v>0</v>
      </c>
      <c r="L262" s="2854"/>
    </row>
    <row r="263" spans="1:12">
      <c r="A263" s="2837"/>
      <c r="B263" s="302" t="str">
        <f>фундамент!A483</f>
        <v>Нет утеплителя</v>
      </c>
      <c r="C263" s="2890" t="str">
        <f>фундамент!B483</f>
        <v>м3</v>
      </c>
      <c r="D263" s="302">
        <f>фундамент!C483</f>
        <v>0</v>
      </c>
      <c r="E263" s="179">
        <f>фундамент!D483</f>
        <v>0</v>
      </c>
      <c r="F263" s="179"/>
      <c r="G263" s="275">
        <f t="shared" si="62"/>
        <v>0</v>
      </c>
      <c r="H263" s="96">
        <f t="shared" si="63"/>
        <v>0</v>
      </c>
      <c r="I263" s="2911">
        <f t="shared" si="64"/>
        <v>0</v>
      </c>
      <c r="J263" s="2863"/>
      <c r="K263" s="223">
        <f t="shared" si="65"/>
        <v>0</v>
      </c>
      <c r="L263" s="2854"/>
    </row>
    <row r="264" spans="1:12">
      <c r="A264" s="2837"/>
      <c r="B264" s="302" t="str">
        <f>фундамент!A484</f>
        <v xml:space="preserve">Пленка гидроизоляционная </v>
      </c>
      <c r="C264" s="2890" t="str">
        <f>фундамент!B484</f>
        <v>м2</v>
      </c>
      <c r="D264" s="302">
        <f>фундамент!C484</f>
        <v>130</v>
      </c>
      <c r="E264" s="179">
        <f>фундамент!D484</f>
        <v>15</v>
      </c>
      <c r="F264" s="179"/>
      <c r="G264" s="275">
        <f t="shared" si="62"/>
        <v>1950</v>
      </c>
      <c r="H264" s="96">
        <f t="shared" si="63"/>
        <v>0</v>
      </c>
      <c r="I264" s="2911">
        <f t="shared" si="64"/>
        <v>0</v>
      </c>
      <c r="J264" s="2863"/>
      <c r="K264" s="223">
        <f t="shared" si="65"/>
        <v>130</v>
      </c>
      <c r="L264" s="2854"/>
    </row>
    <row r="265" spans="1:12">
      <c r="A265" s="2837"/>
      <c r="B265" s="302" t="str">
        <f>фундамент!A485</f>
        <v>Кладочная сетка, 100*100/150*150/200*200мм</v>
      </c>
      <c r="C265" s="2890" t="str">
        <f>фундамент!B485</f>
        <v>м2</v>
      </c>
      <c r="D265" s="302">
        <f>фундамент!C485</f>
        <v>100</v>
      </c>
      <c r="E265" s="179">
        <f>фундамент!D485</f>
        <v>70</v>
      </c>
      <c r="F265" s="179"/>
      <c r="G265" s="275">
        <f t="shared" si="62"/>
        <v>7000</v>
      </c>
      <c r="H265" s="96">
        <f t="shared" si="63"/>
        <v>0</v>
      </c>
      <c r="I265" s="2911">
        <f t="shared" si="64"/>
        <v>0</v>
      </c>
      <c r="J265" s="2863"/>
      <c r="K265" s="223">
        <f t="shared" si="65"/>
        <v>100</v>
      </c>
      <c r="L265" s="2854"/>
    </row>
    <row r="266" spans="1:12">
      <c r="A266" s="2837"/>
      <c r="B266" s="302" t="str">
        <f>фундамент!A486</f>
        <v>Стяжки пластиковые</v>
      </c>
      <c r="C266" s="2890" t="str">
        <f>фундамент!B486</f>
        <v>шт</v>
      </c>
      <c r="D266" s="302">
        <f>фундамент!C486</f>
        <v>1140</v>
      </c>
      <c r="E266" s="179">
        <f>фундамент!D486</f>
        <v>2</v>
      </c>
      <c r="F266" s="179"/>
      <c r="G266" s="275">
        <f t="shared" si="62"/>
        <v>2280</v>
      </c>
      <c r="H266" s="96">
        <f t="shared" si="63"/>
        <v>0</v>
      </c>
      <c r="I266" s="2911">
        <f t="shared" si="64"/>
        <v>0</v>
      </c>
      <c r="J266" s="2863"/>
      <c r="K266" s="223">
        <f t="shared" si="65"/>
        <v>1140</v>
      </c>
      <c r="L266" s="2854"/>
    </row>
    <row r="267" spans="1:12">
      <c r="A267" s="2837"/>
      <c r="B267" s="302" t="str">
        <f>фундамент!A487</f>
        <v>Бетон, м350</v>
      </c>
      <c r="C267" s="2890" t="str">
        <f>фундамент!B487</f>
        <v>м3</v>
      </c>
      <c r="D267" s="302">
        <f>фундамент!C487</f>
        <v>0</v>
      </c>
      <c r="E267" s="179">
        <f>фундамент!D487</f>
        <v>3500</v>
      </c>
      <c r="F267" s="179"/>
      <c r="G267" s="275">
        <f t="shared" si="62"/>
        <v>0</v>
      </c>
      <c r="H267" s="96">
        <f t="shared" si="63"/>
        <v>0</v>
      </c>
      <c r="I267" s="2911">
        <f t="shared" si="64"/>
        <v>0</v>
      </c>
      <c r="J267" s="2863"/>
      <c r="K267" s="223">
        <f t="shared" si="65"/>
        <v>0</v>
      </c>
      <c r="L267" s="2854"/>
    </row>
    <row r="268" spans="1:12">
      <c r="A268" s="2837"/>
      <c r="B268" s="302" t="str">
        <f>фундамент!A488</f>
        <v>Бетон, м250</v>
      </c>
      <c r="C268" s="2890" t="str">
        <f>фундамент!B488</f>
        <v>м3</v>
      </c>
      <c r="D268" s="302">
        <f>фундамент!C488</f>
        <v>0</v>
      </c>
      <c r="E268" s="179">
        <f>фундамент!D488</f>
        <v>2750</v>
      </c>
      <c r="F268" s="179"/>
      <c r="G268" s="275">
        <f t="shared" si="62"/>
        <v>0</v>
      </c>
      <c r="H268" s="96">
        <f t="shared" si="63"/>
        <v>0</v>
      </c>
      <c r="I268" s="2911">
        <f t="shared" si="64"/>
        <v>0</v>
      </c>
      <c r="J268" s="2863"/>
      <c r="K268" s="223">
        <f t="shared" si="65"/>
        <v>0</v>
      </c>
      <c r="L268" s="2854"/>
    </row>
    <row r="269" spans="1:12">
      <c r="A269" s="2837"/>
      <c r="B269" s="302" t="str">
        <f>фундамент!A489</f>
        <v>Труба теплого пола 3</v>
      </c>
      <c r="C269" s="2890" t="str">
        <f>фундамент!B489</f>
        <v>м.п</v>
      </c>
      <c r="D269" s="302">
        <f>фундамент!C489</f>
        <v>280</v>
      </c>
      <c r="E269" s="179">
        <f>фундамент!D489</f>
        <v>60</v>
      </c>
      <c r="F269" s="179"/>
      <c r="G269" s="275">
        <f t="shared" si="62"/>
        <v>16800</v>
      </c>
      <c r="H269" s="96">
        <f t="shared" si="63"/>
        <v>0</v>
      </c>
      <c r="I269" s="2911">
        <f t="shared" si="64"/>
        <v>0</v>
      </c>
      <c r="J269" s="2863"/>
      <c r="K269" s="223">
        <f t="shared" si="65"/>
        <v>280</v>
      </c>
      <c r="L269" s="2854"/>
    </row>
    <row r="270" spans="1:12">
      <c r="A270" s="2837"/>
      <c r="B270" s="302" t="str">
        <f>фундамент!A490</f>
        <v>Коллектор 1</v>
      </c>
      <c r="C270" s="2890" t="str">
        <f>фундамент!B490</f>
        <v>шт</v>
      </c>
      <c r="D270" s="302">
        <f>фундамент!C490</f>
        <v>1</v>
      </c>
      <c r="E270" s="179">
        <f>фундамент!D490</f>
        <v>5000</v>
      </c>
      <c r="F270" s="179"/>
      <c r="G270" s="275">
        <f t="shared" si="62"/>
        <v>5000</v>
      </c>
      <c r="H270" s="96">
        <f t="shared" si="63"/>
        <v>0</v>
      </c>
      <c r="I270" s="2911">
        <f t="shared" si="64"/>
        <v>0</v>
      </c>
      <c r="J270" s="2863"/>
      <c r="K270" s="223">
        <f t="shared" si="65"/>
        <v>1</v>
      </c>
      <c r="L270" s="2854"/>
    </row>
    <row r="271" spans="1:12">
      <c r="A271" s="2837"/>
      <c r="B271" s="302" t="str">
        <f>фундамент!A491</f>
        <v>Нет арматуры</v>
      </c>
      <c r="C271" s="2890" t="str">
        <f>фундамент!B491</f>
        <v>м.п.</v>
      </c>
      <c r="D271" s="302">
        <f>фундамент!C491</f>
        <v>246.40000000000003</v>
      </c>
      <c r="E271" s="179">
        <f>фундамент!D491</f>
        <v>0</v>
      </c>
      <c r="F271" s="179"/>
      <c r="G271" s="275">
        <f t="shared" si="62"/>
        <v>0</v>
      </c>
      <c r="H271" s="96">
        <f t="shared" si="63"/>
        <v>0</v>
      </c>
      <c r="I271" s="2911">
        <f t="shared" si="64"/>
        <v>0</v>
      </c>
      <c r="J271" s="2863"/>
      <c r="K271" s="223">
        <f t="shared" si="65"/>
        <v>246.40000000000003</v>
      </c>
      <c r="L271" s="2854"/>
    </row>
    <row r="272" spans="1:12">
      <c r="A272" s="2837"/>
      <c r="B272" s="302" t="str">
        <f>фундамент!A492</f>
        <v>Нет арматуры</v>
      </c>
      <c r="C272" s="2890" t="str">
        <f>фундамент!B492</f>
        <v>м.п.</v>
      </c>
      <c r="D272" s="302">
        <f>фундамент!C492</f>
        <v>1000</v>
      </c>
      <c r="E272" s="179">
        <f>фундамент!D492</f>
        <v>0</v>
      </c>
      <c r="F272" s="179"/>
      <c r="G272" s="275">
        <f t="shared" si="62"/>
        <v>0</v>
      </c>
      <c r="H272" s="96">
        <f t="shared" si="63"/>
        <v>0</v>
      </c>
      <c r="I272" s="2911">
        <f t="shared" si="64"/>
        <v>0</v>
      </c>
      <c r="J272" s="2863"/>
      <c r="K272" s="223">
        <f t="shared" si="65"/>
        <v>1000</v>
      </c>
      <c r="L272" s="2854"/>
    </row>
    <row r="273" spans="1:12">
      <c r="A273" s="2837"/>
      <c r="B273" s="302" t="str">
        <f>фундамент!A493</f>
        <v>Нет арматуры</v>
      </c>
      <c r="C273" s="2890" t="str">
        <f>фундамент!B493</f>
        <v>м.п.</v>
      </c>
      <c r="D273" s="302">
        <f>фундамент!C493</f>
        <v>0</v>
      </c>
      <c r="E273" s="302">
        <f>фундамент!D493</f>
        <v>0</v>
      </c>
      <c r="F273" s="302"/>
      <c r="G273" s="275">
        <f t="shared" si="62"/>
        <v>0</v>
      </c>
      <c r="H273" s="96">
        <f t="shared" si="63"/>
        <v>0</v>
      </c>
      <c r="I273" s="2911">
        <f t="shared" si="64"/>
        <v>0</v>
      </c>
      <c r="J273" s="2863"/>
      <c r="K273" s="223">
        <f t="shared" si="65"/>
        <v>0</v>
      </c>
      <c r="L273" s="2854"/>
    </row>
    <row r="274" spans="1:12">
      <c r="A274" s="2837"/>
      <c r="B274" s="302" t="str">
        <f>фундамент!A494</f>
        <v>Вязальная проволока</v>
      </c>
      <c r="C274" s="2890" t="str">
        <f>фундамент!B494</f>
        <v>кг</v>
      </c>
      <c r="D274" s="302">
        <f>фундамент!C494</f>
        <v>24.928000000000001</v>
      </c>
      <c r="E274" s="179">
        <f>фундамент!D494</f>
        <v>80</v>
      </c>
      <c r="F274" s="179"/>
      <c r="G274" s="275">
        <f t="shared" si="62"/>
        <v>1994.24</v>
      </c>
      <c r="H274" s="96">
        <f t="shared" si="63"/>
        <v>0</v>
      </c>
      <c r="I274" s="2911">
        <f t="shared" si="64"/>
        <v>0</v>
      </c>
      <c r="J274" s="2863"/>
      <c r="K274" s="223">
        <f t="shared" si="65"/>
        <v>24.928000000000001</v>
      </c>
      <c r="L274" s="2854"/>
    </row>
    <row r="275" spans="1:12">
      <c r="A275" s="2837"/>
      <c r="B275" s="302" t="str">
        <f>фундамент!A495</f>
        <v>Подставка под арматурный каркас</v>
      </c>
      <c r="C275" s="2890" t="str">
        <f>фундамент!B495</f>
        <v>шт</v>
      </c>
      <c r="D275" s="302">
        <f>фундамент!C495</f>
        <v>300</v>
      </c>
      <c r="E275" s="179">
        <f>фундамент!D495</f>
        <v>5</v>
      </c>
      <c r="F275" s="179"/>
      <c r="G275" s="275">
        <f t="shared" si="62"/>
        <v>1500</v>
      </c>
      <c r="H275" s="96">
        <f t="shared" si="63"/>
        <v>0</v>
      </c>
      <c r="I275" s="2911">
        <f t="shared" si="64"/>
        <v>0</v>
      </c>
      <c r="J275" s="2863"/>
      <c r="K275" s="223">
        <f t="shared" si="65"/>
        <v>300</v>
      </c>
      <c r="L275" s="2854"/>
    </row>
    <row r="276" spans="1:12">
      <c r="A276" s="2837"/>
      <c r="B276" s="302" t="str">
        <f>фундамент!A496</f>
        <v xml:space="preserve">Гвозди строительные 3,5 x 90            </v>
      </c>
      <c r="C276" s="2890" t="str">
        <f>фундамент!B496</f>
        <v>кг</v>
      </c>
      <c r="D276" s="302">
        <f>фундамент!C496</f>
        <v>0</v>
      </c>
      <c r="E276" s="179">
        <f>фундамент!D496</f>
        <v>70</v>
      </c>
      <c r="F276" s="179"/>
      <c r="G276" s="275">
        <f t="shared" si="62"/>
        <v>0</v>
      </c>
      <c r="H276" s="96">
        <f t="shared" si="63"/>
        <v>0</v>
      </c>
      <c r="I276" s="2911">
        <f t="shared" si="64"/>
        <v>0</v>
      </c>
      <c r="J276" s="2863"/>
      <c r="K276" s="223">
        <f t="shared" si="65"/>
        <v>0</v>
      </c>
      <c r="L276" s="2854"/>
    </row>
    <row r="277" spans="1:12">
      <c r="A277" s="2837"/>
      <c r="B277" s="302" t="str">
        <f>фундамент!A497</f>
        <v>Геотекстиль</v>
      </c>
      <c r="C277" s="2890" t="str">
        <f>фундамент!B497</f>
        <v>м2</v>
      </c>
      <c r="D277" s="302">
        <f>фундамент!C497</f>
        <v>114.99999999999999</v>
      </c>
      <c r="E277" s="179">
        <f>фундамент!D497</f>
        <v>100</v>
      </c>
      <c r="F277" s="179"/>
      <c r="G277" s="275">
        <f t="shared" si="62"/>
        <v>11499.999999999998</v>
      </c>
      <c r="H277" s="96">
        <f t="shared" si="63"/>
        <v>0</v>
      </c>
      <c r="I277" s="2911">
        <f t="shared" si="64"/>
        <v>0</v>
      </c>
      <c r="J277" s="2863"/>
      <c r="K277" s="223">
        <f t="shared" si="65"/>
        <v>114.99999999999999</v>
      </c>
      <c r="L277" s="2854"/>
    </row>
    <row r="278" spans="1:12">
      <c r="A278" s="2837"/>
      <c r="B278" s="302" t="str">
        <f>фундамент!A498</f>
        <v>Труба гофрированная одностенная d110</v>
      </c>
      <c r="C278" s="2890" t="str">
        <f>фундамент!B498</f>
        <v>м.п.</v>
      </c>
      <c r="D278" s="302">
        <f>фундамент!C498</f>
        <v>61</v>
      </c>
      <c r="E278" s="179">
        <f>фундамент!D498</f>
        <v>77</v>
      </c>
      <c r="F278" s="179"/>
      <c r="G278" s="275">
        <f t="shared" si="62"/>
        <v>4697</v>
      </c>
      <c r="H278" s="96">
        <f t="shared" si="63"/>
        <v>0</v>
      </c>
      <c r="I278" s="2911">
        <f t="shared" si="64"/>
        <v>0</v>
      </c>
      <c r="J278" s="2863"/>
      <c r="K278" s="223">
        <f t="shared" si="65"/>
        <v>61</v>
      </c>
      <c r="L278" s="2854"/>
    </row>
    <row r="279" spans="1:12">
      <c r="A279" s="2837"/>
      <c r="B279" s="302" t="str">
        <f>фундамент!A499</f>
        <v>Дренажный колодец D300</v>
      </c>
      <c r="C279" s="2890" t="str">
        <f>фундамент!B499</f>
        <v>шт</v>
      </c>
      <c r="D279" s="302">
        <f>фундамент!C499</f>
        <v>0</v>
      </c>
      <c r="E279" s="179">
        <f>фундамент!D499</f>
        <v>1500</v>
      </c>
      <c r="F279" s="179"/>
      <c r="G279" s="275">
        <f t="shared" si="62"/>
        <v>0</v>
      </c>
      <c r="H279" s="96">
        <f t="shared" si="63"/>
        <v>0</v>
      </c>
      <c r="I279" s="2911">
        <f t="shared" si="64"/>
        <v>0</v>
      </c>
      <c r="J279" s="2863"/>
      <c r="K279" s="223">
        <f t="shared" si="65"/>
        <v>0</v>
      </c>
      <c r="L279" s="2854"/>
    </row>
    <row r="280" spans="1:12">
      <c r="A280" s="2837"/>
      <c r="B280" s="302" t="str">
        <f>фундамент!A500</f>
        <v>Труба канализационная D110</v>
      </c>
      <c r="C280" s="2890" t="str">
        <f>фундамент!B500</f>
        <v>шт</v>
      </c>
      <c r="D280" s="302">
        <f>фундамент!C500</f>
        <v>0</v>
      </c>
      <c r="E280" s="179">
        <f>фундамент!D500</f>
        <v>70</v>
      </c>
      <c r="F280" s="179"/>
      <c r="G280" s="275">
        <f t="shared" si="62"/>
        <v>0</v>
      </c>
      <c r="H280" s="96">
        <f t="shared" si="63"/>
        <v>0</v>
      </c>
      <c r="I280" s="2911">
        <f t="shared" si="64"/>
        <v>0</v>
      </c>
      <c r="J280" s="2863"/>
      <c r="K280" s="223">
        <f t="shared" si="65"/>
        <v>0</v>
      </c>
      <c r="L280" s="2854"/>
    </row>
    <row r="281" spans="1:12">
      <c r="A281" s="2837"/>
      <c r="B281" s="3278" t="s">
        <v>4640</v>
      </c>
      <c r="C281" s="3278"/>
      <c r="D281" s="3278"/>
      <c r="E281" s="3278"/>
      <c r="F281" s="2868"/>
      <c r="G281" s="96">
        <f>SUM(G258:G280)*H256</f>
        <v>0</v>
      </c>
      <c r="H281" s="96">
        <f>SUM(H258:H280)</f>
        <v>0</v>
      </c>
      <c r="I281" s="2911">
        <f t="shared" si="64"/>
        <v>0</v>
      </c>
      <c r="J281" s="2863"/>
      <c r="K281" s="223">
        <f t="shared" si="65"/>
        <v>0</v>
      </c>
      <c r="L281" s="2854"/>
    </row>
    <row r="282" spans="1:12">
      <c r="A282" s="2837"/>
      <c r="B282" s="3279" t="s">
        <v>1409</v>
      </c>
      <c r="C282" s="3279"/>
      <c r="D282" s="3279"/>
      <c r="E282" s="3279"/>
      <c r="F282" s="2912"/>
      <c r="G282" s="941"/>
      <c r="H282" s="2891">
        <f>H256</f>
        <v>0</v>
      </c>
      <c r="I282" s="2879">
        <f>H282</f>
        <v>0</v>
      </c>
      <c r="J282" s="2892"/>
      <c r="K282" s="2893"/>
    </row>
    <row r="283" spans="1:12">
      <c r="A283" s="2829"/>
      <c r="B283" s="2763" t="str">
        <f>фундамент!G478</f>
        <v>разбивка осей фундамента</v>
      </c>
      <c r="C283" s="2890" t="str">
        <f>фундамент!I478</f>
        <v>шт</v>
      </c>
      <c r="D283" s="302">
        <f>фундамент!J478</f>
        <v>1</v>
      </c>
      <c r="E283" s="179">
        <f>фундамент!K478</f>
        <v>7000</v>
      </c>
      <c r="F283" s="179"/>
      <c r="G283" s="275">
        <f t="shared" ref="G283:G300" si="66">IF(F283&gt;0,D283*F283,E283*D283)</f>
        <v>7000</v>
      </c>
      <c r="H283" s="96">
        <f t="shared" ref="H283:H300" si="67">E283*D283*$H$282</f>
        <v>0</v>
      </c>
      <c r="I283" s="2836">
        <f t="shared" ref="I283:I301" si="68">IF(G283&gt;H283,G283,H283)*$H$256</f>
        <v>0</v>
      </c>
      <c r="J283" s="2829"/>
      <c r="K283" s="2837"/>
    </row>
    <row r="284" spans="1:12">
      <c r="A284" s="2837"/>
      <c r="B284" s="2763" t="str">
        <f>фундамент!G479</f>
        <v>трамбовка пгс</v>
      </c>
      <c r="C284" s="2890" t="str">
        <f>фундамент!I479</f>
        <v>м2</v>
      </c>
      <c r="D284" s="302">
        <f>фундамент!J479</f>
        <v>100</v>
      </c>
      <c r="E284" s="179">
        <f>фундамент!K479</f>
        <v>600</v>
      </c>
      <c r="F284" s="179"/>
      <c r="G284" s="275">
        <f t="shared" si="66"/>
        <v>60000</v>
      </c>
      <c r="H284" s="96">
        <f t="shared" si="67"/>
        <v>0</v>
      </c>
      <c r="I284" s="2836">
        <f t="shared" si="68"/>
        <v>0</v>
      </c>
      <c r="J284" s="2829"/>
      <c r="K284" s="2837"/>
    </row>
    <row r="285" spans="1:12">
      <c r="A285" s="2837"/>
      <c r="B285" s="2763" t="str">
        <f>фундамент!G480</f>
        <v>трамбовка скальник</v>
      </c>
      <c r="C285" s="2890" t="str">
        <f>фундамент!I480</f>
        <v>м2</v>
      </c>
      <c r="D285" s="302">
        <f>фундамент!J480</f>
        <v>100</v>
      </c>
      <c r="E285" s="179">
        <f>фундамент!K480</f>
        <v>400</v>
      </c>
      <c r="F285" s="179"/>
      <c r="G285" s="275">
        <f t="shared" si="66"/>
        <v>40000</v>
      </c>
      <c r="H285" s="96">
        <f t="shared" si="67"/>
        <v>0</v>
      </c>
      <c r="I285" s="2836">
        <f t="shared" si="68"/>
        <v>0</v>
      </c>
      <c r="J285" s="2829"/>
      <c r="K285" s="2837"/>
    </row>
    <row r="286" spans="1:12">
      <c r="A286" s="2837"/>
      <c r="B286" s="2763" t="str">
        <f>фундамент!G481</f>
        <v>трамбовка песок</v>
      </c>
      <c r="C286" s="2890" t="str">
        <f>фундамент!I481</f>
        <v>м2</v>
      </c>
      <c r="D286" s="302">
        <f>фундамент!J481</f>
        <v>100</v>
      </c>
      <c r="E286" s="179">
        <f>фундамент!K481</f>
        <v>350</v>
      </c>
      <c r="F286" s="179"/>
      <c r="G286" s="275">
        <f t="shared" si="66"/>
        <v>35000</v>
      </c>
      <c r="H286" s="96">
        <f t="shared" si="67"/>
        <v>0</v>
      </c>
      <c r="I286" s="2836">
        <f t="shared" si="68"/>
        <v>0</v>
      </c>
      <c r="J286" s="2829"/>
      <c r="K286" s="2837"/>
    </row>
    <row r="287" spans="1:12">
      <c r="A287" s="2837"/>
      <c r="B287" s="2763" t="str">
        <f>фундамент!G482</f>
        <v>сборка/разборка опалубки</v>
      </c>
      <c r="C287" s="2890" t="str">
        <f>фундамент!I482</f>
        <v>м2</v>
      </c>
      <c r="D287" s="302">
        <f>фундамент!J482</f>
        <v>0</v>
      </c>
      <c r="E287" s="179">
        <f>фундамент!K482</f>
        <v>400</v>
      </c>
      <c r="F287" s="179"/>
      <c r="G287" s="275">
        <f t="shared" si="66"/>
        <v>0</v>
      </c>
      <c r="H287" s="96">
        <f t="shared" si="67"/>
        <v>0</v>
      </c>
      <c r="I287" s="2836">
        <f t="shared" si="68"/>
        <v>0</v>
      </c>
      <c r="J287" s="2829"/>
      <c r="K287" s="2837"/>
    </row>
    <row r="288" spans="1:12">
      <c r="A288" s="2837"/>
      <c r="B288" s="2763" t="str">
        <f>фундамент!G483</f>
        <v>укладка утеплителя под плиту</v>
      </c>
      <c r="C288" s="2890" t="str">
        <f>фундамент!I483</f>
        <v>м2</v>
      </c>
      <c r="D288" s="302">
        <f>фундамент!J483</f>
        <v>100</v>
      </c>
      <c r="E288" s="179">
        <f>фундамент!K483</f>
        <v>200</v>
      </c>
      <c r="F288" s="179"/>
      <c r="G288" s="275">
        <f t="shared" si="66"/>
        <v>20000</v>
      </c>
      <c r="H288" s="96">
        <f t="shared" si="67"/>
        <v>0</v>
      </c>
      <c r="I288" s="2836">
        <f t="shared" si="68"/>
        <v>0</v>
      </c>
      <c r="J288" s="2829"/>
      <c r="K288" s="2837"/>
    </row>
    <row r="289" spans="1:12">
      <c r="A289" s="2837"/>
      <c r="B289" s="2763" t="str">
        <f>фундамент!G484</f>
        <v>укладка утеплителя под отмостка</v>
      </c>
      <c r="C289" s="2890" t="str">
        <f>фундамент!I484</f>
        <v>м2</v>
      </c>
      <c r="D289" s="302">
        <f>фундамент!J484</f>
        <v>0</v>
      </c>
      <c r="E289" s="179">
        <f>фундамент!K484</f>
        <v>200</v>
      </c>
      <c r="F289" s="179"/>
      <c r="G289" s="275">
        <f t="shared" si="66"/>
        <v>0</v>
      </c>
      <c r="H289" s="96">
        <f t="shared" si="67"/>
        <v>0</v>
      </c>
      <c r="I289" s="2836">
        <f t="shared" si="68"/>
        <v>0</v>
      </c>
      <c r="J289" s="2829"/>
      <c r="K289" s="2837"/>
    </row>
    <row r="290" spans="1:12">
      <c r="A290" s="2837"/>
      <c r="B290" s="2763" t="str">
        <f>фундамент!G485</f>
        <v>укладка пленки</v>
      </c>
      <c r="C290" s="2890" t="str">
        <f>фундамент!I485</f>
        <v>м2</v>
      </c>
      <c r="D290" s="302">
        <f>фундамент!J485</f>
        <v>100</v>
      </c>
      <c r="E290" s="179">
        <f>фундамент!K485</f>
        <v>10</v>
      </c>
      <c r="F290" s="179"/>
      <c r="G290" s="275">
        <f t="shared" si="66"/>
        <v>1000</v>
      </c>
      <c r="H290" s="96">
        <f t="shared" si="67"/>
        <v>0</v>
      </c>
      <c r="I290" s="2836">
        <f t="shared" si="68"/>
        <v>0</v>
      </c>
      <c r="J290" s="2829"/>
      <c r="K290" s="2837"/>
    </row>
    <row r="291" spans="1:12">
      <c r="A291" s="2837"/>
      <c r="B291" s="2763" t="str">
        <f>фундамент!G486</f>
        <v>кладка сетки</v>
      </c>
      <c r="C291" s="2890" t="str">
        <f>фундамент!I486</f>
        <v>м2</v>
      </c>
      <c r="D291" s="302">
        <f>фундамент!J486</f>
        <v>100</v>
      </c>
      <c r="E291" s="179">
        <f>фундамент!K486</f>
        <v>100</v>
      </c>
      <c r="F291" s="179"/>
      <c r="G291" s="275">
        <f t="shared" si="66"/>
        <v>10000</v>
      </c>
      <c r="H291" s="96">
        <f t="shared" si="67"/>
        <v>0</v>
      </c>
      <c r="I291" s="2836">
        <f t="shared" si="68"/>
        <v>0</v>
      </c>
      <c r="J291" s="2829"/>
      <c r="K291" s="2837"/>
    </row>
    <row r="292" spans="1:12">
      <c r="A292" s="2837"/>
      <c r="B292" s="2763" t="str">
        <f>фундамент!G487</f>
        <v>укладка теп. Пола</v>
      </c>
      <c r="C292" s="2890" t="str">
        <f>фундамент!I487</f>
        <v>м2</v>
      </c>
      <c r="D292" s="302">
        <f>фундамент!J487</f>
        <v>100</v>
      </c>
      <c r="E292" s="179">
        <f>фундамент!K487</f>
        <v>600</v>
      </c>
      <c r="F292" s="179"/>
      <c r="G292" s="275">
        <f t="shared" si="66"/>
        <v>60000</v>
      </c>
      <c r="H292" s="96">
        <f t="shared" si="67"/>
        <v>0</v>
      </c>
      <c r="I292" s="2836">
        <f t="shared" si="68"/>
        <v>0</v>
      </c>
      <c r="J292" s="2829"/>
      <c r="K292" s="2837"/>
    </row>
    <row r="293" spans="1:12">
      <c r="A293" s="2837"/>
      <c r="B293" s="2763" t="str">
        <f>фундамент!G488</f>
        <v>Заливка бетоном перекрытия/плиты</v>
      </c>
      <c r="C293" s="2890" t="str">
        <f>фундамент!I488</f>
        <v>м2</v>
      </c>
      <c r="D293" s="302">
        <f>фундамент!J488</f>
        <v>100</v>
      </c>
      <c r="E293" s="179">
        <f>фундамент!K488</f>
        <v>350</v>
      </c>
      <c r="F293" s="179"/>
      <c r="G293" s="275">
        <f t="shared" si="66"/>
        <v>35000</v>
      </c>
      <c r="H293" s="96">
        <f t="shared" si="67"/>
        <v>0</v>
      </c>
      <c r="I293" s="2836">
        <f t="shared" si="68"/>
        <v>0</v>
      </c>
      <c r="J293" s="2829"/>
      <c r="K293" s="2837"/>
    </row>
    <row r="294" spans="1:12">
      <c r="A294" s="2837"/>
      <c r="B294" s="2763" t="str">
        <f>фундамент!G489</f>
        <v>заливка бетоном отмостки</v>
      </c>
      <c r="C294" s="2890" t="str">
        <f>фундамент!I489</f>
        <v>м2</v>
      </c>
      <c r="D294" s="302">
        <f>фундамент!J489</f>
        <v>0</v>
      </c>
      <c r="E294" s="179">
        <f>фундамент!K489</f>
        <v>500</v>
      </c>
      <c r="F294" s="179"/>
      <c r="G294" s="275">
        <f t="shared" si="66"/>
        <v>0</v>
      </c>
      <c r="H294" s="96">
        <f t="shared" si="67"/>
        <v>0</v>
      </c>
      <c r="I294" s="2836">
        <f t="shared" si="68"/>
        <v>0</v>
      </c>
      <c r="J294" s="2829"/>
      <c r="K294" s="2837"/>
    </row>
    <row r="295" spans="1:12">
      <c r="A295" s="2837"/>
      <c r="B295" s="2763" t="str">
        <f>фундамент!G490</f>
        <v>армирование пол</v>
      </c>
      <c r="C295" s="2890" t="str">
        <f>фундамент!I490</f>
        <v>м2</v>
      </c>
      <c r="D295" s="302">
        <f>фундамент!J490</f>
        <v>100</v>
      </c>
      <c r="E295" s="179">
        <f>фундамент!K490</f>
        <v>300</v>
      </c>
      <c r="F295" s="179"/>
      <c r="G295" s="275">
        <f t="shared" si="66"/>
        <v>30000</v>
      </c>
      <c r="H295" s="96">
        <f t="shared" si="67"/>
        <v>0</v>
      </c>
      <c r="I295" s="2836">
        <f t="shared" si="68"/>
        <v>0</v>
      </c>
      <c r="J295" s="2829"/>
      <c r="K295" s="2837"/>
    </row>
    <row r="296" spans="1:12">
      <c r="A296" s="2837"/>
      <c r="B296" s="2763" t="str">
        <f>фундамент!G491</f>
        <v>армирование отмостки</v>
      </c>
      <c r="C296" s="2890" t="str">
        <f>фундамент!I491</f>
        <v>м2</v>
      </c>
      <c r="D296" s="302">
        <f>фундамент!J491</f>
        <v>0</v>
      </c>
      <c r="E296" s="179">
        <f>фундамент!K491</f>
        <v>350</v>
      </c>
      <c r="F296" s="179"/>
      <c r="G296" s="275">
        <f t="shared" si="66"/>
        <v>0</v>
      </c>
      <c r="H296" s="96">
        <f t="shared" si="67"/>
        <v>0</v>
      </c>
      <c r="I296" s="2836">
        <f t="shared" si="68"/>
        <v>0</v>
      </c>
      <c r="J296" s="2829"/>
      <c r="K296" s="2837"/>
    </row>
    <row r="297" spans="1:12">
      <c r="A297" s="2837"/>
      <c r="B297" s="2763" t="str">
        <f>фундамент!G492</f>
        <v>монтаж канализации</v>
      </c>
      <c r="C297" s="2890" t="str">
        <f>фундамент!I492</f>
        <v>м.п.</v>
      </c>
      <c r="D297" s="302">
        <f>фундамент!J492</f>
        <v>0</v>
      </c>
      <c r="E297" s="179">
        <f>фундамент!K492</f>
        <v>200</v>
      </c>
      <c r="F297" s="179"/>
      <c r="G297" s="275">
        <f t="shared" si="66"/>
        <v>0</v>
      </c>
      <c r="H297" s="96">
        <f t="shared" si="67"/>
        <v>0</v>
      </c>
      <c r="I297" s="2836">
        <f t="shared" si="68"/>
        <v>0</v>
      </c>
      <c r="J297" s="2829"/>
      <c r="K297" s="2837"/>
    </row>
    <row r="298" spans="1:12">
      <c r="A298" s="2837"/>
      <c r="B298" s="2763" t="str">
        <f>фундамент!G493</f>
        <v>укладка геотекстиля</v>
      </c>
      <c r="C298" s="2890" t="str">
        <f>фундамент!I493</f>
        <v>м2</v>
      </c>
      <c r="D298" s="302">
        <f>фундамент!J493</f>
        <v>100</v>
      </c>
      <c r="E298" s="179">
        <f>фундамент!K493</f>
        <v>200</v>
      </c>
      <c r="F298" s="179"/>
      <c r="G298" s="275">
        <f t="shared" si="66"/>
        <v>20000</v>
      </c>
      <c r="H298" s="96">
        <f t="shared" si="67"/>
        <v>0</v>
      </c>
      <c r="I298" s="2836">
        <f t="shared" si="68"/>
        <v>0</v>
      </c>
      <c r="J298" s="2829"/>
      <c r="K298" s="2837"/>
    </row>
    <row r="299" spans="1:12">
      <c r="A299" s="2837"/>
      <c r="B299" s="2763" t="str">
        <f>фундамент!G494</f>
        <v>укладка дренажа</v>
      </c>
      <c r="C299" s="2890" t="str">
        <f>фундамент!I494</f>
        <v>м2</v>
      </c>
      <c r="D299" s="302">
        <f>фундамент!J494</f>
        <v>61</v>
      </c>
      <c r="E299" s="179">
        <f>фундамент!K494</f>
        <v>200</v>
      </c>
      <c r="F299" s="179"/>
      <c r="G299" s="275">
        <f t="shared" si="66"/>
        <v>12200</v>
      </c>
      <c r="H299" s="96">
        <f t="shared" si="67"/>
        <v>0</v>
      </c>
      <c r="I299" s="2836">
        <f t="shared" si="68"/>
        <v>0</v>
      </c>
      <c r="J299" s="2829"/>
      <c r="K299" s="2837"/>
    </row>
    <row r="300" spans="1:12">
      <c r="A300" s="2837"/>
      <c r="B300" s="2763" t="str">
        <f>фундамент!G495</f>
        <v>монтаж дренажного колодца</v>
      </c>
      <c r="C300" s="2890" t="str">
        <f>фундамент!I495</f>
        <v>шт</v>
      </c>
      <c r="D300" s="302">
        <f>фундамент!J495</f>
        <v>0</v>
      </c>
      <c r="E300" s="179">
        <f>фундамент!K495</f>
        <v>300</v>
      </c>
      <c r="F300" s="179"/>
      <c r="G300" s="275">
        <f t="shared" si="66"/>
        <v>0</v>
      </c>
      <c r="H300" s="96">
        <f t="shared" si="67"/>
        <v>0</v>
      </c>
      <c r="I300" s="2836">
        <f t="shared" si="68"/>
        <v>0</v>
      </c>
      <c r="J300" s="2829"/>
      <c r="K300" s="2837"/>
    </row>
    <row r="301" spans="1:12">
      <c r="A301" s="2837"/>
      <c r="B301" s="3278" t="s">
        <v>4641</v>
      </c>
      <c r="C301" s="3278"/>
      <c r="D301" s="3278"/>
      <c r="E301" s="3278"/>
      <c r="F301" s="2868"/>
      <c r="G301" s="2315">
        <f>SUM(G283:G300)*H282</f>
        <v>0</v>
      </c>
      <c r="H301" s="2315">
        <f>SUM(H283:H300)</f>
        <v>0</v>
      </c>
      <c r="I301" s="2836">
        <f t="shared" si="68"/>
        <v>0</v>
      </c>
      <c r="J301" s="2829"/>
      <c r="K301" s="2837"/>
    </row>
    <row r="302" spans="1:12" ht="21">
      <c r="A302" s="2837"/>
      <c r="B302" s="3282" t="s">
        <v>4649</v>
      </c>
      <c r="C302" s="3282"/>
      <c r="D302" s="3282"/>
      <c r="E302" s="3282"/>
      <c r="F302" s="2887"/>
      <c r="G302" s="941"/>
      <c r="H302" s="2901">
        <f>IF('Ввод данных'!$A$8=связи1!A157,1,0)+IF('Ввод данных'!$A$8=связи1!A168,1,0)+IF('Ввод данных'!$A$8=связи1!A176,1,0)+IF('Ввод данных'!$A$8=связи1!A183,1,0)</f>
        <v>0</v>
      </c>
      <c r="I302" s="2879">
        <f>H302</f>
        <v>0</v>
      </c>
      <c r="J302" s="2829"/>
      <c r="K302" s="2837"/>
    </row>
    <row r="303" spans="1:12">
      <c r="A303" s="2829"/>
      <c r="B303" s="3285" t="s">
        <v>2720</v>
      </c>
      <c r="C303" s="3285"/>
      <c r="D303" s="3285"/>
      <c r="E303" s="3285"/>
      <c r="F303" s="2902"/>
      <c r="G303" s="941"/>
      <c r="H303" s="2903">
        <f>H302</f>
        <v>0</v>
      </c>
      <c r="I303" s="2879">
        <f>H303</f>
        <v>0</v>
      </c>
      <c r="J303" s="2850"/>
      <c r="K303" s="2851"/>
    </row>
    <row r="304" spans="1:12">
      <c r="A304" s="2829"/>
      <c r="B304" s="302" t="str">
        <f>дома!A1394</f>
        <v>Брус естественной влажности, 150*150мм</v>
      </c>
      <c r="C304" s="2890" t="str">
        <f>дома!B1394</f>
        <v>м3</v>
      </c>
      <c r="D304" s="302">
        <f>дома!C1394</f>
        <v>1.26</v>
      </c>
      <c r="E304" s="302">
        <f>дома!D1394</f>
        <v>6500</v>
      </c>
      <c r="F304" s="302"/>
      <c r="G304" s="275">
        <f t="shared" ref="G304:G321" si="69">IF(F304&gt;0,D304*F304,E304*D304)</f>
        <v>8190</v>
      </c>
      <c r="H304" s="96">
        <f t="shared" ref="H304:H321" si="70">D304*E304*$H$303</f>
        <v>0</v>
      </c>
      <c r="I304" s="2911">
        <f t="shared" ref="I304:I322" si="71">IF(G304&gt;H304,G304,H304)*$H$302</f>
        <v>0</v>
      </c>
      <c r="J304" s="2863"/>
      <c r="K304" s="223">
        <f t="shared" ref="K304:K322" si="72">D304-J304</f>
        <v>1.26</v>
      </c>
      <c r="L304" s="2854"/>
    </row>
    <row r="305" spans="1:12">
      <c r="A305" s="2837"/>
      <c r="B305" s="302" t="str">
        <f>дома!A1395</f>
        <v>обработка мастикой</v>
      </c>
      <c r="C305" s="2890" t="str">
        <f>дома!B1395</f>
        <v>л</v>
      </c>
      <c r="D305" s="302">
        <f>дома!C1395</f>
        <v>8.82</v>
      </c>
      <c r="E305" s="302">
        <f>дома!D1395</f>
        <v>60</v>
      </c>
      <c r="F305" s="302"/>
      <c r="G305" s="275">
        <f t="shared" si="69"/>
        <v>529.20000000000005</v>
      </c>
      <c r="H305" s="96">
        <f t="shared" si="70"/>
        <v>0</v>
      </c>
      <c r="I305" s="2911">
        <f t="shared" si="71"/>
        <v>0</v>
      </c>
      <c r="J305" s="2863"/>
      <c r="K305" s="223">
        <f t="shared" si="72"/>
        <v>8.82</v>
      </c>
      <c r="L305" s="2854"/>
    </row>
    <row r="306" spans="1:12">
      <c r="A306" s="2837"/>
      <c r="B306" s="302" t="str">
        <f>дома!A1396</f>
        <v>Sip панель 2800*1250*174мм</v>
      </c>
      <c r="C306" s="2890" t="str">
        <f>дома!B1396</f>
        <v>м2</v>
      </c>
      <c r="D306" s="302">
        <f>дома!C1396</f>
        <v>-1.7999999999999998</v>
      </c>
      <c r="E306" s="302">
        <f>дома!D1396</f>
        <v>1200</v>
      </c>
      <c r="F306" s="302"/>
      <c r="G306" s="275">
        <f t="shared" si="69"/>
        <v>-2160</v>
      </c>
      <c r="H306" s="96">
        <f t="shared" si="70"/>
        <v>0</v>
      </c>
      <c r="I306" s="2911">
        <f t="shared" si="71"/>
        <v>0</v>
      </c>
      <c r="J306" s="2863"/>
      <c r="K306" s="223">
        <f t="shared" si="72"/>
        <v>-1.7999999999999998</v>
      </c>
      <c r="L306" s="2854"/>
    </row>
    <row r="307" spans="1:12">
      <c r="A307" s="2837"/>
      <c r="B307" s="302" t="str">
        <f>дома!A1397</f>
        <v>Sip панель 2800*1250*174мм</v>
      </c>
      <c r="C307" s="2890" t="str">
        <f>дома!B1397</f>
        <v>м2</v>
      </c>
      <c r="D307" s="302">
        <f>дома!C1397</f>
        <v>0</v>
      </c>
      <c r="E307" s="302">
        <f>дома!D1397</f>
        <v>1200</v>
      </c>
      <c r="F307" s="302"/>
      <c r="G307" s="275">
        <f t="shared" si="69"/>
        <v>0</v>
      </c>
      <c r="H307" s="96">
        <f t="shared" si="70"/>
        <v>0</v>
      </c>
      <c r="I307" s="2911">
        <f t="shared" si="71"/>
        <v>0</v>
      </c>
      <c r="J307" s="2863"/>
      <c r="K307" s="223">
        <f t="shared" si="72"/>
        <v>0</v>
      </c>
      <c r="L307" s="2854"/>
    </row>
    <row r="308" spans="1:12">
      <c r="A308" s="2837"/>
      <c r="B308" s="302" t="str">
        <f>дома!A1398</f>
        <v>Sip панель 2800*1250*124мм</v>
      </c>
      <c r="C308" s="2890" t="str">
        <f>дома!B1398</f>
        <v>м2</v>
      </c>
      <c r="D308" s="302">
        <f>дома!C1398</f>
        <v>0</v>
      </c>
      <c r="E308" s="302">
        <f>дома!D1398</f>
        <v>800</v>
      </c>
      <c r="F308" s="302"/>
      <c r="G308" s="275">
        <f t="shared" si="69"/>
        <v>0</v>
      </c>
      <c r="H308" s="96">
        <f t="shared" si="70"/>
        <v>0</v>
      </c>
      <c r="I308" s="2911">
        <f t="shared" si="71"/>
        <v>0</v>
      </c>
      <c r="J308" s="2863"/>
      <c r="K308" s="223">
        <f t="shared" si="72"/>
        <v>0</v>
      </c>
      <c r="L308" s="2854"/>
    </row>
    <row r="309" spans="1:12">
      <c r="A309" s="2837"/>
      <c r="B309" s="302" t="str">
        <f>дома!A1399</f>
        <v xml:space="preserve">Болты анкерные с гайкой 12,0 х 280          </v>
      </c>
      <c r="C309" s="2890" t="str">
        <f>дома!B1399</f>
        <v>шт</v>
      </c>
      <c r="D309" s="302">
        <f>дома!C1399</f>
        <v>112</v>
      </c>
      <c r="E309" s="302">
        <f>дома!D1399</f>
        <v>27.1</v>
      </c>
      <c r="F309" s="302"/>
      <c r="G309" s="275">
        <f t="shared" si="69"/>
        <v>3035.2000000000003</v>
      </c>
      <c r="H309" s="96">
        <f t="shared" si="70"/>
        <v>0</v>
      </c>
      <c r="I309" s="2911">
        <f t="shared" si="71"/>
        <v>0</v>
      </c>
      <c r="J309" s="2863"/>
      <c r="K309" s="223">
        <f t="shared" si="72"/>
        <v>112</v>
      </c>
      <c r="L309" s="2854"/>
    </row>
    <row r="310" spans="1:12">
      <c r="A310" s="2837"/>
      <c r="B310" s="302" t="str">
        <f>дома!A1400</f>
        <v>обвязка наружние стены верх низ</v>
      </c>
      <c r="C310" s="2890" t="str">
        <f>дома!B1400</f>
        <v>м3</v>
      </c>
      <c r="D310" s="302">
        <f>дома!C1400</f>
        <v>0.60000000000000009</v>
      </c>
      <c r="E310" s="302">
        <f>дома!D1400</f>
        <v>9000</v>
      </c>
      <c r="F310" s="302"/>
      <c r="G310" s="275">
        <f t="shared" si="69"/>
        <v>5400.0000000000009</v>
      </c>
      <c r="H310" s="96">
        <f t="shared" si="70"/>
        <v>0</v>
      </c>
      <c r="I310" s="2911">
        <f t="shared" si="71"/>
        <v>0</v>
      </c>
      <c r="J310" s="2863"/>
      <c r="K310" s="223">
        <f t="shared" si="72"/>
        <v>0.60000000000000009</v>
      </c>
      <c r="L310" s="2854"/>
    </row>
    <row r="311" spans="1:12">
      <c r="A311" s="2837"/>
      <c r="B311" s="302" t="str">
        <f>дома!A1401</f>
        <v>обвязка несущие перегородки верх низ</v>
      </c>
      <c r="C311" s="2890" t="str">
        <f>дома!B1401</f>
        <v>м3</v>
      </c>
      <c r="D311" s="302">
        <f>дома!C1401</f>
        <v>0.24</v>
      </c>
      <c r="E311" s="302">
        <f>дома!D1401</f>
        <v>9000</v>
      </c>
      <c r="F311" s="302"/>
      <c r="G311" s="275">
        <f t="shared" si="69"/>
        <v>2160</v>
      </c>
      <c r="H311" s="96">
        <f t="shared" si="70"/>
        <v>0</v>
      </c>
      <c r="I311" s="2911">
        <f t="shared" si="71"/>
        <v>0</v>
      </c>
      <c r="J311" s="2863"/>
      <c r="K311" s="223">
        <f t="shared" si="72"/>
        <v>0.24</v>
      </c>
      <c r="L311" s="2854"/>
    </row>
    <row r="312" spans="1:12">
      <c r="A312" s="2837"/>
      <c r="B312" s="302" t="str">
        <f>дома!A1402</f>
        <v>обвязка несущие перегородки верх низ</v>
      </c>
      <c r="C312" s="2890" t="str">
        <f>дома!B1402</f>
        <v>м3</v>
      </c>
      <c r="D312" s="302">
        <f>дома!C1402</f>
        <v>0.11699999999999999</v>
      </c>
      <c r="E312" s="302">
        <f>дома!D1402</f>
        <v>9000</v>
      </c>
      <c r="F312" s="302"/>
      <c r="G312" s="275">
        <f t="shared" si="69"/>
        <v>1053</v>
      </c>
      <c r="H312" s="96">
        <f t="shared" si="70"/>
        <v>0</v>
      </c>
      <c r="I312" s="2911">
        <f t="shared" si="71"/>
        <v>0</v>
      </c>
      <c r="J312" s="2863"/>
      <c r="K312" s="223">
        <f t="shared" si="72"/>
        <v>0.11699999999999999</v>
      </c>
      <c r="L312" s="2854"/>
    </row>
    <row r="313" spans="1:12">
      <c r="A313" s="2837"/>
      <c r="B313" s="302" t="str">
        <f>дома!A1403</f>
        <v>стойки наружние стены</v>
      </c>
      <c r="C313" s="2890" t="str">
        <f>дома!B1403</f>
        <v>м3</v>
      </c>
      <c r="D313" s="302">
        <f>дома!C1403</f>
        <v>0</v>
      </c>
      <c r="E313" s="302">
        <f>дома!D1403</f>
        <v>9000</v>
      </c>
      <c r="F313" s="302"/>
      <c r="G313" s="275">
        <f t="shared" si="69"/>
        <v>0</v>
      </c>
      <c r="H313" s="96">
        <f t="shared" si="70"/>
        <v>0</v>
      </c>
      <c r="I313" s="2911">
        <f t="shared" si="71"/>
        <v>0</v>
      </c>
      <c r="J313" s="2863"/>
      <c r="K313" s="223">
        <f t="shared" si="72"/>
        <v>0</v>
      </c>
      <c r="L313" s="2854"/>
    </row>
    <row r="314" spans="1:12">
      <c r="A314" s="2837"/>
      <c r="B314" s="302" t="str">
        <f>дома!A1404</f>
        <v>стойки перегородки несущие</v>
      </c>
      <c r="C314" s="2890" t="str">
        <f>дома!B1404</f>
        <v>м3</v>
      </c>
      <c r="D314" s="302">
        <f>дома!C1404</f>
        <v>0</v>
      </c>
      <c r="E314" s="302">
        <f>дома!D1404</f>
        <v>9000</v>
      </c>
      <c r="F314" s="302"/>
      <c r="G314" s="275">
        <f t="shared" si="69"/>
        <v>0</v>
      </c>
      <c r="H314" s="96">
        <f t="shared" si="70"/>
        <v>0</v>
      </c>
      <c r="I314" s="2911">
        <f t="shared" si="71"/>
        <v>0</v>
      </c>
      <c r="J314" s="2863"/>
      <c r="K314" s="223">
        <f t="shared" si="72"/>
        <v>0</v>
      </c>
      <c r="L314" s="2854"/>
    </row>
    <row r="315" spans="1:12">
      <c r="A315" s="2837"/>
      <c r="B315" s="302" t="str">
        <f>дома!A1405</f>
        <v>Стойки перегородки простые</v>
      </c>
      <c r="C315" s="2890" t="str">
        <f>дома!B1405</f>
        <v>м3</v>
      </c>
      <c r="D315" s="302">
        <f>дома!C1405</f>
        <v>0</v>
      </c>
      <c r="E315" s="302">
        <f>дома!D1405</f>
        <v>9000</v>
      </c>
      <c r="F315" s="302"/>
      <c r="G315" s="275">
        <f t="shared" si="69"/>
        <v>0</v>
      </c>
      <c r="H315" s="96">
        <f t="shared" si="70"/>
        <v>0</v>
      </c>
      <c r="I315" s="2911">
        <f t="shared" si="71"/>
        <v>0</v>
      </c>
      <c r="J315" s="2863"/>
      <c r="K315" s="223">
        <f t="shared" si="72"/>
        <v>0</v>
      </c>
      <c r="L315" s="2854"/>
    </row>
    <row r="316" spans="1:12">
      <c r="A316" s="2837"/>
      <c r="B316" s="302" t="str">
        <f>дома!A1406</f>
        <v>брус, обвязка кровли, сип панели</v>
      </c>
      <c r="C316" s="2890" t="str">
        <f>дома!B1406</f>
        <v>м3</v>
      </c>
      <c r="D316" s="302">
        <f>дома!C1406</f>
        <v>-0.15000000000000002</v>
      </c>
      <c r="E316" s="302">
        <f>дома!D1406</f>
        <v>0</v>
      </c>
      <c r="F316" s="302"/>
      <c r="G316" s="275">
        <f t="shared" si="69"/>
        <v>0</v>
      </c>
      <c r="H316" s="96">
        <f t="shared" si="70"/>
        <v>0</v>
      </c>
      <c r="I316" s="2911">
        <f t="shared" si="71"/>
        <v>0</v>
      </c>
      <c r="J316" s="2863"/>
      <c r="K316" s="223">
        <f t="shared" si="72"/>
        <v>-0.15000000000000002</v>
      </c>
      <c r="L316" s="2854"/>
    </row>
    <row r="317" spans="1:12">
      <c r="A317" s="2837"/>
      <c r="B317" s="302" t="str">
        <f>дома!A1407</f>
        <v>торцевая доска, кровля, сип панели</v>
      </c>
      <c r="C317" s="2890" t="str">
        <f>дома!B1407</f>
        <v>м3</v>
      </c>
      <c r="D317" s="302">
        <f>дома!C1407</f>
        <v>0.15000000000000002</v>
      </c>
      <c r="E317" s="302">
        <f>дома!D1407</f>
        <v>0</v>
      </c>
      <c r="F317" s="302"/>
      <c r="G317" s="275">
        <f t="shared" si="69"/>
        <v>0</v>
      </c>
      <c r="H317" s="96">
        <f t="shared" si="70"/>
        <v>0</v>
      </c>
      <c r="I317" s="2911">
        <f t="shared" si="71"/>
        <v>0</v>
      </c>
      <c r="J317" s="2863"/>
      <c r="K317" s="223">
        <f t="shared" si="72"/>
        <v>0.15000000000000002</v>
      </c>
      <c r="L317" s="2854"/>
    </row>
    <row r="318" spans="1:12">
      <c r="A318" s="2837"/>
      <c r="B318" s="302" t="str">
        <f>дома!A1408</f>
        <v xml:space="preserve">Нет </v>
      </c>
      <c r="C318" s="2890" t="str">
        <f>дома!B1408</f>
        <v>м2</v>
      </c>
      <c r="D318" s="302">
        <f>дома!C1408</f>
        <v>0</v>
      </c>
      <c r="E318" s="302">
        <f>дома!D1408</f>
        <v>0</v>
      </c>
      <c r="F318" s="302"/>
      <c r="G318" s="275">
        <f t="shared" si="69"/>
        <v>0</v>
      </c>
      <c r="H318" s="96">
        <f t="shared" si="70"/>
        <v>0</v>
      </c>
      <c r="I318" s="2911">
        <f t="shared" si="71"/>
        <v>0</v>
      </c>
      <c r="J318" s="2863"/>
      <c r="K318" s="223">
        <f t="shared" si="72"/>
        <v>0</v>
      </c>
      <c r="L318" s="2854"/>
    </row>
    <row r="319" spans="1:12">
      <c r="A319" s="2837"/>
      <c r="B319" s="302" t="str">
        <f>дома!A1409</f>
        <v>Пена монтажная, всесезонняя 800мл</v>
      </c>
      <c r="C319" s="2890" t="str">
        <f>дома!B1409</f>
        <v>шт</v>
      </c>
      <c r="D319" s="302">
        <f>дома!C1409</f>
        <v>10</v>
      </c>
      <c r="E319" s="302">
        <f>дома!D1409</f>
        <v>300</v>
      </c>
      <c r="F319" s="302"/>
      <c r="G319" s="275">
        <f t="shared" si="69"/>
        <v>3000</v>
      </c>
      <c r="H319" s="96">
        <f t="shared" si="70"/>
        <v>0</v>
      </c>
      <c r="I319" s="2911">
        <f t="shared" si="71"/>
        <v>0</v>
      </c>
      <c r="J319" s="2863"/>
      <c r="K319" s="223">
        <f t="shared" si="72"/>
        <v>10</v>
      </c>
      <c r="L319" s="2854"/>
    </row>
    <row r="320" spans="1:12">
      <c r="A320" s="2837"/>
      <c r="B320" s="302" t="str">
        <f>дома!A1410</f>
        <v xml:space="preserve">Саморезы 3,5 x 55            </v>
      </c>
      <c r="C320" s="2890" t="str">
        <f>дома!B1410</f>
        <v>кг</v>
      </c>
      <c r="D320" s="302">
        <f>дома!C1410</f>
        <v>3.3333333333333335</v>
      </c>
      <c r="E320" s="302">
        <f>дома!D1410</f>
        <v>105.62</v>
      </c>
      <c r="F320" s="302"/>
      <c r="G320" s="275">
        <f t="shared" si="69"/>
        <v>352.06666666666672</v>
      </c>
      <c r="H320" s="96">
        <f t="shared" si="70"/>
        <v>0</v>
      </c>
      <c r="I320" s="2911">
        <f t="shared" si="71"/>
        <v>0</v>
      </c>
      <c r="J320" s="2863"/>
      <c r="K320" s="223">
        <f t="shared" si="72"/>
        <v>3.3333333333333335</v>
      </c>
      <c r="L320" s="2854"/>
    </row>
    <row r="321" spans="1:13">
      <c r="A321" s="2837"/>
      <c r="B321" s="302" t="str">
        <f>дома!A1411</f>
        <v xml:space="preserve">Саморезы 4,2 x 90            </v>
      </c>
      <c r="C321" s="2890" t="str">
        <f>дома!B1411</f>
        <v>шт</v>
      </c>
      <c r="D321" s="302">
        <f>дома!C1411</f>
        <v>3.3333333333333335</v>
      </c>
      <c r="E321" s="302">
        <f>дома!D1411</f>
        <v>107.62</v>
      </c>
      <c r="F321" s="302"/>
      <c r="G321" s="275">
        <f t="shared" si="69"/>
        <v>358.73333333333335</v>
      </c>
      <c r="H321" s="96">
        <f t="shared" si="70"/>
        <v>0</v>
      </c>
      <c r="I321" s="2911">
        <f t="shared" si="71"/>
        <v>0</v>
      </c>
      <c r="J321" s="2863"/>
      <c r="K321" s="223">
        <f t="shared" si="72"/>
        <v>3.3333333333333335</v>
      </c>
      <c r="L321" s="2854"/>
    </row>
    <row r="322" spans="1:13">
      <c r="A322" s="2837"/>
      <c r="B322" s="3278" t="s">
        <v>4640</v>
      </c>
      <c r="C322" s="3278"/>
      <c r="D322" s="3278"/>
      <c r="E322" s="3278"/>
      <c r="F322" s="2868"/>
      <c r="G322" s="96">
        <f>SUM(G304:G321)*H302</f>
        <v>0</v>
      </c>
      <c r="H322" s="96">
        <f>SUM(H304:H321)</f>
        <v>0</v>
      </c>
      <c r="I322" s="2911">
        <f t="shared" si="71"/>
        <v>0</v>
      </c>
      <c r="J322" s="2863"/>
      <c r="K322" s="223">
        <f t="shared" si="72"/>
        <v>0</v>
      </c>
      <c r="L322" s="2854"/>
    </row>
    <row r="323" spans="1:13">
      <c r="A323" s="2837"/>
      <c r="B323" s="3279" t="s">
        <v>1409</v>
      </c>
      <c r="C323" s="3279"/>
      <c r="D323" s="3279"/>
      <c r="E323" s="3279"/>
      <c r="F323" s="2870"/>
      <c r="G323" s="941"/>
      <c r="H323" s="2891">
        <f>H302</f>
        <v>0</v>
      </c>
      <c r="I323" s="2879">
        <f>H323</f>
        <v>0</v>
      </c>
      <c r="L323" s="910"/>
      <c r="M323" s="910"/>
    </row>
    <row r="324" spans="1:13">
      <c r="A324" s="2829"/>
      <c r="B324" s="2763" t="str">
        <f>дома!L1394</f>
        <v>монтаж обвязочного бруса</v>
      </c>
      <c r="C324" s="2890" t="s">
        <v>156</v>
      </c>
      <c r="D324" s="302">
        <f>дома!N1394</f>
        <v>56</v>
      </c>
      <c r="E324" s="179">
        <f>дома!O1394</f>
        <v>200</v>
      </c>
      <c r="F324" s="179"/>
      <c r="G324" s="275">
        <f t="shared" ref="G324:G329" si="73">IF(F324&gt;0,D324*F324,E324*D324)</f>
        <v>11200</v>
      </c>
      <c r="H324" s="2315">
        <f t="shared" ref="H324:H329" si="74">D324*E324*$H$323</f>
        <v>0</v>
      </c>
      <c r="I324" s="2836">
        <f t="shared" ref="I324:I330" si="75">IF(G324&gt;H324,G324,H324)*$H$302</f>
        <v>0</v>
      </c>
      <c r="L324" s="910"/>
      <c r="M324" s="910"/>
    </row>
    <row r="325" spans="1:13">
      <c r="A325" s="2837"/>
      <c r="B325" s="2763" t="str">
        <f>дома!L1395</f>
        <v>обработка мастикой</v>
      </c>
      <c r="C325" s="2890" t="s">
        <v>156</v>
      </c>
      <c r="D325" s="302">
        <f>дома!N1395</f>
        <v>56</v>
      </c>
      <c r="E325" s="179">
        <f>дома!O1395</f>
        <v>200</v>
      </c>
      <c r="F325" s="179"/>
      <c r="G325" s="275">
        <f t="shared" si="73"/>
        <v>11200</v>
      </c>
      <c r="H325" s="2315">
        <f t="shared" si="74"/>
        <v>0</v>
      </c>
      <c r="I325" s="2836">
        <f t="shared" si="75"/>
        <v>0</v>
      </c>
      <c r="L325" s="910"/>
      <c r="M325" s="910"/>
    </row>
    <row r="326" spans="1:13">
      <c r="A326" s="2837"/>
      <c r="B326" s="2763" t="str">
        <f>дома!L1396</f>
        <v>монтаж наружних стен сиппанели</v>
      </c>
      <c r="C326" s="2890" t="s">
        <v>133</v>
      </c>
      <c r="D326" s="302">
        <f>дома!N1396</f>
        <v>0</v>
      </c>
      <c r="E326" s="179">
        <f>дома!O1396</f>
        <v>400</v>
      </c>
      <c r="F326" s="179"/>
      <c r="G326" s="275">
        <f t="shared" si="73"/>
        <v>0</v>
      </c>
      <c r="H326" s="2315">
        <f t="shared" si="74"/>
        <v>0</v>
      </c>
      <c r="I326" s="2836">
        <f t="shared" si="75"/>
        <v>0</v>
      </c>
      <c r="J326" s="2829"/>
      <c r="K326" s="2837"/>
    </row>
    <row r="327" spans="1:13">
      <c r="A327" s="2837"/>
      <c r="B327" s="2763" t="str">
        <f>дома!L1397</f>
        <v>Монтаж несущих перегородок сип панели</v>
      </c>
      <c r="C327" s="2890" t="s">
        <v>133</v>
      </c>
      <c r="D327" s="302">
        <f>дома!N1397</f>
        <v>0</v>
      </c>
      <c r="E327" s="179">
        <f>дома!O1397</f>
        <v>400</v>
      </c>
      <c r="F327" s="179"/>
      <c r="G327" s="275">
        <f t="shared" si="73"/>
        <v>0</v>
      </c>
      <c r="H327" s="2315">
        <f t="shared" si="74"/>
        <v>0</v>
      </c>
      <c r="I327" s="2836">
        <f t="shared" si="75"/>
        <v>0</v>
      </c>
      <c r="J327" s="2829"/>
      <c r="K327" s="2837"/>
    </row>
    <row r="328" spans="1:13">
      <c r="A328" s="2837"/>
      <c r="B328" s="2763" t="str">
        <f>дома!L1399</f>
        <v>Монтаж перегородок сип панели</v>
      </c>
      <c r="C328" s="2890" t="s">
        <v>133</v>
      </c>
      <c r="D328" s="302">
        <f>дома!N1399</f>
        <v>0</v>
      </c>
      <c r="E328" s="179">
        <f>дома!O1399</f>
        <v>300</v>
      </c>
      <c r="F328" s="179"/>
      <c r="G328" s="275">
        <f t="shared" si="73"/>
        <v>0</v>
      </c>
      <c r="H328" s="2315">
        <f t="shared" si="74"/>
        <v>0</v>
      </c>
      <c r="I328" s="2836">
        <f t="shared" si="75"/>
        <v>0</v>
      </c>
      <c r="J328" s="2829"/>
      <c r="K328" s="2837"/>
    </row>
    <row r="329" spans="1:13">
      <c r="A329" s="2837"/>
      <c r="B329" s="2763" t="str">
        <f>дома!L1400</f>
        <v>монтаж покрытия кровли</v>
      </c>
      <c r="C329" s="2890" t="s">
        <v>133</v>
      </c>
      <c r="D329" s="302">
        <f>дома!N1400</f>
        <v>0</v>
      </c>
      <c r="E329" s="179">
        <f>дома!O1400</f>
        <v>400</v>
      </c>
      <c r="F329" s="179"/>
      <c r="G329" s="275">
        <f t="shared" si="73"/>
        <v>0</v>
      </c>
      <c r="H329" s="2315">
        <f t="shared" si="74"/>
        <v>0</v>
      </c>
      <c r="I329" s="2836">
        <f t="shared" si="75"/>
        <v>0</v>
      </c>
      <c r="J329" s="2829"/>
      <c r="K329" s="2837"/>
    </row>
    <row r="330" spans="1:13">
      <c r="A330" s="2837"/>
      <c r="B330" s="3278" t="s">
        <v>4641</v>
      </c>
      <c r="C330" s="3278"/>
      <c r="D330" s="3278"/>
      <c r="E330" s="3278"/>
      <c r="F330" s="2868"/>
      <c r="G330" s="2315">
        <f>SUM(G324:G329)*H323</f>
        <v>0</v>
      </c>
      <c r="H330" s="2315">
        <f>SUM(H324:H329)</f>
        <v>0</v>
      </c>
      <c r="I330" s="2836">
        <f t="shared" si="75"/>
        <v>0</v>
      </c>
      <c r="J330" s="2829"/>
      <c r="K330" s="2837"/>
    </row>
    <row r="331" spans="1:13" ht="21">
      <c r="A331" s="2837"/>
      <c r="B331" s="3282" t="s">
        <v>2372</v>
      </c>
      <c r="C331" s="3282"/>
      <c r="D331" s="3282"/>
      <c r="E331" s="3282"/>
      <c r="F331" s="2887"/>
      <c r="G331" s="941"/>
      <c r="H331" s="2901">
        <f>IF('Ввод данных'!$A$8=связи1!A150,1,0)+IF('Ввод данных'!$A$8=связи1!A169,1,0)+IF('Ввод данных'!$A$8=связи1!A177,1,0)+IF('Ввод данных'!$A$8=связи1!A184,1,0)+IF('Ввод данных'!$A$8=связи1!A185,1,0)</f>
        <v>0</v>
      </c>
      <c r="I331" s="2879">
        <f>H331</f>
        <v>0</v>
      </c>
      <c r="J331" s="2829"/>
      <c r="K331" s="2837"/>
    </row>
    <row r="332" spans="1:13">
      <c r="A332" s="2829"/>
      <c r="B332" s="3285" t="s">
        <v>2720</v>
      </c>
      <c r="C332" s="3285"/>
      <c r="D332" s="3285"/>
      <c r="E332" s="3285"/>
      <c r="F332" s="2902"/>
      <c r="G332" s="941"/>
      <c r="H332" s="2903">
        <f>H331</f>
        <v>0</v>
      </c>
      <c r="I332" s="2879">
        <f>H332</f>
        <v>0</v>
      </c>
      <c r="J332" s="2850"/>
      <c r="K332" s="2851"/>
      <c r="L332" s="2850"/>
    </row>
    <row r="333" spans="1:13">
      <c r="A333" s="2829"/>
      <c r="B333" s="302" t="str">
        <f>дома!A1466</f>
        <v>Брус естественной влажности, 150*150мм</v>
      </c>
      <c r="C333" s="2890" t="str">
        <f>дома!B1466</f>
        <v>м3</v>
      </c>
      <c r="D333" s="302">
        <f>дома!C1466</f>
        <v>1.26</v>
      </c>
      <c r="E333" s="302">
        <f>дома!D1466</f>
        <v>6500</v>
      </c>
      <c r="F333" s="302"/>
      <c r="G333" s="275">
        <f t="shared" ref="G333:G357" si="76">IF(F333&gt;0,D333*F333,E333*D333)</f>
        <v>8190</v>
      </c>
      <c r="H333" s="96">
        <f t="shared" ref="H333:H357" si="77">D333*E333*$H$332</f>
        <v>0</v>
      </c>
      <c r="I333" s="2911">
        <f t="shared" ref="I333:I341" si="78">IF(G333&gt;H333,G333,H333)*$H$331</f>
        <v>0</v>
      </c>
      <c r="J333" s="2863"/>
      <c r="K333" s="223">
        <f t="shared" ref="K333:K358" si="79">D333-J333</f>
        <v>1.26</v>
      </c>
      <c r="L333" s="2913" t="s">
        <v>3699</v>
      </c>
      <c r="M333" s="2914"/>
    </row>
    <row r="334" spans="1:13">
      <c r="A334" s="2837"/>
      <c r="B334" s="302" t="str">
        <f>дома!A1467</f>
        <v xml:space="preserve">Болты анкерные с гайкой 12,0 х 280          </v>
      </c>
      <c r="C334" s="2890" t="str">
        <f>дома!B1467</f>
        <v>шт</v>
      </c>
      <c r="D334" s="302">
        <f>дома!C1467</f>
        <v>56</v>
      </c>
      <c r="E334" s="302">
        <f>дома!D1467</f>
        <v>27.1</v>
      </c>
      <c r="F334" s="302"/>
      <c r="G334" s="275">
        <f t="shared" si="76"/>
        <v>1517.6000000000001</v>
      </c>
      <c r="H334" s="96">
        <f t="shared" si="77"/>
        <v>0</v>
      </c>
      <c r="I334" s="2911">
        <f t="shared" si="78"/>
        <v>0</v>
      </c>
      <c r="J334" s="2863"/>
      <c r="K334" s="223">
        <f t="shared" si="79"/>
        <v>56</v>
      </c>
      <c r="L334" s="2913" t="s">
        <v>3702</v>
      </c>
      <c r="M334" s="2914"/>
    </row>
    <row r="335" spans="1:13">
      <c r="A335" s="2837"/>
      <c r="B335" s="302" t="str">
        <f>дома!A1468</f>
        <v>ГПС 150х50-1,2</v>
      </c>
      <c r="C335" s="2890" t="str">
        <f>дома!B1468</f>
        <v>м3</v>
      </c>
      <c r="D335" s="302">
        <f>дома!C1468</f>
        <v>0</v>
      </c>
      <c r="E335" s="302">
        <f>дома!D1468</f>
        <v>201</v>
      </c>
      <c r="F335" s="302"/>
      <c r="G335" s="275">
        <f t="shared" si="76"/>
        <v>0</v>
      </c>
      <c r="H335" s="96">
        <f t="shared" si="77"/>
        <v>0</v>
      </c>
      <c r="I335" s="2911">
        <f t="shared" si="78"/>
        <v>0</v>
      </c>
      <c r="J335" s="2863"/>
      <c r="K335" s="223">
        <f t="shared" si="79"/>
        <v>0</v>
      </c>
      <c r="L335" s="2913" t="s">
        <v>3704</v>
      </c>
      <c r="M335" s="2914"/>
    </row>
    <row r="336" spans="1:13">
      <c r="A336" s="2837"/>
      <c r="B336" s="302" t="str">
        <f>дома!H1481</f>
        <v>ГПН 152х35-1,2</v>
      </c>
      <c r="C336" s="2890" t="str">
        <f>дома!I1481</f>
        <v>мп.</v>
      </c>
      <c r="D336" s="302">
        <f>дома!J1481</f>
        <v>0</v>
      </c>
      <c r="E336" s="302">
        <f>дома!K1481</f>
        <v>163</v>
      </c>
      <c r="F336" s="302"/>
      <c r="G336" s="275">
        <f t="shared" si="76"/>
        <v>0</v>
      </c>
      <c r="H336" s="96">
        <f t="shared" si="77"/>
        <v>0</v>
      </c>
      <c r="I336" s="2911">
        <f t="shared" si="78"/>
        <v>0</v>
      </c>
      <c r="J336" s="2863"/>
      <c r="K336" s="223">
        <f t="shared" si="79"/>
        <v>0</v>
      </c>
      <c r="L336" s="2913" t="s">
        <v>3718</v>
      </c>
      <c r="M336" s="2914"/>
    </row>
    <row r="337" spans="1:13">
      <c r="A337" s="2837"/>
      <c r="B337" s="302" t="str">
        <f>дома!H1482</f>
        <v xml:space="preserve">Болты анкерные с гайкой 12,0 x 100          </v>
      </c>
      <c r="C337" s="2890" t="str">
        <f>дома!I1482</f>
        <v>шт.</v>
      </c>
      <c r="D337" s="302">
        <f>дома!J1482</f>
        <v>0</v>
      </c>
      <c r="E337" s="302">
        <f>дома!K1482</f>
        <v>11.2</v>
      </c>
      <c r="F337" s="302"/>
      <c r="G337" s="275">
        <f t="shared" si="76"/>
        <v>0</v>
      </c>
      <c r="H337" s="96">
        <f t="shared" si="77"/>
        <v>0</v>
      </c>
      <c r="I337" s="2911">
        <f t="shared" si="78"/>
        <v>0</v>
      </c>
      <c r="J337" s="2863"/>
      <c r="K337" s="223">
        <f t="shared" si="79"/>
        <v>0</v>
      </c>
      <c r="L337" s="2913" t="s">
        <v>3722</v>
      </c>
      <c r="M337" s="2914"/>
    </row>
    <row r="338" spans="1:13">
      <c r="A338" s="2837"/>
      <c r="B338" s="302" t="str">
        <f>дома!H1484</f>
        <v>ГПН 122х35-1,5</v>
      </c>
      <c r="C338" s="2890" t="str">
        <f>дома!I1484</f>
        <v>мп.</v>
      </c>
      <c r="D338" s="302">
        <f>дома!J1484</f>
        <v>0</v>
      </c>
      <c r="E338" s="302">
        <f>дома!K1484</f>
        <v>163</v>
      </c>
      <c r="F338" s="302"/>
      <c r="G338" s="275">
        <f t="shared" si="76"/>
        <v>0</v>
      </c>
      <c r="H338" s="96">
        <f t="shared" si="77"/>
        <v>0</v>
      </c>
      <c r="I338" s="2911">
        <f t="shared" si="78"/>
        <v>0</v>
      </c>
      <c r="J338" s="2863"/>
      <c r="K338" s="223">
        <f t="shared" si="79"/>
        <v>0</v>
      </c>
      <c r="L338" s="2913" t="s">
        <v>3727</v>
      </c>
      <c r="M338" s="2914"/>
    </row>
    <row r="339" spans="1:13">
      <c r="A339" s="2837"/>
      <c r="B339" s="302" t="str">
        <f>дома!H1485</f>
        <v xml:space="preserve">Болты анкерные с гайкой 12,0 x 100          </v>
      </c>
      <c r="C339" s="2890" t="str">
        <f>дома!I1485</f>
        <v>шт.</v>
      </c>
      <c r="D339" s="302">
        <f>дома!J1485</f>
        <v>0</v>
      </c>
      <c r="E339" s="302">
        <f>дома!K1485</f>
        <v>11.2</v>
      </c>
      <c r="F339" s="302"/>
      <c r="G339" s="275">
        <f t="shared" si="76"/>
        <v>0</v>
      </c>
      <c r="H339" s="96">
        <f t="shared" si="77"/>
        <v>0</v>
      </c>
      <c r="I339" s="2911">
        <f t="shared" si="78"/>
        <v>0</v>
      </c>
      <c r="J339" s="2863"/>
      <c r="K339" s="223">
        <f t="shared" si="79"/>
        <v>0</v>
      </c>
      <c r="L339" s="2913" t="s">
        <v>3722</v>
      </c>
      <c r="M339" s="2914"/>
    </row>
    <row r="340" spans="1:13">
      <c r="A340" s="2837"/>
      <c r="B340" s="302" t="str">
        <f>дома!H1487</f>
        <v>ГПН 172х35-2,0</v>
      </c>
      <c r="C340" s="2890" t="str">
        <f>дома!I1487</f>
        <v>мп.</v>
      </c>
      <c r="D340" s="302">
        <f>дома!J1487</f>
        <v>0</v>
      </c>
      <c r="E340" s="302">
        <f>дома!K1487</f>
        <v>274</v>
      </c>
      <c r="F340" s="302"/>
      <c r="G340" s="275">
        <f t="shared" si="76"/>
        <v>0</v>
      </c>
      <c r="H340" s="96">
        <f t="shared" si="77"/>
        <v>0</v>
      </c>
      <c r="I340" s="2911">
        <f t="shared" si="78"/>
        <v>0</v>
      </c>
      <c r="J340" s="2863"/>
      <c r="K340" s="223">
        <f t="shared" si="79"/>
        <v>0</v>
      </c>
      <c r="L340" s="2913" t="s">
        <v>3731</v>
      </c>
      <c r="M340" s="2914"/>
    </row>
    <row r="341" spans="1:13">
      <c r="A341" s="2837"/>
      <c r="B341" s="302" t="str">
        <f>дома!H1488</f>
        <v xml:space="preserve">Болты анкерные с гайкой 12,0 x 100          </v>
      </c>
      <c r="C341" s="2890" t="str">
        <f>дома!I1488</f>
        <v>шт.</v>
      </c>
      <c r="D341" s="302">
        <f>дома!J1488</f>
        <v>0</v>
      </c>
      <c r="E341" s="302">
        <f>дома!K1488</f>
        <v>11.2</v>
      </c>
      <c r="F341" s="302"/>
      <c r="G341" s="275">
        <f t="shared" si="76"/>
        <v>0</v>
      </c>
      <c r="H341" s="96">
        <f t="shared" si="77"/>
        <v>0</v>
      </c>
      <c r="I341" s="2911">
        <f t="shared" si="78"/>
        <v>0</v>
      </c>
      <c r="J341" s="2863"/>
      <c r="K341" s="223">
        <f t="shared" si="79"/>
        <v>0</v>
      </c>
      <c r="L341" s="2913" t="s">
        <v>3722</v>
      </c>
      <c r="M341" s="2914"/>
    </row>
    <row r="342" spans="1:13">
      <c r="A342" s="2837"/>
      <c r="B342" s="302" t="str">
        <f>дома!Q1466</f>
        <v>Уголок для крепления окон/дверей</v>
      </c>
      <c r="C342" s="2890" t="str">
        <f>дома!S1466</f>
        <v>м.п.</v>
      </c>
      <c r="D342" s="302">
        <f>дома!T1466</f>
        <v>8.1</v>
      </c>
      <c r="E342" s="302">
        <f>дома!U1466</f>
        <v>77</v>
      </c>
      <c r="F342" s="302"/>
      <c r="G342" s="275">
        <f t="shared" si="76"/>
        <v>623.69999999999993</v>
      </c>
      <c r="H342" s="96">
        <f t="shared" si="77"/>
        <v>0</v>
      </c>
      <c r="I342" s="2911"/>
      <c r="J342" s="2863"/>
      <c r="K342" s="223">
        <f t="shared" si="79"/>
        <v>8.1</v>
      </c>
      <c r="L342" s="2915" t="s">
        <v>3701</v>
      </c>
      <c r="M342" s="2914"/>
    </row>
    <row r="343" spans="1:13">
      <c r="A343" s="2837"/>
      <c r="B343" s="302" t="str">
        <f>дома!A1469</f>
        <v>ГПС 120х50-1,5</v>
      </c>
      <c r="C343" s="2890" t="str">
        <f>дома!B1469</f>
        <v>м3</v>
      </c>
      <c r="D343" s="302">
        <f>дома!C1469</f>
        <v>0</v>
      </c>
      <c r="E343" s="302">
        <f>дома!D1469</f>
        <v>224</v>
      </c>
      <c r="F343" s="302"/>
      <c r="G343" s="275">
        <f t="shared" si="76"/>
        <v>0</v>
      </c>
      <c r="H343" s="96">
        <f t="shared" si="77"/>
        <v>0</v>
      </c>
      <c r="I343" s="2911">
        <f t="shared" ref="I343:I358" si="80">IF(G343&gt;H343,G343,H343)*$H$331</f>
        <v>0</v>
      </c>
      <c r="J343" s="2863"/>
      <c r="K343" s="223">
        <f t="shared" si="79"/>
        <v>0</v>
      </c>
      <c r="L343" s="2913" t="s">
        <v>3706</v>
      </c>
      <c r="M343" s="2914"/>
    </row>
    <row r="344" spans="1:13">
      <c r="A344" s="2837"/>
      <c r="B344" s="302" t="str">
        <f>дома!A1470</f>
        <v>ГПС 170х50-2,0</v>
      </c>
      <c r="C344" s="2890" t="str">
        <f>дома!B1470</f>
        <v>м3</v>
      </c>
      <c r="D344" s="302">
        <f>дома!C1470</f>
        <v>0</v>
      </c>
      <c r="E344" s="302">
        <f>дома!D1470</f>
        <v>358</v>
      </c>
      <c r="F344" s="302"/>
      <c r="G344" s="275">
        <f t="shared" si="76"/>
        <v>0</v>
      </c>
      <c r="H344" s="96">
        <f t="shared" si="77"/>
        <v>0</v>
      </c>
      <c r="I344" s="2911">
        <f t="shared" si="80"/>
        <v>0</v>
      </c>
      <c r="J344" s="2863"/>
      <c r="K344" s="223">
        <f t="shared" si="79"/>
        <v>0</v>
      </c>
      <c r="L344" s="2916" t="s">
        <v>3707</v>
      </c>
      <c r="M344" s="2917"/>
    </row>
    <row r="345" spans="1:13">
      <c r="A345" s="2837"/>
      <c r="B345" s="302" t="str">
        <f>дома!A1471</f>
        <v>Лист ГВЛВ 2500х1200х10 мм</v>
      </c>
      <c r="C345" s="2890" t="str">
        <f>дома!B1471</f>
        <v>м2</v>
      </c>
      <c r="D345" s="302">
        <f>дома!C1471</f>
        <v>100</v>
      </c>
      <c r="E345" s="302">
        <f>дома!D1471</f>
        <v>150</v>
      </c>
      <c r="F345" s="302"/>
      <c r="G345" s="275">
        <f t="shared" si="76"/>
        <v>15000</v>
      </c>
      <c r="H345" s="96">
        <f t="shared" si="77"/>
        <v>0</v>
      </c>
      <c r="I345" s="2911">
        <f t="shared" si="80"/>
        <v>0</v>
      </c>
      <c r="J345" s="2863"/>
      <c r="K345" s="223">
        <f t="shared" si="79"/>
        <v>100</v>
      </c>
      <c r="L345" s="2918" t="s">
        <v>2387</v>
      </c>
      <c r="M345" s="2914"/>
    </row>
    <row r="346" spans="1:13">
      <c r="A346" s="2837"/>
      <c r="B346" s="302" t="str">
        <f>дома!A1472</f>
        <v>нет</v>
      </c>
      <c r="C346" s="2890" t="str">
        <f>дома!B1472</f>
        <v>м.п.</v>
      </c>
      <c r="D346" s="302">
        <f>дома!C1472</f>
        <v>0</v>
      </c>
      <c r="E346" s="302">
        <f>дома!D1472</f>
        <v>0</v>
      </c>
      <c r="F346" s="302"/>
      <c r="G346" s="275">
        <f t="shared" si="76"/>
        <v>0</v>
      </c>
      <c r="H346" s="96">
        <f t="shared" si="77"/>
        <v>0</v>
      </c>
      <c r="I346" s="2911">
        <f t="shared" si="80"/>
        <v>0</v>
      </c>
      <c r="J346" s="2863"/>
      <c r="K346" s="223">
        <f t="shared" si="79"/>
        <v>0</v>
      </c>
      <c r="L346" s="850" t="s">
        <v>2390</v>
      </c>
      <c r="M346" s="2914"/>
    </row>
    <row r="347" spans="1:13">
      <c r="A347" s="2837"/>
      <c r="B347" s="302" t="str">
        <f>дома!A1473</f>
        <v>Нет</v>
      </c>
      <c r="C347" s="2890" t="str">
        <f>дома!B1473</f>
        <v>м3</v>
      </c>
      <c r="D347" s="302">
        <f>дома!C1473</f>
        <v>0</v>
      </c>
      <c r="E347" s="302">
        <f>дома!D1473</f>
        <v>0</v>
      </c>
      <c r="F347" s="302"/>
      <c r="G347" s="275">
        <f t="shared" si="76"/>
        <v>0</v>
      </c>
      <c r="H347" s="96">
        <f t="shared" si="77"/>
        <v>0</v>
      </c>
      <c r="I347" s="2911">
        <f t="shared" si="80"/>
        <v>0</v>
      </c>
      <c r="J347" s="2863"/>
      <c r="K347" s="223">
        <f t="shared" si="79"/>
        <v>0</v>
      </c>
      <c r="L347" s="2918" t="s">
        <v>2234</v>
      </c>
      <c r="M347" s="2914"/>
    </row>
    <row r="348" spans="1:13">
      <c r="A348" s="2837"/>
      <c r="B348" s="302" t="str">
        <f>дома!A1474</f>
        <v>Нет</v>
      </c>
      <c r="C348" s="2890" t="str">
        <f>дома!B1474</f>
        <v>м3</v>
      </c>
      <c r="D348" s="302">
        <f>дома!C1474</f>
        <v>0</v>
      </c>
      <c r="E348" s="302">
        <f>дома!D1474</f>
        <v>0</v>
      </c>
      <c r="F348" s="302"/>
      <c r="G348" s="275">
        <f t="shared" si="76"/>
        <v>0</v>
      </c>
      <c r="H348" s="96">
        <f t="shared" si="77"/>
        <v>0</v>
      </c>
      <c r="I348" s="2911">
        <f t="shared" si="80"/>
        <v>0</v>
      </c>
      <c r="J348" s="2863"/>
      <c r="K348" s="223">
        <f t="shared" si="79"/>
        <v>0</v>
      </c>
      <c r="L348" s="2918" t="s">
        <v>2384</v>
      </c>
      <c r="M348" s="2914"/>
    </row>
    <row r="349" spans="1:13">
      <c r="A349" s="2837"/>
      <c r="B349" s="302" t="str">
        <f>дома!A1475</f>
        <v>нет</v>
      </c>
      <c r="C349" s="2890" t="str">
        <f>дома!B1475</f>
        <v>м2</v>
      </c>
      <c r="D349" s="302">
        <f>дома!C1475</f>
        <v>0</v>
      </c>
      <c r="E349" s="302">
        <f>дома!D1475</f>
        <v>0</v>
      </c>
      <c r="F349" s="302"/>
      <c r="G349" s="275">
        <f t="shared" si="76"/>
        <v>0</v>
      </c>
      <c r="H349" s="96">
        <f t="shared" si="77"/>
        <v>0</v>
      </c>
      <c r="I349" s="2911">
        <f t="shared" si="80"/>
        <v>0</v>
      </c>
      <c r="J349" s="2863"/>
      <c r="K349" s="223">
        <f t="shared" si="79"/>
        <v>0</v>
      </c>
      <c r="L349" s="850" t="s">
        <v>2062</v>
      </c>
      <c r="M349" s="2914"/>
    </row>
    <row r="350" spans="1:13">
      <c r="A350" s="2837"/>
      <c r="B350" s="302" t="str">
        <f>дома!A1476</f>
        <v>нет</v>
      </c>
      <c r="C350" s="2890" t="str">
        <f>дома!B1476</f>
        <v>м2</v>
      </c>
      <c r="D350" s="302">
        <f>дома!C1476</f>
        <v>0</v>
      </c>
      <c r="E350" s="302">
        <f>дома!D1476</f>
        <v>0</v>
      </c>
      <c r="F350" s="302"/>
      <c r="G350" s="275">
        <f t="shared" si="76"/>
        <v>0</v>
      </c>
      <c r="H350" s="96">
        <f t="shared" si="77"/>
        <v>0</v>
      </c>
      <c r="I350" s="2911">
        <f t="shared" si="80"/>
        <v>0</v>
      </c>
      <c r="J350" s="2863"/>
      <c r="K350" s="223">
        <f t="shared" si="79"/>
        <v>0</v>
      </c>
      <c r="L350" s="2918" t="s">
        <v>3711</v>
      </c>
      <c r="M350" s="2914"/>
    </row>
    <row r="351" spans="1:13">
      <c r="A351" s="2837"/>
      <c r="B351" s="302" t="str">
        <f>дома!A1477</f>
        <v>нет</v>
      </c>
      <c r="C351" s="2890" t="str">
        <f>дома!B1477</f>
        <v>м2</v>
      </c>
      <c r="D351" s="302">
        <f>дома!C1477</f>
        <v>0</v>
      </c>
      <c r="E351" s="302">
        <f>дома!D1477</f>
        <v>0</v>
      </c>
      <c r="F351" s="302"/>
      <c r="G351" s="275">
        <f t="shared" si="76"/>
        <v>0</v>
      </c>
      <c r="H351" s="96">
        <f t="shared" si="77"/>
        <v>0</v>
      </c>
      <c r="I351" s="2911">
        <f t="shared" si="80"/>
        <v>0</v>
      </c>
      <c r="J351" s="2863"/>
      <c r="K351" s="223">
        <f t="shared" si="79"/>
        <v>0</v>
      </c>
      <c r="L351" s="2918" t="s">
        <v>3712</v>
      </c>
      <c r="M351" s="2914"/>
    </row>
    <row r="352" spans="1:13">
      <c r="A352" s="2837"/>
      <c r="B352" s="302" t="str">
        <f>дома!A1478</f>
        <v xml:space="preserve">Саморезы 3,5 x 25            </v>
      </c>
      <c r="C352" s="2890" t="str">
        <f>дома!B1478</f>
        <v>шт</v>
      </c>
      <c r="D352" s="302">
        <f>дома!C1478</f>
        <v>0</v>
      </c>
      <c r="E352" s="302">
        <f>дома!D1478</f>
        <v>0.2</v>
      </c>
      <c r="F352" s="302"/>
      <c r="G352" s="275">
        <f t="shared" si="76"/>
        <v>0</v>
      </c>
      <c r="H352" s="96">
        <f t="shared" si="77"/>
        <v>0</v>
      </c>
      <c r="I352" s="2911">
        <f t="shared" si="80"/>
        <v>0</v>
      </c>
      <c r="J352" s="2863"/>
      <c r="K352" s="223">
        <f t="shared" si="79"/>
        <v>0</v>
      </c>
      <c r="L352" s="2918" t="s">
        <v>3713</v>
      </c>
      <c r="M352" s="2914"/>
    </row>
    <row r="353" spans="1:13">
      <c r="A353" s="2837"/>
      <c r="B353" s="302" t="str">
        <f>дома!A1479</f>
        <v xml:space="preserve">Гвозди ершоные 2,8 х 90            </v>
      </c>
      <c r="C353" s="2890" t="str">
        <f>дома!B1479</f>
        <v>кг</v>
      </c>
      <c r="D353" s="302">
        <f>дома!C1479</f>
        <v>0</v>
      </c>
      <c r="E353" s="302">
        <f>дома!D1479</f>
        <v>76.489999999999995</v>
      </c>
      <c r="F353" s="302"/>
      <c r="G353" s="275">
        <f t="shared" si="76"/>
        <v>0</v>
      </c>
      <c r="H353" s="96">
        <f t="shared" si="77"/>
        <v>0</v>
      </c>
      <c r="I353" s="2911">
        <f t="shared" si="80"/>
        <v>0</v>
      </c>
      <c r="J353" s="2863"/>
      <c r="K353" s="223">
        <f t="shared" si="79"/>
        <v>0</v>
      </c>
      <c r="L353" s="2919"/>
      <c r="M353" s="2914"/>
    </row>
    <row r="354" spans="1:13">
      <c r="A354" s="2837"/>
      <c r="B354" s="302" t="str">
        <f>дома!A1480</f>
        <v xml:space="preserve">Гвозди ершоные 3,4 x 60            </v>
      </c>
      <c r="C354" s="2890" t="str">
        <f>дома!B1480</f>
        <v>кг</v>
      </c>
      <c r="D354" s="302">
        <f>дома!C1480</f>
        <v>0</v>
      </c>
      <c r="E354" s="302">
        <f>дома!D1480</f>
        <v>75.510000000000005</v>
      </c>
      <c r="F354" s="302"/>
      <c r="G354" s="275">
        <f t="shared" si="76"/>
        <v>0</v>
      </c>
      <c r="H354" s="96">
        <f t="shared" si="77"/>
        <v>0</v>
      </c>
      <c r="I354" s="2911">
        <f t="shared" si="80"/>
        <v>0</v>
      </c>
      <c r="J354" s="2863"/>
      <c r="K354" s="223">
        <f t="shared" si="79"/>
        <v>0</v>
      </c>
      <c r="L354" s="2919"/>
      <c r="M354" s="2914"/>
    </row>
    <row r="355" spans="1:13">
      <c r="A355" s="2837"/>
      <c r="B355" s="302" t="str">
        <f>дома!A1481</f>
        <v>нет ветроизоляции</v>
      </c>
      <c r="C355" s="2890" t="str">
        <f>дома!B1481</f>
        <v>м2</v>
      </c>
      <c r="D355" s="302">
        <f>дома!C1481</f>
        <v>0</v>
      </c>
      <c r="E355" s="302">
        <f>дома!D1481</f>
        <v>0</v>
      </c>
      <c r="F355" s="302"/>
      <c r="G355" s="275">
        <f t="shared" si="76"/>
        <v>0</v>
      </c>
      <c r="H355" s="96">
        <f t="shared" si="77"/>
        <v>0</v>
      </c>
      <c r="I355" s="2911">
        <f t="shared" si="80"/>
        <v>0</v>
      </c>
      <c r="J355" s="2863"/>
      <c r="K355" s="223">
        <f t="shared" si="79"/>
        <v>0</v>
      </c>
      <c r="L355" s="2918" t="s">
        <v>3717</v>
      </c>
      <c r="M355" s="2914"/>
    </row>
    <row r="356" spans="1:13">
      <c r="A356" s="2837"/>
      <c r="B356" s="302" t="str">
        <f>дома!A1482</f>
        <v>нет пароизоляции</v>
      </c>
      <c r="C356" s="2890" t="str">
        <f>дома!B1482</f>
        <v>м2</v>
      </c>
      <c r="D356" s="302">
        <f>дома!C1482</f>
        <v>0</v>
      </c>
      <c r="E356" s="302">
        <f>дома!D1482</f>
        <v>0</v>
      </c>
      <c r="F356" s="302"/>
      <c r="G356" s="275">
        <f t="shared" si="76"/>
        <v>0</v>
      </c>
      <c r="H356" s="96">
        <f t="shared" si="77"/>
        <v>0</v>
      </c>
      <c r="I356" s="2911">
        <f t="shared" si="80"/>
        <v>0</v>
      </c>
      <c r="J356" s="2863"/>
      <c r="K356" s="223">
        <f t="shared" si="79"/>
        <v>0</v>
      </c>
      <c r="L356" s="2918" t="s">
        <v>3721</v>
      </c>
      <c r="M356" s="2914"/>
    </row>
    <row r="357" spans="1:13">
      <c r="A357" s="2837"/>
      <c r="B357" s="302" t="str">
        <f>дома!A1483</f>
        <v>Скобы для степлера, 1000шт/уп</v>
      </c>
      <c r="C357" s="2890" t="str">
        <f>дома!B1483</f>
        <v>уп</v>
      </c>
      <c r="D357" s="302">
        <f>дома!C1483</f>
        <v>5</v>
      </c>
      <c r="E357" s="302">
        <f>дома!D1483</f>
        <v>100</v>
      </c>
      <c r="F357" s="302"/>
      <c r="G357" s="275">
        <f t="shared" si="76"/>
        <v>500</v>
      </c>
      <c r="H357" s="96">
        <f t="shared" si="77"/>
        <v>0</v>
      </c>
      <c r="I357" s="2911">
        <f t="shared" si="80"/>
        <v>0</v>
      </c>
      <c r="J357" s="2863"/>
      <c r="K357" s="223">
        <f t="shared" si="79"/>
        <v>5</v>
      </c>
      <c r="L357" s="2919"/>
      <c r="M357" s="2914"/>
    </row>
    <row r="358" spans="1:13">
      <c r="A358" s="2837"/>
      <c r="B358" s="3278" t="s">
        <v>4640</v>
      </c>
      <c r="C358" s="3278"/>
      <c r="D358" s="3278"/>
      <c r="E358" s="3278"/>
      <c r="F358" s="2868"/>
      <c r="G358" s="96">
        <f>SUM(G333:G357)*H331</f>
        <v>0</v>
      </c>
      <c r="H358" s="96">
        <f>SUM(H333:H357)</f>
        <v>0</v>
      </c>
      <c r="I358" s="2911">
        <f t="shared" si="80"/>
        <v>0</v>
      </c>
      <c r="J358" s="2863"/>
      <c r="K358" s="223">
        <f t="shared" si="79"/>
        <v>0</v>
      </c>
      <c r="L358" s="2919"/>
      <c r="M358" s="2914"/>
    </row>
    <row r="359" spans="1:13">
      <c r="A359" s="2837"/>
      <c r="B359" s="3279" t="s">
        <v>1409</v>
      </c>
      <c r="C359" s="3279"/>
      <c r="D359" s="3279"/>
      <c r="E359" s="3279"/>
      <c r="F359" s="2870"/>
      <c r="G359" s="941"/>
      <c r="H359" s="2891">
        <f>H331</f>
        <v>0</v>
      </c>
      <c r="I359" s="2879">
        <f>H359</f>
        <v>0</v>
      </c>
      <c r="J359" s="2892"/>
      <c r="K359" s="2893"/>
      <c r="L359" s="2858"/>
      <c r="M359" s="2854"/>
    </row>
    <row r="360" spans="1:13">
      <c r="A360" s="2829"/>
      <c r="B360" s="2763" t="str">
        <f>дома!G1466</f>
        <v>монтаж обвязки</v>
      </c>
      <c r="C360" s="2890" t="s">
        <v>156</v>
      </c>
      <c r="D360" s="302">
        <f>дома!L1466</f>
        <v>0</v>
      </c>
      <c r="E360" s="179">
        <f>дома!O1466</f>
        <v>200</v>
      </c>
      <c r="F360" s="179"/>
      <c r="G360" s="275">
        <f t="shared" ref="G360:G373" si="81">IF(F360&gt;0,D360*F360,E360*D360)</f>
        <v>0</v>
      </c>
      <c r="H360" s="100">
        <f t="shared" ref="H360:H373" si="82">D360*E360*$H$332</f>
        <v>0</v>
      </c>
      <c r="I360" s="2836">
        <f t="shared" ref="I360:I374" si="83">IF(G360&gt;H360,G360,H360)*$H$331</f>
        <v>0</v>
      </c>
      <c r="J360" s="2829"/>
      <c r="K360" s="2837"/>
      <c r="L360" s="2858"/>
      <c r="M360" s="2854"/>
    </row>
    <row r="361" spans="1:13">
      <c r="A361" s="2837"/>
      <c r="B361" s="2763" t="str">
        <f>дома!G1467</f>
        <v>монтаж стен каркаса</v>
      </c>
      <c r="C361" s="2890" t="s">
        <v>133</v>
      </c>
      <c r="D361" s="302">
        <f>дома!L1467</f>
        <v>0</v>
      </c>
      <c r="E361" s="179">
        <f>дома!O1467</f>
        <v>400</v>
      </c>
      <c r="F361" s="179"/>
      <c r="G361" s="275">
        <f t="shared" si="81"/>
        <v>0</v>
      </c>
      <c r="H361" s="100">
        <f t="shared" si="82"/>
        <v>0</v>
      </c>
      <c r="I361" s="2836">
        <f t="shared" si="83"/>
        <v>0</v>
      </c>
      <c r="J361" s="2829"/>
      <c r="K361" s="2837"/>
      <c r="L361" s="2858"/>
      <c r="M361" s="2854"/>
    </row>
    <row r="362" spans="1:13">
      <c r="A362" s="2837"/>
      <c r="B362" s="2763" t="str">
        <f>дома!G1468</f>
        <v>Монтаж несущих перегородок</v>
      </c>
      <c r="C362" s="2890" t="s">
        <v>133</v>
      </c>
      <c r="D362" s="302">
        <f>дома!L1468</f>
        <v>0</v>
      </c>
      <c r="E362" s="179">
        <f>дома!O1468</f>
        <v>400</v>
      </c>
      <c r="F362" s="179"/>
      <c r="G362" s="275">
        <f t="shared" si="81"/>
        <v>0</v>
      </c>
      <c r="H362" s="100">
        <f t="shared" si="82"/>
        <v>0</v>
      </c>
      <c r="I362" s="2836">
        <f t="shared" si="83"/>
        <v>0</v>
      </c>
      <c r="J362" s="2829"/>
      <c r="K362" s="2837"/>
      <c r="L362" s="2858"/>
      <c r="M362" s="2854"/>
    </row>
    <row r="363" spans="1:13">
      <c r="A363" s="2837"/>
      <c r="B363" s="2763" t="str">
        <f>дома!G1469</f>
        <v>Монтаж перегородок</v>
      </c>
      <c r="C363" s="2890" t="s">
        <v>133</v>
      </c>
      <c r="D363" s="302">
        <f>дома!L1469</f>
        <v>0</v>
      </c>
      <c r="E363" s="179">
        <f>дома!O1469</f>
        <v>400</v>
      </c>
      <c r="F363" s="179"/>
      <c r="G363" s="275">
        <f t="shared" si="81"/>
        <v>0</v>
      </c>
      <c r="H363" s="100">
        <f t="shared" si="82"/>
        <v>0</v>
      </c>
      <c r="I363" s="2836">
        <f t="shared" si="83"/>
        <v>0</v>
      </c>
      <c r="L363" s="2858"/>
      <c r="M363" s="910"/>
    </row>
    <row r="364" spans="1:13">
      <c r="A364" s="2837"/>
      <c r="B364" s="2763" t="str">
        <f>дома!G1470</f>
        <v>Монтаж вентиляционного зазора</v>
      </c>
      <c r="C364" s="2890" t="s">
        <v>133</v>
      </c>
      <c r="D364" s="302">
        <f>дома!L1470</f>
        <v>0</v>
      </c>
      <c r="E364" s="179">
        <f>дома!O1470</f>
        <v>80</v>
      </c>
      <c r="F364" s="179"/>
      <c r="G364" s="275">
        <f t="shared" si="81"/>
        <v>0</v>
      </c>
      <c r="H364" s="100">
        <f t="shared" si="82"/>
        <v>0</v>
      </c>
      <c r="I364" s="2836">
        <f t="shared" si="83"/>
        <v>0</v>
      </c>
      <c r="L364" s="2858"/>
      <c r="M364" s="910"/>
    </row>
    <row r="365" spans="1:13">
      <c r="A365" s="2837"/>
      <c r="B365" s="2763" t="str">
        <f>дома!G1471</f>
        <v>Монтаж технологического зазора</v>
      </c>
      <c r="C365" s="2890" t="s">
        <v>133</v>
      </c>
      <c r="D365" s="302">
        <f>дома!L1471</f>
        <v>0</v>
      </c>
      <c r="E365" s="179">
        <f>дома!O1471</f>
        <v>80</v>
      </c>
      <c r="F365" s="179"/>
      <c r="G365" s="275">
        <f t="shared" si="81"/>
        <v>0</v>
      </c>
      <c r="H365" s="100">
        <f t="shared" si="82"/>
        <v>0</v>
      </c>
      <c r="I365" s="2836">
        <f t="shared" si="83"/>
        <v>0</v>
      </c>
      <c r="L365" s="2858"/>
      <c r="M365" s="910"/>
    </row>
    <row r="366" spans="1:13">
      <c r="A366" s="2837"/>
      <c r="B366" s="2763" t="str">
        <f>дома!G1472</f>
        <v>монтаж ветроизоляции стен</v>
      </c>
      <c r="C366" s="2890" t="s">
        <v>133</v>
      </c>
      <c r="D366" s="302">
        <f>дома!L1472</f>
        <v>0</v>
      </c>
      <c r="E366" s="179">
        <f>дома!O1472</f>
        <v>100</v>
      </c>
      <c r="F366" s="179"/>
      <c r="G366" s="275">
        <f t="shared" si="81"/>
        <v>0</v>
      </c>
      <c r="H366" s="100">
        <f t="shared" si="82"/>
        <v>0</v>
      </c>
      <c r="I366" s="2836">
        <f t="shared" si="83"/>
        <v>0</v>
      </c>
      <c r="L366" s="2858"/>
      <c r="M366" s="910"/>
    </row>
    <row r="367" spans="1:13">
      <c r="A367" s="2837"/>
      <c r="B367" s="2763" t="str">
        <f>дома!G1473</f>
        <v>монтаж пароизоляции стен</v>
      </c>
      <c r="C367" s="2890" t="s">
        <v>133</v>
      </c>
      <c r="D367" s="302">
        <f>дома!L1473</f>
        <v>0</v>
      </c>
      <c r="E367" s="179">
        <f>дома!O1473</f>
        <v>100</v>
      </c>
      <c r="F367" s="179"/>
      <c r="G367" s="275">
        <f t="shared" si="81"/>
        <v>0</v>
      </c>
      <c r="H367" s="100">
        <f t="shared" si="82"/>
        <v>0</v>
      </c>
      <c r="I367" s="2836">
        <f t="shared" si="83"/>
        <v>0</v>
      </c>
      <c r="J367" s="2829"/>
      <c r="K367" s="2837"/>
      <c r="L367" s="2858"/>
      <c r="M367" s="2854"/>
    </row>
    <row r="368" spans="1:13">
      <c r="A368" s="2837"/>
      <c r="B368" s="2763" t="str">
        <f>дома!G1474</f>
        <v>монтаж osb/фанера наруж стены</v>
      </c>
      <c r="C368" s="2890" t="s">
        <v>133</v>
      </c>
      <c r="D368" s="302">
        <f>дома!L1474</f>
        <v>0</v>
      </c>
      <c r="E368" s="179">
        <f>дома!O1474</f>
        <v>200</v>
      </c>
      <c r="F368" s="179"/>
      <c r="G368" s="275">
        <f t="shared" si="81"/>
        <v>0</v>
      </c>
      <c r="H368" s="100">
        <f t="shared" si="82"/>
        <v>0</v>
      </c>
      <c r="I368" s="2836">
        <f t="shared" si="83"/>
        <v>0</v>
      </c>
      <c r="J368" s="2829"/>
      <c r="K368" s="2837"/>
      <c r="L368" s="2858"/>
      <c r="M368" s="2854"/>
    </row>
    <row r="369" spans="1:13">
      <c r="A369" s="2837"/>
      <c r="B369" s="2763" t="str">
        <f>дома!G1475</f>
        <v>монтаж osb/фанера потолок</v>
      </c>
      <c r="C369" s="2890" t="s">
        <v>133</v>
      </c>
      <c r="D369" s="302">
        <f>дома!L1475</f>
        <v>0</v>
      </c>
      <c r="E369" s="179">
        <f>дома!O1475</f>
        <v>200</v>
      </c>
      <c r="F369" s="179"/>
      <c r="G369" s="275">
        <f t="shared" si="81"/>
        <v>0</v>
      </c>
      <c r="H369" s="100">
        <f t="shared" si="82"/>
        <v>0</v>
      </c>
      <c r="I369" s="2836">
        <f t="shared" si="83"/>
        <v>0</v>
      </c>
      <c r="J369" s="2829"/>
      <c r="K369" s="2837"/>
      <c r="L369" s="2858"/>
      <c r="M369" s="2854"/>
    </row>
    <row r="370" spans="1:13">
      <c r="A370" s="2837"/>
      <c r="B370" s="2763" t="str">
        <f>дома!G1476</f>
        <v>монтаж osb/фанера перегородки</v>
      </c>
      <c r="C370" s="2890" t="s">
        <v>133</v>
      </c>
      <c r="D370" s="302">
        <f>дома!L1476</f>
        <v>0</v>
      </c>
      <c r="E370" s="179">
        <f>дома!O1476</f>
        <v>200</v>
      </c>
      <c r="F370" s="179"/>
      <c r="G370" s="275">
        <f t="shared" si="81"/>
        <v>0</v>
      </c>
      <c r="H370" s="100">
        <f t="shared" si="82"/>
        <v>0</v>
      </c>
      <c r="I370" s="2836">
        <f t="shared" si="83"/>
        <v>0</v>
      </c>
      <c r="J370" s="2829"/>
      <c r="K370" s="2837"/>
      <c r="L370" s="2858"/>
      <c r="M370" s="2854"/>
    </row>
    <row r="371" spans="1:13">
      <c r="A371" s="2837"/>
      <c r="B371" s="2763" t="str">
        <f>дома!G1477</f>
        <v>монтаж osb/фанера пол</v>
      </c>
      <c r="C371" s="2890" t="s">
        <v>133</v>
      </c>
      <c r="D371" s="302">
        <f>дома!L1477</f>
        <v>100</v>
      </c>
      <c r="E371" s="179">
        <f>дома!O1477</f>
        <v>200</v>
      </c>
      <c r="F371" s="179"/>
      <c r="G371" s="275">
        <f t="shared" si="81"/>
        <v>20000</v>
      </c>
      <c r="H371" s="100">
        <f t="shared" si="82"/>
        <v>0</v>
      </c>
      <c r="I371" s="2836">
        <f t="shared" si="83"/>
        <v>0</v>
      </c>
      <c r="J371" s="2829"/>
      <c r="K371" s="2837"/>
      <c r="L371" s="2858"/>
      <c r="M371" s="2854"/>
    </row>
    <row r="372" spans="1:13">
      <c r="A372" s="2837"/>
      <c r="B372" s="2763" t="str">
        <f>дома!G1478</f>
        <v>утепление наружних стен</v>
      </c>
      <c r="C372" s="2890" t="s">
        <v>133</v>
      </c>
      <c r="D372" s="302">
        <f>дома!L1478</f>
        <v>0</v>
      </c>
      <c r="E372" s="179">
        <f>дома!O1478</f>
        <v>200</v>
      </c>
      <c r="F372" s="179"/>
      <c r="G372" s="275">
        <f t="shared" si="81"/>
        <v>0</v>
      </c>
      <c r="H372" s="100">
        <f t="shared" si="82"/>
        <v>0</v>
      </c>
      <c r="I372" s="2836">
        <f t="shared" si="83"/>
        <v>0</v>
      </c>
      <c r="J372" s="2829"/>
      <c r="K372" s="2837"/>
      <c r="L372" s="2858"/>
      <c r="M372" s="2854"/>
    </row>
    <row r="373" spans="1:13">
      <c r="A373" s="2837"/>
      <c r="B373" s="2763" t="str">
        <f>дома!G1479</f>
        <v>Утепление перегородок</v>
      </c>
      <c r="C373" s="2890" t="s">
        <v>133</v>
      </c>
      <c r="D373" s="302">
        <f>дома!L1479</f>
        <v>0</v>
      </c>
      <c r="E373" s="179">
        <f>дома!O1479</f>
        <v>200</v>
      </c>
      <c r="F373" s="179"/>
      <c r="G373" s="275">
        <f t="shared" si="81"/>
        <v>0</v>
      </c>
      <c r="H373" s="100">
        <f t="shared" si="82"/>
        <v>0</v>
      </c>
      <c r="I373" s="2836">
        <f t="shared" si="83"/>
        <v>0</v>
      </c>
      <c r="J373" s="2829"/>
      <c r="K373" s="2837"/>
      <c r="L373" s="2858"/>
      <c r="M373" s="2854"/>
    </row>
    <row r="374" spans="1:13">
      <c r="A374" s="2837"/>
      <c r="B374" s="3278" t="s">
        <v>4641</v>
      </c>
      <c r="C374" s="3278"/>
      <c r="D374" s="3278"/>
      <c r="E374" s="3278"/>
      <c r="F374" s="2868"/>
      <c r="G374" s="2315">
        <f>SUM(G360:G373)*H359</f>
        <v>0</v>
      </c>
      <c r="H374" s="2315">
        <f>SUM(H360:H373)</f>
        <v>0</v>
      </c>
      <c r="I374" s="2836">
        <f t="shared" si="83"/>
        <v>0</v>
      </c>
      <c r="J374" s="2829"/>
      <c r="K374" s="2837"/>
      <c r="L374" s="2858"/>
      <c r="M374" s="2854"/>
    </row>
    <row r="375" spans="1:13" ht="21">
      <c r="A375" s="2837"/>
      <c r="B375" s="3283" t="s">
        <v>4650</v>
      </c>
      <c r="C375" s="3283"/>
      <c r="D375" s="3283"/>
      <c r="E375" s="2920"/>
      <c r="F375" s="2920"/>
      <c r="G375" s="2304"/>
      <c r="H375" s="2896">
        <f>IF('Ввод данных'!$A$8=связи1!A152,1,0)+IF('Ввод данных'!$A$8=связи1!A169,1,0)+IF('Ввод данных'!$A$8=связи1!A177,1,0)+IF('Ввод данных'!$A$8=связи1!A184,1,0)+IF('Ввод данных'!$A$8=связи1!A185,1,0)</f>
        <v>0</v>
      </c>
      <c r="I375" s="2879">
        <f>H375</f>
        <v>0</v>
      </c>
      <c r="J375" s="2829"/>
      <c r="K375" s="2837"/>
      <c r="L375" s="2858"/>
      <c r="M375" s="2854"/>
    </row>
    <row r="376" spans="1:13">
      <c r="A376" s="2837"/>
      <c r="B376" s="3286" t="s">
        <v>2720</v>
      </c>
      <c r="C376" s="3286"/>
      <c r="D376" s="2920"/>
      <c r="E376" s="2920"/>
      <c r="F376" s="2920"/>
      <c r="G376" s="2304"/>
      <c r="H376" s="2896">
        <f>H375</f>
        <v>0</v>
      </c>
      <c r="I376" s="2879">
        <f>H376</f>
        <v>0</v>
      </c>
      <c r="J376" s="2850"/>
      <c r="K376" s="2851"/>
      <c r="L376" s="2858"/>
      <c r="M376" s="2854"/>
    </row>
    <row r="377" spans="1:13">
      <c r="A377" s="2837"/>
      <c r="B377" s="302" t="str">
        <f>дома!AQ1466</f>
        <v>Брус естественной влажности, 150*150мм</v>
      </c>
      <c r="C377" s="2890" t="str">
        <f>дома!AR1466</f>
        <v>м3</v>
      </c>
      <c r="D377" s="275">
        <f>дома!AS1466</f>
        <v>1.26</v>
      </c>
      <c r="E377" s="275">
        <f>дома!AT1466</f>
        <v>6500</v>
      </c>
      <c r="F377" s="302"/>
      <c r="G377" s="275">
        <f t="shared" ref="G377:G408" si="84">IF(F377&gt;0,D377*F377,E377*D377)</f>
        <v>8190</v>
      </c>
      <c r="H377" s="96">
        <f t="shared" ref="H377:H408" si="85">D377*E377*$H$375</f>
        <v>0</v>
      </c>
      <c r="I377" s="2911">
        <f t="shared" ref="I377:I408" si="86">IF(G377&gt;H377,G377,H377)*$H$375</f>
        <v>0</v>
      </c>
      <c r="J377" s="2863"/>
      <c r="K377" s="223">
        <f t="shared" ref="K377:K408" si="87">D377-J377</f>
        <v>1.26</v>
      </c>
      <c r="L377" s="2913" t="s">
        <v>3699</v>
      </c>
      <c r="M377" s="2914"/>
    </row>
    <row r="378" spans="1:13">
      <c r="A378" s="2837"/>
      <c r="B378" s="302" t="str">
        <f>дома!AQ1467</f>
        <v xml:space="preserve">Болты анкерные с гайкой 12,0 х 280          </v>
      </c>
      <c r="C378" s="2890" t="str">
        <f>дома!AR1467</f>
        <v>шт</v>
      </c>
      <c r="D378" s="275">
        <f>дома!AS1467</f>
        <v>56</v>
      </c>
      <c r="E378" s="275">
        <f>дома!AT1467</f>
        <v>27.1</v>
      </c>
      <c r="F378" s="302"/>
      <c r="G378" s="275">
        <f t="shared" si="84"/>
        <v>1517.6000000000001</v>
      </c>
      <c r="H378" s="96">
        <f t="shared" si="85"/>
        <v>0</v>
      </c>
      <c r="I378" s="2911">
        <f t="shared" si="86"/>
        <v>0</v>
      </c>
      <c r="J378" s="2863"/>
      <c r="K378" s="223">
        <f t="shared" si="87"/>
        <v>56</v>
      </c>
      <c r="L378" s="2913" t="s">
        <v>3702</v>
      </c>
      <c r="M378" s="2914"/>
    </row>
    <row r="379" spans="1:13">
      <c r="A379" s="2837"/>
      <c r="B379" s="302" t="str">
        <f>дома!AQ1468</f>
        <v>ГПС 150х50-1,2</v>
      </c>
      <c r="C379" s="2890" t="str">
        <f>дома!AR1468</f>
        <v>м3</v>
      </c>
      <c r="D379" s="275">
        <f>дома!AS1468</f>
        <v>0</v>
      </c>
      <c r="E379" s="275">
        <f>дома!AT1468</f>
        <v>201</v>
      </c>
      <c r="F379" s="302"/>
      <c r="G379" s="275">
        <f t="shared" si="84"/>
        <v>0</v>
      </c>
      <c r="H379" s="96">
        <f t="shared" si="85"/>
        <v>0</v>
      </c>
      <c r="I379" s="2911">
        <f t="shared" si="86"/>
        <v>0</v>
      </c>
      <c r="J379" s="2863"/>
      <c r="K379" s="223">
        <f t="shared" si="87"/>
        <v>0</v>
      </c>
      <c r="L379" s="2913" t="s">
        <v>3704</v>
      </c>
      <c r="M379" s="2914"/>
    </row>
    <row r="380" spans="1:13">
      <c r="A380" s="2837"/>
      <c r="B380" s="302" t="str">
        <f>дома!AZ1466</f>
        <v>ГПН 152х35-1,2</v>
      </c>
      <c r="C380" s="2890" t="str">
        <f>дома!BA1466</f>
        <v>мп.</v>
      </c>
      <c r="D380" s="275">
        <f>дома!BB1466</f>
        <v>0</v>
      </c>
      <c r="E380" s="275">
        <f>дома!BC1466</f>
        <v>163</v>
      </c>
      <c r="F380" s="302"/>
      <c r="G380" s="275">
        <f t="shared" si="84"/>
        <v>0</v>
      </c>
      <c r="H380" s="96">
        <f t="shared" si="85"/>
        <v>0</v>
      </c>
      <c r="I380" s="2911">
        <f t="shared" si="86"/>
        <v>0</v>
      </c>
      <c r="J380" s="2863"/>
      <c r="K380" s="223">
        <f t="shared" si="87"/>
        <v>0</v>
      </c>
      <c r="L380" s="2913" t="s">
        <v>3718</v>
      </c>
      <c r="M380" s="2914"/>
    </row>
    <row r="381" spans="1:13">
      <c r="A381" s="2837"/>
      <c r="B381" s="302" t="str">
        <f>дома!AZ1467</f>
        <v xml:space="preserve">Болты анкерные с гайкой 12,0 x 100          </v>
      </c>
      <c r="C381" s="2890" t="str">
        <f>дома!BA1467</f>
        <v>шт.</v>
      </c>
      <c r="D381" s="275">
        <f>дома!BB1467</f>
        <v>0</v>
      </c>
      <c r="E381" s="275">
        <f>дома!BC1467</f>
        <v>11.2</v>
      </c>
      <c r="F381" s="302"/>
      <c r="G381" s="275">
        <f t="shared" si="84"/>
        <v>0</v>
      </c>
      <c r="H381" s="96">
        <f t="shared" si="85"/>
        <v>0</v>
      </c>
      <c r="I381" s="2911">
        <f t="shared" si="86"/>
        <v>0</v>
      </c>
      <c r="J381" s="2863"/>
      <c r="K381" s="223">
        <f t="shared" si="87"/>
        <v>0</v>
      </c>
      <c r="L381" s="2913" t="s">
        <v>3722</v>
      </c>
      <c r="M381" s="2914"/>
    </row>
    <row r="382" spans="1:13">
      <c r="A382" s="2837"/>
      <c r="B382" s="302" t="str">
        <f>дома!AZ1468</f>
        <v>Саморез 5,5 х 25</v>
      </c>
      <c r="C382" s="2890" t="str">
        <f>дома!BA1468</f>
        <v>шт.</v>
      </c>
      <c r="D382" s="275">
        <f>дома!BB1468</f>
        <v>1644</v>
      </c>
      <c r="E382" s="275">
        <f>дома!BC1468</f>
        <v>2.5</v>
      </c>
      <c r="F382" s="302"/>
      <c r="G382" s="275">
        <f t="shared" si="84"/>
        <v>4110</v>
      </c>
      <c r="H382" s="96">
        <f t="shared" si="85"/>
        <v>0</v>
      </c>
      <c r="I382" s="2911">
        <f t="shared" si="86"/>
        <v>0</v>
      </c>
      <c r="J382" s="2863"/>
      <c r="K382" s="223">
        <f t="shared" si="87"/>
        <v>1644</v>
      </c>
      <c r="L382" s="2913" t="s">
        <v>3725</v>
      </c>
      <c r="M382" s="2914"/>
    </row>
    <row r="383" spans="1:13">
      <c r="A383" s="2837"/>
      <c r="B383" s="302" t="str">
        <f>дома!AZ1469</f>
        <v>ГПН 122х35-1,5</v>
      </c>
      <c r="C383" s="2890" t="str">
        <f>дома!BA1469</f>
        <v>мп.</v>
      </c>
      <c r="D383" s="275">
        <f>дома!BB1469</f>
        <v>0</v>
      </c>
      <c r="E383" s="275">
        <f>дома!BC1469</f>
        <v>163</v>
      </c>
      <c r="F383" s="302"/>
      <c r="G383" s="275">
        <f t="shared" si="84"/>
        <v>0</v>
      </c>
      <c r="H383" s="96">
        <f t="shared" si="85"/>
        <v>0</v>
      </c>
      <c r="I383" s="2911">
        <f t="shared" si="86"/>
        <v>0</v>
      </c>
      <c r="J383" s="2863"/>
      <c r="K383" s="223">
        <f t="shared" si="87"/>
        <v>0</v>
      </c>
      <c r="L383" s="2913" t="s">
        <v>3727</v>
      </c>
      <c r="M383" s="2914"/>
    </row>
    <row r="384" spans="1:13">
      <c r="A384" s="2837"/>
      <c r="B384" s="302" t="str">
        <f>дома!AZ1470</f>
        <v xml:space="preserve">Болты анкерные с гайкой 12,0 x 100          </v>
      </c>
      <c r="C384" s="2890" t="str">
        <f>дома!BA1470</f>
        <v>шт.</v>
      </c>
      <c r="D384" s="275">
        <f>дома!BB1470</f>
        <v>0</v>
      </c>
      <c r="E384" s="275">
        <f>дома!BC1470</f>
        <v>11.2</v>
      </c>
      <c r="F384" s="302"/>
      <c r="G384" s="275">
        <f t="shared" si="84"/>
        <v>0</v>
      </c>
      <c r="H384" s="96">
        <f t="shared" si="85"/>
        <v>0</v>
      </c>
      <c r="I384" s="2911">
        <f t="shared" si="86"/>
        <v>0</v>
      </c>
      <c r="J384" s="2863"/>
      <c r="K384" s="223">
        <f t="shared" si="87"/>
        <v>0</v>
      </c>
      <c r="L384" s="2913" t="s">
        <v>3722</v>
      </c>
      <c r="M384" s="2914"/>
    </row>
    <row r="385" spans="1:13">
      <c r="A385" s="2837"/>
      <c r="B385" s="302" t="str">
        <f>дома!AZ1471</f>
        <v>Саморез 5,5 х 25</v>
      </c>
      <c r="C385" s="2890" t="str">
        <f>дома!BA1471</f>
        <v>шт.</v>
      </c>
      <c r="D385" s="275">
        <f>дома!BB1471</f>
        <v>12</v>
      </c>
      <c r="E385" s="275">
        <f>дома!BC1471</f>
        <v>2.5</v>
      </c>
      <c r="F385" s="302"/>
      <c r="G385" s="275">
        <f t="shared" si="84"/>
        <v>30</v>
      </c>
      <c r="H385" s="96">
        <f t="shared" si="85"/>
        <v>0</v>
      </c>
      <c r="I385" s="2911">
        <f t="shared" si="86"/>
        <v>0</v>
      </c>
      <c r="J385" s="2863"/>
      <c r="K385" s="223">
        <f t="shared" si="87"/>
        <v>12</v>
      </c>
      <c r="L385" s="2913" t="s">
        <v>3725</v>
      </c>
      <c r="M385" s="2914"/>
    </row>
    <row r="386" spans="1:13">
      <c r="A386" s="2837"/>
      <c r="B386" s="302" t="str">
        <f>дома!AZ1472</f>
        <v>ГПН 172х35-2,0</v>
      </c>
      <c r="C386" s="2890" t="str">
        <f>дома!BA1472</f>
        <v>мп.</v>
      </c>
      <c r="D386" s="275">
        <f>дома!BB1472</f>
        <v>0</v>
      </c>
      <c r="E386" s="275">
        <f>дома!BC1472</f>
        <v>274</v>
      </c>
      <c r="F386" s="302"/>
      <c r="G386" s="275">
        <f t="shared" si="84"/>
        <v>0</v>
      </c>
      <c r="H386" s="96">
        <f t="shared" si="85"/>
        <v>0</v>
      </c>
      <c r="I386" s="2911">
        <f t="shared" si="86"/>
        <v>0</v>
      </c>
      <c r="J386" s="2863"/>
      <c r="K386" s="223">
        <f t="shared" si="87"/>
        <v>0</v>
      </c>
      <c r="L386" s="2913" t="s">
        <v>3731</v>
      </c>
      <c r="M386" s="2914"/>
    </row>
    <row r="387" spans="1:13">
      <c r="A387" s="2837"/>
      <c r="B387" s="302" t="str">
        <f>дома!AZ1473</f>
        <v xml:space="preserve">Болты анкерные с гайкой 12,0 x 100          </v>
      </c>
      <c r="C387" s="2890" t="str">
        <f>дома!BA1473</f>
        <v>шт.</v>
      </c>
      <c r="D387" s="275">
        <f>дома!BB1473</f>
        <v>0</v>
      </c>
      <c r="E387" s="275">
        <f>дома!BC1473</f>
        <v>11.2</v>
      </c>
      <c r="F387" s="302"/>
      <c r="G387" s="275">
        <f t="shared" si="84"/>
        <v>0</v>
      </c>
      <c r="H387" s="96">
        <f t="shared" si="85"/>
        <v>0</v>
      </c>
      <c r="I387" s="2911">
        <f t="shared" si="86"/>
        <v>0</v>
      </c>
      <c r="J387" s="2863"/>
      <c r="K387" s="223">
        <f t="shared" si="87"/>
        <v>0</v>
      </c>
      <c r="L387" s="2913" t="s">
        <v>3722</v>
      </c>
      <c r="M387" s="2914"/>
    </row>
    <row r="388" spans="1:13">
      <c r="A388" s="2837"/>
      <c r="B388" s="302" t="str">
        <f>дома!AZ1474</f>
        <v>Саморез 5,5 х 25</v>
      </c>
      <c r="C388" s="2890" t="str">
        <f>дома!BA1474</f>
        <v>шт.</v>
      </c>
      <c r="D388" s="275">
        <f>дома!BB1474</f>
        <v>0</v>
      </c>
      <c r="E388" s="275">
        <f>дома!BC1474</f>
        <v>2.5</v>
      </c>
      <c r="F388" s="302"/>
      <c r="G388" s="275">
        <f t="shared" si="84"/>
        <v>0</v>
      </c>
      <c r="H388" s="96">
        <f t="shared" si="85"/>
        <v>0</v>
      </c>
      <c r="I388" s="2911">
        <f t="shared" si="86"/>
        <v>0</v>
      </c>
      <c r="J388" s="2863"/>
      <c r="K388" s="223">
        <f t="shared" si="87"/>
        <v>0</v>
      </c>
      <c r="L388" s="2913" t="s">
        <v>3725</v>
      </c>
      <c r="M388" s="2914"/>
    </row>
    <row r="389" spans="1:13">
      <c r="A389" s="2837"/>
      <c r="B389" s="302" t="str">
        <f>дома!AZ1475</f>
        <v>ГПС 150х50-1,2</v>
      </c>
      <c r="C389" s="2890" t="str">
        <f>дома!BA1475</f>
        <v>мп.</v>
      </c>
      <c r="D389" s="275">
        <f>дома!BB1475</f>
        <v>14</v>
      </c>
      <c r="E389" s="275">
        <f>дома!BC1475</f>
        <v>63.009404388714735</v>
      </c>
      <c r="F389" s="302"/>
      <c r="G389" s="275">
        <f t="shared" si="84"/>
        <v>882.13166144200625</v>
      </c>
      <c r="H389" s="96">
        <f t="shared" si="85"/>
        <v>0</v>
      </c>
      <c r="I389" s="2911">
        <f t="shared" si="86"/>
        <v>0</v>
      </c>
      <c r="J389" s="2863"/>
      <c r="K389" s="223">
        <f t="shared" si="87"/>
        <v>14</v>
      </c>
      <c r="L389" s="2918" t="s">
        <v>3733</v>
      </c>
      <c r="M389" s="2914"/>
    </row>
    <row r="390" spans="1:13">
      <c r="A390" s="2837"/>
      <c r="B390" s="302" t="str">
        <f>дома!AZ1476</f>
        <v>Саморез 5,5 х 25</v>
      </c>
      <c r="C390" s="2890" t="str">
        <f>дома!BA1476</f>
        <v>шт.</v>
      </c>
      <c r="D390" s="275">
        <f>дома!BB1476</f>
        <v>81</v>
      </c>
      <c r="E390" s="275">
        <f>дома!BC1476</f>
        <v>2.5</v>
      </c>
      <c r="F390" s="302"/>
      <c r="G390" s="275">
        <f t="shared" si="84"/>
        <v>202.5</v>
      </c>
      <c r="H390" s="96">
        <f t="shared" si="85"/>
        <v>0</v>
      </c>
      <c r="I390" s="2911">
        <f t="shared" si="86"/>
        <v>0</v>
      </c>
      <c r="J390" s="2863"/>
      <c r="K390" s="223">
        <f t="shared" si="87"/>
        <v>81</v>
      </c>
      <c r="L390" s="2913" t="s">
        <v>3734</v>
      </c>
      <c r="M390" s="2914"/>
    </row>
    <row r="391" spans="1:13">
      <c r="A391" s="2837"/>
      <c r="B391" s="302" t="str">
        <f>дома!BH1466</f>
        <v>L 50 x 50, 1,2мм</v>
      </c>
      <c r="C391" s="2890" t="str">
        <f>дома!BI1466</f>
        <v>м.п.</v>
      </c>
      <c r="D391" s="275">
        <f>дома!BJ1466</f>
        <v>8.1</v>
      </c>
      <c r="E391" s="275">
        <f>дома!BK1466</f>
        <v>77</v>
      </c>
      <c r="F391" s="302"/>
      <c r="G391" s="275">
        <f t="shared" si="84"/>
        <v>623.69999999999993</v>
      </c>
      <c r="H391" s="96">
        <f t="shared" si="85"/>
        <v>0</v>
      </c>
      <c r="I391" s="2911">
        <f t="shared" si="86"/>
        <v>0</v>
      </c>
      <c r="J391" s="2863"/>
      <c r="K391" s="223">
        <f t="shared" si="87"/>
        <v>8.1</v>
      </c>
      <c r="L391" s="2915" t="s">
        <v>3701</v>
      </c>
      <c r="M391" s="2914"/>
    </row>
    <row r="392" spans="1:13">
      <c r="A392" s="2837"/>
      <c r="B392" s="302" t="str">
        <f>дома!BH1467</f>
        <v>ГПС 120х50-1,5</v>
      </c>
      <c r="C392" s="2890" t="str">
        <f>дома!BI1467</f>
        <v>м.п.</v>
      </c>
      <c r="D392" s="275">
        <f>дома!BJ1467</f>
        <v>7.8</v>
      </c>
      <c r="E392" s="275">
        <f>дома!BK1467</f>
        <v>65.882352941176478</v>
      </c>
      <c r="F392" s="302"/>
      <c r="G392" s="275">
        <f t="shared" si="84"/>
        <v>513.88235294117646</v>
      </c>
      <c r="H392" s="96">
        <f t="shared" si="85"/>
        <v>0</v>
      </c>
      <c r="I392" s="2911">
        <f t="shared" si="86"/>
        <v>0</v>
      </c>
      <c r="J392" s="2863"/>
      <c r="K392" s="223">
        <f t="shared" si="87"/>
        <v>7.8</v>
      </c>
      <c r="L392" s="2921" t="s">
        <v>3703</v>
      </c>
      <c r="M392" s="2914"/>
    </row>
    <row r="393" spans="1:13">
      <c r="A393" s="2837"/>
      <c r="B393" s="302" t="str">
        <f>дома!BH1468</f>
        <v>Саморез 5,5 х 25</v>
      </c>
      <c r="C393" s="2890" t="str">
        <f>дома!BI1468</f>
        <v>шт.</v>
      </c>
      <c r="D393" s="275">
        <f>дома!BJ1468</f>
        <v>48</v>
      </c>
      <c r="E393" s="275">
        <f>дома!BK1468</f>
        <v>2.5</v>
      </c>
      <c r="F393" s="302"/>
      <c r="G393" s="275">
        <f t="shared" si="84"/>
        <v>120</v>
      </c>
      <c r="H393" s="96">
        <f t="shared" si="85"/>
        <v>0</v>
      </c>
      <c r="I393" s="2911">
        <f t="shared" si="86"/>
        <v>0</v>
      </c>
      <c r="J393" s="2863"/>
      <c r="K393" s="223">
        <f t="shared" si="87"/>
        <v>48</v>
      </c>
      <c r="L393" s="2921" t="s">
        <v>3705</v>
      </c>
      <c r="M393" s="2914"/>
    </row>
    <row r="394" spans="1:13">
      <c r="A394" s="2837"/>
      <c r="B394" s="302" t="str">
        <f>дома!BH1469</f>
        <v>нет</v>
      </c>
      <c r="C394" s="2890" t="str">
        <f>дома!BI1469</f>
        <v>м.п.</v>
      </c>
      <c r="D394" s="275">
        <f>дома!BJ1469</f>
        <v>0</v>
      </c>
      <c r="E394" s="275">
        <f>дома!BK1469</f>
        <v>0</v>
      </c>
      <c r="F394" s="302"/>
      <c r="G394" s="275">
        <f t="shared" si="84"/>
        <v>0</v>
      </c>
      <c r="H394" s="96">
        <f t="shared" si="85"/>
        <v>0</v>
      </c>
      <c r="I394" s="2911">
        <f t="shared" si="86"/>
        <v>0</v>
      </c>
      <c r="J394" s="2863"/>
      <c r="K394" s="223">
        <f t="shared" si="87"/>
        <v>0</v>
      </c>
      <c r="L394" s="2922" t="s">
        <v>2378</v>
      </c>
      <c r="M394" s="2914"/>
    </row>
    <row r="395" spans="1:13">
      <c r="A395" s="2837"/>
      <c r="B395" s="302" t="str">
        <f>дома!BH1470</f>
        <v>нет</v>
      </c>
      <c r="C395" s="2890" t="str">
        <f>дома!BI1470</f>
        <v>м.п.</v>
      </c>
      <c r="D395" s="275">
        <f>дома!BJ1470</f>
        <v>0</v>
      </c>
      <c r="E395" s="275">
        <f>дома!BK1470</f>
        <v>0</v>
      </c>
      <c r="F395" s="302"/>
      <c r="G395" s="275">
        <f t="shared" si="84"/>
        <v>0</v>
      </c>
      <c r="H395" s="96">
        <f t="shared" si="85"/>
        <v>0</v>
      </c>
      <c r="I395" s="2911">
        <f t="shared" si="86"/>
        <v>0</v>
      </c>
      <c r="J395" s="2863"/>
      <c r="K395" s="223">
        <f t="shared" si="87"/>
        <v>0</v>
      </c>
      <c r="L395" s="2923" t="s">
        <v>2381</v>
      </c>
      <c r="M395" s="2914"/>
    </row>
    <row r="396" spans="1:13">
      <c r="A396" s="2837"/>
      <c r="B396" s="302">
        <f>дома!BH1471</f>
        <v>0</v>
      </c>
      <c r="C396" s="2890" t="str">
        <f>дома!BI1471</f>
        <v>шт.</v>
      </c>
      <c r="D396" s="275">
        <f>дома!BJ1471</f>
        <v>0</v>
      </c>
      <c r="E396" s="275">
        <f>дома!BK1471</f>
        <v>0</v>
      </c>
      <c r="F396" s="302"/>
      <c r="G396" s="275">
        <f t="shared" si="84"/>
        <v>0</v>
      </c>
      <c r="H396" s="96">
        <f t="shared" si="85"/>
        <v>0</v>
      </c>
      <c r="I396" s="2911">
        <f t="shared" si="86"/>
        <v>0</v>
      </c>
      <c r="J396" s="2863"/>
      <c r="K396" s="223">
        <f t="shared" si="87"/>
        <v>0</v>
      </c>
      <c r="L396" s="2915" t="s">
        <v>3708</v>
      </c>
      <c r="M396" s="2914"/>
    </row>
    <row r="397" spans="1:13">
      <c r="A397" s="2837"/>
      <c r="B397" s="302">
        <f>дома!BH1472</f>
        <v>0</v>
      </c>
      <c r="C397" s="2890" t="str">
        <f>дома!BI1472</f>
        <v>шт.</v>
      </c>
      <c r="D397" s="275">
        <f>дома!BJ1472</f>
        <v>0</v>
      </c>
      <c r="E397" s="275">
        <f>дома!BK1472</f>
        <v>0</v>
      </c>
      <c r="F397" s="302"/>
      <c r="G397" s="275">
        <f t="shared" si="84"/>
        <v>0</v>
      </c>
      <c r="H397" s="96">
        <f t="shared" si="85"/>
        <v>0</v>
      </c>
      <c r="I397" s="2911">
        <f t="shared" si="86"/>
        <v>0</v>
      </c>
      <c r="J397" s="2863"/>
      <c r="K397" s="223">
        <f t="shared" si="87"/>
        <v>0</v>
      </c>
      <c r="L397" s="2915" t="s">
        <v>3709</v>
      </c>
      <c r="M397" s="2914"/>
    </row>
    <row r="398" spans="1:13">
      <c r="A398" s="2837"/>
      <c r="B398" s="302" t="str">
        <f>дома!BH1473</f>
        <v>нет</v>
      </c>
      <c r="C398" s="2890" t="str">
        <f>дома!BI1473</f>
        <v>м2</v>
      </c>
      <c r="D398" s="275">
        <f>дома!BJ1473</f>
        <v>0</v>
      </c>
      <c r="E398" s="275">
        <f>дома!BK1473</f>
        <v>0</v>
      </c>
      <c r="F398" s="302"/>
      <c r="G398" s="275">
        <f t="shared" si="84"/>
        <v>0</v>
      </c>
      <c r="H398" s="96">
        <f t="shared" si="85"/>
        <v>0</v>
      </c>
      <c r="I398" s="2911">
        <f t="shared" si="86"/>
        <v>0</v>
      </c>
      <c r="J398" s="2863"/>
      <c r="K398" s="223">
        <f t="shared" si="87"/>
        <v>0</v>
      </c>
      <c r="L398" s="2922" t="s">
        <v>2382</v>
      </c>
      <c r="M398" s="2914"/>
    </row>
    <row r="399" spans="1:13">
      <c r="A399" s="2837"/>
      <c r="B399" s="302" t="str">
        <f>дома!BH1474</f>
        <v xml:space="preserve">Саморезы 3,5 x 25            </v>
      </c>
      <c r="C399" s="2890" t="str">
        <f>дома!BI1474</f>
        <v>шт.</v>
      </c>
      <c r="D399" s="275">
        <f>дома!BJ1474</f>
        <v>0</v>
      </c>
      <c r="E399" s="275">
        <f>дома!BK1474</f>
        <v>0.2</v>
      </c>
      <c r="F399" s="302"/>
      <c r="G399" s="275">
        <f t="shared" si="84"/>
        <v>0</v>
      </c>
      <c r="H399" s="96">
        <f t="shared" si="85"/>
        <v>0</v>
      </c>
      <c r="I399" s="2911">
        <f t="shared" si="86"/>
        <v>0</v>
      </c>
      <c r="J399" s="2863"/>
      <c r="K399" s="223">
        <f t="shared" si="87"/>
        <v>0</v>
      </c>
      <c r="L399" s="2921" t="s">
        <v>3710</v>
      </c>
      <c r="M399" s="2914"/>
    </row>
    <row r="400" spans="1:13">
      <c r="A400" s="2837"/>
      <c r="B400" s="302" t="str">
        <f>дома!BH1475</f>
        <v>нет</v>
      </c>
      <c r="C400" s="2890" t="str">
        <f>дома!BI1475</f>
        <v>м.п.</v>
      </c>
      <c r="D400" s="275">
        <f>дома!BJ1475</f>
        <v>0</v>
      </c>
      <c r="E400" s="275">
        <f>дома!BK1475</f>
        <v>0</v>
      </c>
      <c r="F400" s="302"/>
      <c r="G400" s="275">
        <f t="shared" si="84"/>
        <v>0</v>
      </c>
      <c r="H400" s="96">
        <f t="shared" si="85"/>
        <v>0</v>
      </c>
      <c r="I400" s="2911">
        <f t="shared" si="86"/>
        <v>0</v>
      </c>
      <c r="J400" s="2863"/>
      <c r="K400" s="223">
        <f t="shared" si="87"/>
        <v>0</v>
      </c>
      <c r="L400" s="2923" t="s">
        <v>2383</v>
      </c>
      <c r="M400" s="2914"/>
    </row>
    <row r="401" spans="1:13">
      <c r="A401" s="2837"/>
      <c r="B401" s="302">
        <f>дома!BH1476</f>
        <v>0</v>
      </c>
      <c r="C401" s="2890" t="str">
        <f>дома!BI1476</f>
        <v>шт.</v>
      </c>
      <c r="D401" s="275">
        <f>дома!BJ1476</f>
        <v>0</v>
      </c>
      <c r="E401" s="275">
        <f>дома!BK1476</f>
        <v>0</v>
      </c>
      <c r="F401" s="302"/>
      <c r="G401" s="275">
        <f t="shared" si="84"/>
        <v>0</v>
      </c>
      <c r="H401" s="96">
        <f t="shared" si="85"/>
        <v>0</v>
      </c>
      <c r="I401" s="2911">
        <f t="shared" si="86"/>
        <v>0</v>
      </c>
      <c r="J401" s="2863"/>
      <c r="K401" s="223">
        <f t="shared" si="87"/>
        <v>0</v>
      </c>
      <c r="L401" s="2921" t="s">
        <v>3709</v>
      </c>
      <c r="M401" s="2914"/>
    </row>
    <row r="402" spans="1:13">
      <c r="A402" s="2837"/>
      <c r="B402" s="302" t="str">
        <f>дома!BH1477</f>
        <v>нет</v>
      </c>
      <c r="C402" s="2890" t="str">
        <f>дома!BI1477</f>
        <v>м2</v>
      </c>
      <c r="D402" s="275">
        <f>дома!BJ1477</f>
        <v>0</v>
      </c>
      <c r="E402" s="275">
        <f>дома!BK1477</f>
        <v>0</v>
      </c>
      <c r="F402" s="302"/>
      <c r="G402" s="275">
        <f t="shared" si="84"/>
        <v>0</v>
      </c>
      <c r="H402" s="96">
        <f t="shared" si="85"/>
        <v>0</v>
      </c>
      <c r="I402" s="2911">
        <f t="shared" si="86"/>
        <v>0</v>
      </c>
      <c r="J402" s="2863"/>
      <c r="K402" s="223">
        <f t="shared" si="87"/>
        <v>0</v>
      </c>
      <c r="L402" s="2922" t="s">
        <v>2385</v>
      </c>
      <c r="M402" s="2914"/>
    </row>
    <row r="403" spans="1:13">
      <c r="A403" s="2837"/>
      <c r="B403" s="302" t="str">
        <f>дома!BH1478</f>
        <v xml:space="preserve">Саморезы 3,5 x 45            </v>
      </c>
      <c r="C403" s="2890" t="str">
        <f>дома!BI1478</f>
        <v>шт.</v>
      </c>
      <c r="D403" s="275">
        <f>дома!BJ1478</f>
        <v>0</v>
      </c>
      <c r="E403" s="275">
        <f>дома!BK1478</f>
        <v>0.25</v>
      </c>
      <c r="F403" s="302"/>
      <c r="G403" s="275">
        <f t="shared" si="84"/>
        <v>0</v>
      </c>
      <c r="H403" s="96">
        <f t="shared" si="85"/>
        <v>0</v>
      </c>
      <c r="I403" s="2911">
        <f t="shared" si="86"/>
        <v>0</v>
      </c>
      <c r="J403" s="2863"/>
      <c r="K403" s="223">
        <f t="shared" si="87"/>
        <v>0</v>
      </c>
      <c r="L403" s="2915" t="s">
        <v>3714</v>
      </c>
      <c r="M403" s="2914"/>
    </row>
    <row r="404" spans="1:13">
      <c r="A404" s="2837"/>
      <c r="B404" s="302" t="str">
        <f>дома!BH1479</f>
        <v>нет</v>
      </c>
      <c r="C404" s="2890" t="str">
        <f>дома!BI1479</f>
        <v>м.п.</v>
      </c>
      <c r="D404" s="275">
        <f>дома!BJ1479</f>
        <v>192</v>
      </c>
      <c r="E404" s="275">
        <f>дома!BK1479</f>
        <v>0</v>
      </c>
      <c r="F404" s="302"/>
      <c r="G404" s="275">
        <f t="shared" si="84"/>
        <v>0</v>
      </c>
      <c r="H404" s="96">
        <f t="shared" si="85"/>
        <v>0</v>
      </c>
      <c r="I404" s="2911">
        <f t="shared" si="86"/>
        <v>0</v>
      </c>
      <c r="J404" s="2863"/>
      <c r="K404" s="223">
        <f t="shared" si="87"/>
        <v>192</v>
      </c>
      <c r="L404" s="2915" t="s">
        <v>3715</v>
      </c>
      <c r="M404" s="2914"/>
    </row>
    <row r="405" spans="1:13">
      <c r="A405" s="2837"/>
      <c r="B405" s="302" t="str">
        <f>дома!BH1480</f>
        <v>нет</v>
      </c>
      <c r="C405" s="2890" t="str">
        <f>дома!BI1480</f>
        <v>м.п.</v>
      </c>
      <c r="D405" s="275">
        <f>дома!BJ1480</f>
        <v>192</v>
      </c>
      <c r="E405" s="275">
        <f>дома!BK1480</f>
        <v>0</v>
      </c>
      <c r="F405" s="302"/>
      <c r="G405" s="275">
        <f t="shared" si="84"/>
        <v>0</v>
      </c>
      <c r="H405" s="96">
        <f t="shared" si="85"/>
        <v>0</v>
      </c>
      <c r="I405" s="2911">
        <f t="shared" si="86"/>
        <v>0</v>
      </c>
      <c r="J405" s="2863"/>
      <c r="K405" s="223">
        <f t="shared" si="87"/>
        <v>192</v>
      </c>
      <c r="L405" s="2915" t="s">
        <v>3716</v>
      </c>
      <c r="M405" s="2914"/>
    </row>
    <row r="406" spans="1:13">
      <c r="A406" s="2837"/>
      <c r="B406" s="302">
        <f>дома!BH1481</f>
        <v>0</v>
      </c>
      <c r="C406" s="2890" t="str">
        <f>дома!BI1481</f>
        <v>шт.</v>
      </c>
      <c r="D406" s="275">
        <f>дома!BJ1481</f>
        <v>384</v>
      </c>
      <c r="E406" s="275">
        <f>дома!BK1481</f>
        <v>0</v>
      </c>
      <c r="F406" s="302"/>
      <c r="G406" s="275">
        <f t="shared" si="84"/>
        <v>0</v>
      </c>
      <c r="H406" s="96">
        <f t="shared" si="85"/>
        <v>0</v>
      </c>
      <c r="I406" s="2911">
        <f t="shared" si="86"/>
        <v>0</v>
      </c>
      <c r="J406" s="2863"/>
      <c r="K406" s="223">
        <f t="shared" si="87"/>
        <v>384</v>
      </c>
      <c r="L406" s="2915" t="s">
        <v>3720</v>
      </c>
      <c r="M406" s="2914"/>
    </row>
    <row r="407" spans="1:13">
      <c r="A407" s="2837"/>
      <c r="B407" s="302" t="str">
        <f>дома!BH1482</f>
        <v>Кровельный саморез</v>
      </c>
      <c r="C407" s="2890" t="str">
        <f>дома!BI1482</f>
        <v>шт.</v>
      </c>
      <c r="D407" s="275">
        <f>дома!BJ1482</f>
        <v>0</v>
      </c>
      <c r="E407" s="275">
        <f>дома!BK1482</f>
        <v>2</v>
      </c>
      <c r="F407" s="302"/>
      <c r="G407" s="275">
        <f t="shared" si="84"/>
        <v>0</v>
      </c>
      <c r="H407" s="96">
        <f t="shared" si="85"/>
        <v>0</v>
      </c>
      <c r="I407" s="2911">
        <f t="shared" si="86"/>
        <v>0</v>
      </c>
      <c r="J407" s="2863"/>
      <c r="K407" s="223">
        <f t="shared" si="87"/>
        <v>0</v>
      </c>
      <c r="L407" s="2915" t="s">
        <v>3723</v>
      </c>
      <c r="M407" s="2914"/>
    </row>
    <row r="408" spans="1:13">
      <c r="A408" s="2837"/>
      <c r="B408" s="302" t="str">
        <f>дома!BH1483</f>
        <v>нет</v>
      </c>
      <c r="C408" s="2890" t="str">
        <f>дома!BI1483</f>
        <v>м.п.</v>
      </c>
      <c r="D408" s="275">
        <f>дома!BJ1483</f>
        <v>192</v>
      </c>
      <c r="E408" s="275">
        <f>дома!BK1483</f>
        <v>0</v>
      </c>
      <c r="F408" s="302"/>
      <c r="G408" s="275">
        <f t="shared" si="84"/>
        <v>0</v>
      </c>
      <c r="H408" s="96">
        <f t="shared" si="85"/>
        <v>0</v>
      </c>
      <c r="I408" s="2911">
        <f t="shared" si="86"/>
        <v>0</v>
      </c>
      <c r="J408" s="2863"/>
      <c r="K408" s="223">
        <f t="shared" si="87"/>
        <v>192</v>
      </c>
      <c r="L408" s="2922" t="s">
        <v>3726</v>
      </c>
      <c r="M408" s="2914"/>
    </row>
    <row r="409" spans="1:13">
      <c r="A409" s="2837"/>
      <c r="B409" s="302" t="str">
        <f>дома!BH1484</f>
        <v>нет</v>
      </c>
      <c r="C409" s="2890" t="str">
        <f>дома!BI1484</f>
        <v>м.п.</v>
      </c>
      <c r="D409" s="275">
        <f>дома!BJ1484</f>
        <v>110</v>
      </c>
      <c r="E409" s="275">
        <f>дома!BK1484</f>
        <v>0</v>
      </c>
      <c r="F409" s="302"/>
      <c r="G409" s="275">
        <f t="shared" ref="G409:G440" si="88">IF(F409&gt;0,D409*F409,E409*D409)</f>
        <v>0</v>
      </c>
      <c r="H409" s="96">
        <f t="shared" ref="H409:H429" si="89">D409*E409*$H$375</f>
        <v>0</v>
      </c>
      <c r="I409" s="2911">
        <f t="shared" ref="I409:I440" si="90">IF(G409&gt;H409,G409,H409)*$H$375</f>
        <v>0</v>
      </c>
      <c r="J409" s="2863"/>
      <c r="K409" s="223">
        <f t="shared" ref="K409:K440" si="91">D409-J409</f>
        <v>110</v>
      </c>
      <c r="L409" s="2915" t="s">
        <v>3728</v>
      </c>
      <c r="M409" s="2914"/>
    </row>
    <row r="410" spans="1:13">
      <c r="A410" s="2837"/>
      <c r="B410" s="302">
        <f>дома!BH1485</f>
        <v>0</v>
      </c>
      <c r="C410" s="2890" t="str">
        <f>дома!BI1485</f>
        <v>шт.</v>
      </c>
      <c r="D410" s="275">
        <f>дома!BJ1485</f>
        <v>384</v>
      </c>
      <c r="E410" s="275">
        <f>дома!BK1485</f>
        <v>0</v>
      </c>
      <c r="F410" s="302"/>
      <c r="G410" s="275">
        <f t="shared" si="88"/>
        <v>0</v>
      </c>
      <c r="H410" s="96">
        <f t="shared" si="89"/>
        <v>0</v>
      </c>
      <c r="I410" s="2911">
        <f t="shared" si="90"/>
        <v>0</v>
      </c>
      <c r="J410" s="2863"/>
      <c r="K410" s="223">
        <f t="shared" si="91"/>
        <v>384</v>
      </c>
      <c r="L410" s="2915" t="s">
        <v>3729</v>
      </c>
      <c r="M410" s="2914"/>
    </row>
    <row r="411" spans="1:13">
      <c r="A411" s="2837"/>
      <c r="B411" s="302" t="str">
        <f>дома!BH1486</f>
        <v>Кровельный саморез</v>
      </c>
      <c r="C411" s="2890" t="str">
        <f>дома!BI1486</f>
        <v>шт.</v>
      </c>
      <c r="D411" s="275">
        <f>дома!BJ1486</f>
        <v>0</v>
      </c>
      <c r="E411" s="275">
        <f>дома!BK1486</f>
        <v>2</v>
      </c>
      <c r="F411" s="302"/>
      <c r="G411" s="275">
        <f t="shared" si="88"/>
        <v>0</v>
      </c>
      <c r="H411" s="96">
        <f t="shared" si="89"/>
        <v>0</v>
      </c>
      <c r="I411" s="2911">
        <f t="shared" si="90"/>
        <v>0</v>
      </c>
      <c r="J411" s="2863"/>
      <c r="K411" s="223">
        <f t="shared" si="91"/>
        <v>0</v>
      </c>
      <c r="L411" s="2915" t="s">
        <v>3730</v>
      </c>
      <c r="M411" s="2914"/>
    </row>
    <row r="412" spans="1:13">
      <c r="A412" s="2837"/>
      <c r="B412" s="302" t="str">
        <f>дома!BH1487</f>
        <v xml:space="preserve">Саморезы 3,5 x 25            </v>
      </c>
      <c r="C412" s="2890" t="str">
        <f>дома!BI1487</f>
        <v>шт.</v>
      </c>
      <c r="D412" s="275">
        <f>дома!BJ1487</f>
        <v>0</v>
      </c>
      <c r="E412" s="275">
        <f>дома!BK1487</f>
        <v>0.2</v>
      </c>
      <c r="F412" s="302"/>
      <c r="G412" s="275">
        <f t="shared" si="88"/>
        <v>0</v>
      </c>
      <c r="H412" s="96">
        <f t="shared" si="89"/>
        <v>0</v>
      </c>
      <c r="I412" s="2911">
        <f t="shared" si="90"/>
        <v>0</v>
      </c>
      <c r="J412" s="2863"/>
      <c r="K412" s="223">
        <f t="shared" si="91"/>
        <v>0</v>
      </c>
      <c r="L412" s="2915" t="s">
        <v>3713</v>
      </c>
      <c r="M412" s="2914"/>
    </row>
    <row r="413" spans="1:13">
      <c r="A413" s="2837"/>
      <c r="B413" s="302" t="str">
        <f>дома!BH1488</f>
        <v xml:space="preserve">Саморезы 3,5 x 25            </v>
      </c>
      <c r="C413" s="2890" t="str">
        <f>дома!BI1488</f>
        <v>шт.</v>
      </c>
      <c r="D413" s="275">
        <f>дома!BJ1488</f>
        <v>1200</v>
      </c>
      <c r="E413" s="275">
        <f>дома!BK1488</f>
        <v>0.2</v>
      </c>
      <c r="F413" s="302"/>
      <c r="G413" s="275">
        <f t="shared" si="88"/>
        <v>240</v>
      </c>
      <c r="H413" s="96">
        <f t="shared" si="89"/>
        <v>0</v>
      </c>
      <c r="I413" s="2911">
        <f t="shared" si="90"/>
        <v>0</v>
      </c>
      <c r="J413" s="2863"/>
      <c r="K413" s="223">
        <f t="shared" si="91"/>
        <v>1200</v>
      </c>
      <c r="L413" s="2915" t="s">
        <v>3732</v>
      </c>
      <c r="M413" s="2914"/>
    </row>
    <row r="414" spans="1:13">
      <c r="A414" s="2837"/>
      <c r="B414" s="302" t="str">
        <f>дома!AQ1469</f>
        <v>ГПС 120х50-1,5</v>
      </c>
      <c r="C414" s="2890" t="str">
        <f>дома!AR1469</f>
        <v>м3</v>
      </c>
      <c r="D414" s="275">
        <f>дома!AS1469</f>
        <v>0</v>
      </c>
      <c r="E414" s="275">
        <f>дома!AT1469</f>
        <v>224</v>
      </c>
      <c r="F414" s="302"/>
      <c r="G414" s="275">
        <f t="shared" si="88"/>
        <v>0</v>
      </c>
      <c r="H414" s="96">
        <f t="shared" si="89"/>
        <v>0</v>
      </c>
      <c r="I414" s="2911">
        <f t="shared" si="90"/>
        <v>0</v>
      </c>
      <c r="J414" s="2863"/>
      <c r="K414" s="223">
        <f t="shared" si="91"/>
        <v>0</v>
      </c>
      <c r="L414" s="2913" t="s">
        <v>3706</v>
      </c>
      <c r="M414" s="2914"/>
    </row>
    <row r="415" spans="1:13">
      <c r="A415" s="2837"/>
      <c r="B415" s="302" t="str">
        <f>дома!AQ1470</f>
        <v>ГПС 170х50-2,0</v>
      </c>
      <c r="C415" s="2890" t="str">
        <f>дома!AR1470</f>
        <v>м3</v>
      </c>
      <c r="D415" s="275">
        <f>дома!AS1470</f>
        <v>0</v>
      </c>
      <c r="E415" s="275">
        <f>дома!AT1470</f>
        <v>358</v>
      </c>
      <c r="F415" s="302"/>
      <c r="G415" s="275">
        <f t="shared" si="88"/>
        <v>0</v>
      </c>
      <c r="H415" s="96">
        <f t="shared" si="89"/>
        <v>0</v>
      </c>
      <c r="I415" s="2911">
        <f t="shared" si="90"/>
        <v>0</v>
      </c>
      <c r="J415" s="2863"/>
      <c r="K415" s="223">
        <f t="shared" si="91"/>
        <v>0</v>
      </c>
      <c r="L415" s="2913" t="s">
        <v>3707</v>
      </c>
      <c r="M415" s="2914"/>
    </row>
    <row r="416" spans="1:13">
      <c r="A416" s="2837"/>
      <c r="B416" s="302" t="str">
        <f>дома!AQ1471</f>
        <v>Лист ГВЛВ 2500х1200х10 мм</v>
      </c>
      <c r="C416" s="2890" t="str">
        <f>дома!AR1471</f>
        <v>м2</v>
      </c>
      <c r="D416" s="275">
        <f>дома!AS1471</f>
        <v>100</v>
      </c>
      <c r="E416" s="275">
        <f>дома!AT1471</f>
        <v>150</v>
      </c>
      <c r="F416" s="302"/>
      <c r="G416" s="275">
        <f t="shared" si="88"/>
        <v>15000</v>
      </c>
      <c r="H416" s="96">
        <f t="shared" si="89"/>
        <v>0</v>
      </c>
      <c r="I416" s="2911">
        <f t="shared" si="90"/>
        <v>0</v>
      </c>
      <c r="J416" s="2863"/>
      <c r="K416" s="223">
        <f t="shared" si="91"/>
        <v>100</v>
      </c>
      <c r="L416" s="2918" t="s">
        <v>2387</v>
      </c>
      <c r="M416" s="2914"/>
    </row>
    <row r="417" spans="1:13">
      <c r="A417" s="2837"/>
      <c r="B417" s="302" t="str">
        <f>дома!AQ1472</f>
        <v>нет</v>
      </c>
      <c r="C417" s="2890" t="str">
        <f>дома!AR1472</f>
        <v>м.п.</v>
      </c>
      <c r="D417" s="275">
        <f>дома!AS1472</f>
        <v>0</v>
      </c>
      <c r="E417" s="275">
        <f>дома!AT1472</f>
        <v>0</v>
      </c>
      <c r="F417" s="302"/>
      <c r="G417" s="275">
        <f t="shared" si="88"/>
        <v>0</v>
      </c>
      <c r="H417" s="96">
        <f t="shared" si="89"/>
        <v>0</v>
      </c>
      <c r="I417" s="2911">
        <f t="shared" si="90"/>
        <v>0</v>
      </c>
      <c r="J417" s="2863"/>
      <c r="K417" s="223">
        <f t="shared" si="91"/>
        <v>0</v>
      </c>
      <c r="L417" s="850" t="s">
        <v>2390</v>
      </c>
      <c r="M417" s="2914"/>
    </row>
    <row r="418" spans="1:13">
      <c r="A418" s="2837"/>
      <c r="B418" s="302" t="str">
        <f>дома!AQ1473</f>
        <v>Нет</v>
      </c>
      <c r="C418" s="2890" t="str">
        <f>дома!AR1473</f>
        <v>м3</v>
      </c>
      <c r="D418" s="275">
        <f>дома!AS1473</f>
        <v>0</v>
      </c>
      <c r="E418" s="275">
        <f>дома!AT1473</f>
        <v>0</v>
      </c>
      <c r="F418" s="302"/>
      <c r="G418" s="275">
        <f t="shared" si="88"/>
        <v>0</v>
      </c>
      <c r="H418" s="96">
        <f t="shared" si="89"/>
        <v>0</v>
      </c>
      <c r="I418" s="2911">
        <f t="shared" si="90"/>
        <v>0</v>
      </c>
      <c r="J418" s="2863"/>
      <c r="K418" s="223">
        <f t="shared" si="91"/>
        <v>0</v>
      </c>
      <c r="L418" s="2918" t="s">
        <v>2234</v>
      </c>
      <c r="M418" s="2914"/>
    </row>
    <row r="419" spans="1:13">
      <c r="A419" s="2837"/>
      <c r="B419" s="302" t="str">
        <f>дома!AQ1474</f>
        <v>Нет</v>
      </c>
      <c r="C419" s="2890" t="str">
        <f>дома!AR1474</f>
        <v>м3</v>
      </c>
      <c r="D419" s="275">
        <f>дома!AS1474</f>
        <v>0</v>
      </c>
      <c r="E419" s="275">
        <f>дома!AT1474</f>
        <v>0</v>
      </c>
      <c r="F419" s="302"/>
      <c r="G419" s="275">
        <f t="shared" si="88"/>
        <v>0</v>
      </c>
      <c r="H419" s="96">
        <f t="shared" si="89"/>
        <v>0</v>
      </c>
      <c r="I419" s="2911">
        <f t="shared" si="90"/>
        <v>0</v>
      </c>
      <c r="J419" s="2863"/>
      <c r="K419" s="223">
        <f t="shared" si="91"/>
        <v>0</v>
      </c>
      <c r="L419" s="2918" t="s">
        <v>2384</v>
      </c>
      <c r="M419" s="2914"/>
    </row>
    <row r="420" spans="1:13">
      <c r="A420" s="2837"/>
      <c r="B420" s="302" t="str">
        <f>дома!AQ1475</f>
        <v>нет</v>
      </c>
      <c r="C420" s="2890" t="str">
        <f>дома!AR1475</f>
        <v>м2</v>
      </c>
      <c r="D420" s="275">
        <f>дома!AS1475</f>
        <v>0</v>
      </c>
      <c r="E420" s="275">
        <f>дома!AT1475</f>
        <v>0</v>
      </c>
      <c r="F420" s="302"/>
      <c r="G420" s="275">
        <f t="shared" si="88"/>
        <v>0</v>
      </c>
      <c r="H420" s="96">
        <f t="shared" si="89"/>
        <v>0</v>
      </c>
      <c r="I420" s="2911">
        <f t="shared" si="90"/>
        <v>0</v>
      </c>
      <c r="J420" s="2863"/>
      <c r="K420" s="223">
        <f t="shared" si="91"/>
        <v>0</v>
      </c>
      <c r="L420" s="850" t="s">
        <v>2062</v>
      </c>
      <c r="M420" s="2914"/>
    </row>
    <row r="421" spans="1:13">
      <c r="A421" s="2837"/>
      <c r="B421" s="302" t="str">
        <f>дома!AQ1476</f>
        <v>нет</v>
      </c>
      <c r="C421" s="2890" t="str">
        <f>дома!AR1476</f>
        <v>м2</v>
      </c>
      <c r="D421" s="275">
        <f>дома!AS1476</f>
        <v>0</v>
      </c>
      <c r="E421" s="275">
        <f>дома!AT1476</f>
        <v>0</v>
      </c>
      <c r="F421" s="302"/>
      <c r="G421" s="275">
        <f t="shared" si="88"/>
        <v>0</v>
      </c>
      <c r="H421" s="96">
        <f t="shared" si="89"/>
        <v>0</v>
      </c>
      <c r="I421" s="2911">
        <f t="shared" si="90"/>
        <v>0</v>
      </c>
      <c r="J421" s="2863"/>
      <c r="K421" s="223">
        <f t="shared" si="91"/>
        <v>0</v>
      </c>
      <c r="L421" s="2918" t="s">
        <v>3711</v>
      </c>
      <c r="M421" s="2914"/>
    </row>
    <row r="422" spans="1:13">
      <c r="A422" s="2837"/>
      <c r="B422" s="302" t="str">
        <f>дома!AQ1477</f>
        <v>нет</v>
      </c>
      <c r="C422" s="2890" t="str">
        <f>дома!AR1477</f>
        <v>м2</v>
      </c>
      <c r="D422" s="275">
        <f>дома!AS1477</f>
        <v>0</v>
      </c>
      <c r="E422" s="275">
        <f>дома!AT1477</f>
        <v>0</v>
      </c>
      <c r="F422" s="302"/>
      <c r="G422" s="275">
        <f t="shared" si="88"/>
        <v>0</v>
      </c>
      <c r="H422" s="96">
        <f t="shared" si="89"/>
        <v>0</v>
      </c>
      <c r="I422" s="2911">
        <f t="shared" si="90"/>
        <v>0</v>
      </c>
      <c r="J422" s="2863"/>
      <c r="K422" s="223">
        <f t="shared" si="91"/>
        <v>0</v>
      </c>
      <c r="L422" s="2918" t="s">
        <v>3712</v>
      </c>
      <c r="M422" s="2914"/>
    </row>
    <row r="423" spans="1:13">
      <c r="A423" s="2837"/>
      <c r="B423" s="302" t="str">
        <f>дома!AQ1478</f>
        <v xml:space="preserve">Саморезы 3,5 x 25            </v>
      </c>
      <c r="C423" s="2890" t="str">
        <f>дома!AR1478</f>
        <v>шт</v>
      </c>
      <c r="D423" s="275">
        <f>дома!AS1478</f>
        <v>0</v>
      </c>
      <c r="E423" s="275">
        <f>дома!AT1478</f>
        <v>0.2</v>
      </c>
      <c r="F423" s="302"/>
      <c r="G423" s="275">
        <f t="shared" si="88"/>
        <v>0</v>
      </c>
      <c r="H423" s="96">
        <f t="shared" si="89"/>
        <v>0</v>
      </c>
      <c r="I423" s="2911">
        <f t="shared" si="90"/>
        <v>0</v>
      </c>
      <c r="J423" s="2863"/>
      <c r="K423" s="223">
        <f t="shared" si="91"/>
        <v>0</v>
      </c>
      <c r="L423" s="2918" t="s">
        <v>3713</v>
      </c>
      <c r="M423" s="2914"/>
    </row>
    <row r="424" spans="1:13">
      <c r="A424" s="2837"/>
      <c r="B424" s="302" t="str">
        <f>дома!AQ1479</f>
        <v xml:space="preserve">Гвозди ершоные 2,8 х 90            </v>
      </c>
      <c r="C424" s="2890" t="str">
        <f>дома!AR1479</f>
        <v>кг</v>
      </c>
      <c r="D424" s="275">
        <f>дома!AS1479</f>
        <v>0</v>
      </c>
      <c r="E424" s="275">
        <f>дома!AT1479</f>
        <v>76.489999999999995</v>
      </c>
      <c r="F424" s="302"/>
      <c r="G424" s="275">
        <f t="shared" si="88"/>
        <v>0</v>
      </c>
      <c r="H424" s="96">
        <f t="shared" si="89"/>
        <v>0</v>
      </c>
      <c r="I424" s="2911">
        <f t="shared" si="90"/>
        <v>0</v>
      </c>
      <c r="J424" s="2863"/>
      <c r="K424" s="223">
        <f t="shared" si="91"/>
        <v>0</v>
      </c>
      <c r="L424" s="2919"/>
      <c r="M424" s="2914"/>
    </row>
    <row r="425" spans="1:13">
      <c r="A425" s="2837"/>
      <c r="B425" s="302" t="str">
        <f>дома!AQ1480</f>
        <v xml:space="preserve">Гвозди ершоные 3,4 x 60            </v>
      </c>
      <c r="C425" s="2890" t="str">
        <f>дома!AR1480</f>
        <v>кг</v>
      </c>
      <c r="D425" s="275">
        <f>дома!AS1480</f>
        <v>0</v>
      </c>
      <c r="E425" s="275">
        <f>дома!AT1480</f>
        <v>75.510000000000005</v>
      </c>
      <c r="F425" s="302"/>
      <c r="G425" s="275">
        <f t="shared" si="88"/>
        <v>0</v>
      </c>
      <c r="H425" s="96">
        <f t="shared" si="89"/>
        <v>0</v>
      </c>
      <c r="I425" s="2911">
        <f t="shared" si="90"/>
        <v>0</v>
      </c>
      <c r="J425" s="2863"/>
      <c r="K425" s="223">
        <f t="shared" si="91"/>
        <v>0</v>
      </c>
      <c r="L425" s="2919"/>
      <c r="M425" s="2914"/>
    </row>
    <row r="426" spans="1:13">
      <c r="A426" s="2837"/>
      <c r="B426" s="302" t="str">
        <f>дома!AQ1481</f>
        <v>нет ветроизоляции</v>
      </c>
      <c r="C426" s="2890" t="str">
        <f>дома!AR1481</f>
        <v>м2</v>
      </c>
      <c r="D426" s="275">
        <f>дома!AS1481</f>
        <v>0</v>
      </c>
      <c r="E426" s="275">
        <f>дома!AT1481</f>
        <v>0</v>
      </c>
      <c r="F426" s="302"/>
      <c r="G426" s="275">
        <f t="shared" si="88"/>
        <v>0</v>
      </c>
      <c r="H426" s="96">
        <f t="shared" si="89"/>
        <v>0</v>
      </c>
      <c r="I426" s="2911">
        <f t="shared" si="90"/>
        <v>0</v>
      </c>
      <c r="J426" s="2863"/>
      <c r="K426" s="223">
        <f t="shared" si="91"/>
        <v>0</v>
      </c>
      <c r="L426" s="2918" t="s">
        <v>3717</v>
      </c>
      <c r="M426" s="2914"/>
    </row>
    <row r="427" spans="1:13">
      <c r="A427" s="2837"/>
      <c r="B427" s="302" t="str">
        <f>дома!AQ1482</f>
        <v>нет пароизоляции</v>
      </c>
      <c r="C427" s="2890" t="str">
        <f>дома!AR1482</f>
        <v>м2</v>
      </c>
      <c r="D427" s="275">
        <f>дома!AS1482</f>
        <v>0</v>
      </c>
      <c r="E427" s="275">
        <f>дома!AT1482</f>
        <v>0</v>
      </c>
      <c r="F427" s="302"/>
      <c r="G427" s="275">
        <f t="shared" si="88"/>
        <v>0</v>
      </c>
      <c r="H427" s="96">
        <f t="shared" si="89"/>
        <v>0</v>
      </c>
      <c r="I427" s="2911">
        <f t="shared" si="90"/>
        <v>0</v>
      </c>
      <c r="J427" s="2863"/>
      <c r="K427" s="223">
        <f t="shared" si="91"/>
        <v>0</v>
      </c>
      <c r="L427" s="2918" t="s">
        <v>3721</v>
      </c>
      <c r="M427" s="2914"/>
    </row>
    <row r="428" spans="1:13">
      <c r="A428" s="2837"/>
      <c r="B428" s="302" t="str">
        <f>дома!AQ1483</f>
        <v>Скобы для степлера, 1000шт/уп</v>
      </c>
      <c r="C428" s="2890" t="str">
        <f>дома!AR1483</f>
        <v>уп</v>
      </c>
      <c r="D428" s="275">
        <f>дома!AS1483</f>
        <v>5</v>
      </c>
      <c r="E428" s="275">
        <f>дома!AT1483</f>
        <v>100</v>
      </c>
      <c r="F428" s="302"/>
      <c r="G428" s="275">
        <f t="shared" si="88"/>
        <v>500</v>
      </c>
      <c r="H428" s="96">
        <f t="shared" si="89"/>
        <v>0</v>
      </c>
      <c r="I428" s="2911">
        <f t="shared" si="90"/>
        <v>0</v>
      </c>
      <c r="J428" s="2863"/>
      <c r="K428" s="223">
        <f t="shared" si="91"/>
        <v>5</v>
      </c>
      <c r="L428" s="2919"/>
      <c r="M428" s="2914"/>
    </row>
    <row r="429" spans="1:13">
      <c r="A429" s="2837"/>
      <c r="B429" s="3278" t="s">
        <v>4640</v>
      </c>
      <c r="C429" s="3278"/>
      <c r="D429" s="3278"/>
      <c r="E429" s="3278"/>
      <c r="F429" s="302"/>
      <c r="G429" s="275">
        <f>SUM(G377:G428)*H375</f>
        <v>0</v>
      </c>
      <c r="H429" s="96">
        <f t="shared" si="89"/>
        <v>0</v>
      </c>
      <c r="I429" s="2911">
        <f t="shared" si="90"/>
        <v>0</v>
      </c>
      <c r="J429" s="2863"/>
      <c r="K429" s="223">
        <f t="shared" si="91"/>
        <v>0</v>
      </c>
      <c r="L429" s="2919"/>
      <c r="M429" s="2914"/>
    </row>
    <row r="430" spans="1:13">
      <c r="A430" s="2837"/>
      <c r="B430" s="3279" t="s">
        <v>1409</v>
      </c>
      <c r="C430" s="3279"/>
      <c r="D430" s="3279"/>
      <c r="E430" s="3279"/>
      <c r="F430" s="2924"/>
      <c r="G430" s="941"/>
      <c r="H430" s="2925">
        <f>H375</f>
        <v>0</v>
      </c>
      <c r="I430" s="2879">
        <f>H430</f>
        <v>0</v>
      </c>
      <c r="J430" s="2926"/>
      <c r="K430" s="2893"/>
      <c r="L430" s="2858"/>
      <c r="M430" s="2854"/>
    </row>
    <row r="431" spans="1:13">
      <c r="A431" s="2837"/>
      <c r="B431" s="302" t="str">
        <f>дома!AQ1434</f>
        <v>монтаж обвязки</v>
      </c>
      <c r="C431" s="2890" t="s">
        <v>156</v>
      </c>
      <c r="D431" s="275">
        <f>дома!AR1434</f>
        <v>0</v>
      </c>
      <c r="E431" s="302">
        <f>дома!AS1434</f>
        <v>200</v>
      </c>
      <c r="F431" s="302"/>
      <c r="G431" s="275">
        <f t="shared" ref="G431:G451" si="92">IF(F431&gt;0,D431*F431,E431*D431)</f>
        <v>0</v>
      </c>
      <c r="H431" s="96">
        <f t="shared" ref="H431:H452" si="93">D431*E431*$H$430</f>
        <v>0</v>
      </c>
      <c r="I431" s="2836">
        <f t="shared" ref="I431:I452" si="94">IF(G431&gt;H431,G431,H431)*$H$375</f>
        <v>0</v>
      </c>
      <c r="J431" s="2926"/>
      <c r="K431" s="2837"/>
      <c r="L431" s="2858"/>
      <c r="M431" s="2854"/>
    </row>
    <row r="432" spans="1:13">
      <c r="A432" s="2837"/>
      <c r="B432" s="302" t="str">
        <f>дома!AQ1435</f>
        <v>монтаж стен каркаса</v>
      </c>
      <c r="C432" s="2890" t="s">
        <v>133</v>
      </c>
      <c r="D432" s="275">
        <f>дома!AR1435</f>
        <v>0</v>
      </c>
      <c r="E432" s="302">
        <f>дома!AS1435</f>
        <v>400</v>
      </c>
      <c r="F432" s="302"/>
      <c r="G432" s="275">
        <f t="shared" si="92"/>
        <v>0</v>
      </c>
      <c r="H432" s="96">
        <f t="shared" si="93"/>
        <v>0</v>
      </c>
      <c r="I432" s="2836">
        <f t="shared" si="94"/>
        <v>0</v>
      </c>
      <c r="J432" s="2926"/>
      <c r="K432" s="2837"/>
      <c r="L432" s="2858"/>
      <c r="M432" s="2854"/>
    </row>
    <row r="433" spans="1:13">
      <c r="A433" s="2837"/>
      <c r="B433" s="302" t="str">
        <f>дома!AQ1436</f>
        <v>Монтаж несущих перегородок</v>
      </c>
      <c r="C433" s="2890" t="s">
        <v>133</v>
      </c>
      <c r="D433" s="275">
        <f>дома!AR1436</f>
        <v>0</v>
      </c>
      <c r="E433" s="302">
        <f>дома!AS1436</f>
        <v>400</v>
      </c>
      <c r="F433" s="302"/>
      <c r="G433" s="275">
        <f t="shared" si="92"/>
        <v>0</v>
      </c>
      <c r="H433" s="96">
        <f t="shared" si="93"/>
        <v>0</v>
      </c>
      <c r="I433" s="2836">
        <f t="shared" si="94"/>
        <v>0</v>
      </c>
      <c r="J433" s="2926"/>
      <c r="K433" s="2837"/>
      <c r="L433" s="2858"/>
      <c r="M433" s="2854"/>
    </row>
    <row r="434" spans="1:13">
      <c r="A434" s="2837"/>
      <c r="B434" s="302" t="str">
        <f>дома!AQ1437</f>
        <v>Монтаж перегородок</v>
      </c>
      <c r="C434" s="2890" t="s">
        <v>133</v>
      </c>
      <c r="D434" s="275">
        <f>дома!AR1437</f>
        <v>0</v>
      </c>
      <c r="E434" s="302">
        <f>дома!AS1437</f>
        <v>400</v>
      </c>
      <c r="F434" s="302"/>
      <c r="G434" s="275">
        <f t="shared" si="92"/>
        <v>0</v>
      </c>
      <c r="H434" s="96">
        <f t="shared" si="93"/>
        <v>0</v>
      </c>
      <c r="I434" s="2836">
        <f t="shared" si="94"/>
        <v>0</v>
      </c>
      <c r="J434" s="2926"/>
      <c r="K434" s="2837"/>
      <c r="L434" s="2858"/>
      <c r="M434" s="2854"/>
    </row>
    <row r="435" spans="1:13">
      <c r="A435" s="2837"/>
      <c r="B435" s="302" t="str">
        <f>дома!AQ1438</f>
        <v>Монтаж вентиляционного зазора</v>
      </c>
      <c r="C435" s="2890" t="s">
        <v>133</v>
      </c>
      <c r="D435" s="275">
        <f>дома!AR1438</f>
        <v>0</v>
      </c>
      <c r="E435" s="302">
        <f>дома!AS1438</f>
        <v>80</v>
      </c>
      <c r="F435" s="302"/>
      <c r="G435" s="275">
        <f t="shared" si="92"/>
        <v>0</v>
      </c>
      <c r="H435" s="96">
        <f t="shared" si="93"/>
        <v>0</v>
      </c>
      <c r="I435" s="2836">
        <f t="shared" si="94"/>
        <v>0</v>
      </c>
      <c r="J435" s="2926"/>
      <c r="K435" s="2837"/>
      <c r="L435" s="2858"/>
      <c r="M435" s="2854"/>
    </row>
    <row r="436" spans="1:13">
      <c r="A436" s="2837"/>
      <c r="B436" s="302" t="str">
        <f>дома!AQ1439</f>
        <v>Монтаж технологического зазора</v>
      </c>
      <c r="C436" s="2890" t="s">
        <v>133</v>
      </c>
      <c r="D436" s="275">
        <f>дома!AR1439</f>
        <v>0</v>
      </c>
      <c r="E436" s="302">
        <f>дома!AS1439</f>
        <v>80</v>
      </c>
      <c r="F436" s="302"/>
      <c r="G436" s="275">
        <f t="shared" si="92"/>
        <v>0</v>
      </c>
      <c r="H436" s="96">
        <f t="shared" si="93"/>
        <v>0</v>
      </c>
      <c r="I436" s="2836">
        <f t="shared" si="94"/>
        <v>0</v>
      </c>
      <c r="J436" s="2926"/>
      <c r="K436" s="2837"/>
      <c r="L436" s="2858"/>
      <c r="M436" s="2854"/>
    </row>
    <row r="437" spans="1:13">
      <c r="A437" s="2837"/>
      <c r="B437" s="302" t="str">
        <f>дома!AQ1440</f>
        <v>монтаж ветроизоляции стен</v>
      </c>
      <c r="C437" s="2890" t="s">
        <v>133</v>
      </c>
      <c r="D437" s="275">
        <f>дома!AR1440</f>
        <v>0</v>
      </c>
      <c r="E437" s="302">
        <f>дома!AS1440</f>
        <v>100</v>
      </c>
      <c r="F437" s="302"/>
      <c r="G437" s="275">
        <f t="shared" si="92"/>
        <v>0</v>
      </c>
      <c r="H437" s="96">
        <f t="shared" si="93"/>
        <v>0</v>
      </c>
      <c r="I437" s="2836">
        <f t="shared" si="94"/>
        <v>0</v>
      </c>
      <c r="J437" s="2926"/>
      <c r="K437" s="2837"/>
      <c r="L437" s="2858"/>
      <c r="M437" s="2854"/>
    </row>
    <row r="438" spans="1:13">
      <c r="A438" s="2837"/>
      <c r="B438" s="302" t="str">
        <f>дома!AQ1441</f>
        <v>монтаж пароизоляции стен</v>
      </c>
      <c r="C438" s="2890" t="s">
        <v>133</v>
      </c>
      <c r="D438" s="275">
        <f>дома!AR1441</f>
        <v>0</v>
      </c>
      <c r="E438" s="302">
        <f>дома!AS1441</f>
        <v>100</v>
      </c>
      <c r="F438" s="302"/>
      <c r="G438" s="275">
        <f t="shared" si="92"/>
        <v>0</v>
      </c>
      <c r="H438" s="96">
        <f t="shared" si="93"/>
        <v>0</v>
      </c>
      <c r="I438" s="2836">
        <f t="shared" si="94"/>
        <v>0</v>
      </c>
      <c r="J438" s="2926"/>
      <c r="K438" s="2837"/>
      <c r="L438" s="2858"/>
      <c r="M438" s="2854"/>
    </row>
    <row r="439" spans="1:13">
      <c r="A439" s="2837"/>
      <c r="B439" s="302" t="str">
        <f>дома!AQ1442</f>
        <v>монтаж osb/фанера наруж стены</v>
      </c>
      <c r="C439" s="2890" t="s">
        <v>133</v>
      </c>
      <c r="D439" s="275">
        <f>дома!AR1442</f>
        <v>0</v>
      </c>
      <c r="E439" s="302">
        <f>дома!AS1442</f>
        <v>200</v>
      </c>
      <c r="F439" s="302"/>
      <c r="G439" s="275">
        <f t="shared" si="92"/>
        <v>0</v>
      </c>
      <c r="H439" s="96">
        <f t="shared" si="93"/>
        <v>0</v>
      </c>
      <c r="I439" s="2836">
        <f t="shared" si="94"/>
        <v>0</v>
      </c>
      <c r="J439" s="2926"/>
      <c r="K439" s="2837"/>
      <c r="L439" s="2858"/>
      <c r="M439" s="2854"/>
    </row>
    <row r="440" spans="1:13">
      <c r="A440" s="2837"/>
      <c r="B440" s="302" t="str">
        <f>дома!AQ1443</f>
        <v>монтаж osb/фанера потолок</v>
      </c>
      <c r="C440" s="2890" t="s">
        <v>133</v>
      </c>
      <c r="D440" s="275">
        <f>дома!AR1443</f>
        <v>0</v>
      </c>
      <c r="E440" s="302">
        <f>дома!AS1443</f>
        <v>200</v>
      </c>
      <c r="F440" s="302"/>
      <c r="G440" s="275">
        <f t="shared" si="92"/>
        <v>0</v>
      </c>
      <c r="H440" s="96">
        <f t="shared" si="93"/>
        <v>0</v>
      </c>
      <c r="I440" s="2836">
        <f t="shared" si="94"/>
        <v>0</v>
      </c>
      <c r="J440" s="2926"/>
      <c r="K440" s="2837"/>
      <c r="L440" s="2858"/>
      <c r="M440" s="2854"/>
    </row>
    <row r="441" spans="1:13">
      <c r="A441" s="2837"/>
      <c r="B441" s="302" t="str">
        <f>дома!AQ1444</f>
        <v>монтаж osb/фанера перегородки</v>
      </c>
      <c r="C441" s="2890" t="s">
        <v>133</v>
      </c>
      <c r="D441" s="275">
        <f>дома!AR1444</f>
        <v>0</v>
      </c>
      <c r="E441" s="302">
        <f>дома!AS1444</f>
        <v>200</v>
      </c>
      <c r="F441" s="302"/>
      <c r="G441" s="275">
        <f t="shared" si="92"/>
        <v>0</v>
      </c>
      <c r="H441" s="96">
        <f t="shared" si="93"/>
        <v>0</v>
      </c>
      <c r="I441" s="2836">
        <f t="shared" si="94"/>
        <v>0</v>
      </c>
      <c r="J441" s="2926"/>
      <c r="K441" s="2837"/>
      <c r="L441" s="2858"/>
      <c r="M441" s="2854"/>
    </row>
    <row r="442" spans="1:13">
      <c r="A442" s="2837"/>
      <c r="B442" s="302" t="str">
        <f>дома!AQ1445</f>
        <v>монтаж osb/фанера пол</v>
      </c>
      <c r="C442" s="2890" t="s">
        <v>133</v>
      </c>
      <c r="D442" s="275">
        <f>дома!AR1445</f>
        <v>100</v>
      </c>
      <c r="E442" s="302">
        <f>дома!AS1445</f>
        <v>200</v>
      </c>
      <c r="F442" s="302"/>
      <c r="G442" s="275">
        <f t="shared" si="92"/>
        <v>20000</v>
      </c>
      <c r="H442" s="96">
        <f t="shared" si="93"/>
        <v>0</v>
      </c>
      <c r="I442" s="2836">
        <f t="shared" si="94"/>
        <v>0</v>
      </c>
      <c r="J442" s="2926"/>
      <c r="K442" s="2837"/>
      <c r="L442" s="2858"/>
      <c r="M442" s="2854"/>
    </row>
    <row r="443" spans="1:13">
      <c r="A443" s="2837"/>
      <c r="B443" s="302" t="str">
        <f>дома!AQ1446</f>
        <v>утепление наружних стен</v>
      </c>
      <c r="C443" s="2890" t="s">
        <v>133</v>
      </c>
      <c r="D443" s="275">
        <f>дома!AR1446</f>
        <v>0</v>
      </c>
      <c r="E443" s="302">
        <f>дома!AS1446</f>
        <v>200</v>
      </c>
      <c r="F443" s="302"/>
      <c r="G443" s="275">
        <f t="shared" si="92"/>
        <v>0</v>
      </c>
      <c r="H443" s="96">
        <f t="shared" si="93"/>
        <v>0</v>
      </c>
      <c r="I443" s="2836">
        <f t="shared" si="94"/>
        <v>0</v>
      </c>
      <c r="J443" s="2926"/>
      <c r="K443" s="2837"/>
      <c r="L443" s="2858"/>
      <c r="M443" s="2854"/>
    </row>
    <row r="444" spans="1:13">
      <c r="A444" s="2837"/>
      <c r="B444" s="302" t="str">
        <f>дома!AQ1447</f>
        <v>Утепление перегородок</v>
      </c>
      <c r="C444" s="2890" t="s">
        <v>133</v>
      </c>
      <c r="D444" s="275">
        <f>дома!AR1447</f>
        <v>0</v>
      </c>
      <c r="E444" s="302">
        <f>дома!AS1447</f>
        <v>200</v>
      </c>
      <c r="F444" s="302"/>
      <c r="G444" s="275">
        <f t="shared" si="92"/>
        <v>0</v>
      </c>
      <c r="H444" s="96">
        <f t="shared" si="93"/>
        <v>0</v>
      </c>
      <c r="I444" s="2836">
        <f t="shared" si="94"/>
        <v>0</v>
      </c>
      <c r="J444" s="2926"/>
      <c r="K444" s="2837"/>
      <c r="L444" s="2858"/>
      <c r="M444" s="2854"/>
    </row>
    <row r="445" spans="1:13">
      <c r="A445" s="2837"/>
      <c r="B445" s="302" t="str">
        <f>дома!AQ1448</f>
        <v>Монтаж горизонтальной обрешетки</v>
      </c>
      <c r="C445" s="2890" t="s">
        <v>133</v>
      </c>
      <c r="D445" s="275">
        <f>дома!AR1448</f>
        <v>0</v>
      </c>
      <c r="E445" s="302">
        <f>дома!AS1448</f>
        <v>100</v>
      </c>
      <c r="F445" s="302"/>
      <c r="G445" s="275">
        <f t="shared" si="92"/>
        <v>0</v>
      </c>
      <c r="H445" s="96">
        <f t="shared" si="93"/>
        <v>0</v>
      </c>
      <c r="I445" s="2836">
        <f t="shared" si="94"/>
        <v>0</v>
      </c>
      <c r="J445" s="2926"/>
      <c r="K445" s="2837"/>
      <c r="L445" s="2858"/>
      <c r="M445" s="2854"/>
    </row>
    <row r="446" spans="1:13">
      <c r="A446" s="2837"/>
      <c r="B446" s="302" t="str">
        <f>дома!AQ1449</f>
        <v>Монтаж вертикальной обрешетки</v>
      </c>
      <c r="C446" s="2890" t="s">
        <v>133</v>
      </c>
      <c r="D446" s="275">
        <f>дома!AR1449</f>
        <v>0</v>
      </c>
      <c r="E446" s="302">
        <f>дома!AS1449</f>
        <v>100</v>
      </c>
      <c r="F446" s="302"/>
      <c r="G446" s="275">
        <f t="shared" si="92"/>
        <v>0</v>
      </c>
      <c r="H446" s="96">
        <f t="shared" si="93"/>
        <v>0</v>
      </c>
      <c r="I446" s="2836">
        <f t="shared" si="94"/>
        <v>0</v>
      </c>
      <c r="J446" s="2926"/>
      <c r="K446" s="2837"/>
      <c r="L446" s="2858"/>
      <c r="M446" s="2854"/>
    </row>
    <row r="447" spans="1:13">
      <c r="A447" s="2837"/>
      <c r="B447" s="302" t="str">
        <f>дома!AQ1450</f>
        <v>Монтаж обрешетки потолок</v>
      </c>
      <c r="C447" s="2890" t="s">
        <v>133</v>
      </c>
      <c r="D447" s="275">
        <f>дома!AR1450</f>
        <v>0</v>
      </c>
      <c r="E447" s="302">
        <f>дома!AS1450</f>
        <v>100</v>
      </c>
      <c r="F447" s="302"/>
      <c r="G447" s="275">
        <f t="shared" si="92"/>
        <v>0</v>
      </c>
      <c r="H447" s="96">
        <f t="shared" si="93"/>
        <v>0</v>
      </c>
      <c r="I447" s="2836">
        <f t="shared" si="94"/>
        <v>0</v>
      </c>
      <c r="J447" s="2926"/>
      <c r="K447" s="2837"/>
      <c r="L447" s="2858"/>
      <c r="M447" s="2854"/>
    </row>
    <row r="448" spans="1:13">
      <c r="A448" s="2837"/>
      <c r="B448" s="302" t="str">
        <f>дома!AQ1451</f>
        <v>Монтаж профлист потолок</v>
      </c>
      <c r="C448" s="2890" t="s">
        <v>133</v>
      </c>
      <c r="D448" s="275">
        <f>дома!AR1451</f>
        <v>0</v>
      </c>
      <c r="E448" s="302">
        <f>дома!AS1451</f>
        <v>100</v>
      </c>
      <c r="F448" s="302"/>
      <c r="G448" s="275">
        <f t="shared" si="92"/>
        <v>0</v>
      </c>
      <c r="H448" s="96">
        <f t="shared" si="93"/>
        <v>0</v>
      </c>
      <c r="I448" s="2836">
        <f t="shared" si="94"/>
        <v>0</v>
      </c>
      <c r="J448" s="2926"/>
      <c r="K448" s="2837"/>
      <c r="L448" s="2858"/>
      <c r="M448" s="2854"/>
    </row>
    <row r="449" spans="1:14">
      <c r="A449" s="2837"/>
      <c r="B449" s="302" t="str">
        <f>дома!AQ1452</f>
        <v>Монтаж обрешетки пол</v>
      </c>
      <c r="C449" s="2890" t="s">
        <v>133</v>
      </c>
      <c r="D449" s="275">
        <f>дома!AR1452</f>
        <v>0</v>
      </c>
      <c r="E449" s="302">
        <f>дома!AS1452</f>
        <v>100</v>
      </c>
      <c r="F449" s="302"/>
      <c r="G449" s="275">
        <f t="shared" si="92"/>
        <v>0</v>
      </c>
      <c r="H449" s="96">
        <f t="shared" si="93"/>
        <v>0</v>
      </c>
      <c r="I449" s="2836">
        <f t="shared" si="94"/>
        <v>0</v>
      </c>
      <c r="J449" s="2926"/>
      <c r="K449" s="2837"/>
      <c r="L449" s="2858"/>
      <c r="M449" s="2854"/>
    </row>
    <row r="450" spans="1:14">
      <c r="A450" s="2837"/>
      <c r="B450" s="302" t="str">
        <f>дома!AQ1453</f>
        <v>Монтаж профлист пол</v>
      </c>
      <c r="C450" s="2890" t="s">
        <v>133</v>
      </c>
      <c r="D450" s="275">
        <f>дома!AR1453</f>
        <v>0</v>
      </c>
      <c r="E450" s="302">
        <f>дома!AS1453</f>
        <v>100</v>
      </c>
      <c r="F450" s="302"/>
      <c r="G450" s="275">
        <f t="shared" si="92"/>
        <v>0</v>
      </c>
      <c r="H450" s="96">
        <f t="shared" si="93"/>
        <v>0</v>
      </c>
      <c r="I450" s="2836">
        <f t="shared" si="94"/>
        <v>0</v>
      </c>
      <c r="J450" s="2926"/>
      <c r="K450" s="2837"/>
      <c r="L450" s="2858"/>
      <c r="M450" s="2854"/>
    </row>
    <row r="451" spans="1:14">
      <c r="A451" s="2837"/>
      <c r="B451" s="302" t="str">
        <f>дома!AQ1454</f>
        <v>монтаж osb/фанера пол</v>
      </c>
      <c r="C451" s="2890" t="s">
        <v>133</v>
      </c>
      <c r="D451" s="275">
        <f>дома!AR1454</f>
        <v>100</v>
      </c>
      <c r="E451" s="302">
        <f>дома!AS1454</f>
        <v>200</v>
      </c>
      <c r="F451" s="302"/>
      <c r="G451" s="275">
        <f t="shared" si="92"/>
        <v>20000</v>
      </c>
      <c r="H451" s="96">
        <f t="shared" si="93"/>
        <v>0</v>
      </c>
      <c r="I451" s="2836">
        <f t="shared" si="94"/>
        <v>0</v>
      </c>
      <c r="J451" s="2926"/>
      <c r="K451" s="2837"/>
      <c r="L451" s="2858"/>
      <c r="M451" s="2854"/>
    </row>
    <row r="452" spans="1:14">
      <c r="A452" s="2837"/>
      <c r="B452" s="3278" t="s">
        <v>4641</v>
      </c>
      <c r="C452" s="3278"/>
      <c r="D452" s="3278"/>
      <c r="E452" s="3278"/>
      <c r="F452" s="2924"/>
      <c r="G452" s="275">
        <f>SUM(G431:G451)*H430</f>
        <v>0</v>
      </c>
      <c r="H452" s="96">
        <f t="shared" si="93"/>
        <v>0</v>
      </c>
      <c r="I452" s="2836">
        <f t="shared" si="94"/>
        <v>0</v>
      </c>
      <c r="J452" s="2926"/>
      <c r="K452" s="2837"/>
      <c r="L452" s="2858"/>
      <c r="M452" s="2854"/>
    </row>
    <row r="453" spans="1:14">
      <c r="A453" s="2837"/>
      <c r="B453" s="3287" t="s">
        <v>4651</v>
      </c>
      <c r="C453" s="3287"/>
      <c r="D453" s="2920"/>
      <c r="E453" s="2920"/>
      <c r="F453" s="2924"/>
      <c r="G453" s="941"/>
      <c r="H453" s="2927">
        <f>H375</f>
        <v>0</v>
      </c>
      <c r="I453" s="2879">
        <f>H453</f>
        <v>0</v>
      </c>
      <c r="J453" s="2926"/>
      <c r="K453" s="2851"/>
      <c r="L453" s="2858"/>
      <c r="M453" s="2854"/>
    </row>
    <row r="454" spans="1:14">
      <c r="A454" s="2837"/>
      <c r="B454" s="302" t="str">
        <f>дома!AQ1484</f>
        <v>Командировочные расходы</v>
      </c>
      <c r="C454" s="22"/>
      <c r="D454" s="275">
        <f>дома!AS1484</f>
        <v>1</v>
      </c>
      <c r="E454" s="302">
        <f>дома!AT1484</f>
        <v>0</v>
      </c>
      <c r="F454" s="302"/>
      <c r="G454" s="2301">
        <f>IF(F454&gt;0,D454*F454,E454*D454)</f>
        <v>0</v>
      </c>
      <c r="H454" s="96">
        <f>D454*E454*$H$375</f>
        <v>0</v>
      </c>
      <c r="I454" s="2928">
        <f>IF(G454&gt;H454,G454,H454)*$H$375</f>
        <v>0</v>
      </c>
      <c r="J454" s="1496"/>
      <c r="K454" s="223">
        <f>D454-J454</f>
        <v>1</v>
      </c>
      <c r="L454" s="2858"/>
      <c r="M454" s="2854"/>
    </row>
    <row r="455" spans="1:14">
      <c r="A455" s="2837"/>
      <c r="B455" s="302" t="str">
        <f>дома!AQ1485</f>
        <v>расходные материалы каркасный дом</v>
      </c>
      <c r="C455" s="22"/>
      <c r="D455" s="275">
        <f>дома!AS1485</f>
        <v>1</v>
      </c>
      <c r="E455" s="302">
        <f>дома!AT1485</f>
        <v>12000</v>
      </c>
      <c r="F455" s="302"/>
      <c r="G455" s="2301">
        <f>IF(F455&gt;0,D455*F455,E455*D455)</f>
        <v>12000</v>
      </c>
      <c r="H455" s="96">
        <f>D455*E455*$H$375</f>
        <v>0</v>
      </c>
      <c r="I455" s="2928">
        <f>IF(G455&gt;H455,G455,H455)*$H$375</f>
        <v>0</v>
      </c>
      <c r="J455" s="1496"/>
      <c r="K455" s="223">
        <f>D455-J455</f>
        <v>1</v>
      </c>
      <c r="L455" s="2858"/>
      <c r="M455" s="2854"/>
    </row>
    <row r="456" spans="1:14">
      <c r="A456" s="2837"/>
      <c r="B456" s="302" t="str">
        <f>дома!AQ1486</f>
        <v>Нет техники</v>
      </c>
      <c r="C456" s="22"/>
      <c r="D456" s="275">
        <f>дома!AS1486</f>
        <v>2</v>
      </c>
      <c r="E456" s="302">
        <f>дома!AT1486</f>
        <v>0</v>
      </c>
      <c r="F456" s="302"/>
      <c r="G456" s="275">
        <f>IF(F456&gt;0,D456*F456,E456*D456)</f>
        <v>0</v>
      </c>
      <c r="H456" s="96">
        <f>D456*E456*$H$375</f>
        <v>0</v>
      </c>
      <c r="I456" s="2928">
        <f>IF(G456&gt;H456,G456,H456)*$H$375</f>
        <v>0</v>
      </c>
      <c r="J456" s="1496"/>
      <c r="K456" s="223">
        <f>D456-J456</f>
        <v>2</v>
      </c>
      <c r="L456" s="2858"/>
      <c r="M456" s="2854"/>
    </row>
    <row r="457" spans="1:14">
      <c r="A457" s="2837"/>
      <c r="B457" s="3288" t="s">
        <v>4652</v>
      </c>
      <c r="C457" s="3288"/>
      <c r="D457" s="3288"/>
      <c r="E457" s="3288"/>
      <c r="F457" s="2924"/>
      <c r="G457" s="275">
        <f>SUM(G454:G456)</f>
        <v>12000</v>
      </c>
      <c r="H457" s="96">
        <f>SUM(H454:H456)*H453</f>
        <v>0</v>
      </c>
      <c r="I457" s="2928">
        <f>IF(G457&gt;H457,G457,H457)*$H$375</f>
        <v>0</v>
      </c>
      <c r="J457" s="1496"/>
      <c r="K457" s="223">
        <f>D457-J457</f>
        <v>0</v>
      </c>
      <c r="L457" s="2858"/>
      <c r="M457" s="2854"/>
    </row>
    <row r="458" spans="1:14" ht="21">
      <c r="A458" s="2837"/>
      <c r="B458" s="3283" t="s">
        <v>4653</v>
      </c>
      <c r="C458" s="3283"/>
      <c r="D458" s="2924"/>
      <c r="E458" s="2924"/>
      <c r="F458" s="2924"/>
      <c r="G458" s="941"/>
      <c r="H458" s="2925">
        <f>IF('Ввод данных'!$A$8=связи1!A151,1,0)+IF('Ввод данных'!$A$8=связи1!A169,1,0)+IF('Ввод данных'!$A$8=связи1!A177,1,0)+IF('Ввод данных'!$A$8=связи1!A184,1,0)+IF('Ввод данных'!$A$8=связи1!A185,1,0)</f>
        <v>0</v>
      </c>
      <c r="I458" s="2879">
        <f>H458</f>
        <v>0</v>
      </c>
      <c r="J458" s="2926"/>
      <c r="K458" s="2893"/>
      <c r="L458" s="2858"/>
      <c r="M458" s="2854"/>
    </row>
    <row r="459" spans="1:14">
      <c r="A459" s="2837"/>
      <c r="B459" s="3286" t="s">
        <v>2720</v>
      </c>
      <c r="C459" s="3286"/>
      <c r="D459" s="2924"/>
      <c r="E459" s="2924"/>
      <c r="F459" s="2924"/>
      <c r="G459" s="941"/>
      <c r="H459" s="2925">
        <f>H458</f>
        <v>0</v>
      </c>
      <c r="I459" s="2871">
        <f>H459</f>
        <v>0</v>
      </c>
      <c r="J459" s="2926"/>
      <c r="K459" s="2851"/>
      <c r="L459" s="2858"/>
      <c r="M459" s="2854"/>
    </row>
    <row r="460" spans="1:14">
      <c r="A460" s="2837"/>
      <c r="B460" s="302" t="str">
        <f>дома!AC1466</f>
        <v>Брус естественной влажности, 150*150мм</v>
      </c>
      <c r="C460" s="2890" t="str">
        <f>дома!AD1466</f>
        <v>м3</v>
      </c>
      <c r="D460" s="275">
        <f>дома!AE1466</f>
        <v>1.26</v>
      </c>
      <c r="E460" s="275">
        <f>дома!AF1466</f>
        <v>6500</v>
      </c>
      <c r="F460" s="302"/>
      <c r="G460" s="275">
        <f t="shared" ref="G460:G491" si="95">IF(F460&gt;0,D460*F460,E460*D460)</f>
        <v>8190</v>
      </c>
      <c r="H460" s="96">
        <f t="shared" ref="H460:H491" si="96">D460*E460*$H$458</f>
        <v>0</v>
      </c>
      <c r="I460" s="2928">
        <f t="shared" ref="I460:I491" si="97">IF(G460&gt;H460,G460,H460)*$H$458</f>
        <v>0</v>
      </c>
      <c r="J460" s="2863"/>
      <c r="K460" s="223">
        <f t="shared" ref="K460:K491" si="98">D460-J460</f>
        <v>1.26</v>
      </c>
      <c r="L460" s="2921" t="s">
        <v>3699</v>
      </c>
      <c r="M460" s="2929"/>
      <c r="N460" s="2930"/>
    </row>
    <row r="461" spans="1:14">
      <c r="A461" s="2837"/>
      <c r="B461" s="302" t="str">
        <f>дома!AC1467</f>
        <v xml:space="preserve">Болты анкерные с гайкой 12,0 х 280          </v>
      </c>
      <c r="C461" s="2890" t="str">
        <f>дома!AD1467</f>
        <v>шт</v>
      </c>
      <c r="D461" s="275">
        <f>дома!AE1467</f>
        <v>56</v>
      </c>
      <c r="E461" s="275">
        <f>дома!AF1467</f>
        <v>27.1</v>
      </c>
      <c r="F461" s="302"/>
      <c r="G461" s="275">
        <f t="shared" si="95"/>
        <v>1517.6000000000001</v>
      </c>
      <c r="H461" s="96">
        <f t="shared" si="96"/>
        <v>0</v>
      </c>
      <c r="I461" s="2928">
        <f t="shared" si="97"/>
        <v>0</v>
      </c>
      <c r="J461" s="2863"/>
      <c r="K461" s="223">
        <f t="shared" si="98"/>
        <v>56</v>
      </c>
      <c r="L461" s="2921" t="s">
        <v>3702</v>
      </c>
      <c r="M461" s="2929"/>
      <c r="N461" s="2930"/>
    </row>
    <row r="462" spans="1:14">
      <c r="A462" s="2837"/>
      <c r="B462" s="302" t="str">
        <f>дома!AC1468</f>
        <v>ГПС 150х50-1,2</v>
      </c>
      <c r="C462" s="2890" t="str">
        <f>дома!AD1468</f>
        <v>м3</v>
      </c>
      <c r="D462" s="275">
        <f>дома!AE1468</f>
        <v>0</v>
      </c>
      <c r="E462" s="275">
        <f>дома!AF1468</f>
        <v>201</v>
      </c>
      <c r="F462" s="302"/>
      <c r="G462" s="275">
        <f t="shared" si="95"/>
        <v>0</v>
      </c>
      <c r="H462" s="96">
        <f t="shared" si="96"/>
        <v>0</v>
      </c>
      <c r="I462" s="2928">
        <f t="shared" si="97"/>
        <v>0</v>
      </c>
      <c r="J462" s="2863"/>
      <c r="K462" s="223">
        <f t="shared" si="98"/>
        <v>0</v>
      </c>
      <c r="L462" s="2921" t="s">
        <v>3704</v>
      </c>
      <c r="M462" s="2929"/>
      <c r="N462" s="2930"/>
    </row>
    <row r="463" spans="1:14">
      <c r="A463" s="2837"/>
      <c r="B463" s="302" t="str">
        <f>дома!H1481</f>
        <v>ГПН 152х35-1,2</v>
      </c>
      <c r="C463" s="2890" t="str">
        <f>дома!I1481</f>
        <v>мп.</v>
      </c>
      <c r="D463" s="275">
        <f>дома!J1481</f>
        <v>0</v>
      </c>
      <c r="E463" s="275">
        <f>дома!K1481</f>
        <v>163</v>
      </c>
      <c r="F463" s="302"/>
      <c r="G463" s="275">
        <f t="shared" si="95"/>
        <v>0</v>
      </c>
      <c r="H463" s="96">
        <f t="shared" si="96"/>
        <v>0</v>
      </c>
      <c r="I463" s="2928">
        <f t="shared" si="97"/>
        <v>0</v>
      </c>
      <c r="J463" s="2863"/>
      <c r="K463" s="223">
        <f t="shared" si="98"/>
        <v>0</v>
      </c>
      <c r="L463" s="2921" t="s">
        <v>3718</v>
      </c>
      <c r="M463" s="2929"/>
      <c r="N463" s="2930"/>
    </row>
    <row r="464" spans="1:14">
      <c r="A464" s="2837"/>
      <c r="B464" s="302" t="str">
        <f>дома!H1482</f>
        <v xml:space="preserve">Болты анкерные с гайкой 12,0 x 100          </v>
      </c>
      <c r="C464" s="2890" t="str">
        <f>дома!I1482</f>
        <v>шт.</v>
      </c>
      <c r="D464" s="275">
        <f>дома!J1482</f>
        <v>0</v>
      </c>
      <c r="E464" s="275">
        <f>дома!K1482</f>
        <v>11.2</v>
      </c>
      <c r="F464" s="302"/>
      <c r="G464" s="275">
        <f t="shared" si="95"/>
        <v>0</v>
      </c>
      <c r="H464" s="96">
        <f t="shared" si="96"/>
        <v>0</v>
      </c>
      <c r="I464" s="2928">
        <f t="shared" si="97"/>
        <v>0</v>
      </c>
      <c r="J464" s="2863"/>
      <c r="K464" s="223">
        <f t="shared" si="98"/>
        <v>0</v>
      </c>
      <c r="L464" s="2921" t="s">
        <v>3722</v>
      </c>
      <c r="M464" s="2929"/>
      <c r="N464" s="2930"/>
    </row>
    <row r="465" spans="1:14">
      <c r="A465" s="2837"/>
      <c r="B465" s="302" t="str">
        <f>дома!H1483</f>
        <v>Саморез 5,5 х 25</v>
      </c>
      <c r="C465" s="2890" t="str">
        <f>дома!I1483</f>
        <v>шт.</v>
      </c>
      <c r="D465" s="275">
        <f>дома!J1483</f>
        <v>1644</v>
      </c>
      <c r="E465" s="275">
        <f>дома!K1483</f>
        <v>2.5</v>
      </c>
      <c r="F465" s="302"/>
      <c r="G465" s="275">
        <f t="shared" si="95"/>
        <v>4110</v>
      </c>
      <c r="H465" s="96">
        <f t="shared" si="96"/>
        <v>0</v>
      </c>
      <c r="I465" s="2928">
        <f t="shared" si="97"/>
        <v>0</v>
      </c>
      <c r="J465" s="2863"/>
      <c r="K465" s="223">
        <f t="shared" si="98"/>
        <v>1644</v>
      </c>
      <c r="L465" s="2921" t="s">
        <v>3725</v>
      </c>
      <c r="M465" s="2929"/>
      <c r="N465" s="2930"/>
    </row>
    <row r="466" spans="1:14">
      <c r="A466" s="2837"/>
      <c r="B466" s="302" t="str">
        <f>дома!H1484</f>
        <v>ГПН 122х35-1,5</v>
      </c>
      <c r="C466" s="2890" t="str">
        <f>дома!I1484</f>
        <v>мп.</v>
      </c>
      <c r="D466" s="275">
        <f>дома!J1484</f>
        <v>0</v>
      </c>
      <c r="E466" s="275">
        <f>дома!K1484</f>
        <v>163</v>
      </c>
      <c r="F466" s="302"/>
      <c r="G466" s="275">
        <f t="shared" si="95"/>
        <v>0</v>
      </c>
      <c r="H466" s="96">
        <f t="shared" si="96"/>
        <v>0</v>
      </c>
      <c r="I466" s="2928">
        <f t="shared" si="97"/>
        <v>0</v>
      </c>
      <c r="J466" s="2863"/>
      <c r="K466" s="223">
        <f t="shared" si="98"/>
        <v>0</v>
      </c>
      <c r="L466" s="2921" t="s">
        <v>3727</v>
      </c>
      <c r="M466" s="2929"/>
      <c r="N466" s="2930"/>
    </row>
    <row r="467" spans="1:14">
      <c r="A467" s="2837"/>
      <c r="B467" s="302" t="str">
        <f>дома!H1485</f>
        <v xml:space="preserve">Болты анкерные с гайкой 12,0 x 100          </v>
      </c>
      <c r="C467" s="2890" t="str">
        <f>дома!I1485</f>
        <v>шт.</v>
      </c>
      <c r="D467" s="275">
        <f>дома!J1485</f>
        <v>0</v>
      </c>
      <c r="E467" s="275">
        <f>дома!K1485</f>
        <v>11.2</v>
      </c>
      <c r="F467" s="302"/>
      <c r="G467" s="275">
        <f t="shared" si="95"/>
        <v>0</v>
      </c>
      <c r="H467" s="96">
        <f t="shared" si="96"/>
        <v>0</v>
      </c>
      <c r="I467" s="2928">
        <f t="shared" si="97"/>
        <v>0</v>
      </c>
      <c r="J467" s="2863"/>
      <c r="K467" s="223">
        <f t="shared" si="98"/>
        <v>0</v>
      </c>
      <c r="L467" s="2921" t="s">
        <v>3722</v>
      </c>
      <c r="M467" s="2929"/>
      <c r="N467" s="2930"/>
    </row>
    <row r="468" spans="1:14">
      <c r="A468" s="2837"/>
      <c r="B468" s="302" t="str">
        <f>дома!H1486</f>
        <v>Саморез 5,5 х 25</v>
      </c>
      <c r="C468" s="2890" t="str">
        <f>дома!I1486</f>
        <v>шт.</v>
      </c>
      <c r="D468" s="275">
        <f>дома!J1486</f>
        <v>12</v>
      </c>
      <c r="E468" s="275">
        <f>дома!K1486</f>
        <v>2.5</v>
      </c>
      <c r="F468" s="302"/>
      <c r="G468" s="275">
        <f t="shared" si="95"/>
        <v>30</v>
      </c>
      <c r="H468" s="96">
        <f t="shared" si="96"/>
        <v>0</v>
      </c>
      <c r="I468" s="2928">
        <f t="shared" si="97"/>
        <v>0</v>
      </c>
      <c r="J468" s="2863"/>
      <c r="K468" s="223">
        <f t="shared" si="98"/>
        <v>12</v>
      </c>
      <c r="L468" s="2921" t="s">
        <v>3725</v>
      </c>
      <c r="M468" s="2929"/>
      <c r="N468" s="2930"/>
    </row>
    <row r="469" spans="1:14">
      <c r="A469" s="2837"/>
      <c r="B469" s="302" t="str">
        <f>дома!H1487</f>
        <v>ГПН 172х35-2,0</v>
      </c>
      <c r="C469" s="2890" t="str">
        <f>дома!I1487</f>
        <v>мп.</v>
      </c>
      <c r="D469" s="275">
        <f>дома!J1487</f>
        <v>0</v>
      </c>
      <c r="E469" s="275">
        <f>дома!K1487</f>
        <v>274</v>
      </c>
      <c r="F469" s="302"/>
      <c r="G469" s="275">
        <f t="shared" si="95"/>
        <v>0</v>
      </c>
      <c r="H469" s="96">
        <f t="shared" si="96"/>
        <v>0</v>
      </c>
      <c r="I469" s="2928">
        <f t="shared" si="97"/>
        <v>0</v>
      </c>
      <c r="J469" s="2863"/>
      <c r="K469" s="223">
        <f t="shared" si="98"/>
        <v>0</v>
      </c>
      <c r="L469" s="2921" t="s">
        <v>3731</v>
      </c>
      <c r="M469" s="2929"/>
      <c r="N469" s="2930"/>
    </row>
    <row r="470" spans="1:14">
      <c r="A470" s="2837"/>
      <c r="B470" s="302" t="str">
        <f>дома!H1488</f>
        <v xml:space="preserve">Болты анкерные с гайкой 12,0 x 100          </v>
      </c>
      <c r="C470" s="2890" t="str">
        <f>дома!I1488</f>
        <v>шт.</v>
      </c>
      <c r="D470" s="275">
        <f>дома!J1488</f>
        <v>0</v>
      </c>
      <c r="E470" s="275">
        <f>дома!K1488</f>
        <v>11.2</v>
      </c>
      <c r="F470" s="302"/>
      <c r="G470" s="275">
        <f t="shared" si="95"/>
        <v>0</v>
      </c>
      <c r="H470" s="96">
        <f t="shared" si="96"/>
        <v>0</v>
      </c>
      <c r="I470" s="2928">
        <f t="shared" si="97"/>
        <v>0</v>
      </c>
      <c r="J470" s="2863"/>
      <c r="K470" s="223">
        <f t="shared" si="98"/>
        <v>0</v>
      </c>
      <c r="L470" s="2921" t="s">
        <v>3722</v>
      </c>
      <c r="M470" s="2929"/>
      <c r="N470" s="2930"/>
    </row>
    <row r="471" spans="1:14">
      <c r="A471" s="2837"/>
      <c r="B471" s="302" t="str">
        <f>дома!H1489</f>
        <v>Саморез 5,5 х 25</v>
      </c>
      <c r="C471" s="2890" t="str">
        <f>дома!I1489</f>
        <v>шт.</v>
      </c>
      <c r="D471" s="275">
        <f>дома!J1489</f>
        <v>0</v>
      </c>
      <c r="E471" s="275">
        <f>дома!K1489</f>
        <v>2.5</v>
      </c>
      <c r="F471" s="302"/>
      <c r="G471" s="275">
        <f t="shared" si="95"/>
        <v>0</v>
      </c>
      <c r="H471" s="96">
        <f t="shared" si="96"/>
        <v>0</v>
      </c>
      <c r="I471" s="2928">
        <f t="shared" si="97"/>
        <v>0</v>
      </c>
      <c r="J471" s="2863"/>
      <c r="K471" s="223">
        <f t="shared" si="98"/>
        <v>0</v>
      </c>
      <c r="L471" s="2921" t="s">
        <v>3725</v>
      </c>
      <c r="M471" s="2929"/>
      <c r="N471" s="2930"/>
    </row>
    <row r="472" spans="1:14">
      <c r="A472" s="2837"/>
      <c r="B472" s="302" t="str">
        <f>дома!H1490</f>
        <v>ГПС 150х50-1,2</v>
      </c>
      <c r="C472" s="2890" t="str">
        <f>дома!I1490</f>
        <v>мп.</v>
      </c>
      <c r="D472" s="275">
        <f>дома!J1490</f>
        <v>14</v>
      </c>
      <c r="E472" s="275">
        <f>дома!K1490</f>
        <v>63.009404388714735</v>
      </c>
      <c r="F472" s="302"/>
      <c r="G472" s="275">
        <f t="shared" si="95"/>
        <v>882.13166144200625</v>
      </c>
      <c r="H472" s="96">
        <f t="shared" si="96"/>
        <v>0</v>
      </c>
      <c r="I472" s="2928">
        <f t="shared" si="97"/>
        <v>0</v>
      </c>
      <c r="J472" s="2863"/>
      <c r="K472" s="223">
        <f t="shared" si="98"/>
        <v>14</v>
      </c>
      <c r="L472" s="2915" t="s">
        <v>3733</v>
      </c>
      <c r="M472" s="2929"/>
      <c r="N472" s="2930"/>
    </row>
    <row r="473" spans="1:14">
      <c r="A473" s="2837"/>
      <c r="B473" s="302" t="str">
        <f>дома!H1491</f>
        <v>Саморез 5,5 х 25</v>
      </c>
      <c r="C473" s="2890" t="str">
        <f>дома!I1491</f>
        <v>шт.</v>
      </c>
      <c r="D473" s="275">
        <f>дома!J1491</f>
        <v>81</v>
      </c>
      <c r="E473" s="275">
        <f>дома!K1491</f>
        <v>2.5</v>
      </c>
      <c r="F473" s="302"/>
      <c r="G473" s="275">
        <f t="shared" si="95"/>
        <v>202.5</v>
      </c>
      <c r="H473" s="96">
        <f t="shared" si="96"/>
        <v>0</v>
      </c>
      <c r="I473" s="2928">
        <f t="shared" si="97"/>
        <v>0</v>
      </c>
      <c r="J473" s="2863"/>
      <c r="K473" s="223">
        <f t="shared" si="98"/>
        <v>81</v>
      </c>
      <c r="L473" s="2921" t="s">
        <v>3734</v>
      </c>
      <c r="M473" s="2929"/>
      <c r="N473" s="2930"/>
    </row>
    <row r="474" spans="1:14">
      <c r="A474" s="2837"/>
      <c r="B474" s="302" t="str">
        <f>дома!R1466</f>
        <v>L 50 x 50, 1,2мм</v>
      </c>
      <c r="C474" s="2890" t="str">
        <f>дома!S1466</f>
        <v>м.п.</v>
      </c>
      <c r="D474" s="275">
        <f>дома!T1466</f>
        <v>8.1</v>
      </c>
      <c r="E474" s="275">
        <f>дома!U1466</f>
        <v>77</v>
      </c>
      <c r="F474" s="302"/>
      <c r="G474" s="275">
        <f t="shared" si="95"/>
        <v>623.69999999999993</v>
      </c>
      <c r="H474" s="96">
        <f t="shared" si="96"/>
        <v>0</v>
      </c>
      <c r="I474" s="2928">
        <f t="shared" si="97"/>
        <v>0</v>
      </c>
      <c r="J474" s="2863"/>
      <c r="K474" s="223">
        <f t="shared" si="98"/>
        <v>8.1</v>
      </c>
      <c r="L474" s="2915" t="s">
        <v>3701</v>
      </c>
      <c r="M474" s="2929"/>
      <c r="N474" s="2930"/>
    </row>
    <row r="475" spans="1:14">
      <c r="A475" s="2837"/>
      <c r="B475" s="302" t="str">
        <f>дома!R1467</f>
        <v>ГПС 120х50-1,5</v>
      </c>
      <c r="C475" s="2890" t="str">
        <f>дома!S1467</f>
        <v>м.п.</v>
      </c>
      <c r="D475" s="275">
        <f>дома!T1467</f>
        <v>7.8</v>
      </c>
      <c r="E475" s="275">
        <f>дома!U1467</f>
        <v>65.882352941176478</v>
      </c>
      <c r="F475" s="302"/>
      <c r="G475" s="275">
        <f t="shared" si="95"/>
        <v>513.88235294117646</v>
      </c>
      <c r="H475" s="96">
        <f t="shared" si="96"/>
        <v>0</v>
      </c>
      <c r="I475" s="2928">
        <f t="shared" si="97"/>
        <v>0</v>
      </c>
      <c r="J475" s="2863"/>
      <c r="K475" s="223">
        <f t="shared" si="98"/>
        <v>7.8</v>
      </c>
      <c r="L475" s="2921" t="s">
        <v>3703</v>
      </c>
      <c r="M475" s="2929"/>
      <c r="N475" s="2930"/>
    </row>
    <row r="476" spans="1:14">
      <c r="A476" s="2837"/>
      <c r="B476" s="302" t="str">
        <f>дома!R1468</f>
        <v>Саморез 5,5 х 25</v>
      </c>
      <c r="C476" s="2890" t="str">
        <f>дома!S1468</f>
        <v>шт.</v>
      </c>
      <c r="D476" s="275">
        <f>дома!T1468</f>
        <v>48</v>
      </c>
      <c r="E476" s="275">
        <f>дома!U1468</f>
        <v>2.5</v>
      </c>
      <c r="F476" s="302">
        <v>100</v>
      </c>
      <c r="G476" s="275">
        <f t="shared" si="95"/>
        <v>4800</v>
      </c>
      <c r="H476" s="96">
        <f t="shared" si="96"/>
        <v>0</v>
      </c>
      <c r="I476" s="2928">
        <f t="shared" si="97"/>
        <v>0</v>
      </c>
      <c r="J476" s="2863"/>
      <c r="K476" s="223">
        <f t="shared" si="98"/>
        <v>48</v>
      </c>
      <c r="L476" s="2921" t="s">
        <v>3705</v>
      </c>
      <c r="M476" s="2929"/>
      <c r="N476" s="2930"/>
    </row>
    <row r="477" spans="1:14">
      <c r="A477" s="2837"/>
      <c r="B477" s="302" t="str">
        <f>дома!R1469</f>
        <v>нет</v>
      </c>
      <c r="C477" s="2890" t="str">
        <f>дома!S1469</f>
        <v>м.п.</v>
      </c>
      <c r="D477" s="275">
        <f>дома!T1469</f>
        <v>0</v>
      </c>
      <c r="E477" s="275">
        <f>дома!U1469</f>
        <v>0</v>
      </c>
      <c r="F477" s="302"/>
      <c r="G477" s="275">
        <f t="shared" si="95"/>
        <v>0</v>
      </c>
      <c r="H477" s="96">
        <f t="shared" si="96"/>
        <v>0</v>
      </c>
      <c r="I477" s="2928">
        <f t="shared" si="97"/>
        <v>0</v>
      </c>
      <c r="J477" s="2863"/>
      <c r="K477" s="223">
        <f t="shared" si="98"/>
        <v>0</v>
      </c>
      <c r="L477" s="2922" t="s">
        <v>2378</v>
      </c>
      <c r="M477" s="2929"/>
      <c r="N477" s="2930"/>
    </row>
    <row r="478" spans="1:14">
      <c r="A478" s="2837"/>
      <c r="B478" s="302" t="str">
        <f>дома!R1470</f>
        <v>нет</v>
      </c>
      <c r="C478" s="2890" t="str">
        <f>дома!S1470</f>
        <v>м.п.</v>
      </c>
      <c r="D478" s="275">
        <f>дома!T1470</f>
        <v>0</v>
      </c>
      <c r="E478" s="275">
        <f>дома!U1470</f>
        <v>0</v>
      </c>
      <c r="F478" s="302"/>
      <c r="G478" s="275">
        <f t="shared" si="95"/>
        <v>0</v>
      </c>
      <c r="H478" s="96">
        <f t="shared" si="96"/>
        <v>0</v>
      </c>
      <c r="I478" s="2928">
        <f t="shared" si="97"/>
        <v>0</v>
      </c>
      <c r="J478" s="2863"/>
      <c r="K478" s="223">
        <f t="shared" si="98"/>
        <v>0</v>
      </c>
      <c r="L478" s="2923" t="s">
        <v>2381</v>
      </c>
      <c r="M478" s="2929"/>
      <c r="N478" s="2930"/>
    </row>
    <row r="479" spans="1:14">
      <c r="A479" s="2837"/>
      <c r="B479" s="302">
        <f>дома!R1471</f>
        <v>0</v>
      </c>
      <c r="C479" s="2890" t="str">
        <f>дома!S1471</f>
        <v>шт.</v>
      </c>
      <c r="D479" s="275">
        <f>дома!T1471</f>
        <v>0</v>
      </c>
      <c r="E479" s="275">
        <f>дома!U1471</f>
        <v>0</v>
      </c>
      <c r="F479" s="302"/>
      <c r="G479" s="275">
        <f t="shared" si="95"/>
        <v>0</v>
      </c>
      <c r="H479" s="96">
        <f t="shared" si="96"/>
        <v>0</v>
      </c>
      <c r="I479" s="2928">
        <f t="shared" si="97"/>
        <v>0</v>
      </c>
      <c r="J479" s="2863"/>
      <c r="K479" s="223">
        <f t="shared" si="98"/>
        <v>0</v>
      </c>
      <c r="L479" s="2915" t="s">
        <v>3708</v>
      </c>
      <c r="M479" s="2929"/>
      <c r="N479" s="2930"/>
    </row>
    <row r="480" spans="1:14">
      <c r="A480" s="2837"/>
      <c r="B480" s="302">
        <f>дома!R1472</f>
        <v>0</v>
      </c>
      <c r="C480" s="2890" t="str">
        <f>дома!S1472</f>
        <v>шт.</v>
      </c>
      <c r="D480" s="275">
        <f>дома!T1472</f>
        <v>0</v>
      </c>
      <c r="E480" s="275">
        <f>дома!U1472</f>
        <v>0</v>
      </c>
      <c r="F480" s="302"/>
      <c r="G480" s="275">
        <f t="shared" si="95"/>
        <v>0</v>
      </c>
      <c r="H480" s="96">
        <f t="shared" si="96"/>
        <v>0</v>
      </c>
      <c r="I480" s="2928">
        <f t="shared" si="97"/>
        <v>0</v>
      </c>
      <c r="J480" s="2863"/>
      <c r="K480" s="223">
        <f t="shared" si="98"/>
        <v>0</v>
      </c>
      <c r="L480" s="2915" t="s">
        <v>3709</v>
      </c>
      <c r="M480" s="2929"/>
      <c r="N480" s="2930"/>
    </row>
    <row r="481" spans="1:14">
      <c r="A481" s="2837"/>
      <c r="B481" s="302" t="str">
        <f>дома!R1473</f>
        <v>нет</v>
      </c>
      <c r="C481" s="2890" t="str">
        <f>дома!S1473</f>
        <v>м2</v>
      </c>
      <c r="D481" s="275">
        <f>дома!T1473</f>
        <v>0</v>
      </c>
      <c r="E481" s="275">
        <f>дома!U1473</f>
        <v>0</v>
      </c>
      <c r="F481" s="302"/>
      <c r="G481" s="275">
        <f t="shared" si="95"/>
        <v>0</v>
      </c>
      <c r="H481" s="96">
        <f t="shared" si="96"/>
        <v>0</v>
      </c>
      <c r="I481" s="2928">
        <f t="shared" si="97"/>
        <v>0</v>
      </c>
      <c r="J481" s="2863"/>
      <c r="K481" s="223">
        <f t="shared" si="98"/>
        <v>0</v>
      </c>
      <c r="L481" s="2922" t="s">
        <v>2382</v>
      </c>
      <c r="M481" s="2929"/>
      <c r="N481" s="2930"/>
    </row>
    <row r="482" spans="1:14">
      <c r="A482" s="2837"/>
      <c r="B482" s="302" t="str">
        <f>дома!R1474</f>
        <v xml:space="preserve">Саморезы 3,5 x 25            </v>
      </c>
      <c r="C482" s="2890" t="str">
        <f>дома!S1474</f>
        <v>шт.</v>
      </c>
      <c r="D482" s="275">
        <f>дома!T1474</f>
        <v>0</v>
      </c>
      <c r="E482" s="275">
        <f>дома!U1474</f>
        <v>0.2</v>
      </c>
      <c r="F482" s="302"/>
      <c r="G482" s="275">
        <f t="shared" si="95"/>
        <v>0</v>
      </c>
      <c r="H482" s="96">
        <f t="shared" si="96"/>
        <v>0</v>
      </c>
      <c r="I482" s="2928">
        <f t="shared" si="97"/>
        <v>0</v>
      </c>
      <c r="J482" s="2863"/>
      <c r="K482" s="223">
        <f t="shared" si="98"/>
        <v>0</v>
      </c>
      <c r="L482" s="2921" t="s">
        <v>3710</v>
      </c>
      <c r="M482" s="2929"/>
      <c r="N482" s="2930"/>
    </row>
    <row r="483" spans="1:14">
      <c r="A483" s="2837"/>
      <c r="B483" s="302" t="str">
        <f>дома!R1475</f>
        <v>нет</v>
      </c>
      <c r="C483" s="2890" t="str">
        <f>дома!S1475</f>
        <v>м.п.</v>
      </c>
      <c r="D483" s="275">
        <f>дома!T1475</f>
        <v>0</v>
      </c>
      <c r="E483" s="275">
        <f>дома!U1475</f>
        <v>0</v>
      </c>
      <c r="F483" s="302"/>
      <c r="G483" s="275">
        <f t="shared" si="95"/>
        <v>0</v>
      </c>
      <c r="H483" s="96">
        <f t="shared" si="96"/>
        <v>0</v>
      </c>
      <c r="I483" s="2928">
        <f t="shared" si="97"/>
        <v>0</v>
      </c>
      <c r="J483" s="2863"/>
      <c r="K483" s="223">
        <f t="shared" si="98"/>
        <v>0</v>
      </c>
      <c r="L483" s="2923" t="s">
        <v>2383</v>
      </c>
      <c r="M483" s="2929"/>
      <c r="N483" s="2930"/>
    </row>
    <row r="484" spans="1:14">
      <c r="A484" s="2837"/>
      <c r="B484" s="302">
        <f>дома!R1476</f>
        <v>0</v>
      </c>
      <c r="C484" s="2890" t="str">
        <f>дома!S1476</f>
        <v>шт.</v>
      </c>
      <c r="D484" s="275">
        <f>дома!T1476</f>
        <v>0</v>
      </c>
      <c r="E484" s="275">
        <f>дома!U1476</f>
        <v>0</v>
      </c>
      <c r="F484" s="302"/>
      <c r="G484" s="275">
        <f t="shared" si="95"/>
        <v>0</v>
      </c>
      <c r="H484" s="96">
        <f t="shared" si="96"/>
        <v>0</v>
      </c>
      <c r="I484" s="2928">
        <f t="shared" si="97"/>
        <v>0</v>
      </c>
      <c r="J484" s="2863"/>
      <c r="K484" s="223">
        <f t="shared" si="98"/>
        <v>0</v>
      </c>
      <c r="L484" s="2921" t="s">
        <v>3709</v>
      </c>
      <c r="M484" s="2929"/>
      <c r="N484" s="2930"/>
    </row>
    <row r="485" spans="1:14">
      <c r="A485" s="2837"/>
      <c r="B485" s="302" t="str">
        <f>дома!R1477</f>
        <v>нет</v>
      </c>
      <c r="C485" s="2890" t="str">
        <f>дома!S1477</f>
        <v>м2</v>
      </c>
      <c r="D485" s="275">
        <f>дома!T1477</f>
        <v>0</v>
      </c>
      <c r="E485" s="275">
        <f>дома!U1477</f>
        <v>0</v>
      </c>
      <c r="F485" s="302"/>
      <c r="G485" s="275">
        <f t="shared" si="95"/>
        <v>0</v>
      </c>
      <c r="H485" s="96">
        <f t="shared" si="96"/>
        <v>0</v>
      </c>
      <c r="I485" s="2928">
        <f t="shared" si="97"/>
        <v>0</v>
      </c>
      <c r="J485" s="2863"/>
      <c r="K485" s="223">
        <f t="shared" si="98"/>
        <v>0</v>
      </c>
      <c r="L485" s="2922" t="s">
        <v>2385</v>
      </c>
      <c r="M485" s="2929"/>
      <c r="N485" s="2930"/>
    </row>
    <row r="486" spans="1:14">
      <c r="A486" s="2837"/>
      <c r="B486" s="302" t="str">
        <f>дома!R1478</f>
        <v xml:space="preserve">Саморезы 3,5 x 45            </v>
      </c>
      <c r="C486" s="2890" t="str">
        <f>дома!S1478</f>
        <v>шт.</v>
      </c>
      <c r="D486" s="275">
        <f>дома!T1478</f>
        <v>0</v>
      </c>
      <c r="E486" s="275">
        <f>дома!U1478</f>
        <v>0.25</v>
      </c>
      <c r="F486" s="302"/>
      <c r="G486" s="275">
        <f t="shared" si="95"/>
        <v>0</v>
      </c>
      <c r="H486" s="96">
        <f t="shared" si="96"/>
        <v>0</v>
      </c>
      <c r="I486" s="2928">
        <f t="shared" si="97"/>
        <v>0</v>
      </c>
      <c r="J486" s="2863"/>
      <c r="K486" s="223">
        <f t="shared" si="98"/>
        <v>0</v>
      </c>
      <c r="L486" s="2915" t="s">
        <v>3714</v>
      </c>
      <c r="M486" s="2929"/>
      <c r="N486" s="2930"/>
    </row>
    <row r="487" spans="1:14">
      <c r="A487" s="2837"/>
      <c r="B487" s="302" t="str">
        <f>дома!R1479</f>
        <v>нет</v>
      </c>
      <c r="C487" s="2890" t="str">
        <f>дома!S1479</f>
        <v>м.п.</v>
      </c>
      <c r="D487" s="275">
        <f>дома!T1479</f>
        <v>192</v>
      </c>
      <c r="E487" s="275">
        <f>дома!U1479</f>
        <v>0</v>
      </c>
      <c r="F487" s="302"/>
      <c r="G487" s="275">
        <f t="shared" si="95"/>
        <v>0</v>
      </c>
      <c r="H487" s="96">
        <f t="shared" si="96"/>
        <v>0</v>
      </c>
      <c r="I487" s="2928">
        <f t="shared" si="97"/>
        <v>0</v>
      </c>
      <c r="J487" s="2863"/>
      <c r="K487" s="223">
        <f t="shared" si="98"/>
        <v>192</v>
      </c>
      <c r="L487" s="2915" t="s">
        <v>3715</v>
      </c>
      <c r="M487" s="2929"/>
      <c r="N487" s="2930"/>
    </row>
    <row r="488" spans="1:14">
      <c r="A488" s="2837"/>
      <c r="B488" s="302" t="str">
        <f>дома!R1480</f>
        <v>нет</v>
      </c>
      <c r="C488" s="2890" t="str">
        <f>дома!S1480</f>
        <v>м.п.</v>
      </c>
      <c r="D488" s="275">
        <f>дома!T1480</f>
        <v>192</v>
      </c>
      <c r="E488" s="275">
        <f>дома!U1480</f>
        <v>0</v>
      </c>
      <c r="F488" s="302"/>
      <c r="G488" s="275">
        <f t="shared" si="95"/>
        <v>0</v>
      </c>
      <c r="H488" s="96">
        <f t="shared" si="96"/>
        <v>0</v>
      </c>
      <c r="I488" s="2928">
        <f t="shared" si="97"/>
        <v>0</v>
      </c>
      <c r="J488" s="2863"/>
      <c r="K488" s="223">
        <f t="shared" si="98"/>
        <v>192</v>
      </c>
      <c r="L488" s="2915" t="s">
        <v>3716</v>
      </c>
      <c r="M488" s="2929"/>
      <c r="N488" s="2930"/>
    </row>
    <row r="489" spans="1:14">
      <c r="A489" s="2837"/>
      <c r="B489" s="302">
        <f>дома!R1481</f>
        <v>0</v>
      </c>
      <c r="C489" s="2890" t="str">
        <f>дома!S1481</f>
        <v>шт.</v>
      </c>
      <c r="D489" s="275">
        <f>дома!T1481</f>
        <v>384</v>
      </c>
      <c r="E489" s="275">
        <f>дома!U1481</f>
        <v>0</v>
      </c>
      <c r="F489" s="302"/>
      <c r="G489" s="275">
        <f t="shared" si="95"/>
        <v>0</v>
      </c>
      <c r="H489" s="96">
        <f t="shared" si="96"/>
        <v>0</v>
      </c>
      <c r="I489" s="2928">
        <f t="shared" si="97"/>
        <v>0</v>
      </c>
      <c r="J489" s="2863"/>
      <c r="K489" s="223">
        <f t="shared" si="98"/>
        <v>384</v>
      </c>
      <c r="L489" s="2915" t="s">
        <v>3720</v>
      </c>
      <c r="M489" s="2929"/>
      <c r="N489" s="2930"/>
    </row>
    <row r="490" spans="1:14">
      <c r="A490" s="2837"/>
      <c r="B490" s="302" t="str">
        <f>дома!R1482</f>
        <v>Кровельный саморез</v>
      </c>
      <c r="C490" s="2890" t="str">
        <f>дома!S1482</f>
        <v>шт.</v>
      </c>
      <c r="D490" s="275">
        <f>дома!T1482</f>
        <v>0</v>
      </c>
      <c r="E490" s="275">
        <f>дома!U1482</f>
        <v>2</v>
      </c>
      <c r="F490" s="302"/>
      <c r="G490" s="275">
        <f t="shared" si="95"/>
        <v>0</v>
      </c>
      <c r="H490" s="96">
        <f t="shared" si="96"/>
        <v>0</v>
      </c>
      <c r="I490" s="2928">
        <f t="shared" si="97"/>
        <v>0</v>
      </c>
      <c r="J490" s="2863"/>
      <c r="K490" s="223">
        <f t="shared" si="98"/>
        <v>0</v>
      </c>
      <c r="L490" s="2915" t="s">
        <v>3723</v>
      </c>
      <c r="M490" s="2929"/>
      <c r="N490" s="2930"/>
    </row>
    <row r="491" spans="1:14">
      <c r="A491" s="2837"/>
      <c r="B491" s="302" t="str">
        <f>дома!R1483</f>
        <v>нет</v>
      </c>
      <c r="C491" s="2890" t="str">
        <f>дома!S1483</f>
        <v>м.п.</v>
      </c>
      <c r="D491" s="275">
        <f>дома!T1483</f>
        <v>192</v>
      </c>
      <c r="E491" s="275">
        <f>дома!U1483</f>
        <v>0</v>
      </c>
      <c r="F491" s="302"/>
      <c r="G491" s="275">
        <f t="shared" si="95"/>
        <v>0</v>
      </c>
      <c r="H491" s="96">
        <f t="shared" si="96"/>
        <v>0</v>
      </c>
      <c r="I491" s="2928">
        <f t="shared" si="97"/>
        <v>0</v>
      </c>
      <c r="J491" s="2863"/>
      <c r="K491" s="223">
        <f t="shared" si="98"/>
        <v>192</v>
      </c>
      <c r="L491" s="2922" t="s">
        <v>3726</v>
      </c>
      <c r="M491" s="2929"/>
      <c r="N491" s="2930"/>
    </row>
    <row r="492" spans="1:14">
      <c r="A492" s="2837"/>
      <c r="B492" s="302" t="str">
        <f>дома!R1484</f>
        <v>нет</v>
      </c>
      <c r="C492" s="2890" t="str">
        <f>дома!S1484</f>
        <v>м.п.</v>
      </c>
      <c r="D492" s="275">
        <f>дома!T1484</f>
        <v>110</v>
      </c>
      <c r="E492" s="275">
        <f>дома!U1484</f>
        <v>0</v>
      </c>
      <c r="F492" s="302"/>
      <c r="G492" s="275">
        <f t="shared" ref="G492:G523" si="99">IF(F492&gt;0,D492*F492,E492*D492)</f>
        <v>0</v>
      </c>
      <c r="H492" s="96">
        <f t="shared" ref="H492:H511" si="100">D492*E492*$H$458</f>
        <v>0</v>
      </c>
      <c r="I492" s="2928">
        <f t="shared" ref="I492:I523" si="101">IF(G492&gt;H492,G492,H492)*$H$458</f>
        <v>0</v>
      </c>
      <c r="J492" s="2863"/>
      <c r="K492" s="223">
        <f t="shared" ref="K492:K523" si="102">D492-J492</f>
        <v>110</v>
      </c>
      <c r="L492" s="2915" t="s">
        <v>3728</v>
      </c>
      <c r="M492" s="2929"/>
      <c r="N492" s="2930"/>
    </row>
    <row r="493" spans="1:14">
      <c r="A493" s="2837"/>
      <c r="B493" s="302">
        <f>дома!R1485</f>
        <v>0</v>
      </c>
      <c r="C493" s="2890" t="str">
        <f>дома!S1485</f>
        <v>шт.</v>
      </c>
      <c r="D493" s="275">
        <f>дома!T1485</f>
        <v>384</v>
      </c>
      <c r="E493" s="275">
        <f>дома!U1485</f>
        <v>0</v>
      </c>
      <c r="F493" s="302"/>
      <c r="G493" s="275">
        <f t="shared" si="99"/>
        <v>0</v>
      </c>
      <c r="H493" s="96">
        <f t="shared" si="100"/>
        <v>0</v>
      </c>
      <c r="I493" s="2928">
        <f t="shared" si="101"/>
        <v>0</v>
      </c>
      <c r="J493" s="2863"/>
      <c r="K493" s="223">
        <f t="shared" si="102"/>
        <v>384</v>
      </c>
      <c r="L493" s="2915" t="s">
        <v>3729</v>
      </c>
      <c r="M493" s="2929"/>
      <c r="N493" s="2930"/>
    </row>
    <row r="494" spans="1:14">
      <c r="A494" s="2837"/>
      <c r="B494" s="302" t="str">
        <f>дома!R1486</f>
        <v>Кровельный саморез</v>
      </c>
      <c r="C494" s="2890" t="str">
        <f>дома!S1486</f>
        <v>шт.</v>
      </c>
      <c r="D494" s="275">
        <f>дома!T1486</f>
        <v>0</v>
      </c>
      <c r="E494" s="275">
        <f>дома!U1486</f>
        <v>2</v>
      </c>
      <c r="F494" s="302"/>
      <c r="G494" s="275">
        <f t="shared" si="99"/>
        <v>0</v>
      </c>
      <c r="H494" s="96">
        <f t="shared" si="100"/>
        <v>0</v>
      </c>
      <c r="I494" s="2928">
        <f t="shared" si="101"/>
        <v>0</v>
      </c>
      <c r="J494" s="2863"/>
      <c r="K494" s="223">
        <f t="shared" si="102"/>
        <v>0</v>
      </c>
      <c r="L494" s="2915" t="s">
        <v>3730</v>
      </c>
      <c r="M494" s="2929"/>
      <c r="N494" s="2930"/>
    </row>
    <row r="495" spans="1:14">
      <c r="A495" s="2837"/>
      <c r="B495" s="302" t="str">
        <f>дома!R1487</f>
        <v xml:space="preserve">Саморезы 3,5 x 25            </v>
      </c>
      <c r="C495" s="2890" t="str">
        <f>дома!S1487</f>
        <v>шт.</v>
      </c>
      <c r="D495" s="275">
        <f>дома!T1487</f>
        <v>0</v>
      </c>
      <c r="E495" s="275">
        <f>дома!U1487</f>
        <v>0.2</v>
      </c>
      <c r="F495" s="302"/>
      <c r="G495" s="275">
        <f t="shared" si="99"/>
        <v>0</v>
      </c>
      <c r="H495" s="96">
        <f t="shared" si="100"/>
        <v>0</v>
      </c>
      <c r="I495" s="2928">
        <f t="shared" si="101"/>
        <v>0</v>
      </c>
      <c r="J495" s="2863"/>
      <c r="K495" s="223">
        <f t="shared" si="102"/>
        <v>0</v>
      </c>
      <c r="L495" s="2915" t="s">
        <v>3713</v>
      </c>
      <c r="M495" s="2929"/>
      <c r="N495" s="2930"/>
    </row>
    <row r="496" spans="1:14">
      <c r="A496" s="2837"/>
      <c r="B496" s="302" t="str">
        <f>дома!R1488</f>
        <v xml:space="preserve">Саморезы 3,5 x 25            </v>
      </c>
      <c r="C496" s="2890" t="str">
        <f>дома!S1488</f>
        <v>шт.</v>
      </c>
      <c r="D496" s="275">
        <f>дома!T1488</f>
        <v>1200</v>
      </c>
      <c r="E496" s="275">
        <f>дома!U1488</f>
        <v>0.2</v>
      </c>
      <c r="F496" s="302"/>
      <c r="G496" s="275">
        <f t="shared" si="99"/>
        <v>240</v>
      </c>
      <c r="H496" s="96">
        <f t="shared" si="100"/>
        <v>0</v>
      </c>
      <c r="I496" s="2928">
        <f t="shared" si="101"/>
        <v>0</v>
      </c>
      <c r="J496" s="2863"/>
      <c r="K496" s="223">
        <f t="shared" si="102"/>
        <v>1200</v>
      </c>
      <c r="L496" s="2915" t="s">
        <v>3732</v>
      </c>
      <c r="M496" s="2929"/>
      <c r="N496" s="2930"/>
    </row>
    <row r="497" spans="1:14">
      <c r="A497" s="2837"/>
      <c r="B497" s="302" t="str">
        <f>дома!AC1469</f>
        <v>ГПС 120х50-1,5</v>
      </c>
      <c r="C497" s="2890" t="str">
        <f>дома!AD1469</f>
        <v>м3</v>
      </c>
      <c r="D497" s="275">
        <f>дома!AE1469</f>
        <v>0</v>
      </c>
      <c r="E497" s="275">
        <f>дома!AF1469</f>
        <v>224</v>
      </c>
      <c r="F497" s="302"/>
      <c r="G497" s="275">
        <f t="shared" si="99"/>
        <v>0</v>
      </c>
      <c r="H497" s="96">
        <f t="shared" si="100"/>
        <v>0</v>
      </c>
      <c r="I497" s="2928">
        <f t="shared" si="101"/>
        <v>0</v>
      </c>
      <c r="J497" s="2863"/>
      <c r="K497" s="223">
        <f t="shared" si="102"/>
        <v>0</v>
      </c>
      <c r="L497" s="2921" t="s">
        <v>3706</v>
      </c>
      <c r="M497" s="2929"/>
      <c r="N497" s="2930"/>
    </row>
    <row r="498" spans="1:14">
      <c r="A498" s="2837"/>
      <c r="B498" s="302" t="str">
        <f>дома!AC1470</f>
        <v>ГПС 170х50-2,0</v>
      </c>
      <c r="C498" s="2890" t="str">
        <f>дома!AD1470</f>
        <v>м3</v>
      </c>
      <c r="D498" s="275">
        <f>дома!AE1470</f>
        <v>0</v>
      </c>
      <c r="E498" s="275">
        <f>дома!AF1470</f>
        <v>358</v>
      </c>
      <c r="F498" s="302"/>
      <c r="G498" s="275">
        <f t="shared" si="99"/>
        <v>0</v>
      </c>
      <c r="H498" s="96">
        <f t="shared" si="100"/>
        <v>0</v>
      </c>
      <c r="I498" s="2928">
        <f t="shared" si="101"/>
        <v>0</v>
      </c>
      <c r="J498" s="2863"/>
      <c r="K498" s="223">
        <f t="shared" si="102"/>
        <v>0</v>
      </c>
      <c r="L498" s="2921" t="s">
        <v>3707</v>
      </c>
      <c r="M498" s="2929"/>
      <c r="N498" s="2930"/>
    </row>
    <row r="499" spans="1:14">
      <c r="A499" s="2837"/>
      <c r="B499" s="302" t="str">
        <f>дома!AC1471</f>
        <v>Лист ГВЛВ 2500х1200х10 мм</v>
      </c>
      <c r="C499" s="2890" t="str">
        <f>дома!AD1471</f>
        <v>м2</v>
      </c>
      <c r="D499" s="275">
        <f>дома!AE1471</f>
        <v>100</v>
      </c>
      <c r="E499" s="275">
        <f>дома!AF1471</f>
        <v>150</v>
      </c>
      <c r="F499" s="302"/>
      <c r="G499" s="275">
        <f t="shared" si="99"/>
        <v>15000</v>
      </c>
      <c r="H499" s="96">
        <f t="shared" si="100"/>
        <v>0</v>
      </c>
      <c r="I499" s="2928">
        <f t="shared" si="101"/>
        <v>0</v>
      </c>
      <c r="J499" s="2863"/>
      <c r="K499" s="223">
        <f t="shared" si="102"/>
        <v>100</v>
      </c>
      <c r="L499" s="2915" t="s">
        <v>2387</v>
      </c>
      <c r="M499" s="2929"/>
      <c r="N499" s="2930"/>
    </row>
    <row r="500" spans="1:14">
      <c r="A500" s="2837"/>
      <c r="B500" s="302" t="str">
        <f>дома!AC1472</f>
        <v>нет</v>
      </c>
      <c r="C500" s="2890" t="str">
        <f>дома!AD1472</f>
        <v>м.п.</v>
      </c>
      <c r="D500" s="275">
        <f>дома!AE1472</f>
        <v>0</v>
      </c>
      <c r="E500" s="275">
        <f>дома!AF1472</f>
        <v>0</v>
      </c>
      <c r="F500" s="302"/>
      <c r="G500" s="275">
        <f t="shared" si="99"/>
        <v>0</v>
      </c>
      <c r="H500" s="96">
        <f t="shared" si="100"/>
        <v>0</v>
      </c>
      <c r="I500" s="2928">
        <f t="shared" si="101"/>
        <v>0</v>
      </c>
      <c r="J500" s="2863"/>
      <c r="K500" s="223">
        <f t="shared" si="102"/>
        <v>0</v>
      </c>
      <c r="L500" s="2922" t="s">
        <v>2390</v>
      </c>
      <c r="M500" s="2929"/>
      <c r="N500" s="2930"/>
    </row>
    <row r="501" spans="1:14">
      <c r="A501" s="2837"/>
      <c r="B501" s="302" t="str">
        <f>дома!AC1473</f>
        <v>Нет</v>
      </c>
      <c r="C501" s="2890" t="str">
        <f>дома!AD1473</f>
        <v>м3</v>
      </c>
      <c r="D501" s="275">
        <f>дома!AE1473</f>
        <v>0</v>
      </c>
      <c r="E501" s="275">
        <f>дома!AF1473</f>
        <v>0</v>
      </c>
      <c r="F501" s="302"/>
      <c r="G501" s="275">
        <f t="shared" si="99"/>
        <v>0</v>
      </c>
      <c r="H501" s="96">
        <f t="shared" si="100"/>
        <v>0</v>
      </c>
      <c r="I501" s="2928">
        <f t="shared" si="101"/>
        <v>0</v>
      </c>
      <c r="J501" s="2863"/>
      <c r="K501" s="223">
        <f t="shared" si="102"/>
        <v>0</v>
      </c>
      <c r="L501" s="2915" t="s">
        <v>2234</v>
      </c>
      <c r="M501" s="2929"/>
      <c r="N501" s="2930"/>
    </row>
    <row r="502" spans="1:14">
      <c r="A502" s="2837"/>
      <c r="B502" s="302" t="str">
        <f>дома!AC1474</f>
        <v>Нет</v>
      </c>
      <c r="C502" s="2890" t="str">
        <f>дома!AD1474</f>
        <v>м3</v>
      </c>
      <c r="D502" s="275">
        <f>дома!AE1474</f>
        <v>0</v>
      </c>
      <c r="E502" s="275">
        <f>дома!AF1474</f>
        <v>0</v>
      </c>
      <c r="F502" s="302"/>
      <c r="G502" s="275">
        <f t="shared" si="99"/>
        <v>0</v>
      </c>
      <c r="H502" s="96">
        <f t="shared" si="100"/>
        <v>0</v>
      </c>
      <c r="I502" s="2928">
        <f t="shared" si="101"/>
        <v>0</v>
      </c>
      <c r="J502" s="2863"/>
      <c r="K502" s="223">
        <f t="shared" si="102"/>
        <v>0</v>
      </c>
      <c r="L502" s="2915" t="s">
        <v>2384</v>
      </c>
      <c r="M502" s="2929"/>
      <c r="N502" s="2930"/>
    </row>
    <row r="503" spans="1:14">
      <c r="A503" s="2837"/>
      <c r="B503" s="302" t="str">
        <f>дома!AC1475</f>
        <v>нет</v>
      </c>
      <c r="C503" s="2890" t="str">
        <f>дома!AD1475</f>
        <v>м2</v>
      </c>
      <c r="D503" s="275">
        <f>дома!AE1475</f>
        <v>0</v>
      </c>
      <c r="E503" s="275">
        <f>дома!AF1475</f>
        <v>0</v>
      </c>
      <c r="F503" s="302"/>
      <c r="G503" s="275">
        <f t="shared" si="99"/>
        <v>0</v>
      </c>
      <c r="H503" s="96">
        <f t="shared" si="100"/>
        <v>0</v>
      </c>
      <c r="I503" s="2928">
        <f t="shared" si="101"/>
        <v>0</v>
      </c>
      <c r="J503" s="2863"/>
      <c r="K503" s="223">
        <f t="shared" si="102"/>
        <v>0</v>
      </c>
      <c r="L503" s="2922" t="s">
        <v>2062</v>
      </c>
      <c r="M503" s="2929"/>
      <c r="N503" s="2930"/>
    </row>
    <row r="504" spans="1:14">
      <c r="A504" s="2837"/>
      <c r="B504" s="302" t="str">
        <f>дома!AC1476</f>
        <v>нет</v>
      </c>
      <c r="C504" s="2890" t="str">
        <f>дома!AD1476</f>
        <v>м2</v>
      </c>
      <c r="D504" s="275">
        <f>дома!AE1476</f>
        <v>0</v>
      </c>
      <c r="E504" s="275">
        <f>дома!AF1476</f>
        <v>0</v>
      </c>
      <c r="F504" s="302"/>
      <c r="G504" s="275">
        <f t="shared" si="99"/>
        <v>0</v>
      </c>
      <c r="H504" s="96">
        <f t="shared" si="100"/>
        <v>0</v>
      </c>
      <c r="I504" s="2928">
        <f t="shared" si="101"/>
        <v>0</v>
      </c>
      <c r="J504" s="2863"/>
      <c r="K504" s="223">
        <f t="shared" si="102"/>
        <v>0</v>
      </c>
      <c r="L504" s="2915" t="s">
        <v>3711</v>
      </c>
      <c r="M504" s="2929"/>
      <c r="N504" s="2930"/>
    </row>
    <row r="505" spans="1:14">
      <c r="A505" s="2837"/>
      <c r="B505" s="302" t="str">
        <f>дома!AC1477</f>
        <v>нет</v>
      </c>
      <c r="C505" s="2890" t="str">
        <f>дома!AD1477</f>
        <v>м2</v>
      </c>
      <c r="D505" s="275">
        <f>дома!AE1477</f>
        <v>0</v>
      </c>
      <c r="E505" s="275">
        <f>дома!AF1477</f>
        <v>0</v>
      </c>
      <c r="F505" s="302"/>
      <c r="G505" s="275">
        <f t="shared" si="99"/>
        <v>0</v>
      </c>
      <c r="H505" s="96">
        <f t="shared" si="100"/>
        <v>0</v>
      </c>
      <c r="I505" s="2928">
        <f t="shared" si="101"/>
        <v>0</v>
      </c>
      <c r="J505" s="2863"/>
      <c r="K505" s="223">
        <f t="shared" si="102"/>
        <v>0</v>
      </c>
      <c r="L505" s="2915" t="s">
        <v>3712</v>
      </c>
      <c r="M505" s="2929"/>
      <c r="N505" s="2930"/>
    </row>
    <row r="506" spans="1:14">
      <c r="A506" s="2837"/>
      <c r="B506" s="302" t="str">
        <f>дома!AC1478</f>
        <v xml:space="preserve">Саморезы 3,5 x 25            </v>
      </c>
      <c r="C506" s="2890" t="str">
        <f>дома!AD1478</f>
        <v>шт</v>
      </c>
      <c r="D506" s="275">
        <f>дома!AE1478</f>
        <v>0</v>
      </c>
      <c r="E506" s="275">
        <f>дома!AF1478</f>
        <v>0.2</v>
      </c>
      <c r="F506" s="302"/>
      <c r="G506" s="275">
        <f t="shared" si="99"/>
        <v>0</v>
      </c>
      <c r="H506" s="96">
        <f t="shared" si="100"/>
        <v>0</v>
      </c>
      <c r="I506" s="2928">
        <f t="shared" si="101"/>
        <v>0</v>
      </c>
      <c r="J506" s="2863"/>
      <c r="K506" s="223">
        <f t="shared" si="102"/>
        <v>0</v>
      </c>
      <c r="L506" s="2915" t="s">
        <v>3713</v>
      </c>
      <c r="M506" s="2929"/>
      <c r="N506" s="2930"/>
    </row>
    <row r="507" spans="1:14">
      <c r="A507" s="2837"/>
      <c r="B507" s="302" t="str">
        <f>дома!AC1479</f>
        <v xml:space="preserve">Гвозди ершоные 2,8 х 90            </v>
      </c>
      <c r="C507" s="2890" t="str">
        <f>дома!AD1479</f>
        <v>кг</v>
      </c>
      <c r="D507" s="275">
        <f>дома!AE1479</f>
        <v>0</v>
      </c>
      <c r="E507" s="275">
        <f>дома!AF1479</f>
        <v>76.489999999999995</v>
      </c>
      <c r="F507" s="302"/>
      <c r="G507" s="275">
        <f t="shared" si="99"/>
        <v>0</v>
      </c>
      <c r="H507" s="96">
        <f t="shared" si="100"/>
        <v>0</v>
      </c>
      <c r="I507" s="2928">
        <f t="shared" si="101"/>
        <v>0</v>
      </c>
      <c r="J507" s="2863"/>
      <c r="K507" s="223">
        <f t="shared" si="102"/>
        <v>0</v>
      </c>
      <c r="L507" s="2931"/>
      <c r="M507" s="2929"/>
      <c r="N507" s="2930"/>
    </row>
    <row r="508" spans="1:14">
      <c r="A508" s="2837"/>
      <c r="B508" s="302" t="str">
        <f>дома!AC1480</f>
        <v xml:space="preserve">Гвозди ершоные 3,4 x 60            </v>
      </c>
      <c r="C508" s="2890" t="str">
        <f>дома!AD1480</f>
        <v>кг</v>
      </c>
      <c r="D508" s="275">
        <f>дома!AE1480</f>
        <v>0</v>
      </c>
      <c r="E508" s="275">
        <f>дома!AF1480</f>
        <v>75.510000000000005</v>
      </c>
      <c r="F508" s="302"/>
      <c r="G508" s="275">
        <f t="shared" si="99"/>
        <v>0</v>
      </c>
      <c r="H508" s="96">
        <f t="shared" si="100"/>
        <v>0</v>
      </c>
      <c r="I508" s="2928">
        <f t="shared" si="101"/>
        <v>0</v>
      </c>
      <c r="J508" s="2863"/>
      <c r="K508" s="223">
        <f t="shared" si="102"/>
        <v>0</v>
      </c>
      <c r="L508" s="2931"/>
      <c r="M508" s="2929"/>
      <c r="N508" s="2930"/>
    </row>
    <row r="509" spans="1:14">
      <c r="A509" s="2837"/>
      <c r="B509" s="302" t="str">
        <f>дома!AC1481</f>
        <v>нет ветроизоляции</v>
      </c>
      <c r="C509" s="2890" t="str">
        <f>дома!AD1481</f>
        <v>м2</v>
      </c>
      <c r="D509" s="275">
        <f>дома!AE1481</f>
        <v>0</v>
      </c>
      <c r="E509" s="275">
        <f>дома!AF1481</f>
        <v>0</v>
      </c>
      <c r="F509" s="302"/>
      <c r="G509" s="275">
        <f t="shared" si="99"/>
        <v>0</v>
      </c>
      <c r="H509" s="96">
        <f t="shared" si="100"/>
        <v>0</v>
      </c>
      <c r="I509" s="2928">
        <f t="shared" si="101"/>
        <v>0</v>
      </c>
      <c r="J509" s="2863"/>
      <c r="K509" s="223">
        <f t="shared" si="102"/>
        <v>0</v>
      </c>
      <c r="L509" s="2915" t="s">
        <v>3717</v>
      </c>
      <c r="M509" s="2929"/>
      <c r="N509" s="2930"/>
    </row>
    <row r="510" spans="1:14">
      <c r="A510" s="2837"/>
      <c r="B510" s="302" t="str">
        <f>дома!AC1482</f>
        <v>нет пароизоляции</v>
      </c>
      <c r="C510" s="2890" t="str">
        <f>дома!AD1482</f>
        <v>м2</v>
      </c>
      <c r="D510" s="275">
        <f>дома!AE1482</f>
        <v>0</v>
      </c>
      <c r="E510" s="275">
        <f>дома!AF1482</f>
        <v>0</v>
      </c>
      <c r="F510" s="302"/>
      <c r="G510" s="275">
        <f t="shared" si="99"/>
        <v>0</v>
      </c>
      <c r="H510" s="96">
        <f t="shared" si="100"/>
        <v>0</v>
      </c>
      <c r="I510" s="2928">
        <f t="shared" si="101"/>
        <v>0</v>
      </c>
      <c r="J510" s="2863"/>
      <c r="K510" s="223">
        <f t="shared" si="102"/>
        <v>0</v>
      </c>
      <c r="L510" s="2915" t="s">
        <v>3721</v>
      </c>
      <c r="M510" s="2929"/>
      <c r="N510" s="2930"/>
    </row>
    <row r="511" spans="1:14">
      <c r="A511" s="2837"/>
      <c r="B511" s="302" t="str">
        <f>дома!AC1483</f>
        <v>Скобы для степлера, 1000шт/уп</v>
      </c>
      <c r="C511" s="2890" t="str">
        <f>дома!AD1483</f>
        <v>уп</v>
      </c>
      <c r="D511" s="275">
        <f>дома!AE1483</f>
        <v>5</v>
      </c>
      <c r="E511" s="275">
        <f>дома!AF1483</f>
        <v>100</v>
      </c>
      <c r="F511" s="302"/>
      <c r="G511" s="275">
        <f t="shared" si="99"/>
        <v>500</v>
      </c>
      <c r="H511" s="96">
        <f t="shared" si="100"/>
        <v>0</v>
      </c>
      <c r="I511" s="2928">
        <f t="shared" si="101"/>
        <v>0</v>
      </c>
      <c r="J511" s="2863"/>
      <c r="K511" s="223">
        <f t="shared" si="102"/>
        <v>5</v>
      </c>
      <c r="L511" s="2931"/>
      <c r="M511" s="2929"/>
      <c r="N511" s="2930"/>
    </row>
    <row r="512" spans="1:14">
      <c r="A512" s="2837"/>
      <c r="B512" s="3278" t="s">
        <v>4640</v>
      </c>
      <c r="C512" s="3278"/>
      <c r="D512" s="3278"/>
      <c r="E512" s="3278"/>
      <c r="F512" s="302"/>
      <c r="G512" s="275">
        <f>SUM(G460:G511)</f>
        <v>36609.814014383184</v>
      </c>
      <c r="H512" s="96">
        <f>SUM(H460:H511)</f>
        <v>0</v>
      </c>
      <c r="I512" s="2928">
        <f t="shared" si="101"/>
        <v>0</v>
      </c>
      <c r="J512" s="2863"/>
      <c r="K512" s="223">
        <f t="shared" si="102"/>
        <v>0</v>
      </c>
      <c r="L512" s="2931"/>
      <c r="M512" s="2929"/>
      <c r="N512" s="2930"/>
    </row>
    <row r="513" spans="1:12">
      <c r="A513" s="2837"/>
      <c r="B513" s="3279" t="s">
        <v>1409</v>
      </c>
      <c r="C513" s="3279"/>
      <c r="D513" s="3279"/>
      <c r="E513" s="3279"/>
      <c r="F513" s="2924"/>
      <c r="G513" s="941"/>
      <c r="H513" s="2925">
        <f>H458</f>
        <v>0</v>
      </c>
      <c r="I513" s="2871">
        <f>H513</f>
        <v>0</v>
      </c>
      <c r="J513" s="2926"/>
      <c r="K513" s="2893"/>
      <c r="L513" s="2892"/>
    </row>
    <row r="514" spans="1:12">
      <c r="A514" s="2837"/>
      <c r="B514" s="302" t="str">
        <f>дома!AL1466</f>
        <v>монтаж обвязки</v>
      </c>
      <c r="C514" s="2890" t="s">
        <v>156</v>
      </c>
      <c r="D514" s="275">
        <f>дома!AM1466</f>
        <v>0</v>
      </c>
      <c r="E514" s="302">
        <f>дома!AN1466</f>
        <v>200</v>
      </c>
      <c r="F514" s="302"/>
      <c r="G514" s="275">
        <f t="shared" ref="G514:G534" si="103">IF(F514&gt;0,D514*F514,E514*D514)</f>
        <v>0</v>
      </c>
      <c r="H514" s="96">
        <f t="shared" ref="H514:H534" si="104">D514*E514*$H$513</f>
        <v>0</v>
      </c>
      <c r="I514" s="2928">
        <f t="shared" ref="I514:I535" si="105">IF(G514&gt;H514,G514,H514)*$H$458</f>
        <v>0</v>
      </c>
      <c r="J514" s="2926"/>
      <c r="K514" s="2837"/>
    </row>
    <row r="515" spans="1:12">
      <c r="A515" s="2837"/>
      <c r="B515" s="302" t="str">
        <f>дома!AL1467</f>
        <v>монтаж стен каркаса</v>
      </c>
      <c r="C515" s="2890" t="s">
        <v>133</v>
      </c>
      <c r="D515" s="275">
        <f>дома!AM1467</f>
        <v>0</v>
      </c>
      <c r="E515" s="302">
        <f>дома!AN1467</f>
        <v>400</v>
      </c>
      <c r="F515" s="302"/>
      <c r="G515" s="275">
        <f t="shared" si="103"/>
        <v>0</v>
      </c>
      <c r="H515" s="96">
        <f t="shared" si="104"/>
        <v>0</v>
      </c>
      <c r="I515" s="2928">
        <f t="shared" si="105"/>
        <v>0</v>
      </c>
      <c r="J515" s="2926"/>
      <c r="K515" s="2837"/>
    </row>
    <row r="516" spans="1:12">
      <c r="A516" s="2837"/>
      <c r="B516" s="302" t="str">
        <f>дома!AL1468</f>
        <v>Монтаж несущих перегородок</v>
      </c>
      <c r="C516" s="2890" t="s">
        <v>133</v>
      </c>
      <c r="D516" s="275">
        <f>дома!AM1468</f>
        <v>0</v>
      </c>
      <c r="E516" s="302">
        <f>дома!AN1468</f>
        <v>400</v>
      </c>
      <c r="F516" s="302"/>
      <c r="G516" s="275">
        <f t="shared" si="103"/>
        <v>0</v>
      </c>
      <c r="H516" s="96">
        <f t="shared" si="104"/>
        <v>0</v>
      </c>
      <c r="I516" s="2928">
        <f t="shared" si="105"/>
        <v>0</v>
      </c>
      <c r="J516" s="2926"/>
      <c r="K516" s="2837"/>
    </row>
    <row r="517" spans="1:12">
      <c r="A517" s="2837"/>
      <c r="B517" s="302" t="str">
        <f>дома!AL1469</f>
        <v>Монтаж перегородок</v>
      </c>
      <c r="C517" s="2890" t="s">
        <v>133</v>
      </c>
      <c r="D517" s="275">
        <f>дома!AM1469</f>
        <v>0</v>
      </c>
      <c r="E517" s="302">
        <f>дома!AN1469</f>
        <v>400</v>
      </c>
      <c r="F517" s="302"/>
      <c r="G517" s="275">
        <f t="shared" si="103"/>
        <v>0</v>
      </c>
      <c r="H517" s="96">
        <f t="shared" si="104"/>
        <v>0</v>
      </c>
      <c r="I517" s="2928">
        <f t="shared" si="105"/>
        <v>0</v>
      </c>
      <c r="J517" s="2926"/>
      <c r="K517" s="2837"/>
    </row>
    <row r="518" spans="1:12">
      <c r="A518" s="2837"/>
      <c r="B518" s="302" t="str">
        <f>дома!AL1470</f>
        <v>Монтаж вентиляционного зазора</v>
      </c>
      <c r="C518" s="2890" t="s">
        <v>133</v>
      </c>
      <c r="D518" s="275">
        <f>дома!AM1470</f>
        <v>0</v>
      </c>
      <c r="E518" s="302">
        <f>дома!AN1470</f>
        <v>80</v>
      </c>
      <c r="F518" s="302"/>
      <c r="G518" s="275">
        <f t="shared" si="103"/>
        <v>0</v>
      </c>
      <c r="H518" s="96">
        <f t="shared" si="104"/>
        <v>0</v>
      </c>
      <c r="I518" s="2928">
        <f t="shared" si="105"/>
        <v>0</v>
      </c>
      <c r="J518" s="2926"/>
      <c r="K518" s="2837"/>
    </row>
    <row r="519" spans="1:12">
      <c r="A519" s="2837"/>
      <c r="B519" s="302" t="str">
        <f>дома!AL1471</f>
        <v>Монтаж технологического зазора</v>
      </c>
      <c r="C519" s="2890" t="s">
        <v>133</v>
      </c>
      <c r="D519" s="275">
        <f>дома!AM1471</f>
        <v>0</v>
      </c>
      <c r="E519" s="302">
        <f>дома!AN1471</f>
        <v>80</v>
      </c>
      <c r="F519" s="302"/>
      <c r="G519" s="275">
        <f t="shared" si="103"/>
        <v>0</v>
      </c>
      <c r="H519" s="96">
        <f t="shared" si="104"/>
        <v>0</v>
      </c>
      <c r="I519" s="2928">
        <f t="shared" si="105"/>
        <v>0</v>
      </c>
      <c r="J519" s="2926"/>
      <c r="K519" s="2837"/>
    </row>
    <row r="520" spans="1:12">
      <c r="A520" s="2837"/>
      <c r="B520" s="302" t="str">
        <f>дома!AL1472</f>
        <v>монтаж ветроизоляции стен</v>
      </c>
      <c r="C520" s="2890" t="s">
        <v>133</v>
      </c>
      <c r="D520" s="275">
        <f>дома!AM1472</f>
        <v>0</v>
      </c>
      <c r="E520" s="302">
        <f>дома!AN1472</f>
        <v>100</v>
      </c>
      <c r="F520" s="302"/>
      <c r="G520" s="275">
        <f t="shared" si="103"/>
        <v>0</v>
      </c>
      <c r="H520" s="96">
        <f t="shared" si="104"/>
        <v>0</v>
      </c>
      <c r="I520" s="2928">
        <f t="shared" si="105"/>
        <v>0</v>
      </c>
      <c r="J520" s="2926"/>
      <c r="K520" s="2837"/>
    </row>
    <row r="521" spans="1:12">
      <c r="A521" s="2837"/>
      <c r="B521" s="302" t="str">
        <f>дома!AL1473</f>
        <v>монтаж пароизоляции стен</v>
      </c>
      <c r="C521" s="2890" t="s">
        <v>133</v>
      </c>
      <c r="D521" s="275">
        <f>дома!AM1473</f>
        <v>0</v>
      </c>
      <c r="E521" s="302">
        <f>дома!AN1473</f>
        <v>100</v>
      </c>
      <c r="F521" s="302"/>
      <c r="G521" s="275">
        <f t="shared" si="103"/>
        <v>0</v>
      </c>
      <c r="H521" s="96">
        <f t="shared" si="104"/>
        <v>0</v>
      </c>
      <c r="I521" s="2928">
        <f t="shared" si="105"/>
        <v>0</v>
      </c>
      <c r="J521" s="2926"/>
      <c r="K521" s="2837"/>
    </row>
    <row r="522" spans="1:12">
      <c r="A522" s="2837"/>
      <c r="B522" s="302" t="str">
        <f>дома!AL1474</f>
        <v>монтаж osb/фанера наруж стены</v>
      </c>
      <c r="C522" s="2890" t="s">
        <v>133</v>
      </c>
      <c r="D522" s="275">
        <f>дома!AM1474</f>
        <v>0</v>
      </c>
      <c r="E522" s="302">
        <f>дома!AN1474</f>
        <v>200</v>
      </c>
      <c r="F522" s="302"/>
      <c r="G522" s="275">
        <f t="shared" si="103"/>
        <v>0</v>
      </c>
      <c r="H522" s="96">
        <f t="shared" si="104"/>
        <v>0</v>
      </c>
      <c r="I522" s="2928">
        <f t="shared" si="105"/>
        <v>0</v>
      </c>
      <c r="J522" s="2926"/>
      <c r="K522" s="2837"/>
    </row>
    <row r="523" spans="1:12">
      <c r="A523" s="2837"/>
      <c r="B523" s="302" t="str">
        <f>дома!AL1475</f>
        <v>монтаж osb/фанера потолок</v>
      </c>
      <c r="C523" s="2890" t="s">
        <v>133</v>
      </c>
      <c r="D523" s="275">
        <f>дома!AM1475</f>
        <v>0</v>
      </c>
      <c r="E523" s="302">
        <f>дома!AN1475</f>
        <v>200</v>
      </c>
      <c r="F523" s="302"/>
      <c r="G523" s="275">
        <f t="shared" si="103"/>
        <v>0</v>
      </c>
      <c r="H523" s="96">
        <f t="shared" si="104"/>
        <v>0</v>
      </c>
      <c r="I523" s="2928">
        <f t="shared" si="105"/>
        <v>0</v>
      </c>
      <c r="J523" s="2926"/>
      <c r="K523" s="2837"/>
    </row>
    <row r="524" spans="1:12">
      <c r="A524" s="2837"/>
      <c r="B524" s="302" t="str">
        <f>дома!AL1476</f>
        <v>монтаж osb/фанера перегородки</v>
      </c>
      <c r="C524" s="2890" t="s">
        <v>133</v>
      </c>
      <c r="D524" s="275">
        <f>дома!AM1476</f>
        <v>0</v>
      </c>
      <c r="E524" s="302">
        <f>дома!AN1476</f>
        <v>200</v>
      </c>
      <c r="F524" s="302"/>
      <c r="G524" s="275">
        <f t="shared" si="103"/>
        <v>0</v>
      </c>
      <c r="H524" s="96">
        <f t="shared" si="104"/>
        <v>0</v>
      </c>
      <c r="I524" s="2928">
        <f t="shared" si="105"/>
        <v>0</v>
      </c>
      <c r="J524" s="2926"/>
      <c r="K524" s="2837"/>
    </row>
    <row r="525" spans="1:12">
      <c r="A525" s="2837"/>
      <c r="B525" s="302" t="str">
        <f>дома!AL1477</f>
        <v>монтаж osb/фанера пол</v>
      </c>
      <c r="C525" s="2890" t="s">
        <v>133</v>
      </c>
      <c r="D525" s="275">
        <f>дома!AM1477</f>
        <v>100</v>
      </c>
      <c r="E525" s="302">
        <f>дома!AN1477</f>
        <v>200</v>
      </c>
      <c r="F525" s="302"/>
      <c r="G525" s="275">
        <f t="shared" si="103"/>
        <v>20000</v>
      </c>
      <c r="H525" s="96">
        <f t="shared" si="104"/>
        <v>0</v>
      </c>
      <c r="I525" s="2928">
        <f t="shared" si="105"/>
        <v>0</v>
      </c>
      <c r="J525" s="2926"/>
      <c r="K525" s="2837"/>
    </row>
    <row r="526" spans="1:12">
      <c r="A526" s="2837"/>
      <c r="B526" s="302" t="str">
        <f>дома!AL1478</f>
        <v>утепление наружних стен</v>
      </c>
      <c r="C526" s="2890" t="s">
        <v>133</v>
      </c>
      <c r="D526" s="275">
        <f>дома!AM1478</f>
        <v>0</v>
      </c>
      <c r="E526" s="302">
        <f>дома!AN1478</f>
        <v>200</v>
      </c>
      <c r="F526" s="302"/>
      <c r="G526" s="275">
        <f t="shared" si="103"/>
        <v>0</v>
      </c>
      <c r="H526" s="96">
        <f t="shared" si="104"/>
        <v>0</v>
      </c>
      <c r="I526" s="2928">
        <f t="shared" si="105"/>
        <v>0</v>
      </c>
      <c r="J526" s="2926"/>
      <c r="K526" s="2837"/>
    </row>
    <row r="527" spans="1:12">
      <c r="A527" s="2837"/>
      <c r="B527" s="302" t="str">
        <f>дома!AL1479</f>
        <v>Утепление перегородок</v>
      </c>
      <c r="C527" s="2890" t="s">
        <v>133</v>
      </c>
      <c r="D527" s="275">
        <f>дома!AM1479</f>
        <v>0</v>
      </c>
      <c r="E527" s="302">
        <f>дома!AN1479</f>
        <v>200</v>
      </c>
      <c r="F527" s="302"/>
      <c r="G527" s="275">
        <f t="shared" si="103"/>
        <v>0</v>
      </c>
      <c r="H527" s="96">
        <f t="shared" si="104"/>
        <v>0</v>
      </c>
      <c r="I527" s="2928">
        <f t="shared" si="105"/>
        <v>0</v>
      </c>
      <c r="J527" s="2926"/>
      <c r="K527" s="2837"/>
    </row>
    <row r="528" spans="1:12">
      <c r="A528" s="2837"/>
      <c r="B528" s="302" t="str">
        <f>дома!X1466</f>
        <v>Монтаж горизонтальной обрешетки</v>
      </c>
      <c r="C528" s="2890" t="s">
        <v>133</v>
      </c>
      <c r="D528" s="275">
        <f>дома!Y1466</f>
        <v>0</v>
      </c>
      <c r="E528" s="302">
        <f>дома!Z1466</f>
        <v>100</v>
      </c>
      <c r="F528" s="302"/>
      <c r="G528" s="275">
        <f t="shared" si="103"/>
        <v>0</v>
      </c>
      <c r="H528" s="96">
        <f t="shared" si="104"/>
        <v>0</v>
      </c>
      <c r="I528" s="2928">
        <f t="shared" si="105"/>
        <v>0</v>
      </c>
      <c r="J528" s="2926"/>
      <c r="K528" s="2837"/>
    </row>
    <row r="529" spans="1:12">
      <c r="A529" s="2837"/>
      <c r="B529" s="302" t="str">
        <f>дома!X1467</f>
        <v>Монтаж вертикальной обрешетки</v>
      </c>
      <c r="C529" s="2890" t="s">
        <v>133</v>
      </c>
      <c r="D529" s="275">
        <f>дома!Y1467</f>
        <v>0</v>
      </c>
      <c r="E529" s="302">
        <f>дома!Z1467</f>
        <v>100</v>
      </c>
      <c r="F529" s="302"/>
      <c r="G529" s="275">
        <f t="shared" si="103"/>
        <v>0</v>
      </c>
      <c r="H529" s="96">
        <f t="shared" si="104"/>
        <v>0</v>
      </c>
      <c r="I529" s="2928">
        <f t="shared" si="105"/>
        <v>0</v>
      </c>
      <c r="J529" s="2926"/>
      <c r="K529" s="2837"/>
    </row>
    <row r="530" spans="1:12">
      <c r="A530" s="2837"/>
      <c r="B530" s="302" t="str">
        <f>дома!X1468</f>
        <v>Монтаж обрешетки потолок</v>
      </c>
      <c r="C530" s="2890" t="s">
        <v>133</v>
      </c>
      <c r="D530" s="275">
        <f>дома!Y1468</f>
        <v>0</v>
      </c>
      <c r="E530" s="302">
        <f>дома!Z1468</f>
        <v>100</v>
      </c>
      <c r="F530" s="302"/>
      <c r="G530" s="275">
        <f t="shared" si="103"/>
        <v>0</v>
      </c>
      <c r="H530" s="96">
        <f t="shared" si="104"/>
        <v>0</v>
      </c>
      <c r="I530" s="2928">
        <f t="shared" si="105"/>
        <v>0</v>
      </c>
      <c r="J530" s="2926"/>
      <c r="K530" s="2837"/>
    </row>
    <row r="531" spans="1:12">
      <c r="A531" s="2837"/>
      <c r="B531" s="302" t="str">
        <f>дома!X1469</f>
        <v>Монтаж профлист потолок</v>
      </c>
      <c r="C531" s="2890" t="s">
        <v>133</v>
      </c>
      <c r="D531" s="275">
        <f>дома!Y1469</f>
        <v>0</v>
      </c>
      <c r="E531" s="302">
        <f>дома!Z1469</f>
        <v>100</v>
      </c>
      <c r="F531" s="302"/>
      <c r="G531" s="275">
        <f t="shared" si="103"/>
        <v>0</v>
      </c>
      <c r="H531" s="96">
        <f t="shared" si="104"/>
        <v>0</v>
      </c>
      <c r="I531" s="2928">
        <f t="shared" si="105"/>
        <v>0</v>
      </c>
      <c r="J531" s="2926"/>
      <c r="K531" s="2837"/>
    </row>
    <row r="532" spans="1:12">
      <c r="A532" s="2837"/>
      <c r="B532" s="302" t="str">
        <f>дома!X1470</f>
        <v>Монтаж обрешетки пол</v>
      </c>
      <c r="C532" s="2890" t="s">
        <v>133</v>
      </c>
      <c r="D532" s="275">
        <f>дома!Y1470</f>
        <v>0</v>
      </c>
      <c r="E532" s="302">
        <f>дома!Z1470</f>
        <v>100</v>
      </c>
      <c r="F532" s="302"/>
      <c r="G532" s="275">
        <f t="shared" si="103"/>
        <v>0</v>
      </c>
      <c r="H532" s="96">
        <f t="shared" si="104"/>
        <v>0</v>
      </c>
      <c r="I532" s="2928">
        <f t="shared" si="105"/>
        <v>0</v>
      </c>
      <c r="J532" s="2926"/>
      <c r="K532" s="2837"/>
    </row>
    <row r="533" spans="1:12">
      <c r="A533" s="2837"/>
      <c r="B533" s="302" t="str">
        <f>дома!X1471</f>
        <v>Монтаж профлист пол</v>
      </c>
      <c r="C533" s="2890" t="s">
        <v>133</v>
      </c>
      <c r="D533" s="275">
        <f>дома!Y1471</f>
        <v>0</v>
      </c>
      <c r="E533" s="302">
        <f>дома!Z1471</f>
        <v>100</v>
      </c>
      <c r="F533" s="302"/>
      <c r="G533" s="275">
        <f t="shared" si="103"/>
        <v>0</v>
      </c>
      <c r="H533" s="96">
        <f t="shared" si="104"/>
        <v>0</v>
      </c>
      <c r="I533" s="2928">
        <f t="shared" si="105"/>
        <v>0</v>
      </c>
      <c r="J533" s="2926"/>
      <c r="K533" s="2837"/>
    </row>
    <row r="534" spans="1:12">
      <c r="A534" s="2837"/>
      <c r="B534" s="302" t="str">
        <f>дома!X1472</f>
        <v>монтаж osb/фанера пол</v>
      </c>
      <c r="C534" s="2890" t="s">
        <v>133</v>
      </c>
      <c r="D534" s="275">
        <f>дома!Y1472</f>
        <v>100</v>
      </c>
      <c r="E534" s="302">
        <f>дома!Z1472</f>
        <v>200</v>
      </c>
      <c r="F534" s="302"/>
      <c r="G534" s="2301">
        <f t="shared" si="103"/>
        <v>20000</v>
      </c>
      <c r="H534" s="96">
        <f t="shared" si="104"/>
        <v>0</v>
      </c>
      <c r="I534" s="2928">
        <f t="shared" si="105"/>
        <v>0</v>
      </c>
      <c r="J534" s="2926"/>
      <c r="K534" s="2837"/>
    </row>
    <row r="535" spans="1:12">
      <c r="A535" s="2837"/>
      <c r="B535" s="3278" t="s">
        <v>4641</v>
      </c>
      <c r="C535" s="3278"/>
      <c r="D535" s="3278"/>
      <c r="E535" s="3278"/>
      <c r="F535" s="302"/>
      <c r="G535" s="275">
        <f>SUM(G514:G534)*H513</f>
        <v>0</v>
      </c>
      <c r="H535" s="96">
        <f>SUM(H514:H534)</f>
        <v>0</v>
      </c>
      <c r="I535" s="2928">
        <f t="shared" si="105"/>
        <v>0</v>
      </c>
      <c r="J535" s="2926"/>
      <c r="K535" s="2837"/>
    </row>
    <row r="536" spans="1:12">
      <c r="A536" s="2837"/>
      <c r="B536" s="3287" t="s">
        <v>4651</v>
      </c>
      <c r="C536" s="3287"/>
      <c r="D536" s="2920"/>
      <c r="E536" s="2920"/>
      <c r="F536" s="302"/>
      <c r="G536" s="941"/>
      <c r="H536" s="2925">
        <f>H458</f>
        <v>0</v>
      </c>
      <c r="I536" s="2932">
        <f>H536</f>
        <v>0</v>
      </c>
      <c r="J536" s="2926"/>
      <c r="K536" s="2851"/>
    </row>
    <row r="537" spans="1:12">
      <c r="A537" s="2837"/>
      <c r="B537" s="302" t="str">
        <f>дома!AL1480</f>
        <v>Командировочные расходы</v>
      </c>
      <c r="C537" s="22"/>
      <c r="D537" s="275">
        <f>дома!AM1480</f>
        <v>1</v>
      </c>
      <c r="E537" s="302">
        <f>дома!AN1480</f>
        <v>0</v>
      </c>
      <c r="F537" s="302"/>
      <c r="G537" s="2301">
        <f>IF(F537&gt;0,D537*F537,E537*D537)</f>
        <v>0</v>
      </c>
      <c r="H537" s="96">
        <f>D537*E537*$H$513</f>
        <v>0</v>
      </c>
      <c r="I537" s="2928">
        <f>IF(G537&gt;H537,G537,H537)*$H$458</f>
        <v>0</v>
      </c>
      <c r="J537" s="1496"/>
      <c r="K537" s="223">
        <f>D537-J537</f>
        <v>1</v>
      </c>
      <c r="L537" s="2854"/>
    </row>
    <row r="538" spans="1:12">
      <c r="A538" s="2837"/>
      <c r="B538" s="302" t="str">
        <f>дома!AL1481</f>
        <v>расходные материалы каркасный дом</v>
      </c>
      <c r="C538" s="22"/>
      <c r="D538" s="275">
        <f>дома!AM1481</f>
        <v>1</v>
      </c>
      <c r="E538" s="302">
        <f>дома!AN1481</f>
        <v>12000</v>
      </c>
      <c r="F538" s="302"/>
      <c r="G538" s="2301">
        <f>IF(F538&gt;0,D538*F538,E538*D538)</f>
        <v>12000</v>
      </c>
      <c r="H538" s="96">
        <f>D538*E538*$H$513</f>
        <v>0</v>
      </c>
      <c r="I538" s="2928">
        <f>IF(G538&gt;H538,G538,H538)*$H$458</f>
        <v>0</v>
      </c>
      <c r="J538" s="1496"/>
      <c r="K538" s="223">
        <f>D538-J538</f>
        <v>1</v>
      </c>
      <c r="L538" s="2854"/>
    </row>
    <row r="539" spans="1:12">
      <c r="A539" s="2837"/>
      <c r="B539" s="302" t="str">
        <f>дома!AL1482</f>
        <v>Нет техники</v>
      </c>
      <c r="C539" s="22"/>
      <c r="D539" s="275">
        <f>дома!AM1482</f>
        <v>2</v>
      </c>
      <c r="E539" s="302">
        <f>дома!AN1482</f>
        <v>0</v>
      </c>
      <c r="F539" s="302"/>
      <c r="G539" s="275">
        <f>IF(F539&gt;0,D539*F539,E539*D539)</f>
        <v>0</v>
      </c>
      <c r="H539" s="96">
        <f>D539*E539*$H$513</f>
        <v>0</v>
      </c>
      <c r="I539" s="2928">
        <f>IF(G539&gt;H539,G539,H539)*$H$458</f>
        <v>0</v>
      </c>
      <c r="J539" s="1496"/>
      <c r="K539" s="223">
        <f>D539-J539</f>
        <v>2</v>
      </c>
      <c r="L539" s="2854"/>
    </row>
    <row r="540" spans="1:12">
      <c r="A540" s="2837"/>
      <c r="B540" s="3288" t="s">
        <v>4652</v>
      </c>
      <c r="C540" s="3288"/>
      <c r="D540" s="3288"/>
      <c r="E540" s="3288"/>
      <c r="F540" s="302"/>
      <c r="G540" s="275">
        <f>SUM(G537:G539)</f>
        <v>12000</v>
      </c>
      <c r="H540" s="96">
        <f>SUM(H537:H539)</f>
        <v>0</v>
      </c>
      <c r="I540" s="2928">
        <f>IF(G540&gt;H540,G540,H540)*$H$458</f>
        <v>0</v>
      </c>
      <c r="J540" s="1496"/>
      <c r="K540" s="223">
        <f>D540-J540</f>
        <v>0</v>
      </c>
      <c r="L540" s="2854"/>
    </row>
    <row r="541" spans="1:12" ht="21">
      <c r="A541" s="2837"/>
      <c r="B541" s="3282" t="s">
        <v>4654</v>
      </c>
      <c r="C541" s="3282"/>
      <c r="D541" s="3282"/>
      <c r="E541" s="3282"/>
      <c r="F541" s="2887"/>
      <c r="G541" s="941"/>
      <c r="H541" s="2901">
        <f>IF('Ввод данных'!A8=связи1!A153,1,0)+IF('Ввод данных'!A8=связи1!A171,1,0)+IF('Ввод данных'!A8=связи1!A172,1,0)+IF('Ввод данных'!A8=связи1!A173,1,0)+IF('Ввод данных'!A8=связи1!A174,1,0)+IF('Ввод данных'!A8=связи1!A175,1,0)+IF('Ввод данных'!A8=связи1!A176,1,0)+IF('Ввод данных'!A8=связи1!A177,1,0)+IF('Ввод данных'!A8=связи1!A178,1,0)+IF('Ввод данных'!A8=связи1!A179,1,0)+IF('Ввод данных'!A8=связи1!A170,1,0)</f>
        <v>0</v>
      </c>
      <c r="I541" s="2879">
        <f>H541</f>
        <v>0</v>
      </c>
      <c r="J541" s="2892"/>
      <c r="K541" s="2893"/>
    </row>
    <row r="542" spans="1:12">
      <c r="A542" s="2829"/>
      <c r="B542" s="3285" t="s">
        <v>2720</v>
      </c>
      <c r="C542" s="3285"/>
      <c r="D542" s="3285"/>
      <c r="E542" s="3285"/>
      <c r="F542" s="2902"/>
      <c r="G542" s="941"/>
      <c r="H542" s="2903">
        <f>H541</f>
        <v>0</v>
      </c>
      <c r="I542" s="2879">
        <f>H542</f>
        <v>0</v>
      </c>
      <c r="J542" s="2850"/>
      <c r="K542" s="2851"/>
    </row>
    <row r="543" spans="1:12">
      <c r="A543" s="2829"/>
      <c r="B543" s="302" t="str">
        <f>дома!A1531</f>
        <v xml:space="preserve">Газоблок D400 200х100х390 </v>
      </c>
      <c r="C543" s="2890" t="str">
        <f>дома!B1531</f>
        <v>м3</v>
      </c>
      <c r="D543" s="275">
        <f>дома!C1531</f>
        <v>-3.12</v>
      </c>
      <c r="E543" s="100">
        <f>дома!I1531</f>
        <v>4200</v>
      </c>
      <c r="F543" s="100"/>
      <c r="G543" s="275">
        <f t="shared" ref="G543:G574" si="106">IF(F543&gt;0,D543*F543,E543*D543)</f>
        <v>-13104</v>
      </c>
      <c r="H543" s="96">
        <f t="shared" ref="H543:H574" si="107">D543*E543*$H$541</f>
        <v>0</v>
      </c>
      <c r="I543" s="2911">
        <f t="shared" ref="I543:I574" si="108">IF(G543&gt;H543,G543,H543)*$H$541</f>
        <v>0</v>
      </c>
      <c r="J543" s="2863"/>
      <c r="K543" s="223">
        <f t="shared" ref="K543:K574" si="109">D543-J543</f>
        <v>-3.12</v>
      </c>
      <c r="L543" s="2854"/>
    </row>
    <row r="544" spans="1:12">
      <c r="A544" s="2837"/>
      <c r="B544" s="302" t="str">
        <f>дома!A1532</f>
        <v xml:space="preserve">Газоблок D500 200х100х390 </v>
      </c>
      <c r="C544" s="2890" t="str">
        <f>дома!B1532</f>
        <v>м3</v>
      </c>
      <c r="D544" s="275">
        <f>дома!C1532</f>
        <v>0</v>
      </c>
      <c r="E544" s="100">
        <f>дома!I1532</f>
        <v>4200</v>
      </c>
      <c r="F544" s="100"/>
      <c r="G544" s="275">
        <f t="shared" si="106"/>
        <v>0</v>
      </c>
      <c r="H544" s="96">
        <f t="shared" si="107"/>
        <v>0</v>
      </c>
      <c r="I544" s="2911">
        <f t="shared" si="108"/>
        <v>0</v>
      </c>
      <c r="J544" s="2863"/>
      <c r="K544" s="223">
        <f t="shared" si="109"/>
        <v>0</v>
      </c>
      <c r="L544" s="2854"/>
    </row>
    <row r="545" spans="1:12">
      <c r="A545" s="2837"/>
      <c r="B545" s="302" t="str">
        <f>дома!A1533</f>
        <v xml:space="preserve">Газоблок D400 200х400х390 </v>
      </c>
      <c r="C545" s="2890" t="str">
        <f>дома!B1533</f>
        <v>м3</v>
      </c>
      <c r="D545" s="275">
        <f>дома!C1533</f>
        <v>0</v>
      </c>
      <c r="E545" s="100">
        <f>дома!I1533</f>
        <v>4200</v>
      </c>
      <c r="F545" s="100"/>
      <c r="G545" s="275">
        <f t="shared" si="106"/>
        <v>0</v>
      </c>
      <c r="H545" s="96">
        <f t="shared" si="107"/>
        <v>0</v>
      </c>
      <c r="I545" s="2911">
        <f t="shared" si="108"/>
        <v>0</v>
      </c>
      <c r="J545" s="2863"/>
      <c r="K545" s="223">
        <f t="shared" si="109"/>
        <v>0</v>
      </c>
      <c r="L545" s="2854"/>
    </row>
    <row r="546" spans="1:12">
      <c r="A546" s="2837"/>
      <c r="B546" s="302" t="str">
        <f>дома!A1534</f>
        <v xml:space="preserve">Газоблокпоясной  D400 200х100х390 </v>
      </c>
      <c r="C546" s="2890" t="str">
        <f>дома!B1534</f>
        <v>м3</v>
      </c>
      <c r="D546" s="275">
        <f>дома!C1534</f>
        <v>3.0888</v>
      </c>
      <c r="E546" s="100">
        <f>дома!I1534</f>
        <v>4200</v>
      </c>
      <c r="F546" s="100"/>
      <c r="G546" s="275">
        <f t="shared" si="106"/>
        <v>12972.96</v>
      </c>
      <c r="H546" s="96">
        <f t="shared" si="107"/>
        <v>0</v>
      </c>
      <c r="I546" s="2911">
        <f t="shared" si="108"/>
        <v>0</v>
      </c>
      <c r="J546" s="2863"/>
      <c r="K546" s="223">
        <f t="shared" si="109"/>
        <v>3.0888</v>
      </c>
      <c r="L546" s="2854"/>
    </row>
    <row r="547" spans="1:12">
      <c r="A547" s="2837"/>
      <c r="B547" s="302" t="str">
        <f>дома!A1535</f>
        <v>Поясной 200х100х600 угловой внешний</v>
      </c>
      <c r="C547" s="2890" t="str">
        <f>дома!B1535</f>
        <v>м3</v>
      </c>
      <c r="D547" s="275">
        <f>дома!C1535</f>
        <v>3.1199999999999999E-2</v>
      </c>
      <c r="E547" s="100">
        <f>дома!I1535</f>
        <v>4200</v>
      </c>
      <c r="F547" s="100"/>
      <c r="G547" s="275">
        <f t="shared" si="106"/>
        <v>131.04</v>
      </c>
      <c r="H547" s="96">
        <f t="shared" si="107"/>
        <v>0</v>
      </c>
      <c r="I547" s="2911">
        <f t="shared" si="108"/>
        <v>0</v>
      </c>
      <c r="J547" s="2863"/>
      <c r="K547" s="223">
        <f t="shared" si="109"/>
        <v>3.1199999999999999E-2</v>
      </c>
      <c r="L547" s="2854"/>
    </row>
    <row r="548" spans="1:12">
      <c r="A548" s="2837"/>
      <c r="B548" s="302" t="str">
        <f>дома!A1536</f>
        <v>Поясной 200х100х600 угловой внутренний</v>
      </c>
      <c r="C548" s="2890" t="str">
        <f>дома!B1536</f>
        <v>м3</v>
      </c>
      <c r="D548" s="275">
        <f>дома!C1536</f>
        <v>0</v>
      </c>
      <c r="E548" s="100">
        <f>дома!I1536</f>
        <v>4200</v>
      </c>
      <c r="F548" s="100"/>
      <c r="G548" s="275">
        <f t="shared" si="106"/>
        <v>0</v>
      </c>
      <c r="H548" s="96">
        <f t="shared" si="107"/>
        <v>0</v>
      </c>
      <c r="I548" s="2911">
        <f t="shared" si="108"/>
        <v>0</v>
      </c>
      <c r="J548" s="2863"/>
      <c r="K548" s="223">
        <f t="shared" si="109"/>
        <v>0</v>
      </c>
      <c r="L548" s="2854"/>
    </row>
    <row r="549" spans="1:12">
      <c r="A549" s="2837"/>
      <c r="B549" s="302" t="str">
        <f>дома!A1537</f>
        <v>200х100х600 угловой внешний</v>
      </c>
      <c r="C549" s="2890" t="str">
        <f>дома!B1537</f>
        <v>м3</v>
      </c>
      <c r="D549" s="275">
        <f>дома!C1537</f>
        <v>0.72</v>
      </c>
      <c r="E549" s="100">
        <f>дома!I1537</f>
        <v>4200</v>
      </c>
      <c r="F549" s="100"/>
      <c r="G549" s="275">
        <f t="shared" si="106"/>
        <v>3024</v>
      </c>
      <c r="H549" s="96">
        <f t="shared" si="107"/>
        <v>0</v>
      </c>
      <c r="I549" s="2911">
        <f t="shared" si="108"/>
        <v>0</v>
      </c>
      <c r="J549" s="2863"/>
      <c r="K549" s="223">
        <f t="shared" si="109"/>
        <v>0.72</v>
      </c>
      <c r="L549" s="2854"/>
    </row>
    <row r="550" spans="1:12">
      <c r="A550" s="2837"/>
      <c r="B550" s="302" t="str">
        <f>дома!A1538</f>
        <v>200х100х600 угловой внутренний</v>
      </c>
      <c r="C550" s="2890" t="str">
        <f>дома!B1538</f>
        <v>м4</v>
      </c>
      <c r="D550" s="275">
        <f>дома!C1538</f>
        <v>0</v>
      </c>
      <c r="E550" s="100">
        <f>дома!I1538</f>
        <v>4200</v>
      </c>
      <c r="F550" s="100"/>
      <c r="G550" s="275">
        <f t="shared" si="106"/>
        <v>0</v>
      </c>
      <c r="H550" s="96">
        <f t="shared" si="107"/>
        <v>0</v>
      </c>
      <c r="I550" s="2911">
        <f t="shared" si="108"/>
        <v>0</v>
      </c>
      <c r="J550" s="2863"/>
      <c r="K550" s="223">
        <f t="shared" si="109"/>
        <v>0</v>
      </c>
      <c r="L550" s="2854"/>
    </row>
    <row r="551" spans="1:12">
      <c r="A551" s="2837"/>
      <c r="B551" s="302" t="str">
        <f>дома!A1539</f>
        <v>Клей монтажный ВК-100</v>
      </c>
      <c r="C551" s="2890" t="str">
        <f>дома!B1539</f>
        <v>меш</v>
      </c>
      <c r="D551" s="275">
        <f>дома!C1539</f>
        <v>0</v>
      </c>
      <c r="E551" s="100">
        <f>дома!I1539</f>
        <v>185</v>
      </c>
      <c r="F551" s="100"/>
      <c r="G551" s="275">
        <f t="shared" si="106"/>
        <v>0</v>
      </c>
      <c r="H551" s="96">
        <f t="shared" si="107"/>
        <v>0</v>
      </c>
      <c r="I551" s="2911">
        <f t="shared" si="108"/>
        <v>0</v>
      </c>
      <c r="J551" s="2863"/>
      <c r="K551" s="223">
        <f t="shared" si="109"/>
        <v>0</v>
      </c>
      <c r="L551" s="2854"/>
    </row>
    <row r="552" spans="1:12">
      <c r="A552" s="2837"/>
      <c r="B552" s="302" t="e">
        <f>дома!A1540</f>
        <v>#N/A</v>
      </c>
      <c r="C552" s="2890" t="str">
        <f>дома!B1540</f>
        <v>меш</v>
      </c>
      <c r="D552" s="275">
        <f>дома!C1540</f>
        <v>-2.2740721919999962</v>
      </c>
      <c r="E552" s="100">
        <f>дома!I1540</f>
        <v>0</v>
      </c>
      <c r="F552" s="100"/>
      <c r="G552" s="275">
        <f t="shared" si="106"/>
        <v>0</v>
      </c>
      <c r="H552" s="96">
        <f t="shared" si="107"/>
        <v>0</v>
      </c>
      <c r="I552" s="2911">
        <f t="shared" si="108"/>
        <v>0</v>
      </c>
      <c r="J552" s="2863"/>
      <c r="K552" s="223">
        <f t="shared" si="109"/>
        <v>-2.2740721919999962</v>
      </c>
      <c r="L552" s="2854"/>
    </row>
    <row r="553" spans="1:12">
      <c r="A553" s="2837"/>
      <c r="B553" s="302" t="e">
        <f>дома!A1541</f>
        <v>#N/A</v>
      </c>
      <c r="C553" s="2890" t="str">
        <f>дома!B1541</f>
        <v>м3</v>
      </c>
      <c r="D553" s="275">
        <f>дома!C1541</f>
        <v>-0.54144575999999911</v>
      </c>
      <c r="E553" s="100">
        <f>дома!I1541</f>
        <v>0</v>
      </c>
      <c r="F553" s="100"/>
      <c r="G553" s="275">
        <f t="shared" si="106"/>
        <v>0</v>
      </c>
      <c r="H553" s="96">
        <f t="shared" si="107"/>
        <v>0</v>
      </c>
      <c r="I553" s="2911">
        <f t="shared" si="108"/>
        <v>0</v>
      </c>
      <c r="J553" s="2863"/>
      <c r="K553" s="223">
        <f t="shared" si="109"/>
        <v>-0.54144575999999911</v>
      </c>
      <c r="L553" s="2854"/>
    </row>
    <row r="554" spans="1:12">
      <c r="A554" s="2837"/>
      <c r="B554" s="302" t="str">
        <f>дома!A1542</f>
        <v>Доставка песка</v>
      </c>
      <c r="C554" s="2890" t="str">
        <f>дома!B1542</f>
        <v>маш</v>
      </c>
      <c r="D554" s="275">
        <f>дома!C1542</f>
        <v>0</v>
      </c>
      <c r="E554" s="100">
        <f>дома!I1542</f>
        <v>0</v>
      </c>
      <c r="F554" s="100"/>
      <c r="G554" s="275">
        <f t="shared" si="106"/>
        <v>0</v>
      </c>
      <c r="H554" s="96">
        <f t="shared" si="107"/>
        <v>0</v>
      </c>
      <c r="I554" s="2911">
        <f t="shared" si="108"/>
        <v>0</v>
      </c>
      <c r="J554" s="2863"/>
      <c r="K554" s="223">
        <f t="shared" si="109"/>
        <v>0</v>
      </c>
      <c r="L554" s="2854"/>
    </row>
    <row r="555" spans="1:12">
      <c r="A555" s="2837"/>
      <c r="B555" s="302" t="e">
        <f>дома!A1543</f>
        <v>#N/A</v>
      </c>
      <c r="C555" s="2890" t="str">
        <f>дома!B1543</f>
        <v>м3</v>
      </c>
      <c r="D555" s="275">
        <f>дома!C1543</f>
        <v>-0.54144575999999911</v>
      </c>
      <c r="E555" s="100">
        <f>дома!I1543</f>
        <v>0</v>
      </c>
      <c r="F555" s="100"/>
      <c r="G555" s="275">
        <f t="shared" si="106"/>
        <v>0</v>
      </c>
      <c r="H555" s="96">
        <f t="shared" si="107"/>
        <v>0</v>
      </c>
      <c r="I555" s="2911">
        <f t="shared" si="108"/>
        <v>0</v>
      </c>
      <c r="J555" s="2863"/>
      <c r="K555" s="223">
        <f t="shared" si="109"/>
        <v>-0.54144575999999911</v>
      </c>
      <c r="L555" s="2854"/>
    </row>
    <row r="556" spans="1:12">
      <c r="A556" s="2837"/>
      <c r="B556" s="302" t="str">
        <f>дома!A1544</f>
        <v>Арматура М6 каждый 3-й ряд, 2 нити</v>
      </c>
      <c r="C556" s="2890" t="str">
        <f>дома!B1544</f>
        <v>м.п.</v>
      </c>
      <c r="D556" s="275">
        <f>дома!C1544</f>
        <v>480</v>
      </c>
      <c r="E556" s="100">
        <f>дома!I1544</f>
        <v>0</v>
      </c>
      <c r="F556" s="100"/>
      <c r="G556" s="275">
        <f t="shared" si="106"/>
        <v>0</v>
      </c>
      <c r="H556" s="96">
        <f t="shared" si="107"/>
        <v>0</v>
      </c>
      <c r="I556" s="2911">
        <f t="shared" si="108"/>
        <v>0</v>
      </c>
      <c r="J556" s="2863"/>
      <c r="K556" s="223">
        <f t="shared" si="109"/>
        <v>480</v>
      </c>
      <c r="L556" s="2854"/>
    </row>
    <row r="557" spans="1:12">
      <c r="A557" s="2837"/>
      <c r="B557" s="302" t="str">
        <f>дома!A1545</f>
        <v>Арматура М6 каждый 3-й ряд, 2 нити</v>
      </c>
      <c r="C557" s="2890" t="str">
        <f>дома!B1545</f>
        <v>м.п.</v>
      </c>
      <c r="D557" s="275">
        <f>дома!C1545</f>
        <v>0</v>
      </c>
      <c r="E557" s="100">
        <f>дома!I1545</f>
        <v>0</v>
      </c>
      <c r="F557" s="100"/>
      <c r="G557" s="275">
        <f t="shared" si="106"/>
        <v>0</v>
      </c>
      <c r="H557" s="96">
        <f t="shared" si="107"/>
        <v>0</v>
      </c>
      <c r="I557" s="2911">
        <f t="shared" si="108"/>
        <v>0</v>
      </c>
      <c r="J557" s="2863"/>
      <c r="K557" s="223">
        <f t="shared" si="109"/>
        <v>0</v>
      </c>
      <c r="L557" s="2854"/>
    </row>
    <row r="558" spans="1:12">
      <c r="A558" s="2837"/>
      <c r="B558" s="302" t="str">
        <f>дома!A1546</f>
        <v>Перемычка оконная, 1-ый эт. Вариант 1</v>
      </c>
      <c r="C558" s="2890" t="str">
        <f>дома!B1546</f>
        <v>м.п.</v>
      </c>
      <c r="D558" s="275">
        <f>дома!C1546</f>
        <v>1</v>
      </c>
      <c r="E558" s="100">
        <f>дома!I1546</f>
        <v>1000</v>
      </c>
      <c r="F558" s="100"/>
      <c r="G558" s="275">
        <f t="shared" si="106"/>
        <v>1000</v>
      </c>
      <c r="H558" s="96">
        <f t="shared" si="107"/>
        <v>0</v>
      </c>
      <c r="I558" s="2911">
        <f t="shared" si="108"/>
        <v>0</v>
      </c>
      <c r="J558" s="2863"/>
      <c r="K558" s="223">
        <f t="shared" si="109"/>
        <v>1</v>
      </c>
      <c r="L558" s="2854"/>
    </row>
    <row r="559" spans="1:12">
      <c r="A559" s="2837"/>
      <c r="B559" s="302" t="str">
        <f>дома!A1547</f>
        <v>Перемычка оконная, 1-ый эт. Вариант 2</v>
      </c>
      <c r="C559" s="2890" t="str">
        <f>дома!B1547</f>
        <v>м.п.</v>
      </c>
      <c r="D559" s="275">
        <f>дома!C1547</f>
        <v>0</v>
      </c>
      <c r="E559" s="100">
        <f>дома!I1547</f>
        <v>1000</v>
      </c>
      <c r="F559" s="100"/>
      <c r="G559" s="275">
        <f t="shared" si="106"/>
        <v>0</v>
      </c>
      <c r="H559" s="96">
        <f t="shared" si="107"/>
        <v>0</v>
      </c>
      <c r="I559" s="2911">
        <f t="shared" si="108"/>
        <v>0</v>
      </c>
      <c r="J559" s="2863"/>
      <c r="K559" s="223">
        <f t="shared" si="109"/>
        <v>0</v>
      </c>
      <c r="L559" s="2854"/>
    </row>
    <row r="560" spans="1:12">
      <c r="A560" s="2837"/>
      <c r="B560" s="302" t="str">
        <f>дома!A1548</f>
        <v>Перемычка оконная, 1-ый эт. Вариант 3</v>
      </c>
      <c r="C560" s="2890" t="str">
        <f>дома!B1548</f>
        <v>м.п.</v>
      </c>
      <c r="D560" s="275">
        <f>дома!C1548</f>
        <v>0</v>
      </c>
      <c r="E560" s="100">
        <f>дома!I1548</f>
        <v>1000</v>
      </c>
      <c r="F560" s="100"/>
      <c r="G560" s="275">
        <f t="shared" si="106"/>
        <v>0</v>
      </c>
      <c r="H560" s="96">
        <f t="shared" si="107"/>
        <v>0</v>
      </c>
      <c r="I560" s="2911">
        <f t="shared" si="108"/>
        <v>0</v>
      </c>
      <c r="J560" s="2863"/>
      <c r="K560" s="223">
        <f t="shared" si="109"/>
        <v>0</v>
      </c>
      <c r="L560" s="2854"/>
    </row>
    <row r="561" spans="1:12">
      <c r="A561" s="2837"/>
      <c r="B561" s="302" t="str">
        <f>дома!A1549</f>
        <v>Перемычка оконная, 1-ый эт. Вариант 4</v>
      </c>
      <c r="C561" s="2890" t="str">
        <f>дома!B1549</f>
        <v>м.п.</v>
      </c>
      <c r="D561" s="275">
        <f>дома!C1549</f>
        <v>0</v>
      </c>
      <c r="E561" s="100">
        <f>дома!I1549</f>
        <v>1000</v>
      </c>
      <c r="F561" s="100"/>
      <c r="G561" s="275">
        <f t="shared" si="106"/>
        <v>0</v>
      </c>
      <c r="H561" s="96">
        <f t="shared" si="107"/>
        <v>0</v>
      </c>
      <c r="I561" s="2911">
        <f t="shared" si="108"/>
        <v>0</v>
      </c>
      <c r="J561" s="2863"/>
      <c r="K561" s="223">
        <f t="shared" si="109"/>
        <v>0</v>
      </c>
      <c r="L561" s="2854"/>
    </row>
    <row r="562" spans="1:12">
      <c r="A562" s="2837"/>
      <c r="B562" s="302" t="str">
        <f>дома!A1550</f>
        <v>Перемычка оконная, 1-ый эт. Вариант 5</v>
      </c>
      <c r="C562" s="2890" t="str">
        <f>дома!B1550</f>
        <v>м.п.</v>
      </c>
      <c r="D562" s="275">
        <f>дома!C1550</f>
        <v>0</v>
      </c>
      <c r="E562" s="100">
        <f>дома!I1550</f>
        <v>1000</v>
      </c>
      <c r="F562" s="100"/>
      <c r="G562" s="275">
        <f t="shared" si="106"/>
        <v>0</v>
      </c>
      <c r="H562" s="96">
        <f t="shared" si="107"/>
        <v>0</v>
      </c>
      <c r="I562" s="2911">
        <f t="shared" si="108"/>
        <v>0</v>
      </c>
      <c r="J562" s="2863"/>
      <c r="K562" s="223">
        <f t="shared" si="109"/>
        <v>0</v>
      </c>
      <c r="L562" s="2854"/>
    </row>
    <row r="563" spans="1:12">
      <c r="A563" s="2837"/>
      <c r="B563" s="302" t="str">
        <f>дома!A1551</f>
        <v>Перемычка оконная, 2-ый эт. Вариант 6</v>
      </c>
      <c r="C563" s="2890" t="str">
        <f>дома!B1551</f>
        <v>м.п.</v>
      </c>
      <c r="D563" s="275">
        <f>дома!C1551</f>
        <v>0</v>
      </c>
      <c r="E563" s="100">
        <f>дома!I1551</f>
        <v>1000</v>
      </c>
      <c r="F563" s="100"/>
      <c r="G563" s="275">
        <f t="shared" si="106"/>
        <v>0</v>
      </c>
      <c r="H563" s="96">
        <f t="shared" si="107"/>
        <v>0</v>
      </c>
      <c r="I563" s="2911">
        <f t="shared" si="108"/>
        <v>0</v>
      </c>
      <c r="J563" s="2863"/>
      <c r="K563" s="223">
        <f t="shared" si="109"/>
        <v>0</v>
      </c>
      <c r="L563" s="2854"/>
    </row>
    <row r="564" spans="1:12">
      <c r="A564" s="2837"/>
      <c r="B564" s="302" t="str">
        <f>дома!A1552</f>
        <v>Перемычка оконная, 2-ый эт. Вариант 7</v>
      </c>
      <c r="C564" s="2890" t="str">
        <f>дома!B1552</f>
        <v>м.п.</v>
      </c>
      <c r="D564" s="275">
        <f>дома!C1552</f>
        <v>0</v>
      </c>
      <c r="E564" s="100">
        <f>дома!I1552</f>
        <v>1000</v>
      </c>
      <c r="F564" s="100"/>
      <c r="G564" s="275">
        <f t="shared" si="106"/>
        <v>0</v>
      </c>
      <c r="H564" s="96">
        <f t="shared" si="107"/>
        <v>0</v>
      </c>
      <c r="I564" s="2911">
        <f t="shared" si="108"/>
        <v>0</v>
      </c>
      <c r="J564" s="2863"/>
      <c r="K564" s="223">
        <f t="shared" si="109"/>
        <v>0</v>
      </c>
      <c r="L564" s="2854"/>
    </row>
    <row r="565" spans="1:12">
      <c r="A565" s="2837"/>
      <c r="B565" s="302" t="str">
        <f>дома!A1553</f>
        <v>Перемычка оконная, 2-ый эт. Вариант 8</v>
      </c>
      <c r="C565" s="2890" t="str">
        <f>дома!B1553</f>
        <v>м.п.</v>
      </c>
      <c r="D565" s="275">
        <f>дома!C1553</f>
        <v>0</v>
      </c>
      <c r="E565" s="100">
        <f>дома!I1553</f>
        <v>1000</v>
      </c>
      <c r="F565" s="100"/>
      <c r="G565" s="275">
        <f t="shared" si="106"/>
        <v>0</v>
      </c>
      <c r="H565" s="96">
        <f t="shared" si="107"/>
        <v>0</v>
      </c>
      <c r="I565" s="2911">
        <f t="shared" si="108"/>
        <v>0</v>
      </c>
      <c r="J565" s="2863"/>
      <c r="K565" s="223">
        <f t="shared" si="109"/>
        <v>0</v>
      </c>
      <c r="L565" s="2854"/>
    </row>
    <row r="566" spans="1:12">
      <c r="A566" s="2837"/>
      <c r="B566" s="302" t="str">
        <f>дома!A1554</f>
        <v>Перемычка оконная, 2-ый эт. Вариант 9</v>
      </c>
      <c r="C566" s="2890" t="str">
        <f>дома!B1554</f>
        <v>м.п.</v>
      </c>
      <c r="D566" s="275">
        <f>дома!C1554</f>
        <v>0</v>
      </c>
      <c r="E566" s="100">
        <f>дома!I1554</f>
        <v>1000</v>
      </c>
      <c r="F566" s="100"/>
      <c r="G566" s="275">
        <f t="shared" si="106"/>
        <v>0</v>
      </c>
      <c r="H566" s="96">
        <f t="shared" si="107"/>
        <v>0</v>
      </c>
      <c r="I566" s="2911">
        <f t="shared" si="108"/>
        <v>0</v>
      </c>
      <c r="J566" s="2863"/>
      <c r="K566" s="223">
        <f t="shared" si="109"/>
        <v>0</v>
      </c>
      <c r="L566" s="2854"/>
    </row>
    <row r="567" spans="1:12">
      <c r="A567" s="2837"/>
      <c r="B567" s="302" t="str">
        <f>дома!A1555</f>
        <v>Перемычка оконная, 2-ый эт. Вариант 10</v>
      </c>
      <c r="C567" s="2890" t="str">
        <f>дома!B1555</f>
        <v>м.п.</v>
      </c>
      <c r="D567" s="275">
        <f>дома!C1555</f>
        <v>0</v>
      </c>
      <c r="E567" s="100">
        <f>дома!I1555</f>
        <v>1000</v>
      </c>
      <c r="F567" s="100"/>
      <c r="G567" s="275">
        <f t="shared" si="106"/>
        <v>0</v>
      </c>
      <c r="H567" s="96">
        <f t="shared" si="107"/>
        <v>0</v>
      </c>
      <c r="I567" s="2911">
        <f t="shared" si="108"/>
        <v>0</v>
      </c>
      <c r="J567" s="2863"/>
      <c r="K567" s="223">
        <f t="shared" si="109"/>
        <v>0</v>
      </c>
      <c r="L567" s="2854"/>
    </row>
    <row r="568" spans="1:12">
      <c r="A568" s="2837"/>
      <c r="B568" s="302" t="str">
        <f>дома!A1556</f>
        <v>Перемычка дверная, 1-ый эт. Вариант 1</v>
      </c>
      <c r="C568" s="2890" t="str">
        <f>дома!B1556</f>
        <v>м.п.</v>
      </c>
      <c r="D568" s="275">
        <f>дома!C1556</f>
        <v>0</v>
      </c>
      <c r="E568" s="100">
        <f>дома!I1556</f>
        <v>1000</v>
      </c>
      <c r="F568" s="100"/>
      <c r="G568" s="275">
        <f t="shared" si="106"/>
        <v>0</v>
      </c>
      <c r="H568" s="96">
        <f t="shared" si="107"/>
        <v>0</v>
      </c>
      <c r="I568" s="2911">
        <f t="shared" si="108"/>
        <v>0</v>
      </c>
      <c r="J568" s="2863"/>
      <c r="K568" s="223">
        <f t="shared" si="109"/>
        <v>0</v>
      </c>
      <c r="L568" s="2854"/>
    </row>
    <row r="569" spans="1:12">
      <c r="A569" s="2837"/>
      <c r="B569" s="302" t="str">
        <f>дома!A1557</f>
        <v>Перемычка дверная, 2-ый эт. Вариант 2</v>
      </c>
      <c r="C569" s="2890" t="str">
        <f>дома!B1557</f>
        <v>м.п.</v>
      </c>
      <c r="D569" s="275">
        <f>дома!C1557</f>
        <v>0</v>
      </c>
      <c r="E569" s="100">
        <f>дома!I1557</f>
        <v>1000</v>
      </c>
      <c r="F569" s="100"/>
      <c r="G569" s="275">
        <f t="shared" si="106"/>
        <v>0</v>
      </c>
      <c r="H569" s="96">
        <f t="shared" si="107"/>
        <v>0</v>
      </c>
      <c r="I569" s="2911">
        <f t="shared" si="108"/>
        <v>0</v>
      </c>
      <c r="J569" s="2863"/>
      <c r="K569" s="223">
        <f t="shared" si="109"/>
        <v>0</v>
      </c>
      <c r="L569" s="2854"/>
    </row>
    <row r="570" spans="1:12">
      <c r="A570" s="2837"/>
      <c r="B570" s="302" t="str">
        <f>дома!A1558</f>
        <v>Перемычка оконная 1-ый эт, Вариант 11</v>
      </c>
      <c r="C570" s="2890" t="str">
        <f>дома!B1558</f>
        <v>м.п.</v>
      </c>
      <c r="D570" s="275">
        <f>дома!C1558</f>
        <v>0</v>
      </c>
      <c r="E570" s="100">
        <f>дома!I1558</f>
        <v>1000</v>
      </c>
      <c r="F570" s="100"/>
      <c r="G570" s="275">
        <f t="shared" si="106"/>
        <v>0</v>
      </c>
      <c r="H570" s="96">
        <f t="shared" si="107"/>
        <v>0</v>
      </c>
      <c r="I570" s="2911">
        <f t="shared" si="108"/>
        <v>0</v>
      </c>
      <c r="J570" s="2863"/>
      <c r="K570" s="223">
        <f t="shared" si="109"/>
        <v>0</v>
      </c>
      <c r="L570" s="2854"/>
    </row>
    <row r="571" spans="1:12">
      <c r="A571" s="2837"/>
      <c r="B571" s="302" t="str">
        <f>дома!A1559</f>
        <v>Перемычка оконная 1-ый эт, Вариант 12</v>
      </c>
      <c r="C571" s="2890" t="str">
        <f>дома!B1559</f>
        <v>м.п.</v>
      </c>
      <c r="D571" s="275">
        <f>дома!C1559</f>
        <v>0</v>
      </c>
      <c r="E571" s="100">
        <f>дома!I1559</f>
        <v>1000</v>
      </c>
      <c r="F571" s="100"/>
      <c r="G571" s="275">
        <f t="shared" si="106"/>
        <v>0</v>
      </c>
      <c r="H571" s="96">
        <f t="shared" si="107"/>
        <v>0</v>
      </c>
      <c r="I571" s="2911">
        <f t="shared" si="108"/>
        <v>0</v>
      </c>
      <c r="J571" s="2863"/>
      <c r="K571" s="223">
        <f t="shared" si="109"/>
        <v>0</v>
      </c>
      <c r="L571" s="2854"/>
    </row>
    <row r="572" spans="1:12">
      <c r="A572" s="2837"/>
      <c r="B572" s="302" t="str">
        <f>дома!A1560</f>
        <v>Перемычка дверная, 1-ый эт. Вариант 4</v>
      </c>
      <c r="C572" s="2890" t="str">
        <f>дома!B1560</f>
        <v>м.п.</v>
      </c>
      <c r="D572" s="275">
        <f>дома!C1560</f>
        <v>0</v>
      </c>
      <c r="E572" s="100">
        <f>дома!I1560</f>
        <v>1000</v>
      </c>
      <c r="F572" s="100"/>
      <c r="G572" s="275">
        <f t="shared" si="106"/>
        <v>0</v>
      </c>
      <c r="H572" s="96">
        <f t="shared" si="107"/>
        <v>0</v>
      </c>
      <c r="I572" s="2911">
        <f t="shared" si="108"/>
        <v>0</v>
      </c>
      <c r="J572" s="2863"/>
      <c r="K572" s="223">
        <f t="shared" si="109"/>
        <v>0</v>
      </c>
      <c r="L572" s="2854"/>
    </row>
    <row r="573" spans="1:12">
      <c r="A573" s="2837"/>
      <c r="B573" s="302" t="str">
        <f>дома!A1561</f>
        <v>Перемычка дверная, 1-ый эт. Вариант 5</v>
      </c>
      <c r="C573" s="2890" t="str">
        <f>дома!B1561</f>
        <v>м.п.</v>
      </c>
      <c r="D573" s="275">
        <f>дома!C1561</f>
        <v>0</v>
      </c>
      <c r="E573" s="100">
        <f>дома!I1561</f>
        <v>1000</v>
      </c>
      <c r="F573" s="100"/>
      <c r="G573" s="275">
        <f t="shared" si="106"/>
        <v>0</v>
      </c>
      <c r="H573" s="96">
        <f t="shared" si="107"/>
        <v>0</v>
      </c>
      <c r="I573" s="2911">
        <f t="shared" si="108"/>
        <v>0</v>
      </c>
      <c r="J573" s="2863"/>
      <c r="K573" s="223">
        <f t="shared" si="109"/>
        <v>0</v>
      </c>
      <c r="L573" s="2854"/>
    </row>
    <row r="574" spans="1:12">
      <c r="A574" s="2837"/>
      <c r="B574" s="302" t="str">
        <f>дома!A1562</f>
        <v>Перемычка дверная, 1-ый эт. Вариант 6</v>
      </c>
      <c r="C574" s="2890" t="str">
        <f>дома!B1562</f>
        <v>м.п.</v>
      </c>
      <c r="D574" s="275">
        <f>дома!C1562</f>
        <v>0</v>
      </c>
      <c r="E574" s="100">
        <f>дома!I1562</f>
        <v>1000</v>
      </c>
      <c r="F574" s="100"/>
      <c r="G574" s="275">
        <f t="shared" si="106"/>
        <v>0</v>
      </c>
      <c r="H574" s="96">
        <f t="shared" si="107"/>
        <v>0</v>
      </c>
      <c r="I574" s="2911">
        <f t="shared" si="108"/>
        <v>0</v>
      </c>
      <c r="J574" s="2863"/>
      <c r="K574" s="223">
        <f t="shared" si="109"/>
        <v>0</v>
      </c>
      <c r="L574" s="2854"/>
    </row>
    <row r="575" spans="1:12">
      <c r="A575" s="2837"/>
      <c r="B575" s="302" t="str">
        <f>дома!A1563</f>
        <v>Перемычка дверная, 2-ый эт. Вариант 7</v>
      </c>
      <c r="C575" s="2890" t="str">
        <f>дома!B1563</f>
        <v>м.п.</v>
      </c>
      <c r="D575" s="275">
        <f>дома!C1563</f>
        <v>0</v>
      </c>
      <c r="E575" s="100">
        <f>дома!I1563</f>
        <v>1000</v>
      </c>
      <c r="F575" s="100"/>
      <c r="G575" s="275">
        <f t="shared" ref="G575:G606" si="110">IF(F575&gt;0,D575*F575,E575*D575)</f>
        <v>0</v>
      </c>
      <c r="H575" s="96">
        <f t="shared" ref="H575:H591" si="111">D575*E575*$H$541</f>
        <v>0</v>
      </c>
      <c r="I575" s="2911">
        <f t="shared" ref="I575:I606" si="112">IF(G575&gt;H575,G575,H575)*$H$541</f>
        <v>0</v>
      </c>
      <c r="J575" s="2863"/>
      <c r="K575" s="223">
        <f t="shared" ref="K575:K606" si="113">D575-J575</f>
        <v>0</v>
      </c>
      <c r="L575" s="2854"/>
    </row>
    <row r="576" spans="1:12">
      <c r="A576" s="2837"/>
      <c r="B576" s="302" t="str">
        <f>дома!A1564</f>
        <v>Перемычка дверная, 2-ый эт. Вариант 8</v>
      </c>
      <c r="C576" s="2890" t="str">
        <f>дома!B1564</f>
        <v>м.п.</v>
      </c>
      <c r="D576" s="275">
        <f>дома!C1564</f>
        <v>0</v>
      </c>
      <c r="E576" s="100">
        <f>дома!I1564</f>
        <v>1000</v>
      </c>
      <c r="F576" s="100"/>
      <c r="G576" s="275">
        <f t="shared" si="110"/>
        <v>0</v>
      </c>
      <c r="H576" s="96">
        <f t="shared" si="111"/>
        <v>0</v>
      </c>
      <c r="I576" s="2911">
        <f t="shared" si="112"/>
        <v>0</v>
      </c>
      <c r="J576" s="2863"/>
      <c r="K576" s="223">
        <f t="shared" si="113"/>
        <v>0</v>
      </c>
      <c r="L576" s="2854"/>
    </row>
    <row r="577" spans="1:12">
      <c r="A577" s="2837"/>
      <c r="B577" s="302" t="str">
        <f>дома!A1565</f>
        <v>Перемычка дверная, 2-ый эт. Вариант 9</v>
      </c>
      <c r="C577" s="2890" t="str">
        <f>дома!B1565</f>
        <v>м.п.</v>
      </c>
      <c r="D577" s="275">
        <f>дома!C1565</f>
        <v>0</v>
      </c>
      <c r="E577" s="100">
        <f>дома!I1565</f>
        <v>1000</v>
      </c>
      <c r="F577" s="100"/>
      <c r="G577" s="275">
        <f t="shared" si="110"/>
        <v>0</v>
      </c>
      <c r="H577" s="96">
        <f t="shared" si="111"/>
        <v>0</v>
      </c>
      <c r="I577" s="2911">
        <f t="shared" si="112"/>
        <v>0</v>
      </c>
      <c r="J577" s="2863"/>
      <c r="K577" s="223">
        <f t="shared" si="113"/>
        <v>0</v>
      </c>
      <c r="L577" s="2854"/>
    </row>
    <row r="578" spans="1:12">
      <c r="A578" s="2837"/>
      <c r="B578" s="302" t="str">
        <f>дома!A1566</f>
        <v>Перемычка проема, 1-ый эт. Вариант 10</v>
      </c>
      <c r="C578" s="2890" t="str">
        <f>дома!B1566</f>
        <v>м.п.</v>
      </c>
      <c r="D578" s="275">
        <f>дома!C1566</f>
        <v>0</v>
      </c>
      <c r="E578" s="100">
        <f>дома!I1566</f>
        <v>1000</v>
      </c>
      <c r="F578" s="100"/>
      <c r="G578" s="275">
        <f t="shared" si="110"/>
        <v>0</v>
      </c>
      <c r="H578" s="96">
        <f t="shared" si="111"/>
        <v>0</v>
      </c>
      <c r="I578" s="2911">
        <f t="shared" si="112"/>
        <v>0</v>
      </c>
      <c r="J578" s="2863"/>
      <c r="K578" s="223">
        <f t="shared" si="113"/>
        <v>0</v>
      </c>
      <c r="L578" s="2854"/>
    </row>
    <row r="579" spans="1:12">
      <c r="A579" s="2837"/>
      <c r="B579" s="302" t="str">
        <f>дома!A1567</f>
        <v>Перемычка проема, 1-ый эт. Вариант 11</v>
      </c>
      <c r="C579" s="2890" t="str">
        <f>дома!B1567</f>
        <v>м.п.</v>
      </c>
      <c r="D579" s="275">
        <f>дома!C1567</f>
        <v>0</v>
      </c>
      <c r="E579" s="100">
        <f>дома!I1567</f>
        <v>1000</v>
      </c>
      <c r="F579" s="100"/>
      <c r="G579" s="275">
        <f t="shared" si="110"/>
        <v>0</v>
      </c>
      <c r="H579" s="96">
        <f t="shared" si="111"/>
        <v>0</v>
      </c>
      <c r="I579" s="2911">
        <f t="shared" si="112"/>
        <v>0</v>
      </c>
      <c r="J579" s="2863"/>
      <c r="K579" s="223">
        <f t="shared" si="113"/>
        <v>0</v>
      </c>
      <c r="L579" s="2854"/>
    </row>
    <row r="580" spans="1:12">
      <c r="A580" s="2837"/>
      <c r="B580" s="302" t="str">
        <f>дома!A1568</f>
        <v>Перемычка проема, 2-ый эт. Вариант 12</v>
      </c>
      <c r="C580" s="2890" t="str">
        <f>дома!B1568</f>
        <v>м.п.</v>
      </c>
      <c r="D580" s="275">
        <f>дома!C1568</f>
        <v>0</v>
      </c>
      <c r="E580" s="100">
        <f>дома!I1568</f>
        <v>1000</v>
      </c>
      <c r="F580" s="100"/>
      <c r="G580" s="275">
        <f t="shared" si="110"/>
        <v>0</v>
      </c>
      <c r="H580" s="96">
        <f t="shared" si="111"/>
        <v>0</v>
      </c>
      <c r="I580" s="2911">
        <f t="shared" si="112"/>
        <v>0</v>
      </c>
      <c r="J580" s="2863"/>
      <c r="K580" s="223">
        <f t="shared" si="113"/>
        <v>0</v>
      </c>
      <c r="L580" s="2854"/>
    </row>
    <row r="581" spans="1:12">
      <c r="A581" s="2837"/>
      <c r="B581" s="302" t="str">
        <f>дома!A1569</f>
        <v>Перемычка проема, 2-ый эт. Вариант 13</v>
      </c>
      <c r="C581" s="2890" t="str">
        <f>дома!B1569</f>
        <v>м.п.</v>
      </c>
      <c r="D581" s="275">
        <f>дома!C1569</f>
        <v>0</v>
      </c>
      <c r="E581" s="100">
        <f>дома!I1569</f>
        <v>1000</v>
      </c>
      <c r="F581" s="100"/>
      <c r="G581" s="275">
        <f t="shared" si="110"/>
        <v>0</v>
      </c>
      <c r="H581" s="96">
        <f t="shared" si="111"/>
        <v>0</v>
      </c>
      <c r="I581" s="2911">
        <f t="shared" si="112"/>
        <v>0</v>
      </c>
      <c r="J581" s="2863"/>
      <c r="K581" s="223">
        <f t="shared" si="113"/>
        <v>0</v>
      </c>
      <c r="L581" s="2854"/>
    </row>
    <row r="582" spans="1:12">
      <c r="A582" s="2837"/>
      <c r="B582" s="302" t="str">
        <f>дома!A1570</f>
        <v>Перемычка дверная, 1-ый эт. Вариант 1</v>
      </c>
      <c r="C582" s="2890" t="str">
        <f>дома!B1570</f>
        <v>м.п.</v>
      </c>
      <c r="D582" s="275">
        <f>дома!C1570</f>
        <v>0</v>
      </c>
      <c r="E582" s="100">
        <f>дома!I1570</f>
        <v>1000</v>
      </c>
      <c r="F582" s="100"/>
      <c r="G582" s="275">
        <f t="shared" si="110"/>
        <v>0</v>
      </c>
      <c r="H582" s="96">
        <f t="shared" si="111"/>
        <v>0</v>
      </c>
      <c r="I582" s="2911">
        <f t="shared" si="112"/>
        <v>0</v>
      </c>
      <c r="J582" s="2863"/>
      <c r="K582" s="223">
        <f t="shared" si="113"/>
        <v>0</v>
      </c>
      <c r="L582" s="2854"/>
    </row>
    <row r="583" spans="1:12">
      <c r="A583" s="2837"/>
      <c r="B583" s="302" t="str">
        <f>дома!A1571</f>
        <v>Перемычка дверная, 1-ый эт. Вариант 2</v>
      </c>
      <c r="C583" s="2890" t="str">
        <f>дома!B1571</f>
        <v>м.п.</v>
      </c>
      <c r="D583" s="275">
        <f>дома!C1571</f>
        <v>0</v>
      </c>
      <c r="E583" s="100">
        <f>дома!I1571</f>
        <v>1000</v>
      </c>
      <c r="F583" s="100"/>
      <c r="G583" s="275">
        <f t="shared" si="110"/>
        <v>0</v>
      </c>
      <c r="H583" s="96">
        <f t="shared" si="111"/>
        <v>0</v>
      </c>
      <c r="I583" s="2911">
        <f t="shared" si="112"/>
        <v>0</v>
      </c>
      <c r="J583" s="2863"/>
      <c r="K583" s="223">
        <f t="shared" si="113"/>
        <v>0</v>
      </c>
      <c r="L583" s="2854"/>
    </row>
    <row r="584" spans="1:12">
      <c r="A584" s="2837"/>
      <c r="B584" s="302" t="str">
        <f>дома!A1572</f>
        <v>Перемычка дверная, 1-ый эт. Вариант 3</v>
      </c>
      <c r="C584" s="2890" t="str">
        <f>дома!B1572</f>
        <v>м.п.</v>
      </c>
      <c r="D584" s="275">
        <f>дома!C1572</f>
        <v>0</v>
      </c>
      <c r="E584" s="100">
        <f>дома!I1572</f>
        <v>1000</v>
      </c>
      <c r="F584" s="100"/>
      <c r="G584" s="275">
        <f t="shared" si="110"/>
        <v>0</v>
      </c>
      <c r="H584" s="96">
        <f t="shared" si="111"/>
        <v>0</v>
      </c>
      <c r="I584" s="2911">
        <f t="shared" si="112"/>
        <v>0</v>
      </c>
      <c r="J584" s="2863"/>
      <c r="K584" s="223">
        <f t="shared" si="113"/>
        <v>0</v>
      </c>
      <c r="L584" s="2854"/>
    </row>
    <row r="585" spans="1:12">
      <c r="A585" s="2837"/>
      <c r="B585" s="302" t="str">
        <f>дома!A1573</f>
        <v>Сосна влаж,200*40мм</v>
      </c>
      <c r="C585" s="2890" t="str">
        <f>дома!B1573</f>
        <v>м3</v>
      </c>
      <c r="D585" s="302">
        <f>дома!C1573</f>
        <v>0.83200000000000007</v>
      </c>
      <c r="E585" s="302">
        <f>дома!I1573</f>
        <v>6500</v>
      </c>
      <c r="F585" s="302"/>
      <c r="G585" s="275">
        <f t="shared" si="110"/>
        <v>5408.0000000000009</v>
      </c>
      <c r="H585" s="96">
        <f t="shared" si="111"/>
        <v>0</v>
      </c>
      <c r="I585" s="2911">
        <f t="shared" si="112"/>
        <v>0</v>
      </c>
      <c r="J585" s="2863"/>
      <c r="K585" s="223">
        <f t="shared" si="113"/>
        <v>0.83200000000000007</v>
      </c>
      <c r="L585" s="2854"/>
    </row>
    <row r="586" spans="1:12">
      <c r="A586" s="2837"/>
      <c r="B586" s="302" t="str">
        <f>дома!A1574</f>
        <v>Сейсмопояс Арматура М10 4 нити</v>
      </c>
      <c r="C586" s="2890" t="str">
        <f>дома!B1574</f>
        <v>м.п.</v>
      </c>
      <c r="D586" s="302">
        <f>дома!C1574</f>
        <v>176</v>
      </c>
      <c r="E586" s="302">
        <f>дома!I1574</f>
        <v>21.0397</v>
      </c>
      <c r="F586" s="302"/>
      <c r="G586" s="275">
        <f t="shared" si="110"/>
        <v>3702.9872</v>
      </c>
      <c r="H586" s="96">
        <f t="shared" si="111"/>
        <v>0</v>
      </c>
      <c r="I586" s="2911">
        <f t="shared" si="112"/>
        <v>0</v>
      </c>
      <c r="J586" s="2863"/>
      <c r="K586" s="223">
        <f t="shared" si="113"/>
        <v>176</v>
      </c>
      <c r="L586" s="2854"/>
    </row>
    <row r="587" spans="1:12">
      <c r="A587" s="2837"/>
      <c r="B587" s="302" t="str">
        <f>дома!A1575</f>
        <v>Хомут для сейсмопояса Арматура М6, шаг 400мм</v>
      </c>
      <c r="C587" s="2890" t="str">
        <f>дома!B1575</f>
        <v>м.п.</v>
      </c>
      <c r="D587" s="302">
        <f>дома!C1575</f>
        <v>90</v>
      </c>
      <c r="E587" s="302">
        <f>дома!I1575</f>
        <v>0</v>
      </c>
      <c r="F587" s="302"/>
      <c r="G587" s="275">
        <f t="shared" si="110"/>
        <v>0</v>
      </c>
      <c r="H587" s="96">
        <f t="shared" si="111"/>
        <v>0</v>
      </c>
      <c r="I587" s="2911">
        <f t="shared" si="112"/>
        <v>0</v>
      </c>
      <c r="J587" s="2863"/>
      <c r="K587" s="223">
        <f t="shared" si="113"/>
        <v>90</v>
      </c>
      <c r="L587" s="2854"/>
    </row>
    <row r="588" spans="1:12">
      <c r="A588" s="2837"/>
      <c r="B588" s="302" t="str">
        <f>дома!A1576</f>
        <v>Бетон, м300</v>
      </c>
      <c r="C588" s="2890" t="str">
        <f>дома!B1576</f>
        <v>м3</v>
      </c>
      <c r="D588" s="302">
        <f>дома!C1576</f>
        <v>1.6380000000000001</v>
      </c>
      <c r="E588" s="302">
        <f>дома!I1576</f>
        <v>3000</v>
      </c>
      <c r="F588" s="302"/>
      <c r="G588" s="275">
        <f t="shared" si="110"/>
        <v>4914</v>
      </c>
      <c r="H588" s="96">
        <f t="shared" si="111"/>
        <v>0</v>
      </c>
      <c r="I588" s="2911">
        <f t="shared" si="112"/>
        <v>0</v>
      </c>
      <c r="J588" s="2863"/>
      <c r="K588" s="223">
        <f t="shared" si="113"/>
        <v>1.6380000000000001</v>
      </c>
      <c r="L588" s="2854"/>
    </row>
    <row r="589" spans="1:12">
      <c r="A589" s="2837"/>
      <c r="B589" s="302" t="str">
        <f>дома!A1579</f>
        <v>Нет</v>
      </c>
      <c r="C589" s="2890" t="str">
        <f>дома!B1579</f>
        <v>м3</v>
      </c>
      <c r="D589" s="302">
        <f>дома!C1579</f>
        <v>0</v>
      </c>
      <c r="E589" s="302">
        <f>дома!I1579</f>
        <v>0</v>
      </c>
      <c r="F589" s="302"/>
      <c r="G589" s="275">
        <f t="shared" si="110"/>
        <v>0</v>
      </c>
      <c r="H589" s="96">
        <f t="shared" si="111"/>
        <v>0</v>
      </c>
      <c r="I589" s="2911">
        <f t="shared" si="112"/>
        <v>0</v>
      </c>
      <c r="J589" s="2863"/>
      <c r="K589" s="223">
        <f t="shared" si="113"/>
        <v>0</v>
      </c>
      <c r="L589" s="2854"/>
    </row>
    <row r="590" spans="1:12">
      <c r="A590" s="2837"/>
      <c r="B590" s="302" t="str">
        <f>дома!A1580</f>
        <v>Грибок для крепления утеплителя</v>
      </c>
      <c r="C590" s="2890" t="str">
        <f>дома!B1580</f>
        <v>шт</v>
      </c>
      <c r="D590" s="302">
        <f>дома!C1580</f>
        <v>0</v>
      </c>
      <c r="E590" s="302">
        <f>дома!I1580</f>
        <v>15</v>
      </c>
      <c r="F590" s="302"/>
      <c r="G590" s="275">
        <f t="shared" si="110"/>
        <v>0</v>
      </c>
      <c r="H590" s="96">
        <f t="shared" si="111"/>
        <v>0</v>
      </c>
      <c r="I590" s="2911">
        <f t="shared" si="112"/>
        <v>0</v>
      </c>
      <c r="J590" s="2863"/>
      <c r="K590" s="223">
        <f t="shared" si="113"/>
        <v>0</v>
      </c>
      <c r="L590" s="2854"/>
    </row>
    <row r="591" spans="1:12">
      <c r="A591" s="2837"/>
      <c r="B591" s="302" t="str">
        <f>дома!A1581</f>
        <v>нет ветроизоляции</v>
      </c>
      <c r="C591" s="2890" t="str">
        <f>дома!B1581</f>
        <v>м2</v>
      </c>
      <c r="D591" s="302">
        <f>дома!C1581</f>
        <v>0</v>
      </c>
      <c r="E591" s="302">
        <f>дома!I1581</f>
        <v>0</v>
      </c>
      <c r="F591" s="302"/>
      <c r="G591" s="275">
        <f t="shared" si="110"/>
        <v>0</v>
      </c>
      <c r="H591" s="96">
        <f t="shared" si="111"/>
        <v>0</v>
      </c>
      <c r="I591" s="2911">
        <f t="shared" si="112"/>
        <v>0</v>
      </c>
      <c r="J591" s="2863"/>
      <c r="K591" s="223">
        <f t="shared" si="113"/>
        <v>0</v>
      </c>
      <c r="L591" s="2854"/>
    </row>
    <row r="592" spans="1:12">
      <c r="A592" s="2837"/>
      <c r="B592" s="3278" t="s">
        <v>4640</v>
      </c>
      <c r="C592" s="3278"/>
      <c r="D592" s="3278"/>
      <c r="E592" s="3278"/>
      <c r="F592" s="2868"/>
      <c r="G592" s="96">
        <f>SUM(G543:G591)*H541</f>
        <v>0</v>
      </c>
      <c r="H592" s="96">
        <f>SUM(H543:H591)</f>
        <v>0</v>
      </c>
      <c r="I592" s="2911">
        <f t="shared" si="112"/>
        <v>0</v>
      </c>
      <c r="J592" s="2863"/>
      <c r="K592" s="223">
        <f t="shared" si="113"/>
        <v>0</v>
      </c>
      <c r="L592" s="2854"/>
    </row>
    <row r="593" spans="1:13">
      <c r="A593" s="2837"/>
      <c r="B593" s="3279" t="s">
        <v>1409</v>
      </c>
      <c r="C593" s="3279"/>
      <c r="D593" s="3279"/>
      <c r="E593" s="3279"/>
      <c r="F593" s="2870"/>
      <c r="G593" s="941"/>
      <c r="H593" s="2891">
        <f>H541</f>
        <v>0</v>
      </c>
      <c r="I593" s="2879">
        <f>H593</f>
        <v>0</v>
      </c>
      <c r="J593" s="2892"/>
      <c r="K593" s="2893"/>
    </row>
    <row r="594" spans="1:13">
      <c r="A594" s="2829"/>
      <c r="B594" s="2763" t="str">
        <f>дома!O1541</f>
        <v>кладка газобетона несущие стены</v>
      </c>
      <c r="C594" s="2890" t="str">
        <f>дома!R1541</f>
        <v>м3</v>
      </c>
      <c r="D594" s="275">
        <f>дома!S1541</f>
        <v>-3.12</v>
      </c>
      <c r="E594" s="100">
        <f>дома!T1541</f>
        <v>3500</v>
      </c>
      <c r="F594" s="100"/>
      <c r="G594" s="275">
        <f t="shared" ref="G594:G604" si="114">IF(F594&gt;0,D594*F594,E594*D594)</f>
        <v>-10920</v>
      </c>
      <c r="H594" s="2315">
        <f t="shared" ref="H594:H604" si="115">D594*E594*$H$593</f>
        <v>0</v>
      </c>
      <c r="I594" s="2836">
        <f t="shared" ref="I594:I605" si="116">IF(G594&gt;H594,G594,H594)*$H$541</f>
        <v>0</v>
      </c>
      <c r="L594" s="910"/>
      <c r="M594" s="910"/>
    </row>
    <row r="595" spans="1:13">
      <c r="A595" s="2837"/>
      <c r="B595" s="2763" t="str">
        <f>дома!O1542</f>
        <v>кладка газобетона несущие перегородки</v>
      </c>
      <c r="C595" s="2890" t="str">
        <f>дома!R1542</f>
        <v>м3</v>
      </c>
      <c r="D595" s="275">
        <f>дома!S1542</f>
        <v>0</v>
      </c>
      <c r="E595" s="100">
        <f>дома!T1542</f>
        <v>3500</v>
      </c>
      <c r="F595" s="100"/>
      <c r="G595" s="275">
        <f t="shared" si="114"/>
        <v>0</v>
      </c>
      <c r="H595" s="2315">
        <f t="shared" si="115"/>
        <v>0</v>
      </c>
      <c r="I595" s="2836">
        <f t="shared" si="116"/>
        <v>0</v>
      </c>
      <c r="L595" s="910"/>
      <c r="M595" s="910"/>
    </row>
    <row r="596" spans="1:13">
      <c r="A596" s="2837"/>
      <c r="B596" s="2763" t="str">
        <f>дома!O1543</f>
        <v>кладка газобетона перегородки</v>
      </c>
      <c r="C596" s="2890" t="str">
        <f>дома!R1543</f>
        <v>м2</v>
      </c>
      <c r="D596" s="275">
        <f>дома!S1543</f>
        <v>0</v>
      </c>
      <c r="E596" s="100">
        <f>дома!T1543</f>
        <v>500</v>
      </c>
      <c r="F596" s="100"/>
      <c r="G596" s="275">
        <f t="shared" si="114"/>
        <v>0</v>
      </c>
      <c r="H596" s="2315">
        <f t="shared" si="115"/>
        <v>0</v>
      </c>
      <c r="I596" s="2836">
        <f t="shared" si="116"/>
        <v>0</v>
      </c>
      <c r="L596" s="910"/>
      <c r="M596" s="910"/>
    </row>
    <row r="597" spans="1:13">
      <c r="A597" s="2837"/>
      <c r="B597" s="2763" t="str">
        <f>дома!O1544</f>
        <v>изготовление и монтаж перемычек для окон и дверей</v>
      </c>
      <c r="C597" s="2890" t="str">
        <f>дома!R1544</f>
        <v>м.п.</v>
      </c>
      <c r="D597" s="275">
        <f>дома!S1544</f>
        <v>2.5199999999999996</v>
      </c>
      <c r="E597" s="100">
        <f>дома!T1544</f>
        <v>500</v>
      </c>
      <c r="F597" s="100"/>
      <c r="G597" s="275">
        <f t="shared" si="114"/>
        <v>1259.9999999999998</v>
      </c>
      <c r="H597" s="2315">
        <f t="shared" si="115"/>
        <v>0</v>
      </c>
      <c r="I597" s="2836">
        <f t="shared" si="116"/>
        <v>0</v>
      </c>
      <c r="L597" s="910"/>
      <c r="M597" s="910"/>
    </row>
    <row r="598" spans="1:13">
      <c r="A598" s="2837"/>
      <c r="B598" s="2763" t="str">
        <f>дома!O1545</f>
        <v>Замешивание раствора</v>
      </c>
      <c r="C598" s="2890" t="str">
        <f>дома!R1545</f>
        <v>м3</v>
      </c>
      <c r="D598" s="275">
        <f>дома!S1545</f>
        <v>-0.54144575999999911</v>
      </c>
      <c r="E598" s="100">
        <f>дома!T1545</f>
        <v>1500</v>
      </c>
      <c r="F598" s="100"/>
      <c r="G598" s="275">
        <f t="shared" si="114"/>
        <v>-812.16863999999862</v>
      </c>
      <c r="H598" s="2315">
        <f t="shared" si="115"/>
        <v>0</v>
      </c>
      <c r="I598" s="2836">
        <f t="shared" si="116"/>
        <v>0</v>
      </c>
      <c r="L598" s="910"/>
      <c r="M598" s="910"/>
    </row>
    <row r="599" spans="1:13">
      <c r="A599" s="2837"/>
      <c r="B599" s="2763" t="str">
        <f>дома!O1546</f>
        <v>Армирование стен наружних и перегородок</v>
      </c>
      <c r="C599" s="2890" t="str">
        <f>дома!R1546</f>
        <v>м.п.</v>
      </c>
      <c r="D599" s="275">
        <f>дома!S1546</f>
        <v>240</v>
      </c>
      <c r="E599" s="100">
        <f>дома!T1546</f>
        <v>70</v>
      </c>
      <c r="F599" s="100"/>
      <c r="G599" s="275">
        <f t="shared" si="114"/>
        <v>16800</v>
      </c>
      <c r="H599" s="2315">
        <f t="shared" si="115"/>
        <v>0</v>
      </c>
      <c r="I599" s="2836">
        <f t="shared" si="116"/>
        <v>0</v>
      </c>
      <c r="L599" s="910"/>
      <c r="M599" s="910"/>
    </row>
    <row r="600" spans="1:13">
      <c r="A600" s="2837"/>
      <c r="B600" s="2763" t="str">
        <f>дома!O1547</f>
        <v>Установка опалубки для сейсмопояса</v>
      </c>
      <c r="C600" s="2890" t="str">
        <f>дома!R1547</f>
        <v>м.п.</v>
      </c>
      <c r="D600" s="275">
        <f>дома!S1547</f>
        <v>40</v>
      </c>
      <c r="E600" s="100">
        <f>дома!T1547</f>
        <v>300</v>
      </c>
      <c r="F600" s="100"/>
      <c r="G600" s="275">
        <f t="shared" si="114"/>
        <v>12000</v>
      </c>
      <c r="H600" s="2315">
        <f t="shared" si="115"/>
        <v>0</v>
      </c>
      <c r="I600" s="2836">
        <f t="shared" si="116"/>
        <v>0</v>
      </c>
      <c r="J600" s="2829"/>
      <c r="K600" s="2837"/>
    </row>
    <row r="601" spans="1:13">
      <c r="A601" s="2837"/>
      <c r="B601" s="2763" t="str">
        <f>дома!O1548</f>
        <v>Армирование сейсмопояса</v>
      </c>
      <c r="C601" s="2890" t="str">
        <f>дома!R1548</f>
        <v>м.п.</v>
      </c>
      <c r="D601" s="275">
        <f>дома!S1548</f>
        <v>40</v>
      </c>
      <c r="E601" s="100">
        <f>дома!T1548</f>
        <v>500</v>
      </c>
      <c r="F601" s="100"/>
      <c r="G601" s="275">
        <f t="shared" si="114"/>
        <v>20000</v>
      </c>
      <c r="H601" s="2315">
        <f t="shared" si="115"/>
        <v>0</v>
      </c>
      <c r="I601" s="2836">
        <f t="shared" si="116"/>
        <v>0</v>
      </c>
      <c r="J601" s="2829"/>
      <c r="K601" s="2837"/>
    </row>
    <row r="602" spans="1:13">
      <c r="A602" s="2837"/>
      <c r="B602" s="2763" t="str">
        <f>дома!O1549</f>
        <v>Заливка бетоном сейсмопояса</v>
      </c>
      <c r="C602" s="2890" t="str">
        <f>дома!R1549</f>
        <v>м.п.</v>
      </c>
      <c r="D602" s="275">
        <f>дома!S1549</f>
        <v>40</v>
      </c>
      <c r="E602" s="100">
        <f>дома!T1549</f>
        <v>700</v>
      </c>
      <c r="F602" s="100"/>
      <c r="G602" s="275">
        <f t="shared" si="114"/>
        <v>28000</v>
      </c>
      <c r="H602" s="2315">
        <f t="shared" si="115"/>
        <v>0</v>
      </c>
      <c r="I602" s="2836">
        <f t="shared" si="116"/>
        <v>0</v>
      </c>
      <c r="J602" s="2829"/>
      <c r="K602" s="2837"/>
    </row>
    <row r="603" spans="1:13">
      <c r="A603" s="2837"/>
      <c r="B603" s="2763" t="str">
        <f>дома!O1550</f>
        <v>утепление стен снаружи дома</v>
      </c>
      <c r="C603" s="2890" t="str">
        <f>дома!R1550</f>
        <v>м2</v>
      </c>
      <c r="D603" s="275">
        <f>дома!S1550</f>
        <v>0</v>
      </c>
      <c r="E603" s="100">
        <f>дома!T1550</f>
        <v>350</v>
      </c>
      <c r="F603" s="100"/>
      <c r="G603" s="275">
        <f t="shared" si="114"/>
        <v>0</v>
      </c>
      <c r="H603" s="2315">
        <f t="shared" si="115"/>
        <v>0</v>
      </c>
      <c r="I603" s="2836">
        <f t="shared" si="116"/>
        <v>0</v>
      </c>
      <c r="J603" s="2829"/>
      <c r="K603" s="2837"/>
    </row>
    <row r="604" spans="1:13">
      <c r="A604" s="2837"/>
      <c r="B604" s="2763" t="str">
        <f>дома!O1551</f>
        <v>монтаж ветроизоляции стен</v>
      </c>
      <c r="C604" s="2890" t="str">
        <f>дома!R1551</f>
        <v>м2</v>
      </c>
      <c r="D604" s="275">
        <f>дома!S1551</f>
        <v>0</v>
      </c>
      <c r="E604" s="100">
        <f>дома!T1551</f>
        <v>100</v>
      </c>
      <c r="F604" s="100"/>
      <c r="G604" s="275">
        <f t="shared" si="114"/>
        <v>0</v>
      </c>
      <c r="H604" s="2315">
        <f t="shared" si="115"/>
        <v>0</v>
      </c>
      <c r="I604" s="2836">
        <f t="shared" si="116"/>
        <v>0</v>
      </c>
      <c r="J604" s="2829"/>
      <c r="K604" s="2837"/>
    </row>
    <row r="605" spans="1:13">
      <c r="A605" s="2837"/>
      <c r="B605" s="3278" t="s">
        <v>4641</v>
      </c>
      <c r="C605" s="3278"/>
      <c r="D605" s="3278"/>
      <c r="E605" s="3278"/>
      <c r="F605" s="2868"/>
      <c r="G605" s="2315">
        <f>SUM(G594:G604)*H593</f>
        <v>0</v>
      </c>
      <c r="H605" s="2315">
        <f>SUM(H594:H604)</f>
        <v>0</v>
      </c>
      <c r="I605" s="2836">
        <f t="shared" si="116"/>
        <v>0</v>
      </c>
      <c r="J605" s="2829"/>
      <c r="K605" s="2837"/>
    </row>
    <row r="606" spans="1:13" ht="21">
      <c r="A606" s="2837"/>
      <c r="B606" s="3282" t="s">
        <v>4655</v>
      </c>
      <c r="C606" s="3282"/>
      <c r="D606" s="3282"/>
      <c r="E606" s="3282"/>
      <c r="F606" s="2887"/>
      <c r="G606" s="941"/>
      <c r="H606" s="2901">
        <f>IF('Ввод данных'!A8=связи1!A154,1,0)+IF('Ввод данных'!A8=связи1!A162,1,0)+IF('Ввод данных'!A8=связи1!A178,1,0)+IF('Ввод данных'!A8=связи1!A179,1,0)+IF('Ввод данных'!A8=связи1!A180,1,0)+IF('Ввод данных'!A8=связи1!A181,1,0)+IF('Ввод данных'!A8=связи1!A182,1,0)+IF('Ввод данных'!A8=связи1!A183,1,0)+IF('Ввод данных'!A8=связи1!A184,1,0)</f>
        <v>0</v>
      </c>
      <c r="I606" s="2879">
        <f>H606</f>
        <v>0</v>
      </c>
      <c r="J606" s="2829"/>
      <c r="K606" s="2837"/>
    </row>
    <row r="607" spans="1:13">
      <c r="A607" s="2829"/>
      <c r="B607" s="3285" t="s">
        <v>2720</v>
      </c>
      <c r="C607" s="3285"/>
      <c r="D607" s="3285"/>
      <c r="E607" s="3285"/>
      <c r="F607" s="2902"/>
      <c r="G607" s="941"/>
      <c r="H607" s="2903">
        <f>H606</f>
        <v>0</v>
      </c>
      <c r="I607" s="2879">
        <f>H607</f>
        <v>0</v>
      </c>
      <c r="J607" s="2850"/>
      <c r="K607" s="2851"/>
    </row>
    <row r="608" spans="1:13">
      <c r="A608" s="2829"/>
      <c r="B608" s="302" t="str">
        <f>дома!A1612</f>
        <v>Керамзитобетонный блок - 390х190х188</v>
      </c>
      <c r="C608" s="2890" t="str">
        <f>дома!B1612</f>
        <v>м3</v>
      </c>
      <c r="D608" s="302">
        <f>дома!C1612</f>
        <v>0</v>
      </c>
      <c r="E608" s="302">
        <f>дома!I1612</f>
        <v>3200</v>
      </c>
      <c r="F608" s="302"/>
      <c r="G608" s="275">
        <f t="shared" ref="G608:G651" si="117">IF(F608&gt;0,D608*F608,E608*D608)</f>
        <v>0</v>
      </c>
      <c r="H608" s="96">
        <f t="shared" ref="H608:H651" si="118">D608*E608*$H$607</f>
        <v>0</v>
      </c>
      <c r="I608" s="2911">
        <f t="shared" ref="I608:I652" si="119">IF(G608&gt;H608,G608,H608)*$H$606</f>
        <v>0</v>
      </c>
      <c r="J608" s="2863"/>
      <c r="K608" s="223">
        <f t="shared" ref="K608:K652" si="120">D608-J608</f>
        <v>0</v>
      </c>
      <c r="L608" s="2854"/>
    </row>
    <row r="609" spans="1:12">
      <c r="A609" s="2837"/>
      <c r="B609" s="302" t="str">
        <f>дома!A1613</f>
        <v>Керамзитобетонный блок - 390х190х188</v>
      </c>
      <c r="C609" s="2890" t="str">
        <f>дома!B1613</f>
        <v>м3</v>
      </c>
      <c r="D609" s="302">
        <f>дома!C1613</f>
        <v>0</v>
      </c>
      <c r="E609" s="302">
        <f>дома!I1613</f>
        <v>3200</v>
      </c>
      <c r="F609" s="302"/>
      <c r="G609" s="275">
        <f t="shared" si="117"/>
        <v>0</v>
      </c>
      <c r="H609" s="96">
        <f t="shared" si="118"/>
        <v>0</v>
      </c>
      <c r="I609" s="2911">
        <f t="shared" si="119"/>
        <v>0</v>
      </c>
      <c r="J609" s="2863"/>
      <c r="K609" s="223">
        <f t="shared" si="120"/>
        <v>0</v>
      </c>
      <c r="L609" s="2854"/>
    </row>
    <row r="610" spans="1:12">
      <c r="A610" s="2837"/>
      <c r="B610" s="302" t="str">
        <f>дома!A1614</f>
        <v>Керамзитобетонный блок - 390х90х188</v>
      </c>
      <c r="C610" s="2890" t="str">
        <f>дома!B1614</f>
        <v>м3</v>
      </c>
      <c r="D610" s="302">
        <f>дома!C1614</f>
        <v>0</v>
      </c>
      <c r="E610" s="302">
        <f>дома!I1614</f>
        <v>3200</v>
      </c>
      <c r="F610" s="302"/>
      <c r="G610" s="275">
        <f t="shared" si="117"/>
        <v>0</v>
      </c>
      <c r="H610" s="96">
        <f t="shared" si="118"/>
        <v>0</v>
      </c>
      <c r="I610" s="2911">
        <f t="shared" si="119"/>
        <v>0</v>
      </c>
      <c r="J610" s="2863"/>
      <c r="K610" s="223">
        <f t="shared" si="120"/>
        <v>0</v>
      </c>
      <c r="L610" s="2854"/>
    </row>
    <row r="611" spans="1:12">
      <c r="A611" s="2837"/>
      <c r="B611" s="302" t="str">
        <f>дома!A1615</f>
        <v>Клей монтажный ВК-100</v>
      </c>
      <c r="C611" s="2890" t="str">
        <f>дома!B1615</f>
        <v>меш</v>
      </c>
      <c r="D611" s="302">
        <f>дома!C1615</f>
        <v>0</v>
      </c>
      <c r="E611" s="302">
        <f>дома!I1615</f>
        <v>185</v>
      </c>
      <c r="F611" s="302"/>
      <c r="G611" s="275">
        <f t="shared" si="117"/>
        <v>0</v>
      </c>
      <c r="H611" s="96">
        <f t="shared" si="118"/>
        <v>0</v>
      </c>
      <c r="I611" s="2911">
        <f t="shared" si="119"/>
        <v>0</v>
      </c>
      <c r="J611" s="2863"/>
      <c r="K611" s="223">
        <f t="shared" si="120"/>
        <v>0</v>
      </c>
      <c r="L611" s="2854"/>
    </row>
    <row r="612" spans="1:12">
      <c r="A612" s="2837"/>
      <c r="B612" s="302" t="e">
        <f>дома!A1616</f>
        <v>#N/A</v>
      </c>
      <c r="C612" s="2890" t="str">
        <f>дома!B1616</f>
        <v>меш</v>
      </c>
      <c r="D612" s="302">
        <f>дома!C1616</f>
        <v>0</v>
      </c>
      <c r="E612" s="302">
        <f>дома!I1616</f>
        <v>0</v>
      </c>
      <c r="F612" s="302"/>
      <c r="G612" s="275">
        <f t="shared" si="117"/>
        <v>0</v>
      </c>
      <c r="H612" s="96">
        <f t="shared" si="118"/>
        <v>0</v>
      </c>
      <c r="I612" s="2911">
        <f t="shared" si="119"/>
        <v>0</v>
      </c>
      <c r="J612" s="2863"/>
      <c r="K612" s="223">
        <f t="shared" si="120"/>
        <v>0</v>
      </c>
      <c r="L612" s="2854"/>
    </row>
    <row r="613" spans="1:12">
      <c r="A613" s="2837"/>
      <c r="B613" s="302" t="e">
        <f>дома!A1617</f>
        <v>#N/A</v>
      </c>
      <c r="C613" s="2890" t="str">
        <f>дома!B1617</f>
        <v>м3</v>
      </c>
      <c r="D613" s="302">
        <f>дома!C1617</f>
        <v>0</v>
      </c>
      <c r="E613" s="302">
        <f>дома!I1617</f>
        <v>0</v>
      </c>
      <c r="F613" s="302"/>
      <c r="G613" s="275">
        <f t="shared" si="117"/>
        <v>0</v>
      </c>
      <c r="H613" s="96">
        <f t="shared" si="118"/>
        <v>0</v>
      </c>
      <c r="I613" s="2911">
        <f t="shared" si="119"/>
        <v>0</v>
      </c>
      <c r="J613" s="2863"/>
      <c r="K613" s="223">
        <f t="shared" si="120"/>
        <v>0</v>
      </c>
      <c r="L613" s="2854"/>
    </row>
    <row r="614" spans="1:12">
      <c r="A614" s="2837"/>
      <c r="B614" s="302" t="str">
        <f>дома!A1618</f>
        <v>Доставка песка</v>
      </c>
      <c r="C614" s="2890" t="str">
        <f>дома!B1618</f>
        <v>маш</v>
      </c>
      <c r="D614" s="302">
        <f>дома!C1618</f>
        <v>0</v>
      </c>
      <c r="E614" s="302">
        <f>дома!I1618</f>
        <v>0</v>
      </c>
      <c r="F614" s="302"/>
      <c r="G614" s="275">
        <f t="shared" si="117"/>
        <v>0</v>
      </c>
      <c r="H614" s="96">
        <f t="shared" si="118"/>
        <v>0</v>
      </c>
      <c r="I614" s="2911">
        <f t="shared" si="119"/>
        <v>0</v>
      </c>
      <c r="J614" s="2863"/>
      <c r="K614" s="223">
        <f t="shared" si="120"/>
        <v>0</v>
      </c>
      <c r="L614" s="2854"/>
    </row>
    <row r="615" spans="1:12">
      <c r="A615" s="2837"/>
      <c r="B615" s="302" t="e">
        <f>дома!A1619</f>
        <v>#N/A</v>
      </c>
      <c r="C615" s="2890" t="str">
        <f>дома!B1619</f>
        <v>м3</v>
      </c>
      <c r="D615" s="302">
        <f>дома!C1619</f>
        <v>0</v>
      </c>
      <c r="E615" s="302">
        <f>дома!I1619</f>
        <v>0</v>
      </c>
      <c r="F615" s="302"/>
      <c r="G615" s="275">
        <f t="shared" si="117"/>
        <v>0</v>
      </c>
      <c r="H615" s="96">
        <f t="shared" si="118"/>
        <v>0</v>
      </c>
      <c r="I615" s="2911">
        <f t="shared" si="119"/>
        <v>0</v>
      </c>
      <c r="J615" s="2863"/>
      <c r="K615" s="223">
        <f t="shared" si="120"/>
        <v>0</v>
      </c>
      <c r="L615" s="2854"/>
    </row>
    <row r="616" spans="1:12">
      <c r="A616" s="2837"/>
      <c r="B616" s="302" t="str">
        <f>дома!A1620</f>
        <v>Арматура М6 каждый 3-й ряд, 2 нити</v>
      </c>
      <c r="C616" s="2890" t="str">
        <f>дома!B1620</f>
        <v>м.п.</v>
      </c>
      <c r="D616" s="302">
        <f>дома!C1620</f>
        <v>480</v>
      </c>
      <c r="E616" s="302">
        <f>дома!I1620</f>
        <v>0</v>
      </c>
      <c r="F616" s="302"/>
      <c r="G616" s="275">
        <f t="shared" si="117"/>
        <v>0</v>
      </c>
      <c r="H616" s="96">
        <f t="shared" si="118"/>
        <v>0</v>
      </c>
      <c r="I616" s="2911">
        <f t="shared" si="119"/>
        <v>0</v>
      </c>
      <c r="J616" s="2863"/>
      <c r="K616" s="223">
        <f t="shared" si="120"/>
        <v>480</v>
      </c>
      <c r="L616" s="2854"/>
    </row>
    <row r="617" spans="1:12">
      <c r="A617" s="2837"/>
      <c r="B617" s="302" t="str">
        <f>дома!A1621</f>
        <v>Арматура М6 каждый 3-й ряд, 2 нити</v>
      </c>
      <c r="C617" s="2890" t="str">
        <f>дома!B1621</f>
        <v>м.п.</v>
      </c>
      <c r="D617" s="302">
        <f>дома!C1621</f>
        <v>0</v>
      </c>
      <c r="E617" s="302">
        <f>дома!I1621</f>
        <v>0</v>
      </c>
      <c r="F617" s="302"/>
      <c r="G617" s="275">
        <f t="shared" si="117"/>
        <v>0</v>
      </c>
      <c r="H617" s="96">
        <f t="shared" si="118"/>
        <v>0</v>
      </c>
      <c r="I617" s="2911">
        <f t="shared" si="119"/>
        <v>0</v>
      </c>
      <c r="J617" s="2863"/>
      <c r="K617" s="223">
        <f t="shared" si="120"/>
        <v>0</v>
      </c>
      <c r="L617" s="2854"/>
    </row>
    <row r="618" spans="1:12">
      <c r="A618" s="2837"/>
      <c r="B618" s="302" t="str">
        <f>дома!A1622</f>
        <v>Перемычка оконная, 1-ый эт. Вариант 1</v>
      </c>
      <c r="C618" s="2890" t="str">
        <f>дома!B1622</f>
        <v>м.п.</v>
      </c>
      <c r="D618" s="302">
        <f>дома!C1622</f>
        <v>1</v>
      </c>
      <c r="E618" s="302">
        <f>дома!I1622</f>
        <v>1000</v>
      </c>
      <c r="F618" s="302"/>
      <c r="G618" s="275">
        <f t="shared" si="117"/>
        <v>1000</v>
      </c>
      <c r="H618" s="96">
        <f t="shared" si="118"/>
        <v>0</v>
      </c>
      <c r="I618" s="2911">
        <f t="shared" si="119"/>
        <v>0</v>
      </c>
      <c r="J618" s="2863"/>
      <c r="K618" s="223">
        <f t="shared" si="120"/>
        <v>1</v>
      </c>
      <c r="L618" s="2854"/>
    </row>
    <row r="619" spans="1:12">
      <c r="A619" s="2837"/>
      <c r="B619" s="302" t="str">
        <f>дома!A1623</f>
        <v>Перемычка оконная, 1-ый эт. Вариант 2</v>
      </c>
      <c r="C619" s="2890" t="str">
        <f>дома!B1623</f>
        <v>м.п.</v>
      </c>
      <c r="D619" s="302">
        <f>дома!C1623</f>
        <v>0</v>
      </c>
      <c r="E619" s="302">
        <f>дома!I1623</f>
        <v>1000</v>
      </c>
      <c r="F619" s="302"/>
      <c r="G619" s="275">
        <f t="shared" si="117"/>
        <v>0</v>
      </c>
      <c r="H619" s="96">
        <f t="shared" si="118"/>
        <v>0</v>
      </c>
      <c r="I619" s="2911">
        <f t="shared" si="119"/>
        <v>0</v>
      </c>
      <c r="J619" s="2863"/>
      <c r="K619" s="223">
        <f t="shared" si="120"/>
        <v>0</v>
      </c>
      <c r="L619" s="2854"/>
    </row>
    <row r="620" spans="1:12">
      <c r="A620" s="2837"/>
      <c r="B620" s="302" t="str">
        <f>дома!A1624</f>
        <v>Перемычка оконная, 1-ый эт. Вариант 3</v>
      </c>
      <c r="C620" s="2890" t="str">
        <f>дома!B1624</f>
        <v>м.п.</v>
      </c>
      <c r="D620" s="302">
        <f>дома!C1624</f>
        <v>0</v>
      </c>
      <c r="E620" s="302">
        <f>дома!I1624</f>
        <v>1000</v>
      </c>
      <c r="F620" s="302"/>
      <c r="G620" s="275">
        <f t="shared" si="117"/>
        <v>0</v>
      </c>
      <c r="H620" s="96">
        <f t="shared" si="118"/>
        <v>0</v>
      </c>
      <c r="I620" s="2911">
        <f t="shared" si="119"/>
        <v>0</v>
      </c>
      <c r="J620" s="2863"/>
      <c r="K620" s="223">
        <f t="shared" si="120"/>
        <v>0</v>
      </c>
      <c r="L620" s="2854"/>
    </row>
    <row r="621" spans="1:12">
      <c r="A621" s="2837"/>
      <c r="B621" s="302" t="str">
        <f>дома!A1625</f>
        <v>Перемычка оконная, 1-ый эт. Вариант 4</v>
      </c>
      <c r="C621" s="2890" t="str">
        <f>дома!B1625</f>
        <v>м.п.</v>
      </c>
      <c r="D621" s="302">
        <f>дома!C1625</f>
        <v>0</v>
      </c>
      <c r="E621" s="302">
        <f>дома!I1625</f>
        <v>1000</v>
      </c>
      <c r="F621" s="302"/>
      <c r="G621" s="275">
        <f t="shared" si="117"/>
        <v>0</v>
      </c>
      <c r="H621" s="96">
        <f t="shared" si="118"/>
        <v>0</v>
      </c>
      <c r="I621" s="2911">
        <f t="shared" si="119"/>
        <v>0</v>
      </c>
      <c r="J621" s="2863"/>
      <c r="K621" s="223">
        <f t="shared" si="120"/>
        <v>0</v>
      </c>
      <c r="L621" s="2854"/>
    </row>
    <row r="622" spans="1:12">
      <c r="A622" s="2837"/>
      <c r="B622" s="302" t="str">
        <f>дома!A1626</f>
        <v>Перемычка оконная, 1-ый эт. Вариант 5</v>
      </c>
      <c r="C622" s="2890" t="str">
        <f>дома!B1626</f>
        <v>м.п.</v>
      </c>
      <c r="D622" s="302">
        <f>дома!C1626</f>
        <v>0</v>
      </c>
      <c r="E622" s="302">
        <f>дома!I1626</f>
        <v>1000</v>
      </c>
      <c r="F622" s="302"/>
      <c r="G622" s="275">
        <f t="shared" si="117"/>
        <v>0</v>
      </c>
      <c r="H622" s="96">
        <f t="shared" si="118"/>
        <v>0</v>
      </c>
      <c r="I622" s="2911">
        <f t="shared" si="119"/>
        <v>0</v>
      </c>
      <c r="J622" s="2863"/>
      <c r="K622" s="223">
        <f t="shared" si="120"/>
        <v>0</v>
      </c>
      <c r="L622" s="2854"/>
    </row>
    <row r="623" spans="1:12">
      <c r="A623" s="2837"/>
      <c r="B623" s="302" t="str">
        <f>дома!A1627</f>
        <v>Перемычка оконная, 2-ый эт. Вариант 6</v>
      </c>
      <c r="C623" s="2890" t="str">
        <f>дома!B1627</f>
        <v>м.п.</v>
      </c>
      <c r="D623" s="302">
        <f>дома!C1627</f>
        <v>0</v>
      </c>
      <c r="E623" s="302">
        <f>дома!I1627</f>
        <v>1000</v>
      </c>
      <c r="F623" s="302"/>
      <c r="G623" s="275">
        <f t="shared" si="117"/>
        <v>0</v>
      </c>
      <c r="H623" s="96">
        <f t="shared" si="118"/>
        <v>0</v>
      </c>
      <c r="I623" s="2911">
        <f t="shared" si="119"/>
        <v>0</v>
      </c>
      <c r="J623" s="2863"/>
      <c r="K623" s="223">
        <f t="shared" si="120"/>
        <v>0</v>
      </c>
      <c r="L623" s="2854"/>
    </row>
    <row r="624" spans="1:12">
      <c r="A624" s="2837"/>
      <c r="B624" s="302" t="str">
        <f>дома!A1628</f>
        <v>Перемычка оконная, 2-ый эт. Вариант 7</v>
      </c>
      <c r="C624" s="2890" t="str">
        <f>дома!B1628</f>
        <v>м.п.</v>
      </c>
      <c r="D624" s="302">
        <f>дома!C1628</f>
        <v>0</v>
      </c>
      <c r="E624" s="302">
        <f>дома!I1628</f>
        <v>1000</v>
      </c>
      <c r="F624" s="302"/>
      <c r="G624" s="275">
        <f t="shared" si="117"/>
        <v>0</v>
      </c>
      <c r="H624" s="96">
        <f t="shared" si="118"/>
        <v>0</v>
      </c>
      <c r="I624" s="2911">
        <f t="shared" si="119"/>
        <v>0</v>
      </c>
      <c r="J624" s="2863"/>
      <c r="K624" s="223">
        <f t="shared" si="120"/>
        <v>0</v>
      </c>
      <c r="L624" s="2854"/>
    </row>
    <row r="625" spans="1:12">
      <c r="A625" s="2837"/>
      <c r="B625" s="302" t="str">
        <f>дома!A1629</f>
        <v>Перемычка оконная, 2-ый эт. Вариант 8</v>
      </c>
      <c r="C625" s="2890" t="str">
        <f>дома!B1629</f>
        <v>м.п.</v>
      </c>
      <c r="D625" s="302">
        <f>дома!C1629</f>
        <v>0</v>
      </c>
      <c r="E625" s="302">
        <f>дома!I1629</f>
        <v>1000</v>
      </c>
      <c r="F625" s="302"/>
      <c r="G625" s="275">
        <f t="shared" si="117"/>
        <v>0</v>
      </c>
      <c r="H625" s="96">
        <f t="shared" si="118"/>
        <v>0</v>
      </c>
      <c r="I625" s="2911">
        <f t="shared" si="119"/>
        <v>0</v>
      </c>
      <c r="J625" s="2863"/>
      <c r="K625" s="223">
        <f t="shared" si="120"/>
        <v>0</v>
      </c>
      <c r="L625" s="2854"/>
    </row>
    <row r="626" spans="1:12">
      <c r="A626" s="2837"/>
      <c r="B626" s="302" t="str">
        <f>дома!A1630</f>
        <v>Перемычка оконная, 2-ый эт. Вариант 9</v>
      </c>
      <c r="C626" s="2890" t="str">
        <f>дома!B1630</f>
        <v>м.п.</v>
      </c>
      <c r="D626" s="302">
        <f>дома!C1630</f>
        <v>0</v>
      </c>
      <c r="E626" s="302">
        <f>дома!I1630</f>
        <v>1000</v>
      </c>
      <c r="F626" s="302"/>
      <c r="G626" s="275">
        <f t="shared" si="117"/>
        <v>0</v>
      </c>
      <c r="H626" s="96">
        <f t="shared" si="118"/>
        <v>0</v>
      </c>
      <c r="I626" s="2911">
        <f t="shared" si="119"/>
        <v>0</v>
      </c>
      <c r="J626" s="2863"/>
      <c r="K626" s="223">
        <f t="shared" si="120"/>
        <v>0</v>
      </c>
      <c r="L626" s="2854"/>
    </row>
    <row r="627" spans="1:12">
      <c r="A627" s="2837"/>
      <c r="B627" s="302" t="str">
        <f>дома!A1631</f>
        <v>Перемычка оконная, 2-ый эт. Вариант 10</v>
      </c>
      <c r="C627" s="2890" t="str">
        <f>дома!B1631</f>
        <v>м.п.</v>
      </c>
      <c r="D627" s="302">
        <f>дома!C1631</f>
        <v>0</v>
      </c>
      <c r="E627" s="302">
        <f>дома!I1631</f>
        <v>1000</v>
      </c>
      <c r="F627" s="302"/>
      <c r="G627" s="275">
        <f t="shared" si="117"/>
        <v>0</v>
      </c>
      <c r="H627" s="96">
        <f t="shared" si="118"/>
        <v>0</v>
      </c>
      <c r="I627" s="2911">
        <f t="shared" si="119"/>
        <v>0</v>
      </c>
      <c r="J627" s="2863"/>
      <c r="K627" s="223">
        <f t="shared" si="120"/>
        <v>0</v>
      </c>
      <c r="L627" s="2854"/>
    </row>
    <row r="628" spans="1:12">
      <c r="A628" s="2837"/>
      <c r="B628" s="302" t="str">
        <f>дома!A1632</f>
        <v>Перемычка дверная, 1-ый эт. Вариант 1</v>
      </c>
      <c r="C628" s="2890" t="str">
        <f>дома!B1632</f>
        <v>м.п.</v>
      </c>
      <c r="D628" s="302">
        <f>дома!C1632</f>
        <v>0</v>
      </c>
      <c r="E628" s="302">
        <f>дома!I1632</f>
        <v>1000</v>
      </c>
      <c r="F628" s="302"/>
      <c r="G628" s="275">
        <f t="shared" si="117"/>
        <v>0</v>
      </c>
      <c r="H628" s="96">
        <f t="shared" si="118"/>
        <v>0</v>
      </c>
      <c r="I628" s="2911">
        <f t="shared" si="119"/>
        <v>0</v>
      </c>
      <c r="J628" s="2863"/>
      <c r="K628" s="223">
        <f t="shared" si="120"/>
        <v>0</v>
      </c>
      <c r="L628" s="2854"/>
    </row>
    <row r="629" spans="1:12">
      <c r="A629" s="2837"/>
      <c r="B629" s="302" t="str">
        <f>дома!A1633</f>
        <v>Перемычка дверная, 2-ый эт. Вариант 2</v>
      </c>
      <c r="C629" s="2890" t="str">
        <f>дома!B1633</f>
        <v>м.п.</v>
      </c>
      <c r="D629" s="302">
        <f>дома!C1633</f>
        <v>0</v>
      </c>
      <c r="E629" s="302">
        <f>дома!I1633</f>
        <v>1000</v>
      </c>
      <c r="F629" s="302"/>
      <c r="G629" s="275">
        <f t="shared" si="117"/>
        <v>0</v>
      </c>
      <c r="H629" s="96">
        <f t="shared" si="118"/>
        <v>0</v>
      </c>
      <c r="I629" s="2911">
        <f t="shared" si="119"/>
        <v>0</v>
      </c>
      <c r="J629" s="2863"/>
      <c r="K629" s="223">
        <f t="shared" si="120"/>
        <v>0</v>
      </c>
      <c r="L629" s="2854"/>
    </row>
    <row r="630" spans="1:12">
      <c r="A630" s="2837"/>
      <c r="B630" s="302" t="str">
        <f>дома!A1634</f>
        <v>Перемычка оконная 1-ый эт, Вариант 11</v>
      </c>
      <c r="C630" s="2890" t="str">
        <f>дома!B1634</f>
        <v>м.п.</v>
      </c>
      <c r="D630" s="302">
        <f>дома!C1634</f>
        <v>0</v>
      </c>
      <c r="E630" s="302">
        <f>дома!I1634</f>
        <v>1000</v>
      </c>
      <c r="F630" s="302"/>
      <c r="G630" s="275">
        <f t="shared" si="117"/>
        <v>0</v>
      </c>
      <c r="H630" s="96">
        <f t="shared" si="118"/>
        <v>0</v>
      </c>
      <c r="I630" s="2911">
        <f t="shared" si="119"/>
        <v>0</v>
      </c>
      <c r="J630" s="2863"/>
      <c r="K630" s="223">
        <f t="shared" si="120"/>
        <v>0</v>
      </c>
      <c r="L630" s="2854"/>
    </row>
    <row r="631" spans="1:12">
      <c r="A631" s="2837"/>
      <c r="B631" s="302" t="str">
        <f>дома!A1635</f>
        <v>Перемычка оконная 1-ый эт, Вариант 12</v>
      </c>
      <c r="C631" s="2890" t="str">
        <f>дома!B1635</f>
        <v>м.п.</v>
      </c>
      <c r="D631" s="302">
        <f>дома!C1635</f>
        <v>0</v>
      </c>
      <c r="E631" s="302">
        <f>дома!I1635</f>
        <v>1000</v>
      </c>
      <c r="F631" s="302"/>
      <c r="G631" s="275">
        <f t="shared" si="117"/>
        <v>0</v>
      </c>
      <c r="H631" s="96">
        <f t="shared" si="118"/>
        <v>0</v>
      </c>
      <c r="I631" s="2911">
        <f t="shared" si="119"/>
        <v>0</v>
      </c>
      <c r="J631" s="2863"/>
      <c r="K631" s="223">
        <f t="shared" si="120"/>
        <v>0</v>
      </c>
      <c r="L631" s="2854"/>
    </row>
    <row r="632" spans="1:12">
      <c r="A632" s="2837"/>
      <c r="B632" s="302" t="str">
        <f>дома!A1636</f>
        <v>Перемычка дверная, 1-ый эт. Вариант 4</v>
      </c>
      <c r="C632" s="2890" t="str">
        <f>дома!B1636</f>
        <v>м.п.</v>
      </c>
      <c r="D632" s="302">
        <f>дома!C1636</f>
        <v>0</v>
      </c>
      <c r="E632" s="302">
        <f>дома!I1636</f>
        <v>1000</v>
      </c>
      <c r="F632" s="302"/>
      <c r="G632" s="275">
        <f t="shared" si="117"/>
        <v>0</v>
      </c>
      <c r="H632" s="96">
        <f t="shared" si="118"/>
        <v>0</v>
      </c>
      <c r="I632" s="2911">
        <f t="shared" si="119"/>
        <v>0</v>
      </c>
      <c r="J632" s="2863"/>
      <c r="K632" s="223">
        <f t="shared" si="120"/>
        <v>0</v>
      </c>
      <c r="L632" s="2854"/>
    </row>
    <row r="633" spans="1:12">
      <c r="A633" s="2837"/>
      <c r="B633" s="302" t="str">
        <f>дома!A1637</f>
        <v>Перемычка дверная, 1-ый эт. Вариант 5</v>
      </c>
      <c r="C633" s="2890" t="str">
        <f>дома!B1637</f>
        <v>м.п.</v>
      </c>
      <c r="D633" s="302">
        <f>дома!C1637</f>
        <v>0</v>
      </c>
      <c r="E633" s="302">
        <f>дома!I1637</f>
        <v>1000</v>
      </c>
      <c r="F633" s="302"/>
      <c r="G633" s="275">
        <f t="shared" si="117"/>
        <v>0</v>
      </c>
      <c r="H633" s="96">
        <f t="shared" si="118"/>
        <v>0</v>
      </c>
      <c r="I633" s="2911">
        <f t="shared" si="119"/>
        <v>0</v>
      </c>
      <c r="J633" s="2863"/>
      <c r="K633" s="223">
        <f t="shared" si="120"/>
        <v>0</v>
      </c>
      <c r="L633" s="2854"/>
    </row>
    <row r="634" spans="1:12">
      <c r="A634" s="2837"/>
      <c r="B634" s="302" t="str">
        <f>дома!A1638</f>
        <v>Перемычка дверная, 1-ый эт. Вариант 6</v>
      </c>
      <c r="C634" s="2890" t="str">
        <f>дома!B1638</f>
        <v>м.п.</v>
      </c>
      <c r="D634" s="302">
        <f>дома!C1638</f>
        <v>0</v>
      </c>
      <c r="E634" s="302">
        <f>дома!I1638</f>
        <v>1000</v>
      </c>
      <c r="F634" s="302"/>
      <c r="G634" s="275">
        <f t="shared" si="117"/>
        <v>0</v>
      </c>
      <c r="H634" s="96">
        <f t="shared" si="118"/>
        <v>0</v>
      </c>
      <c r="I634" s="2911">
        <f t="shared" si="119"/>
        <v>0</v>
      </c>
      <c r="J634" s="2863"/>
      <c r="K634" s="223">
        <f t="shared" si="120"/>
        <v>0</v>
      </c>
      <c r="L634" s="2854"/>
    </row>
    <row r="635" spans="1:12">
      <c r="A635" s="2837"/>
      <c r="B635" s="302" t="str">
        <f>дома!A1639</f>
        <v>Перемычка дверная, 2-ый эт. Вариант 7</v>
      </c>
      <c r="C635" s="2890" t="str">
        <f>дома!B1639</f>
        <v>м.п.</v>
      </c>
      <c r="D635" s="302">
        <f>дома!C1639</f>
        <v>0</v>
      </c>
      <c r="E635" s="302">
        <f>дома!I1639</f>
        <v>1000</v>
      </c>
      <c r="F635" s="302"/>
      <c r="G635" s="275">
        <f t="shared" si="117"/>
        <v>0</v>
      </c>
      <c r="H635" s="96">
        <f t="shared" si="118"/>
        <v>0</v>
      </c>
      <c r="I635" s="2911">
        <f t="shared" si="119"/>
        <v>0</v>
      </c>
      <c r="J635" s="2863"/>
      <c r="K635" s="223">
        <f t="shared" si="120"/>
        <v>0</v>
      </c>
      <c r="L635" s="2854"/>
    </row>
    <row r="636" spans="1:12">
      <c r="A636" s="2837"/>
      <c r="B636" s="302" t="str">
        <f>дома!A1640</f>
        <v>Перемычка дверная, 2-ый эт. Вариант 8</v>
      </c>
      <c r="C636" s="2890" t="str">
        <f>дома!B1640</f>
        <v>м.п.</v>
      </c>
      <c r="D636" s="302">
        <f>дома!C1640</f>
        <v>0</v>
      </c>
      <c r="E636" s="302">
        <f>дома!I1640</f>
        <v>1000</v>
      </c>
      <c r="F636" s="302"/>
      <c r="G636" s="275">
        <f t="shared" si="117"/>
        <v>0</v>
      </c>
      <c r="H636" s="96">
        <f t="shared" si="118"/>
        <v>0</v>
      </c>
      <c r="I636" s="2911">
        <f t="shared" si="119"/>
        <v>0</v>
      </c>
      <c r="J636" s="2863"/>
      <c r="K636" s="223">
        <f t="shared" si="120"/>
        <v>0</v>
      </c>
      <c r="L636" s="2854"/>
    </row>
    <row r="637" spans="1:12">
      <c r="A637" s="2837"/>
      <c r="B637" s="302" t="str">
        <f>дома!A1641</f>
        <v>Перемычка дверная, 2-ый эт. Вариант 9</v>
      </c>
      <c r="C637" s="2890" t="str">
        <f>дома!B1641</f>
        <v>м.п.</v>
      </c>
      <c r="D637" s="302">
        <f>дома!C1641</f>
        <v>0</v>
      </c>
      <c r="E637" s="302">
        <f>дома!I1641</f>
        <v>1000</v>
      </c>
      <c r="F637" s="302"/>
      <c r="G637" s="275">
        <f t="shared" si="117"/>
        <v>0</v>
      </c>
      <c r="H637" s="96">
        <f t="shared" si="118"/>
        <v>0</v>
      </c>
      <c r="I637" s="2911">
        <f t="shared" si="119"/>
        <v>0</v>
      </c>
      <c r="J637" s="2863"/>
      <c r="K637" s="223">
        <f t="shared" si="120"/>
        <v>0</v>
      </c>
      <c r="L637" s="2854"/>
    </row>
    <row r="638" spans="1:12">
      <c r="A638" s="2837"/>
      <c r="B638" s="302" t="str">
        <f>дома!A1642</f>
        <v>Перемычка проема, 1-ый эт. Вариант 10</v>
      </c>
      <c r="C638" s="2890" t="str">
        <f>дома!B1642</f>
        <v>м.п.</v>
      </c>
      <c r="D638" s="302">
        <f>дома!C1642</f>
        <v>0</v>
      </c>
      <c r="E638" s="302">
        <f>дома!I1642</f>
        <v>1000</v>
      </c>
      <c r="F638" s="302"/>
      <c r="G638" s="275">
        <f t="shared" si="117"/>
        <v>0</v>
      </c>
      <c r="H638" s="96">
        <f t="shared" si="118"/>
        <v>0</v>
      </c>
      <c r="I638" s="2911">
        <f t="shared" si="119"/>
        <v>0</v>
      </c>
      <c r="J638" s="2863"/>
      <c r="K638" s="223">
        <f t="shared" si="120"/>
        <v>0</v>
      </c>
      <c r="L638" s="2854"/>
    </row>
    <row r="639" spans="1:12">
      <c r="A639" s="2837"/>
      <c r="B639" s="302" t="str">
        <f>дома!A1643</f>
        <v>Перемычка проема, 1-ый эт. Вариант 11</v>
      </c>
      <c r="C639" s="2890" t="str">
        <f>дома!B1643</f>
        <v>м.п.</v>
      </c>
      <c r="D639" s="302">
        <f>дома!C1643</f>
        <v>0</v>
      </c>
      <c r="E639" s="302">
        <f>дома!I1643</f>
        <v>1000</v>
      </c>
      <c r="F639" s="302"/>
      <c r="G639" s="275">
        <f t="shared" si="117"/>
        <v>0</v>
      </c>
      <c r="H639" s="96">
        <f t="shared" si="118"/>
        <v>0</v>
      </c>
      <c r="I639" s="2911">
        <f t="shared" si="119"/>
        <v>0</v>
      </c>
      <c r="J639" s="2863"/>
      <c r="K639" s="223">
        <f t="shared" si="120"/>
        <v>0</v>
      </c>
      <c r="L639" s="2854"/>
    </row>
    <row r="640" spans="1:12">
      <c r="A640" s="2837"/>
      <c r="B640" s="302" t="str">
        <f>дома!A1644</f>
        <v>Перемычка проема, 2-ый эт. Вариант 12</v>
      </c>
      <c r="C640" s="2890" t="str">
        <f>дома!B1644</f>
        <v>м.п.</v>
      </c>
      <c r="D640" s="302">
        <f>дома!C1644</f>
        <v>0</v>
      </c>
      <c r="E640" s="302">
        <f>дома!I1644</f>
        <v>1000</v>
      </c>
      <c r="F640" s="302"/>
      <c r="G640" s="275">
        <f t="shared" si="117"/>
        <v>0</v>
      </c>
      <c r="H640" s="96">
        <f t="shared" si="118"/>
        <v>0</v>
      </c>
      <c r="I640" s="2911">
        <f t="shared" si="119"/>
        <v>0</v>
      </c>
      <c r="J640" s="2863"/>
      <c r="K640" s="223">
        <f t="shared" si="120"/>
        <v>0</v>
      </c>
      <c r="L640" s="2854"/>
    </row>
    <row r="641" spans="1:13">
      <c r="A641" s="2837"/>
      <c r="B641" s="302" t="str">
        <f>дома!A1645</f>
        <v>Перемычка проема, 2-ый эт. Вариант 13</v>
      </c>
      <c r="C641" s="2890" t="str">
        <f>дома!B1645</f>
        <v>м.п.</v>
      </c>
      <c r="D641" s="302">
        <f>дома!C1645</f>
        <v>0</v>
      </c>
      <c r="E641" s="302">
        <f>дома!I1645</f>
        <v>1000</v>
      </c>
      <c r="F641" s="302"/>
      <c r="G641" s="275">
        <f t="shared" si="117"/>
        <v>0</v>
      </c>
      <c r="H641" s="96">
        <f t="shared" si="118"/>
        <v>0</v>
      </c>
      <c r="I641" s="2911">
        <f t="shared" si="119"/>
        <v>0</v>
      </c>
      <c r="J641" s="2863"/>
      <c r="K641" s="223">
        <f t="shared" si="120"/>
        <v>0</v>
      </c>
      <c r="L641" s="2854"/>
    </row>
    <row r="642" spans="1:13">
      <c r="A642" s="2837"/>
      <c r="B642" s="302" t="str">
        <f>дома!A1646</f>
        <v>Перемычка дверная, 1-ый эт. Вариант 1</v>
      </c>
      <c r="C642" s="2890" t="str">
        <f>дома!B1646</f>
        <v>м.п.</v>
      </c>
      <c r="D642" s="302">
        <f>дома!C1646</f>
        <v>0</v>
      </c>
      <c r="E642" s="302">
        <f>дома!I1646</f>
        <v>1000</v>
      </c>
      <c r="F642" s="302"/>
      <c r="G642" s="275">
        <f t="shared" si="117"/>
        <v>0</v>
      </c>
      <c r="H642" s="96">
        <f t="shared" si="118"/>
        <v>0</v>
      </c>
      <c r="I642" s="2911">
        <f t="shared" si="119"/>
        <v>0</v>
      </c>
      <c r="J642" s="2863"/>
      <c r="K642" s="223">
        <f t="shared" si="120"/>
        <v>0</v>
      </c>
      <c r="L642" s="2854"/>
    </row>
    <row r="643" spans="1:13">
      <c r="A643" s="2837"/>
      <c r="B643" s="302" t="str">
        <f>дома!A1647</f>
        <v>Перемычка дверная, 1-ый эт. Вариант 2</v>
      </c>
      <c r="C643" s="2890" t="str">
        <f>дома!B1647</f>
        <v>м.п.</v>
      </c>
      <c r="D643" s="302">
        <f>дома!C1647</f>
        <v>0</v>
      </c>
      <c r="E643" s="302">
        <f>дома!I1647</f>
        <v>1000</v>
      </c>
      <c r="F643" s="302"/>
      <c r="G643" s="275">
        <f t="shared" si="117"/>
        <v>0</v>
      </c>
      <c r="H643" s="96">
        <f t="shared" si="118"/>
        <v>0</v>
      </c>
      <c r="I643" s="2911">
        <f t="shared" si="119"/>
        <v>0</v>
      </c>
      <c r="J643" s="2863"/>
      <c r="K643" s="223">
        <f t="shared" si="120"/>
        <v>0</v>
      </c>
      <c r="L643" s="2854"/>
    </row>
    <row r="644" spans="1:13">
      <c r="A644" s="2837"/>
      <c r="B644" s="302" t="str">
        <f>дома!A1648</f>
        <v>Перемычка дверная, 1-ый эт. Вариант 3</v>
      </c>
      <c r="C644" s="2890" t="str">
        <f>дома!B1648</f>
        <v>м.п.</v>
      </c>
      <c r="D644" s="302">
        <f>дома!C1648</f>
        <v>0</v>
      </c>
      <c r="E644" s="302">
        <f>дома!I1648</f>
        <v>1000</v>
      </c>
      <c r="F644" s="302"/>
      <c r="G644" s="275">
        <f t="shared" si="117"/>
        <v>0</v>
      </c>
      <c r="H644" s="96">
        <f t="shared" si="118"/>
        <v>0</v>
      </c>
      <c r="I644" s="2911">
        <f t="shared" si="119"/>
        <v>0</v>
      </c>
      <c r="J644" s="2863"/>
      <c r="K644" s="223">
        <f t="shared" si="120"/>
        <v>0</v>
      </c>
      <c r="L644" s="2854"/>
    </row>
    <row r="645" spans="1:13">
      <c r="A645" s="2837"/>
      <c r="B645" s="302" t="str">
        <f>дома!A1649</f>
        <v>Сосна влаж,200*40мм</v>
      </c>
      <c r="C645" s="2890" t="str">
        <f>дома!B1649</f>
        <v>м3</v>
      </c>
      <c r="D645" s="302">
        <f>дома!C1649</f>
        <v>0.83200000000000007</v>
      </c>
      <c r="E645" s="302">
        <f>дома!I1649</f>
        <v>6500</v>
      </c>
      <c r="F645" s="302"/>
      <c r="G645" s="275">
        <f t="shared" si="117"/>
        <v>5408.0000000000009</v>
      </c>
      <c r="H645" s="96">
        <f t="shared" si="118"/>
        <v>0</v>
      </c>
      <c r="I645" s="2911">
        <f t="shared" si="119"/>
        <v>0</v>
      </c>
      <c r="J645" s="2863"/>
      <c r="K645" s="223">
        <f t="shared" si="120"/>
        <v>0.83200000000000007</v>
      </c>
      <c r="L645" s="2854"/>
    </row>
    <row r="646" spans="1:13">
      <c r="A646" s="2837"/>
      <c r="B646" s="302" t="str">
        <f>дома!A1650</f>
        <v>Сейсмопояс Арматура М10 4 нити</v>
      </c>
      <c r="C646" s="2890" t="str">
        <f>дома!B1650</f>
        <v>м.п.</v>
      </c>
      <c r="D646" s="302">
        <f>дома!C1650</f>
        <v>176</v>
      </c>
      <c r="E646" s="302">
        <f>дома!I1650</f>
        <v>21.0397</v>
      </c>
      <c r="F646" s="302"/>
      <c r="G646" s="275">
        <f t="shared" si="117"/>
        <v>3702.9872</v>
      </c>
      <c r="H646" s="96">
        <f t="shared" si="118"/>
        <v>0</v>
      </c>
      <c r="I646" s="2911">
        <f t="shared" si="119"/>
        <v>0</v>
      </c>
      <c r="J646" s="2863"/>
      <c r="K646" s="223">
        <f t="shared" si="120"/>
        <v>176</v>
      </c>
      <c r="L646" s="2854"/>
    </row>
    <row r="647" spans="1:13">
      <c r="A647" s="2837"/>
      <c r="B647" s="302" t="str">
        <f>дома!A1651</f>
        <v>Хомут для сейсмопояса Арматура М6, шаг 400мм</v>
      </c>
      <c r="C647" s="2890" t="str">
        <f>дома!B1651</f>
        <v>м.п.</v>
      </c>
      <c r="D647" s="302">
        <f>дома!C1651</f>
        <v>90</v>
      </c>
      <c r="E647" s="302">
        <f>дома!I1651</f>
        <v>0</v>
      </c>
      <c r="F647" s="302"/>
      <c r="G647" s="275">
        <f t="shared" si="117"/>
        <v>0</v>
      </c>
      <c r="H647" s="96">
        <f t="shared" si="118"/>
        <v>0</v>
      </c>
      <c r="I647" s="2911">
        <f t="shared" si="119"/>
        <v>0</v>
      </c>
      <c r="J647" s="2863"/>
      <c r="K647" s="223">
        <f t="shared" si="120"/>
        <v>90</v>
      </c>
      <c r="L647" s="2854"/>
    </row>
    <row r="648" spans="1:13">
      <c r="A648" s="2837"/>
      <c r="B648" s="302" t="str">
        <f>дома!A1652</f>
        <v>Бетон, м300</v>
      </c>
      <c r="C648" s="2890" t="str">
        <f>дома!B1652</f>
        <v>м3</v>
      </c>
      <c r="D648" s="302">
        <f>дома!C1652</f>
        <v>1.6380000000000001</v>
      </c>
      <c r="E648" s="302">
        <f>дома!I1652</f>
        <v>3000</v>
      </c>
      <c r="F648" s="302"/>
      <c r="G648" s="275">
        <f t="shared" si="117"/>
        <v>4914</v>
      </c>
      <c r="H648" s="96">
        <f t="shared" si="118"/>
        <v>0</v>
      </c>
      <c r="I648" s="2911">
        <f t="shared" si="119"/>
        <v>0</v>
      </c>
      <c r="J648" s="2863"/>
      <c r="K648" s="223">
        <f t="shared" si="120"/>
        <v>1.6380000000000001</v>
      </c>
      <c r="L648" s="2854"/>
    </row>
    <row r="649" spans="1:13">
      <c r="A649" s="2837"/>
      <c r="B649" s="302" t="str">
        <f>дома!A1655</f>
        <v>Нет</v>
      </c>
      <c r="C649" s="2890" t="str">
        <f>дома!B1655</f>
        <v>м3</v>
      </c>
      <c r="D649" s="302">
        <f>дома!C1655</f>
        <v>0</v>
      </c>
      <c r="E649" s="302">
        <f>дома!I1655</f>
        <v>0</v>
      </c>
      <c r="F649" s="302"/>
      <c r="G649" s="275">
        <f t="shared" si="117"/>
        <v>0</v>
      </c>
      <c r="H649" s="96">
        <f t="shared" si="118"/>
        <v>0</v>
      </c>
      <c r="I649" s="2911">
        <f t="shared" si="119"/>
        <v>0</v>
      </c>
      <c r="J649" s="2863"/>
      <c r="K649" s="223">
        <f t="shared" si="120"/>
        <v>0</v>
      </c>
      <c r="L649" s="2854"/>
    </row>
    <row r="650" spans="1:13">
      <c r="A650" s="2837"/>
      <c r="B650" s="302" t="str">
        <f>дома!A1656</f>
        <v>Грибок для крепления утеплителя</v>
      </c>
      <c r="C650" s="2890" t="str">
        <f>дома!B1656</f>
        <v>шт</v>
      </c>
      <c r="D650" s="302">
        <f>дома!C1656</f>
        <v>0</v>
      </c>
      <c r="E650" s="302">
        <f>дома!I1656</f>
        <v>15</v>
      </c>
      <c r="F650" s="302"/>
      <c r="G650" s="275">
        <f t="shared" si="117"/>
        <v>0</v>
      </c>
      <c r="H650" s="96">
        <f t="shared" si="118"/>
        <v>0</v>
      </c>
      <c r="I650" s="2911">
        <f t="shared" si="119"/>
        <v>0</v>
      </c>
      <c r="J650" s="2863"/>
      <c r="K650" s="223">
        <f t="shared" si="120"/>
        <v>0</v>
      </c>
      <c r="L650" s="2854"/>
    </row>
    <row r="651" spans="1:13">
      <c r="A651" s="2837"/>
      <c r="B651" s="302" t="str">
        <f>дома!A1657</f>
        <v>нет ветроизоляции</v>
      </c>
      <c r="C651" s="2890" t="str">
        <f>дома!B1657</f>
        <v>м2</v>
      </c>
      <c r="D651" s="302">
        <f>дома!C1657</f>
        <v>0</v>
      </c>
      <c r="E651" s="302">
        <f>дома!I1657</f>
        <v>0</v>
      </c>
      <c r="F651" s="302"/>
      <c r="G651" s="275">
        <f t="shared" si="117"/>
        <v>0</v>
      </c>
      <c r="H651" s="96">
        <f t="shared" si="118"/>
        <v>0</v>
      </c>
      <c r="I651" s="2911">
        <f t="shared" si="119"/>
        <v>0</v>
      </c>
      <c r="J651" s="2863"/>
      <c r="K651" s="223">
        <f t="shared" si="120"/>
        <v>0</v>
      </c>
      <c r="L651" s="2854"/>
    </row>
    <row r="652" spans="1:13">
      <c r="A652" s="2837"/>
      <c r="B652" s="3278" t="s">
        <v>4640</v>
      </c>
      <c r="C652" s="3278"/>
      <c r="D652" s="3278"/>
      <c r="E652" s="3278"/>
      <c r="F652" s="2868"/>
      <c r="G652" s="96">
        <f>SUM(G608:G651)*H606</f>
        <v>0</v>
      </c>
      <c r="H652" s="96">
        <f>SUM(H608:H651)</f>
        <v>0</v>
      </c>
      <c r="I652" s="2911">
        <f t="shared" si="119"/>
        <v>0</v>
      </c>
      <c r="J652" s="2863"/>
      <c r="K652" s="223">
        <f t="shared" si="120"/>
        <v>0</v>
      </c>
      <c r="L652" s="2854"/>
    </row>
    <row r="653" spans="1:13">
      <c r="A653" s="2837"/>
      <c r="B653" s="3279" t="s">
        <v>1409</v>
      </c>
      <c r="C653" s="3279"/>
      <c r="D653" s="3279"/>
      <c r="E653" s="3279"/>
      <c r="F653" s="2870"/>
      <c r="G653" s="941"/>
      <c r="H653" s="2891">
        <f>H606</f>
        <v>0</v>
      </c>
      <c r="I653" s="2879">
        <f>H653</f>
        <v>0</v>
      </c>
      <c r="L653" s="910"/>
      <c r="M653" s="910"/>
    </row>
    <row r="654" spans="1:13">
      <c r="A654" s="2829"/>
      <c r="B654" s="2763" t="str">
        <f>дома!L1612</f>
        <v>кладка пенобетона несущие стены</v>
      </c>
      <c r="C654" s="2890" t="s">
        <v>135</v>
      </c>
      <c r="D654" s="302">
        <f>дома!O1612</f>
        <v>0</v>
      </c>
      <c r="E654" s="100">
        <f>дома!P1612</f>
        <v>3500</v>
      </c>
      <c r="F654" s="100"/>
      <c r="G654" s="275">
        <f t="shared" ref="G654:G664" si="121">IF(F654&gt;0,D654*F654,E654*D654)</f>
        <v>0</v>
      </c>
      <c r="H654" s="2315">
        <f t="shared" ref="H654:H664" si="122">D654*E654*$H$653</f>
        <v>0</v>
      </c>
      <c r="I654" s="2836">
        <f t="shared" ref="I654:I665" si="123">IF(G654&gt;H654,G654,H654)*$H$606</f>
        <v>0</v>
      </c>
      <c r="L654" s="910"/>
      <c r="M654" s="910"/>
    </row>
    <row r="655" spans="1:13">
      <c r="A655" s="2837"/>
      <c r="B655" s="2763" t="str">
        <f>дома!L1613</f>
        <v>кладка пенобетона несущие перегородки</v>
      </c>
      <c r="C655" s="18" t="s">
        <v>135</v>
      </c>
      <c r="D655" s="302">
        <f>дома!O1613</f>
        <v>0</v>
      </c>
      <c r="E655" s="100">
        <f>дома!P1613</f>
        <v>3500</v>
      </c>
      <c r="F655" s="100"/>
      <c r="G655" s="275">
        <f t="shared" si="121"/>
        <v>0</v>
      </c>
      <c r="H655" s="2315">
        <f t="shared" si="122"/>
        <v>0</v>
      </c>
      <c r="I655" s="2836">
        <f t="shared" si="123"/>
        <v>0</v>
      </c>
      <c r="L655" s="910"/>
      <c r="M655" s="910"/>
    </row>
    <row r="656" spans="1:13">
      <c r="A656" s="2837"/>
      <c r="B656" s="2763" t="str">
        <f>дома!L1614</f>
        <v>кладка пенобетона перегородки</v>
      </c>
      <c r="C656" s="2890" t="s">
        <v>133</v>
      </c>
      <c r="D656" s="302">
        <f>дома!O1614</f>
        <v>0</v>
      </c>
      <c r="E656" s="100">
        <f>дома!P1614</f>
        <v>450</v>
      </c>
      <c r="F656" s="100"/>
      <c r="G656" s="275">
        <f t="shared" si="121"/>
        <v>0</v>
      </c>
      <c r="H656" s="2315">
        <f t="shared" si="122"/>
        <v>0</v>
      </c>
      <c r="I656" s="2836">
        <f t="shared" si="123"/>
        <v>0</v>
      </c>
      <c r="L656" s="910"/>
      <c r="M656" s="910"/>
    </row>
    <row r="657" spans="1:33">
      <c r="A657" s="2837"/>
      <c r="B657" s="2763" t="str">
        <f>дома!L1615</f>
        <v>изготовление и монтаж перемычек для окон и дверей</v>
      </c>
      <c r="C657" s="2890" t="s">
        <v>156</v>
      </c>
      <c r="D657" s="302">
        <f>дома!O1615</f>
        <v>2.5199999999999996</v>
      </c>
      <c r="E657" s="100">
        <f>дома!P1615</f>
        <v>500</v>
      </c>
      <c r="F657" s="100"/>
      <c r="G657" s="275">
        <f t="shared" si="121"/>
        <v>1259.9999999999998</v>
      </c>
      <c r="H657" s="2315">
        <f t="shared" si="122"/>
        <v>0</v>
      </c>
      <c r="I657" s="2836">
        <f t="shared" si="123"/>
        <v>0</v>
      </c>
      <c r="L657" s="910"/>
      <c r="M657" s="910"/>
    </row>
    <row r="658" spans="1:33">
      <c r="A658" s="2837"/>
      <c r="B658" s="2763" t="str">
        <f>дома!L1616</f>
        <v>Замешивание раствора</v>
      </c>
      <c r="C658" s="2890" t="s">
        <v>135</v>
      </c>
      <c r="D658" s="302">
        <f>дома!O1616</f>
        <v>0</v>
      </c>
      <c r="E658" s="100">
        <f>дома!P1616</f>
        <v>1500</v>
      </c>
      <c r="F658" s="100"/>
      <c r="G658" s="275">
        <f t="shared" si="121"/>
        <v>0</v>
      </c>
      <c r="H658" s="2315">
        <f t="shared" si="122"/>
        <v>0</v>
      </c>
      <c r="I658" s="2836">
        <f t="shared" si="123"/>
        <v>0</v>
      </c>
      <c r="L658" s="910"/>
      <c r="M658" s="910"/>
    </row>
    <row r="659" spans="1:33">
      <c r="A659" s="2837"/>
      <c r="B659" s="2763" t="str">
        <f>дома!L1617</f>
        <v>Армирование стен наружних и перегородок</v>
      </c>
      <c r="C659" s="2890" t="s">
        <v>156</v>
      </c>
      <c r="D659" s="302">
        <f>дома!O1617</f>
        <v>240</v>
      </c>
      <c r="E659" s="100">
        <f>дома!P1617</f>
        <v>70</v>
      </c>
      <c r="F659" s="100"/>
      <c r="G659" s="275">
        <f t="shared" si="121"/>
        <v>16800</v>
      </c>
      <c r="H659" s="2315">
        <f t="shared" si="122"/>
        <v>0</v>
      </c>
      <c r="I659" s="2836">
        <f t="shared" si="123"/>
        <v>0</v>
      </c>
      <c r="L659" s="910"/>
      <c r="M659" s="910"/>
    </row>
    <row r="660" spans="1:33">
      <c r="A660" s="2837"/>
      <c r="B660" s="2763" t="str">
        <f>дома!L1618</f>
        <v>Установка опалубки для сейсмопояса</v>
      </c>
      <c r="C660" s="2890" t="s">
        <v>156</v>
      </c>
      <c r="D660" s="302">
        <f>дома!O1618</f>
        <v>40</v>
      </c>
      <c r="E660" s="100">
        <f>дома!P1618</f>
        <v>300</v>
      </c>
      <c r="F660" s="100"/>
      <c r="G660" s="275">
        <f t="shared" si="121"/>
        <v>12000</v>
      </c>
      <c r="H660" s="2315">
        <f t="shared" si="122"/>
        <v>0</v>
      </c>
      <c r="I660" s="2836">
        <f t="shared" si="123"/>
        <v>0</v>
      </c>
      <c r="L660" s="910"/>
      <c r="M660" s="910"/>
    </row>
    <row r="661" spans="1:33">
      <c r="A661" s="2837"/>
      <c r="B661" s="2763" t="str">
        <f>дома!L1619</f>
        <v>Армирование сейсмопояса</v>
      </c>
      <c r="C661" s="2890" t="s">
        <v>156</v>
      </c>
      <c r="D661" s="302">
        <f>дома!O1619</f>
        <v>40</v>
      </c>
      <c r="E661" s="100">
        <f>дома!P1619</f>
        <v>500</v>
      </c>
      <c r="F661" s="100"/>
      <c r="G661" s="275">
        <f t="shared" si="121"/>
        <v>20000</v>
      </c>
      <c r="H661" s="2315">
        <f t="shared" si="122"/>
        <v>0</v>
      </c>
      <c r="I661" s="2836">
        <f t="shared" si="123"/>
        <v>0</v>
      </c>
      <c r="J661" s="2829"/>
      <c r="K661" s="2837"/>
    </row>
    <row r="662" spans="1:33">
      <c r="A662" s="2837"/>
      <c r="B662" s="2763" t="str">
        <f>дома!L1620</f>
        <v>Заливка бетоном сейсмопояса</v>
      </c>
      <c r="C662" s="2890" t="s">
        <v>156</v>
      </c>
      <c r="D662" s="302">
        <f>дома!O1620</f>
        <v>40</v>
      </c>
      <c r="E662" s="100">
        <f>дома!P1620</f>
        <v>700</v>
      </c>
      <c r="F662" s="100"/>
      <c r="G662" s="275">
        <f t="shared" si="121"/>
        <v>28000</v>
      </c>
      <c r="H662" s="2315">
        <f t="shared" si="122"/>
        <v>0</v>
      </c>
      <c r="I662" s="2836">
        <f t="shared" si="123"/>
        <v>0</v>
      </c>
      <c r="J662" s="2829"/>
      <c r="K662" s="2837"/>
    </row>
    <row r="663" spans="1:33">
      <c r="A663" s="2837"/>
      <c r="B663" s="2763" t="str">
        <f>дома!L1621</f>
        <v>утепление стен снаружи дома</v>
      </c>
      <c r="C663" s="2890" t="s">
        <v>133</v>
      </c>
      <c r="D663" s="302">
        <f>дома!O1621</f>
        <v>0</v>
      </c>
      <c r="E663" s="100">
        <f>дома!P1621</f>
        <v>350</v>
      </c>
      <c r="F663" s="100"/>
      <c r="G663" s="275">
        <f t="shared" si="121"/>
        <v>0</v>
      </c>
      <c r="H663" s="2315">
        <f t="shared" si="122"/>
        <v>0</v>
      </c>
      <c r="I663" s="2836">
        <f t="shared" si="123"/>
        <v>0</v>
      </c>
      <c r="J663" s="2829"/>
      <c r="K663" s="2837"/>
    </row>
    <row r="664" spans="1:33">
      <c r="A664" s="2837"/>
      <c r="B664" s="2763" t="str">
        <f>дома!L1622</f>
        <v>монтаж ветроизоляции стен</v>
      </c>
      <c r="C664" s="2890" t="s">
        <v>133</v>
      </c>
      <c r="D664" s="302">
        <f>дома!O1622</f>
        <v>0</v>
      </c>
      <c r="E664" s="100">
        <f>дома!P1622</f>
        <v>100</v>
      </c>
      <c r="F664" s="100"/>
      <c r="G664" s="275">
        <f t="shared" si="121"/>
        <v>0</v>
      </c>
      <c r="H664" s="2315">
        <f t="shared" si="122"/>
        <v>0</v>
      </c>
      <c r="I664" s="2836">
        <f t="shared" si="123"/>
        <v>0</v>
      </c>
      <c r="J664" s="2829"/>
      <c r="K664" s="2837"/>
    </row>
    <row r="665" spans="1:33">
      <c r="A665" s="2851"/>
      <c r="B665" s="3278" t="s">
        <v>4641</v>
      </c>
      <c r="C665" s="3278"/>
      <c r="D665" s="3278"/>
      <c r="E665" s="3278"/>
      <c r="F665" s="2868"/>
      <c r="G665" s="2315">
        <f>SUM(G654:G664)*H653</f>
        <v>0</v>
      </c>
      <c r="H665" s="2315">
        <f>SUM(H654:H664)</f>
        <v>0</v>
      </c>
      <c r="I665" s="2836">
        <f t="shared" si="123"/>
        <v>0</v>
      </c>
      <c r="J665" s="2850"/>
      <c r="K665" s="2851"/>
      <c r="L665" s="2850"/>
      <c r="M665" s="2850"/>
      <c r="N665" s="2850"/>
      <c r="O665" s="2850"/>
      <c r="P665" s="2850"/>
      <c r="Q665" s="2850"/>
      <c r="R665" s="2850"/>
      <c r="S665" s="2850"/>
      <c r="T665" s="2850"/>
      <c r="U665" s="2850"/>
      <c r="V665" s="2850"/>
      <c r="W665" s="2850"/>
      <c r="X665" s="2850"/>
      <c r="Y665" s="2850"/>
      <c r="Z665" s="2850"/>
      <c r="AA665" s="2850"/>
      <c r="AB665" s="2850"/>
      <c r="AC665" s="2850"/>
      <c r="AD665" s="2850"/>
      <c r="AE665" s="2850"/>
      <c r="AF665" s="2850"/>
      <c r="AG665" s="2850"/>
    </row>
    <row r="666" spans="1:33" s="2829" customFormat="1" ht="21">
      <c r="B666" s="3289" t="s">
        <v>1751</v>
      </c>
      <c r="C666" s="3289"/>
      <c r="D666" s="3289"/>
      <c r="E666" s="3289"/>
      <c r="F666" s="2933"/>
      <c r="G666" s="941"/>
      <c r="H666" s="2934">
        <f>IF('Ввод данных'!$A$8=связи1!A155,1,0)+IF('Ввод данных'!$A$8=связи1!A162,1,0)+IF('Ввод данных'!$A$8=связи1!A163,1,0)+IF('Ввод данных'!$A$8=связи1!A164,1,0)+IF('Ввод данных'!$A$8=связи1!A165,1,0)+IF('Ввод данных'!$A$8=связи1!A166,1,0)+IF('Ввод данных'!$A$8=связи1!A167,1,0)+IF('Ввод данных'!$A$8=связи1!A168,1,0)+IF('Ввод данных'!$A$8=связи1!A169,1,0)+IF('Ввод данных'!$A$8=связи1!A170,1,0)</f>
        <v>1</v>
      </c>
      <c r="I666" s="2879">
        <f>H666</f>
        <v>1</v>
      </c>
    </row>
    <row r="667" spans="1:33" s="2829" customFormat="1">
      <c r="B667" s="3285" t="s">
        <v>2720</v>
      </c>
      <c r="C667" s="3285"/>
      <c r="D667" s="3285"/>
      <c r="E667" s="3285"/>
      <c r="F667" s="2902"/>
      <c r="G667" s="941"/>
      <c r="H667" s="2903">
        <f>H666</f>
        <v>1</v>
      </c>
      <c r="I667" s="2879">
        <f>H667</f>
        <v>1</v>
      </c>
      <c r="J667" s="2850"/>
      <c r="K667" s="2850"/>
    </row>
    <row r="668" spans="1:33" s="2829" customFormat="1">
      <c r="A668" s="2837"/>
      <c r="B668" s="2898" t="str">
        <f>дома!A1697</f>
        <v>Керамоблок 510х250х219 мм -    14,3 НФ</v>
      </c>
      <c r="C668" s="236" t="str">
        <f>дома!B1697</f>
        <v>м3</v>
      </c>
      <c r="D668" s="2899">
        <f>дома!C1697</f>
        <v>41.751600000000003</v>
      </c>
      <c r="E668" s="35">
        <f>дома!I1697</f>
        <v>10000</v>
      </c>
      <c r="F668" s="35"/>
      <c r="G668" s="275">
        <f t="shared" ref="G668:G707" si="124">IF(F668&gt;0,D668*F668,E668*D668)</f>
        <v>417516.00000000006</v>
      </c>
      <c r="H668" s="35">
        <f t="shared" ref="H668:H707" si="125">D668*E668*$H$666</f>
        <v>417516.00000000006</v>
      </c>
      <c r="I668" s="2911">
        <f t="shared" ref="I668:I708" si="126">IF(G668&gt;H668,G668,H668)*$H$666</f>
        <v>417516.00000000006</v>
      </c>
      <c r="J668" s="2863"/>
      <c r="K668" s="223">
        <f t="shared" ref="K668:K708" si="127">D668-J668</f>
        <v>41.751600000000003</v>
      </c>
      <c r="L668" s="2854"/>
    </row>
    <row r="669" spans="1:33" s="2829" customFormat="1">
      <c r="A669" s="2837"/>
      <c r="B669" s="2898" t="str">
        <f>дома!A1698</f>
        <v>Керамоблок 510х250х219 мм -    14,3 НФ</v>
      </c>
      <c r="C669" s="236" t="str">
        <f>дома!B1698</f>
        <v>м3</v>
      </c>
      <c r="D669" s="2899">
        <f>дома!C1698</f>
        <v>12.672000000000001</v>
      </c>
      <c r="E669" s="35">
        <f>дома!I1698</f>
        <v>10000</v>
      </c>
      <c r="F669" s="35"/>
      <c r="G669" s="275">
        <f t="shared" si="124"/>
        <v>126720</v>
      </c>
      <c r="H669" s="35">
        <f t="shared" si="125"/>
        <v>126720</v>
      </c>
      <c r="I669" s="2911">
        <f t="shared" si="126"/>
        <v>126720</v>
      </c>
      <c r="J669" s="2863"/>
      <c r="K669" s="223">
        <f t="shared" si="127"/>
        <v>12.672000000000001</v>
      </c>
      <c r="L669" s="2854"/>
    </row>
    <row r="670" spans="1:33" s="2829" customFormat="1">
      <c r="A670" s="2837"/>
      <c r="B670" s="2898" t="str">
        <f>дома!A1699</f>
        <v>Керамоблок 510х250х219 мм -    14,3 НФ</v>
      </c>
      <c r="C670" s="236" t="str">
        <f>дома!B1699</f>
        <v>м3</v>
      </c>
      <c r="D670" s="2899">
        <f>дома!C1699</f>
        <v>4.1184000000000003</v>
      </c>
      <c r="E670" s="35">
        <f>дома!I1699</f>
        <v>10000</v>
      </c>
      <c r="F670" s="35"/>
      <c r="G670" s="275">
        <f t="shared" si="124"/>
        <v>41184</v>
      </c>
      <c r="H670" s="35">
        <f t="shared" si="125"/>
        <v>41184</v>
      </c>
      <c r="I670" s="2911">
        <f t="shared" si="126"/>
        <v>41184</v>
      </c>
      <c r="J670" s="2863"/>
      <c r="K670" s="223">
        <f t="shared" si="127"/>
        <v>4.1184000000000003</v>
      </c>
      <c r="L670" s="2854"/>
    </row>
    <row r="671" spans="1:33" s="2829" customFormat="1">
      <c r="A671" s="2837"/>
      <c r="B671" s="2898" t="str">
        <f>дома!A1700</f>
        <v>Перемычка оконная, 1-ый эт. Вариант 1</v>
      </c>
      <c r="C671" s="236" t="str">
        <f>дома!B1700</f>
        <v>м.п.</v>
      </c>
      <c r="D671" s="2899">
        <f>дома!C1700</f>
        <v>1</v>
      </c>
      <c r="E671" s="35">
        <f>дома!I1700</f>
        <v>1000</v>
      </c>
      <c r="F671" s="35"/>
      <c r="G671" s="275">
        <f t="shared" si="124"/>
        <v>1000</v>
      </c>
      <c r="H671" s="35">
        <f t="shared" si="125"/>
        <v>1000</v>
      </c>
      <c r="I671" s="2911">
        <f t="shared" si="126"/>
        <v>1000</v>
      </c>
      <c r="J671" s="2863"/>
      <c r="K671" s="223">
        <f t="shared" si="127"/>
        <v>1</v>
      </c>
      <c r="L671" s="2854"/>
    </row>
    <row r="672" spans="1:33" s="2829" customFormat="1">
      <c r="A672" s="2837"/>
      <c r="B672" s="2898" t="str">
        <f>дома!A1701</f>
        <v>Перемычка оконная, 1-ый эт. Вариант 2</v>
      </c>
      <c r="C672" s="236" t="str">
        <f>дома!B1701</f>
        <v>м.п.</v>
      </c>
      <c r="D672" s="2899">
        <f>дома!C1701</f>
        <v>0</v>
      </c>
      <c r="E672" s="35">
        <f>дома!I1701</f>
        <v>1000</v>
      </c>
      <c r="F672" s="35"/>
      <c r="G672" s="275">
        <f t="shared" si="124"/>
        <v>0</v>
      </c>
      <c r="H672" s="35">
        <f t="shared" si="125"/>
        <v>0</v>
      </c>
      <c r="I672" s="2911">
        <f t="shared" si="126"/>
        <v>0</v>
      </c>
      <c r="J672" s="2863"/>
      <c r="K672" s="223">
        <f t="shared" si="127"/>
        <v>0</v>
      </c>
      <c r="L672" s="2854"/>
    </row>
    <row r="673" spans="1:12" s="2829" customFormat="1">
      <c r="A673" s="2837"/>
      <c r="B673" s="2898" t="str">
        <f>дома!A1702</f>
        <v>Перемычка оконная, 1-ый эт. Вариант 3</v>
      </c>
      <c r="C673" s="236" t="str">
        <f>дома!B1702</f>
        <v>м.п.</v>
      </c>
      <c r="D673" s="2899">
        <f>дома!C1702</f>
        <v>0</v>
      </c>
      <c r="E673" s="35">
        <f>дома!I1702</f>
        <v>1000</v>
      </c>
      <c r="F673" s="35"/>
      <c r="G673" s="275">
        <f t="shared" si="124"/>
        <v>0</v>
      </c>
      <c r="H673" s="35">
        <f t="shared" si="125"/>
        <v>0</v>
      </c>
      <c r="I673" s="2911">
        <f t="shared" si="126"/>
        <v>0</v>
      </c>
      <c r="J673" s="2863"/>
      <c r="K673" s="223">
        <f t="shared" si="127"/>
        <v>0</v>
      </c>
      <c r="L673" s="2854"/>
    </row>
    <row r="674" spans="1:12" s="2829" customFormat="1">
      <c r="A674" s="2837"/>
      <c r="B674" s="2898" t="str">
        <f>дома!A1703</f>
        <v>Перемычка оконная, 1-ый эт. Вариант 4</v>
      </c>
      <c r="C674" s="236" t="str">
        <f>дома!B1703</f>
        <v>м.п.</v>
      </c>
      <c r="D674" s="2899">
        <f>дома!C1703</f>
        <v>0</v>
      </c>
      <c r="E674" s="35">
        <f>дома!I1703</f>
        <v>1000</v>
      </c>
      <c r="F674" s="35"/>
      <c r="G674" s="275">
        <f t="shared" si="124"/>
        <v>0</v>
      </c>
      <c r="H674" s="35">
        <f t="shared" si="125"/>
        <v>0</v>
      </c>
      <c r="I674" s="2911">
        <f t="shared" si="126"/>
        <v>0</v>
      </c>
      <c r="J674" s="2863"/>
      <c r="K674" s="223">
        <f t="shared" si="127"/>
        <v>0</v>
      </c>
      <c r="L674" s="2854"/>
    </row>
    <row r="675" spans="1:12" s="2829" customFormat="1">
      <c r="A675" s="2837"/>
      <c r="B675" s="2898" t="str">
        <f>дома!A1704</f>
        <v>Перемычка оконная, 1-ый эт. Вариант 5</v>
      </c>
      <c r="C675" s="236" t="str">
        <f>дома!B1704</f>
        <v>м.п.</v>
      </c>
      <c r="D675" s="2899">
        <f>дома!C1704</f>
        <v>0</v>
      </c>
      <c r="E675" s="35">
        <f>дома!I1704</f>
        <v>1000</v>
      </c>
      <c r="F675" s="35"/>
      <c r="G675" s="275">
        <f t="shared" si="124"/>
        <v>0</v>
      </c>
      <c r="H675" s="35">
        <f t="shared" si="125"/>
        <v>0</v>
      </c>
      <c r="I675" s="2911">
        <f t="shared" si="126"/>
        <v>0</v>
      </c>
      <c r="J675" s="2863"/>
      <c r="K675" s="223">
        <f t="shared" si="127"/>
        <v>0</v>
      </c>
      <c r="L675" s="2854"/>
    </row>
    <row r="676" spans="1:12" s="2829" customFormat="1">
      <c r="A676" s="2837"/>
      <c r="B676" s="2898" t="str">
        <f>дома!A1705</f>
        <v>Перемычка оконная, 2-ый эт. Вариант 6</v>
      </c>
      <c r="C676" s="236" t="str">
        <f>дома!B1705</f>
        <v>м.п.</v>
      </c>
      <c r="D676" s="2899">
        <f>дома!C1705</f>
        <v>0</v>
      </c>
      <c r="E676" s="35">
        <f>дома!I1705</f>
        <v>1000</v>
      </c>
      <c r="F676" s="35"/>
      <c r="G676" s="275">
        <f t="shared" si="124"/>
        <v>0</v>
      </c>
      <c r="H676" s="35">
        <f t="shared" si="125"/>
        <v>0</v>
      </c>
      <c r="I676" s="2911">
        <f t="shared" si="126"/>
        <v>0</v>
      </c>
      <c r="J676" s="2863"/>
      <c r="K676" s="223">
        <f t="shared" si="127"/>
        <v>0</v>
      </c>
      <c r="L676" s="2854"/>
    </row>
    <row r="677" spans="1:12" s="2829" customFormat="1">
      <c r="A677" s="2837"/>
      <c r="B677" s="2898" t="str">
        <f>дома!A1706</f>
        <v>Перемычка оконная, 2-ый эт. Вариант 7</v>
      </c>
      <c r="C677" s="236" t="str">
        <f>дома!B1706</f>
        <v>м.п.</v>
      </c>
      <c r="D677" s="2899">
        <f>дома!C1706</f>
        <v>0</v>
      </c>
      <c r="E677" s="35">
        <f>дома!I1706</f>
        <v>1000</v>
      </c>
      <c r="F677" s="35"/>
      <c r="G677" s="275">
        <f t="shared" si="124"/>
        <v>0</v>
      </c>
      <c r="H677" s="35">
        <f t="shared" si="125"/>
        <v>0</v>
      </c>
      <c r="I677" s="2911">
        <f t="shared" si="126"/>
        <v>0</v>
      </c>
      <c r="J677" s="2863"/>
      <c r="K677" s="223">
        <f t="shared" si="127"/>
        <v>0</v>
      </c>
      <c r="L677" s="2854"/>
    </row>
    <row r="678" spans="1:12" s="2829" customFormat="1">
      <c r="A678" s="2837"/>
      <c r="B678" s="2898" t="str">
        <f>дома!A1707</f>
        <v>Перемычка оконная, 2-ый эт. Вариант 8</v>
      </c>
      <c r="C678" s="236" t="str">
        <f>дома!B1707</f>
        <v>м.п.</v>
      </c>
      <c r="D678" s="2899">
        <f>дома!C1707</f>
        <v>0</v>
      </c>
      <c r="E678" s="35">
        <f>дома!I1707</f>
        <v>1000</v>
      </c>
      <c r="F678" s="35"/>
      <c r="G678" s="275">
        <f t="shared" si="124"/>
        <v>0</v>
      </c>
      <c r="H678" s="35">
        <f t="shared" si="125"/>
        <v>0</v>
      </c>
      <c r="I678" s="2911">
        <f t="shared" si="126"/>
        <v>0</v>
      </c>
      <c r="J678" s="2863"/>
      <c r="K678" s="223">
        <f t="shared" si="127"/>
        <v>0</v>
      </c>
      <c r="L678" s="2854"/>
    </row>
    <row r="679" spans="1:12" s="2829" customFormat="1">
      <c r="A679" s="2837"/>
      <c r="B679" s="2898" t="str">
        <f>дома!A1708</f>
        <v>Перемычка оконная, 2-ый эт. Вариант 9</v>
      </c>
      <c r="C679" s="236" t="str">
        <f>дома!B1708</f>
        <v>м.п.</v>
      </c>
      <c r="D679" s="2899">
        <f>дома!C1708</f>
        <v>0</v>
      </c>
      <c r="E679" s="35">
        <f>дома!I1708</f>
        <v>1000</v>
      </c>
      <c r="F679" s="35"/>
      <c r="G679" s="275">
        <f t="shared" si="124"/>
        <v>0</v>
      </c>
      <c r="H679" s="35">
        <f t="shared" si="125"/>
        <v>0</v>
      </c>
      <c r="I679" s="2911">
        <f t="shared" si="126"/>
        <v>0</v>
      </c>
      <c r="J679" s="2863"/>
      <c r="K679" s="223">
        <f t="shared" si="127"/>
        <v>0</v>
      </c>
      <c r="L679" s="2854"/>
    </row>
    <row r="680" spans="1:12" s="2829" customFormat="1">
      <c r="A680" s="2837"/>
      <c r="B680" s="2898" t="str">
        <f>дома!A1709</f>
        <v>Перемычка оконная, 2-ый эт. Вариант 10</v>
      </c>
      <c r="C680" s="236" t="str">
        <f>дома!B1709</f>
        <v>м.п.</v>
      </c>
      <c r="D680" s="2899">
        <f>дома!C1709</f>
        <v>0</v>
      </c>
      <c r="E680" s="35">
        <f>дома!I1709</f>
        <v>1000</v>
      </c>
      <c r="F680" s="35"/>
      <c r="G680" s="275">
        <f t="shared" si="124"/>
        <v>0</v>
      </c>
      <c r="H680" s="35">
        <f t="shared" si="125"/>
        <v>0</v>
      </c>
      <c r="I680" s="2911">
        <f t="shared" si="126"/>
        <v>0</v>
      </c>
      <c r="J680" s="2863"/>
      <c r="K680" s="223">
        <f t="shared" si="127"/>
        <v>0</v>
      </c>
      <c r="L680" s="2854"/>
    </row>
    <row r="681" spans="1:12" s="2829" customFormat="1">
      <c r="A681" s="2837"/>
      <c r="B681" s="2898" t="str">
        <f>дома!A1710</f>
        <v>Перемычка дверная, 1-ый эт. Вариант 1</v>
      </c>
      <c r="C681" s="236" t="str">
        <f>дома!B1710</f>
        <v>м.п.</v>
      </c>
      <c r="D681" s="2899">
        <f>дома!C1710</f>
        <v>0</v>
      </c>
      <c r="E681" s="35">
        <f>дома!I1710</f>
        <v>1000</v>
      </c>
      <c r="F681" s="35"/>
      <c r="G681" s="275">
        <f t="shared" si="124"/>
        <v>0</v>
      </c>
      <c r="H681" s="35">
        <f t="shared" si="125"/>
        <v>0</v>
      </c>
      <c r="I681" s="2911">
        <f t="shared" si="126"/>
        <v>0</v>
      </c>
      <c r="J681" s="2863"/>
      <c r="K681" s="223">
        <f t="shared" si="127"/>
        <v>0</v>
      </c>
      <c r="L681" s="2854"/>
    </row>
    <row r="682" spans="1:12" s="2829" customFormat="1">
      <c r="A682" s="2837"/>
      <c r="B682" s="2898" t="str">
        <f>дома!A1711</f>
        <v>Перемычка дверная, 2-ый эт. Вариант 2</v>
      </c>
      <c r="C682" s="236" t="str">
        <f>дома!B1711</f>
        <v>м.п.</v>
      </c>
      <c r="D682" s="2899">
        <f>дома!C1711</f>
        <v>0</v>
      </c>
      <c r="E682" s="35">
        <f>дома!I1711</f>
        <v>1000</v>
      </c>
      <c r="F682" s="35"/>
      <c r="G682" s="275">
        <f t="shared" si="124"/>
        <v>0</v>
      </c>
      <c r="H682" s="35">
        <f t="shared" si="125"/>
        <v>0</v>
      </c>
      <c r="I682" s="2911">
        <f t="shared" si="126"/>
        <v>0</v>
      </c>
      <c r="J682" s="2863"/>
      <c r="K682" s="223">
        <f t="shared" si="127"/>
        <v>0</v>
      </c>
      <c r="L682" s="2854"/>
    </row>
    <row r="683" spans="1:12" s="2829" customFormat="1">
      <c r="A683" s="2837"/>
      <c r="B683" s="2898" t="str">
        <f>дома!A1712</f>
        <v>Перемычка оконная 1-ый эт, Вариант 11</v>
      </c>
      <c r="C683" s="236" t="str">
        <f>дома!B1712</f>
        <v>м.п.</v>
      </c>
      <c r="D683" s="2899">
        <f>дома!C1712</f>
        <v>0</v>
      </c>
      <c r="E683" s="35">
        <f>дома!I1712</f>
        <v>1000</v>
      </c>
      <c r="F683" s="35"/>
      <c r="G683" s="275">
        <f t="shared" si="124"/>
        <v>0</v>
      </c>
      <c r="H683" s="35">
        <f t="shared" si="125"/>
        <v>0</v>
      </c>
      <c r="I683" s="2911">
        <f t="shared" si="126"/>
        <v>0</v>
      </c>
      <c r="J683" s="2863"/>
      <c r="K683" s="223">
        <f t="shared" si="127"/>
        <v>0</v>
      </c>
      <c r="L683" s="2854"/>
    </row>
    <row r="684" spans="1:12" s="2829" customFormat="1">
      <c r="A684" s="2837"/>
      <c r="B684" s="2898" t="str">
        <f>дома!A1713</f>
        <v>Перемычка оконная 1-ый эт, Вариант 12</v>
      </c>
      <c r="C684" s="236" t="str">
        <f>дома!B1713</f>
        <v>м.п.</v>
      </c>
      <c r="D684" s="2899">
        <f>дома!C1713</f>
        <v>0</v>
      </c>
      <c r="E684" s="35">
        <f>дома!I1713</f>
        <v>1000</v>
      </c>
      <c r="F684" s="35"/>
      <c r="G684" s="275">
        <f t="shared" si="124"/>
        <v>0</v>
      </c>
      <c r="H684" s="35">
        <f t="shared" si="125"/>
        <v>0</v>
      </c>
      <c r="I684" s="2911">
        <f t="shared" si="126"/>
        <v>0</v>
      </c>
      <c r="J684" s="2863"/>
      <c r="K684" s="223">
        <f t="shared" si="127"/>
        <v>0</v>
      </c>
      <c r="L684" s="2854"/>
    </row>
    <row r="685" spans="1:12" s="2829" customFormat="1">
      <c r="A685" s="2837"/>
      <c r="B685" s="2898" t="str">
        <f>дома!A1714</f>
        <v>Перемычка дверная, 1-ый эт. Вариант 4</v>
      </c>
      <c r="C685" s="236" t="str">
        <f>дома!B1714</f>
        <v>м.п.</v>
      </c>
      <c r="D685" s="2899">
        <f>дома!C1714</f>
        <v>0</v>
      </c>
      <c r="E685" s="35">
        <f>дома!I1714</f>
        <v>1000</v>
      </c>
      <c r="F685" s="35"/>
      <c r="G685" s="275">
        <f t="shared" si="124"/>
        <v>0</v>
      </c>
      <c r="H685" s="35">
        <f t="shared" si="125"/>
        <v>0</v>
      </c>
      <c r="I685" s="2911">
        <f t="shared" si="126"/>
        <v>0</v>
      </c>
      <c r="J685" s="2863"/>
      <c r="K685" s="223">
        <f t="shared" si="127"/>
        <v>0</v>
      </c>
      <c r="L685" s="2854"/>
    </row>
    <row r="686" spans="1:12" s="2829" customFormat="1">
      <c r="A686" s="2837"/>
      <c r="B686" s="2898" t="str">
        <f>дома!A1715</f>
        <v>Перемычка дверная, 1-ый эт. Вариант 5</v>
      </c>
      <c r="C686" s="236" t="str">
        <f>дома!B1715</f>
        <v>м.п.</v>
      </c>
      <c r="D686" s="2899">
        <f>дома!C1715</f>
        <v>0</v>
      </c>
      <c r="E686" s="35">
        <f>дома!I1715</f>
        <v>1000</v>
      </c>
      <c r="F686" s="35"/>
      <c r="G686" s="275">
        <f t="shared" si="124"/>
        <v>0</v>
      </c>
      <c r="H686" s="35">
        <f t="shared" si="125"/>
        <v>0</v>
      </c>
      <c r="I686" s="2911">
        <f t="shared" si="126"/>
        <v>0</v>
      </c>
      <c r="J686" s="2863"/>
      <c r="K686" s="223">
        <f t="shared" si="127"/>
        <v>0</v>
      </c>
      <c r="L686" s="2854"/>
    </row>
    <row r="687" spans="1:12" s="2829" customFormat="1">
      <c r="A687" s="2837"/>
      <c r="B687" s="2898" t="str">
        <f>дома!A1716</f>
        <v>Перемычка дверная, 1-ый эт. Вариант 6</v>
      </c>
      <c r="C687" s="236" t="str">
        <f>дома!B1716</f>
        <v>м.п.</v>
      </c>
      <c r="D687" s="2899">
        <f>дома!C1716</f>
        <v>0</v>
      </c>
      <c r="E687" s="35">
        <f>дома!I1716</f>
        <v>1000</v>
      </c>
      <c r="F687" s="35"/>
      <c r="G687" s="275">
        <f t="shared" si="124"/>
        <v>0</v>
      </c>
      <c r="H687" s="35">
        <f t="shared" si="125"/>
        <v>0</v>
      </c>
      <c r="I687" s="2911">
        <f t="shared" si="126"/>
        <v>0</v>
      </c>
      <c r="J687" s="2863"/>
      <c r="K687" s="223">
        <f t="shared" si="127"/>
        <v>0</v>
      </c>
      <c r="L687" s="2854"/>
    </row>
    <row r="688" spans="1:12" s="2829" customFormat="1">
      <c r="A688" s="2837"/>
      <c r="B688" s="2898" t="str">
        <f>дома!A1717</f>
        <v>Перемычка дверная, 2-ый эт. Вариант 7</v>
      </c>
      <c r="C688" s="236" t="str">
        <f>дома!B1717</f>
        <v>м.п.</v>
      </c>
      <c r="D688" s="2899">
        <f>дома!C1717</f>
        <v>0</v>
      </c>
      <c r="E688" s="35">
        <f>дома!I1717</f>
        <v>1000</v>
      </c>
      <c r="F688" s="35"/>
      <c r="G688" s="275">
        <f t="shared" si="124"/>
        <v>0</v>
      </c>
      <c r="H688" s="35">
        <f t="shared" si="125"/>
        <v>0</v>
      </c>
      <c r="I688" s="2911">
        <f t="shared" si="126"/>
        <v>0</v>
      </c>
      <c r="J688" s="2863"/>
      <c r="K688" s="223">
        <f t="shared" si="127"/>
        <v>0</v>
      </c>
      <c r="L688" s="2854"/>
    </row>
    <row r="689" spans="1:12" s="2829" customFormat="1">
      <c r="A689" s="2837"/>
      <c r="B689" s="2898" t="str">
        <f>дома!A1718</f>
        <v>Перемычка дверная, 2-ый эт. Вариант 8</v>
      </c>
      <c r="C689" s="236" t="str">
        <f>дома!B1718</f>
        <v>м.п.</v>
      </c>
      <c r="D689" s="2899">
        <f>дома!C1718</f>
        <v>0</v>
      </c>
      <c r="E689" s="35">
        <f>дома!I1718</f>
        <v>1000</v>
      </c>
      <c r="F689" s="35"/>
      <c r="G689" s="275">
        <f t="shared" si="124"/>
        <v>0</v>
      </c>
      <c r="H689" s="35">
        <f t="shared" si="125"/>
        <v>0</v>
      </c>
      <c r="I689" s="2911">
        <f t="shared" si="126"/>
        <v>0</v>
      </c>
      <c r="J689" s="2863"/>
      <c r="K689" s="223">
        <f t="shared" si="127"/>
        <v>0</v>
      </c>
      <c r="L689" s="2854"/>
    </row>
    <row r="690" spans="1:12" s="2829" customFormat="1">
      <c r="A690" s="2837"/>
      <c r="B690" s="2898" t="str">
        <f>дома!A1719</f>
        <v>Перемычка дверная, 2-ый эт. Вариант 9</v>
      </c>
      <c r="C690" s="236" t="str">
        <f>дома!B1719</f>
        <v>м.п.</v>
      </c>
      <c r="D690" s="2899">
        <f>дома!C1719</f>
        <v>0</v>
      </c>
      <c r="E690" s="35">
        <f>дома!I1719</f>
        <v>1000</v>
      </c>
      <c r="F690" s="35"/>
      <c r="G690" s="275">
        <f t="shared" si="124"/>
        <v>0</v>
      </c>
      <c r="H690" s="35">
        <f t="shared" si="125"/>
        <v>0</v>
      </c>
      <c r="I690" s="2911">
        <f t="shared" si="126"/>
        <v>0</v>
      </c>
      <c r="J690" s="2863"/>
      <c r="K690" s="223">
        <f t="shared" si="127"/>
        <v>0</v>
      </c>
      <c r="L690" s="2854"/>
    </row>
    <row r="691" spans="1:12" s="2829" customFormat="1">
      <c r="A691" s="2837"/>
      <c r="B691" s="2898" t="str">
        <f>дома!A1720</f>
        <v>Перемычка проема, 1-ый эт. Вариант 10</v>
      </c>
      <c r="C691" s="236" t="str">
        <f>дома!B1720</f>
        <v>м.п.</v>
      </c>
      <c r="D691" s="2899">
        <f>дома!C1720</f>
        <v>0</v>
      </c>
      <c r="E691" s="35">
        <f>дома!I1720</f>
        <v>1000</v>
      </c>
      <c r="F691" s="35"/>
      <c r="G691" s="275">
        <f t="shared" si="124"/>
        <v>0</v>
      </c>
      <c r="H691" s="35">
        <f t="shared" si="125"/>
        <v>0</v>
      </c>
      <c r="I691" s="2911">
        <f t="shared" si="126"/>
        <v>0</v>
      </c>
      <c r="J691" s="2863"/>
      <c r="K691" s="223">
        <f t="shared" si="127"/>
        <v>0</v>
      </c>
      <c r="L691" s="2854"/>
    </row>
    <row r="692" spans="1:12" s="2829" customFormat="1">
      <c r="A692" s="2837"/>
      <c r="B692" s="2898" t="str">
        <f>дома!A1721</f>
        <v>Перемычка проема, 1-ый эт. Вариант 11</v>
      </c>
      <c r="C692" s="236" t="str">
        <f>дома!B1721</f>
        <v>м.п.</v>
      </c>
      <c r="D692" s="2899">
        <f>дома!C1721</f>
        <v>0</v>
      </c>
      <c r="E692" s="35">
        <f>дома!I1721</f>
        <v>1000</v>
      </c>
      <c r="F692" s="35"/>
      <c r="G692" s="275">
        <f t="shared" si="124"/>
        <v>0</v>
      </c>
      <c r="H692" s="35">
        <f t="shared" si="125"/>
        <v>0</v>
      </c>
      <c r="I692" s="2911">
        <f t="shared" si="126"/>
        <v>0</v>
      </c>
      <c r="J692" s="2863"/>
      <c r="K692" s="223">
        <f t="shared" si="127"/>
        <v>0</v>
      </c>
      <c r="L692" s="2854"/>
    </row>
    <row r="693" spans="1:12" s="2829" customFormat="1">
      <c r="A693" s="2837"/>
      <c r="B693" s="2898" t="str">
        <f>дома!A1722</f>
        <v>Перемычка проема, 2-ый эт. Вариант 12</v>
      </c>
      <c r="C693" s="236" t="str">
        <f>дома!B1722</f>
        <v>м.п.</v>
      </c>
      <c r="D693" s="2899">
        <f>дома!C1722</f>
        <v>0</v>
      </c>
      <c r="E693" s="35">
        <f>дома!I1722</f>
        <v>1000</v>
      </c>
      <c r="F693" s="35"/>
      <c r="G693" s="275">
        <f t="shared" si="124"/>
        <v>0</v>
      </c>
      <c r="H693" s="35">
        <f t="shared" si="125"/>
        <v>0</v>
      </c>
      <c r="I693" s="2911">
        <f t="shared" si="126"/>
        <v>0</v>
      </c>
      <c r="J693" s="2863"/>
      <c r="K693" s="223">
        <f t="shared" si="127"/>
        <v>0</v>
      </c>
      <c r="L693" s="2854"/>
    </row>
    <row r="694" spans="1:12" s="2829" customFormat="1">
      <c r="A694" s="2837"/>
      <c r="B694" s="2898" t="str">
        <f>дома!A1723</f>
        <v>Перемычка проема, 2-ый эт. Вариант 13</v>
      </c>
      <c r="C694" s="236" t="str">
        <f>дома!B1723</f>
        <v>м.п.</v>
      </c>
      <c r="D694" s="2899">
        <f>дома!C1723</f>
        <v>0</v>
      </c>
      <c r="E694" s="35">
        <f>дома!I1723</f>
        <v>1000</v>
      </c>
      <c r="F694" s="35"/>
      <c r="G694" s="275">
        <f t="shared" si="124"/>
        <v>0</v>
      </c>
      <c r="H694" s="35">
        <f t="shared" si="125"/>
        <v>0</v>
      </c>
      <c r="I694" s="2911">
        <f t="shared" si="126"/>
        <v>0</v>
      </c>
      <c r="J694" s="2863"/>
      <c r="K694" s="223">
        <f t="shared" si="127"/>
        <v>0</v>
      </c>
      <c r="L694" s="2854"/>
    </row>
    <row r="695" spans="1:12" s="2829" customFormat="1">
      <c r="A695" s="2837"/>
      <c r="B695" s="2898" t="str">
        <f>дома!A1724</f>
        <v>Перемычка дверная, 1-ый эт. Вариант 1</v>
      </c>
      <c r="C695" s="236" t="str">
        <f>дома!B1724</f>
        <v>м.п.</v>
      </c>
      <c r="D695" s="2899">
        <f>дома!C1724</f>
        <v>0</v>
      </c>
      <c r="E695" s="35">
        <f>дома!I1724</f>
        <v>1000</v>
      </c>
      <c r="F695" s="35"/>
      <c r="G695" s="275">
        <f t="shared" si="124"/>
        <v>0</v>
      </c>
      <c r="H695" s="35">
        <f t="shared" si="125"/>
        <v>0</v>
      </c>
      <c r="I695" s="2911">
        <f t="shared" si="126"/>
        <v>0</v>
      </c>
      <c r="J695" s="2863"/>
      <c r="K695" s="223">
        <f t="shared" si="127"/>
        <v>0</v>
      </c>
      <c r="L695" s="2854"/>
    </row>
    <row r="696" spans="1:12" s="2829" customFormat="1">
      <c r="A696" s="2837"/>
      <c r="B696" s="2898" t="str">
        <f>дома!A1725</f>
        <v>Перемычка дверная, 1-ый эт. Вариант 2</v>
      </c>
      <c r="C696" s="236" t="str">
        <f>дома!B1725</f>
        <v>м.п.</v>
      </c>
      <c r="D696" s="2899">
        <f>дома!C1725</f>
        <v>0</v>
      </c>
      <c r="E696" s="35">
        <f>дома!I1725</f>
        <v>1000</v>
      </c>
      <c r="F696" s="35"/>
      <c r="G696" s="275">
        <f t="shared" si="124"/>
        <v>0</v>
      </c>
      <c r="H696" s="35">
        <f t="shared" si="125"/>
        <v>0</v>
      </c>
      <c r="I696" s="2911">
        <f t="shared" si="126"/>
        <v>0</v>
      </c>
      <c r="J696" s="2863"/>
      <c r="K696" s="223">
        <f t="shared" si="127"/>
        <v>0</v>
      </c>
      <c r="L696" s="2854"/>
    </row>
    <row r="697" spans="1:12" s="2829" customFormat="1">
      <c r="A697" s="2837"/>
      <c r="B697" s="2898" t="str">
        <f>дома!A1726</f>
        <v>Перемычка дверная, 1-ый эт. Вариант 3</v>
      </c>
      <c r="C697" s="236" t="str">
        <f>дома!B1726</f>
        <v>м.п.</v>
      </c>
      <c r="D697" s="2899">
        <f>дома!C1726</f>
        <v>0</v>
      </c>
      <c r="E697" s="35">
        <f>дома!I1726</f>
        <v>1000</v>
      </c>
      <c r="F697" s="35"/>
      <c r="G697" s="275">
        <f t="shared" si="124"/>
        <v>0</v>
      </c>
      <c r="H697" s="35">
        <f t="shared" si="125"/>
        <v>0</v>
      </c>
      <c r="I697" s="2911">
        <f t="shared" si="126"/>
        <v>0</v>
      </c>
      <c r="J697" s="2863"/>
      <c r="K697" s="223">
        <f t="shared" si="127"/>
        <v>0</v>
      </c>
      <c r="L697" s="2854"/>
    </row>
    <row r="698" spans="1:12" s="2829" customFormat="1">
      <c r="A698" s="2837"/>
      <c r="B698" s="2898" t="str">
        <f>дома!A1727</f>
        <v>Сосна влаж,200*40мм</v>
      </c>
      <c r="C698" s="236" t="str">
        <f>дома!B1727</f>
        <v>м3</v>
      </c>
      <c r="D698" s="2899">
        <f>дома!C1727</f>
        <v>0.83200000000000007</v>
      </c>
      <c r="E698" s="35">
        <f>дома!I1727</f>
        <v>6500</v>
      </c>
      <c r="F698" s="35"/>
      <c r="G698" s="275">
        <f t="shared" si="124"/>
        <v>5408.0000000000009</v>
      </c>
      <c r="H698" s="35">
        <f t="shared" si="125"/>
        <v>5408.0000000000009</v>
      </c>
      <c r="I698" s="2911">
        <f t="shared" si="126"/>
        <v>5408.0000000000009</v>
      </c>
      <c r="J698" s="2863"/>
      <c r="K698" s="223">
        <f t="shared" si="127"/>
        <v>0.83200000000000007</v>
      </c>
      <c r="L698" s="2854"/>
    </row>
    <row r="699" spans="1:12" s="2829" customFormat="1">
      <c r="A699" s="2837"/>
      <c r="B699" s="2898" t="str">
        <f>дома!A1728</f>
        <v>Сейсмопояс Арматура М10 4 нити</v>
      </c>
      <c r="C699" s="236" t="str">
        <f>дома!B1728</f>
        <v>м.п.</v>
      </c>
      <c r="D699" s="2899">
        <f>дома!C1728</f>
        <v>176</v>
      </c>
      <c r="E699" s="35">
        <f>дома!I1728</f>
        <v>21.0397</v>
      </c>
      <c r="F699" s="35"/>
      <c r="G699" s="275">
        <f t="shared" si="124"/>
        <v>3702.9872</v>
      </c>
      <c r="H699" s="35">
        <f t="shared" si="125"/>
        <v>3702.9872</v>
      </c>
      <c r="I699" s="2911">
        <f t="shared" si="126"/>
        <v>3702.9872</v>
      </c>
      <c r="J699" s="2863"/>
      <c r="K699" s="223">
        <f t="shared" si="127"/>
        <v>176</v>
      </c>
      <c r="L699" s="2854"/>
    </row>
    <row r="700" spans="1:12" s="2829" customFormat="1">
      <c r="A700" s="2837"/>
      <c r="B700" s="2898" t="str">
        <f>дома!A1729</f>
        <v>Хомут для сейсмопояса Арматура М6, шаг 400мм</v>
      </c>
      <c r="C700" s="236" t="str">
        <f>дома!B1729</f>
        <v>м.п.</v>
      </c>
      <c r="D700" s="2899">
        <f>дома!C1729</f>
        <v>90</v>
      </c>
      <c r="E700" s="35">
        <f>дома!I1729</f>
        <v>0</v>
      </c>
      <c r="F700" s="35"/>
      <c r="G700" s="275">
        <f t="shared" si="124"/>
        <v>0</v>
      </c>
      <c r="H700" s="35">
        <f t="shared" si="125"/>
        <v>0</v>
      </c>
      <c r="I700" s="2911">
        <f t="shared" si="126"/>
        <v>0</v>
      </c>
      <c r="J700" s="2863"/>
      <c r="K700" s="223">
        <f t="shared" si="127"/>
        <v>90</v>
      </c>
      <c r="L700" s="2854"/>
    </row>
    <row r="701" spans="1:12" s="2829" customFormat="1">
      <c r="A701" s="2837"/>
      <c r="B701" s="2898" t="str">
        <f>дома!A1730</f>
        <v>Бетон, м300</v>
      </c>
      <c r="C701" s="236" t="str">
        <f>дома!B1730</f>
        <v>м3</v>
      </c>
      <c r="D701" s="2899">
        <f>дома!C1730</f>
        <v>1.6380000000000001</v>
      </c>
      <c r="E701" s="35">
        <f>дома!I1730</f>
        <v>3000</v>
      </c>
      <c r="F701" s="35"/>
      <c r="G701" s="275">
        <f t="shared" si="124"/>
        <v>4914</v>
      </c>
      <c r="H701" s="35">
        <f t="shared" si="125"/>
        <v>4914</v>
      </c>
      <c r="I701" s="2911">
        <f t="shared" si="126"/>
        <v>4914</v>
      </c>
      <c r="J701" s="2863"/>
      <c r="K701" s="223">
        <f t="shared" si="127"/>
        <v>1.6380000000000001</v>
      </c>
      <c r="L701" s="2854"/>
    </row>
    <row r="702" spans="1:12" s="2829" customFormat="1">
      <c r="A702" s="2837"/>
      <c r="B702" s="2898" t="str">
        <f>дома!A1733</f>
        <v>Нет</v>
      </c>
      <c r="C702" s="236" t="str">
        <f>дома!B1733</f>
        <v>м3</v>
      </c>
      <c r="D702" s="2899">
        <f>дома!C1733</f>
        <v>0</v>
      </c>
      <c r="E702" s="35">
        <f>дома!I1733</f>
        <v>0</v>
      </c>
      <c r="F702" s="35"/>
      <c r="G702" s="275">
        <f t="shared" si="124"/>
        <v>0</v>
      </c>
      <c r="H702" s="35">
        <f t="shared" si="125"/>
        <v>0</v>
      </c>
      <c r="I702" s="2911">
        <f t="shared" si="126"/>
        <v>0</v>
      </c>
      <c r="J702" s="2863"/>
      <c r="K702" s="223">
        <f t="shared" si="127"/>
        <v>0</v>
      </c>
      <c r="L702" s="2854"/>
    </row>
    <row r="703" spans="1:12" s="2829" customFormat="1">
      <c r="A703" s="2837"/>
      <c r="B703" s="2898" t="str">
        <f>дома!A1734</f>
        <v>Грибок для крепления утеплителя</v>
      </c>
      <c r="C703" s="236" t="str">
        <f>дома!B1734</f>
        <v>шт</v>
      </c>
      <c r="D703" s="2899">
        <f>дома!C1734</f>
        <v>0</v>
      </c>
      <c r="E703" s="35">
        <f>дома!I1734</f>
        <v>15</v>
      </c>
      <c r="F703" s="35"/>
      <c r="G703" s="275">
        <f t="shared" si="124"/>
        <v>0</v>
      </c>
      <c r="H703" s="35">
        <f t="shared" si="125"/>
        <v>0</v>
      </c>
      <c r="I703" s="2911">
        <f t="shared" si="126"/>
        <v>0</v>
      </c>
      <c r="J703" s="2863"/>
      <c r="K703" s="223">
        <f t="shared" si="127"/>
        <v>0</v>
      </c>
      <c r="L703" s="2854"/>
    </row>
    <row r="704" spans="1:12" s="2829" customFormat="1">
      <c r="A704" s="2837"/>
      <c r="B704" s="2898" t="str">
        <f>дома!A1735</f>
        <v>нет ветроизоляции</v>
      </c>
      <c r="C704" s="236" t="str">
        <f>дома!B1735</f>
        <v>м2</v>
      </c>
      <c r="D704" s="2899">
        <f>дома!C1735</f>
        <v>0</v>
      </c>
      <c r="E704" s="35">
        <f>дома!I1735</f>
        <v>0</v>
      </c>
      <c r="F704" s="35"/>
      <c r="G704" s="275">
        <f t="shared" si="124"/>
        <v>0</v>
      </c>
      <c r="H704" s="35">
        <f t="shared" si="125"/>
        <v>0</v>
      </c>
      <c r="I704" s="2911">
        <f t="shared" si="126"/>
        <v>0</v>
      </c>
      <c r="J704" s="2863"/>
      <c r="K704" s="223">
        <f t="shared" si="127"/>
        <v>0</v>
      </c>
      <c r="L704" s="2854"/>
    </row>
    <row r="705" spans="1:33" s="2829" customFormat="1">
      <c r="A705" s="2837"/>
      <c r="B705" s="2898" t="str">
        <f>дома!A1736</f>
        <v>Кладочная сетка, 100*100/150*150/200*200мм</v>
      </c>
      <c r="C705" s="236" t="str">
        <f>дома!B1736</f>
        <v>м2</v>
      </c>
      <c r="D705" s="2899">
        <f>дома!C1736</f>
        <v>110.88000000000001</v>
      </c>
      <c r="E705" s="35">
        <f>дома!I1736</f>
        <v>70</v>
      </c>
      <c r="F705" s="35"/>
      <c r="G705" s="275">
        <f t="shared" si="124"/>
        <v>7761.6</v>
      </c>
      <c r="H705" s="35">
        <f t="shared" si="125"/>
        <v>7761.6</v>
      </c>
      <c r="I705" s="2911">
        <f t="shared" si="126"/>
        <v>7761.6</v>
      </c>
      <c r="J705" s="2863"/>
      <c r="K705" s="223">
        <f t="shared" si="127"/>
        <v>110.88000000000001</v>
      </c>
      <c r="L705" s="2854"/>
    </row>
    <row r="706" spans="1:33" s="2829" customFormat="1">
      <c r="A706" s="2837"/>
      <c r="B706" s="2898" t="str">
        <f>дома!A1737</f>
        <v>Песок, машина 13м3</v>
      </c>
      <c r="C706" s="236" t="str">
        <f>дома!B1737</f>
        <v>шт</v>
      </c>
      <c r="D706" s="2899">
        <f>дома!C1737</f>
        <v>1.1269335000000003</v>
      </c>
      <c r="E706" s="35">
        <f>дома!I1737</f>
        <v>12000</v>
      </c>
      <c r="F706" s="35"/>
      <c r="G706" s="275">
        <f t="shared" si="124"/>
        <v>13523.202000000003</v>
      </c>
      <c r="H706" s="35">
        <f t="shared" si="125"/>
        <v>13523.202000000003</v>
      </c>
      <c r="I706" s="2911">
        <f t="shared" si="126"/>
        <v>13523.202000000003</v>
      </c>
      <c r="J706" s="2863"/>
      <c r="K706" s="223">
        <f t="shared" si="127"/>
        <v>1.1269335000000003</v>
      </c>
      <c r="L706" s="2854"/>
    </row>
    <row r="707" spans="1:33" s="2829" customFormat="1">
      <c r="A707" s="2837"/>
      <c r="B707" s="2898" t="str">
        <f>дома!A1738</f>
        <v>Цемент, мешок, 50кг</v>
      </c>
      <c r="C707" s="236" t="str">
        <f>дома!B1738</f>
        <v>меш</v>
      </c>
      <c r="D707" s="2899">
        <f>дома!C1738</f>
        <v>34.773948000000004</v>
      </c>
      <c r="E707" s="35">
        <f>дома!I1738</f>
        <v>250</v>
      </c>
      <c r="F707" s="35"/>
      <c r="G707" s="275">
        <f t="shared" si="124"/>
        <v>8693.487000000001</v>
      </c>
      <c r="H707" s="35">
        <f t="shared" si="125"/>
        <v>8693.487000000001</v>
      </c>
      <c r="I707" s="2911">
        <f t="shared" si="126"/>
        <v>8693.487000000001</v>
      </c>
      <c r="J707" s="2863"/>
      <c r="K707" s="223">
        <f t="shared" si="127"/>
        <v>34.773948000000004</v>
      </c>
      <c r="L707" s="2854"/>
    </row>
    <row r="708" spans="1:33" s="2829" customFormat="1">
      <c r="A708" s="2837"/>
      <c r="B708" s="3290" t="s">
        <v>4656</v>
      </c>
      <c r="C708" s="3290"/>
      <c r="D708" s="3290"/>
      <c r="E708" s="3290"/>
      <c r="F708" s="2935"/>
      <c r="G708" s="35">
        <f>SUM(G668:G707)*H666</f>
        <v>630423.27619999996</v>
      </c>
      <c r="H708" s="35">
        <f>SUM(H668:H707)</f>
        <v>630423.27619999996</v>
      </c>
      <c r="I708" s="2911">
        <f t="shared" si="126"/>
        <v>630423.27619999996</v>
      </c>
      <c r="J708" s="2863"/>
      <c r="K708" s="223">
        <f t="shared" si="127"/>
        <v>0</v>
      </c>
      <c r="L708" s="2854"/>
    </row>
    <row r="709" spans="1:33" s="2829" customFormat="1">
      <c r="B709" s="3279" t="s">
        <v>1409</v>
      </c>
      <c r="C709" s="3279"/>
      <c r="D709" s="3279"/>
      <c r="E709" s="3279"/>
      <c r="F709" s="2936"/>
      <c r="G709" s="941"/>
      <c r="H709" s="2891">
        <f>H666</f>
        <v>1</v>
      </c>
      <c r="I709" s="2879">
        <f>H709</f>
        <v>1</v>
      </c>
      <c r="J709" s="2892"/>
      <c r="K709" s="2892"/>
    </row>
    <row r="710" spans="1:33" s="2829" customFormat="1">
      <c r="A710" s="2837"/>
      <c r="B710" s="2898" t="str">
        <f>дома!L1697</f>
        <v>кладка кирпича</v>
      </c>
      <c r="C710" s="236" t="s">
        <v>135</v>
      </c>
      <c r="D710" s="2899">
        <f>дома!N1697</f>
        <v>58.542000000000009</v>
      </c>
      <c r="E710" s="35">
        <f>дома!O1697</f>
        <v>3500</v>
      </c>
      <c r="F710" s="35"/>
      <c r="G710" s="275">
        <f t="shared" ref="G710:G716" si="128">IF(F710&gt;0,D710*F710,E710*D710)</f>
        <v>204897.00000000003</v>
      </c>
      <c r="H710" s="35">
        <f t="shared" ref="H710:H716" si="129">D710*E710*$H$666</f>
        <v>204897.00000000003</v>
      </c>
      <c r="I710" s="2836">
        <f t="shared" ref="I710:I717" si="130">IF(G710&gt;H710,G710,H710)*$H$666</f>
        <v>204897.00000000003</v>
      </c>
    </row>
    <row r="711" spans="1:33" s="2829" customFormat="1">
      <c r="A711" s="2837"/>
      <c r="B711" s="2898" t="str">
        <f>дома!L1698</f>
        <v>кладка перегородок из кирпича</v>
      </c>
      <c r="C711" s="236" t="s">
        <v>133</v>
      </c>
      <c r="D711" s="2899">
        <f>дома!N1698</f>
        <v>23.4</v>
      </c>
      <c r="E711" s="35">
        <f>дома!O1698</f>
        <v>550</v>
      </c>
      <c r="F711" s="35"/>
      <c r="G711" s="275">
        <f t="shared" si="128"/>
        <v>12870</v>
      </c>
      <c r="H711" s="35">
        <f t="shared" si="129"/>
        <v>12870</v>
      </c>
      <c r="I711" s="2836">
        <f t="shared" si="130"/>
        <v>12870</v>
      </c>
    </row>
    <row r="712" spans="1:33" s="2829" customFormat="1">
      <c r="A712" s="2837"/>
      <c r="B712" s="2898" t="str">
        <f>дома!L1699</f>
        <v>Армирование сейсмопояса</v>
      </c>
      <c r="C712" s="236" t="s">
        <v>133</v>
      </c>
      <c r="D712" s="2899">
        <f>дома!N1699</f>
        <v>55.440000000000005</v>
      </c>
      <c r="E712" s="35">
        <f>дома!O1699</f>
        <v>500</v>
      </c>
      <c r="F712" s="35"/>
      <c r="G712" s="275">
        <f t="shared" si="128"/>
        <v>27720.000000000004</v>
      </c>
      <c r="H712" s="35">
        <f t="shared" si="129"/>
        <v>27720.000000000004</v>
      </c>
      <c r="I712" s="2836">
        <f t="shared" si="130"/>
        <v>27720.000000000004</v>
      </c>
    </row>
    <row r="713" spans="1:33" s="2829" customFormat="1">
      <c r="A713" s="2837"/>
      <c r="B713" s="2898" t="str">
        <f>дома!L1700</f>
        <v>Заливка бетоном сейсмопояса</v>
      </c>
      <c r="C713" s="236" t="s">
        <v>135</v>
      </c>
      <c r="D713" s="2899">
        <f>дома!N1700</f>
        <v>1.6380000000000001</v>
      </c>
      <c r="E713" s="35">
        <f>дома!O1700</f>
        <v>700</v>
      </c>
      <c r="F713" s="35"/>
      <c r="G713" s="275">
        <f t="shared" si="128"/>
        <v>1146.6000000000001</v>
      </c>
      <c r="H713" s="35">
        <f t="shared" si="129"/>
        <v>1146.6000000000001</v>
      </c>
      <c r="I713" s="2836">
        <f t="shared" si="130"/>
        <v>1146.6000000000001</v>
      </c>
    </row>
    <row r="714" spans="1:33" s="2829" customFormat="1">
      <c r="A714" s="2837"/>
      <c r="B714" s="2898" t="str">
        <f>дома!L1701</f>
        <v>утепление стен снаружи дома</v>
      </c>
      <c r="C714" s="236" t="s">
        <v>133</v>
      </c>
      <c r="D714" s="2899">
        <f>дома!N1701</f>
        <v>0</v>
      </c>
      <c r="E714" s="35">
        <f>дома!O1701</f>
        <v>350</v>
      </c>
      <c r="F714" s="35"/>
      <c r="G714" s="275">
        <f t="shared" si="128"/>
        <v>0</v>
      </c>
      <c r="H714" s="35">
        <f t="shared" si="129"/>
        <v>0</v>
      </c>
      <c r="I714" s="2836">
        <f t="shared" si="130"/>
        <v>0</v>
      </c>
    </row>
    <row r="715" spans="1:33" s="2829" customFormat="1">
      <c r="A715" s="2837"/>
      <c r="B715" s="2898" t="str">
        <f>дома!L1702</f>
        <v>монтаж ветроизоляции стен</v>
      </c>
      <c r="C715" s="236" t="s">
        <v>133</v>
      </c>
      <c r="D715" s="2899">
        <f>дома!N1702</f>
        <v>0</v>
      </c>
      <c r="E715" s="35">
        <f>дома!O1702</f>
        <v>100</v>
      </c>
      <c r="F715" s="35"/>
      <c r="G715" s="275">
        <f t="shared" si="128"/>
        <v>0</v>
      </c>
      <c r="H715" s="35">
        <f t="shared" si="129"/>
        <v>0</v>
      </c>
      <c r="I715" s="2836">
        <f t="shared" si="130"/>
        <v>0</v>
      </c>
    </row>
    <row r="716" spans="1:33" s="2829" customFormat="1">
      <c r="A716" s="2837"/>
      <c r="B716" s="2898" t="str">
        <f>дома!L1703</f>
        <v>изготовление и монтаж перемычек для окон и дверей</v>
      </c>
      <c r="C716" s="236" t="s">
        <v>156</v>
      </c>
      <c r="D716" s="2899">
        <f>дома!N1703</f>
        <v>1</v>
      </c>
      <c r="E716" s="35">
        <f>дома!O1703</f>
        <v>500</v>
      </c>
      <c r="F716" s="35"/>
      <c r="G716" s="275">
        <f t="shared" si="128"/>
        <v>500</v>
      </c>
      <c r="H716" s="35">
        <f t="shared" si="129"/>
        <v>500</v>
      </c>
      <c r="I716" s="2836">
        <f t="shared" si="130"/>
        <v>500</v>
      </c>
    </row>
    <row r="717" spans="1:33" s="2829" customFormat="1">
      <c r="B717" s="3290" t="s">
        <v>4657</v>
      </c>
      <c r="C717" s="3290"/>
      <c r="D717" s="3290"/>
      <c r="E717" s="3290"/>
      <c r="F717" s="2935"/>
      <c r="G717" s="35">
        <f>SUM(G710:G716)*H709</f>
        <v>247133.60000000003</v>
      </c>
      <c r="H717" s="35">
        <f>SUM(H710:H716)</f>
        <v>247133.60000000003</v>
      </c>
      <c r="I717" s="2836">
        <f t="shared" si="130"/>
        <v>247133.60000000003</v>
      </c>
    </row>
    <row r="718" spans="1:33" s="910" customFormat="1" ht="21">
      <c r="A718" s="2893"/>
      <c r="B718" s="3291" t="s">
        <v>4308</v>
      </c>
      <c r="C718" s="3291"/>
      <c r="D718" s="3291"/>
      <c r="E718" s="3291"/>
      <c r="F718" s="2895"/>
      <c r="G718" s="941"/>
      <c r="H718" s="2896">
        <f>IF('Ввод данных'!$A$8=связи1!A156,1,0)+IF('Ввод данных'!$A$8=связи1!A163,1,0)+IF('Ввод данных'!$A$8=связи1!A171,1,0)+IF('Ввод данных'!$A$8=связи1!A180,1,0)+IF('Ввод данных'!$A$8=связи1!A185,1,0)</f>
        <v>0</v>
      </c>
      <c r="I718" s="2879">
        <f>H718</f>
        <v>0</v>
      </c>
      <c r="N718" s="2892"/>
      <c r="O718" s="2892"/>
      <c r="P718" s="2892"/>
      <c r="Q718" s="2892"/>
      <c r="R718" s="2892"/>
      <c r="S718" s="2892"/>
      <c r="T718" s="2892"/>
      <c r="U718" s="2892"/>
      <c r="V718" s="2892"/>
      <c r="W718" s="2892"/>
      <c r="X718" s="2892"/>
      <c r="Y718" s="2892"/>
      <c r="Z718" s="2892"/>
      <c r="AA718" s="2892"/>
      <c r="AB718" s="2892"/>
      <c r="AC718" s="2892"/>
      <c r="AD718" s="2892"/>
      <c r="AE718" s="2892"/>
      <c r="AF718" s="2892"/>
      <c r="AG718" s="2892"/>
    </row>
    <row r="719" spans="1:33">
      <c r="A719" s="2837"/>
      <c r="B719" s="3285" t="s">
        <v>2720</v>
      </c>
      <c r="C719" s="3285"/>
      <c r="D719" s="3285"/>
      <c r="E719" s="3285"/>
      <c r="F719" s="2902"/>
      <c r="G719" s="941"/>
      <c r="H719" s="2903">
        <f>H718</f>
        <v>0</v>
      </c>
      <c r="I719" s="2879">
        <f>H719</f>
        <v>0</v>
      </c>
      <c r="J719" s="2850"/>
      <c r="K719" s="2851"/>
    </row>
    <row r="720" spans="1:33">
      <c r="A720" s="2837"/>
      <c r="B720" s="2898" t="str">
        <f>дома!A1786</f>
        <v>Листв. влаж, 200*200мм</v>
      </c>
      <c r="C720" s="236" t="str">
        <f>дома!B1786</f>
        <v>м3</v>
      </c>
      <c r="D720" s="2899">
        <f>дома!C1786</f>
        <v>2.5520000000000005</v>
      </c>
      <c r="E720" s="35">
        <f>дома!D1786</f>
        <v>9000</v>
      </c>
      <c r="F720" s="35"/>
      <c r="G720" s="275">
        <f t="shared" ref="G720:G742" si="131">IF(F720&gt;0,D720*F720,E720*D720)</f>
        <v>22968.000000000004</v>
      </c>
      <c r="H720" s="35">
        <f t="shared" ref="H720:H742" si="132">D720*E720*$H$718</f>
        <v>0</v>
      </c>
      <c r="I720" s="2911">
        <f t="shared" ref="I720:I743" si="133">IF(G720&gt;H720,G720,H720)*$H$718</f>
        <v>0</v>
      </c>
      <c r="J720" s="2863"/>
      <c r="K720" s="223">
        <f t="shared" ref="K720:K743" si="134">D720-J720</f>
        <v>2.5520000000000005</v>
      </c>
      <c r="L720" s="2854"/>
    </row>
    <row r="721" spans="1:13">
      <c r="A721" s="2837"/>
      <c r="B721" s="2898" t="str">
        <f>дома!A1787</f>
        <v>Сосна влаж, 200*200мм</v>
      </c>
      <c r="C721" s="236" t="str">
        <f>дома!B1787</f>
        <v>м3</v>
      </c>
      <c r="D721" s="2899">
        <f>дома!C1787</f>
        <v>22.950400000000016</v>
      </c>
      <c r="E721" s="35">
        <f>дома!D1787</f>
        <v>6500</v>
      </c>
      <c r="F721" s="35"/>
      <c r="G721" s="275">
        <f t="shared" si="131"/>
        <v>149177.60000000009</v>
      </c>
      <c r="H721" s="35">
        <f t="shared" si="132"/>
        <v>0</v>
      </c>
      <c r="I721" s="2911">
        <f t="shared" si="133"/>
        <v>0</v>
      </c>
      <c r="J721" s="2863"/>
      <c r="K721" s="223">
        <f t="shared" si="134"/>
        <v>22.950400000000016</v>
      </c>
      <c r="L721" s="2854"/>
    </row>
    <row r="722" spans="1:13">
      <c r="A722" s="2837"/>
      <c r="B722" s="2898" t="str">
        <f>дома!A1788</f>
        <v>Сосна влаж, 200*150мм</v>
      </c>
      <c r="C722" s="236" t="str">
        <f>дома!B1788</f>
        <v>м3</v>
      </c>
      <c r="D722" s="2899">
        <f>дома!C1788</f>
        <v>0</v>
      </c>
      <c r="E722" s="35">
        <f>дома!D1788</f>
        <v>6500</v>
      </c>
      <c r="F722" s="35"/>
      <c r="G722" s="275">
        <f t="shared" si="131"/>
        <v>0</v>
      </c>
      <c r="H722" s="35">
        <f t="shared" si="132"/>
        <v>0</v>
      </c>
      <c r="I722" s="2911">
        <f t="shared" si="133"/>
        <v>0</v>
      </c>
      <c r="J722" s="2863"/>
      <c r="K722" s="223">
        <f t="shared" si="134"/>
        <v>0</v>
      </c>
      <c r="L722" s="2854"/>
    </row>
    <row r="723" spans="1:13">
      <c r="A723" s="2837"/>
      <c r="B723" s="2898" t="str">
        <f>дома!A1789</f>
        <v>Сосна влаж, 200*100мм</v>
      </c>
      <c r="C723" s="236" t="str">
        <f>дома!B1789</f>
        <v>м2</v>
      </c>
      <c r="D723" s="2899">
        <f>дома!C1789</f>
        <v>0</v>
      </c>
      <c r="E723" s="35">
        <f>дома!D1789</f>
        <v>6500</v>
      </c>
      <c r="F723" s="35"/>
      <c r="G723" s="275">
        <f t="shared" si="131"/>
        <v>0</v>
      </c>
      <c r="H723" s="35">
        <f t="shared" si="132"/>
        <v>0</v>
      </c>
      <c r="I723" s="2911">
        <f t="shared" si="133"/>
        <v>0</v>
      </c>
      <c r="J723" s="2863"/>
      <c r="K723" s="223">
        <f t="shared" si="134"/>
        <v>0</v>
      </c>
      <c r="L723" s="2854"/>
    </row>
    <row r="724" spans="1:13">
      <c r="A724" s="2837"/>
      <c r="B724" s="2898" t="str">
        <f>дома!A1790</f>
        <v>Шкант</v>
      </c>
      <c r="C724" s="236" t="str">
        <f>дома!B1790</f>
        <v>шт</v>
      </c>
      <c r="D724" s="2899">
        <f>дома!C1790</f>
        <v>562</v>
      </c>
      <c r="E724" s="35">
        <f>дома!D1790</f>
        <v>6</v>
      </c>
      <c r="F724" s="35"/>
      <c r="G724" s="275">
        <f t="shared" si="131"/>
        <v>3372</v>
      </c>
      <c r="H724" s="35">
        <f t="shared" si="132"/>
        <v>0</v>
      </c>
      <c r="I724" s="2911">
        <f t="shared" si="133"/>
        <v>0</v>
      </c>
      <c r="J724" s="2863"/>
      <c r="K724" s="223">
        <f t="shared" si="134"/>
        <v>562</v>
      </c>
      <c r="L724" s="2854"/>
    </row>
    <row r="725" spans="1:13">
      <c r="A725" s="2837"/>
      <c r="B725" s="2898" t="str">
        <f>дома!A1791</f>
        <v>Лен-джут 200х5х20000 мм</v>
      </c>
      <c r="C725" s="236" t="str">
        <f>дома!B1791</f>
        <v>шт</v>
      </c>
      <c r="D725" s="2899">
        <f>дома!C1791</f>
        <v>0</v>
      </c>
      <c r="E725" s="35">
        <f>дома!D1791</f>
        <v>175</v>
      </c>
      <c r="F725" s="35"/>
      <c r="G725" s="275">
        <f t="shared" si="131"/>
        <v>0</v>
      </c>
      <c r="H725" s="35">
        <f t="shared" si="132"/>
        <v>0</v>
      </c>
      <c r="I725" s="2911">
        <f t="shared" si="133"/>
        <v>0</v>
      </c>
      <c r="J725" s="2863"/>
      <c r="K725" s="223">
        <f t="shared" si="134"/>
        <v>0</v>
      </c>
      <c r="L725" s="2854"/>
    </row>
    <row r="726" spans="1:13">
      <c r="A726" s="2837"/>
      <c r="B726" s="2898" t="str">
        <f>дома!A1792</f>
        <v xml:space="preserve">Гвозди строительные 3,5 x 90            </v>
      </c>
      <c r="C726" s="236" t="str">
        <f>дома!B1792</f>
        <v>шт</v>
      </c>
      <c r="D726" s="2899">
        <f>дома!C1792</f>
        <v>4.4000000000000004</v>
      </c>
      <c r="E726" s="35">
        <f>дома!D1792</f>
        <v>70</v>
      </c>
      <c r="F726" s="35"/>
      <c r="G726" s="275">
        <f t="shared" si="131"/>
        <v>308</v>
      </c>
      <c r="H726" s="35">
        <f t="shared" si="132"/>
        <v>0</v>
      </c>
      <c r="I726" s="2911">
        <f t="shared" si="133"/>
        <v>0</v>
      </c>
      <c r="J726" s="2863"/>
      <c r="K726" s="223">
        <f t="shared" si="134"/>
        <v>4.4000000000000004</v>
      </c>
      <c r="L726" s="2854"/>
    </row>
    <row r="727" spans="1:13">
      <c r="A727" s="2837"/>
      <c r="B727" s="2898" t="str">
        <f>дома!A1793</f>
        <v>нет</v>
      </c>
      <c r="C727" s="236" t="str">
        <f>дома!B1793</f>
        <v>м3</v>
      </c>
      <c r="D727" s="2899">
        <f>дома!C1793</f>
        <v>0</v>
      </c>
      <c r="E727" s="35">
        <f>дома!D1793</f>
        <v>0</v>
      </c>
      <c r="F727" s="35"/>
      <c r="G727" s="275">
        <f t="shared" si="131"/>
        <v>0</v>
      </c>
      <c r="H727" s="35">
        <f t="shared" si="132"/>
        <v>0</v>
      </c>
      <c r="I727" s="2911">
        <f t="shared" si="133"/>
        <v>0</v>
      </c>
      <c r="J727" s="2863"/>
      <c r="K727" s="223">
        <f t="shared" si="134"/>
        <v>0</v>
      </c>
      <c r="L727" s="2854"/>
    </row>
    <row r="728" spans="1:13">
      <c r="A728" s="2837"/>
      <c r="B728" s="2898" t="str">
        <f>дома!A1794</f>
        <v>Доска сухая, 100*50мм</v>
      </c>
      <c r="C728" s="236" t="str">
        <f>дома!B1794</f>
        <v>м3</v>
      </c>
      <c r="D728" s="2899">
        <f>дома!C1794</f>
        <v>0</v>
      </c>
      <c r="E728" s="35">
        <f>дома!D1794</f>
        <v>9000</v>
      </c>
      <c r="F728" s="35"/>
      <c r="G728" s="275">
        <f t="shared" si="131"/>
        <v>0</v>
      </c>
      <c r="H728" s="35">
        <f t="shared" si="132"/>
        <v>0</v>
      </c>
      <c r="I728" s="2911">
        <f t="shared" si="133"/>
        <v>0</v>
      </c>
      <c r="J728" s="2863"/>
      <c r="K728" s="223">
        <f t="shared" si="134"/>
        <v>0</v>
      </c>
      <c r="L728" s="2854"/>
    </row>
    <row r="729" spans="1:13">
      <c r="A729" s="2837"/>
      <c r="B729" s="2898" t="str">
        <f>дома!A1795</f>
        <v>Доска сухая калиброванная, 100*45мм</v>
      </c>
      <c r="C729" s="236" t="str">
        <f>дома!B1795</f>
        <v>м3</v>
      </c>
      <c r="D729" s="2899">
        <f>дома!C1795</f>
        <v>0</v>
      </c>
      <c r="E729" s="35">
        <f>дома!D1795</f>
        <v>12500</v>
      </c>
      <c r="F729" s="35"/>
      <c r="G729" s="275">
        <f t="shared" si="131"/>
        <v>0</v>
      </c>
      <c r="H729" s="35">
        <f t="shared" si="132"/>
        <v>0</v>
      </c>
      <c r="I729" s="2911">
        <f t="shared" si="133"/>
        <v>0</v>
      </c>
      <c r="J729" s="2863"/>
      <c r="K729" s="223">
        <f t="shared" si="134"/>
        <v>0</v>
      </c>
      <c r="L729" s="910"/>
      <c r="M729" s="910"/>
    </row>
    <row r="730" spans="1:13">
      <c r="A730" s="2837"/>
      <c r="B730" s="2898" t="str">
        <f>дома!A1796</f>
        <v>Сосна влаж, 50*50мм</v>
      </c>
      <c r="C730" s="236" t="str">
        <f>дома!B1796</f>
        <v>м.п.</v>
      </c>
      <c r="D730" s="2899">
        <f>дома!C1796</f>
        <v>0</v>
      </c>
      <c r="E730" s="35">
        <f>дома!D1796</f>
        <v>16.25</v>
      </c>
      <c r="F730" s="35"/>
      <c r="G730" s="275">
        <f t="shared" si="131"/>
        <v>0</v>
      </c>
      <c r="H730" s="35">
        <f t="shared" si="132"/>
        <v>0</v>
      </c>
      <c r="I730" s="2911">
        <f t="shared" si="133"/>
        <v>0</v>
      </c>
      <c r="J730" s="2863"/>
      <c r="K730" s="223">
        <f t="shared" si="134"/>
        <v>0</v>
      </c>
      <c r="L730" s="910"/>
      <c r="M730" s="910"/>
    </row>
    <row r="731" spans="1:13">
      <c r="A731" s="2837"/>
      <c r="B731" s="2898" t="str">
        <f>дома!A1797</f>
        <v>Бензин для пилы</v>
      </c>
      <c r="C731" s="236" t="str">
        <f>дома!B1797</f>
        <v>л</v>
      </c>
      <c r="D731" s="2899">
        <f>дома!C1797</f>
        <v>4.6754400000000036</v>
      </c>
      <c r="E731" s="35">
        <f>дома!D1797</f>
        <v>40</v>
      </c>
      <c r="F731" s="35"/>
      <c r="G731" s="275">
        <f t="shared" si="131"/>
        <v>187.01760000000013</v>
      </c>
      <c r="H731" s="35">
        <f t="shared" si="132"/>
        <v>0</v>
      </c>
      <c r="I731" s="2911">
        <f t="shared" si="133"/>
        <v>0</v>
      </c>
      <c r="J731" s="2863"/>
      <c r="K731" s="223">
        <f t="shared" si="134"/>
        <v>4.6754400000000036</v>
      </c>
      <c r="L731" s="910"/>
      <c r="M731" s="910"/>
    </row>
    <row r="732" spans="1:13">
      <c r="A732" s="2837"/>
      <c r="B732" s="2898" t="str">
        <f>дома!A1798</f>
        <v>Масло для пилы</v>
      </c>
      <c r="C732" s="236" t="str">
        <f>дома!B1798</f>
        <v>л</v>
      </c>
      <c r="D732" s="2899">
        <f>дома!C1798</f>
        <v>0.51429840000000049</v>
      </c>
      <c r="E732" s="35">
        <f>дома!D1798</f>
        <v>250</v>
      </c>
      <c r="F732" s="35"/>
      <c r="G732" s="275">
        <f t="shared" si="131"/>
        <v>128.57460000000012</v>
      </c>
      <c r="H732" s="35">
        <f t="shared" si="132"/>
        <v>0</v>
      </c>
      <c r="I732" s="2911">
        <f t="shared" si="133"/>
        <v>0</v>
      </c>
      <c r="J732" s="2863"/>
      <c r="K732" s="223">
        <f t="shared" si="134"/>
        <v>0.51429840000000049</v>
      </c>
      <c r="L732" s="910"/>
      <c r="M732" s="910"/>
    </row>
    <row r="733" spans="1:13">
      <c r="A733" s="2837"/>
      <c r="B733" s="2898" t="str">
        <f>дома!A1799</f>
        <v>Цепь для пилы</v>
      </c>
      <c r="C733" s="236" t="s">
        <v>159</v>
      </c>
      <c r="D733" s="2899">
        <f>дома!C1799</f>
        <v>2.2000000000000002</v>
      </c>
      <c r="E733" s="35">
        <f>дома!D1799</f>
        <v>800</v>
      </c>
      <c r="F733" s="35"/>
      <c r="G733" s="275">
        <f t="shared" si="131"/>
        <v>1760.0000000000002</v>
      </c>
      <c r="H733" s="35">
        <f t="shared" si="132"/>
        <v>0</v>
      </c>
      <c r="I733" s="2911">
        <f t="shared" si="133"/>
        <v>0</v>
      </c>
      <c r="J733" s="2863"/>
      <c r="K733" s="223">
        <f t="shared" si="134"/>
        <v>2.2000000000000002</v>
      </c>
      <c r="L733" s="910"/>
      <c r="M733" s="910"/>
    </row>
    <row r="734" spans="1:13">
      <c r="A734" s="2837"/>
      <c r="B734" s="2898" t="str">
        <f>дома!A1800</f>
        <v>"Профилюкс" Антисептик АНТИПЛЕСЕНЬ</v>
      </c>
      <c r="C734" s="236" t="str">
        <f>дома!B1800</f>
        <v>л</v>
      </c>
      <c r="D734" s="2899">
        <f>дома!C1800</f>
        <v>0</v>
      </c>
      <c r="E734" s="35">
        <f>дома!D1800</f>
        <v>108</v>
      </c>
      <c r="F734" s="35"/>
      <c r="G734" s="275">
        <f t="shared" si="131"/>
        <v>0</v>
      </c>
      <c r="H734" s="35">
        <f t="shared" si="132"/>
        <v>0</v>
      </c>
      <c r="I734" s="2911">
        <f t="shared" si="133"/>
        <v>0</v>
      </c>
      <c r="J734" s="2863"/>
      <c r="K734" s="223">
        <f t="shared" si="134"/>
        <v>0</v>
      </c>
      <c r="L734" s="910"/>
      <c r="M734" s="910"/>
    </row>
    <row r="735" spans="1:13">
      <c r="A735" s="2837"/>
      <c r="B735" s="2898" t="str">
        <f>дома!A1801</f>
        <v>"Тонерол" Антисептик  бесцветный  1л</v>
      </c>
      <c r="C735" s="236" t="str">
        <f>дома!B1801</f>
        <v>л</v>
      </c>
      <c r="D735" s="2899">
        <f>дома!C1801</f>
        <v>0</v>
      </c>
      <c r="E735" s="35">
        <f>дома!D1801</f>
        <v>305</v>
      </c>
      <c r="F735" s="35"/>
      <c r="G735" s="275">
        <f t="shared" si="131"/>
        <v>0</v>
      </c>
      <c r="H735" s="35">
        <f t="shared" si="132"/>
        <v>0</v>
      </c>
      <c r="I735" s="2911">
        <f t="shared" si="133"/>
        <v>0</v>
      </c>
      <c r="J735" s="2863"/>
      <c r="K735" s="223">
        <f t="shared" si="134"/>
        <v>0</v>
      </c>
      <c r="L735" s="910"/>
      <c r="M735" s="910"/>
    </row>
    <row r="736" spans="1:13">
      <c r="A736" s="2837"/>
      <c r="B736" s="2898" t="str">
        <f>дома!A1802</f>
        <v>"Тонерол" Антисептик  махагон  1л</v>
      </c>
      <c r="C736" s="236" t="str">
        <f>дома!B1802</f>
        <v>л</v>
      </c>
      <c r="D736" s="2899">
        <f>дома!C1802</f>
        <v>0</v>
      </c>
      <c r="E736" s="35">
        <f>дома!D1802</f>
        <v>305</v>
      </c>
      <c r="F736" s="35"/>
      <c r="G736" s="275">
        <f t="shared" si="131"/>
        <v>0</v>
      </c>
      <c r="H736" s="35">
        <f t="shared" si="132"/>
        <v>0</v>
      </c>
      <c r="I736" s="2911">
        <f t="shared" si="133"/>
        <v>0</v>
      </c>
      <c r="J736" s="2863"/>
      <c r="K736" s="223">
        <f t="shared" si="134"/>
        <v>0</v>
      </c>
      <c r="L736" s="910"/>
      <c r="M736" s="910"/>
    </row>
    <row r="737" spans="1:13">
      <c r="A737" s="2837"/>
      <c r="B737" s="2898" t="str">
        <f>дома!A1803</f>
        <v>Нет наличника</v>
      </c>
      <c r="C737" s="236" t="str">
        <f>дома!B1803</f>
        <v>м.п.</v>
      </c>
      <c r="D737" s="2899">
        <f>дома!C1803</f>
        <v>3.5700000000000007</v>
      </c>
      <c r="E737" s="35">
        <f>дома!D1803</f>
        <v>0</v>
      </c>
      <c r="F737" s="35"/>
      <c r="G737" s="275">
        <f t="shared" si="131"/>
        <v>0</v>
      </c>
      <c r="H737" s="35">
        <f t="shared" si="132"/>
        <v>0</v>
      </c>
      <c r="I737" s="2911">
        <f t="shared" si="133"/>
        <v>0</v>
      </c>
      <c r="J737" s="2863"/>
      <c r="K737" s="223">
        <f t="shared" si="134"/>
        <v>3.5700000000000007</v>
      </c>
      <c r="L737" s="910"/>
      <c r="M737" s="910"/>
    </row>
    <row r="738" spans="1:13">
      <c r="A738" s="2837"/>
      <c r="B738" s="2898" t="str">
        <f>дома!A1804</f>
        <v>Нет наличника</v>
      </c>
      <c r="C738" s="236" t="str">
        <f>дома!B1804</f>
        <v>м.п.</v>
      </c>
      <c r="D738" s="2899">
        <f>дома!C1804</f>
        <v>3.5700000000000007</v>
      </c>
      <c r="E738" s="35">
        <f>дома!D1804</f>
        <v>0</v>
      </c>
      <c r="F738" s="35"/>
      <c r="G738" s="275">
        <f t="shared" si="131"/>
        <v>0</v>
      </c>
      <c r="H738" s="35">
        <f t="shared" si="132"/>
        <v>0</v>
      </c>
      <c r="I738" s="2911">
        <f t="shared" si="133"/>
        <v>0</v>
      </c>
      <c r="J738" s="2863"/>
      <c r="K738" s="223">
        <f t="shared" si="134"/>
        <v>3.5700000000000007</v>
      </c>
      <c r="L738" s="910"/>
      <c r="M738" s="910"/>
    </row>
    <row r="739" spans="1:13">
      <c r="A739" s="2837"/>
      <c r="B739" s="2898" t="str">
        <f>дома!A1805</f>
        <v>Бумага наждачная № 63 F(30)</v>
      </c>
      <c r="C739" s="236" t="str">
        <f>дома!B1805</f>
        <v>м</v>
      </c>
      <c r="D739" s="2899">
        <f>дома!C1805</f>
        <v>5</v>
      </c>
      <c r="E739" s="35">
        <f>дома!D1805</f>
        <v>291</v>
      </c>
      <c r="F739" s="35"/>
      <c r="G739" s="275">
        <f t="shared" si="131"/>
        <v>1455</v>
      </c>
      <c r="H739" s="35">
        <f t="shared" si="132"/>
        <v>0</v>
      </c>
      <c r="I739" s="2911">
        <f t="shared" si="133"/>
        <v>0</v>
      </c>
      <c r="J739" s="2863"/>
      <c r="K739" s="223">
        <f t="shared" si="134"/>
        <v>5</v>
      </c>
      <c r="L739" s="910"/>
      <c r="M739" s="910"/>
    </row>
    <row r="740" spans="1:13">
      <c r="A740" s="2837"/>
      <c r="B740" s="2898" t="str">
        <f>дома!A1806</f>
        <v>Нет наждачной бумаги</v>
      </c>
      <c r="C740" s="236" t="str">
        <f>дома!B1806</f>
        <v>м</v>
      </c>
      <c r="D740" s="2899">
        <f>дома!C1806</f>
        <v>0</v>
      </c>
      <c r="E740" s="35">
        <f>дома!D1806</f>
        <v>0</v>
      </c>
      <c r="F740" s="35"/>
      <c r="G740" s="275">
        <f t="shared" si="131"/>
        <v>0</v>
      </c>
      <c r="H740" s="35">
        <f t="shared" si="132"/>
        <v>0</v>
      </c>
      <c r="I740" s="2911">
        <f t="shared" si="133"/>
        <v>0</v>
      </c>
      <c r="J740" s="2863"/>
      <c r="K740" s="223">
        <f t="shared" si="134"/>
        <v>0</v>
      </c>
      <c r="L740" s="910"/>
      <c r="M740" s="910"/>
    </row>
    <row r="741" spans="1:13">
      <c r="A741" s="2837"/>
      <c r="B741" s="2898" t="str">
        <f>дома!A1807</f>
        <v>Бумага наждачная № 63 F(30)</v>
      </c>
      <c r="C741" s="236" t="str">
        <f>дома!B1807</f>
        <v>м</v>
      </c>
      <c r="D741" s="2899">
        <f>дома!C1807</f>
        <v>0</v>
      </c>
      <c r="E741" s="35">
        <f>дома!D1807</f>
        <v>291</v>
      </c>
      <c r="F741" s="35"/>
      <c r="G741" s="275">
        <f t="shared" si="131"/>
        <v>0</v>
      </c>
      <c r="H741" s="35">
        <f t="shared" si="132"/>
        <v>0</v>
      </c>
      <c r="I741" s="2911">
        <f t="shared" si="133"/>
        <v>0</v>
      </c>
      <c r="J741" s="2863"/>
      <c r="K741" s="223">
        <f t="shared" si="134"/>
        <v>0</v>
      </c>
      <c r="L741" s="910"/>
      <c r="M741" s="910"/>
    </row>
    <row r="742" spans="1:13">
      <c r="A742" s="2837"/>
      <c r="B742" s="2898" t="str">
        <f>дома!A1808</f>
        <v>Бумага наждачная № 40</v>
      </c>
      <c r="C742" s="236" t="str">
        <f>дома!B1808</f>
        <v>м</v>
      </c>
      <c r="D742" s="2899">
        <f>дома!C1808</f>
        <v>0</v>
      </c>
      <c r="E742" s="35">
        <f>дома!D1808</f>
        <v>240</v>
      </c>
      <c r="F742" s="35"/>
      <c r="G742" s="275">
        <f t="shared" si="131"/>
        <v>0</v>
      </c>
      <c r="H742" s="35">
        <f t="shared" si="132"/>
        <v>0</v>
      </c>
      <c r="I742" s="2911">
        <f t="shared" si="133"/>
        <v>0</v>
      </c>
      <c r="J742" s="2863"/>
      <c r="K742" s="223">
        <f t="shared" si="134"/>
        <v>0</v>
      </c>
      <c r="L742" s="910"/>
      <c r="M742" s="910"/>
    </row>
    <row r="743" spans="1:13">
      <c r="A743" s="2837"/>
      <c r="B743" s="3292" t="s">
        <v>4656</v>
      </c>
      <c r="C743" s="3292"/>
      <c r="D743" s="3292"/>
      <c r="E743" s="3292"/>
      <c r="F743" s="2937"/>
      <c r="G743" s="35">
        <f>SUM(G720:G742)*H718</f>
        <v>0</v>
      </c>
      <c r="H743" s="35">
        <f>SUM(H720:H742)</f>
        <v>0</v>
      </c>
      <c r="I743" s="2911">
        <f t="shared" si="133"/>
        <v>0</v>
      </c>
      <c r="J743" s="2863"/>
      <c r="K743" s="223">
        <f t="shared" si="134"/>
        <v>0</v>
      </c>
      <c r="L743" s="2854"/>
    </row>
    <row r="744" spans="1:13">
      <c r="A744" s="2837"/>
      <c r="B744" s="3279" t="s">
        <v>1409</v>
      </c>
      <c r="C744" s="3279"/>
      <c r="D744" s="3279"/>
      <c r="E744" s="3279"/>
      <c r="F744" s="2936"/>
      <c r="G744" s="941"/>
      <c r="H744" s="2891">
        <f>H718</f>
        <v>0</v>
      </c>
      <c r="I744" s="2879">
        <f>H744</f>
        <v>0</v>
      </c>
      <c r="J744" s="2892"/>
      <c r="K744" s="2893"/>
    </row>
    <row r="745" spans="1:13">
      <c r="A745" s="2837"/>
      <c r="B745" s="2898" t="str">
        <f>дома!G1786</f>
        <v>кладка бруса</v>
      </c>
      <c r="C745" s="236" t="s">
        <v>135</v>
      </c>
      <c r="D745" s="2899">
        <f>дома!J1786</f>
        <v>25.502400000000016</v>
      </c>
      <c r="E745" s="35">
        <f>дома!K1786</f>
        <v>4000</v>
      </c>
      <c r="F745" s="35"/>
      <c r="G745" s="275">
        <f t="shared" ref="G745:G753" si="135">IF(F745&gt;0,D745*F745,E745*D745)</f>
        <v>102009.60000000006</v>
      </c>
      <c r="H745" s="35">
        <f t="shared" ref="H745:H753" si="136">D745*E745*$H$718</f>
        <v>0</v>
      </c>
      <c r="I745" s="2836">
        <f t="shared" ref="I745:I754" si="137">IF(G745&gt;H745,G745,H745)*$H$718</f>
        <v>0</v>
      </c>
      <c r="J745" s="2829"/>
      <c r="K745" s="2837"/>
    </row>
    <row r="746" spans="1:13">
      <c r="A746" s="2837"/>
      <c r="B746" s="2898" t="str">
        <f>дома!G1787</f>
        <v>окосячка проемов, м.п.</v>
      </c>
      <c r="C746" s="236" t="s">
        <v>156</v>
      </c>
      <c r="D746" s="2899">
        <f>дома!J1787</f>
        <v>0</v>
      </c>
      <c r="E746" s="35">
        <f>дома!K1787</f>
        <v>150</v>
      </c>
      <c r="F746" s="35"/>
      <c r="G746" s="275">
        <f t="shared" si="135"/>
        <v>0</v>
      </c>
      <c r="H746" s="35">
        <f t="shared" si="136"/>
        <v>0</v>
      </c>
      <c r="I746" s="2836">
        <f t="shared" si="137"/>
        <v>0</v>
      </c>
      <c r="J746" s="2829"/>
      <c r="K746" s="2837"/>
    </row>
    <row r="747" spans="1:13">
      <c r="A747" s="2837"/>
      <c r="B747" s="2898" t="str">
        <f>дома!G1788</f>
        <v>обработка торцов на брусе</v>
      </c>
      <c r="C747" s="236" t="s">
        <v>156</v>
      </c>
      <c r="D747" s="2899">
        <f>дома!J1788</f>
        <v>14.400000000000002</v>
      </c>
      <c r="E747" s="35">
        <f>дома!K1788</f>
        <v>250</v>
      </c>
      <c r="F747" s="35"/>
      <c r="G747" s="275">
        <f t="shared" si="135"/>
        <v>3600.0000000000005</v>
      </c>
      <c r="H747" s="35">
        <f t="shared" si="136"/>
        <v>0</v>
      </c>
      <c r="I747" s="2836">
        <f t="shared" si="137"/>
        <v>0</v>
      </c>
      <c r="J747" s="2829"/>
      <c r="K747" s="2837"/>
    </row>
    <row r="748" spans="1:13">
      <c r="A748" s="2837"/>
      <c r="B748" s="2898" t="str">
        <f>дома!G1789</f>
        <v>Обаботка огнебиозащитой</v>
      </c>
      <c r="C748" s="236" t="s">
        <v>156</v>
      </c>
      <c r="D748" s="2899">
        <f>дома!J1789</f>
        <v>25.502400000000016</v>
      </c>
      <c r="E748" s="35">
        <f>дома!K1789</f>
        <v>300</v>
      </c>
      <c r="F748" s="35"/>
      <c r="G748" s="275">
        <f t="shared" si="135"/>
        <v>7650.7200000000048</v>
      </c>
      <c r="H748" s="35">
        <f t="shared" si="136"/>
        <v>0</v>
      </c>
      <c r="I748" s="2836">
        <f t="shared" si="137"/>
        <v>0</v>
      </c>
      <c r="J748" s="2829"/>
      <c r="K748" s="2837"/>
    </row>
    <row r="749" spans="1:13">
      <c r="A749" s="2837"/>
      <c r="B749" s="2898" t="str">
        <f>дома!G1790</f>
        <v>Пропитка стен внешних</v>
      </c>
      <c r="C749" s="236" t="s">
        <v>156</v>
      </c>
      <c r="D749" s="2899">
        <f>дома!J1790</f>
        <v>0</v>
      </c>
      <c r="E749" s="35">
        <f>дома!K1790</f>
        <v>100</v>
      </c>
      <c r="F749" s="35"/>
      <c r="G749" s="275">
        <f t="shared" si="135"/>
        <v>0</v>
      </c>
      <c r="H749" s="35">
        <f t="shared" si="136"/>
        <v>0</v>
      </c>
      <c r="I749" s="2836">
        <f t="shared" si="137"/>
        <v>0</v>
      </c>
      <c r="J749" s="2829"/>
      <c r="K749" s="2837"/>
    </row>
    <row r="750" spans="1:13">
      <c r="A750" s="2837"/>
      <c r="B750" s="2898" t="str">
        <f>дома!G1791</f>
        <v>Пропитка внутенних стен</v>
      </c>
      <c r="C750" s="236" t="s">
        <v>156</v>
      </c>
      <c r="D750" s="2899">
        <f>дома!J1791</f>
        <v>0</v>
      </c>
      <c r="E750" s="35">
        <f>дома!K1791</f>
        <v>100</v>
      </c>
      <c r="F750" s="35"/>
      <c r="G750" s="275">
        <f t="shared" si="135"/>
        <v>0</v>
      </c>
      <c r="H750" s="35">
        <f t="shared" si="136"/>
        <v>0</v>
      </c>
      <c r="I750" s="2836">
        <f t="shared" si="137"/>
        <v>0</v>
      </c>
      <c r="J750" s="2829"/>
      <c r="K750" s="2837"/>
    </row>
    <row r="751" spans="1:13">
      <c r="A751" s="2837"/>
      <c r="B751" s="2898" t="str">
        <f>дома!G1792</f>
        <v>Сверление стен для скрытой проводки</v>
      </c>
      <c r="C751" s="236" t="s">
        <v>156</v>
      </c>
      <c r="D751" s="2899">
        <f>дома!J1792</f>
        <v>180</v>
      </c>
      <c r="E751" s="35">
        <f>дома!K1792</f>
        <v>300</v>
      </c>
      <c r="F751" s="35"/>
      <c r="G751" s="275">
        <f t="shared" si="135"/>
        <v>54000</v>
      </c>
      <c r="H751" s="35">
        <f t="shared" si="136"/>
        <v>0</v>
      </c>
      <c r="I751" s="2836">
        <f t="shared" si="137"/>
        <v>0</v>
      </c>
      <c r="J751" s="2829"/>
      <c r="K751" s="2837"/>
    </row>
    <row r="752" spans="1:13">
      <c r="A752" s="2837"/>
      <c r="B752" s="2898" t="str">
        <f>дома!G1793</f>
        <v>Монтаж наличника</v>
      </c>
      <c r="C752" s="236" t="s">
        <v>156</v>
      </c>
      <c r="D752" s="2899">
        <f>дома!J1793</f>
        <v>0</v>
      </c>
      <c r="E752" s="35">
        <f>дома!K1793</f>
        <v>80</v>
      </c>
      <c r="F752" s="35"/>
      <c r="G752" s="275">
        <f t="shared" si="135"/>
        <v>0</v>
      </c>
      <c r="H752" s="35">
        <f t="shared" si="136"/>
        <v>0</v>
      </c>
      <c r="I752" s="2836">
        <f t="shared" si="137"/>
        <v>0</v>
      </c>
      <c r="J752" s="2829"/>
      <c r="K752" s="2837"/>
    </row>
    <row r="753" spans="1:13">
      <c r="A753" s="2837"/>
      <c r="B753" s="2898" t="str">
        <f>дома!G1794</f>
        <v>Шлифовка стен дома</v>
      </c>
      <c r="C753" s="236" t="s">
        <v>156</v>
      </c>
      <c r="D753" s="2899">
        <f>дома!J1794</f>
        <v>0</v>
      </c>
      <c r="E753" s="35">
        <f>дома!K1794</f>
        <v>250</v>
      </c>
      <c r="F753" s="35"/>
      <c r="G753" s="275">
        <f t="shared" si="135"/>
        <v>0</v>
      </c>
      <c r="H753" s="35">
        <f t="shared" si="136"/>
        <v>0</v>
      </c>
      <c r="I753" s="2836">
        <f t="shared" si="137"/>
        <v>0</v>
      </c>
      <c r="J753" s="2829"/>
      <c r="K753" s="2837"/>
    </row>
    <row r="754" spans="1:13">
      <c r="A754" s="2837"/>
      <c r="B754" s="3278" t="s">
        <v>4641</v>
      </c>
      <c r="C754" s="3278"/>
      <c r="D754" s="3278"/>
      <c r="E754" s="3278"/>
      <c r="F754" s="2868"/>
      <c r="G754" s="2315">
        <f>SUM(G745:G753)*H744</f>
        <v>0</v>
      </c>
      <c r="H754" s="2315">
        <f>SUM(H745:H753)</f>
        <v>0</v>
      </c>
      <c r="I754" s="2836">
        <f t="shared" si="137"/>
        <v>0</v>
      </c>
      <c r="J754" s="2829"/>
      <c r="K754" s="2837"/>
    </row>
    <row r="755" spans="1:13" ht="21">
      <c r="A755" s="2837"/>
      <c r="B755" s="3282" t="s">
        <v>4264</v>
      </c>
      <c r="C755" s="3282"/>
      <c r="D755" s="3282"/>
      <c r="E755" s="3282"/>
      <c r="F755" s="2909"/>
      <c r="G755" s="941"/>
      <c r="H755" s="2901">
        <f>IF('Ввод данных'!$A$8=связи1!A160,1,0)+IF('Ввод данных'!$A$8=связи1!A166,1,0)+IF('Ввод данных'!$A$8=связи1!A174,1,0)</f>
        <v>0</v>
      </c>
      <c r="I755" s="2879">
        <f>H755</f>
        <v>0</v>
      </c>
      <c r="J755" s="2829"/>
      <c r="K755" s="2837"/>
    </row>
    <row r="756" spans="1:13">
      <c r="A756" s="2829"/>
      <c r="B756" s="3285" t="s">
        <v>2720</v>
      </c>
      <c r="C756" s="3285"/>
      <c r="D756" s="3285"/>
      <c r="E756" s="3285"/>
      <c r="F756" s="2910"/>
      <c r="G756" s="941"/>
      <c r="H756" s="2903">
        <f>H755</f>
        <v>0</v>
      </c>
      <c r="I756" s="2879">
        <f>H756</f>
        <v>0</v>
      </c>
      <c r="J756" s="2850"/>
      <c r="K756" s="2851"/>
    </row>
    <row r="757" spans="1:13">
      <c r="A757" s="2837"/>
      <c r="B757" s="275" t="str">
        <f>дома!A1985</f>
        <v>Оцилиндрованное бревно сосна 260мм</v>
      </c>
      <c r="C757" s="99" t="str">
        <f>дома!B1985</f>
        <v>м3</v>
      </c>
      <c r="D757" s="275">
        <f>дома!C1985</f>
        <v>3.7241718800000005</v>
      </c>
      <c r="E757" s="100">
        <f>дома!D1985</f>
        <v>10000</v>
      </c>
      <c r="F757" s="100"/>
      <c r="G757" s="275">
        <f t="shared" ref="G757:G779" si="138">IF(F757&gt;0,D757*F757,E757*D757)</f>
        <v>37241.718800000002</v>
      </c>
      <c r="H757" s="275">
        <f t="shared" ref="H757:H779" si="139">D757*E757*$H$755</f>
        <v>0</v>
      </c>
      <c r="I757" s="2911">
        <f t="shared" ref="I757:I780" si="140">IF(G757&gt;H757,G757,H757)*$H$755</f>
        <v>0</v>
      </c>
      <c r="J757" s="2863"/>
      <c r="K757" s="223">
        <f t="shared" ref="K757:K780" si="141">D757-J757</f>
        <v>3.7241718800000005</v>
      </c>
      <c r="L757" s="910"/>
      <c r="M757" s="910"/>
    </row>
    <row r="758" spans="1:13">
      <c r="A758" s="2837"/>
      <c r="B758" s="275" t="str">
        <f>дома!A1986</f>
        <v>Оцилиндрованное бревно сосна 260мм</v>
      </c>
      <c r="C758" s="99" t="str">
        <f>дома!B1986</f>
        <v>м3</v>
      </c>
      <c r="D758" s="275">
        <f>дома!C1986</f>
        <v>24.294676120000009</v>
      </c>
      <c r="E758" s="100">
        <f>дома!D1986</f>
        <v>8500</v>
      </c>
      <c r="F758" s="100"/>
      <c r="G758" s="275">
        <f t="shared" si="138"/>
        <v>206504.74702000007</v>
      </c>
      <c r="H758" s="275">
        <f t="shared" si="139"/>
        <v>0</v>
      </c>
      <c r="I758" s="2911">
        <f t="shared" si="140"/>
        <v>0</v>
      </c>
      <c r="J758" s="2863"/>
      <c r="K758" s="223">
        <f t="shared" si="141"/>
        <v>24.294676120000009</v>
      </c>
      <c r="L758" s="910"/>
      <c r="M758" s="910"/>
    </row>
    <row r="759" spans="1:13">
      <c r="A759" s="2837"/>
      <c r="B759" s="275" t="str">
        <f>дома!A1987</f>
        <v>Оцилиндрованное бревно сосна 200мм</v>
      </c>
      <c r="C759" s="99" t="str">
        <f>дома!B1987</f>
        <v>м3</v>
      </c>
      <c r="D759" s="275">
        <f>дома!C1987</f>
        <v>0</v>
      </c>
      <c r="E759" s="100">
        <f>дома!D1987</f>
        <v>8000</v>
      </c>
      <c r="F759" s="100"/>
      <c r="G759" s="275">
        <f t="shared" si="138"/>
        <v>0</v>
      </c>
      <c r="H759" s="275">
        <f t="shared" si="139"/>
        <v>0</v>
      </c>
      <c r="I759" s="2911">
        <f t="shared" si="140"/>
        <v>0</v>
      </c>
      <c r="J759" s="2863"/>
      <c r="K759" s="223">
        <f t="shared" si="141"/>
        <v>0</v>
      </c>
      <c r="L759" s="910"/>
      <c r="M759" s="910"/>
    </row>
    <row r="760" spans="1:13">
      <c r="A760" s="2837"/>
      <c r="B760" s="275" t="str">
        <f>дома!A1988</f>
        <v>Оцилиндрованное бревно сосна 200мм</v>
      </c>
      <c r="C760" s="99" t="str">
        <f>дома!B1988</f>
        <v>м2</v>
      </c>
      <c r="D760" s="275">
        <f>дома!C1988</f>
        <v>0</v>
      </c>
      <c r="E760" s="100">
        <f>дома!D1988</f>
        <v>8000</v>
      </c>
      <c r="F760" s="100"/>
      <c r="G760" s="275">
        <f t="shared" si="138"/>
        <v>0</v>
      </c>
      <c r="H760" s="275">
        <f t="shared" si="139"/>
        <v>0</v>
      </c>
      <c r="I760" s="2911">
        <f t="shared" si="140"/>
        <v>0</v>
      </c>
      <c r="J760" s="2863"/>
      <c r="K760" s="223">
        <f t="shared" si="141"/>
        <v>0</v>
      </c>
      <c r="L760" s="910"/>
      <c r="M760" s="910"/>
    </row>
    <row r="761" spans="1:13">
      <c r="A761" s="2837"/>
      <c r="B761" s="275" t="str">
        <f>дома!A1989</f>
        <v>Шкант</v>
      </c>
      <c r="C761" s="99" t="str">
        <f>дома!B1989</f>
        <v>шт</v>
      </c>
      <c r="D761" s="275">
        <f>дома!C1989</f>
        <v>7.5435360000000005</v>
      </c>
      <c r="E761" s="100">
        <f>дома!D1989</f>
        <v>6</v>
      </c>
      <c r="F761" s="100"/>
      <c r="G761" s="275">
        <f t="shared" si="138"/>
        <v>45.261216000000005</v>
      </c>
      <c r="H761" s="275">
        <f t="shared" si="139"/>
        <v>0</v>
      </c>
      <c r="I761" s="2911">
        <f t="shared" si="140"/>
        <v>0</v>
      </c>
      <c r="J761" s="2863"/>
      <c r="K761" s="223">
        <f t="shared" si="141"/>
        <v>7.5435360000000005</v>
      </c>
      <c r="L761" s="910"/>
      <c r="M761" s="910"/>
    </row>
    <row r="762" spans="1:13">
      <c r="A762" s="2837"/>
      <c r="B762" s="275" t="str">
        <f>дома!A1990</f>
        <v>Лен-джут 200х5х20000 мм</v>
      </c>
      <c r="C762" s="99" t="str">
        <f>дома!B1990</f>
        <v>шт</v>
      </c>
      <c r="D762" s="275">
        <f>дома!C1990</f>
        <v>33</v>
      </c>
      <c r="E762" s="100">
        <f>дома!D1990</f>
        <v>175</v>
      </c>
      <c r="F762" s="100"/>
      <c r="G762" s="275">
        <f t="shared" si="138"/>
        <v>5775</v>
      </c>
      <c r="H762" s="275">
        <f t="shared" si="139"/>
        <v>0</v>
      </c>
      <c r="I762" s="2911">
        <f t="shared" si="140"/>
        <v>0</v>
      </c>
      <c r="J762" s="2863"/>
      <c r="K762" s="223">
        <f t="shared" si="141"/>
        <v>33</v>
      </c>
      <c r="L762" s="910"/>
      <c r="M762" s="910"/>
    </row>
    <row r="763" spans="1:13">
      <c r="A763" s="2837"/>
      <c r="B763" s="275" t="str">
        <f>дома!A1991</f>
        <v xml:space="preserve">Гвозди ершоные 2,8 х 90            </v>
      </c>
      <c r="C763" s="99" t="str">
        <f>дома!B1991</f>
        <v>шт</v>
      </c>
      <c r="D763" s="275">
        <f>дома!C1991</f>
        <v>4.8400000000000007</v>
      </c>
      <c r="E763" s="100">
        <f>дома!D1991</f>
        <v>76.489999999999995</v>
      </c>
      <c r="F763" s="100"/>
      <c r="G763" s="275">
        <f t="shared" si="138"/>
        <v>370.21160000000003</v>
      </c>
      <c r="H763" s="275">
        <f t="shared" si="139"/>
        <v>0</v>
      </c>
      <c r="I763" s="2911">
        <f t="shared" si="140"/>
        <v>0</v>
      </c>
      <c r="J763" s="2863"/>
      <c r="K763" s="223">
        <f t="shared" si="141"/>
        <v>4.8400000000000007</v>
      </c>
      <c r="L763" s="910"/>
      <c r="M763" s="910"/>
    </row>
    <row r="764" spans="1:13">
      <c r="A764" s="2837"/>
      <c r="B764" s="275" t="str">
        <f>дома!A1992</f>
        <v>нет</v>
      </c>
      <c r="C764" s="99" t="str">
        <f>дома!B1992</f>
        <v>м3</v>
      </c>
      <c r="D764" s="275">
        <f>дома!C1992</f>
        <v>0</v>
      </c>
      <c r="E764" s="100">
        <f>дома!D1992</f>
        <v>0</v>
      </c>
      <c r="F764" s="100"/>
      <c r="G764" s="275">
        <f t="shared" si="138"/>
        <v>0</v>
      </c>
      <c r="H764" s="275">
        <f t="shared" si="139"/>
        <v>0</v>
      </c>
      <c r="I764" s="2911">
        <f t="shared" si="140"/>
        <v>0</v>
      </c>
      <c r="J764" s="2863"/>
      <c r="K764" s="223">
        <f t="shared" si="141"/>
        <v>0</v>
      </c>
      <c r="L764" s="910"/>
      <c r="M764" s="910"/>
    </row>
    <row r="765" spans="1:13">
      <c r="A765" s="2837"/>
      <c r="B765" s="275" t="str">
        <f>дома!A1993</f>
        <v>Доска сухая, 100*50мм</v>
      </c>
      <c r="C765" s="99" t="str">
        <f>дома!B1993</f>
        <v>м3</v>
      </c>
      <c r="D765" s="275">
        <f>дома!C1993</f>
        <v>0</v>
      </c>
      <c r="E765" s="100">
        <f>дома!D1993</f>
        <v>9000</v>
      </c>
      <c r="F765" s="100"/>
      <c r="G765" s="275">
        <f t="shared" si="138"/>
        <v>0</v>
      </c>
      <c r="H765" s="275">
        <f t="shared" si="139"/>
        <v>0</v>
      </c>
      <c r="I765" s="2911">
        <f t="shared" si="140"/>
        <v>0</v>
      </c>
      <c r="J765" s="2863"/>
      <c r="K765" s="223">
        <f t="shared" si="141"/>
        <v>0</v>
      </c>
      <c r="L765" s="910"/>
      <c r="M765" s="910"/>
    </row>
    <row r="766" spans="1:13">
      <c r="A766" s="2837"/>
      <c r="B766" s="275" t="str">
        <f>дома!A1994</f>
        <v>Доска сухая калиброванная, 100*45мм</v>
      </c>
      <c r="C766" s="99" t="str">
        <f>дома!B1994</f>
        <v>м3</v>
      </c>
      <c r="D766" s="275">
        <f>дома!C1994</f>
        <v>0</v>
      </c>
      <c r="E766" s="100">
        <f>дома!D1994</f>
        <v>12500</v>
      </c>
      <c r="F766" s="100"/>
      <c r="G766" s="275">
        <f t="shared" si="138"/>
        <v>0</v>
      </c>
      <c r="H766" s="275">
        <f t="shared" si="139"/>
        <v>0</v>
      </c>
      <c r="I766" s="2911">
        <f t="shared" si="140"/>
        <v>0</v>
      </c>
      <c r="J766" s="2863"/>
      <c r="K766" s="223">
        <f t="shared" si="141"/>
        <v>0</v>
      </c>
      <c r="L766" s="910"/>
      <c r="M766" s="910"/>
    </row>
    <row r="767" spans="1:13">
      <c r="A767" s="2837"/>
      <c r="B767" s="275" t="str">
        <f>дома!A1995</f>
        <v>Сосна влаж, 50*50мм</v>
      </c>
      <c r="C767" s="99" t="str">
        <f>дома!B1995</f>
        <v>м.п.</v>
      </c>
      <c r="D767" s="275">
        <f>дома!C1995</f>
        <v>0</v>
      </c>
      <c r="E767" s="100">
        <f>дома!D1995</f>
        <v>16.25</v>
      </c>
      <c r="F767" s="100"/>
      <c r="G767" s="275">
        <f t="shared" si="138"/>
        <v>0</v>
      </c>
      <c r="H767" s="275">
        <f t="shared" si="139"/>
        <v>0</v>
      </c>
      <c r="I767" s="2911">
        <f t="shared" si="140"/>
        <v>0</v>
      </c>
      <c r="J767" s="2863"/>
      <c r="K767" s="223">
        <f t="shared" si="141"/>
        <v>0</v>
      </c>
      <c r="L767" s="910"/>
      <c r="M767" s="910"/>
    </row>
    <row r="768" spans="1:13">
      <c r="A768" s="2837"/>
      <c r="B768" s="275" t="str">
        <f>дома!A1996</f>
        <v>Бензин для пилы</v>
      </c>
      <c r="C768" s="99" t="str">
        <f>дома!B1996</f>
        <v>л</v>
      </c>
      <c r="D768" s="275">
        <f>дома!C1996</f>
        <v>5.6037696000000015</v>
      </c>
      <c r="E768" s="100">
        <f>дома!D1996</f>
        <v>40</v>
      </c>
      <c r="F768" s="100"/>
      <c r="G768" s="275">
        <f t="shared" si="138"/>
        <v>224.15078400000004</v>
      </c>
      <c r="H768" s="275">
        <f t="shared" si="139"/>
        <v>0</v>
      </c>
      <c r="I768" s="2911">
        <f t="shared" si="140"/>
        <v>0</v>
      </c>
      <c r="J768" s="2863"/>
      <c r="K768" s="223">
        <f t="shared" si="141"/>
        <v>5.6037696000000015</v>
      </c>
      <c r="L768" s="910"/>
      <c r="M768" s="910"/>
    </row>
    <row r="769" spans="1:13">
      <c r="A769" s="2837"/>
      <c r="B769" s="275" t="str">
        <f>дома!A1997</f>
        <v>Масло для пилы</v>
      </c>
      <c r="C769" s="99" t="str">
        <f>дома!B1997</f>
        <v>л</v>
      </c>
      <c r="D769" s="275">
        <f>дома!C1997</f>
        <v>0.28018848000000007</v>
      </c>
      <c r="E769" s="100">
        <f>дома!D1997</f>
        <v>250</v>
      </c>
      <c r="F769" s="100"/>
      <c r="G769" s="275">
        <f t="shared" si="138"/>
        <v>70.047120000000021</v>
      </c>
      <c r="H769" s="275">
        <f t="shared" si="139"/>
        <v>0</v>
      </c>
      <c r="I769" s="2911">
        <f t="shared" si="140"/>
        <v>0</v>
      </c>
      <c r="J769" s="2863"/>
      <c r="K769" s="223">
        <f t="shared" si="141"/>
        <v>0.28018848000000007</v>
      </c>
      <c r="L769" s="910"/>
      <c r="M769" s="910"/>
    </row>
    <row r="770" spans="1:13">
      <c r="A770" s="2837"/>
      <c r="B770" s="275" t="str">
        <f>дома!A1998</f>
        <v>Цепь для пилы</v>
      </c>
      <c r="C770" s="99" t="s">
        <v>159</v>
      </c>
      <c r="D770" s="275">
        <f>дома!C1998</f>
        <v>3</v>
      </c>
      <c r="E770" s="100">
        <f>дома!D1998</f>
        <v>800</v>
      </c>
      <c r="F770" s="100"/>
      <c r="G770" s="275">
        <f t="shared" si="138"/>
        <v>2400</v>
      </c>
      <c r="H770" s="275">
        <f t="shared" si="139"/>
        <v>0</v>
      </c>
      <c r="I770" s="2911">
        <f t="shared" si="140"/>
        <v>0</v>
      </c>
      <c r="J770" s="2863"/>
      <c r="K770" s="223">
        <f t="shared" si="141"/>
        <v>3</v>
      </c>
      <c r="L770" s="910"/>
      <c r="M770" s="910"/>
    </row>
    <row r="771" spans="1:13">
      <c r="A771" s="2837"/>
      <c r="B771" s="275" t="str">
        <f>дома!A1999</f>
        <v>"Профилюкс" Антисептик АНТИПЛЕСЕНЬ</v>
      </c>
      <c r="C771" s="99" t="str">
        <f>дома!B1999</f>
        <v>л</v>
      </c>
      <c r="D771" s="275">
        <f>дома!C1999</f>
        <v>39.187200000000018</v>
      </c>
      <c r="E771" s="100">
        <f>дома!D1999</f>
        <v>108</v>
      </c>
      <c r="F771" s="100"/>
      <c r="G771" s="275">
        <f t="shared" si="138"/>
        <v>4232.2176000000018</v>
      </c>
      <c r="H771" s="275">
        <f t="shared" si="139"/>
        <v>0</v>
      </c>
      <c r="I771" s="2911">
        <f t="shared" si="140"/>
        <v>0</v>
      </c>
      <c r="J771" s="2863"/>
      <c r="K771" s="223">
        <f t="shared" si="141"/>
        <v>39.187200000000018</v>
      </c>
      <c r="L771" s="910"/>
      <c r="M771" s="910"/>
    </row>
    <row r="772" spans="1:13">
      <c r="A772" s="2837"/>
      <c r="B772" s="275" t="str">
        <f>дома!A2000</f>
        <v>"Тонерол" Антисептик  бесцветный  1л</v>
      </c>
      <c r="C772" s="99" t="str">
        <f>дома!B2000</f>
        <v>л</v>
      </c>
      <c r="D772" s="275">
        <f>дома!C2000</f>
        <v>23.512320000000006</v>
      </c>
      <c r="E772" s="100">
        <f>дома!D2000</f>
        <v>305</v>
      </c>
      <c r="F772" s="100"/>
      <c r="G772" s="275">
        <f t="shared" si="138"/>
        <v>7171.2576000000017</v>
      </c>
      <c r="H772" s="275">
        <f t="shared" si="139"/>
        <v>0</v>
      </c>
      <c r="I772" s="2911">
        <f t="shared" si="140"/>
        <v>0</v>
      </c>
      <c r="J772" s="2863"/>
      <c r="K772" s="223">
        <f t="shared" si="141"/>
        <v>23.512320000000006</v>
      </c>
      <c r="L772" s="910"/>
      <c r="M772" s="910"/>
    </row>
    <row r="773" spans="1:13">
      <c r="A773" s="2837"/>
      <c r="B773" s="275" t="str">
        <f>дома!A2001</f>
        <v>"Тонерол" Антисептик  махагон  1л</v>
      </c>
      <c r="C773" s="99" t="str">
        <f>дома!B2001</f>
        <v>л</v>
      </c>
      <c r="D773" s="275">
        <f>дома!C2001</f>
        <v>23.512320000000006</v>
      </c>
      <c r="E773" s="100">
        <f>дома!D2001</f>
        <v>305</v>
      </c>
      <c r="F773" s="100"/>
      <c r="G773" s="275">
        <f t="shared" si="138"/>
        <v>7171.2576000000017</v>
      </c>
      <c r="H773" s="275">
        <f t="shared" si="139"/>
        <v>0</v>
      </c>
      <c r="I773" s="2911">
        <f t="shared" si="140"/>
        <v>0</v>
      </c>
      <c r="J773" s="2863"/>
      <c r="K773" s="223">
        <f t="shared" si="141"/>
        <v>23.512320000000006</v>
      </c>
      <c r="L773" s="910"/>
      <c r="M773" s="910"/>
    </row>
    <row r="774" spans="1:13">
      <c r="A774" s="2837"/>
      <c r="B774" s="275" t="str">
        <f>дома!A2002</f>
        <v>Нет наличника</v>
      </c>
      <c r="C774" s="99" t="str">
        <f>дома!B2002</f>
        <v>м.п.</v>
      </c>
      <c r="D774" s="275">
        <f>дома!C2002</f>
        <v>3.5700000000000007</v>
      </c>
      <c r="E774" s="100">
        <f>дома!D2002</f>
        <v>0</v>
      </c>
      <c r="F774" s="100"/>
      <c r="G774" s="275">
        <f t="shared" si="138"/>
        <v>0</v>
      </c>
      <c r="H774" s="275">
        <f t="shared" si="139"/>
        <v>0</v>
      </c>
      <c r="I774" s="2911">
        <f t="shared" si="140"/>
        <v>0</v>
      </c>
      <c r="J774" s="2863"/>
      <c r="K774" s="223">
        <f t="shared" si="141"/>
        <v>3.5700000000000007</v>
      </c>
      <c r="L774" s="910"/>
      <c r="M774" s="910"/>
    </row>
    <row r="775" spans="1:13">
      <c r="A775" s="2837"/>
      <c r="B775" s="275" t="str">
        <f>дома!A2003</f>
        <v>Нет наличника</v>
      </c>
      <c r="C775" s="99" t="str">
        <f>дома!B2003</f>
        <v>м.п.</v>
      </c>
      <c r="D775" s="275">
        <f>дома!C2003</f>
        <v>3.5700000000000007</v>
      </c>
      <c r="E775" s="100">
        <f>дома!D2003</f>
        <v>0</v>
      </c>
      <c r="F775" s="100"/>
      <c r="G775" s="275">
        <f t="shared" si="138"/>
        <v>0</v>
      </c>
      <c r="H775" s="275">
        <f t="shared" si="139"/>
        <v>0</v>
      </c>
      <c r="I775" s="2911">
        <f t="shared" si="140"/>
        <v>0</v>
      </c>
      <c r="J775" s="2863"/>
      <c r="K775" s="223">
        <f t="shared" si="141"/>
        <v>3.5700000000000007</v>
      </c>
      <c r="L775" s="910"/>
      <c r="M775" s="910"/>
    </row>
    <row r="776" spans="1:13">
      <c r="A776" s="2837"/>
      <c r="B776" s="275" t="str">
        <f>дома!A2004</f>
        <v>Бумага наждачная № 63 F(30)</v>
      </c>
      <c r="C776" s="99" t="str">
        <f>дома!B2004</f>
        <v>м</v>
      </c>
      <c r="D776" s="275">
        <f>дома!C2004</f>
        <v>5</v>
      </c>
      <c r="E776" s="100">
        <f>дома!D2004</f>
        <v>291</v>
      </c>
      <c r="F776" s="100"/>
      <c r="G776" s="275">
        <f t="shared" si="138"/>
        <v>1455</v>
      </c>
      <c r="H776" s="275">
        <f t="shared" si="139"/>
        <v>0</v>
      </c>
      <c r="I776" s="2911">
        <f t="shared" si="140"/>
        <v>0</v>
      </c>
      <c r="J776" s="2863"/>
      <c r="K776" s="223">
        <f t="shared" si="141"/>
        <v>5</v>
      </c>
      <c r="L776" s="910"/>
      <c r="M776" s="910"/>
    </row>
    <row r="777" spans="1:13">
      <c r="A777" s="2837"/>
      <c r="B777" s="275" t="str">
        <f>дома!A2005</f>
        <v>Нет наждачной бумаги</v>
      </c>
      <c r="C777" s="99" t="str">
        <f>дома!B2005</f>
        <v>м</v>
      </c>
      <c r="D777" s="275">
        <f>дома!C2005</f>
        <v>0</v>
      </c>
      <c r="E777" s="100">
        <f>дома!D2005</f>
        <v>0</v>
      </c>
      <c r="F777" s="100"/>
      <c r="G777" s="275">
        <f t="shared" si="138"/>
        <v>0</v>
      </c>
      <c r="H777" s="275">
        <f t="shared" si="139"/>
        <v>0</v>
      </c>
      <c r="I777" s="2911">
        <f t="shared" si="140"/>
        <v>0</v>
      </c>
      <c r="J777" s="2863"/>
      <c r="K777" s="223">
        <f t="shared" si="141"/>
        <v>0</v>
      </c>
      <c r="L777" s="910"/>
      <c r="M777" s="910"/>
    </row>
    <row r="778" spans="1:13">
      <c r="A778" s="2837"/>
      <c r="B778" s="275" t="str">
        <f>дома!A2006</f>
        <v>Бумага наждачная № 63 F(30)</v>
      </c>
      <c r="C778" s="99" t="str">
        <f>дома!B2006</f>
        <v>м</v>
      </c>
      <c r="D778" s="275">
        <f>дома!C2006</f>
        <v>0</v>
      </c>
      <c r="E778" s="100">
        <f>дома!D2006</f>
        <v>291</v>
      </c>
      <c r="F778" s="100"/>
      <c r="G778" s="275">
        <f t="shared" si="138"/>
        <v>0</v>
      </c>
      <c r="H778" s="275">
        <f t="shared" si="139"/>
        <v>0</v>
      </c>
      <c r="I778" s="2911">
        <f t="shared" si="140"/>
        <v>0</v>
      </c>
      <c r="J778" s="2863"/>
      <c r="K778" s="223">
        <f t="shared" si="141"/>
        <v>0</v>
      </c>
      <c r="L778" s="910"/>
      <c r="M778" s="910"/>
    </row>
    <row r="779" spans="1:13">
      <c r="A779" s="2837"/>
      <c r="B779" s="275" t="str">
        <f>дома!A2007</f>
        <v>Бумага наждачная № 40</v>
      </c>
      <c r="C779" s="99" t="str">
        <f>дома!B2007</f>
        <v>м</v>
      </c>
      <c r="D779" s="275">
        <f>дома!C2007</f>
        <v>0</v>
      </c>
      <c r="E779" s="100">
        <f>дома!D2007</f>
        <v>240</v>
      </c>
      <c r="F779" s="100"/>
      <c r="G779" s="275">
        <f t="shared" si="138"/>
        <v>0</v>
      </c>
      <c r="H779" s="275">
        <f t="shared" si="139"/>
        <v>0</v>
      </c>
      <c r="I779" s="2911">
        <f t="shared" si="140"/>
        <v>0</v>
      </c>
      <c r="J779" s="2863"/>
      <c r="K779" s="223">
        <f t="shared" si="141"/>
        <v>0</v>
      </c>
      <c r="L779" s="910"/>
      <c r="M779" s="910"/>
    </row>
    <row r="780" spans="1:13">
      <c r="A780" s="2837"/>
      <c r="B780" s="3278" t="s">
        <v>4640</v>
      </c>
      <c r="C780" s="3278"/>
      <c r="D780" s="3278"/>
      <c r="E780" s="3278"/>
      <c r="F780" s="2868"/>
      <c r="G780" s="2315">
        <f>SUM(G757:G779)*H755</f>
        <v>0</v>
      </c>
      <c r="H780" s="2315">
        <f>SUM(H757:H779)</f>
        <v>0</v>
      </c>
      <c r="I780" s="2911">
        <f t="shared" si="140"/>
        <v>0</v>
      </c>
      <c r="J780" s="2863"/>
      <c r="K780" s="223">
        <f t="shared" si="141"/>
        <v>0</v>
      </c>
      <c r="L780" s="910"/>
      <c r="M780" s="910"/>
    </row>
    <row r="781" spans="1:13">
      <c r="A781" s="2837"/>
      <c r="B781" s="3279" t="s">
        <v>1409</v>
      </c>
      <c r="C781" s="3279"/>
      <c r="D781" s="3279"/>
      <c r="E781" s="3279"/>
      <c r="F781" s="2912"/>
      <c r="G781" s="941"/>
      <c r="H781" s="2891">
        <f>H755</f>
        <v>0</v>
      </c>
      <c r="I781" s="2879">
        <f>H781</f>
        <v>0</v>
      </c>
      <c r="L781" s="910"/>
      <c r="M781" s="910"/>
    </row>
    <row r="782" spans="1:13">
      <c r="A782" s="2829"/>
      <c r="B782" s="2763" t="str">
        <f>дома!G1985</f>
        <v>кладка Дикого леса</v>
      </c>
      <c r="C782" s="2890" t="s">
        <v>135</v>
      </c>
      <c r="D782" s="302">
        <f>дома!J1985</f>
        <v>28.018848000000009</v>
      </c>
      <c r="E782" s="179">
        <f>дома!K1985</f>
        <v>6000</v>
      </c>
      <c r="F782" s="179"/>
      <c r="G782" s="275">
        <f t="shared" ref="G782:G790" si="142">IF(F782&gt;0,D782*F782,E782*D782)</f>
        <v>168113.08800000005</v>
      </c>
      <c r="H782" s="2315">
        <f t="shared" ref="H782:H790" si="143">D782*E782*$H$781</f>
        <v>0</v>
      </c>
      <c r="I782" s="2836">
        <f t="shared" ref="I782:I791" si="144">IF(G782&gt;H782,G782,H782)*$H$755</f>
        <v>0</v>
      </c>
      <c r="J782" s="2829"/>
      <c r="K782" s="2837"/>
    </row>
    <row r="783" spans="1:13">
      <c r="A783" s="2837"/>
      <c r="B783" s="2763" t="str">
        <f>дома!G1986</f>
        <v>окосячка проемов, м.п.</v>
      </c>
      <c r="C783" s="2890" t="s">
        <v>156</v>
      </c>
      <c r="D783" s="302">
        <f>дома!J1986</f>
        <v>0</v>
      </c>
      <c r="E783" s="179">
        <f>дома!K1986</f>
        <v>150</v>
      </c>
      <c r="F783" s="179"/>
      <c r="G783" s="275">
        <f t="shared" si="142"/>
        <v>0</v>
      </c>
      <c r="H783" s="2315">
        <f t="shared" si="143"/>
        <v>0</v>
      </c>
      <c r="I783" s="2836">
        <f t="shared" si="144"/>
        <v>0</v>
      </c>
      <c r="J783" s="2829"/>
      <c r="K783" s="2837"/>
    </row>
    <row r="784" spans="1:13">
      <c r="A784" s="2837"/>
      <c r="B784" s="2763" t="str">
        <f>дома!G1987</f>
        <v>обработка торцов на брусе</v>
      </c>
      <c r="C784" s="2890" t="s">
        <v>156</v>
      </c>
      <c r="D784" s="302">
        <f>дома!J1987</f>
        <v>14.400000000000002</v>
      </c>
      <c r="E784" s="179">
        <f>дома!K1987</f>
        <v>250</v>
      </c>
      <c r="F784" s="179"/>
      <c r="G784" s="275">
        <f t="shared" si="142"/>
        <v>3600.0000000000005</v>
      </c>
      <c r="H784" s="2315">
        <f t="shared" si="143"/>
        <v>0</v>
      </c>
      <c r="I784" s="2836">
        <f t="shared" si="144"/>
        <v>0</v>
      </c>
      <c r="J784" s="2829"/>
      <c r="K784" s="2837"/>
    </row>
    <row r="785" spans="1:12">
      <c r="A785" s="2837"/>
      <c r="B785" s="2763" t="str">
        <f>дома!G1988</f>
        <v>Обаботка огнебиозащитой</v>
      </c>
      <c r="C785" s="2890" t="s">
        <v>156</v>
      </c>
      <c r="D785" s="302">
        <f>дома!J1988</f>
        <v>28.018848000000009</v>
      </c>
      <c r="E785" s="179">
        <f>дома!K1988</f>
        <v>300</v>
      </c>
      <c r="F785" s="179"/>
      <c r="G785" s="275">
        <f t="shared" si="142"/>
        <v>8405.6544000000031</v>
      </c>
      <c r="H785" s="2315">
        <f t="shared" si="143"/>
        <v>0</v>
      </c>
      <c r="I785" s="2836">
        <f t="shared" si="144"/>
        <v>0</v>
      </c>
      <c r="J785" s="2829"/>
      <c r="K785" s="2837"/>
    </row>
    <row r="786" spans="1:12">
      <c r="A786" s="2837"/>
      <c r="B786" s="2763" t="str">
        <f>дома!G1989</f>
        <v>Пропитка стен внешних</v>
      </c>
      <c r="C786" s="2890" t="s">
        <v>156</v>
      </c>
      <c r="D786" s="302">
        <f>дома!J1989</f>
        <v>117.56160000000003</v>
      </c>
      <c r="E786" s="179">
        <f>дома!K1989</f>
        <v>100</v>
      </c>
      <c r="F786" s="179"/>
      <c r="G786" s="275">
        <f t="shared" si="142"/>
        <v>11756.160000000003</v>
      </c>
      <c r="H786" s="2315">
        <f t="shared" si="143"/>
        <v>0</v>
      </c>
      <c r="I786" s="2836">
        <f t="shared" si="144"/>
        <v>0</v>
      </c>
      <c r="J786" s="2829"/>
      <c r="K786" s="2837"/>
    </row>
    <row r="787" spans="1:12">
      <c r="A787" s="2837"/>
      <c r="B787" s="2763" t="str">
        <f>дома!G1990</f>
        <v>Пропитка внутенних стен</v>
      </c>
      <c r="C787" s="2890" t="s">
        <v>156</v>
      </c>
      <c r="D787" s="302">
        <f>дома!J1990</f>
        <v>117.56160000000003</v>
      </c>
      <c r="E787" s="179">
        <f>дома!K1990</f>
        <v>100</v>
      </c>
      <c r="F787" s="179"/>
      <c r="G787" s="275">
        <f t="shared" si="142"/>
        <v>11756.160000000003</v>
      </c>
      <c r="H787" s="2315">
        <f t="shared" si="143"/>
        <v>0</v>
      </c>
      <c r="I787" s="2836">
        <f t="shared" si="144"/>
        <v>0</v>
      </c>
      <c r="J787" s="2829"/>
      <c r="K787" s="2837"/>
    </row>
    <row r="788" spans="1:12">
      <c r="A788" s="2837"/>
      <c r="B788" s="2763" t="str">
        <f>дома!G1991</f>
        <v>Сверление стен для скрытой проводки</v>
      </c>
      <c r="C788" s="2890" t="s">
        <v>156</v>
      </c>
      <c r="D788" s="302">
        <f>дома!J1991</f>
        <v>180</v>
      </c>
      <c r="E788" s="179">
        <f>дома!K1991</f>
        <v>300</v>
      </c>
      <c r="F788" s="179"/>
      <c r="G788" s="275">
        <f t="shared" si="142"/>
        <v>54000</v>
      </c>
      <c r="H788" s="2315">
        <f t="shared" si="143"/>
        <v>0</v>
      </c>
      <c r="I788" s="2836">
        <f t="shared" si="144"/>
        <v>0</v>
      </c>
      <c r="J788" s="2829"/>
      <c r="K788" s="2837"/>
    </row>
    <row r="789" spans="1:12">
      <c r="A789" s="2837"/>
      <c r="B789" s="2763" t="str">
        <f>дома!G1992</f>
        <v>Монтаж наличника</v>
      </c>
      <c r="C789" s="2890" t="s">
        <v>156</v>
      </c>
      <c r="D789" s="302">
        <f>дома!J1992</f>
        <v>0</v>
      </c>
      <c r="E789" s="179">
        <f>дома!K1992</f>
        <v>80</v>
      </c>
      <c r="F789" s="179"/>
      <c r="G789" s="275">
        <f t="shared" si="142"/>
        <v>0</v>
      </c>
      <c r="H789" s="2315">
        <f t="shared" si="143"/>
        <v>0</v>
      </c>
      <c r="I789" s="2836">
        <f t="shared" si="144"/>
        <v>0</v>
      </c>
      <c r="J789" s="2829"/>
      <c r="K789" s="2837"/>
    </row>
    <row r="790" spans="1:12">
      <c r="A790" s="2837"/>
      <c r="B790" s="2763" t="str">
        <f>дома!G1993</f>
        <v>Шлифовка стен дома</v>
      </c>
      <c r="C790" s="2890" t="s">
        <v>156</v>
      </c>
      <c r="D790" s="302">
        <f>дома!J1993</f>
        <v>121.44000000000004</v>
      </c>
      <c r="E790" s="179">
        <f>дома!K1993</f>
        <v>250</v>
      </c>
      <c r="F790" s="179"/>
      <c r="G790" s="275">
        <f t="shared" si="142"/>
        <v>30360.000000000011</v>
      </c>
      <c r="H790" s="2315">
        <f t="shared" si="143"/>
        <v>0</v>
      </c>
      <c r="I790" s="2836">
        <f t="shared" si="144"/>
        <v>0</v>
      </c>
      <c r="J790" s="2829"/>
      <c r="K790" s="2837"/>
    </row>
    <row r="791" spans="1:12">
      <c r="A791" s="2837"/>
      <c r="B791" s="3278" t="s">
        <v>4641</v>
      </c>
      <c r="C791" s="3278"/>
      <c r="D791" s="3278"/>
      <c r="E791" s="3278"/>
      <c r="F791" s="2868"/>
      <c r="G791" s="2315">
        <f>SUM(G782:G790)*H781</f>
        <v>0</v>
      </c>
      <c r="H791" s="2315">
        <f>SUM(H782:H790)</f>
        <v>0</v>
      </c>
      <c r="I791" s="2836">
        <f t="shared" si="144"/>
        <v>0</v>
      </c>
      <c r="J791" s="2829"/>
      <c r="K791" s="2837"/>
    </row>
    <row r="792" spans="1:12" ht="21">
      <c r="A792" s="2837"/>
      <c r="B792" s="3282" t="s">
        <v>4262</v>
      </c>
      <c r="C792" s="3282"/>
      <c r="D792" s="3282"/>
      <c r="E792" s="3282"/>
      <c r="F792" s="2887"/>
      <c r="G792" s="941"/>
      <c r="H792" s="2901">
        <f>IF('Ввод данных'!$A$8=связи1!A161,1,0)+IF('Ввод данных'!$A$8=связи1!A175,1,0)+IF('Ввод данных'!$A$8=связи1!A182,1,0)+IF('Ввод данных'!$A$8=связи1!A167,1,0)</f>
        <v>0</v>
      </c>
      <c r="I792" s="2879">
        <f>H792</f>
        <v>0</v>
      </c>
      <c r="J792" s="2829"/>
      <c r="K792" s="2837"/>
    </row>
    <row r="793" spans="1:12">
      <c r="A793" s="2829"/>
      <c r="B793" s="3285" t="s">
        <v>2720</v>
      </c>
      <c r="C793" s="3285"/>
      <c r="D793" s="3285"/>
      <c r="E793" s="3285"/>
      <c r="F793" s="2902"/>
      <c r="G793" s="941"/>
      <c r="H793" s="2903">
        <f>H792</f>
        <v>0</v>
      </c>
      <c r="I793" s="2879">
        <f>H793</f>
        <v>0</v>
      </c>
      <c r="J793" s="2850"/>
      <c r="K793" s="2851"/>
    </row>
    <row r="794" spans="1:12">
      <c r="A794" s="2829"/>
      <c r="B794" s="275" t="str">
        <f>дома!A1939</f>
        <v>Оцилиндрованное бревно сосна 260мм</v>
      </c>
      <c r="C794" s="99" t="str">
        <f>дома!B1939</f>
        <v>м3</v>
      </c>
      <c r="D794" s="275">
        <f>дома!C1939</f>
        <v>3.7241718800000005</v>
      </c>
      <c r="E794" s="100">
        <f>дома!D1939</f>
        <v>10000</v>
      </c>
      <c r="F794" s="100"/>
      <c r="G794" s="275">
        <f t="shared" ref="G794:G816" si="145">IF(F794&gt;0,D794*F794,E794*D794)</f>
        <v>37241.718800000002</v>
      </c>
      <c r="H794" s="2315">
        <f t="shared" ref="H794:H816" si="146">D794*E794*$H$793</f>
        <v>0</v>
      </c>
      <c r="I794" s="2911">
        <f t="shared" ref="I794:I817" si="147">IF(G794&gt;H794,G794,H794)*$H$792</f>
        <v>0</v>
      </c>
      <c r="J794" s="2863"/>
      <c r="K794" s="223">
        <f t="shared" ref="K794:K817" si="148">D794-J794</f>
        <v>3.7241718800000005</v>
      </c>
      <c r="L794" s="2854"/>
    </row>
    <row r="795" spans="1:12">
      <c r="A795" s="2837"/>
      <c r="B795" s="275" t="str">
        <f>дома!A1940</f>
        <v>Оцилиндрованное бревно сосна 260мм</v>
      </c>
      <c r="C795" s="99" t="str">
        <f>дома!B1940</f>
        <v>м3</v>
      </c>
      <c r="D795" s="275">
        <f>дома!C1940</f>
        <v>24.294676120000009</v>
      </c>
      <c r="E795" s="100">
        <f>дома!D1940</f>
        <v>8500</v>
      </c>
      <c r="F795" s="100"/>
      <c r="G795" s="275">
        <f t="shared" si="145"/>
        <v>206504.74702000007</v>
      </c>
      <c r="H795" s="2315">
        <f t="shared" si="146"/>
        <v>0</v>
      </c>
      <c r="I795" s="2911">
        <f t="shared" si="147"/>
        <v>0</v>
      </c>
      <c r="J795" s="2863"/>
      <c r="K795" s="223">
        <f t="shared" si="148"/>
        <v>24.294676120000009</v>
      </c>
      <c r="L795" s="2854"/>
    </row>
    <row r="796" spans="1:12">
      <c r="A796" s="2837"/>
      <c r="B796" s="275" t="str">
        <f>дома!A1941</f>
        <v>Оцилиндрованное бревно сосна 200мм</v>
      </c>
      <c r="C796" s="99" t="str">
        <f>дома!B1941</f>
        <v>м3</v>
      </c>
      <c r="D796" s="275">
        <f>дома!C1941</f>
        <v>0</v>
      </c>
      <c r="E796" s="100">
        <f>дома!D1941</f>
        <v>8000</v>
      </c>
      <c r="F796" s="100"/>
      <c r="G796" s="275">
        <f t="shared" si="145"/>
        <v>0</v>
      </c>
      <c r="H796" s="2315">
        <f t="shared" si="146"/>
        <v>0</v>
      </c>
      <c r="I796" s="2911">
        <f t="shared" si="147"/>
        <v>0</v>
      </c>
      <c r="J796" s="2863"/>
      <c r="K796" s="223">
        <f t="shared" si="148"/>
        <v>0</v>
      </c>
      <c r="L796" s="2854"/>
    </row>
    <row r="797" spans="1:12">
      <c r="A797" s="2837"/>
      <c r="B797" s="275" t="str">
        <f>дома!A1942</f>
        <v>Оцилиндрованное бревно сосна 200мм</v>
      </c>
      <c r="C797" s="99" t="str">
        <f>дома!B1942</f>
        <v>м2</v>
      </c>
      <c r="D797" s="275">
        <f>дома!C1942</f>
        <v>0</v>
      </c>
      <c r="E797" s="100">
        <f>дома!D1942</f>
        <v>8000</v>
      </c>
      <c r="F797" s="100"/>
      <c r="G797" s="275">
        <f t="shared" si="145"/>
        <v>0</v>
      </c>
      <c r="H797" s="2315">
        <f t="shared" si="146"/>
        <v>0</v>
      </c>
      <c r="I797" s="2911">
        <f t="shared" si="147"/>
        <v>0</v>
      </c>
      <c r="J797" s="2863"/>
      <c r="K797" s="223">
        <f t="shared" si="148"/>
        <v>0</v>
      </c>
      <c r="L797" s="2854"/>
    </row>
    <row r="798" spans="1:12">
      <c r="A798" s="2837"/>
      <c r="B798" s="275" t="str">
        <f>дома!A1943</f>
        <v>Шкант</v>
      </c>
      <c r="C798" s="99" t="str">
        <f>дома!B1943</f>
        <v>шт</v>
      </c>
      <c r="D798" s="275">
        <f>дома!C1943</f>
        <v>617</v>
      </c>
      <c r="E798" s="100">
        <f>дома!D1943</f>
        <v>6</v>
      </c>
      <c r="F798" s="100"/>
      <c r="G798" s="275">
        <f t="shared" si="145"/>
        <v>3702</v>
      </c>
      <c r="H798" s="2315">
        <f t="shared" si="146"/>
        <v>0</v>
      </c>
      <c r="I798" s="2911">
        <f t="shared" si="147"/>
        <v>0</v>
      </c>
      <c r="J798" s="2863"/>
      <c r="K798" s="223">
        <f t="shared" si="148"/>
        <v>617</v>
      </c>
      <c r="L798" s="2854"/>
    </row>
    <row r="799" spans="1:12">
      <c r="A799" s="2837"/>
      <c r="B799" s="275" t="str">
        <f>дома!A1944</f>
        <v>Лен-джут 200х5х20000 мм</v>
      </c>
      <c r="C799" s="99" t="str">
        <f>дома!B1944</f>
        <v>шт</v>
      </c>
      <c r="D799" s="275">
        <f>дома!C1944</f>
        <v>33</v>
      </c>
      <c r="E799" s="100">
        <f>дома!D1944</f>
        <v>175</v>
      </c>
      <c r="F799" s="100"/>
      <c r="G799" s="275">
        <f t="shared" si="145"/>
        <v>5775</v>
      </c>
      <c r="H799" s="2315">
        <f t="shared" si="146"/>
        <v>0</v>
      </c>
      <c r="I799" s="2911">
        <f t="shared" si="147"/>
        <v>0</v>
      </c>
      <c r="J799" s="2863"/>
      <c r="K799" s="223">
        <f t="shared" si="148"/>
        <v>33</v>
      </c>
      <c r="L799" s="2854"/>
    </row>
    <row r="800" spans="1:12">
      <c r="A800" s="2837"/>
      <c r="B800" s="275" t="str">
        <f>дома!A1945</f>
        <v xml:space="preserve">Гвозди ершоные 2,8 х 90            </v>
      </c>
      <c r="C800" s="99" t="str">
        <f>дома!B1945</f>
        <v>шт</v>
      </c>
      <c r="D800" s="275">
        <f>дома!C1945</f>
        <v>4.8400000000000007</v>
      </c>
      <c r="E800" s="100">
        <f>дома!D1945</f>
        <v>76.489999999999995</v>
      </c>
      <c r="F800" s="100"/>
      <c r="G800" s="275">
        <f t="shared" si="145"/>
        <v>370.21160000000003</v>
      </c>
      <c r="H800" s="2315">
        <f t="shared" si="146"/>
        <v>0</v>
      </c>
      <c r="I800" s="2911">
        <f t="shared" si="147"/>
        <v>0</v>
      </c>
      <c r="J800" s="2863"/>
      <c r="K800" s="223">
        <f t="shared" si="148"/>
        <v>4.8400000000000007</v>
      </c>
      <c r="L800" s="2854"/>
    </row>
    <row r="801" spans="1:12">
      <c r="A801" s="2837"/>
      <c r="B801" s="275" t="str">
        <f>дома!A1946</f>
        <v>нет</v>
      </c>
      <c r="C801" s="99" t="str">
        <f>дома!B1946</f>
        <v>м3</v>
      </c>
      <c r="D801" s="275">
        <f>дома!C1946</f>
        <v>0</v>
      </c>
      <c r="E801" s="100">
        <f>дома!D1946</f>
        <v>0</v>
      </c>
      <c r="F801" s="100"/>
      <c r="G801" s="275">
        <f t="shared" si="145"/>
        <v>0</v>
      </c>
      <c r="H801" s="2315">
        <f t="shared" si="146"/>
        <v>0</v>
      </c>
      <c r="I801" s="2911">
        <f t="shared" si="147"/>
        <v>0</v>
      </c>
      <c r="J801" s="2863"/>
      <c r="K801" s="223">
        <f t="shared" si="148"/>
        <v>0</v>
      </c>
      <c r="L801" s="2854"/>
    </row>
    <row r="802" spans="1:12">
      <c r="A802" s="2837"/>
      <c r="B802" s="275" t="str">
        <f>дома!A1947</f>
        <v>Доска сухая, 100*50мм</v>
      </c>
      <c r="C802" s="99" t="str">
        <f>дома!B1947</f>
        <v>м3</v>
      </c>
      <c r="D802" s="275">
        <f>дома!C1947</f>
        <v>0</v>
      </c>
      <c r="E802" s="100">
        <f>дома!D1947</f>
        <v>9000</v>
      </c>
      <c r="F802" s="100"/>
      <c r="G802" s="275">
        <f t="shared" si="145"/>
        <v>0</v>
      </c>
      <c r="H802" s="2315">
        <f t="shared" si="146"/>
        <v>0</v>
      </c>
      <c r="I802" s="2911">
        <f t="shared" si="147"/>
        <v>0</v>
      </c>
      <c r="J802" s="2863"/>
      <c r="K802" s="223">
        <f t="shared" si="148"/>
        <v>0</v>
      </c>
      <c r="L802" s="2854"/>
    </row>
    <row r="803" spans="1:12">
      <c r="A803" s="2837"/>
      <c r="B803" s="275" t="str">
        <f>дома!A1948</f>
        <v>Доска сухая калиброванная, 100*45мм</v>
      </c>
      <c r="C803" s="99" t="str">
        <f>дома!B1948</f>
        <v>м3</v>
      </c>
      <c r="D803" s="275">
        <f>дома!C1948</f>
        <v>0</v>
      </c>
      <c r="E803" s="100">
        <f>дома!D1948</f>
        <v>12500</v>
      </c>
      <c r="F803" s="100"/>
      <c r="G803" s="275">
        <f t="shared" si="145"/>
        <v>0</v>
      </c>
      <c r="H803" s="2315">
        <f t="shared" si="146"/>
        <v>0</v>
      </c>
      <c r="I803" s="2911">
        <f t="shared" si="147"/>
        <v>0</v>
      </c>
      <c r="J803" s="2863"/>
      <c r="K803" s="223">
        <f t="shared" si="148"/>
        <v>0</v>
      </c>
      <c r="L803" s="2854"/>
    </row>
    <row r="804" spans="1:12">
      <c r="A804" s="2837"/>
      <c r="B804" s="275" t="str">
        <f>дома!A1949</f>
        <v>Сосна влаж, 50*50мм</v>
      </c>
      <c r="C804" s="99" t="str">
        <f>дома!B1949</f>
        <v>м.п.</v>
      </c>
      <c r="D804" s="275">
        <f>дома!C1949</f>
        <v>0</v>
      </c>
      <c r="E804" s="100">
        <f>дома!D1949</f>
        <v>16.25</v>
      </c>
      <c r="F804" s="100"/>
      <c r="G804" s="275">
        <f t="shared" si="145"/>
        <v>0</v>
      </c>
      <c r="H804" s="2315">
        <f t="shared" si="146"/>
        <v>0</v>
      </c>
      <c r="I804" s="2911">
        <f t="shared" si="147"/>
        <v>0</v>
      </c>
      <c r="J804" s="2863"/>
      <c r="K804" s="223">
        <f t="shared" si="148"/>
        <v>0</v>
      </c>
      <c r="L804" s="2854"/>
    </row>
    <row r="805" spans="1:12">
      <c r="A805" s="2837"/>
      <c r="B805" s="275" t="str">
        <f>дома!A1950</f>
        <v>Бензин для пилы</v>
      </c>
      <c r="C805" s="99" t="str">
        <f>дома!B1950</f>
        <v>л</v>
      </c>
      <c r="D805" s="275">
        <f>дома!C1950</f>
        <v>7.0047120000000023</v>
      </c>
      <c r="E805" s="100">
        <f>дома!D1950</f>
        <v>40</v>
      </c>
      <c r="F805" s="100"/>
      <c r="G805" s="275">
        <f t="shared" si="145"/>
        <v>280.18848000000008</v>
      </c>
      <c r="H805" s="2315">
        <f t="shared" si="146"/>
        <v>0</v>
      </c>
      <c r="I805" s="2911">
        <f t="shared" si="147"/>
        <v>0</v>
      </c>
      <c r="J805" s="2863"/>
      <c r="K805" s="223">
        <f t="shared" si="148"/>
        <v>7.0047120000000023</v>
      </c>
      <c r="L805" s="2854"/>
    </row>
    <row r="806" spans="1:12">
      <c r="A806" s="2837"/>
      <c r="B806" s="275" t="str">
        <f>дома!A1951</f>
        <v>Масло для пилы</v>
      </c>
      <c r="C806" s="99" t="str">
        <f>дома!B1951</f>
        <v>л</v>
      </c>
      <c r="D806" s="275">
        <f>дома!C1951</f>
        <v>0.35023560000000009</v>
      </c>
      <c r="E806" s="100">
        <f>дома!D1951</f>
        <v>250</v>
      </c>
      <c r="F806" s="100"/>
      <c r="G806" s="275">
        <f t="shared" si="145"/>
        <v>87.558900000000023</v>
      </c>
      <c r="H806" s="2315">
        <f t="shared" si="146"/>
        <v>0</v>
      </c>
      <c r="I806" s="2911">
        <f t="shared" si="147"/>
        <v>0</v>
      </c>
      <c r="J806" s="2863"/>
      <c r="K806" s="223">
        <f t="shared" si="148"/>
        <v>0.35023560000000009</v>
      </c>
      <c r="L806" s="2854"/>
    </row>
    <row r="807" spans="1:12">
      <c r="A807" s="2837"/>
      <c r="B807" s="275" t="str">
        <f>дома!A1952</f>
        <v>Цепь для пилы</v>
      </c>
      <c r="C807" s="99" t="s">
        <v>159</v>
      </c>
      <c r="D807" s="275">
        <f>дома!C1952</f>
        <v>3</v>
      </c>
      <c r="E807" s="100">
        <f>дома!D1952</f>
        <v>800</v>
      </c>
      <c r="F807" s="100"/>
      <c r="G807" s="275">
        <f t="shared" si="145"/>
        <v>2400</v>
      </c>
      <c r="H807" s="2315">
        <f t="shared" si="146"/>
        <v>0</v>
      </c>
      <c r="I807" s="2911">
        <f t="shared" si="147"/>
        <v>0</v>
      </c>
      <c r="J807" s="2863"/>
      <c r="K807" s="223">
        <f t="shared" si="148"/>
        <v>3</v>
      </c>
      <c r="L807" s="2854"/>
    </row>
    <row r="808" spans="1:12">
      <c r="A808" s="2837"/>
      <c r="B808" s="275" t="str">
        <f>дома!A1953</f>
        <v>"Профилюкс" Антисептик АНТИПЛЕСЕНЬ</v>
      </c>
      <c r="C808" s="99" t="str">
        <f>дома!B1953</f>
        <v>л</v>
      </c>
      <c r="D808" s="275">
        <f>дома!C1953</f>
        <v>39.187200000000018</v>
      </c>
      <c r="E808" s="100">
        <f>дома!D1953</f>
        <v>108</v>
      </c>
      <c r="F808" s="100"/>
      <c r="G808" s="275">
        <f t="shared" si="145"/>
        <v>4232.2176000000018</v>
      </c>
      <c r="H808" s="2315">
        <f t="shared" si="146"/>
        <v>0</v>
      </c>
      <c r="I808" s="2911">
        <f t="shared" si="147"/>
        <v>0</v>
      </c>
      <c r="J808" s="2863"/>
      <c r="K808" s="223">
        <f t="shared" si="148"/>
        <v>39.187200000000018</v>
      </c>
      <c r="L808" s="2854"/>
    </row>
    <row r="809" spans="1:12">
      <c r="A809" s="2837"/>
      <c r="B809" s="275" t="str">
        <f>дома!A1954</f>
        <v>"Тонерол" Антисептик  бесцветный  1л</v>
      </c>
      <c r="C809" s="99" t="str">
        <f>дома!B1954</f>
        <v>л</v>
      </c>
      <c r="D809" s="275">
        <f>дома!C1954</f>
        <v>23.512320000000006</v>
      </c>
      <c r="E809" s="100">
        <f>дома!D1954</f>
        <v>305</v>
      </c>
      <c r="F809" s="100"/>
      <c r="G809" s="275">
        <f t="shared" si="145"/>
        <v>7171.2576000000017</v>
      </c>
      <c r="H809" s="2315">
        <f t="shared" si="146"/>
        <v>0</v>
      </c>
      <c r="I809" s="2911">
        <f t="shared" si="147"/>
        <v>0</v>
      </c>
      <c r="J809" s="2863"/>
      <c r="K809" s="223">
        <f t="shared" si="148"/>
        <v>23.512320000000006</v>
      </c>
      <c r="L809" s="2854"/>
    </row>
    <row r="810" spans="1:12">
      <c r="A810" s="2837"/>
      <c r="B810" s="275" t="str">
        <f>дома!A1955</f>
        <v>"Тонерол" Антисептик  махагон  1л</v>
      </c>
      <c r="C810" s="99" t="str">
        <f>дома!B1955</f>
        <v>л</v>
      </c>
      <c r="D810" s="275">
        <f>дома!C1955</f>
        <v>23.512320000000006</v>
      </c>
      <c r="E810" s="100">
        <f>дома!D1955</f>
        <v>305</v>
      </c>
      <c r="F810" s="100"/>
      <c r="G810" s="275">
        <f t="shared" si="145"/>
        <v>7171.2576000000017</v>
      </c>
      <c r="H810" s="2315">
        <f t="shared" si="146"/>
        <v>0</v>
      </c>
      <c r="I810" s="2911">
        <f t="shared" si="147"/>
        <v>0</v>
      </c>
      <c r="J810" s="2863"/>
      <c r="K810" s="223">
        <f t="shared" si="148"/>
        <v>23.512320000000006</v>
      </c>
      <c r="L810" s="2854"/>
    </row>
    <row r="811" spans="1:12">
      <c r="A811" s="2837"/>
      <c r="B811" s="275" t="str">
        <f>дома!A1956</f>
        <v>Нет наличника</v>
      </c>
      <c r="C811" s="99" t="str">
        <f>дома!B1956</f>
        <v>м.п.</v>
      </c>
      <c r="D811" s="275">
        <f>дома!C1956</f>
        <v>3.5700000000000007</v>
      </c>
      <c r="E811" s="100">
        <f>дома!D1956</f>
        <v>0</v>
      </c>
      <c r="F811" s="100"/>
      <c r="G811" s="275">
        <f t="shared" si="145"/>
        <v>0</v>
      </c>
      <c r="H811" s="2315">
        <f t="shared" si="146"/>
        <v>0</v>
      </c>
      <c r="I811" s="2911">
        <f t="shared" si="147"/>
        <v>0</v>
      </c>
      <c r="J811" s="2863"/>
      <c r="K811" s="223">
        <f t="shared" si="148"/>
        <v>3.5700000000000007</v>
      </c>
      <c r="L811" s="2854"/>
    </row>
    <row r="812" spans="1:12">
      <c r="A812" s="2837"/>
      <c r="B812" s="275" t="str">
        <f>дома!A1957</f>
        <v>Нет наличника</v>
      </c>
      <c r="C812" s="99" t="str">
        <f>дома!B1957</f>
        <v>м.п.</v>
      </c>
      <c r="D812" s="275">
        <f>дома!C1957</f>
        <v>3.5700000000000007</v>
      </c>
      <c r="E812" s="100">
        <f>дома!D1957</f>
        <v>0</v>
      </c>
      <c r="F812" s="100"/>
      <c r="G812" s="275">
        <f t="shared" si="145"/>
        <v>0</v>
      </c>
      <c r="H812" s="2315">
        <f t="shared" si="146"/>
        <v>0</v>
      </c>
      <c r="I812" s="2911">
        <f t="shared" si="147"/>
        <v>0</v>
      </c>
      <c r="J812" s="2863"/>
      <c r="K812" s="223">
        <f t="shared" si="148"/>
        <v>3.5700000000000007</v>
      </c>
      <c r="L812" s="2854"/>
    </row>
    <row r="813" spans="1:12">
      <c r="A813" s="2837"/>
      <c r="B813" s="275" t="str">
        <f>дома!A1958</f>
        <v>Бумага наждачная № 63 F(30)</v>
      </c>
      <c r="C813" s="99" t="str">
        <f>дома!B1958</f>
        <v>м</v>
      </c>
      <c r="D813" s="275">
        <f>дома!C1958</f>
        <v>5</v>
      </c>
      <c r="E813" s="100">
        <f>дома!D1958</f>
        <v>291</v>
      </c>
      <c r="F813" s="100"/>
      <c r="G813" s="275">
        <f t="shared" si="145"/>
        <v>1455</v>
      </c>
      <c r="H813" s="2315">
        <f t="shared" si="146"/>
        <v>0</v>
      </c>
      <c r="I813" s="2911">
        <f t="shared" si="147"/>
        <v>0</v>
      </c>
      <c r="J813" s="2863"/>
      <c r="K813" s="223">
        <f t="shared" si="148"/>
        <v>5</v>
      </c>
      <c r="L813" s="2854"/>
    </row>
    <row r="814" spans="1:12">
      <c r="A814" s="2837"/>
      <c r="B814" s="275" t="str">
        <f>дома!A1959</f>
        <v>Нет наждачной бумаги</v>
      </c>
      <c r="C814" s="99" t="str">
        <f>дома!B1959</f>
        <v>м</v>
      </c>
      <c r="D814" s="275">
        <f>дома!C1959</f>
        <v>0</v>
      </c>
      <c r="E814" s="100">
        <f>дома!D1959</f>
        <v>0</v>
      </c>
      <c r="F814" s="100"/>
      <c r="G814" s="275">
        <f t="shared" si="145"/>
        <v>0</v>
      </c>
      <c r="H814" s="2315">
        <f t="shared" si="146"/>
        <v>0</v>
      </c>
      <c r="I814" s="2911">
        <f t="shared" si="147"/>
        <v>0</v>
      </c>
      <c r="J814" s="2863"/>
      <c r="K814" s="223">
        <f t="shared" si="148"/>
        <v>0</v>
      </c>
      <c r="L814" s="2854"/>
    </row>
    <row r="815" spans="1:12">
      <c r="A815" s="2837"/>
      <c r="B815" s="275" t="str">
        <f>дома!A1960</f>
        <v>Бумага наждачная № 63 F(30)</v>
      </c>
      <c r="C815" s="99" t="str">
        <f>дома!B1960</f>
        <v>м</v>
      </c>
      <c r="D815" s="275">
        <f>дома!C1960</f>
        <v>0</v>
      </c>
      <c r="E815" s="100">
        <f>дома!D1960</f>
        <v>291</v>
      </c>
      <c r="F815" s="100"/>
      <c r="G815" s="275">
        <f t="shared" si="145"/>
        <v>0</v>
      </c>
      <c r="H815" s="2315">
        <f t="shared" si="146"/>
        <v>0</v>
      </c>
      <c r="I815" s="2911">
        <f t="shared" si="147"/>
        <v>0</v>
      </c>
      <c r="J815" s="2863"/>
      <c r="K815" s="223">
        <f t="shared" si="148"/>
        <v>0</v>
      </c>
      <c r="L815" s="2854"/>
    </row>
    <row r="816" spans="1:12">
      <c r="A816" s="2837"/>
      <c r="B816" s="275" t="str">
        <f>дома!A1961</f>
        <v>Бумага наждачная № 40</v>
      </c>
      <c r="C816" s="99" t="str">
        <f>дома!B1961</f>
        <v>м</v>
      </c>
      <c r="D816" s="275">
        <f>дома!C1961</f>
        <v>0</v>
      </c>
      <c r="E816" s="100">
        <f>дома!D1961</f>
        <v>240</v>
      </c>
      <c r="F816" s="100"/>
      <c r="G816" s="275">
        <f t="shared" si="145"/>
        <v>0</v>
      </c>
      <c r="H816" s="2315">
        <f t="shared" si="146"/>
        <v>0</v>
      </c>
      <c r="I816" s="2911">
        <f t="shared" si="147"/>
        <v>0</v>
      </c>
      <c r="J816" s="2863"/>
      <c r="K816" s="223">
        <f t="shared" si="148"/>
        <v>0</v>
      </c>
      <c r="L816" s="2854"/>
    </row>
    <row r="817" spans="1:12">
      <c r="A817" s="2837"/>
      <c r="B817" s="3278" t="s">
        <v>4640</v>
      </c>
      <c r="C817" s="3278"/>
      <c r="D817" s="3278"/>
      <c r="E817" s="3278"/>
      <c r="F817" s="2868"/>
      <c r="G817" s="96">
        <f>SUM(G794:G816)*H792</f>
        <v>0</v>
      </c>
      <c r="H817" s="96">
        <f>SUM(H794:H816)</f>
        <v>0</v>
      </c>
      <c r="I817" s="2911">
        <f t="shared" si="147"/>
        <v>0</v>
      </c>
      <c r="J817" s="2863"/>
      <c r="K817" s="223">
        <f t="shared" si="148"/>
        <v>0</v>
      </c>
      <c r="L817" s="2854"/>
    </row>
    <row r="818" spans="1:12">
      <c r="A818" s="2837"/>
      <c r="B818" s="3279" t="s">
        <v>1409</v>
      </c>
      <c r="C818" s="3279"/>
      <c r="D818" s="3279"/>
      <c r="E818" s="3279"/>
      <c r="F818" s="2870"/>
      <c r="G818" s="941"/>
      <c r="H818" s="2891">
        <f>H792</f>
        <v>0</v>
      </c>
      <c r="I818" s="2879">
        <f>H818</f>
        <v>0</v>
      </c>
      <c r="J818" s="2892"/>
      <c r="K818" s="2893"/>
    </row>
    <row r="819" spans="1:12">
      <c r="A819" s="2829"/>
      <c r="B819" s="2763" t="str">
        <f>дома!G1939</f>
        <v>кладка Оцилиндрованного вревна</v>
      </c>
      <c r="C819" s="2890" t="s">
        <v>135</v>
      </c>
      <c r="D819" s="302">
        <f>дома!J1939</f>
        <v>28.018848000000009</v>
      </c>
      <c r="E819" s="179">
        <f>дома!K1939</f>
        <v>6000</v>
      </c>
      <c r="F819" s="179"/>
      <c r="G819" s="275">
        <f t="shared" ref="G819:G827" si="149">IF(F819&gt;0,D819*F819,E819*D819)</f>
        <v>168113.08800000005</v>
      </c>
      <c r="H819" s="2315">
        <f t="shared" ref="H819:H827" si="150">D819*E819*$H$818</f>
        <v>0</v>
      </c>
      <c r="I819" s="2836">
        <f t="shared" ref="I819:I828" si="151">IF(G819&gt;H819,G819,H819)*$H$792</f>
        <v>0</v>
      </c>
      <c r="J819" s="2829"/>
      <c r="K819" s="2837"/>
    </row>
    <row r="820" spans="1:12">
      <c r="A820" s="2837"/>
      <c r="B820" s="2763" t="str">
        <f>дома!G1940</f>
        <v>окосячка проемов, м.п.</v>
      </c>
      <c r="C820" s="2890" t="s">
        <v>156</v>
      </c>
      <c r="D820" s="302">
        <f>дома!J1940</f>
        <v>0</v>
      </c>
      <c r="E820" s="179">
        <f>дома!K1940</f>
        <v>150</v>
      </c>
      <c r="F820" s="179"/>
      <c r="G820" s="275">
        <f t="shared" si="149"/>
        <v>0</v>
      </c>
      <c r="H820" s="2315">
        <f t="shared" si="150"/>
        <v>0</v>
      </c>
      <c r="I820" s="2836">
        <f t="shared" si="151"/>
        <v>0</v>
      </c>
      <c r="J820" s="2829"/>
      <c r="K820" s="2837"/>
    </row>
    <row r="821" spans="1:12">
      <c r="A821" s="2837"/>
      <c r="B821" s="2763" t="str">
        <f>дома!G1941</f>
        <v>обработка торцов на брусе</v>
      </c>
      <c r="C821" s="2890" t="s">
        <v>156</v>
      </c>
      <c r="D821" s="302">
        <f>дома!J1941</f>
        <v>14.400000000000002</v>
      </c>
      <c r="E821" s="179">
        <f>дома!K1941</f>
        <v>250</v>
      </c>
      <c r="F821" s="179"/>
      <c r="G821" s="275">
        <f t="shared" si="149"/>
        <v>3600.0000000000005</v>
      </c>
      <c r="H821" s="2315">
        <f t="shared" si="150"/>
        <v>0</v>
      </c>
      <c r="I821" s="2836">
        <f t="shared" si="151"/>
        <v>0</v>
      </c>
      <c r="J821" s="2829"/>
      <c r="K821" s="2837"/>
    </row>
    <row r="822" spans="1:12">
      <c r="A822" s="2837"/>
      <c r="B822" s="2763" t="str">
        <f>дома!G1942</f>
        <v>Обаботка огнебиозащитой</v>
      </c>
      <c r="C822" s="2890" t="s">
        <v>156</v>
      </c>
      <c r="D822" s="302">
        <f>дома!J1942</f>
        <v>28.018848000000009</v>
      </c>
      <c r="E822" s="179">
        <f>дома!K1942</f>
        <v>300</v>
      </c>
      <c r="F822" s="179"/>
      <c r="G822" s="275">
        <f t="shared" si="149"/>
        <v>8405.6544000000031</v>
      </c>
      <c r="H822" s="2315">
        <f t="shared" si="150"/>
        <v>0</v>
      </c>
      <c r="I822" s="2836">
        <f t="shared" si="151"/>
        <v>0</v>
      </c>
      <c r="J822" s="2829"/>
      <c r="K822" s="2837"/>
    </row>
    <row r="823" spans="1:12">
      <c r="A823" s="2837"/>
      <c r="B823" s="2763" t="str">
        <f>дома!G1943</f>
        <v>Пропитка стен внешних</v>
      </c>
      <c r="C823" s="2890" t="s">
        <v>156</v>
      </c>
      <c r="D823" s="302">
        <f>дома!J1943</f>
        <v>117.56160000000003</v>
      </c>
      <c r="E823" s="179">
        <f>дома!K1943</f>
        <v>100</v>
      </c>
      <c r="F823" s="179"/>
      <c r="G823" s="275">
        <f t="shared" si="149"/>
        <v>11756.160000000003</v>
      </c>
      <c r="H823" s="2315">
        <f t="shared" si="150"/>
        <v>0</v>
      </c>
      <c r="I823" s="2836">
        <f t="shared" si="151"/>
        <v>0</v>
      </c>
      <c r="J823" s="2829"/>
      <c r="K823" s="2837"/>
    </row>
    <row r="824" spans="1:12">
      <c r="A824" s="2837"/>
      <c r="B824" s="2763" t="str">
        <f>дома!G1944</f>
        <v>Пропитка внутенних стен</v>
      </c>
      <c r="C824" s="2890" t="s">
        <v>156</v>
      </c>
      <c r="D824" s="302">
        <f>дома!J1944</f>
        <v>117.56160000000003</v>
      </c>
      <c r="E824" s="179">
        <f>дома!K1944</f>
        <v>100</v>
      </c>
      <c r="F824" s="179"/>
      <c r="G824" s="275">
        <f t="shared" si="149"/>
        <v>11756.160000000003</v>
      </c>
      <c r="H824" s="2315">
        <f t="shared" si="150"/>
        <v>0</v>
      </c>
      <c r="I824" s="2836">
        <f t="shared" si="151"/>
        <v>0</v>
      </c>
      <c r="J824" s="2829"/>
      <c r="K824" s="2837"/>
    </row>
    <row r="825" spans="1:12">
      <c r="A825" s="2837"/>
      <c r="B825" s="2763" t="str">
        <f>дома!G1945</f>
        <v>Сверление стен для скрытой проводки</v>
      </c>
      <c r="C825" s="2890" t="s">
        <v>156</v>
      </c>
      <c r="D825" s="302">
        <f>дома!J1945</f>
        <v>180</v>
      </c>
      <c r="E825" s="179">
        <f>дома!K1945</f>
        <v>300</v>
      </c>
      <c r="F825" s="179"/>
      <c r="G825" s="275">
        <f t="shared" si="149"/>
        <v>54000</v>
      </c>
      <c r="H825" s="2315">
        <f t="shared" si="150"/>
        <v>0</v>
      </c>
      <c r="I825" s="2836">
        <f t="shared" si="151"/>
        <v>0</v>
      </c>
      <c r="J825" s="2829"/>
      <c r="K825" s="2837"/>
    </row>
    <row r="826" spans="1:12">
      <c r="A826" s="2837"/>
      <c r="B826" s="2763" t="str">
        <f>дома!G1946</f>
        <v>Монтаж наличника</v>
      </c>
      <c r="C826" s="2890" t="s">
        <v>156</v>
      </c>
      <c r="D826" s="302">
        <f>дома!J1946</f>
        <v>0</v>
      </c>
      <c r="E826" s="179">
        <f>дома!K1946</f>
        <v>80</v>
      </c>
      <c r="F826" s="179"/>
      <c r="G826" s="275">
        <f t="shared" si="149"/>
        <v>0</v>
      </c>
      <c r="H826" s="2315">
        <f t="shared" si="150"/>
        <v>0</v>
      </c>
      <c r="I826" s="2836">
        <f t="shared" si="151"/>
        <v>0</v>
      </c>
      <c r="J826" s="2829"/>
      <c r="K826" s="2837"/>
    </row>
    <row r="827" spans="1:12">
      <c r="A827" s="2837"/>
      <c r="B827" s="2763" t="str">
        <f>дома!G1947</f>
        <v>Шлифовка стен дома</v>
      </c>
      <c r="C827" s="2890" t="s">
        <v>156</v>
      </c>
      <c r="D827" s="302">
        <f>дома!J1947</f>
        <v>121.44000000000004</v>
      </c>
      <c r="E827" s="179">
        <f>дома!K1947</f>
        <v>250</v>
      </c>
      <c r="F827" s="179"/>
      <c r="G827" s="275">
        <f t="shared" si="149"/>
        <v>30360.000000000011</v>
      </c>
      <c r="H827" s="2315">
        <f t="shared" si="150"/>
        <v>0</v>
      </c>
      <c r="I827" s="2836">
        <f t="shared" si="151"/>
        <v>0</v>
      </c>
      <c r="J827" s="2829"/>
      <c r="K827" s="2837"/>
    </row>
    <row r="828" spans="1:12">
      <c r="A828" s="2837"/>
      <c r="B828" s="3278" t="s">
        <v>4641</v>
      </c>
      <c r="C828" s="3278"/>
      <c r="D828" s="3278"/>
      <c r="E828" s="3278"/>
      <c r="F828" s="2868"/>
      <c r="G828" s="2315">
        <f>SUM(G819:G827)*H818</f>
        <v>0</v>
      </c>
      <c r="H828" s="2315">
        <f>SUM(H819:H827)</f>
        <v>0</v>
      </c>
      <c r="I828" s="2836">
        <f t="shared" si="151"/>
        <v>0</v>
      </c>
      <c r="J828" s="2829"/>
      <c r="K828" s="2837"/>
    </row>
    <row r="829" spans="1:12" ht="21">
      <c r="A829" s="2837"/>
      <c r="B829" s="3282" t="s">
        <v>4254</v>
      </c>
      <c r="C829" s="3282"/>
      <c r="D829" s="3282"/>
      <c r="E829" s="3282"/>
      <c r="F829" s="2887"/>
      <c r="G829" s="941"/>
      <c r="H829" s="2901">
        <f>IF('Ввод данных'!$A$8=связи1!A159,1,0)+IF('Ввод данных'!$A$8=связи1!A165,1,0)+IF('Ввод данных'!$A$8=связи1!A173,1,0)+IF('Ввод данных'!$A$8=связи1!A181,1,0)</f>
        <v>0</v>
      </c>
      <c r="I829" s="2879">
        <f>H829</f>
        <v>0</v>
      </c>
      <c r="J829" s="2829"/>
      <c r="K829" s="2837"/>
    </row>
    <row r="830" spans="1:12">
      <c r="A830" s="2829"/>
      <c r="B830" s="3285" t="s">
        <v>2720</v>
      </c>
      <c r="C830" s="3285"/>
      <c r="D830" s="3285"/>
      <c r="E830" s="3285"/>
      <c r="F830" s="2902"/>
      <c r="G830" s="941"/>
      <c r="H830" s="2903">
        <f>H829</f>
        <v>0</v>
      </c>
      <c r="I830" s="2879">
        <f>H830</f>
        <v>0</v>
      </c>
      <c r="J830" s="2850"/>
      <c r="K830" s="2851"/>
    </row>
    <row r="831" spans="1:12">
      <c r="A831" s="2829"/>
      <c r="B831" s="275" t="str">
        <f>дома!A1830</f>
        <v>Листв. влаж, 200*200мм</v>
      </c>
      <c r="C831" s="99" t="str">
        <f>дома!B1830</f>
        <v>м3</v>
      </c>
      <c r="D831" s="275">
        <f>дома!C1830</f>
        <v>2.5520000000000005</v>
      </c>
      <c r="E831" s="100">
        <f>дома!D1830</f>
        <v>9000</v>
      </c>
      <c r="F831" s="100"/>
      <c r="G831" s="275">
        <f t="shared" ref="G831:G853" si="152">IF(F831&gt;0,D831*F831,E831*D831)</f>
        <v>22968.000000000004</v>
      </c>
      <c r="H831" s="96">
        <f t="shared" ref="H831:H853" si="153">D831*E831*$H$830</f>
        <v>0</v>
      </c>
      <c r="I831" s="2911">
        <f t="shared" ref="I831:I854" si="154">IF(G831&gt;H831,G831,H831)*$H$829</f>
        <v>0</v>
      </c>
      <c r="J831" s="2863"/>
      <c r="K831" s="223">
        <f t="shared" ref="K831:K854" si="155">D831-J831</f>
        <v>2.5520000000000005</v>
      </c>
      <c r="L831" s="2854"/>
    </row>
    <row r="832" spans="1:12">
      <c r="A832" s="2837"/>
      <c r="B832" s="275" t="str">
        <f>дома!A1831</f>
        <v>Сосна влаж, 200*200мм</v>
      </c>
      <c r="C832" s="99" t="str">
        <f>дома!B1831</f>
        <v>м3</v>
      </c>
      <c r="D832" s="275">
        <f>дома!C1831</f>
        <v>21.736000000000011</v>
      </c>
      <c r="E832" s="100">
        <f>дома!D1831</f>
        <v>6500</v>
      </c>
      <c r="F832" s="100"/>
      <c r="G832" s="275">
        <f t="shared" si="152"/>
        <v>141284.00000000009</v>
      </c>
      <c r="H832" s="96">
        <f t="shared" si="153"/>
        <v>0</v>
      </c>
      <c r="I832" s="2911">
        <f t="shared" si="154"/>
        <v>0</v>
      </c>
      <c r="J832" s="2863"/>
      <c r="K832" s="223">
        <f t="shared" si="155"/>
        <v>21.736000000000011</v>
      </c>
      <c r="L832" s="2854"/>
    </row>
    <row r="833" spans="1:12">
      <c r="A833" s="2837"/>
      <c r="B833" s="275" t="str">
        <f>дома!A1832</f>
        <v>Сосна влаж, 200*150мм</v>
      </c>
      <c r="C833" s="99" t="str">
        <f>дома!B1832</f>
        <v>м3</v>
      </c>
      <c r="D833" s="275">
        <f>дома!C1832</f>
        <v>0</v>
      </c>
      <c r="E833" s="100">
        <f>дома!D1832</f>
        <v>6500</v>
      </c>
      <c r="F833" s="100"/>
      <c r="G833" s="275">
        <f t="shared" si="152"/>
        <v>0</v>
      </c>
      <c r="H833" s="96">
        <f t="shared" si="153"/>
        <v>0</v>
      </c>
      <c r="I833" s="2911">
        <f t="shared" si="154"/>
        <v>0</v>
      </c>
      <c r="J833" s="2863"/>
      <c r="K833" s="223">
        <f t="shared" si="155"/>
        <v>0</v>
      </c>
      <c r="L833" s="2854"/>
    </row>
    <row r="834" spans="1:12">
      <c r="A834" s="2837"/>
      <c r="B834" s="275" t="str">
        <f>дома!A1833</f>
        <v>Сосна влаж, 200*100мм</v>
      </c>
      <c r="C834" s="99" t="str">
        <f>дома!B1833</f>
        <v>м2</v>
      </c>
      <c r="D834" s="275">
        <f>дома!C1833</f>
        <v>0</v>
      </c>
      <c r="E834" s="100">
        <f>дома!D1833</f>
        <v>6500</v>
      </c>
      <c r="F834" s="100"/>
      <c r="G834" s="275">
        <f t="shared" si="152"/>
        <v>0</v>
      </c>
      <c r="H834" s="96">
        <f t="shared" si="153"/>
        <v>0</v>
      </c>
      <c r="I834" s="2911">
        <f t="shared" si="154"/>
        <v>0</v>
      </c>
      <c r="J834" s="2863"/>
      <c r="K834" s="223">
        <f t="shared" si="155"/>
        <v>0</v>
      </c>
      <c r="L834" s="2854"/>
    </row>
    <row r="835" spans="1:12">
      <c r="A835" s="2837"/>
      <c r="B835" s="275" t="str">
        <f>дома!A1834</f>
        <v>Шкант</v>
      </c>
      <c r="C835" s="99" t="str">
        <f>дома!B1834</f>
        <v>шт</v>
      </c>
      <c r="D835" s="275">
        <f>дома!C1834</f>
        <v>535</v>
      </c>
      <c r="E835" s="100">
        <f>дома!D1834</f>
        <v>6</v>
      </c>
      <c r="F835" s="100"/>
      <c r="G835" s="275">
        <f t="shared" si="152"/>
        <v>3210</v>
      </c>
      <c r="H835" s="96">
        <f t="shared" si="153"/>
        <v>0</v>
      </c>
      <c r="I835" s="2911">
        <f t="shared" si="154"/>
        <v>0</v>
      </c>
      <c r="J835" s="2863"/>
      <c r="K835" s="223">
        <f t="shared" si="155"/>
        <v>535</v>
      </c>
      <c r="L835" s="2854"/>
    </row>
    <row r="836" spans="1:12">
      <c r="A836" s="2837"/>
      <c r="B836" s="275" t="str">
        <f>дома!A1835</f>
        <v>Лента уплотнения</v>
      </c>
      <c r="C836" s="99" t="str">
        <f>дома!B1835</f>
        <v>шт</v>
      </c>
      <c r="D836" s="275">
        <f>дома!C1835</f>
        <v>0</v>
      </c>
      <c r="E836" s="100">
        <f>дома!D1835</f>
        <v>130</v>
      </c>
      <c r="F836" s="100"/>
      <c r="G836" s="275">
        <f t="shared" si="152"/>
        <v>0</v>
      </c>
      <c r="H836" s="96">
        <f t="shared" si="153"/>
        <v>0</v>
      </c>
      <c r="I836" s="2911">
        <f t="shared" si="154"/>
        <v>0</v>
      </c>
      <c r="J836" s="2863"/>
      <c r="K836" s="223">
        <f t="shared" si="155"/>
        <v>0</v>
      </c>
      <c r="L836" s="2854"/>
    </row>
    <row r="837" spans="1:12">
      <c r="A837" s="2837"/>
      <c r="B837" s="275" t="str">
        <f>дома!A1836</f>
        <v xml:space="preserve">Гвозди строительные 3,5 x 90            </v>
      </c>
      <c r="C837" s="99" t="str">
        <f>дома!B1836</f>
        <v>шт</v>
      </c>
      <c r="D837" s="275">
        <f>дома!C1836</f>
        <v>4.4000000000000004</v>
      </c>
      <c r="E837" s="100">
        <f>дома!D1836</f>
        <v>70</v>
      </c>
      <c r="F837" s="100"/>
      <c r="G837" s="275">
        <f t="shared" si="152"/>
        <v>308</v>
      </c>
      <c r="H837" s="96">
        <f t="shared" si="153"/>
        <v>0</v>
      </c>
      <c r="I837" s="2911">
        <f t="shared" si="154"/>
        <v>0</v>
      </c>
      <c r="J837" s="2863"/>
      <c r="K837" s="223">
        <f t="shared" si="155"/>
        <v>4.4000000000000004</v>
      </c>
      <c r="L837" s="2854"/>
    </row>
    <row r="838" spans="1:12">
      <c r="A838" s="2837"/>
      <c r="B838" s="275" t="str">
        <f>дома!A1837</f>
        <v>нет</v>
      </c>
      <c r="C838" s="99" t="str">
        <f>дома!B1837</f>
        <v>м3</v>
      </c>
      <c r="D838" s="275">
        <f>дома!C1837</f>
        <v>0</v>
      </c>
      <c r="E838" s="100">
        <f>дома!D1837</f>
        <v>0</v>
      </c>
      <c r="F838" s="100"/>
      <c r="G838" s="275">
        <f t="shared" si="152"/>
        <v>0</v>
      </c>
      <c r="H838" s="96">
        <f t="shared" si="153"/>
        <v>0</v>
      </c>
      <c r="I838" s="2911">
        <f t="shared" si="154"/>
        <v>0</v>
      </c>
      <c r="J838" s="2863"/>
      <c r="K838" s="223">
        <f t="shared" si="155"/>
        <v>0</v>
      </c>
      <c r="L838" s="2854"/>
    </row>
    <row r="839" spans="1:12">
      <c r="A839" s="2837"/>
      <c r="B839" s="275" t="str">
        <f>дома!A1838</f>
        <v>Доска сухая, 100*50мм</v>
      </c>
      <c r="C839" s="99" t="str">
        <f>дома!B1838</f>
        <v>м3</v>
      </c>
      <c r="D839" s="275">
        <f>дома!C1838</f>
        <v>0</v>
      </c>
      <c r="E839" s="100">
        <f>дома!D1838</f>
        <v>9000</v>
      </c>
      <c r="F839" s="100"/>
      <c r="G839" s="275">
        <f t="shared" si="152"/>
        <v>0</v>
      </c>
      <c r="H839" s="96">
        <f t="shared" si="153"/>
        <v>0</v>
      </c>
      <c r="I839" s="2911">
        <f t="shared" si="154"/>
        <v>0</v>
      </c>
      <c r="J839" s="2863"/>
      <c r="K839" s="223">
        <f t="shared" si="155"/>
        <v>0</v>
      </c>
      <c r="L839" s="2854"/>
    </row>
    <row r="840" spans="1:12">
      <c r="A840" s="2837"/>
      <c r="B840" s="275" t="str">
        <f>дома!A1839</f>
        <v>Доска сухая калиброванная, 100*45мм</v>
      </c>
      <c r="C840" s="99" t="str">
        <f>дома!B1839</f>
        <v>м3</v>
      </c>
      <c r="D840" s="275">
        <f>дома!C1839</f>
        <v>0</v>
      </c>
      <c r="E840" s="100">
        <f>дома!D1839</f>
        <v>12500</v>
      </c>
      <c r="F840" s="100"/>
      <c r="G840" s="275">
        <f t="shared" si="152"/>
        <v>0</v>
      </c>
      <c r="H840" s="96">
        <f t="shared" si="153"/>
        <v>0</v>
      </c>
      <c r="I840" s="2911">
        <f t="shared" si="154"/>
        <v>0</v>
      </c>
      <c r="J840" s="2863"/>
      <c r="K840" s="223">
        <f t="shared" si="155"/>
        <v>0</v>
      </c>
      <c r="L840" s="2854"/>
    </row>
    <row r="841" spans="1:12">
      <c r="A841" s="2837"/>
      <c r="B841" s="275" t="str">
        <f>дома!A1840</f>
        <v>Сосна влаж, 50*50мм</v>
      </c>
      <c r="C841" s="99" t="str">
        <f>дома!B1840</f>
        <v>м.п.</v>
      </c>
      <c r="D841" s="275">
        <f>дома!C1840</f>
        <v>0</v>
      </c>
      <c r="E841" s="100">
        <f>дома!D1840</f>
        <v>16.25</v>
      </c>
      <c r="F841" s="100"/>
      <c r="G841" s="275">
        <f t="shared" si="152"/>
        <v>0</v>
      </c>
      <c r="H841" s="96">
        <f t="shared" si="153"/>
        <v>0</v>
      </c>
      <c r="I841" s="2911">
        <f t="shared" si="154"/>
        <v>0</v>
      </c>
      <c r="J841" s="2863"/>
      <c r="K841" s="223">
        <f t="shared" si="155"/>
        <v>0</v>
      </c>
      <c r="L841" s="2854"/>
    </row>
    <row r="842" spans="1:12">
      <c r="A842" s="2837"/>
      <c r="B842" s="275" t="str">
        <f>дома!A1841</f>
        <v>Бензин для пилы</v>
      </c>
      <c r="C842" s="99" t="str">
        <f>дома!B1841</f>
        <v>л</v>
      </c>
      <c r="D842" s="275">
        <f>дома!C1841</f>
        <v>4.8576000000000024</v>
      </c>
      <c r="E842" s="100">
        <f>дома!D1841</f>
        <v>40</v>
      </c>
      <c r="F842" s="100"/>
      <c r="G842" s="275">
        <f t="shared" si="152"/>
        <v>194.30400000000009</v>
      </c>
      <c r="H842" s="96">
        <f t="shared" si="153"/>
        <v>0</v>
      </c>
      <c r="I842" s="2911">
        <f t="shared" si="154"/>
        <v>0</v>
      </c>
      <c r="J842" s="2863"/>
      <c r="K842" s="223">
        <f t="shared" si="155"/>
        <v>4.8576000000000024</v>
      </c>
      <c r="L842" s="2854"/>
    </row>
    <row r="843" spans="1:12">
      <c r="A843" s="2837"/>
      <c r="B843" s="275" t="str">
        <f>дома!A1842</f>
        <v>Масло для пилы</v>
      </c>
      <c r="C843" s="99" t="str">
        <f>дома!B1842</f>
        <v>л</v>
      </c>
      <c r="D843" s="275">
        <f>дома!C1842</f>
        <v>0.24288000000000012</v>
      </c>
      <c r="E843" s="100">
        <f>дома!D1842</f>
        <v>250</v>
      </c>
      <c r="F843" s="100"/>
      <c r="G843" s="275">
        <f t="shared" si="152"/>
        <v>60.720000000000034</v>
      </c>
      <c r="H843" s="96">
        <f t="shared" si="153"/>
        <v>0</v>
      </c>
      <c r="I843" s="2911">
        <f t="shared" si="154"/>
        <v>0</v>
      </c>
      <c r="J843" s="2863"/>
      <c r="K843" s="223">
        <f t="shared" si="155"/>
        <v>0.24288000000000012</v>
      </c>
      <c r="L843" s="2854"/>
    </row>
    <row r="844" spans="1:12">
      <c r="A844" s="2837"/>
      <c r="B844" s="275" t="str">
        <f>дома!A1843</f>
        <v>Цепь для пилы</v>
      </c>
      <c r="C844" s="99" t="s">
        <v>159</v>
      </c>
      <c r="D844" s="275">
        <f>дома!C1843</f>
        <v>3</v>
      </c>
      <c r="E844" s="100">
        <f>дома!D1843</f>
        <v>800</v>
      </c>
      <c r="F844" s="100"/>
      <c r="G844" s="275">
        <f t="shared" si="152"/>
        <v>2400</v>
      </c>
      <c r="H844" s="96">
        <f t="shared" si="153"/>
        <v>0</v>
      </c>
      <c r="I844" s="2911">
        <f t="shared" si="154"/>
        <v>0</v>
      </c>
      <c r="J844" s="2863"/>
      <c r="K844" s="223">
        <f t="shared" si="155"/>
        <v>3</v>
      </c>
      <c r="L844" s="2854"/>
    </row>
    <row r="845" spans="1:12">
      <c r="A845" s="2837"/>
      <c r="B845" s="275" t="str">
        <f>дома!A1844</f>
        <v>"Профилюкс" Антисептик АНТИПЛЕСЕНЬ</v>
      </c>
      <c r="C845" s="99" t="str">
        <f>дома!B1844</f>
        <v>л</v>
      </c>
      <c r="D845" s="275">
        <f>дома!C1844</f>
        <v>0</v>
      </c>
      <c r="E845" s="100">
        <f>дома!D1844</f>
        <v>108</v>
      </c>
      <c r="F845" s="100"/>
      <c r="G845" s="275">
        <f t="shared" si="152"/>
        <v>0</v>
      </c>
      <c r="H845" s="96">
        <f t="shared" si="153"/>
        <v>0</v>
      </c>
      <c r="I845" s="2911">
        <f t="shared" si="154"/>
        <v>0</v>
      </c>
      <c r="J845" s="2863"/>
      <c r="K845" s="223">
        <f t="shared" si="155"/>
        <v>0</v>
      </c>
      <c r="L845" s="2854"/>
    </row>
    <row r="846" spans="1:12">
      <c r="A846" s="2837"/>
      <c r="B846" s="275" t="str">
        <f>дома!A1845</f>
        <v>"Тонерол" Антисептик  бесцветный  1л</v>
      </c>
      <c r="C846" s="99" t="str">
        <f>дома!B1845</f>
        <v>л</v>
      </c>
      <c r="D846" s="275">
        <f>дома!C1845</f>
        <v>0</v>
      </c>
      <c r="E846" s="100">
        <f>дома!D1845</f>
        <v>305</v>
      </c>
      <c r="F846" s="100"/>
      <c r="G846" s="275">
        <f t="shared" si="152"/>
        <v>0</v>
      </c>
      <c r="H846" s="96">
        <f t="shared" si="153"/>
        <v>0</v>
      </c>
      <c r="I846" s="2911">
        <f t="shared" si="154"/>
        <v>0</v>
      </c>
      <c r="J846" s="2863"/>
      <c r="K846" s="223">
        <f t="shared" si="155"/>
        <v>0</v>
      </c>
      <c r="L846" s="2854"/>
    </row>
    <row r="847" spans="1:12">
      <c r="A847" s="2837"/>
      <c r="B847" s="275" t="str">
        <f>дома!A1846</f>
        <v>"Тонерол" Антисептик  махагон  1л</v>
      </c>
      <c r="C847" s="99" t="str">
        <f>дома!B1846</f>
        <v>л</v>
      </c>
      <c r="D847" s="275">
        <f>дома!C1846</f>
        <v>0</v>
      </c>
      <c r="E847" s="100">
        <f>дома!D1846</f>
        <v>305</v>
      </c>
      <c r="F847" s="100"/>
      <c r="G847" s="275">
        <f t="shared" si="152"/>
        <v>0</v>
      </c>
      <c r="H847" s="96">
        <f t="shared" si="153"/>
        <v>0</v>
      </c>
      <c r="I847" s="2911">
        <f t="shared" si="154"/>
        <v>0</v>
      </c>
      <c r="J847" s="2863"/>
      <c r="K847" s="223">
        <f t="shared" si="155"/>
        <v>0</v>
      </c>
      <c r="L847" s="2854"/>
    </row>
    <row r="848" spans="1:12">
      <c r="A848" s="2837"/>
      <c r="B848" s="275" t="str">
        <f>дома!A1847</f>
        <v>Нет наличника</v>
      </c>
      <c r="C848" s="99" t="str">
        <f>дома!B1847</f>
        <v>м.п.</v>
      </c>
      <c r="D848" s="275">
        <f>дома!C1847</f>
        <v>3.5700000000000007</v>
      </c>
      <c r="E848" s="100">
        <f>дома!D1847</f>
        <v>0</v>
      </c>
      <c r="F848" s="100"/>
      <c r="G848" s="275">
        <f t="shared" si="152"/>
        <v>0</v>
      </c>
      <c r="H848" s="96">
        <f t="shared" si="153"/>
        <v>0</v>
      </c>
      <c r="I848" s="2911">
        <f t="shared" si="154"/>
        <v>0</v>
      </c>
      <c r="J848" s="2863"/>
      <c r="K848" s="223">
        <f t="shared" si="155"/>
        <v>3.5700000000000007</v>
      </c>
      <c r="L848" s="2854"/>
    </row>
    <row r="849" spans="1:12">
      <c r="A849" s="2837"/>
      <c r="B849" s="275" t="str">
        <f>дома!A1848</f>
        <v>Нет наличника</v>
      </c>
      <c r="C849" s="99" t="str">
        <f>дома!B1848</f>
        <v>м.п.</v>
      </c>
      <c r="D849" s="275">
        <f>дома!C1848</f>
        <v>3.5700000000000007</v>
      </c>
      <c r="E849" s="100">
        <f>дома!D1848</f>
        <v>0</v>
      </c>
      <c r="F849" s="100"/>
      <c r="G849" s="275">
        <f t="shared" si="152"/>
        <v>0</v>
      </c>
      <c r="H849" s="96">
        <f t="shared" si="153"/>
        <v>0</v>
      </c>
      <c r="I849" s="2911">
        <f t="shared" si="154"/>
        <v>0</v>
      </c>
      <c r="J849" s="2863"/>
      <c r="K849" s="223">
        <f t="shared" si="155"/>
        <v>3.5700000000000007</v>
      </c>
      <c r="L849" s="2854"/>
    </row>
    <row r="850" spans="1:12">
      <c r="A850" s="2837"/>
      <c r="B850" s="275" t="str">
        <f>дома!A1849</f>
        <v>Бумага наждачная № 63 F(30)</v>
      </c>
      <c r="C850" s="99" t="str">
        <f>дома!B1849</f>
        <v>м</v>
      </c>
      <c r="D850" s="275">
        <f>дома!C1849</f>
        <v>5</v>
      </c>
      <c r="E850" s="100">
        <f>дома!D1849</f>
        <v>291</v>
      </c>
      <c r="F850" s="100"/>
      <c r="G850" s="275">
        <f t="shared" si="152"/>
        <v>1455</v>
      </c>
      <c r="H850" s="96">
        <f t="shared" si="153"/>
        <v>0</v>
      </c>
      <c r="I850" s="2911">
        <f t="shared" si="154"/>
        <v>0</v>
      </c>
      <c r="J850" s="2863"/>
      <c r="K850" s="223">
        <f t="shared" si="155"/>
        <v>5</v>
      </c>
      <c r="L850" s="2854"/>
    </row>
    <row r="851" spans="1:12">
      <c r="A851" s="2837"/>
      <c r="B851" s="275" t="str">
        <f>дома!A1850</f>
        <v>Нет наждачной бумаги</v>
      </c>
      <c r="C851" s="99" t="str">
        <f>дома!B1850</f>
        <v>м</v>
      </c>
      <c r="D851" s="275">
        <f>дома!C1850</f>
        <v>0</v>
      </c>
      <c r="E851" s="100">
        <f>дома!D1850</f>
        <v>0</v>
      </c>
      <c r="F851" s="100"/>
      <c r="G851" s="275">
        <f t="shared" si="152"/>
        <v>0</v>
      </c>
      <c r="H851" s="96">
        <f t="shared" si="153"/>
        <v>0</v>
      </c>
      <c r="I851" s="2911">
        <f t="shared" si="154"/>
        <v>0</v>
      </c>
      <c r="J851" s="2863"/>
      <c r="K851" s="223">
        <f t="shared" si="155"/>
        <v>0</v>
      </c>
      <c r="L851" s="2854"/>
    </row>
    <row r="852" spans="1:12">
      <c r="A852" s="2837"/>
      <c r="B852" s="275" t="str">
        <f>дома!A1851</f>
        <v>Бумага наждачная № 63 F(30)</v>
      </c>
      <c r="C852" s="99" t="str">
        <f>дома!B1851</f>
        <v>м</v>
      </c>
      <c r="D852" s="275">
        <f>дома!C1851</f>
        <v>0</v>
      </c>
      <c r="E852" s="100">
        <f>дома!D1851</f>
        <v>291</v>
      </c>
      <c r="F852" s="100"/>
      <c r="G852" s="275">
        <f t="shared" si="152"/>
        <v>0</v>
      </c>
      <c r="H852" s="96">
        <f t="shared" si="153"/>
        <v>0</v>
      </c>
      <c r="I852" s="2911">
        <f t="shared" si="154"/>
        <v>0</v>
      </c>
      <c r="J852" s="2863"/>
      <c r="K852" s="223">
        <f t="shared" si="155"/>
        <v>0</v>
      </c>
      <c r="L852" s="2854"/>
    </row>
    <row r="853" spans="1:12">
      <c r="A853" s="2837"/>
      <c r="B853" s="275" t="str">
        <f>дома!A1852</f>
        <v>Бумага наждачная № 40</v>
      </c>
      <c r="C853" s="99" t="str">
        <f>дома!B1852</f>
        <v>м</v>
      </c>
      <c r="D853" s="275">
        <f>дома!C1852</f>
        <v>0</v>
      </c>
      <c r="E853" s="100">
        <f>дома!D1852</f>
        <v>240</v>
      </c>
      <c r="F853" s="100"/>
      <c r="G853" s="275">
        <f t="shared" si="152"/>
        <v>0</v>
      </c>
      <c r="H853" s="96">
        <f t="shared" si="153"/>
        <v>0</v>
      </c>
      <c r="I853" s="2911">
        <f t="shared" si="154"/>
        <v>0</v>
      </c>
      <c r="J853" s="2863"/>
      <c r="K853" s="223">
        <f t="shared" si="155"/>
        <v>0</v>
      </c>
      <c r="L853" s="2854"/>
    </row>
    <row r="854" spans="1:12">
      <c r="A854" s="2837"/>
      <c r="B854" s="3278" t="s">
        <v>4640</v>
      </c>
      <c r="C854" s="3278"/>
      <c r="D854" s="3278"/>
      <c r="E854" s="3278"/>
      <c r="F854" s="2868"/>
      <c r="G854" s="96">
        <f>SUM(G831:G853)*H829</f>
        <v>0</v>
      </c>
      <c r="H854" s="96">
        <f>SUM(H831:H853)</f>
        <v>0</v>
      </c>
      <c r="I854" s="2911">
        <f t="shared" si="154"/>
        <v>0</v>
      </c>
      <c r="J854" s="2863"/>
      <c r="K854" s="223">
        <f t="shared" si="155"/>
        <v>0</v>
      </c>
      <c r="L854" s="2854"/>
    </row>
    <row r="855" spans="1:12">
      <c r="A855" s="2837"/>
      <c r="B855" s="3279" t="s">
        <v>1409</v>
      </c>
      <c r="C855" s="3279"/>
      <c r="D855" s="3279"/>
      <c r="E855" s="3279"/>
      <c r="F855" s="2870"/>
      <c r="G855" s="941"/>
      <c r="H855" s="2891">
        <f>H829</f>
        <v>0</v>
      </c>
      <c r="I855" s="2879">
        <f>H855</f>
        <v>0</v>
      </c>
      <c r="J855" s="2892"/>
      <c r="K855" s="2893"/>
    </row>
    <row r="856" spans="1:12">
      <c r="A856" s="2829"/>
      <c r="B856" s="2763" t="str">
        <f>дома!G1830</f>
        <v>кладка Профилированного бруса</v>
      </c>
      <c r="C856" s="2890" t="s">
        <v>135</v>
      </c>
      <c r="D856" s="302">
        <f>дома!J1830</f>
        <v>24.288000000000011</v>
      </c>
      <c r="E856" s="179">
        <f>дома!K1830</f>
        <v>6000</v>
      </c>
      <c r="F856" s="179"/>
      <c r="G856" s="275">
        <f t="shared" ref="G856:G864" si="156">IF(F856&gt;0,D856*F856,E856*D856)</f>
        <v>145728.00000000006</v>
      </c>
      <c r="H856" s="2315">
        <f t="shared" ref="H856:H864" si="157">D856*E856*$H$855</f>
        <v>0</v>
      </c>
      <c r="I856" s="2836">
        <f t="shared" ref="I856:I865" si="158">IF(G856&gt;H856,G856,H856)*$H$829</f>
        <v>0</v>
      </c>
      <c r="J856" s="2829"/>
      <c r="K856" s="2837"/>
    </row>
    <row r="857" spans="1:12">
      <c r="A857" s="2837"/>
      <c r="B857" s="2763" t="str">
        <f>дома!G1831</f>
        <v>окосячка проемов, м.п.</v>
      </c>
      <c r="C857" s="2890" t="s">
        <v>156</v>
      </c>
      <c r="D857" s="302">
        <f>дома!J1831</f>
        <v>0</v>
      </c>
      <c r="E857" s="179">
        <f>дома!K1831</f>
        <v>150</v>
      </c>
      <c r="F857" s="179"/>
      <c r="G857" s="275">
        <f t="shared" si="156"/>
        <v>0</v>
      </c>
      <c r="H857" s="2315">
        <f t="shared" si="157"/>
        <v>0</v>
      </c>
      <c r="I857" s="2836">
        <f t="shared" si="158"/>
        <v>0</v>
      </c>
      <c r="J857" s="2829"/>
      <c r="K857" s="2837"/>
    </row>
    <row r="858" spans="1:12">
      <c r="A858" s="2837"/>
      <c r="B858" s="2763" t="str">
        <f>дома!G1832</f>
        <v>обработка торцов на брусе</v>
      </c>
      <c r="C858" s="2890" t="s">
        <v>156</v>
      </c>
      <c r="D858" s="302">
        <f>дома!J1832</f>
        <v>14.400000000000002</v>
      </c>
      <c r="E858" s="179">
        <f>дома!K1832</f>
        <v>250</v>
      </c>
      <c r="F858" s="179"/>
      <c r="G858" s="275">
        <f t="shared" si="156"/>
        <v>3600.0000000000005</v>
      </c>
      <c r="H858" s="2315">
        <f t="shared" si="157"/>
        <v>0</v>
      </c>
      <c r="I858" s="2836">
        <f t="shared" si="158"/>
        <v>0</v>
      </c>
      <c r="J858" s="2829"/>
      <c r="K858" s="2837"/>
    </row>
    <row r="859" spans="1:12">
      <c r="A859" s="2837"/>
      <c r="B859" s="2763" t="str">
        <f>дома!G1833</f>
        <v>Обаботка огнебиозащитой</v>
      </c>
      <c r="C859" s="2890" t="s">
        <v>156</v>
      </c>
      <c r="D859" s="302">
        <f>дома!J1833</f>
        <v>24.288000000000011</v>
      </c>
      <c r="E859" s="179">
        <f>дома!K1833</f>
        <v>300</v>
      </c>
      <c r="F859" s="179"/>
      <c r="G859" s="275">
        <f t="shared" si="156"/>
        <v>7286.4000000000033</v>
      </c>
      <c r="H859" s="2315">
        <f t="shared" si="157"/>
        <v>0</v>
      </c>
      <c r="I859" s="2836">
        <f t="shared" si="158"/>
        <v>0</v>
      </c>
      <c r="J859" s="2829"/>
      <c r="K859" s="2837"/>
    </row>
    <row r="860" spans="1:12">
      <c r="A860" s="2837"/>
      <c r="B860" s="2763" t="str">
        <f>дома!G1834</f>
        <v>Пропитка стен внешних</v>
      </c>
      <c r="C860" s="2890" t="s">
        <v>156</v>
      </c>
      <c r="D860" s="302">
        <f>дома!J1834</f>
        <v>0</v>
      </c>
      <c r="E860" s="179">
        <f>дома!K1834</f>
        <v>100</v>
      </c>
      <c r="F860" s="179"/>
      <c r="G860" s="275">
        <f t="shared" si="156"/>
        <v>0</v>
      </c>
      <c r="H860" s="2315">
        <f t="shared" si="157"/>
        <v>0</v>
      </c>
      <c r="I860" s="2836">
        <f t="shared" si="158"/>
        <v>0</v>
      </c>
      <c r="J860" s="2829"/>
      <c r="K860" s="2837"/>
    </row>
    <row r="861" spans="1:12">
      <c r="A861" s="2837"/>
      <c r="B861" s="2763" t="str">
        <f>дома!G1835</f>
        <v>Пропитка внутенних стен</v>
      </c>
      <c r="C861" s="2890" t="s">
        <v>156</v>
      </c>
      <c r="D861" s="302">
        <f>дома!J1835</f>
        <v>0</v>
      </c>
      <c r="E861" s="179">
        <f>дома!K1835</f>
        <v>100</v>
      </c>
      <c r="F861" s="179"/>
      <c r="G861" s="275">
        <f t="shared" si="156"/>
        <v>0</v>
      </c>
      <c r="H861" s="2315">
        <f t="shared" si="157"/>
        <v>0</v>
      </c>
      <c r="I861" s="2836">
        <f t="shared" si="158"/>
        <v>0</v>
      </c>
      <c r="J861" s="2829"/>
      <c r="K861" s="2837"/>
    </row>
    <row r="862" spans="1:12">
      <c r="A862" s="2837"/>
      <c r="B862" s="2763" t="str">
        <f>дома!G1836</f>
        <v>Сверление стен для скрытой проводки</v>
      </c>
      <c r="C862" s="2890" t="s">
        <v>156</v>
      </c>
      <c r="D862" s="302">
        <f>дома!J1836</f>
        <v>180</v>
      </c>
      <c r="E862" s="179">
        <f>дома!K1836</f>
        <v>300</v>
      </c>
      <c r="F862" s="179"/>
      <c r="G862" s="275">
        <f t="shared" si="156"/>
        <v>54000</v>
      </c>
      <c r="H862" s="2315">
        <f t="shared" si="157"/>
        <v>0</v>
      </c>
      <c r="I862" s="2836">
        <f t="shared" si="158"/>
        <v>0</v>
      </c>
      <c r="J862" s="2829"/>
      <c r="K862" s="2837"/>
    </row>
    <row r="863" spans="1:12">
      <c r="A863" s="2837"/>
      <c r="B863" s="2763" t="str">
        <f>дома!G1837</f>
        <v>Монтаж наличника</v>
      </c>
      <c r="C863" s="2890" t="s">
        <v>156</v>
      </c>
      <c r="D863" s="302">
        <f>дома!J1837</f>
        <v>0</v>
      </c>
      <c r="E863" s="179">
        <f>дома!K1837</f>
        <v>80</v>
      </c>
      <c r="F863" s="179"/>
      <c r="G863" s="275">
        <f t="shared" si="156"/>
        <v>0</v>
      </c>
      <c r="H863" s="2315">
        <f t="shared" si="157"/>
        <v>0</v>
      </c>
      <c r="I863" s="2836">
        <f t="shared" si="158"/>
        <v>0</v>
      </c>
      <c r="J863" s="2829"/>
      <c r="K863" s="2837"/>
    </row>
    <row r="864" spans="1:12">
      <c r="A864" s="2837"/>
      <c r="B864" s="2763" t="str">
        <f>дома!G1838</f>
        <v>Шлифовка стен дома</v>
      </c>
      <c r="C864" s="2890" t="s">
        <v>156</v>
      </c>
      <c r="D864" s="302">
        <f>дома!J1838</f>
        <v>0</v>
      </c>
      <c r="E864" s="179">
        <f>дома!K1838</f>
        <v>250</v>
      </c>
      <c r="F864" s="179"/>
      <c r="G864" s="275">
        <f t="shared" si="156"/>
        <v>0</v>
      </c>
      <c r="H864" s="2315">
        <f t="shared" si="157"/>
        <v>0</v>
      </c>
      <c r="I864" s="2836">
        <f t="shared" si="158"/>
        <v>0</v>
      </c>
      <c r="J864" s="2829"/>
      <c r="K864" s="2837"/>
    </row>
    <row r="865" spans="1:12">
      <c r="A865" s="2837"/>
      <c r="B865" s="3278" t="s">
        <v>4641</v>
      </c>
      <c r="C865" s="3278"/>
      <c r="D865" s="3278"/>
      <c r="E865" s="3278"/>
      <c r="F865" s="2868"/>
      <c r="G865" s="2315">
        <f>SUM(G856:G864)*H855</f>
        <v>0</v>
      </c>
      <c r="H865" s="2315">
        <f>SUM(H856:H864)</f>
        <v>0</v>
      </c>
      <c r="I865" s="2836">
        <f t="shared" si="158"/>
        <v>0</v>
      </c>
      <c r="J865" s="2829"/>
      <c r="K865" s="2837"/>
    </row>
    <row r="866" spans="1:12" ht="21">
      <c r="A866" s="2837"/>
      <c r="B866" s="3282" t="s">
        <v>4258</v>
      </c>
      <c r="C866" s="3282"/>
      <c r="D866" s="3282"/>
      <c r="E866" s="3282"/>
      <c r="F866" s="2887"/>
      <c r="G866" s="941"/>
      <c r="H866" s="2901">
        <f>IF('Ввод данных'!$A$8=связи1!A158,1,0)+IF('Ввод данных'!$A$8=связи1!A164,1,0)+IF('Ввод данных'!$A$8=связи1!A172,1,0)</f>
        <v>0</v>
      </c>
      <c r="I866" s="2879">
        <f>H866</f>
        <v>0</v>
      </c>
      <c r="J866" s="2829"/>
      <c r="K866" s="2837"/>
    </row>
    <row r="867" spans="1:12">
      <c r="A867" s="2829"/>
      <c r="B867" s="3285" t="s">
        <v>2720</v>
      </c>
      <c r="C867" s="3285"/>
      <c r="D867" s="3285"/>
      <c r="E867" s="3285"/>
      <c r="F867" s="2902"/>
      <c r="G867" s="941"/>
      <c r="H867" s="2903">
        <f>H866</f>
        <v>0</v>
      </c>
      <c r="I867" s="2879">
        <f>H867</f>
        <v>0</v>
      </c>
      <c r="J867" s="2850"/>
      <c r="K867" s="2851"/>
    </row>
    <row r="868" spans="1:12">
      <c r="A868" s="2829"/>
      <c r="B868" s="275" t="str">
        <f>дома!A1878</f>
        <v>Листв. влаж, 200*200мм</v>
      </c>
      <c r="C868" s="99" t="str">
        <f>дома!B1878</f>
        <v>м3</v>
      </c>
      <c r="D868" s="275">
        <f>дома!C1878</f>
        <v>2.5520000000000005</v>
      </c>
      <c r="E868" s="100">
        <f>дома!D1878</f>
        <v>9000</v>
      </c>
      <c r="F868" s="100"/>
      <c r="G868" s="275">
        <f t="shared" ref="G868:G890" si="159">IF(F868&gt;0,D868*F868,E868*D868)</f>
        <v>22968.000000000004</v>
      </c>
      <c r="H868" s="96">
        <f t="shared" ref="H868:H890" si="160">D868*E868*$H$867</f>
        <v>0</v>
      </c>
      <c r="I868" s="2911">
        <f t="shared" ref="I868:I891" si="161">IF(G868&gt;H868,G868,H868)*$H$866</f>
        <v>0</v>
      </c>
      <c r="J868" s="2863"/>
      <c r="K868" s="223">
        <f t="shared" ref="K868:K891" si="162">D868-J868</f>
        <v>2.5520000000000005</v>
      </c>
      <c r="L868" s="2854"/>
    </row>
    <row r="869" spans="1:12">
      <c r="A869" s="2837"/>
      <c r="B869" s="275" t="str">
        <f>дома!A1879</f>
        <v>Сосна влаж, 200*200мм</v>
      </c>
      <c r="C869" s="99" t="str">
        <f>дома!B1879</f>
        <v>м3</v>
      </c>
      <c r="D869" s="275">
        <f>дома!C1879</f>
        <v>21.736000000000011</v>
      </c>
      <c r="E869" s="100">
        <f>дома!D1879</f>
        <v>6500</v>
      </c>
      <c r="F869" s="100"/>
      <c r="G869" s="275">
        <f t="shared" si="159"/>
        <v>141284.00000000009</v>
      </c>
      <c r="H869" s="96">
        <f t="shared" si="160"/>
        <v>0</v>
      </c>
      <c r="I869" s="2911">
        <f t="shared" si="161"/>
        <v>0</v>
      </c>
      <c r="J869" s="2863"/>
      <c r="K869" s="223">
        <f t="shared" si="162"/>
        <v>21.736000000000011</v>
      </c>
      <c r="L869" s="2854"/>
    </row>
    <row r="870" spans="1:12">
      <c r="A870" s="2837"/>
      <c r="B870" s="275" t="str">
        <f>дома!A1880</f>
        <v>Сосна влаж, 200*150мм</v>
      </c>
      <c r="C870" s="99" t="str">
        <f>дома!B1880</f>
        <v>м3</v>
      </c>
      <c r="D870" s="275">
        <f>дома!C1880</f>
        <v>0</v>
      </c>
      <c r="E870" s="100">
        <f>дома!D1880</f>
        <v>6500</v>
      </c>
      <c r="F870" s="100"/>
      <c r="G870" s="275">
        <f t="shared" si="159"/>
        <v>0</v>
      </c>
      <c r="H870" s="96">
        <f t="shared" si="160"/>
        <v>0</v>
      </c>
      <c r="I870" s="2911">
        <f t="shared" si="161"/>
        <v>0</v>
      </c>
      <c r="J870" s="2863"/>
      <c r="K870" s="223">
        <f t="shared" si="162"/>
        <v>0</v>
      </c>
      <c r="L870" s="2854"/>
    </row>
    <row r="871" spans="1:12">
      <c r="A871" s="2837"/>
      <c r="B871" s="275" t="str">
        <f>дома!A1881</f>
        <v>Сосна влаж, 200*100мм</v>
      </c>
      <c r="C871" s="99" t="str">
        <f>дома!B1881</f>
        <v>м2</v>
      </c>
      <c r="D871" s="275">
        <f>дома!C1881</f>
        <v>0</v>
      </c>
      <c r="E871" s="100">
        <f>дома!D1881</f>
        <v>6500</v>
      </c>
      <c r="F871" s="100"/>
      <c r="G871" s="275">
        <f t="shared" si="159"/>
        <v>0</v>
      </c>
      <c r="H871" s="96">
        <f t="shared" si="160"/>
        <v>0</v>
      </c>
      <c r="I871" s="2911">
        <f t="shared" si="161"/>
        <v>0</v>
      </c>
      <c r="J871" s="2863"/>
      <c r="K871" s="223">
        <f t="shared" si="162"/>
        <v>0</v>
      </c>
      <c r="L871" s="2854"/>
    </row>
    <row r="872" spans="1:12">
      <c r="A872" s="2837"/>
      <c r="B872" s="275" t="str">
        <f>дома!A1882</f>
        <v>Шкант</v>
      </c>
      <c r="C872" s="99" t="str">
        <f>дома!B1882</f>
        <v>шт</v>
      </c>
      <c r="D872" s="275">
        <f>дома!C1882</f>
        <v>535</v>
      </c>
      <c r="E872" s="100">
        <f>дома!D1882</f>
        <v>6</v>
      </c>
      <c r="F872" s="100"/>
      <c r="G872" s="275">
        <f t="shared" si="159"/>
        <v>3210</v>
      </c>
      <c r="H872" s="96">
        <f t="shared" si="160"/>
        <v>0</v>
      </c>
      <c r="I872" s="2911">
        <f t="shared" si="161"/>
        <v>0</v>
      </c>
      <c r="J872" s="2863"/>
      <c r="K872" s="223">
        <f t="shared" si="162"/>
        <v>535</v>
      </c>
      <c r="L872" s="2854"/>
    </row>
    <row r="873" spans="1:12">
      <c r="A873" s="2837"/>
      <c r="B873" s="275" t="str">
        <f>дома!A1883</f>
        <v>Лента уплотнения</v>
      </c>
      <c r="C873" s="99" t="str">
        <f>дома!B1883</f>
        <v>шт</v>
      </c>
      <c r="D873" s="275">
        <f>дома!C1883</f>
        <v>0</v>
      </c>
      <c r="E873" s="100">
        <f>дома!D1883</f>
        <v>130</v>
      </c>
      <c r="F873" s="100"/>
      <c r="G873" s="275">
        <f t="shared" si="159"/>
        <v>0</v>
      </c>
      <c r="H873" s="96">
        <f t="shared" si="160"/>
        <v>0</v>
      </c>
      <c r="I873" s="2911">
        <f t="shared" si="161"/>
        <v>0</v>
      </c>
      <c r="J873" s="2863"/>
      <c r="K873" s="223">
        <f t="shared" si="162"/>
        <v>0</v>
      </c>
      <c r="L873" s="2854"/>
    </row>
    <row r="874" spans="1:12">
      <c r="A874" s="2837"/>
      <c r="B874" s="275" t="str">
        <f>дома!A1884</f>
        <v xml:space="preserve">Гвозди строительные 3,5 x 90            </v>
      </c>
      <c r="C874" s="99" t="str">
        <f>дома!B1884</f>
        <v>шт</v>
      </c>
      <c r="D874" s="275">
        <f>дома!C1884</f>
        <v>4.4000000000000004</v>
      </c>
      <c r="E874" s="100">
        <f>дома!D1884</f>
        <v>70</v>
      </c>
      <c r="F874" s="100"/>
      <c r="G874" s="275">
        <f t="shared" si="159"/>
        <v>308</v>
      </c>
      <c r="H874" s="96">
        <f t="shared" si="160"/>
        <v>0</v>
      </c>
      <c r="I874" s="2911">
        <f t="shared" si="161"/>
        <v>0</v>
      </c>
      <c r="J874" s="2863"/>
      <c r="K874" s="223">
        <f t="shared" si="162"/>
        <v>4.4000000000000004</v>
      </c>
      <c r="L874" s="2854"/>
    </row>
    <row r="875" spans="1:12">
      <c r="A875" s="2837"/>
      <c r="B875" s="275" t="str">
        <f>дома!A1885</f>
        <v>нет</v>
      </c>
      <c r="C875" s="99" t="str">
        <f>дома!B1885</f>
        <v>м3</v>
      </c>
      <c r="D875" s="275">
        <f>дома!C1885</f>
        <v>0</v>
      </c>
      <c r="E875" s="100">
        <f>дома!D1885</f>
        <v>0</v>
      </c>
      <c r="F875" s="100"/>
      <c r="G875" s="275">
        <f t="shared" si="159"/>
        <v>0</v>
      </c>
      <c r="H875" s="96">
        <f t="shared" si="160"/>
        <v>0</v>
      </c>
      <c r="I875" s="2911">
        <f t="shared" si="161"/>
        <v>0</v>
      </c>
      <c r="J875" s="2863"/>
      <c r="K875" s="223">
        <f t="shared" si="162"/>
        <v>0</v>
      </c>
      <c r="L875" s="2854"/>
    </row>
    <row r="876" spans="1:12">
      <c r="A876" s="2837"/>
      <c r="B876" s="275" t="str">
        <f>дома!A1886</f>
        <v>Доска сухая, 100*50мм</v>
      </c>
      <c r="C876" s="99" t="str">
        <f>дома!B1886</f>
        <v>м3</v>
      </c>
      <c r="D876" s="275">
        <f>дома!C1886</f>
        <v>0</v>
      </c>
      <c r="E876" s="100">
        <f>дома!D1886</f>
        <v>9000</v>
      </c>
      <c r="F876" s="100"/>
      <c r="G876" s="275">
        <f t="shared" si="159"/>
        <v>0</v>
      </c>
      <c r="H876" s="96">
        <f t="shared" si="160"/>
        <v>0</v>
      </c>
      <c r="I876" s="2911">
        <f t="shared" si="161"/>
        <v>0</v>
      </c>
      <c r="J876" s="2863"/>
      <c r="K876" s="223">
        <f t="shared" si="162"/>
        <v>0</v>
      </c>
      <c r="L876" s="2854"/>
    </row>
    <row r="877" spans="1:12">
      <c r="A877" s="2837"/>
      <c r="B877" s="275" t="str">
        <f>дома!A1887</f>
        <v>Доска сухая калиброванная, 100*45мм</v>
      </c>
      <c r="C877" s="99" t="str">
        <f>дома!B1887</f>
        <v>м3</v>
      </c>
      <c r="D877" s="275">
        <f>дома!C1887</f>
        <v>0</v>
      </c>
      <c r="E877" s="100">
        <f>дома!D1887</f>
        <v>12500</v>
      </c>
      <c r="F877" s="100"/>
      <c r="G877" s="275">
        <f t="shared" si="159"/>
        <v>0</v>
      </c>
      <c r="H877" s="96">
        <f t="shared" si="160"/>
        <v>0</v>
      </c>
      <c r="I877" s="2911">
        <f t="shared" si="161"/>
        <v>0</v>
      </c>
      <c r="J877" s="2863"/>
      <c r="K877" s="223">
        <f t="shared" si="162"/>
        <v>0</v>
      </c>
      <c r="L877" s="2854"/>
    </row>
    <row r="878" spans="1:12">
      <c r="A878" s="2837"/>
      <c r="B878" s="275" t="str">
        <f>дома!A1888</f>
        <v>Сосна влаж, 50*50мм</v>
      </c>
      <c r="C878" s="99" t="str">
        <f>дома!B1888</f>
        <v>м.п.</v>
      </c>
      <c r="D878" s="275">
        <f>дома!C1888</f>
        <v>0</v>
      </c>
      <c r="E878" s="100">
        <f>дома!D1888</f>
        <v>16.25</v>
      </c>
      <c r="F878" s="100"/>
      <c r="G878" s="275">
        <f t="shared" si="159"/>
        <v>0</v>
      </c>
      <c r="H878" s="96">
        <f t="shared" si="160"/>
        <v>0</v>
      </c>
      <c r="I878" s="2911">
        <f t="shared" si="161"/>
        <v>0</v>
      </c>
      <c r="J878" s="2863"/>
      <c r="K878" s="223">
        <f t="shared" si="162"/>
        <v>0</v>
      </c>
      <c r="L878" s="2854"/>
    </row>
    <row r="879" spans="1:12">
      <c r="A879" s="2837"/>
      <c r="B879" s="275" t="str">
        <f>дома!A1889</f>
        <v>Бензин для пилы</v>
      </c>
      <c r="C879" s="99" t="str">
        <f>дома!B1889</f>
        <v>л</v>
      </c>
      <c r="D879" s="275">
        <f>дома!C1889</f>
        <v>4.8576000000000024</v>
      </c>
      <c r="E879" s="100">
        <f>дома!D1889</f>
        <v>40</v>
      </c>
      <c r="F879" s="100"/>
      <c r="G879" s="275">
        <f t="shared" si="159"/>
        <v>194.30400000000009</v>
      </c>
      <c r="H879" s="96">
        <f t="shared" si="160"/>
        <v>0</v>
      </c>
      <c r="I879" s="2911">
        <f t="shared" si="161"/>
        <v>0</v>
      </c>
      <c r="J879" s="2863"/>
      <c r="K879" s="223">
        <f t="shared" si="162"/>
        <v>4.8576000000000024</v>
      </c>
      <c r="L879" s="2854"/>
    </row>
    <row r="880" spans="1:12">
      <c r="A880" s="2837"/>
      <c r="B880" s="275" t="str">
        <f>дома!A1890</f>
        <v>Масло для пилы</v>
      </c>
      <c r="C880" s="99" t="str">
        <f>дома!B1890</f>
        <v>л</v>
      </c>
      <c r="D880" s="275">
        <f>дома!C1890</f>
        <v>0.24288000000000012</v>
      </c>
      <c r="E880" s="100">
        <f>дома!D1890</f>
        <v>250</v>
      </c>
      <c r="F880" s="100"/>
      <c r="G880" s="275">
        <f t="shared" si="159"/>
        <v>60.720000000000034</v>
      </c>
      <c r="H880" s="96">
        <f t="shared" si="160"/>
        <v>0</v>
      </c>
      <c r="I880" s="2911">
        <f t="shared" si="161"/>
        <v>0</v>
      </c>
      <c r="J880" s="2863"/>
      <c r="K880" s="223">
        <f t="shared" si="162"/>
        <v>0.24288000000000012</v>
      </c>
      <c r="L880" s="2854"/>
    </row>
    <row r="881" spans="1:12">
      <c r="A881" s="2837"/>
      <c r="B881" s="275" t="str">
        <f>дома!A1891</f>
        <v>Цепь для пилы</v>
      </c>
      <c r="C881" s="99" t="s">
        <v>159</v>
      </c>
      <c r="D881" s="275">
        <f>дома!C1891</f>
        <v>3</v>
      </c>
      <c r="E881" s="100">
        <f>дома!D1891</f>
        <v>800</v>
      </c>
      <c r="F881" s="100"/>
      <c r="G881" s="275">
        <f t="shared" si="159"/>
        <v>2400</v>
      </c>
      <c r="H881" s="96">
        <f t="shared" si="160"/>
        <v>0</v>
      </c>
      <c r="I881" s="2911">
        <f t="shared" si="161"/>
        <v>0</v>
      </c>
      <c r="J881" s="2863"/>
      <c r="K881" s="223">
        <f t="shared" si="162"/>
        <v>3</v>
      </c>
      <c r="L881" s="2854"/>
    </row>
    <row r="882" spans="1:12">
      <c r="A882" s="2837"/>
      <c r="B882" s="275" t="str">
        <f>дома!A1892</f>
        <v>"Профилюкс" Антисептик АНТИПЛЕСЕНЬ</v>
      </c>
      <c r="C882" s="99" t="str">
        <f>дома!B1892</f>
        <v>л</v>
      </c>
      <c r="D882" s="275">
        <f>дома!C1892</f>
        <v>0</v>
      </c>
      <c r="E882" s="100">
        <f>дома!D1892</f>
        <v>108</v>
      </c>
      <c r="F882" s="100"/>
      <c r="G882" s="275">
        <f t="shared" si="159"/>
        <v>0</v>
      </c>
      <c r="H882" s="96">
        <f t="shared" si="160"/>
        <v>0</v>
      </c>
      <c r="I882" s="2911">
        <f t="shared" si="161"/>
        <v>0</v>
      </c>
      <c r="J882" s="2863"/>
      <c r="K882" s="223">
        <f t="shared" si="162"/>
        <v>0</v>
      </c>
      <c r="L882" s="2854"/>
    </row>
    <row r="883" spans="1:12">
      <c r="A883" s="2837"/>
      <c r="B883" s="275" t="str">
        <f>дома!A1893</f>
        <v>"Тонерол" Антисептик  бесцветный  1л</v>
      </c>
      <c r="C883" s="99" t="str">
        <f>дома!B1893</f>
        <v>л</v>
      </c>
      <c r="D883" s="275">
        <f>дома!C1893</f>
        <v>0</v>
      </c>
      <c r="E883" s="100">
        <f>дома!D1893</f>
        <v>305</v>
      </c>
      <c r="F883" s="100"/>
      <c r="G883" s="275">
        <f t="shared" si="159"/>
        <v>0</v>
      </c>
      <c r="H883" s="96">
        <f t="shared" si="160"/>
        <v>0</v>
      </c>
      <c r="I883" s="2911">
        <f t="shared" si="161"/>
        <v>0</v>
      </c>
      <c r="J883" s="2863"/>
      <c r="K883" s="223">
        <f t="shared" si="162"/>
        <v>0</v>
      </c>
      <c r="L883" s="2854"/>
    </row>
    <row r="884" spans="1:12">
      <c r="A884" s="2837"/>
      <c r="B884" s="275" t="str">
        <f>дома!A1894</f>
        <v>"Тонерол" Антисептик  махагон  1л</v>
      </c>
      <c r="C884" s="99" t="str">
        <f>дома!B1894</f>
        <v>л</v>
      </c>
      <c r="D884" s="275">
        <f>дома!C1894</f>
        <v>0</v>
      </c>
      <c r="E884" s="100">
        <f>дома!D1894</f>
        <v>305</v>
      </c>
      <c r="F884" s="100"/>
      <c r="G884" s="275">
        <f t="shared" si="159"/>
        <v>0</v>
      </c>
      <c r="H884" s="96">
        <f t="shared" si="160"/>
        <v>0</v>
      </c>
      <c r="I884" s="2911">
        <f t="shared" si="161"/>
        <v>0</v>
      </c>
      <c r="J884" s="2863"/>
      <c r="K884" s="223">
        <f t="shared" si="162"/>
        <v>0</v>
      </c>
      <c r="L884" s="2854"/>
    </row>
    <row r="885" spans="1:12">
      <c r="A885" s="2837"/>
      <c r="B885" s="275" t="str">
        <f>дома!A1895</f>
        <v>Нет наличника</v>
      </c>
      <c r="C885" s="99" t="str">
        <f>дома!B1895</f>
        <v>м.п.</v>
      </c>
      <c r="D885" s="275">
        <f>дома!C1895</f>
        <v>3.5700000000000007</v>
      </c>
      <c r="E885" s="100">
        <f>дома!D1895</f>
        <v>0</v>
      </c>
      <c r="F885" s="100"/>
      <c r="G885" s="275">
        <f t="shared" si="159"/>
        <v>0</v>
      </c>
      <c r="H885" s="96">
        <f t="shared" si="160"/>
        <v>0</v>
      </c>
      <c r="I885" s="2911">
        <f t="shared" si="161"/>
        <v>0</v>
      </c>
      <c r="J885" s="2863"/>
      <c r="K885" s="223">
        <f t="shared" si="162"/>
        <v>3.5700000000000007</v>
      </c>
      <c r="L885" s="2854"/>
    </row>
    <row r="886" spans="1:12">
      <c r="A886" s="2837"/>
      <c r="B886" s="275" t="str">
        <f>дома!A1896</f>
        <v>Нет наличника</v>
      </c>
      <c r="C886" s="99" t="str">
        <f>дома!B1896</f>
        <v>м.п.</v>
      </c>
      <c r="D886" s="275">
        <f>дома!C1896</f>
        <v>3.5700000000000007</v>
      </c>
      <c r="E886" s="100">
        <f>дома!D1896</f>
        <v>0</v>
      </c>
      <c r="F886" s="100"/>
      <c r="G886" s="275">
        <f t="shared" si="159"/>
        <v>0</v>
      </c>
      <c r="H886" s="96">
        <f t="shared" si="160"/>
        <v>0</v>
      </c>
      <c r="I886" s="2911">
        <f t="shared" si="161"/>
        <v>0</v>
      </c>
      <c r="J886" s="2863"/>
      <c r="K886" s="223">
        <f t="shared" si="162"/>
        <v>3.5700000000000007</v>
      </c>
      <c r="L886" s="2854"/>
    </row>
    <row r="887" spans="1:12">
      <c r="A887" s="2837"/>
      <c r="B887" s="275" t="str">
        <f>дома!A1897</f>
        <v>Бумага наждачная № 63 F(30)</v>
      </c>
      <c r="C887" s="99" t="str">
        <f>дома!B1897</f>
        <v>м</v>
      </c>
      <c r="D887" s="275">
        <f>дома!C1897</f>
        <v>5</v>
      </c>
      <c r="E887" s="100">
        <f>дома!D1897</f>
        <v>291</v>
      </c>
      <c r="F887" s="100"/>
      <c r="G887" s="275">
        <f t="shared" si="159"/>
        <v>1455</v>
      </c>
      <c r="H887" s="96">
        <f t="shared" si="160"/>
        <v>0</v>
      </c>
      <c r="I887" s="2911">
        <f t="shared" si="161"/>
        <v>0</v>
      </c>
      <c r="J887" s="2863"/>
      <c r="K887" s="223">
        <f t="shared" si="162"/>
        <v>5</v>
      </c>
      <c r="L887" s="2854"/>
    </row>
    <row r="888" spans="1:12">
      <c r="A888" s="2837"/>
      <c r="B888" s="275" t="str">
        <f>дома!A1898</f>
        <v>Нет наждачной бумаги</v>
      </c>
      <c r="C888" s="99" t="str">
        <f>дома!B1898</f>
        <v>м</v>
      </c>
      <c r="D888" s="275">
        <f>дома!C1898</f>
        <v>0</v>
      </c>
      <c r="E888" s="100">
        <f>дома!D1898</f>
        <v>0</v>
      </c>
      <c r="F888" s="100"/>
      <c r="G888" s="275">
        <f t="shared" si="159"/>
        <v>0</v>
      </c>
      <c r="H888" s="96">
        <f t="shared" si="160"/>
        <v>0</v>
      </c>
      <c r="I888" s="2911">
        <f t="shared" si="161"/>
        <v>0</v>
      </c>
      <c r="J888" s="2863"/>
      <c r="K888" s="223">
        <f t="shared" si="162"/>
        <v>0</v>
      </c>
      <c r="L888" s="2854"/>
    </row>
    <row r="889" spans="1:12">
      <c r="A889" s="2837"/>
      <c r="B889" s="275" t="str">
        <f>дома!A1899</f>
        <v>Бумага наждачная № 63 F(30)</v>
      </c>
      <c r="C889" s="99" t="str">
        <f>дома!B1899</f>
        <v>м</v>
      </c>
      <c r="D889" s="275">
        <f>дома!C1899</f>
        <v>0</v>
      </c>
      <c r="E889" s="100">
        <f>дома!D1899</f>
        <v>291</v>
      </c>
      <c r="F889" s="100"/>
      <c r="G889" s="275">
        <f t="shared" si="159"/>
        <v>0</v>
      </c>
      <c r="H889" s="96">
        <f t="shared" si="160"/>
        <v>0</v>
      </c>
      <c r="I889" s="2911">
        <f t="shared" si="161"/>
        <v>0</v>
      </c>
      <c r="J889" s="2863"/>
      <c r="K889" s="223">
        <f t="shared" si="162"/>
        <v>0</v>
      </c>
      <c r="L889" s="2854"/>
    </row>
    <row r="890" spans="1:12">
      <c r="A890" s="2837"/>
      <c r="B890" s="275" t="str">
        <f>дома!A1900</f>
        <v>Бумага наждачная № 40</v>
      </c>
      <c r="C890" s="99" t="str">
        <f>дома!B1900</f>
        <v>м</v>
      </c>
      <c r="D890" s="275">
        <f>дома!C1900</f>
        <v>0</v>
      </c>
      <c r="E890" s="100">
        <f>дома!D1900</f>
        <v>240</v>
      </c>
      <c r="F890" s="100"/>
      <c r="G890" s="275">
        <f t="shared" si="159"/>
        <v>0</v>
      </c>
      <c r="H890" s="96">
        <f t="shared" si="160"/>
        <v>0</v>
      </c>
      <c r="I890" s="2911">
        <f t="shared" si="161"/>
        <v>0</v>
      </c>
      <c r="J890" s="2863"/>
      <c r="K890" s="223">
        <f t="shared" si="162"/>
        <v>0</v>
      </c>
      <c r="L890" s="2854"/>
    </row>
    <row r="891" spans="1:12">
      <c r="A891" s="2837"/>
      <c r="B891" s="3278" t="s">
        <v>4640</v>
      </c>
      <c r="C891" s="3278"/>
      <c r="D891" s="3278"/>
      <c r="E891" s="3278"/>
      <c r="F891" s="2868"/>
      <c r="G891" s="96">
        <f>SUM(G868:G890)*H866</f>
        <v>0</v>
      </c>
      <c r="H891" s="96">
        <f>SUM(H868:H890)</f>
        <v>0</v>
      </c>
      <c r="I891" s="2911">
        <f t="shared" si="161"/>
        <v>0</v>
      </c>
      <c r="J891" s="2863"/>
      <c r="K891" s="223">
        <f t="shared" si="162"/>
        <v>0</v>
      </c>
      <c r="L891" s="2854"/>
    </row>
    <row r="892" spans="1:12">
      <c r="A892" s="2837"/>
      <c r="B892" s="3279" t="s">
        <v>1409</v>
      </c>
      <c r="C892" s="3279"/>
      <c r="D892" s="3279"/>
      <c r="E892" s="3279"/>
      <c r="F892" s="2870"/>
      <c r="G892" s="941"/>
      <c r="H892" s="2891">
        <f>H866</f>
        <v>0</v>
      </c>
      <c r="I892" s="2879">
        <f>H892</f>
        <v>0</v>
      </c>
      <c r="J892" s="2892"/>
      <c r="K892" s="2893"/>
    </row>
    <row r="893" spans="1:12">
      <c r="A893" s="2829"/>
      <c r="B893" s="2763" t="str">
        <f>дома!G1878</f>
        <v>кладка бруса</v>
      </c>
      <c r="C893" s="2890" t="s">
        <v>135</v>
      </c>
      <c r="D893" s="302">
        <f>дома!J1878</f>
        <v>24.288000000000011</v>
      </c>
      <c r="E893" s="100">
        <f>дома!K1878</f>
        <v>6000</v>
      </c>
      <c r="F893" s="100"/>
      <c r="G893" s="275">
        <f t="shared" ref="G893:G901" si="163">IF(F893&gt;0,D893*F893,E893*D893)</f>
        <v>145728.00000000006</v>
      </c>
      <c r="H893" s="2315">
        <f t="shared" ref="H893:H901" si="164">D893*E893*$H$892</f>
        <v>0</v>
      </c>
      <c r="I893" s="2836">
        <f t="shared" ref="I893:I902" si="165">IF(G893&gt;H893,G893,H893)*$H$866</f>
        <v>0</v>
      </c>
      <c r="J893" s="2829"/>
      <c r="K893" s="2837"/>
    </row>
    <row r="894" spans="1:12">
      <c r="A894" s="2837"/>
      <c r="B894" s="2763" t="str">
        <f>дома!G1880</f>
        <v>окосячка проемов, м.п.</v>
      </c>
      <c r="C894" s="2890" t="s">
        <v>156</v>
      </c>
      <c r="D894" s="302">
        <f>дома!J1880</f>
        <v>0</v>
      </c>
      <c r="E894" s="100">
        <f>дома!K1880</f>
        <v>150</v>
      </c>
      <c r="F894" s="100"/>
      <c r="G894" s="275">
        <f t="shared" si="163"/>
        <v>0</v>
      </c>
      <c r="H894" s="2315">
        <f t="shared" si="164"/>
        <v>0</v>
      </c>
      <c r="I894" s="2836">
        <f t="shared" si="165"/>
        <v>0</v>
      </c>
      <c r="J894" s="2829"/>
      <c r="K894" s="2837"/>
    </row>
    <row r="895" spans="1:12">
      <c r="A895" s="2837"/>
      <c r="B895" s="2763" t="str">
        <f>дома!G1881</f>
        <v>обработка торцов на брусе</v>
      </c>
      <c r="C895" s="2890" t="s">
        <v>156</v>
      </c>
      <c r="D895" s="302">
        <f>дома!J1881</f>
        <v>14.400000000000002</v>
      </c>
      <c r="E895" s="100">
        <f>дома!K1881</f>
        <v>250</v>
      </c>
      <c r="F895" s="100"/>
      <c r="G895" s="275">
        <f t="shared" si="163"/>
        <v>3600.0000000000005</v>
      </c>
      <c r="H895" s="2315">
        <f t="shared" si="164"/>
        <v>0</v>
      </c>
      <c r="I895" s="2836">
        <f t="shared" si="165"/>
        <v>0</v>
      </c>
      <c r="J895" s="2829"/>
      <c r="K895" s="2837"/>
    </row>
    <row r="896" spans="1:12">
      <c r="A896" s="2837"/>
      <c r="B896" s="2763" t="str">
        <f>дома!G1882</f>
        <v>Обаботка огнебиозащитой</v>
      </c>
      <c r="C896" s="2890" t="s">
        <v>156</v>
      </c>
      <c r="D896" s="302">
        <f>дома!J1882</f>
        <v>24.288000000000011</v>
      </c>
      <c r="E896" s="100">
        <f>дома!K1882</f>
        <v>300</v>
      </c>
      <c r="F896" s="100"/>
      <c r="G896" s="275">
        <f t="shared" si="163"/>
        <v>7286.4000000000033</v>
      </c>
      <c r="H896" s="2315">
        <f t="shared" si="164"/>
        <v>0</v>
      </c>
      <c r="I896" s="2836">
        <f t="shared" si="165"/>
        <v>0</v>
      </c>
      <c r="J896" s="2829"/>
      <c r="K896" s="2837"/>
    </row>
    <row r="897" spans="1:12">
      <c r="A897" s="2837"/>
      <c r="B897" s="2763" t="str">
        <f>дома!G1883</f>
        <v>Пропитка стен внешних</v>
      </c>
      <c r="C897" s="2890" t="s">
        <v>156</v>
      </c>
      <c r="D897" s="302">
        <f>дома!J1883</f>
        <v>0</v>
      </c>
      <c r="E897" s="100">
        <f>дома!K1883</f>
        <v>100</v>
      </c>
      <c r="F897" s="100"/>
      <c r="G897" s="275">
        <f t="shared" si="163"/>
        <v>0</v>
      </c>
      <c r="H897" s="2315">
        <f t="shared" si="164"/>
        <v>0</v>
      </c>
      <c r="I897" s="2836">
        <f t="shared" si="165"/>
        <v>0</v>
      </c>
      <c r="J897" s="2829"/>
      <c r="K897" s="2837"/>
    </row>
    <row r="898" spans="1:12">
      <c r="A898" s="2837"/>
      <c r="B898" s="2763" t="str">
        <f>дома!G1884</f>
        <v>Пропитка внутенних стен</v>
      </c>
      <c r="C898" s="2890" t="s">
        <v>156</v>
      </c>
      <c r="D898" s="302">
        <f>дома!J1884</f>
        <v>0</v>
      </c>
      <c r="E898" s="100">
        <f>дома!K1884</f>
        <v>100</v>
      </c>
      <c r="F898" s="100"/>
      <c r="G898" s="275">
        <f t="shared" si="163"/>
        <v>0</v>
      </c>
      <c r="H898" s="2315">
        <f t="shared" si="164"/>
        <v>0</v>
      </c>
      <c r="I898" s="2836">
        <f t="shared" si="165"/>
        <v>0</v>
      </c>
      <c r="J898" s="2829"/>
      <c r="K898" s="2837"/>
    </row>
    <row r="899" spans="1:12">
      <c r="A899" s="2837"/>
      <c r="B899" s="2763" t="str">
        <f>дома!G1885</f>
        <v>Сверление стен для скрытой проводки</v>
      </c>
      <c r="C899" s="2890" t="s">
        <v>156</v>
      </c>
      <c r="D899" s="302">
        <f>дома!J1885</f>
        <v>180</v>
      </c>
      <c r="E899" s="100">
        <f>дома!K1885</f>
        <v>300</v>
      </c>
      <c r="F899" s="100"/>
      <c r="G899" s="275">
        <f t="shared" si="163"/>
        <v>54000</v>
      </c>
      <c r="H899" s="2315">
        <f t="shared" si="164"/>
        <v>0</v>
      </c>
      <c r="I899" s="2836">
        <f t="shared" si="165"/>
        <v>0</v>
      </c>
      <c r="J899" s="2829"/>
      <c r="K899" s="2837"/>
    </row>
    <row r="900" spans="1:12">
      <c r="A900" s="2837"/>
      <c r="B900" s="2763" t="str">
        <f>дома!G1886</f>
        <v>Монтаж наличника</v>
      </c>
      <c r="C900" s="2890" t="s">
        <v>156</v>
      </c>
      <c r="D900" s="302">
        <f>дома!J1886</f>
        <v>0</v>
      </c>
      <c r="E900" s="100">
        <f>дома!K1886</f>
        <v>80</v>
      </c>
      <c r="F900" s="100"/>
      <c r="G900" s="275">
        <f t="shared" si="163"/>
        <v>0</v>
      </c>
      <c r="H900" s="2315">
        <f t="shared" si="164"/>
        <v>0</v>
      </c>
      <c r="I900" s="2836">
        <f t="shared" si="165"/>
        <v>0</v>
      </c>
      <c r="J900" s="2829"/>
      <c r="K900" s="2837"/>
    </row>
    <row r="901" spans="1:12">
      <c r="A901" s="2837"/>
      <c r="B901" s="2763" t="str">
        <f>дома!G1888</f>
        <v>Шлифовка стен дома</v>
      </c>
      <c r="C901" s="2890" t="s">
        <v>156</v>
      </c>
      <c r="D901" s="302">
        <f>дома!J1888</f>
        <v>0</v>
      </c>
      <c r="E901" s="100">
        <f>дома!K1888</f>
        <v>250</v>
      </c>
      <c r="F901" s="100"/>
      <c r="G901" s="275">
        <f t="shared" si="163"/>
        <v>0</v>
      </c>
      <c r="H901" s="2315">
        <f t="shared" si="164"/>
        <v>0</v>
      </c>
      <c r="I901" s="2836">
        <f t="shared" si="165"/>
        <v>0</v>
      </c>
      <c r="J901" s="2829"/>
      <c r="K901" s="2837"/>
    </row>
    <row r="902" spans="1:12">
      <c r="A902" s="2837"/>
      <c r="B902" s="3278" t="s">
        <v>4641</v>
      </c>
      <c r="C902" s="3278"/>
      <c r="D902" s="3278"/>
      <c r="E902" s="3278"/>
      <c r="F902" s="2868"/>
      <c r="G902" s="2315">
        <f>SUM(G893:G901)*H892</f>
        <v>0</v>
      </c>
      <c r="H902" s="2315">
        <f>SUM(H893:H901)</f>
        <v>0</v>
      </c>
      <c r="I902" s="2836">
        <f t="shared" si="165"/>
        <v>0</v>
      </c>
      <c r="J902" s="2829"/>
      <c r="K902" s="2837"/>
    </row>
    <row r="903" spans="1:12" ht="21">
      <c r="A903" s="2837"/>
      <c r="B903" s="3283" t="s">
        <v>4658</v>
      </c>
      <c r="C903" s="3283"/>
      <c r="D903" s="3283"/>
      <c r="E903" s="3283"/>
      <c r="F903" s="2938"/>
      <c r="G903" s="941"/>
      <c r="H903" s="2896">
        <f>VLOOKUP('Ввод данных'!F64,связи1!A2:B3,2,0)</f>
        <v>0</v>
      </c>
      <c r="I903" s="2879"/>
      <c r="J903" s="2829"/>
      <c r="K903" s="2837"/>
    </row>
    <row r="904" spans="1:12">
      <c r="A904" s="2837"/>
      <c r="B904" s="3285" t="s">
        <v>2720</v>
      </c>
      <c r="C904" s="3285"/>
      <c r="D904" s="3285"/>
      <c r="E904" s="3285"/>
      <c r="F904" s="2910"/>
      <c r="G904" s="941"/>
      <c r="H904" s="2903">
        <f>H903</f>
        <v>0</v>
      </c>
      <c r="I904" s="2879"/>
      <c r="J904" s="2850"/>
      <c r="K904" s="2851"/>
    </row>
    <row r="905" spans="1:12">
      <c r="A905" s="2837"/>
      <c r="B905" s="98" t="str">
        <f>перекрытие!A42</f>
        <v>Плиты перекрытия ЖБИ</v>
      </c>
      <c r="C905" s="99" t="str">
        <f>перекрытие!B42</f>
        <v>м2</v>
      </c>
      <c r="D905" s="275">
        <f>перекрытие!D42</f>
        <v>0</v>
      </c>
      <c r="E905" s="100">
        <f>перекрытие!E42</f>
        <v>1400</v>
      </c>
      <c r="F905" s="100"/>
      <c r="G905" s="275">
        <f t="shared" ref="G905:G968" si="166">IF(F905&gt;0,D905*F905,E905*D905)</f>
        <v>0</v>
      </c>
      <c r="H905" s="100">
        <f t="shared" ref="H905:H968" si="167">E905*D905*$H$903</f>
        <v>0</v>
      </c>
      <c r="I905" s="2911">
        <f t="shared" ref="I905:I936" si="168">IF(G905&gt;H905,G905,H905)*$H$903</f>
        <v>0</v>
      </c>
      <c r="J905" s="2863"/>
      <c r="K905" s="223">
        <f t="shared" ref="K905:K968" si="169">D905-J905</f>
        <v>0</v>
      </c>
      <c r="L905" s="2854"/>
    </row>
    <row r="906" spans="1:12">
      <c r="A906" s="2837"/>
      <c r="B906" s="98" t="str">
        <f>перекрытие!A43</f>
        <v>Раствор, м250</v>
      </c>
      <c r="C906" s="99" t="str">
        <f>перекрытие!B43</f>
        <v>м3</v>
      </c>
      <c r="D906" s="275">
        <f>перекрытие!D43</f>
        <v>0</v>
      </c>
      <c r="E906" s="100">
        <f>перекрытие!E43</f>
        <v>2500</v>
      </c>
      <c r="F906" s="100"/>
      <c r="G906" s="275">
        <f t="shared" si="166"/>
        <v>0</v>
      </c>
      <c r="H906" s="100">
        <f t="shared" si="167"/>
        <v>0</v>
      </c>
      <c r="I906" s="2911">
        <f t="shared" si="168"/>
        <v>0</v>
      </c>
      <c r="J906" s="2863"/>
      <c r="K906" s="223">
        <f t="shared" si="169"/>
        <v>0</v>
      </c>
      <c r="L906" s="2854"/>
    </row>
    <row r="907" spans="1:12">
      <c r="A907" s="2837"/>
      <c r="B907" s="98" t="str">
        <f>перекрытие!A44</f>
        <v>Монолит, бетон, 300мм, 2 слоя</v>
      </c>
      <c r="C907" s="99" t="str">
        <f>перекрытие!B44</f>
        <v>м2</v>
      </c>
      <c r="D907" s="275">
        <f>перекрытие!D44</f>
        <v>0</v>
      </c>
      <c r="E907" s="100">
        <f>перекрытие!E44</f>
        <v>1</v>
      </c>
      <c r="F907" s="100"/>
      <c r="G907" s="275">
        <f t="shared" si="166"/>
        <v>0</v>
      </c>
      <c r="H907" s="100">
        <f t="shared" si="167"/>
        <v>0</v>
      </c>
      <c r="I907" s="2911">
        <f t="shared" si="168"/>
        <v>0</v>
      </c>
      <c r="J907" s="2863"/>
      <c r="K907" s="223">
        <f t="shared" si="169"/>
        <v>0</v>
      </c>
      <c r="L907" s="2854"/>
    </row>
    <row r="908" spans="1:12">
      <c r="A908" s="2837"/>
      <c r="B908" s="98" t="str">
        <f>перекрытие!A45</f>
        <v>Монолит, бетон, 300мм, 1 слой</v>
      </c>
      <c r="C908" s="99" t="str">
        <f>перекрытие!B45</f>
        <v>м2</v>
      </c>
      <c r="D908" s="275">
        <f>перекрытие!D45</f>
        <v>0</v>
      </c>
      <c r="E908" s="100">
        <f>перекрытие!E45</f>
        <v>1</v>
      </c>
      <c r="F908" s="100"/>
      <c r="G908" s="275">
        <f t="shared" si="166"/>
        <v>0</v>
      </c>
      <c r="H908" s="100">
        <f t="shared" si="167"/>
        <v>0</v>
      </c>
      <c r="I908" s="2911">
        <f t="shared" si="168"/>
        <v>0</v>
      </c>
      <c r="J908" s="2863"/>
      <c r="K908" s="223">
        <f t="shared" si="169"/>
        <v>0</v>
      </c>
      <c r="L908" s="2854"/>
    </row>
    <row r="909" spans="1:12">
      <c r="A909" s="2837"/>
      <c r="B909" s="98" t="str">
        <f>перекрытие!A46</f>
        <v>Монолит, бетон, 250мм, 2 слоя</v>
      </c>
      <c r="C909" s="99" t="str">
        <f>перекрытие!B46</f>
        <v>м2</v>
      </c>
      <c r="D909" s="275">
        <f>перекрытие!D46</f>
        <v>0</v>
      </c>
      <c r="E909" s="100">
        <f>перекрытие!E46</f>
        <v>1</v>
      </c>
      <c r="F909" s="100"/>
      <c r="G909" s="275">
        <f t="shared" si="166"/>
        <v>0</v>
      </c>
      <c r="H909" s="100">
        <f t="shared" si="167"/>
        <v>0</v>
      </c>
      <c r="I909" s="2911">
        <f t="shared" si="168"/>
        <v>0</v>
      </c>
      <c r="J909" s="2863"/>
      <c r="K909" s="223">
        <f t="shared" si="169"/>
        <v>0</v>
      </c>
      <c r="L909" s="2854"/>
    </row>
    <row r="910" spans="1:12">
      <c r="A910" s="2837"/>
      <c r="B910" s="98" t="str">
        <f>перекрытие!A47</f>
        <v>Монолит, бетон, 250мм, 1 слой</v>
      </c>
      <c r="C910" s="99" t="str">
        <f>перекрытие!B47</f>
        <v>м2</v>
      </c>
      <c r="D910" s="275">
        <f>перекрытие!D47</f>
        <v>0</v>
      </c>
      <c r="E910" s="100">
        <f>перекрытие!E47</f>
        <v>1</v>
      </c>
      <c r="F910" s="100"/>
      <c r="G910" s="275">
        <f t="shared" si="166"/>
        <v>0</v>
      </c>
      <c r="H910" s="100">
        <f t="shared" si="167"/>
        <v>0</v>
      </c>
      <c r="I910" s="2911">
        <f t="shared" si="168"/>
        <v>0</v>
      </c>
      <c r="J910" s="2863"/>
      <c r="K910" s="223">
        <f t="shared" si="169"/>
        <v>0</v>
      </c>
      <c r="L910" s="2854"/>
    </row>
    <row r="911" spans="1:12">
      <c r="A911" s="2837"/>
      <c r="B911" s="98" t="str">
        <f>перекрытие!A48</f>
        <v>Монолит, бетон, 200мм, 2 слоя</v>
      </c>
      <c r="C911" s="99" t="str">
        <f>перекрытие!B48</f>
        <v>м2</v>
      </c>
      <c r="D911" s="275">
        <f>перекрытие!D48</f>
        <v>0</v>
      </c>
      <c r="E911" s="100">
        <f>перекрытие!E48</f>
        <v>1</v>
      </c>
      <c r="F911" s="100"/>
      <c r="G911" s="275">
        <f t="shared" si="166"/>
        <v>0</v>
      </c>
      <c r="H911" s="100">
        <f t="shared" si="167"/>
        <v>0</v>
      </c>
      <c r="I911" s="2911">
        <f t="shared" si="168"/>
        <v>0</v>
      </c>
      <c r="J911" s="2863"/>
      <c r="K911" s="223">
        <f t="shared" si="169"/>
        <v>0</v>
      </c>
      <c r="L911" s="2854"/>
    </row>
    <row r="912" spans="1:12">
      <c r="A912" s="2837"/>
      <c r="B912" s="98" t="str">
        <f>перекрытие!A49</f>
        <v>Монолит, бетон, 200мм, 1 слой</v>
      </c>
      <c r="C912" s="99" t="str">
        <f>перекрытие!B49</f>
        <v>м2</v>
      </c>
      <c r="D912" s="275">
        <f>перекрытие!D49</f>
        <v>0</v>
      </c>
      <c r="E912" s="100">
        <f>перекрытие!E49</f>
        <v>1</v>
      </c>
      <c r="F912" s="100"/>
      <c r="G912" s="275">
        <f t="shared" si="166"/>
        <v>0</v>
      </c>
      <c r="H912" s="100">
        <f t="shared" si="167"/>
        <v>0</v>
      </c>
      <c r="I912" s="2911">
        <f t="shared" si="168"/>
        <v>0</v>
      </c>
      <c r="J912" s="2863"/>
      <c r="K912" s="223">
        <f t="shared" si="169"/>
        <v>0</v>
      </c>
      <c r="L912" s="2854"/>
    </row>
    <row r="913" spans="1:12">
      <c r="A913" s="2837"/>
      <c r="B913" s="98" t="str">
        <f>перекрытие!A50</f>
        <v>Монолит, бетон, 150мм, 2 слоя</v>
      </c>
      <c r="C913" s="99" t="str">
        <f>перекрытие!B50</f>
        <v>м2</v>
      </c>
      <c r="D913" s="275">
        <f>перекрытие!D50</f>
        <v>0</v>
      </c>
      <c r="E913" s="100">
        <f>перекрытие!E50</f>
        <v>1</v>
      </c>
      <c r="F913" s="100"/>
      <c r="G913" s="275">
        <f t="shared" si="166"/>
        <v>0</v>
      </c>
      <c r="H913" s="100">
        <f t="shared" si="167"/>
        <v>0</v>
      </c>
      <c r="I913" s="2911">
        <f t="shared" si="168"/>
        <v>0</v>
      </c>
      <c r="J913" s="2863"/>
      <c r="K913" s="223">
        <f t="shared" si="169"/>
        <v>0</v>
      </c>
      <c r="L913" s="2854"/>
    </row>
    <row r="914" spans="1:12">
      <c r="A914" s="2837"/>
      <c r="B914" s="98" t="str">
        <f>перекрытие!A51</f>
        <v>Монолит, бетон, 150мм, 1 слой</v>
      </c>
      <c r="C914" s="99" t="str">
        <f>перекрытие!B51</f>
        <v>м2</v>
      </c>
      <c r="D914" s="275">
        <f>перекрытие!D51</f>
        <v>0</v>
      </c>
      <c r="E914" s="100">
        <f>перекрытие!E51</f>
        <v>1</v>
      </c>
      <c r="F914" s="100"/>
      <c r="G914" s="275">
        <f t="shared" si="166"/>
        <v>0</v>
      </c>
      <c r="H914" s="100">
        <f t="shared" si="167"/>
        <v>0</v>
      </c>
      <c r="I914" s="2911">
        <f t="shared" si="168"/>
        <v>0</v>
      </c>
      <c r="J914" s="2863"/>
      <c r="K914" s="223">
        <f t="shared" si="169"/>
        <v>0</v>
      </c>
      <c r="L914" s="2854"/>
    </row>
    <row r="915" spans="1:12">
      <c r="A915" s="2837"/>
      <c r="B915" s="98" t="str">
        <f>перекрытие!A52</f>
        <v>доска для опалубки монолит перекрытий</v>
      </c>
      <c r="C915" s="99" t="str">
        <f>перекрытие!B52</f>
        <v>м3</v>
      </c>
      <c r="D915" s="275">
        <f>перекрытие!D52</f>
        <v>0</v>
      </c>
      <c r="E915" s="100">
        <f>перекрытие!E52</f>
        <v>6500</v>
      </c>
      <c r="F915" s="100"/>
      <c r="G915" s="275">
        <f t="shared" si="166"/>
        <v>0</v>
      </c>
      <c r="H915" s="100">
        <f t="shared" si="167"/>
        <v>0</v>
      </c>
      <c r="I915" s="2911">
        <f t="shared" si="168"/>
        <v>0</v>
      </c>
      <c r="J915" s="2863"/>
      <c r="K915" s="223">
        <f t="shared" si="169"/>
        <v>0</v>
      </c>
      <c r="L915" s="2854"/>
    </row>
    <row r="916" spans="1:12">
      <c r="A916" s="2837"/>
      <c r="B916" s="98" t="str">
        <f>перекрытие!A53</f>
        <v>стойки под опалубку перекрытий</v>
      </c>
      <c r="C916" s="99" t="str">
        <f>перекрытие!B53</f>
        <v>шт</v>
      </c>
      <c r="D916" s="275">
        <f>перекрытие!D53</f>
        <v>0</v>
      </c>
      <c r="E916" s="100">
        <f>перекрытие!E53</f>
        <v>0</v>
      </c>
      <c r="F916" s="100"/>
      <c r="G916" s="275">
        <f t="shared" si="166"/>
        <v>0</v>
      </c>
      <c r="H916" s="100">
        <f t="shared" si="167"/>
        <v>0</v>
      </c>
      <c r="I916" s="2911">
        <f t="shared" si="168"/>
        <v>0</v>
      </c>
      <c r="J916" s="2863"/>
      <c r="K916" s="223">
        <f t="shared" si="169"/>
        <v>0</v>
      </c>
      <c r="L916" s="2854"/>
    </row>
    <row r="917" spans="1:12">
      <c r="A917" s="2837"/>
      <c r="B917" s="98" t="str">
        <f>перекрытие!A54</f>
        <v xml:space="preserve">Пленка гидроизоляционная </v>
      </c>
      <c r="C917" s="99" t="str">
        <f>перекрытие!B54</f>
        <v>м2</v>
      </c>
      <c r="D917" s="275">
        <f>перекрытие!D54</f>
        <v>0</v>
      </c>
      <c r="E917" s="100">
        <f>перекрытие!E54</f>
        <v>15</v>
      </c>
      <c r="F917" s="100"/>
      <c r="G917" s="275">
        <f t="shared" si="166"/>
        <v>0</v>
      </c>
      <c r="H917" s="100">
        <f t="shared" si="167"/>
        <v>0</v>
      </c>
      <c r="I917" s="2911">
        <f t="shared" si="168"/>
        <v>0</v>
      </c>
      <c r="J917" s="2863"/>
      <c r="K917" s="223">
        <f t="shared" si="169"/>
        <v>0</v>
      </c>
      <c r="L917" s="2854"/>
    </row>
    <row r="918" spans="1:12">
      <c r="A918" s="2837"/>
      <c r="B918" s="98" t="str">
        <f>перекрытие!A55</f>
        <v>Арматура М10</v>
      </c>
      <c r="C918" s="99" t="str">
        <f>перекрытие!B55</f>
        <v>м.п.</v>
      </c>
      <c r="D918" s="275">
        <f>перекрытие!D55</f>
        <v>0</v>
      </c>
      <c r="E918" s="100">
        <f>перекрытие!E55</f>
        <v>21.0397</v>
      </c>
      <c r="F918" s="100"/>
      <c r="G918" s="275">
        <f t="shared" si="166"/>
        <v>0</v>
      </c>
      <c r="H918" s="100">
        <f t="shared" si="167"/>
        <v>0</v>
      </c>
      <c r="I918" s="2911">
        <f t="shared" si="168"/>
        <v>0</v>
      </c>
      <c r="J918" s="2863"/>
      <c r="K918" s="223">
        <f t="shared" si="169"/>
        <v>0</v>
      </c>
      <c r="L918" s="2854"/>
    </row>
    <row r="919" spans="1:12">
      <c r="A919" s="2837"/>
      <c r="B919" s="98" t="str">
        <f>перекрытие!A56</f>
        <v>Вязальная проволока</v>
      </c>
      <c r="C919" s="99" t="str">
        <f>перекрытие!B56</f>
        <v>кг</v>
      </c>
      <c r="D919" s="275">
        <f>перекрытие!D56</f>
        <v>0</v>
      </c>
      <c r="E919" s="100">
        <f>перекрытие!E56</f>
        <v>80</v>
      </c>
      <c r="F919" s="100"/>
      <c r="G919" s="275">
        <f t="shared" si="166"/>
        <v>0</v>
      </c>
      <c r="H919" s="100">
        <f t="shared" si="167"/>
        <v>0</v>
      </c>
      <c r="I919" s="2911">
        <f t="shared" si="168"/>
        <v>0</v>
      </c>
      <c r="J919" s="2863"/>
      <c r="K919" s="223">
        <f t="shared" si="169"/>
        <v>0</v>
      </c>
      <c r="L919" s="2854"/>
    </row>
    <row r="920" spans="1:12">
      <c r="A920" s="2837"/>
      <c r="B920" s="98" t="str">
        <f>перекрытие!A57</f>
        <v>Подставка под арматурный каркас</v>
      </c>
      <c r="C920" s="99" t="str">
        <f>перекрытие!B57</f>
        <v>шт</v>
      </c>
      <c r="D920" s="275">
        <f>перекрытие!D57</f>
        <v>0</v>
      </c>
      <c r="E920" s="100">
        <f>перекрытие!E57</f>
        <v>5</v>
      </c>
      <c r="F920" s="100"/>
      <c r="G920" s="275">
        <f t="shared" si="166"/>
        <v>0</v>
      </c>
      <c r="H920" s="100">
        <f t="shared" si="167"/>
        <v>0</v>
      </c>
      <c r="I920" s="2911">
        <f t="shared" si="168"/>
        <v>0</v>
      </c>
      <c r="J920" s="2863"/>
      <c r="K920" s="223">
        <f t="shared" si="169"/>
        <v>0</v>
      </c>
      <c r="L920" s="2854"/>
    </row>
    <row r="921" spans="1:12">
      <c r="A921" s="2837"/>
      <c r="B921" s="98" t="str">
        <f>перекрытие!A58</f>
        <v>бетон, м350</v>
      </c>
      <c r="C921" s="99" t="str">
        <f>перекрытие!B58</f>
        <v>м3</v>
      </c>
      <c r="D921" s="275">
        <f>перекрытие!D58</f>
        <v>0</v>
      </c>
      <c r="E921" s="100">
        <f>перекрытие!E58</f>
        <v>3500</v>
      </c>
      <c r="F921" s="100"/>
      <c r="G921" s="275">
        <f t="shared" si="166"/>
        <v>0</v>
      </c>
      <c r="H921" s="100">
        <f t="shared" si="167"/>
        <v>0</v>
      </c>
      <c r="I921" s="2911">
        <f t="shared" si="168"/>
        <v>0</v>
      </c>
      <c r="J921" s="2863"/>
      <c r="K921" s="223">
        <f t="shared" si="169"/>
        <v>0</v>
      </c>
      <c r="L921" s="2854"/>
    </row>
    <row r="922" spans="1:12">
      <c r="A922" s="2837"/>
      <c r="B922" s="98" t="str">
        <f>перекрытие!A59</f>
        <v>Брус естественной влажности, 200*100мм</v>
      </c>
      <c r="C922" s="99" t="str">
        <f>перекрытие!B59</f>
        <v>м3</v>
      </c>
      <c r="D922" s="275">
        <f>перекрытие!D59</f>
        <v>0</v>
      </c>
      <c r="E922" s="100">
        <f>перекрытие!E59</f>
        <v>6500</v>
      </c>
      <c r="F922" s="100"/>
      <c r="G922" s="275">
        <f t="shared" si="166"/>
        <v>0</v>
      </c>
      <c r="H922" s="100">
        <f t="shared" si="167"/>
        <v>0</v>
      </c>
      <c r="I922" s="2911">
        <f t="shared" si="168"/>
        <v>0</v>
      </c>
      <c r="J922" s="2863"/>
      <c r="K922" s="223">
        <f t="shared" si="169"/>
        <v>0</v>
      </c>
      <c r="L922" s="2854"/>
    </row>
    <row r="923" spans="1:12">
      <c r="A923" s="2837"/>
      <c r="B923" s="98" t="str">
        <f>перекрытие!A60</f>
        <v>Брус естественной влажности, 150*100мм</v>
      </c>
      <c r="C923" s="99" t="str">
        <f>перекрытие!B60</f>
        <v>м3</v>
      </c>
      <c r="D923" s="275">
        <f>перекрытие!D60</f>
        <v>0</v>
      </c>
      <c r="E923" s="100">
        <f>перекрытие!E60</f>
        <v>6500</v>
      </c>
      <c r="F923" s="100"/>
      <c r="G923" s="275">
        <f t="shared" si="166"/>
        <v>0</v>
      </c>
      <c r="H923" s="100">
        <f t="shared" si="167"/>
        <v>0</v>
      </c>
      <c r="I923" s="2911">
        <f t="shared" si="168"/>
        <v>0</v>
      </c>
      <c r="J923" s="2863"/>
      <c r="K923" s="223">
        <f t="shared" si="169"/>
        <v>0</v>
      </c>
      <c r="L923" s="2854"/>
    </row>
    <row r="924" spans="1:12">
      <c r="A924" s="2837"/>
      <c r="B924" s="98" t="str">
        <f>перекрытие!A61</f>
        <v>Брус естественной влажности, 100*100мм</v>
      </c>
      <c r="C924" s="99" t="str">
        <f>перекрытие!B61</f>
        <v>м3</v>
      </c>
      <c r="D924" s="275">
        <f>перекрытие!D61</f>
        <v>0</v>
      </c>
      <c r="E924" s="100">
        <f>перекрытие!E61</f>
        <v>6500</v>
      </c>
      <c r="F924" s="100"/>
      <c r="G924" s="275">
        <f t="shared" si="166"/>
        <v>0</v>
      </c>
      <c r="H924" s="100">
        <f t="shared" si="167"/>
        <v>0</v>
      </c>
      <c r="I924" s="2911">
        <f t="shared" si="168"/>
        <v>0</v>
      </c>
      <c r="J924" s="2863"/>
      <c r="K924" s="223">
        <f t="shared" si="169"/>
        <v>0</v>
      </c>
      <c r="L924" s="2854"/>
    </row>
    <row r="925" spans="1:12">
      <c r="A925" s="2837"/>
      <c r="B925" s="98" t="str">
        <f>перекрытие!A62</f>
        <v>Брус естественной влажности, 150*150мм</v>
      </c>
      <c r="C925" s="99" t="str">
        <f>перекрытие!B62</f>
        <v>м3</v>
      </c>
      <c r="D925" s="275">
        <f>перекрытие!D62</f>
        <v>0</v>
      </c>
      <c r="E925" s="100">
        <f>перекрытие!E62</f>
        <v>6500</v>
      </c>
      <c r="F925" s="100"/>
      <c r="G925" s="275">
        <f t="shared" si="166"/>
        <v>0</v>
      </c>
      <c r="H925" s="100">
        <f t="shared" si="167"/>
        <v>0</v>
      </c>
      <c r="I925" s="2911">
        <f t="shared" si="168"/>
        <v>0</v>
      </c>
      <c r="J925" s="2863"/>
      <c r="K925" s="223">
        <f t="shared" si="169"/>
        <v>0</v>
      </c>
      <c r="L925" s="2854"/>
    </row>
    <row r="926" spans="1:12">
      <c r="A926" s="2837"/>
      <c r="B926" s="98" t="str">
        <f>перекрытие!A63</f>
        <v>Доска естественной влажности, 200*50мм</v>
      </c>
      <c r="C926" s="99" t="str">
        <f>перекрытие!B63</f>
        <v>м3</v>
      </c>
      <c r="D926" s="275">
        <f>перекрытие!D63</f>
        <v>0</v>
      </c>
      <c r="E926" s="100">
        <f>перекрытие!E63</f>
        <v>6500</v>
      </c>
      <c r="F926" s="100"/>
      <c r="G926" s="275">
        <f t="shared" si="166"/>
        <v>0</v>
      </c>
      <c r="H926" s="100">
        <f t="shared" si="167"/>
        <v>0</v>
      </c>
      <c r="I926" s="2911">
        <f t="shared" si="168"/>
        <v>0</v>
      </c>
      <c r="J926" s="2863"/>
      <c r="K926" s="223">
        <f t="shared" si="169"/>
        <v>0</v>
      </c>
      <c r="L926" s="2854"/>
    </row>
    <row r="927" spans="1:12">
      <c r="A927" s="2837"/>
      <c r="B927" s="98" t="str">
        <f>перекрытие!A64</f>
        <v>Доска естественной влажности, 150*50мм</v>
      </c>
      <c r="C927" s="99" t="str">
        <f>перекрытие!B64</f>
        <v>м3</v>
      </c>
      <c r="D927" s="275">
        <f>перекрытие!D64</f>
        <v>0</v>
      </c>
      <c r="E927" s="100">
        <f>перекрытие!E64</f>
        <v>6500</v>
      </c>
      <c r="F927" s="100"/>
      <c r="G927" s="275">
        <f t="shared" si="166"/>
        <v>0</v>
      </c>
      <c r="H927" s="100">
        <f t="shared" si="167"/>
        <v>0</v>
      </c>
      <c r="I927" s="2911">
        <f t="shared" si="168"/>
        <v>0</v>
      </c>
      <c r="J927" s="2863"/>
      <c r="K927" s="223">
        <f t="shared" si="169"/>
        <v>0</v>
      </c>
      <c r="L927" s="2854"/>
    </row>
    <row r="928" spans="1:12">
      <c r="A928" s="2837"/>
      <c r="B928" s="98" t="str">
        <f>перекрытие!A65</f>
        <v xml:space="preserve">Опора бруса          </v>
      </c>
      <c r="C928" s="99" t="str">
        <f>перекрытие!B65</f>
        <v>шт</v>
      </c>
      <c r="D928" s="275">
        <f>перекрытие!D65</f>
        <v>0</v>
      </c>
      <c r="E928" s="100">
        <f>перекрытие!E65</f>
        <v>50</v>
      </c>
      <c r="F928" s="100"/>
      <c r="G928" s="275">
        <f t="shared" si="166"/>
        <v>0</v>
      </c>
      <c r="H928" s="100">
        <f t="shared" si="167"/>
        <v>0</v>
      </c>
      <c r="I928" s="2911">
        <f t="shared" si="168"/>
        <v>0</v>
      </c>
      <c r="J928" s="2863"/>
      <c r="K928" s="223">
        <f t="shared" si="169"/>
        <v>0</v>
      </c>
      <c r="L928" s="2854"/>
    </row>
    <row r="929" spans="1:12">
      <c r="A929" s="2837"/>
      <c r="B929" s="98" t="str">
        <f>перекрытие!A66</f>
        <v xml:space="preserve">Болты анкерные с гайкой 8,0 x 60           </v>
      </c>
      <c r="C929" s="99" t="str">
        <f>перекрытие!B66</f>
        <v>шт</v>
      </c>
      <c r="D929" s="275">
        <f>перекрытие!D66</f>
        <v>0</v>
      </c>
      <c r="E929" s="100">
        <f>перекрытие!E66</f>
        <v>4</v>
      </c>
      <c r="F929" s="100"/>
      <c r="G929" s="275">
        <f t="shared" si="166"/>
        <v>0</v>
      </c>
      <c r="H929" s="100">
        <f t="shared" si="167"/>
        <v>0</v>
      </c>
      <c r="I929" s="2911">
        <f t="shared" si="168"/>
        <v>0</v>
      </c>
      <c r="J929" s="2863"/>
      <c r="K929" s="223">
        <f t="shared" si="169"/>
        <v>0</v>
      </c>
      <c r="L929" s="2854"/>
    </row>
    <row r="930" spans="1:12">
      <c r="A930" s="2837"/>
      <c r="B930" s="98" t="str">
        <f>перекрытие!A67</f>
        <v>Sip панель 2500*625*124мм</v>
      </c>
      <c r="C930" s="99" t="str">
        <f>перекрытие!B67</f>
        <v>м2</v>
      </c>
      <c r="D930" s="275">
        <f>перекрытие!D67</f>
        <v>0</v>
      </c>
      <c r="E930" s="100">
        <f>перекрытие!E67</f>
        <v>800</v>
      </c>
      <c r="F930" s="100"/>
      <c r="G930" s="275">
        <f t="shared" si="166"/>
        <v>0</v>
      </c>
      <c r="H930" s="100">
        <f t="shared" si="167"/>
        <v>0</v>
      </c>
      <c r="I930" s="2911">
        <f t="shared" si="168"/>
        <v>0</v>
      </c>
      <c r="J930" s="2863"/>
      <c r="K930" s="223">
        <f t="shared" si="169"/>
        <v>0</v>
      </c>
      <c r="L930" s="2854"/>
    </row>
    <row r="931" spans="1:12">
      <c r="A931" s="2837"/>
      <c r="B931" s="98" t="str">
        <f>перекрытие!A68</f>
        <v>Sip панель 2500*625*174мм</v>
      </c>
      <c r="C931" s="99" t="str">
        <f>перекрытие!B68</f>
        <v>м2</v>
      </c>
      <c r="D931" s="275">
        <f>перекрытие!D68</f>
        <v>0</v>
      </c>
      <c r="E931" s="100">
        <f>перекрытие!E68</f>
        <v>1200</v>
      </c>
      <c r="F931" s="100"/>
      <c r="G931" s="275">
        <f t="shared" si="166"/>
        <v>0</v>
      </c>
      <c r="H931" s="100">
        <f t="shared" si="167"/>
        <v>0</v>
      </c>
      <c r="I931" s="2911">
        <f t="shared" si="168"/>
        <v>0</v>
      </c>
      <c r="J931" s="2863"/>
      <c r="K931" s="223">
        <f t="shared" si="169"/>
        <v>0</v>
      </c>
      <c r="L931" s="2854"/>
    </row>
    <row r="932" spans="1:12">
      <c r="A932" s="2837"/>
      <c r="B932" s="98" t="str">
        <f>перекрытие!A69</f>
        <v>Sip панель 2500*625*224мм</v>
      </c>
      <c r="C932" s="99" t="str">
        <f>перекрытие!B69</f>
        <v>м2</v>
      </c>
      <c r="D932" s="275">
        <f>перекрытие!D69</f>
        <v>0</v>
      </c>
      <c r="E932" s="100">
        <f>перекрытие!E69</f>
        <v>1400</v>
      </c>
      <c r="F932" s="100"/>
      <c r="G932" s="275">
        <f t="shared" si="166"/>
        <v>0</v>
      </c>
      <c r="H932" s="100">
        <f t="shared" si="167"/>
        <v>0</v>
      </c>
      <c r="I932" s="2911">
        <f t="shared" si="168"/>
        <v>0</v>
      </c>
      <c r="J932" s="2863"/>
      <c r="K932" s="223">
        <f t="shared" si="169"/>
        <v>0</v>
      </c>
      <c r="L932" s="2854"/>
    </row>
    <row r="933" spans="1:12">
      <c r="A933" s="2837"/>
      <c r="B933" s="98" t="str">
        <f>перекрытие!A70</f>
        <v>Доска сухая, 100*50мм</v>
      </c>
      <c r="C933" s="99" t="str">
        <f>перекрытие!B70</f>
        <v>м.п.</v>
      </c>
      <c r="D933" s="275">
        <f>перекрытие!D70</f>
        <v>0</v>
      </c>
      <c r="E933" s="100">
        <f>перекрытие!E70</f>
        <v>45</v>
      </c>
      <c r="F933" s="100"/>
      <c r="G933" s="275">
        <f t="shared" si="166"/>
        <v>0</v>
      </c>
      <c r="H933" s="100">
        <f t="shared" si="167"/>
        <v>0</v>
      </c>
      <c r="I933" s="2911">
        <f t="shared" si="168"/>
        <v>0</v>
      </c>
      <c r="J933" s="2863"/>
      <c r="K933" s="223">
        <f t="shared" si="169"/>
        <v>0</v>
      </c>
      <c r="L933" s="2854"/>
    </row>
    <row r="934" spans="1:12">
      <c r="A934" s="2837"/>
      <c r="B934" s="98" t="str">
        <f>перекрытие!A71</f>
        <v>Доска сухая, 150*50мм</v>
      </c>
      <c r="C934" s="99" t="str">
        <f>перекрытие!B71</f>
        <v>м.п.</v>
      </c>
      <c r="D934" s="275">
        <f>перекрытие!D71</f>
        <v>0</v>
      </c>
      <c r="E934" s="100">
        <f>перекрытие!E71</f>
        <v>67.5</v>
      </c>
      <c r="F934" s="100"/>
      <c r="G934" s="275">
        <f t="shared" si="166"/>
        <v>0</v>
      </c>
      <c r="H934" s="100">
        <f t="shared" si="167"/>
        <v>0</v>
      </c>
      <c r="I934" s="2911">
        <f t="shared" si="168"/>
        <v>0</v>
      </c>
      <c r="J934" s="2863"/>
      <c r="K934" s="223">
        <f t="shared" si="169"/>
        <v>0</v>
      </c>
      <c r="L934" s="2854"/>
    </row>
    <row r="935" spans="1:12">
      <c r="A935" s="2837"/>
      <c r="B935" s="98" t="str">
        <f>перекрытие!A72</f>
        <v>Доска сухая, 200*50мм</v>
      </c>
      <c r="C935" s="99" t="str">
        <f>перекрытие!B72</f>
        <v>м.п.</v>
      </c>
      <c r="D935" s="275">
        <f>перекрытие!D72</f>
        <v>0</v>
      </c>
      <c r="E935" s="100">
        <f>перекрытие!E72</f>
        <v>90</v>
      </c>
      <c r="F935" s="100"/>
      <c r="G935" s="275">
        <f t="shared" si="166"/>
        <v>0</v>
      </c>
      <c r="H935" s="100">
        <f t="shared" si="167"/>
        <v>0</v>
      </c>
      <c r="I935" s="2911">
        <f t="shared" si="168"/>
        <v>0</v>
      </c>
      <c r="J935" s="2863"/>
      <c r="K935" s="223">
        <f t="shared" si="169"/>
        <v>0</v>
      </c>
      <c r="L935" s="2854"/>
    </row>
    <row r="936" spans="1:12">
      <c r="A936" s="2837"/>
      <c r="B936" s="98" t="str">
        <f>перекрытие!A73</f>
        <v>Пена монтажная, всесезонняя 800мл</v>
      </c>
      <c r="C936" s="99" t="str">
        <f>перекрытие!B73</f>
        <v>шт</v>
      </c>
      <c r="D936" s="275">
        <f>перекрытие!D73</f>
        <v>0</v>
      </c>
      <c r="E936" s="100">
        <f>перекрытие!E73</f>
        <v>300</v>
      </c>
      <c r="F936" s="100"/>
      <c r="G936" s="275">
        <f t="shared" si="166"/>
        <v>0</v>
      </c>
      <c r="H936" s="100">
        <f t="shared" si="167"/>
        <v>0</v>
      </c>
      <c r="I936" s="2911">
        <f t="shared" si="168"/>
        <v>0</v>
      </c>
      <c r="J936" s="2863"/>
      <c r="K936" s="223">
        <f t="shared" si="169"/>
        <v>0</v>
      </c>
      <c r="L936" s="2854"/>
    </row>
    <row r="937" spans="1:12">
      <c r="A937" s="2837"/>
      <c r="B937" s="98" t="str">
        <f>перекрытие!A74</f>
        <v xml:space="preserve">Гвозди строительные 3,5 x 90            </v>
      </c>
      <c r="C937" s="99" t="str">
        <f>перекрытие!B74</f>
        <v>шт</v>
      </c>
      <c r="D937" s="275">
        <f>перекрытие!D74</f>
        <v>0</v>
      </c>
      <c r="E937" s="100">
        <f>перекрытие!E74</f>
        <v>45</v>
      </c>
      <c r="F937" s="100"/>
      <c r="G937" s="275">
        <f t="shared" si="166"/>
        <v>0</v>
      </c>
      <c r="H937" s="100">
        <f t="shared" si="167"/>
        <v>0</v>
      </c>
      <c r="I937" s="2911">
        <f t="shared" ref="I937:I968" si="170">IF(G937&gt;H937,G937,H937)*$H$903</f>
        <v>0</v>
      </c>
      <c r="J937" s="2863"/>
      <c r="K937" s="223">
        <f t="shared" si="169"/>
        <v>0</v>
      </c>
      <c r="L937" s="2854"/>
    </row>
    <row r="938" spans="1:12">
      <c r="A938" s="2837"/>
      <c r="B938" s="98" t="str">
        <f>перекрытие!A75</f>
        <v xml:space="preserve">Саморезы 3,5 x 45            </v>
      </c>
      <c r="C938" s="99" t="str">
        <f>перекрытие!B75</f>
        <v>шт</v>
      </c>
      <c r="D938" s="275">
        <f>перекрытие!D75</f>
        <v>0</v>
      </c>
      <c r="E938" s="100">
        <f>перекрытие!E75</f>
        <v>0.25</v>
      </c>
      <c r="F938" s="100"/>
      <c r="G938" s="275">
        <f t="shared" si="166"/>
        <v>0</v>
      </c>
      <c r="H938" s="100">
        <f t="shared" si="167"/>
        <v>0</v>
      </c>
      <c r="I938" s="2911">
        <f t="shared" si="170"/>
        <v>0</v>
      </c>
      <c r="J938" s="2863"/>
      <c r="K938" s="223">
        <f t="shared" si="169"/>
        <v>0</v>
      </c>
      <c r="L938" s="2854"/>
    </row>
    <row r="939" spans="1:12">
      <c r="A939" s="2837"/>
      <c r="B939" s="98" t="str">
        <f>перекрытие!A76</f>
        <v>Доска сухая, 200*50мм</v>
      </c>
      <c r="C939" s="99" t="str">
        <f>перекрытие!B76</f>
        <v>м3</v>
      </c>
      <c r="D939" s="275">
        <f>перекрытие!D76</f>
        <v>0</v>
      </c>
      <c r="E939" s="100">
        <f>перекрытие!E76</f>
        <v>9000</v>
      </c>
      <c r="F939" s="100"/>
      <c r="G939" s="275">
        <f t="shared" si="166"/>
        <v>0</v>
      </c>
      <c r="H939" s="100">
        <f t="shared" si="167"/>
        <v>0</v>
      </c>
      <c r="I939" s="2911">
        <f t="shared" si="170"/>
        <v>0</v>
      </c>
      <c r="J939" s="2863"/>
      <c r="K939" s="223">
        <f t="shared" si="169"/>
        <v>0</v>
      </c>
      <c r="L939" s="2854"/>
    </row>
    <row r="940" spans="1:12">
      <c r="A940" s="2837"/>
      <c r="B940" s="98" t="str">
        <f>перекрытие!A77</f>
        <v>Доска сухая, 150*50мм</v>
      </c>
      <c r="C940" s="99" t="str">
        <f>перекрытие!B77</f>
        <v>м3</v>
      </c>
      <c r="D940" s="275">
        <f>перекрытие!D77</f>
        <v>0</v>
      </c>
      <c r="E940" s="100">
        <f>перекрытие!E77</f>
        <v>9000</v>
      </c>
      <c r="F940" s="100"/>
      <c r="G940" s="275">
        <f t="shared" si="166"/>
        <v>0</v>
      </c>
      <c r="H940" s="100">
        <f t="shared" si="167"/>
        <v>0</v>
      </c>
      <c r="I940" s="2911">
        <f t="shared" si="170"/>
        <v>0</v>
      </c>
      <c r="J940" s="2863"/>
      <c r="K940" s="223">
        <f t="shared" si="169"/>
        <v>0</v>
      </c>
      <c r="L940" s="2854"/>
    </row>
    <row r="941" spans="1:12">
      <c r="A941" s="2837"/>
      <c r="B941" s="98" t="str">
        <f>перекрытие!A78</f>
        <v xml:space="preserve">Гвозди ершоные 2,8 х 90            </v>
      </c>
      <c r="C941" s="99" t="str">
        <f>перекрытие!B78</f>
        <v>кг</v>
      </c>
      <c r="D941" s="275">
        <f>перекрытие!D78</f>
        <v>0</v>
      </c>
      <c r="E941" s="100">
        <f>перекрытие!E78</f>
        <v>76.489999999999995</v>
      </c>
      <c r="F941" s="100"/>
      <c r="G941" s="275">
        <f t="shared" si="166"/>
        <v>0</v>
      </c>
      <c r="H941" s="100">
        <f t="shared" si="167"/>
        <v>0</v>
      </c>
      <c r="I941" s="2911">
        <f t="shared" si="170"/>
        <v>0</v>
      </c>
      <c r="J941" s="2863"/>
      <c r="K941" s="223">
        <f t="shared" si="169"/>
        <v>0</v>
      </c>
      <c r="L941" s="2854"/>
    </row>
    <row r="942" spans="1:12">
      <c r="A942" s="2837"/>
      <c r="B942" s="98" t="str">
        <f>перекрытие!A79</f>
        <v>Доска сухая калиброванная, 190*45мм</v>
      </c>
      <c r="C942" s="99" t="str">
        <f>перекрытие!B79</f>
        <v>м3</v>
      </c>
      <c r="D942" s="275">
        <f>перекрытие!D79</f>
        <v>0</v>
      </c>
      <c r="E942" s="100">
        <f>перекрытие!E79</f>
        <v>12500</v>
      </c>
      <c r="F942" s="100"/>
      <c r="G942" s="275">
        <f t="shared" si="166"/>
        <v>0</v>
      </c>
      <c r="H942" s="100">
        <f t="shared" si="167"/>
        <v>0</v>
      </c>
      <c r="I942" s="2911">
        <f t="shared" si="170"/>
        <v>0</v>
      </c>
      <c r="J942" s="2863"/>
      <c r="K942" s="223">
        <f t="shared" si="169"/>
        <v>0</v>
      </c>
      <c r="L942" s="2854"/>
    </row>
    <row r="943" spans="1:12">
      <c r="A943" s="2837"/>
      <c r="B943" s="98" t="str">
        <f>перекрытие!A80</f>
        <v>Доска сухая калиброванная, 145*45мм</v>
      </c>
      <c r="C943" s="99" t="str">
        <f>перекрытие!B80</f>
        <v>м3</v>
      </c>
      <c r="D943" s="275">
        <f>перекрытие!D80</f>
        <v>0</v>
      </c>
      <c r="E943" s="100">
        <f>перекрытие!E80</f>
        <v>12500</v>
      </c>
      <c r="F943" s="100"/>
      <c r="G943" s="275">
        <f t="shared" si="166"/>
        <v>0</v>
      </c>
      <c r="H943" s="100">
        <f t="shared" si="167"/>
        <v>0</v>
      </c>
      <c r="I943" s="2911">
        <f t="shared" si="170"/>
        <v>0</v>
      </c>
      <c r="J943" s="2863"/>
      <c r="K943" s="223">
        <f t="shared" si="169"/>
        <v>0</v>
      </c>
      <c r="L943" s="2854"/>
    </row>
    <row r="944" spans="1:12">
      <c r="A944" s="2837"/>
      <c r="B944" s="98" t="str">
        <f>перекрытие!A81</f>
        <v xml:space="preserve">Гвозди ершоные 2,8 х 90            </v>
      </c>
      <c r="C944" s="99" t="str">
        <f>перекрытие!B81</f>
        <v>кг</v>
      </c>
      <c r="D944" s="275">
        <f>перекрытие!D81</f>
        <v>0</v>
      </c>
      <c r="E944" s="100">
        <f>перекрытие!E81</f>
        <v>76.489999999999995</v>
      </c>
      <c r="F944" s="100"/>
      <c r="G944" s="275">
        <f t="shared" si="166"/>
        <v>0</v>
      </c>
      <c r="H944" s="100">
        <f t="shared" si="167"/>
        <v>0</v>
      </c>
      <c r="I944" s="2911">
        <f t="shared" si="170"/>
        <v>0</v>
      </c>
      <c r="J944" s="2863"/>
      <c r="K944" s="223">
        <f t="shared" si="169"/>
        <v>0</v>
      </c>
      <c r="L944" s="2854"/>
    </row>
    <row r="945" spans="1:12">
      <c r="A945" s="2837"/>
      <c r="B945" s="98" t="str">
        <f>перекрытие!A82</f>
        <v>Двутавровая деревянная балка, 400*65мм</v>
      </c>
      <c r="C945" s="99" t="str">
        <f>перекрытие!B82</f>
        <v>м.п.</v>
      </c>
      <c r="D945" s="275">
        <f>перекрытие!D82</f>
        <v>0</v>
      </c>
      <c r="E945" s="100">
        <f>перекрытие!E82</f>
        <v>303</v>
      </c>
      <c r="F945" s="100"/>
      <c r="G945" s="275">
        <f t="shared" si="166"/>
        <v>0</v>
      </c>
      <c r="H945" s="100">
        <f t="shared" si="167"/>
        <v>0</v>
      </c>
      <c r="I945" s="2911">
        <f t="shared" si="170"/>
        <v>0</v>
      </c>
      <c r="J945" s="2863"/>
      <c r="K945" s="223">
        <f t="shared" si="169"/>
        <v>0</v>
      </c>
      <c r="L945" s="2854"/>
    </row>
    <row r="946" spans="1:12">
      <c r="A946" s="2837"/>
      <c r="B946" s="98" t="str">
        <f>перекрытие!A83</f>
        <v>Двутавровая деревянная балка, 400*90мм</v>
      </c>
      <c r="C946" s="99" t="str">
        <f>перекрытие!B83</f>
        <v>м.п.</v>
      </c>
      <c r="D946" s="275">
        <f>перекрытие!D83</f>
        <v>0</v>
      </c>
      <c r="E946" s="100">
        <f>перекрытие!E83</f>
        <v>355</v>
      </c>
      <c r="F946" s="100"/>
      <c r="G946" s="275">
        <f t="shared" si="166"/>
        <v>0</v>
      </c>
      <c r="H946" s="100">
        <f t="shared" si="167"/>
        <v>0</v>
      </c>
      <c r="I946" s="2911">
        <f t="shared" si="170"/>
        <v>0</v>
      </c>
      <c r="J946" s="2863"/>
      <c r="K946" s="223">
        <f t="shared" si="169"/>
        <v>0</v>
      </c>
      <c r="L946" s="2854"/>
    </row>
    <row r="947" spans="1:12">
      <c r="A947" s="2837"/>
      <c r="B947" s="98" t="str">
        <f>перекрытие!A84</f>
        <v>Двутавровая деревянная балка, 350*65мм</v>
      </c>
      <c r="C947" s="99" t="str">
        <f>перекрытие!B84</f>
        <v>м.п.</v>
      </c>
      <c r="D947" s="275">
        <f>перекрытие!D84</f>
        <v>0</v>
      </c>
      <c r="E947" s="100">
        <f>перекрытие!E84</f>
        <v>287</v>
      </c>
      <c r="F947" s="100"/>
      <c r="G947" s="275">
        <f t="shared" si="166"/>
        <v>0</v>
      </c>
      <c r="H947" s="100">
        <f t="shared" si="167"/>
        <v>0</v>
      </c>
      <c r="I947" s="2911">
        <f t="shared" si="170"/>
        <v>0</v>
      </c>
      <c r="J947" s="2863"/>
      <c r="K947" s="223">
        <f t="shared" si="169"/>
        <v>0</v>
      </c>
      <c r="L947" s="2854"/>
    </row>
    <row r="948" spans="1:12">
      <c r="A948" s="2837"/>
      <c r="B948" s="98" t="str">
        <f>перекрытие!A85</f>
        <v>Двутавровая деревянная балка, 350*90мм</v>
      </c>
      <c r="C948" s="99" t="str">
        <f>перекрытие!B85</f>
        <v>м.п.</v>
      </c>
      <c r="D948" s="275">
        <f>перекрытие!D85</f>
        <v>0</v>
      </c>
      <c r="E948" s="100">
        <f>перекрытие!E85</f>
        <v>315</v>
      </c>
      <c r="F948" s="100"/>
      <c r="G948" s="275">
        <f t="shared" si="166"/>
        <v>0</v>
      </c>
      <c r="H948" s="100">
        <f t="shared" si="167"/>
        <v>0</v>
      </c>
      <c r="I948" s="2911">
        <f t="shared" si="170"/>
        <v>0</v>
      </c>
      <c r="J948" s="2863"/>
      <c r="K948" s="223">
        <f t="shared" si="169"/>
        <v>0</v>
      </c>
      <c r="L948" s="2854"/>
    </row>
    <row r="949" spans="1:12">
      <c r="A949" s="2837"/>
      <c r="B949" s="98" t="str">
        <f>перекрытие!A86</f>
        <v>Двутавровая деревянная балка, 300*65мм</v>
      </c>
      <c r="C949" s="99" t="str">
        <f>перекрытие!B86</f>
        <v>м.п.</v>
      </c>
      <c r="D949" s="275">
        <f>перекрытие!D86</f>
        <v>0</v>
      </c>
      <c r="E949" s="100">
        <f>перекрытие!E86</f>
        <v>273</v>
      </c>
      <c r="F949" s="100"/>
      <c r="G949" s="275">
        <f t="shared" si="166"/>
        <v>0</v>
      </c>
      <c r="H949" s="100">
        <f t="shared" si="167"/>
        <v>0</v>
      </c>
      <c r="I949" s="2911">
        <f t="shared" si="170"/>
        <v>0</v>
      </c>
      <c r="J949" s="2863"/>
      <c r="K949" s="223">
        <f t="shared" si="169"/>
        <v>0</v>
      </c>
      <c r="L949" s="2854"/>
    </row>
    <row r="950" spans="1:12">
      <c r="A950" s="2837"/>
      <c r="B950" s="98" t="str">
        <f>перекрытие!A87</f>
        <v>Двутавровая деревянная балка, 300*90мм</v>
      </c>
      <c r="C950" s="99" t="str">
        <f>перекрытие!B87</f>
        <v>м.п.</v>
      </c>
      <c r="D950" s="275">
        <f>перекрытие!D87</f>
        <v>0</v>
      </c>
      <c r="E950" s="100">
        <f>перекрытие!E87</f>
        <v>315</v>
      </c>
      <c r="F950" s="100"/>
      <c r="G950" s="275">
        <f t="shared" si="166"/>
        <v>0</v>
      </c>
      <c r="H950" s="100">
        <f t="shared" si="167"/>
        <v>0</v>
      </c>
      <c r="I950" s="2911">
        <f t="shared" si="170"/>
        <v>0</v>
      </c>
      <c r="J950" s="2863"/>
      <c r="K950" s="223">
        <f t="shared" si="169"/>
        <v>0</v>
      </c>
      <c r="L950" s="2854"/>
    </row>
    <row r="951" spans="1:12">
      <c r="A951" s="2837"/>
      <c r="B951" s="98" t="str">
        <f>перекрытие!A88</f>
        <v>Двутавровая деревянная балка, 240*65мм</v>
      </c>
      <c r="C951" s="99" t="str">
        <f>перекрытие!B88</f>
        <v>м.п.</v>
      </c>
      <c r="D951" s="275">
        <f>перекрытие!D88</f>
        <v>0</v>
      </c>
      <c r="E951" s="100">
        <f>перекрытие!E88</f>
        <v>263</v>
      </c>
      <c r="F951" s="100"/>
      <c r="G951" s="275">
        <f t="shared" si="166"/>
        <v>0</v>
      </c>
      <c r="H951" s="100">
        <f t="shared" si="167"/>
        <v>0</v>
      </c>
      <c r="I951" s="2911">
        <f t="shared" si="170"/>
        <v>0</v>
      </c>
      <c r="J951" s="2863"/>
      <c r="K951" s="223">
        <f t="shared" si="169"/>
        <v>0</v>
      </c>
      <c r="L951" s="2854"/>
    </row>
    <row r="952" spans="1:12">
      <c r="A952" s="2837"/>
      <c r="B952" s="98" t="str">
        <f>перекрытие!A89</f>
        <v>Двутавровая деревянная балка, 240*90мм</v>
      </c>
      <c r="C952" s="99" t="str">
        <f>перекрытие!B89</f>
        <v>м.п.</v>
      </c>
      <c r="D952" s="275">
        <f>перекрытие!D89</f>
        <v>0</v>
      </c>
      <c r="E952" s="100">
        <f>перекрытие!E89</f>
        <v>291</v>
      </c>
      <c r="F952" s="100"/>
      <c r="G952" s="275">
        <f t="shared" si="166"/>
        <v>0</v>
      </c>
      <c r="H952" s="100">
        <f t="shared" si="167"/>
        <v>0</v>
      </c>
      <c r="I952" s="2911">
        <f t="shared" si="170"/>
        <v>0</v>
      </c>
      <c r="J952" s="2863"/>
      <c r="K952" s="223">
        <f t="shared" si="169"/>
        <v>0</v>
      </c>
      <c r="L952" s="2854"/>
    </row>
    <row r="953" spans="1:12">
      <c r="A953" s="2837"/>
      <c r="B953" s="98" t="str">
        <f>перекрытие!A90</f>
        <v>Двутавровая деревянная балка, 200*65мм</v>
      </c>
      <c r="C953" s="99" t="str">
        <f>перекрытие!B90</f>
        <v>м.п.</v>
      </c>
      <c r="D953" s="275">
        <f>перекрытие!D90</f>
        <v>0</v>
      </c>
      <c r="E953" s="100">
        <f>перекрытие!E90</f>
        <v>250</v>
      </c>
      <c r="F953" s="100"/>
      <c r="G953" s="275">
        <f t="shared" si="166"/>
        <v>0</v>
      </c>
      <c r="H953" s="100">
        <f t="shared" si="167"/>
        <v>0</v>
      </c>
      <c r="I953" s="2911">
        <f t="shared" si="170"/>
        <v>0</v>
      </c>
      <c r="J953" s="2863"/>
      <c r="K953" s="223">
        <f t="shared" si="169"/>
        <v>0</v>
      </c>
      <c r="L953" s="2854"/>
    </row>
    <row r="954" spans="1:12">
      <c r="A954" s="2837"/>
      <c r="B954" s="98" t="str">
        <f>перекрытие!A91</f>
        <v>Двутавровая деревянная балка, 200*90мм</v>
      </c>
      <c r="C954" s="99" t="str">
        <f>перекрытие!B91</f>
        <v>м.п.</v>
      </c>
      <c r="D954" s="275">
        <f>перекрытие!D91</f>
        <v>0</v>
      </c>
      <c r="E954" s="100">
        <f>перекрытие!E91</f>
        <v>280</v>
      </c>
      <c r="F954" s="100"/>
      <c r="G954" s="275">
        <f t="shared" si="166"/>
        <v>0</v>
      </c>
      <c r="H954" s="100">
        <f t="shared" si="167"/>
        <v>0</v>
      </c>
      <c r="I954" s="2911">
        <f t="shared" si="170"/>
        <v>0</v>
      </c>
      <c r="J954" s="2863"/>
      <c r="K954" s="223">
        <f t="shared" si="169"/>
        <v>0</v>
      </c>
      <c r="L954" s="2854"/>
    </row>
    <row r="955" spans="1:12">
      <c r="A955" s="2837"/>
      <c r="B955" s="98" t="str">
        <f>перекрытие!A92</f>
        <v>Двутавровая деревянная балка, 150*65мм</v>
      </c>
      <c r="C955" s="99" t="str">
        <f>перекрытие!B92</f>
        <v>м.п.</v>
      </c>
      <c r="D955" s="275">
        <f>перекрытие!D92</f>
        <v>0</v>
      </c>
      <c r="E955" s="100">
        <f>перекрытие!E92</f>
        <v>220</v>
      </c>
      <c r="F955" s="100"/>
      <c r="G955" s="275">
        <f t="shared" si="166"/>
        <v>0</v>
      </c>
      <c r="H955" s="100">
        <f t="shared" si="167"/>
        <v>0</v>
      </c>
      <c r="I955" s="2911">
        <f t="shared" si="170"/>
        <v>0</v>
      </c>
      <c r="J955" s="2863"/>
      <c r="K955" s="223">
        <f t="shared" si="169"/>
        <v>0</v>
      </c>
      <c r="L955" s="2854"/>
    </row>
    <row r="956" spans="1:12">
      <c r="A956" s="2837"/>
      <c r="B956" s="98" t="str">
        <f>перекрытие!A93</f>
        <v>Двутавровая деревянная балка, 150*90мм</v>
      </c>
      <c r="C956" s="99" t="str">
        <f>перекрытие!B93</f>
        <v>м.п.</v>
      </c>
      <c r="D956" s="275">
        <f>перекрытие!D93</f>
        <v>0</v>
      </c>
      <c r="E956" s="100">
        <f>перекрытие!E93</f>
        <v>250</v>
      </c>
      <c r="F956" s="100"/>
      <c r="G956" s="275">
        <f t="shared" si="166"/>
        <v>0</v>
      </c>
      <c r="H956" s="100">
        <f t="shared" si="167"/>
        <v>0</v>
      </c>
      <c r="I956" s="2911">
        <f t="shared" si="170"/>
        <v>0</v>
      </c>
      <c r="J956" s="2863"/>
      <c r="K956" s="223">
        <f t="shared" si="169"/>
        <v>0</v>
      </c>
      <c r="L956" s="2854"/>
    </row>
    <row r="957" spans="1:12">
      <c r="A957" s="2837"/>
      <c r="B957" s="98" t="str">
        <f>перекрытие!A94</f>
        <v xml:space="preserve">Уголок усиленный 90х70х55х2,5        </v>
      </c>
      <c r="C957" s="99" t="str">
        <f>перекрытие!B94</f>
        <v>шт</v>
      </c>
      <c r="D957" s="275">
        <f>перекрытие!D94</f>
        <v>0</v>
      </c>
      <c r="E957" s="100">
        <f>перекрытие!E94</f>
        <v>30</v>
      </c>
      <c r="F957" s="100"/>
      <c r="G957" s="275">
        <f t="shared" si="166"/>
        <v>0</v>
      </c>
      <c r="H957" s="100">
        <f t="shared" si="167"/>
        <v>0</v>
      </c>
      <c r="I957" s="2911">
        <f t="shared" si="170"/>
        <v>0</v>
      </c>
      <c r="J957" s="2863"/>
      <c r="K957" s="223">
        <f t="shared" si="169"/>
        <v>0</v>
      </c>
      <c r="L957" s="2854"/>
    </row>
    <row r="958" spans="1:12">
      <c r="A958" s="2837"/>
      <c r="B958" s="98" t="str">
        <f>перекрытие!A95</f>
        <v xml:space="preserve">Саморезы 3,5 x 55            </v>
      </c>
      <c r="C958" s="99" t="str">
        <f>перекрытие!B95</f>
        <v>шт</v>
      </c>
      <c r="D958" s="275">
        <f>перекрытие!D95</f>
        <v>0</v>
      </c>
      <c r="E958" s="100">
        <f>перекрытие!E95</f>
        <v>0.3</v>
      </c>
      <c r="F958" s="100"/>
      <c r="G958" s="275">
        <f t="shared" si="166"/>
        <v>0</v>
      </c>
      <c r="H958" s="100">
        <f t="shared" si="167"/>
        <v>0</v>
      </c>
      <c r="I958" s="2911">
        <f t="shared" si="170"/>
        <v>0</v>
      </c>
      <c r="J958" s="2863"/>
      <c r="K958" s="223">
        <f t="shared" si="169"/>
        <v>0</v>
      </c>
      <c r="L958" s="2854"/>
    </row>
    <row r="959" spans="1:12">
      <c r="A959" s="2837"/>
      <c r="B959" s="98" t="str">
        <f>перекрытие!A96</f>
        <v>Нет</v>
      </c>
      <c r="C959" s="99" t="str">
        <f>перекрытие!B96</f>
        <v>м3</v>
      </c>
      <c r="D959" s="275">
        <f>перекрытие!D96</f>
        <v>0</v>
      </c>
      <c r="E959" s="100">
        <f>перекрытие!E96</f>
        <v>0</v>
      </c>
      <c r="F959" s="100"/>
      <c r="G959" s="275">
        <f t="shared" si="166"/>
        <v>0</v>
      </c>
      <c r="H959" s="100">
        <f t="shared" si="167"/>
        <v>0</v>
      </c>
      <c r="I959" s="2911">
        <f t="shared" si="170"/>
        <v>0</v>
      </c>
      <c r="J959" s="2863"/>
      <c r="K959" s="223">
        <f t="shared" si="169"/>
        <v>0</v>
      </c>
      <c r="L959" s="2854"/>
    </row>
    <row r="960" spans="1:12">
      <c r="A960" s="2837"/>
      <c r="B960" s="98" t="str">
        <f>перекрытие!A97</f>
        <v>нет ветроизоляции</v>
      </c>
      <c r="C960" s="99" t="str">
        <f>перекрытие!B97</f>
        <v>м2</v>
      </c>
      <c r="D960" s="275">
        <f>перекрытие!D97</f>
        <v>100</v>
      </c>
      <c r="E960" s="100">
        <f>перекрытие!E97</f>
        <v>0</v>
      </c>
      <c r="F960" s="100"/>
      <c r="G960" s="275">
        <f t="shared" si="166"/>
        <v>0</v>
      </c>
      <c r="H960" s="100">
        <f t="shared" si="167"/>
        <v>0</v>
      </c>
      <c r="I960" s="2911">
        <f t="shared" si="170"/>
        <v>0</v>
      </c>
      <c r="J960" s="2863"/>
      <c r="K960" s="223">
        <f t="shared" si="169"/>
        <v>100</v>
      </c>
      <c r="L960" s="2854"/>
    </row>
    <row r="961" spans="1:12">
      <c r="A961" s="2837"/>
      <c r="B961" s="98" t="str">
        <f>перекрытие!A98</f>
        <v>нет пароизоляции</v>
      </c>
      <c r="C961" s="99" t="str">
        <f>перекрытие!B98</f>
        <v>м2</v>
      </c>
      <c r="D961" s="275">
        <f>перекрытие!D98</f>
        <v>100</v>
      </c>
      <c r="E961" s="100">
        <f>перекрытие!E98</f>
        <v>0</v>
      </c>
      <c r="F961" s="100"/>
      <c r="G961" s="275">
        <f t="shared" si="166"/>
        <v>0</v>
      </c>
      <c r="H961" s="100">
        <f t="shared" si="167"/>
        <v>0</v>
      </c>
      <c r="I961" s="2911">
        <f t="shared" si="170"/>
        <v>0</v>
      </c>
      <c r="J961" s="2863"/>
      <c r="K961" s="223">
        <f t="shared" si="169"/>
        <v>100</v>
      </c>
      <c r="L961" s="2854"/>
    </row>
    <row r="962" spans="1:12">
      <c r="A962" s="2837"/>
      <c r="B962" s="98" t="str">
        <f>перекрытие!A101</f>
        <v>Плита перекрытия ЖБИ</v>
      </c>
      <c r="C962" s="99" t="str">
        <f>перекрытие!B101</f>
        <v>м2</v>
      </c>
      <c r="D962" s="275">
        <f>перекрытие!D101</f>
        <v>0</v>
      </c>
      <c r="E962" s="100">
        <f>перекрытие!E101</f>
        <v>1400</v>
      </c>
      <c r="F962" s="100"/>
      <c r="G962" s="275">
        <f t="shared" si="166"/>
        <v>0</v>
      </c>
      <c r="H962" s="100">
        <f t="shared" si="167"/>
        <v>0</v>
      </c>
      <c r="I962" s="2911">
        <f t="shared" si="170"/>
        <v>0</v>
      </c>
      <c r="J962" s="2863"/>
      <c r="K962" s="223">
        <f t="shared" si="169"/>
        <v>0</v>
      </c>
      <c r="L962" s="2854"/>
    </row>
    <row r="963" spans="1:12">
      <c r="A963" s="2837"/>
      <c r="B963" s="98" t="str">
        <f>перекрытие!A102</f>
        <v>Раствор, м250</v>
      </c>
      <c r="C963" s="99" t="str">
        <f>перекрытие!B102</f>
        <v>м3</v>
      </c>
      <c r="D963" s="275">
        <f>перекрытие!D102</f>
        <v>0</v>
      </c>
      <c r="E963" s="100">
        <f>перекрытие!E102</f>
        <v>2500</v>
      </c>
      <c r="F963" s="100"/>
      <c r="G963" s="275">
        <f t="shared" si="166"/>
        <v>0</v>
      </c>
      <c r="H963" s="100">
        <f t="shared" si="167"/>
        <v>0</v>
      </c>
      <c r="I963" s="2911">
        <f t="shared" si="170"/>
        <v>0</v>
      </c>
      <c r="J963" s="2863"/>
      <c r="K963" s="223">
        <f t="shared" si="169"/>
        <v>0</v>
      </c>
      <c r="L963" s="2854"/>
    </row>
    <row r="964" spans="1:12">
      <c r="A964" s="2837"/>
      <c r="B964" s="98" t="str">
        <f>перекрытие!A103</f>
        <v>Монолит, бетон, 300мм, 2 слоя</v>
      </c>
      <c r="C964" s="99" t="str">
        <f>перекрытие!B103</f>
        <v>м2</v>
      </c>
      <c r="D964" s="275">
        <f>перекрытие!D103</f>
        <v>0</v>
      </c>
      <c r="E964" s="100">
        <f>перекрытие!E103</f>
        <v>1</v>
      </c>
      <c r="F964" s="100"/>
      <c r="G964" s="275">
        <f t="shared" si="166"/>
        <v>0</v>
      </c>
      <c r="H964" s="100">
        <f t="shared" si="167"/>
        <v>0</v>
      </c>
      <c r="I964" s="2911">
        <f t="shared" si="170"/>
        <v>0</v>
      </c>
      <c r="J964" s="2863"/>
      <c r="K964" s="223">
        <f t="shared" si="169"/>
        <v>0</v>
      </c>
      <c r="L964" s="2854"/>
    </row>
    <row r="965" spans="1:12">
      <c r="A965" s="2837"/>
      <c r="B965" s="98" t="str">
        <f>перекрытие!A104</f>
        <v>Монолит, бетон, 300мм, 1 слой</v>
      </c>
      <c r="C965" s="99" t="str">
        <f>перекрытие!B104</f>
        <v>м2</v>
      </c>
      <c r="D965" s="275">
        <f>перекрытие!D104</f>
        <v>0</v>
      </c>
      <c r="E965" s="100">
        <f>перекрытие!E104</f>
        <v>1</v>
      </c>
      <c r="F965" s="100"/>
      <c r="G965" s="275">
        <f t="shared" si="166"/>
        <v>0</v>
      </c>
      <c r="H965" s="100">
        <f t="shared" si="167"/>
        <v>0</v>
      </c>
      <c r="I965" s="2911">
        <f t="shared" si="170"/>
        <v>0</v>
      </c>
      <c r="J965" s="2863"/>
      <c r="K965" s="223">
        <f t="shared" si="169"/>
        <v>0</v>
      </c>
      <c r="L965" s="2854"/>
    </row>
    <row r="966" spans="1:12">
      <c r="A966" s="2837"/>
      <c r="B966" s="98" t="str">
        <f>перекрытие!A105</f>
        <v>Монолит, бетон, 250мм, 2 слоя</v>
      </c>
      <c r="C966" s="99" t="str">
        <f>перекрытие!B105</f>
        <v>м2</v>
      </c>
      <c r="D966" s="275">
        <f>перекрытие!D105</f>
        <v>0</v>
      </c>
      <c r="E966" s="100">
        <f>перекрытие!E105</f>
        <v>1</v>
      </c>
      <c r="F966" s="100"/>
      <c r="G966" s="275">
        <f t="shared" si="166"/>
        <v>0</v>
      </c>
      <c r="H966" s="100">
        <f t="shared" si="167"/>
        <v>0</v>
      </c>
      <c r="I966" s="2911">
        <f t="shared" si="170"/>
        <v>0</v>
      </c>
      <c r="J966" s="2863"/>
      <c r="K966" s="223">
        <f t="shared" si="169"/>
        <v>0</v>
      </c>
      <c r="L966" s="2854"/>
    </row>
    <row r="967" spans="1:12">
      <c r="A967" s="2837"/>
      <c r="B967" s="98" t="str">
        <f>перекрытие!A106</f>
        <v>Монолит, бетон, 250мм, 1 слой</v>
      </c>
      <c r="C967" s="99" t="str">
        <f>перекрытие!B106</f>
        <v>м2</v>
      </c>
      <c r="D967" s="275">
        <f>перекрытие!D106</f>
        <v>0</v>
      </c>
      <c r="E967" s="100">
        <f>перекрытие!E106</f>
        <v>1</v>
      </c>
      <c r="F967" s="100"/>
      <c r="G967" s="275">
        <f t="shared" si="166"/>
        <v>0</v>
      </c>
      <c r="H967" s="100">
        <f t="shared" si="167"/>
        <v>0</v>
      </c>
      <c r="I967" s="2911">
        <f t="shared" si="170"/>
        <v>0</v>
      </c>
      <c r="J967" s="2863"/>
      <c r="K967" s="223">
        <f t="shared" si="169"/>
        <v>0</v>
      </c>
      <c r="L967" s="2854"/>
    </row>
    <row r="968" spans="1:12">
      <c r="A968" s="2837"/>
      <c r="B968" s="98" t="str">
        <f>перекрытие!A107</f>
        <v>Монолит, бетон, 200мм, 2 слоя</v>
      </c>
      <c r="C968" s="99" t="str">
        <f>перекрытие!B107</f>
        <v>м2</v>
      </c>
      <c r="D968" s="275">
        <f>перекрытие!D107</f>
        <v>0</v>
      </c>
      <c r="E968" s="100">
        <f>перекрытие!E107</f>
        <v>1</v>
      </c>
      <c r="F968" s="100"/>
      <c r="G968" s="275">
        <f t="shared" si="166"/>
        <v>0</v>
      </c>
      <c r="H968" s="100">
        <f t="shared" si="167"/>
        <v>0</v>
      </c>
      <c r="I968" s="2911">
        <f t="shared" si="170"/>
        <v>0</v>
      </c>
      <c r="J968" s="2863"/>
      <c r="K968" s="223">
        <f t="shared" si="169"/>
        <v>0</v>
      </c>
      <c r="L968" s="2854"/>
    </row>
    <row r="969" spans="1:12">
      <c r="A969" s="2837"/>
      <c r="B969" s="98" t="str">
        <f>перекрытие!A108</f>
        <v>Монолит, бетон, 200мм, 1 слой</v>
      </c>
      <c r="C969" s="99" t="str">
        <f>перекрытие!B108</f>
        <v>м2</v>
      </c>
      <c r="D969" s="275">
        <f>перекрытие!D108</f>
        <v>0</v>
      </c>
      <c r="E969" s="100">
        <f>перекрытие!E108</f>
        <v>1</v>
      </c>
      <c r="F969" s="100"/>
      <c r="G969" s="275">
        <f t="shared" ref="G969:G1032" si="171">IF(F969&gt;0,D969*F969,E969*D969)</f>
        <v>0</v>
      </c>
      <c r="H969" s="100">
        <f t="shared" ref="H969:H1032" si="172">E969*D969*$H$903</f>
        <v>0</v>
      </c>
      <c r="I969" s="2911">
        <f t="shared" ref="I969:I1000" si="173">IF(G969&gt;H969,G969,H969)*$H$903</f>
        <v>0</v>
      </c>
      <c r="J969" s="2863"/>
      <c r="K969" s="223">
        <f t="shared" ref="K969:K1032" si="174">D969-J969</f>
        <v>0</v>
      </c>
      <c r="L969" s="2854"/>
    </row>
    <row r="970" spans="1:12">
      <c r="A970" s="2837"/>
      <c r="B970" s="98" t="str">
        <f>перекрытие!A109</f>
        <v>Монолит, бетон, 150мм, 2 слоя</v>
      </c>
      <c r="C970" s="99" t="str">
        <f>перекрытие!B109</f>
        <v>м2</v>
      </c>
      <c r="D970" s="275">
        <f>перекрытие!D109</f>
        <v>0</v>
      </c>
      <c r="E970" s="100">
        <f>перекрытие!E109</f>
        <v>1</v>
      </c>
      <c r="F970" s="100"/>
      <c r="G970" s="275">
        <f t="shared" si="171"/>
        <v>0</v>
      </c>
      <c r="H970" s="100">
        <f t="shared" si="172"/>
        <v>0</v>
      </c>
      <c r="I970" s="2911">
        <f t="shared" si="173"/>
        <v>0</v>
      </c>
      <c r="J970" s="2863"/>
      <c r="K970" s="223">
        <f t="shared" si="174"/>
        <v>0</v>
      </c>
      <c r="L970" s="2854"/>
    </row>
    <row r="971" spans="1:12">
      <c r="A971" s="2837"/>
      <c r="B971" s="98" t="str">
        <f>перекрытие!A110</f>
        <v>Монолит, бетон, 150мм, 1 слой</v>
      </c>
      <c r="C971" s="99" t="str">
        <f>перекрытие!B110</f>
        <v>м2</v>
      </c>
      <c r="D971" s="275">
        <f>перекрытие!D110</f>
        <v>0</v>
      </c>
      <c r="E971" s="100">
        <f>перекрытие!E110</f>
        <v>1</v>
      </c>
      <c r="F971" s="100"/>
      <c r="G971" s="275">
        <f t="shared" si="171"/>
        <v>0</v>
      </c>
      <c r="H971" s="100">
        <f t="shared" si="172"/>
        <v>0</v>
      </c>
      <c r="I971" s="2911">
        <f t="shared" si="173"/>
        <v>0</v>
      </c>
      <c r="J971" s="2863"/>
      <c r="K971" s="223">
        <f t="shared" si="174"/>
        <v>0</v>
      </c>
      <c r="L971" s="2854"/>
    </row>
    <row r="972" spans="1:12">
      <c r="A972" s="2837"/>
      <c r="B972" s="98" t="str">
        <f>перекрытие!A111</f>
        <v>доска для опалубки монолит перекрытий</v>
      </c>
      <c r="C972" s="99" t="str">
        <f>перекрытие!B111</f>
        <v>м3</v>
      </c>
      <c r="D972" s="275">
        <f>перекрытие!D111</f>
        <v>0</v>
      </c>
      <c r="E972" s="100">
        <f>перекрытие!E111</f>
        <v>6500</v>
      </c>
      <c r="F972" s="100"/>
      <c r="G972" s="275">
        <f t="shared" si="171"/>
        <v>0</v>
      </c>
      <c r="H972" s="100">
        <f t="shared" si="172"/>
        <v>0</v>
      </c>
      <c r="I972" s="2911">
        <f t="shared" si="173"/>
        <v>0</v>
      </c>
      <c r="J972" s="2863"/>
      <c r="K972" s="223">
        <f t="shared" si="174"/>
        <v>0</v>
      </c>
      <c r="L972" s="2854"/>
    </row>
    <row r="973" spans="1:12">
      <c r="A973" s="2837"/>
      <c r="B973" s="98" t="str">
        <f>перекрытие!A112</f>
        <v>стойки под опалубку перекрытий</v>
      </c>
      <c r="C973" s="99" t="str">
        <f>перекрытие!B112</f>
        <v>шт</v>
      </c>
      <c r="D973" s="275">
        <f>перекрытие!D112</f>
        <v>0</v>
      </c>
      <c r="E973" s="100">
        <f>перекрытие!E112</f>
        <v>0</v>
      </c>
      <c r="F973" s="100"/>
      <c r="G973" s="275">
        <f t="shared" si="171"/>
        <v>0</v>
      </c>
      <c r="H973" s="100">
        <f t="shared" si="172"/>
        <v>0</v>
      </c>
      <c r="I973" s="2911">
        <f t="shared" si="173"/>
        <v>0</v>
      </c>
      <c r="J973" s="2863"/>
      <c r="K973" s="223">
        <f t="shared" si="174"/>
        <v>0</v>
      </c>
      <c r="L973" s="2854"/>
    </row>
    <row r="974" spans="1:12">
      <c r="A974" s="2837"/>
      <c r="B974" s="98" t="str">
        <f>перекрытие!A113</f>
        <v xml:space="preserve">Пленка гидроизоляционная </v>
      </c>
      <c r="C974" s="99" t="str">
        <f>перекрытие!B113</f>
        <v>м2</v>
      </c>
      <c r="D974" s="275">
        <f>перекрытие!D113</f>
        <v>0</v>
      </c>
      <c r="E974" s="100">
        <f>перекрытие!E113</f>
        <v>15</v>
      </c>
      <c r="F974" s="100"/>
      <c r="G974" s="275">
        <f t="shared" si="171"/>
        <v>0</v>
      </c>
      <c r="H974" s="100">
        <f t="shared" si="172"/>
        <v>0</v>
      </c>
      <c r="I974" s="2911">
        <f t="shared" si="173"/>
        <v>0</v>
      </c>
      <c r="J974" s="2863"/>
      <c r="K974" s="223">
        <f t="shared" si="174"/>
        <v>0</v>
      </c>
      <c r="L974" s="2854"/>
    </row>
    <row r="975" spans="1:12">
      <c r="A975" s="2837"/>
      <c r="B975" s="98" t="str">
        <f>перекрытие!A114</f>
        <v>Арматура М10</v>
      </c>
      <c r="C975" s="99" t="str">
        <f>перекрытие!B114</f>
        <v>м.п.</v>
      </c>
      <c r="D975" s="275">
        <f>перекрытие!D114</f>
        <v>0</v>
      </c>
      <c r="E975" s="100">
        <f>перекрытие!E114</f>
        <v>21.0397</v>
      </c>
      <c r="F975" s="100"/>
      <c r="G975" s="275">
        <f t="shared" si="171"/>
        <v>0</v>
      </c>
      <c r="H975" s="100">
        <f t="shared" si="172"/>
        <v>0</v>
      </c>
      <c r="I975" s="2911">
        <f t="shared" si="173"/>
        <v>0</v>
      </c>
      <c r="J975" s="2863"/>
      <c r="K975" s="223">
        <f t="shared" si="174"/>
        <v>0</v>
      </c>
      <c r="L975" s="2854"/>
    </row>
    <row r="976" spans="1:12">
      <c r="A976" s="2837"/>
      <c r="B976" s="98" t="str">
        <f>перекрытие!A115</f>
        <v>Вязальная проволока</v>
      </c>
      <c r="C976" s="99" t="str">
        <f>перекрытие!B115</f>
        <v>кг</v>
      </c>
      <c r="D976" s="275">
        <f>перекрытие!D115</f>
        <v>0</v>
      </c>
      <c r="E976" s="100">
        <f>перекрытие!E115</f>
        <v>80</v>
      </c>
      <c r="F976" s="100"/>
      <c r="G976" s="275">
        <f t="shared" si="171"/>
        <v>0</v>
      </c>
      <c r="H976" s="100">
        <f t="shared" si="172"/>
        <v>0</v>
      </c>
      <c r="I976" s="2911">
        <f t="shared" si="173"/>
        <v>0</v>
      </c>
      <c r="J976" s="2863"/>
      <c r="K976" s="223">
        <f t="shared" si="174"/>
        <v>0</v>
      </c>
      <c r="L976" s="2854"/>
    </row>
    <row r="977" spans="1:12">
      <c r="A977" s="2837"/>
      <c r="B977" s="98" t="str">
        <f>перекрытие!A116</f>
        <v>Подставка под арматурный каркас</v>
      </c>
      <c r="C977" s="99" t="str">
        <f>перекрытие!B116</f>
        <v>шт</v>
      </c>
      <c r="D977" s="275">
        <f>перекрытие!D116</f>
        <v>0</v>
      </c>
      <c r="E977" s="100">
        <f>перекрытие!E116</f>
        <v>5</v>
      </c>
      <c r="F977" s="100"/>
      <c r="G977" s="275">
        <f t="shared" si="171"/>
        <v>0</v>
      </c>
      <c r="H977" s="100">
        <f t="shared" si="172"/>
        <v>0</v>
      </c>
      <c r="I977" s="2911">
        <f t="shared" si="173"/>
        <v>0</v>
      </c>
      <c r="J977" s="2863"/>
      <c r="K977" s="223">
        <f t="shared" si="174"/>
        <v>0</v>
      </c>
      <c r="L977" s="2854"/>
    </row>
    <row r="978" spans="1:12">
      <c r="A978" s="2837"/>
      <c r="B978" s="98" t="str">
        <f>перекрытие!A117</f>
        <v>бетон, м350</v>
      </c>
      <c r="C978" s="99" t="str">
        <f>перекрытие!B117</f>
        <v>м3</v>
      </c>
      <c r="D978" s="275">
        <f>перекрытие!D117</f>
        <v>0</v>
      </c>
      <c r="E978" s="100">
        <f>перекрытие!E117</f>
        <v>3500</v>
      </c>
      <c r="F978" s="100"/>
      <c r="G978" s="275">
        <f t="shared" si="171"/>
        <v>0</v>
      </c>
      <c r="H978" s="100">
        <f t="shared" si="172"/>
        <v>0</v>
      </c>
      <c r="I978" s="2911">
        <f t="shared" si="173"/>
        <v>0</v>
      </c>
      <c r="J978" s="2863"/>
      <c r="K978" s="223">
        <f t="shared" si="174"/>
        <v>0</v>
      </c>
      <c r="L978" s="2854"/>
    </row>
    <row r="979" spans="1:12">
      <c r="A979" s="2837"/>
      <c r="B979" s="98" t="str">
        <f>перекрытие!A118</f>
        <v>Брус естественной влажности, 200*100мм</v>
      </c>
      <c r="C979" s="99" t="str">
        <f>перекрытие!B118</f>
        <v>м3</v>
      </c>
      <c r="D979" s="275">
        <f>перекрытие!D118</f>
        <v>0</v>
      </c>
      <c r="E979" s="100">
        <f>перекрытие!E118</f>
        <v>6500</v>
      </c>
      <c r="F979" s="100"/>
      <c r="G979" s="275">
        <f t="shared" si="171"/>
        <v>0</v>
      </c>
      <c r="H979" s="100">
        <f t="shared" si="172"/>
        <v>0</v>
      </c>
      <c r="I979" s="2911">
        <f t="shared" si="173"/>
        <v>0</v>
      </c>
      <c r="J979" s="2863"/>
      <c r="K979" s="223">
        <f t="shared" si="174"/>
        <v>0</v>
      </c>
      <c r="L979" s="2854"/>
    </row>
    <row r="980" spans="1:12">
      <c r="A980" s="2837"/>
      <c r="B980" s="98" t="str">
        <f>перекрытие!A119</f>
        <v>Брус естественной влажности, 150*100мм</v>
      </c>
      <c r="C980" s="99" t="str">
        <f>перекрытие!B119</f>
        <v>м3</v>
      </c>
      <c r="D980" s="275">
        <f>перекрытие!D119</f>
        <v>0</v>
      </c>
      <c r="E980" s="100">
        <f>перекрытие!E119</f>
        <v>6500</v>
      </c>
      <c r="F980" s="100"/>
      <c r="G980" s="275">
        <f t="shared" si="171"/>
        <v>0</v>
      </c>
      <c r="H980" s="100">
        <f t="shared" si="172"/>
        <v>0</v>
      </c>
      <c r="I980" s="2911">
        <f t="shared" si="173"/>
        <v>0</v>
      </c>
      <c r="J980" s="2863"/>
      <c r="K980" s="223">
        <f t="shared" si="174"/>
        <v>0</v>
      </c>
      <c r="L980" s="2854"/>
    </row>
    <row r="981" spans="1:12">
      <c r="A981" s="2837"/>
      <c r="B981" s="98" t="str">
        <f>перекрытие!A120</f>
        <v>Брус естественной влажности, 100*100мм</v>
      </c>
      <c r="C981" s="99" t="str">
        <f>перекрытие!B120</f>
        <v>м3</v>
      </c>
      <c r="D981" s="275">
        <f>перекрытие!D120</f>
        <v>0</v>
      </c>
      <c r="E981" s="100">
        <f>перекрытие!E120</f>
        <v>6500</v>
      </c>
      <c r="F981" s="100"/>
      <c r="G981" s="275">
        <f t="shared" si="171"/>
        <v>0</v>
      </c>
      <c r="H981" s="100">
        <f t="shared" si="172"/>
        <v>0</v>
      </c>
      <c r="I981" s="2911">
        <f t="shared" si="173"/>
        <v>0</v>
      </c>
      <c r="J981" s="2863"/>
      <c r="K981" s="223">
        <f t="shared" si="174"/>
        <v>0</v>
      </c>
      <c r="L981" s="2854"/>
    </row>
    <row r="982" spans="1:12">
      <c r="A982" s="2837"/>
      <c r="B982" s="98" t="str">
        <f>перекрытие!A121</f>
        <v>Брус естественной влажности, 150*150мм</v>
      </c>
      <c r="C982" s="99" t="str">
        <f>перекрытие!B121</f>
        <v>м3</v>
      </c>
      <c r="D982" s="275">
        <f>перекрытие!D121</f>
        <v>0</v>
      </c>
      <c r="E982" s="100">
        <f>перекрытие!E121</f>
        <v>6500</v>
      </c>
      <c r="F982" s="100"/>
      <c r="G982" s="275">
        <f t="shared" si="171"/>
        <v>0</v>
      </c>
      <c r="H982" s="100">
        <f t="shared" si="172"/>
        <v>0</v>
      </c>
      <c r="I982" s="2911">
        <f t="shared" si="173"/>
        <v>0</v>
      </c>
      <c r="J982" s="2863"/>
      <c r="K982" s="223">
        <f t="shared" si="174"/>
        <v>0</v>
      </c>
      <c r="L982" s="2854"/>
    </row>
    <row r="983" spans="1:12">
      <c r="A983" s="2837"/>
      <c r="B983" s="98" t="str">
        <f>перекрытие!A122</f>
        <v>Доска естественной влажности, 200*50мм</v>
      </c>
      <c r="C983" s="99" t="str">
        <f>перекрытие!B122</f>
        <v>м3</v>
      </c>
      <c r="D983" s="275">
        <f>перекрытие!D122</f>
        <v>0</v>
      </c>
      <c r="E983" s="100">
        <f>перекрытие!E122</f>
        <v>6500</v>
      </c>
      <c r="F983" s="100"/>
      <c r="G983" s="275">
        <f t="shared" si="171"/>
        <v>0</v>
      </c>
      <c r="H983" s="100">
        <f t="shared" si="172"/>
        <v>0</v>
      </c>
      <c r="I983" s="2911">
        <f t="shared" si="173"/>
        <v>0</v>
      </c>
      <c r="J983" s="2863"/>
      <c r="K983" s="223">
        <f t="shared" si="174"/>
        <v>0</v>
      </c>
      <c r="L983" s="2854"/>
    </row>
    <row r="984" spans="1:12">
      <c r="A984" s="2837"/>
      <c r="B984" s="98" t="str">
        <f>перекрытие!A123</f>
        <v>Доска естественной влажности, 150*50мм</v>
      </c>
      <c r="C984" s="99" t="str">
        <f>перекрытие!B123</f>
        <v>м3</v>
      </c>
      <c r="D984" s="275">
        <f>перекрытие!D123</f>
        <v>0</v>
      </c>
      <c r="E984" s="100">
        <f>перекрытие!E123</f>
        <v>6500</v>
      </c>
      <c r="F984" s="100"/>
      <c r="G984" s="275">
        <f t="shared" si="171"/>
        <v>0</v>
      </c>
      <c r="H984" s="100">
        <f t="shared" si="172"/>
        <v>0</v>
      </c>
      <c r="I984" s="2911">
        <f t="shared" si="173"/>
        <v>0</v>
      </c>
      <c r="J984" s="2863"/>
      <c r="K984" s="223">
        <f t="shared" si="174"/>
        <v>0</v>
      </c>
      <c r="L984" s="2854"/>
    </row>
    <row r="985" spans="1:12">
      <c r="A985" s="2837"/>
      <c r="B985" s="98" t="str">
        <f>перекрытие!A124</f>
        <v xml:space="preserve">Опора бруса          </v>
      </c>
      <c r="C985" s="99" t="str">
        <f>перекрытие!B124</f>
        <v>шт</v>
      </c>
      <c r="D985" s="275">
        <f>перекрытие!D124</f>
        <v>0</v>
      </c>
      <c r="E985" s="100">
        <f>перекрытие!E124</f>
        <v>50</v>
      </c>
      <c r="F985" s="100"/>
      <c r="G985" s="275">
        <f t="shared" si="171"/>
        <v>0</v>
      </c>
      <c r="H985" s="100">
        <f t="shared" si="172"/>
        <v>0</v>
      </c>
      <c r="I985" s="2911">
        <f t="shared" si="173"/>
        <v>0</v>
      </c>
      <c r="J985" s="2863"/>
      <c r="K985" s="223">
        <f t="shared" si="174"/>
        <v>0</v>
      </c>
      <c r="L985" s="2854"/>
    </row>
    <row r="986" spans="1:12">
      <c r="A986" s="2837"/>
      <c r="B986" s="98" t="str">
        <f>перекрытие!A125</f>
        <v xml:space="preserve">Болты анкерные с гайкой 8,0 x 60           </v>
      </c>
      <c r="C986" s="99" t="str">
        <f>перекрытие!B125</f>
        <v>шт</v>
      </c>
      <c r="D986" s="275">
        <f>перекрытие!D125</f>
        <v>0</v>
      </c>
      <c r="E986" s="100">
        <f>перекрытие!E125</f>
        <v>4</v>
      </c>
      <c r="F986" s="100"/>
      <c r="G986" s="275">
        <f t="shared" si="171"/>
        <v>0</v>
      </c>
      <c r="H986" s="100">
        <f t="shared" si="172"/>
        <v>0</v>
      </c>
      <c r="I986" s="2911">
        <f t="shared" si="173"/>
        <v>0</v>
      </c>
      <c r="J986" s="2863"/>
      <c r="K986" s="223">
        <f t="shared" si="174"/>
        <v>0</v>
      </c>
      <c r="L986" s="2854"/>
    </row>
    <row r="987" spans="1:12">
      <c r="A987" s="2837"/>
      <c r="B987" s="98" t="str">
        <f>перекрытие!A126</f>
        <v>Sip панель 2500*625*124мм</v>
      </c>
      <c r="C987" s="99" t="str">
        <f>перекрытие!B126</f>
        <v>м2</v>
      </c>
      <c r="D987" s="275">
        <f>перекрытие!D126</f>
        <v>0</v>
      </c>
      <c r="E987" s="100">
        <f>перекрытие!E126</f>
        <v>800</v>
      </c>
      <c r="F987" s="100"/>
      <c r="G987" s="275">
        <f t="shared" si="171"/>
        <v>0</v>
      </c>
      <c r="H987" s="100">
        <f t="shared" si="172"/>
        <v>0</v>
      </c>
      <c r="I987" s="2911">
        <f t="shared" si="173"/>
        <v>0</v>
      </c>
      <c r="J987" s="2863"/>
      <c r="K987" s="223">
        <f t="shared" si="174"/>
        <v>0</v>
      </c>
      <c r="L987" s="2854"/>
    </row>
    <row r="988" spans="1:12">
      <c r="A988" s="2837"/>
      <c r="B988" s="98" t="str">
        <f>перекрытие!A127</f>
        <v>Sip панель 2500*625*174мм</v>
      </c>
      <c r="C988" s="99" t="str">
        <f>перекрытие!B127</f>
        <v>м2</v>
      </c>
      <c r="D988" s="275">
        <f>перекрытие!D127</f>
        <v>0</v>
      </c>
      <c r="E988" s="100">
        <f>перекрытие!E127</f>
        <v>1200</v>
      </c>
      <c r="F988" s="100"/>
      <c r="G988" s="275">
        <f t="shared" si="171"/>
        <v>0</v>
      </c>
      <c r="H988" s="100">
        <f t="shared" si="172"/>
        <v>0</v>
      </c>
      <c r="I988" s="2911">
        <f t="shared" si="173"/>
        <v>0</v>
      </c>
      <c r="J988" s="2863"/>
      <c r="K988" s="223">
        <f t="shared" si="174"/>
        <v>0</v>
      </c>
      <c r="L988" s="2854"/>
    </row>
    <row r="989" spans="1:12">
      <c r="A989" s="2837"/>
      <c r="B989" s="98" t="str">
        <f>перекрытие!A128</f>
        <v>Sip панель 2500*625*224мм</v>
      </c>
      <c r="C989" s="99" t="str">
        <f>перекрытие!B128</f>
        <v>м2</v>
      </c>
      <c r="D989" s="275">
        <f>перекрытие!D128</f>
        <v>0</v>
      </c>
      <c r="E989" s="100">
        <f>перекрытие!E128</f>
        <v>1400</v>
      </c>
      <c r="F989" s="100"/>
      <c r="G989" s="275">
        <f t="shared" si="171"/>
        <v>0</v>
      </c>
      <c r="H989" s="100">
        <f t="shared" si="172"/>
        <v>0</v>
      </c>
      <c r="I989" s="2911">
        <f t="shared" si="173"/>
        <v>0</v>
      </c>
      <c r="J989" s="2863"/>
      <c r="K989" s="223">
        <f t="shared" si="174"/>
        <v>0</v>
      </c>
      <c r="L989" s="2854"/>
    </row>
    <row r="990" spans="1:12">
      <c r="A990" s="2837"/>
      <c r="B990" s="98" t="str">
        <f>перекрытие!A129</f>
        <v>Доска сухая, 100*50мм</v>
      </c>
      <c r="C990" s="99" t="str">
        <f>перекрытие!B129</f>
        <v>м.п.</v>
      </c>
      <c r="D990" s="275">
        <f>перекрытие!D129</f>
        <v>0</v>
      </c>
      <c r="E990" s="100">
        <f>перекрытие!E129</f>
        <v>45</v>
      </c>
      <c r="F990" s="100"/>
      <c r="G990" s="275">
        <f t="shared" si="171"/>
        <v>0</v>
      </c>
      <c r="H990" s="100">
        <f t="shared" si="172"/>
        <v>0</v>
      </c>
      <c r="I990" s="2911">
        <f t="shared" si="173"/>
        <v>0</v>
      </c>
      <c r="J990" s="2863"/>
      <c r="K990" s="223">
        <f t="shared" si="174"/>
        <v>0</v>
      </c>
      <c r="L990" s="2854"/>
    </row>
    <row r="991" spans="1:12">
      <c r="A991" s="2837"/>
      <c r="B991" s="98" t="str">
        <f>перекрытие!A130</f>
        <v>Доска сухая, 150*50мм</v>
      </c>
      <c r="C991" s="99" t="str">
        <f>перекрытие!B130</f>
        <v>м.п.</v>
      </c>
      <c r="D991" s="275">
        <f>перекрытие!D130</f>
        <v>0</v>
      </c>
      <c r="E991" s="100">
        <f>перекрытие!E130</f>
        <v>67.5</v>
      </c>
      <c r="F991" s="100"/>
      <c r="G991" s="275">
        <f t="shared" si="171"/>
        <v>0</v>
      </c>
      <c r="H991" s="100">
        <f t="shared" si="172"/>
        <v>0</v>
      </c>
      <c r="I991" s="2911">
        <f t="shared" si="173"/>
        <v>0</v>
      </c>
      <c r="J991" s="2863"/>
      <c r="K991" s="223">
        <f t="shared" si="174"/>
        <v>0</v>
      </c>
      <c r="L991" s="2854"/>
    </row>
    <row r="992" spans="1:12">
      <c r="A992" s="2837"/>
      <c r="B992" s="98" t="str">
        <f>перекрытие!A131</f>
        <v>Доска сухая, 200*50мм</v>
      </c>
      <c r="C992" s="99" t="str">
        <f>перекрытие!B131</f>
        <v>м.п.</v>
      </c>
      <c r="D992" s="275">
        <f>перекрытие!D131</f>
        <v>0</v>
      </c>
      <c r="E992" s="100">
        <f>перекрытие!E131</f>
        <v>90</v>
      </c>
      <c r="F992" s="100"/>
      <c r="G992" s="275">
        <f t="shared" si="171"/>
        <v>0</v>
      </c>
      <c r="H992" s="100">
        <f t="shared" si="172"/>
        <v>0</v>
      </c>
      <c r="I992" s="2911">
        <f t="shared" si="173"/>
        <v>0</v>
      </c>
      <c r="J992" s="2863"/>
      <c r="K992" s="223">
        <f t="shared" si="174"/>
        <v>0</v>
      </c>
      <c r="L992" s="2854"/>
    </row>
    <row r="993" spans="1:12">
      <c r="A993" s="2837"/>
      <c r="B993" s="98" t="str">
        <f>перекрытие!A132</f>
        <v>Пена монтажная, всесезонняя 800мл</v>
      </c>
      <c r="C993" s="99" t="str">
        <f>перекрытие!B132</f>
        <v>шт</v>
      </c>
      <c r="D993" s="275">
        <f>перекрытие!D132</f>
        <v>0</v>
      </c>
      <c r="E993" s="100">
        <f>перекрытие!E132</f>
        <v>300</v>
      </c>
      <c r="F993" s="100"/>
      <c r="G993" s="275">
        <f t="shared" si="171"/>
        <v>0</v>
      </c>
      <c r="H993" s="100">
        <f t="shared" si="172"/>
        <v>0</v>
      </c>
      <c r="I993" s="2911">
        <f t="shared" si="173"/>
        <v>0</v>
      </c>
      <c r="J993" s="2863"/>
      <c r="K993" s="223">
        <f t="shared" si="174"/>
        <v>0</v>
      </c>
      <c r="L993" s="2854"/>
    </row>
    <row r="994" spans="1:12">
      <c r="A994" s="2837"/>
      <c r="B994" s="98" t="str">
        <f>перекрытие!A133</f>
        <v xml:space="preserve">Гвозди строительные 3,5 x 90            </v>
      </c>
      <c r="C994" s="99" t="str">
        <f>перекрытие!B133</f>
        <v>шт</v>
      </c>
      <c r="D994" s="275">
        <f>перекрытие!D133</f>
        <v>0</v>
      </c>
      <c r="E994" s="100">
        <f>перекрытие!E133</f>
        <v>45</v>
      </c>
      <c r="F994" s="100"/>
      <c r="G994" s="275">
        <f t="shared" si="171"/>
        <v>0</v>
      </c>
      <c r="H994" s="100">
        <f t="shared" si="172"/>
        <v>0</v>
      </c>
      <c r="I994" s="2911">
        <f t="shared" si="173"/>
        <v>0</v>
      </c>
      <c r="J994" s="2863"/>
      <c r="K994" s="223">
        <f t="shared" si="174"/>
        <v>0</v>
      </c>
      <c r="L994" s="2854"/>
    </row>
    <row r="995" spans="1:12">
      <c r="A995" s="2837"/>
      <c r="B995" s="98" t="str">
        <f>перекрытие!A134</f>
        <v xml:space="preserve">Саморезы 3,5 x 45            </v>
      </c>
      <c r="C995" s="99" t="str">
        <f>перекрытие!B134</f>
        <v>шт</v>
      </c>
      <c r="D995" s="275">
        <f>перекрытие!D134</f>
        <v>0</v>
      </c>
      <c r="E995" s="100">
        <f>перекрытие!E134</f>
        <v>0.25</v>
      </c>
      <c r="F995" s="100"/>
      <c r="G995" s="275">
        <f t="shared" si="171"/>
        <v>0</v>
      </c>
      <c r="H995" s="100">
        <f t="shared" si="172"/>
        <v>0</v>
      </c>
      <c r="I995" s="2911">
        <f t="shared" si="173"/>
        <v>0</v>
      </c>
      <c r="J995" s="2863"/>
      <c r="K995" s="223">
        <f t="shared" si="174"/>
        <v>0</v>
      </c>
      <c r="L995" s="2854"/>
    </row>
    <row r="996" spans="1:12">
      <c r="A996" s="2837"/>
      <c r="B996" s="98" t="str">
        <f>перекрытие!A135</f>
        <v>Доска сухая, 200*50мм</v>
      </c>
      <c r="C996" s="99" t="str">
        <f>перекрытие!B135</f>
        <v>м3</v>
      </c>
      <c r="D996" s="275">
        <f>перекрытие!D135</f>
        <v>0</v>
      </c>
      <c r="E996" s="100">
        <f>перекрытие!E135</f>
        <v>9000</v>
      </c>
      <c r="F996" s="100"/>
      <c r="G996" s="275">
        <f t="shared" si="171"/>
        <v>0</v>
      </c>
      <c r="H996" s="100">
        <f t="shared" si="172"/>
        <v>0</v>
      </c>
      <c r="I996" s="2911">
        <f t="shared" si="173"/>
        <v>0</v>
      </c>
      <c r="J996" s="2863"/>
      <c r="K996" s="223">
        <f t="shared" si="174"/>
        <v>0</v>
      </c>
      <c r="L996" s="2854"/>
    </row>
    <row r="997" spans="1:12">
      <c r="A997" s="2837"/>
      <c r="B997" s="98" t="str">
        <f>перекрытие!A136</f>
        <v>Доска сухая, 150*50мм</v>
      </c>
      <c r="C997" s="99" t="str">
        <f>перекрытие!B136</f>
        <v>м3</v>
      </c>
      <c r="D997" s="275">
        <f>перекрытие!D136</f>
        <v>0</v>
      </c>
      <c r="E997" s="100">
        <f>перекрытие!E136</f>
        <v>9000</v>
      </c>
      <c r="F997" s="100"/>
      <c r="G997" s="275">
        <f t="shared" si="171"/>
        <v>0</v>
      </c>
      <c r="H997" s="100">
        <f t="shared" si="172"/>
        <v>0</v>
      </c>
      <c r="I997" s="2911">
        <f t="shared" si="173"/>
        <v>0</v>
      </c>
      <c r="J997" s="2863"/>
      <c r="K997" s="223">
        <f t="shared" si="174"/>
        <v>0</v>
      </c>
      <c r="L997" s="2854"/>
    </row>
    <row r="998" spans="1:12">
      <c r="A998" s="2837"/>
      <c r="B998" s="98" t="str">
        <f>перекрытие!A137</f>
        <v xml:space="preserve">Гвозди ершоные 2,8 х 90            </v>
      </c>
      <c r="C998" s="99" t="str">
        <f>перекрытие!B137</f>
        <v>кг</v>
      </c>
      <c r="D998" s="275">
        <f>перекрытие!D137</f>
        <v>0</v>
      </c>
      <c r="E998" s="100">
        <f>перекрытие!E137</f>
        <v>76.489999999999995</v>
      </c>
      <c r="F998" s="100"/>
      <c r="G998" s="275">
        <f t="shared" si="171"/>
        <v>0</v>
      </c>
      <c r="H998" s="100">
        <f t="shared" si="172"/>
        <v>0</v>
      </c>
      <c r="I998" s="2911">
        <f t="shared" si="173"/>
        <v>0</v>
      </c>
      <c r="J998" s="2863"/>
      <c r="K998" s="223">
        <f t="shared" si="174"/>
        <v>0</v>
      </c>
      <c r="L998" s="2854"/>
    </row>
    <row r="999" spans="1:12">
      <c r="A999" s="2837"/>
      <c r="B999" s="98" t="str">
        <f>перекрытие!A138</f>
        <v>Доска сухая калиброванная, 190*45мм</v>
      </c>
      <c r="C999" s="99" t="str">
        <f>перекрытие!B138</f>
        <v>м3</v>
      </c>
      <c r="D999" s="275">
        <f>перекрытие!D138</f>
        <v>0</v>
      </c>
      <c r="E999" s="100">
        <f>перекрытие!E138</f>
        <v>12500</v>
      </c>
      <c r="F999" s="100"/>
      <c r="G999" s="275">
        <f t="shared" si="171"/>
        <v>0</v>
      </c>
      <c r="H999" s="100">
        <f t="shared" si="172"/>
        <v>0</v>
      </c>
      <c r="I999" s="2911">
        <f t="shared" si="173"/>
        <v>0</v>
      </c>
      <c r="J999" s="2863"/>
      <c r="K999" s="223">
        <f t="shared" si="174"/>
        <v>0</v>
      </c>
      <c r="L999" s="2854"/>
    </row>
    <row r="1000" spans="1:12">
      <c r="A1000" s="2837"/>
      <c r="B1000" s="98" t="str">
        <f>перекрытие!A139</f>
        <v>Доска сухая калиброванная, 145*45мм</v>
      </c>
      <c r="C1000" s="99" t="str">
        <f>перекрытие!B139</f>
        <v>м3</v>
      </c>
      <c r="D1000" s="275">
        <f>перекрытие!D139</f>
        <v>0</v>
      </c>
      <c r="E1000" s="100">
        <f>перекрытие!E139</f>
        <v>12500</v>
      </c>
      <c r="F1000" s="100"/>
      <c r="G1000" s="275">
        <f t="shared" si="171"/>
        <v>0</v>
      </c>
      <c r="H1000" s="100">
        <f t="shared" si="172"/>
        <v>0</v>
      </c>
      <c r="I1000" s="2911">
        <f t="shared" si="173"/>
        <v>0</v>
      </c>
      <c r="J1000" s="2863"/>
      <c r="K1000" s="223">
        <f t="shared" si="174"/>
        <v>0</v>
      </c>
      <c r="L1000" s="2854"/>
    </row>
    <row r="1001" spans="1:12">
      <c r="A1001" s="2837"/>
      <c r="B1001" s="98" t="str">
        <f>перекрытие!A140</f>
        <v xml:space="preserve">Гвозди ершоные 2,8 х 90            </v>
      </c>
      <c r="C1001" s="99" t="str">
        <f>перекрытие!B140</f>
        <v>кг</v>
      </c>
      <c r="D1001" s="275">
        <f>перекрытие!D140</f>
        <v>0</v>
      </c>
      <c r="E1001" s="100">
        <f>перекрытие!E140</f>
        <v>76.489999999999995</v>
      </c>
      <c r="F1001" s="100"/>
      <c r="G1001" s="275">
        <f t="shared" si="171"/>
        <v>0</v>
      </c>
      <c r="H1001" s="100">
        <f t="shared" si="172"/>
        <v>0</v>
      </c>
      <c r="I1001" s="2911">
        <f t="shared" ref="I1001:I1032" si="175">IF(G1001&gt;H1001,G1001,H1001)*$H$903</f>
        <v>0</v>
      </c>
      <c r="J1001" s="2863"/>
      <c r="K1001" s="223">
        <f t="shared" si="174"/>
        <v>0</v>
      </c>
      <c r="L1001" s="2854"/>
    </row>
    <row r="1002" spans="1:12">
      <c r="A1002" s="2837"/>
      <c r="B1002" s="98" t="str">
        <f>перекрытие!A141</f>
        <v>Двутавровая деревянная балка, 400*65мм</v>
      </c>
      <c r="C1002" s="99" t="str">
        <f>перекрытие!B141</f>
        <v>м.п.</v>
      </c>
      <c r="D1002" s="275">
        <f>перекрытие!D141</f>
        <v>0</v>
      </c>
      <c r="E1002" s="100">
        <f>перекрытие!E141</f>
        <v>303</v>
      </c>
      <c r="F1002" s="100"/>
      <c r="G1002" s="275">
        <f t="shared" si="171"/>
        <v>0</v>
      </c>
      <c r="H1002" s="100">
        <f t="shared" si="172"/>
        <v>0</v>
      </c>
      <c r="I1002" s="2911">
        <f t="shared" si="175"/>
        <v>0</v>
      </c>
      <c r="J1002" s="2863"/>
      <c r="K1002" s="223">
        <f t="shared" si="174"/>
        <v>0</v>
      </c>
      <c r="L1002" s="2854"/>
    </row>
    <row r="1003" spans="1:12">
      <c r="A1003" s="2837"/>
      <c r="B1003" s="98" t="str">
        <f>перекрытие!A142</f>
        <v>Двутавровая деревянная балка, 400*90мм</v>
      </c>
      <c r="C1003" s="99" t="str">
        <f>перекрытие!B142</f>
        <v>м.п.</v>
      </c>
      <c r="D1003" s="275">
        <f>перекрытие!D142</f>
        <v>0</v>
      </c>
      <c r="E1003" s="100">
        <f>перекрытие!E142</f>
        <v>355</v>
      </c>
      <c r="F1003" s="100"/>
      <c r="G1003" s="275">
        <f t="shared" si="171"/>
        <v>0</v>
      </c>
      <c r="H1003" s="100">
        <f t="shared" si="172"/>
        <v>0</v>
      </c>
      <c r="I1003" s="2911">
        <f t="shared" si="175"/>
        <v>0</v>
      </c>
      <c r="J1003" s="2863"/>
      <c r="K1003" s="223">
        <f t="shared" si="174"/>
        <v>0</v>
      </c>
      <c r="L1003" s="2854"/>
    </row>
    <row r="1004" spans="1:12">
      <c r="A1004" s="2837"/>
      <c r="B1004" s="98" t="str">
        <f>перекрытие!A143</f>
        <v>Двутавровая деревянная балка, 350*65мм</v>
      </c>
      <c r="C1004" s="99" t="str">
        <f>перекрытие!B143</f>
        <v>м.п.</v>
      </c>
      <c r="D1004" s="275">
        <f>перекрытие!D143</f>
        <v>0</v>
      </c>
      <c r="E1004" s="100">
        <f>перекрытие!E143</f>
        <v>287</v>
      </c>
      <c r="F1004" s="100"/>
      <c r="G1004" s="275">
        <f t="shared" si="171"/>
        <v>0</v>
      </c>
      <c r="H1004" s="100">
        <f t="shared" si="172"/>
        <v>0</v>
      </c>
      <c r="I1004" s="2911">
        <f t="shared" si="175"/>
        <v>0</v>
      </c>
      <c r="J1004" s="2863"/>
      <c r="K1004" s="223">
        <f t="shared" si="174"/>
        <v>0</v>
      </c>
      <c r="L1004" s="2854"/>
    </row>
    <row r="1005" spans="1:12">
      <c r="A1005" s="2837"/>
      <c r="B1005" s="98" t="str">
        <f>перекрытие!A144</f>
        <v>Двутавровая деревянная балка, 350*90мм</v>
      </c>
      <c r="C1005" s="99" t="str">
        <f>перекрытие!B144</f>
        <v>м.п.</v>
      </c>
      <c r="D1005" s="275">
        <f>перекрытие!D144</f>
        <v>0</v>
      </c>
      <c r="E1005" s="100">
        <f>перекрытие!E144</f>
        <v>315</v>
      </c>
      <c r="F1005" s="100"/>
      <c r="G1005" s="275">
        <f t="shared" si="171"/>
        <v>0</v>
      </c>
      <c r="H1005" s="100">
        <f t="shared" si="172"/>
        <v>0</v>
      </c>
      <c r="I1005" s="2911">
        <f t="shared" si="175"/>
        <v>0</v>
      </c>
      <c r="J1005" s="2863"/>
      <c r="K1005" s="223">
        <f t="shared" si="174"/>
        <v>0</v>
      </c>
      <c r="L1005" s="2854"/>
    </row>
    <row r="1006" spans="1:12">
      <c r="A1006" s="2837"/>
      <c r="B1006" s="98" t="str">
        <f>перекрытие!A145</f>
        <v>Двутавровая деревянная балка, 300*65мм</v>
      </c>
      <c r="C1006" s="99" t="str">
        <f>перекрытие!B145</f>
        <v>м.п.</v>
      </c>
      <c r="D1006" s="275">
        <f>перекрытие!D145</f>
        <v>0</v>
      </c>
      <c r="E1006" s="100">
        <f>перекрытие!E145</f>
        <v>273</v>
      </c>
      <c r="F1006" s="100"/>
      <c r="G1006" s="275">
        <f t="shared" si="171"/>
        <v>0</v>
      </c>
      <c r="H1006" s="100">
        <f t="shared" si="172"/>
        <v>0</v>
      </c>
      <c r="I1006" s="2911">
        <f t="shared" si="175"/>
        <v>0</v>
      </c>
      <c r="J1006" s="2863"/>
      <c r="K1006" s="223">
        <f t="shared" si="174"/>
        <v>0</v>
      </c>
      <c r="L1006" s="2854"/>
    </row>
    <row r="1007" spans="1:12">
      <c r="A1007" s="2837"/>
      <c r="B1007" s="98" t="str">
        <f>перекрытие!A146</f>
        <v>Двутавровая деревянная балка, 300*90мм</v>
      </c>
      <c r="C1007" s="99" t="str">
        <f>перекрытие!B146</f>
        <v>м.п.</v>
      </c>
      <c r="D1007" s="275">
        <f>перекрытие!D146</f>
        <v>0</v>
      </c>
      <c r="E1007" s="100">
        <f>перекрытие!E146</f>
        <v>315</v>
      </c>
      <c r="F1007" s="100"/>
      <c r="G1007" s="275">
        <f t="shared" si="171"/>
        <v>0</v>
      </c>
      <c r="H1007" s="100">
        <f t="shared" si="172"/>
        <v>0</v>
      </c>
      <c r="I1007" s="2911">
        <f t="shared" si="175"/>
        <v>0</v>
      </c>
      <c r="J1007" s="2863"/>
      <c r="K1007" s="223">
        <f t="shared" si="174"/>
        <v>0</v>
      </c>
      <c r="L1007" s="2854"/>
    </row>
    <row r="1008" spans="1:12">
      <c r="A1008" s="2837"/>
      <c r="B1008" s="98" t="str">
        <f>перекрытие!A147</f>
        <v>Двутавровая деревянная балка, 240*65мм</v>
      </c>
      <c r="C1008" s="99" t="str">
        <f>перекрытие!B147</f>
        <v>м.п.</v>
      </c>
      <c r="D1008" s="275">
        <f>перекрытие!D147</f>
        <v>0</v>
      </c>
      <c r="E1008" s="100">
        <f>перекрытие!E147</f>
        <v>263</v>
      </c>
      <c r="F1008" s="100"/>
      <c r="G1008" s="275">
        <f t="shared" si="171"/>
        <v>0</v>
      </c>
      <c r="H1008" s="100">
        <f t="shared" si="172"/>
        <v>0</v>
      </c>
      <c r="I1008" s="2911">
        <f t="shared" si="175"/>
        <v>0</v>
      </c>
      <c r="J1008" s="2863"/>
      <c r="K1008" s="223">
        <f t="shared" si="174"/>
        <v>0</v>
      </c>
      <c r="L1008" s="2854"/>
    </row>
    <row r="1009" spans="1:12">
      <c r="A1009" s="2837"/>
      <c r="B1009" s="98" t="str">
        <f>перекрытие!A148</f>
        <v>Двутавровая деревянная балка, 240*90мм</v>
      </c>
      <c r="C1009" s="99" t="str">
        <f>перекрытие!B148</f>
        <v>м.п.</v>
      </c>
      <c r="D1009" s="275">
        <f>перекрытие!D148</f>
        <v>0</v>
      </c>
      <c r="E1009" s="100">
        <f>перекрытие!E148</f>
        <v>291</v>
      </c>
      <c r="F1009" s="100"/>
      <c r="G1009" s="275">
        <f t="shared" si="171"/>
        <v>0</v>
      </c>
      <c r="H1009" s="100">
        <f t="shared" si="172"/>
        <v>0</v>
      </c>
      <c r="I1009" s="2911">
        <f t="shared" si="175"/>
        <v>0</v>
      </c>
      <c r="J1009" s="2863"/>
      <c r="K1009" s="223">
        <f t="shared" si="174"/>
        <v>0</v>
      </c>
      <c r="L1009" s="2854"/>
    </row>
    <row r="1010" spans="1:12">
      <c r="A1010" s="2837"/>
      <c r="B1010" s="98" t="str">
        <f>перекрытие!A149</f>
        <v>Двутавровая деревянная балка, 200*65мм</v>
      </c>
      <c r="C1010" s="99" t="str">
        <f>перекрытие!B149</f>
        <v>м.п.</v>
      </c>
      <c r="D1010" s="275">
        <f>перекрытие!D149</f>
        <v>0</v>
      </c>
      <c r="E1010" s="100">
        <f>перекрытие!E149</f>
        <v>250</v>
      </c>
      <c r="F1010" s="100"/>
      <c r="G1010" s="275">
        <f t="shared" si="171"/>
        <v>0</v>
      </c>
      <c r="H1010" s="100">
        <f t="shared" si="172"/>
        <v>0</v>
      </c>
      <c r="I1010" s="2911">
        <f t="shared" si="175"/>
        <v>0</v>
      </c>
      <c r="J1010" s="2863"/>
      <c r="K1010" s="223">
        <f t="shared" si="174"/>
        <v>0</v>
      </c>
      <c r="L1010" s="2854"/>
    </row>
    <row r="1011" spans="1:12">
      <c r="A1011" s="2837"/>
      <c r="B1011" s="98" t="str">
        <f>перекрытие!A150</f>
        <v>Двутавровая деревянная балка, 200*90мм</v>
      </c>
      <c r="C1011" s="99" t="str">
        <f>перекрытие!B150</f>
        <v>м.п.</v>
      </c>
      <c r="D1011" s="275">
        <f>перекрытие!D150</f>
        <v>0</v>
      </c>
      <c r="E1011" s="100">
        <f>перекрытие!E150</f>
        <v>280</v>
      </c>
      <c r="F1011" s="100"/>
      <c r="G1011" s="275">
        <f t="shared" si="171"/>
        <v>0</v>
      </c>
      <c r="H1011" s="100">
        <f t="shared" si="172"/>
        <v>0</v>
      </c>
      <c r="I1011" s="2911">
        <f t="shared" si="175"/>
        <v>0</v>
      </c>
      <c r="J1011" s="2863"/>
      <c r="K1011" s="223">
        <f t="shared" si="174"/>
        <v>0</v>
      </c>
      <c r="L1011" s="2854"/>
    </row>
    <row r="1012" spans="1:12">
      <c r="A1012" s="2837"/>
      <c r="B1012" s="98" t="str">
        <f>перекрытие!A151</f>
        <v>Двутавровая деревянная балка, 150*65мм</v>
      </c>
      <c r="C1012" s="99" t="str">
        <f>перекрытие!B151</f>
        <v>м.п.</v>
      </c>
      <c r="D1012" s="275">
        <f>перекрытие!D151</f>
        <v>0</v>
      </c>
      <c r="E1012" s="100">
        <f>перекрытие!E151</f>
        <v>220</v>
      </c>
      <c r="F1012" s="100"/>
      <c r="G1012" s="275">
        <f t="shared" si="171"/>
        <v>0</v>
      </c>
      <c r="H1012" s="100">
        <f t="shared" si="172"/>
        <v>0</v>
      </c>
      <c r="I1012" s="2911">
        <f t="shared" si="175"/>
        <v>0</v>
      </c>
      <c r="J1012" s="2863"/>
      <c r="K1012" s="223">
        <f t="shared" si="174"/>
        <v>0</v>
      </c>
      <c r="L1012" s="2854"/>
    </row>
    <row r="1013" spans="1:12">
      <c r="A1013" s="2837"/>
      <c r="B1013" s="98" t="str">
        <f>перекрытие!A152</f>
        <v>Двутавровая деревянная балка, 150*90мм</v>
      </c>
      <c r="C1013" s="99" t="str">
        <f>перекрытие!B152</f>
        <v>м.п.</v>
      </c>
      <c r="D1013" s="275">
        <f>перекрытие!D152</f>
        <v>0</v>
      </c>
      <c r="E1013" s="100">
        <f>перекрытие!E152</f>
        <v>250</v>
      </c>
      <c r="F1013" s="100"/>
      <c r="G1013" s="275">
        <f t="shared" si="171"/>
        <v>0</v>
      </c>
      <c r="H1013" s="100">
        <f t="shared" si="172"/>
        <v>0</v>
      </c>
      <c r="I1013" s="2911">
        <f t="shared" si="175"/>
        <v>0</v>
      </c>
      <c r="J1013" s="2863"/>
      <c r="K1013" s="223">
        <f t="shared" si="174"/>
        <v>0</v>
      </c>
      <c r="L1013" s="2854"/>
    </row>
    <row r="1014" spans="1:12">
      <c r="A1014" s="2837"/>
      <c r="B1014" s="98" t="str">
        <f>перекрытие!A153</f>
        <v xml:space="preserve">Уголок усиленный 90х70х55х2,5        </v>
      </c>
      <c r="C1014" s="99" t="str">
        <f>перекрытие!B153</f>
        <v>шт</v>
      </c>
      <c r="D1014" s="275">
        <f>перекрытие!D153</f>
        <v>0</v>
      </c>
      <c r="E1014" s="100">
        <f>перекрытие!E153</f>
        <v>30</v>
      </c>
      <c r="F1014" s="100"/>
      <c r="G1014" s="275">
        <f t="shared" si="171"/>
        <v>0</v>
      </c>
      <c r="H1014" s="100">
        <f t="shared" si="172"/>
        <v>0</v>
      </c>
      <c r="I1014" s="2911">
        <f t="shared" si="175"/>
        <v>0</v>
      </c>
      <c r="J1014" s="2863"/>
      <c r="K1014" s="223">
        <f t="shared" si="174"/>
        <v>0</v>
      </c>
      <c r="L1014" s="2854"/>
    </row>
    <row r="1015" spans="1:12">
      <c r="A1015" s="2837"/>
      <c r="B1015" s="98" t="str">
        <f>перекрытие!A154</f>
        <v xml:space="preserve">Саморезы 3,5 x 55            </v>
      </c>
      <c r="C1015" s="99" t="str">
        <f>перекрытие!B154</f>
        <v>шт</v>
      </c>
      <c r="D1015" s="275">
        <f>перекрытие!D154</f>
        <v>0</v>
      </c>
      <c r="E1015" s="100">
        <f>перекрытие!E154</f>
        <v>0.3</v>
      </c>
      <c r="F1015" s="100"/>
      <c r="G1015" s="275">
        <f t="shared" si="171"/>
        <v>0</v>
      </c>
      <c r="H1015" s="100">
        <f t="shared" si="172"/>
        <v>0</v>
      </c>
      <c r="I1015" s="2911">
        <f t="shared" si="175"/>
        <v>0</v>
      </c>
      <c r="J1015" s="2863"/>
      <c r="K1015" s="223">
        <f t="shared" si="174"/>
        <v>0</v>
      </c>
      <c r="L1015" s="2854"/>
    </row>
    <row r="1016" spans="1:12">
      <c r="A1016" s="2837"/>
      <c r="B1016" s="98" t="str">
        <f>перекрытие!A155</f>
        <v>Пенопласт ПСБ-С-35, 100мм</v>
      </c>
      <c r="C1016" s="99" t="str">
        <f>перекрытие!B155</f>
        <v>м3</v>
      </c>
      <c r="D1016" s="275">
        <f>перекрытие!D155</f>
        <v>10</v>
      </c>
      <c r="E1016" s="100">
        <f>перекрытие!E155</f>
        <v>3400</v>
      </c>
      <c r="F1016" s="100"/>
      <c r="G1016" s="275">
        <f t="shared" si="171"/>
        <v>34000</v>
      </c>
      <c r="H1016" s="100">
        <f t="shared" si="172"/>
        <v>0</v>
      </c>
      <c r="I1016" s="2911">
        <f t="shared" si="175"/>
        <v>0</v>
      </c>
      <c r="J1016" s="2863"/>
      <c r="K1016" s="223">
        <f t="shared" si="174"/>
        <v>10</v>
      </c>
      <c r="L1016" s="2854"/>
    </row>
    <row r="1017" spans="1:12">
      <c r="A1017" s="2837"/>
      <c r="B1017" s="98" t="str">
        <f>перекрытие!A156</f>
        <v>нет ветроизоляции</v>
      </c>
      <c r="C1017" s="99" t="str">
        <f>перекрытие!B156</f>
        <v>м2</v>
      </c>
      <c r="D1017" s="275">
        <f>перекрытие!D156</f>
        <v>100</v>
      </c>
      <c r="E1017" s="100">
        <f>перекрытие!E156</f>
        <v>0</v>
      </c>
      <c r="F1017" s="100"/>
      <c r="G1017" s="275">
        <f t="shared" si="171"/>
        <v>0</v>
      </c>
      <c r="H1017" s="100">
        <f t="shared" si="172"/>
        <v>0</v>
      </c>
      <c r="I1017" s="2911">
        <f t="shared" si="175"/>
        <v>0</v>
      </c>
      <c r="J1017" s="2863"/>
      <c r="K1017" s="223">
        <f t="shared" si="174"/>
        <v>100</v>
      </c>
      <c r="L1017" s="2854"/>
    </row>
    <row r="1018" spans="1:12">
      <c r="A1018" s="2837"/>
      <c r="B1018" s="98" t="str">
        <f>перекрытие!A157</f>
        <v>нет пароизоляции</v>
      </c>
      <c r="C1018" s="99" t="str">
        <f>перекрытие!B157</f>
        <v>м2</v>
      </c>
      <c r="D1018" s="275">
        <f>перекрытие!D157</f>
        <v>100</v>
      </c>
      <c r="E1018" s="100">
        <f>перекрытие!E157</f>
        <v>0</v>
      </c>
      <c r="F1018" s="100"/>
      <c r="G1018" s="275">
        <f t="shared" si="171"/>
        <v>0</v>
      </c>
      <c r="H1018" s="100">
        <f t="shared" si="172"/>
        <v>0</v>
      </c>
      <c r="I1018" s="2911">
        <f t="shared" si="175"/>
        <v>0</v>
      </c>
      <c r="J1018" s="2863"/>
      <c r="K1018" s="223">
        <f t="shared" si="174"/>
        <v>100</v>
      </c>
      <c r="L1018" s="2854"/>
    </row>
    <row r="1019" spans="1:12">
      <c r="A1019" s="2837"/>
      <c r="B1019" s="98" t="str">
        <f>перекрытие!A160</f>
        <v>Плита перекрытия  ЖБИ</v>
      </c>
      <c r="C1019" s="99" t="str">
        <f>перекрытие!B160</f>
        <v>м2</v>
      </c>
      <c r="D1019" s="275">
        <f>перекрытие!D160</f>
        <v>0</v>
      </c>
      <c r="E1019" s="100">
        <f>перекрытие!E160</f>
        <v>1400</v>
      </c>
      <c r="F1019" s="100"/>
      <c r="G1019" s="275">
        <f t="shared" si="171"/>
        <v>0</v>
      </c>
      <c r="H1019" s="100">
        <f t="shared" si="172"/>
        <v>0</v>
      </c>
      <c r="I1019" s="2911">
        <f t="shared" si="175"/>
        <v>0</v>
      </c>
      <c r="J1019" s="2863"/>
      <c r="K1019" s="223">
        <f t="shared" si="174"/>
        <v>0</v>
      </c>
      <c r="L1019" s="2854"/>
    </row>
    <row r="1020" spans="1:12">
      <c r="A1020" s="2837"/>
      <c r="B1020" s="98" t="str">
        <f>перекрытие!A161</f>
        <v>Раствор, м250</v>
      </c>
      <c r="C1020" s="99" t="str">
        <f>перекрытие!B161</f>
        <v>м3</v>
      </c>
      <c r="D1020" s="275">
        <f>перекрытие!D161</f>
        <v>0</v>
      </c>
      <c r="E1020" s="100">
        <f>перекрытие!E161</f>
        <v>2500</v>
      </c>
      <c r="F1020" s="100"/>
      <c r="G1020" s="275">
        <f t="shared" si="171"/>
        <v>0</v>
      </c>
      <c r="H1020" s="100">
        <f t="shared" si="172"/>
        <v>0</v>
      </c>
      <c r="I1020" s="2911">
        <f t="shared" si="175"/>
        <v>0</v>
      </c>
      <c r="J1020" s="2863"/>
      <c r="K1020" s="223">
        <f t="shared" si="174"/>
        <v>0</v>
      </c>
      <c r="L1020" s="2854"/>
    </row>
    <row r="1021" spans="1:12">
      <c r="A1021" s="2837"/>
      <c r="B1021" s="98" t="str">
        <f>перекрытие!A162</f>
        <v>Монолит, бетон, 300мм, 2 слоя</v>
      </c>
      <c r="C1021" s="99" t="str">
        <f>перекрытие!B162</f>
        <v>м2</v>
      </c>
      <c r="D1021" s="275">
        <f>перекрытие!D162</f>
        <v>0</v>
      </c>
      <c r="E1021" s="100">
        <f>перекрытие!E162</f>
        <v>1</v>
      </c>
      <c r="F1021" s="100"/>
      <c r="G1021" s="275">
        <f t="shared" si="171"/>
        <v>0</v>
      </c>
      <c r="H1021" s="100">
        <f t="shared" si="172"/>
        <v>0</v>
      </c>
      <c r="I1021" s="2911">
        <f t="shared" si="175"/>
        <v>0</v>
      </c>
      <c r="J1021" s="2863"/>
      <c r="K1021" s="223">
        <f t="shared" si="174"/>
        <v>0</v>
      </c>
      <c r="L1021" s="2854"/>
    </row>
    <row r="1022" spans="1:12">
      <c r="A1022" s="2837"/>
      <c r="B1022" s="98" t="str">
        <f>перекрытие!A163</f>
        <v>Монолит, бетон, 300мм, 1 слой</v>
      </c>
      <c r="C1022" s="99" t="str">
        <f>перекрытие!B163</f>
        <v>м2</v>
      </c>
      <c r="D1022" s="275">
        <f>перекрытие!D163</f>
        <v>0</v>
      </c>
      <c r="E1022" s="100">
        <f>перекрытие!E163</f>
        <v>1</v>
      </c>
      <c r="F1022" s="100"/>
      <c r="G1022" s="275">
        <f t="shared" si="171"/>
        <v>0</v>
      </c>
      <c r="H1022" s="100">
        <f t="shared" si="172"/>
        <v>0</v>
      </c>
      <c r="I1022" s="2911">
        <f t="shared" si="175"/>
        <v>0</v>
      </c>
      <c r="J1022" s="2863"/>
      <c r="K1022" s="223">
        <f t="shared" si="174"/>
        <v>0</v>
      </c>
      <c r="L1022" s="2854"/>
    </row>
    <row r="1023" spans="1:12">
      <c r="A1023" s="2837"/>
      <c r="B1023" s="98" t="str">
        <f>перекрытие!A164</f>
        <v>Монолит, бетон, 250мм, 2 слоя</v>
      </c>
      <c r="C1023" s="99" t="str">
        <f>перекрытие!B164</f>
        <v>м2</v>
      </c>
      <c r="D1023" s="275">
        <f>перекрытие!D164</f>
        <v>0</v>
      </c>
      <c r="E1023" s="100">
        <f>перекрытие!E164</f>
        <v>1</v>
      </c>
      <c r="F1023" s="100"/>
      <c r="G1023" s="275">
        <f t="shared" si="171"/>
        <v>0</v>
      </c>
      <c r="H1023" s="100">
        <f t="shared" si="172"/>
        <v>0</v>
      </c>
      <c r="I1023" s="2911">
        <f t="shared" si="175"/>
        <v>0</v>
      </c>
      <c r="J1023" s="2863"/>
      <c r="K1023" s="223">
        <f t="shared" si="174"/>
        <v>0</v>
      </c>
      <c r="L1023" s="2854"/>
    </row>
    <row r="1024" spans="1:12">
      <c r="A1024" s="2837"/>
      <c r="B1024" s="98" t="str">
        <f>перекрытие!A165</f>
        <v>Монолит, бетон, 250мм, 1 слой</v>
      </c>
      <c r="C1024" s="99" t="str">
        <f>перекрытие!B165</f>
        <v>м2</v>
      </c>
      <c r="D1024" s="275">
        <f>перекрытие!D165</f>
        <v>0</v>
      </c>
      <c r="E1024" s="100">
        <f>перекрытие!E165</f>
        <v>1</v>
      </c>
      <c r="F1024" s="100"/>
      <c r="G1024" s="275">
        <f t="shared" si="171"/>
        <v>0</v>
      </c>
      <c r="H1024" s="100">
        <f t="shared" si="172"/>
        <v>0</v>
      </c>
      <c r="I1024" s="2911">
        <f t="shared" si="175"/>
        <v>0</v>
      </c>
      <c r="J1024" s="2863"/>
      <c r="K1024" s="223">
        <f t="shared" si="174"/>
        <v>0</v>
      </c>
      <c r="L1024" s="2854"/>
    </row>
    <row r="1025" spans="1:12">
      <c r="A1025" s="2837"/>
      <c r="B1025" s="98" t="str">
        <f>перекрытие!A166</f>
        <v>Монолит, бетон, 200мм, 2 слоя</v>
      </c>
      <c r="C1025" s="99" t="str">
        <f>перекрытие!B166</f>
        <v>м2</v>
      </c>
      <c r="D1025" s="275">
        <f>перекрытие!D166</f>
        <v>0</v>
      </c>
      <c r="E1025" s="100">
        <f>перекрытие!E166</f>
        <v>1</v>
      </c>
      <c r="F1025" s="100"/>
      <c r="G1025" s="275">
        <f t="shared" si="171"/>
        <v>0</v>
      </c>
      <c r="H1025" s="100">
        <f t="shared" si="172"/>
        <v>0</v>
      </c>
      <c r="I1025" s="2911">
        <f t="shared" si="175"/>
        <v>0</v>
      </c>
      <c r="J1025" s="2863"/>
      <c r="K1025" s="223">
        <f t="shared" si="174"/>
        <v>0</v>
      </c>
      <c r="L1025" s="2854"/>
    </row>
    <row r="1026" spans="1:12">
      <c r="A1026" s="2837"/>
      <c r="B1026" s="98" t="str">
        <f>перекрытие!A167</f>
        <v>Монолит, бетон, 200мм, 1 слой</v>
      </c>
      <c r="C1026" s="99" t="str">
        <f>перекрытие!B167</f>
        <v>м2</v>
      </c>
      <c r="D1026" s="275">
        <f>перекрытие!D167</f>
        <v>0</v>
      </c>
      <c r="E1026" s="100">
        <f>перекрытие!E167</f>
        <v>1</v>
      </c>
      <c r="F1026" s="100"/>
      <c r="G1026" s="275">
        <f t="shared" si="171"/>
        <v>0</v>
      </c>
      <c r="H1026" s="100">
        <f t="shared" si="172"/>
        <v>0</v>
      </c>
      <c r="I1026" s="2911">
        <f t="shared" si="175"/>
        <v>0</v>
      </c>
      <c r="J1026" s="2863"/>
      <c r="K1026" s="223">
        <f t="shared" si="174"/>
        <v>0</v>
      </c>
      <c r="L1026" s="2854"/>
    </row>
    <row r="1027" spans="1:12">
      <c r="A1027" s="2837"/>
      <c r="B1027" s="98" t="str">
        <f>перекрытие!A168</f>
        <v>Монолит, бетон, 150мм, 2 слоя</v>
      </c>
      <c r="C1027" s="99" t="str">
        <f>перекрытие!B168</f>
        <v>м2</v>
      </c>
      <c r="D1027" s="275">
        <f>перекрытие!D168</f>
        <v>0</v>
      </c>
      <c r="E1027" s="100">
        <f>перекрытие!E168</f>
        <v>1</v>
      </c>
      <c r="F1027" s="100"/>
      <c r="G1027" s="275">
        <f t="shared" si="171"/>
        <v>0</v>
      </c>
      <c r="H1027" s="100">
        <f t="shared" si="172"/>
        <v>0</v>
      </c>
      <c r="I1027" s="2911">
        <f t="shared" si="175"/>
        <v>0</v>
      </c>
      <c r="J1027" s="2863"/>
      <c r="K1027" s="223">
        <f t="shared" si="174"/>
        <v>0</v>
      </c>
      <c r="L1027" s="2854"/>
    </row>
    <row r="1028" spans="1:12">
      <c r="A1028" s="2837"/>
      <c r="B1028" s="98" t="str">
        <f>перекрытие!A169</f>
        <v>Монолит, бетон, 150мм, 1 слой</v>
      </c>
      <c r="C1028" s="99" t="str">
        <f>перекрытие!B169</f>
        <v>м2</v>
      </c>
      <c r="D1028" s="275">
        <f>перекрытие!D169</f>
        <v>0</v>
      </c>
      <c r="E1028" s="100">
        <f>перекрытие!E169</f>
        <v>1</v>
      </c>
      <c r="F1028" s="100"/>
      <c r="G1028" s="275">
        <f t="shared" si="171"/>
        <v>0</v>
      </c>
      <c r="H1028" s="100">
        <f t="shared" si="172"/>
        <v>0</v>
      </c>
      <c r="I1028" s="2911">
        <f t="shared" si="175"/>
        <v>0</v>
      </c>
      <c r="J1028" s="2863"/>
      <c r="K1028" s="223">
        <f t="shared" si="174"/>
        <v>0</v>
      </c>
      <c r="L1028" s="2854"/>
    </row>
    <row r="1029" spans="1:12">
      <c r="A1029" s="2837"/>
      <c r="B1029" s="98" t="str">
        <f>перекрытие!A170</f>
        <v>доска для опалубки монолит перекрытий</v>
      </c>
      <c r="C1029" s="99" t="str">
        <f>перекрытие!B170</f>
        <v>м3</v>
      </c>
      <c r="D1029" s="275">
        <f>перекрытие!D170</f>
        <v>0</v>
      </c>
      <c r="E1029" s="100">
        <f>перекрытие!E170</f>
        <v>6500</v>
      </c>
      <c r="F1029" s="100"/>
      <c r="G1029" s="275">
        <f t="shared" si="171"/>
        <v>0</v>
      </c>
      <c r="H1029" s="100">
        <f t="shared" si="172"/>
        <v>0</v>
      </c>
      <c r="I1029" s="2911">
        <f t="shared" si="175"/>
        <v>0</v>
      </c>
      <c r="J1029" s="2863"/>
      <c r="K1029" s="223">
        <f t="shared" si="174"/>
        <v>0</v>
      </c>
      <c r="L1029" s="2854"/>
    </row>
    <row r="1030" spans="1:12">
      <c r="A1030" s="2837"/>
      <c r="B1030" s="98" t="str">
        <f>перекрытие!A171</f>
        <v>стойки под опалубку перекрытий</v>
      </c>
      <c r="C1030" s="99" t="str">
        <f>перекрытие!B171</f>
        <v>шт</v>
      </c>
      <c r="D1030" s="275">
        <f>перекрытие!D171</f>
        <v>0</v>
      </c>
      <c r="E1030" s="100">
        <f>перекрытие!E171</f>
        <v>0</v>
      </c>
      <c r="F1030" s="100"/>
      <c r="G1030" s="275">
        <f t="shared" si="171"/>
        <v>0</v>
      </c>
      <c r="H1030" s="100">
        <f t="shared" si="172"/>
        <v>0</v>
      </c>
      <c r="I1030" s="2911">
        <f t="shared" si="175"/>
        <v>0</v>
      </c>
      <c r="J1030" s="2863"/>
      <c r="K1030" s="223">
        <f t="shared" si="174"/>
        <v>0</v>
      </c>
      <c r="L1030" s="2854"/>
    </row>
    <row r="1031" spans="1:12">
      <c r="A1031" s="2837"/>
      <c r="B1031" s="98" t="str">
        <f>перекрытие!A172</f>
        <v xml:space="preserve">Пленка гидроизоляционная </v>
      </c>
      <c r="C1031" s="99" t="str">
        <f>перекрытие!B172</f>
        <v>м2</v>
      </c>
      <c r="D1031" s="275">
        <f>перекрытие!D172</f>
        <v>0</v>
      </c>
      <c r="E1031" s="100">
        <f>перекрытие!E172</f>
        <v>15</v>
      </c>
      <c r="F1031" s="100"/>
      <c r="G1031" s="275">
        <f t="shared" si="171"/>
        <v>0</v>
      </c>
      <c r="H1031" s="100">
        <f t="shared" si="172"/>
        <v>0</v>
      </c>
      <c r="I1031" s="2911">
        <f t="shared" si="175"/>
        <v>0</v>
      </c>
      <c r="J1031" s="2863"/>
      <c r="K1031" s="223">
        <f t="shared" si="174"/>
        <v>0</v>
      </c>
      <c r="L1031" s="2854"/>
    </row>
    <row r="1032" spans="1:12">
      <c r="A1032" s="2837"/>
      <c r="B1032" s="98" t="str">
        <f>перекрытие!A173</f>
        <v>Арматура М12</v>
      </c>
      <c r="C1032" s="99" t="str">
        <f>перекрытие!B173</f>
        <v>м.п.</v>
      </c>
      <c r="D1032" s="275">
        <f>перекрытие!D173</f>
        <v>0</v>
      </c>
      <c r="E1032" s="100">
        <f>перекрытие!E173</f>
        <v>29.215199999999999</v>
      </c>
      <c r="F1032" s="100"/>
      <c r="G1032" s="275">
        <f t="shared" si="171"/>
        <v>0</v>
      </c>
      <c r="H1032" s="100">
        <f t="shared" si="172"/>
        <v>0</v>
      </c>
      <c r="I1032" s="2911">
        <f t="shared" si="175"/>
        <v>0</v>
      </c>
      <c r="J1032" s="2863"/>
      <c r="K1032" s="223">
        <f t="shared" si="174"/>
        <v>0</v>
      </c>
      <c r="L1032" s="2854"/>
    </row>
    <row r="1033" spans="1:12">
      <c r="A1033" s="2837"/>
      <c r="B1033" s="98" t="str">
        <f>перекрытие!A174</f>
        <v>Вязальная проволока</v>
      </c>
      <c r="C1033" s="99" t="str">
        <f>перекрытие!B174</f>
        <v>кг</v>
      </c>
      <c r="D1033" s="275">
        <f>перекрытие!D174</f>
        <v>0</v>
      </c>
      <c r="E1033" s="100">
        <f>перекрытие!E174</f>
        <v>80</v>
      </c>
      <c r="F1033" s="100"/>
      <c r="G1033" s="275">
        <f t="shared" ref="G1033:G1096" si="176">IF(F1033&gt;0,D1033*F1033,E1033*D1033)</f>
        <v>0</v>
      </c>
      <c r="H1033" s="100">
        <f t="shared" ref="H1033:H1096" si="177">E1033*D1033*$H$903</f>
        <v>0</v>
      </c>
      <c r="I1033" s="2911">
        <f t="shared" ref="I1033:I1064" si="178">IF(G1033&gt;H1033,G1033,H1033)*$H$903</f>
        <v>0</v>
      </c>
      <c r="J1033" s="2863"/>
      <c r="K1033" s="223">
        <f t="shared" ref="K1033:K1096" si="179">D1033-J1033</f>
        <v>0</v>
      </c>
      <c r="L1033" s="2854"/>
    </row>
    <row r="1034" spans="1:12">
      <c r="A1034" s="2837"/>
      <c r="B1034" s="98" t="str">
        <f>перекрытие!A175</f>
        <v>Подставка под арматурный каркас</v>
      </c>
      <c r="C1034" s="99" t="str">
        <f>перекрытие!B175</f>
        <v>шт</v>
      </c>
      <c r="D1034" s="275">
        <f>перекрытие!D175</f>
        <v>0</v>
      </c>
      <c r="E1034" s="100">
        <f>перекрытие!E175</f>
        <v>5</v>
      </c>
      <c r="F1034" s="100"/>
      <c r="G1034" s="275">
        <f t="shared" si="176"/>
        <v>0</v>
      </c>
      <c r="H1034" s="100">
        <f t="shared" si="177"/>
        <v>0</v>
      </c>
      <c r="I1034" s="2911">
        <f t="shared" si="178"/>
        <v>0</v>
      </c>
      <c r="J1034" s="2863"/>
      <c r="K1034" s="223">
        <f t="shared" si="179"/>
        <v>0</v>
      </c>
      <c r="L1034" s="2854"/>
    </row>
    <row r="1035" spans="1:12">
      <c r="A1035" s="2837"/>
      <c r="B1035" s="98" t="str">
        <f>перекрытие!A176</f>
        <v>бетон, м350</v>
      </c>
      <c r="C1035" s="99" t="str">
        <f>перекрытие!B176</f>
        <v>м3</v>
      </c>
      <c r="D1035" s="275">
        <f>перекрытие!D176</f>
        <v>0</v>
      </c>
      <c r="E1035" s="100">
        <f>перекрытие!E176</f>
        <v>3500</v>
      </c>
      <c r="F1035" s="100"/>
      <c r="G1035" s="275">
        <f t="shared" si="176"/>
        <v>0</v>
      </c>
      <c r="H1035" s="100">
        <f t="shared" si="177"/>
        <v>0</v>
      </c>
      <c r="I1035" s="2911">
        <f t="shared" si="178"/>
        <v>0</v>
      </c>
      <c r="J1035" s="2863"/>
      <c r="K1035" s="223">
        <f t="shared" si="179"/>
        <v>0</v>
      </c>
      <c r="L1035" s="2854"/>
    </row>
    <row r="1036" spans="1:12">
      <c r="A1036" s="2837"/>
      <c r="B1036" s="98" t="str">
        <f>перекрытие!A177</f>
        <v>Брус естественной влажности, 200*100мм</v>
      </c>
      <c r="C1036" s="99" t="str">
        <f>перекрытие!B177</f>
        <v>м3</v>
      </c>
      <c r="D1036" s="275">
        <f>перекрытие!D177</f>
        <v>0</v>
      </c>
      <c r="E1036" s="100">
        <f>перекрытие!E177</f>
        <v>6500</v>
      </c>
      <c r="F1036" s="100"/>
      <c r="G1036" s="275">
        <f t="shared" si="176"/>
        <v>0</v>
      </c>
      <c r="H1036" s="100">
        <f t="shared" si="177"/>
        <v>0</v>
      </c>
      <c r="I1036" s="2911">
        <f t="shared" si="178"/>
        <v>0</v>
      </c>
      <c r="J1036" s="2863"/>
      <c r="K1036" s="223">
        <f t="shared" si="179"/>
        <v>0</v>
      </c>
      <c r="L1036" s="2854"/>
    </row>
    <row r="1037" spans="1:12">
      <c r="A1037" s="2837"/>
      <c r="B1037" s="98" t="str">
        <f>перекрытие!A178</f>
        <v>Брус естественной влажности, 150*100мм</v>
      </c>
      <c r="C1037" s="99" t="str">
        <f>перекрытие!B178</f>
        <v>м3</v>
      </c>
      <c r="D1037" s="275">
        <f>перекрытие!D178</f>
        <v>0</v>
      </c>
      <c r="E1037" s="100">
        <f>перекрытие!E178</f>
        <v>6500</v>
      </c>
      <c r="F1037" s="100"/>
      <c r="G1037" s="275">
        <f t="shared" si="176"/>
        <v>0</v>
      </c>
      <c r="H1037" s="100">
        <f t="shared" si="177"/>
        <v>0</v>
      </c>
      <c r="I1037" s="2911">
        <f t="shared" si="178"/>
        <v>0</v>
      </c>
      <c r="J1037" s="2863"/>
      <c r="K1037" s="223">
        <f t="shared" si="179"/>
        <v>0</v>
      </c>
      <c r="L1037" s="2854"/>
    </row>
    <row r="1038" spans="1:12">
      <c r="A1038" s="2837"/>
      <c r="B1038" s="98" t="str">
        <f>перекрытие!A179</f>
        <v>Брус естественной влажности, 100*100мм</v>
      </c>
      <c r="C1038" s="99" t="str">
        <f>перекрытие!B179</f>
        <v>м3</v>
      </c>
      <c r="D1038" s="275">
        <f>перекрытие!D179</f>
        <v>0</v>
      </c>
      <c r="E1038" s="100">
        <f>перекрытие!E179</f>
        <v>6500</v>
      </c>
      <c r="F1038" s="100"/>
      <c r="G1038" s="275">
        <f t="shared" si="176"/>
        <v>0</v>
      </c>
      <c r="H1038" s="100">
        <f t="shared" si="177"/>
        <v>0</v>
      </c>
      <c r="I1038" s="2911">
        <f t="shared" si="178"/>
        <v>0</v>
      </c>
      <c r="J1038" s="2863"/>
      <c r="K1038" s="223">
        <f t="shared" si="179"/>
        <v>0</v>
      </c>
      <c r="L1038" s="2854"/>
    </row>
    <row r="1039" spans="1:12">
      <c r="A1039" s="2837"/>
      <c r="B1039" s="98" t="str">
        <f>перекрытие!A180</f>
        <v>Брус естественной влажности, 150*150мм</v>
      </c>
      <c r="C1039" s="99" t="str">
        <f>перекрытие!B180</f>
        <v>м3</v>
      </c>
      <c r="D1039" s="275">
        <f>перекрытие!D180</f>
        <v>0</v>
      </c>
      <c r="E1039" s="100">
        <f>перекрытие!E180</f>
        <v>6500</v>
      </c>
      <c r="F1039" s="100"/>
      <c r="G1039" s="275">
        <f t="shared" si="176"/>
        <v>0</v>
      </c>
      <c r="H1039" s="100">
        <f t="shared" si="177"/>
        <v>0</v>
      </c>
      <c r="I1039" s="2911">
        <f t="shared" si="178"/>
        <v>0</v>
      </c>
      <c r="J1039" s="2863"/>
      <c r="K1039" s="223">
        <f t="shared" si="179"/>
        <v>0</v>
      </c>
      <c r="L1039" s="2854"/>
    </row>
    <row r="1040" spans="1:12">
      <c r="A1040" s="2837"/>
      <c r="B1040" s="98" t="str">
        <f>перекрытие!A181</f>
        <v>Доска естественной влажности, 200*50мм</v>
      </c>
      <c r="C1040" s="99" t="str">
        <f>перекрытие!B181</f>
        <v>м3</v>
      </c>
      <c r="D1040" s="275">
        <f>перекрытие!D181</f>
        <v>0</v>
      </c>
      <c r="E1040" s="100">
        <f>перекрытие!E181</f>
        <v>6500</v>
      </c>
      <c r="F1040" s="100"/>
      <c r="G1040" s="275">
        <f t="shared" si="176"/>
        <v>0</v>
      </c>
      <c r="H1040" s="100">
        <f t="shared" si="177"/>
        <v>0</v>
      </c>
      <c r="I1040" s="2911">
        <f t="shared" si="178"/>
        <v>0</v>
      </c>
      <c r="J1040" s="2863"/>
      <c r="K1040" s="223">
        <f t="shared" si="179"/>
        <v>0</v>
      </c>
      <c r="L1040" s="2854"/>
    </row>
    <row r="1041" spans="1:12">
      <c r="A1041" s="2837"/>
      <c r="B1041" s="98" t="str">
        <f>перекрытие!A182</f>
        <v>Доска естественной влажности, 150*50мм</v>
      </c>
      <c r="C1041" s="99" t="str">
        <f>перекрытие!B182</f>
        <v>м3</v>
      </c>
      <c r="D1041" s="275">
        <f>перекрытие!D182</f>
        <v>0</v>
      </c>
      <c r="E1041" s="100">
        <f>перекрытие!E182</f>
        <v>6500</v>
      </c>
      <c r="F1041" s="100"/>
      <c r="G1041" s="275">
        <f t="shared" si="176"/>
        <v>0</v>
      </c>
      <c r="H1041" s="100">
        <f t="shared" si="177"/>
        <v>0</v>
      </c>
      <c r="I1041" s="2911">
        <f t="shared" si="178"/>
        <v>0</v>
      </c>
      <c r="J1041" s="2863"/>
      <c r="K1041" s="223">
        <f t="shared" si="179"/>
        <v>0</v>
      </c>
      <c r="L1041" s="2854"/>
    </row>
    <row r="1042" spans="1:12">
      <c r="A1042" s="2837"/>
      <c r="B1042" s="98" t="str">
        <f>перекрытие!A183</f>
        <v xml:space="preserve">Опора бруса          </v>
      </c>
      <c r="C1042" s="99" t="str">
        <f>перекрытие!B183</f>
        <v>шт</v>
      </c>
      <c r="D1042" s="275">
        <f>перекрытие!D183</f>
        <v>0</v>
      </c>
      <c r="E1042" s="100">
        <f>перекрытие!E183</f>
        <v>50</v>
      </c>
      <c r="F1042" s="100"/>
      <c r="G1042" s="275">
        <f t="shared" si="176"/>
        <v>0</v>
      </c>
      <c r="H1042" s="100">
        <f t="shared" si="177"/>
        <v>0</v>
      </c>
      <c r="I1042" s="2911">
        <f t="shared" si="178"/>
        <v>0</v>
      </c>
      <c r="J1042" s="2863"/>
      <c r="K1042" s="223">
        <f t="shared" si="179"/>
        <v>0</v>
      </c>
      <c r="L1042" s="2854"/>
    </row>
    <row r="1043" spans="1:12">
      <c r="A1043" s="2837"/>
      <c r="B1043" s="98" t="str">
        <f>перекрытие!A184</f>
        <v xml:space="preserve">Болты анкерные с гайкой 8,0 x 60           </v>
      </c>
      <c r="C1043" s="99" t="str">
        <f>перекрытие!B184</f>
        <v>шт</v>
      </c>
      <c r="D1043" s="275">
        <f>перекрытие!D184</f>
        <v>0</v>
      </c>
      <c r="E1043" s="100">
        <f>перекрытие!E184</f>
        <v>4</v>
      </c>
      <c r="F1043" s="100"/>
      <c r="G1043" s="275">
        <f t="shared" si="176"/>
        <v>0</v>
      </c>
      <c r="H1043" s="100">
        <f t="shared" si="177"/>
        <v>0</v>
      </c>
      <c r="I1043" s="2911">
        <f t="shared" si="178"/>
        <v>0</v>
      </c>
      <c r="J1043" s="2863"/>
      <c r="K1043" s="223">
        <f t="shared" si="179"/>
        <v>0</v>
      </c>
      <c r="L1043" s="2854"/>
    </row>
    <row r="1044" spans="1:12">
      <c r="A1044" s="2837"/>
      <c r="B1044" s="98" t="str">
        <f>перекрытие!A99</f>
        <v>Нет перекрестного пола</v>
      </c>
      <c r="C1044" s="99" t="str">
        <f>перекрытие!B99</f>
        <v>м3</v>
      </c>
      <c r="D1044" s="275">
        <f>перекрытие!D99</f>
        <v>0</v>
      </c>
      <c r="E1044" s="100">
        <f>перекрытие!E99</f>
        <v>0</v>
      </c>
      <c r="F1044" s="100"/>
      <c r="G1044" s="275">
        <f t="shared" si="176"/>
        <v>0</v>
      </c>
      <c r="H1044" s="100">
        <f t="shared" si="177"/>
        <v>0</v>
      </c>
      <c r="I1044" s="2911">
        <f t="shared" si="178"/>
        <v>0</v>
      </c>
      <c r="J1044" s="2863"/>
      <c r="K1044" s="223">
        <f t="shared" si="179"/>
        <v>0</v>
      </c>
      <c r="L1044" s="2854"/>
    </row>
    <row r="1045" spans="1:12">
      <c r="A1045" s="2837"/>
      <c r="B1045" s="98" t="str">
        <f>перекрытие!A100</f>
        <v xml:space="preserve">Гвозди строительные 3,5 x 90            </v>
      </c>
      <c r="C1045" s="99" t="str">
        <f>перекрытие!B100</f>
        <v>кг</v>
      </c>
      <c r="D1045" s="275">
        <f>перекрытие!D100</f>
        <v>0</v>
      </c>
      <c r="E1045" s="100">
        <f>перекрытие!E100</f>
        <v>70</v>
      </c>
      <c r="F1045" s="100"/>
      <c r="G1045" s="275">
        <f t="shared" si="176"/>
        <v>0</v>
      </c>
      <c r="H1045" s="100">
        <f t="shared" si="177"/>
        <v>0</v>
      </c>
      <c r="I1045" s="2911">
        <f t="shared" si="178"/>
        <v>0</v>
      </c>
      <c r="J1045" s="2863"/>
      <c r="K1045" s="223">
        <f t="shared" si="179"/>
        <v>0</v>
      </c>
      <c r="L1045" s="2854"/>
    </row>
    <row r="1046" spans="1:12">
      <c r="A1046" s="2837"/>
      <c r="B1046" s="98" t="str">
        <f>перекрытие!A187</f>
        <v>Sip панель 2500*625*124мм</v>
      </c>
      <c r="C1046" s="99" t="str">
        <f>перекрытие!B187</f>
        <v>м2</v>
      </c>
      <c r="D1046" s="275">
        <f>перекрытие!D187</f>
        <v>0</v>
      </c>
      <c r="E1046" s="100">
        <f>перекрытие!E187</f>
        <v>800</v>
      </c>
      <c r="F1046" s="100"/>
      <c r="G1046" s="275">
        <f t="shared" si="176"/>
        <v>0</v>
      </c>
      <c r="H1046" s="100">
        <f t="shared" si="177"/>
        <v>0</v>
      </c>
      <c r="I1046" s="2911">
        <f t="shared" si="178"/>
        <v>0</v>
      </c>
      <c r="J1046" s="2863"/>
      <c r="K1046" s="223">
        <f t="shared" si="179"/>
        <v>0</v>
      </c>
      <c r="L1046" s="2854"/>
    </row>
    <row r="1047" spans="1:12">
      <c r="A1047" s="2837"/>
      <c r="B1047" s="98" t="str">
        <f>перекрытие!A188</f>
        <v>Sip панель 2500*625*174мм</v>
      </c>
      <c r="C1047" s="99" t="str">
        <f>перекрытие!B188</f>
        <v>м2</v>
      </c>
      <c r="D1047" s="275">
        <f>перекрытие!D188</f>
        <v>0</v>
      </c>
      <c r="E1047" s="100">
        <f>перекрытие!E188</f>
        <v>1200</v>
      </c>
      <c r="F1047" s="100"/>
      <c r="G1047" s="275">
        <f t="shared" si="176"/>
        <v>0</v>
      </c>
      <c r="H1047" s="100">
        <f t="shared" si="177"/>
        <v>0</v>
      </c>
      <c r="I1047" s="2911">
        <f t="shared" si="178"/>
        <v>0</v>
      </c>
      <c r="J1047" s="2863"/>
      <c r="K1047" s="223">
        <f t="shared" si="179"/>
        <v>0</v>
      </c>
      <c r="L1047" s="2854"/>
    </row>
    <row r="1048" spans="1:12">
      <c r="A1048" s="2837"/>
      <c r="B1048" s="98" t="str">
        <f>перекрытие!A189</f>
        <v>Sip панель 2500*625*224мм</v>
      </c>
      <c r="C1048" s="99" t="str">
        <f>перекрытие!B189</f>
        <v>м2</v>
      </c>
      <c r="D1048" s="275">
        <f>перекрытие!D189</f>
        <v>0</v>
      </c>
      <c r="E1048" s="100">
        <f>перекрытие!E189</f>
        <v>1400</v>
      </c>
      <c r="F1048" s="100"/>
      <c r="G1048" s="275">
        <f t="shared" si="176"/>
        <v>0</v>
      </c>
      <c r="H1048" s="100">
        <f t="shared" si="177"/>
        <v>0</v>
      </c>
      <c r="I1048" s="2911">
        <f t="shared" si="178"/>
        <v>0</v>
      </c>
      <c r="J1048" s="2863"/>
      <c r="K1048" s="223">
        <f t="shared" si="179"/>
        <v>0</v>
      </c>
      <c r="L1048" s="2854"/>
    </row>
    <row r="1049" spans="1:12">
      <c r="A1049" s="2837"/>
      <c r="B1049" s="98" t="str">
        <f>перекрытие!A190</f>
        <v>Доска сухая, 100*50мм</v>
      </c>
      <c r="C1049" s="99" t="str">
        <f>перекрытие!B190</f>
        <v>м.п.</v>
      </c>
      <c r="D1049" s="275">
        <f>перекрытие!D190</f>
        <v>0</v>
      </c>
      <c r="E1049" s="100">
        <f>перекрытие!E190</f>
        <v>45</v>
      </c>
      <c r="F1049" s="100"/>
      <c r="G1049" s="275">
        <f t="shared" si="176"/>
        <v>0</v>
      </c>
      <c r="H1049" s="100">
        <f t="shared" si="177"/>
        <v>0</v>
      </c>
      <c r="I1049" s="2911">
        <f t="shared" si="178"/>
        <v>0</v>
      </c>
      <c r="J1049" s="2863"/>
      <c r="K1049" s="223">
        <f t="shared" si="179"/>
        <v>0</v>
      </c>
      <c r="L1049" s="2854"/>
    </row>
    <row r="1050" spans="1:12">
      <c r="A1050" s="2837"/>
      <c r="B1050" s="98" t="str">
        <f>перекрытие!A191</f>
        <v>Доска сухая, 150*50мм</v>
      </c>
      <c r="C1050" s="99" t="str">
        <f>перекрытие!B191</f>
        <v>м.п.</v>
      </c>
      <c r="D1050" s="275">
        <f>перекрытие!D191</f>
        <v>0</v>
      </c>
      <c r="E1050" s="100">
        <f>перекрытие!E191</f>
        <v>67.5</v>
      </c>
      <c r="F1050" s="100"/>
      <c r="G1050" s="275">
        <f t="shared" si="176"/>
        <v>0</v>
      </c>
      <c r="H1050" s="100">
        <f t="shared" si="177"/>
        <v>0</v>
      </c>
      <c r="I1050" s="2911">
        <f t="shared" si="178"/>
        <v>0</v>
      </c>
      <c r="J1050" s="2863"/>
      <c r="K1050" s="223">
        <f t="shared" si="179"/>
        <v>0</v>
      </c>
      <c r="L1050" s="2854"/>
    </row>
    <row r="1051" spans="1:12">
      <c r="A1051" s="2837"/>
      <c r="B1051" s="98" t="str">
        <f>перекрытие!A192</f>
        <v>Доска сухая, 200*50мм</v>
      </c>
      <c r="C1051" s="99" t="str">
        <f>перекрытие!B192</f>
        <v>м.п.</v>
      </c>
      <c r="D1051" s="275">
        <f>перекрытие!D192</f>
        <v>0</v>
      </c>
      <c r="E1051" s="100">
        <f>перекрытие!E192</f>
        <v>90</v>
      </c>
      <c r="F1051" s="100"/>
      <c r="G1051" s="275">
        <f t="shared" si="176"/>
        <v>0</v>
      </c>
      <c r="H1051" s="100">
        <f t="shared" si="177"/>
        <v>0</v>
      </c>
      <c r="I1051" s="2911">
        <f t="shared" si="178"/>
        <v>0</v>
      </c>
      <c r="J1051" s="2863"/>
      <c r="K1051" s="223">
        <f t="shared" si="179"/>
        <v>0</v>
      </c>
      <c r="L1051" s="2854"/>
    </row>
    <row r="1052" spans="1:12">
      <c r="A1052" s="2837"/>
      <c r="B1052" s="98" t="str">
        <f>перекрытие!A193</f>
        <v>Пена монтажная, всесезонняя 800мл</v>
      </c>
      <c r="C1052" s="99" t="str">
        <f>перекрытие!B193</f>
        <v>шт</v>
      </c>
      <c r="D1052" s="275">
        <f>перекрытие!D193</f>
        <v>0</v>
      </c>
      <c r="E1052" s="100">
        <f>перекрытие!E193</f>
        <v>300</v>
      </c>
      <c r="F1052" s="100"/>
      <c r="G1052" s="275">
        <f t="shared" si="176"/>
        <v>0</v>
      </c>
      <c r="H1052" s="100">
        <f t="shared" si="177"/>
        <v>0</v>
      </c>
      <c r="I1052" s="2911">
        <f t="shared" si="178"/>
        <v>0</v>
      </c>
      <c r="J1052" s="2863"/>
      <c r="K1052" s="223">
        <f t="shared" si="179"/>
        <v>0</v>
      </c>
      <c r="L1052" s="2854"/>
    </row>
    <row r="1053" spans="1:12">
      <c r="A1053" s="2837"/>
      <c r="B1053" s="98" t="str">
        <f>перекрытие!A194</f>
        <v xml:space="preserve">Гвозди строительные 3,5 x 90            </v>
      </c>
      <c r="C1053" s="99" t="str">
        <f>перекрытие!B194</f>
        <v>шт</v>
      </c>
      <c r="D1053" s="275">
        <f>перекрытие!D194</f>
        <v>0</v>
      </c>
      <c r="E1053" s="100">
        <f>перекрытие!E194</f>
        <v>45</v>
      </c>
      <c r="F1053" s="100"/>
      <c r="G1053" s="275">
        <f t="shared" si="176"/>
        <v>0</v>
      </c>
      <c r="H1053" s="100">
        <f t="shared" si="177"/>
        <v>0</v>
      </c>
      <c r="I1053" s="2911">
        <f t="shared" si="178"/>
        <v>0</v>
      </c>
      <c r="J1053" s="2863"/>
      <c r="K1053" s="223">
        <f t="shared" si="179"/>
        <v>0</v>
      </c>
      <c r="L1053" s="2854"/>
    </row>
    <row r="1054" spans="1:12">
      <c r="A1054" s="2837"/>
      <c r="B1054" s="98" t="str">
        <f>перекрытие!A195</f>
        <v xml:space="preserve">Саморезы 3,5 x 45            </v>
      </c>
      <c r="C1054" s="99" t="str">
        <f>перекрытие!B195</f>
        <v>шт</v>
      </c>
      <c r="D1054" s="275">
        <f>перекрытие!D195</f>
        <v>0</v>
      </c>
      <c r="E1054" s="100">
        <f>перекрытие!E195</f>
        <v>0.25</v>
      </c>
      <c r="F1054" s="100"/>
      <c r="G1054" s="275">
        <f t="shared" si="176"/>
        <v>0</v>
      </c>
      <c r="H1054" s="100">
        <f t="shared" si="177"/>
        <v>0</v>
      </c>
      <c r="I1054" s="2911">
        <f t="shared" si="178"/>
        <v>0</v>
      </c>
      <c r="J1054" s="2863"/>
      <c r="K1054" s="223">
        <f t="shared" si="179"/>
        <v>0</v>
      </c>
      <c r="L1054" s="2854"/>
    </row>
    <row r="1055" spans="1:12">
      <c r="A1055" s="2837"/>
      <c r="B1055" s="98" t="str">
        <f>перекрытие!A196</f>
        <v>Доска сухая, 200*50мм</v>
      </c>
      <c r="C1055" s="99" t="str">
        <f>перекрытие!B196</f>
        <v>м3</v>
      </c>
      <c r="D1055" s="275">
        <f>перекрытие!D196</f>
        <v>0</v>
      </c>
      <c r="E1055" s="100">
        <f>перекрытие!E196</f>
        <v>9000</v>
      </c>
      <c r="F1055" s="100"/>
      <c r="G1055" s="275">
        <f t="shared" si="176"/>
        <v>0</v>
      </c>
      <c r="H1055" s="100">
        <f t="shared" si="177"/>
        <v>0</v>
      </c>
      <c r="I1055" s="2911">
        <f t="shared" si="178"/>
        <v>0</v>
      </c>
      <c r="J1055" s="2863"/>
      <c r="K1055" s="223">
        <f t="shared" si="179"/>
        <v>0</v>
      </c>
      <c r="L1055" s="2854"/>
    </row>
    <row r="1056" spans="1:12">
      <c r="A1056" s="2837"/>
      <c r="B1056" s="98" t="str">
        <f>перекрытие!A197</f>
        <v>Доска сухая, 150*50мм</v>
      </c>
      <c r="C1056" s="99" t="str">
        <f>перекрытие!B197</f>
        <v>м3</v>
      </c>
      <c r="D1056" s="275">
        <f>перекрытие!D197</f>
        <v>0</v>
      </c>
      <c r="E1056" s="100">
        <f>перекрытие!E197</f>
        <v>9000</v>
      </c>
      <c r="F1056" s="100"/>
      <c r="G1056" s="275">
        <f t="shared" si="176"/>
        <v>0</v>
      </c>
      <c r="H1056" s="100">
        <f t="shared" si="177"/>
        <v>0</v>
      </c>
      <c r="I1056" s="2911">
        <f t="shared" si="178"/>
        <v>0</v>
      </c>
      <c r="J1056" s="2863"/>
      <c r="K1056" s="223">
        <f t="shared" si="179"/>
        <v>0</v>
      </c>
      <c r="L1056" s="2854"/>
    </row>
    <row r="1057" spans="1:12">
      <c r="A1057" s="2837"/>
      <c r="B1057" s="98" t="str">
        <f>перекрытие!A198</f>
        <v xml:space="preserve">Гвозди ершоные 2,8 х 90            </v>
      </c>
      <c r="C1057" s="99" t="str">
        <f>перекрытие!B198</f>
        <v>кг</v>
      </c>
      <c r="D1057" s="275">
        <f>перекрытие!D198</f>
        <v>0</v>
      </c>
      <c r="E1057" s="100">
        <f>перекрытие!E198</f>
        <v>76.489999999999995</v>
      </c>
      <c r="F1057" s="100"/>
      <c r="G1057" s="275">
        <f t="shared" si="176"/>
        <v>0</v>
      </c>
      <c r="H1057" s="100">
        <f t="shared" si="177"/>
        <v>0</v>
      </c>
      <c r="I1057" s="2911">
        <f t="shared" si="178"/>
        <v>0</v>
      </c>
      <c r="J1057" s="2863"/>
      <c r="K1057" s="223">
        <f t="shared" si="179"/>
        <v>0</v>
      </c>
      <c r="L1057" s="2854"/>
    </row>
    <row r="1058" spans="1:12">
      <c r="A1058" s="2837"/>
      <c r="B1058" s="98" t="str">
        <f>перекрытие!A199</f>
        <v>Доска сухая калиброванная, 190*45мм</v>
      </c>
      <c r="C1058" s="99" t="str">
        <f>перекрытие!B199</f>
        <v>м3</v>
      </c>
      <c r="D1058" s="275">
        <f>перекрытие!D199</f>
        <v>0</v>
      </c>
      <c r="E1058" s="100">
        <f>перекрытие!E199</f>
        <v>12500</v>
      </c>
      <c r="F1058" s="100"/>
      <c r="G1058" s="275">
        <f t="shared" si="176"/>
        <v>0</v>
      </c>
      <c r="H1058" s="100">
        <f t="shared" si="177"/>
        <v>0</v>
      </c>
      <c r="I1058" s="2911">
        <f t="shared" si="178"/>
        <v>0</v>
      </c>
      <c r="J1058" s="2863"/>
      <c r="K1058" s="223">
        <f t="shared" si="179"/>
        <v>0</v>
      </c>
      <c r="L1058" s="2854"/>
    </row>
    <row r="1059" spans="1:12">
      <c r="A1059" s="2837"/>
      <c r="B1059" s="98" t="str">
        <f>перекрытие!A200</f>
        <v>Доска сухая калиброванная, 145*45мм</v>
      </c>
      <c r="C1059" s="99" t="str">
        <f>перекрытие!B200</f>
        <v>м3</v>
      </c>
      <c r="D1059" s="275">
        <f>перекрытие!D200</f>
        <v>0</v>
      </c>
      <c r="E1059" s="100">
        <f>перекрытие!E200</f>
        <v>12500</v>
      </c>
      <c r="F1059" s="100"/>
      <c r="G1059" s="275">
        <f t="shared" si="176"/>
        <v>0</v>
      </c>
      <c r="H1059" s="100">
        <f t="shared" si="177"/>
        <v>0</v>
      </c>
      <c r="I1059" s="2911">
        <f t="shared" si="178"/>
        <v>0</v>
      </c>
      <c r="J1059" s="2863"/>
      <c r="K1059" s="223">
        <f t="shared" si="179"/>
        <v>0</v>
      </c>
      <c r="L1059" s="2854"/>
    </row>
    <row r="1060" spans="1:12">
      <c r="A1060" s="2837"/>
      <c r="B1060" s="98" t="str">
        <f>перекрытие!A201</f>
        <v xml:space="preserve">Гвозди ершоные 2,8 х 90            </v>
      </c>
      <c r="C1060" s="99" t="str">
        <f>перекрытие!B201</f>
        <v>кг</v>
      </c>
      <c r="D1060" s="275">
        <f>перекрытие!D201</f>
        <v>0</v>
      </c>
      <c r="E1060" s="100">
        <f>перекрытие!E201</f>
        <v>76.489999999999995</v>
      </c>
      <c r="F1060" s="100"/>
      <c r="G1060" s="275">
        <f t="shared" si="176"/>
        <v>0</v>
      </c>
      <c r="H1060" s="100">
        <f t="shared" si="177"/>
        <v>0</v>
      </c>
      <c r="I1060" s="2911">
        <f t="shared" si="178"/>
        <v>0</v>
      </c>
      <c r="J1060" s="2863"/>
      <c r="K1060" s="223">
        <f t="shared" si="179"/>
        <v>0</v>
      </c>
      <c r="L1060" s="2854"/>
    </row>
    <row r="1061" spans="1:12">
      <c r="A1061" s="2837"/>
      <c r="B1061" s="98" t="str">
        <f>перекрытие!A202</f>
        <v>Двутавровая деревянная балка, 400*65мм</v>
      </c>
      <c r="C1061" s="99" t="str">
        <f>перекрытие!B202</f>
        <v>м.п.</v>
      </c>
      <c r="D1061" s="275">
        <f>перекрытие!D202</f>
        <v>0</v>
      </c>
      <c r="E1061" s="100">
        <f>перекрытие!E202</f>
        <v>303</v>
      </c>
      <c r="F1061" s="100"/>
      <c r="G1061" s="275">
        <f t="shared" si="176"/>
        <v>0</v>
      </c>
      <c r="H1061" s="100">
        <f t="shared" si="177"/>
        <v>0</v>
      </c>
      <c r="I1061" s="2911">
        <f t="shared" si="178"/>
        <v>0</v>
      </c>
      <c r="J1061" s="2863"/>
      <c r="K1061" s="223">
        <f t="shared" si="179"/>
        <v>0</v>
      </c>
      <c r="L1061" s="2854"/>
    </row>
    <row r="1062" spans="1:12">
      <c r="A1062" s="2837"/>
      <c r="B1062" s="98" t="str">
        <f>перекрытие!A203</f>
        <v>Двутавровая деревянная балка, 400*90мм</v>
      </c>
      <c r="C1062" s="99" t="str">
        <f>перекрытие!B203</f>
        <v>м.п.</v>
      </c>
      <c r="D1062" s="275">
        <f>перекрытие!D203</f>
        <v>0</v>
      </c>
      <c r="E1062" s="100">
        <f>перекрытие!E203</f>
        <v>355</v>
      </c>
      <c r="F1062" s="100"/>
      <c r="G1062" s="275">
        <f t="shared" si="176"/>
        <v>0</v>
      </c>
      <c r="H1062" s="100">
        <f t="shared" si="177"/>
        <v>0</v>
      </c>
      <c r="I1062" s="2911">
        <f t="shared" si="178"/>
        <v>0</v>
      </c>
      <c r="J1062" s="2863"/>
      <c r="K1062" s="223">
        <f t="shared" si="179"/>
        <v>0</v>
      </c>
      <c r="L1062" s="2854"/>
    </row>
    <row r="1063" spans="1:12">
      <c r="A1063" s="2837"/>
      <c r="B1063" s="98" t="str">
        <f>перекрытие!A204</f>
        <v>Двутавровая деревянная балка, 350*65мм</v>
      </c>
      <c r="C1063" s="99" t="str">
        <f>перекрытие!B204</f>
        <v>м.п.</v>
      </c>
      <c r="D1063" s="275">
        <f>перекрытие!D204</f>
        <v>0</v>
      </c>
      <c r="E1063" s="100">
        <f>перекрытие!E204</f>
        <v>287</v>
      </c>
      <c r="F1063" s="100"/>
      <c r="G1063" s="275">
        <f t="shared" si="176"/>
        <v>0</v>
      </c>
      <c r="H1063" s="100">
        <f t="shared" si="177"/>
        <v>0</v>
      </c>
      <c r="I1063" s="2911">
        <f t="shared" si="178"/>
        <v>0</v>
      </c>
      <c r="J1063" s="2863"/>
      <c r="K1063" s="223">
        <f t="shared" si="179"/>
        <v>0</v>
      </c>
      <c r="L1063" s="2854"/>
    </row>
    <row r="1064" spans="1:12">
      <c r="A1064" s="2837"/>
      <c r="B1064" s="98" t="str">
        <f>перекрытие!A205</f>
        <v>Двутавровая деревянная балка, 350*90мм</v>
      </c>
      <c r="C1064" s="99" t="str">
        <f>перекрытие!B205</f>
        <v>м.п.</v>
      </c>
      <c r="D1064" s="275">
        <f>перекрытие!D205</f>
        <v>0</v>
      </c>
      <c r="E1064" s="100">
        <f>перекрытие!E205</f>
        <v>315</v>
      </c>
      <c r="F1064" s="100"/>
      <c r="G1064" s="275">
        <f t="shared" si="176"/>
        <v>0</v>
      </c>
      <c r="H1064" s="100">
        <f t="shared" si="177"/>
        <v>0</v>
      </c>
      <c r="I1064" s="2911">
        <f t="shared" si="178"/>
        <v>0</v>
      </c>
      <c r="J1064" s="2863"/>
      <c r="K1064" s="223">
        <f t="shared" si="179"/>
        <v>0</v>
      </c>
      <c r="L1064" s="2854"/>
    </row>
    <row r="1065" spans="1:12">
      <c r="A1065" s="2837"/>
      <c r="B1065" s="98" t="str">
        <f>перекрытие!A206</f>
        <v>Двутавровая деревянная балка, 300*65мм</v>
      </c>
      <c r="C1065" s="99" t="str">
        <f>перекрытие!B206</f>
        <v>м.п.</v>
      </c>
      <c r="D1065" s="275">
        <f>перекрытие!D206</f>
        <v>0</v>
      </c>
      <c r="E1065" s="100">
        <f>перекрытие!E206</f>
        <v>273</v>
      </c>
      <c r="F1065" s="100"/>
      <c r="G1065" s="275">
        <f t="shared" si="176"/>
        <v>0</v>
      </c>
      <c r="H1065" s="100">
        <f t="shared" si="177"/>
        <v>0</v>
      </c>
      <c r="I1065" s="2911">
        <f t="shared" ref="I1065:I1096" si="180">IF(G1065&gt;H1065,G1065,H1065)*$H$903</f>
        <v>0</v>
      </c>
      <c r="J1065" s="2863"/>
      <c r="K1065" s="223">
        <f t="shared" si="179"/>
        <v>0</v>
      </c>
      <c r="L1065" s="2854"/>
    </row>
    <row r="1066" spans="1:12">
      <c r="A1066" s="2837"/>
      <c r="B1066" s="98" t="str">
        <f>перекрытие!A207</f>
        <v>Двутавровая деревянная балка, 300*90мм</v>
      </c>
      <c r="C1066" s="99" t="str">
        <f>перекрытие!B207</f>
        <v>м.п.</v>
      </c>
      <c r="D1066" s="275">
        <f>перекрытие!D207</f>
        <v>0</v>
      </c>
      <c r="E1066" s="100">
        <f>перекрытие!E207</f>
        <v>315</v>
      </c>
      <c r="F1066" s="100"/>
      <c r="G1066" s="275">
        <f t="shared" si="176"/>
        <v>0</v>
      </c>
      <c r="H1066" s="100">
        <f t="shared" si="177"/>
        <v>0</v>
      </c>
      <c r="I1066" s="2911">
        <f t="shared" si="180"/>
        <v>0</v>
      </c>
      <c r="J1066" s="2863"/>
      <c r="K1066" s="223">
        <f t="shared" si="179"/>
        <v>0</v>
      </c>
      <c r="L1066" s="2854"/>
    </row>
    <row r="1067" spans="1:12">
      <c r="A1067" s="2837"/>
      <c r="B1067" s="98" t="str">
        <f>перекрытие!A208</f>
        <v>Двутавровая деревянная балка, 240*65мм</v>
      </c>
      <c r="C1067" s="99" t="str">
        <f>перекрытие!B208</f>
        <v>м.п.</v>
      </c>
      <c r="D1067" s="275">
        <f>перекрытие!D208</f>
        <v>0</v>
      </c>
      <c r="E1067" s="100">
        <f>перекрытие!E208</f>
        <v>263</v>
      </c>
      <c r="F1067" s="100"/>
      <c r="G1067" s="275">
        <f t="shared" si="176"/>
        <v>0</v>
      </c>
      <c r="H1067" s="100">
        <f t="shared" si="177"/>
        <v>0</v>
      </c>
      <c r="I1067" s="2911">
        <f t="shared" si="180"/>
        <v>0</v>
      </c>
      <c r="J1067" s="2863"/>
      <c r="K1067" s="223">
        <f t="shared" si="179"/>
        <v>0</v>
      </c>
      <c r="L1067" s="2854"/>
    </row>
    <row r="1068" spans="1:12">
      <c r="A1068" s="2837"/>
      <c r="B1068" s="98" t="str">
        <f>перекрытие!A209</f>
        <v>Двутавровая деревянная балка, 240*90мм</v>
      </c>
      <c r="C1068" s="99" t="str">
        <f>перекрытие!B209</f>
        <v>м.п.</v>
      </c>
      <c r="D1068" s="275">
        <f>перекрытие!D209</f>
        <v>0</v>
      </c>
      <c r="E1068" s="100">
        <f>перекрытие!E209</f>
        <v>291</v>
      </c>
      <c r="F1068" s="100"/>
      <c r="G1068" s="275">
        <f t="shared" si="176"/>
        <v>0</v>
      </c>
      <c r="H1068" s="100">
        <f t="shared" si="177"/>
        <v>0</v>
      </c>
      <c r="I1068" s="2911">
        <f t="shared" si="180"/>
        <v>0</v>
      </c>
      <c r="J1068" s="2863"/>
      <c r="K1068" s="223">
        <f t="shared" si="179"/>
        <v>0</v>
      </c>
      <c r="L1068" s="2854"/>
    </row>
    <row r="1069" spans="1:12">
      <c r="A1069" s="2837"/>
      <c r="B1069" s="98" t="str">
        <f>перекрытие!A210</f>
        <v>Двутавровая деревянная балка, 200*65мм</v>
      </c>
      <c r="C1069" s="99" t="str">
        <f>перекрытие!B210</f>
        <v>м.п.</v>
      </c>
      <c r="D1069" s="275">
        <f>перекрытие!D210</f>
        <v>0</v>
      </c>
      <c r="E1069" s="100">
        <f>перекрытие!E210</f>
        <v>250</v>
      </c>
      <c r="F1069" s="100"/>
      <c r="G1069" s="275">
        <f t="shared" si="176"/>
        <v>0</v>
      </c>
      <c r="H1069" s="100">
        <f t="shared" si="177"/>
        <v>0</v>
      </c>
      <c r="I1069" s="2911">
        <f t="shared" si="180"/>
        <v>0</v>
      </c>
      <c r="J1069" s="2863"/>
      <c r="K1069" s="223">
        <f t="shared" si="179"/>
        <v>0</v>
      </c>
      <c r="L1069" s="2854"/>
    </row>
    <row r="1070" spans="1:12">
      <c r="A1070" s="2837"/>
      <c r="B1070" s="98" t="str">
        <f>перекрытие!A211</f>
        <v>Двутавровая деревянная балка, 200*90мм</v>
      </c>
      <c r="C1070" s="99" t="str">
        <f>перекрытие!B211</f>
        <v>м.п.</v>
      </c>
      <c r="D1070" s="275">
        <f>перекрытие!D211</f>
        <v>0</v>
      </c>
      <c r="E1070" s="100">
        <f>перекрытие!E211</f>
        <v>280</v>
      </c>
      <c r="F1070" s="100"/>
      <c r="G1070" s="275">
        <f t="shared" si="176"/>
        <v>0</v>
      </c>
      <c r="H1070" s="100">
        <f t="shared" si="177"/>
        <v>0</v>
      </c>
      <c r="I1070" s="2911">
        <f t="shared" si="180"/>
        <v>0</v>
      </c>
      <c r="J1070" s="2863"/>
      <c r="K1070" s="223">
        <f t="shared" si="179"/>
        <v>0</v>
      </c>
      <c r="L1070" s="2854"/>
    </row>
    <row r="1071" spans="1:12">
      <c r="A1071" s="2837"/>
      <c r="B1071" s="98" t="str">
        <f>перекрытие!A212</f>
        <v>Двутавровая деревянная балка, 150*65мм</v>
      </c>
      <c r="C1071" s="99" t="str">
        <f>перекрытие!B212</f>
        <v>м.п.</v>
      </c>
      <c r="D1071" s="275">
        <f>перекрытие!D212</f>
        <v>0</v>
      </c>
      <c r="E1071" s="100">
        <f>перекрытие!E212</f>
        <v>220</v>
      </c>
      <c r="F1071" s="100"/>
      <c r="G1071" s="275">
        <f t="shared" si="176"/>
        <v>0</v>
      </c>
      <c r="H1071" s="100">
        <f t="shared" si="177"/>
        <v>0</v>
      </c>
      <c r="I1071" s="2911">
        <f t="shared" si="180"/>
        <v>0</v>
      </c>
      <c r="J1071" s="2863"/>
      <c r="K1071" s="223">
        <f t="shared" si="179"/>
        <v>0</v>
      </c>
      <c r="L1071" s="2854"/>
    </row>
    <row r="1072" spans="1:12">
      <c r="A1072" s="2837"/>
      <c r="B1072" s="98" t="str">
        <f>перекрытие!A213</f>
        <v>Двутавровая деревянная балка, 150*90мм</v>
      </c>
      <c r="C1072" s="99" t="str">
        <f>перекрытие!B213</f>
        <v>м.п.</v>
      </c>
      <c r="D1072" s="275">
        <f>перекрытие!D213</f>
        <v>0</v>
      </c>
      <c r="E1072" s="100">
        <f>перекрытие!E213</f>
        <v>250</v>
      </c>
      <c r="F1072" s="100"/>
      <c r="G1072" s="275">
        <f t="shared" si="176"/>
        <v>0</v>
      </c>
      <c r="H1072" s="100">
        <f t="shared" si="177"/>
        <v>0</v>
      </c>
      <c r="I1072" s="2911">
        <f t="shared" si="180"/>
        <v>0</v>
      </c>
      <c r="J1072" s="2863"/>
      <c r="K1072" s="223">
        <f t="shared" si="179"/>
        <v>0</v>
      </c>
      <c r="L1072" s="2854"/>
    </row>
    <row r="1073" spans="1:12">
      <c r="A1073" s="2837"/>
      <c r="B1073" s="98" t="str">
        <f>перекрытие!A214</f>
        <v xml:space="preserve">Уголок усиленный 90х70х55х2,5        </v>
      </c>
      <c r="C1073" s="99" t="str">
        <f>перекрытие!B214</f>
        <v>шт</v>
      </c>
      <c r="D1073" s="275">
        <f>перекрытие!D214</f>
        <v>0</v>
      </c>
      <c r="E1073" s="100">
        <f>перекрытие!E214</f>
        <v>30</v>
      </c>
      <c r="F1073" s="100"/>
      <c r="G1073" s="275">
        <f t="shared" si="176"/>
        <v>0</v>
      </c>
      <c r="H1073" s="100">
        <f t="shared" si="177"/>
        <v>0</v>
      </c>
      <c r="I1073" s="2911">
        <f t="shared" si="180"/>
        <v>0</v>
      </c>
      <c r="J1073" s="2863"/>
      <c r="K1073" s="223">
        <f t="shared" si="179"/>
        <v>0</v>
      </c>
      <c r="L1073" s="2854"/>
    </row>
    <row r="1074" spans="1:12">
      <c r="A1074" s="2837"/>
      <c r="B1074" s="98" t="str">
        <f>перекрытие!A215</f>
        <v xml:space="preserve">Саморезы 3,5 x 55            </v>
      </c>
      <c r="C1074" s="99" t="str">
        <f>перекрытие!B215</f>
        <v>шт</v>
      </c>
      <c r="D1074" s="275">
        <f>перекрытие!D215</f>
        <v>0</v>
      </c>
      <c r="E1074" s="100">
        <f>перекрытие!E215</f>
        <v>0.3</v>
      </c>
      <c r="F1074" s="100"/>
      <c r="G1074" s="275">
        <f t="shared" si="176"/>
        <v>0</v>
      </c>
      <c r="H1074" s="100">
        <f t="shared" si="177"/>
        <v>0</v>
      </c>
      <c r="I1074" s="2911">
        <f t="shared" si="180"/>
        <v>0</v>
      </c>
      <c r="J1074" s="2863"/>
      <c r="K1074" s="223">
        <f t="shared" si="179"/>
        <v>0</v>
      </c>
      <c r="L1074" s="2854"/>
    </row>
    <row r="1075" spans="1:12">
      <c r="A1075" s="2837"/>
      <c r="B1075" s="98" t="str">
        <f>перекрытие!A216</f>
        <v>Плитный,28кг/м3, технониколь, 200мм</v>
      </c>
      <c r="C1075" s="99" t="str">
        <f>перекрытие!B216</f>
        <v>м3</v>
      </c>
      <c r="D1075" s="275">
        <f>перекрытие!D216</f>
        <v>0</v>
      </c>
      <c r="E1075" s="100">
        <f>перекрытие!E216</f>
        <v>1700</v>
      </c>
      <c r="F1075" s="100"/>
      <c r="G1075" s="275">
        <f t="shared" si="176"/>
        <v>0</v>
      </c>
      <c r="H1075" s="100">
        <f t="shared" si="177"/>
        <v>0</v>
      </c>
      <c r="I1075" s="2911">
        <f t="shared" si="180"/>
        <v>0</v>
      </c>
      <c r="J1075" s="2863"/>
      <c r="K1075" s="223">
        <f t="shared" si="179"/>
        <v>0</v>
      </c>
      <c r="L1075" s="2854"/>
    </row>
    <row r="1076" spans="1:12">
      <c r="A1076" s="2837"/>
      <c r="B1076" s="98" t="str">
        <f>перекрытие!A217</f>
        <v>Мембрана Folder Classic</v>
      </c>
      <c r="C1076" s="99" t="str">
        <f>перекрытие!B217</f>
        <v>м2</v>
      </c>
      <c r="D1076" s="275">
        <f>перекрытие!D217</f>
        <v>0</v>
      </c>
      <c r="E1076" s="100">
        <f>перекрытие!E217</f>
        <v>71</v>
      </c>
      <c r="F1076" s="100"/>
      <c r="G1076" s="275">
        <f t="shared" si="176"/>
        <v>0</v>
      </c>
      <c r="H1076" s="100">
        <f t="shared" si="177"/>
        <v>0</v>
      </c>
      <c r="I1076" s="2911">
        <f t="shared" si="180"/>
        <v>0</v>
      </c>
      <c r="J1076" s="2863"/>
      <c r="K1076" s="223">
        <f t="shared" si="179"/>
        <v>0</v>
      </c>
      <c r="L1076" s="2854"/>
    </row>
    <row r="1077" spans="1:12">
      <c r="A1077" s="2837"/>
      <c r="B1077" s="98" t="str">
        <f>перекрытие!A218</f>
        <v>Пленка Delta-Reflex</v>
      </c>
      <c r="C1077" s="99" t="str">
        <f>перекрытие!B218</f>
        <v>м2</v>
      </c>
      <c r="D1077" s="275">
        <f>перекрытие!D218</f>
        <v>0</v>
      </c>
      <c r="E1077" s="100">
        <f>перекрытие!E218</f>
        <v>156</v>
      </c>
      <c r="F1077" s="100"/>
      <c r="G1077" s="275">
        <f t="shared" si="176"/>
        <v>0</v>
      </c>
      <c r="H1077" s="100">
        <f t="shared" si="177"/>
        <v>0</v>
      </c>
      <c r="I1077" s="2911">
        <f t="shared" si="180"/>
        <v>0</v>
      </c>
      <c r="J1077" s="2863"/>
      <c r="K1077" s="223">
        <f t="shared" si="179"/>
        <v>0</v>
      </c>
      <c r="L1077" s="2854"/>
    </row>
    <row r="1078" spans="1:12">
      <c r="A1078" s="2837"/>
      <c r="B1078" s="98" t="str">
        <f>перекрытие!A219</f>
        <v>нет</v>
      </c>
      <c r="C1078" s="99" t="str">
        <f>перекрытие!B219</f>
        <v>м3</v>
      </c>
      <c r="D1078" s="275">
        <f>перекрытие!D219</f>
        <v>0</v>
      </c>
      <c r="E1078" s="100">
        <f>перекрытие!E219</f>
        <v>0</v>
      </c>
      <c r="F1078" s="100"/>
      <c r="G1078" s="275">
        <f t="shared" si="176"/>
        <v>0</v>
      </c>
      <c r="H1078" s="100">
        <f t="shared" si="177"/>
        <v>0</v>
      </c>
      <c r="I1078" s="2911">
        <f t="shared" si="180"/>
        <v>0</v>
      </c>
      <c r="J1078" s="2863"/>
      <c r="K1078" s="223">
        <f t="shared" si="179"/>
        <v>0</v>
      </c>
      <c r="L1078" s="2854"/>
    </row>
    <row r="1079" spans="1:12">
      <c r="A1079" s="2837"/>
      <c r="B1079" s="98" t="str">
        <f>перекрытие!A220</f>
        <v>нет</v>
      </c>
      <c r="C1079" s="99" t="str">
        <f>перекрытие!B220</f>
        <v>м3</v>
      </c>
      <c r="D1079" s="275">
        <f>перекрытие!D220</f>
        <v>0</v>
      </c>
      <c r="E1079" s="100">
        <f>перекрытие!E220</f>
        <v>0</v>
      </c>
      <c r="F1079" s="100"/>
      <c r="G1079" s="275">
        <f t="shared" si="176"/>
        <v>0</v>
      </c>
      <c r="H1079" s="100">
        <f t="shared" si="177"/>
        <v>0</v>
      </c>
      <c r="I1079" s="2911">
        <f t="shared" si="180"/>
        <v>0</v>
      </c>
      <c r="J1079" s="2863"/>
      <c r="K1079" s="223">
        <f t="shared" si="179"/>
        <v>0</v>
      </c>
      <c r="L1079" s="2854"/>
    </row>
    <row r="1080" spans="1:12">
      <c r="A1080" s="2837"/>
      <c r="B1080" s="98" t="str">
        <f>перекрытие!A221</f>
        <v>нет</v>
      </c>
      <c r="C1080" s="99" t="str">
        <f>перекрытие!B221</f>
        <v>м3</v>
      </c>
      <c r="D1080" s="275">
        <f>перекрытие!D221</f>
        <v>0</v>
      </c>
      <c r="E1080" s="100">
        <f>перекрытие!E221</f>
        <v>0</v>
      </c>
      <c r="F1080" s="100"/>
      <c r="G1080" s="275">
        <f t="shared" si="176"/>
        <v>0</v>
      </c>
      <c r="H1080" s="100">
        <f t="shared" si="177"/>
        <v>0</v>
      </c>
      <c r="I1080" s="2911">
        <f t="shared" si="180"/>
        <v>0</v>
      </c>
      <c r="J1080" s="2863"/>
      <c r="K1080" s="223">
        <f t="shared" si="179"/>
        <v>0</v>
      </c>
      <c r="L1080" s="2854"/>
    </row>
    <row r="1081" spans="1:12">
      <c r="A1081" s="2837"/>
      <c r="B1081" s="98" t="str">
        <f>перекрытие!A222</f>
        <v>Доска сухая, калибр., 35*45мм</v>
      </c>
      <c r="C1081" s="99" t="str">
        <f>перекрытие!B222</f>
        <v>м3</v>
      </c>
      <c r="D1081" s="275">
        <f>перекрытие!D222</f>
        <v>0.49000000000000005</v>
      </c>
      <c r="E1081" s="100">
        <f>перекрытие!E222</f>
        <v>12500</v>
      </c>
      <c r="F1081" s="100"/>
      <c r="G1081" s="275">
        <f t="shared" si="176"/>
        <v>6125.0000000000009</v>
      </c>
      <c r="H1081" s="100">
        <f t="shared" si="177"/>
        <v>0</v>
      </c>
      <c r="I1081" s="2911">
        <f t="shared" si="180"/>
        <v>0</v>
      </c>
      <c r="J1081" s="2863"/>
      <c r="K1081" s="223">
        <f t="shared" si="179"/>
        <v>0.49000000000000005</v>
      </c>
      <c r="L1081" s="2854"/>
    </row>
    <row r="1082" spans="1:12">
      <c r="A1082" s="2837"/>
      <c r="B1082" s="98" t="str">
        <f>перекрытие!A223</f>
        <v>нет</v>
      </c>
      <c r="C1082" s="99" t="str">
        <f>перекрытие!B223</f>
        <v>м3</v>
      </c>
      <c r="D1082" s="275">
        <f>перекрытие!D223</f>
        <v>0</v>
      </c>
      <c r="E1082" s="100">
        <f>перекрытие!E223</f>
        <v>0</v>
      </c>
      <c r="F1082" s="100"/>
      <c r="G1082" s="275">
        <f t="shared" si="176"/>
        <v>0</v>
      </c>
      <c r="H1082" s="100">
        <f t="shared" si="177"/>
        <v>0</v>
      </c>
      <c r="I1082" s="2911">
        <f t="shared" si="180"/>
        <v>0</v>
      </c>
      <c r="J1082" s="2863"/>
      <c r="K1082" s="223">
        <f t="shared" si="179"/>
        <v>0</v>
      </c>
      <c r="L1082" s="2854"/>
    </row>
    <row r="1083" spans="1:12">
      <c r="A1083" s="2837"/>
      <c r="B1083" s="98" t="str">
        <f>перекрытие!A224</f>
        <v>Сосна влаж, 50*50мм</v>
      </c>
      <c r="C1083" s="99" t="str">
        <f>перекрытие!B224</f>
        <v>м3</v>
      </c>
      <c r="D1083" s="275">
        <f>перекрытие!D224</f>
        <v>0</v>
      </c>
      <c r="E1083" s="100">
        <f>перекрытие!E224</f>
        <v>6500</v>
      </c>
      <c r="F1083" s="100"/>
      <c r="G1083" s="275">
        <f t="shared" si="176"/>
        <v>0</v>
      </c>
      <c r="H1083" s="100">
        <f t="shared" si="177"/>
        <v>0</v>
      </c>
      <c r="I1083" s="2911">
        <f t="shared" si="180"/>
        <v>0</v>
      </c>
      <c r="J1083" s="2863"/>
      <c r="K1083" s="223">
        <f t="shared" si="179"/>
        <v>0</v>
      </c>
      <c r="L1083" s="2854"/>
    </row>
    <row r="1084" spans="1:12">
      <c r="A1084" s="2837"/>
      <c r="B1084" s="98" t="str">
        <f>перекрытие!A225</f>
        <v xml:space="preserve">Гвозди ершоные 2,8 х 90            </v>
      </c>
      <c r="C1084" s="99" t="str">
        <f>перекрытие!B225</f>
        <v>кг</v>
      </c>
      <c r="D1084" s="275">
        <f>перекрытие!D225</f>
        <v>2.9400000000000004</v>
      </c>
      <c r="E1084" s="100">
        <f>перекрытие!E225</f>
        <v>76.489999999999995</v>
      </c>
      <c r="F1084" s="100"/>
      <c r="G1084" s="275">
        <f t="shared" si="176"/>
        <v>224.88060000000002</v>
      </c>
      <c r="H1084" s="100">
        <f t="shared" si="177"/>
        <v>0</v>
      </c>
      <c r="I1084" s="2911">
        <f t="shared" si="180"/>
        <v>0</v>
      </c>
      <c r="J1084" s="2863"/>
      <c r="K1084" s="223">
        <f t="shared" si="179"/>
        <v>2.9400000000000004</v>
      </c>
      <c r="L1084" s="2854"/>
    </row>
    <row r="1085" spans="1:12">
      <c r="A1085" s="2837"/>
      <c r="B1085" s="98" t="str">
        <f>перекрытие!A238</f>
        <v>ГПС 100х50-1,2</v>
      </c>
      <c r="C1085" s="99" t="str">
        <f>перекрытие!B238</f>
        <v>м.п.</v>
      </c>
      <c r="D1085" s="275">
        <f>перекрытие!D238</f>
        <v>0</v>
      </c>
      <c r="E1085" s="100">
        <f>перекрытие!E238</f>
        <v>163</v>
      </c>
      <c r="F1085" s="100"/>
      <c r="G1085" s="275">
        <f t="shared" si="176"/>
        <v>0</v>
      </c>
      <c r="H1085" s="100">
        <f t="shared" si="177"/>
        <v>0</v>
      </c>
      <c r="I1085" s="2911"/>
      <c r="J1085" s="2863"/>
      <c r="K1085" s="223">
        <f t="shared" si="179"/>
        <v>0</v>
      </c>
      <c r="L1085" s="2854"/>
    </row>
    <row r="1086" spans="1:12">
      <c r="A1086" s="2837"/>
      <c r="B1086" s="98" t="str">
        <f>перекрытие!A239</f>
        <v>ГПС 100х50-1,5</v>
      </c>
      <c r="C1086" s="99" t="str">
        <f>перекрытие!B239</f>
        <v>м.п.</v>
      </c>
      <c r="D1086" s="275">
        <f>перекрытие!D239</f>
        <v>0</v>
      </c>
      <c r="E1086" s="100">
        <f>перекрытие!E239</f>
        <v>204</v>
      </c>
      <c r="F1086" s="100"/>
      <c r="G1086" s="275">
        <f t="shared" si="176"/>
        <v>0</v>
      </c>
      <c r="H1086" s="100">
        <f t="shared" si="177"/>
        <v>0</v>
      </c>
      <c r="I1086" s="2911"/>
      <c r="J1086" s="2863"/>
      <c r="K1086" s="223">
        <f t="shared" si="179"/>
        <v>0</v>
      </c>
      <c r="L1086" s="2854"/>
    </row>
    <row r="1087" spans="1:12">
      <c r="A1087" s="2837"/>
      <c r="B1087" s="98" t="str">
        <f>перекрытие!A240</f>
        <v>ГПС 120х50-1,5</v>
      </c>
      <c r="C1087" s="99" t="str">
        <f>перекрытие!B240</f>
        <v>м.п.</v>
      </c>
      <c r="D1087" s="275">
        <f>перекрытие!D240</f>
        <v>0</v>
      </c>
      <c r="E1087" s="100">
        <f>перекрытие!E240</f>
        <v>272</v>
      </c>
      <c r="F1087" s="100"/>
      <c r="G1087" s="275">
        <f t="shared" si="176"/>
        <v>0</v>
      </c>
      <c r="H1087" s="100">
        <f t="shared" si="177"/>
        <v>0</v>
      </c>
      <c r="I1087" s="2911"/>
      <c r="J1087" s="2863"/>
      <c r="K1087" s="223">
        <f t="shared" si="179"/>
        <v>0</v>
      </c>
      <c r="L1087" s="2854"/>
    </row>
    <row r="1088" spans="1:12">
      <c r="A1088" s="2837"/>
      <c r="B1088" s="98" t="str">
        <f>перекрытие!A241</f>
        <v>ГПС 120х50-2,0</v>
      </c>
      <c r="C1088" s="99" t="str">
        <f>перекрытие!B241</f>
        <v>м.п.</v>
      </c>
      <c r="D1088" s="275">
        <f>перекрытие!D241</f>
        <v>0</v>
      </c>
      <c r="E1088" s="100">
        <f>перекрытие!E241</f>
        <v>179</v>
      </c>
      <c r="F1088" s="100"/>
      <c r="G1088" s="275">
        <f t="shared" si="176"/>
        <v>0</v>
      </c>
      <c r="H1088" s="100">
        <f t="shared" si="177"/>
        <v>0</v>
      </c>
      <c r="I1088" s="2911"/>
      <c r="J1088" s="2863"/>
      <c r="K1088" s="223">
        <f t="shared" si="179"/>
        <v>0</v>
      </c>
      <c r="L1088" s="2854"/>
    </row>
    <row r="1089" spans="1:12">
      <c r="A1089" s="2837"/>
      <c r="B1089" s="98" t="str">
        <f>перекрытие!A242</f>
        <v>ГПС 150х50-1,2</v>
      </c>
      <c r="C1089" s="99" t="str">
        <f>перекрытие!B242</f>
        <v>м.п.</v>
      </c>
      <c r="D1089" s="275">
        <f>перекрытие!D242</f>
        <v>0</v>
      </c>
      <c r="E1089" s="100">
        <f>перекрытие!E242</f>
        <v>224</v>
      </c>
      <c r="F1089" s="100"/>
      <c r="G1089" s="275">
        <f t="shared" si="176"/>
        <v>0</v>
      </c>
      <c r="H1089" s="100">
        <f t="shared" si="177"/>
        <v>0</v>
      </c>
      <c r="I1089" s="2911"/>
      <c r="J1089" s="2863"/>
      <c r="K1089" s="223">
        <f t="shared" si="179"/>
        <v>0</v>
      </c>
      <c r="L1089" s="2854"/>
    </row>
    <row r="1090" spans="1:12">
      <c r="A1090" s="2837"/>
      <c r="B1090" s="98" t="str">
        <f>перекрытие!A243</f>
        <v>ГПС 150х50-1,5</v>
      </c>
      <c r="C1090" s="99" t="str">
        <f>перекрытие!B243</f>
        <v>м.п.</v>
      </c>
      <c r="D1090" s="275">
        <f>перекрытие!D243</f>
        <v>0</v>
      </c>
      <c r="E1090" s="100">
        <f>перекрытие!E243</f>
        <v>299</v>
      </c>
      <c r="F1090" s="100"/>
      <c r="G1090" s="275">
        <f t="shared" si="176"/>
        <v>0</v>
      </c>
      <c r="H1090" s="100">
        <f t="shared" si="177"/>
        <v>0</v>
      </c>
      <c r="I1090" s="2911"/>
      <c r="J1090" s="2863"/>
      <c r="K1090" s="223">
        <f t="shared" si="179"/>
        <v>0</v>
      </c>
      <c r="L1090" s="2854"/>
    </row>
    <row r="1091" spans="1:12">
      <c r="A1091" s="2837"/>
      <c r="B1091" s="98" t="str">
        <f>перекрытие!A244</f>
        <v>ГПС 150х50-2,0</v>
      </c>
      <c r="C1091" s="99" t="str">
        <f>перекрытие!B244</f>
        <v>м.п.</v>
      </c>
      <c r="D1091" s="275">
        <f>перекрытие!D244</f>
        <v>0</v>
      </c>
      <c r="E1091" s="100">
        <f>перекрытие!E244</f>
        <v>201</v>
      </c>
      <c r="F1091" s="100"/>
      <c r="G1091" s="275">
        <f t="shared" si="176"/>
        <v>0</v>
      </c>
      <c r="H1091" s="100">
        <f t="shared" si="177"/>
        <v>0</v>
      </c>
      <c r="I1091" s="2911"/>
      <c r="J1091" s="2863"/>
      <c r="K1091" s="223">
        <f t="shared" si="179"/>
        <v>0</v>
      </c>
      <c r="L1091" s="2854"/>
    </row>
    <row r="1092" spans="1:12">
      <c r="A1092" s="2837"/>
      <c r="B1092" s="98" t="str">
        <f>перекрытие!A245</f>
        <v>ГПС 170х50-1,2</v>
      </c>
      <c r="C1092" s="99" t="str">
        <f>перекрытие!B245</f>
        <v>м.п.</v>
      </c>
      <c r="D1092" s="275">
        <f>перекрытие!D245</f>
        <v>0</v>
      </c>
      <c r="E1092" s="100">
        <f>перекрытие!E245</f>
        <v>252</v>
      </c>
      <c r="F1092" s="100"/>
      <c r="G1092" s="275">
        <f t="shared" si="176"/>
        <v>0</v>
      </c>
      <c r="H1092" s="100">
        <f t="shared" si="177"/>
        <v>0</v>
      </c>
      <c r="I1092" s="2911"/>
      <c r="J1092" s="2863"/>
      <c r="K1092" s="223">
        <f t="shared" si="179"/>
        <v>0</v>
      </c>
      <c r="L1092" s="2854"/>
    </row>
    <row r="1093" spans="1:12">
      <c r="A1093" s="2837"/>
      <c r="B1093" s="98" t="str">
        <f>перекрытие!A246</f>
        <v>ГПС 170х50-1,5</v>
      </c>
      <c r="C1093" s="99" t="str">
        <f>перекрытие!B246</f>
        <v>м.п.</v>
      </c>
      <c r="D1093" s="275">
        <f>перекрытие!D246</f>
        <v>0</v>
      </c>
      <c r="E1093" s="100">
        <f>перекрытие!E246</f>
        <v>330</v>
      </c>
      <c r="F1093" s="100"/>
      <c r="G1093" s="275">
        <f t="shared" si="176"/>
        <v>0</v>
      </c>
      <c r="H1093" s="100">
        <f t="shared" si="177"/>
        <v>0</v>
      </c>
      <c r="I1093" s="2911"/>
      <c r="J1093" s="2863"/>
      <c r="K1093" s="223">
        <f t="shared" si="179"/>
        <v>0</v>
      </c>
      <c r="L1093" s="2854"/>
    </row>
    <row r="1094" spans="1:12">
      <c r="A1094" s="2837"/>
      <c r="B1094" s="98" t="str">
        <f>перекрытие!A247</f>
        <v>ГПС 170х50-2,0</v>
      </c>
      <c r="C1094" s="99" t="str">
        <f>перекрытие!B247</f>
        <v>м.п.</v>
      </c>
      <c r="D1094" s="275">
        <f>перекрытие!D247</f>
        <v>0</v>
      </c>
      <c r="E1094" s="100">
        <f>перекрытие!E247</f>
        <v>215</v>
      </c>
      <c r="F1094" s="100"/>
      <c r="G1094" s="275">
        <f t="shared" si="176"/>
        <v>0</v>
      </c>
      <c r="H1094" s="100">
        <f t="shared" si="177"/>
        <v>0</v>
      </c>
      <c r="I1094" s="2911"/>
      <c r="J1094" s="2863"/>
      <c r="K1094" s="223">
        <f t="shared" si="179"/>
        <v>0</v>
      </c>
      <c r="L1094" s="2854"/>
    </row>
    <row r="1095" spans="1:12">
      <c r="A1095" s="2837"/>
      <c r="B1095" s="98" t="str">
        <f>перекрытие!A248</f>
        <v>ГПС 200х50-1,2</v>
      </c>
      <c r="C1095" s="99" t="str">
        <f>перекрытие!B248</f>
        <v>м.п.</v>
      </c>
      <c r="D1095" s="275">
        <f>перекрытие!D248</f>
        <v>0</v>
      </c>
      <c r="E1095" s="100">
        <f>перекрытие!E248</f>
        <v>269</v>
      </c>
      <c r="F1095" s="100"/>
      <c r="G1095" s="275">
        <f t="shared" si="176"/>
        <v>0</v>
      </c>
      <c r="H1095" s="100">
        <f t="shared" si="177"/>
        <v>0</v>
      </c>
      <c r="I1095" s="2911"/>
      <c r="J1095" s="2863"/>
      <c r="K1095" s="223">
        <f t="shared" si="179"/>
        <v>0</v>
      </c>
      <c r="L1095" s="2854"/>
    </row>
    <row r="1096" spans="1:12">
      <c r="A1096" s="2837"/>
      <c r="B1096" s="98" t="str">
        <f>перекрытие!A249</f>
        <v>ГПС 200х50-1,5</v>
      </c>
      <c r="C1096" s="99" t="str">
        <f>перекрытие!B249</f>
        <v>м.п.</v>
      </c>
      <c r="D1096" s="275">
        <f>перекрытие!D249</f>
        <v>0</v>
      </c>
      <c r="E1096" s="100">
        <f>перекрытие!E249</f>
        <v>358</v>
      </c>
      <c r="F1096" s="100"/>
      <c r="G1096" s="275">
        <f t="shared" si="176"/>
        <v>0</v>
      </c>
      <c r="H1096" s="100">
        <f t="shared" si="177"/>
        <v>0</v>
      </c>
      <c r="I1096" s="2911"/>
      <c r="J1096" s="2863"/>
      <c r="K1096" s="223">
        <f t="shared" si="179"/>
        <v>0</v>
      </c>
      <c r="L1096" s="2854"/>
    </row>
    <row r="1097" spans="1:12">
      <c r="A1097" s="2837"/>
      <c r="B1097" s="98" t="str">
        <f>перекрытие!A250</f>
        <v>ГПС 200х50-2,0</v>
      </c>
      <c r="C1097" s="99" t="str">
        <f>перекрытие!B250</f>
        <v>м.п.</v>
      </c>
      <c r="D1097" s="275">
        <f>перекрытие!D250</f>
        <v>0</v>
      </c>
      <c r="E1097" s="100">
        <f>перекрытие!E250</f>
        <v>239</v>
      </c>
      <c r="F1097" s="100"/>
      <c r="G1097" s="275">
        <f t="shared" ref="G1097:G1160" si="181">IF(F1097&gt;0,D1097*F1097,E1097*D1097)</f>
        <v>0</v>
      </c>
      <c r="H1097" s="100">
        <f t="shared" ref="H1097:H1160" si="182">E1097*D1097*$H$903</f>
        <v>0</v>
      </c>
      <c r="I1097" s="2911"/>
      <c r="J1097" s="2863"/>
      <c r="K1097" s="223">
        <f t="shared" ref="K1097:K1160" si="183">D1097-J1097</f>
        <v>0</v>
      </c>
      <c r="L1097" s="2854"/>
    </row>
    <row r="1098" spans="1:12">
      <c r="A1098" s="2837"/>
      <c r="B1098" s="98" t="str">
        <f>перекрытие!A251</f>
        <v>ГПС 250х50-1,2</v>
      </c>
      <c r="C1098" s="99" t="str">
        <f>перекрытие!B251</f>
        <v>м.п.</v>
      </c>
      <c r="D1098" s="275">
        <f>перекрытие!D251</f>
        <v>0</v>
      </c>
      <c r="E1098" s="100">
        <f>перекрытие!E251</f>
        <v>299</v>
      </c>
      <c r="F1098" s="100"/>
      <c r="G1098" s="275">
        <f t="shared" si="181"/>
        <v>0</v>
      </c>
      <c r="H1098" s="100">
        <f t="shared" si="182"/>
        <v>0</v>
      </c>
      <c r="I1098" s="2911"/>
      <c r="J1098" s="2863"/>
      <c r="K1098" s="223">
        <f t="shared" si="183"/>
        <v>0</v>
      </c>
      <c r="L1098" s="2854"/>
    </row>
    <row r="1099" spans="1:12">
      <c r="A1099" s="2837"/>
      <c r="B1099" s="98" t="str">
        <f>перекрытие!A252</f>
        <v>ГПС 250х50-1,5</v>
      </c>
      <c r="C1099" s="99" t="str">
        <f>перекрытие!B252</f>
        <v>м.п.</v>
      </c>
      <c r="D1099" s="275">
        <f>перекрытие!D252</f>
        <v>0</v>
      </c>
      <c r="E1099" s="100">
        <f>перекрытие!E252</f>
        <v>397</v>
      </c>
      <c r="F1099" s="100"/>
      <c r="G1099" s="275">
        <f t="shared" si="181"/>
        <v>0</v>
      </c>
      <c r="H1099" s="100">
        <f t="shared" si="182"/>
        <v>0</v>
      </c>
      <c r="I1099" s="2911"/>
      <c r="J1099" s="2863"/>
      <c r="K1099" s="223">
        <f t="shared" si="183"/>
        <v>0</v>
      </c>
      <c r="L1099" s="2854"/>
    </row>
    <row r="1100" spans="1:12">
      <c r="A1100" s="2837"/>
      <c r="B1100" s="98" t="str">
        <f>перекрытие!A253</f>
        <v>ГПС 250х50-2,0</v>
      </c>
      <c r="C1100" s="99" t="str">
        <f>перекрытие!B253</f>
        <v>м.п.</v>
      </c>
      <c r="D1100" s="275">
        <f>перекрытие!D253</f>
        <v>0</v>
      </c>
      <c r="E1100" s="100">
        <f>перекрытие!E253</f>
        <v>274</v>
      </c>
      <c r="F1100" s="100"/>
      <c r="G1100" s="275">
        <f t="shared" si="181"/>
        <v>0</v>
      </c>
      <c r="H1100" s="100">
        <f t="shared" si="182"/>
        <v>0</v>
      </c>
      <c r="I1100" s="2911"/>
      <c r="J1100" s="2863"/>
      <c r="K1100" s="223">
        <f t="shared" si="183"/>
        <v>0</v>
      </c>
      <c r="L1100" s="2854"/>
    </row>
    <row r="1101" spans="1:12">
      <c r="A1101" s="2837"/>
      <c r="B1101" s="98" t="str">
        <f>перекрытие!A254</f>
        <v>ГПС 280х50-1,2</v>
      </c>
      <c r="C1101" s="99" t="str">
        <f>перекрытие!B254</f>
        <v>м.п.</v>
      </c>
      <c r="D1101" s="275">
        <f>перекрытие!D254</f>
        <v>0</v>
      </c>
      <c r="E1101" s="100">
        <f>перекрытие!E254</f>
        <v>344</v>
      </c>
      <c r="F1101" s="100"/>
      <c r="G1101" s="275">
        <f t="shared" si="181"/>
        <v>0</v>
      </c>
      <c r="H1101" s="100">
        <f t="shared" si="182"/>
        <v>0</v>
      </c>
      <c r="I1101" s="2911"/>
      <c r="J1101" s="2863"/>
      <c r="K1101" s="223">
        <f t="shared" si="183"/>
        <v>0</v>
      </c>
      <c r="L1101" s="2854"/>
    </row>
    <row r="1102" spans="1:12">
      <c r="A1102" s="2837"/>
      <c r="B1102" s="98" t="str">
        <f>перекрытие!A255</f>
        <v>ГПС 280х50-1,5</v>
      </c>
      <c r="C1102" s="99" t="str">
        <f>перекрытие!B255</f>
        <v>м.п.</v>
      </c>
      <c r="D1102" s="275">
        <f>перекрытие!D255</f>
        <v>0</v>
      </c>
      <c r="E1102" s="100">
        <f>перекрытие!E255</f>
        <v>450</v>
      </c>
      <c r="F1102" s="100"/>
      <c r="G1102" s="275">
        <f t="shared" si="181"/>
        <v>0</v>
      </c>
      <c r="H1102" s="100">
        <f t="shared" si="182"/>
        <v>0</v>
      </c>
      <c r="I1102" s="2911"/>
      <c r="J1102" s="2863"/>
      <c r="K1102" s="223">
        <f t="shared" si="183"/>
        <v>0</v>
      </c>
      <c r="L1102" s="2854"/>
    </row>
    <row r="1103" spans="1:12">
      <c r="A1103" s="2837"/>
      <c r="B1103" s="98" t="str">
        <f>перекрытие!A256</f>
        <v>ГПС 280х50-2,0</v>
      </c>
      <c r="C1103" s="99" t="str">
        <f>перекрытие!B256</f>
        <v>м.п.</v>
      </c>
      <c r="D1103" s="275">
        <f>перекрытие!D256</f>
        <v>0</v>
      </c>
      <c r="E1103" s="100">
        <f>перекрытие!E256</f>
        <v>293</v>
      </c>
      <c r="F1103" s="100"/>
      <c r="G1103" s="275">
        <f t="shared" si="181"/>
        <v>0</v>
      </c>
      <c r="H1103" s="100">
        <f t="shared" si="182"/>
        <v>0</v>
      </c>
      <c r="I1103" s="2911"/>
      <c r="J1103" s="2863"/>
      <c r="K1103" s="223">
        <f t="shared" si="183"/>
        <v>0</v>
      </c>
      <c r="L1103" s="2854"/>
    </row>
    <row r="1104" spans="1:12">
      <c r="A1104" s="2837"/>
      <c r="B1104" s="98" t="str">
        <f>перекрытие!A257</f>
        <v>ГПН 102х35-1,2</v>
      </c>
      <c r="C1104" s="99" t="str">
        <f>перекрытие!B257</f>
        <v>м.п.</v>
      </c>
      <c r="D1104" s="275">
        <f>перекрытие!D257</f>
        <v>0</v>
      </c>
      <c r="E1104" s="100">
        <f>перекрытие!E257</f>
        <v>127</v>
      </c>
      <c r="F1104" s="100"/>
      <c r="G1104" s="275">
        <f t="shared" si="181"/>
        <v>0</v>
      </c>
      <c r="H1104" s="100">
        <f t="shared" si="182"/>
        <v>0</v>
      </c>
      <c r="I1104" s="2911"/>
      <c r="J1104" s="2863"/>
      <c r="K1104" s="223">
        <f t="shared" si="183"/>
        <v>0</v>
      </c>
      <c r="L1104" s="2854"/>
    </row>
    <row r="1105" spans="1:12">
      <c r="A1105" s="2837"/>
      <c r="B1105" s="98" t="str">
        <f>перекрытие!A258</f>
        <v>ГПН 102х35-1,5</v>
      </c>
      <c r="C1105" s="99" t="str">
        <f>перекрытие!B258</f>
        <v>м.п.</v>
      </c>
      <c r="D1105" s="275">
        <f>перекрытие!D258</f>
        <v>0</v>
      </c>
      <c r="E1105" s="100">
        <f>перекрытие!E258</f>
        <v>158</v>
      </c>
      <c r="F1105" s="100"/>
      <c r="G1105" s="275">
        <f t="shared" si="181"/>
        <v>0</v>
      </c>
      <c r="H1105" s="100">
        <f t="shared" si="182"/>
        <v>0</v>
      </c>
      <c r="I1105" s="2911"/>
      <c r="J1105" s="2863"/>
      <c r="K1105" s="223">
        <f t="shared" si="183"/>
        <v>0</v>
      </c>
      <c r="L1105" s="2854"/>
    </row>
    <row r="1106" spans="1:12">
      <c r="A1106" s="2837"/>
      <c r="B1106" s="98" t="str">
        <f>перекрытие!A259</f>
        <v>ГПН 102х35-2,0</v>
      </c>
      <c r="C1106" s="99" t="str">
        <f>перекрытие!B259</f>
        <v>м.п.</v>
      </c>
      <c r="D1106" s="275">
        <f>перекрытие!D259</f>
        <v>0</v>
      </c>
      <c r="E1106" s="100">
        <f>перекрытие!E259</f>
        <v>199</v>
      </c>
      <c r="F1106" s="100"/>
      <c r="G1106" s="275">
        <f t="shared" si="181"/>
        <v>0</v>
      </c>
      <c r="H1106" s="100">
        <f t="shared" si="182"/>
        <v>0</v>
      </c>
      <c r="I1106" s="2911"/>
      <c r="J1106" s="2863"/>
      <c r="K1106" s="223">
        <f t="shared" si="183"/>
        <v>0</v>
      </c>
      <c r="L1106" s="2854"/>
    </row>
    <row r="1107" spans="1:12">
      <c r="A1107" s="2837"/>
      <c r="B1107" s="98" t="str">
        <f>перекрытие!A260</f>
        <v>ГПН 122х35-1,2</v>
      </c>
      <c r="C1107" s="99" t="str">
        <f>перекрытие!B260</f>
        <v>м.п.</v>
      </c>
      <c r="D1107" s="275">
        <f>перекрытие!D260</f>
        <v>0</v>
      </c>
      <c r="E1107" s="100">
        <f>перекрытие!E260</f>
        <v>131</v>
      </c>
      <c r="F1107" s="100"/>
      <c r="G1107" s="275">
        <f t="shared" si="181"/>
        <v>0</v>
      </c>
      <c r="H1107" s="100">
        <f t="shared" si="182"/>
        <v>0</v>
      </c>
      <c r="I1107" s="2911"/>
      <c r="J1107" s="2863"/>
      <c r="K1107" s="223">
        <f t="shared" si="183"/>
        <v>0</v>
      </c>
      <c r="L1107" s="2854"/>
    </row>
    <row r="1108" spans="1:12">
      <c r="A1108" s="2837"/>
      <c r="B1108" s="98" t="str">
        <f>перекрытие!A261</f>
        <v>ГПН 122х35-1,5</v>
      </c>
      <c r="C1108" s="99" t="str">
        <f>перекрытие!B261</f>
        <v>м.п.</v>
      </c>
      <c r="D1108" s="275">
        <f>перекрытие!D261</f>
        <v>0</v>
      </c>
      <c r="E1108" s="100">
        <f>перекрытие!E261</f>
        <v>163</v>
      </c>
      <c r="F1108" s="100"/>
      <c r="G1108" s="275">
        <f t="shared" si="181"/>
        <v>0</v>
      </c>
      <c r="H1108" s="100">
        <f t="shared" si="182"/>
        <v>0</v>
      </c>
      <c r="I1108" s="2911"/>
      <c r="J1108" s="2863"/>
      <c r="K1108" s="223">
        <f t="shared" si="183"/>
        <v>0</v>
      </c>
      <c r="L1108" s="2854"/>
    </row>
    <row r="1109" spans="1:12">
      <c r="A1109" s="2837"/>
      <c r="B1109" s="98" t="str">
        <f>перекрытие!A262</f>
        <v>ГПН 122х35-2,0</v>
      </c>
      <c r="C1109" s="99" t="str">
        <f>перекрытие!B262</f>
        <v>м.п.</v>
      </c>
      <c r="D1109" s="275">
        <f>перекрытие!D262</f>
        <v>0</v>
      </c>
      <c r="E1109" s="100">
        <f>перекрытие!E262</f>
        <v>216</v>
      </c>
      <c r="F1109" s="100"/>
      <c r="G1109" s="275">
        <f t="shared" si="181"/>
        <v>0</v>
      </c>
      <c r="H1109" s="100">
        <f t="shared" si="182"/>
        <v>0</v>
      </c>
      <c r="I1109" s="2911"/>
      <c r="J1109" s="2863"/>
      <c r="K1109" s="223">
        <f t="shared" si="183"/>
        <v>0</v>
      </c>
      <c r="L1109" s="2854"/>
    </row>
    <row r="1110" spans="1:12">
      <c r="A1110" s="2837"/>
      <c r="B1110" s="98" t="str">
        <f>перекрытие!A263</f>
        <v>ГПН 152х35-1,2</v>
      </c>
      <c r="C1110" s="99" t="str">
        <f>перекрытие!B263</f>
        <v>м.п.</v>
      </c>
      <c r="D1110" s="275">
        <f>перекрытие!D263</f>
        <v>0</v>
      </c>
      <c r="E1110" s="100">
        <f>перекрытие!E263</f>
        <v>163</v>
      </c>
      <c r="F1110" s="100"/>
      <c r="G1110" s="275">
        <f t="shared" si="181"/>
        <v>0</v>
      </c>
      <c r="H1110" s="100">
        <f t="shared" si="182"/>
        <v>0</v>
      </c>
      <c r="I1110" s="2911"/>
      <c r="J1110" s="2863"/>
      <c r="K1110" s="223">
        <f t="shared" si="183"/>
        <v>0</v>
      </c>
      <c r="L1110" s="2854"/>
    </row>
    <row r="1111" spans="1:12">
      <c r="A1111" s="2837"/>
      <c r="B1111" s="98" t="str">
        <f>перекрытие!A264</f>
        <v>ГПН 152х35-1,5</v>
      </c>
      <c r="C1111" s="99" t="str">
        <f>перекрытие!B264</f>
        <v>м.п.</v>
      </c>
      <c r="D1111" s="275">
        <f>перекрытие!D264</f>
        <v>0</v>
      </c>
      <c r="E1111" s="100">
        <f>перекрытие!E264</f>
        <v>203</v>
      </c>
      <c r="F1111" s="100"/>
      <c r="G1111" s="275">
        <f t="shared" si="181"/>
        <v>0</v>
      </c>
      <c r="H1111" s="100">
        <f t="shared" si="182"/>
        <v>0</v>
      </c>
      <c r="I1111" s="2911"/>
      <c r="J1111" s="2863"/>
      <c r="K1111" s="223">
        <f t="shared" si="183"/>
        <v>0</v>
      </c>
      <c r="L1111" s="2854"/>
    </row>
    <row r="1112" spans="1:12">
      <c r="A1112" s="2837"/>
      <c r="B1112" s="98" t="str">
        <f>перекрытие!A265</f>
        <v>ГПН 152х35-2,0</v>
      </c>
      <c r="C1112" s="99" t="str">
        <f>перекрытие!B265</f>
        <v>м.п.</v>
      </c>
      <c r="D1112" s="275">
        <f>перекрытие!D265</f>
        <v>0</v>
      </c>
      <c r="E1112" s="100">
        <f>перекрытие!E265</f>
        <v>259</v>
      </c>
      <c r="F1112" s="100"/>
      <c r="G1112" s="275">
        <f t="shared" si="181"/>
        <v>0</v>
      </c>
      <c r="H1112" s="100">
        <f t="shared" si="182"/>
        <v>0</v>
      </c>
      <c r="I1112" s="2911"/>
      <c r="J1112" s="2863"/>
      <c r="K1112" s="223">
        <f t="shared" si="183"/>
        <v>0</v>
      </c>
      <c r="L1112" s="2854"/>
    </row>
    <row r="1113" spans="1:12">
      <c r="A1113" s="2837"/>
      <c r="B1113" s="98" t="str">
        <f>перекрытие!A266</f>
        <v>ГПН 172х35-1,2</v>
      </c>
      <c r="C1113" s="99" t="str">
        <f>перекрытие!B266</f>
        <v>м.п.</v>
      </c>
      <c r="D1113" s="275">
        <f>перекрытие!D266</f>
        <v>0</v>
      </c>
      <c r="E1113" s="100">
        <f>перекрытие!E266</f>
        <v>166</v>
      </c>
      <c r="F1113" s="100"/>
      <c r="G1113" s="275">
        <f t="shared" si="181"/>
        <v>0</v>
      </c>
      <c r="H1113" s="100">
        <f t="shared" si="182"/>
        <v>0</v>
      </c>
      <c r="I1113" s="2911"/>
      <c r="J1113" s="2863"/>
      <c r="K1113" s="223">
        <f t="shared" si="183"/>
        <v>0</v>
      </c>
      <c r="L1113" s="2854"/>
    </row>
    <row r="1114" spans="1:12">
      <c r="A1114" s="2837"/>
      <c r="B1114" s="98" t="str">
        <f>перекрытие!A267</f>
        <v>ГПН 172х35-1,5</v>
      </c>
      <c r="C1114" s="99" t="str">
        <f>перекрытие!B267</f>
        <v>м.п.</v>
      </c>
      <c r="D1114" s="275">
        <f>перекрытие!D267</f>
        <v>0</v>
      </c>
      <c r="E1114" s="100">
        <f>перекрытие!E267</f>
        <v>207</v>
      </c>
      <c r="F1114" s="100"/>
      <c r="G1114" s="275">
        <f t="shared" si="181"/>
        <v>0</v>
      </c>
      <c r="H1114" s="100">
        <f t="shared" si="182"/>
        <v>0</v>
      </c>
      <c r="I1114" s="2911"/>
      <c r="J1114" s="2863"/>
      <c r="K1114" s="223">
        <f t="shared" si="183"/>
        <v>0</v>
      </c>
      <c r="L1114" s="2854"/>
    </row>
    <row r="1115" spans="1:12">
      <c r="A1115" s="2837"/>
      <c r="B1115" s="98" t="str">
        <f>перекрытие!A268</f>
        <v>ГПН 172х35-2,0</v>
      </c>
      <c r="C1115" s="99" t="str">
        <f>перекрытие!B268</f>
        <v>м.п.</v>
      </c>
      <c r="D1115" s="275">
        <f>перекрытие!D268</f>
        <v>0</v>
      </c>
      <c r="E1115" s="100">
        <f>перекрытие!E268</f>
        <v>274</v>
      </c>
      <c r="F1115" s="100"/>
      <c r="G1115" s="275">
        <f t="shared" si="181"/>
        <v>0</v>
      </c>
      <c r="H1115" s="100">
        <f t="shared" si="182"/>
        <v>0</v>
      </c>
      <c r="I1115" s="2911"/>
      <c r="J1115" s="2863"/>
      <c r="K1115" s="223">
        <f t="shared" si="183"/>
        <v>0</v>
      </c>
      <c r="L1115" s="2854"/>
    </row>
    <row r="1116" spans="1:12">
      <c r="A1116" s="2837"/>
      <c r="B1116" s="98" t="str">
        <f>перекрытие!A269</f>
        <v>ГПН 202х35-1,2</v>
      </c>
      <c r="C1116" s="99" t="str">
        <f>перекрытие!B269</f>
        <v>м.п.</v>
      </c>
      <c r="D1116" s="275">
        <f>перекрытие!D269</f>
        <v>0</v>
      </c>
      <c r="E1116" s="100">
        <f>перекрытие!E269</f>
        <v>201</v>
      </c>
      <c r="F1116" s="100"/>
      <c r="G1116" s="275">
        <f t="shared" si="181"/>
        <v>0</v>
      </c>
      <c r="H1116" s="100">
        <f t="shared" si="182"/>
        <v>0</v>
      </c>
      <c r="I1116" s="2911"/>
      <c r="J1116" s="2863"/>
      <c r="K1116" s="223">
        <f t="shared" si="183"/>
        <v>0</v>
      </c>
      <c r="L1116" s="2854"/>
    </row>
    <row r="1117" spans="1:12">
      <c r="A1117" s="2837"/>
      <c r="B1117" s="98" t="str">
        <f>перекрытие!A270</f>
        <v>ГПН 202х35-1,5</v>
      </c>
      <c r="C1117" s="99" t="str">
        <f>перекрытие!B270</f>
        <v>м.п.</v>
      </c>
      <c r="D1117" s="275">
        <f>перекрытие!D270</f>
        <v>0</v>
      </c>
      <c r="E1117" s="100">
        <f>перекрытие!E270</f>
        <v>252</v>
      </c>
      <c r="F1117" s="100"/>
      <c r="G1117" s="275">
        <f t="shared" si="181"/>
        <v>0</v>
      </c>
      <c r="H1117" s="100">
        <f t="shared" si="182"/>
        <v>0</v>
      </c>
      <c r="I1117" s="2911"/>
      <c r="J1117" s="2863"/>
      <c r="K1117" s="223">
        <f t="shared" si="183"/>
        <v>0</v>
      </c>
      <c r="L1117" s="2854"/>
    </row>
    <row r="1118" spans="1:12">
      <c r="A1118" s="2837"/>
      <c r="B1118" s="98" t="str">
        <f>перекрытие!A271</f>
        <v>ГПН 202х35-2,0</v>
      </c>
      <c r="C1118" s="99" t="str">
        <f>перекрытие!B271</f>
        <v>м.п.</v>
      </c>
      <c r="D1118" s="275">
        <f>перекрытие!D271</f>
        <v>0</v>
      </c>
      <c r="E1118" s="100">
        <f>перекрытие!E271</f>
        <v>318</v>
      </c>
      <c r="F1118" s="100"/>
      <c r="G1118" s="275">
        <f t="shared" si="181"/>
        <v>0</v>
      </c>
      <c r="H1118" s="100">
        <f t="shared" si="182"/>
        <v>0</v>
      </c>
      <c r="I1118" s="2911"/>
      <c r="J1118" s="2863"/>
      <c r="K1118" s="223">
        <f t="shared" si="183"/>
        <v>0</v>
      </c>
      <c r="L1118" s="2854"/>
    </row>
    <row r="1119" spans="1:12">
      <c r="A1119" s="2837"/>
      <c r="B1119" s="98" t="str">
        <f>перекрытие!A272</f>
        <v>ГПН 252х35-1,2</v>
      </c>
      <c r="C1119" s="99" t="str">
        <f>перекрытие!B272</f>
        <v>м.п.</v>
      </c>
      <c r="D1119" s="275">
        <f>перекрытие!D272</f>
        <v>0</v>
      </c>
      <c r="E1119" s="100">
        <f>перекрытие!E272</f>
        <v>226</v>
      </c>
      <c r="F1119" s="100"/>
      <c r="G1119" s="275">
        <f t="shared" si="181"/>
        <v>0</v>
      </c>
      <c r="H1119" s="100">
        <f t="shared" si="182"/>
        <v>0</v>
      </c>
      <c r="I1119" s="2911"/>
      <c r="J1119" s="2863"/>
      <c r="K1119" s="223">
        <f t="shared" si="183"/>
        <v>0</v>
      </c>
      <c r="L1119" s="2854"/>
    </row>
    <row r="1120" spans="1:12">
      <c r="A1120" s="2837"/>
      <c r="B1120" s="98" t="str">
        <f>перекрытие!A273</f>
        <v>ГПН 252х35-1,5</v>
      </c>
      <c r="C1120" s="99" t="str">
        <f>перекрытие!B273</f>
        <v>м.п.</v>
      </c>
      <c r="D1120" s="275">
        <f>перекрытие!D273</f>
        <v>0</v>
      </c>
      <c r="E1120" s="100">
        <f>перекрытие!E273</f>
        <v>283</v>
      </c>
      <c r="F1120" s="100"/>
      <c r="G1120" s="275">
        <f t="shared" si="181"/>
        <v>0</v>
      </c>
      <c r="H1120" s="100">
        <f t="shared" si="182"/>
        <v>0</v>
      </c>
      <c r="I1120" s="2911"/>
      <c r="J1120" s="2863"/>
      <c r="K1120" s="223">
        <f t="shared" si="183"/>
        <v>0</v>
      </c>
      <c r="L1120" s="2854"/>
    </row>
    <row r="1121" spans="1:12">
      <c r="A1121" s="2837"/>
      <c r="B1121" s="98" t="str">
        <f>перекрытие!A274</f>
        <v>ГПН 252х35-2,0</v>
      </c>
      <c r="C1121" s="99" t="str">
        <f>перекрытие!B274</f>
        <v>м.п.</v>
      </c>
      <c r="D1121" s="275">
        <f>перекрытие!D274</f>
        <v>0</v>
      </c>
      <c r="E1121" s="100">
        <f>перекрытие!E274</f>
        <v>378</v>
      </c>
      <c r="F1121" s="100"/>
      <c r="G1121" s="275">
        <f t="shared" si="181"/>
        <v>0</v>
      </c>
      <c r="H1121" s="100">
        <f t="shared" si="182"/>
        <v>0</v>
      </c>
      <c r="I1121" s="2911"/>
      <c r="J1121" s="2863"/>
      <c r="K1121" s="223">
        <f t="shared" si="183"/>
        <v>0</v>
      </c>
      <c r="L1121" s="2854"/>
    </row>
    <row r="1122" spans="1:12">
      <c r="A1122" s="2837"/>
      <c r="B1122" s="98" t="str">
        <f>перекрытие!A275</f>
        <v>ГПН 282х35-1,2</v>
      </c>
      <c r="C1122" s="99" t="str">
        <f>перекрытие!B275</f>
        <v>м.п.</v>
      </c>
      <c r="D1122" s="275">
        <f>перекрытие!D275</f>
        <v>0</v>
      </c>
      <c r="E1122" s="100">
        <f>перекрытие!E275</f>
        <v>275</v>
      </c>
      <c r="F1122" s="100"/>
      <c r="G1122" s="275">
        <f t="shared" si="181"/>
        <v>0</v>
      </c>
      <c r="H1122" s="100">
        <f t="shared" si="182"/>
        <v>0</v>
      </c>
      <c r="I1122" s="2911"/>
      <c r="J1122" s="2863"/>
      <c r="K1122" s="223">
        <f t="shared" si="183"/>
        <v>0</v>
      </c>
      <c r="L1122" s="2854"/>
    </row>
    <row r="1123" spans="1:12">
      <c r="A1123" s="2837"/>
      <c r="B1123" s="98" t="str">
        <f>перекрытие!A276</f>
        <v>Саморез 5,5 х 25</v>
      </c>
      <c r="C1123" s="99"/>
      <c r="D1123" s="275">
        <f>перекрытие!D276</f>
        <v>0</v>
      </c>
      <c r="E1123" s="100">
        <f>перекрытие!E276</f>
        <v>2.5</v>
      </c>
      <c r="F1123" s="100"/>
      <c r="G1123" s="275">
        <f t="shared" si="181"/>
        <v>0</v>
      </c>
      <c r="H1123" s="100">
        <f t="shared" si="182"/>
        <v>0</v>
      </c>
      <c r="I1123" s="2911"/>
      <c r="J1123" s="2863"/>
      <c r="K1123" s="223">
        <f t="shared" si="183"/>
        <v>0</v>
      </c>
      <c r="L1123" s="2854"/>
    </row>
    <row r="1124" spans="1:12">
      <c r="A1124" s="2837"/>
      <c r="B1124" s="98" t="str">
        <f>перекрытие!A280</f>
        <v>ГПС 100х50-1,2</v>
      </c>
      <c r="C1124" s="99" t="str">
        <f>перекрытие!B280</f>
        <v>м.п.</v>
      </c>
      <c r="D1124" s="275">
        <f>перекрытие!D280</f>
        <v>0</v>
      </c>
      <c r="E1124" s="100">
        <f>перекрытие!E280</f>
        <v>163</v>
      </c>
      <c r="F1124" s="100"/>
      <c r="G1124" s="275">
        <f t="shared" si="181"/>
        <v>0</v>
      </c>
      <c r="H1124" s="100">
        <f t="shared" si="182"/>
        <v>0</v>
      </c>
      <c r="I1124" s="2911"/>
      <c r="J1124" s="2863"/>
      <c r="K1124" s="223">
        <f t="shared" si="183"/>
        <v>0</v>
      </c>
      <c r="L1124" s="2854"/>
    </row>
    <row r="1125" spans="1:12">
      <c r="A1125" s="2837"/>
      <c r="B1125" s="98" t="str">
        <f>перекрытие!A281</f>
        <v>ГПС 100х50-1,5</v>
      </c>
      <c r="C1125" s="99" t="str">
        <f>перекрытие!B281</f>
        <v>м.п.</v>
      </c>
      <c r="D1125" s="275">
        <f>перекрытие!D281</f>
        <v>0</v>
      </c>
      <c r="E1125" s="100">
        <f>перекрытие!E281</f>
        <v>204</v>
      </c>
      <c r="F1125" s="100"/>
      <c r="G1125" s="275">
        <f t="shared" si="181"/>
        <v>0</v>
      </c>
      <c r="H1125" s="100">
        <f t="shared" si="182"/>
        <v>0</v>
      </c>
      <c r="I1125" s="2911"/>
      <c r="J1125" s="2863"/>
      <c r="K1125" s="223">
        <f t="shared" si="183"/>
        <v>0</v>
      </c>
      <c r="L1125" s="2854"/>
    </row>
    <row r="1126" spans="1:12">
      <c r="A1126" s="2837"/>
      <c r="B1126" s="98" t="str">
        <f>перекрытие!A282</f>
        <v>ГПС 120х50-1,5</v>
      </c>
      <c r="C1126" s="99" t="str">
        <f>перекрытие!B282</f>
        <v>м.п.</v>
      </c>
      <c r="D1126" s="275">
        <f>перекрытие!D282</f>
        <v>0</v>
      </c>
      <c r="E1126" s="100">
        <f>перекрытие!E282</f>
        <v>272</v>
      </c>
      <c r="F1126" s="100"/>
      <c r="G1126" s="275">
        <f t="shared" si="181"/>
        <v>0</v>
      </c>
      <c r="H1126" s="100">
        <f t="shared" si="182"/>
        <v>0</v>
      </c>
      <c r="I1126" s="2911"/>
      <c r="J1126" s="2863"/>
      <c r="K1126" s="223">
        <f t="shared" si="183"/>
        <v>0</v>
      </c>
      <c r="L1126" s="2854"/>
    </row>
    <row r="1127" spans="1:12">
      <c r="A1127" s="2837"/>
      <c r="B1127" s="98" t="str">
        <f>перекрытие!A283</f>
        <v>ГПС 120х50-2,0</v>
      </c>
      <c r="C1127" s="99" t="str">
        <f>перекрытие!B283</f>
        <v>м.п.</v>
      </c>
      <c r="D1127" s="275">
        <f>перекрытие!D283</f>
        <v>0</v>
      </c>
      <c r="E1127" s="100">
        <f>перекрытие!E283</f>
        <v>179</v>
      </c>
      <c r="F1127" s="100"/>
      <c r="G1127" s="275">
        <f t="shared" si="181"/>
        <v>0</v>
      </c>
      <c r="H1127" s="100">
        <f t="shared" si="182"/>
        <v>0</v>
      </c>
      <c r="I1127" s="2911"/>
      <c r="J1127" s="2863"/>
      <c r="K1127" s="223">
        <f t="shared" si="183"/>
        <v>0</v>
      </c>
      <c r="L1127" s="2854"/>
    </row>
    <row r="1128" spans="1:12">
      <c r="A1128" s="2837"/>
      <c r="B1128" s="98" t="str">
        <f>перекрытие!A284</f>
        <v>ГПС 150х50-1,2</v>
      </c>
      <c r="C1128" s="99" t="str">
        <f>перекрытие!B284</f>
        <v>м.п.</v>
      </c>
      <c r="D1128" s="275">
        <f>перекрытие!D284</f>
        <v>0</v>
      </c>
      <c r="E1128" s="100">
        <f>перекрытие!E284</f>
        <v>224</v>
      </c>
      <c r="F1128" s="100"/>
      <c r="G1128" s="275">
        <f t="shared" si="181"/>
        <v>0</v>
      </c>
      <c r="H1128" s="100">
        <f t="shared" si="182"/>
        <v>0</v>
      </c>
      <c r="I1128" s="2911"/>
      <c r="J1128" s="2863"/>
      <c r="K1128" s="223">
        <f t="shared" si="183"/>
        <v>0</v>
      </c>
      <c r="L1128" s="2854"/>
    </row>
    <row r="1129" spans="1:12">
      <c r="A1129" s="2837"/>
      <c r="B1129" s="98" t="str">
        <f>перекрытие!A285</f>
        <v>ГПС 150х50-1,5</v>
      </c>
      <c r="C1129" s="99" t="str">
        <f>перекрытие!B285</f>
        <v>м.п.</v>
      </c>
      <c r="D1129" s="275">
        <f>перекрытие!D285</f>
        <v>0</v>
      </c>
      <c r="E1129" s="100">
        <f>перекрытие!E285</f>
        <v>299</v>
      </c>
      <c r="F1129" s="100"/>
      <c r="G1129" s="275">
        <f t="shared" si="181"/>
        <v>0</v>
      </c>
      <c r="H1129" s="100">
        <f t="shared" si="182"/>
        <v>0</v>
      </c>
      <c r="I1129" s="2911"/>
      <c r="J1129" s="2863"/>
      <c r="K1129" s="223">
        <f t="shared" si="183"/>
        <v>0</v>
      </c>
      <c r="L1129" s="2854"/>
    </row>
    <row r="1130" spans="1:12">
      <c r="A1130" s="2837"/>
      <c r="B1130" s="98" t="str">
        <f>перекрытие!A286</f>
        <v>ГПС 150х50-2,0</v>
      </c>
      <c r="C1130" s="99" t="str">
        <f>перекрытие!B286</f>
        <v>м.п.</v>
      </c>
      <c r="D1130" s="275">
        <f>перекрытие!D286</f>
        <v>0</v>
      </c>
      <c r="E1130" s="100">
        <f>перекрытие!E286</f>
        <v>201</v>
      </c>
      <c r="F1130" s="100"/>
      <c r="G1130" s="275">
        <f t="shared" si="181"/>
        <v>0</v>
      </c>
      <c r="H1130" s="100">
        <f t="shared" si="182"/>
        <v>0</v>
      </c>
      <c r="I1130" s="2911"/>
      <c r="J1130" s="2863"/>
      <c r="K1130" s="223">
        <f t="shared" si="183"/>
        <v>0</v>
      </c>
      <c r="L1130" s="2854"/>
    </row>
    <row r="1131" spans="1:12">
      <c r="A1131" s="2837"/>
      <c r="B1131" s="98" t="str">
        <f>перекрытие!A287</f>
        <v>ГПС 170х50-1,2</v>
      </c>
      <c r="C1131" s="99" t="str">
        <f>перекрытие!B287</f>
        <v>м.п.</v>
      </c>
      <c r="D1131" s="275">
        <f>перекрытие!D287</f>
        <v>0</v>
      </c>
      <c r="E1131" s="100">
        <f>перекрытие!E287</f>
        <v>252</v>
      </c>
      <c r="F1131" s="100"/>
      <c r="G1131" s="275">
        <f t="shared" si="181"/>
        <v>0</v>
      </c>
      <c r="H1131" s="100">
        <f t="shared" si="182"/>
        <v>0</v>
      </c>
      <c r="I1131" s="2911"/>
      <c r="J1131" s="2863"/>
      <c r="K1131" s="223">
        <f t="shared" si="183"/>
        <v>0</v>
      </c>
      <c r="L1131" s="2854"/>
    </row>
    <row r="1132" spans="1:12">
      <c r="A1132" s="2837"/>
      <c r="B1132" s="98" t="str">
        <f>перекрытие!A288</f>
        <v>ГПС 170х50-1,5</v>
      </c>
      <c r="C1132" s="99" t="str">
        <f>перекрытие!B288</f>
        <v>м.п.</v>
      </c>
      <c r="D1132" s="275">
        <f>перекрытие!D288</f>
        <v>0</v>
      </c>
      <c r="E1132" s="100">
        <f>перекрытие!E288</f>
        <v>330</v>
      </c>
      <c r="F1132" s="100"/>
      <c r="G1132" s="275">
        <f t="shared" si="181"/>
        <v>0</v>
      </c>
      <c r="H1132" s="100">
        <f t="shared" si="182"/>
        <v>0</v>
      </c>
      <c r="I1132" s="2911"/>
      <c r="J1132" s="2863"/>
      <c r="K1132" s="223">
        <f t="shared" si="183"/>
        <v>0</v>
      </c>
      <c r="L1132" s="2854"/>
    </row>
    <row r="1133" spans="1:12">
      <c r="A1133" s="2837"/>
      <c r="B1133" s="98" t="str">
        <f>перекрытие!A289</f>
        <v>ГПС 170х50-2,0</v>
      </c>
      <c r="C1133" s="99" t="str">
        <f>перекрытие!B289</f>
        <v>м.п.</v>
      </c>
      <c r="D1133" s="275">
        <f>перекрытие!D289</f>
        <v>0</v>
      </c>
      <c r="E1133" s="100">
        <f>перекрытие!E289</f>
        <v>215</v>
      </c>
      <c r="F1133" s="100"/>
      <c r="G1133" s="275">
        <f t="shared" si="181"/>
        <v>0</v>
      </c>
      <c r="H1133" s="100">
        <f t="shared" si="182"/>
        <v>0</v>
      </c>
      <c r="I1133" s="2911"/>
      <c r="J1133" s="2863"/>
      <c r="K1133" s="223">
        <f t="shared" si="183"/>
        <v>0</v>
      </c>
      <c r="L1133" s="2854"/>
    </row>
    <row r="1134" spans="1:12">
      <c r="A1134" s="2837"/>
      <c r="B1134" s="98" t="str">
        <f>перекрытие!A290</f>
        <v>ГПС 200х50-1,2</v>
      </c>
      <c r="C1134" s="99" t="str">
        <f>перекрытие!B290</f>
        <v>м.п.</v>
      </c>
      <c r="D1134" s="275">
        <f>перекрытие!D290</f>
        <v>0</v>
      </c>
      <c r="E1134" s="100">
        <f>перекрытие!E290</f>
        <v>269</v>
      </c>
      <c r="F1134" s="100"/>
      <c r="G1134" s="275">
        <f t="shared" si="181"/>
        <v>0</v>
      </c>
      <c r="H1134" s="100">
        <f t="shared" si="182"/>
        <v>0</v>
      </c>
      <c r="I1134" s="2911"/>
      <c r="J1134" s="2863"/>
      <c r="K1134" s="223">
        <f t="shared" si="183"/>
        <v>0</v>
      </c>
      <c r="L1134" s="2854"/>
    </row>
    <row r="1135" spans="1:12">
      <c r="A1135" s="2837"/>
      <c r="B1135" s="98" t="str">
        <f>перекрытие!A291</f>
        <v>ГПС 200х50-1,5</v>
      </c>
      <c r="C1135" s="99" t="str">
        <f>перекрытие!B291</f>
        <v>м.п.</v>
      </c>
      <c r="D1135" s="275">
        <f>перекрытие!D291</f>
        <v>0</v>
      </c>
      <c r="E1135" s="100">
        <f>перекрытие!E291</f>
        <v>358</v>
      </c>
      <c r="F1135" s="100"/>
      <c r="G1135" s="275">
        <f t="shared" si="181"/>
        <v>0</v>
      </c>
      <c r="H1135" s="100">
        <f t="shared" si="182"/>
        <v>0</v>
      </c>
      <c r="I1135" s="2911"/>
      <c r="J1135" s="2863"/>
      <c r="K1135" s="223">
        <f t="shared" si="183"/>
        <v>0</v>
      </c>
      <c r="L1135" s="2854"/>
    </row>
    <row r="1136" spans="1:12">
      <c r="A1136" s="2837"/>
      <c r="B1136" s="98" t="str">
        <f>перекрытие!A292</f>
        <v>ГПС 200х50-2,0</v>
      </c>
      <c r="C1136" s="99" t="str">
        <f>перекрытие!B292</f>
        <v>м.п.</v>
      </c>
      <c r="D1136" s="275">
        <f>перекрытие!D292</f>
        <v>0</v>
      </c>
      <c r="E1136" s="100">
        <f>перекрытие!E292</f>
        <v>239</v>
      </c>
      <c r="F1136" s="100"/>
      <c r="G1136" s="275">
        <f t="shared" si="181"/>
        <v>0</v>
      </c>
      <c r="H1136" s="100">
        <f t="shared" si="182"/>
        <v>0</v>
      </c>
      <c r="I1136" s="2911"/>
      <c r="J1136" s="2863"/>
      <c r="K1136" s="223">
        <f t="shared" si="183"/>
        <v>0</v>
      </c>
      <c r="L1136" s="2854"/>
    </row>
    <row r="1137" spans="1:12">
      <c r="A1137" s="2837"/>
      <c r="B1137" s="98" t="str">
        <f>перекрытие!A293</f>
        <v>ГПС 250х50-1,2</v>
      </c>
      <c r="C1137" s="99" t="str">
        <f>перекрытие!B293</f>
        <v>м.п.</v>
      </c>
      <c r="D1137" s="275">
        <f>перекрытие!D293</f>
        <v>0</v>
      </c>
      <c r="E1137" s="100">
        <f>перекрытие!E293</f>
        <v>299</v>
      </c>
      <c r="F1137" s="100"/>
      <c r="G1137" s="275">
        <f t="shared" si="181"/>
        <v>0</v>
      </c>
      <c r="H1137" s="100">
        <f t="shared" si="182"/>
        <v>0</v>
      </c>
      <c r="I1137" s="2911"/>
      <c r="J1137" s="2863"/>
      <c r="K1137" s="223">
        <f t="shared" si="183"/>
        <v>0</v>
      </c>
      <c r="L1137" s="2854"/>
    </row>
    <row r="1138" spans="1:12">
      <c r="A1138" s="2837"/>
      <c r="B1138" s="98" t="str">
        <f>перекрытие!A294</f>
        <v>ГПС 250х50-1,5</v>
      </c>
      <c r="C1138" s="99" t="str">
        <f>перекрытие!B294</f>
        <v>м.п.</v>
      </c>
      <c r="D1138" s="275">
        <f>перекрытие!D294</f>
        <v>0</v>
      </c>
      <c r="E1138" s="100">
        <f>перекрытие!E294</f>
        <v>397</v>
      </c>
      <c r="F1138" s="100"/>
      <c r="G1138" s="275">
        <f t="shared" si="181"/>
        <v>0</v>
      </c>
      <c r="H1138" s="100">
        <f t="shared" si="182"/>
        <v>0</v>
      </c>
      <c r="I1138" s="2911"/>
      <c r="J1138" s="2863"/>
      <c r="K1138" s="223">
        <f t="shared" si="183"/>
        <v>0</v>
      </c>
      <c r="L1138" s="2854"/>
    </row>
    <row r="1139" spans="1:12">
      <c r="A1139" s="2837"/>
      <c r="B1139" s="98" t="str">
        <f>перекрытие!A295</f>
        <v>ГПС 250х50-2,0</v>
      </c>
      <c r="C1139" s="99" t="str">
        <f>перекрытие!B295</f>
        <v>м.п.</v>
      </c>
      <c r="D1139" s="275">
        <f>перекрытие!D295</f>
        <v>0</v>
      </c>
      <c r="E1139" s="100">
        <f>перекрытие!E295</f>
        <v>274</v>
      </c>
      <c r="F1139" s="100"/>
      <c r="G1139" s="275">
        <f t="shared" si="181"/>
        <v>0</v>
      </c>
      <c r="H1139" s="100">
        <f t="shared" si="182"/>
        <v>0</v>
      </c>
      <c r="I1139" s="2911"/>
      <c r="J1139" s="2863"/>
      <c r="K1139" s="223">
        <f t="shared" si="183"/>
        <v>0</v>
      </c>
      <c r="L1139" s="2854"/>
    </row>
    <row r="1140" spans="1:12">
      <c r="A1140" s="2837"/>
      <c r="B1140" s="98" t="str">
        <f>перекрытие!A296</f>
        <v>ГПС 280х50-1,2</v>
      </c>
      <c r="C1140" s="99" t="str">
        <f>перекрытие!B296</f>
        <v>м.п.</v>
      </c>
      <c r="D1140" s="275">
        <f>перекрытие!D296</f>
        <v>0</v>
      </c>
      <c r="E1140" s="100">
        <f>перекрытие!E296</f>
        <v>344</v>
      </c>
      <c r="F1140" s="100"/>
      <c r="G1140" s="275">
        <f t="shared" si="181"/>
        <v>0</v>
      </c>
      <c r="H1140" s="100">
        <f t="shared" si="182"/>
        <v>0</v>
      </c>
      <c r="I1140" s="2911"/>
      <c r="J1140" s="2863"/>
      <c r="K1140" s="223">
        <f t="shared" si="183"/>
        <v>0</v>
      </c>
      <c r="L1140" s="2854"/>
    </row>
    <row r="1141" spans="1:12">
      <c r="A1141" s="2837"/>
      <c r="B1141" s="98" t="str">
        <f>перекрытие!A297</f>
        <v>ГПС 280х50-1,5</v>
      </c>
      <c r="C1141" s="99" t="str">
        <f>перекрытие!B297</f>
        <v>м.п.</v>
      </c>
      <c r="D1141" s="275">
        <f>перекрытие!D297</f>
        <v>0</v>
      </c>
      <c r="E1141" s="100">
        <f>перекрытие!E297</f>
        <v>450</v>
      </c>
      <c r="F1141" s="100"/>
      <c r="G1141" s="275">
        <f t="shared" si="181"/>
        <v>0</v>
      </c>
      <c r="H1141" s="100">
        <f t="shared" si="182"/>
        <v>0</v>
      </c>
      <c r="I1141" s="2911"/>
      <c r="J1141" s="2863"/>
      <c r="K1141" s="223">
        <f t="shared" si="183"/>
        <v>0</v>
      </c>
      <c r="L1141" s="2854"/>
    </row>
    <row r="1142" spans="1:12">
      <c r="A1142" s="2837"/>
      <c r="B1142" s="98" t="str">
        <f>перекрытие!A298</f>
        <v>ГПС 280х50-2,0</v>
      </c>
      <c r="C1142" s="99" t="str">
        <f>перекрытие!B298</f>
        <v>м.п.</v>
      </c>
      <c r="D1142" s="275">
        <f>перекрытие!D298</f>
        <v>0</v>
      </c>
      <c r="E1142" s="100">
        <f>перекрытие!E298</f>
        <v>293</v>
      </c>
      <c r="F1142" s="100"/>
      <c r="G1142" s="275">
        <f t="shared" si="181"/>
        <v>0</v>
      </c>
      <c r="H1142" s="100">
        <f t="shared" si="182"/>
        <v>0</v>
      </c>
      <c r="I1142" s="2911"/>
      <c r="J1142" s="2863"/>
      <c r="K1142" s="223">
        <f t="shared" si="183"/>
        <v>0</v>
      </c>
      <c r="L1142" s="2854"/>
    </row>
    <row r="1143" spans="1:12">
      <c r="A1143" s="2837"/>
      <c r="B1143" s="98" t="str">
        <f>перекрытие!A299</f>
        <v>ГПН 102х35-1,2</v>
      </c>
      <c r="C1143" s="99" t="str">
        <f>перекрытие!B299</f>
        <v>м.п.</v>
      </c>
      <c r="D1143" s="275">
        <f>перекрытие!D299</f>
        <v>0</v>
      </c>
      <c r="E1143" s="100">
        <f>перекрытие!E299</f>
        <v>127</v>
      </c>
      <c r="F1143" s="100"/>
      <c r="G1143" s="275">
        <f t="shared" si="181"/>
        <v>0</v>
      </c>
      <c r="H1143" s="100">
        <f t="shared" si="182"/>
        <v>0</v>
      </c>
      <c r="I1143" s="2911"/>
      <c r="J1143" s="2863"/>
      <c r="K1143" s="223">
        <f t="shared" si="183"/>
        <v>0</v>
      </c>
      <c r="L1143" s="2854"/>
    </row>
    <row r="1144" spans="1:12">
      <c r="A1144" s="2837"/>
      <c r="B1144" s="98" t="str">
        <f>перекрытие!A300</f>
        <v>ГПН 102х35-1,5</v>
      </c>
      <c r="C1144" s="99" t="str">
        <f>перекрытие!B300</f>
        <v>м.п.</v>
      </c>
      <c r="D1144" s="275">
        <f>перекрытие!D300</f>
        <v>0</v>
      </c>
      <c r="E1144" s="100">
        <f>перекрытие!E300</f>
        <v>158</v>
      </c>
      <c r="F1144" s="100"/>
      <c r="G1144" s="275">
        <f t="shared" si="181"/>
        <v>0</v>
      </c>
      <c r="H1144" s="100">
        <f t="shared" si="182"/>
        <v>0</v>
      </c>
      <c r="I1144" s="2911"/>
      <c r="J1144" s="2863"/>
      <c r="K1144" s="223">
        <f t="shared" si="183"/>
        <v>0</v>
      </c>
      <c r="L1144" s="2854"/>
    </row>
    <row r="1145" spans="1:12">
      <c r="A1145" s="2837"/>
      <c r="B1145" s="98" t="str">
        <f>перекрытие!A301</f>
        <v>ГПН 102х35-2,0</v>
      </c>
      <c r="C1145" s="99" t="str">
        <f>перекрытие!B301</f>
        <v>м.п.</v>
      </c>
      <c r="D1145" s="275">
        <f>перекрытие!D301</f>
        <v>0</v>
      </c>
      <c r="E1145" s="100">
        <f>перекрытие!E301</f>
        <v>199</v>
      </c>
      <c r="F1145" s="100"/>
      <c r="G1145" s="275">
        <f t="shared" si="181"/>
        <v>0</v>
      </c>
      <c r="H1145" s="100">
        <f t="shared" si="182"/>
        <v>0</v>
      </c>
      <c r="I1145" s="2911"/>
      <c r="J1145" s="2863"/>
      <c r="K1145" s="223">
        <f t="shared" si="183"/>
        <v>0</v>
      </c>
      <c r="L1145" s="2854"/>
    </row>
    <row r="1146" spans="1:12">
      <c r="A1146" s="2837"/>
      <c r="B1146" s="98" t="str">
        <f>перекрытие!A302</f>
        <v>ГПН 122х35-1,2</v>
      </c>
      <c r="C1146" s="99" t="str">
        <f>перекрытие!B302</f>
        <v>м.п.</v>
      </c>
      <c r="D1146" s="275">
        <f>перекрытие!D302</f>
        <v>0</v>
      </c>
      <c r="E1146" s="100">
        <f>перекрытие!E302</f>
        <v>131</v>
      </c>
      <c r="F1146" s="100"/>
      <c r="G1146" s="275">
        <f t="shared" si="181"/>
        <v>0</v>
      </c>
      <c r="H1146" s="100">
        <f t="shared" si="182"/>
        <v>0</v>
      </c>
      <c r="I1146" s="2911"/>
      <c r="J1146" s="2863"/>
      <c r="K1146" s="223">
        <f t="shared" si="183"/>
        <v>0</v>
      </c>
      <c r="L1146" s="2854"/>
    </row>
    <row r="1147" spans="1:12">
      <c r="A1147" s="2837"/>
      <c r="B1147" s="98" t="str">
        <f>перекрытие!A303</f>
        <v>ГПН 122х35-1,5</v>
      </c>
      <c r="C1147" s="99" t="str">
        <f>перекрытие!B303</f>
        <v>м.п.</v>
      </c>
      <c r="D1147" s="275">
        <f>перекрытие!D303</f>
        <v>0</v>
      </c>
      <c r="E1147" s="100">
        <f>перекрытие!E303</f>
        <v>163</v>
      </c>
      <c r="F1147" s="100"/>
      <c r="G1147" s="275">
        <f t="shared" si="181"/>
        <v>0</v>
      </c>
      <c r="H1147" s="100">
        <f t="shared" si="182"/>
        <v>0</v>
      </c>
      <c r="I1147" s="2911"/>
      <c r="J1147" s="2863"/>
      <c r="K1147" s="223">
        <f t="shared" si="183"/>
        <v>0</v>
      </c>
      <c r="L1147" s="2854"/>
    </row>
    <row r="1148" spans="1:12">
      <c r="A1148" s="2837"/>
      <c r="B1148" s="98" t="str">
        <f>перекрытие!A304</f>
        <v>ГПН 122х35-2,0</v>
      </c>
      <c r="C1148" s="99" t="str">
        <f>перекрытие!B304</f>
        <v>м.п.</v>
      </c>
      <c r="D1148" s="275">
        <f>перекрытие!D304</f>
        <v>0</v>
      </c>
      <c r="E1148" s="100">
        <f>перекрытие!E304</f>
        <v>216</v>
      </c>
      <c r="F1148" s="100"/>
      <c r="G1148" s="275">
        <f t="shared" si="181"/>
        <v>0</v>
      </c>
      <c r="H1148" s="100">
        <f t="shared" si="182"/>
        <v>0</v>
      </c>
      <c r="I1148" s="2911"/>
      <c r="J1148" s="2863"/>
      <c r="K1148" s="223">
        <f t="shared" si="183"/>
        <v>0</v>
      </c>
      <c r="L1148" s="2854"/>
    </row>
    <row r="1149" spans="1:12">
      <c r="A1149" s="2837"/>
      <c r="B1149" s="98" t="str">
        <f>перекрытие!A305</f>
        <v>ГПН 152х35-1,2</v>
      </c>
      <c r="C1149" s="99" t="str">
        <f>перекрытие!B305</f>
        <v>м.п.</v>
      </c>
      <c r="D1149" s="275">
        <f>перекрытие!D305</f>
        <v>0</v>
      </c>
      <c r="E1149" s="100">
        <f>перекрытие!E305</f>
        <v>163</v>
      </c>
      <c r="F1149" s="100"/>
      <c r="G1149" s="275">
        <f t="shared" si="181"/>
        <v>0</v>
      </c>
      <c r="H1149" s="100">
        <f t="shared" si="182"/>
        <v>0</v>
      </c>
      <c r="I1149" s="2911"/>
      <c r="J1149" s="2863"/>
      <c r="K1149" s="223">
        <f t="shared" si="183"/>
        <v>0</v>
      </c>
      <c r="L1149" s="2854"/>
    </row>
    <row r="1150" spans="1:12">
      <c r="A1150" s="2837"/>
      <c r="B1150" s="98" t="str">
        <f>перекрытие!A306</f>
        <v>ГПН 152х35-1,5</v>
      </c>
      <c r="C1150" s="99" t="str">
        <f>перекрытие!B306</f>
        <v>м.п.</v>
      </c>
      <c r="D1150" s="275">
        <f>перекрытие!D306</f>
        <v>0</v>
      </c>
      <c r="E1150" s="100">
        <f>перекрытие!E306</f>
        <v>203</v>
      </c>
      <c r="F1150" s="100"/>
      <c r="G1150" s="275">
        <f t="shared" si="181"/>
        <v>0</v>
      </c>
      <c r="H1150" s="100">
        <f t="shared" si="182"/>
        <v>0</v>
      </c>
      <c r="I1150" s="2911"/>
      <c r="J1150" s="2863"/>
      <c r="K1150" s="223">
        <f t="shared" si="183"/>
        <v>0</v>
      </c>
      <c r="L1150" s="2854"/>
    </row>
    <row r="1151" spans="1:12">
      <c r="A1151" s="2837"/>
      <c r="B1151" s="98" t="str">
        <f>перекрытие!A307</f>
        <v>ГПН 152х35-2,0</v>
      </c>
      <c r="C1151" s="99" t="str">
        <f>перекрытие!B307</f>
        <v>м.п.</v>
      </c>
      <c r="D1151" s="275">
        <f>перекрытие!D307</f>
        <v>0</v>
      </c>
      <c r="E1151" s="100">
        <f>перекрытие!E307</f>
        <v>259</v>
      </c>
      <c r="F1151" s="100"/>
      <c r="G1151" s="275">
        <f t="shared" si="181"/>
        <v>0</v>
      </c>
      <c r="H1151" s="100">
        <f t="shared" si="182"/>
        <v>0</v>
      </c>
      <c r="I1151" s="2911"/>
      <c r="J1151" s="2863"/>
      <c r="K1151" s="223">
        <f t="shared" si="183"/>
        <v>0</v>
      </c>
      <c r="L1151" s="2854"/>
    </row>
    <row r="1152" spans="1:12">
      <c r="A1152" s="2837"/>
      <c r="B1152" s="98" t="str">
        <f>перекрытие!A308</f>
        <v>ГПН 172х35-1,2</v>
      </c>
      <c r="C1152" s="99" t="str">
        <f>перекрытие!B308</f>
        <v>м.п.</v>
      </c>
      <c r="D1152" s="275">
        <f>перекрытие!D308</f>
        <v>0</v>
      </c>
      <c r="E1152" s="100">
        <f>перекрытие!E308</f>
        <v>166</v>
      </c>
      <c r="F1152" s="100"/>
      <c r="G1152" s="275">
        <f t="shared" si="181"/>
        <v>0</v>
      </c>
      <c r="H1152" s="100">
        <f t="shared" si="182"/>
        <v>0</v>
      </c>
      <c r="I1152" s="2911"/>
      <c r="J1152" s="2863"/>
      <c r="K1152" s="223">
        <f t="shared" si="183"/>
        <v>0</v>
      </c>
      <c r="L1152" s="2854"/>
    </row>
    <row r="1153" spans="1:12">
      <c r="A1153" s="2837"/>
      <c r="B1153" s="98" t="str">
        <f>перекрытие!A309</f>
        <v>ГПН 172х35-1,5</v>
      </c>
      <c r="C1153" s="99" t="str">
        <f>перекрытие!B309</f>
        <v>м.п.</v>
      </c>
      <c r="D1153" s="275">
        <f>перекрытие!D309</f>
        <v>0</v>
      </c>
      <c r="E1153" s="100">
        <f>перекрытие!E309</f>
        <v>207</v>
      </c>
      <c r="F1153" s="100"/>
      <c r="G1153" s="275">
        <f t="shared" si="181"/>
        <v>0</v>
      </c>
      <c r="H1153" s="100">
        <f t="shared" si="182"/>
        <v>0</v>
      </c>
      <c r="I1153" s="2911"/>
      <c r="J1153" s="2863"/>
      <c r="K1153" s="223">
        <f t="shared" si="183"/>
        <v>0</v>
      </c>
      <c r="L1153" s="2854"/>
    </row>
    <row r="1154" spans="1:12">
      <c r="A1154" s="2837"/>
      <c r="B1154" s="98" t="str">
        <f>перекрытие!A310</f>
        <v>ГПН 172х35-2,0</v>
      </c>
      <c r="C1154" s="99" t="str">
        <f>перекрытие!B310</f>
        <v>м.п.</v>
      </c>
      <c r="D1154" s="275">
        <f>перекрытие!D310</f>
        <v>0</v>
      </c>
      <c r="E1154" s="100">
        <f>перекрытие!E310</f>
        <v>274</v>
      </c>
      <c r="F1154" s="100"/>
      <c r="G1154" s="275">
        <f t="shared" si="181"/>
        <v>0</v>
      </c>
      <c r="H1154" s="100">
        <f t="shared" si="182"/>
        <v>0</v>
      </c>
      <c r="I1154" s="2911"/>
      <c r="J1154" s="2863"/>
      <c r="K1154" s="223">
        <f t="shared" si="183"/>
        <v>0</v>
      </c>
      <c r="L1154" s="2854"/>
    </row>
    <row r="1155" spans="1:12">
      <c r="A1155" s="2837"/>
      <c r="B1155" s="98" t="str">
        <f>перекрытие!A311</f>
        <v>ГПН 202х35-1,2</v>
      </c>
      <c r="C1155" s="99" t="str">
        <f>перекрытие!B311</f>
        <v>м.п.</v>
      </c>
      <c r="D1155" s="275">
        <f>перекрытие!D311</f>
        <v>0</v>
      </c>
      <c r="E1155" s="100">
        <f>перекрытие!E311</f>
        <v>201</v>
      </c>
      <c r="F1155" s="100"/>
      <c r="G1155" s="275">
        <f t="shared" si="181"/>
        <v>0</v>
      </c>
      <c r="H1155" s="100">
        <f t="shared" si="182"/>
        <v>0</v>
      </c>
      <c r="I1155" s="2911"/>
      <c r="J1155" s="2863"/>
      <c r="K1155" s="223">
        <f t="shared" si="183"/>
        <v>0</v>
      </c>
      <c r="L1155" s="2854"/>
    </row>
    <row r="1156" spans="1:12">
      <c r="A1156" s="2837"/>
      <c r="B1156" s="98" t="str">
        <f>перекрытие!A312</f>
        <v>ГПН 202х35-1,5</v>
      </c>
      <c r="C1156" s="99" t="str">
        <f>перекрытие!B312</f>
        <v>м.п.</v>
      </c>
      <c r="D1156" s="275">
        <f>перекрытие!D312</f>
        <v>0</v>
      </c>
      <c r="E1156" s="100">
        <f>перекрытие!E312</f>
        <v>252</v>
      </c>
      <c r="F1156" s="100"/>
      <c r="G1156" s="275">
        <f t="shared" si="181"/>
        <v>0</v>
      </c>
      <c r="H1156" s="100">
        <f t="shared" si="182"/>
        <v>0</v>
      </c>
      <c r="I1156" s="2911"/>
      <c r="J1156" s="2863"/>
      <c r="K1156" s="223">
        <f t="shared" si="183"/>
        <v>0</v>
      </c>
      <c r="L1156" s="2854"/>
    </row>
    <row r="1157" spans="1:12">
      <c r="A1157" s="2837"/>
      <c r="B1157" s="98" t="str">
        <f>перекрытие!A313</f>
        <v>ГПН 202х35-2,0</v>
      </c>
      <c r="C1157" s="99" t="str">
        <f>перекрытие!B313</f>
        <v>м.п.</v>
      </c>
      <c r="D1157" s="275">
        <f>перекрытие!D313</f>
        <v>0</v>
      </c>
      <c r="E1157" s="100">
        <f>перекрытие!E313</f>
        <v>318</v>
      </c>
      <c r="F1157" s="100"/>
      <c r="G1157" s="275">
        <f t="shared" si="181"/>
        <v>0</v>
      </c>
      <c r="H1157" s="100">
        <f t="shared" si="182"/>
        <v>0</v>
      </c>
      <c r="I1157" s="2911"/>
      <c r="J1157" s="2863"/>
      <c r="K1157" s="223">
        <f t="shared" si="183"/>
        <v>0</v>
      </c>
      <c r="L1157" s="2854"/>
    </row>
    <row r="1158" spans="1:12">
      <c r="A1158" s="2837"/>
      <c r="B1158" s="98" t="str">
        <f>перекрытие!A314</f>
        <v>ГПН 252х35-1,2</v>
      </c>
      <c r="C1158" s="99" t="str">
        <f>перекрытие!B314</f>
        <v>м.п.</v>
      </c>
      <c r="D1158" s="275">
        <f>перекрытие!D314</f>
        <v>0</v>
      </c>
      <c r="E1158" s="100">
        <f>перекрытие!E314</f>
        <v>226</v>
      </c>
      <c r="F1158" s="100"/>
      <c r="G1158" s="275">
        <f t="shared" si="181"/>
        <v>0</v>
      </c>
      <c r="H1158" s="100">
        <f t="shared" si="182"/>
        <v>0</v>
      </c>
      <c r="I1158" s="2911"/>
      <c r="J1158" s="2863"/>
      <c r="K1158" s="223">
        <f t="shared" si="183"/>
        <v>0</v>
      </c>
      <c r="L1158" s="2854"/>
    </row>
    <row r="1159" spans="1:12">
      <c r="A1159" s="2837"/>
      <c r="B1159" s="98" t="str">
        <f>перекрытие!A315</f>
        <v>ГПН 252х35-1,5</v>
      </c>
      <c r="C1159" s="99" t="str">
        <f>перекрытие!B315</f>
        <v>м.п.</v>
      </c>
      <c r="D1159" s="275">
        <f>перекрытие!D315</f>
        <v>0</v>
      </c>
      <c r="E1159" s="100">
        <f>перекрытие!E315</f>
        <v>283</v>
      </c>
      <c r="F1159" s="100"/>
      <c r="G1159" s="275">
        <f t="shared" si="181"/>
        <v>0</v>
      </c>
      <c r="H1159" s="100">
        <f t="shared" si="182"/>
        <v>0</v>
      </c>
      <c r="I1159" s="2911"/>
      <c r="J1159" s="2863"/>
      <c r="K1159" s="223">
        <f t="shared" si="183"/>
        <v>0</v>
      </c>
      <c r="L1159" s="2854"/>
    </row>
    <row r="1160" spans="1:12">
      <c r="A1160" s="2837"/>
      <c r="B1160" s="98" t="str">
        <f>перекрытие!A316</f>
        <v>ГПН 252х35-2,0</v>
      </c>
      <c r="C1160" s="99" t="str">
        <f>перекрытие!B316</f>
        <v>м.п.</v>
      </c>
      <c r="D1160" s="275">
        <f>перекрытие!D316</f>
        <v>0</v>
      </c>
      <c r="E1160" s="100">
        <f>перекрытие!E316</f>
        <v>378</v>
      </c>
      <c r="F1160" s="100"/>
      <c r="G1160" s="275">
        <f t="shared" si="181"/>
        <v>0</v>
      </c>
      <c r="H1160" s="100">
        <f t="shared" si="182"/>
        <v>0</v>
      </c>
      <c r="I1160" s="2911"/>
      <c r="J1160" s="2863"/>
      <c r="K1160" s="223">
        <f t="shared" si="183"/>
        <v>0</v>
      </c>
      <c r="L1160" s="2854"/>
    </row>
    <row r="1161" spans="1:12">
      <c r="A1161" s="2837"/>
      <c r="B1161" s="98" t="str">
        <f>перекрытие!A317</f>
        <v>ГПН 282х35-1,2</v>
      </c>
      <c r="C1161" s="99" t="str">
        <f>перекрытие!B317</f>
        <v>м.п.</v>
      </c>
      <c r="D1161" s="275">
        <f>перекрытие!D317</f>
        <v>0</v>
      </c>
      <c r="E1161" s="100">
        <f>перекрытие!E317</f>
        <v>275</v>
      </c>
      <c r="F1161" s="100"/>
      <c r="G1161" s="275">
        <f t="shared" ref="G1161:G1224" si="184">IF(F1161&gt;0,D1161*F1161,E1161*D1161)</f>
        <v>0</v>
      </c>
      <c r="H1161" s="100">
        <f t="shared" ref="H1161:H1201" si="185">E1161*D1161*$H$903</f>
        <v>0</v>
      </c>
      <c r="I1161" s="2911"/>
      <c r="J1161" s="2863"/>
      <c r="K1161" s="223">
        <f t="shared" ref="K1161:K1224" si="186">D1161-J1161</f>
        <v>0</v>
      </c>
      <c r="L1161" s="2854"/>
    </row>
    <row r="1162" spans="1:12">
      <c r="A1162" s="2837"/>
      <c r="B1162" s="98" t="str">
        <f>перекрытие!A318</f>
        <v>Саморез 5,5 х 25</v>
      </c>
      <c r="C1162" s="99"/>
      <c r="D1162" s="275">
        <f>перекрытие!D318</f>
        <v>0</v>
      </c>
      <c r="E1162" s="100">
        <f>перекрытие!E318</f>
        <v>2.5</v>
      </c>
      <c r="F1162" s="100"/>
      <c r="G1162" s="275">
        <f t="shared" si="184"/>
        <v>0</v>
      </c>
      <c r="H1162" s="100">
        <f t="shared" si="185"/>
        <v>0</v>
      </c>
      <c r="I1162" s="2911"/>
      <c r="J1162" s="2863"/>
      <c r="K1162" s="223">
        <f t="shared" si="186"/>
        <v>0</v>
      </c>
      <c r="L1162" s="2854"/>
    </row>
    <row r="1163" spans="1:12">
      <c r="A1163" s="2837"/>
      <c r="B1163" s="98" t="str">
        <f>перекрытие!A322</f>
        <v>ГПС 100х50-1,2</v>
      </c>
      <c r="C1163" s="99" t="str">
        <f>перекрытие!B322</f>
        <v>м.п.</v>
      </c>
      <c r="D1163" s="275">
        <f>перекрытие!D322</f>
        <v>0</v>
      </c>
      <c r="E1163" s="100">
        <f>перекрытие!E322</f>
        <v>163</v>
      </c>
      <c r="F1163" s="100"/>
      <c r="G1163" s="275">
        <f t="shared" si="184"/>
        <v>0</v>
      </c>
      <c r="H1163" s="100">
        <f t="shared" si="185"/>
        <v>0</v>
      </c>
      <c r="I1163" s="2911"/>
      <c r="J1163" s="2863"/>
      <c r="K1163" s="223">
        <f t="shared" si="186"/>
        <v>0</v>
      </c>
      <c r="L1163" s="2854"/>
    </row>
    <row r="1164" spans="1:12">
      <c r="A1164" s="2837"/>
      <c r="B1164" s="98" t="str">
        <f>перекрытие!A323</f>
        <v>ГПС 100х50-1,5</v>
      </c>
      <c r="C1164" s="99" t="str">
        <f>перекрытие!B323</f>
        <v>м.п.</v>
      </c>
      <c r="D1164" s="275">
        <f>перекрытие!D323</f>
        <v>0</v>
      </c>
      <c r="E1164" s="100">
        <f>перекрытие!E323</f>
        <v>204</v>
      </c>
      <c r="F1164" s="100"/>
      <c r="G1164" s="275">
        <f t="shared" si="184"/>
        <v>0</v>
      </c>
      <c r="H1164" s="100">
        <f t="shared" si="185"/>
        <v>0</v>
      </c>
      <c r="I1164" s="2911"/>
      <c r="J1164" s="2863"/>
      <c r="K1164" s="223">
        <f t="shared" si="186"/>
        <v>0</v>
      </c>
      <c r="L1164" s="2854"/>
    </row>
    <row r="1165" spans="1:12">
      <c r="A1165" s="2837"/>
      <c r="B1165" s="98" t="str">
        <f>перекрытие!A324</f>
        <v>ГПС 120х50-1,5</v>
      </c>
      <c r="C1165" s="99" t="str">
        <f>перекрытие!B324</f>
        <v>м.п.</v>
      </c>
      <c r="D1165" s="275">
        <f>перекрытие!D324</f>
        <v>0</v>
      </c>
      <c r="E1165" s="100">
        <f>перекрытие!E324</f>
        <v>272</v>
      </c>
      <c r="F1165" s="100"/>
      <c r="G1165" s="275">
        <f t="shared" si="184"/>
        <v>0</v>
      </c>
      <c r="H1165" s="100">
        <f t="shared" si="185"/>
        <v>0</v>
      </c>
      <c r="I1165" s="2911"/>
      <c r="J1165" s="2863"/>
      <c r="K1165" s="223">
        <f t="shared" si="186"/>
        <v>0</v>
      </c>
      <c r="L1165" s="2854"/>
    </row>
    <row r="1166" spans="1:12">
      <c r="A1166" s="2837"/>
      <c r="B1166" s="98" t="str">
        <f>перекрытие!A325</f>
        <v>ГПС 120х50-2,0</v>
      </c>
      <c r="C1166" s="99" t="str">
        <f>перекрытие!B325</f>
        <v>м.п.</v>
      </c>
      <c r="D1166" s="275">
        <f>перекрытие!D325</f>
        <v>0</v>
      </c>
      <c r="E1166" s="100">
        <f>перекрытие!E325</f>
        <v>179</v>
      </c>
      <c r="F1166" s="100"/>
      <c r="G1166" s="275">
        <f t="shared" si="184"/>
        <v>0</v>
      </c>
      <c r="H1166" s="100">
        <f t="shared" si="185"/>
        <v>0</v>
      </c>
      <c r="I1166" s="2911"/>
      <c r="J1166" s="2863"/>
      <c r="K1166" s="223">
        <f t="shared" si="186"/>
        <v>0</v>
      </c>
      <c r="L1166" s="2854"/>
    </row>
    <row r="1167" spans="1:12">
      <c r="A1167" s="2837"/>
      <c r="B1167" s="98" t="str">
        <f>перекрытие!A326</f>
        <v>ГПС 150х50-1,2</v>
      </c>
      <c r="C1167" s="99" t="str">
        <f>перекрытие!B326</f>
        <v>м.п.</v>
      </c>
      <c r="D1167" s="275">
        <f>перекрытие!D326</f>
        <v>0</v>
      </c>
      <c r="E1167" s="100">
        <f>перекрытие!E326</f>
        <v>224</v>
      </c>
      <c r="F1167" s="100"/>
      <c r="G1167" s="275">
        <f t="shared" si="184"/>
        <v>0</v>
      </c>
      <c r="H1167" s="100">
        <f t="shared" si="185"/>
        <v>0</v>
      </c>
      <c r="I1167" s="2911"/>
      <c r="J1167" s="2863"/>
      <c r="K1167" s="223">
        <f t="shared" si="186"/>
        <v>0</v>
      </c>
      <c r="L1167" s="2854"/>
    </row>
    <row r="1168" spans="1:12">
      <c r="A1168" s="2837"/>
      <c r="B1168" s="98" t="str">
        <f>перекрытие!A327</f>
        <v>ГПС 150х50-1,5</v>
      </c>
      <c r="C1168" s="99" t="str">
        <f>перекрытие!B327</f>
        <v>м.п.</v>
      </c>
      <c r="D1168" s="275">
        <f>перекрытие!D327</f>
        <v>0</v>
      </c>
      <c r="E1168" s="100">
        <f>перекрытие!E327</f>
        <v>299</v>
      </c>
      <c r="F1168" s="100"/>
      <c r="G1168" s="275">
        <f t="shared" si="184"/>
        <v>0</v>
      </c>
      <c r="H1168" s="100">
        <f t="shared" si="185"/>
        <v>0</v>
      </c>
      <c r="I1168" s="2911"/>
      <c r="J1168" s="2863"/>
      <c r="K1168" s="223">
        <f t="shared" si="186"/>
        <v>0</v>
      </c>
      <c r="L1168" s="2854"/>
    </row>
    <row r="1169" spans="1:12">
      <c r="A1169" s="2837"/>
      <c r="B1169" s="98" t="str">
        <f>перекрытие!A328</f>
        <v>ГПС 150х50-2,0</v>
      </c>
      <c r="C1169" s="99" t="str">
        <f>перекрытие!B328</f>
        <v>м.п.</v>
      </c>
      <c r="D1169" s="275">
        <f>перекрытие!D328</f>
        <v>0</v>
      </c>
      <c r="E1169" s="100">
        <f>перекрытие!E328</f>
        <v>201</v>
      </c>
      <c r="F1169" s="100"/>
      <c r="G1169" s="275">
        <f t="shared" si="184"/>
        <v>0</v>
      </c>
      <c r="H1169" s="100">
        <f t="shared" si="185"/>
        <v>0</v>
      </c>
      <c r="I1169" s="2911"/>
      <c r="J1169" s="2863"/>
      <c r="K1169" s="223">
        <f t="shared" si="186"/>
        <v>0</v>
      </c>
      <c r="L1169" s="2854"/>
    </row>
    <row r="1170" spans="1:12">
      <c r="A1170" s="2837"/>
      <c r="B1170" s="98" t="str">
        <f>перекрытие!A329</f>
        <v>ГПС 170х50-1,2</v>
      </c>
      <c r="C1170" s="99" t="str">
        <f>перекрытие!B329</f>
        <v>м.п.</v>
      </c>
      <c r="D1170" s="275">
        <f>перекрытие!D329</f>
        <v>0</v>
      </c>
      <c r="E1170" s="100">
        <f>перекрытие!E329</f>
        <v>252</v>
      </c>
      <c r="F1170" s="100"/>
      <c r="G1170" s="275">
        <f t="shared" si="184"/>
        <v>0</v>
      </c>
      <c r="H1170" s="100">
        <f t="shared" si="185"/>
        <v>0</v>
      </c>
      <c r="I1170" s="2911"/>
      <c r="J1170" s="2863"/>
      <c r="K1170" s="223">
        <f t="shared" si="186"/>
        <v>0</v>
      </c>
      <c r="L1170" s="2854"/>
    </row>
    <row r="1171" spans="1:12">
      <c r="A1171" s="2837"/>
      <c r="B1171" s="98" t="str">
        <f>перекрытие!A330</f>
        <v>ГПС 170х50-1,5</v>
      </c>
      <c r="C1171" s="99" t="str">
        <f>перекрытие!B330</f>
        <v>м.п.</v>
      </c>
      <c r="D1171" s="275">
        <f>перекрытие!D330</f>
        <v>0</v>
      </c>
      <c r="E1171" s="100">
        <f>перекрытие!E330</f>
        <v>330</v>
      </c>
      <c r="F1171" s="100"/>
      <c r="G1171" s="275">
        <f t="shared" si="184"/>
        <v>0</v>
      </c>
      <c r="H1171" s="100">
        <f t="shared" si="185"/>
        <v>0</v>
      </c>
      <c r="I1171" s="2911"/>
      <c r="J1171" s="2863"/>
      <c r="K1171" s="223">
        <f t="shared" si="186"/>
        <v>0</v>
      </c>
      <c r="L1171" s="2854"/>
    </row>
    <row r="1172" spans="1:12">
      <c r="A1172" s="2837"/>
      <c r="B1172" s="98" t="str">
        <f>перекрытие!A331</f>
        <v>ГПС 170х50-2,0</v>
      </c>
      <c r="C1172" s="99" t="str">
        <f>перекрытие!B331</f>
        <v>м.п.</v>
      </c>
      <c r="D1172" s="275">
        <f>перекрытие!D331</f>
        <v>0</v>
      </c>
      <c r="E1172" s="100">
        <f>перекрытие!E331</f>
        <v>215</v>
      </c>
      <c r="F1172" s="100"/>
      <c r="G1172" s="275">
        <f t="shared" si="184"/>
        <v>0</v>
      </c>
      <c r="H1172" s="100">
        <f t="shared" si="185"/>
        <v>0</v>
      </c>
      <c r="I1172" s="2911"/>
      <c r="J1172" s="2863"/>
      <c r="K1172" s="223">
        <f t="shared" si="186"/>
        <v>0</v>
      </c>
      <c r="L1172" s="2854"/>
    </row>
    <row r="1173" spans="1:12">
      <c r="A1173" s="2837"/>
      <c r="B1173" s="98" t="str">
        <f>перекрытие!A332</f>
        <v>ГПС 200х50-1,2</v>
      </c>
      <c r="C1173" s="99" t="str">
        <f>перекрытие!B332</f>
        <v>м.п.</v>
      </c>
      <c r="D1173" s="275">
        <f>перекрытие!D332</f>
        <v>0</v>
      </c>
      <c r="E1173" s="100">
        <f>перекрытие!E332</f>
        <v>269</v>
      </c>
      <c r="F1173" s="100"/>
      <c r="G1173" s="275">
        <f t="shared" si="184"/>
        <v>0</v>
      </c>
      <c r="H1173" s="100">
        <f t="shared" si="185"/>
        <v>0</v>
      </c>
      <c r="I1173" s="2911"/>
      <c r="J1173" s="2863"/>
      <c r="K1173" s="223">
        <f t="shared" si="186"/>
        <v>0</v>
      </c>
      <c r="L1173" s="2854"/>
    </row>
    <row r="1174" spans="1:12">
      <c r="A1174" s="2837"/>
      <c r="B1174" s="98" t="str">
        <f>перекрытие!A333</f>
        <v>ГПС 200х50-1,5</v>
      </c>
      <c r="C1174" s="99" t="str">
        <f>перекрытие!B333</f>
        <v>м.п.</v>
      </c>
      <c r="D1174" s="275">
        <f>перекрытие!D333</f>
        <v>0</v>
      </c>
      <c r="E1174" s="100">
        <f>перекрытие!E333</f>
        <v>358</v>
      </c>
      <c r="F1174" s="100"/>
      <c r="G1174" s="275">
        <f t="shared" si="184"/>
        <v>0</v>
      </c>
      <c r="H1174" s="100">
        <f t="shared" si="185"/>
        <v>0</v>
      </c>
      <c r="I1174" s="2911"/>
      <c r="J1174" s="2863"/>
      <c r="K1174" s="223">
        <f t="shared" si="186"/>
        <v>0</v>
      </c>
      <c r="L1174" s="2854"/>
    </row>
    <row r="1175" spans="1:12">
      <c r="A1175" s="2837"/>
      <c r="B1175" s="98" t="str">
        <f>перекрытие!A334</f>
        <v>ГПС 200х50-2,0</v>
      </c>
      <c r="C1175" s="99" t="str">
        <f>перекрытие!B334</f>
        <v>м.п.</v>
      </c>
      <c r="D1175" s="275">
        <f>перекрытие!D334</f>
        <v>0</v>
      </c>
      <c r="E1175" s="100">
        <f>перекрытие!E334</f>
        <v>239</v>
      </c>
      <c r="F1175" s="100"/>
      <c r="G1175" s="275">
        <f t="shared" si="184"/>
        <v>0</v>
      </c>
      <c r="H1175" s="100">
        <f t="shared" si="185"/>
        <v>0</v>
      </c>
      <c r="I1175" s="2911"/>
      <c r="J1175" s="2863"/>
      <c r="K1175" s="223">
        <f t="shared" si="186"/>
        <v>0</v>
      </c>
      <c r="L1175" s="2854"/>
    </row>
    <row r="1176" spans="1:12">
      <c r="A1176" s="2837"/>
      <c r="B1176" s="98" t="str">
        <f>перекрытие!A335</f>
        <v>ГПС 250х50-1,2</v>
      </c>
      <c r="C1176" s="99" t="str">
        <f>перекрытие!B335</f>
        <v>м.п.</v>
      </c>
      <c r="D1176" s="275">
        <f>перекрытие!D335</f>
        <v>0</v>
      </c>
      <c r="E1176" s="100">
        <f>перекрытие!E335</f>
        <v>299</v>
      </c>
      <c r="F1176" s="100"/>
      <c r="G1176" s="275">
        <f t="shared" si="184"/>
        <v>0</v>
      </c>
      <c r="H1176" s="100">
        <f t="shared" si="185"/>
        <v>0</v>
      </c>
      <c r="I1176" s="2911"/>
      <c r="J1176" s="2863"/>
      <c r="K1176" s="223">
        <f t="shared" si="186"/>
        <v>0</v>
      </c>
      <c r="L1176" s="2854"/>
    </row>
    <row r="1177" spans="1:12">
      <c r="A1177" s="2837"/>
      <c r="B1177" s="98" t="str">
        <f>перекрытие!A336</f>
        <v>ГПС 250х50-1,5</v>
      </c>
      <c r="C1177" s="99" t="str">
        <f>перекрытие!B336</f>
        <v>м.п.</v>
      </c>
      <c r="D1177" s="275">
        <f>перекрытие!D336</f>
        <v>0</v>
      </c>
      <c r="E1177" s="100">
        <f>перекрытие!E336</f>
        <v>397</v>
      </c>
      <c r="F1177" s="100"/>
      <c r="G1177" s="275">
        <f t="shared" si="184"/>
        <v>0</v>
      </c>
      <c r="H1177" s="100">
        <f t="shared" si="185"/>
        <v>0</v>
      </c>
      <c r="I1177" s="2911"/>
      <c r="J1177" s="2863"/>
      <c r="K1177" s="223">
        <f t="shared" si="186"/>
        <v>0</v>
      </c>
      <c r="L1177" s="2854"/>
    </row>
    <row r="1178" spans="1:12">
      <c r="A1178" s="2837"/>
      <c r="B1178" s="98" t="str">
        <f>перекрытие!A337</f>
        <v>ГПС 250х50-2,0</v>
      </c>
      <c r="C1178" s="99" t="str">
        <f>перекрытие!B337</f>
        <v>м.п.</v>
      </c>
      <c r="D1178" s="275">
        <f>перекрытие!D337</f>
        <v>0</v>
      </c>
      <c r="E1178" s="100">
        <f>перекрытие!E337</f>
        <v>274</v>
      </c>
      <c r="F1178" s="100"/>
      <c r="G1178" s="275">
        <f t="shared" si="184"/>
        <v>0</v>
      </c>
      <c r="H1178" s="100">
        <f t="shared" si="185"/>
        <v>0</v>
      </c>
      <c r="I1178" s="2911"/>
      <c r="J1178" s="2863"/>
      <c r="K1178" s="223">
        <f t="shared" si="186"/>
        <v>0</v>
      </c>
      <c r="L1178" s="2854"/>
    </row>
    <row r="1179" spans="1:12">
      <c r="A1179" s="2837"/>
      <c r="B1179" s="98" t="str">
        <f>перекрытие!A338</f>
        <v>ГПС 280х50-1,2</v>
      </c>
      <c r="C1179" s="99" t="str">
        <f>перекрытие!B338</f>
        <v>м.п.</v>
      </c>
      <c r="D1179" s="275">
        <f>перекрытие!D338</f>
        <v>0</v>
      </c>
      <c r="E1179" s="100">
        <f>перекрытие!E338</f>
        <v>344</v>
      </c>
      <c r="F1179" s="100"/>
      <c r="G1179" s="275">
        <f t="shared" si="184"/>
        <v>0</v>
      </c>
      <c r="H1179" s="100">
        <f t="shared" si="185"/>
        <v>0</v>
      </c>
      <c r="I1179" s="2911"/>
      <c r="J1179" s="2863"/>
      <c r="K1179" s="223">
        <f t="shared" si="186"/>
        <v>0</v>
      </c>
      <c r="L1179" s="2854"/>
    </row>
    <row r="1180" spans="1:12">
      <c r="A1180" s="2837"/>
      <c r="B1180" s="98" t="str">
        <f>перекрытие!A339</f>
        <v>ГПС 280х50-1,5</v>
      </c>
      <c r="C1180" s="99" t="str">
        <f>перекрытие!B339</f>
        <v>м.п.</v>
      </c>
      <c r="D1180" s="275">
        <f>перекрытие!D339</f>
        <v>0</v>
      </c>
      <c r="E1180" s="100">
        <f>перекрытие!E339</f>
        <v>450</v>
      </c>
      <c r="F1180" s="100"/>
      <c r="G1180" s="275">
        <f t="shared" si="184"/>
        <v>0</v>
      </c>
      <c r="H1180" s="100">
        <f t="shared" si="185"/>
        <v>0</v>
      </c>
      <c r="I1180" s="2911"/>
      <c r="J1180" s="2863"/>
      <c r="K1180" s="223">
        <f t="shared" si="186"/>
        <v>0</v>
      </c>
      <c r="L1180" s="2854"/>
    </row>
    <row r="1181" spans="1:12">
      <c r="A1181" s="2837"/>
      <c r="B1181" s="98" t="str">
        <f>перекрытие!A340</f>
        <v>ГПС 280х50-2,0</v>
      </c>
      <c r="C1181" s="99" t="str">
        <f>перекрытие!B340</f>
        <v>м.п.</v>
      </c>
      <c r="D1181" s="275">
        <f>перекрытие!D340</f>
        <v>0</v>
      </c>
      <c r="E1181" s="100">
        <f>перекрытие!E340</f>
        <v>293</v>
      </c>
      <c r="F1181" s="100"/>
      <c r="G1181" s="275">
        <f t="shared" si="184"/>
        <v>0</v>
      </c>
      <c r="H1181" s="100">
        <f t="shared" si="185"/>
        <v>0</v>
      </c>
      <c r="I1181" s="2911"/>
      <c r="J1181" s="2863"/>
      <c r="K1181" s="223">
        <f t="shared" si="186"/>
        <v>0</v>
      </c>
      <c r="L1181" s="2854"/>
    </row>
    <row r="1182" spans="1:12">
      <c r="A1182" s="2837"/>
      <c r="B1182" s="98" t="str">
        <f>перекрытие!A341</f>
        <v>ГПН 102х35-1,2</v>
      </c>
      <c r="C1182" s="99" t="str">
        <f>перекрытие!B341</f>
        <v>м.п.</v>
      </c>
      <c r="D1182" s="275">
        <f>перекрытие!D341</f>
        <v>0</v>
      </c>
      <c r="E1182" s="100">
        <f>перекрытие!E341</f>
        <v>127</v>
      </c>
      <c r="F1182" s="100"/>
      <c r="G1182" s="275">
        <f t="shared" si="184"/>
        <v>0</v>
      </c>
      <c r="H1182" s="100">
        <f t="shared" si="185"/>
        <v>0</v>
      </c>
      <c r="I1182" s="2911"/>
      <c r="J1182" s="2863"/>
      <c r="K1182" s="223">
        <f t="shared" si="186"/>
        <v>0</v>
      </c>
      <c r="L1182" s="2854"/>
    </row>
    <row r="1183" spans="1:12">
      <c r="A1183" s="2837"/>
      <c r="B1183" s="98" t="str">
        <f>перекрытие!A342</f>
        <v>ГПН 102х35-1,5</v>
      </c>
      <c r="C1183" s="99" t="str">
        <f>перекрытие!B342</f>
        <v>м.п.</v>
      </c>
      <c r="D1183" s="275">
        <f>перекрытие!D342</f>
        <v>0</v>
      </c>
      <c r="E1183" s="100">
        <f>перекрытие!E342</f>
        <v>158</v>
      </c>
      <c r="F1183" s="100"/>
      <c r="G1183" s="275">
        <f t="shared" si="184"/>
        <v>0</v>
      </c>
      <c r="H1183" s="100">
        <f t="shared" si="185"/>
        <v>0</v>
      </c>
      <c r="I1183" s="2911"/>
      <c r="J1183" s="2863"/>
      <c r="K1183" s="223">
        <f t="shared" si="186"/>
        <v>0</v>
      </c>
      <c r="L1183" s="2854"/>
    </row>
    <row r="1184" spans="1:12">
      <c r="A1184" s="2837"/>
      <c r="B1184" s="98" t="str">
        <f>перекрытие!A343</f>
        <v>ГПН 102х35-2,0</v>
      </c>
      <c r="C1184" s="99" t="str">
        <f>перекрытие!B343</f>
        <v>м.п.</v>
      </c>
      <c r="D1184" s="275">
        <f>перекрытие!D343</f>
        <v>0</v>
      </c>
      <c r="E1184" s="100">
        <f>перекрытие!E343</f>
        <v>199</v>
      </c>
      <c r="F1184" s="100"/>
      <c r="G1184" s="275">
        <f t="shared" si="184"/>
        <v>0</v>
      </c>
      <c r="H1184" s="100">
        <f t="shared" si="185"/>
        <v>0</v>
      </c>
      <c r="I1184" s="2911"/>
      <c r="J1184" s="2863"/>
      <c r="K1184" s="223">
        <f t="shared" si="186"/>
        <v>0</v>
      </c>
      <c r="L1184" s="2854"/>
    </row>
    <row r="1185" spans="1:12">
      <c r="A1185" s="2837"/>
      <c r="B1185" s="98" t="str">
        <f>перекрытие!A344</f>
        <v>ГПН 122х35-1,2</v>
      </c>
      <c r="C1185" s="99" t="str">
        <f>перекрытие!B344</f>
        <v>м.п.</v>
      </c>
      <c r="D1185" s="275">
        <f>перекрытие!D344</f>
        <v>0</v>
      </c>
      <c r="E1185" s="100">
        <f>перекрытие!E344</f>
        <v>131</v>
      </c>
      <c r="F1185" s="100"/>
      <c r="G1185" s="275">
        <f t="shared" si="184"/>
        <v>0</v>
      </c>
      <c r="H1185" s="100">
        <f t="shared" si="185"/>
        <v>0</v>
      </c>
      <c r="I1185" s="2911"/>
      <c r="J1185" s="2863"/>
      <c r="K1185" s="223">
        <f t="shared" si="186"/>
        <v>0</v>
      </c>
      <c r="L1185" s="2854"/>
    </row>
    <row r="1186" spans="1:12">
      <c r="A1186" s="2837"/>
      <c r="B1186" s="98" t="str">
        <f>перекрытие!A345</f>
        <v>ГПН 122х35-1,5</v>
      </c>
      <c r="C1186" s="99" t="str">
        <f>перекрытие!B345</f>
        <v>м.п.</v>
      </c>
      <c r="D1186" s="275">
        <f>перекрытие!D345</f>
        <v>0</v>
      </c>
      <c r="E1186" s="100">
        <f>перекрытие!E345</f>
        <v>163</v>
      </c>
      <c r="F1186" s="100"/>
      <c r="G1186" s="275">
        <f t="shared" si="184"/>
        <v>0</v>
      </c>
      <c r="H1186" s="100">
        <f t="shared" si="185"/>
        <v>0</v>
      </c>
      <c r="I1186" s="2911"/>
      <c r="J1186" s="2863"/>
      <c r="K1186" s="223">
        <f t="shared" si="186"/>
        <v>0</v>
      </c>
      <c r="L1186" s="2854"/>
    </row>
    <row r="1187" spans="1:12">
      <c r="A1187" s="2837"/>
      <c r="B1187" s="98" t="str">
        <f>перекрытие!A346</f>
        <v>ГПН 122х35-2,0</v>
      </c>
      <c r="C1187" s="99" t="str">
        <f>перекрытие!B346</f>
        <v>м.п.</v>
      </c>
      <c r="D1187" s="275">
        <f>перекрытие!D346</f>
        <v>0</v>
      </c>
      <c r="E1187" s="100">
        <f>перекрытие!E346</f>
        <v>216</v>
      </c>
      <c r="F1187" s="100"/>
      <c r="G1187" s="275">
        <f t="shared" si="184"/>
        <v>0</v>
      </c>
      <c r="H1187" s="100">
        <f t="shared" si="185"/>
        <v>0</v>
      </c>
      <c r="I1187" s="2911"/>
      <c r="J1187" s="2863"/>
      <c r="K1187" s="223">
        <f t="shared" si="186"/>
        <v>0</v>
      </c>
      <c r="L1187" s="2854"/>
    </row>
    <row r="1188" spans="1:12">
      <c r="A1188" s="2837"/>
      <c r="B1188" s="98" t="str">
        <f>перекрытие!A347</f>
        <v>ГПН 152х35-1,2</v>
      </c>
      <c r="C1188" s="99" t="str">
        <f>перекрытие!B347</f>
        <v>м.п.</v>
      </c>
      <c r="D1188" s="275">
        <f>перекрытие!D347</f>
        <v>0</v>
      </c>
      <c r="E1188" s="100">
        <f>перекрытие!E347</f>
        <v>163</v>
      </c>
      <c r="F1188" s="100"/>
      <c r="G1188" s="275">
        <f t="shared" si="184"/>
        <v>0</v>
      </c>
      <c r="H1188" s="100">
        <f t="shared" si="185"/>
        <v>0</v>
      </c>
      <c r="I1188" s="2911"/>
      <c r="J1188" s="2863"/>
      <c r="K1188" s="223">
        <f t="shared" si="186"/>
        <v>0</v>
      </c>
      <c r="L1188" s="2854"/>
    </row>
    <row r="1189" spans="1:12">
      <c r="A1189" s="2837"/>
      <c r="B1189" s="98" t="str">
        <f>перекрытие!A348</f>
        <v>ГПН 152х35-1,5</v>
      </c>
      <c r="C1189" s="99" t="str">
        <f>перекрытие!B348</f>
        <v>м.п.</v>
      </c>
      <c r="D1189" s="275">
        <f>перекрытие!D348</f>
        <v>0</v>
      </c>
      <c r="E1189" s="100">
        <f>перекрытие!E348</f>
        <v>203</v>
      </c>
      <c r="F1189" s="100"/>
      <c r="G1189" s="275">
        <f t="shared" si="184"/>
        <v>0</v>
      </c>
      <c r="H1189" s="100">
        <f t="shared" si="185"/>
        <v>0</v>
      </c>
      <c r="I1189" s="2911"/>
      <c r="J1189" s="2863"/>
      <c r="K1189" s="223">
        <f t="shared" si="186"/>
        <v>0</v>
      </c>
      <c r="L1189" s="2854"/>
    </row>
    <row r="1190" spans="1:12">
      <c r="A1190" s="2837"/>
      <c r="B1190" s="98" t="str">
        <f>перекрытие!A349</f>
        <v>ГПН 152х35-2,0</v>
      </c>
      <c r="C1190" s="99" t="str">
        <f>перекрытие!B349</f>
        <v>м.п.</v>
      </c>
      <c r="D1190" s="275">
        <f>перекрытие!D349</f>
        <v>0</v>
      </c>
      <c r="E1190" s="100">
        <f>перекрытие!E349</f>
        <v>259</v>
      </c>
      <c r="F1190" s="100"/>
      <c r="G1190" s="275">
        <f t="shared" si="184"/>
        <v>0</v>
      </c>
      <c r="H1190" s="100">
        <f t="shared" si="185"/>
        <v>0</v>
      </c>
      <c r="I1190" s="2911"/>
      <c r="J1190" s="2863"/>
      <c r="K1190" s="223">
        <f t="shared" si="186"/>
        <v>0</v>
      </c>
      <c r="L1190" s="2854"/>
    </row>
    <row r="1191" spans="1:12">
      <c r="A1191" s="2837"/>
      <c r="B1191" s="98" t="str">
        <f>перекрытие!A350</f>
        <v>ГПН 172х35-1,2</v>
      </c>
      <c r="C1191" s="99" t="str">
        <f>перекрытие!B350</f>
        <v>м.п.</v>
      </c>
      <c r="D1191" s="275">
        <f>перекрытие!D350</f>
        <v>0</v>
      </c>
      <c r="E1191" s="100">
        <f>перекрытие!E350</f>
        <v>166</v>
      </c>
      <c r="F1191" s="100"/>
      <c r="G1191" s="275">
        <f t="shared" si="184"/>
        <v>0</v>
      </c>
      <c r="H1191" s="100">
        <f t="shared" si="185"/>
        <v>0</v>
      </c>
      <c r="I1191" s="2911"/>
      <c r="J1191" s="2863"/>
      <c r="K1191" s="223">
        <f t="shared" si="186"/>
        <v>0</v>
      </c>
      <c r="L1191" s="2854"/>
    </row>
    <row r="1192" spans="1:12">
      <c r="A1192" s="2837"/>
      <c r="B1192" s="98" t="str">
        <f>перекрытие!A351</f>
        <v>ГПН 172х35-1,5</v>
      </c>
      <c r="C1192" s="99" t="str">
        <f>перекрытие!B351</f>
        <v>м.п.</v>
      </c>
      <c r="D1192" s="275">
        <f>перекрытие!D351</f>
        <v>0</v>
      </c>
      <c r="E1192" s="100">
        <f>перекрытие!E351</f>
        <v>207</v>
      </c>
      <c r="F1192" s="100"/>
      <c r="G1192" s="275">
        <f t="shared" si="184"/>
        <v>0</v>
      </c>
      <c r="H1192" s="100">
        <f t="shared" si="185"/>
        <v>0</v>
      </c>
      <c r="I1192" s="2911"/>
      <c r="J1192" s="2863"/>
      <c r="K1192" s="223">
        <f t="shared" si="186"/>
        <v>0</v>
      </c>
      <c r="L1192" s="2854"/>
    </row>
    <row r="1193" spans="1:12">
      <c r="A1193" s="2837"/>
      <c r="B1193" s="98" t="str">
        <f>перекрытие!A352</f>
        <v>ГПН 172х35-2,0</v>
      </c>
      <c r="C1193" s="99" t="str">
        <f>перекрытие!B352</f>
        <v>м.п.</v>
      </c>
      <c r="D1193" s="275">
        <f>перекрытие!D352</f>
        <v>0</v>
      </c>
      <c r="E1193" s="100">
        <f>перекрытие!E352</f>
        <v>274</v>
      </c>
      <c r="F1193" s="100"/>
      <c r="G1193" s="275">
        <f t="shared" si="184"/>
        <v>0</v>
      </c>
      <c r="H1193" s="100">
        <f t="shared" si="185"/>
        <v>0</v>
      </c>
      <c r="I1193" s="2911"/>
      <c r="J1193" s="2863"/>
      <c r="K1193" s="223">
        <f t="shared" si="186"/>
        <v>0</v>
      </c>
      <c r="L1193" s="2854"/>
    </row>
    <row r="1194" spans="1:12">
      <c r="A1194" s="2837"/>
      <c r="B1194" s="98" t="str">
        <f>перекрытие!A353</f>
        <v>ГПН 202х35-1,2</v>
      </c>
      <c r="C1194" s="99" t="str">
        <f>перекрытие!B353</f>
        <v>м.п.</v>
      </c>
      <c r="D1194" s="275">
        <f>перекрытие!D353</f>
        <v>0</v>
      </c>
      <c r="E1194" s="100">
        <f>перекрытие!E353</f>
        <v>201</v>
      </c>
      <c r="F1194" s="100"/>
      <c r="G1194" s="275">
        <f t="shared" si="184"/>
        <v>0</v>
      </c>
      <c r="H1194" s="100">
        <f t="shared" si="185"/>
        <v>0</v>
      </c>
      <c r="I1194" s="2911"/>
      <c r="J1194" s="2863"/>
      <c r="K1194" s="223">
        <f t="shared" si="186"/>
        <v>0</v>
      </c>
      <c r="L1194" s="2854"/>
    </row>
    <row r="1195" spans="1:12">
      <c r="A1195" s="2837"/>
      <c r="B1195" s="98" t="str">
        <f>перекрытие!A354</f>
        <v>ГПН 202х35-1,5</v>
      </c>
      <c r="C1195" s="99" t="str">
        <f>перекрытие!B354</f>
        <v>м.п.</v>
      </c>
      <c r="D1195" s="275">
        <f>перекрытие!D354</f>
        <v>0</v>
      </c>
      <c r="E1195" s="100">
        <f>перекрытие!E354</f>
        <v>252</v>
      </c>
      <c r="F1195" s="100"/>
      <c r="G1195" s="275">
        <f t="shared" si="184"/>
        <v>0</v>
      </c>
      <c r="H1195" s="100">
        <f t="shared" si="185"/>
        <v>0</v>
      </c>
      <c r="I1195" s="2911"/>
      <c r="J1195" s="2863"/>
      <c r="K1195" s="223">
        <f t="shared" si="186"/>
        <v>0</v>
      </c>
      <c r="L1195" s="2854"/>
    </row>
    <row r="1196" spans="1:12">
      <c r="A1196" s="2837"/>
      <c r="B1196" s="98" t="str">
        <f>перекрытие!A355</f>
        <v>ГПН 202х35-2,0</v>
      </c>
      <c r="C1196" s="99" t="str">
        <f>перекрытие!B355</f>
        <v>м.п.</v>
      </c>
      <c r="D1196" s="275">
        <f>перекрытие!D355</f>
        <v>0</v>
      </c>
      <c r="E1196" s="100">
        <f>перекрытие!E355</f>
        <v>318</v>
      </c>
      <c r="F1196" s="100"/>
      <c r="G1196" s="275">
        <f t="shared" si="184"/>
        <v>0</v>
      </c>
      <c r="H1196" s="100">
        <f t="shared" si="185"/>
        <v>0</v>
      </c>
      <c r="I1196" s="2911"/>
      <c r="J1196" s="2863"/>
      <c r="K1196" s="223">
        <f t="shared" si="186"/>
        <v>0</v>
      </c>
      <c r="L1196" s="2854"/>
    </row>
    <row r="1197" spans="1:12">
      <c r="A1197" s="2837"/>
      <c r="B1197" s="98" t="str">
        <f>перекрытие!A356</f>
        <v>ГПН 252х35-1,2</v>
      </c>
      <c r="C1197" s="99" t="str">
        <f>перекрытие!B356</f>
        <v>м.п.</v>
      </c>
      <c r="D1197" s="275">
        <f>перекрытие!D356</f>
        <v>0</v>
      </c>
      <c r="E1197" s="100">
        <f>перекрытие!E356</f>
        <v>226</v>
      </c>
      <c r="F1197" s="100"/>
      <c r="G1197" s="275">
        <f t="shared" si="184"/>
        <v>0</v>
      </c>
      <c r="H1197" s="100">
        <f t="shared" si="185"/>
        <v>0</v>
      </c>
      <c r="I1197" s="2911"/>
      <c r="J1197" s="2863"/>
      <c r="K1197" s="223">
        <f t="shared" si="186"/>
        <v>0</v>
      </c>
      <c r="L1197" s="2854"/>
    </row>
    <row r="1198" spans="1:12">
      <c r="A1198" s="2837"/>
      <c r="B1198" s="98" t="str">
        <f>перекрытие!A357</f>
        <v>ГПН 252х35-1,5</v>
      </c>
      <c r="C1198" s="99" t="str">
        <f>перекрытие!B357</f>
        <v>м.п.</v>
      </c>
      <c r="D1198" s="275">
        <f>перекрытие!D357</f>
        <v>0</v>
      </c>
      <c r="E1198" s="100">
        <f>перекрытие!E357</f>
        <v>283</v>
      </c>
      <c r="F1198" s="100"/>
      <c r="G1198" s="275">
        <f t="shared" si="184"/>
        <v>0</v>
      </c>
      <c r="H1198" s="100">
        <f t="shared" si="185"/>
        <v>0</v>
      </c>
      <c r="I1198" s="2911"/>
      <c r="J1198" s="2863"/>
      <c r="K1198" s="223">
        <f t="shared" si="186"/>
        <v>0</v>
      </c>
      <c r="L1198" s="2854"/>
    </row>
    <row r="1199" spans="1:12">
      <c r="A1199" s="2837"/>
      <c r="B1199" s="98" t="str">
        <f>перекрытие!A358</f>
        <v>ГПН 252х35-2,0</v>
      </c>
      <c r="C1199" s="99" t="str">
        <f>перекрытие!B358</f>
        <v>м.п.</v>
      </c>
      <c r="D1199" s="275">
        <f>перекрытие!D358</f>
        <v>0</v>
      </c>
      <c r="E1199" s="100">
        <f>перекрытие!E358</f>
        <v>378</v>
      </c>
      <c r="F1199" s="100"/>
      <c r="G1199" s="275">
        <f t="shared" si="184"/>
        <v>0</v>
      </c>
      <c r="H1199" s="100">
        <f t="shared" si="185"/>
        <v>0</v>
      </c>
      <c r="I1199" s="2911"/>
      <c r="J1199" s="2863"/>
      <c r="K1199" s="223">
        <f t="shared" si="186"/>
        <v>0</v>
      </c>
      <c r="L1199" s="2854"/>
    </row>
    <row r="1200" spans="1:12">
      <c r="A1200" s="2837"/>
      <c r="B1200" s="98" t="str">
        <f>перекрытие!A359</f>
        <v>ГПН 282х35-1,2</v>
      </c>
      <c r="C1200" s="99" t="str">
        <f>перекрытие!B359</f>
        <v>м.п.</v>
      </c>
      <c r="D1200" s="275">
        <f>перекрытие!D359</f>
        <v>0</v>
      </c>
      <c r="E1200" s="100">
        <f>перекрытие!E359</f>
        <v>275</v>
      </c>
      <c r="F1200" s="100"/>
      <c r="G1200" s="275">
        <f t="shared" si="184"/>
        <v>0</v>
      </c>
      <c r="H1200" s="100">
        <f t="shared" si="185"/>
        <v>0</v>
      </c>
      <c r="I1200" s="2911"/>
      <c r="J1200" s="2863"/>
      <c r="K1200" s="223">
        <f t="shared" si="186"/>
        <v>0</v>
      </c>
      <c r="L1200" s="2854"/>
    </row>
    <row r="1201" spans="1:12">
      <c r="A1201" s="2837"/>
      <c r="B1201" s="98" t="str">
        <f>перекрытие!A360</f>
        <v>Саморез 5,5 х 25</v>
      </c>
      <c r="C1201" s="99"/>
      <c r="D1201" s="275">
        <f>перекрытие!D360</f>
        <v>0</v>
      </c>
      <c r="E1201" s="100">
        <f>перекрытие!E360</f>
        <v>2.5</v>
      </c>
      <c r="F1201" s="100"/>
      <c r="G1201" s="275">
        <f t="shared" si="184"/>
        <v>0</v>
      </c>
      <c r="H1201" s="100">
        <f t="shared" si="185"/>
        <v>0</v>
      </c>
      <c r="I1201" s="2911"/>
      <c r="J1201" s="2863"/>
      <c r="K1201" s="223">
        <f t="shared" si="186"/>
        <v>0</v>
      </c>
      <c r="L1201" s="2854"/>
    </row>
    <row r="1202" spans="1:12">
      <c r="A1202" s="2837"/>
      <c r="B1202" s="3278" t="s">
        <v>4640</v>
      </c>
      <c r="C1202" s="3278"/>
      <c r="D1202" s="3278"/>
      <c r="E1202" s="3278"/>
      <c r="F1202" s="2868"/>
      <c r="G1202" s="96">
        <f>SUM(G905:G1084)*H903</f>
        <v>0</v>
      </c>
      <c r="H1202" s="96">
        <f>SUM(H905:H1084)</f>
        <v>0</v>
      </c>
      <c r="I1202" s="2911"/>
      <c r="J1202" s="2863"/>
      <c r="K1202" s="223">
        <f t="shared" si="186"/>
        <v>0</v>
      </c>
      <c r="L1202" s="2854"/>
    </row>
    <row r="1203" spans="1:12">
      <c r="A1203" s="2837"/>
      <c r="B1203" s="3279" t="s">
        <v>1409</v>
      </c>
      <c r="C1203" s="3279"/>
      <c r="D1203" s="3279"/>
      <c r="E1203" s="3279"/>
      <c r="F1203" s="2606"/>
      <c r="G1203" s="941"/>
      <c r="H1203" s="2939">
        <f>H903</f>
        <v>0</v>
      </c>
      <c r="I1203" s="2940"/>
      <c r="J1203" s="2892"/>
      <c r="K1203" s="2893"/>
    </row>
    <row r="1204" spans="1:12">
      <c r="A1204" s="2837"/>
      <c r="B1204" s="2898" t="str">
        <f>перекрытие!H42</f>
        <v>Монтаж плит ЖБИ</v>
      </c>
      <c r="C1204" s="2941" t="s">
        <v>133</v>
      </c>
      <c r="D1204" s="2899">
        <f>перекрытие!J42</f>
        <v>0</v>
      </c>
      <c r="E1204" s="35">
        <f>перекрытие!K42</f>
        <v>200</v>
      </c>
      <c r="F1204" s="35"/>
      <c r="G1204" s="275">
        <f t="shared" ref="G1204:G1247" si="187">IF(F1204&gt;0,D1204*F1204,E1204*D1204)</f>
        <v>0</v>
      </c>
      <c r="H1204" s="96">
        <f t="shared" ref="H1204:H1247" si="188">D1204*E1204*$H$1203</f>
        <v>0</v>
      </c>
      <c r="I1204" s="2836">
        <f t="shared" ref="I1204:I1244" si="189">IF(G1204&gt;H1204,G1204,H1204)*$H$903</f>
        <v>0</v>
      </c>
      <c r="J1204" s="2829"/>
      <c r="K1204" s="2837"/>
    </row>
    <row r="1205" spans="1:12">
      <c r="A1205" s="2837"/>
      <c r="B1205" s="2898" t="str">
        <f>перекрытие!H43</f>
        <v>Монтаж опалубки</v>
      </c>
      <c r="C1205" s="2941" t="s">
        <v>133</v>
      </c>
      <c r="D1205" s="2899">
        <f>перекрытие!J43</f>
        <v>0</v>
      </c>
      <c r="E1205" s="35">
        <f>перекрытие!K43</f>
        <v>200</v>
      </c>
      <c r="F1205" s="35"/>
      <c r="G1205" s="275">
        <f t="shared" si="187"/>
        <v>0</v>
      </c>
      <c r="H1205" s="96">
        <f t="shared" si="188"/>
        <v>0</v>
      </c>
      <c r="I1205" s="2836">
        <f t="shared" si="189"/>
        <v>0</v>
      </c>
      <c r="J1205" s="2829"/>
      <c r="K1205" s="2837"/>
    </row>
    <row r="1206" spans="1:12">
      <c r="A1206" s="2837"/>
      <c r="B1206" s="2898" t="str">
        <f>перекрытие!H44</f>
        <v>Укладка пленки гидроизоляционной</v>
      </c>
      <c r="C1206" s="2941" t="s">
        <v>133</v>
      </c>
      <c r="D1206" s="2899">
        <f>перекрытие!J44</f>
        <v>0</v>
      </c>
      <c r="E1206" s="35">
        <f>перекрытие!K44</f>
        <v>40</v>
      </c>
      <c r="F1206" s="35"/>
      <c r="G1206" s="275">
        <f t="shared" si="187"/>
        <v>0</v>
      </c>
      <c r="H1206" s="96">
        <f t="shared" si="188"/>
        <v>0</v>
      </c>
      <c r="I1206" s="2836">
        <f t="shared" si="189"/>
        <v>0</v>
      </c>
      <c r="J1206" s="2829"/>
      <c r="K1206" s="2837"/>
    </row>
    <row r="1207" spans="1:12">
      <c r="A1207" s="2837"/>
      <c r="B1207" s="2898" t="str">
        <f>перекрытие!H45</f>
        <v>Армирование перекрытия/плиты</v>
      </c>
      <c r="C1207" s="2941" t="s">
        <v>133</v>
      </c>
      <c r="D1207" s="2899">
        <f>перекрытие!J45</f>
        <v>0</v>
      </c>
      <c r="E1207" s="35">
        <f>перекрытие!K45</f>
        <v>300</v>
      </c>
      <c r="F1207" s="35"/>
      <c r="G1207" s="275">
        <f t="shared" si="187"/>
        <v>0</v>
      </c>
      <c r="H1207" s="96">
        <f t="shared" si="188"/>
        <v>0</v>
      </c>
      <c r="I1207" s="2836">
        <f t="shared" si="189"/>
        <v>0</v>
      </c>
      <c r="J1207" s="2829"/>
      <c r="K1207" s="2837"/>
    </row>
    <row r="1208" spans="1:12">
      <c r="A1208" s="2837"/>
      <c r="B1208" s="2898" t="str">
        <f>перекрытие!H46</f>
        <v>Заливка бетоном перекрытия/плиты</v>
      </c>
      <c r="C1208" s="2941" t="s">
        <v>133</v>
      </c>
      <c r="D1208" s="2899">
        <f>перекрытие!J46</f>
        <v>0</v>
      </c>
      <c r="E1208" s="35">
        <f>перекрытие!K46</f>
        <v>350</v>
      </c>
      <c r="F1208" s="35"/>
      <c r="G1208" s="275">
        <f t="shared" si="187"/>
        <v>0</v>
      </c>
      <c r="H1208" s="96">
        <f t="shared" si="188"/>
        <v>0</v>
      </c>
      <c r="I1208" s="2836">
        <f t="shared" si="189"/>
        <v>0</v>
      </c>
      <c r="J1208" s="2829"/>
      <c r="K1208" s="2837"/>
    </row>
    <row r="1209" spans="1:12">
      <c r="A1209" s="2837"/>
      <c r="B1209" s="2898" t="str">
        <f>перекрытие!H47</f>
        <v>Монтаж перекрытий из бруса</v>
      </c>
      <c r="C1209" s="2941" t="s">
        <v>133</v>
      </c>
      <c r="D1209" s="2899">
        <f>перекрытие!J47</f>
        <v>0</v>
      </c>
      <c r="E1209" s="35">
        <f>перекрытие!K47</f>
        <v>300</v>
      </c>
      <c r="F1209" s="35"/>
      <c r="G1209" s="275">
        <f t="shared" si="187"/>
        <v>0</v>
      </c>
      <c r="H1209" s="96">
        <f t="shared" si="188"/>
        <v>0</v>
      </c>
      <c r="I1209" s="2836">
        <f t="shared" si="189"/>
        <v>0</v>
      </c>
      <c r="J1209" s="2829"/>
      <c r="K1209" s="2837"/>
    </row>
    <row r="1210" spans="1:12">
      <c r="A1210" s="2837"/>
      <c r="B1210" s="2898" t="str">
        <f>перекрытие!H48</f>
        <v>Монтаж перекрытий Сип-панели</v>
      </c>
      <c r="C1210" s="2941" t="s">
        <v>133</v>
      </c>
      <c r="D1210" s="2899">
        <f>перекрытие!J48</f>
        <v>0</v>
      </c>
      <c r="E1210" s="35">
        <f>перекрытие!K48</f>
        <v>400</v>
      </c>
      <c r="F1210" s="35"/>
      <c r="G1210" s="275">
        <f t="shared" si="187"/>
        <v>0</v>
      </c>
      <c r="H1210" s="96">
        <f t="shared" si="188"/>
        <v>0</v>
      </c>
      <c r="I1210" s="2836">
        <f t="shared" si="189"/>
        <v>0</v>
      </c>
      <c r="J1210" s="2829"/>
      <c r="K1210" s="2837"/>
    </row>
    <row r="1211" spans="1:12">
      <c r="A1211" s="2837"/>
      <c r="B1211" s="2898" t="str">
        <f>перекрытие!H49</f>
        <v>Монтаж перекрытий из сухой доски</v>
      </c>
      <c r="C1211" s="2941" t="s">
        <v>133</v>
      </c>
      <c r="D1211" s="2899">
        <f>перекрытие!J49</f>
        <v>0</v>
      </c>
      <c r="E1211" s="35">
        <f>перекрытие!K49</f>
        <v>250</v>
      </c>
      <c r="F1211" s="35"/>
      <c r="G1211" s="275">
        <f t="shared" si="187"/>
        <v>0</v>
      </c>
      <c r="H1211" s="96">
        <f t="shared" si="188"/>
        <v>0</v>
      </c>
      <c r="I1211" s="2836">
        <f t="shared" si="189"/>
        <v>0</v>
      </c>
      <c r="J1211" s="2829"/>
      <c r="K1211" s="2837"/>
    </row>
    <row r="1212" spans="1:12">
      <c r="A1212" s="2837"/>
      <c r="B1212" s="2898" t="str">
        <f>перекрытие!H50</f>
        <v>Монтаж перекрытий из двутавровой балки</v>
      </c>
      <c r="C1212" s="2941" t="s">
        <v>133</v>
      </c>
      <c r="D1212" s="2899">
        <f>перекрытие!J50</f>
        <v>0</v>
      </c>
      <c r="E1212" s="35">
        <f>перекрытие!K50</f>
        <v>300</v>
      </c>
      <c r="F1212" s="35"/>
      <c r="G1212" s="275">
        <f t="shared" si="187"/>
        <v>0</v>
      </c>
      <c r="H1212" s="96">
        <f t="shared" si="188"/>
        <v>0</v>
      </c>
      <c r="I1212" s="2836">
        <f t="shared" si="189"/>
        <v>0</v>
      </c>
      <c r="J1212" s="2829"/>
      <c r="K1212" s="2837"/>
    </row>
    <row r="1213" spans="1:12">
      <c r="A1213" s="2837"/>
      <c r="B1213" s="2898" t="str">
        <f>перекрытие!H51</f>
        <v>Монтаж перекрестного пола</v>
      </c>
      <c r="C1213" s="2941" t="s">
        <v>133</v>
      </c>
      <c r="D1213" s="2899">
        <f>перекрытие!J51</f>
        <v>0</v>
      </c>
      <c r="E1213" s="35">
        <f>перекрытие!K51</f>
        <v>200</v>
      </c>
      <c r="F1213" s="35"/>
      <c r="G1213" s="275">
        <f t="shared" si="187"/>
        <v>0</v>
      </c>
      <c r="H1213" s="96">
        <f t="shared" si="188"/>
        <v>0</v>
      </c>
      <c r="I1213" s="2836">
        <f t="shared" si="189"/>
        <v>0</v>
      </c>
      <c r="J1213" s="2829"/>
      <c r="K1213" s="2837"/>
    </row>
    <row r="1214" spans="1:12">
      <c r="A1214" s="2837"/>
      <c r="B1214" s="2898" t="str">
        <f>перекрытие!H52</f>
        <v>Монтаж утеплителя перекрытия</v>
      </c>
      <c r="C1214" s="2941" t="s">
        <v>133</v>
      </c>
      <c r="D1214" s="2899">
        <f>перекрытие!J52</f>
        <v>100</v>
      </c>
      <c r="E1214" s="35">
        <f>перекрытие!K52</f>
        <v>200</v>
      </c>
      <c r="F1214" s="35"/>
      <c r="G1214" s="275">
        <f t="shared" si="187"/>
        <v>20000</v>
      </c>
      <c r="H1214" s="96">
        <f t="shared" si="188"/>
        <v>0</v>
      </c>
      <c r="I1214" s="2836">
        <f t="shared" si="189"/>
        <v>0</v>
      </c>
      <c r="J1214" s="2829"/>
      <c r="K1214" s="2837"/>
    </row>
    <row r="1215" spans="1:12">
      <c r="A1215" s="2837"/>
      <c r="B1215" s="2898" t="str">
        <f>перекрытие!H53</f>
        <v>Монтаж ветроизоляции перекрытий</v>
      </c>
      <c r="C1215" s="2941" t="s">
        <v>133</v>
      </c>
      <c r="D1215" s="2899">
        <f>перекрытие!J53</f>
        <v>0</v>
      </c>
      <c r="E1215" s="35">
        <f>перекрытие!K53</f>
        <v>100</v>
      </c>
      <c r="F1215" s="35"/>
      <c r="G1215" s="275">
        <f t="shared" si="187"/>
        <v>0</v>
      </c>
      <c r="H1215" s="96">
        <f t="shared" si="188"/>
        <v>0</v>
      </c>
      <c r="I1215" s="2836">
        <f t="shared" si="189"/>
        <v>0</v>
      </c>
      <c r="J1215" s="2829"/>
      <c r="K1215" s="2837"/>
    </row>
    <row r="1216" spans="1:12">
      <c r="A1216" s="2837"/>
      <c r="B1216" s="2898" t="str">
        <f>перекрытие!H54</f>
        <v>Монтаж пароизоляции перекрытий</v>
      </c>
      <c r="C1216" s="2941" t="s">
        <v>133</v>
      </c>
      <c r="D1216" s="2899">
        <f>перекрытие!J54</f>
        <v>0</v>
      </c>
      <c r="E1216" s="35">
        <f>перекрытие!K54</f>
        <v>100</v>
      </c>
      <c r="F1216" s="35"/>
      <c r="G1216" s="275">
        <f t="shared" si="187"/>
        <v>0</v>
      </c>
      <c r="H1216" s="96">
        <f t="shared" si="188"/>
        <v>0</v>
      </c>
      <c r="I1216" s="2836">
        <f t="shared" si="189"/>
        <v>0</v>
      </c>
      <c r="J1216" s="2829"/>
      <c r="K1216" s="2837"/>
    </row>
    <row r="1217" spans="1:11">
      <c r="A1217" s="2837"/>
      <c r="B1217" s="2898" t="str">
        <f>перекрытие!H55</f>
        <v>Монтаж плит ЖБИ</v>
      </c>
      <c r="C1217" s="2941" t="s">
        <v>133</v>
      </c>
      <c r="D1217" s="2899">
        <f>перекрытие!J55</f>
        <v>0</v>
      </c>
      <c r="E1217" s="35">
        <f>перекрытие!K55</f>
        <v>200</v>
      </c>
      <c r="F1217" s="35"/>
      <c r="G1217" s="275">
        <f t="shared" si="187"/>
        <v>0</v>
      </c>
      <c r="H1217" s="96">
        <f t="shared" si="188"/>
        <v>0</v>
      </c>
      <c r="I1217" s="2836">
        <f t="shared" si="189"/>
        <v>0</v>
      </c>
      <c r="J1217" s="2829"/>
      <c r="K1217" s="2837"/>
    </row>
    <row r="1218" spans="1:11">
      <c r="A1218" s="2837"/>
      <c r="B1218" s="2898" t="str">
        <f>перекрытие!H56</f>
        <v>Монтаж опалубки</v>
      </c>
      <c r="C1218" s="2941" t="s">
        <v>133</v>
      </c>
      <c r="D1218" s="2899">
        <f>перекрытие!J56</f>
        <v>0</v>
      </c>
      <c r="E1218" s="35">
        <f>перекрытие!K56</f>
        <v>200</v>
      </c>
      <c r="F1218" s="35"/>
      <c r="G1218" s="275">
        <f t="shared" si="187"/>
        <v>0</v>
      </c>
      <c r="H1218" s="96">
        <f t="shared" si="188"/>
        <v>0</v>
      </c>
      <c r="I1218" s="2836">
        <f t="shared" si="189"/>
        <v>0</v>
      </c>
      <c r="J1218" s="2829"/>
      <c r="K1218" s="2837"/>
    </row>
    <row r="1219" spans="1:11">
      <c r="A1219" s="2837"/>
      <c r="B1219" s="2898" t="str">
        <f>перекрытие!H57</f>
        <v>Укладка пленки гидроизоляционной</v>
      </c>
      <c r="C1219" s="2941" t="s">
        <v>133</v>
      </c>
      <c r="D1219" s="2899">
        <f>перекрытие!J57</f>
        <v>0</v>
      </c>
      <c r="E1219" s="35">
        <f>перекрытие!K57</f>
        <v>40</v>
      </c>
      <c r="F1219" s="35"/>
      <c r="G1219" s="275">
        <f t="shared" si="187"/>
        <v>0</v>
      </c>
      <c r="H1219" s="96">
        <f t="shared" si="188"/>
        <v>0</v>
      </c>
      <c r="I1219" s="2836">
        <f t="shared" si="189"/>
        <v>0</v>
      </c>
      <c r="J1219" s="2829"/>
      <c r="K1219" s="2837"/>
    </row>
    <row r="1220" spans="1:11">
      <c r="A1220" s="2837"/>
      <c r="B1220" s="2898" t="str">
        <f>перекрытие!H58</f>
        <v>Армирование перекрытия/плиты</v>
      </c>
      <c r="C1220" s="2941" t="s">
        <v>133</v>
      </c>
      <c r="D1220" s="2899">
        <f>перекрытие!J58</f>
        <v>0</v>
      </c>
      <c r="E1220" s="35">
        <f>перекрытие!K58</f>
        <v>300</v>
      </c>
      <c r="F1220" s="35"/>
      <c r="G1220" s="275">
        <f t="shared" si="187"/>
        <v>0</v>
      </c>
      <c r="H1220" s="96">
        <f t="shared" si="188"/>
        <v>0</v>
      </c>
      <c r="I1220" s="2836">
        <f t="shared" si="189"/>
        <v>0</v>
      </c>
      <c r="J1220" s="2829"/>
      <c r="K1220" s="2837"/>
    </row>
    <row r="1221" spans="1:11">
      <c r="A1221" s="2837"/>
      <c r="B1221" s="2898" t="str">
        <f>перекрытие!H59</f>
        <v>Заливка бетоном перекрытия/плиты</v>
      </c>
      <c r="C1221" s="2941" t="s">
        <v>133</v>
      </c>
      <c r="D1221" s="2899">
        <f>перекрытие!J59</f>
        <v>0</v>
      </c>
      <c r="E1221" s="35">
        <f>перекрытие!K59</f>
        <v>350</v>
      </c>
      <c r="F1221" s="35"/>
      <c r="G1221" s="275">
        <f t="shared" si="187"/>
        <v>0</v>
      </c>
      <c r="H1221" s="96">
        <f t="shared" si="188"/>
        <v>0</v>
      </c>
      <c r="I1221" s="2836">
        <f t="shared" si="189"/>
        <v>0</v>
      </c>
      <c r="J1221" s="2829"/>
      <c r="K1221" s="2837"/>
    </row>
    <row r="1222" spans="1:11">
      <c r="A1222" s="2837"/>
      <c r="B1222" s="2898" t="str">
        <f>перекрытие!H60</f>
        <v>Монтаж перекрытий из бруса</v>
      </c>
      <c r="C1222" s="2941" t="s">
        <v>133</v>
      </c>
      <c r="D1222" s="2899">
        <f>перекрытие!J60</f>
        <v>0</v>
      </c>
      <c r="E1222" s="35">
        <f>перекрытие!K60</f>
        <v>300</v>
      </c>
      <c r="F1222" s="35"/>
      <c r="G1222" s="275">
        <f t="shared" si="187"/>
        <v>0</v>
      </c>
      <c r="H1222" s="96">
        <f t="shared" si="188"/>
        <v>0</v>
      </c>
      <c r="I1222" s="2836">
        <f t="shared" si="189"/>
        <v>0</v>
      </c>
      <c r="J1222" s="2829"/>
      <c r="K1222" s="2837"/>
    </row>
    <row r="1223" spans="1:11">
      <c r="A1223" s="2837"/>
      <c r="B1223" s="2898" t="str">
        <f>перекрытие!H61</f>
        <v>Монтаж перекрытий Сип-панели</v>
      </c>
      <c r="C1223" s="2941" t="s">
        <v>133</v>
      </c>
      <c r="D1223" s="2899">
        <f>перекрытие!J61</f>
        <v>0</v>
      </c>
      <c r="E1223" s="35">
        <f>перекрытие!K61</f>
        <v>400</v>
      </c>
      <c r="F1223" s="35"/>
      <c r="G1223" s="275">
        <f t="shared" si="187"/>
        <v>0</v>
      </c>
      <c r="H1223" s="96">
        <f t="shared" si="188"/>
        <v>0</v>
      </c>
      <c r="I1223" s="2836">
        <f t="shared" si="189"/>
        <v>0</v>
      </c>
      <c r="J1223" s="2829"/>
      <c r="K1223" s="2837"/>
    </row>
    <row r="1224" spans="1:11">
      <c r="A1224" s="2837"/>
      <c r="B1224" s="2898" t="str">
        <f>перекрытие!H62</f>
        <v>Монтаж перекрытий из сухой доски</v>
      </c>
      <c r="C1224" s="2941" t="s">
        <v>133</v>
      </c>
      <c r="D1224" s="2899">
        <f>перекрытие!J62</f>
        <v>0</v>
      </c>
      <c r="E1224" s="35">
        <f>перекрытие!K62</f>
        <v>250</v>
      </c>
      <c r="F1224" s="35"/>
      <c r="G1224" s="275">
        <f t="shared" si="187"/>
        <v>0</v>
      </c>
      <c r="H1224" s="96">
        <f t="shared" si="188"/>
        <v>0</v>
      </c>
      <c r="I1224" s="2836">
        <f t="shared" si="189"/>
        <v>0</v>
      </c>
      <c r="J1224" s="2829"/>
      <c r="K1224" s="2837"/>
    </row>
    <row r="1225" spans="1:11">
      <c r="A1225" s="2837"/>
      <c r="B1225" s="2898" t="str">
        <f>перекрытие!H63</f>
        <v>Монтаж перекрытий из двутавровой балки</v>
      </c>
      <c r="C1225" s="2941" t="s">
        <v>133</v>
      </c>
      <c r="D1225" s="2899">
        <f>перекрытие!J63</f>
        <v>0</v>
      </c>
      <c r="E1225" s="35">
        <f>перекрытие!K63</f>
        <v>300</v>
      </c>
      <c r="F1225" s="35"/>
      <c r="G1225" s="275">
        <f t="shared" si="187"/>
        <v>0</v>
      </c>
      <c r="H1225" s="96">
        <f t="shared" si="188"/>
        <v>0</v>
      </c>
      <c r="I1225" s="2836">
        <f t="shared" si="189"/>
        <v>0</v>
      </c>
      <c r="J1225" s="2829"/>
      <c r="K1225" s="2837"/>
    </row>
    <row r="1226" spans="1:11">
      <c r="A1226" s="2837"/>
      <c r="B1226" s="2898" t="str">
        <f>перекрытие!H65</f>
        <v>Монтаж утеплителя перекрытия</v>
      </c>
      <c r="C1226" s="2941" t="s">
        <v>133</v>
      </c>
      <c r="D1226" s="2899">
        <f>перекрытие!J65</f>
        <v>100</v>
      </c>
      <c r="E1226" s="35">
        <f>перекрытие!K65</f>
        <v>200</v>
      </c>
      <c r="F1226" s="35"/>
      <c r="G1226" s="275">
        <f t="shared" si="187"/>
        <v>20000</v>
      </c>
      <c r="H1226" s="96">
        <f t="shared" si="188"/>
        <v>0</v>
      </c>
      <c r="I1226" s="2836">
        <f t="shared" si="189"/>
        <v>0</v>
      </c>
      <c r="J1226" s="2829"/>
      <c r="K1226" s="2837"/>
    </row>
    <row r="1227" spans="1:11">
      <c r="A1227" s="2837"/>
      <c r="B1227" s="2898" t="str">
        <f>перекрытие!H66</f>
        <v>Монтаж ветроизоляции перекрытий</v>
      </c>
      <c r="C1227" s="2941" t="s">
        <v>133</v>
      </c>
      <c r="D1227" s="2899">
        <f>перекрытие!J66</f>
        <v>0</v>
      </c>
      <c r="E1227" s="35">
        <f>перекрытие!K66</f>
        <v>100</v>
      </c>
      <c r="F1227" s="35"/>
      <c r="G1227" s="275">
        <f t="shared" si="187"/>
        <v>0</v>
      </c>
      <c r="H1227" s="96">
        <f t="shared" si="188"/>
        <v>0</v>
      </c>
      <c r="I1227" s="2836">
        <f t="shared" si="189"/>
        <v>0</v>
      </c>
      <c r="J1227" s="2829"/>
      <c r="K1227" s="2837"/>
    </row>
    <row r="1228" spans="1:11">
      <c r="A1228" s="2837"/>
      <c r="B1228" s="2898" t="str">
        <f>перекрытие!H67</f>
        <v>Монтаж пароизоляции перекрытий</v>
      </c>
      <c r="C1228" s="2941" t="s">
        <v>133</v>
      </c>
      <c r="D1228" s="2899">
        <f>перекрытие!J67</f>
        <v>0</v>
      </c>
      <c r="E1228" s="35">
        <f>перекрытие!K67</f>
        <v>100</v>
      </c>
      <c r="F1228" s="35"/>
      <c r="G1228" s="275">
        <f t="shared" si="187"/>
        <v>0</v>
      </c>
      <c r="H1228" s="96">
        <f t="shared" si="188"/>
        <v>0</v>
      </c>
      <c r="I1228" s="2836">
        <f t="shared" si="189"/>
        <v>0</v>
      </c>
      <c r="J1228" s="2829"/>
      <c r="K1228" s="2837"/>
    </row>
    <row r="1229" spans="1:11">
      <c r="A1229" s="2837"/>
      <c r="B1229" s="2898" t="str">
        <f>перекрытие!H68</f>
        <v>Монтаж плит ЖБИ</v>
      </c>
      <c r="C1229" s="2941" t="s">
        <v>133</v>
      </c>
      <c r="D1229" s="2899">
        <f>перекрытие!J68</f>
        <v>0</v>
      </c>
      <c r="E1229" s="35">
        <f>перекрытие!K68</f>
        <v>200</v>
      </c>
      <c r="F1229" s="35"/>
      <c r="G1229" s="275">
        <f t="shared" si="187"/>
        <v>0</v>
      </c>
      <c r="H1229" s="96">
        <f t="shared" si="188"/>
        <v>0</v>
      </c>
      <c r="I1229" s="2836">
        <f t="shared" si="189"/>
        <v>0</v>
      </c>
      <c r="J1229" s="2829"/>
      <c r="K1229" s="2837"/>
    </row>
    <row r="1230" spans="1:11">
      <c r="A1230" s="2837"/>
      <c r="B1230" s="2898" t="str">
        <f>перекрытие!H69</f>
        <v>Монтаж опалубки</v>
      </c>
      <c r="C1230" s="2941" t="s">
        <v>133</v>
      </c>
      <c r="D1230" s="2899">
        <f>перекрытие!J69</f>
        <v>0</v>
      </c>
      <c r="E1230" s="35">
        <f>перекрытие!K69</f>
        <v>200</v>
      </c>
      <c r="F1230" s="35"/>
      <c r="G1230" s="275">
        <f t="shared" si="187"/>
        <v>0</v>
      </c>
      <c r="H1230" s="96">
        <f t="shared" si="188"/>
        <v>0</v>
      </c>
      <c r="I1230" s="2836">
        <f t="shared" si="189"/>
        <v>0</v>
      </c>
      <c r="J1230" s="2829"/>
      <c r="K1230" s="2837"/>
    </row>
    <row r="1231" spans="1:11">
      <c r="A1231" s="2837"/>
      <c r="B1231" s="2898" t="str">
        <f>перекрытие!H70</f>
        <v>Укладка пленки гидроизоляционной</v>
      </c>
      <c r="C1231" s="2941" t="s">
        <v>133</v>
      </c>
      <c r="D1231" s="2899">
        <f>перекрытие!J70</f>
        <v>0</v>
      </c>
      <c r="E1231" s="35">
        <f>перекрытие!K70</f>
        <v>40</v>
      </c>
      <c r="F1231" s="35"/>
      <c r="G1231" s="275">
        <f t="shared" si="187"/>
        <v>0</v>
      </c>
      <c r="H1231" s="96">
        <f t="shared" si="188"/>
        <v>0</v>
      </c>
      <c r="I1231" s="2836">
        <f t="shared" si="189"/>
        <v>0</v>
      </c>
      <c r="J1231" s="2829"/>
      <c r="K1231" s="2837"/>
    </row>
    <row r="1232" spans="1:11">
      <c r="A1232" s="2837"/>
      <c r="B1232" s="2898" t="str">
        <f>перекрытие!H71</f>
        <v>Армирование перекрытия/плиты</v>
      </c>
      <c r="C1232" s="2941" t="s">
        <v>133</v>
      </c>
      <c r="D1232" s="2899">
        <f>перекрытие!J71</f>
        <v>0</v>
      </c>
      <c r="E1232" s="35">
        <f>перекрытие!K71</f>
        <v>300</v>
      </c>
      <c r="F1232" s="35"/>
      <c r="G1232" s="275">
        <f t="shared" si="187"/>
        <v>0</v>
      </c>
      <c r="H1232" s="96">
        <f t="shared" si="188"/>
        <v>0</v>
      </c>
      <c r="I1232" s="2836">
        <f t="shared" si="189"/>
        <v>0</v>
      </c>
      <c r="J1232" s="2829"/>
      <c r="K1232" s="2837"/>
    </row>
    <row r="1233" spans="1:11">
      <c r="A1233" s="2837"/>
      <c r="B1233" s="2898" t="str">
        <f>перекрытие!H72</f>
        <v>Заливка бетоном перекрытия/плиты</v>
      </c>
      <c r="C1233" s="2941" t="s">
        <v>133</v>
      </c>
      <c r="D1233" s="2899">
        <f>перекрытие!J72</f>
        <v>0</v>
      </c>
      <c r="E1233" s="35">
        <f>перекрытие!K72</f>
        <v>350</v>
      </c>
      <c r="F1233" s="35"/>
      <c r="G1233" s="275">
        <f t="shared" si="187"/>
        <v>0</v>
      </c>
      <c r="H1233" s="96">
        <f t="shared" si="188"/>
        <v>0</v>
      </c>
      <c r="I1233" s="2836">
        <f t="shared" si="189"/>
        <v>0</v>
      </c>
      <c r="J1233" s="2829"/>
      <c r="K1233" s="2837"/>
    </row>
    <row r="1234" spans="1:11">
      <c r="A1234" s="2837"/>
      <c r="B1234" s="2898" t="str">
        <f>перекрытие!H73</f>
        <v>Монтаж перекрытий из бруса</v>
      </c>
      <c r="C1234" s="2941" t="s">
        <v>133</v>
      </c>
      <c r="D1234" s="2899">
        <f>перекрытие!J73</f>
        <v>0</v>
      </c>
      <c r="E1234" s="35">
        <f>перекрытие!K73</f>
        <v>300</v>
      </c>
      <c r="F1234" s="35"/>
      <c r="G1234" s="275">
        <f t="shared" si="187"/>
        <v>0</v>
      </c>
      <c r="H1234" s="96">
        <f t="shared" si="188"/>
        <v>0</v>
      </c>
      <c r="I1234" s="2836">
        <f t="shared" si="189"/>
        <v>0</v>
      </c>
      <c r="J1234" s="2829"/>
      <c r="K1234" s="2837"/>
    </row>
    <row r="1235" spans="1:11">
      <c r="A1235" s="2837"/>
      <c r="B1235" s="2898" t="str">
        <f>перекрытие!H74</f>
        <v>Монтаж перекрытий Сип-панели</v>
      </c>
      <c r="C1235" s="2941" t="s">
        <v>133</v>
      </c>
      <c r="D1235" s="2899">
        <f>перекрытие!J74</f>
        <v>0</v>
      </c>
      <c r="E1235" s="35">
        <f>перекрытие!K74</f>
        <v>400</v>
      </c>
      <c r="F1235" s="35"/>
      <c r="G1235" s="275">
        <f t="shared" si="187"/>
        <v>0</v>
      </c>
      <c r="H1235" s="96">
        <f t="shared" si="188"/>
        <v>0</v>
      </c>
      <c r="I1235" s="2836">
        <f t="shared" si="189"/>
        <v>0</v>
      </c>
      <c r="J1235" s="2829"/>
      <c r="K1235" s="2837"/>
    </row>
    <row r="1236" spans="1:11">
      <c r="A1236" s="2837"/>
      <c r="B1236" s="2898" t="str">
        <f>перекрытие!H75</f>
        <v>Монтаж перекрытий из сухой доски</v>
      </c>
      <c r="C1236" s="2941" t="s">
        <v>133</v>
      </c>
      <c r="D1236" s="2899">
        <f>перекрытие!J75</f>
        <v>0</v>
      </c>
      <c r="E1236" s="35">
        <f>перекрытие!K75</f>
        <v>250</v>
      </c>
      <c r="F1236" s="35"/>
      <c r="G1236" s="275">
        <f t="shared" si="187"/>
        <v>0</v>
      </c>
      <c r="H1236" s="96">
        <f t="shared" si="188"/>
        <v>0</v>
      </c>
      <c r="I1236" s="2836">
        <f t="shared" si="189"/>
        <v>0</v>
      </c>
      <c r="J1236" s="2829"/>
      <c r="K1236" s="2837"/>
    </row>
    <row r="1237" spans="1:11">
      <c r="A1237" s="2837"/>
      <c r="B1237" s="2898" t="str">
        <f>перекрытие!H76</f>
        <v>Монтаж перекрытий из двутавровой балки</v>
      </c>
      <c r="C1237" s="2941" t="s">
        <v>133</v>
      </c>
      <c r="D1237" s="2899">
        <f>перекрытие!J76</f>
        <v>0</v>
      </c>
      <c r="E1237" s="35">
        <f>перекрытие!K76</f>
        <v>300</v>
      </c>
      <c r="F1237" s="35"/>
      <c r="G1237" s="275">
        <f t="shared" si="187"/>
        <v>0</v>
      </c>
      <c r="H1237" s="96">
        <f t="shared" si="188"/>
        <v>0</v>
      </c>
      <c r="I1237" s="2836">
        <f t="shared" si="189"/>
        <v>0</v>
      </c>
      <c r="J1237" s="2829"/>
      <c r="K1237" s="2837"/>
    </row>
    <row r="1238" spans="1:11">
      <c r="A1238" s="2837"/>
      <c r="B1238" s="2898" t="str">
        <f>перекрытие!H78</f>
        <v>Монтаж утеплителя перекрытия</v>
      </c>
      <c r="C1238" s="2941" t="s">
        <v>133</v>
      </c>
      <c r="D1238" s="2899">
        <f>перекрытие!J78</f>
        <v>0</v>
      </c>
      <c r="E1238" s="35">
        <f>перекрытие!K78</f>
        <v>200</v>
      </c>
      <c r="F1238" s="35"/>
      <c r="G1238" s="275">
        <f t="shared" si="187"/>
        <v>0</v>
      </c>
      <c r="H1238" s="96">
        <f t="shared" si="188"/>
        <v>0</v>
      </c>
      <c r="I1238" s="2836">
        <f t="shared" si="189"/>
        <v>0</v>
      </c>
      <c r="J1238" s="2829"/>
      <c r="K1238" s="2837"/>
    </row>
    <row r="1239" spans="1:11">
      <c r="A1239" s="2837"/>
      <c r="B1239" s="2898" t="str">
        <f>перекрытие!H79</f>
        <v>Монтаж ветроизоляции перекрытий</v>
      </c>
      <c r="C1239" s="2941" t="s">
        <v>133</v>
      </c>
      <c r="D1239" s="2899">
        <f>перекрытие!J79</f>
        <v>0</v>
      </c>
      <c r="E1239" s="35">
        <f>перекрытие!K79</f>
        <v>100</v>
      </c>
      <c r="F1239" s="35"/>
      <c r="G1239" s="275">
        <f t="shared" si="187"/>
        <v>0</v>
      </c>
      <c r="H1239" s="96">
        <f t="shared" si="188"/>
        <v>0</v>
      </c>
      <c r="I1239" s="2836">
        <f t="shared" si="189"/>
        <v>0</v>
      </c>
      <c r="J1239" s="2829"/>
      <c r="K1239" s="2837"/>
    </row>
    <row r="1240" spans="1:11">
      <c r="A1240" s="2837"/>
      <c r="B1240" s="2898" t="str">
        <f>перекрытие!H80</f>
        <v>Монтаж пароизоляции перекрытий</v>
      </c>
      <c r="C1240" s="2941" t="s">
        <v>133</v>
      </c>
      <c r="D1240" s="2899">
        <f>перекрытие!J80</f>
        <v>0</v>
      </c>
      <c r="E1240" s="35">
        <f>перекрытие!K80</f>
        <v>100</v>
      </c>
      <c r="F1240" s="35"/>
      <c r="G1240" s="275">
        <f t="shared" si="187"/>
        <v>0</v>
      </c>
      <c r="H1240" s="96">
        <f t="shared" si="188"/>
        <v>0</v>
      </c>
      <c r="I1240" s="2836">
        <f t="shared" si="189"/>
        <v>0</v>
      </c>
      <c r="J1240" s="2829"/>
      <c r="K1240" s="2837"/>
    </row>
    <row r="1241" spans="1:11">
      <c r="A1241" s="2837"/>
      <c r="B1241" s="2898" t="str">
        <f>перекрытие!H81</f>
        <v>Монтаж перекрестного пола</v>
      </c>
      <c r="C1241" s="2941" t="s">
        <v>133</v>
      </c>
      <c r="D1241" s="2899">
        <f>перекрытие!J81</f>
        <v>0</v>
      </c>
      <c r="E1241" s="35">
        <f>перекрытие!K81</f>
        <v>200</v>
      </c>
      <c r="F1241" s="35"/>
      <c r="G1241" s="275">
        <f t="shared" si="187"/>
        <v>0</v>
      </c>
      <c r="H1241" s="96">
        <f t="shared" si="188"/>
        <v>0</v>
      </c>
      <c r="I1241" s="2836">
        <f t="shared" si="189"/>
        <v>0</v>
      </c>
      <c r="J1241" s="2829"/>
      <c r="K1241" s="2837"/>
    </row>
    <row r="1242" spans="1:11">
      <c r="A1242" s="2837"/>
      <c r="B1242" s="2898" t="str">
        <f>перекрытие!H219</f>
        <v>Монтаж чернового пола 0 этажа</v>
      </c>
      <c r="C1242" s="2941" t="s">
        <v>133</v>
      </c>
      <c r="D1242" s="2899">
        <f>перекрытие!J219</f>
        <v>0</v>
      </c>
      <c r="E1242" s="35">
        <f>перекрытие!K219</f>
        <v>150</v>
      </c>
      <c r="F1242" s="35"/>
      <c r="G1242" s="275">
        <f t="shared" si="187"/>
        <v>0</v>
      </c>
      <c r="H1242" s="96">
        <f t="shared" si="188"/>
        <v>0</v>
      </c>
      <c r="I1242" s="2836">
        <f t="shared" si="189"/>
        <v>0</v>
      </c>
      <c r="J1242" s="2829"/>
      <c r="K1242" s="2837"/>
    </row>
    <row r="1243" spans="1:11">
      <c r="A1243" s="2837"/>
      <c r="B1243" s="2898" t="str">
        <f>перекрытие!H221</f>
        <v>Монтаж чернового пола 1 этажа</v>
      </c>
      <c r="C1243" s="2941" t="s">
        <v>133</v>
      </c>
      <c r="D1243" s="2899">
        <f>перекрытие!J221</f>
        <v>0</v>
      </c>
      <c r="E1243" s="35">
        <f>перекрытие!K221</f>
        <v>150</v>
      </c>
      <c r="F1243" s="35"/>
      <c r="G1243" s="275">
        <f t="shared" si="187"/>
        <v>0</v>
      </c>
      <c r="H1243" s="96">
        <f t="shared" si="188"/>
        <v>0</v>
      </c>
      <c r="I1243" s="2836">
        <f t="shared" si="189"/>
        <v>0</v>
      </c>
      <c r="J1243" s="2829"/>
      <c r="K1243" s="2837"/>
    </row>
    <row r="1244" spans="1:11">
      <c r="A1244" s="2837"/>
      <c r="B1244" s="2898" t="str">
        <f>перекрытие!H223</f>
        <v>Монтаж чернового пола 2 этажа</v>
      </c>
      <c r="C1244" s="2941" t="s">
        <v>133</v>
      </c>
      <c r="D1244" s="2899">
        <f>перекрытие!J223</f>
        <v>0</v>
      </c>
      <c r="E1244" s="35">
        <f>перекрытие!K223</f>
        <v>150</v>
      </c>
      <c r="F1244" s="35"/>
      <c r="G1244" s="275">
        <f t="shared" si="187"/>
        <v>0</v>
      </c>
      <c r="H1244" s="96">
        <f t="shared" si="188"/>
        <v>0</v>
      </c>
      <c r="I1244" s="2836">
        <f t="shared" si="189"/>
        <v>0</v>
      </c>
      <c r="J1244" s="2829"/>
      <c r="K1244" s="2837"/>
    </row>
    <row r="1245" spans="1:11">
      <c r="A1245" s="2837"/>
      <c r="B1245" s="2898" t="str">
        <f>перекрытие!A365</f>
        <v>Монтаж перекрытий ЛСТК</v>
      </c>
      <c r="C1245" s="2941"/>
      <c r="D1245" s="2899">
        <f>перекрытие!D365</f>
        <v>0</v>
      </c>
      <c r="E1245" s="35">
        <f>перекрытие!E365</f>
        <v>500</v>
      </c>
      <c r="F1245" s="35"/>
      <c r="G1245" s="275">
        <f t="shared" si="187"/>
        <v>0</v>
      </c>
      <c r="H1245" s="96">
        <f t="shared" si="188"/>
        <v>0</v>
      </c>
      <c r="I1245" s="2836"/>
      <c r="J1245" s="2829"/>
      <c r="K1245" s="2837"/>
    </row>
    <row r="1246" spans="1:11">
      <c r="A1246" s="2837"/>
      <c r="B1246" s="2898" t="str">
        <f>перекрытие!A366</f>
        <v>Монтаж перекрытий ЛСТК</v>
      </c>
      <c r="C1246" s="2941"/>
      <c r="D1246" s="2899">
        <f>перекрытие!D366</f>
        <v>0</v>
      </c>
      <c r="E1246" s="35">
        <f>перекрытие!E366</f>
        <v>500</v>
      </c>
      <c r="F1246" s="35"/>
      <c r="G1246" s="275">
        <f t="shared" si="187"/>
        <v>0</v>
      </c>
      <c r="H1246" s="96">
        <f t="shared" si="188"/>
        <v>0</v>
      </c>
      <c r="I1246" s="2836"/>
      <c r="J1246" s="2829"/>
      <c r="K1246" s="2837"/>
    </row>
    <row r="1247" spans="1:11">
      <c r="A1247" s="2837"/>
      <c r="B1247" s="2898" t="str">
        <f>перекрытие!A367</f>
        <v>Монтаж перекрытий ЛСТК</v>
      </c>
      <c r="C1247" s="2941"/>
      <c r="D1247" s="2899">
        <f>перекрытие!D367</f>
        <v>0</v>
      </c>
      <c r="E1247" s="35">
        <f>перекрытие!E367</f>
        <v>500</v>
      </c>
      <c r="F1247" s="35"/>
      <c r="G1247" s="275">
        <f t="shared" si="187"/>
        <v>0</v>
      </c>
      <c r="H1247" s="96">
        <f t="shared" si="188"/>
        <v>0</v>
      </c>
      <c r="I1247" s="2836"/>
      <c r="J1247" s="2829"/>
      <c r="K1247" s="2837"/>
    </row>
    <row r="1248" spans="1:11">
      <c r="A1248" s="2837"/>
      <c r="B1248" s="3278" t="s">
        <v>4641</v>
      </c>
      <c r="C1248" s="3278"/>
      <c r="D1248" s="3278"/>
      <c r="E1248" s="3278"/>
      <c r="F1248" s="2868"/>
      <c r="G1248" s="96">
        <f>SUM(G1204:G1244)*H903</f>
        <v>0</v>
      </c>
      <c r="H1248" s="96">
        <f>SUM(H1204:H1244)</f>
        <v>0</v>
      </c>
      <c r="I1248" s="2836">
        <f>IF(G1248&gt;H1248,G1248,H1248)</f>
        <v>0</v>
      </c>
      <c r="J1248" s="2829"/>
      <c r="K1248" s="2837"/>
    </row>
    <row r="1249" spans="1:12" ht="21">
      <c r="A1249" s="2837"/>
      <c r="B1249" s="3282" t="s">
        <v>4659</v>
      </c>
      <c r="C1249" s="3282"/>
      <c r="D1249" s="3282"/>
      <c r="E1249" s="3282"/>
      <c r="F1249" s="2909"/>
      <c r="G1249" s="941"/>
      <c r="H1249" s="2878">
        <f>дома!D2019</f>
        <v>0</v>
      </c>
      <c r="I1249" s="2940">
        <f>H1249</f>
        <v>0</v>
      </c>
      <c r="J1249" s="2829"/>
      <c r="K1249" s="2837"/>
    </row>
    <row r="1250" spans="1:12">
      <c r="A1250" s="2829"/>
      <c r="B1250" s="3285" t="s">
        <v>2720</v>
      </c>
      <c r="C1250" s="3285"/>
      <c r="D1250" s="3285"/>
      <c r="E1250" s="3285"/>
      <c r="F1250" s="2910"/>
      <c r="G1250" s="941"/>
      <c r="H1250" s="2903">
        <f>H1249</f>
        <v>0</v>
      </c>
      <c r="I1250" s="2940">
        <f>H1250</f>
        <v>0</v>
      </c>
      <c r="J1250" s="2850"/>
      <c r="K1250" s="2851"/>
    </row>
    <row r="1251" spans="1:12">
      <c r="A1251" s="2829"/>
      <c r="B1251" s="2942" t="str">
        <f>дома!A2042</f>
        <v>Листв. влаж, 200*200мм</v>
      </c>
      <c r="C1251" s="2943" t="str">
        <f>дома!B2042</f>
        <v>м3</v>
      </c>
      <c r="D1251" s="379">
        <f>дома!C2042</f>
        <v>0</v>
      </c>
      <c r="E1251" s="2944">
        <f>дома!D2042</f>
        <v>9000</v>
      </c>
      <c r="F1251" s="2944"/>
      <c r="G1251" s="275">
        <f t="shared" ref="G1251:G1276" si="190">IF(F1251&gt;0,D1251*F1251,E1251*D1251)</f>
        <v>0</v>
      </c>
      <c r="H1251" s="2945">
        <f t="shared" ref="H1251:H1276" si="191">D1251*E1251*$H$1250</f>
        <v>0</v>
      </c>
      <c r="I1251" s="2911">
        <f t="shared" ref="I1251:I1277" si="192">IF(G1251&gt;H1251,G1251,H1251)*$H$1249</f>
        <v>0</v>
      </c>
      <c r="J1251" s="2863"/>
      <c r="K1251" s="223">
        <f t="shared" ref="K1251:K1277" si="193">D1251-J1251</f>
        <v>0</v>
      </c>
      <c r="L1251" s="2854"/>
    </row>
    <row r="1252" spans="1:12">
      <c r="A1252" s="2837"/>
      <c r="B1252" s="2942" t="str">
        <f>дома!A2043</f>
        <v>Листв. влаж, 200*150мм</v>
      </c>
      <c r="C1252" s="2943" t="str">
        <f>дома!B2043</f>
        <v>м3</v>
      </c>
      <c r="D1252" s="379">
        <f>дома!C2043</f>
        <v>0.54</v>
      </c>
      <c r="E1252" s="2944">
        <f>дома!D2043</f>
        <v>8500</v>
      </c>
      <c r="F1252" s="2944"/>
      <c r="G1252" s="275">
        <f t="shared" si="190"/>
        <v>4590</v>
      </c>
      <c r="H1252" s="2945">
        <f t="shared" si="191"/>
        <v>0</v>
      </c>
      <c r="I1252" s="2911">
        <f t="shared" si="192"/>
        <v>0</v>
      </c>
      <c r="J1252" s="2863"/>
      <c r="K1252" s="223">
        <f t="shared" si="193"/>
        <v>0.54</v>
      </c>
      <c r="L1252" s="2854"/>
    </row>
    <row r="1253" spans="1:12">
      <c r="A1253" s="2837"/>
      <c r="B1253" s="2942" t="str">
        <f>дома!A2044</f>
        <v>Рубероид</v>
      </c>
      <c r="C1253" s="2943" t="str">
        <f>дома!B2044</f>
        <v>м.п.</v>
      </c>
      <c r="D1253" s="379">
        <f>дома!C2044</f>
        <v>0</v>
      </c>
      <c r="E1253" s="2944">
        <f>дома!D2044</f>
        <v>30</v>
      </c>
      <c r="F1253" s="2944"/>
      <c r="G1253" s="275">
        <f t="shared" si="190"/>
        <v>0</v>
      </c>
      <c r="H1253" s="2945">
        <f t="shared" si="191"/>
        <v>0</v>
      </c>
      <c r="I1253" s="2911">
        <f t="shared" si="192"/>
        <v>0</v>
      </c>
      <c r="J1253" s="2863"/>
      <c r="K1253" s="223">
        <f t="shared" si="193"/>
        <v>0</v>
      </c>
      <c r="L1253" s="2854"/>
    </row>
    <row r="1254" spans="1:12">
      <c r="A1254" s="2837"/>
      <c r="B1254" s="2942" t="str">
        <f>дома!A2045</f>
        <v>Листв. влаж, 200*150мм</v>
      </c>
      <c r="C1254" s="2943" t="str">
        <f>дома!B2045</f>
        <v>м3</v>
      </c>
      <c r="D1254" s="379">
        <f>дома!C2045</f>
        <v>0</v>
      </c>
      <c r="E1254" s="2944">
        <f>дома!D2045</f>
        <v>8500</v>
      </c>
      <c r="F1254" s="2944"/>
      <c r="G1254" s="275">
        <f t="shared" si="190"/>
        <v>0</v>
      </c>
      <c r="H1254" s="2945">
        <f t="shared" si="191"/>
        <v>0</v>
      </c>
      <c r="I1254" s="2911">
        <f t="shared" si="192"/>
        <v>0</v>
      </c>
      <c r="J1254" s="2863"/>
      <c r="K1254" s="223">
        <f t="shared" si="193"/>
        <v>0</v>
      </c>
      <c r="L1254" s="2854"/>
    </row>
    <row r="1255" spans="1:12">
      <c r="A1255" s="2837"/>
      <c r="B1255" s="2942" t="str">
        <f>дома!A2046</f>
        <v>Проф.брус вл. 200*150мм</v>
      </c>
      <c r="C1255" s="2943" t="str">
        <f>дома!B2046</f>
        <v>м3</v>
      </c>
      <c r="D1255" s="379">
        <f>дома!C2046</f>
        <v>0.52649999999999997</v>
      </c>
      <c r="E1255" s="2944">
        <f>дома!D2046</f>
        <v>9300</v>
      </c>
      <c r="F1255" s="2944"/>
      <c r="G1255" s="275">
        <f t="shared" si="190"/>
        <v>4896.45</v>
      </c>
      <c r="H1255" s="2945">
        <f t="shared" si="191"/>
        <v>0</v>
      </c>
      <c r="I1255" s="2911">
        <f t="shared" si="192"/>
        <v>0</v>
      </c>
      <c r="J1255" s="2863"/>
      <c r="K1255" s="223">
        <f t="shared" si="193"/>
        <v>0.52649999999999997</v>
      </c>
      <c r="L1255" s="2854"/>
    </row>
    <row r="1256" spans="1:12">
      <c r="A1256" s="2837"/>
      <c r="B1256" s="2942" t="str">
        <f>дома!A2047</f>
        <v>Брус клееный проф 2 ламель кедр Шир. 240 выс. 140</v>
      </c>
      <c r="C1256" s="2943" t="str">
        <f>дома!B2047</f>
        <v>м3</v>
      </c>
      <c r="D1256" s="379">
        <f>дома!C2047</f>
        <v>0.30240000000000006</v>
      </c>
      <c r="E1256" s="2944">
        <f>дома!D2047</f>
        <v>24000</v>
      </c>
      <c r="F1256" s="2944"/>
      <c r="G1256" s="275">
        <f t="shared" si="190"/>
        <v>7257.6000000000013</v>
      </c>
      <c r="H1256" s="2945">
        <f t="shared" si="191"/>
        <v>0</v>
      </c>
      <c r="I1256" s="2911">
        <f t="shared" si="192"/>
        <v>0</v>
      </c>
      <c r="J1256" s="2863"/>
      <c r="K1256" s="223">
        <f t="shared" si="193"/>
        <v>0.30240000000000006</v>
      </c>
      <c r="L1256" s="2854"/>
    </row>
    <row r="1257" spans="1:12">
      <c r="A1257" s="2837"/>
      <c r="B1257" s="2942" t="str">
        <f>дома!A2048</f>
        <v>Брус клееный проф 1 ламель кедр Шир. 240 выс. 140</v>
      </c>
      <c r="C1257" s="2943" t="str">
        <f>дома!B2048</f>
        <v>м3</v>
      </c>
      <c r="D1257" s="379">
        <f>дома!C2048</f>
        <v>1.0080000000000002</v>
      </c>
      <c r="E1257" s="2944">
        <f>дома!D2048</f>
        <v>24000</v>
      </c>
      <c r="F1257" s="2944"/>
      <c r="G1257" s="275">
        <f t="shared" si="190"/>
        <v>24192.000000000007</v>
      </c>
      <c r="H1257" s="2945">
        <f t="shared" si="191"/>
        <v>0</v>
      </c>
      <c r="I1257" s="2911">
        <f t="shared" si="192"/>
        <v>0</v>
      </c>
      <c r="J1257" s="2863"/>
      <c r="K1257" s="223">
        <f t="shared" si="193"/>
        <v>1.0080000000000002</v>
      </c>
      <c r="L1257" s="2854"/>
    </row>
    <row r="1258" spans="1:12">
      <c r="A1258" s="2837"/>
      <c r="B1258" s="2942" t="str">
        <f>дома!A2049</f>
        <v>Проф.брус вл. 200*180мм</v>
      </c>
      <c r="C1258" s="2943" t="str">
        <f>дома!B2049</f>
        <v>м3</v>
      </c>
      <c r="D1258" s="379">
        <f>дома!C2049</f>
        <v>0.504</v>
      </c>
      <c r="E1258" s="2944">
        <f>дома!D2049</f>
        <v>9300</v>
      </c>
      <c r="F1258" s="2944"/>
      <c r="G1258" s="275">
        <f t="shared" si="190"/>
        <v>4687.2</v>
      </c>
      <c r="H1258" s="2945">
        <f t="shared" si="191"/>
        <v>0</v>
      </c>
      <c r="I1258" s="2911">
        <f t="shared" si="192"/>
        <v>0</v>
      </c>
      <c r="J1258" s="2863"/>
      <c r="K1258" s="223">
        <f t="shared" si="193"/>
        <v>0.504</v>
      </c>
      <c r="L1258" s="2854"/>
    </row>
    <row r="1259" spans="1:12">
      <c r="A1259" s="2837"/>
      <c r="B1259" s="2942" t="str">
        <f>дома!A2050</f>
        <v>Нет накладки</v>
      </c>
      <c r="C1259" s="2943" t="str">
        <f>дома!B2050</f>
        <v>м.п.</v>
      </c>
      <c r="D1259" s="379">
        <f>дома!C2050</f>
        <v>9</v>
      </c>
      <c r="E1259" s="2944">
        <f>дома!D2050</f>
        <v>0</v>
      </c>
      <c r="F1259" s="2944"/>
      <c r="G1259" s="275">
        <f t="shared" si="190"/>
        <v>0</v>
      </c>
      <c r="H1259" s="2945">
        <f t="shared" si="191"/>
        <v>0</v>
      </c>
      <c r="I1259" s="2911">
        <f t="shared" si="192"/>
        <v>0</v>
      </c>
      <c r="J1259" s="2863"/>
      <c r="K1259" s="223">
        <f t="shared" si="193"/>
        <v>9</v>
      </c>
      <c r="L1259" s="2854"/>
    </row>
    <row r="1260" spans="1:12">
      <c r="A1260" s="2837"/>
      <c r="B1260" s="2942" t="str">
        <f>дома!A2051</f>
        <v>Гидрокомпенсатор</v>
      </c>
      <c r="C1260" s="2943" t="str">
        <f>дома!B2051</f>
        <v>шт</v>
      </c>
      <c r="D1260" s="379">
        <f>дома!C2051</f>
        <v>9</v>
      </c>
      <c r="E1260" s="2944">
        <f>дома!D2051</f>
        <v>450</v>
      </c>
      <c r="F1260" s="2944"/>
      <c r="G1260" s="275">
        <f t="shared" si="190"/>
        <v>4050</v>
      </c>
      <c r="H1260" s="2945">
        <f t="shared" si="191"/>
        <v>0</v>
      </c>
      <c r="I1260" s="2911">
        <f t="shared" si="192"/>
        <v>0</v>
      </c>
      <c r="J1260" s="2863"/>
      <c r="K1260" s="223">
        <f t="shared" si="193"/>
        <v>9</v>
      </c>
      <c r="L1260" s="2854"/>
    </row>
    <row r="1261" spans="1:12">
      <c r="A1261" s="2837"/>
      <c r="B1261" s="2942" t="str">
        <f>дома!A2052</f>
        <v xml:space="preserve">Уголок усиленный 90х70х55х2,5        </v>
      </c>
      <c r="C1261" s="2943" t="str">
        <f>дома!B2052</f>
        <v>шт</v>
      </c>
      <c r="D1261" s="379">
        <f>дома!C2052</f>
        <v>0</v>
      </c>
      <c r="E1261" s="2944">
        <f>дома!D2052</f>
        <v>30</v>
      </c>
      <c r="F1261" s="2944"/>
      <c r="G1261" s="275">
        <f t="shared" si="190"/>
        <v>0</v>
      </c>
      <c r="H1261" s="2945">
        <f t="shared" si="191"/>
        <v>0</v>
      </c>
      <c r="I1261" s="2911">
        <f t="shared" si="192"/>
        <v>0</v>
      </c>
      <c r="J1261" s="2863"/>
      <c r="K1261" s="223">
        <f t="shared" si="193"/>
        <v>0</v>
      </c>
      <c r="L1261" s="2854"/>
    </row>
    <row r="1262" spans="1:12">
      <c r="A1262" s="2837"/>
      <c r="B1262" s="2942" t="str">
        <f>дома!A2053</f>
        <v>Нет уголков</v>
      </c>
      <c r="C1262" s="2943" t="str">
        <f>дома!B2053</f>
        <v>шт</v>
      </c>
      <c r="D1262" s="379">
        <f>дома!C2053</f>
        <v>0</v>
      </c>
      <c r="E1262" s="2944">
        <f>дома!D2053</f>
        <v>0</v>
      </c>
      <c r="F1262" s="2944"/>
      <c r="G1262" s="275">
        <f t="shared" si="190"/>
        <v>0</v>
      </c>
      <c r="H1262" s="2945">
        <f t="shared" si="191"/>
        <v>0</v>
      </c>
      <c r="I1262" s="2911">
        <f t="shared" si="192"/>
        <v>0</v>
      </c>
      <c r="J1262" s="2863"/>
      <c r="K1262" s="223">
        <f t="shared" si="193"/>
        <v>0</v>
      </c>
      <c r="L1262" s="2854"/>
    </row>
    <row r="1263" spans="1:12">
      <c r="A1263" s="2837"/>
      <c r="B1263" s="2942" t="str">
        <f>дома!A2054</f>
        <v xml:space="preserve">Пластина соеденительная 100х240х2           </v>
      </c>
      <c r="C1263" s="2943" t="str">
        <f>дома!B2054</f>
        <v>шт</v>
      </c>
      <c r="D1263" s="379">
        <f>дома!C2054</f>
        <v>0</v>
      </c>
      <c r="E1263" s="2944">
        <f>дома!D2054</f>
        <v>31.54</v>
      </c>
      <c r="F1263" s="2944"/>
      <c r="G1263" s="275">
        <f t="shared" si="190"/>
        <v>0</v>
      </c>
      <c r="H1263" s="2945">
        <f t="shared" si="191"/>
        <v>0</v>
      </c>
      <c r="I1263" s="2911">
        <f t="shared" si="192"/>
        <v>0</v>
      </c>
      <c r="J1263" s="2863"/>
      <c r="K1263" s="223">
        <f t="shared" si="193"/>
        <v>0</v>
      </c>
      <c r="L1263" s="2854"/>
    </row>
    <row r="1264" spans="1:12">
      <c r="A1264" s="2837"/>
      <c r="B1264" s="2942" t="str">
        <f>дома!A2055</f>
        <v>Нет пластин</v>
      </c>
      <c r="C1264" s="2943" t="str">
        <f>дома!B2055</f>
        <v>шт</v>
      </c>
      <c r="D1264" s="379">
        <f>дома!C2055</f>
        <v>0</v>
      </c>
      <c r="E1264" s="2944">
        <f>дома!D2055</f>
        <v>0</v>
      </c>
      <c r="F1264" s="2944"/>
      <c r="G1264" s="275">
        <f t="shared" si="190"/>
        <v>0</v>
      </c>
      <c r="H1264" s="2945">
        <f t="shared" si="191"/>
        <v>0</v>
      </c>
      <c r="I1264" s="2911">
        <f t="shared" si="192"/>
        <v>0</v>
      </c>
      <c r="J1264" s="2863"/>
      <c r="K1264" s="223">
        <f t="shared" si="193"/>
        <v>0</v>
      </c>
      <c r="L1264" s="2854"/>
    </row>
    <row r="1265" spans="1:12">
      <c r="A1265" s="2837"/>
      <c r="B1265" s="2942" t="str">
        <f>дома!A2056</f>
        <v xml:space="preserve">Болты анкерные с гайкой 12,0 x 100          </v>
      </c>
      <c r="C1265" s="2943" t="str">
        <f>дома!B2056</f>
        <v>шт</v>
      </c>
      <c r="D1265" s="379">
        <f>дома!C2056</f>
        <v>0</v>
      </c>
      <c r="E1265" s="2944">
        <f>дома!D2056</f>
        <v>11.2</v>
      </c>
      <c r="F1265" s="2944"/>
      <c r="G1265" s="275">
        <f t="shared" si="190"/>
        <v>0</v>
      </c>
      <c r="H1265" s="2945">
        <f t="shared" si="191"/>
        <v>0</v>
      </c>
      <c r="I1265" s="2911">
        <f t="shared" si="192"/>
        <v>0</v>
      </c>
      <c r="J1265" s="2863"/>
      <c r="K1265" s="223">
        <f t="shared" si="193"/>
        <v>0</v>
      </c>
      <c r="L1265" s="2854"/>
    </row>
    <row r="1266" spans="1:12">
      <c r="A1266" s="2837"/>
      <c r="B1266" s="2942" t="str">
        <f>дома!A2057</f>
        <v>Нет анкерных болтов</v>
      </c>
      <c r="C1266" s="2943" t="str">
        <f>дома!B2057</f>
        <v>шт</v>
      </c>
      <c r="D1266" s="379">
        <f>дома!C2057</f>
        <v>0</v>
      </c>
      <c r="E1266" s="2944">
        <f>дома!D2057</f>
        <v>0</v>
      </c>
      <c r="F1266" s="2944"/>
      <c r="G1266" s="275">
        <f t="shared" si="190"/>
        <v>0</v>
      </c>
      <c r="H1266" s="2945">
        <f t="shared" si="191"/>
        <v>0</v>
      </c>
      <c r="I1266" s="2911">
        <f t="shared" si="192"/>
        <v>0</v>
      </c>
      <c r="J1266" s="2863"/>
      <c r="K1266" s="223">
        <f t="shared" si="193"/>
        <v>0</v>
      </c>
      <c r="L1266" s="2854"/>
    </row>
    <row r="1267" spans="1:12">
      <c r="A1267" s="2837"/>
      <c r="B1267" s="2942" t="str">
        <f>дома!A2058</f>
        <v xml:space="preserve">Саморезы 3,5 x 45            </v>
      </c>
      <c r="C1267" s="2943" t="str">
        <f>дома!B2058</f>
        <v>кг</v>
      </c>
      <c r="D1267" s="379">
        <f>дома!C2058</f>
        <v>0</v>
      </c>
      <c r="E1267" s="2944">
        <f>дома!D2058</f>
        <v>105.62</v>
      </c>
      <c r="F1267" s="2944"/>
      <c r="G1267" s="275">
        <f t="shared" si="190"/>
        <v>0</v>
      </c>
      <c r="H1267" s="2945">
        <f t="shared" si="191"/>
        <v>0</v>
      </c>
      <c r="I1267" s="2911">
        <f t="shared" si="192"/>
        <v>0</v>
      </c>
      <c r="J1267" s="2863"/>
      <c r="K1267" s="223">
        <f t="shared" si="193"/>
        <v>0</v>
      </c>
      <c r="L1267" s="2854"/>
    </row>
    <row r="1268" spans="1:12">
      <c r="A1268" s="2837"/>
      <c r="B1268" s="2942" t="str">
        <f>дома!A2059</f>
        <v>Нет саморезов</v>
      </c>
      <c r="C1268" s="2943" t="str">
        <f>дома!B2059</f>
        <v>кг</v>
      </c>
      <c r="D1268" s="379">
        <f>дома!C2059</f>
        <v>0</v>
      </c>
      <c r="E1268" s="2944">
        <f>дома!D2059</f>
        <v>0</v>
      </c>
      <c r="F1268" s="2944"/>
      <c r="G1268" s="275">
        <f t="shared" si="190"/>
        <v>0</v>
      </c>
      <c r="H1268" s="2945">
        <f t="shared" si="191"/>
        <v>0</v>
      </c>
      <c r="I1268" s="2911">
        <f t="shared" si="192"/>
        <v>0</v>
      </c>
      <c r="J1268" s="2863"/>
      <c r="K1268" s="223">
        <f t="shared" si="193"/>
        <v>0</v>
      </c>
      <c r="L1268" s="2854"/>
    </row>
    <row r="1269" spans="1:12">
      <c r="A1269" s="2837"/>
      <c r="B1269" s="2942" t="str">
        <f>дома!A2060</f>
        <v xml:space="preserve">Гвозди строительные 2,5 x 60            </v>
      </c>
      <c r="C1269" s="2943" t="str">
        <f>дома!B2060</f>
        <v>кг</v>
      </c>
      <c r="D1269" s="379">
        <f>дома!C2060</f>
        <v>0</v>
      </c>
      <c r="E1269" s="2944">
        <f>дома!D2060</f>
        <v>70</v>
      </c>
      <c r="F1269" s="2944"/>
      <c r="G1269" s="275">
        <f t="shared" si="190"/>
        <v>0</v>
      </c>
      <c r="H1269" s="2945">
        <f t="shared" si="191"/>
        <v>0</v>
      </c>
      <c r="I1269" s="2911">
        <f t="shared" si="192"/>
        <v>0</v>
      </c>
      <c r="J1269" s="2863"/>
      <c r="K1269" s="223">
        <f t="shared" si="193"/>
        <v>0</v>
      </c>
      <c r="L1269" s="2854"/>
    </row>
    <row r="1270" spans="1:12">
      <c r="A1270" s="2837"/>
      <c r="B1270" s="2942" t="str">
        <f>дома!A2061</f>
        <v xml:space="preserve">Гвозди ершоные 3,4 x 60            </v>
      </c>
      <c r="C1270" s="2943" t="str">
        <f>дома!B2061</f>
        <v>кг</v>
      </c>
      <c r="D1270" s="379">
        <f>дома!C2061</f>
        <v>0</v>
      </c>
      <c r="E1270" s="2944">
        <f>дома!D2061</f>
        <v>75.510000000000005</v>
      </c>
      <c r="F1270" s="2944"/>
      <c r="G1270" s="275">
        <f t="shared" si="190"/>
        <v>0</v>
      </c>
      <c r="H1270" s="2945">
        <f t="shared" si="191"/>
        <v>0</v>
      </c>
      <c r="I1270" s="2911">
        <f t="shared" si="192"/>
        <v>0</v>
      </c>
      <c r="J1270" s="2863"/>
      <c r="K1270" s="223">
        <f t="shared" si="193"/>
        <v>0</v>
      </c>
      <c r="L1270" s="2854"/>
    </row>
    <row r="1271" spans="1:12">
      <c r="A1271" s="2837"/>
      <c r="B1271" s="2942" t="str">
        <f>дома!A2076</f>
        <v>Гидроизоляция жидкая резина 1</v>
      </c>
      <c r="C1271" s="2943" t="str">
        <f>дома!B2076</f>
        <v>кг</v>
      </c>
      <c r="D1271" s="379">
        <f>дома!C2076</f>
        <v>0</v>
      </c>
      <c r="E1271" s="2944">
        <f>дома!D2076</f>
        <v>150</v>
      </c>
      <c r="F1271" s="2944"/>
      <c r="G1271" s="275">
        <f t="shared" si="190"/>
        <v>0</v>
      </c>
      <c r="H1271" s="2945">
        <f t="shared" si="191"/>
        <v>0</v>
      </c>
      <c r="I1271" s="2911">
        <f t="shared" si="192"/>
        <v>0</v>
      </c>
      <c r="J1271" s="2863"/>
      <c r="K1271" s="223">
        <f t="shared" si="193"/>
        <v>0</v>
      </c>
      <c r="L1271" s="2854"/>
    </row>
    <row r="1272" spans="1:12">
      <c r="A1272" s="2837"/>
      <c r="B1272" s="2942" t="str">
        <f>дома!A2077</f>
        <v>Kronospan - OSB-3, 22мм</v>
      </c>
      <c r="C1272" s="2943" t="str">
        <f>дома!B2077</f>
        <v>м2</v>
      </c>
      <c r="D1272" s="379">
        <f>дома!C2077</f>
        <v>0</v>
      </c>
      <c r="E1272" s="2944">
        <f>дома!D2077</f>
        <v>526.66666666666663</v>
      </c>
      <c r="F1272" s="2944"/>
      <c r="G1272" s="275">
        <f t="shared" si="190"/>
        <v>0</v>
      </c>
      <c r="H1272" s="2945">
        <f t="shared" si="191"/>
        <v>0</v>
      </c>
      <c r="I1272" s="2911">
        <f t="shared" si="192"/>
        <v>0</v>
      </c>
      <c r="J1272" s="2863"/>
      <c r="K1272" s="223">
        <f t="shared" si="193"/>
        <v>0</v>
      </c>
      <c r="L1272" s="2854"/>
    </row>
    <row r="1273" spans="1:12">
      <c r="A1273" s="2837"/>
      <c r="B1273" s="2942" t="str">
        <f>дома!A2078</f>
        <v>Проф.брус вл. 200*150мм</v>
      </c>
      <c r="C1273" s="2943" t="str">
        <f>дома!B2078</f>
        <v>м3</v>
      </c>
      <c r="D1273" s="379">
        <f>дома!C2078</f>
        <v>0.09</v>
      </c>
      <c r="E1273" s="2944">
        <f>дома!D2078</f>
        <v>9300</v>
      </c>
      <c r="F1273" s="2944"/>
      <c r="G1273" s="275">
        <f t="shared" si="190"/>
        <v>837</v>
      </c>
      <c r="H1273" s="2945">
        <f t="shared" si="191"/>
        <v>0</v>
      </c>
      <c r="I1273" s="2911">
        <f t="shared" si="192"/>
        <v>0</v>
      </c>
      <c r="J1273" s="2863"/>
      <c r="K1273" s="223">
        <f t="shared" si="193"/>
        <v>0.09</v>
      </c>
      <c r="L1273" s="2854"/>
    </row>
    <row r="1274" spans="1:12">
      <c r="A1274" s="2837"/>
      <c r="B1274" s="2942" t="str">
        <f>дома!A2079</f>
        <v>Брус клееный проф 2 ламель кедр Шир. 240 выс. 140</v>
      </c>
      <c r="C1274" s="2943" t="str">
        <f>дома!B2079</f>
        <v>м3</v>
      </c>
      <c r="D1274" s="379">
        <f>дома!C2079</f>
        <v>0.12096000000000003</v>
      </c>
      <c r="E1274" s="2944">
        <f>дома!D2079</f>
        <v>24000</v>
      </c>
      <c r="F1274" s="2944"/>
      <c r="G1274" s="275">
        <f t="shared" si="190"/>
        <v>2903.0400000000004</v>
      </c>
      <c r="H1274" s="2945">
        <f t="shared" si="191"/>
        <v>0</v>
      </c>
      <c r="I1274" s="2911">
        <f t="shared" si="192"/>
        <v>0</v>
      </c>
      <c r="J1274" s="2863"/>
      <c r="K1274" s="223">
        <f t="shared" si="193"/>
        <v>0.12096000000000003</v>
      </c>
      <c r="L1274" s="2854"/>
    </row>
    <row r="1275" spans="1:12">
      <c r="A1275" s="2837"/>
      <c r="B1275" s="2942" t="str">
        <f>дома!A2080</f>
        <v>Брус клееный проф 1 ламель кедр Шир. 240 выс. 140</v>
      </c>
      <c r="C1275" s="2943" t="str">
        <f>дома!B2080</f>
        <v>м3</v>
      </c>
      <c r="D1275" s="379">
        <f>дома!C2080</f>
        <v>0.43680000000000008</v>
      </c>
      <c r="E1275" s="2944">
        <f>дома!D2080</f>
        <v>24000</v>
      </c>
      <c r="F1275" s="2944"/>
      <c r="G1275" s="275">
        <f t="shared" si="190"/>
        <v>10483.200000000003</v>
      </c>
      <c r="H1275" s="2945">
        <f t="shared" si="191"/>
        <v>0</v>
      </c>
      <c r="I1275" s="2911">
        <f t="shared" si="192"/>
        <v>0</v>
      </c>
      <c r="J1275" s="2863"/>
      <c r="K1275" s="223">
        <f t="shared" si="193"/>
        <v>0.43680000000000008</v>
      </c>
      <c r="L1275" s="2854"/>
    </row>
    <row r="1276" spans="1:12">
      <c r="A1276" s="2837"/>
      <c r="B1276" s="2942" t="str">
        <f>дома!A2081</f>
        <v>Клееная накладка на перила шир 240мм</v>
      </c>
      <c r="C1276" s="2943" t="str">
        <f>дома!B2081</f>
        <v>м.п.</v>
      </c>
      <c r="D1276" s="379">
        <f>дома!C2081</f>
        <v>3.6</v>
      </c>
      <c r="E1276" s="2944">
        <f>дома!D2081</f>
        <v>400</v>
      </c>
      <c r="F1276" s="2944"/>
      <c r="G1276" s="275">
        <f t="shared" si="190"/>
        <v>1440</v>
      </c>
      <c r="H1276" s="2945">
        <f t="shared" si="191"/>
        <v>0</v>
      </c>
      <c r="I1276" s="2911">
        <f t="shared" si="192"/>
        <v>0</v>
      </c>
      <c r="J1276" s="2863"/>
      <c r="K1276" s="223">
        <f t="shared" si="193"/>
        <v>3.6</v>
      </c>
      <c r="L1276" s="2854"/>
    </row>
    <row r="1277" spans="1:12">
      <c r="A1277" s="2837"/>
      <c r="B1277" s="3278" t="s">
        <v>4640</v>
      </c>
      <c r="C1277" s="3278"/>
      <c r="D1277" s="3278"/>
      <c r="E1277" s="3278"/>
      <c r="F1277" s="2868"/>
      <c r="G1277" s="96">
        <f>SUM(G1251:G1276)*H1249</f>
        <v>0</v>
      </c>
      <c r="H1277" s="96">
        <f>SUM(H1251:H1276)</f>
        <v>0</v>
      </c>
      <c r="I1277" s="2911">
        <f t="shared" si="192"/>
        <v>0</v>
      </c>
      <c r="J1277" s="2863"/>
      <c r="K1277" s="223">
        <f t="shared" si="193"/>
        <v>0</v>
      </c>
      <c r="L1277" s="2854"/>
    </row>
    <row r="1278" spans="1:12">
      <c r="A1278" s="2837"/>
      <c r="B1278" s="3279" t="s">
        <v>1409</v>
      </c>
      <c r="C1278" s="3279"/>
      <c r="D1278" s="3279"/>
      <c r="E1278" s="3279"/>
      <c r="F1278" s="2912"/>
      <c r="G1278" s="941"/>
      <c r="H1278" s="2891">
        <f>H1249</f>
        <v>0</v>
      </c>
      <c r="I1278" s="2940">
        <f>H1278</f>
        <v>0</v>
      </c>
      <c r="J1278" s="2892"/>
      <c r="K1278" s="2893"/>
    </row>
    <row r="1279" spans="1:12">
      <c r="A1279" s="2829"/>
      <c r="B1279" s="275" t="str">
        <f>дома!G2042</f>
        <v>монтаж веранды</v>
      </c>
      <c r="C1279" s="99" t="s">
        <v>133</v>
      </c>
      <c r="D1279" s="275">
        <f>дома!J2042</f>
        <v>9</v>
      </c>
      <c r="E1279" s="100">
        <f>дома!K2042</f>
        <v>1500</v>
      </c>
      <c r="F1279" s="100"/>
      <c r="G1279" s="275">
        <f t="shared" ref="G1279:G1287" si="194">IF(F1279&gt;0,D1279*F1279,E1279*D1279)</f>
        <v>13500</v>
      </c>
      <c r="H1279" s="2315">
        <f t="shared" ref="H1279:H1287" si="195">D1279*E1279*$H$1278</f>
        <v>0</v>
      </c>
      <c r="I1279" s="2836">
        <f t="shared" ref="I1279:I1288" si="196">IF(G1279&gt;H1279,G1279,H1279)*$H$1249</f>
        <v>0</v>
      </c>
      <c r="J1279" s="2829"/>
      <c r="K1279" s="2837"/>
    </row>
    <row r="1280" spans="1:12">
      <c r="A1280" s="2837"/>
      <c r="B1280" s="275" t="str">
        <f>дома!G2043</f>
        <v>монтаж лаги, перекрытия</v>
      </c>
      <c r="C1280" s="2890" t="s">
        <v>133</v>
      </c>
      <c r="D1280" s="275">
        <f>дома!J2043</f>
        <v>9</v>
      </c>
      <c r="E1280" s="100">
        <f>дома!K2043</f>
        <v>300</v>
      </c>
      <c r="F1280" s="100"/>
      <c r="G1280" s="275">
        <f t="shared" si="194"/>
        <v>2700</v>
      </c>
      <c r="H1280" s="2315">
        <f t="shared" si="195"/>
        <v>0</v>
      </c>
      <c r="I1280" s="2836">
        <f t="shared" si="196"/>
        <v>0</v>
      </c>
      <c r="J1280" s="2829"/>
      <c r="K1280" s="2837"/>
    </row>
    <row r="1281" spans="1:33">
      <c r="A1281" s="2837"/>
      <c r="B1281" s="275" t="str">
        <f>дома!G2044</f>
        <v>Монтаж накладки на перила</v>
      </c>
      <c r="C1281" s="2890" t="s">
        <v>156</v>
      </c>
      <c r="D1281" s="275">
        <f>дома!J2044</f>
        <v>9</v>
      </c>
      <c r="E1281" s="100">
        <f>дома!K2044</f>
        <v>0</v>
      </c>
      <c r="F1281" s="100"/>
      <c r="G1281" s="275">
        <f t="shared" si="194"/>
        <v>0</v>
      </c>
      <c r="H1281" s="2315">
        <f t="shared" si="195"/>
        <v>0</v>
      </c>
      <c r="I1281" s="2836">
        <f t="shared" si="196"/>
        <v>0</v>
      </c>
      <c r="J1281" s="2829"/>
      <c r="K1281" s="2837"/>
    </row>
    <row r="1282" spans="1:33">
      <c r="A1282" s="2851"/>
      <c r="B1282" s="275" t="str">
        <f>дома!G2045</f>
        <v>Монтаж перил</v>
      </c>
      <c r="C1282" s="2890" t="s">
        <v>156</v>
      </c>
      <c r="D1282" s="275">
        <f>дома!J2045</f>
        <v>9</v>
      </c>
      <c r="E1282" s="100">
        <f>дома!K2045</f>
        <v>500</v>
      </c>
      <c r="F1282" s="100"/>
      <c r="G1282" s="275">
        <f t="shared" si="194"/>
        <v>4500</v>
      </c>
      <c r="H1282" s="2315">
        <f t="shared" si="195"/>
        <v>0</v>
      </c>
      <c r="I1282" s="2836">
        <f t="shared" si="196"/>
        <v>0</v>
      </c>
      <c r="J1282" s="2850"/>
      <c r="K1282" s="2851"/>
      <c r="L1282" s="2850"/>
      <c r="M1282" s="2850"/>
      <c r="N1282" s="2850"/>
      <c r="O1282" s="2850"/>
      <c r="P1282" s="2850"/>
      <c r="Q1282" s="2850"/>
      <c r="R1282" s="2850"/>
      <c r="S1282" s="2850"/>
      <c r="T1282" s="2850"/>
      <c r="U1282" s="2850"/>
      <c r="V1282" s="2850"/>
      <c r="W1282" s="2850"/>
      <c r="X1282" s="2850"/>
      <c r="Y1282" s="2850"/>
      <c r="Z1282" s="2850"/>
      <c r="AA1282" s="2850"/>
      <c r="AB1282" s="2850"/>
      <c r="AC1282" s="2850"/>
      <c r="AD1282" s="2850"/>
      <c r="AE1282" s="2850"/>
      <c r="AF1282" s="2850"/>
      <c r="AG1282" s="2850"/>
    </row>
    <row r="1283" spans="1:33">
      <c r="A1283" s="2851"/>
      <c r="B1283" s="275" t="str">
        <f>дома!G2076</f>
        <v>Гидроизоляция рулонная</v>
      </c>
      <c r="C1283" s="2890" t="s">
        <v>133</v>
      </c>
      <c r="D1283" s="275">
        <f>дома!I2076</f>
        <v>0</v>
      </c>
      <c r="E1283" s="100">
        <f>дома!J2076</f>
        <v>250</v>
      </c>
      <c r="F1283" s="100"/>
      <c r="G1283" s="275">
        <f t="shared" si="194"/>
        <v>0</v>
      </c>
      <c r="H1283" s="2315">
        <f t="shared" si="195"/>
        <v>0</v>
      </c>
      <c r="I1283" s="2836">
        <f t="shared" si="196"/>
        <v>0</v>
      </c>
      <c r="J1283" s="2850"/>
      <c r="K1283" s="2851"/>
      <c r="L1283" s="2850"/>
      <c r="M1283" s="2850"/>
      <c r="N1283" s="2850"/>
      <c r="O1283" s="2850"/>
      <c r="P1283" s="2850"/>
      <c r="Q1283" s="2850"/>
      <c r="R1283" s="2850"/>
      <c r="S1283" s="2850"/>
      <c r="T1283" s="2850"/>
      <c r="U1283" s="2850"/>
      <c r="V1283" s="2850"/>
      <c r="W1283" s="2850"/>
      <c r="X1283" s="2850"/>
      <c r="Y1283" s="2850"/>
      <c r="Z1283" s="2850"/>
      <c r="AA1283" s="2850"/>
      <c r="AB1283" s="2850"/>
      <c r="AC1283" s="2850"/>
      <c r="AD1283" s="2850"/>
      <c r="AE1283" s="2850"/>
      <c r="AF1283" s="2850"/>
      <c r="AG1283" s="2850"/>
    </row>
    <row r="1284" spans="1:33">
      <c r="A1284" s="2851"/>
      <c r="B1284" s="275" t="str">
        <f>дома!G2077</f>
        <v>монтаж OSB пол</v>
      </c>
      <c r="C1284" s="2890" t="s">
        <v>133</v>
      </c>
      <c r="D1284" s="275">
        <f>дома!I2077</f>
        <v>0</v>
      </c>
      <c r="E1284" s="100">
        <f>дома!J2077</f>
        <v>250</v>
      </c>
      <c r="F1284" s="100"/>
      <c r="G1284" s="275">
        <f t="shared" si="194"/>
        <v>0</v>
      </c>
      <c r="H1284" s="2315">
        <f t="shared" si="195"/>
        <v>0</v>
      </c>
      <c r="I1284" s="2836">
        <f t="shared" si="196"/>
        <v>0</v>
      </c>
      <c r="J1284" s="2850"/>
      <c r="K1284" s="2851"/>
      <c r="L1284" s="2850"/>
      <c r="M1284" s="2850"/>
      <c r="N1284" s="2850"/>
      <c r="O1284" s="2850"/>
      <c r="P1284" s="2850"/>
      <c r="Q1284" s="2850"/>
      <c r="R1284" s="2850"/>
      <c r="S1284" s="2850"/>
      <c r="T1284" s="2850"/>
      <c r="U1284" s="2850"/>
      <c r="V1284" s="2850"/>
      <c r="W1284" s="2850"/>
      <c r="X1284" s="2850"/>
      <c r="Y1284" s="2850"/>
      <c r="Z1284" s="2850"/>
      <c r="AA1284" s="2850"/>
      <c r="AB1284" s="2850"/>
      <c r="AC1284" s="2850"/>
      <c r="AD1284" s="2850"/>
      <c r="AE1284" s="2850"/>
      <c r="AF1284" s="2850"/>
      <c r="AG1284" s="2850"/>
    </row>
    <row r="1285" spans="1:33">
      <c r="A1285" s="2851"/>
      <c r="B1285" s="275" t="str">
        <f>дома!G2078</f>
        <v>Монтаж перил</v>
      </c>
      <c r="C1285" s="2890" t="s">
        <v>156</v>
      </c>
      <c r="D1285" s="275">
        <f>дома!I2078</f>
        <v>3.6</v>
      </c>
      <c r="E1285" s="100">
        <f>дома!J2078</f>
        <v>500</v>
      </c>
      <c r="F1285" s="100"/>
      <c r="G1285" s="275">
        <f t="shared" si="194"/>
        <v>1800</v>
      </c>
      <c r="H1285" s="2315">
        <f t="shared" si="195"/>
        <v>0</v>
      </c>
      <c r="I1285" s="2836">
        <f t="shared" si="196"/>
        <v>0</v>
      </c>
      <c r="J1285" s="2850"/>
      <c r="K1285" s="2851"/>
      <c r="L1285" s="2850"/>
      <c r="M1285" s="2850"/>
      <c r="N1285" s="2850"/>
      <c r="O1285" s="2850"/>
      <c r="P1285" s="2850"/>
      <c r="Q1285" s="2850"/>
      <c r="R1285" s="2850"/>
      <c r="S1285" s="2850"/>
      <c r="T1285" s="2850"/>
      <c r="U1285" s="2850"/>
      <c r="V1285" s="2850"/>
      <c r="W1285" s="2850"/>
      <c r="X1285" s="2850"/>
      <c r="Y1285" s="2850"/>
      <c r="Z1285" s="2850"/>
      <c r="AA1285" s="2850"/>
      <c r="AB1285" s="2850"/>
      <c r="AC1285" s="2850"/>
      <c r="AD1285" s="2850"/>
      <c r="AE1285" s="2850"/>
      <c r="AF1285" s="2850"/>
      <c r="AG1285" s="2850"/>
    </row>
    <row r="1286" spans="1:33">
      <c r="A1286" s="2851"/>
      <c r="B1286" s="275" t="str">
        <f>дома!G2079</f>
        <v>Монтаж накладки на перила</v>
      </c>
      <c r="C1286" s="2890" t="s">
        <v>156</v>
      </c>
      <c r="D1286" s="275">
        <f>дома!I2079</f>
        <v>3.6</v>
      </c>
      <c r="E1286" s="100">
        <f>дома!J2079</f>
        <v>0</v>
      </c>
      <c r="F1286" s="100"/>
      <c r="G1286" s="275">
        <f t="shared" si="194"/>
        <v>0</v>
      </c>
      <c r="H1286" s="2315">
        <f t="shared" si="195"/>
        <v>0</v>
      </c>
      <c r="I1286" s="2836">
        <f t="shared" si="196"/>
        <v>0</v>
      </c>
      <c r="J1286" s="2850"/>
      <c r="K1286" s="2851"/>
      <c r="L1286" s="2850"/>
      <c r="M1286" s="2850"/>
      <c r="N1286" s="2850"/>
      <c r="O1286" s="2850"/>
      <c r="P1286" s="2850"/>
      <c r="Q1286" s="2850"/>
      <c r="R1286" s="2850"/>
      <c r="S1286" s="2850"/>
      <c r="T1286" s="2850"/>
      <c r="U1286" s="2850"/>
      <c r="V1286" s="2850"/>
      <c r="W1286" s="2850"/>
      <c r="X1286" s="2850"/>
      <c r="Y1286" s="2850"/>
      <c r="Z1286" s="2850"/>
      <c r="AA1286" s="2850"/>
      <c r="AB1286" s="2850"/>
      <c r="AC1286" s="2850"/>
      <c r="AD1286" s="2850"/>
      <c r="AE1286" s="2850"/>
      <c r="AF1286" s="2850"/>
      <c r="AG1286" s="2850"/>
    </row>
    <row r="1287" spans="1:33">
      <c r="A1287" s="2851"/>
      <c r="B1287" s="275" t="str">
        <f>дома!G2080</f>
        <v>монтаж веранды/крыльцо</v>
      </c>
      <c r="C1287" s="2890" t="s">
        <v>133</v>
      </c>
      <c r="D1287" s="275">
        <f>дома!I2080</f>
        <v>0</v>
      </c>
      <c r="E1287" s="100">
        <f>дома!J2080</f>
        <v>1500</v>
      </c>
      <c r="F1287" s="100"/>
      <c r="G1287" s="275">
        <f t="shared" si="194"/>
        <v>0</v>
      </c>
      <c r="H1287" s="2315">
        <f t="shared" si="195"/>
        <v>0</v>
      </c>
      <c r="I1287" s="2836">
        <f t="shared" si="196"/>
        <v>0</v>
      </c>
      <c r="J1287" s="2850"/>
      <c r="K1287" s="2851"/>
      <c r="L1287" s="2850"/>
      <c r="M1287" s="2850"/>
      <c r="N1287" s="2850"/>
      <c r="O1287" s="2850"/>
      <c r="P1287" s="2850"/>
      <c r="Q1287" s="2850"/>
      <c r="R1287" s="2850"/>
      <c r="S1287" s="2850"/>
      <c r="T1287" s="2850"/>
      <c r="U1287" s="2850"/>
      <c r="V1287" s="2850"/>
      <c r="W1287" s="2850"/>
      <c r="X1287" s="2850"/>
      <c r="Y1287" s="2850"/>
      <c r="Z1287" s="2850"/>
      <c r="AA1287" s="2850"/>
      <c r="AB1287" s="2850"/>
      <c r="AC1287" s="2850"/>
      <c r="AD1287" s="2850"/>
      <c r="AE1287" s="2850"/>
      <c r="AF1287" s="2850"/>
      <c r="AG1287" s="2850"/>
    </row>
    <row r="1288" spans="1:33">
      <c r="A1288" s="2851"/>
      <c r="B1288" s="3278" t="s">
        <v>4641</v>
      </c>
      <c r="C1288" s="3278"/>
      <c r="D1288" s="3278"/>
      <c r="E1288" s="3278"/>
      <c r="F1288" s="2868"/>
      <c r="G1288" s="2315">
        <f>SUM(G1279:G1287)*H1278</f>
        <v>0</v>
      </c>
      <c r="H1288" s="2315">
        <f>SUM(H1279:H1287)</f>
        <v>0</v>
      </c>
      <c r="I1288" s="2836">
        <f t="shared" si="196"/>
        <v>0</v>
      </c>
      <c r="J1288" s="2850"/>
      <c r="K1288" s="2851"/>
      <c r="L1288" s="2850"/>
      <c r="M1288" s="2850"/>
      <c r="N1288" s="2850"/>
      <c r="O1288" s="2850"/>
      <c r="P1288" s="2850"/>
      <c r="Q1288" s="2850"/>
      <c r="R1288" s="2850"/>
      <c r="S1288" s="2850"/>
      <c r="T1288" s="2850"/>
      <c r="U1288" s="2850"/>
      <c r="V1288" s="2850"/>
      <c r="W1288" s="2850"/>
      <c r="X1288" s="2850"/>
      <c r="Y1288" s="2850"/>
      <c r="Z1288" s="2850"/>
      <c r="AA1288" s="2850"/>
      <c r="AB1288" s="2850"/>
      <c r="AC1288" s="2850"/>
      <c r="AD1288" s="2850"/>
      <c r="AE1288" s="2850"/>
      <c r="AF1288" s="2850"/>
      <c r="AG1288" s="2850"/>
    </row>
    <row r="1289" spans="1:33" s="2858" customFormat="1" ht="21">
      <c r="B1289" s="3282" t="s">
        <v>2122</v>
      </c>
      <c r="C1289" s="3282"/>
      <c r="D1289" s="3282"/>
      <c r="E1289" s="3282"/>
      <c r="F1289" s="2946"/>
      <c r="G1289" s="941"/>
      <c r="H1289" s="2896">
        <f>VLOOKUP('Ввод данных'!F693,связи1!A2:B3,2,0)</f>
        <v>0</v>
      </c>
      <c r="I1289" s="2940">
        <f>H1289</f>
        <v>0</v>
      </c>
    </row>
    <row r="1290" spans="1:33" s="2858" customFormat="1">
      <c r="B1290" s="3285" t="s">
        <v>2720</v>
      </c>
      <c r="C1290" s="3285"/>
      <c r="D1290" s="3285"/>
      <c r="E1290" s="3285"/>
      <c r="F1290" s="2606"/>
      <c r="G1290" s="941"/>
      <c r="H1290" s="2896">
        <f>H1289</f>
        <v>0</v>
      </c>
      <c r="I1290" s="2940">
        <f>H1290</f>
        <v>0</v>
      </c>
    </row>
    <row r="1291" spans="1:33" s="2858" customFormat="1">
      <c r="B1291" s="2898" t="str">
        <f>дома!A2320</f>
        <v>Листв. влаж, 150*150мм</v>
      </c>
      <c r="C1291" s="236" t="str">
        <f>дома!B2320</f>
        <v>м3</v>
      </c>
      <c r="D1291" s="2899">
        <f>дома!C2320</f>
        <v>8.4000000000000019E-2</v>
      </c>
      <c r="E1291" s="35">
        <f>дома!D2320</f>
        <v>8500</v>
      </c>
      <c r="F1291" s="35"/>
      <c r="G1291" s="275">
        <f t="shared" ref="G1291:G1308" si="197">IF(F1291&gt;0,D1291*F1291,E1291*D1291)</f>
        <v>714.00000000000011</v>
      </c>
      <c r="H1291" s="2315">
        <f t="shared" ref="H1291:H1308" si="198">D1291*E1291*$H$1289</f>
        <v>0</v>
      </c>
      <c r="I1291" s="2911">
        <f t="shared" ref="I1291:I1309" si="199">IF(G1291&gt;H1291,G1291,H1291)*$H$1289</f>
        <v>0</v>
      </c>
      <c r="J1291" s="2863"/>
      <c r="K1291" s="223">
        <f t="shared" ref="K1291:K1309" si="200">D1291-J1291</f>
        <v>8.4000000000000019E-2</v>
      </c>
    </row>
    <row r="1292" spans="1:33" s="2858" customFormat="1">
      <c r="B1292" s="2898" t="str">
        <f>дома!A2321</f>
        <v>Листв. влаж, 150*100мм</v>
      </c>
      <c r="C1292" s="236" t="str">
        <f>дома!B2321</f>
        <v>м3</v>
      </c>
      <c r="D1292" s="2899">
        <f>дома!C2321</f>
        <v>0.09</v>
      </c>
      <c r="E1292" s="35">
        <f>дома!D2321</f>
        <v>8500</v>
      </c>
      <c r="F1292" s="35"/>
      <c r="G1292" s="275">
        <f t="shared" si="197"/>
        <v>765</v>
      </c>
      <c r="H1292" s="2315">
        <f t="shared" si="198"/>
        <v>0</v>
      </c>
      <c r="I1292" s="2911">
        <f t="shared" si="199"/>
        <v>0</v>
      </c>
      <c r="J1292" s="2863"/>
      <c r="K1292" s="223">
        <f t="shared" si="200"/>
        <v>0.09</v>
      </c>
    </row>
    <row r="1293" spans="1:33" s="2858" customFormat="1">
      <c r="B1293" s="2898" t="str">
        <f>дома!A2322</f>
        <v>Сосна влаж, 150*100мм</v>
      </c>
      <c r="C1293" s="236" t="str">
        <f>дома!B2322</f>
        <v>м3</v>
      </c>
      <c r="D1293" s="2899">
        <f>дома!C2322</f>
        <v>7.4999999999999997E-2</v>
      </c>
      <c r="E1293" s="35">
        <f>дома!D2322</f>
        <v>6500</v>
      </c>
      <c r="F1293" s="35"/>
      <c r="G1293" s="275">
        <f t="shared" si="197"/>
        <v>487.5</v>
      </c>
      <c r="H1293" s="2315">
        <f t="shared" si="198"/>
        <v>0</v>
      </c>
      <c r="I1293" s="2911">
        <f t="shared" si="199"/>
        <v>0</v>
      </c>
      <c r="J1293" s="2863"/>
      <c r="K1293" s="223">
        <f t="shared" si="200"/>
        <v>7.4999999999999997E-2</v>
      </c>
    </row>
    <row r="1294" spans="1:33" s="2858" customFormat="1">
      <c r="B1294" s="2898" t="str">
        <f>дома!A2323</f>
        <v>Нет</v>
      </c>
      <c r="C1294" s="236" t="str">
        <f>дома!B2323</f>
        <v>м3</v>
      </c>
      <c r="D1294" s="2899">
        <f>дома!C2323</f>
        <v>11.5</v>
      </c>
      <c r="E1294" s="35">
        <f>дома!D2323</f>
        <v>0</v>
      </c>
      <c r="F1294" s="35"/>
      <c r="G1294" s="275">
        <f t="shared" si="197"/>
        <v>0</v>
      </c>
      <c r="H1294" s="2315">
        <f t="shared" si="198"/>
        <v>0</v>
      </c>
      <c r="I1294" s="2911">
        <f t="shared" si="199"/>
        <v>0</v>
      </c>
      <c r="J1294" s="2863"/>
      <c r="K1294" s="223">
        <f t="shared" si="200"/>
        <v>11.5</v>
      </c>
    </row>
    <row r="1295" spans="1:33" s="2858" customFormat="1">
      <c r="B1295" s="2898" t="str">
        <f>дома!A2324</f>
        <v>Брус клееный проф 2 ламель кедр Шир. 240 выс. 140</v>
      </c>
      <c r="C1295" s="236" t="str">
        <f>дома!B2324</f>
        <v>м3</v>
      </c>
      <c r="D1295" s="2899">
        <f>дома!C2324</f>
        <v>0.16800000000000004</v>
      </c>
      <c r="E1295" s="35">
        <f>дома!D2324</f>
        <v>24000</v>
      </c>
      <c r="F1295" s="35"/>
      <c r="G1295" s="275">
        <f t="shared" si="197"/>
        <v>4032.0000000000009</v>
      </c>
      <c r="H1295" s="2315">
        <f t="shared" si="198"/>
        <v>0</v>
      </c>
      <c r="I1295" s="2911">
        <f t="shared" si="199"/>
        <v>0</v>
      </c>
      <c r="J1295" s="2863"/>
      <c r="K1295" s="223">
        <f t="shared" si="200"/>
        <v>0.16800000000000004</v>
      </c>
    </row>
    <row r="1296" spans="1:33" s="2858" customFormat="1">
      <c r="B1296" s="2898" t="str">
        <f>дома!A2325</f>
        <v>Брус клееный проф 1 ламель кедр Шир. 240 выс. 140</v>
      </c>
      <c r="C1296" s="236" t="str">
        <f>дома!B2325</f>
        <v>м3</v>
      </c>
      <c r="D1296" s="2899">
        <f>дома!C2325</f>
        <v>0.33600000000000008</v>
      </c>
      <c r="E1296" s="35">
        <f>дома!D2325</f>
        <v>24000</v>
      </c>
      <c r="F1296" s="35"/>
      <c r="G1296" s="275">
        <f t="shared" si="197"/>
        <v>8064.0000000000018</v>
      </c>
      <c r="H1296" s="2315">
        <f t="shared" si="198"/>
        <v>0</v>
      </c>
      <c r="I1296" s="2911">
        <f t="shared" si="199"/>
        <v>0</v>
      </c>
      <c r="J1296" s="2863"/>
      <c r="K1296" s="223">
        <f t="shared" si="200"/>
        <v>0.33600000000000008</v>
      </c>
    </row>
    <row r="1297" spans="2:11" s="2858" customFormat="1">
      <c r="B1297" s="2898" t="str">
        <f>дома!A2326</f>
        <v>Нет накладки</v>
      </c>
      <c r="C1297" s="236" t="str">
        <f>дома!B2326</f>
        <v>м.п.</v>
      </c>
      <c r="D1297" s="2899">
        <f>дома!C2326</f>
        <v>5</v>
      </c>
      <c r="E1297" s="35">
        <f>дома!D2326</f>
        <v>0</v>
      </c>
      <c r="F1297" s="35"/>
      <c r="G1297" s="275">
        <f t="shared" si="197"/>
        <v>0</v>
      </c>
      <c r="H1297" s="2315">
        <f t="shared" si="198"/>
        <v>0</v>
      </c>
      <c r="I1297" s="2911">
        <f t="shared" si="199"/>
        <v>0</v>
      </c>
      <c r="J1297" s="2863"/>
      <c r="K1297" s="223">
        <f t="shared" si="200"/>
        <v>5</v>
      </c>
    </row>
    <row r="1298" spans="2:11" s="2858" customFormat="1">
      <c r="B1298" s="2898" t="str">
        <f>дома!A2327</f>
        <v>Листв. влаж, 200*200мм</v>
      </c>
      <c r="C1298" s="236" t="str">
        <f>дома!B2327</f>
        <v>м3</v>
      </c>
      <c r="D1298" s="2899">
        <f>дома!C2327</f>
        <v>0.32000000000000006</v>
      </c>
      <c r="E1298" s="35">
        <f>дома!D2327</f>
        <v>9000</v>
      </c>
      <c r="F1298" s="35"/>
      <c r="G1298" s="275">
        <f t="shared" si="197"/>
        <v>2880.0000000000005</v>
      </c>
      <c r="H1298" s="2315">
        <f t="shared" si="198"/>
        <v>0</v>
      </c>
      <c r="I1298" s="2911">
        <f t="shared" si="199"/>
        <v>0</v>
      </c>
      <c r="J1298" s="2863"/>
      <c r="K1298" s="223">
        <f t="shared" si="200"/>
        <v>0.32000000000000006</v>
      </c>
    </row>
    <row r="1299" spans="2:11" s="2858" customFormat="1">
      <c r="B1299" s="2898" t="str">
        <f>дома!A2328</f>
        <v xml:space="preserve">Уголок усиленный 90х70х55х2,5        </v>
      </c>
      <c r="C1299" s="236" t="str">
        <f>дома!B2328</f>
        <v>шт</v>
      </c>
      <c r="D1299" s="2899">
        <f>дома!C2328</f>
        <v>6</v>
      </c>
      <c r="E1299" s="35">
        <f>дома!D2328</f>
        <v>30</v>
      </c>
      <c r="F1299" s="35"/>
      <c r="G1299" s="275">
        <f t="shared" si="197"/>
        <v>180</v>
      </c>
      <c r="H1299" s="2315">
        <f t="shared" si="198"/>
        <v>0</v>
      </c>
      <c r="I1299" s="2911">
        <f t="shared" si="199"/>
        <v>0</v>
      </c>
      <c r="J1299" s="2863"/>
      <c r="K1299" s="223">
        <f t="shared" si="200"/>
        <v>6</v>
      </c>
    </row>
    <row r="1300" spans="2:11" s="2858" customFormat="1">
      <c r="B1300" s="2898" t="str">
        <f>дома!A2329</f>
        <v>Нет уголков</v>
      </c>
      <c r="C1300" s="236" t="str">
        <f>дома!B2329</f>
        <v>шт</v>
      </c>
      <c r="D1300" s="2899">
        <f>дома!C2329</f>
        <v>0</v>
      </c>
      <c r="E1300" s="35">
        <f>дома!D2329</f>
        <v>0</v>
      </c>
      <c r="F1300" s="35"/>
      <c r="G1300" s="275">
        <f t="shared" si="197"/>
        <v>0</v>
      </c>
      <c r="H1300" s="2315">
        <f t="shared" si="198"/>
        <v>0</v>
      </c>
      <c r="I1300" s="2911">
        <f t="shared" si="199"/>
        <v>0</v>
      </c>
      <c r="J1300" s="2863"/>
      <c r="K1300" s="223">
        <f t="shared" si="200"/>
        <v>0</v>
      </c>
    </row>
    <row r="1301" spans="2:11" s="2858" customFormat="1">
      <c r="B1301" s="2898" t="str">
        <f>дома!A2330</f>
        <v xml:space="preserve">Пластина соеденительная 100х240х2           </v>
      </c>
      <c r="C1301" s="236" t="str">
        <f>дома!B2330</f>
        <v>шт</v>
      </c>
      <c r="D1301" s="2899">
        <f>дома!C2330</f>
        <v>2</v>
      </c>
      <c r="E1301" s="35">
        <f>дома!D2330</f>
        <v>31.54</v>
      </c>
      <c r="F1301" s="35"/>
      <c r="G1301" s="275">
        <f t="shared" si="197"/>
        <v>63.08</v>
      </c>
      <c r="H1301" s="2315">
        <f t="shared" si="198"/>
        <v>0</v>
      </c>
      <c r="I1301" s="2911">
        <f t="shared" si="199"/>
        <v>0</v>
      </c>
      <c r="J1301" s="2863"/>
      <c r="K1301" s="223">
        <f t="shared" si="200"/>
        <v>2</v>
      </c>
    </row>
    <row r="1302" spans="2:11" s="2858" customFormat="1">
      <c r="B1302" s="2898" t="str">
        <f>дома!A2331</f>
        <v>Нет пластин</v>
      </c>
      <c r="C1302" s="236" t="str">
        <f>дома!B2331</f>
        <v>шт</v>
      </c>
      <c r="D1302" s="2899">
        <f>дома!C2331</f>
        <v>0</v>
      </c>
      <c r="E1302" s="35">
        <f>дома!D2331</f>
        <v>0</v>
      </c>
      <c r="F1302" s="35"/>
      <c r="G1302" s="275">
        <f t="shared" si="197"/>
        <v>0</v>
      </c>
      <c r="H1302" s="2315">
        <f t="shared" si="198"/>
        <v>0</v>
      </c>
      <c r="I1302" s="2911">
        <f t="shared" si="199"/>
        <v>0</v>
      </c>
      <c r="J1302" s="2863"/>
      <c r="K1302" s="223">
        <f t="shared" si="200"/>
        <v>0</v>
      </c>
    </row>
    <row r="1303" spans="2:11" s="2858" customFormat="1">
      <c r="B1303" s="2898" t="str">
        <f>дома!A2332</f>
        <v xml:space="preserve">Болты анкерные с гайкой 12,0 x 100          </v>
      </c>
      <c r="C1303" s="236" t="str">
        <f>дома!B2332</f>
        <v>шт</v>
      </c>
      <c r="D1303" s="2899">
        <f>дома!C2332</f>
        <v>6</v>
      </c>
      <c r="E1303" s="35">
        <f>дома!D2332</f>
        <v>11.2</v>
      </c>
      <c r="F1303" s="35"/>
      <c r="G1303" s="275">
        <f t="shared" si="197"/>
        <v>67.199999999999989</v>
      </c>
      <c r="H1303" s="2315">
        <f t="shared" si="198"/>
        <v>0</v>
      </c>
      <c r="I1303" s="2911">
        <f t="shared" si="199"/>
        <v>0</v>
      </c>
      <c r="J1303" s="2863"/>
      <c r="K1303" s="223">
        <f t="shared" si="200"/>
        <v>6</v>
      </c>
    </row>
    <row r="1304" spans="2:11" s="2858" customFormat="1">
      <c r="B1304" s="2898" t="str">
        <f>дома!A2333</f>
        <v>Нет анкерных болтов</v>
      </c>
      <c r="C1304" s="236" t="str">
        <f>дома!B2333</f>
        <v>шт</v>
      </c>
      <c r="D1304" s="2899">
        <f>дома!C2333</f>
        <v>0</v>
      </c>
      <c r="E1304" s="35">
        <f>дома!D2333</f>
        <v>0</v>
      </c>
      <c r="F1304" s="35"/>
      <c r="G1304" s="275">
        <f t="shared" si="197"/>
        <v>0</v>
      </c>
      <c r="H1304" s="2315">
        <f t="shared" si="198"/>
        <v>0</v>
      </c>
      <c r="I1304" s="2911">
        <f t="shared" si="199"/>
        <v>0</v>
      </c>
      <c r="J1304" s="2863"/>
      <c r="K1304" s="223">
        <f t="shared" si="200"/>
        <v>0</v>
      </c>
    </row>
    <row r="1305" spans="2:11" s="2858" customFormat="1">
      <c r="B1305" s="2898" t="str">
        <f>дома!A2334</f>
        <v xml:space="preserve">Саморезы 3,5 x 45            </v>
      </c>
      <c r="C1305" s="236" t="str">
        <f>дома!B2334</f>
        <v>кг</v>
      </c>
      <c r="D1305" s="2899">
        <f>дома!C2334</f>
        <v>0</v>
      </c>
      <c r="E1305" s="35">
        <f>дома!D2334</f>
        <v>105.62</v>
      </c>
      <c r="F1305" s="35"/>
      <c r="G1305" s="275">
        <f t="shared" si="197"/>
        <v>0</v>
      </c>
      <c r="H1305" s="2315">
        <f t="shared" si="198"/>
        <v>0</v>
      </c>
      <c r="I1305" s="2911">
        <f t="shared" si="199"/>
        <v>0</v>
      </c>
      <c r="J1305" s="2863"/>
      <c r="K1305" s="223">
        <f t="shared" si="200"/>
        <v>0</v>
      </c>
    </row>
    <row r="1306" spans="2:11" s="2858" customFormat="1">
      <c r="B1306" s="2898" t="str">
        <f>дома!A2335</f>
        <v>Нет саморезов</v>
      </c>
      <c r="C1306" s="236" t="str">
        <f>дома!B2335</f>
        <v>кг</v>
      </c>
      <c r="D1306" s="2899">
        <f>дома!C2335</f>
        <v>0</v>
      </c>
      <c r="E1306" s="35">
        <f>дома!D2335</f>
        <v>0</v>
      </c>
      <c r="F1306" s="35"/>
      <c r="G1306" s="275">
        <f t="shared" si="197"/>
        <v>0</v>
      </c>
      <c r="H1306" s="2315">
        <f t="shared" si="198"/>
        <v>0</v>
      </c>
      <c r="I1306" s="2911">
        <f t="shared" si="199"/>
        <v>0</v>
      </c>
      <c r="J1306" s="2863"/>
      <c r="K1306" s="223">
        <f t="shared" si="200"/>
        <v>0</v>
      </c>
    </row>
    <row r="1307" spans="2:11" s="2858" customFormat="1">
      <c r="B1307" s="2898" t="str">
        <f>дома!A2336</f>
        <v xml:space="preserve">Гвозди строительные 2,5 x 60            </v>
      </c>
      <c r="C1307" s="236" t="str">
        <f>дома!B2336</f>
        <v>кг</v>
      </c>
      <c r="D1307" s="2899">
        <f>дома!C2336</f>
        <v>1</v>
      </c>
      <c r="E1307" s="35">
        <f>дома!D2336</f>
        <v>70</v>
      </c>
      <c r="F1307" s="35"/>
      <c r="G1307" s="275">
        <f t="shared" si="197"/>
        <v>70</v>
      </c>
      <c r="H1307" s="2315">
        <f t="shared" si="198"/>
        <v>0</v>
      </c>
      <c r="I1307" s="2911">
        <f t="shared" si="199"/>
        <v>0</v>
      </c>
      <c r="J1307" s="2863"/>
      <c r="K1307" s="223">
        <f t="shared" si="200"/>
        <v>1</v>
      </c>
    </row>
    <row r="1308" spans="2:11" s="2858" customFormat="1">
      <c r="B1308" s="2898" t="str">
        <f>дома!A2337</f>
        <v xml:space="preserve">Гвозди ершоные 3,4 x 60            </v>
      </c>
      <c r="C1308" s="236" t="str">
        <f>дома!B2337</f>
        <v>кг</v>
      </c>
      <c r="D1308" s="2899">
        <f>дома!C2337</f>
        <v>1</v>
      </c>
      <c r="E1308" s="35">
        <f>дома!D2337</f>
        <v>75.510000000000005</v>
      </c>
      <c r="F1308" s="35"/>
      <c r="G1308" s="275">
        <f t="shared" si="197"/>
        <v>75.510000000000005</v>
      </c>
      <c r="H1308" s="2315">
        <f t="shared" si="198"/>
        <v>0</v>
      </c>
      <c r="I1308" s="2911">
        <f t="shared" si="199"/>
        <v>0</v>
      </c>
      <c r="J1308" s="2863"/>
      <c r="K1308" s="223">
        <f t="shared" si="200"/>
        <v>1</v>
      </c>
    </row>
    <row r="1309" spans="2:11" s="2858" customFormat="1">
      <c r="B1309" s="3278" t="s">
        <v>4640</v>
      </c>
      <c r="C1309" s="3278"/>
      <c r="D1309" s="3278"/>
      <c r="E1309" s="3278"/>
      <c r="F1309" s="2868"/>
      <c r="G1309" s="2315">
        <f>SUM(G1291:G1308)*H1289</f>
        <v>0</v>
      </c>
      <c r="H1309" s="2315">
        <f>SUM(H1291:H1308)</f>
        <v>0</v>
      </c>
      <c r="I1309" s="2911">
        <f t="shared" si="199"/>
        <v>0</v>
      </c>
      <c r="J1309" s="2863"/>
      <c r="K1309" s="223">
        <f t="shared" si="200"/>
        <v>0</v>
      </c>
    </row>
    <row r="1310" spans="2:11" s="2858" customFormat="1">
      <c r="B1310" s="3279" t="s">
        <v>1409</v>
      </c>
      <c r="C1310" s="3279"/>
      <c r="D1310" s="3279"/>
      <c r="E1310" s="3279"/>
      <c r="F1310" s="2606"/>
      <c r="G1310" s="941"/>
      <c r="H1310" s="2896">
        <f>H1289</f>
        <v>0</v>
      </c>
      <c r="I1310" s="2940">
        <f>H1310</f>
        <v>0</v>
      </c>
    </row>
    <row r="1311" spans="2:11" s="2858" customFormat="1">
      <c r="B1311" s="2898" t="str">
        <f>дома!I2320</f>
        <v>монтаж веранды/крыльцо</v>
      </c>
      <c r="C1311" s="236" t="str">
        <f>дома!J2320</f>
        <v>м2</v>
      </c>
      <c r="D1311" s="2899">
        <f>дома!K2320</f>
        <v>3</v>
      </c>
      <c r="E1311" s="35">
        <f>дома!L2320</f>
        <v>1500</v>
      </c>
      <c r="F1311" s="35"/>
      <c r="G1311" s="275">
        <f>IF(F1311&gt;0,D1311*F1311,E1311*D1311)</f>
        <v>4500</v>
      </c>
      <c r="H1311" s="2315">
        <f>D1311*E1311*H1310</f>
        <v>0</v>
      </c>
      <c r="I1311" s="2836">
        <f>IF(G1311&gt;H1311,G1311,H1311)*$H$1289</f>
        <v>0</v>
      </c>
    </row>
    <row r="1312" spans="2:11" s="2858" customFormat="1">
      <c r="B1312" s="3278" t="s">
        <v>4660</v>
      </c>
      <c r="C1312" s="3278"/>
      <c r="D1312" s="3278"/>
      <c r="E1312" s="3278"/>
      <c r="F1312" s="2868"/>
      <c r="G1312" s="2315">
        <f>G1311*H1310</f>
        <v>0</v>
      </c>
      <c r="H1312" s="2315">
        <f>H1311</f>
        <v>0</v>
      </c>
      <c r="I1312" s="2836">
        <f>IF(G1312&gt;H1312,G1312,H1312)*$H$1289</f>
        <v>0</v>
      </c>
    </row>
    <row r="1313" spans="1:33" ht="21">
      <c r="A1313" s="2893"/>
      <c r="B1313" s="3283" t="s">
        <v>2069</v>
      </c>
      <c r="C1313" s="3283"/>
      <c r="D1313" s="3283"/>
      <c r="E1313" s="3283"/>
      <c r="F1313" s="2895"/>
      <c r="G1313" s="941"/>
      <c r="H1313" s="2934">
        <f>VLOOKUP('Ввод данных'!F512,связи1!A2:B3,2,0)</f>
        <v>0</v>
      </c>
      <c r="I1313" s="2940">
        <f>H1313</f>
        <v>0</v>
      </c>
      <c r="J1313" s="2892"/>
      <c r="K1313" s="2893"/>
      <c r="L1313" s="2892"/>
      <c r="M1313" s="2892"/>
      <c r="N1313" s="2892"/>
      <c r="O1313" s="2892"/>
      <c r="P1313" s="2892"/>
      <c r="Q1313" s="2892"/>
      <c r="R1313" s="2892"/>
      <c r="S1313" s="2892"/>
      <c r="T1313" s="2892"/>
      <c r="U1313" s="2892"/>
      <c r="V1313" s="2892"/>
      <c r="W1313" s="2892"/>
      <c r="X1313" s="2892"/>
      <c r="Y1313" s="2892"/>
      <c r="Z1313" s="2892"/>
      <c r="AA1313" s="2892"/>
      <c r="AB1313" s="2892"/>
      <c r="AC1313" s="2892"/>
      <c r="AD1313" s="2892"/>
      <c r="AE1313" s="2892"/>
      <c r="AF1313" s="2892"/>
      <c r="AG1313" s="2892"/>
    </row>
    <row r="1314" spans="1:33">
      <c r="A1314" s="2837"/>
      <c r="B1314" s="3293" t="s">
        <v>2720</v>
      </c>
      <c r="C1314" s="3293"/>
      <c r="D1314" s="3293"/>
      <c r="E1314" s="3293"/>
      <c r="F1314" s="2947"/>
      <c r="G1314" s="941"/>
      <c r="H1314" s="2948">
        <f>H1313</f>
        <v>0</v>
      </c>
      <c r="I1314" s="2940">
        <f>H1314</f>
        <v>0</v>
      </c>
      <c r="J1314" s="2850"/>
      <c r="K1314" s="2851"/>
    </row>
    <row r="1315" spans="1:33">
      <c r="A1315" s="2837"/>
      <c r="B1315" s="132" t="str">
        <f>дома!A2197</f>
        <v>Оцилиндрованное бревно сосна 260мм</v>
      </c>
      <c r="C1315" s="290" t="str">
        <f>дома!B2197</f>
        <v>м3</v>
      </c>
      <c r="D1315" s="132">
        <f>дома!C2197</f>
        <v>1.1700000000000002</v>
      </c>
      <c r="E1315" s="132">
        <f>дома!D2197</f>
        <v>8500</v>
      </c>
      <c r="F1315" s="132"/>
      <c r="G1315" s="275">
        <f t="shared" ref="G1315:G1325" si="201">IF(F1315&gt;0,D1315*F1315,E1315*D1315)</f>
        <v>9945.0000000000018</v>
      </c>
      <c r="H1315" s="2315">
        <f>D1315*E1315*$H$1313*VLOOKUP('Ввод данных'!D462,связи1!A2:B3,2,0)</f>
        <v>0</v>
      </c>
      <c r="I1315" s="2911">
        <f t="shared" ref="I1315:I1326" si="202">IF(G1315&gt;H1315,G1315,H1315)*$H$1313</f>
        <v>0</v>
      </c>
      <c r="J1315" s="2863"/>
      <c r="K1315" s="223">
        <f t="shared" ref="K1315:K1326" si="203">D1315-J1315</f>
        <v>1.1700000000000002</v>
      </c>
      <c r="L1315" s="2854"/>
    </row>
    <row r="1316" spans="1:33">
      <c r="A1316" s="2837"/>
      <c r="B1316" s="132" t="str">
        <f>дома!A2198</f>
        <v>Доска естественной влажности, 200*50мм</v>
      </c>
      <c r="C1316" s="290" t="str">
        <f>дома!B2198</f>
        <v>м3</v>
      </c>
      <c r="D1316" s="132">
        <f>дома!C2198</f>
        <v>9.0000000000000024E-2</v>
      </c>
      <c r="E1316" s="132">
        <f>дома!D2198</f>
        <v>6500</v>
      </c>
      <c r="F1316" s="132"/>
      <c r="G1316" s="275">
        <f t="shared" si="201"/>
        <v>585.00000000000011</v>
      </c>
      <c r="H1316" s="2315">
        <f>D1316*E1316*$H$1313*VLOOKUP('Ввод данных'!D462,связи1!A2:B3,2,0)</f>
        <v>0</v>
      </c>
      <c r="I1316" s="2911">
        <f t="shared" si="202"/>
        <v>0</v>
      </c>
      <c r="J1316" s="2863"/>
      <c r="K1316" s="223">
        <f t="shared" si="203"/>
        <v>9.0000000000000024E-2</v>
      </c>
      <c r="L1316" s="2854"/>
    </row>
    <row r="1317" spans="1:33">
      <c r="A1317" s="2837"/>
      <c r="B1317" s="132" t="str">
        <f>дома!A2199</f>
        <v>Бензин для пилы</v>
      </c>
      <c r="C1317" s="290" t="str">
        <f>дома!B2199</f>
        <v>л</v>
      </c>
      <c r="D1317" s="132">
        <f>дома!C2199</f>
        <v>0.63000000000000012</v>
      </c>
      <c r="E1317" s="132">
        <f>дома!D2199</f>
        <v>40</v>
      </c>
      <c r="F1317" s="132"/>
      <c r="G1317" s="275">
        <f t="shared" si="201"/>
        <v>25.200000000000003</v>
      </c>
      <c r="H1317" s="2315">
        <f>D1317*E1317*$H$1313*VLOOKUP('Ввод данных'!D462,связи1!A2:B3,2,0)</f>
        <v>0</v>
      </c>
      <c r="I1317" s="2911">
        <f t="shared" si="202"/>
        <v>0</v>
      </c>
      <c r="J1317" s="2863"/>
      <c r="K1317" s="223">
        <f t="shared" si="203"/>
        <v>0.63000000000000012</v>
      </c>
      <c r="L1317" s="2854"/>
    </row>
    <row r="1318" spans="1:33">
      <c r="A1318" s="2837"/>
      <c r="B1318" s="132" t="str">
        <f>дома!A2200</f>
        <v>Масло для пилы</v>
      </c>
      <c r="C1318" s="290" t="str">
        <f>дома!B2200</f>
        <v>л</v>
      </c>
      <c r="D1318" s="132">
        <f>дома!C2200</f>
        <v>5.2500000000000012E-2</v>
      </c>
      <c r="E1318" s="132">
        <f>дома!D2200</f>
        <v>250</v>
      </c>
      <c r="F1318" s="132"/>
      <c r="G1318" s="275">
        <f t="shared" si="201"/>
        <v>13.125000000000004</v>
      </c>
      <c r="H1318" s="2315">
        <f>D1318*E1318*$H$1313*VLOOKUP('Ввод данных'!D462,связи1!A2:B3,2,0)</f>
        <v>0</v>
      </c>
      <c r="I1318" s="2911">
        <f t="shared" si="202"/>
        <v>0</v>
      </c>
      <c r="J1318" s="2863"/>
      <c r="K1318" s="223">
        <f t="shared" si="203"/>
        <v>5.2500000000000012E-2</v>
      </c>
      <c r="L1318" s="2854"/>
    </row>
    <row r="1319" spans="1:33">
      <c r="A1319" s="2837"/>
      <c r="B1319" s="132" t="str">
        <f>дома!A2201</f>
        <v>Цепь для пилы</v>
      </c>
      <c r="C1319" s="290" t="str">
        <f>дома!B2201</f>
        <v>л</v>
      </c>
      <c r="D1319" s="132">
        <f>дома!C2201</f>
        <v>1</v>
      </c>
      <c r="E1319" s="132">
        <f>дома!D2201</f>
        <v>800</v>
      </c>
      <c r="F1319" s="132"/>
      <c r="G1319" s="275">
        <f t="shared" si="201"/>
        <v>800</v>
      </c>
      <c r="H1319" s="2315">
        <f>D1319*E1319*$H$1313*VLOOKUP('Ввод данных'!D462,связи1!A2:B3,2,0)</f>
        <v>0</v>
      </c>
      <c r="I1319" s="2911">
        <f t="shared" si="202"/>
        <v>0</v>
      </c>
      <c r="J1319" s="2863"/>
      <c r="K1319" s="223">
        <f t="shared" si="203"/>
        <v>1</v>
      </c>
      <c r="L1319" s="2854"/>
    </row>
    <row r="1320" spans="1:33">
      <c r="A1320" s="2837"/>
      <c r="B1320" s="132" t="str">
        <f>дома!A2203</f>
        <v>Гидроизоляция жидкая резина 1</v>
      </c>
      <c r="C1320" s="290" t="str">
        <f>дома!B2203</f>
        <v>кг</v>
      </c>
      <c r="D1320" s="132">
        <f>дома!C2203</f>
        <v>0</v>
      </c>
      <c r="E1320" s="132">
        <f>дома!D2203</f>
        <v>150</v>
      </c>
      <c r="F1320" s="132"/>
      <c r="G1320" s="275">
        <f t="shared" si="201"/>
        <v>0</v>
      </c>
      <c r="H1320" s="2315">
        <f>D1320*E1320*$H$1313*VLOOKUP('Ввод данных'!D481,связи1!A2:B3,2,0)</f>
        <v>0</v>
      </c>
      <c r="I1320" s="2911">
        <f t="shared" si="202"/>
        <v>0</v>
      </c>
      <c r="J1320" s="2863"/>
      <c r="K1320" s="223">
        <f t="shared" si="203"/>
        <v>0</v>
      </c>
      <c r="L1320" s="2854"/>
    </row>
    <row r="1321" spans="1:33">
      <c r="A1321" s="2837"/>
      <c r="B1321" s="132" t="str">
        <f>дома!A2204</f>
        <v>Kronospan - OSB-3, 22мм</v>
      </c>
      <c r="C1321" s="290" t="str">
        <f>дома!B2204</f>
        <v>м2</v>
      </c>
      <c r="D1321" s="132">
        <f>дома!C2204</f>
        <v>0</v>
      </c>
      <c r="E1321" s="132">
        <f>дома!D2204</f>
        <v>526.66666666666663</v>
      </c>
      <c r="F1321" s="132"/>
      <c r="G1321" s="275">
        <f t="shared" si="201"/>
        <v>0</v>
      </c>
      <c r="H1321" s="2315">
        <f>D1321*E1321*$H$1313*VLOOKUP('Ввод данных'!D481,связи1!A2:B3,2,0)</f>
        <v>0</v>
      </c>
      <c r="I1321" s="2911">
        <f t="shared" si="202"/>
        <v>0</v>
      </c>
      <c r="J1321" s="2863"/>
      <c r="K1321" s="223">
        <f t="shared" si="203"/>
        <v>0</v>
      </c>
      <c r="L1321" s="2854"/>
    </row>
    <row r="1322" spans="1:33">
      <c r="A1322" s="2837"/>
      <c r="B1322" s="132" t="str">
        <f>дома!A2205</f>
        <v>Проф.брус вл. 200*150мм</v>
      </c>
      <c r="C1322" s="290" t="str">
        <f>дома!B2205</f>
        <v>м3</v>
      </c>
      <c r="D1322" s="132">
        <f>дома!C2205</f>
        <v>0</v>
      </c>
      <c r="E1322" s="132">
        <f>дома!D2205</f>
        <v>9300</v>
      </c>
      <c r="F1322" s="132"/>
      <c r="G1322" s="275">
        <f t="shared" si="201"/>
        <v>0</v>
      </c>
      <c r="H1322" s="2315">
        <f>D1322*E1322*$H$1313*VLOOKUP('Ввод данных'!D481,связи1!A2:B3,2,0)</f>
        <v>0</v>
      </c>
      <c r="I1322" s="2911">
        <f t="shared" si="202"/>
        <v>0</v>
      </c>
      <c r="J1322" s="2863"/>
      <c r="K1322" s="223">
        <f t="shared" si="203"/>
        <v>0</v>
      </c>
      <c r="L1322" s="2854"/>
    </row>
    <row r="1323" spans="1:33">
      <c r="A1323" s="2837"/>
      <c r="B1323" s="132" t="str">
        <f>дома!A2206</f>
        <v>Брус клееный проф 2 ламель кедр Шир. 240 выс. 140</v>
      </c>
      <c r="C1323" s="290" t="str">
        <f>дома!B2206</f>
        <v>м3</v>
      </c>
      <c r="D1323" s="132">
        <f>дома!C2206</f>
        <v>0</v>
      </c>
      <c r="E1323" s="132">
        <f>дома!D2206</f>
        <v>24000</v>
      </c>
      <c r="F1323" s="132"/>
      <c r="G1323" s="275">
        <f t="shared" si="201"/>
        <v>0</v>
      </c>
      <c r="H1323" s="2315">
        <f>D1323*E1323*$H$1313*VLOOKUP('Ввод данных'!D481,связи1!A2:B3,2,0)</f>
        <v>0</v>
      </c>
      <c r="I1323" s="2911">
        <f t="shared" si="202"/>
        <v>0</v>
      </c>
      <c r="J1323" s="2863"/>
      <c r="K1323" s="223">
        <f t="shared" si="203"/>
        <v>0</v>
      </c>
      <c r="L1323" s="2854"/>
    </row>
    <row r="1324" spans="1:33">
      <c r="A1324" s="2837"/>
      <c r="B1324" s="132" t="str">
        <f>дома!A2207</f>
        <v>Брус клееный проф 1 ламель кедр Шир. 240 выс. 140</v>
      </c>
      <c r="C1324" s="290" t="str">
        <f>дома!B2207</f>
        <v>м3</v>
      </c>
      <c r="D1324" s="132">
        <f>дома!C2207</f>
        <v>0</v>
      </c>
      <c r="E1324" s="132">
        <f>дома!D2207</f>
        <v>24000</v>
      </c>
      <c r="F1324" s="132"/>
      <c r="G1324" s="275">
        <f t="shared" si="201"/>
        <v>0</v>
      </c>
      <c r="H1324" s="2315">
        <f>D1324*E1324*$H$1313*VLOOKUP('Ввод данных'!D481,связи1!A2:B3,2,0)</f>
        <v>0</v>
      </c>
      <c r="I1324" s="2911">
        <f t="shared" si="202"/>
        <v>0</v>
      </c>
      <c r="J1324" s="2863"/>
      <c r="K1324" s="223">
        <f t="shared" si="203"/>
        <v>0</v>
      </c>
      <c r="L1324" s="2854"/>
    </row>
    <row r="1325" spans="1:33">
      <c r="A1325" s="2837"/>
      <c r="B1325" s="132" t="str">
        <f>дома!A2208</f>
        <v>Клееная накладка на перила шир 240мм</v>
      </c>
      <c r="C1325" s="290" t="str">
        <f>дома!B2208</f>
        <v>м.п.</v>
      </c>
      <c r="D1325" s="132">
        <f>дома!C2208</f>
        <v>0</v>
      </c>
      <c r="E1325" s="132">
        <f>дома!D2208</f>
        <v>400</v>
      </c>
      <c r="F1325" s="132"/>
      <c r="G1325" s="275">
        <f t="shared" si="201"/>
        <v>0</v>
      </c>
      <c r="H1325" s="2315">
        <f>D1325*E1325*$H$1313*VLOOKUP('Ввод данных'!D481,связи1!A2:B3,2,0)</f>
        <v>0</v>
      </c>
      <c r="I1325" s="2911">
        <f t="shared" si="202"/>
        <v>0</v>
      </c>
      <c r="J1325" s="2863"/>
      <c r="K1325" s="223">
        <f t="shared" si="203"/>
        <v>0</v>
      </c>
      <c r="L1325" s="2854"/>
    </row>
    <row r="1326" spans="1:33">
      <c r="A1326" s="2837"/>
      <c r="B1326" s="3278" t="s">
        <v>4640</v>
      </c>
      <c r="C1326" s="3278"/>
      <c r="D1326" s="3278"/>
      <c r="E1326" s="3278"/>
      <c r="F1326" s="2868"/>
      <c r="G1326" s="96">
        <f>SUM(G1315:G1325)*H1313</f>
        <v>0</v>
      </c>
      <c r="H1326" s="96">
        <f>SUM(H1315:H1325)</f>
        <v>0</v>
      </c>
      <c r="I1326" s="2911">
        <f t="shared" si="202"/>
        <v>0</v>
      </c>
      <c r="J1326" s="2863"/>
      <c r="K1326" s="223">
        <f t="shared" si="203"/>
        <v>0</v>
      </c>
      <c r="L1326" s="2854"/>
    </row>
    <row r="1327" spans="1:33">
      <c r="A1327" s="2837"/>
      <c r="B1327" s="3279" t="s">
        <v>1409</v>
      </c>
      <c r="C1327" s="3279"/>
      <c r="D1327" s="3279"/>
      <c r="E1327" s="3279"/>
      <c r="F1327" s="2870"/>
      <c r="G1327" s="941"/>
      <c r="H1327" s="2891">
        <f>H1313</f>
        <v>0</v>
      </c>
      <c r="I1327" s="2940">
        <f>H1327</f>
        <v>0</v>
      </c>
      <c r="J1327" s="2892"/>
      <c r="K1327" s="2893"/>
    </row>
    <row r="1328" spans="1:33">
      <c r="A1328" s="2837"/>
      <c r="B1328" s="132" t="str">
        <f>дома!G2197</f>
        <v>кладка бруса</v>
      </c>
      <c r="C1328" s="290" t="s">
        <v>135</v>
      </c>
      <c r="D1328" s="132">
        <f>дома!I2197</f>
        <v>1.1700000000000002</v>
      </c>
      <c r="E1328" s="132">
        <f>дома!J2197</f>
        <v>4000</v>
      </c>
      <c r="F1328" s="2466"/>
      <c r="G1328" s="275">
        <f t="shared" ref="G1328:G1333" si="204">IF(F1328&gt;0,D1328*F1328,E1328*D1328)</f>
        <v>4680.0000000000009</v>
      </c>
      <c r="H1328" s="2315">
        <f>D1328*E1328*$H$1313*VLOOKUP('Ввод данных'!D462,связи1!A2:B3,2,0)</f>
        <v>0</v>
      </c>
      <c r="I1328" s="2836">
        <f t="shared" ref="I1328:I1334" si="205">IF(G1328&gt;H1328,G1328,H1328)*$H$1313</f>
        <v>0</v>
      </c>
      <c r="J1328" s="2829"/>
      <c r="K1328" s="2837"/>
    </row>
    <row r="1329" spans="1:12">
      <c r="A1329" s="2837"/>
      <c r="B1329" s="132" t="str">
        <f>дома!G2198</f>
        <v>Монтаж перекрытий из бруса</v>
      </c>
      <c r="C1329" s="290" t="s">
        <v>133</v>
      </c>
      <c r="D1329" s="132">
        <f>дома!I2198</f>
        <v>3</v>
      </c>
      <c r="E1329" s="132">
        <f>дома!J2198</f>
        <v>300</v>
      </c>
      <c r="F1329" s="2466"/>
      <c r="G1329" s="275">
        <f t="shared" si="204"/>
        <v>900</v>
      </c>
      <c r="H1329" s="2315">
        <f>D1329*E1329*$H$1313*VLOOKUP('Ввод данных'!D462,связи1!A2:B3,2,0)</f>
        <v>0</v>
      </c>
      <c r="I1329" s="2836">
        <f t="shared" si="205"/>
        <v>0</v>
      </c>
      <c r="J1329" s="2829"/>
      <c r="K1329" s="2837"/>
    </row>
    <row r="1330" spans="1:12">
      <c r="A1330" s="2837"/>
      <c r="B1330" s="132" t="str">
        <f>дома!G2203</f>
        <v>Гидроизоляция рулонная</v>
      </c>
      <c r="C1330" s="290" t="s">
        <v>133</v>
      </c>
      <c r="D1330" s="132">
        <f>дома!I2203</f>
        <v>0</v>
      </c>
      <c r="E1330" s="132">
        <f>дома!J2203</f>
        <v>250</v>
      </c>
      <c r="F1330" s="2466"/>
      <c r="G1330" s="275">
        <f t="shared" si="204"/>
        <v>0</v>
      </c>
      <c r="H1330" s="2315">
        <f>D1330*E1330*$H$1313*VLOOKUP('Ввод данных'!D481,связи1!A2:B3,2,0)</f>
        <v>0</v>
      </c>
      <c r="I1330" s="2836">
        <f t="shared" si="205"/>
        <v>0</v>
      </c>
      <c r="J1330" s="2829"/>
      <c r="K1330" s="2837"/>
    </row>
    <row r="1331" spans="1:12">
      <c r="A1331" s="2837"/>
      <c r="B1331" s="132" t="str">
        <f>дома!G2204</f>
        <v>монтаж OSB пол</v>
      </c>
      <c r="C1331" s="290" t="s">
        <v>133</v>
      </c>
      <c r="D1331" s="132">
        <f>дома!I2204</f>
        <v>0</v>
      </c>
      <c r="E1331" s="132">
        <f>дома!J2204</f>
        <v>250</v>
      </c>
      <c r="F1331" s="2466"/>
      <c r="G1331" s="275">
        <f t="shared" si="204"/>
        <v>0</v>
      </c>
      <c r="H1331" s="2315">
        <f>D1331*E1331*$H$1313*VLOOKUP('Ввод данных'!D481,связи1!A2:B3,2,0)</f>
        <v>0</v>
      </c>
      <c r="I1331" s="2836">
        <f t="shared" si="205"/>
        <v>0</v>
      </c>
      <c r="J1331" s="2829"/>
      <c r="K1331" s="2837"/>
    </row>
    <row r="1332" spans="1:12">
      <c r="A1332" s="2837"/>
      <c r="B1332" s="132" t="str">
        <f>дома!G2205</f>
        <v>Монтаж перил</v>
      </c>
      <c r="C1332" s="290" t="s">
        <v>156</v>
      </c>
      <c r="D1332" s="132">
        <f>дома!I2205</f>
        <v>0</v>
      </c>
      <c r="E1332" s="132">
        <f>дома!J2205</f>
        <v>500</v>
      </c>
      <c r="F1332" s="2466"/>
      <c r="G1332" s="275">
        <f t="shared" si="204"/>
        <v>0</v>
      </c>
      <c r="H1332" s="2315">
        <f>D1332*E1332*$H$1313*VLOOKUP('Ввод данных'!D481,связи1!A2:B3,2,0)</f>
        <v>0</v>
      </c>
      <c r="I1332" s="2836">
        <f t="shared" si="205"/>
        <v>0</v>
      </c>
      <c r="J1332" s="2829"/>
      <c r="K1332" s="2837"/>
    </row>
    <row r="1333" spans="1:12">
      <c r="A1333" s="2837"/>
      <c r="B1333" s="132" t="str">
        <f>дома!G2206</f>
        <v>Монтаж накладки на перила</v>
      </c>
      <c r="C1333" s="290" t="s">
        <v>156</v>
      </c>
      <c r="D1333" s="132">
        <f>дома!I2206</f>
        <v>0</v>
      </c>
      <c r="E1333" s="132">
        <f>дома!J2206</f>
        <v>0</v>
      </c>
      <c r="F1333" s="2466"/>
      <c r="G1333" s="275">
        <f t="shared" si="204"/>
        <v>0</v>
      </c>
      <c r="H1333" s="2315">
        <f>D1333*E1333*$H$1313*VLOOKUP('Ввод данных'!D481,связи1!A2:B3,2,0)</f>
        <v>0</v>
      </c>
      <c r="I1333" s="2836">
        <f t="shared" si="205"/>
        <v>0</v>
      </c>
      <c r="J1333" s="2829"/>
      <c r="K1333" s="2837"/>
    </row>
    <row r="1334" spans="1:12">
      <c r="A1334" s="2837"/>
      <c r="B1334" s="3294" t="s">
        <v>4641</v>
      </c>
      <c r="C1334" s="3294"/>
      <c r="D1334" s="3294"/>
      <c r="E1334" s="3294"/>
      <c r="F1334" s="2869"/>
      <c r="G1334" s="2315">
        <f>SUM(G1328:G1333)*H1327</f>
        <v>0</v>
      </c>
      <c r="H1334" s="2315">
        <f>SUM(H1328:H1333)</f>
        <v>0</v>
      </c>
      <c r="I1334" s="2836">
        <f t="shared" si="205"/>
        <v>0</v>
      </c>
      <c r="J1334" s="2829"/>
      <c r="K1334" s="2837"/>
    </row>
    <row r="1335" spans="1:12" ht="21">
      <c r="A1335" s="2837"/>
      <c r="B1335" s="3283" t="s">
        <v>1883</v>
      </c>
      <c r="C1335" s="3283"/>
      <c r="D1335" s="3283"/>
      <c r="E1335" s="3283"/>
      <c r="F1335" s="2895"/>
      <c r="G1335" s="941"/>
      <c r="H1335" s="2896">
        <f>VLOOKUP('Ввод данных'!F194,связи1!A2:B3,2,0)</f>
        <v>0</v>
      </c>
      <c r="I1335" s="2940">
        <f>H1335</f>
        <v>0</v>
      </c>
      <c r="J1335" s="2829"/>
      <c r="K1335" s="2837"/>
    </row>
    <row r="1336" spans="1:12">
      <c r="A1336" s="2837"/>
      <c r="B1336" s="3293" t="s">
        <v>2720</v>
      </c>
      <c r="C1336" s="3293"/>
      <c r="D1336" s="3293"/>
      <c r="E1336" s="3293"/>
      <c r="F1336" s="2949"/>
      <c r="G1336" s="941"/>
      <c r="H1336" s="2896">
        <f>H1335</f>
        <v>0</v>
      </c>
      <c r="I1336" s="2940">
        <f>H1336</f>
        <v>0</v>
      </c>
      <c r="J1336" s="2850"/>
      <c r="K1336" s="2851"/>
    </row>
    <row r="1337" spans="1:12">
      <c r="A1337" s="2837"/>
      <c r="B1337" s="2898" t="str">
        <f>крыша!A647</f>
        <v>нет</v>
      </c>
      <c r="C1337" s="236" t="str">
        <f>крыша!B647</f>
        <v>м3</v>
      </c>
      <c r="D1337" s="2899">
        <f>крыша!C647</f>
        <v>0</v>
      </c>
      <c r="E1337" s="35">
        <f>крыша!D647</f>
        <v>0</v>
      </c>
      <c r="F1337" s="35"/>
      <c r="G1337" s="275">
        <f t="shared" ref="G1337:G1368" si="206">IF(F1337&gt;0,D1337*F1337,E1337*D1337)</f>
        <v>0</v>
      </c>
      <c r="H1337" s="2315">
        <f t="shared" ref="H1337:H1368" si="207">D1337*E1337*$H$1335</f>
        <v>0</v>
      </c>
      <c r="I1337" s="2911">
        <f t="shared" ref="I1337:I1368" si="208">IF(G1337&gt;H1337,G1337,H1337)*$H$1335</f>
        <v>0</v>
      </c>
      <c r="J1337" s="2863"/>
      <c r="K1337" s="223">
        <f t="shared" ref="K1337:K1368" si="209">D1337-J1337</f>
        <v>0</v>
      </c>
      <c r="L1337" s="2854"/>
    </row>
    <row r="1338" spans="1:12">
      <c r="A1338" s="2837"/>
      <c r="B1338" s="2898" t="str">
        <f>крыша!A648</f>
        <v xml:space="preserve">Болты анкерные с гайкой 12,0 х 280          </v>
      </c>
      <c r="C1338" s="236" t="str">
        <f>крыша!B648</f>
        <v>шт</v>
      </c>
      <c r="D1338" s="2899">
        <f>крыша!C648</f>
        <v>48.284271247461902</v>
      </c>
      <c r="E1338" s="35">
        <f>крыша!D648</f>
        <v>27.1</v>
      </c>
      <c r="F1338" s="35"/>
      <c r="G1338" s="275">
        <f t="shared" si="206"/>
        <v>1308.5037508062176</v>
      </c>
      <c r="H1338" s="2315">
        <f t="shared" si="207"/>
        <v>0</v>
      </c>
      <c r="I1338" s="2911">
        <f t="shared" si="208"/>
        <v>0</v>
      </c>
      <c r="J1338" s="2863"/>
      <c r="K1338" s="223">
        <f t="shared" si="209"/>
        <v>48.284271247461902</v>
      </c>
      <c r="L1338" s="2854"/>
    </row>
    <row r="1339" spans="1:12">
      <c r="A1339" s="2837"/>
      <c r="B1339" s="2898" t="str">
        <f>крыша!A649</f>
        <v>Доска сухая, 200*50мм</v>
      </c>
      <c r="C1339" s="236" t="str">
        <f>крыша!B649</f>
        <v>м3</v>
      </c>
      <c r="D1339" s="2899">
        <f>крыша!C649</f>
        <v>7.2454148991380123</v>
      </c>
      <c r="E1339" s="35">
        <f>крыша!D649</f>
        <v>9000</v>
      </c>
      <c r="F1339" s="35"/>
      <c r="G1339" s="275">
        <f t="shared" si="206"/>
        <v>65208.734092242114</v>
      </c>
      <c r="H1339" s="2315">
        <f t="shared" si="207"/>
        <v>0</v>
      </c>
      <c r="I1339" s="2911">
        <f t="shared" si="208"/>
        <v>0</v>
      </c>
      <c r="J1339" s="2863"/>
      <c r="K1339" s="223">
        <f t="shared" si="209"/>
        <v>7.2454148991380123</v>
      </c>
      <c r="L1339" s="2854"/>
    </row>
    <row r="1340" spans="1:12">
      <c r="A1340" s="2837"/>
      <c r="B1340" s="2898" t="str">
        <f>крыша!A650</f>
        <v xml:space="preserve">бугель, доска </v>
      </c>
      <c r="C1340" s="236" t="str">
        <f>крыша!B650</f>
        <v>м3</v>
      </c>
      <c r="D1340" s="2899">
        <f>крыша!C650</f>
        <v>2.600000000000001</v>
      </c>
      <c r="E1340" s="35">
        <f>крыша!D650</f>
        <v>9000</v>
      </c>
      <c r="F1340" s="35"/>
      <c r="G1340" s="275">
        <f t="shared" si="206"/>
        <v>23400.000000000007</v>
      </c>
      <c r="H1340" s="2315">
        <f t="shared" si="207"/>
        <v>0</v>
      </c>
      <c r="I1340" s="2911">
        <f t="shared" si="208"/>
        <v>0</v>
      </c>
      <c r="J1340" s="2863"/>
      <c r="K1340" s="223">
        <f t="shared" si="209"/>
        <v>2.600000000000001</v>
      </c>
      <c r="L1340" s="2854"/>
    </row>
    <row r="1341" spans="1:12">
      <c r="A1341" s="2837"/>
      <c r="B1341" s="2898" t="str">
        <f>крыша!A651</f>
        <v>стойка под конек</v>
      </c>
      <c r="C1341" s="236" t="str">
        <f>крыша!B651</f>
        <v>м3</v>
      </c>
      <c r="D1341" s="2899">
        <f>крыша!C651</f>
        <v>1.3000000000000005</v>
      </c>
      <c r="E1341" s="35">
        <f>крыша!D651</f>
        <v>9000</v>
      </c>
      <c r="F1341" s="35"/>
      <c r="G1341" s="275">
        <f t="shared" si="206"/>
        <v>11700.000000000004</v>
      </c>
      <c r="H1341" s="2315">
        <f t="shared" si="207"/>
        <v>0</v>
      </c>
      <c r="I1341" s="2911">
        <f t="shared" si="208"/>
        <v>0</v>
      </c>
      <c r="J1341" s="2863"/>
      <c r="K1341" s="223">
        <f t="shared" si="209"/>
        <v>1.3000000000000005</v>
      </c>
      <c r="L1341" s="2854"/>
    </row>
    <row r="1342" spans="1:12">
      <c r="A1342" s="2837"/>
      <c r="B1342" s="2898" t="str">
        <f>крыша!A652</f>
        <v>Сосна влаж,100*25мм</v>
      </c>
      <c r="C1342" s="236" t="str">
        <f>крыша!B652</f>
        <v>м3</v>
      </c>
      <c r="D1342" s="2899">
        <f>крыша!C652</f>
        <v>1.2058969414096354</v>
      </c>
      <c r="E1342" s="35">
        <f>крыша!D652</f>
        <v>6500</v>
      </c>
      <c r="F1342" s="35"/>
      <c r="G1342" s="275">
        <f t="shared" si="206"/>
        <v>7838.3301191626306</v>
      </c>
      <c r="H1342" s="2315">
        <f t="shared" si="207"/>
        <v>0</v>
      </c>
      <c r="I1342" s="2911">
        <f t="shared" si="208"/>
        <v>0</v>
      </c>
      <c r="J1342" s="2863"/>
      <c r="K1342" s="223">
        <f t="shared" si="209"/>
        <v>1.2058969414096354</v>
      </c>
      <c r="L1342" s="2854"/>
    </row>
    <row r="1343" spans="1:12">
      <c r="A1343" s="2837"/>
      <c r="B1343" s="2898" t="str">
        <f>крыша!A653</f>
        <v>Сосна влаж, 50*50мм</v>
      </c>
      <c r="C1343" s="236" t="str">
        <f>крыша!B653</f>
        <v>м3</v>
      </c>
      <c r="D1343" s="2899">
        <f>крыша!C653</f>
        <v>1.004914117841363</v>
      </c>
      <c r="E1343" s="35">
        <f>крыша!D653</f>
        <v>6500</v>
      </c>
      <c r="F1343" s="35"/>
      <c r="G1343" s="275">
        <f t="shared" si="206"/>
        <v>6531.9417659688597</v>
      </c>
      <c r="H1343" s="2315">
        <f t="shared" si="207"/>
        <v>0</v>
      </c>
      <c r="I1343" s="2911">
        <f t="shared" si="208"/>
        <v>0</v>
      </c>
      <c r="J1343" s="2863"/>
      <c r="K1343" s="223">
        <f t="shared" si="209"/>
        <v>1.004914117841363</v>
      </c>
      <c r="L1343" s="2854"/>
    </row>
    <row r="1344" spans="1:12">
      <c r="A1344" s="2837"/>
      <c r="B1344" s="2898" t="str">
        <f>крыша!A654</f>
        <v>Нет</v>
      </c>
      <c r="C1344" s="236" t="str">
        <f>крыша!B654</f>
        <v>м3</v>
      </c>
      <c r="D1344" s="2899">
        <f>крыша!C654</f>
        <v>0</v>
      </c>
      <c r="E1344" s="35">
        <f>крыша!D654</f>
        <v>0</v>
      </c>
      <c r="F1344" s="35"/>
      <c r="G1344" s="275">
        <f t="shared" si="206"/>
        <v>0</v>
      </c>
      <c r="H1344" s="2315">
        <f t="shared" si="207"/>
        <v>0</v>
      </c>
      <c r="I1344" s="2911">
        <f t="shared" si="208"/>
        <v>0</v>
      </c>
      <c r="J1344" s="2863"/>
      <c r="K1344" s="223">
        <f t="shared" si="209"/>
        <v>0</v>
      </c>
      <c r="L1344" s="2854"/>
    </row>
    <row r="1345" spans="1:12">
      <c r="A1345" s="2837"/>
      <c r="B1345" s="2898" t="str">
        <f>крыша!A655</f>
        <v>Гидрокомпенсатор</v>
      </c>
      <c r="C1345" s="236" t="str">
        <f>крыша!B655</f>
        <v>шт</v>
      </c>
      <c r="D1345" s="2899">
        <f>крыша!C655</f>
        <v>0</v>
      </c>
      <c r="E1345" s="35">
        <f>крыша!D655</f>
        <v>450</v>
      </c>
      <c r="F1345" s="35"/>
      <c r="G1345" s="275">
        <f t="shared" si="206"/>
        <v>0</v>
      </c>
      <c r="H1345" s="2315">
        <f t="shared" si="207"/>
        <v>0</v>
      </c>
      <c r="I1345" s="2911">
        <f t="shared" si="208"/>
        <v>0</v>
      </c>
      <c r="J1345" s="2863"/>
      <c r="K1345" s="223">
        <f t="shared" si="209"/>
        <v>0</v>
      </c>
      <c r="L1345" s="2854"/>
    </row>
    <row r="1346" spans="1:12">
      <c r="A1346" s="2837"/>
      <c r="B1346" s="2898" t="str">
        <f>крыша!A656</f>
        <v>Мембрана MD90</v>
      </c>
      <c r="C1346" s="236" t="str">
        <f>крыша!B656</f>
        <v>м2</v>
      </c>
      <c r="D1346" s="2899">
        <f>крыша!C656</f>
        <v>192.94351062554165</v>
      </c>
      <c r="E1346" s="35">
        <f>крыша!D656</f>
        <v>34</v>
      </c>
      <c r="F1346" s="35"/>
      <c r="G1346" s="275">
        <f t="shared" si="206"/>
        <v>6560.0793612684156</v>
      </c>
      <c r="H1346" s="2315">
        <f t="shared" si="207"/>
        <v>0</v>
      </c>
      <c r="I1346" s="2911">
        <f t="shared" si="208"/>
        <v>0</v>
      </c>
      <c r="J1346" s="2863"/>
      <c r="K1346" s="223">
        <f t="shared" si="209"/>
        <v>192.94351062554165</v>
      </c>
      <c r="L1346" s="2854"/>
    </row>
    <row r="1347" spans="1:12">
      <c r="A1347" s="2837"/>
      <c r="B1347" s="2898" t="str">
        <f>крыша!A657</f>
        <v>Мембрана Tyvek AirGuard Reflective</v>
      </c>
      <c r="C1347" s="236" t="str">
        <f>крыша!B657</f>
        <v>м2</v>
      </c>
      <c r="D1347" s="2899">
        <f>крыша!C657</f>
        <v>139.75424859373686</v>
      </c>
      <c r="E1347" s="35">
        <f>крыша!D657</f>
        <v>174</v>
      </c>
      <c r="F1347" s="35"/>
      <c r="G1347" s="275">
        <f t="shared" si="206"/>
        <v>24317.239255310215</v>
      </c>
      <c r="H1347" s="2315">
        <f t="shared" si="207"/>
        <v>0</v>
      </c>
      <c r="I1347" s="2911">
        <f t="shared" si="208"/>
        <v>0</v>
      </c>
      <c r="J1347" s="2863"/>
      <c r="K1347" s="223">
        <f t="shared" si="209"/>
        <v>139.75424859373686</v>
      </c>
      <c r="L1347" s="2854"/>
    </row>
    <row r="1348" spans="1:12">
      <c r="A1348" s="2837"/>
      <c r="B1348" s="2898" t="str">
        <f>крыша!A658</f>
        <v>Плитный,28кг/м3, технониколь, 200мм</v>
      </c>
      <c r="C1348" s="236" t="str">
        <f>крыша!B658</f>
        <v>м3</v>
      </c>
      <c r="D1348" s="2899">
        <f>крыша!C658</f>
        <v>22.360679774997898</v>
      </c>
      <c r="E1348" s="35">
        <f>крыша!D658</f>
        <v>1700</v>
      </c>
      <c r="F1348" s="35"/>
      <c r="G1348" s="275">
        <f t="shared" si="206"/>
        <v>38013.155617496428</v>
      </c>
      <c r="H1348" s="2315">
        <f t="shared" si="207"/>
        <v>0</v>
      </c>
      <c r="I1348" s="2911">
        <f t="shared" si="208"/>
        <v>0</v>
      </c>
      <c r="J1348" s="2863"/>
      <c r="K1348" s="223">
        <f t="shared" si="209"/>
        <v>22.360679774997898</v>
      </c>
      <c r="L1348" s="2854"/>
    </row>
    <row r="1349" spans="1:12">
      <c r="A1349" s="2837"/>
      <c r="B1349" s="2898" t="str">
        <f>крыша!A659</f>
        <v>Металлочерепица</v>
      </c>
      <c r="C1349" s="236" t="str">
        <f>крыша!B659</f>
        <v>м2</v>
      </c>
      <c r="D1349" s="2899">
        <f>крыша!C659</f>
        <v>192.94351062554165</v>
      </c>
      <c r="E1349" s="35">
        <f>крыша!D659</f>
        <v>250</v>
      </c>
      <c r="F1349" s="35"/>
      <c r="G1349" s="275">
        <f t="shared" si="206"/>
        <v>48235.877656385412</v>
      </c>
      <c r="H1349" s="2315">
        <f t="shared" si="207"/>
        <v>0</v>
      </c>
      <c r="I1349" s="2911">
        <f t="shared" si="208"/>
        <v>0</v>
      </c>
      <c r="J1349" s="2863"/>
      <c r="K1349" s="223">
        <f t="shared" si="209"/>
        <v>192.94351062554165</v>
      </c>
      <c r="L1349" s="2854"/>
    </row>
    <row r="1350" spans="1:12">
      <c r="A1350" s="2837"/>
      <c r="B1350" s="2898" t="str">
        <f>крыша!A660</f>
        <v>Карнизная планка</v>
      </c>
      <c r="C1350" s="236" t="str">
        <f>крыша!B660</f>
        <v>м.п.</v>
      </c>
      <c r="D1350" s="2899">
        <f>крыша!C660</f>
        <v>14.278000000000004</v>
      </c>
      <c r="E1350" s="35">
        <f>крыша!D660</f>
        <v>190</v>
      </c>
      <c r="F1350" s="35"/>
      <c r="G1350" s="275">
        <f t="shared" si="206"/>
        <v>2712.8200000000006</v>
      </c>
      <c r="H1350" s="2315">
        <f t="shared" si="207"/>
        <v>0</v>
      </c>
      <c r="I1350" s="2911">
        <f t="shared" si="208"/>
        <v>0</v>
      </c>
      <c r="J1350" s="2863"/>
      <c r="K1350" s="223">
        <f t="shared" si="209"/>
        <v>14.278000000000004</v>
      </c>
      <c r="L1350" s="2854"/>
    </row>
    <row r="1351" spans="1:12">
      <c r="A1351" s="2837"/>
      <c r="B1351" s="2898" t="str">
        <f>крыша!A661</f>
        <v>Торцевая планка</v>
      </c>
      <c r="C1351" s="236" t="str">
        <f>крыша!B661</f>
        <v>м.п.</v>
      </c>
      <c r="D1351" s="2899">
        <f>крыша!C661</f>
        <v>41.838455040691507</v>
      </c>
      <c r="E1351" s="35">
        <f>крыша!D661</f>
        <v>190</v>
      </c>
      <c r="F1351" s="35"/>
      <c r="G1351" s="275">
        <f t="shared" si="206"/>
        <v>7949.3064577313862</v>
      </c>
      <c r="H1351" s="2315">
        <f t="shared" si="207"/>
        <v>0</v>
      </c>
      <c r="I1351" s="2911">
        <f t="shared" si="208"/>
        <v>0</v>
      </c>
      <c r="J1351" s="2863"/>
      <c r="K1351" s="223">
        <f t="shared" si="209"/>
        <v>41.838455040691507</v>
      </c>
      <c r="L1351" s="2854"/>
    </row>
    <row r="1352" spans="1:12">
      <c r="A1352" s="2837"/>
      <c r="B1352" s="2898" t="str">
        <f>крыша!A662</f>
        <v>Конек</v>
      </c>
      <c r="C1352" s="236" t="str">
        <f>крыша!B662</f>
        <v>м.п.</v>
      </c>
      <c r="D1352" s="2899">
        <f>крыша!C662</f>
        <v>12.980000000000002</v>
      </c>
      <c r="E1352" s="35">
        <f>крыша!D662</f>
        <v>200</v>
      </c>
      <c r="F1352" s="35"/>
      <c r="G1352" s="275">
        <f t="shared" si="206"/>
        <v>2596.0000000000005</v>
      </c>
      <c r="H1352" s="2315">
        <f t="shared" si="207"/>
        <v>0</v>
      </c>
      <c r="I1352" s="2911">
        <f t="shared" si="208"/>
        <v>0</v>
      </c>
      <c r="J1352" s="2863"/>
      <c r="K1352" s="223">
        <f t="shared" si="209"/>
        <v>12.980000000000002</v>
      </c>
      <c r="L1352" s="2854"/>
    </row>
    <row r="1353" spans="1:12">
      <c r="A1353" s="2837"/>
      <c r="B1353" s="2898" t="str">
        <f>крыша!A663</f>
        <v>ондулин</v>
      </c>
      <c r="C1353" s="236" t="str">
        <f>крыша!B663</f>
        <v>м2</v>
      </c>
      <c r="D1353" s="2899">
        <f>крыша!C663</f>
        <v>0</v>
      </c>
      <c r="E1353" s="35">
        <f>крыша!D663</f>
        <v>180</v>
      </c>
      <c r="F1353" s="35"/>
      <c r="G1353" s="275">
        <f t="shared" si="206"/>
        <v>0</v>
      </c>
      <c r="H1353" s="2315">
        <f t="shared" si="207"/>
        <v>0</v>
      </c>
      <c r="I1353" s="2911">
        <f t="shared" si="208"/>
        <v>0</v>
      </c>
      <c r="J1353" s="2863"/>
      <c r="K1353" s="223">
        <f t="shared" si="209"/>
        <v>0</v>
      </c>
      <c r="L1353" s="2854"/>
    </row>
    <row r="1354" spans="1:12">
      <c r="A1354" s="2837"/>
      <c r="B1354" s="2898" t="str">
        <f>крыша!A664</f>
        <v>Карнизная планка</v>
      </c>
      <c r="C1354" s="236" t="str">
        <f>крыша!B664</f>
        <v>м.п.</v>
      </c>
      <c r="D1354" s="2899">
        <f>крыша!C664</f>
        <v>0</v>
      </c>
      <c r="E1354" s="35">
        <f>крыша!D664</f>
        <v>190</v>
      </c>
      <c r="F1354" s="35"/>
      <c r="G1354" s="275">
        <f t="shared" si="206"/>
        <v>0</v>
      </c>
      <c r="H1354" s="2315">
        <f t="shared" si="207"/>
        <v>0</v>
      </c>
      <c r="I1354" s="2911">
        <f t="shared" si="208"/>
        <v>0</v>
      </c>
      <c r="J1354" s="2863"/>
      <c r="K1354" s="223">
        <f t="shared" si="209"/>
        <v>0</v>
      </c>
      <c r="L1354" s="2854"/>
    </row>
    <row r="1355" spans="1:12">
      <c r="A1355" s="2837"/>
      <c r="B1355" s="2898" t="str">
        <f>крыша!A665</f>
        <v>Торцевая планка</v>
      </c>
      <c r="C1355" s="236" t="str">
        <f>крыша!B665</f>
        <v>м.п.</v>
      </c>
      <c r="D1355" s="2899">
        <f>крыша!C665</f>
        <v>0</v>
      </c>
      <c r="E1355" s="35">
        <f>крыша!D665</f>
        <v>190</v>
      </c>
      <c r="F1355" s="35"/>
      <c r="G1355" s="275">
        <f t="shared" si="206"/>
        <v>0</v>
      </c>
      <c r="H1355" s="2315">
        <f t="shared" si="207"/>
        <v>0</v>
      </c>
      <c r="I1355" s="2911">
        <f t="shared" si="208"/>
        <v>0</v>
      </c>
      <c r="J1355" s="2863"/>
      <c r="K1355" s="223">
        <f t="shared" si="209"/>
        <v>0</v>
      </c>
      <c r="L1355" s="2854"/>
    </row>
    <row r="1356" spans="1:12">
      <c r="A1356" s="2837"/>
      <c r="B1356" s="2898" t="str">
        <f>крыша!A666</f>
        <v>Конек</v>
      </c>
      <c r="C1356" s="236" t="str">
        <f>крыша!B666</f>
        <v>м.п</v>
      </c>
      <c r="D1356" s="2899">
        <f>крыша!C666</f>
        <v>0</v>
      </c>
      <c r="E1356" s="35">
        <f>крыша!D666</f>
        <v>200</v>
      </c>
      <c r="F1356" s="35"/>
      <c r="G1356" s="275">
        <f t="shared" si="206"/>
        <v>0</v>
      </c>
      <c r="H1356" s="2315">
        <f t="shared" si="207"/>
        <v>0</v>
      </c>
      <c r="I1356" s="2911">
        <f t="shared" si="208"/>
        <v>0</v>
      </c>
      <c r="J1356" s="2863"/>
      <c r="K1356" s="223">
        <f t="shared" si="209"/>
        <v>0</v>
      </c>
      <c r="L1356" s="2854"/>
    </row>
    <row r="1357" spans="1:12">
      <c r="A1357" s="2837"/>
      <c r="B1357" s="2898" t="str">
        <f>крыша!A667</f>
        <v>Ендова нижняя</v>
      </c>
      <c r="C1357" s="236" t="str">
        <f>крыша!B667</f>
        <v>м.п.</v>
      </c>
      <c r="D1357" s="2899">
        <f>крыша!C667</f>
        <v>0</v>
      </c>
      <c r="E1357" s="35">
        <f>крыша!D667</f>
        <v>160</v>
      </c>
      <c r="F1357" s="35"/>
      <c r="G1357" s="275">
        <f t="shared" si="206"/>
        <v>0</v>
      </c>
      <c r="H1357" s="2315">
        <f t="shared" si="207"/>
        <v>0</v>
      </c>
      <c r="I1357" s="2911">
        <f t="shared" si="208"/>
        <v>0</v>
      </c>
      <c r="J1357" s="2863"/>
      <c r="K1357" s="223">
        <f t="shared" si="209"/>
        <v>0</v>
      </c>
      <c r="L1357" s="2854"/>
    </row>
    <row r="1358" spans="1:12">
      <c r="A1358" s="2837"/>
      <c r="B1358" s="2898" t="str">
        <f>крыша!A668</f>
        <v>Ендова верхняя</v>
      </c>
      <c r="C1358" s="236" t="str">
        <f>крыша!B668</f>
        <v>м.п.</v>
      </c>
      <c r="D1358" s="2899">
        <f>крыша!C668</f>
        <v>0</v>
      </c>
      <c r="E1358" s="35">
        <f>крыша!D668</f>
        <v>190</v>
      </c>
      <c r="F1358" s="35"/>
      <c r="G1358" s="275">
        <f t="shared" si="206"/>
        <v>0</v>
      </c>
      <c r="H1358" s="2315">
        <f t="shared" si="207"/>
        <v>0</v>
      </c>
      <c r="I1358" s="2911">
        <f t="shared" si="208"/>
        <v>0</v>
      </c>
      <c r="J1358" s="2863"/>
      <c r="K1358" s="223">
        <f t="shared" si="209"/>
        <v>0</v>
      </c>
      <c r="L1358" s="2854"/>
    </row>
    <row r="1359" spans="1:12">
      <c r="A1359" s="2837"/>
      <c r="B1359" s="2898" t="str">
        <f>крыша!A669</f>
        <v>Планка примыкания</v>
      </c>
      <c r="C1359" s="236" t="str">
        <f>крыша!B669</f>
        <v>м.п.</v>
      </c>
      <c r="D1359" s="2899">
        <f>крыша!C669</f>
        <v>0</v>
      </c>
      <c r="E1359" s="35">
        <f>крыша!D669</f>
        <v>190</v>
      </c>
      <c r="F1359" s="35"/>
      <c r="G1359" s="275">
        <f t="shared" si="206"/>
        <v>0</v>
      </c>
      <c r="H1359" s="2315">
        <f t="shared" si="207"/>
        <v>0</v>
      </c>
      <c r="I1359" s="2911">
        <f t="shared" si="208"/>
        <v>0</v>
      </c>
      <c r="J1359" s="2863"/>
      <c r="K1359" s="223">
        <f t="shared" si="209"/>
        <v>0</v>
      </c>
      <c r="L1359" s="2854"/>
    </row>
    <row r="1360" spans="1:12">
      <c r="A1360" s="2837"/>
      <c r="B1360" s="2898" t="str">
        <f>крыша!A670</f>
        <v>Крепеж для ондулина</v>
      </c>
      <c r="C1360" s="236" t="str">
        <f>крыша!B670</f>
        <v>шт</v>
      </c>
      <c r="D1360" s="2899">
        <f>крыша!C670</f>
        <v>0</v>
      </c>
      <c r="E1360" s="35">
        <f>крыша!D670</f>
        <v>4.5</v>
      </c>
      <c r="F1360" s="35"/>
      <c r="G1360" s="275">
        <f t="shared" si="206"/>
        <v>0</v>
      </c>
      <c r="H1360" s="2315">
        <f t="shared" si="207"/>
        <v>0</v>
      </c>
      <c r="I1360" s="2911">
        <f t="shared" si="208"/>
        <v>0</v>
      </c>
      <c r="J1360" s="2863"/>
      <c r="K1360" s="223">
        <f t="shared" si="209"/>
        <v>0</v>
      </c>
      <c r="L1360" s="2854"/>
    </row>
    <row r="1361" spans="1:12">
      <c r="A1361" s="2837"/>
      <c r="B1361" s="2898" t="str">
        <f>крыша!A671</f>
        <v>нет</v>
      </c>
      <c r="C1361" s="236" t="str">
        <f>крыша!B671</f>
        <v>м2</v>
      </c>
      <c r="D1361" s="2899">
        <f>крыша!C671</f>
        <v>197.23772248655607</v>
      </c>
      <c r="E1361" s="35">
        <f>крыша!D671</f>
        <v>0</v>
      </c>
      <c r="F1361" s="35"/>
      <c r="G1361" s="275">
        <f t="shared" si="206"/>
        <v>0</v>
      </c>
      <c r="H1361" s="2315">
        <f t="shared" si="207"/>
        <v>0</v>
      </c>
      <c r="I1361" s="2911">
        <f t="shared" si="208"/>
        <v>0</v>
      </c>
      <c r="J1361" s="2863"/>
      <c r="K1361" s="223">
        <f t="shared" si="209"/>
        <v>197.23772248655607</v>
      </c>
      <c r="L1361" s="2854"/>
    </row>
    <row r="1362" spans="1:12">
      <c r="A1362" s="2837"/>
      <c r="B1362" s="2898" t="str">
        <f>крыша!A672</f>
        <v>Рядовая черепица</v>
      </c>
      <c r="C1362" s="236" t="str">
        <f>крыша!B672</f>
        <v>м2</v>
      </c>
      <c r="D1362" s="2899">
        <f>крыша!C672</f>
        <v>0</v>
      </c>
      <c r="E1362" s="35">
        <f>крыша!D672</f>
        <v>360</v>
      </c>
      <c r="F1362" s="35"/>
      <c r="G1362" s="275">
        <f t="shared" si="206"/>
        <v>0</v>
      </c>
      <c r="H1362" s="2315">
        <f t="shared" si="207"/>
        <v>0</v>
      </c>
      <c r="I1362" s="2911">
        <f t="shared" si="208"/>
        <v>0</v>
      </c>
      <c r="J1362" s="2863"/>
      <c r="K1362" s="223">
        <f t="shared" si="209"/>
        <v>0</v>
      </c>
      <c r="L1362" s="2854"/>
    </row>
    <row r="1363" spans="1:12">
      <c r="A1363" s="2837"/>
      <c r="B1363" s="2898" t="str">
        <f>крыша!A673</f>
        <v>Металл оцинк защита (карниз)</v>
      </c>
      <c r="C1363" s="236" t="str">
        <f>крыша!B673</f>
        <v>м.п.</v>
      </c>
      <c r="D1363" s="2899">
        <f>крыша!C673</f>
        <v>0</v>
      </c>
      <c r="E1363" s="35">
        <f>крыша!D673</f>
        <v>200</v>
      </c>
      <c r="F1363" s="35"/>
      <c r="G1363" s="275">
        <f t="shared" si="206"/>
        <v>0</v>
      </c>
      <c r="H1363" s="2315">
        <f t="shared" si="207"/>
        <v>0</v>
      </c>
      <c r="I1363" s="2911">
        <f t="shared" si="208"/>
        <v>0</v>
      </c>
      <c r="J1363" s="2863"/>
      <c r="K1363" s="223">
        <f t="shared" si="209"/>
        <v>0</v>
      </c>
      <c r="L1363" s="2854"/>
    </row>
    <row r="1364" spans="1:12">
      <c r="A1364" s="2837"/>
      <c r="B1364" s="2898" t="str">
        <f>крыша!A674</f>
        <v>Подкладочный ковер</v>
      </c>
      <c r="C1364" s="236" t="str">
        <f>крыша!B674</f>
        <v>м.п.</v>
      </c>
      <c r="D1364" s="2899">
        <f>крыша!C674</f>
        <v>0</v>
      </c>
      <c r="E1364" s="35">
        <f>крыша!D674</f>
        <v>220</v>
      </c>
      <c r="F1364" s="35"/>
      <c r="G1364" s="275">
        <f t="shared" si="206"/>
        <v>0</v>
      </c>
      <c r="H1364" s="2315">
        <f t="shared" si="207"/>
        <v>0</v>
      </c>
      <c r="I1364" s="2911">
        <f t="shared" si="208"/>
        <v>0</v>
      </c>
      <c r="J1364" s="2863"/>
      <c r="K1364" s="223">
        <f t="shared" si="209"/>
        <v>0</v>
      </c>
      <c r="L1364" s="2854"/>
    </row>
    <row r="1365" spans="1:12">
      <c r="A1365" s="2837"/>
      <c r="B1365" s="2898" t="str">
        <f>крыша!A675</f>
        <v>Карнизная самоклеющаяся черепица</v>
      </c>
      <c r="C1365" s="236" t="str">
        <f>крыша!B675</f>
        <v>м.п.</v>
      </c>
      <c r="D1365" s="2899">
        <f>крыша!C675</f>
        <v>0</v>
      </c>
      <c r="E1365" s="35">
        <f>крыша!D675</f>
        <v>220</v>
      </c>
      <c r="F1365" s="35"/>
      <c r="G1365" s="275">
        <f t="shared" si="206"/>
        <v>0</v>
      </c>
      <c r="H1365" s="2315">
        <f t="shared" si="207"/>
        <v>0</v>
      </c>
      <c r="I1365" s="2911">
        <f t="shared" si="208"/>
        <v>0</v>
      </c>
      <c r="J1365" s="2863"/>
      <c r="K1365" s="223">
        <f t="shared" si="209"/>
        <v>0</v>
      </c>
      <c r="L1365" s="2854"/>
    </row>
    <row r="1366" spans="1:12">
      <c r="A1366" s="2837"/>
      <c r="B1366" s="2898" t="str">
        <f>крыша!A676</f>
        <v>Спец ковер ендова нижняя</v>
      </c>
      <c r="C1366" s="236" t="str">
        <f>крыша!B676</f>
        <v>м.п.</v>
      </c>
      <c r="D1366" s="2899">
        <f>крыша!C676</f>
        <v>0</v>
      </c>
      <c r="E1366" s="35">
        <f>крыша!D676</f>
        <v>200</v>
      </c>
      <c r="F1366" s="35"/>
      <c r="G1366" s="275">
        <f t="shared" si="206"/>
        <v>0</v>
      </c>
      <c r="H1366" s="2315">
        <f t="shared" si="207"/>
        <v>0</v>
      </c>
      <c r="I1366" s="2911">
        <f t="shared" si="208"/>
        <v>0</v>
      </c>
      <c r="J1366" s="2863"/>
      <c r="K1366" s="223">
        <f t="shared" si="209"/>
        <v>0</v>
      </c>
      <c r="L1366" s="2854"/>
    </row>
    <row r="1367" spans="1:12">
      <c r="A1367" s="2837"/>
      <c r="B1367" s="2898" t="str">
        <f>крыша!A677</f>
        <v>Коньковой элемент</v>
      </c>
      <c r="C1367" s="236" t="str">
        <f>крыша!B677</f>
        <v>м.п.</v>
      </c>
      <c r="D1367" s="2899">
        <f>крыша!C677</f>
        <v>0</v>
      </c>
      <c r="E1367" s="35">
        <f>крыша!D677</f>
        <v>250</v>
      </c>
      <c r="F1367" s="35"/>
      <c r="G1367" s="275">
        <f t="shared" si="206"/>
        <v>0</v>
      </c>
      <c r="H1367" s="2315">
        <f t="shared" si="207"/>
        <v>0</v>
      </c>
      <c r="I1367" s="2911">
        <f t="shared" si="208"/>
        <v>0</v>
      </c>
      <c r="J1367" s="2863"/>
      <c r="K1367" s="223">
        <f t="shared" si="209"/>
        <v>0</v>
      </c>
      <c r="L1367" s="2854"/>
    </row>
    <row r="1368" spans="1:12">
      <c r="A1368" s="2837"/>
      <c r="B1368" s="2898" t="str">
        <f>крыша!A678</f>
        <v>Планка премыкания</v>
      </c>
      <c r="C1368" s="236" t="str">
        <f>крыша!B678</f>
        <v>м.п.</v>
      </c>
      <c r="D1368" s="2899">
        <f>крыша!C678</f>
        <v>0</v>
      </c>
      <c r="E1368" s="35">
        <f>крыша!D678</f>
        <v>200</v>
      </c>
      <c r="F1368" s="35"/>
      <c r="G1368" s="275">
        <f t="shared" si="206"/>
        <v>0</v>
      </c>
      <c r="H1368" s="2315">
        <f t="shared" si="207"/>
        <v>0</v>
      </c>
      <c r="I1368" s="2911">
        <f t="shared" si="208"/>
        <v>0</v>
      </c>
      <c r="J1368" s="2863"/>
      <c r="K1368" s="223">
        <f t="shared" si="209"/>
        <v>0</v>
      </c>
      <c r="L1368" s="2854"/>
    </row>
    <row r="1369" spans="1:12">
      <c r="A1369" s="2837"/>
      <c r="B1369" s="2898" t="str">
        <f>крыша!A679</f>
        <v>Гвозди для крепления подкладочного ковра</v>
      </c>
      <c r="C1369" s="236" t="str">
        <f>крыша!B679</f>
        <v>шт</v>
      </c>
      <c r="D1369" s="2899">
        <f>крыша!C679</f>
        <v>0</v>
      </c>
      <c r="E1369" s="35">
        <f>крыша!D679</f>
        <v>1.2E-2</v>
      </c>
      <c r="F1369" s="35"/>
      <c r="G1369" s="275">
        <f t="shared" ref="G1369:G1400" si="210">IF(F1369&gt;0,D1369*F1369,E1369*D1369)</f>
        <v>0</v>
      </c>
      <c r="H1369" s="2315">
        <f t="shared" ref="H1369:H1388" si="211">D1369*E1369*$H$1335</f>
        <v>0</v>
      </c>
      <c r="I1369" s="2911">
        <f t="shared" ref="I1369:I1400" si="212">IF(G1369&gt;H1369,G1369,H1369)*$H$1335</f>
        <v>0</v>
      </c>
      <c r="J1369" s="2863"/>
      <c r="K1369" s="223">
        <f t="shared" ref="K1369:K1400" si="213">D1369-J1369</f>
        <v>0</v>
      </c>
      <c r="L1369" s="2854"/>
    </row>
    <row r="1370" spans="1:12">
      <c r="A1370" s="2837"/>
      <c r="B1370" s="2898" t="str">
        <f>крыша!A680</f>
        <v>Гвозди для крепления черепицы</v>
      </c>
      <c r="C1370" s="236" t="str">
        <f>крыша!B680</f>
        <v>шт</v>
      </c>
      <c r="D1370" s="2899">
        <f>крыша!C680</f>
        <v>0</v>
      </c>
      <c r="E1370" s="35">
        <f>крыша!D680</f>
        <v>0.25</v>
      </c>
      <c r="F1370" s="35"/>
      <c r="G1370" s="275">
        <f t="shared" si="210"/>
        <v>0</v>
      </c>
      <c r="H1370" s="2315">
        <f t="shared" si="211"/>
        <v>0</v>
      </c>
      <c r="I1370" s="2911">
        <f t="shared" si="212"/>
        <v>0</v>
      </c>
      <c r="J1370" s="2863"/>
      <c r="K1370" s="223">
        <f t="shared" si="213"/>
        <v>0</v>
      </c>
      <c r="L1370" s="2854"/>
    </row>
    <row r="1371" spans="1:12">
      <c r="A1371" s="2837"/>
      <c r="B1371" s="2898" t="str">
        <f>крыша!A681</f>
        <v>Клей для монтажа черепицы</v>
      </c>
      <c r="C1371" s="236" t="str">
        <f>крыша!B681</f>
        <v>кг</v>
      </c>
      <c r="D1371" s="2899">
        <f>крыша!C681</f>
        <v>0</v>
      </c>
      <c r="E1371" s="35">
        <f>крыша!D681</f>
        <v>250</v>
      </c>
      <c r="F1371" s="35"/>
      <c r="G1371" s="275">
        <f t="shared" si="210"/>
        <v>0</v>
      </c>
      <c r="H1371" s="2315">
        <f t="shared" si="211"/>
        <v>0</v>
      </c>
      <c r="I1371" s="2911">
        <f t="shared" si="212"/>
        <v>0</v>
      </c>
      <c r="J1371" s="2863"/>
      <c r="K1371" s="223">
        <f t="shared" si="213"/>
        <v>0</v>
      </c>
      <c r="L1371" s="2854"/>
    </row>
    <row r="1372" spans="1:12">
      <c r="A1372" s="2837"/>
      <c r="B1372" s="2898" t="str">
        <f>крыша!A682</f>
        <v>желоб</v>
      </c>
      <c r="C1372" s="236" t="str">
        <f>крыша!B682</f>
        <v>м.п</v>
      </c>
      <c r="D1372" s="2899">
        <f>крыша!C682</f>
        <v>11.8</v>
      </c>
      <c r="E1372" s="35">
        <f>крыша!D682</f>
        <v>300</v>
      </c>
      <c r="F1372" s="35"/>
      <c r="G1372" s="275">
        <f t="shared" si="210"/>
        <v>3540</v>
      </c>
      <c r="H1372" s="2315">
        <f t="shared" si="211"/>
        <v>0</v>
      </c>
      <c r="I1372" s="2911">
        <f t="shared" si="212"/>
        <v>0</v>
      </c>
      <c r="J1372" s="2863"/>
      <c r="K1372" s="223">
        <f t="shared" si="213"/>
        <v>11.8</v>
      </c>
      <c r="L1372" s="2854"/>
    </row>
    <row r="1373" spans="1:12">
      <c r="A1373" s="2837"/>
      <c r="B1373" s="2898" t="str">
        <f>крыша!A683</f>
        <v>отвод</v>
      </c>
      <c r="C1373" s="236" t="str">
        <f>крыша!B683</f>
        <v>шт</v>
      </c>
      <c r="D1373" s="2899">
        <f>крыша!C683</f>
        <v>2</v>
      </c>
      <c r="E1373" s="35">
        <f>крыша!D683</f>
        <v>250</v>
      </c>
      <c r="F1373" s="35"/>
      <c r="G1373" s="275">
        <f t="shared" si="210"/>
        <v>500</v>
      </c>
      <c r="H1373" s="2315">
        <f t="shared" si="211"/>
        <v>0</v>
      </c>
      <c r="I1373" s="2911">
        <f t="shared" si="212"/>
        <v>0</v>
      </c>
      <c r="J1373" s="2863"/>
      <c r="K1373" s="223">
        <f t="shared" si="213"/>
        <v>2</v>
      </c>
      <c r="L1373" s="2854"/>
    </row>
    <row r="1374" spans="1:12">
      <c r="A1374" s="2837"/>
      <c r="B1374" s="2898" t="str">
        <f>крыша!A684</f>
        <v>труба водосточная</v>
      </c>
      <c r="C1374" s="236" t="str">
        <f>крыша!B684</f>
        <v>м.п.</v>
      </c>
      <c r="D1374" s="2899">
        <f>крыша!C684</f>
        <v>8.4</v>
      </c>
      <c r="E1374" s="35">
        <f>крыша!D684</f>
        <v>300</v>
      </c>
      <c r="F1374" s="35"/>
      <c r="G1374" s="275">
        <f t="shared" si="210"/>
        <v>2520</v>
      </c>
      <c r="H1374" s="2315">
        <f t="shared" si="211"/>
        <v>0</v>
      </c>
      <c r="I1374" s="2911">
        <f t="shared" si="212"/>
        <v>0</v>
      </c>
      <c r="J1374" s="2863"/>
      <c r="K1374" s="223">
        <f t="shared" si="213"/>
        <v>8.4</v>
      </c>
      <c r="L1374" s="2854"/>
    </row>
    <row r="1375" spans="1:12">
      <c r="A1375" s="2837"/>
      <c r="B1375" s="2898" t="str">
        <f>крыша!A685</f>
        <v>заглушка для желоба</v>
      </c>
      <c r="C1375" s="236" t="str">
        <f>крыша!B685</f>
        <v>шт</v>
      </c>
      <c r="D1375" s="2899">
        <f>крыша!C685</f>
        <v>2</v>
      </c>
      <c r="E1375" s="35">
        <f>крыша!D685</f>
        <v>190</v>
      </c>
      <c r="F1375" s="35"/>
      <c r="G1375" s="275">
        <f t="shared" si="210"/>
        <v>380</v>
      </c>
      <c r="H1375" s="2315">
        <f t="shared" si="211"/>
        <v>0</v>
      </c>
      <c r="I1375" s="2911">
        <f t="shared" si="212"/>
        <v>0</v>
      </c>
      <c r="J1375" s="2863"/>
      <c r="K1375" s="223">
        <f t="shared" si="213"/>
        <v>2</v>
      </c>
      <c r="L1375" s="2854"/>
    </row>
    <row r="1376" spans="1:12">
      <c r="A1376" s="2837"/>
      <c r="B1376" s="2898" t="str">
        <f>крыша!A686</f>
        <v>соеденитель для желоба</v>
      </c>
      <c r="C1376" s="236" t="str">
        <f>крыша!B686</f>
        <v>шт</v>
      </c>
      <c r="D1376" s="2899">
        <f>крыша!C686</f>
        <v>7</v>
      </c>
      <c r="E1376" s="35">
        <f>крыша!D686</f>
        <v>180</v>
      </c>
      <c r="F1376" s="35"/>
      <c r="G1376" s="275">
        <f t="shared" si="210"/>
        <v>1260</v>
      </c>
      <c r="H1376" s="2315">
        <f t="shared" si="211"/>
        <v>0</v>
      </c>
      <c r="I1376" s="2911">
        <f t="shared" si="212"/>
        <v>0</v>
      </c>
      <c r="J1376" s="2863"/>
      <c r="K1376" s="223">
        <f t="shared" si="213"/>
        <v>7</v>
      </c>
      <c r="L1376" s="2854"/>
    </row>
    <row r="1377" spans="1:12">
      <c r="A1377" s="2837"/>
      <c r="B1377" s="2898" t="str">
        <f>крыша!A687</f>
        <v>кронштейн для желоба</v>
      </c>
      <c r="C1377" s="236" t="str">
        <f>крыша!B687</f>
        <v>шт</v>
      </c>
      <c r="D1377" s="2899">
        <f>крыша!C687</f>
        <v>33.5</v>
      </c>
      <c r="E1377" s="35">
        <f>крыша!D687</f>
        <v>130</v>
      </c>
      <c r="F1377" s="35"/>
      <c r="G1377" s="275">
        <f t="shared" si="210"/>
        <v>4355</v>
      </c>
      <c r="H1377" s="2315">
        <f t="shared" si="211"/>
        <v>0</v>
      </c>
      <c r="I1377" s="2911">
        <f t="shared" si="212"/>
        <v>0</v>
      </c>
      <c r="J1377" s="2863"/>
      <c r="K1377" s="223">
        <f t="shared" si="213"/>
        <v>33.5</v>
      </c>
      <c r="L1377" s="2854"/>
    </row>
    <row r="1378" spans="1:12">
      <c r="A1378" s="2837"/>
      <c r="B1378" s="2898" t="str">
        <f>крыша!A688</f>
        <v>переход из желоба в трубу</v>
      </c>
      <c r="C1378" s="236" t="str">
        <f>крыша!B688</f>
        <v>шт</v>
      </c>
      <c r="D1378" s="2899">
        <f>крыша!C688</f>
        <v>2</v>
      </c>
      <c r="E1378" s="35">
        <f>крыша!D688</f>
        <v>350</v>
      </c>
      <c r="F1378" s="35"/>
      <c r="G1378" s="275">
        <f t="shared" si="210"/>
        <v>700</v>
      </c>
      <c r="H1378" s="2315">
        <f t="shared" si="211"/>
        <v>0</v>
      </c>
      <c r="I1378" s="2911">
        <f t="shared" si="212"/>
        <v>0</v>
      </c>
      <c r="J1378" s="2863"/>
      <c r="K1378" s="223">
        <f t="shared" si="213"/>
        <v>2</v>
      </c>
      <c r="L1378" s="2854"/>
    </row>
    <row r="1379" spans="1:12">
      <c r="A1379" s="2837"/>
      <c r="B1379" s="2898" t="str">
        <f>крыша!A689</f>
        <v>лента дельта мульти бэнд</v>
      </c>
      <c r="C1379" s="236" t="str">
        <f>крыша!B689</f>
        <v>шт</v>
      </c>
      <c r="D1379" s="2899">
        <f>крыша!C689</f>
        <v>3</v>
      </c>
      <c r="E1379" s="35">
        <f>крыша!D689</f>
        <v>1200</v>
      </c>
      <c r="F1379" s="35"/>
      <c r="G1379" s="275">
        <f t="shared" si="210"/>
        <v>3600</v>
      </c>
      <c r="H1379" s="2315">
        <f t="shared" si="211"/>
        <v>0</v>
      </c>
      <c r="I1379" s="2911">
        <f t="shared" si="212"/>
        <v>0</v>
      </c>
      <c r="J1379" s="2863"/>
      <c r="K1379" s="223">
        <f t="shared" si="213"/>
        <v>3</v>
      </c>
      <c r="L1379" s="2854"/>
    </row>
    <row r="1380" spans="1:12">
      <c r="A1380" s="2837"/>
      <c r="B1380" s="2898" t="str">
        <f>крыша!A690</f>
        <v>лента дельта sb-60</v>
      </c>
      <c r="C1380" s="236" t="str">
        <f>крыша!B690</f>
        <v>шт</v>
      </c>
      <c r="D1380" s="2899">
        <f>крыша!C690</f>
        <v>10</v>
      </c>
      <c r="E1380" s="35">
        <f>крыша!D690</f>
        <v>1100</v>
      </c>
      <c r="F1380" s="35"/>
      <c r="G1380" s="275">
        <f t="shared" si="210"/>
        <v>11000</v>
      </c>
      <c r="H1380" s="2315">
        <f t="shared" si="211"/>
        <v>0</v>
      </c>
      <c r="I1380" s="2911">
        <f t="shared" si="212"/>
        <v>0</v>
      </c>
      <c r="J1380" s="2863"/>
      <c r="K1380" s="223">
        <f t="shared" si="213"/>
        <v>10</v>
      </c>
      <c r="L1380" s="2854"/>
    </row>
    <row r="1381" spans="1:12">
      <c r="A1381" s="2837"/>
      <c r="B1381" s="2898" t="str">
        <f>крыша!A691</f>
        <v>проходка кровельная, канализационная</v>
      </c>
      <c r="C1381" s="236" t="str">
        <f>крыша!B691</f>
        <v>шт</v>
      </c>
      <c r="D1381" s="2899">
        <f>крыша!C691</f>
        <v>0</v>
      </c>
      <c r="E1381" s="35">
        <f>крыша!D691</f>
        <v>3500</v>
      </c>
      <c r="F1381" s="35"/>
      <c r="G1381" s="275">
        <f t="shared" si="210"/>
        <v>0</v>
      </c>
      <c r="H1381" s="2315">
        <f t="shared" si="211"/>
        <v>0</v>
      </c>
      <c r="I1381" s="2911">
        <f t="shared" si="212"/>
        <v>0</v>
      </c>
      <c r="J1381" s="2863"/>
      <c r="K1381" s="223">
        <f t="shared" si="213"/>
        <v>0</v>
      </c>
      <c r="L1381" s="2854"/>
    </row>
    <row r="1382" spans="1:12">
      <c r="A1382" s="2837"/>
      <c r="B1382" s="2898" t="str">
        <f>крыша!A692</f>
        <v>проходка кровельная, вентиляционная</v>
      </c>
      <c r="C1382" s="236" t="str">
        <f>крыша!B692</f>
        <v>шт</v>
      </c>
      <c r="D1382" s="2899">
        <f>крыша!C692</f>
        <v>0</v>
      </c>
      <c r="E1382" s="35">
        <f>крыша!D692</f>
        <v>3500</v>
      </c>
      <c r="F1382" s="35"/>
      <c r="G1382" s="275">
        <f t="shared" si="210"/>
        <v>0</v>
      </c>
      <c r="H1382" s="2315">
        <f t="shared" si="211"/>
        <v>0</v>
      </c>
      <c r="I1382" s="2911">
        <f t="shared" si="212"/>
        <v>0</v>
      </c>
      <c r="J1382" s="2863"/>
      <c r="K1382" s="223">
        <f t="shared" si="213"/>
        <v>0</v>
      </c>
      <c r="L1382" s="2854"/>
    </row>
    <row r="1383" spans="1:12">
      <c r="A1383" s="2837"/>
      <c r="B1383" s="2898" t="str">
        <f>крыша!A693</f>
        <v>проодка кровельная, труба котел</v>
      </c>
      <c r="C1383" s="236" t="str">
        <f>крыша!B693</f>
        <v>шт</v>
      </c>
      <c r="D1383" s="2899">
        <f>крыша!C693</f>
        <v>0</v>
      </c>
      <c r="E1383" s="35">
        <f>крыша!D693</f>
        <v>4500</v>
      </c>
      <c r="F1383" s="35"/>
      <c r="G1383" s="275">
        <f t="shared" si="210"/>
        <v>0</v>
      </c>
      <c r="H1383" s="2315">
        <f t="shared" si="211"/>
        <v>0</v>
      </c>
      <c r="I1383" s="2911">
        <f t="shared" si="212"/>
        <v>0</v>
      </c>
      <c r="J1383" s="2863"/>
      <c r="K1383" s="223">
        <f t="shared" si="213"/>
        <v>0</v>
      </c>
      <c r="L1383" s="2854"/>
    </row>
    <row r="1384" spans="1:12">
      <c r="A1384" s="2837"/>
      <c r="B1384" s="2898" t="str">
        <f>крыша!A694</f>
        <v>Кровельный саморез</v>
      </c>
      <c r="C1384" s="236" t="str">
        <f>крыша!B694</f>
        <v>шт</v>
      </c>
      <c r="D1384" s="2899">
        <f>крыша!C694</f>
        <v>2315.3221275064998</v>
      </c>
      <c r="E1384" s="35">
        <f>крыша!D694</f>
        <v>2</v>
      </c>
      <c r="F1384" s="35"/>
      <c r="G1384" s="275">
        <f t="shared" si="210"/>
        <v>4630.6442550129996</v>
      </c>
      <c r="H1384" s="2315">
        <f t="shared" si="211"/>
        <v>0</v>
      </c>
      <c r="I1384" s="2911">
        <f t="shared" si="212"/>
        <v>0</v>
      </c>
      <c r="J1384" s="2863"/>
      <c r="K1384" s="223">
        <f t="shared" si="213"/>
        <v>2315.3221275064998</v>
      </c>
      <c r="L1384" s="2854"/>
    </row>
    <row r="1385" spans="1:12">
      <c r="A1385" s="2837"/>
      <c r="B1385" s="2898" t="str">
        <f>крыша!A695</f>
        <v xml:space="preserve">Гвозди ершоные 3,4 x 60            </v>
      </c>
      <c r="C1385" s="236" t="str">
        <f>крыша!B695</f>
        <v>кг</v>
      </c>
      <c r="D1385" s="2899">
        <f>крыша!C695</f>
        <v>16.078625885461804</v>
      </c>
      <c r="E1385" s="35">
        <f>крыша!D695</f>
        <v>75.510000000000005</v>
      </c>
      <c r="F1385" s="35"/>
      <c r="G1385" s="275">
        <f t="shared" si="210"/>
        <v>1214.097040611221</v>
      </c>
      <c r="H1385" s="2315">
        <f t="shared" si="211"/>
        <v>0</v>
      </c>
      <c r="I1385" s="2911">
        <f t="shared" si="212"/>
        <v>0</v>
      </c>
      <c r="J1385" s="2863"/>
      <c r="K1385" s="223">
        <f t="shared" si="213"/>
        <v>16.078625885461804</v>
      </c>
      <c r="L1385" s="2854"/>
    </row>
    <row r="1386" spans="1:12">
      <c r="A1386" s="2837"/>
      <c r="B1386" s="2898" t="str">
        <f>крыша!A696</f>
        <v xml:space="preserve">Гвозди ершоные 2,8 х 90            </v>
      </c>
      <c r="C1386" s="236" t="str">
        <f>крыша!B696</f>
        <v>кг</v>
      </c>
      <c r="D1386" s="2899">
        <f>крыша!C696</f>
        <v>36.450987050938132</v>
      </c>
      <c r="E1386" s="35">
        <f>крыша!D696</f>
        <v>76.489999999999995</v>
      </c>
      <c r="F1386" s="35"/>
      <c r="G1386" s="275">
        <f t="shared" si="210"/>
        <v>2788.1359995262574</v>
      </c>
      <c r="H1386" s="2315">
        <f t="shared" si="211"/>
        <v>0</v>
      </c>
      <c r="I1386" s="2911">
        <f t="shared" si="212"/>
        <v>0</v>
      </c>
      <c r="J1386" s="2863"/>
      <c r="K1386" s="223">
        <f t="shared" si="213"/>
        <v>36.450987050938132</v>
      </c>
      <c r="L1386" s="2854"/>
    </row>
    <row r="1387" spans="1:12">
      <c r="A1387" s="2837"/>
      <c r="B1387" s="2898" t="str">
        <f>крыша!A697</f>
        <v xml:space="preserve">Пластина соеденительная 100х240х2           </v>
      </c>
      <c r="C1387" s="236" t="str">
        <f>крыша!B697</f>
        <v>шт</v>
      </c>
      <c r="D1387" s="2899">
        <f>крыша!C697</f>
        <v>0</v>
      </c>
      <c r="E1387" s="35">
        <f>крыша!D697</f>
        <v>31.54</v>
      </c>
      <c r="F1387" s="35"/>
      <c r="G1387" s="275">
        <f t="shared" si="210"/>
        <v>0</v>
      </c>
      <c r="H1387" s="2315">
        <f t="shared" si="211"/>
        <v>0</v>
      </c>
      <c r="I1387" s="2911">
        <f t="shared" si="212"/>
        <v>0</v>
      </c>
      <c r="J1387" s="2863"/>
      <c r="K1387" s="223">
        <f t="shared" si="213"/>
        <v>0</v>
      </c>
      <c r="L1387" s="2854"/>
    </row>
    <row r="1388" spans="1:12">
      <c r="A1388" s="2837"/>
      <c r="B1388" s="2898" t="str">
        <f>крыша!A698</f>
        <v xml:space="preserve">Уголок усиленный 90х70х55х2,5        </v>
      </c>
      <c r="C1388" s="236" t="str">
        <f>крыша!B698</f>
        <v>шт</v>
      </c>
      <c r="D1388" s="2899">
        <f>крыша!C698</f>
        <v>65</v>
      </c>
      <c r="E1388" s="35">
        <f>крыша!D698</f>
        <v>30</v>
      </c>
      <c r="F1388" s="35"/>
      <c r="G1388" s="275">
        <f t="shared" si="210"/>
        <v>1950</v>
      </c>
      <c r="H1388" s="2315">
        <f t="shared" si="211"/>
        <v>0</v>
      </c>
      <c r="I1388" s="2911">
        <f t="shared" si="212"/>
        <v>0</v>
      </c>
      <c r="J1388" s="2863"/>
      <c r="K1388" s="223">
        <f t="shared" si="213"/>
        <v>65</v>
      </c>
      <c r="L1388" s="2854"/>
    </row>
    <row r="1389" spans="1:12">
      <c r="A1389" s="2837"/>
      <c r="B1389" s="3278" t="s">
        <v>4640</v>
      </c>
      <c r="C1389" s="3278"/>
      <c r="D1389" s="3278"/>
      <c r="E1389" s="3278"/>
      <c r="F1389" s="2868"/>
      <c r="G1389" s="2315">
        <f>SUM(G1337:G1388)*H1335</f>
        <v>0</v>
      </c>
      <c r="H1389" s="2315">
        <f>SUM(H1337:H1388)</f>
        <v>0</v>
      </c>
      <c r="I1389" s="2911">
        <f t="shared" si="212"/>
        <v>0</v>
      </c>
      <c r="J1389" s="2863"/>
      <c r="K1389" s="223">
        <f t="shared" si="213"/>
        <v>0</v>
      </c>
      <c r="L1389" s="2854"/>
    </row>
    <row r="1390" spans="1:12">
      <c r="A1390" s="2837"/>
      <c r="B1390" s="3279" t="s">
        <v>1409</v>
      </c>
      <c r="C1390" s="3279"/>
      <c r="D1390" s="3279"/>
      <c r="E1390" s="3279"/>
      <c r="F1390" s="2949"/>
      <c r="G1390" s="941"/>
      <c r="H1390" s="2896">
        <f>H1335</f>
        <v>0</v>
      </c>
      <c r="I1390" s="2940">
        <f>H1390</f>
        <v>0</v>
      </c>
      <c r="J1390" s="2892"/>
      <c r="K1390" s="2893"/>
    </row>
    <row r="1391" spans="1:12">
      <c r="A1391" s="2837"/>
      <c r="B1391" s="2898" t="str">
        <f>крыша!G648</f>
        <v>монтаж мауэрлата</v>
      </c>
      <c r="C1391" s="236" t="str">
        <f>крыша!H648</f>
        <v>м.п.</v>
      </c>
      <c r="D1391" s="2899">
        <f>крыша!I648</f>
        <v>42.360679774997898</v>
      </c>
      <c r="E1391" s="35">
        <f>крыша!J648</f>
        <v>250</v>
      </c>
      <c r="F1391" s="35"/>
      <c r="G1391" s="275">
        <f t="shared" ref="G1391:G1407" si="214">IF(F1391&gt;0,D1391*F1391,E1391*D1391)</f>
        <v>10590.169943749475</v>
      </c>
      <c r="H1391" s="2315">
        <f t="shared" ref="H1391:H1407" si="215">D1391*E1391*$H$1335</f>
        <v>0</v>
      </c>
      <c r="I1391" s="2836">
        <f t="shared" ref="I1391:I1408" si="216">IF(G1391&gt;H1391,G1391,H1391)*$H$1335</f>
        <v>0</v>
      </c>
      <c r="J1391" s="2829"/>
      <c r="K1391" s="2837"/>
    </row>
    <row r="1392" spans="1:12">
      <c r="A1392" s="2837"/>
      <c r="B1392" s="2898" t="str">
        <f>крыша!G649</f>
        <v>монтаж стропил</v>
      </c>
      <c r="C1392" s="236" t="str">
        <f>крыша!H649</f>
        <v>м2</v>
      </c>
      <c r="D1392" s="2899">
        <f>крыша!I649</f>
        <v>160.78625885461804</v>
      </c>
      <c r="E1392" s="35">
        <f>крыша!J649</f>
        <v>450</v>
      </c>
      <c r="F1392" s="35"/>
      <c r="G1392" s="275">
        <f t="shared" si="214"/>
        <v>72353.816484578114</v>
      </c>
      <c r="H1392" s="2315">
        <f t="shared" si="215"/>
        <v>0</v>
      </c>
      <c r="I1392" s="2836">
        <f t="shared" si="216"/>
        <v>0</v>
      </c>
      <c r="J1392" s="2829"/>
      <c r="K1392" s="2837"/>
    </row>
    <row r="1393" spans="1:13">
      <c r="A1393" s="2837"/>
      <c r="B1393" s="2898" t="str">
        <f>крыша!G650</f>
        <v>обрешетка</v>
      </c>
      <c r="C1393" s="236" t="str">
        <f>крыша!H650</f>
        <v>м2</v>
      </c>
      <c r="D1393" s="2899">
        <f>крыша!I650</f>
        <v>160.78625885461804</v>
      </c>
      <c r="E1393" s="35">
        <f>крыша!J650</f>
        <v>100</v>
      </c>
      <c r="F1393" s="35"/>
      <c r="G1393" s="275">
        <f t="shared" si="214"/>
        <v>16078.625885461805</v>
      </c>
      <c r="H1393" s="2315">
        <f t="shared" si="215"/>
        <v>0</v>
      </c>
      <c r="I1393" s="2836">
        <f t="shared" si="216"/>
        <v>0</v>
      </c>
      <c r="L1393" s="910"/>
      <c r="M1393" s="910"/>
    </row>
    <row r="1394" spans="1:13">
      <c r="A1394" s="2837"/>
      <c r="B1394" s="2898" t="str">
        <f>крыша!G651</f>
        <v>контробеш</v>
      </c>
      <c r="C1394" s="236" t="str">
        <f>крыша!H651</f>
        <v>м2</v>
      </c>
      <c r="D1394" s="2899">
        <f>крыша!I651</f>
        <v>160.78625885461804</v>
      </c>
      <c r="E1394" s="35">
        <f>крыша!J651</f>
        <v>100</v>
      </c>
      <c r="F1394" s="35"/>
      <c r="G1394" s="275">
        <f t="shared" si="214"/>
        <v>16078.625885461805</v>
      </c>
      <c r="H1394" s="2315">
        <f t="shared" si="215"/>
        <v>0</v>
      </c>
      <c r="I1394" s="2836">
        <f t="shared" si="216"/>
        <v>0</v>
      </c>
      <c r="L1394" s="910"/>
      <c r="M1394" s="910"/>
    </row>
    <row r="1395" spans="1:13">
      <c r="A1395" s="2837"/>
      <c r="B1395" s="2898" t="str">
        <f>крыша!G652</f>
        <v>Монтаж металлочерепицы</v>
      </c>
      <c r="C1395" s="236" t="str">
        <f>крыша!H652</f>
        <v>м2</v>
      </c>
      <c r="D1395" s="2899">
        <f>крыша!I652</f>
        <v>160.78625885461804</v>
      </c>
      <c r="E1395" s="35">
        <f>крыша!J652</f>
        <v>300</v>
      </c>
      <c r="F1395" s="35"/>
      <c r="G1395" s="275">
        <f t="shared" si="214"/>
        <v>48235.877656385412</v>
      </c>
      <c r="H1395" s="2315">
        <f t="shared" si="215"/>
        <v>0</v>
      </c>
      <c r="I1395" s="2836">
        <f t="shared" si="216"/>
        <v>0</v>
      </c>
      <c r="L1395" s="910"/>
      <c r="M1395" s="910"/>
    </row>
    <row r="1396" spans="1:13">
      <c r="A1396" s="2837"/>
      <c r="B1396" s="2898" t="str">
        <f>крыша!G653</f>
        <v>Монтаж ондулина</v>
      </c>
      <c r="C1396" s="236" t="str">
        <f>крыша!H653</f>
        <v>м2</v>
      </c>
      <c r="D1396" s="2899">
        <f>крыша!I653</f>
        <v>0</v>
      </c>
      <c r="E1396" s="35">
        <f>крыша!J653</f>
        <v>300</v>
      </c>
      <c r="F1396" s="35"/>
      <c r="G1396" s="275">
        <f t="shared" si="214"/>
        <v>0</v>
      </c>
      <c r="H1396" s="2315">
        <f t="shared" si="215"/>
        <v>0</v>
      </c>
      <c r="I1396" s="2836">
        <f t="shared" si="216"/>
        <v>0</v>
      </c>
      <c r="J1396" s="2829"/>
      <c r="K1396" s="2837"/>
    </row>
    <row r="1397" spans="1:13">
      <c r="A1397" s="2837"/>
      <c r="B1397" s="2898" t="str">
        <f>крыша!G656</f>
        <v>мембрана</v>
      </c>
      <c r="C1397" s="236" t="str">
        <f>крыша!H656</f>
        <v>м2</v>
      </c>
      <c r="D1397" s="2899">
        <f>крыша!I656</f>
        <v>160.78625885461804</v>
      </c>
      <c r="E1397" s="35">
        <f>крыша!J656</f>
        <v>100</v>
      </c>
      <c r="F1397" s="35"/>
      <c r="G1397" s="275">
        <f t="shared" si="214"/>
        <v>16078.625885461805</v>
      </c>
      <c r="H1397" s="2315">
        <f t="shared" si="215"/>
        <v>0</v>
      </c>
      <c r="I1397" s="2836">
        <f t="shared" si="216"/>
        <v>0</v>
      </c>
      <c r="J1397" s="2829"/>
      <c r="K1397" s="2837"/>
    </row>
    <row r="1398" spans="1:13">
      <c r="A1398" s="2837"/>
      <c r="B1398" s="2898" t="str">
        <f>крыша!G657</f>
        <v>пароизоляц</v>
      </c>
      <c r="C1398" s="236" t="str">
        <f>крыша!H657</f>
        <v>м2</v>
      </c>
      <c r="D1398" s="2899">
        <f>крыша!I657</f>
        <v>160.78625885461804</v>
      </c>
      <c r="E1398" s="35">
        <f>крыша!J657</f>
        <v>100</v>
      </c>
      <c r="F1398" s="35"/>
      <c r="G1398" s="275">
        <f t="shared" si="214"/>
        <v>16078.625885461805</v>
      </c>
      <c r="H1398" s="2315">
        <f t="shared" si="215"/>
        <v>0</v>
      </c>
      <c r="I1398" s="2836">
        <f t="shared" si="216"/>
        <v>0</v>
      </c>
      <c r="J1398" s="2829"/>
      <c r="K1398" s="2837"/>
    </row>
    <row r="1399" spans="1:13">
      <c r="A1399" s="2837"/>
      <c r="B1399" s="2898" t="str">
        <f>крыша!G658</f>
        <v>утеплитель</v>
      </c>
      <c r="C1399" s="236" t="str">
        <f>крыша!H658</f>
        <v>м2</v>
      </c>
      <c r="D1399" s="2899">
        <f>крыша!I658</f>
        <v>111.80339887498948</v>
      </c>
      <c r="E1399" s="35">
        <f>крыша!J658</f>
        <v>200</v>
      </c>
      <c r="F1399" s="35"/>
      <c r="G1399" s="275">
        <f t="shared" si="214"/>
        <v>22360.679774997898</v>
      </c>
      <c r="H1399" s="2315">
        <f t="shared" si="215"/>
        <v>0</v>
      </c>
      <c r="I1399" s="2836">
        <f t="shared" si="216"/>
        <v>0</v>
      </c>
      <c r="J1399" s="2829"/>
      <c r="K1399" s="2837"/>
    </row>
    <row r="1400" spans="1:13">
      <c r="A1400" s="2837"/>
      <c r="B1400" s="2898" t="str">
        <f>крыша!G659</f>
        <v>карнизная планка</v>
      </c>
      <c r="C1400" s="236" t="str">
        <f>крыша!H659</f>
        <v>м2</v>
      </c>
      <c r="D1400" s="2899">
        <f>крыша!I659</f>
        <v>14.278000000000004</v>
      </c>
      <c r="E1400" s="35">
        <f>крыша!J659</f>
        <v>100</v>
      </c>
      <c r="F1400" s="35"/>
      <c r="G1400" s="275">
        <f t="shared" si="214"/>
        <v>1427.8000000000004</v>
      </c>
      <c r="H1400" s="2315">
        <f t="shared" si="215"/>
        <v>0</v>
      </c>
      <c r="I1400" s="2836">
        <f t="shared" si="216"/>
        <v>0</v>
      </c>
      <c r="J1400" s="2829"/>
      <c r="K1400" s="2837"/>
    </row>
    <row r="1401" spans="1:13">
      <c r="A1401" s="2837"/>
      <c r="B1401" s="2898" t="str">
        <f>крыша!G660</f>
        <v>торцевая планка</v>
      </c>
      <c r="C1401" s="236" t="str">
        <f>крыша!H660</f>
        <v>м2</v>
      </c>
      <c r="D1401" s="2899">
        <f>крыша!I660</f>
        <v>41.838455040691507</v>
      </c>
      <c r="E1401" s="35">
        <f>крыша!J660</f>
        <v>100</v>
      </c>
      <c r="F1401" s="35"/>
      <c r="G1401" s="275">
        <f t="shared" si="214"/>
        <v>4183.8455040691506</v>
      </c>
      <c r="H1401" s="2315">
        <f t="shared" si="215"/>
        <v>0</v>
      </c>
      <c r="I1401" s="2836">
        <f t="shared" si="216"/>
        <v>0</v>
      </c>
      <c r="J1401" s="2829"/>
      <c r="K1401" s="2837"/>
    </row>
    <row r="1402" spans="1:13">
      <c r="A1402" s="2837"/>
      <c r="B1402" s="2898" t="str">
        <f>крыша!G661</f>
        <v>конек</v>
      </c>
      <c r="C1402" s="236" t="str">
        <f>крыша!H661</f>
        <v>м.п.</v>
      </c>
      <c r="D1402" s="2899">
        <f>крыша!I661</f>
        <v>12.980000000000002</v>
      </c>
      <c r="E1402" s="35">
        <f>крыша!J661</f>
        <v>300</v>
      </c>
      <c r="F1402" s="35"/>
      <c r="G1402" s="275">
        <f t="shared" si="214"/>
        <v>3894.0000000000005</v>
      </c>
      <c r="H1402" s="2315">
        <f t="shared" si="215"/>
        <v>0</v>
      </c>
      <c r="I1402" s="2836">
        <f t="shared" si="216"/>
        <v>0</v>
      </c>
      <c r="J1402" s="2829"/>
      <c r="K1402" s="2837"/>
    </row>
    <row r="1403" spans="1:13">
      <c r="A1403" s="2837"/>
      <c r="B1403" s="2898" t="str">
        <f>крыша!G662</f>
        <v>желоб водосточный</v>
      </c>
      <c r="C1403" s="236" t="str">
        <f>крыша!H662</f>
        <v>м.п.</v>
      </c>
      <c r="D1403" s="2899">
        <f>крыша!I662</f>
        <v>11.8</v>
      </c>
      <c r="E1403" s="35">
        <f>крыша!J662</f>
        <v>300</v>
      </c>
      <c r="F1403" s="35"/>
      <c r="G1403" s="275">
        <f t="shared" si="214"/>
        <v>3540</v>
      </c>
      <c r="H1403" s="2315">
        <f t="shared" si="215"/>
        <v>0</v>
      </c>
      <c r="I1403" s="2836">
        <f t="shared" si="216"/>
        <v>0</v>
      </c>
      <c r="J1403" s="2829"/>
      <c r="K1403" s="2837"/>
    </row>
    <row r="1404" spans="1:13">
      <c r="A1404" s="2837"/>
      <c r="B1404" s="2898" t="str">
        <f>крыша!G663</f>
        <v>труба водосточная</v>
      </c>
      <c r="C1404" s="236" t="str">
        <f>крыша!H663</f>
        <v>м.п.</v>
      </c>
      <c r="D1404" s="2899">
        <f>крыша!I663</f>
        <v>8.4</v>
      </c>
      <c r="E1404" s="35">
        <f>крыша!J663</f>
        <v>300</v>
      </c>
      <c r="F1404" s="35"/>
      <c r="G1404" s="275">
        <f t="shared" si="214"/>
        <v>2520</v>
      </c>
      <c r="H1404" s="2315">
        <f t="shared" si="215"/>
        <v>0</v>
      </c>
      <c r="I1404" s="2836">
        <f t="shared" si="216"/>
        <v>0</v>
      </c>
      <c r="J1404" s="2829"/>
      <c r="K1404" s="2837"/>
    </row>
    <row r="1405" spans="1:13">
      <c r="A1405" s="2837"/>
      <c r="B1405" s="2898" t="str">
        <f>крыша!G664</f>
        <v>Монтаж фанеры/osb</v>
      </c>
      <c r="C1405" s="236" t="str">
        <f>крыша!H664</f>
        <v>м2</v>
      </c>
      <c r="D1405" s="2899">
        <f>крыша!I664</f>
        <v>0</v>
      </c>
      <c r="E1405" s="35">
        <f>крыша!J664</f>
        <v>200</v>
      </c>
      <c r="F1405" s="35"/>
      <c r="G1405" s="275">
        <f t="shared" si="214"/>
        <v>0</v>
      </c>
      <c r="H1405" s="2315">
        <f t="shared" si="215"/>
        <v>0</v>
      </c>
      <c r="I1405" s="2836">
        <f t="shared" si="216"/>
        <v>0</v>
      </c>
      <c r="J1405" s="2829"/>
      <c r="K1405" s="2837"/>
    </row>
    <row r="1406" spans="1:13">
      <c r="A1406" s="2837"/>
      <c r="B1406" s="2898" t="str">
        <f>крыша!G665</f>
        <v>монтаж подкладочного ковра</v>
      </c>
      <c r="C1406" s="236" t="str">
        <f>крыша!H665</f>
        <v>м2</v>
      </c>
      <c r="D1406" s="2899">
        <f>крыша!I665</f>
        <v>0</v>
      </c>
      <c r="E1406" s="35">
        <f>крыша!J665</f>
        <v>150</v>
      </c>
      <c r="F1406" s="35"/>
      <c r="G1406" s="275">
        <f t="shared" si="214"/>
        <v>0</v>
      </c>
      <c r="H1406" s="2315">
        <f t="shared" si="215"/>
        <v>0</v>
      </c>
      <c r="I1406" s="2836">
        <f t="shared" si="216"/>
        <v>0</v>
      </c>
      <c r="J1406" s="2829"/>
      <c r="K1406" s="2837"/>
    </row>
    <row r="1407" spans="1:13">
      <c r="A1407" s="2837"/>
      <c r="B1407" s="2898" t="str">
        <f>крыша!G666</f>
        <v>Монтаж мягкой кровли</v>
      </c>
      <c r="C1407" s="236" t="str">
        <f>крыша!H666</f>
        <v>м2</v>
      </c>
      <c r="D1407" s="2899">
        <f>крыша!I666</f>
        <v>0</v>
      </c>
      <c r="E1407" s="35">
        <f>крыша!J666</f>
        <v>350</v>
      </c>
      <c r="F1407" s="35"/>
      <c r="G1407" s="275">
        <f t="shared" si="214"/>
        <v>0</v>
      </c>
      <c r="H1407" s="2315">
        <f t="shared" si="215"/>
        <v>0</v>
      </c>
      <c r="I1407" s="2836">
        <f t="shared" si="216"/>
        <v>0</v>
      </c>
      <c r="J1407" s="2829"/>
      <c r="K1407" s="2837"/>
    </row>
    <row r="1408" spans="1:13">
      <c r="A1408" s="2837"/>
      <c r="B1408" s="3278" t="s">
        <v>4641</v>
      </c>
      <c r="C1408" s="3278"/>
      <c r="D1408" s="3278"/>
      <c r="E1408" s="3278"/>
      <c r="F1408" s="2868"/>
      <c r="G1408" s="2315">
        <f>SUM(G1391:G1407)*H1390</f>
        <v>0</v>
      </c>
      <c r="H1408" s="2315">
        <f>SUM(H1391:H1407)</f>
        <v>0</v>
      </c>
      <c r="I1408" s="2836">
        <f t="shared" si="216"/>
        <v>0</v>
      </c>
      <c r="J1408" s="2829"/>
      <c r="K1408" s="2837"/>
    </row>
    <row r="1409" spans="1:12" ht="21">
      <c r="A1409" s="2837"/>
      <c r="B1409" s="3295" t="s">
        <v>1925</v>
      </c>
      <c r="C1409" s="3295"/>
      <c r="D1409" s="3295"/>
      <c r="E1409" s="3295"/>
      <c r="F1409" s="2951"/>
      <c r="G1409" s="941"/>
      <c r="H1409" s="2901">
        <f>дома!B1115</f>
        <v>0</v>
      </c>
      <c r="I1409" s="2940">
        <f>H1409</f>
        <v>0</v>
      </c>
      <c r="J1409" s="2829"/>
      <c r="K1409" s="2837"/>
    </row>
    <row r="1410" spans="1:12">
      <c r="A1410" s="2829"/>
      <c r="B1410" s="3285" t="s">
        <v>2720</v>
      </c>
      <c r="C1410" s="3285"/>
      <c r="D1410" s="3285"/>
      <c r="E1410" s="3285"/>
      <c r="F1410" s="2910"/>
      <c r="G1410" s="941"/>
      <c r="H1410" s="2903">
        <f>H1409</f>
        <v>0</v>
      </c>
      <c r="I1410" s="2940">
        <f>H1410</f>
        <v>0</v>
      </c>
      <c r="J1410" s="2850"/>
      <c r="K1410" s="2851"/>
    </row>
    <row r="1411" spans="1:12">
      <c r="A1411" s="2829"/>
      <c r="B1411" s="302" t="str">
        <f>крыша!A262</f>
        <v>нет</v>
      </c>
      <c r="C1411" s="2890" t="str">
        <f>крыша!B262</f>
        <v>м3</v>
      </c>
      <c r="D1411" s="302">
        <f>крыша!C262</f>
        <v>0</v>
      </c>
      <c r="E1411" s="179">
        <f>крыша!D262</f>
        <v>0</v>
      </c>
      <c r="F1411" s="179"/>
      <c r="G1411" s="275">
        <f t="shared" ref="G1411:G1442" si="217">IF(F1411&gt;0,D1411*F1411,E1411*D1411)</f>
        <v>0</v>
      </c>
      <c r="H1411" s="96">
        <f t="shared" ref="H1411:H1442" si="218">D1411*E1411*$H$1410</f>
        <v>0</v>
      </c>
      <c r="I1411" s="2911">
        <f t="shared" ref="I1411:I1442" si="219">IF(G1411&gt;H1411,G1411,H1411)*$H$1409</f>
        <v>0</v>
      </c>
      <c r="J1411" s="2863"/>
      <c r="K1411" s="223">
        <f t="shared" ref="K1411:K1442" si="220">D1411-J1411</f>
        <v>0</v>
      </c>
      <c r="L1411" s="2854"/>
    </row>
    <row r="1412" spans="1:12">
      <c r="A1412" s="2837"/>
      <c r="B1412" s="302" t="str">
        <f>крыша!A263</f>
        <v xml:space="preserve">Болты анкерные с гайкой 12,0 х 280          </v>
      </c>
      <c r="C1412" s="2890" t="str">
        <f>крыша!B263</f>
        <v>шт</v>
      </c>
      <c r="D1412" s="302">
        <f>крыша!C263</f>
        <v>48.284271247461902</v>
      </c>
      <c r="E1412" s="179">
        <f>крыша!D263</f>
        <v>27.1</v>
      </c>
      <c r="F1412" s="179"/>
      <c r="G1412" s="275">
        <f t="shared" si="217"/>
        <v>1308.5037508062176</v>
      </c>
      <c r="H1412" s="96">
        <f t="shared" si="218"/>
        <v>0</v>
      </c>
      <c r="I1412" s="2911">
        <f t="shared" si="219"/>
        <v>0</v>
      </c>
      <c r="J1412" s="2863"/>
      <c r="K1412" s="223">
        <f t="shared" si="220"/>
        <v>48.284271247461902</v>
      </c>
      <c r="L1412" s="2854"/>
    </row>
    <row r="1413" spans="1:12">
      <c r="A1413" s="2837"/>
      <c r="B1413" s="302" t="str">
        <f>крыша!A264</f>
        <v>Доска сухая, 200*50мм</v>
      </c>
      <c r="C1413" s="2890" t="str">
        <f>крыша!B264</f>
        <v>м3</v>
      </c>
      <c r="D1413" s="302">
        <f>крыша!C264</f>
        <v>2.9535780917534957</v>
      </c>
      <c r="E1413" s="179">
        <f>крыша!D264</f>
        <v>9000</v>
      </c>
      <c r="F1413" s="179"/>
      <c r="G1413" s="275">
        <f t="shared" si="217"/>
        <v>26582.20282578146</v>
      </c>
      <c r="H1413" s="96">
        <f t="shared" si="218"/>
        <v>0</v>
      </c>
      <c r="I1413" s="2911">
        <f t="shared" si="219"/>
        <v>0</v>
      </c>
      <c r="J1413" s="2863"/>
      <c r="K1413" s="223">
        <f t="shared" si="220"/>
        <v>2.9535780917534957</v>
      </c>
      <c r="L1413" s="2854"/>
    </row>
    <row r="1414" spans="1:12">
      <c r="A1414" s="2837"/>
      <c r="B1414" s="302" t="str">
        <f>крыша!A265</f>
        <v xml:space="preserve">бугель, доска </v>
      </c>
      <c r="C1414" s="2890" t="str">
        <f>крыша!B265</f>
        <v>м3</v>
      </c>
      <c r="D1414" s="302">
        <f>крыша!C265</f>
        <v>0.79300000000000026</v>
      </c>
      <c r="E1414" s="179">
        <f>крыша!D265</f>
        <v>9000</v>
      </c>
      <c r="F1414" s="179"/>
      <c r="G1414" s="275">
        <f t="shared" si="217"/>
        <v>7137.0000000000027</v>
      </c>
      <c r="H1414" s="96">
        <f t="shared" si="218"/>
        <v>0</v>
      </c>
      <c r="I1414" s="2911">
        <f t="shared" si="219"/>
        <v>0</v>
      </c>
      <c r="J1414" s="2863"/>
      <c r="K1414" s="223">
        <f t="shared" si="220"/>
        <v>0.79300000000000026</v>
      </c>
      <c r="L1414" s="2854"/>
    </row>
    <row r="1415" spans="1:12">
      <c r="A1415" s="2837"/>
      <c r="B1415" s="302" t="str">
        <f>крыша!A266</f>
        <v>стойка под конек</v>
      </c>
      <c r="C1415" s="2890" t="str">
        <f>крыша!B266</f>
        <v>м3</v>
      </c>
      <c r="D1415" s="302">
        <f>крыша!C266</f>
        <v>0</v>
      </c>
      <c r="E1415" s="179">
        <f>крыша!D266</f>
        <v>9000</v>
      </c>
      <c r="F1415" s="179"/>
      <c r="G1415" s="275">
        <f t="shared" si="217"/>
        <v>0</v>
      </c>
      <c r="H1415" s="96">
        <f t="shared" si="218"/>
        <v>0</v>
      </c>
      <c r="I1415" s="2911">
        <f t="shared" si="219"/>
        <v>0</v>
      </c>
      <c r="J1415" s="2863"/>
      <c r="K1415" s="223">
        <f t="shared" si="220"/>
        <v>0</v>
      </c>
      <c r="L1415" s="2854"/>
    </row>
    <row r="1416" spans="1:12">
      <c r="A1416" s="2837"/>
      <c r="B1416" s="302" t="str">
        <f>крыша!A267</f>
        <v>Сосна влаж,100*25мм</v>
      </c>
      <c r="C1416" s="2890" t="str">
        <f>крыша!B267</f>
        <v>м3</v>
      </c>
      <c r="D1416" s="302">
        <f>крыша!C267</f>
        <v>1.7930702044232372</v>
      </c>
      <c r="E1416" s="179">
        <f>крыша!D267</f>
        <v>6500</v>
      </c>
      <c r="F1416" s="179"/>
      <c r="G1416" s="275">
        <f t="shared" si="217"/>
        <v>11654.956328751041</v>
      </c>
      <c r="H1416" s="96">
        <f t="shared" si="218"/>
        <v>0</v>
      </c>
      <c r="I1416" s="2911">
        <f t="shared" si="219"/>
        <v>0</v>
      </c>
      <c r="J1416" s="2863"/>
      <c r="K1416" s="223">
        <f t="shared" si="220"/>
        <v>1.7930702044232372</v>
      </c>
      <c r="L1416" s="2854"/>
    </row>
    <row r="1417" spans="1:12">
      <c r="A1417" s="2837"/>
      <c r="B1417" s="302" t="str">
        <f>крыша!A268</f>
        <v>Доска сухая, калибр., 35*45мм</v>
      </c>
      <c r="C1417" s="2890" t="str">
        <f>крыша!B268</f>
        <v>шт</v>
      </c>
      <c r="D1417" s="302">
        <f>крыша!C268</f>
        <v>0.38502060639519076</v>
      </c>
      <c r="E1417" s="179">
        <f>крыша!D268</f>
        <v>12500</v>
      </c>
      <c r="F1417" s="179"/>
      <c r="G1417" s="275">
        <f t="shared" si="217"/>
        <v>4812.7575799398846</v>
      </c>
      <c r="H1417" s="96">
        <f t="shared" si="218"/>
        <v>0</v>
      </c>
      <c r="I1417" s="2911">
        <f t="shared" si="219"/>
        <v>0</v>
      </c>
      <c r="J1417" s="2863"/>
      <c r="K1417" s="223">
        <f t="shared" si="220"/>
        <v>0.38502060639519076</v>
      </c>
      <c r="L1417" s="2854"/>
    </row>
    <row r="1418" spans="1:12">
      <c r="A1418" s="2837"/>
      <c r="B1418" s="302" t="str">
        <f>крыша!A269</f>
        <v>Сосна влаж, 150*150мм</v>
      </c>
      <c r="C1418" s="2890" t="str">
        <f>крыша!B269</f>
        <v>м.п.</v>
      </c>
      <c r="D1418" s="302">
        <f>крыша!C269</f>
        <v>0</v>
      </c>
      <c r="E1418" s="179">
        <f>крыша!D269</f>
        <v>6500</v>
      </c>
      <c r="F1418" s="179"/>
      <c r="G1418" s="275">
        <f t="shared" si="217"/>
        <v>0</v>
      </c>
      <c r="H1418" s="96">
        <f t="shared" si="218"/>
        <v>0</v>
      </c>
      <c r="I1418" s="2911">
        <f t="shared" si="219"/>
        <v>0</v>
      </c>
      <c r="J1418" s="2863"/>
      <c r="K1418" s="223">
        <f t="shared" si="220"/>
        <v>0</v>
      </c>
      <c r="L1418" s="2854"/>
    </row>
    <row r="1419" spans="1:12">
      <c r="A1419" s="2837"/>
      <c r="B1419" s="302" t="str">
        <f>крыша!A270</f>
        <v>Гидрокомпенсатор</v>
      </c>
      <c r="C1419" s="2890" t="s">
        <v>799</v>
      </c>
      <c r="D1419" s="302">
        <f>крыша!C270</f>
        <v>0</v>
      </c>
      <c r="E1419" s="179">
        <f>крыша!D270</f>
        <v>450</v>
      </c>
      <c r="F1419" s="179"/>
      <c r="G1419" s="275">
        <f t="shared" si="217"/>
        <v>0</v>
      </c>
      <c r="H1419" s="96">
        <f t="shared" si="218"/>
        <v>0</v>
      </c>
      <c r="I1419" s="2911">
        <f t="shared" si="219"/>
        <v>0</v>
      </c>
      <c r="J1419" s="2863"/>
      <c r="K1419" s="223">
        <f t="shared" si="220"/>
        <v>0</v>
      </c>
      <c r="L1419" s="2854"/>
    </row>
    <row r="1420" spans="1:12">
      <c r="A1420" s="2837"/>
      <c r="B1420" s="302" t="str">
        <f>крыша!A271</f>
        <v>Пленка Д110 Стандарт</v>
      </c>
      <c r="C1420" s="2890" t="str">
        <f>крыша!B271</f>
        <v>м2</v>
      </c>
      <c r="D1420" s="302">
        <f>крыша!C271</f>
        <v>215.1684245307884</v>
      </c>
      <c r="E1420" s="179">
        <f>крыша!D271</f>
        <v>24</v>
      </c>
      <c r="F1420" s="179"/>
      <c r="G1420" s="275">
        <f t="shared" si="217"/>
        <v>5164.0421887389221</v>
      </c>
      <c r="H1420" s="96">
        <f t="shared" si="218"/>
        <v>0</v>
      </c>
      <c r="I1420" s="2911">
        <f t="shared" si="219"/>
        <v>0</v>
      </c>
      <c r="J1420" s="2863"/>
      <c r="K1420" s="223">
        <f t="shared" si="220"/>
        <v>215.1684245307884</v>
      </c>
      <c r="L1420" s="2854"/>
    </row>
    <row r="1421" spans="1:12">
      <c r="A1421" s="2837"/>
      <c r="B1421" s="302" t="str">
        <f>крыша!A272</f>
        <v>Мембрана Tyvek AirGuard SD5</v>
      </c>
      <c r="C1421" s="2890" t="str">
        <f>крыша!B272</f>
        <v>м2</v>
      </c>
      <c r="D1421" s="302">
        <f>крыша!C272</f>
        <v>197.23772248655607</v>
      </c>
      <c r="E1421" s="179">
        <f>крыша!D272</f>
        <v>132</v>
      </c>
      <c r="F1421" s="179"/>
      <c r="G1421" s="275">
        <f t="shared" si="217"/>
        <v>26035.3793682254</v>
      </c>
      <c r="H1421" s="96">
        <f t="shared" si="218"/>
        <v>0</v>
      </c>
      <c r="I1421" s="2911">
        <f t="shared" si="219"/>
        <v>0</v>
      </c>
      <c r="J1421" s="2863"/>
      <c r="K1421" s="223">
        <f t="shared" si="220"/>
        <v>197.23772248655607</v>
      </c>
      <c r="L1421" s="2854"/>
    </row>
    <row r="1422" spans="1:12">
      <c r="A1422" s="2837"/>
      <c r="B1422" s="302" t="str">
        <f>крыша!A273</f>
        <v>Плитный,28кг/м3, технониколь, 200мм</v>
      </c>
      <c r="C1422" s="2890" t="str">
        <f>крыша!B273</f>
        <v>м3</v>
      </c>
      <c r="D1422" s="302">
        <f>крыша!C273</f>
        <v>28.915003524538566</v>
      </c>
      <c r="E1422" s="179">
        <f>крыша!D273</f>
        <v>1700</v>
      </c>
      <c r="F1422" s="179"/>
      <c r="G1422" s="275">
        <f t="shared" si="217"/>
        <v>49155.50599171556</v>
      </c>
      <c r="H1422" s="96">
        <f t="shared" si="218"/>
        <v>0</v>
      </c>
      <c r="I1422" s="2911">
        <f t="shared" si="219"/>
        <v>0</v>
      </c>
      <c r="J1422" s="2863"/>
      <c r="K1422" s="223">
        <f t="shared" si="220"/>
        <v>28.915003524538566</v>
      </c>
      <c r="L1422" s="2854"/>
    </row>
    <row r="1423" spans="1:12">
      <c r="A1423" s="2837"/>
      <c r="B1423" s="302" t="str">
        <f>крыша!A274</f>
        <v>Металлочерепица</v>
      </c>
      <c r="C1423" s="2890" t="str">
        <f>крыша!B274</f>
        <v>м2</v>
      </c>
      <c r="D1423" s="302">
        <f>крыша!C274</f>
        <v>0</v>
      </c>
      <c r="E1423" s="179">
        <f>крыша!D274</f>
        <v>250</v>
      </c>
      <c r="F1423" s="179"/>
      <c r="G1423" s="275">
        <f t="shared" si="217"/>
        <v>0</v>
      </c>
      <c r="H1423" s="96">
        <f t="shared" si="218"/>
        <v>0</v>
      </c>
      <c r="I1423" s="2911">
        <f t="shared" si="219"/>
        <v>0</v>
      </c>
      <c r="J1423" s="2863"/>
      <c r="K1423" s="223">
        <f t="shared" si="220"/>
        <v>0</v>
      </c>
      <c r="L1423" s="2854"/>
    </row>
    <row r="1424" spans="1:12">
      <c r="A1424" s="2837"/>
      <c r="B1424" s="302" t="str">
        <f>крыша!A275</f>
        <v>Карнизная планка</v>
      </c>
      <c r="C1424" s="2890" t="str">
        <f>крыша!B275</f>
        <v>м.п.</v>
      </c>
      <c r="D1424" s="302">
        <f>крыша!C275</f>
        <v>0</v>
      </c>
      <c r="E1424" s="179">
        <f>крыша!D275</f>
        <v>190</v>
      </c>
      <c r="F1424" s="179"/>
      <c r="G1424" s="275">
        <f t="shared" si="217"/>
        <v>0</v>
      </c>
      <c r="H1424" s="96">
        <f t="shared" si="218"/>
        <v>0</v>
      </c>
      <c r="I1424" s="2911">
        <f t="shared" si="219"/>
        <v>0</v>
      </c>
      <c r="J1424" s="2863"/>
      <c r="K1424" s="223">
        <f t="shared" si="220"/>
        <v>0</v>
      </c>
      <c r="L1424" s="2854"/>
    </row>
    <row r="1425" spans="1:12">
      <c r="A1425" s="2837"/>
      <c r="B1425" s="302" t="str">
        <f>крыша!A276</f>
        <v>Торцевая планка</v>
      </c>
      <c r="C1425" s="2890" t="str">
        <f>крыша!B276</f>
        <v>м.п.</v>
      </c>
      <c r="D1425" s="302">
        <f>крыша!C276</f>
        <v>0</v>
      </c>
      <c r="E1425" s="179">
        <f>крыша!D276</f>
        <v>190</v>
      </c>
      <c r="F1425" s="179"/>
      <c r="G1425" s="275">
        <f t="shared" si="217"/>
        <v>0</v>
      </c>
      <c r="H1425" s="96">
        <f t="shared" si="218"/>
        <v>0</v>
      </c>
      <c r="I1425" s="2911">
        <f t="shared" si="219"/>
        <v>0</v>
      </c>
      <c r="J1425" s="2863"/>
      <c r="K1425" s="223">
        <f t="shared" si="220"/>
        <v>0</v>
      </c>
      <c r="L1425" s="2854"/>
    </row>
    <row r="1426" spans="1:12">
      <c r="A1426" s="2837"/>
      <c r="B1426" s="302" t="str">
        <f>крыша!A277</f>
        <v>Конек</v>
      </c>
      <c r="C1426" s="2890" t="str">
        <f>крыша!B277</f>
        <v>м.п.</v>
      </c>
      <c r="D1426" s="302">
        <f>крыша!C277</f>
        <v>0</v>
      </c>
      <c r="E1426" s="179">
        <f>крыша!D277</f>
        <v>200</v>
      </c>
      <c r="F1426" s="179"/>
      <c r="G1426" s="275">
        <f t="shared" si="217"/>
        <v>0</v>
      </c>
      <c r="H1426" s="96">
        <f t="shared" si="218"/>
        <v>0</v>
      </c>
      <c r="I1426" s="2911">
        <f t="shared" si="219"/>
        <v>0</v>
      </c>
      <c r="J1426" s="2863"/>
      <c r="K1426" s="223">
        <f t="shared" si="220"/>
        <v>0</v>
      </c>
      <c r="L1426" s="2854"/>
    </row>
    <row r="1427" spans="1:12">
      <c r="A1427" s="2837"/>
      <c r="B1427" s="302" t="str">
        <f>крыша!A278</f>
        <v>ондулин</v>
      </c>
      <c r="C1427" s="2890" t="str">
        <f>крыша!B278</f>
        <v>м2</v>
      </c>
      <c r="D1427" s="302">
        <f>крыша!C278</f>
        <v>0</v>
      </c>
      <c r="E1427" s="179">
        <f>крыша!D278</f>
        <v>180</v>
      </c>
      <c r="F1427" s="179"/>
      <c r="G1427" s="275">
        <f t="shared" si="217"/>
        <v>0</v>
      </c>
      <c r="H1427" s="96">
        <f t="shared" si="218"/>
        <v>0</v>
      </c>
      <c r="I1427" s="2911">
        <f t="shared" si="219"/>
        <v>0</v>
      </c>
      <c r="J1427" s="2863"/>
      <c r="K1427" s="223">
        <f t="shared" si="220"/>
        <v>0</v>
      </c>
      <c r="L1427" s="2854"/>
    </row>
    <row r="1428" spans="1:12">
      <c r="A1428" s="2837"/>
      <c r="B1428" s="302" t="str">
        <f>крыша!A279</f>
        <v>Карнизная планка</v>
      </c>
      <c r="C1428" s="2890" t="str">
        <f>крыша!B279</f>
        <v>м.п.</v>
      </c>
      <c r="D1428" s="302">
        <f>крыша!C279</f>
        <v>0</v>
      </c>
      <c r="E1428" s="179">
        <f>крыша!D279</f>
        <v>190</v>
      </c>
      <c r="F1428" s="179"/>
      <c r="G1428" s="275">
        <f t="shared" si="217"/>
        <v>0</v>
      </c>
      <c r="H1428" s="96">
        <f t="shared" si="218"/>
        <v>0</v>
      </c>
      <c r="I1428" s="2911">
        <f t="shared" si="219"/>
        <v>0</v>
      </c>
      <c r="J1428" s="2863"/>
      <c r="K1428" s="223">
        <f t="shared" si="220"/>
        <v>0</v>
      </c>
      <c r="L1428" s="2854"/>
    </row>
    <row r="1429" spans="1:12">
      <c r="A1429" s="2837"/>
      <c r="B1429" s="302" t="str">
        <f>крыша!A280</f>
        <v>Торцевая планка</v>
      </c>
      <c r="C1429" s="2890" t="str">
        <f>крыша!B280</f>
        <v>м.п.</v>
      </c>
      <c r="D1429" s="302">
        <f>крыша!C280</f>
        <v>0</v>
      </c>
      <c r="E1429" s="179">
        <f>крыша!D280</f>
        <v>190</v>
      </c>
      <c r="F1429" s="179"/>
      <c r="G1429" s="275">
        <f t="shared" si="217"/>
        <v>0</v>
      </c>
      <c r="H1429" s="96">
        <f t="shared" si="218"/>
        <v>0</v>
      </c>
      <c r="I1429" s="2911">
        <f t="shared" si="219"/>
        <v>0</v>
      </c>
      <c r="J1429" s="2863"/>
      <c r="K1429" s="223">
        <f t="shared" si="220"/>
        <v>0</v>
      </c>
      <c r="L1429" s="2854"/>
    </row>
    <row r="1430" spans="1:12">
      <c r="A1430" s="2837"/>
      <c r="B1430" s="302" t="str">
        <f>крыша!A281</f>
        <v>Конек</v>
      </c>
      <c r="C1430" s="2890" t="str">
        <f>крыша!B281</f>
        <v>м.п</v>
      </c>
      <c r="D1430" s="302">
        <f>крыша!C281</f>
        <v>0</v>
      </c>
      <c r="E1430" s="179">
        <f>крыша!D281</f>
        <v>200</v>
      </c>
      <c r="F1430" s="179"/>
      <c r="G1430" s="275">
        <f t="shared" si="217"/>
        <v>0</v>
      </c>
      <c r="H1430" s="96">
        <f t="shared" si="218"/>
        <v>0</v>
      </c>
      <c r="I1430" s="2911">
        <f t="shared" si="219"/>
        <v>0</v>
      </c>
      <c r="J1430" s="2863"/>
      <c r="K1430" s="223">
        <f t="shared" si="220"/>
        <v>0</v>
      </c>
      <c r="L1430" s="2854"/>
    </row>
    <row r="1431" spans="1:12">
      <c r="A1431" s="2837"/>
      <c r="B1431" s="302" t="str">
        <f>крыша!A282</f>
        <v>Ендова нижняя</v>
      </c>
      <c r="C1431" s="2890" t="str">
        <f>крыша!B282</f>
        <v>м.п.</v>
      </c>
      <c r="D1431" s="302">
        <f>крыша!C282</f>
        <v>0</v>
      </c>
      <c r="E1431" s="179">
        <f>крыша!D282</f>
        <v>160</v>
      </c>
      <c r="F1431" s="179"/>
      <c r="G1431" s="275">
        <f t="shared" si="217"/>
        <v>0</v>
      </c>
      <c r="H1431" s="96">
        <f t="shared" si="218"/>
        <v>0</v>
      </c>
      <c r="I1431" s="2911">
        <f t="shared" si="219"/>
        <v>0</v>
      </c>
      <c r="J1431" s="2863"/>
      <c r="K1431" s="223">
        <f t="shared" si="220"/>
        <v>0</v>
      </c>
      <c r="L1431" s="2854"/>
    </row>
    <row r="1432" spans="1:12">
      <c r="A1432" s="2837"/>
      <c r="B1432" s="302" t="str">
        <f>крыша!A283</f>
        <v>Ендова верхняя</v>
      </c>
      <c r="C1432" s="2890" t="str">
        <f>крыша!B283</f>
        <v>м.п.</v>
      </c>
      <c r="D1432" s="302">
        <f>крыша!C283</f>
        <v>0</v>
      </c>
      <c r="E1432" s="179">
        <f>крыша!D283</f>
        <v>190</v>
      </c>
      <c r="F1432" s="179"/>
      <c r="G1432" s="275">
        <f t="shared" si="217"/>
        <v>0</v>
      </c>
      <c r="H1432" s="96">
        <f t="shared" si="218"/>
        <v>0</v>
      </c>
      <c r="I1432" s="2911">
        <f t="shared" si="219"/>
        <v>0</v>
      </c>
      <c r="J1432" s="2863"/>
      <c r="K1432" s="223">
        <f t="shared" si="220"/>
        <v>0</v>
      </c>
      <c r="L1432" s="2854"/>
    </row>
    <row r="1433" spans="1:12">
      <c r="A1433" s="2837"/>
      <c r="B1433" s="302" t="str">
        <f>крыша!A284</f>
        <v>Планка примыкания</v>
      </c>
      <c r="C1433" s="2890" t="str">
        <f>крыша!B284</f>
        <v>м.п.</v>
      </c>
      <c r="D1433" s="302">
        <f>крыша!C284</f>
        <v>0</v>
      </c>
      <c r="E1433" s="179">
        <f>крыша!D284</f>
        <v>190</v>
      </c>
      <c r="F1433" s="179"/>
      <c r="G1433" s="275">
        <f t="shared" si="217"/>
        <v>0</v>
      </c>
      <c r="H1433" s="96">
        <f t="shared" si="218"/>
        <v>0</v>
      </c>
      <c r="I1433" s="2911">
        <f t="shared" si="219"/>
        <v>0</v>
      </c>
      <c r="J1433" s="2863"/>
      <c r="K1433" s="223">
        <f t="shared" si="220"/>
        <v>0</v>
      </c>
      <c r="L1433" s="2854"/>
    </row>
    <row r="1434" spans="1:12">
      <c r="A1434" s="2837"/>
      <c r="B1434" s="302" t="str">
        <f>крыша!A285</f>
        <v>Крепеж для ондулина</v>
      </c>
      <c r="C1434" s="2890" t="str">
        <f>крыша!B285</f>
        <v>шт</v>
      </c>
      <c r="D1434" s="302">
        <f>крыша!C285</f>
        <v>0</v>
      </c>
      <c r="E1434" s="179">
        <f>крыша!D285</f>
        <v>4.5</v>
      </c>
      <c r="F1434" s="179"/>
      <c r="G1434" s="275">
        <f t="shared" si="217"/>
        <v>0</v>
      </c>
      <c r="H1434" s="96">
        <f t="shared" si="218"/>
        <v>0</v>
      </c>
      <c r="I1434" s="2911">
        <f t="shared" si="219"/>
        <v>0</v>
      </c>
      <c r="J1434" s="2863"/>
      <c r="K1434" s="223">
        <f t="shared" si="220"/>
        <v>0</v>
      </c>
      <c r="L1434" s="2854"/>
    </row>
    <row r="1435" spans="1:12">
      <c r="A1435" s="2837"/>
      <c r="B1435" s="302" t="str">
        <f>крыша!A286</f>
        <v>Kronospan - OSB-3, 9мм</v>
      </c>
      <c r="C1435" s="2890" t="str">
        <f>крыша!B286</f>
        <v>м2</v>
      </c>
      <c r="D1435" s="302">
        <f>крыша!C286</f>
        <v>197.23772248655607</v>
      </c>
      <c r="E1435" s="179">
        <f>крыша!D286</f>
        <v>220</v>
      </c>
      <c r="F1435" s="179"/>
      <c r="G1435" s="275">
        <f t="shared" si="217"/>
        <v>43392.298947042334</v>
      </c>
      <c r="H1435" s="96">
        <f t="shared" si="218"/>
        <v>0</v>
      </c>
      <c r="I1435" s="2911">
        <f t="shared" si="219"/>
        <v>0</v>
      </c>
      <c r="J1435" s="2863"/>
      <c r="K1435" s="223">
        <f t="shared" si="220"/>
        <v>197.23772248655607</v>
      </c>
      <c r="L1435" s="2854"/>
    </row>
    <row r="1436" spans="1:12">
      <c r="A1436" s="2837"/>
      <c r="B1436" s="302" t="str">
        <f>крыша!A287</f>
        <v>Рядовая черепица</v>
      </c>
      <c r="C1436" s="2890" t="str">
        <f>крыша!B287</f>
        <v>м2</v>
      </c>
      <c r="D1436" s="302">
        <f>крыша!C287</f>
        <v>174.66702044232369</v>
      </c>
      <c r="E1436" s="179">
        <f>крыша!D287</f>
        <v>360</v>
      </c>
      <c r="F1436" s="179"/>
      <c r="G1436" s="275">
        <f t="shared" si="217"/>
        <v>62880.127359236525</v>
      </c>
      <c r="H1436" s="96">
        <f t="shared" si="218"/>
        <v>0</v>
      </c>
      <c r="I1436" s="2911">
        <f t="shared" si="219"/>
        <v>0</v>
      </c>
      <c r="J1436" s="2863"/>
      <c r="K1436" s="223">
        <f t="shared" si="220"/>
        <v>174.66702044232369</v>
      </c>
      <c r="L1436" s="2854"/>
    </row>
    <row r="1437" spans="1:12">
      <c r="A1437" s="2837"/>
      <c r="B1437" s="302" t="str">
        <f>крыша!A288</f>
        <v>Металл оцинк защита (карниз)</v>
      </c>
      <c r="C1437" s="2890" t="str">
        <f>крыша!B288</f>
        <v>м.п.</v>
      </c>
      <c r="D1437" s="302">
        <f>крыша!C288</f>
        <v>54.115003524538565</v>
      </c>
      <c r="E1437" s="179">
        <f>крыша!D288</f>
        <v>200</v>
      </c>
      <c r="F1437" s="179"/>
      <c r="G1437" s="275">
        <f t="shared" si="217"/>
        <v>10823.000704907714</v>
      </c>
      <c r="H1437" s="96">
        <f t="shared" si="218"/>
        <v>0</v>
      </c>
      <c r="I1437" s="2911">
        <f t="shared" si="219"/>
        <v>0</v>
      </c>
      <c r="J1437" s="2863"/>
      <c r="K1437" s="223">
        <f t="shared" si="220"/>
        <v>54.115003524538565</v>
      </c>
      <c r="L1437" s="2854"/>
    </row>
    <row r="1438" spans="1:12">
      <c r="A1438" s="2837"/>
      <c r="B1438" s="302" t="str">
        <f>крыша!A289</f>
        <v>Подкладочный ковер</v>
      </c>
      <c r="C1438" s="2890" t="str">
        <f>крыша!B289</f>
        <v>м.п.</v>
      </c>
      <c r="D1438" s="302">
        <f>крыша!C289</f>
        <v>179.30702044232368</v>
      </c>
      <c r="E1438" s="179">
        <f>крыша!D289</f>
        <v>220</v>
      </c>
      <c r="F1438" s="179"/>
      <c r="G1438" s="275">
        <f t="shared" si="217"/>
        <v>39447.54449731121</v>
      </c>
      <c r="H1438" s="96">
        <f t="shared" si="218"/>
        <v>0</v>
      </c>
      <c r="I1438" s="2911">
        <f t="shared" si="219"/>
        <v>0</v>
      </c>
      <c r="J1438" s="2863"/>
      <c r="K1438" s="223">
        <f t="shared" si="220"/>
        <v>179.30702044232368</v>
      </c>
      <c r="L1438" s="2854"/>
    </row>
    <row r="1439" spans="1:12">
      <c r="A1439" s="2837"/>
      <c r="B1439" s="302" t="str">
        <f>крыша!A290</f>
        <v>Карнизная самоклеющаяся черепица</v>
      </c>
      <c r="C1439" s="2890" t="str">
        <f>крыша!B290</f>
        <v>м.п.</v>
      </c>
      <c r="D1439" s="302">
        <f>крыша!C290</f>
        <v>23.200000000000003</v>
      </c>
      <c r="E1439" s="179">
        <f>крыша!D290</f>
        <v>220</v>
      </c>
      <c r="F1439" s="179"/>
      <c r="G1439" s="275">
        <f t="shared" si="217"/>
        <v>5104.0000000000009</v>
      </c>
      <c r="H1439" s="96">
        <f t="shared" si="218"/>
        <v>0</v>
      </c>
      <c r="I1439" s="2911">
        <f t="shared" si="219"/>
        <v>0</v>
      </c>
      <c r="J1439" s="2863"/>
      <c r="K1439" s="223">
        <f t="shared" si="220"/>
        <v>23.200000000000003</v>
      </c>
      <c r="L1439" s="2854"/>
    </row>
    <row r="1440" spans="1:12">
      <c r="A1440" s="2837"/>
      <c r="B1440" s="302" t="str">
        <f>крыша!A291</f>
        <v>Спец ковер ендова нижняя</v>
      </c>
      <c r="C1440" s="2890" t="str">
        <f>крыша!B291</f>
        <v>м.п.</v>
      </c>
      <c r="D1440" s="302">
        <f>крыша!C291</f>
        <v>0</v>
      </c>
      <c r="E1440" s="179">
        <f>крыша!D291</f>
        <v>200</v>
      </c>
      <c r="F1440" s="179"/>
      <c r="G1440" s="275">
        <f t="shared" si="217"/>
        <v>0</v>
      </c>
      <c r="H1440" s="96">
        <f t="shared" si="218"/>
        <v>0</v>
      </c>
      <c r="I1440" s="2911">
        <f t="shared" si="219"/>
        <v>0</v>
      </c>
      <c r="J1440" s="2863"/>
      <c r="K1440" s="223">
        <f t="shared" si="220"/>
        <v>0</v>
      </c>
      <c r="L1440" s="2854"/>
    </row>
    <row r="1441" spans="1:12">
      <c r="A1441" s="2837"/>
      <c r="B1441" s="302" t="str">
        <f>крыша!A292</f>
        <v>Коньковой элемент</v>
      </c>
      <c r="C1441" s="2890" t="str">
        <f>крыша!B292</f>
        <v>м.п.</v>
      </c>
      <c r="D1441" s="302">
        <f>крыша!C292</f>
        <v>12.180000000000001</v>
      </c>
      <c r="E1441" s="179">
        <f>крыша!D292</f>
        <v>250</v>
      </c>
      <c r="F1441" s="179"/>
      <c r="G1441" s="275">
        <f t="shared" si="217"/>
        <v>3045.0000000000005</v>
      </c>
      <c r="H1441" s="96">
        <f t="shared" si="218"/>
        <v>0</v>
      </c>
      <c r="I1441" s="2911">
        <f t="shared" si="219"/>
        <v>0</v>
      </c>
      <c r="J1441" s="2863"/>
      <c r="K1441" s="223">
        <f t="shared" si="220"/>
        <v>12.180000000000001</v>
      </c>
      <c r="L1441" s="2854"/>
    </row>
    <row r="1442" spans="1:12">
      <c r="A1442" s="2837"/>
      <c r="B1442" s="302" t="str">
        <f>крыша!A293</f>
        <v>Планка премыкания</v>
      </c>
      <c r="C1442" s="2890" t="str">
        <f>крыша!B293</f>
        <v>м.п.</v>
      </c>
      <c r="D1442" s="302">
        <f>крыша!C293</f>
        <v>0</v>
      </c>
      <c r="E1442" s="179">
        <f>крыша!D293</f>
        <v>200</v>
      </c>
      <c r="F1442" s="179"/>
      <c r="G1442" s="275">
        <f t="shared" si="217"/>
        <v>0</v>
      </c>
      <c r="H1442" s="96">
        <f t="shared" si="218"/>
        <v>0</v>
      </c>
      <c r="I1442" s="2911">
        <f t="shared" si="219"/>
        <v>0</v>
      </c>
      <c r="J1442" s="2863"/>
      <c r="K1442" s="223">
        <f t="shared" si="220"/>
        <v>0</v>
      </c>
      <c r="L1442" s="2854"/>
    </row>
    <row r="1443" spans="1:12">
      <c r="A1443" s="2837"/>
      <c r="B1443" s="302" t="str">
        <f>крыша!A294</f>
        <v>Гвозди для крепления подкладочного ковра</v>
      </c>
      <c r="C1443" s="2890" t="str">
        <f>крыша!B294</f>
        <v>шт</v>
      </c>
      <c r="D1443" s="302">
        <f>крыша!C294</f>
        <v>1793.0702044232366</v>
      </c>
      <c r="E1443" s="179">
        <f>крыша!D294</f>
        <v>1.2E-2</v>
      </c>
      <c r="F1443" s="179"/>
      <c r="G1443" s="275">
        <f t="shared" ref="G1443:G1474" si="221">IF(F1443&gt;0,D1443*F1443,E1443*D1443)</f>
        <v>21.516842453078841</v>
      </c>
      <c r="H1443" s="96">
        <f t="shared" ref="H1443:H1462" si="222">D1443*E1443*$H$1410</f>
        <v>0</v>
      </c>
      <c r="I1443" s="2911">
        <f t="shared" ref="I1443:I1474" si="223">IF(G1443&gt;H1443,G1443,H1443)*$H$1409</f>
        <v>0</v>
      </c>
      <c r="J1443" s="2863"/>
      <c r="K1443" s="223">
        <f t="shared" ref="K1443:K1474" si="224">D1443-J1443</f>
        <v>1793.0702044232366</v>
      </c>
      <c r="L1443" s="2854"/>
    </row>
    <row r="1444" spans="1:12">
      <c r="A1444" s="2837"/>
      <c r="B1444" s="302" t="str">
        <f>крыша!A295</f>
        <v>Гвозди для крепления черепицы</v>
      </c>
      <c r="C1444" s="2890" t="str">
        <f>крыша!B295</f>
        <v>шт</v>
      </c>
      <c r="D1444" s="302">
        <f>крыша!C295</f>
        <v>8733.351022116185</v>
      </c>
      <c r="E1444" s="179">
        <f>крыша!D295</f>
        <v>0.25</v>
      </c>
      <c r="F1444" s="179"/>
      <c r="G1444" s="275">
        <f t="shared" si="221"/>
        <v>2183.3377555290463</v>
      </c>
      <c r="H1444" s="96">
        <f t="shared" si="222"/>
        <v>0</v>
      </c>
      <c r="I1444" s="2911">
        <f t="shared" si="223"/>
        <v>0</v>
      </c>
      <c r="J1444" s="2863"/>
      <c r="K1444" s="223">
        <f t="shared" si="224"/>
        <v>8733.351022116185</v>
      </c>
      <c r="L1444" s="2854"/>
    </row>
    <row r="1445" spans="1:12">
      <c r="A1445" s="2837"/>
      <c r="B1445" s="302" t="str">
        <f>крыша!A296</f>
        <v>Клей для монтажа черепицы</v>
      </c>
      <c r="C1445" s="2890" t="str">
        <f>крыша!B296</f>
        <v>кг</v>
      </c>
      <c r="D1445" s="302">
        <f>крыша!C296</f>
        <v>179.30702044232368</v>
      </c>
      <c r="E1445" s="179">
        <f>крыша!D296</f>
        <v>250</v>
      </c>
      <c r="F1445" s="179"/>
      <c r="G1445" s="275">
        <f t="shared" si="221"/>
        <v>44826.755110580918</v>
      </c>
      <c r="H1445" s="96">
        <f t="shared" si="222"/>
        <v>0</v>
      </c>
      <c r="I1445" s="2911">
        <f t="shared" si="223"/>
        <v>0</v>
      </c>
      <c r="J1445" s="2863"/>
      <c r="K1445" s="223">
        <f t="shared" si="224"/>
        <v>179.30702044232368</v>
      </c>
      <c r="L1445" s="2854"/>
    </row>
    <row r="1446" spans="1:12">
      <c r="A1446" s="2837"/>
      <c r="B1446" s="302" t="str">
        <f>крыша!A297</f>
        <v>желоб</v>
      </c>
      <c r="C1446" s="2890" t="str">
        <f>крыша!B297</f>
        <v>м.п</v>
      </c>
      <c r="D1446" s="302">
        <f>крыша!C297</f>
        <v>23.200000000000003</v>
      </c>
      <c r="E1446" s="179">
        <f>крыша!D297</f>
        <v>300</v>
      </c>
      <c r="F1446" s="179"/>
      <c r="G1446" s="275">
        <f t="shared" si="221"/>
        <v>6960.0000000000009</v>
      </c>
      <c r="H1446" s="96">
        <f t="shared" si="222"/>
        <v>0</v>
      </c>
      <c r="I1446" s="2911">
        <f t="shared" si="223"/>
        <v>0</v>
      </c>
      <c r="J1446" s="2863"/>
      <c r="K1446" s="223">
        <f t="shared" si="224"/>
        <v>23.200000000000003</v>
      </c>
      <c r="L1446" s="2854"/>
    </row>
    <row r="1447" spans="1:12">
      <c r="A1447" s="2837"/>
      <c r="B1447" s="302" t="str">
        <f>крыша!A298</f>
        <v>отвод</v>
      </c>
      <c r="C1447" s="2890" t="str">
        <f>крыша!B298</f>
        <v>шт</v>
      </c>
      <c r="D1447" s="302">
        <f>крыша!C298</f>
        <v>4</v>
      </c>
      <c r="E1447" s="179">
        <f>крыша!D298</f>
        <v>250</v>
      </c>
      <c r="F1447" s="179"/>
      <c r="G1447" s="275">
        <f t="shared" si="221"/>
        <v>1000</v>
      </c>
      <c r="H1447" s="96">
        <f t="shared" si="222"/>
        <v>0</v>
      </c>
      <c r="I1447" s="2911">
        <f t="shared" si="223"/>
        <v>0</v>
      </c>
      <c r="J1447" s="2863"/>
      <c r="K1447" s="223">
        <f t="shared" si="224"/>
        <v>4</v>
      </c>
      <c r="L1447" s="2854"/>
    </row>
    <row r="1448" spans="1:12">
      <c r="A1448" s="2837"/>
      <c r="B1448" s="302" t="str">
        <f>крыша!A299</f>
        <v>труба водосточная</v>
      </c>
      <c r="C1448" s="2890" t="str">
        <f>крыша!B299</f>
        <v>м.п.</v>
      </c>
      <c r="D1448" s="302">
        <f>крыша!C299</f>
        <v>8</v>
      </c>
      <c r="E1448" s="179">
        <f>крыша!D299</f>
        <v>300</v>
      </c>
      <c r="F1448" s="179"/>
      <c r="G1448" s="275">
        <f t="shared" si="221"/>
        <v>2400</v>
      </c>
      <c r="H1448" s="96">
        <f t="shared" si="222"/>
        <v>0</v>
      </c>
      <c r="I1448" s="2911">
        <f t="shared" si="223"/>
        <v>0</v>
      </c>
      <c r="J1448" s="2863"/>
      <c r="K1448" s="223">
        <f t="shared" si="224"/>
        <v>8</v>
      </c>
      <c r="L1448" s="2854"/>
    </row>
    <row r="1449" spans="1:12">
      <c r="A1449" s="2837"/>
      <c r="B1449" s="302" t="str">
        <f>крыша!A300</f>
        <v>заглушка для желоба</v>
      </c>
      <c r="C1449" s="2890" t="str">
        <f>крыша!B300</f>
        <v>шт</v>
      </c>
      <c r="D1449" s="302">
        <f>крыша!C300</f>
        <v>4</v>
      </c>
      <c r="E1449" s="179">
        <f>крыша!D300</f>
        <v>190</v>
      </c>
      <c r="F1449" s="179"/>
      <c r="G1449" s="275">
        <f t="shared" si="221"/>
        <v>760</v>
      </c>
      <c r="H1449" s="96">
        <f t="shared" si="222"/>
        <v>0</v>
      </c>
      <c r="I1449" s="2911">
        <f t="shared" si="223"/>
        <v>0</v>
      </c>
      <c r="J1449" s="2863"/>
      <c r="K1449" s="223">
        <f t="shared" si="224"/>
        <v>4</v>
      </c>
      <c r="L1449" s="2854"/>
    </row>
    <row r="1450" spans="1:12">
      <c r="A1450" s="2837"/>
      <c r="B1450" s="302" t="str">
        <f>крыша!A301</f>
        <v>соеденитель для желоба</v>
      </c>
      <c r="C1450" s="2890" t="str">
        <f>крыша!B301</f>
        <v>шт</v>
      </c>
      <c r="D1450" s="302">
        <f>крыша!C301</f>
        <v>11.600000000000001</v>
      </c>
      <c r="E1450" s="179">
        <f>крыша!D301</f>
        <v>180</v>
      </c>
      <c r="F1450" s="179"/>
      <c r="G1450" s="275">
        <f t="shared" si="221"/>
        <v>2088.0000000000005</v>
      </c>
      <c r="H1450" s="96">
        <f t="shared" si="222"/>
        <v>0</v>
      </c>
      <c r="I1450" s="2911">
        <f t="shared" si="223"/>
        <v>0</v>
      </c>
      <c r="J1450" s="2863"/>
      <c r="K1450" s="223">
        <f t="shared" si="224"/>
        <v>11.600000000000001</v>
      </c>
      <c r="L1450" s="2854"/>
    </row>
    <row r="1451" spans="1:12">
      <c r="A1451" s="2837"/>
      <c r="B1451" s="302" t="str">
        <f>крыша!A302</f>
        <v>кронштейн для желоба</v>
      </c>
      <c r="C1451" s="2890" t="str">
        <f>крыша!B302</f>
        <v>шт</v>
      </c>
      <c r="D1451" s="302">
        <f>крыша!C302</f>
        <v>46.400000000000006</v>
      </c>
      <c r="E1451" s="179">
        <f>крыша!D302</f>
        <v>130</v>
      </c>
      <c r="F1451" s="179"/>
      <c r="G1451" s="275">
        <f t="shared" si="221"/>
        <v>6032.0000000000009</v>
      </c>
      <c r="H1451" s="96">
        <f t="shared" si="222"/>
        <v>0</v>
      </c>
      <c r="I1451" s="2911">
        <f t="shared" si="223"/>
        <v>0</v>
      </c>
      <c r="J1451" s="2863"/>
      <c r="K1451" s="223">
        <f t="shared" si="224"/>
        <v>46.400000000000006</v>
      </c>
      <c r="L1451" s="2854"/>
    </row>
    <row r="1452" spans="1:12">
      <c r="A1452" s="2837"/>
      <c r="B1452" s="302" t="str">
        <f>крыша!A303</f>
        <v>переход из желоба в трубу</v>
      </c>
      <c r="C1452" s="2890" t="str">
        <f>крыша!B303</f>
        <v>шт</v>
      </c>
      <c r="D1452" s="302">
        <f>крыша!C303</f>
        <v>2</v>
      </c>
      <c r="E1452" s="179">
        <f>крыша!D303</f>
        <v>350</v>
      </c>
      <c r="F1452" s="179"/>
      <c r="G1452" s="275">
        <f t="shared" si="221"/>
        <v>700</v>
      </c>
      <c r="H1452" s="96">
        <f t="shared" si="222"/>
        <v>0</v>
      </c>
      <c r="I1452" s="2911">
        <f t="shared" si="223"/>
        <v>0</v>
      </c>
      <c r="J1452" s="2863"/>
      <c r="K1452" s="223">
        <f t="shared" si="224"/>
        <v>2</v>
      </c>
      <c r="L1452" s="2854"/>
    </row>
    <row r="1453" spans="1:12">
      <c r="A1453" s="2837"/>
      <c r="B1453" s="302" t="str">
        <f>крыша!A304</f>
        <v>лента дельта мульти бэнд</v>
      </c>
      <c r="C1453" s="2890" t="str">
        <f>крыша!B304</f>
        <v>шт</v>
      </c>
      <c r="D1453" s="302">
        <f>крыша!C304</f>
        <v>15</v>
      </c>
      <c r="E1453" s="179">
        <f>крыша!D304</f>
        <v>1200</v>
      </c>
      <c r="F1453" s="179"/>
      <c r="G1453" s="275">
        <f t="shared" si="221"/>
        <v>18000</v>
      </c>
      <c r="H1453" s="96">
        <f t="shared" si="222"/>
        <v>0</v>
      </c>
      <c r="I1453" s="2911">
        <f t="shared" si="223"/>
        <v>0</v>
      </c>
      <c r="J1453" s="2863"/>
      <c r="K1453" s="223">
        <f t="shared" si="224"/>
        <v>15</v>
      </c>
      <c r="L1453" s="2854"/>
    </row>
    <row r="1454" spans="1:12">
      <c r="A1454" s="2837"/>
      <c r="B1454" s="302" t="str">
        <f>крыша!A305</f>
        <v>лента дельта sb-60</v>
      </c>
      <c r="C1454" s="2890" t="str">
        <f>крыша!B305</f>
        <v>шт</v>
      </c>
      <c r="D1454" s="302">
        <f>крыша!C305</f>
        <v>8</v>
      </c>
      <c r="E1454" s="179">
        <f>крыша!D305</f>
        <v>1100</v>
      </c>
      <c r="F1454" s="179"/>
      <c r="G1454" s="275">
        <f t="shared" si="221"/>
        <v>8800</v>
      </c>
      <c r="H1454" s="96">
        <f t="shared" si="222"/>
        <v>0</v>
      </c>
      <c r="I1454" s="2911">
        <f t="shared" si="223"/>
        <v>0</v>
      </c>
      <c r="J1454" s="2863"/>
      <c r="K1454" s="223">
        <f t="shared" si="224"/>
        <v>8</v>
      </c>
      <c r="L1454" s="2854"/>
    </row>
    <row r="1455" spans="1:12">
      <c r="A1455" s="2837"/>
      <c r="B1455" s="302" t="str">
        <f>крыша!A306</f>
        <v>проходка кровельная, канализационная</v>
      </c>
      <c r="C1455" s="2890" t="str">
        <f>крыша!B306</f>
        <v>шт</v>
      </c>
      <c r="D1455" s="302">
        <f>крыша!C306</f>
        <v>0</v>
      </c>
      <c r="E1455" s="179">
        <f>крыша!D306</f>
        <v>3500</v>
      </c>
      <c r="F1455" s="179"/>
      <c r="G1455" s="275">
        <f t="shared" si="221"/>
        <v>0</v>
      </c>
      <c r="H1455" s="96">
        <f t="shared" si="222"/>
        <v>0</v>
      </c>
      <c r="I1455" s="2911">
        <f t="shared" si="223"/>
        <v>0</v>
      </c>
      <c r="J1455" s="2863"/>
      <c r="K1455" s="223">
        <f t="shared" si="224"/>
        <v>0</v>
      </c>
      <c r="L1455" s="2854"/>
    </row>
    <row r="1456" spans="1:12">
      <c r="A1456" s="2837"/>
      <c r="B1456" s="302" t="str">
        <f>крыша!A307</f>
        <v>проходка кровельная, вентиляционная</v>
      </c>
      <c r="C1456" s="2890" t="str">
        <f>крыша!B307</f>
        <v>шт</v>
      </c>
      <c r="D1456" s="302">
        <f>крыша!C307</f>
        <v>0</v>
      </c>
      <c r="E1456" s="179">
        <f>крыша!D307</f>
        <v>3500</v>
      </c>
      <c r="F1456" s="179"/>
      <c r="G1456" s="275">
        <f t="shared" si="221"/>
        <v>0</v>
      </c>
      <c r="H1456" s="96">
        <f t="shared" si="222"/>
        <v>0</v>
      </c>
      <c r="I1456" s="2911">
        <f t="shared" si="223"/>
        <v>0</v>
      </c>
      <c r="J1456" s="2863"/>
      <c r="K1456" s="223">
        <f t="shared" si="224"/>
        <v>0</v>
      </c>
      <c r="L1456" s="2854"/>
    </row>
    <row r="1457" spans="1:12">
      <c r="A1457" s="2837"/>
      <c r="B1457" s="302" t="str">
        <f>крыша!A308</f>
        <v>проодка кровельная, труба котел</v>
      </c>
      <c r="C1457" s="2890" t="str">
        <f>крыша!B308</f>
        <v>шт</v>
      </c>
      <c r="D1457" s="302">
        <f>крыша!C308</f>
        <v>0</v>
      </c>
      <c r="E1457" s="179">
        <f>крыша!D308</f>
        <v>4500</v>
      </c>
      <c r="F1457" s="179"/>
      <c r="G1457" s="275">
        <f t="shared" si="221"/>
        <v>0</v>
      </c>
      <c r="H1457" s="96">
        <f t="shared" si="222"/>
        <v>0</v>
      </c>
      <c r="I1457" s="2911">
        <f t="shared" si="223"/>
        <v>0</v>
      </c>
      <c r="J1457" s="2863"/>
      <c r="K1457" s="223">
        <f t="shared" si="224"/>
        <v>0</v>
      </c>
      <c r="L1457" s="2854"/>
    </row>
    <row r="1458" spans="1:12">
      <c r="A1458" s="2837"/>
      <c r="B1458" s="302" t="str">
        <f>крыша!A309</f>
        <v>Кровельный саморез</v>
      </c>
      <c r="C1458" s="2890" t="str">
        <f>крыша!B309</f>
        <v>шт</v>
      </c>
      <c r="D1458" s="302">
        <f>крыша!C309</f>
        <v>0</v>
      </c>
      <c r="E1458" s="179">
        <f>крыша!D309</f>
        <v>2</v>
      </c>
      <c r="F1458" s="179"/>
      <c r="G1458" s="275">
        <f t="shared" si="221"/>
        <v>0</v>
      </c>
      <c r="H1458" s="96">
        <f t="shared" si="222"/>
        <v>0</v>
      </c>
      <c r="I1458" s="2911">
        <f t="shared" si="223"/>
        <v>0</v>
      </c>
      <c r="J1458" s="2863"/>
      <c r="K1458" s="223">
        <f t="shared" si="224"/>
        <v>0</v>
      </c>
      <c r="L1458" s="2854"/>
    </row>
    <row r="1459" spans="1:12">
      <c r="A1459" s="2837"/>
      <c r="B1459" s="302" t="str">
        <f>крыша!A310</f>
        <v xml:space="preserve">Гвозди ершоные 3,4 x 60            </v>
      </c>
      <c r="C1459" s="2890" t="str">
        <f>крыша!B310</f>
        <v>кг</v>
      </c>
      <c r="D1459" s="302">
        <f>крыша!C310</f>
        <v>5.7753090959278612</v>
      </c>
      <c r="E1459" s="179">
        <f>крыша!D310</f>
        <v>75.510000000000005</v>
      </c>
      <c r="F1459" s="179"/>
      <c r="G1459" s="275">
        <f t="shared" si="221"/>
        <v>436.09358983351285</v>
      </c>
      <c r="H1459" s="96">
        <f t="shared" si="222"/>
        <v>0</v>
      </c>
      <c r="I1459" s="2911">
        <f t="shared" si="223"/>
        <v>0</v>
      </c>
      <c r="J1459" s="2863"/>
      <c r="K1459" s="223">
        <f t="shared" si="224"/>
        <v>5.7753090959278612</v>
      </c>
      <c r="L1459" s="2854"/>
    </row>
    <row r="1460" spans="1:12">
      <c r="A1460" s="2837"/>
      <c r="B1460" s="302" t="str">
        <f>крыша!A311</f>
        <v xml:space="preserve">Гвозди ершоные 2,8 х 90            </v>
      </c>
      <c r="C1460" s="2890" t="str">
        <f>крыша!B311</f>
        <v>кг</v>
      </c>
      <c r="D1460" s="302">
        <f>крыша!C311</f>
        <v>37.465780917534957</v>
      </c>
      <c r="E1460" s="179">
        <f>крыша!D311</f>
        <v>76.489999999999995</v>
      </c>
      <c r="F1460" s="179"/>
      <c r="G1460" s="275">
        <f t="shared" si="221"/>
        <v>2865.7575823822485</v>
      </c>
      <c r="H1460" s="96">
        <f t="shared" si="222"/>
        <v>0</v>
      </c>
      <c r="I1460" s="2911">
        <f t="shared" si="223"/>
        <v>0</v>
      </c>
      <c r="J1460" s="2863"/>
      <c r="K1460" s="223">
        <f t="shared" si="224"/>
        <v>37.465780917534957</v>
      </c>
      <c r="L1460" s="2854"/>
    </row>
    <row r="1461" spans="1:12">
      <c r="A1461" s="2837"/>
      <c r="B1461" s="302" t="str">
        <f>крыша!A312</f>
        <v xml:space="preserve">Пластина соеденительная 100х240х2           </v>
      </c>
      <c r="C1461" s="2890" t="str">
        <f>крыша!B312</f>
        <v>шт</v>
      </c>
      <c r="D1461" s="302">
        <f>крыша!C312</f>
        <v>40.666666666666671</v>
      </c>
      <c r="E1461" s="179">
        <f>крыша!D312</f>
        <v>31.54</v>
      </c>
      <c r="F1461" s="179"/>
      <c r="G1461" s="275">
        <f t="shared" si="221"/>
        <v>1282.6266666666668</v>
      </c>
      <c r="H1461" s="96">
        <f t="shared" si="222"/>
        <v>0</v>
      </c>
      <c r="I1461" s="2911">
        <f t="shared" si="223"/>
        <v>0</v>
      </c>
      <c r="J1461" s="2863"/>
      <c r="K1461" s="223">
        <f t="shared" si="224"/>
        <v>40.666666666666671</v>
      </c>
      <c r="L1461" s="2854"/>
    </row>
    <row r="1462" spans="1:12">
      <c r="A1462" s="2837"/>
      <c r="B1462" s="302" t="str">
        <f>крыша!A313</f>
        <v xml:space="preserve">Уголок усиленный 90х70х55х2,5        </v>
      </c>
      <c r="C1462" s="2890" t="str">
        <f>крыша!B313</f>
        <v>шт</v>
      </c>
      <c r="D1462" s="302">
        <f>крыша!C313</f>
        <v>40.666666666666671</v>
      </c>
      <c r="E1462" s="179">
        <f>крыша!D313</f>
        <v>30</v>
      </c>
      <c r="F1462" s="179"/>
      <c r="G1462" s="275">
        <f t="shared" si="221"/>
        <v>1220.0000000000002</v>
      </c>
      <c r="H1462" s="96">
        <f t="shared" si="222"/>
        <v>0</v>
      </c>
      <c r="I1462" s="2911">
        <f t="shared" si="223"/>
        <v>0</v>
      </c>
      <c r="J1462" s="2863"/>
      <c r="K1462" s="223">
        <f t="shared" si="224"/>
        <v>40.666666666666671</v>
      </c>
      <c r="L1462" s="2854"/>
    </row>
    <row r="1463" spans="1:12">
      <c r="A1463" s="2837"/>
      <c r="B1463" s="3278" t="s">
        <v>4640</v>
      </c>
      <c r="C1463" s="3278"/>
      <c r="D1463" s="3278"/>
      <c r="E1463" s="3278"/>
      <c r="F1463" s="2868"/>
      <c r="G1463" s="2315">
        <f>SUM(G1411:G1462)*H1409</f>
        <v>0</v>
      </c>
      <c r="H1463" s="2315">
        <f>SUM(H1411:H1462)</f>
        <v>0</v>
      </c>
      <c r="I1463" s="2911">
        <f t="shared" si="223"/>
        <v>0</v>
      </c>
      <c r="J1463" s="2863"/>
      <c r="K1463" s="223">
        <f t="shared" si="224"/>
        <v>0</v>
      </c>
      <c r="L1463" s="2854"/>
    </row>
    <row r="1464" spans="1:12">
      <c r="A1464" s="2837"/>
      <c r="B1464" s="3279" t="s">
        <v>1409</v>
      </c>
      <c r="C1464" s="3279"/>
      <c r="D1464" s="3279"/>
      <c r="E1464" s="3279"/>
      <c r="F1464" s="2912"/>
      <c r="G1464" s="941"/>
      <c r="H1464" s="2891">
        <f>H1409</f>
        <v>0</v>
      </c>
      <c r="I1464" s="2940">
        <f>H1464</f>
        <v>0</v>
      </c>
      <c r="J1464" s="2892"/>
      <c r="K1464" s="2893"/>
    </row>
    <row r="1465" spans="1:12">
      <c r="A1465" s="2829"/>
      <c r="B1465" s="2763" t="str">
        <f>крыша!G263</f>
        <v>монтаж мауэрлата</v>
      </c>
      <c r="C1465" s="2890" t="s">
        <v>156</v>
      </c>
      <c r="D1465" s="275">
        <f>крыша!J263</f>
        <v>48.284271247461902</v>
      </c>
      <c r="E1465" s="100">
        <f>крыша!K263</f>
        <v>250</v>
      </c>
      <c r="F1465" s="100"/>
      <c r="G1465" s="275">
        <f t="shared" ref="G1465:G1481" si="225">IF(F1465&gt;0,D1465*F1465,E1465*D1465)</f>
        <v>12071.067811865476</v>
      </c>
      <c r="H1465" s="2315">
        <f t="shared" ref="H1465:H1481" si="226">D1465*E1465*$H$1464</f>
        <v>0</v>
      </c>
      <c r="I1465" s="2836">
        <f t="shared" ref="I1465:I1482" si="227">IF(G1465&gt;H1465,G1465,H1465)*$H$1409</f>
        <v>0</v>
      </c>
      <c r="J1465" s="2829"/>
      <c r="K1465" s="2837"/>
    </row>
    <row r="1466" spans="1:12">
      <c r="A1466" s="2837"/>
      <c r="B1466" s="2763" t="str">
        <f>крыша!G264</f>
        <v>монтаж стропил</v>
      </c>
      <c r="C1466" s="2890" t="s">
        <v>133</v>
      </c>
      <c r="D1466" s="275">
        <f>крыша!J264</f>
        <v>179.30702044232368</v>
      </c>
      <c r="E1466" s="100">
        <f>крыша!K264</f>
        <v>450</v>
      </c>
      <c r="F1466" s="100"/>
      <c r="G1466" s="275">
        <f t="shared" si="225"/>
        <v>80688.159199045651</v>
      </c>
      <c r="H1466" s="2315">
        <f t="shared" si="226"/>
        <v>0</v>
      </c>
      <c r="I1466" s="2836">
        <f t="shared" si="227"/>
        <v>0</v>
      </c>
      <c r="J1466" s="2829"/>
      <c r="K1466" s="2837"/>
    </row>
    <row r="1467" spans="1:12">
      <c r="A1467" s="2837"/>
      <c r="B1467" s="2763" t="str">
        <f>крыша!G265</f>
        <v>обрешетка</v>
      </c>
      <c r="C1467" s="2890" t="s">
        <v>133</v>
      </c>
      <c r="D1467" s="275">
        <f>крыша!J265</f>
        <v>179.30702044232368</v>
      </c>
      <c r="E1467" s="100">
        <f>крыша!K265</f>
        <v>100</v>
      </c>
      <c r="F1467" s="100"/>
      <c r="G1467" s="275">
        <f t="shared" si="225"/>
        <v>17930.702044232366</v>
      </c>
      <c r="H1467" s="2315">
        <f t="shared" si="226"/>
        <v>0</v>
      </c>
      <c r="I1467" s="2836">
        <f t="shared" si="227"/>
        <v>0</v>
      </c>
      <c r="J1467" s="2829"/>
      <c r="K1467" s="2837"/>
    </row>
    <row r="1468" spans="1:12">
      <c r="A1468" s="2837"/>
      <c r="B1468" s="2763" t="str">
        <f>крыша!G266</f>
        <v>контробеш</v>
      </c>
      <c r="C1468" s="2890" t="s">
        <v>133</v>
      </c>
      <c r="D1468" s="275">
        <f>крыша!J266</f>
        <v>179.30702044232368</v>
      </c>
      <c r="E1468" s="100">
        <f>крыша!K266</f>
        <v>100</v>
      </c>
      <c r="F1468" s="100"/>
      <c r="G1468" s="275">
        <f t="shared" si="225"/>
        <v>17930.702044232366</v>
      </c>
      <c r="H1468" s="2315">
        <f t="shared" si="226"/>
        <v>0</v>
      </c>
      <c r="I1468" s="2836">
        <f t="shared" si="227"/>
        <v>0</v>
      </c>
      <c r="J1468" s="2829"/>
      <c r="K1468" s="2837"/>
    </row>
    <row r="1469" spans="1:12">
      <c r="A1469" s="2837"/>
      <c r="B1469" s="2763" t="str">
        <f>крыша!G267</f>
        <v>Монтаж металлочерепицы</v>
      </c>
      <c r="C1469" s="2890" t="s">
        <v>133</v>
      </c>
      <c r="D1469" s="275">
        <f>крыша!J267</f>
        <v>0</v>
      </c>
      <c r="E1469" s="100">
        <f>крыша!K267</f>
        <v>300</v>
      </c>
      <c r="F1469" s="100"/>
      <c r="G1469" s="275">
        <f t="shared" si="225"/>
        <v>0</v>
      </c>
      <c r="H1469" s="2315">
        <f t="shared" si="226"/>
        <v>0</v>
      </c>
      <c r="I1469" s="2836">
        <f t="shared" si="227"/>
        <v>0</v>
      </c>
      <c r="J1469" s="2829"/>
      <c r="K1469" s="2837"/>
    </row>
    <row r="1470" spans="1:12">
      <c r="A1470" s="2837"/>
      <c r="B1470" s="2763" t="str">
        <f>крыша!G268</f>
        <v>Монтаж ондулина</v>
      </c>
      <c r="C1470" s="2890" t="s">
        <v>133</v>
      </c>
      <c r="D1470" s="275">
        <f>крыша!J268</f>
        <v>0</v>
      </c>
      <c r="E1470" s="100">
        <f>крыша!K268</f>
        <v>300</v>
      </c>
      <c r="F1470" s="100"/>
      <c r="G1470" s="275">
        <f t="shared" si="225"/>
        <v>0</v>
      </c>
      <c r="H1470" s="2315">
        <f t="shared" si="226"/>
        <v>0</v>
      </c>
      <c r="I1470" s="2836">
        <f t="shared" si="227"/>
        <v>0</v>
      </c>
      <c r="J1470" s="2829"/>
      <c r="K1470" s="2837"/>
    </row>
    <row r="1471" spans="1:12">
      <c r="A1471" s="2837"/>
      <c r="B1471" s="2763" t="str">
        <f>крыша!G271</f>
        <v>мембрана</v>
      </c>
      <c r="C1471" s="2890" t="s">
        <v>133</v>
      </c>
      <c r="D1471" s="275">
        <f>крыша!J271</f>
        <v>179.30702044232368</v>
      </c>
      <c r="E1471" s="100">
        <f>крыша!K271</f>
        <v>100</v>
      </c>
      <c r="F1471" s="100"/>
      <c r="G1471" s="275">
        <f t="shared" si="225"/>
        <v>17930.702044232366</v>
      </c>
      <c r="H1471" s="2315">
        <f t="shared" si="226"/>
        <v>0</v>
      </c>
      <c r="I1471" s="2836">
        <f t="shared" si="227"/>
        <v>0</v>
      </c>
      <c r="J1471" s="2829"/>
      <c r="K1471" s="2837"/>
    </row>
    <row r="1472" spans="1:12">
      <c r="A1472" s="2837"/>
      <c r="B1472" s="2763" t="str">
        <f>крыша!G272</f>
        <v>пароизоляц</v>
      </c>
      <c r="C1472" s="2890" t="s">
        <v>133</v>
      </c>
      <c r="D1472" s="275">
        <f>крыша!J272</f>
        <v>0</v>
      </c>
      <c r="E1472" s="100">
        <f>крыша!K272</f>
        <v>100</v>
      </c>
      <c r="F1472" s="100"/>
      <c r="G1472" s="275">
        <f t="shared" si="225"/>
        <v>0</v>
      </c>
      <c r="H1472" s="2315">
        <f t="shared" si="226"/>
        <v>0</v>
      </c>
      <c r="I1472" s="2836">
        <f t="shared" si="227"/>
        <v>0</v>
      </c>
      <c r="J1472" s="2829"/>
      <c r="K1472" s="2837"/>
    </row>
    <row r="1473" spans="1:12">
      <c r="A1473" s="2837"/>
      <c r="B1473" s="2763" t="str">
        <f>крыша!G273</f>
        <v>утеплитель</v>
      </c>
      <c r="C1473" s="2890" t="s">
        <v>133</v>
      </c>
      <c r="D1473" s="275">
        <f>крыша!J273</f>
        <v>179.30702044232368</v>
      </c>
      <c r="E1473" s="100">
        <f>крыша!K273</f>
        <v>200</v>
      </c>
      <c r="F1473" s="100"/>
      <c r="G1473" s="275">
        <f t="shared" si="225"/>
        <v>35861.404088464733</v>
      </c>
      <c r="H1473" s="2315">
        <f t="shared" si="226"/>
        <v>0</v>
      </c>
      <c r="I1473" s="2836">
        <f t="shared" si="227"/>
        <v>0</v>
      </c>
      <c r="J1473" s="2829"/>
      <c r="K1473" s="2837"/>
    </row>
    <row r="1474" spans="1:12">
      <c r="A1474" s="2837"/>
      <c r="B1474" s="2763" t="str">
        <f>крыша!G274</f>
        <v>карнизная планка</v>
      </c>
      <c r="C1474" s="2890" t="s">
        <v>156</v>
      </c>
      <c r="D1474" s="275">
        <f>крыша!J274</f>
        <v>0</v>
      </c>
      <c r="E1474" s="100">
        <f>крыша!K274</f>
        <v>100</v>
      </c>
      <c r="F1474" s="100"/>
      <c r="G1474" s="275">
        <f t="shared" si="225"/>
        <v>0</v>
      </c>
      <c r="H1474" s="2315">
        <f t="shared" si="226"/>
        <v>0</v>
      </c>
      <c r="I1474" s="2836">
        <f t="shared" si="227"/>
        <v>0</v>
      </c>
      <c r="J1474" s="2829"/>
      <c r="K1474" s="2837"/>
    </row>
    <row r="1475" spans="1:12">
      <c r="A1475" s="2837"/>
      <c r="B1475" s="2763" t="str">
        <f>крыша!G275</f>
        <v>торцевая планка</v>
      </c>
      <c r="C1475" s="2890" t="s">
        <v>156</v>
      </c>
      <c r="D1475" s="275">
        <f>крыша!J275</f>
        <v>0</v>
      </c>
      <c r="E1475" s="100">
        <f>крыша!K275</f>
        <v>100</v>
      </c>
      <c r="F1475" s="100"/>
      <c r="G1475" s="275">
        <f t="shared" si="225"/>
        <v>0</v>
      </c>
      <c r="H1475" s="2315">
        <f t="shared" si="226"/>
        <v>0</v>
      </c>
      <c r="I1475" s="2836">
        <f t="shared" si="227"/>
        <v>0</v>
      </c>
      <c r="J1475" s="2829"/>
      <c r="K1475" s="2837"/>
    </row>
    <row r="1476" spans="1:12">
      <c r="A1476" s="2837"/>
      <c r="B1476" s="2763" t="str">
        <f>крыша!G276</f>
        <v>конек</v>
      </c>
      <c r="C1476" s="2890" t="s">
        <v>156</v>
      </c>
      <c r="D1476" s="275">
        <f>крыша!J276</f>
        <v>11.600000000000001</v>
      </c>
      <c r="E1476" s="100">
        <f>крыша!K276</f>
        <v>300</v>
      </c>
      <c r="F1476" s="100"/>
      <c r="G1476" s="275">
        <f t="shared" si="225"/>
        <v>3480.0000000000005</v>
      </c>
      <c r="H1476" s="2315">
        <f t="shared" si="226"/>
        <v>0</v>
      </c>
      <c r="I1476" s="2836">
        <f t="shared" si="227"/>
        <v>0</v>
      </c>
      <c r="J1476" s="2829"/>
      <c r="K1476" s="2837"/>
    </row>
    <row r="1477" spans="1:12">
      <c r="A1477" s="2837"/>
      <c r="B1477" s="2763" t="str">
        <f>крыша!G277</f>
        <v>желоб водосточный</v>
      </c>
      <c r="C1477" s="2890" t="s">
        <v>156</v>
      </c>
      <c r="D1477" s="275">
        <f>крыша!J277</f>
        <v>23.200000000000003</v>
      </c>
      <c r="E1477" s="100">
        <f>крыша!K277</f>
        <v>300</v>
      </c>
      <c r="F1477" s="100"/>
      <c r="G1477" s="275">
        <f t="shared" si="225"/>
        <v>6960.0000000000009</v>
      </c>
      <c r="H1477" s="2315">
        <f t="shared" si="226"/>
        <v>0</v>
      </c>
      <c r="I1477" s="2836">
        <f t="shared" si="227"/>
        <v>0</v>
      </c>
      <c r="J1477" s="2829"/>
      <c r="K1477" s="2837"/>
    </row>
    <row r="1478" spans="1:12">
      <c r="A1478" s="2837"/>
      <c r="B1478" s="2763" t="str">
        <f>крыша!G278</f>
        <v>труба водосточная</v>
      </c>
      <c r="C1478" s="2890" t="s">
        <v>156</v>
      </c>
      <c r="D1478" s="275">
        <f>крыша!J278</f>
        <v>8</v>
      </c>
      <c r="E1478" s="100">
        <f>крыша!K278</f>
        <v>300</v>
      </c>
      <c r="F1478" s="100"/>
      <c r="G1478" s="275">
        <f t="shared" si="225"/>
        <v>2400</v>
      </c>
      <c r="H1478" s="2315">
        <f t="shared" si="226"/>
        <v>0</v>
      </c>
      <c r="I1478" s="2836">
        <f t="shared" si="227"/>
        <v>0</v>
      </c>
      <c r="J1478" s="2829"/>
      <c r="K1478" s="2837"/>
    </row>
    <row r="1479" spans="1:12">
      <c r="A1479" s="2837"/>
      <c r="B1479" s="2763" t="str">
        <f>крыша!G279</f>
        <v>Монтаж фанеры/osb</v>
      </c>
      <c r="C1479" s="2890" t="s">
        <v>133</v>
      </c>
      <c r="D1479" s="302">
        <f>крыша!J279</f>
        <v>179.30702044232368</v>
      </c>
      <c r="E1479" s="100">
        <f>крыша!K279</f>
        <v>200</v>
      </c>
      <c r="F1479" s="100"/>
      <c r="G1479" s="275">
        <f t="shared" si="225"/>
        <v>35861.404088464733</v>
      </c>
      <c r="H1479" s="2315">
        <f t="shared" si="226"/>
        <v>0</v>
      </c>
      <c r="I1479" s="2836">
        <f t="shared" si="227"/>
        <v>0</v>
      </c>
      <c r="J1479" s="2829"/>
      <c r="K1479" s="2837"/>
    </row>
    <row r="1480" spans="1:12">
      <c r="A1480" s="2837"/>
      <c r="B1480" s="2763" t="str">
        <f>крыша!G280</f>
        <v>монтаж подкладочного ковра</v>
      </c>
      <c r="C1480" s="2890" t="s">
        <v>133</v>
      </c>
      <c r="D1480" s="302">
        <f>крыша!J297</f>
        <v>0</v>
      </c>
      <c r="E1480" s="100">
        <f>крыша!K297</f>
        <v>0</v>
      </c>
      <c r="F1480" s="100"/>
      <c r="G1480" s="275">
        <f t="shared" si="225"/>
        <v>0</v>
      </c>
      <c r="H1480" s="2315">
        <f t="shared" si="226"/>
        <v>0</v>
      </c>
      <c r="I1480" s="2836">
        <f t="shared" si="227"/>
        <v>0</v>
      </c>
      <c r="J1480" s="2829"/>
      <c r="K1480" s="2837"/>
    </row>
    <row r="1481" spans="1:12">
      <c r="A1481" s="2837"/>
      <c r="B1481" s="2763" t="str">
        <f>крыша!G281</f>
        <v>Монтаж мягкой кровли</v>
      </c>
      <c r="C1481" s="2890" t="s">
        <v>133</v>
      </c>
      <c r="D1481" s="302">
        <f>крыша!J298</f>
        <v>0</v>
      </c>
      <c r="E1481" s="100">
        <f>крыша!K298</f>
        <v>0</v>
      </c>
      <c r="F1481" s="100"/>
      <c r="G1481" s="275">
        <f t="shared" si="225"/>
        <v>0</v>
      </c>
      <c r="H1481" s="2315">
        <f t="shared" si="226"/>
        <v>0</v>
      </c>
      <c r="I1481" s="2836">
        <f t="shared" si="227"/>
        <v>0</v>
      </c>
      <c r="J1481" s="2829"/>
      <c r="K1481" s="2837"/>
    </row>
    <row r="1482" spans="1:12">
      <c r="A1482" s="2837"/>
      <c r="B1482" s="3278" t="s">
        <v>4641</v>
      </c>
      <c r="C1482" s="3278"/>
      <c r="D1482" s="3278"/>
      <c r="E1482" s="3278"/>
      <c r="F1482" s="2868"/>
      <c r="G1482" s="2315">
        <f>SUM(G1465:G1481)*H1464</f>
        <v>0</v>
      </c>
      <c r="H1482" s="2315">
        <f>SUM(H1465:H1481)</f>
        <v>0</v>
      </c>
      <c r="I1482" s="2836">
        <f t="shared" si="227"/>
        <v>0</v>
      </c>
      <c r="J1482" s="2829"/>
      <c r="K1482" s="2837"/>
    </row>
    <row r="1483" spans="1:12" ht="21">
      <c r="A1483" s="2837"/>
      <c r="B1483" s="3295" t="s">
        <v>4132</v>
      </c>
      <c r="C1483" s="3295"/>
      <c r="D1483" s="3295"/>
      <c r="E1483" s="3295"/>
      <c r="F1483" s="2950"/>
      <c r="G1483" s="941"/>
      <c r="H1483" s="2901">
        <f>дома!I1115</f>
        <v>0</v>
      </c>
      <c r="I1483" s="2940">
        <f>H1483</f>
        <v>0</v>
      </c>
      <c r="J1483" s="2829"/>
      <c r="K1483" s="2837"/>
    </row>
    <row r="1484" spans="1:12">
      <c r="A1484" s="2829"/>
      <c r="B1484" s="3285" t="s">
        <v>2720</v>
      </c>
      <c r="C1484" s="3285"/>
      <c r="D1484" s="3285"/>
      <c r="E1484" s="3285"/>
      <c r="F1484" s="2902"/>
      <c r="G1484" s="941"/>
      <c r="H1484" s="2903">
        <f>H1483</f>
        <v>0</v>
      </c>
      <c r="I1484" s="2940">
        <f>H1484</f>
        <v>0</v>
      </c>
      <c r="J1484" s="2850"/>
      <c r="K1484" s="2851"/>
    </row>
    <row r="1485" spans="1:12">
      <c r="A1485" s="2829"/>
      <c r="B1485" s="302" t="str">
        <f>крыша!A347</f>
        <v>нет</v>
      </c>
      <c r="C1485" s="2890" t="str">
        <f>крыша!B347</f>
        <v>м3</v>
      </c>
      <c r="D1485" s="302">
        <f>крыша!C347</f>
        <v>0</v>
      </c>
      <c r="E1485" s="302">
        <f>крыша!D347</f>
        <v>0</v>
      </c>
      <c r="F1485" s="302"/>
      <c r="G1485" s="275">
        <f t="shared" ref="G1485:G1529" si="228">IF(F1485&gt;0,D1485*F1485,E1485*D1485)</f>
        <v>0</v>
      </c>
      <c r="H1485" s="96">
        <f t="shared" ref="H1485:H1529" si="229">D1485*E1485*$H$1484</f>
        <v>0</v>
      </c>
      <c r="I1485" s="2911">
        <f t="shared" ref="I1485:I1530" si="230">IF(G1485&gt;H1485,G1485,H1485)*$H$1483</f>
        <v>0</v>
      </c>
      <c r="J1485" s="2863"/>
      <c r="K1485" s="223">
        <f t="shared" ref="K1485:K1530" si="231">D1485-J1485</f>
        <v>0</v>
      </c>
      <c r="L1485" s="2854"/>
    </row>
    <row r="1486" spans="1:12">
      <c r="A1486" s="2837"/>
      <c r="B1486" s="302" t="str">
        <f>крыша!A348</f>
        <v xml:space="preserve">Болты анкерные с гайкой 12,0 х 280          </v>
      </c>
      <c r="C1486" s="2890" t="str">
        <f>крыша!B348</f>
        <v>шт</v>
      </c>
      <c r="D1486" s="302">
        <f>крыша!C348</f>
        <v>44</v>
      </c>
      <c r="E1486" s="302">
        <f>крыша!D348</f>
        <v>27.1</v>
      </c>
      <c r="F1486" s="302"/>
      <c r="G1486" s="275">
        <f t="shared" si="228"/>
        <v>1192.4000000000001</v>
      </c>
      <c r="H1486" s="96">
        <f t="shared" si="229"/>
        <v>0</v>
      </c>
      <c r="I1486" s="2911">
        <f t="shared" si="230"/>
        <v>0</v>
      </c>
      <c r="J1486" s="2863"/>
      <c r="K1486" s="223">
        <f t="shared" si="231"/>
        <v>44</v>
      </c>
      <c r="L1486" s="2854"/>
    </row>
    <row r="1487" spans="1:12">
      <c r="A1487" s="2837"/>
      <c r="B1487" s="302" t="str">
        <f>крыша!A349</f>
        <v>Доска сухая, 200*50мм</v>
      </c>
      <c r="C1487" s="2890" t="str">
        <f>крыша!B349</f>
        <v>м3</v>
      </c>
      <c r="D1487" s="302">
        <f>крыша!C349</f>
        <v>4.1662398767195423</v>
      </c>
      <c r="E1487" s="302">
        <f>крыша!D349</f>
        <v>9000</v>
      </c>
      <c r="F1487" s="302"/>
      <c r="G1487" s="275">
        <f t="shared" si="228"/>
        <v>37496.158890475883</v>
      </c>
      <c r="H1487" s="96">
        <f t="shared" si="229"/>
        <v>0</v>
      </c>
      <c r="I1487" s="2911">
        <f t="shared" si="230"/>
        <v>0</v>
      </c>
      <c r="J1487" s="2863"/>
      <c r="K1487" s="223">
        <f t="shared" si="231"/>
        <v>4.1662398767195423</v>
      </c>
      <c r="L1487" s="2854"/>
    </row>
    <row r="1488" spans="1:12">
      <c r="A1488" s="2837"/>
      <c r="B1488" s="302" t="str">
        <f>крыша!A350</f>
        <v xml:space="preserve">бугель, доска </v>
      </c>
      <c r="C1488" s="2890" t="str">
        <f>крыша!B350</f>
        <v>м3</v>
      </c>
      <c r="D1488" s="302">
        <f>крыша!C350</f>
        <v>0.28000000000000003</v>
      </c>
      <c r="E1488" s="302">
        <f>крыша!D350</f>
        <v>9000</v>
      </c>
      <c r="F1488" s="302"/>
      <c r="G1488" s="275">
        <f t="shared" si="228"/>
        <v>2520.0000000000005</v>
      </c>
      <c r="H1488" s="96">
        <f t="shared" si="229"/>
        <v>0</v>
      </c>
      <c r="I1488" s="2911">
        <f t="shared" si="230"/>
        <v>0</v>
      </c>
      <c r="J1488" s="2863"/>
      <c r="K1488" s="223">
        <f t="shared" si="231"/>
        <v>0.28000000000000003</v>
      </c>
      <c r="L1488" s="2854"/>
    </row>
    <row r="1489" spans="1:12">
      <c r="A1489" s="2837"/>
      <c r="B1489" s="302" t="str">
        <f>крыша!A351</f>
        <v>стойка под конек</v>
      </c>
      <c r="C1489" s="2890" t="str">
        <f>крыша!B351</f>
        <v>м3</v>
      </c>
      <c r="D1489" s="302">
        <f>крыша!C351</f>
        <v>0.17500000000000004</v>
      </c>
      <c r="E1489" s="302">
        <f>крыша!D351</f>
        <v>9000</v>
      </c>
      <c r="F1489" s="302"/>
      <c r="G1489" s="275">
        <f t="shared" si="228"/>
        <v>1575.0000000000005</v>
      </c>
      <c r="H1489" s="96">
        <f t="shared" si="229"/>
        <v>0</v>
      </c>
      <c r="I1489" s="2911">
        <f t="shared" si="230"/>
        <v>0</v>
      </c>
      <c r="J1489" s="2863"/>
      <c r="K1489" s="223">
        <f t="shared" si="231"/>
        <v>0.17500000000000004</v>
      </c>
      <c r="L1489" s="2854"/>
    </row>
    <row r="1490" spans="1:12">
      <c r="A1490" s="2837"/>
      <c r="B1490" s="302" t="str">
        <f>крыша!A352</f>
        <v>Сосна влаж,180*25мм</v>
      </c>
      <c r="C1490" s="2890" t="str">
        <f>крыша!B352</f>
        <v>м3</v>
      </c>
      <c r="D1490" s="302">
        <f>крыша!C352</f>
        <v>3.6188679795129262</v>
      </c>
      <c r="E1490" s="302">
        <f>крыша!D352</f>
        <v>6500</v>
      </c>
      <c r="F1490" s="302"/>
      <c r="G1490" s="275">
        <f t="shared" si="228"/>
        <v>23522.641866834019</v>
      </c>
      <c r="H1490" s="96">
        <f t="shared" si="229"/>
        <v>0</v>
      </c>
      <c r="I1490" s="2911">
        <f t="shared" si="230"/>
        <v>0</v>
      </c>
      <c r="J1490" s="2863"/>
      <c r="K1490" s="223">
        <f t="shared" si="231"/>
        <v>3.6188679795129262</v>
      </c>
      <c r="L1490" s="2854"/>
    </row>
    <row r="1491" spans="1:12">
      <c r="A1491" s="2837"/>
      <c r="B1491" s="302" t="str">
        <f>крыша!A353</f>
        <v>Сосна влаж, 50*50мм</v>
      </c>
      <c r="C1491" s="2890" t="str">
        <f>крыша!B353</f>
        <v>м3</v>
      </c>
      <c r="D1491" s="302">
        <f>крыша!C353</f>
        <v>2.0104822108405154</v>
      </c>
      <c r="E1491" s="302">
        <f>крыша!D353</f>
        <v>6500</v>
      </c>
      <c r="F1491" s="302"/>
      <c r="G1491" s="275">
        <f t="shared" si="228"/>
        <v>13068.134370463349</v>
      </c>
      <c r="H1491" s="96">
        <f t="shared" si="229"/>
        <v>0</v>
      </c>
      <c r="I1491" s="2911">
        <f t="shared" si="230"/>
        <v>0</v>
      </c>
      <c r="J1491" s="2863"/>
      <c r="K1491" s="223">
        <f t="shared" si="231"/>
        <v>2.0104822108405154</v>
      </c>
      <c r="L1491" s="2854"/>
    </row>
    <row r="1492" spans="1:12">
      <c r="A1492" s="2837"/>
      <c r="B1492" s="302" t="str">
        <f>крыша!A354</f>
        <v>Мембрана MD90</v>
      </c>
      <c r="C1492" s="2890" t="str">
        <f>крыша!B354</f>
        <v>м2</v>
      </c>
      <c r="D1492" s="302">
        <f>крыша!C354</f>
        <v>268.0642947787353</v>
      </c>
      <c r="E1492" s="302">
        <f>крыша!D354</f>
        <v>34</v>
      </c>
      <c r="F1492" s="302"/>
      <c r="G1492" s="275">
        <f t="shared" si="228"/>
        <v>9114.1860224770007</v>
      </c>
      <c r="H1492" s="96">
        <f t="shared" si="229"/>
        <v>0</v>
      </c>
      <c r="I1492" s="2911">
        <f t="shared" si="230"/>
        <v>0</v>
      </c>
      <c r="J1492" s="2863"/>
      <c r="K1492" s="223">
        <f t="shared" si="231"/>
        <v>268.0642947787353</v>
      </c>
      <c r="L1492" s="2854"/>
    </row>
    <row r="1493" spans="1:12">
      <c r="A1493" s="2837"/>
      <c r="B1493" s="302" t="str">
        <f>крыша!A355</f>
        <v>Мембрана Tyvek AirGuard Reflective</v>
      </c>
      <c r="C1493" s="2890" t="str">
        <f>крыша!B355</f>
        <v>м2</v>
      </c>
      <c r="D1493" s="302">
        <f>крыша!C355</f>
        <v>268.0642947787353</v>
      </c>
      <c r="E1493" s="302">
        <f>крыша!D355</f>
        <v>174</v>
      </c>
      <c r="F1493" s="302"/>
      <c r="G1493" s="275">
        <f t="shared" si="228"/>
        <v>46643.18729149994</v>
      </c>
      <c r="H1493" s="96">
        <f t="shared" si="229"/>
        <v>0</v>
      </c>
      <c r="I1493" s="2911">
        <f t="shared" si="230"/>
        <v>0</v>
      </c>
      <c r="J1493" s="2863"/>
      <c r="K1493" s="223">
        <f t="shared" si="231"/>
        <v>268.0642947787353</v>
      </c>
      <c r="L1493" s="2854"/>
    </row>
    <row r="1494" spans="1:12">
      <c r="A1494" s="2837"/>
      <c r="B1494" s="302" t="str">
        <f>крыша!A356</f>
        <v>Плитный,28кг/м3, технониколь, 200мм</v>
      </c>
      <c r="C1494" s="2890" t="str">
        <f>крыша!B356</f>
        <v>м3</v>
      </c>
      <c r="D1494" s="302">
        <f>крыша!C356</f>
        <v>38.29489925410504</v>
      </c>
      <c r="E1494" s="302">
        <f>крыша!D356</f>
        <v>1700</v>
      </c>
      <c r="F1494" s="302"/>
      <c r="G1494" s="275">
        <f t="shared" si="228"/>
        <v>65101.328731978567</v>
      </c>
      <c r="H1494" s="96">
        <f t="shared" si="229"/>
        <v>0</v>
      </c>
      <c r="I1494" s="2911">
        <f t="shared" si="230"/>
        <v>0</v>
      </c>
      <c r="J1494" s="2863"/>
      <c r="K1494" s="223">
        <f t="shared" si="231"/>
        <v>38.29489925410504</v>
      </c>
      <c r="L1494" s="2854"/>
    </row>
    <row r="1495" spans="1:12">
      <c r="A1495" s="2837"/>
      <c r="B1495" s="302" t="str">
        <f>крыша!A357</f>
        <v>металлочерепица</v>
      </c>
      <c r="C1495" s="2890" t="str">
        <f>крыша!B357</f>
        <v>м2</v>
      </c>
      <c r="D1495" s="302">
        <f>крыша!C357</f>
        <v>268.0642947787353</v>
      </c>
      <c r="E1495" s="302">
        <f>крыша!D357</f>
        <v>250</v>
      </c>
      <c r="F1495" s="302"/>
      <c r="G1495" s="275">
        <f t="shared" si="228"/>
        <v>67016.07369468383</v>
      </c>
      <c r="H1495" s="96">
        <f t="shared" si="229"/>
        <v>0</v>
      </c>
      <c r="I1495" s="2911">
        <f t="shared" si="230"/>
        <v>0</v>
      </c>
      <c r="J1495" s="2863"/>
      <c r="K1495" s="223">
        <f t="shared" si="231"/>
        <v>268.0642947787353</v>
      </c>
      <c r="L1495" s="2854"/>
    </row>
    <row r="1496" spans="1:12">
      <c r="A1496" s="2837"/>
      <c r="B1496" s="302" t="str">
        <f>крыша!A358</f>
        <v>Конек</v>
      </c>
      <c r="C1496" s="2890" t="str">
        <f>крыша!B358</f>
        <v>м.п.</v>
      </c>
      <c r="D1496" s="302">
        <f>крыша!C358</f>
        <v>39.350000802913002</v>
      </c>
      <c r="E1496" s="302">
        <f>крыша!D358</f>
        <v>200</v>
      </c>
      <c r="F1496" s="302"/>
      <c r="G1496" s="275">
        <f t="shared" si="228"/>
        <v>7870.0001605826001</v>
      </c>
      <c r="H1496" s="96">
        <f t="shared" si="229"/>
        <v>0</v>
      </c>
      <c r="I1496" s="2911">
        <f t="shared" si="230"/>
        <v>0</v>
      </c>
      <c r="J1496" s="2863"/>
      <c r="K1496" s="223">
        <f t="shared" si="231"/>
        <v>39.350000802913002</v>
      </c>
      <c r="L1496" s="2854"/>
    </row>
    <row r="1497" spans="1:12">
      <c r="A1497" s="2837"/>
      <c r="B1497" s="302" t="str">
        <f>крыша!A359</f>
        <v>Карнизная планка</v>
      </c>
      <c r="C1497" s="2890" t="str">
        <f>крыша!B359</f>
        <v>м.п.</v>
      </c>
      <c r="D1497" s="302">
        <f>крыша!C359</f>
        <v>88</v>
      </c>
      <c r="E1497" s="302">
        <f>крыша!D359</f>
        <v>190</v>
      </c>
      <c r="F1497" s="302"/>
      <c r="G1497" s="275">
        <f t="shared" si="228"/>
        <v>16720</v>
      </c>
      <c r="H1497" s="96">
        <f t="shared" si="229"/>
        <v>0</v>
      </c>
      <c r="I1497" s="2911">
        <f t="shared" si="230"/>
        <v>0</v>
      </c>
      <c r="J1497" s="2863"/>
      <c r="K1497" s="223">
        <f t="shared" si="231"/>
        <v>88</v>
      </c>
      <c r="L1497" s="2854"/>
    </row>
    <row r="1498" spans="1:12">
      <c r="A1498" s="2837"/>
      <c r="B1498" s="302" t="str">
        <f>крыша!A360</f>
        <v>ондулин</v>
      </c>
      <c r="C1498" s="2890" t="str">
        <f>крыша!B360</f>
        <v>м2</v>
      </c>
      <c r="D1498" s="302">
        <f>крыша!C360</f>
        <v>0</v>
      </c>
      <c r="E1498" s="302">
        <f>крыша!D360</f>
        <v>180</v>
      </c>
      <c r="F1498" s="302"/>
      <c r="G1498" s="275">
        <f t="shared" si="228"/>
        <v>0</v>
      </c>
      <c r="H1498" s="96">
        <f t="shared" si="229"/>
        <v>0</v>
      </c>
      <c r="I1498" s="2911">
        <f t="shared" si="230"/>
        <v>0</v>
      </c>
      <c r="J1498" s="2863"/>
      <c r="K1498" s="223">
        <f t="shared" si="231"/>
        <v>0</v>
      </c>
      <c r="L1498" s="2854"/>
    </row>
    <row r="1499" spans="1:12">
      <c r="A1499" s="2837"/>
      <c r="B1499" s="302" t="str">
        <f>крыша!A361</f>
        <v>Карнизная планка</v>
      </c>
      <c r="C1499" s="2890" t="str">
        <f>крыша!B361</f>
        <v>м.п.</v>
      </c>
      <c r="D1499" s="302">
        <f>крыша!C361</f>
        <v>0</v>
      </c>
      <c r="E1499" s="302">
        <f>крыша!D361</f>
        <v>190</v>
      </c>
      <c r="F1499" s="302"/>
      <c r="G1499" s="275">
        <f t="shared" si="228"/>
        <v>0</v>
      </c>
      <c r="H1499" s="96">
        <f t="shared" si="229"/>
        <v>0</v>
      </c>
      <c r="I1499" s="2911">
        <f t="shared" si="230"/>
        <v>0</v>
      </c>
      <c r="J1499" s="2863"/>
      <c r="K1499" s="223">
        <f t="shared" si="231"/>
        <v>0</v>
      </c>
      <c r="L1499" s="2854"/>
    </row>
    <row r="1500" spans="1:12">
      <c r="A1500" s="2837"/>
      <c r="B1500" s="302" t="str">
        <f>крыша!A362</f>
        <v>Конек</v>
      </c>
      <c r="C1500" s="2890" t="str">
        <f>крыша!B362</f>
        <v>м.п.</v>
      </c>
      <c r="D1500" s="302">
        <f>крыша!C362</f>
        <v>0</v>
      </c>
      <c r="E1500" s="302">
        <f>крыша!D362</f>
        <v>200</v>
      </c>
      <c r="F1500" s="302"/>
      <c r="G1500" s="275">
        <f t="shared" si="228"/>
        <v>0</v>
      </c>
      <c r="H1500" s="96">
        <f t="shared" si="229"/>
        <v>0</v>
      </c>
      <c r="I1500" s="2911">
        <f t="shared" si="230"/>
        <v>0</v>
      </c>
      <c r="J1500" s="2863"/>
      <c r="K1500" s="223">
        <f t="shared" si="231"/>
        <v>0</v>
      </c>
      <c r="L1500" s="2854"/>
    </row>
    <row r="1501" spans="1:12">
      <c r="A1501" s="2837"/>
      <c r="B1501" s="302" t="str">
        <f>крыша!A363</f>
        <v>Крепеж для ондулина</v>
      </c>
      <c r="C1501" s="2890" t="str">
        <f>крыша!B363</f>
        <v>шт</v>
      </c>
      <c r="D1501" s="302">
        <f>крыша!C363</f>
        <v>0</v>
      </c>
      <c r="E1501" s="302">
        <f>крыша!D363</f>
        <v>4.5</v>
      </c>
      <c r="F1501" s="302"/>
      <c r="G1501" s="275">
        <f t="shared" si="228"/>
        <v>0</v>
      </c>
      <c r="H1501" s="96">
        <f t="shared" si="229"/>
        <v>0</v>
      </c>
      <c r="I1501" s="2911">
        <f t="shared" si="230"/>
        <v>0</v>
      </c>
      <c r="J1501" s="2863"/>
      <c r="K1501" s="223">
        <f t="shared" si="231"/>
        <v>0</v>
      </c>
      <c r="L1501" s="2854"/>
    </row>
    <row r="1502" spans="1:12">
      <c r="A1502" s="2837"/>
      <c r="B1502" s="302" t="str">
        <f>крыша!A364</f>
        <v>нет</v>
      </c>
      <c r="C1502" s="2890" t="s">
        <v>133</v>
      </c>
      <c r="D1502" s="302">
        <f>крыша!C364</f>
        <v>268.0642947787353</v>
      </c>
      <c r="E1502" s="302">
        <f>крыша!D364</f>
        <v>0</v>
      </c>
      <c r="F1502" s="302"/>
      <c r="G1502" s="275">
        <f t="shared" si="228"/>
        <v>0</v>
      </c>
      <c r="H1502" s="96">
        <f t="shared" si="229"/>
        <v>0</v>
      </c>
      <c r="I1502" s="2911">
        <f t="shared" si="230"/>
        <v>0</v>
      </c>
      <c r="J1502" s="2863"/>
      <c r="K1502" s="223">
        <f t="shared" si="231"/>
        <v>268.0642947787353</v>
      </c>
      <c r="L1502" s="2854"/>
    </row>
    <row r="1503" spans="1:12">
      <c r="A1503" s="2837"/>
      <c r="B1503" s="302" t="str">
        <f>крыша!A365</f>
        <v>Рядовая черепица</v>
      </c>
      <c r="C1503" s="2890" t="str">
        <f>крыша!B365</f>
        <v>м.п.</v>
      </c>
      <c r="D1503" s="302">
        <f>крыша!C365</f>
        <v>0</v>
      </c>
      <c r="E1503" s="302">
        <f>крыша!D365</f>
        <v>360</v>
      </c>
      <c r="F1503" s="302"/>
      <c r="G1503" s="275">
        <f t="shared" si="228"/>
        <v>0</v>
      </c>
      <c r="H1503" s="96">
        <f t="shared" si="229"/>
        <v>0</v>
      </c>
      <c r="I1503" s="2911">
        <f t="shared" si="230"/>
        <v>0</v>
      </c>
      <c r="J1503" s="2863"/>
      <c r="K1503" s="223">
        <f t="shared" si="231"/>
        <v>0</v>
      </c>
      <c r="L1503" s="2854"/>
    </row>
    <row r="1504" spans="1:12">
      <c r="A1504" s="2837"/>
      <c r="B1504" s="302" t="str">
        <f>крыша!A366</f>
        <v>Металл оцинк защита (карниз)</v>
      </c>
      <c r="C1504" s="2890" t="str">
        <f>крыша!B366</f>
        <v>м.п.</v>
      </c>
      <c r="D1504" s="302">
        <f>крыша!C366</f>
        <v>0</v>
      </c>
      <c r="E1504" s="302">
        <f>крыша!D366</f>
        <v>200</v>
      </c>
      <c r="F1504" s="302"/>
      <c r="G1504" s="275">
        <f t="shared" si="228"/>
        <v>0</v>
      </c>
      <c r="H1504" s="96">
        <f t="shared" si="229"/>
        <v>0</v>
      </c>
      <c r="I1504" s="2911">
        <f t="shared" si="230"/>
        <v>0</v>
      </c>
      <c r="J1504" s="2863"/>
      <c r="K1504" s="223">
        <f t="shared" si="231"/>
        <v>0</v>
      </c>
      <c r="L1504" s="2854"/>
    </row>
    <row r="1505" spans="1:12">
      <c r="A1505" s="2837"/>
      <c r="B1505" s="302" t="str">
        <f>крыша!A367</f>
        <v>Подкладочный ковер</v>
      </c>
      <c r="C1505" s="2890" t="str">
        <f>крыша!B367</f>
        <v>м2</v>
      </c>
      <c r="D1505" s="302">
        <f>крыша!C367</f>
        <v>0</v>
      </c>
      <c r="E1505" s="302">
        <f>крыша!D367</f>
        <v>220</v>
      </c>
      <c r="F1505" s="302"/>
      <c r="G1505" s="275">
        <f t="shared" si="228"/>
        <v>0</v>
      </c>
      <c r="H1505" s="96">
        <f t="shared" si="229"/>
        <v>0</v>
      </c>
      <c r="I1505" s="2911">
        <f t="shared" si="230"/>
        <v>0</v>
      </c>
      <c r="J1505" s="2863"/>
      <c r="K1505" s="223">
        <f t="shared" si="231"/>
        <v>0</v>
      </c>
      <c r="L1505" s="2854"/>
    </row>
    <row r="1506" spans="1:12">
      <c r="A1506" s="2837"/>
      <c r="B1506" s="302" t="str">
        <f>крыша!A368</f>
        <v>Карнизная самоклеющаяся черепица</v>
      </c>
      <c r="C1506" s="2890" t="str">
        <f>крыша!B368</f>
        <v>м2</v>
      </c>
      <c r="D1506" s="302">
        <f>крыша!C368</f>
        <v>0</v>
      </c>
      <c r="E1506" s="302">
        <f>крыша!D368</f>
        <v>220</v>
      </c>
      <c r="F1506" s="302"/>
      <c r="G1506" s="275">
        <f t="shared" si="228"/>
        <v>0</v>
      </c>
      <c r="H1506" s="96">
        <f t="shared" si="229"/>
        <v>0</v>
      </c>
      <c r="I1506" s="2911">
        <f t="shared" si="230"/>
        <v>0</v>
      </c>
      <c r="J1506" s="2863"/>
      <c r="K1506" s="223">
        <f t="shared" si="231"/>
        <v>0</v>
      </c>
      <c r="L1506" s="2854"/>
    </row>
    <row r="1507" spans="1:12">
      <c r="A1507" s="2837"/>
      <c r="B1507" s="302" t="str">
        <f>крыша!A369</f>
        <v>Спец ковер ендова нижняя</v>
      </c>
      <c r="C1507" s="2890" t="str">
        <f>крыша!B369</f>
        <v>м.п</v>
      </c>
      <c r="D1507" s="302">
        <f>крыша!C369</f>
        <v>0</v>
      </c>
      <c r="E1507" s="302">
        <f>крыша!D369</f>
        <v>200</v>
      </c>
      <c r="F1507" s="302"/>
      <c r="G1507" s="275">
        <f t="shared" si="228"/>
        <v>0</v>
      </c>
      <c r="H1507" s="96">
        <f t="shared" si="229"/>
        <v>0</v>
      </c>
      <c r="I1507" s="2911">
        <f t="shared" si="230"/>
        <v>0</v>
      </c>
      <c r="J1507" s="2863"/>
      <c r="K1507" s="223">
        <f t="shared" si="231"/>
        <v>0</v>
      </c>
      <c r="L1507" s="2854"/>
    </row>
    <row r="1508" spans="1:12">
      <c r="A1508" s="2837"/>
      <c r="B1508" s="302" t="str">
        <f>крыша!A370</f>
        <v>Коньковой элемент</v>
      </c>
      <c r="C1508" s="2890" t="str">
        <f>крыша!B370</f>
        <v>м.п</v>
      </c>
      <c r="D1508" s="302">
        <f>крыша!C370</f>
        <v>0</v>
      </c>
      <c r="E1508" s="302">
        <f>крыша!D370</f>
        <v>250</v>
      </c>
      <c r="F1508" s="302"/>
      <c r="G1508" s="275">
        <f t="shared" si="228"/>
        <v>0</v>
      </c>
      <c r="H1508" s="96">
        <f t="shared" si="229"/>
        <v>0</v>
      </c>
      <c r="I1508" s="2911">
        <f t="shared" si="230"/>
        <v>0</v>
      </c>
      <c r="J1508" s="2863"/>
      <c r="K1508" s="223">
        <f t="shared" si="231"/>
        <v>0</v>
      </c>
      <c r="L1508" s="2854"/>
    </row>
    <row r="1509" spans="1:12">
      <c r="A1509" s="2837"/>
      <c r="B1509" s="302" t="str">
        <f>крыша!A371</f>
        <v>Планка премыкания</v>
      </c>
      <c r="C1509" s="2890" t="s">
        <v>156</v>
      </c>
      <c r="D1509" s="302">
        <f>крыша!C371</f>
        <v>0</v>
      </c>
      <c r="E1509" s="302">
        <f>крыша!D371</f>
        <v>200</v>
      </c>
      <c r="F1509" s="302"/>
      <c r="G1509" s="275">
        <f t="shared" si="228"/>
        <v>0</v>
      </c>
      <c r="H1509" s="96">
        <f t="shared" si="229"/>
        <v>0</v>
      </c>
      <c r="I1509" s="2911">
        <f t="shared" si="230"/>
        <v>0</v>
      </c>
      <c r="J1509" s="2863"/>
      <c r="K1509" s="223">
        <f t="shared" si="231"/>
        <v>0</v>
      </c>
      <c r="L1509" s="2854"/>
    </row>
    <row r="1510" spans="1:12">
      <c r="A1510" s="2837"/>
      <c r="B1510" s="302" t="str">
        <f>крыша!A372</f>
        <v>Гвозди для крепления подкладочного ковра</v>
      </c>
      <c r="C1510" s="2890" t="str">
        <f>крыша!B372</f>
        <v>шт</v>
      </c>
      <c r="D1510" s="302">
        <f>крыша!C372</f>
        <v>0</v>
      </c>
      <c r="E1510" s="302">
        <f>крыша!D372</f>
        <v>1.2E-2</v>
      </c>
      <c r="F1510" s="302"/>
      <c r="G1510" s="275">
        <f t="shared" si="228"/>
        <v>0</v>
      </c>
      <c r="H1510" s="96">
        <f t="shared" si="229"/>
        <v>0</v>
      </c>
      <c r="I1510" s="2911">
        <f t="shared" si="230"/>
        <v>0</v>
      </c>
      <c r="J1510" s="2863"/>
      <c r="K1510" s="223">
        <f t="shared" si="231"/>
        <v>0</v>
      </c>
      <c r="L1510" s="2854"/>
    </row>
    <row r="1511" spans="1:12">
      <c r="A1511" s="2837"/>
      <c r="B1511" s="302" t="str">
        <f>крыша!A373</f>
        <v>Гвозди для крепления черепицы</v>
      </c>
      <c r="C1511" s="2890" t="str">
        <f>крыша!B373</f>
        <v>шт</v>
      </c>
      <c r="D1511" s="302">
        <f>крыша!C373</f>
        <v>0</v>
      </c>
      <c r="E1511" s="302">
        <f>крыша!D373</f>
        <v>0.25</v>
      </c>
      <c r="F1511" s="302"/>
      <c r="G1511" s="275">
        <f t="shared" si="228"/>
        <v>0</v>
      </c>
      <c r="H1511" s="96">
        <f t="shared" si="229"/>
        <v>0</v>
      </c>
      <c r="I1511" s="2911">
        <f t="shared" si="230"/>
        <v>0</v>
      </c>
      <c r="J1511" s="2863"/>
      <c r="K1511" s="223">
        <f t="shared" si="231"/>
        <v>0</v>
      </c>
      <c r="L1511" s="2854"/>
    </row>
    <row r="1512" spans="1:12">
      <c r="A1512" s="2837"/>
      <c r="B1512" s="302" t="str">
        <f>крыша!A374</f>
        <v>Клей для монтажа черепицы</v>
      </c>
      <c r="C1512" s="2890" t="str">
        <f>крыша!B374</f>
        <v>кг</v>
      </c>
      <c r="D1512" s="302">
        <f>крыша!C374</f>
        <v>0</v>
      </c>
      <c r="E1512" s="302">
        <f>крыша!D374</f>
        <v>250</v>
      </c>
      <c r="F1512" s="302"/>
      <c r="G1512" s="275">
        <f t="shared" si="228"/>
        <v>0</v>
      </c>
      <c r="H1512" s="96">
        <f t="shared" si="229"/>
        <v>0</v>
      </c>
      <c r="I1512" s="2911">
        <f t="shared" si="230"/>
        <v>0</v>
      </c>
      <c r="J1512" s="2863"/>
      <c r="K1512" s="223">
        <f t="shared" si="231"/>
        <v>0</v>
      </c>
      <c r="L1512" s="2854"/>
    </row>
    <row r="1513" spans="1:12">
      <c r="A1513" s="2837"/>
      <c r="B1513" s="302" t="str">
        <f>крыша!A375</f>
        <v>желоб</v>
      </c>
      <c r="C1513" s="2890" t="str">
        <f>крыша!B375</f>
        <v>м.п</v>
      </c>
      <c r="D1513" s="302">
        <f>крыша!C375</f>
        <v>42</v>
      </c>
      <c r="E1513" s="302">
        <f>крыша!D375</f>
        <v>300</v>
      </c>
      <c r="F1513" s="302"/>
      <c r="G1513" s="275">
        <f t="shared" si="228"/>
        <v>12600</v>
      </c>
      <c r="H1513" s="96">
        <f t="shared" si="229"/>
        <v>0</v>
      </c>
      <c r="I1513" s="2911">
        <f t="shared" si="230"/>
        <v>0</v>
      </c>
      <c r="J1513" s="2863"/>
      <c r="K1513" s="223">
        <f t="shared" si="231"/>
        <v>42</v>
      </c>
      <c r="L1513" s="2854"/>
    </row>
    <row r="1514" spans="1:12">
      <c r="A1514" s="2837"/>
      <c r="B1514" s="302" t="str">
        <f>крыша!A376</f>
        <v>отвод</v>
      </c>
      <c r="C1514" s="2890" t="str">
        <f>крыша!B376</f>
        <v>шт</v>
      </c>
      <c r="D1514" s="302">
        <f>крыша!C376</f>
        <v>4</v>
      </c>
      <c r="E1514" s="302">
        <f>крыша!D376</f>
        <v>250</v>
      </c>
      <c r="F1514" s="302"/>
      <c r="G1514" s="275">
        <f t="shared" si="228"/>
        <v>1000</v>
      </c>
      <c r="H1514" s="96">
        <f t="shared" si="229"/>
        <v>0</v>
      </c>
      <c r="I1514" s="2911">
        <f t="shared" si="230"/>
        <v>0</v>
      </c>
      <c r="J1514" s="2863"/>
      <c r="K1514" s="223">
        <f t="shared" si="231"/>
        <v>4</v>
      </c>
      <c r="L1514" s="2854"/>
    </row>
    <row r="1515" spans="1:12">
      <c r="A1515" s="2837"/>
      <c r="B1515" s="302" t="str">
        <f>крыша!A377</f>
        <v>труба водосточная</v>
      </c>
      <c r="C1515" s="2890" t="str">
        <f>крыша!B377</f>
        <v>м.п.</v>
      </c>
      <c r="D1515" s="302">
        <f>крыша!C377</f>
        <v>6.6000000000000005</v>
      </c>
      <c r="E1515" s="302">
        <f>крыша!D377</f>
        <v>300</v>
      </c>
      <c r="F1515" s="302"/>
      <c r="G1515" s="275">
        <f t="shared" si="228"/>
        <v>1980.0000000000002</v>
      </c>
      <c r="H1515" s="96">
        <f t="shared" si="229"/>
        <v>0</v>
      </c>
      <c r="I1515" s="2911">
        <f t="shared" si="230"/>
        <v>0</v>
      </c>
      <c r="J1515" s="2863"/>
      <c r="K1515" s="223">
        <f t="shared" si="231"/>
        <v>6.6000000000000005</v>
      </c>
      <c r="L1515" s="2854"/>
    </row>
    <row r="1516" spans="1:12">
      <c r="A1516" s="2837"/>
      <c r="B1516" s="302" t="str">
        <f>крыша!A378</f>
        <v>заглушка для желоба</v>
      </c>
      <c r="C1516" s="2890" t="str">
        <f>крыша!B378</f>
        <v>шт</v>
      </c>
      <c r="D1516" s="302">
        <f>крыша!C378</f>
        <v>4</v>
      </c>
      <c r="E1516" s="302">
        <f>крыша!D378</f>
        <v>190</v>
      </c>
      <c r="F1516" s="302"/>
      <c r="G1516" s="275">
        <f t="shared" si="228"/>
        <v>760</v>
      </c>
      <c r="H1516" s="96">
        <f t="shared" si="229"/>
        <v>0</v>
      </c>
      <c r="I1516" s="2911">
        <f t="shared" si="230"/>
        <v>0</v>
      </c>
      <c r="J1516" s="2863"/>
      <c r="K1516" s="223">
        <f t="shared" si="231"/>
        <v>4</v>
      </c>
      <c r="L1516" s="2854"/>
    </row>
    <row r="1517" spans="1:12">
      <c r="A1517" s="2837"/>
      <c r="B1517" s="302" t="str">
        <f>крыша!A379</f>
        <v>соеденитель для желоба</v>
      </c>
      <c r="C1517" s="2890" t="str">
        <f>крыша!B379</f>
        <v>шт</v>
      </c>
      <c r="D1517" s="302">
        <f>крыша!C379</f>
        <v>15</v>
      </c>
      <c r="E1517" s="302">
        <f>крыша!D379</f>
        <v>180</v>
      </c>
      <c r="F1517" s="302"/>
      <c r="G1517" s="275">
        <f t="shared" si="228"/>
        <v>2700</v>
      </c>
      <c r="H1517" s="96">
        <f t="shared" si="229"/>
        <v>0</v>
      </c>
      <c r="I1517" s="2911">
        <f t="shared" si="230"/>
        <v>0</v>
      </c>
      <c r="J1517" s="2863"/>
      <c r="K1517" s="223">
        <f t="shared" si="231"/>
        <v>15</v>
      </c>
      <c r="L1517" s="2854"/>
    </row>
    <row r="1518" spans="1:12">
      <c r="A1518" s="2837"/>
      <c r="B1518" s="302" t="str">
        <f>крыша!A380</f>
        <v>кронштейн для желоба</v>
      </c>
      <c r="C1518" s="2890" t="str">
        <f>крыша!B380</f>
        <v>шт</v>
      </c>
      <c r="D1518" s="302">
        <f>крыша!C380</f>
        <v>140</v>
      </c>
      <c r="E1518" s="302">
        <f>крыша!D380</f>
        <v>130</v>
      </c>
      <c r="F1518" s="302"/>
      <c r="G1518" s="275">
        <f t="shared" si="228"/>
        <v>18200</v>
      </c>
      <c r="H1518" s="96">
        <f t="shared" si="229"/>
        <v>0</v>
      </c>
      <c r="I1518" s="2911">
        <f t="shared" si="230"/>
        <v>0</v>
      </c>
      <c r="J1518" s="2863"/>
      <c r="K1518" s="223">
        <f t="shared" si="231"/>
        <v>140</v>
      </c>
      <c r="L1518" s="2854"/>
    </row>
    <row r="1519" spans="1:12">
      <c r="A1519" s="2837"/>
      <c r="B1519" s="302" t="str">
        <f>крыша!A381</f>
        <v>переход из желоба в трубу</v>
      </c>
      <c r="C1519" s="2890" t="str">
        <f>крыша!B381</f>
        <v>шт</v>
      </c>
      <c r="D1519" s="302">
        <f>крыша!C381</f>
        <v>2</v>
      </c>
      <c r="E1519" s="302">
        <f>крыша!D381</f>
        <v>350</v>
      </c>
      <c r="F1519" s="302"/>
      <c r="G1519" s="275">
        <f t="shared" si="228"/>
        <v>700</v>
      </c>
      <c r="H1519" s="96">
        <f t="shared" si="229"/>
        <v>0</v>
      </c>
      <c r="I1519" s="2911">
        <f t="shared" si="230"/>
        <v>0</v>
      </c>
      <c r="J1519" s="2863"/>
      <c r="K1519" s="223">
        <f t="shared" si="231"/>
        <v>2</v>
      </c>
      <c r="L1519" s="2854"/>
    </row>
    <row r="1520" spans="1:12">
      <c r="A1520" s="2837"/>
      <c r="B1520" s="302" t="str">
        <f>крыша!A382</f>
        <v>лента дельта мульти бэнд</v>
      </c>
      <c r="C1520" s="2890" t="str">
        <f>крыша!B382</f>
        <v>шт</v>
      </c>
      <c r="D1520" s="302">
        <f>крыша!C382</f>
        <v>1</v>
      </c>
      <c r="E1520" s="302">
        <f>крыша!D382</f>
        <v>1200</v>
      </c>
      <c r="F1520" s="302"/>
      <c r="G1520" s="275">
        <f t="shared" si="228"/>
        <v>1200</v>
      </c>
      <c r="H1520" s="96">
        <f t="shared" si="229"/>
        <v>0</v>
      </c>
      <c r="I1520" s="2911">
        <f t="shared" si="230"/>
        <v>0</v>
      </c>
      <c r="J1520" s="2863"/>
      <c r="K1520" s="223">
        <f t="shared" si="231"/>
        <v>1</v>
      </c>
      <c r="L1520" s="2854"/>
    </row>
    <row r="1521" spans="1:12">
      <c r="A1521" s="2837"/>
      <c r="B1521" s="302" t="str">
        <f>крыша!A383</f>
        <v>лента дельта sb-60</v>
      </c>
      <c r="C1521" s="2890" t="str">
        <f>крыша!B383</f>
        <v>шт</v>
      </c>
      <c r="D1521" s="302">
        <f>крыша!C383</f>
        <v>12.764966418035014</v>
      </c>
      <c r="E1521" s="302">
        <f>крыша!D383</f>
        <v>1100</v>
      </c>
      <c r="F1521" s="302"/>
      <c r="G1521" s="275">
        <f t="shared" si="228"/>
        <v>14041.463059838516</v>
      </c>
      <c r="H1521" s="96">
        <f t="shared" si="229"/>
        <v>0</v>
      </c>
      <c r="I1521" s="2911">
        <f t="shared" si="230"/>
        <v>0</v>
      </c>
      <c r="J1521" s="2863"/>
      <c r="K1521" s="223">
        <f t="shared" si="231"/>
        <v>12.764966418035014</v>
      </c>
      <c r="L1521" s="2854"/>
    </row>
    <row r="1522" spans="1:12">
      <c r="A1522" s="2837"/>
      <c r="B1522" s="302" t="str">
        <f>крыша!A384</f>
        <v>проходка кровельная, канализационная</v>
      </c>
      <c r="C1522" s="2890" t="str">
        <f>крыша!B384</f>
        <v>шт</v>
      </c>
      <c r="D1522" s="302">
        <f>крыша!C384</f>
        <v>0</v>
      </c>
      <c r="E1522" s="302">
        <f>крыша!D384</f>
        <v>3500</v>
      </c>
      <c r="F1522" s="302"/>
      <c r="G1522" s="275">
        <f t="shared" si="228"/>
        <v>0</v>
      </c>
      <c r="H1522" s="96">
        <f t="shared" si="229"/>
        <v>0</v>
      </c>
      <c r="I1522" s="2911">
        <f t="shared" si="230"/>
        <v>0</v>
      </c>
      <c r="J1522" s="2863"/>
      <c r="K1522" s="223">
        <f t="shared" si="231"/>
        <v>0</v>
      </c>
      <c r="L1522" s="2854"/>
    </row>
    <row r="1523" spans="1:12">
      <c r="A1523" s="2837"/>
      <c r="B1523" s="302" t="str">
        <f>крыша!A385</f>
        <v>проходка кровельная, вентиляционная</v>
      </c>
      <c r="C1523" s="2890" t="str">
        <f>крыша!B385</f>
        <v>шт</v>
      </c>
      <c r="D1523" s="302">
        <f>крыша!C385</f>
        <v>0</v>
      </c>
      <c r="E1523" s="302">
        <f>крыша!D385</f>
        <v>3500</v>
      </c>
      <c r="F1523" s="302"/>
      <c r="G1523" s="275">
        <f t="shared" si="228"/>
        <v>0</v>
      </c>
      <c r="H1523" s="96">
        <f t="shared" si="229"/>
        <v>0</v>
      </c>
      <c r="I1523" s="2911">
        <f t="shared" si="230"/>
        <v>0</v>
      </c>
      <c r="J1523" s="2863"/>
      <c r="K1523" s="223">
        <f t="shared" si="231"/>
        <v>0</v>
      </c>
      <c r="L1523" s="2854"/>
    </row>
    <row r="1524" spans="1:12">
      <c r="A1524" s="2837"/>
      <c r="B1524" s="302" t="str">
        <f>крыша!A386</f>
        <v>проодка кровельная, труба котел</v>
      </c>
      <c r="C1524" s="2890" t="str">
        <f>крыша!B386</f>
        <v>шт</v>
      </c>
      <c r="D1524" s="302">
        <f>крыша!C386</f>
        <v>0</v>
      </c>
      <c r="E1524" s="302">
        <f>крыша!D386</f>
        <v>4500</v>
      </c>
      <c r="F1524" s="302"/>
      <c r="G1524" s="275">
        <f t="shared" si="228"/>
        <v>0</v>
      </c>
      <c r="H1524" s="96">
        <f t="shared" si="229"/>
        <v>0</v>
      </c>
      <c r="I1524" s="2911">
        <f t="shared" si="230"/>
        <v>0</v>
      </c>
      <c r="J1524" s="2863"/>
      <c r="K1524" s="223">
        <f t="shared" si="231"/>
        <v>0</v>
      </c>
      <c r="L1524" s="2854"/>
    </row>
    <row r="1525" spans="1:12">
      <c r="A1525" s="2837"/>
      <c r="B1525" s="302" t="str">
        <f>крыша!A387</f>
        <v>Кровельный саморез</v>
      </c>
      <c r="C1525" s="2890" t="str">
        <f>крыша!B387</f>
        <v>шт</v>
      </c>
      <c r="D1525" s="302">
        <f>крыша!C387</f>
        <v>2297.6939552463027</v>
      </c>
      <c r="E1525" s="302">
        <f>крыша!D387</f>
        <v>2</v>
      </c>
      <c r="F1525" s="302"/>
      <c r="G1525" s="275">
        <f t="shared" si="228"/>
        <v>4595.3879104926054</v>
      </c>
      <c r="H1525" s="96">
        <f t="shared" si="229"/>
        <v>0</v>
      </c>
      <c r="I1525" s="2911">
        <f t="shared" si="230"/>
        <v>0</v>
      </c>
      <c r="J1525" s="2863"/>
      <c r="K1525" s="223">
        <f t="shared" si="231"/>
        <v>2297.6939552463027</v>
      </c>
      <c r="L1525" s="2854"/>
    </row>
    <row r="1526" spans="1:12">
      <c r="A1526" s="2837"/>
      <c r="B1526" s="302" t="str">
        <f>крыша!A388</f>
        <v xml:space="preserve">Гвозди ершоные 3,4 x 60            </v>
      </c>
      <c r="C1526" s="2890" t="str">
        <f>крыша!B388</f>
        <v>кг</v>
      </c>
      <c r="D1526" s="302">
        <f>крыша!C388</f>
        <v>36.188679795129261</v>
      </c>
      <c r="E1526" s="302">
        <f>крыша!D388</f>
        <v>75.510000000000005</v>
      </c>
      <c r="F1526" s="302"/>
      <c r="G1526" s="275">
        <f t="shared" si="228"/>
        <v>2732.6072113302107</v>
      </c>
      <c r="H1526" s="96">
        <f t="shared" si="229"/>
        <v>0</v>
      </c>
      <c r="I1526" s="2911">
        <f t="shared" si="230"/>
        <v>0</v>
      </c>
      <c r="J1526" s="2863"/>
      <c r="K1526" s="223">
        <f t="shared" si="231"/>
        <v>36.188679795129261</v>
      </c>
      <c r="L1526" s="2854"/>
    </row>
    <row r="1527" spans="1:12">
      <c r="A1527" s="2837"/>
      <c r="B1527" s="302" t="str">
        <f>крыша!A389</f>
        <v xml:space="preserve">Гвозди строительные 3,5 x 90            </v>
      </c>
      <c r="C1527" s="2890" t="str">
        <f>крыша!B389</f>
        <v>кг</v>
      </c>
      <c r="D1527" s="302">
        <f>крыша!C389</f>
        <v>27.727439260317254</v>
      </c>
      <c r="E1527" s="302">
        <f>крыша!D389</f>
        <v>76.489999999999995</v>
      </c>
      <c r="F1527" s="302"/>
      <c r="G1527" s="275">
        <f t="shared" si="228"/>
        <v>2120.8718290216666</v>
      </c>
      <c r="H1527" s="96">
        <f t="shared" si="229"/>
        <v>0</v>
      </c>
      <c r="I1527" s="2911">
        <f t="shared" si="230"/>
        <v>0</v>
      </c>
      <c r="J1527" s="2863"/>
      <c r="K1527" s="223">
        <f t="shared" si="231"/>
        <v>27.727439260317254</v>
      </c>
      <c r="L1527" s="2854"/>
    </row>
    <row r="1528" spans="1:12">
      <c r="A1528" s="2837"/>
      <c r="B1528" s="302" t="str">
        <f>крыша!A390</f>
        <v xml:space="preserve">Пластина соеденительная 100х240х2           </v>
      </c>
      <c r="C1528" s="2890" t="str">
        <f>крыша!B390</f>
        <v>шт</v>
      </c>
      <c r="D1528" s="302">
        <f>крыша!C390</f>
        <v>27.353499467217887</v>
      </c>
      <c r="E1528" s="302">
        <f>крыша!D390</f>
        <v>31.54</v>
      </c>
      <c r="F1528" s="302"/>
      <c r="G1528" s="275">
        <f t="shared" si="228"/>
        <v>862.72937319605217</v>
      </c>
      <c r="H1528" s="96">
        <f t="shared" si="229"/>
        <v>0</v>
      </c>
      <c r="I1528" s="2911">
        <f t="shared" si="230"/>
        <v>0</v>
      </c>
      <c r="J1528" s="2863"/>
      <c r="K1528" s="223">
        <f t="shared" si="231"/>
        <v>27.353499467217887</v>
      </c>
      <c r="L1528" s="2854"/>
    </row>
    <row r="1529" spans="1:12">
      <c r="A1529" s="2837"/>
      <c r="B1529" s="302" t="str">
        <f>крыша!A391</f>
        <v xml:space="preserve">Уголок усиленный 90х70х55х2,5        </v>
      </c>
      <c r="C1529" s="2890" t="str">
        <f>крыша!B391</f>
        <v>шт</v>
      </c>
      <c r="D1529" s="302">
        <f>крыша!C391</f>
        <v>382.94899254105042</v>
      </c>
      <c r="E1529" s="302">
        <f>крыша!D391</f>
        <v>30</v>
      </c>
      <c r="F1529" s="302"/>
      <c r="G1529" s="275">
        <f t="shared" si="228"/>
        <v>11488.469776231512</v>
      </c>
      <c r="H1529" s="96">
        <f t="shared" si="229"/>
        <v>0</v>
      </c>
      <c r="I1529" s="2911">
        <f t="shared" si="230"/>
        <v>0</v>
      </c>
      <c r="J1529" s="2863"/>
      <c r="K1529" s="223">
        <f t="shared" si="231"/>
        <v>382.94899254105042</v>
      </c>
      <c r="L1529" s="2854"/>
    </row>
    <row r="1530" spans="1:12">
      <c r="A1530" s="2837"/>
      <c r="B1530" s="3278" t="s">
        <v>4640</v>
      </c>
      <c r="C1530" s="3278"/>
      <c r="D1530" s="3278"/>
      <c r="E1530" s="3278"/>
      <c r="F1530" s="2868"/>
      <c r="G1530" s="2315">
        <f>SUM(G1485:G1529)*H1483</f>
        <v>0</v>
      </c>
      <c r="H1530" s="2315">
        <f>SUM(H1485:H1529)</f>
        <v>0</v>
      </c>
      <c r="I1530" s="2911">
        <f t="shared" si="230"/>
        <v>0</v>
      </c>
      <c r="J1530" s="2863"/>
      <c r="K1530" s="223">
        <f t="shared" si="231"/>
        <v>0</v>
      </c>
      <c r="L1530" s="2854"/>
    </row>
    <row r="1531" spans="1:12">
      <c r="A1531" s="2837"/>
      <c r="B1531" s="3279" t="s">
        <v>1409</v>
      </c>
      <c r="C1531" s="3279"/>
      <c r="D1531" s="3279"/>
      <c r="E1531" s="3279"/>
      <c r="F1531" s="2870"/>
      <c r="G1531" s="941"/>
      <c r="H1531" s="2891">
        <f>H1483</f>
        <v>0</v>
      </c>
      <c r="I1531" s="2940">
        <f>H1531</f>
        <v>0</v>
      </c>
      <c r="J1531" s="2892"/>
      <c r="K1531" s="2893"/>
    </row>
    <row r="1532" spans="1:12">
      <c r="A1532" s="2829"/>
      <c r="B1532" s="2763" t="str">
        <f>крыша!G348</f>
        <v>монтаж мауэрлат</v>
      </c>
      <c r="C1532" s="2952" t="str">
        <f>крыша!I348</f>
        <v>м.п.</v>
      </c>
      <c r="D1532" s="522">
        <f>крыша!J348</f>
        <v>40</v>
      </c>
      <c r="E1532" s="2953">
        <f>крыша!K348</f>
        <v>250</v>
      </c>
      <c r="F1532" s="2953"/>
      <c r="G1532" s="275">
        <f t="shared" ref="G1532:G1547" si="232">IF(F1532&gt;0,D1532*F1532,E1532*D1532)</f>
        <v>10000</v>
      </c>
      <c r="H1532" s="2315">
        <f t="shared" ref="H1532:H1547" si="233">D1532*E1532*$H$1531</f>
        <v>0</v>
      </c>
      <c r="I1532" s="2836">
        <f t="shared" ref="I1532:I1548" si="234">IF(G1532&gt;H1532,G1532,H1532)*$H$1483</f>
        <v>0</v>
      </c>
      <c r="J1532" s="2829"/>
      <c r="K1532" s="2837"/>
    </row>
    <row r="1533" spans="1:12">
      <c r="A1533" s="2837"/>
      <c r="B1533" s="2763" t="str">
        <f>крыша!G349</f>
        <v>монтаж стропил</v>
      </c>
      <c r="C1533" s="2952" t="str">
        <f>крыша!I349</f>
        <v>м2</v>
      </c>
      <c r="D1533" s="522">
        <f>крыша!J349</f>
        <v>191.47449627052521</v>
      </c>
      <c r="E1533" s="2953">
        <f>крыша!K349</f>
        <v>450</v>
      </c>
      <c r="F1533" s="2953"/>
      <c r="G1533" s="275">
        <f t="shared" si="232"/>
        <v>86163.523321736342</v>
      </c>
      <c r="H1533" s="2315">
        <f t="shared" si="233"/>
        <v>0</v>
      </c>
      <c r="I1533" s="2836">
        <f t="shared" si="234"/>
        <v>0</v>
      </c>
      <c r="J1533" s="2829"/>
      <c r="K1533" s="2837"/>
    </row>
    <row r="1534" spans="1:12">
      <c r="A1534" s="2837"/>
      <c r="B1534" s="2763" t="str">
        <f>крыша!G350</f>
        <v>обрешетка</v>
      </c>
      <c r="C1534" s="2952" t="str">
        <f>крыша!I350</f>
        <v>м2</v>
      </c>
      <c r="D1534" s="522">
        <f>крыша!J350</f>
        <v>191.47449627052521</v>
      </c>
      <c r="E1534" s="2953">
        <f>крыша!K350</f>
        <v>100</v>
      </c>
      <c r="F1534" s="2953"/>
      <c r="G1534" s="275">
        <f t="shared" si="232"/>
        <v>19147.44962705252</v>
      </c>
      <c r="H1534" s="2315">
        <f t="shared" si="233"/>
        <v>0</v>
      </c>
      <c r="I1534" s="2836">
        <f t="shared" si="234"/>
        <v>0</v>
      </c>
      <c r="J1534" s="2829"/>
      <c r="K1534" s="2837"/>
    </row>
    <row r="1535" spans="1:12">
      <c r="A1535" s="2837"/>
      <c r="B1535" s="2763" t="str">
        <f>крыша!G351</f>
        <v>контробеш</v>
      </c>
      <c r="C1535" s="2952" t="str">
        <f>крыша!I351</f>
        <v>м2</v>
      </c>
      <c r="D1535" s="522">
        <f>крыша!J351</f>
        <v>191.47449627052521</v>
      </c>
      <c r="E1535" s="2953">
        <f>крыша!K351</f>
        <v>100</v>
      </c>
      <c r="F1535" s="2953"/>
      <c r="G1535" s="275">
        <f t="shared" si="232"/>
        <v>19147.44962705252</v>
      </c>
      <c r="H1535" s="2315">
        <f t="shared" si="233"/>
        <v>0</v>
      </c>
      <c r="I1535" s="2836">
        <f t="shared" si="234"/>
        <v>0</v>
      </c>
      <c r="J1535" s="2829"/>
      <c r="K1535" s="2837"/>
    </row>
    <row r="1536" spans="1:12">
      <c r="A1536" s="2837"/>
      <c r="B1536" s="2763" t="str">
        <f>крыша!G352</f>
        <v>мембрана</v>
      </c>
      <c r="C1536" s="2952" t="str">
        <f>крыша!I352</f>
        <v>м2</v>
      </c>
      <c r="D1536" s="522">
        <f>крыша!J352</f>
        <v>191.47449627052521</v>
      </c>
      <c r="E1536" s="2953">
        <f>крыша!K352</f>
        <v>100</v>
      </c>
      <c r="F1536" s="2953"/>
      <c r="G1536" s="275">
        <f t="shared" si="232"/>
        <v>19147.44962705252</v>
      </c>
      <c r="H1536" s="2315">
        <f t="shared" si="233"/>
        <v>0</v>
      </c>
      <c r="I1536" s="2836">
        <f t="shared" si="234"/>
        <v>0</v>
      </c>
      <c r="J1536" s="2829"/>
      <c r="K1536" s="2837"/>
    </row>
    <row r="1537" spans="1:12">
      <c r="A1537" s="2837"/>
      <c r="B1537" s="2763" t="str">
        <f>крыша!G353</f>
        <v>пароизоляц</v>
      </c>
      <c r="C1537" s="2952" t="str">
        <f>крыша!I353</f>
        <v>м2</v>
      </c>
      <c r="D1537" s="522">
        <f>крыша!J353</f>
        <v>191.47449627052521</v>
      </c>
      <c r="E1537" s="2953">
        <f>крыша!K353</f>
        <v>100</v>
      </c>
      <c r="F1537" s="2953"/>
      <c r="G1537" s="275">
        <f t="shared" si="232"/>
        <v>19147.44962705252</v>
      </c>
      <c r="H1537" s="2315">
        <f t="shared" si="233"/>
        <v>0</v>
      </c>
      <c r="I1537" s="2836">
        <f t="shared" si="234"/>
        <v>0</v>
      </c>
      <c r="J1537" s="2829"/>
      <c r="K1537" s="2837"/>
    </row>
    <row r="1538" spans="1:12">
      <c r="A1538" s="2837"/>
      <c r="B1538" s="2763" t="str">
        <f>крыша!G354</f>
        <v>утеплитель</v>
      </c>
      <c r="C1538" s="2952" t="str">
        <f>крыша!I354</f>
        <v>м2</v>
      </c>
      <c r="D1538" s="522">
        <f>крыша!J354</f>
        <v>191.47449627052521</v>
      </c>
      <c r="E1538" s="2953">
        <f>крыша!K354</f>
        <v>200</v>
      </c>
      <c r="F1538" s="2953"/>
      <c r="G1538" s="275">
        <f t="shared" si="232"/>
        <v>38294.899254105039</v>
      </c>
      <c r="H1538" s="2315">
        <f t="shared" si="233"/>
        <v>0</v>
      </c>
      <c r="I1538" s="2836">
        <f t="shared" si="234"/>
        <v>0</v>
      </c>
      <c r="J1538" s="2829"/>
      <c r="K1538" s="2837"/>
    </row>
    <row r="1539" spans="1:12">
      <c r="A1539" s="2837"/>
      <c r="B1539" s="2763" t="str">
        <f>крыша!G355</f>
        <v>Монтаж металлочерепицы</v>
      </c>
      <c r="C1539" s="2952" t="str">
        <f>крыша!I355</f>
        <v>м2</v>
      </c>
      <c r="D1539" s="522">
        <f>крыша!J355</f>
        <v>174.06772388229564</v>
      </c>
      <c r="E1539" s="2953">
        <f>крыша!K355</f>
        <v>300</v>
      </c>
      <c r="F1539" s="2953"/>
      <c r="G1539" s="275">
        <f t="shared" si="232"/>
        <v>52220.317164688691</v>
      </c>
      <c r="H1539" s="2315">
        <f t="shared" si="233"/>
        <v>0</v>
      </c>
      <c r="I1539" s="2836">
        <f t="shared" si="234"/>
        <v>0</v>
      </c>
      <c r="J1539" s="2829"/>
      <c r="K1539" s="2837"/>
    </row>
    <row r="1540" spans="1:12">
      <c r="A1540" s="2837"/>
      <c r="B1540" s="2763" t="str">
        <f>крыша!G356</f>
        <v>Монтаж ондулина</v>
      </c>
      <c r="C1540" s="2952" t="str">
        <f>крыша!I356</f>
        <v>м2</v>
      </c>
      <c r="D1540" s="522">
        <f>крыша!J356</f>
        <v>0</v>
      </c>
      <c r="E1540" s="2953">
        <f>крыша!K356</f>
        <v>300</v>
      </c>
      <c r="F1540" s="2953"/>
      <c r="G1540" s="275">
        <f t="shared" si="232"/>
        <v>0</v>
      </c>
      <c r="H1540" s="2315">
        <f t="shared" si="233"/>
        <v>0</v>
      </c>
      <c r="I1540" s="2836">
        <f t="shared" si="234"/>
        <v>0</v>
      </c>
      <c r="J1540" s="2829"/>
      <c r="K1540" s="2837"/>
    </row>
    <row r="1541" spans="1:12">
      <c r="A1541" s="2837"/>
      <c r="B1541" s="2763" t="str">
        <f>крыша!G357</f>
        <v>капельник планка</v>
      </c>
      <c r="C1541" s="2952" t="str">
        <f>крыша!I357</f>
        <v>м.п.</v>
      </c>
      <c r="D1541" s="522">
        <f>крыша!J357</f>
        <v>88</v>
      </c>
      <c r="E1541" s="2953">
        <f>крыша!K357</f>
        <v>100</v>
      </c>
      <c r="F1541" s="2953"/>
      <c r="G1541" s="275">
        <f t="shared" si="232"/>
        <v>8800</v>
      </c>
      <c r="H1541" s="2315">
        <f t="shared" si="233"/>
        <v>0</v>
      </c>
      <c r="I1541" s="2836">
        <f t="shared" si="234"/>
        <v>0</v>
      </c>
      <c r="J1541" s="2829"/>
      <c r="K1541" s="2837"/>
    </row>
    <row r="1542" spans="1:12">
      <c r="A1542" s="2837"/>
      <c r="B1542" s="2763" t="str">
        <f>крыша!G358</f>
        <v>желоб водосточный</v>
      </c>
      <c r="C1542" s="2952" t="str">
        <f>крыша!I358</f>
        <v>м.п.</v>
      </c>
      <c r="D1542" s="522">
        <f>крыша!J358</f>
        <v>42</v>
      </c>
      <c r="E1542" s="2953">
        <f>крыша!K358</f>
        <v>300</v>
      </c>
      <c r="F1542" s="2953"/>
      <c r="G1542" s="275">
        <f t="shared" si="232"/>
        <v>12600</v>
      </c>
      <c r="H1542" s="2315">
        <f t="shared" si="233"/>
        <v>0</v>
      </c>
      <c r="I1542" s="2836">
        <f t="shared" si="234"/>
        <v>0</v>
      </c>
      <c r="J1542" s="2829"/>
      <c r="K1542" s="2837"/>
    </row>
    <row r="1543" spans="1:12">
      <c r="A1543" s="2837"/>
      <c r="B1543" s="2763" t="str">
        <f>крыша!G359</f>
        <v>труба водосточная</v>
      </c>
      <c r="C1543" s="2952" t="str">
        <f>крыша!I359</f>
        <v>м.п.</v>
      </c>
      <c r="D1543" s="522">
        <f>крыша!J359</f>
        <v>6.6000000000000005</v>
      </c>
      <c r="E1543" s="2953">
        <f>крыша!K359</f>
        <v>300</v>
      </c>
      <c r="F1543" s="2953"/>
      <c r="G1543" s="275">
        <f t="shared" si="232"/>
        <v>1980.0000000000002</v>
      </c>
      <c r="H1543" s="2315">
        <f t="shared" si="233"/>
        <v>0</v>
      </c>
      <c r="I1543" s="2836">
        <f t="shared" si="234"/>
        <v>0</v>
      </c>
      <c r="J1543" s="2829"/>
      <c r="K1543" s="2837"/>
    </row>
    <row r="1544" spans="1:12">
      <c r="A1544" s="2837"/>
      <c r="B1544" s="2763" t="str">
        <f>крыша!G360</f>
        <v>конек</v>
      </c>
      <c r="C1544" s="2952" t="str">
        <f>крыша!I360</f>
        <v>м.п.</v>
      </c>
      <c r="D1544" s="522">
        <f>крыша!J360</f>
        <v>39.350000802913002</v>
      </c>
      <c r="E1544" s="2953">
        <f>крыша!K360</f>
        <v>300</v>
      </c>
      <c r="F1544" s="2953"/>
      <c r="G1544" s="275">
        <f t="shared" si="232"/>
        <v>11805.0002408739</v>
      </c>
      <c r="H1544" s="2315">
        <f t="shared" si="233"/>
        <v>0</v>
      </c>
      <c r="I1544" s="2836">
        <f t="shared" si="234"/>
        <v>0</v>
      </c>
      <c r="J1544" s="2829"/>
      <c r="K1544" s="2837"/>
    </row>
    <row r="1545" spans="1:12">
      <c r="A1545" s="2837"/>
      <c r="B1545" s="2763" t="str">
        <f>крыша!G361</f>
        <v>Монтаж фанеры/osb</v>
      </c>
      <c r="C1545" s="2952" t="str">
        <f>крыша!I361</f>
        <v>м2</v>
      </c>
      <c r="D1545" s="522">
        <f>крыша!J361</f>
        <v>0</v>
      </c>
      <c r="E1545" s="2953">
        <f>крыша!K361</f>
        <v>200</v>
      </c>
      <c r="F1545" s="2953"/>
      <c r="G1545" s="275">
        <f t="shared" si="232"/>
        <v>0</v>
      </c>
      <c r="H1545" s="2315">
        <f t="shared" si="233"/>
        <v>0</v>
      </c>
      <c r="I1545" s="2836">
        <f t="shared" si="234"/>
        <v>0</v>
      </c>
      <c r="J1545" s="2829"/>
      <c r="K1545" s="2837"/>
    </row>
    <row r="1546" spans="1:12">
      <c r="A1546" s="2837"/>
      <c r="B1546" s="2763" t="str">
        <f>крыша!G362</f>
        <v>монтаж подкладочного ковра</v>
      </c>
      <c r="C1546" s="2952" t="str">
        <f>крыша!I362</f>
        <v>м2</v>
      </c>
      <c r="D1546" s="522">
        <f>крыша!J362</f>
        <v>0</v>
      </c>
      <c r="E1546" s="2953">
        <f>крыша!K362</f>
        <v>150</v>
      </c>
      <c r="F1546" s="2953"/>
      <c r="G1546" s="275">
        <f t="shared" si="232"/>
        <v>0</v>
      </c>
      <c r="H1546" s="2315">
        <f t="shared" si="233"/>
        <v>0</v>
      </c>
      <c r="I1546" s="2836">
        <f t="shared" si="234"/>
        <v>0</v>
      </c>
      <c r="J1546" s="2829"/>
      <c r="K1546" s="2837"/>
    </row>
    <row r="1547" spans="1:12">
      <c r="A1547" s="2837"/>
      <c r="B1547" s="2763" t="str">
        <f>крыша!G363</f>
        <v>Монтаж мягкой кровли</v>
      </c>
      <c r="C1547" s="2952" t="str">
        <f>крыша!I363</f>
        <v>м2</v>
      </c>
      <c r="D1547" s="522">
        <f>крыша!J363</f>
        <v>0</v>
      </c>
      <c r="E1547" s="2953">
        <f>крыша!K363</f>
        <v>350</v>
      </c>
      <c r="F1547" s="2953"/>
      <c r="G1547" s="275">
        <f t="shared" si="232"/>
        <v>0</v>
      </c>
      <c r="H1547" s="2315">
        <f t="shared" si="233"/>
        <v>0</v>
      </c>
      <c r="I1547" s="2836">
        <f t="shared" si="234"/>
        <v>0</v>
      </c>
      <c r="J1547" s="2829"/>
      <c r="K1547" s="2837"/>
    </row>
    <row r="1548" spans="1:12">
      <c r="A1548" s="2837"/>
      <c r="B1548" s="3278" t="s">
        <v>4641</v>
      </c>
      <c r="C1548" s="3278"/>
      <c r="D1548" s="3278"/>
      <c r="E1548" s="3278"/>
      <c r="F1548" s="2868"/>
      <c r="G1548" s="2315">
        <f>SUM(G1532:G1547)*H1531</f>
        <v>0</v>
      </c>
      <c r="H1548" s="2315">
        <f>SUM(H1532:H1547)</f>
        <v>0</v>
      </c>
      <c r="I1548" s="2836">
        <f t="shared" si="234"/>
        <v>0</v>
      </c>
      <c r="J1548" s="2829"/>
      <c r="K1548" s="2837"/>
    </row>
    <row r="1549" spans="1:12" ht="21">
      <c r="A1549" s="2837"/>
      <c r="B1549" s="3295" t="s">
        <v>4661</v>
      </c>
      <c r="C1549" s="3295"/>
      <c r="D1549" s="3295"/>
      <c r="E1549" s="3295"/>
      <c r="F1549" s="2950"/>
      <c r="G1549" s="941"/>
      <c r="H1549" s="2901">
        <f>дома!L1115</f>
        <v>0</v>
      </c>
      <c r="I1549" s="2940">
        <f>H1549</f>
        <v>0</v>
      </c>
      <c r="J1549" s="2829"/>
      <c r="K1549" s="2837"/>
    </row>
    <row r="1550" spans="1:12">
      <c r="A1550" s="2829"/>
      <c r="B1550" s="3285" t="s">
        <v>2720</v>
      </c>
      <c r="C1550" s="3285"/>
      <c r="D1550" s="3285"/>
      <c r="E1550" s="3285"/>
      <c r="F1550" s="2902"/>
      <c r="G1550" s="941"/>
      <c r="H1550" s="2903">
        <f>H1549</f>
        <v>0</v>
      </c>
      <c r="I1550" s="2940">
        <f>H1550</f>
        <v>0</v>
      </c>
      <c r="J1550" s="2850"/>
      <c r="K1550" s="2851"/>
    </row>
    <row r="1551" spans="1:12">
      <c r="A1551" s="2829"/>
      <c r="B1551" s="302" t="str">
        <f>крыша!A431</f>
        <v>нет</v>
      </c>
      <c r="C1551" s="2890" t="str">
        <f>крыша!B431</f>
        <v>м3</v>
      </c>
      <c r="D1551" s="302">
        <f>крыша!C431</f>
        <v>0</v>
      </c>
      <c r="E1551" s="302">
        <f>крыша!D431</f>
        <v>0</v>
      </c>
      <c r="F1551" s="302"/>
      <c r="G1551" s="275">
        <f t="shared" ref="G1551:G1582" si="235">IF(F1551&gt;0,D1551*F1551,E1551*D1551)</f>
        <v>0</v>
      </c>
      <c r="H1551" s="96">
        <f t="shared" ref="H1551:H1582" si="236">D1551*E1551*$H$1550</f>
        <v>0</v>
      </c>
      <c r="I1551" s="2911">
        <f t="shared" ref="I1551:I1582" si="237">IF(G1551&gt;H1551,G1551,H1551)*$H$1549</f>
        <v>0</v>
      </c>
      <c r="J1551" s="2863"/>
      <c r="K1551" s="223">
        <f t="shared" ref="K1551:K1582" si="238">D1551-J1551</f>
        <v>0</v>
      </c>
      <c r="L1551" s="2854"/>
    </row>
    <row r="1552" spans="1:12">
      <c r="A1552" s="2837"/>
      <c r="B1552" s="302" t="str">
        <f>крыша!A432</f>
        <v xml:space="preserve">Болты анкерные с гайкой 12,0 х 280          </v>
      </c>
      <c r="C1552" s="2890" t="str">
        <f>крыша!B432</f>
        <v>шт</v>
      </c>
      <c r="D1552" s="302">
        <f>крыша!C432</f>
        <v>139.09265127310908</v>
      </c>
      <c r="E1552" s="302">
        <f>крыша!D432</f>
        <v>27.1</v>
      </c>
      <c r="F1552" s="302"/>
      <c r="G1552" s="275">
        <f t="shared" si="235"/>
        <v>3769.4108495012565</v>
      </c>
      <c r="H1552" s="96">
        <f t="shared" si="236"/>
        <v>0</v>
      </c>
      <c r="I1552" s="2911">
        <f t="shared" si="237"/>
        <v>0</v>
      </c>
      <c r="J1552" s="2863"/>
      <c r="K1552" s="223">
        <f t="shared" si="238"/>
        <v>139.09265127310908</v>
      </c>
      <c r="L1552" s="2854"/>
    </row>
    <row r="1553" spans="1:12">
      <c r="A1553" s="2837"/>
      <c r="B1553" s="302" t="str">
        <f>крыша!A433</f>
        <v>Доска сырая, 150*50мм</v>
      </c>
      <c r="C1553" s="2890" t="str">
        <f>крыша!B433</f>
        <v>м3</v>
      </c>
      <c r="D1553" s="302">
        <f>крыша!C433</f>
        <v>4.6833157486435848</v>
      </c>
      <c r="E1553" s="302">
        <f>крыша!D433</f>
        <v>6500</v>
      </c>
      <c r="F1553" s="302"/>
      <c r="G1553" s="275">
        <f t="shared" si="235"/>
        <v>30441.552366183299</v>
      </c>
      <c r="H1553" s="96">
        <f t="shared" si="236"/>
        <v>0</v>
      </c>
      <c r="I1553" s="2911">
        <f t="shared" si="237"/>
        <v>0</v>
      </c>
      <c r="J1553" s="2863"/>
      <c r="K1553" s="223">
        <f t="shared" si="238"/>
        <v>4.6833157486435848</v>
      </c>
      <c r="L1553" s="2854"/>
    </row>
    <row r="1554" spans="1:12">
      <c r="A1554" s="2837"/>
      <c r="B1554" s="302" t="str">
        <f>крыша!A434</f>
        <v xml:space="preserve">бугель, доска </v>
      </c>
      <c r="C1554" s="2890" t="str">
        <f>крыша!B434</f>
        <v>м3</v>
      </c>
      <c r="D1554" s="302">
        <f>крыша!C434</f>
        <v>0.495</v>
      </c>
      <c r="E1554" s="302">
        <f>крыша!D434</f>
        <v>6500</v>
      </c>
      <c r="F1554" s="302"/>
      <c r="G1554" s="275">
        <f t="shared" si="235"/>
        <v>3217.5</v>
      </c>
      <c r="H1554" s="96">
        <f t="shared" si="236"/>
        <v>0</v>
      </c>
      <c r="I1554" s="2911">
        <f t="shared" si="237"/>
        <v>0</v>
      </c>
      <c r="J1554" s="2863"/>
      <c r="K1554" s="223">
        <f t="shared" si="238"/>
        <v>0.495</v>
      </c>
      <c r="L1554" s="2854"/>
    </row>
    <row r="1555" spans="1:12">
      <c r="A1555" s="2837"/>
      <c r="B1555" s="302" t="str">
        <f>крыша!A435</f>
        <v>стойка под конек</v>
      </c>
      <c r="C1555" s="2890" t="str">
        <f>крыша!B435</f>
        <v>м3</v>
      </c>
      <c r="D1555" s="302">
        <f>крыша!C435</f>
        <v>0.15</v>
      </c>
      <c r="E1555" s="302">
        <f>крыша!D435</f>
        <v>6500</v>
      </c>
      <c r="F1555" s="302"/>
      <c r="G1555" s="275">
        <f t="shared" si="235"/>
        <v>975</v>
      </c>
      <c r="H1555" s="96">
        <f t="shared" si="236"/>
        <v>0</v>
      </c>
      <c r="I1555" s="2911">
        <f t="shared" si="237"/>
        <v>0</v>
      </c>
      <c r="J1555" s="2863"/>
      <c r="K1555" s="223">
        <f t="shared" si="238"/>
        <v>0.15</v>
      </c>
      <c r="L1555" s="2854"/>
    </row>
    <row r="1556" spans="1:12">
      <c r="A1556" s="2837"/>
      <c r="B1556" s="302" t="str">
        <f>крыша!A436</f>
        <v>Сосна влаж,100*25мм</v>
      </c>
      <c r="C1556" s="2890" t="str">
        <f>крыша!B436</f>
        <v>м3</v>
      </c>
      <c r="D1556" s="302">
        <f>крыша!C436</f>
        <v>2.3188937286671267</v>
      </c>
      <c r="E1556" s="302">
        <f>крыша!D436</f>
        <v>6500</v>
      </c>
      <c r="F1556" s="302"/>
      <c r="G1556" s="275">
        <f t="shared" si="235"/>
        <v>15072.809236336323</v>
      </c>
      <c r="H1556" s="96">
        <f t="shared" si="236"/>
        <v>0</v>
      </c>
      <c r="I1556" s="2911">
        <f t="shared" si="237"/>
        <v>0</v>
      </c>
      <c r="J1556" s="2863"/>
      <c r="K1556" s="223">
        <f t="shared" si="238"/>
        <v>2.3188937286671267</v>
      </c>
      <c r="L1556" s="2854"/>
    </row>
    <row r="1557" spans="1:12">
      <c r="A1557" s="2837"/>
      <c r="B1557" s="302" t="str">
        <f>крыша!A437</f>
        <v>Доска сухая, калибр., 35*45мм</v>
      </c>
      <c r="C1557" s="2890" t="str">
        <f>крыша!B437</f>
        <v>м3</v>
      </c>
      <c r="D1557" s="302">
        <f>крыша!C437</f>
        <v>0.87404455926683999</v>
      </c>
      <c r="E1557" s="302">
        <f>крыша!D437</f>
        <v>12500</v>
      </c>
      <c r="F1557" s="302"/>
      <c r="G1557" s="275">
        <f t="shared" si="235"/>
        <v>10925.556990835499</v>
      </c>
      <c r="H1557" s="96">
        <f t="shared" si="236"/>
        <v>0</v>
      </c>
      <c r="I1557" s="2911">
        <f t="shared" si="237"/>
        <v>0</v>
      </c>
      <c r="J1557" s="2863"/>
      <c r="K1557" s="223">
        <f t="shared" si="238"/>
        <v>0.87404455926683999</v>
      </c>
      <c r="L1557" s="2854"/>
    </row>
    <row r="1558" spans="1:12">
      <c r="A1558" s="2837"/>
      <c r="B1558" s="302" t="str">
        <f>крыша!A438</f>
        <v>Мембраны  Tyvek Housewrap</v>
      </c>
      <c r="C1558" s="2890" t="str">
        <f>крыша!B438</f>
        <v>м2</v>
      </c>
      <c r="D1558" s="302">
        <f>крыша!C438</f>
        <v>332.9693559111771</v>
      </c>
      <c r="E1558" s="302">
        <f>крыша!D438</f>
        <v>90</v>
      </c>
      <c r="F1558" s="302"/>
      <c r="G1558" s="275">
        <f t="shared" si="235"/>
        <v>29967.242032005939</v>
      </c>
      <c r="H1558" s="96">
        <f t="shared" si="236"/>
        <v>0</v>
      </c>
      <c r="I1558" s="2911">
        <f t="shared" si="237"/>
        <v>0</v>
      </c>
      <c r="J1558" s="2863"/>
      <c r="K1558" s="223">
        <f t="shared" si="238"/>
        <v>332.9693559111771</v>
      </c>
      <c r="L1558" s="2854"/>
    </row>
    <row r="1559" spans="1:12">
      <c r="A1559" s="2837"/>
      <c r="B1559" s="302" t="str">
        <f>крыша!A439</f>
        <v>Мембрана Tyvek AirGuard Reflective</v>
      </c>
      <c r="C1559" s="2890" t="str">
        <f>крыша!B439</f>
        <v>м2</v>
      </c>
      <c r="D1559" s="302">
        <f>крыша!C439</f>
        <v>332.9693559111771</v>
      </c>
      <c r="E1559" s="302">
        <f>крыша!D439</f>
        <v>174</v>
      </c>
      <c r="F1559" s="302"/>
      <c r="G1559" s="275">
        <f t="shared" si="235"/>
        <v>57936.667928544819</v>
      </c>
      <c r="H1559" s="96">
        <f t="shared" si="236"/>
        <v>0</v>
      </c>
      <c r="I1559" s="2911">
        <f t="shared" si="237"/>
        <v>0</v>
      </c>
      <c r="J1559" s="2863"/>
      <c r="K1559" s="223">
        <f t="shared" si="238"/>
        <v>332.9693559111771</v>
      </c>
      <c r="L1559" s="2854"/>
    </row>
    <row r="1560" spans="1:12">
      <c r="A1560" s="2837"/>
      <c r="B1560" s="302" t="str">
        <f>крыша!A440</f>
        <v>Плитный,28кг/м3, технониколь, 50мм</v>
      </c>
      <c r="C1560" s="2890" t="str">
        <f>крыша!B440</f>
        <v>м3</v>
      </c>
      <c r="D1560" s="302">
        <f>крыша!C440</f>
        <v>11.89176271111347</v>
      </c>
      <c r="E1560" s="302">
        <f>крыша!D440</f>
        <v>1700</v>
      </c>
      <c r="F1560" s="302"/>
      <c r="G1560" s="275">
        <f t="shared" si="235"/>
        <v>20215.9966088929</v>
      </c>
      <c r="H1560" s="96">
        <f t="shared" si="236"/>
        <v>0</v>
      </c>
      <c r="I1560" s="2911">
        <f t="shared" si="237"/>
        <v>0</v>
      </c>
      <c r="J1560" s="2863"/>
      <c r="K1560" s="223">
        <f t="shared" si="238"/>
        <v>11.89176271111347</v>
      </c>
      <c r="L1560" s="2854"/>
    </row>
    <row r="1561" spans="1:12">
      <c r="A1561" s="2837"/>
      <c r="B1561" s="302" t="str">
        <f>крыша!A441</f>
        <v>металлочерепица</v>
      </c>
      <c r="C1561" s="2890" t="str">
        <f>крыша!B441</f>
        <v>м2</v>
      </c>
      <c r="D1561" s="302">
        <f>крыша!C441</f>
        <v>332.9693559111771</v>
      </c>
      <c r="E1561" s="302">
        <f>крыша!D441</f>
        <v>250</v>
      </c>
      <c r="F1561" s="302"/>
      <c r="G1561" s="275">
        <f t="shared" si="235"/>
        <v>83242.338977794279</v>
      </c>
      <c r="H1561" s="96">
        <f t="shared" si="236"/>
        <v>0</v>
      </c>
      <c r="I1561" s="2911">
        <f t="shared" si="237"/>
        <v>0</v>
      </c>
      <c r="J1561" s="2863"/>
      <c r="K1561" s="223">
        <f t="shared" si="238"/>
        <v>332.9693559111771</v>
      </c>
      <c r="L1561" s="2854"/>
    </row>
    <row r="1562" spans="1:12">
      <c r="A1562" s="2837"/>
      <c r="B1562" s="302" t="str">
        <f>крыша!A442</f>
        <v>Карнизная планка</v>
      </c>
      <c r="C1562" s="2890" t="str">
        <f>крыша!B442</f>
        <v>м.п.</v>
      </c>
      <c r="D1562" s="302">
        <f>крыша!C442</f>
        <v>62</v>
      </c>
      <c r="E1562" s="302">
        <f>крыша!D442</f>
        <v>200</v>
      </c>
      <c r="F1562" s="302"/>
      <c r="G1562" s="275">
        <f t="shared" si="235"/>
        <v>12400</v>
      </c>
      <c r="H1562" s="96">
        <f t="shared" si="236"/>
        <v>0</v>
      </c>
      <c r="I1562" s="2911">
        <f t="shared" si="237"/>
        <v>0</v>
      </c>
      <c r="J1562" s="2863"/>
      <c r="K1562" s="223">
        <f t="shared" si="238"/>
        <v>62</v>
      </c>
      <c r="L1562" s="2854"/>
    </row>
    <row r="1563" spans="1:12">
      <c r="A1563" s="2837"/>
      <c r="B1563" s="302" t="str">
        <f>крыша!A443</f>
        <v>Торцевая планка</v>
      </c>
      <c r="C1563" s="2890" t="str">
        <f>крыша!B443</f>
        <v>м.п.</v>
      </c>
      <c r="D1563" s="302">
        <f>крыша!C443</f>
        <v>26.90724809414742</v>
      </c>
      <c r="E1563" s="302">
        <f>крыша!D443</f>
        <v>200</v>
      </c>
      <c r="F1563" s="302"/>
      <c r="G1563" s="275">
        <f t="shared" si="235"/>
        <v>5381.4496188294843</v>
      </c>
      <c r="H1563" s="96">
        <f t="shared" si="236"/>
        <v>0</v>
      </c>
      <c r="I1563" s="2911">
        <f t="shared" si="237"/>
        <v>0</v>
      </c>
      <c r="J1563" s="2863"/>
      <c r="K1563" s="223">
        <f t="shared" si="238"/>
        <v>26.90724809414742</v>
      </c>
      <c r="L1563" s="2854"/>
    </row>
    <row r="1564" spans="1:12">
      <c r="A1564" s="2837"/>
      <c r="B1564" s="302" t="str">
        <f>крыша!A444</f>
        <v>Конек</v>
      </c>
      <c r="C1564" s="2890" t="str">
        <f>крыша!B444</f>
        <v>м.п.</v>
      </c>
      <c r="D1564" s="302">
        <f>крыша!C444</f>
        <v>39.778728788181674</v>
      </c>
      <c r="E1564" s="302">
        <f>крыша!D444</f>
        <v>230</v>
      </c>
      <c r="F1564" s="302"/>
      <c r="G1564" s="275">
        <f t="shared" si="235"/>
        <v>9149.1076212817843</v>
      </c>
      <c r="H1564" s="96">
        <f t="shared" si="236"/>
        <v>0</v>
      </c>
      <c r="I1564" s="2911">
        <f t="shared" si="237"/>
        <v>0</v>
      </c>
      <c r="J1564" s="2863"/>
      <c r="K1564" s="223">
        <f t="shared" si="238"/>
        <v>39.778728788181674</v>
      </c>
      <c r="L1564" s="2854"/>
    </row>
    <row r="1565" spans="1:12">
      <c r="A1565" s="2837"/>
      <c r="B1565" s="302" t="str">
        <f>крыша!A445</f>
        <v>ондулин</v>
      </c>
      <c r="C1565" s="2890" t="str">
        <f>крыша!B445</f>
        <v>м2</v>
      </c>
      <c r="D1565" s="302">
        <f>крыша!C445</f>
        <v>0</v>
      </c>
      <c r="E1565" s="302">
        <f>крыша!D445</f>
        <v>180</v>
      </c>
      <c r="F1565" s="302"/>
      <c r="G1565" s="275">
        <f t="shared" si="235"/>
        <v>0</v>
      </c>
      <c r="H1565" s="96">
        <f t="shared" si="236"/>
        <v>0</v>
      </c>
      <c r="I1565" s="2911">
        <f t="shared" si="237"/>
        <v>0</v>
      </c>
      <c r="J1565" s="2863"/>
      <c r="K1565" s="223">
        <f t="shared" si="238"/>
        <v>0</v>
      </c>
      <c r="L1565" s="2854"/>
    </row>
    <row r="1566" spans="1:12">
      <c r="A1566" s="2837"/>
      <c r="B1566" s="302" t="str">
        <f>крыша!A446</f>
        <v>Карнизная планка</v>
      </c>
      <c r="C1566" s="2890" t="str">
        <f>крыша!B446</f>
        <v>м.п.</v>
      </c>
      <c r="D1566" s="302">
        <f>крыша!C446</f>
        <v>0</v>
      </c>
      <c r="E1566" s="302">
        <f>крыша!D446</f>
        <v>190</v>
      </c>
      <c r="F1566" s="302"/>
      <c r="G1566" s="275">
        <f t="shared" si="235"/>
        <v>0</v>
      </c>
      <c r="H1566" s="96">
        <f t="shared" si="236"/>
        <v>0</v>
      </c>
      <c r="I1566" s="2911">
        <f t="shared" si="237"/>
        <v>0</v>
      </c>
      <c r="J1566" s="2863"/>
      <c r="K1566" s="223">
        <f t="shared" si="238"/>
        <v>0</v>
      </c>
      <c r="L1566" s="2854"/>
    </row>
    <row r="1567" spans="1:12">
      <c r="A1567" s="2837"/>
      <c r="B1567" s="302" t="str">
        <f>крыша!A447</f>
        <v>Торцевая планка</v>
      </c>
      <c r="C1567" s="2890" t="str">
        <f>крыша!B447</f>
        <v>м.п.</v>
      </c>
      <c r="D1567" s="302">
        <f>крыша!C447</f>
        <v>0</v>
      </c>
      <c r="E1567" s="302">
        <f>крыша!D447</f>
        <v>190</v>
      </c>
      <c r="F1567" s="302"/>
      <c r="G1567" s="275">
        <f t="shared" si="235"/>
        <v>0</v>
      </c>
      <c r="H1567" s="96">
        <f t="shared" si="236"/>
        <v>0</v>
      </c>
      <c r="I1567" s="2911">
        <f t="shared" si="237"/>
        <v>0</v>
      </c>
      <c r="J1567" s="2863"/>
      <c r="K1567" s="223">
        <f t="shared" si="238"/>
        <v>0</v>
      </c>
      <c r="L1567" s="2854"/>
    </row>
    <row r="1568" spans="1:12">
      <c r="A1568" s="2837"/>
      <c r="B1568" s="302" t="str">
        <f>крыша!A448</f>
        <v>Конек</v>
      </c>
      <c r="C1568" s="2890" t="str">
        <f>крыша!B448</f>
        <v>м.п.</v>
      </c>
      <c r="D1568" s="302">
        <f>крыша!C448</f>
        <v>0</v>
      </c>
      <c r="E1568" s="302">
        <f>крыша!D448</f>
        <v>200</v>
      </c>
      <c r="F1568" s="302"/>
      <c r="G1568" s="275">
        <f t="shared" si="235"/>
        <v>0</v>
      </c>
      <c r="H1568" s="96">
        <f t="shared" si="236"/>
        <v>0</v>
      </c>
      <c r="I1568" s="2911">
        <f t="shared" si="237"/>
        <v>0</v>
      </c>
      <c r="J1568" s="2863"/>
      <c r="K1568" s="223">
        <f t="shared" si="238"/>
        <v>0</v>
      </c>
      <c r="L1568" s="2854"/>
    </row>
    <row r="1569" spans="1:12">
      <c r="A1569" s="2837"/>
      <c r="B1569" s="302" t="str">
        <f>крыша!A449</f>
        <v>Ендова нижняя</v>
      </c>
      <c r="C1569" s="2890" t="str">
        <f>крыша!B449</f>
        <v>м.п.</v>
      </c>
      <c r="D1569" s="302">
        <f>крыша!C449</f>
        <v>0</v>
      </c>
      <c r="E1569" s="302">
        <f>крыша!D449</f>
        <v>160</v>
      </c>
      <c r="F1569" s="302"/>
      <c r="G1569" s="275">
        <f t="shared" si="235"/>
        <v>0</v>
      </c>
      <c r="H1569" s="96">
        <f t="shared" si="236"/>
        <v>0</v>
      </c>
      <c r="I1569" s="2911">
        <f t="shared" si="237"/>
        <v>0</v>
      </c>
      <c r="J1569" s="2863"/>
      <c r="K1569" s="223">
        <f t="shared" si="238"/>
        <v>0</v>
      </c>
      <c r="L1569" s="2854"/>
    </row>
    <row r="1570" spans="1:12">
      <c r="A1570" s="2837"/>
      <c r="B1570" s="302" t="str">
        <f>крыша!A450</f>
        <v>Ендова верхняя</v>
      </c>
      <c r="C1570" s="2890" t="str">
        <f>крыша!B450</f>
        <v>м.п.</v>
      </c>
      <c r="D1570" s="302">
        <f>крыша!C450</f>
        <v>0</v>
      </c>
      <c r="E1570" s="302">
        <f>крыша!D450</f>
        <v>190</v>
      </c>
      <c r="F1570" s="302"/>
      <c r="G1570" s="275">
        <f t="shared" si="235"/>
        <v>0</v>
      </c>
      <c r="H1570" s="96">
        <f t="shared" si="236"/>
        <v>0</v>
      </c>
      <c r="I1570" s="2911">
        <f t="shared" si="237"/>
        <v>0</v>
      </c>
      <c r="J1570" s="2863"/>
      <c r="K1570" s="223">
        <f t="shared" si="238"/>
        <v>0</v>
      </c>
      <c r="L1570" s="2854"/>
    </row>
    <row r="1571" spans="1:12">
      <c r="A1571" s="2837"/>
      <c r="B1571" s="302" t="str">
        <f>крыша!A451</f>
        <v>Планка примыкания</v>
      </c>
      <c r="C1571" s="2890" t="str">
        <f>крыша!B451</f>
        <v>м.п.</v>
      </c>
      <c r="D1571" s="302">
        <f>крыша!C451</f>
        <v>0</v>
      </c>
      <c r="E1571" s="302">
        <f>крыша!D451</f>
        <v>190</v>
      </c>
      <c r="F1571" s="302"/>
      <c r="G1571" s="275">
        <f t="shared" si="235"/>
        <v>0</v>
      </c>
      <c r="H1571" s="96">
        <f t="shared" si="236"/>
        <v>0</v>
      </c>
      <c r="I1571" s="2911">
        <f t="shared" si="237"/>
        <v>0</v>
      </c>
      <c r="J1571" s="2863"/>
      <c r="K1571" s="223">
        <f t="shared" si="238"/>
        <v>0</v>
      </c>
      <c r="L1571" s="2854"/>
    </row>
    <row r="1572" spans="1:12">
      <c r="A1572" s="2837"/>
      <c r="B1572" s="302" t="str">
        <f>крыша!A452</f>
        <v>Крепеж для ондулина</v>
      </c>
      <c r="C1572" s="2890" t="str">
        <f>крыша!B452</f>
        <v>шт</v>
      </c>
      <c r="D1572" s="302">
        <f>крыша!C452</f>
        <v>0</v>
      </c>
      <c r="E1572" s="302">
        <f>крыша!D452</f>
        <v>4.5</v>
      </c>
      <c r="F1572" s="302"/>
      <c r="G1572" s="275">
        <f t="shared" si="235"/>
        <v>0</v>
      </c>
      <c r="H1572" s="96">
        <f t="shared" si="236"/>
        <v>0</v>
      </c>
      <c r="I1572" s="2911">
        <f t="shared" si="237"/>
        <v>0</v>
      </c>
      <c r="J1572" s="2863"/>
      <c r="K1572" s="223">
        <f t="shared" si="238"/>
        <v>0</v>
      </c>
      <c r="L1572" s="2854"/>
    </row>
    <row r="1573" spans="1:12">
      <c r="A1573" s="2837"/>
      <c r="B1573" s="302" t="str">
        <f>крыша!A453</f>
        <v>нет</v>
      </c>
      <c r="C1573" s="2890" t="str">
        <f>крыша!B453</f>
        <v>м2</v>
      </c>
      <c r="D1573" s="302">
        <f>крыша!C453</f>
        <v>273.51054235560974</v>
      </c>
      <c r="E1573" s="302">
        <f>крыша!D453</f>
        <v>0</v>
      </c>
      <c r="F1573" s="302"/>
      <c r="G1573" s="275">
        <f t="shared" si="235"/>
        <v>0</v>
      </c>
      <c r="H1573" s="96">
        <f t="shared" si="236"/>
        <v>0</v>
      </c>
      <c r="I1573" s="2911">
        <f t="shared" si="237"/>
        <v>0</v>
      </c>
      <c r="J1573" s="2863"/>
      <c r="K1573" s="223">
        <f t="shared" si="238"/>
        <v>273.51054235560974</v>
      </c>
      <c r="L1573" s="2854"/>
    </row>
    <row r="1574" spans="1:12">
      <c r="A1574" s="2837"/>
      <c r="B1574" s="302" t="str">
        <f>крыша!A454</f>
        <v>Рядовая черепица</v>
      </c>
      <c r="C1574" s="2890" t="str">
        <f>крыша!B454</f>
        <v>м2</v>
      </c>
      <c r="D1574" s="302">
        <f>крыша!C454</f>
        <v>0</v>
      </c>
      <c r="E1574" s="302">
        <f>крыша!D454</f>
        <v>360</v>
      </c>
      <c r="F1574" s="302"/>
      <c r="G1574" s="275">
        <f t="shared" si="235"/>
        <v>0</v>
      </c>
      <c r="H1574" s="96">
        <f t="shared" si="236"/>
        <v>0</v>
      </c>
      <c r="I1574" s="2911">
        <f t="shared" si="237"/>
        <v>0</v>
      </c>
      <c r="J1574" s="2863"/>
      <c r="K1574" s="223">
        <f t="shared" si="238"/>
        <v>0</v>
      </c>
      <c r="L1574" s="2854"/>
    </row>
    <row r="1575" spans="1:12">
      <c r="A1575" s="2837"/>
      <c r="B1575" s="302" t="str">
        <f>крыша!A455</f>
        <v>Металл оцинк защита (карниз)</v>
      </c>
      <c r="C1575" s="2890" t="str">
        <f>крыша!B455</f>
        <v>м.п.</v>
      </c>
      <c r="D1575" s="302">
        <f>крыша!C455</f>
        <v>0</v>
      </c>
      <c r="E1575" s="302">
        <f>крыша!D455</f>
        <v>200</v>
      </c>
      <c r="F1575" s="302"/>
      <c r="G1575" s="275">
        <f t="shared" si="235"/>
        <v>0</v>
      </c>
      <c r="H1575" s="96">
        <f t="shared" si="236"/>
        <v>0</v>
      </c>
      <c r="I1575" s="2911">
        <f t="shared" si="237"/>
        <v>0</v>
      </c>
      <c r="J1575" s="2863"/>
      <c r="K1575" s="223">
        <f t="shared" si="238"/>
        <v>0</v>
      </c>
      <c r="L1575" s="2854"/>
    </row>
    <row r="1576" spans="1:12">
      <c r="A1576" s="2837"/>
      <c r="B1576" s="302" t="str">
        <f>крыша!A456</f>
        <v>Подкладочный ковер</v>
      </c>
      <c r="C1576" s="2890" t="str">
        <f>крыша!B456</f>
        <v>м.п.</v>
      </c>
      <c r="D1576" s="302">
        <f>крыша!C456</f>
        <v>0</v>
      </c>
      <c r="E1576" s="302">
        <f>крыша!D456</f>
        <v>220</v>
      </c>
      <c r="F1576" s="302"/>
      <c r="G1576" s="275">
        <f t="shared" si="235"/>
        <v>0</v>
      </c>
      <c r="H1576" s="96">
        <f t="shared" si="236"/>
        <v>0</v>
      </c>
      <c r="I1576" s="2911">
        <f t="shared" si="237"/>
        <v>0</v>
      </c>
      <c r="J1576" s="2863"/>
      <c r="K1576" s="223">
        <f t="shared" si="238"/>
        <v>0</v>
      </c>
      <c r="L1576" s="2854"/>
    </row>
    <row r="1577" spans="1:12">
      <c r="A1577" s="2837"/>
      <c r="B1577" s="302" t="str">
        <f>крыша!A457</f>
        <v>Карнизная самоклеющаяся черепица</v>
      </c>
      <c r="C1577" s="2890" t="str">
        <f>крыша!B457</f>
        <v>м.п.</v>
      </c>
      <c r="D1577" s="302">
        <f>крыша!C457</f>
        <v>0</v>
      </c>
      <c r="E1577" s="302">
        <f>крыша!D457</f>
        <v>220</v>
      </c>
      <c r="F1577" s="302"/>
      <c r="G1577" s="275">
        <f t="shared" si="235"/>
        <v>0</v>
      </c>
      <c r="H1577" s="96">
        <f t="shared" si="236"/>
        <v>0</v>
      </c>
      <c r="I1577" s="2911">
        <f t="shared" si="237"/>
        <v>0</v>
      </c>
      <c r="J1577" s="2863"/>
      <c r="K1577" s="223">
        <f t="shared" si="238"/>
        <v>0</v>
      </c>
      <c r="L1577" s="2854"/>
    </row>
    <row r="1578" spans="1:12">
      <c r="A1578" s="2837"/>
      <c r="B1578" s="302" t="str">
        <f>крыша!A458</f>
        <v>Спец ковер ендова нижняя</v>
      </c>
      <c r="C1578" s="2890" t="str">
        <f>крыша!B458</f>
        <v>м.п.</v>
      </c>
      <c r="D1578" s="302">
        <f>крыша!C458</f>
        <v>0</v>
      </c>
      <c r="E1578" s="302">
        <f>крыша!D458</f>
        <v>200</v>
      </c>
      <c r="F1578" s="302"/>
      <c r="G1578" s="275">
        <f t="shared" si="235"/>
        <v>0</v>
      </c>
      <c r="H1578" s="96">
        <f t="shared" si="236"/>
        <v>0</v>
      </c>
      <c r="I1578" s="2911">
        <f t="shared" si="237"/>
        <v>0</v>
      </c>
      <c r="J1578" s="2863"/>
      <c r="K1578" s="223">
        <f t="shared" si="238"/>
        <v>0</v>
      </c>
      <c r="L1578" s="2854"/>
    </row>
    <row r="1579" spans="1:12">
      <c r="A1579" s="2837"/>
      <c r="B1579" s="302" t="str">
        <f>крыша!A459</f>
        <v>Коньковой элемент</v>
      </c>
      <c r="C1579" s="2890" t="str">
        <f>крыша!B459</f>
        <v>м.п.</v>
      </c>
      <c r="D1579" s="302">
        <f>крыша!C459</f>
        <v>0</v>
      </c>
      <c r="E1579" s="302">
        <f>крыша!D459</f>
        <v>250</v>
      </c>
      <c r="F1579" s="302"/>
      <c r="G1579" s="275">
        <f t="shared" si="235"/>
        <v>0</v>
      </c>
      <c r="H1579" s="96">
        <f t="shared" si="236"/>
        <v>0</v>
      </c>
      <c r="I1579" s="2911">
        <f t="shared" si="237"/>
        <v>0</v>
      </c>
      <c r="J1579" s="2863"/>
      <c r="K1579" s="223">
        <f t="shared" si="238"/>
        <v>0</v>
      </c>
      <c r="L1579" s="2854"/>
    </row>
    <row r="1580" spans="1:12">
      <c r="A1580" s="2837"/>
      <c r="B1580" s="302" t="str">
        <f>крыша!A460</f>
        <v>Планка премыкания</v>
      </c>
      <c r="C1580" s="2890" t="str">
        <f>крыша!B460</f>
        <v>м.п.</v>
      </c>
      <c r="D1580" s="302">
        <f>крыша!C460</f>
        <v>0</v>
      </c>
      <c r="E1580" s="302">
        <f>крыша!D460</f>
        <v>200</v>
      </c>
      <c r="F1580" s="302"/>
      <c r="G1580" s="275">
        <f t="shared" si="235"/>
        <v>0</v>
      </c>
      <c r="H1580" s="96">
        <f t="shared" si="236"/>
        <v>0</v>
      </c>
      <c r="I1580" s="2911">
        <f t="shared" si="237"/>
        <v>0</v>
      </c>
      <c r="J1580" s="2863"/>
      <c r="K1580" s="223">
        <f t="shared" si="238"/>
        <v>0</v>
      </c>
      <c r="L1580" s="2854"/>
    </row>
    <row r="1581" spans="1:12">
      <c r="A1581" s="2837"/>
      <c r="B1581" s="302" t="str">
        <f>крыша!A461</f>
        <v>Гвозди для крепления подкладочного ковра</v>
      </c>
      <c r="C1581" s="2890" t="str">
        <f>крыша!B461</f>
        <v>шт</v>
      </c>
      <c r="D1581" s="302">
        <f>крыша!C461</f>
        <v>0</v>
      </c>
      <c r="E1581" s="302">
        <f>крыша!D461</f>
        <v>1.2E-2</v>
      </c>
      <c r="F1581" s="302"/>
      <c r="G1581" s="275">
        <f t="shared" si="235"/>
        <v>0</v>
      </c>
      <c r="H1581" s="96">
        <f t="shared" si="236"/>
        <v>0</v>
      </c>
      <c r="I1581" s="2911">
        <f t="shared" si="237"/>
        <v>0</v>
      </c>
      <c r="J1581" s="2863"/>
      <c r="K1581" s="223">
        <f t="shared" si="238"/>
        <v>0</v>
      </c>
      <c r="L1581" s="2854"/>
    </row>
    <row r="1582" spans="1:12">
      <c r="A1582" s="2837"/>
      <c r="B1582" s="302" t="str">
        <f>крыша!A462</f>
        <v>Гвозди для крепления черепицы</v>
      </c>
      <c r="C1582" s="2890" t="str">
        <f>крыша!B462</f>
        <v>шт</v>
      </c>
      <c r="D1582" s="302">
        <f>крыша!C462</f>
        <v>0</v>
      </c>
      <c r="E1582" s="302">
        <f>крыша!D462</f>
        <v>0.25</v>
      </c>
      <c r="F1582" s="302"/>
      <c r="G1582" s="275">
        <f t="shared" si="235"/>
        <v>0</v>
      </c>
      <c r="H1582" s="96">
        <f t="shared" si="236"/>
        <v>0</v>
      </c>
      <c r="I1582" s="2911">
        <f t="shared" si="237"/>
        <v>0</v>
      </c>
      <c r="J1582" s="2863"/>
      <c r="K1582" s="223">
        <f t="shared" si="238"/>
        <v>0</v>
      </c>
      <c r="L1582" s="2854"/>
    </row>
    <row r="1583" spans="1:12">
      <c r="A1583" s="2837"/>
      <c r="B1583" s="302" t="str">
        <f>крыша!A463</f>
        <v>Клей для монтажа черепицы</v>
      </c>
      <c r="C1583" s="2890" t="str">
        <f>крыша!B463</f>
        <v>кг</v>
      </c>
      <c r="D1583" s="302">
        <f>крыша!C463</f>
        <v>0</v>
      </c>
      <c r="E1583" s="302">
        <f>крыша!D463</f>
        <v>250</v>
      </c>
      <c r="F1583" s="302"/>
      <c r="G1583" s="275">
        <f t="shared" ref="G1583:G1614" si="239">IF(F1583&gt;0,D1583*F1583,E1583*D1583)</f>
        <v>0</v>
      </c>
      <c r="H1583" s="96">
        <f t="shared" ref="H1583:H1600" si="240">D1583*E1583*$H$1550</f>
        <v>0</v>
      </c>
      <c r="I1583" s="2911">
        <f t="shared" ref="I1583:I1614" si="241">IF(G1583&gt;H1583,G1583,H1583)*$H$1549</f>
        <v>0</v>
      </c>
      <c r="J1583" s="2863"/>
      <c r="K1583" s="223">
        <f t="shared" ref="K1583:K1614" si="242">D1583-J1583</f>
        <v>0</v>
      </c>
      <c r="L1583" s="2854"/>
    </row>
    <row r="1584" spans="1:12">
      <c r="A1584" s="2837"/>
      <c r="B1584" s="302" t="str">
        <f>крыша!A464</f>
        <v>желоб</v>
      </c>
      <c r="C1584" s="2890" t="str">
        <f>крыша!B464</f>
        <v>м.п</v>
      </c>
      <c r="D1584" s="302">
        <f>крыша!C464</f>
        <v>51.666666666666671</v>
      </c>
      <c r="E1584" s="302">
        <f>крыша!D464</f>
        <v>300</v>
      </c>
      <c r="F1584" s="302"/>
      <c r="G1584" s="275">
        <f t="shared" si="239"/>
        <v>15500.000000000002</v>
      </c>
      <c r="H1584" s="96">
        <f t="shared" si="240"/>
        <v>0</v>
      </c>
      <c r="I1584" s="2911">
        <f t="shared" si="241"/>
        <v>0</v>
      </c>
      <c r="J1584" s="2863"/>
      <c r="K1584" s="223">
        <f t="shared" si="242"/>
        <v>51.666666666666671</v>
      </c>
      <c r="L1584" s="2854"/>
    </row>
    <row r="1585" spans="1:12">
      <c r="A1585" s="2837"/>
      <c r="B1585" s="302" t="str">
        <f>крыша!A465</f>
        <v>отвод</v>
      </c>
      <c r="C1585" s="2890" t="str">
        <f>крыша!B465</f>
        <v>шт</v>
      </c>
      <c r="D1585" s="302">
        <f>крыша!C465</f>
        <v>4</v>
      </c>
      <c r="E1585" s="302">
        <f>крыша!D465</f>
        <v>250</v>
      </c>
      <c r="F1585" s="302"/>
      <c r="G1585" s="275">
        <f t="shared" si="239"/>
        <v>1000</v>
      </c>
      <c r="H1585" s="96">
        <f t="shared" si="240"/>
        <v>0</v>
      </c>
      <c r="I1585" s="2911">
        <f t="shared" si="241"/>
        <v>0</v>
      </c>
      <c r="J1585" s="2863"/>
      <c r="K1585" s="223">
        <f t="shared" si="242"/>
        <v>4</v>
      </c>
      <c r="L1585" s="2854"/>
    </row>
    <row r="1586" spans="1:12">
      <c r="A1586" s="2837"/>
      <c r="B1586" s="302" t="str">
        <f>крыша!A466</f>
        <v>труба водосточная</v>
      </c>
      <c r="C1586" s="2890" t="str">
        <f>крыша!B466</f>
        <v>м.п.</v>
      </c>
      <c r="D1586" s="302">
        <f>крыша!C466</f>
        <v>62</v>
      </c>
      <c r="E1586" s="302">
        <f>крыша!D466</f>
        <v>300</v>
      </c>
      <c r="F1586" s="302"/>
      <c r="G1586" s="275">
        <f t="shared" si="239"/>
        <v>18600</v>
      </c>
      <c r="H1586" s="96">
        <f t="shared" si="240"/>
        <v>0</v>
      </c>
      <c r="I1586" s="2911">
        <f t="shared" si="241"/>
        <v>0</v>
      </c>
      <c r="J1586" s="2863"/>
      <c r="K1586" s="223">
        <f t="shared" si="242"/>
        <v>62</v>
      </c>
      <c r="L1586" s="2854"/>
    </row>
    <row r="1587" spans="1:12">
      <c r="A1587" s="2837"/>
      <c r="B1587" s="302" t="str">
        <f>крыша!A467</f>
        <v>заглушка для желоба</v>
      </c>
      <c r="C1587" s="2890" t="str">
        <f>крыша!B467</f>
        <v>шт</v>
      </c>
      <c r="D1587" s="302">
        <f>крыша!C467</f>
        <v>4</v>
      </c>
      <c r="E1587" s="302">
        <f>крыша!D467</f>
        <v>190</v>
      </c>
      <c r="F1587" s="302"/>
      <c r="G1587" s="275">
        <f t="shared" si="239"/>
        <v>760</v>
      </c>
      <c r="H1587" s="96">
        <f t="shared" si="240"/>
        <v>0</v>
      </c>
      <c r="I1587" s="2911">
        <f t="shared" si="241"/>
        <v>0</v>
      </c>
      <c r="J1587" s="2863"/>
      <c r="K1587" s="223">
        <f t="shared" si="242"/>
        <v>4</v>
      </c>
      <c r="L1587" s="2854"/>
    </row>
    <row r="1588" spans="1:12">
      <c r="A1588" s="2837"/>
      <c r="B1588" s="302" t="str">
        <f>крыша!A468</f>
        <v>соеденитель для желоба</v>
      </c>
      <c r="C1588" s="2890" t="str">
        <f>крыша!B468</f>
        <v>шт</v>
      </c>
      <c r="D1588" s="302">
        <f>крыша!C468</f>
        <v>18.222222222222225</v>
      </c>
      <c r="E1588" s="302">
        <f>крыша!D468</f>
        <v>180</v>
      </c>
      <c r="F1588" s="302"/>
      <c r="G1588" s="275">
        <f t="shared" si="239"/>
        <v>3280.0000000000005</v>
      </c>
      <c r="H1588" s="96">
        <f t="shared" si="240"/>
        <v>0</v>
      </c>
      <c r="I1588" s="2911">
        <f t="shared" si="241"/>
        <v>0</v>
      </c>
      <c r="J1588" s="2863"/>
      <c r="K1588" s="223">
        <f t="shared" si="242"/>
        <v>18.222222222222225</v>
      </c>
      <c r="L1588" s="2854"/>
    </row>
    <row r="1589" spans="1:12">
      <c r="A1589" s="2837"/>
      <c r="B1589" s="302" t="str">
        <f>крыша!A469</f>
        <v>кронштейн для желоба</v>
      </c>
      <c r="C1589" s="2890" t="str">
        <f>крыша!B469</f>
        <v>шт</v>
      </c>
      <c r="D1589" s="302">
        <f>крыша!C469</f>
        <v>129.16666666666666</v>
      </c>
      <c r="E1589" s="302">
        <f>крыша!D469</f>
        <v>130</v>
      </c>
      <c r="F1589" s="302"/>
      <c r="G1589" s="275">
        <f t="shared" si="239"/>
        <v>16791.666666666664</v>
      </c>
      <c r="H1589" s="96">
        <f t="shared" si="240"/>
        <v>0</v>
      </c>
      <c r="I1589" s="2911">
        <f t="shared" si="241"/>
        <v>0</v>
      </c>
      <c r="J1589" s="2863"/>
      <c r="K1589" s="223">
        <f t="shared" si="242"/>
        <v>129.16666666666666</v>
      </c>
      <c r="L1589" s="2854"/>
    </row>
    <row r="1590" spans="1:12">
      <c r="A1590" s="2837"/>
      <c r="B1590" s="302" t="str">
        <f>крыша!A470</f>
        <v>переход из желоба в трубу</v>
      </c>
      <c r="C1590" s="2890" t="str">
        <f>крыша!B470</f>
        <v>шт</v>
      </c>
      <c r="D1590" s="302">
        <f>крыша!C470</f>
        <v>4</v>
      </c>
      <c r="E1590" s="302">
        <f>крыша!D470</f>
        <v>350</v>
      </c>
      <c r="F1590" s="302"/>
      <c r="G1590" s="275">
        <f t="shared" si="239"/>
        <v>1400</v>
      </c>
      <c r="H1590" s="96">
        <f t="shared" si="240"/>
        <v>0</v>
      </c>
      <c r="I1590" s="2911">
        <f t="shared" si="241"/>
        <v>0</v>
      </c>
      <c r="J1590" s="2863"/>
      <c r="K1590" s="223">
        <f t="shared" si="242"/>
        <v>4</v>
      </c>
      <c r="L1590" s="2854"/>
    </row>
    <row r="1591" spans="1:12">
      <c r="A1591" s="2837"/>
      <c r="B1591" s="302" t="str">
        <f>крыша!A471</f>
        <v>лента дельта мульти бэнд</v>
      </c>
      <c r="C1591" s="2890" t="str">
        <f>крыша!B471</f>
        <v>шт</v>
      </c>
      <c r="D1591" s="302">
        <f>крыша!C471</f>
        <v>1</v>
      </c>
      <c r="E1591" s="302">
        <f>крыша!D471</f>
        <v>1200</v>
      </c>
      <c r="F1591" s="302"/>
      <c r="G1591" s="275">
        <f t="shared" si="239"/>
        <v>1200</v>
      </c>
      <c r="H1591" s="96">
        <f t="shared" si="240"/>
        <v>0</v>
      </c>
      <c r="I1591" s="2911">
        <f t="shared" si="241"/>
        <v>0</v>
      </c>
      <c r="J1591" s="2863"/>
      <c r="K1591" s="223">
        <f t="shared" si="242"/>
        <v>1</v>
      </c>
      <c r="L1591" s="2854"/>
    </row>
    <row r="1592" spans="1:12">
      <c r="A1592" s="2837"/>
      <c r="B1592" s="302" t="str">
        <f>крыша!A472</f>
        <v>лента дельта sb-60</v>
      </c>
      <c r="C1592" s="2890" t="str">
        <f>крыша!B472</f>
        <v>шт</v>
      </c>
      <c r="D1592" s="302">
        <f>крыша!C472</f>
        <v>15.855683614817959</v>
      </c>
      <c r="E1592" s="302">
        <f>крыша!D472</f>
        <v>1100</v>
      </c>
      <c r="F1592" s="302"/>
      <c r="G1592" s="275">
        <f t="shared" si="239"/>
        <v>17441.251976299754</v>
      </c>
      <c r="H1592" s="96">
        <f t="shared" si="240"/>
        <v>0</v>
      </c>
      <c r="I1592" s="2911">
        <f t="shared" si="241"/>
        <v>0</v>
      </c>
      <c r="J1592" s="2863"/>
      <c r="K1592" s="223">
        <f t="shared" si="242"/>
        <v>15.855683614817959</v>
      </c>
      <c r="L1592" s="2854"/>
    </row>
    <row r="1593" spans="1:12">
      <c r="A1593" s="2837"/>
      <c r="B1593" s="302" t="str">
        <f>крыша!A473</f>
        <v>проходка кровельная, канализационная</v>
      </c>
      <c r="C1593" s="2890" t="str">
        <f>крыша!B473</f>
        <v>шт</v>
      </c>
      <c r="D1593" s="302">
        <f>крыша!C473</f>
        <v>0</v>
      </c>
      <c r="E1593" s="302">
        <f>крыша!D473</f>
        <v>3500</v>
      </c>
      <c r="F1593" s="302"/>
      <c r="G1593" s="275">
        <f t="shared" si="239"/>
        <v>0</v>
      </c>
      <c r="H1593" s="96">
        <f t="shared" si="240"/>
        <v>0</v>
      </c>
      <c r="I1593" s="2911">
        <f t="shared" si="241"/>
        <v>0</v>
      </c>
      <c r="J1593" s="2863"/>
      <c r="K1593" s="223">
        <f t="shared" si="242"/>
        <v>0</v>
      </c>
      <c r="L1593" s="2854"/>
    </row>
    <row r="1594" spans="1:12">
      <c r="A1594" s="2837"/>
      <c r="B1594" s="302" t="str">
        <f>крыша!A474</f>
        <v>проходка кровельная, вентиляционная</v>
      </c>
      <c r="C1594" s="2890" t="str">
        <f>крыша!B474</f>
        <v>шт</v>
      </c>
      <c r="D1594" s="302">
        <f>крыша!C474</f>
        <v>0</v>
      </c>
      <c r="E1594" s="302">
        <f>крыша!D474</f>
        <v>3500</v>
      </c>
      <c r="F1594" s="302"/>
      <c r="G1594" s="275">
        <f t="shared" si="239"/>
        <v>0</v>
      </c>
      <c r="H1594" s="96">
        <f t="shared" si="240"/>
        <v>0</v>
      </c>
      <c r="I1594" s="2911">
        <f t="shared" si="241"/>
        <v>0</v>
      </c>
      <c r="J1594" s="2863"/>
      <c r="K1594" s="223">
        <f t="shared" si="242"/>
        <v>0</v>
      </c>
      <c r="L1594" s="2854"/>
    </row>
    <row r="1595" spans="1:12">
      <c r="A1595" s="2837"/>
      <c r="B1595" s="302" t="str">
        <f>крыша!A475</f>
        <v>проодка кровельная, труба котел</v>
      </c>
      <c r="C1595" s="2890" t="str">
        <f>крыша!B475</f>
        <v>шт</v>
      </c>
      <c r="D1595" s="302">
        <f>крыша!C475</f>
        <v>0</v>
      </c>
      <c r="E1595" s="302">
        <f>крыша!D475</f>
        <v>4500</v>
      </c>
      <c r="F1595" s="302"/>
      <c r="G1595" s="275">
        <f t="shared" si="239"/>
        <v>0</v>
      </c>
      <c r="H1595" s="96">
        <f t="shared" si="240"/>
        <v>0</v>
      </c>
      <c r="I1595" s="2911">
        <f t="shared" si="241"/>
        <v>0</v>
      </c>
      <c r="J1595" s="2863"/>
      <c r="K1595" s="223">
        <f t="shared" si="242"/>
        <v>0</v>
      </c>
      <c r="L1595" s="2854"/>
    </row>
    <row r="1596" spans="1:12">
      <c r="A1596" s="2837"/>
      <c r="B1596" s="302" t="str">
        <f>крыша!A476</f>
        <v>Кровельный саморез</v>
      </c>
      <c r="C1596" s="2890" t="str">
        <f>крыша!B476</f>
        <v>шт</v>
      </c>
      <c r="D1596" s="302">
        <f>крыша!C476</f>
        <v>2854.0230506672324</v>
      </c>
      <c r="E1596" s="302">
        <f>крыша!D476</f>
        <v>2</v>
      </c>
      <c r="F1596" s="302"/>
      <c r="G1596" s="275">
        <f t="shared" si="239"/>
        <v>5708.0461013344648</v>
      </c>
      <c r="H1596" s="96">
        <f t="shared" si="240"/>
        <v>0</v>
      </c>
      <c r="I1596" s="2911">
        <f t="shared" si="241"/>
        <v>0</v>
      </c>
      <c r="J1596" s="2863"/>
      <c r="K1596" s="223">
        <f t="shared" si="242"/>
        <v>2854.0230506672324</v>
      </c>
      <c r="L1596" s="2854"/>
    </row>
    <row r="1597" spans="1:12">
      <c r="A1597" s="2837"/>
      <c r="B1597" s="302" t="str">
        <f>крыша!A477</f>
        <v xml:space="preserve">Гвозди ершоные 3,4 x 60            </v>
      </c>
      <c r="C1597" s="2890" t="str">
        <f>крыша!B477</f>
        <v>кг</v>
      </c>
      <c r="D1597" s="302">
        <f>крыша!C477</f>
        <v>23.188937286671269</v>
      </c>
      <c r="E1597" s="302">
        <f>крыша!D477</f>
        <v>75.510000000000005</v>
      </c>
      <c r="F1597" s="302"/>
      <c r="G1597" s="275">
        <f t="shared" si="239"/>
        <v>1750.9966545165476</v>
      </c>
      <c r="H1597" s="96">
        <f t="shared" si="240"/>
        <v>0</v>
      </c>
      <c r="I1597" s="2911">
        <f t="shared" si="241"/>
        <v>0</v>
      </c>
      <c r="J1597" s="2863"/>
      <c r="K1597" s="223">
        <f t="shared" si="242"/>
        <v>23.188937286671269</v>
      </c>
      <c r="L1597" s="2854"/>
    </row>
    <row r="1598" spans="1:12">
      <c r="A1598" s="2837"/>
      <c r="B1598" s="302" t="str">
        <f>крыша!A478</f>
        <v xml:space="preserve">Гвозди ершоные 2,8 х 90            </v>
      </c>
      <c r="C1598" s="2890" t="str">
        <f>крыша!B478</f>
        <v>кг</v>
      </c>
      <c r="D1598" s="302">
        <f>крыша!C478</f>
        <v>31.96989449186151</v>
      </c>
      <c r="E1598" s="302">
        <f>крыша!D478</f>
        <v>76.489999999999995</v>
      </c>
      <c r="F1598" s="302"/>
      <c r="G1598" s="275">
        <f t="shared" si="239"/>
        <v>2445.3772296824868</v>
      </c>
      <c r="H1598" s="96">
        <f t="shared" si="240"/>
        <v>0</v>
      </c>
      <c r="I1598" s="2911">
        <f t="shared" si="241"/>
        <v>0</v>
      </c>
      <c r="J1598" s="2863"/>
      <c r="K1598" s="223">
        <f t="shared" si="242"/>
        <v>31.96989449186151</v>
      </c>
      <c r="L1598" s="2854"/>
    </row>
    <row r="1599" spans="1:12">
      <c r="A1599" s="2837"/>
      <c r="B1599" s="302" t="str">
        <f>крыша!A479</f>
        <v xml:space="preserve">Пластина соеденительная 100х240х2           </v>
      </c>
      <c r="C1599" s="2890" t="str">
        <f>крыша!B479</f>
        <v>шт</v>
      </c>
      <c r="D1599" s="302">
        <f>крыша!C479</f>
        <v>33.976464888895627</v>
      </c>
      <c r="E1599" s="302">
        <f>крыша!D479</f>
        <v>31.54</v>
      </c>
      <c r="F1599" s="302"/>
      <c r="G1599" s="275">
        <f t="shared" si="239"/>
        <v>1071.6177025957682</v>
      </c>
      <c r="H1599" s="96">
        <f t="shared" si="240"/>
        <v>0</v>
      </c>
      <c r="I1599" s="2911">
        <f t="shared" si="241"/>
        <v>0</v>
      </c>
      <c r="J1599" s="2863"/>
      <c r="K1599" s="223">
        <f t="shared" si="242"/>
        <v>33.976464888895627</v>
      </c>
      <c r="L1599" s="2854"/>
    </row>
    <row r="1600" spans="1:12">
      <c r="A1600" s="2837"/>
      <c r="B1600" s="302" t="str">
        <f>крыша!A480</f>
        <v xml:space="preserve">Уголок усиленный 90х70х55х2,5        </v>
      </c>
      <c r="C1600" s="2890" t="str">
        <f>крыша!B480</f>
        <v>шт</v>
      </c>
      <c r="D1600" s="302">
        <f>крыша!C480</f>
        <v>475.67050844453877</v>
      </c>
      <c r="E1600" s="302">
        <f>крыша!D480</f>
        <v>30</v>
      </c>
      <c r="F1600" s="302"/>
      <c r="G1600" s="275">
        <f t="shared" si="239"/>
        <v>14270.115253336164</v>
      </c>
      <c r="H1600" s="96">
        <f t="shared" si="240"/>
        <v>0</v>
      </c>
      <c r="I1600" s="2911">
        <f t="shared" si="241"/>
        <v>0</v>
      </c>
      <c r="J1600" s="2863"/>
      <c r="K1600" s="223">
        <f t="shared" si="242"/>
        <v>475.67050844453877</v>
      </c>
      <c r="L1600" s="2854"/>
    </row>
    <row r="1601" spans="1:12">
      <c r="A1601" s="2837"/>
      <c r="B1601" s="3278" t="s">
        <v>4640</v>
      </c>
      <c r="C1601" s="3278"/>
      <c r="D1601" s="3278"/>
      <c r="E1601" s="3278"/>
      <c r="F1601" s="2868"/>
      <c r="G1601" s="2315">
        <f>SUM(G1551:G1600)*H1549</f>
        <v>0</v>
      </c>
      <c r="H1601" s="2315">
        <f>SUM(H1551:H1600)</f>
        <v>0</v>
      </c>
      <c r="I1601" s="2911">
        <f t="shared" si="241"/>
        <v>0</v>
      </c>
      <c r="J1601" s="2863"/>
      <c r="K1601" s="223">
        <f t="shared" si="242"/>
        <v>0</v>
      </c>
      <c r="L1601" s="2854"/>
    </row>
    <row r="1602" spans="1:12">
      <c r="A1602" s="2837"/>
      <c r="B1602" s="3279" t="s">
        <v>1409</v>
      </c>
      <c r="C1602" s="3279"/>
      <c r="D1602" s="3279"/>
      <c r="E1602" s="3279"/>
      <c r="F1602" s="2870"/>
      <c r="G1602" s="941"/>
      <c r="H1602" s="2891">
        <f>H1549</f>
        <v>0</v>
      </c>
      <c r="I1602" s="2940">
        <f>H1602</f>
        <v>0</v>
      </c>
      <c r="J1602" s="2892"/>
      <c r="K1602" s="2893"/>
    </row>
    <row r="1603" spans="1:12">
      <c r="A1603" s="2829"/>
      <c r="B1603" s="2763" t="str">
        <f>крыша!G432</f>
        <v>монтаж мауэрлат</v>
      </c>
      <c r="C1603" s="2890" t="str">
        <f>крыша!I432</f>
        <v>м.п.</v>
      </c>
      <c r="D1603" s="302">
        <f>крыша!J432</f>
        <v>139.09265127310908</v>
      </c>
      <c r="E1603" s="179">
        <f>крыша!K432</f>
        <v>250</v>
      </c>
      <c r="F1603" s="179"/>
      <c r="G1603" s="275">
        <f t="shared" ref="G1603:G1620" si="243">IF(F1603&gt;0,D1603*F1603,E1603*D1603)</f>
        <v>34773.162818277269</v>
      </c>
      <c r="H1603" s="2315">
        <f t="shared" ref="H1603:H1620" si="244">D1603*E1603*$H$1602</f>
        <v>0</v>
      </c>
      <c r="I1603" s="2836">
        <f t="shared" ref="I1603:I1621" si="245">IF(G1603&gt;H1603,G1603,H1603)*$H$1549</f>
        <v>0</v>
      </c>
      <c r="J1603" s="2829"/>
      <c r="K1603" s="2837"/>
    </row>
    <row r="1604" spans="1:12">
      <c r="A1604" s="2837"/>
      <c r="B1604" s="2763" t="str">
        <f>крыша!G433</f>
        <v>монтаж стропил</v>
      </c>
      <c r="C1604" s="2890" t="str">
        <f>крыша!I433</f>
        <v>м2</v>
      </c>
      <c r="D1604" s="302">
        <f>крыша!J433</f>
        <v>237.83525422226938</v>
      </c>
      <c r="E1604" s="179">
        <f>крыша!K433</f>
        <v>450</v>
      </c>
      <c r="F1604" s="179"/>
      <c r="G1604" s="275">
        <f t="shared" si="243"/>
        <v>107025.86440002122</v>
      </c>
      <c r="H1604" s="2315">
        <f t="shared" si="244"/>
        <v>0</v>
      </c>
      <c r="I1604" s="2836">
        <f t="shared" si="245"/>
        <v>0</v>
      </c>
      <c r="J1604" s="2829"/>
      <c r="K1604" s="2837"/>
    </row>
    <row r="1605" spans="1:12">
      <c r="A1605" s="2837"/>
      <c r="B1605" s="2763" t="str">
        <f>крыша!G434</f>
        <v>обрешетка</v>
      </c>
      <c r="C1605" s="2890" t="str">
        <f>крыша!I434</f>
        <v>м2</v>
      </c>
      <c r="D1605" s="302">
        <f>крыша!J434</f>
        <v>237.83525422226938</v>
      </c>
      <c r="E1605" s="179">
        <f>крыша!K434</f>
        <v>100</v>
      </c>
      <c r="F1605" s="179"/>
      <c r="G1605" s="275">
        <f t="shared" si="243"/>
        <v>23783.52542222694</v>
      </c>
      <c r="H1605" s="2315">
        <f t="shared" si="244"/>
        <v>0</v>
      </c>
      <c r="I1605" s="2836">
        <f t="shared" si="245"/>
        <v>0</v>
      </c>
      <c r="J1605" s="2829"/>
      <c r="K1605" s="2837"/>
    </row>
    <row r="1606" spans="1:12">
      <c r="A1606" s="2837"/>
      <c r="B1606" s="2763" t="str">
        <f>крыша!G435</f>
        <v>контробеш</v>
      </c>
      <c r="C1606" s="2890" t="str">
        <f>крыша!I435</f>
        <v>м2</v>
      </c>
      <c r="D1606" s="302">
        <f>крыша!J435</f>
        <v>237.83525422226938</v>
      </c>
      <c r="E1606" s="179">
        <f>крыша!K435</f>
        <v>100</v>
      </c>
      <c r="F1606" s="179"/>
      <c r="G1606" s="275">
        <f t="shared" si="243"/>
        <v>23783.52542222694</v>
      </c>
      <c r="H1606" s="2315">
        <f t="shared" si="244"/>
        <v>0</v>
      </c>
      <c r="I1606" s="2836">
        <f t="shared" si="245"/>
        <v>0</v>
      </c>
      <c r="J1606" s="2829"/>
      <c r="K1606" s="2837"/>
    </row>
    <row r="1607" spans="1:12">
      <c r="A1607" s="2837"/>
      <c r="B1607" s="2763" t="str">
        <f>крыша!G436</f>
        <v>мембрана</v>
      </c>
      <c r="C1607" s="2890" t="str">
        <f>крыша!I436</f>
        <v>м2</v>
      </c>
      <c r="D1607" s="302">
        <f>крыша!J436</f>
        <v>237.83525422226938</v>
      </c>
      <c r="E1607" s="179">
        <f>крыша!K436</f>
        <v>100</v>
      </c>
      <c r="F1607" s="179"/>
      <c r="G1607" s="275">
        <f t="shared" si="243"/>
        <v>23783.52542222694</v>
      </c>
      <c r="H1607" s="2315">
        <f t="shared" si="244"/>
        <v>0</v>
      </c>
      <c r="I1607" s="2836">
        <f t="shared" si="245"/>
        <v>0</v>
      </c>
      <c r="J1607" s="2829"/>
      <c r="K1607" s="2837"/>
    </row>
    <row r="1608" spans="1:12">
      <c r="A1608" s="2837"/>
      <c r="B1608" s="2763" t="str">
        <f>крыша!G437</f>
        <v>пароизоляц</v>
      </c>
      <c r="C1608" s="2890" t="str">
        <f>крыша!I437</f>
        <v>м2</v>
      </c>
      <c r="D1608" s="302">
        <f>крыша!J437</f>
        <v>237.83525422226938</v>
      </c>
      <c r="E1608" s="179">
        <f>крыша!K437</f>
        <v>100</v>
      </c>
      <c r="F1608" s="179"/>
      <c r="G1608" s="275">
        <f t="shared" si="243"/>
        <v>23783.52542222694</v>
      </c>
      <c r="H1608" s="2315">
        <f t="shared" si="244"/>
        <v>0</v>
      </c>
      <c r="I1608" s="2836">
        <f t="shared" si="245"/>
        <v>0</v>
      </c>
      <c r="J1608" s="2829"/>
      <c r="K1608" s="2837"/>
    </row>
    <row r="1609" spans="1:12">
      <c r="A1609" s="2837"/>
      <c r="B1609" s="2763" t="str">
        <f>крыша!G438</f>
        <v>утеплитель</v>
      </c>
      <c r="C1609" s="2890" t="str">
        <f>крыша!I438</f>
        <v>м2</v>
      </c>
      <c r="D1609" s="302">
        <f>крыша!J438</f>
        <v>237.83525422226938</v>
      </c>
      <c r="E1609" s="179">
        <f>крыша!K438</f>
        <v>200</v>
      </c>
      <c r="F1609" s="179"/>
      <c r="G1609" s="275">
        <f t="shared" si="243"/>
        <v>47567.050844453879</v>
      </c>
      <c r="H1609" s="2315">
        <f t="shared" si="244"/>
        <v>0</v>
      </c>
      <c r="I1609" s="2836">
        <f t="shared" si="245"/>
        <v>0</v>
      </c>
      <c r="J1609" s="2829"/>
      <c r="K1609" s="2837"/>
    </row>
    <row r="1610" spans="1:12">
      <c r="A1610" s="2837"/>
      <c r="B1610" s="2763" t="str">
        <f>крыша!G439</f>
        <v>Монтаж металлочерепицы</v>
      </c>
      <c r="C1610" s="2890" t="str">
        <f>крыша!I439</f>
        <v>м2</v>
      </c>
      <c r="D1610" s="302">
        <f>крыша!J439</f>
        <v>237.83525422226938</v>
      </c>
      <c r="E1610" s="179">
        <f>крыша!K439</f>
        <v>300</v>
      </c>
      <c r="F1610" s="179"/>
      <c r="G1610" s="275">
        <f t="shared" si="243"/>
        <v>71350.576266680815</v>
      </c>
      <c r="H1610" s="2315">
        <f t="shared" si="244"/>
        <v>0</v>
      </c>
      <c r="I1610" s="2836">
        <f t="shared" si="245"/>
        <v>0</v>
      </c>
      <c r="J1610" s="2829"/>
      <c r="K1610" s="2837"/>
    </row>
    <row r="1611" spans="1:12">
      <c r="A1611" s="2837"/>
      <c r="B1611" s="2763" t="str">
        <f>крыша!G440</f>
        <v>ендова верхняя планка</v>
      </c>
      <c r="C1611" s="2890" t="str">
        <f>крыша!I440</f>
        <v>м.п.</v>
      </c>
      <c r="D1611" s="302">
        <f>крыша!J440</f>
        <v>0</v>
      </c>
      <c r="E1611" s="179">
        <f>крыша!K440</f>
        <v>100</v>
      </c>
      <c r="F1611" s="179"/>
      <c r="G1611" s="275">
        <f t="shared" si="243"/>
        <v>0</v>
      </c>
      <c r="H1611" s="2315">
        <f t="shared" si="244"/>
        <v>0</v>
      </c>
      <c r="I1611" s="2836">
        <f t="shared" si="245"/>
        <v>0</v>
      </c>
      <c r="J1611" s="2829"/>
      <c r="K1611" s="2837"/>
    </row>
    <row r="1612" spans="1:12">
      <c r="A1612" s="2837"/>
      <c r="B1612" s="2763" t="str">
        <f>крыша!G441</f>
        <v>капельник планка</v>
      </c>
      <c r="C1612" s="2890" t="str">
        <f>крыша!I441</f>
        <v>м.п.</v>
      </c>
      <c r="D1612" s="302">
        <f>крыша!J441</f>
        <v>62</v>
      </c>
      <c r="E1612" s="179">
        <f>крыша!K441</f>
        <v>100</v>
      </c>
      <c r="F1612" s="179"/>
      <c r="G1612" s="275">
        <f t="shared" si="243"/>
        <v>6200</v>
      </c>
      <c r="H1612" s="2315">
        <f t="shared" si="244"/>
        <v>0</v>
      </c>
      <c r="I1612" s="2836">
        <f t="shared" si="245"/>
        <v>0</v>
      </c>
      <c r="J1612" s="2829"/>
      <c r="K1612" s="2837"/>
    </row>
    <row r="1613" spans="1:12">
      <c r="A1613" s="2837"/>
      <c r="B1613" s="2763" t="str">
        <f>крыша!G442</f>
        <v>желоб водосточный</v>
      </c>
      <c r="C1613" s="2890" t="str">
        <f>крыша!I442</f>
        <v>м.п.</v>
      </c>
      <c r="D1613" s="302">
        <f>крыша!J442</f>
        <v>51.666666666666671</v>
      </c>
      <c r="E1613" s="179">
        <f>крыша!K442</f>
        <v>300</v>
      </c>
      <c r="F1613" s="179"/>
      <c r="G1613" s="275">
        <f t="shared" si="243"/>
        <v>15500.000000000002</v>
      </c>
      <c r="H1613" s="2315">
        <f t="shared" si="244"/>
        <v>0</v>
      </c>
      <c r="I1613" s="2836">
        <f t="shared" si="245"/>
        <v>0</v>
      </c>
      <c r="J1613" s="2829"/>
      <c r="K1613" s="2837"/>
    </row>
    <row r="1614" spans="1:12">
      <c r="A1614" s="2837"/>
      <c r="B1614" s="2763" t="str">
        <f>крыша!G443</f>
        <v>труба водосточная</v>
      </c>
      <c r="C1614" s="2890" t="str">
        <f>крыша!I443</f>
        <v>м.п.</v>
      </c>
      <c r="D1614" s="302">
        <f>крыша!J443</f>
        <v>62</v>
      </c>
      <c r="E1614" s="179">
        <f>крыша!K443</f>
        <v>300</v>
      </c>
      <c r="F1614" s="179"/>
      <c r="G1614" s="275">
        <f t="shared" si="243"/>
        <v>18600</v>
      </c>
      <c r="H1614" s="2315">
        <f t="shared" si="244"/>
        <v>0</v>
      </c>
      <c r="I1614" s="2836">
        <f t="shared" si="245"/>
        <v>0</v>
      </c>
      <c r="J1614" s="2829"/>
      <c r="K1614" s="2837"/>
    </row>
    <row r="1615" spans="1:12">
      <c r="A1615" s="2837"/>
      <c r="B1615" s="2763" t="str">
        <f>крыша!G444</f>
        <v>карнизная планка</v>
      </c>
      <c r="C1615" s="2890" t="str">
        <f>крыша!I444</f>
        <v>м.п.</v>
      </c>
      <c r="D1615" s="302">
        <f>крыша!J444</f>
        <v>26.90724809414742</v>
      </c>
      <c r="E1615" s="179">
        <f>крыша!K444</f>
        <v>300</v>
      </c>
      <c r="F1615" s="179"/>
      <c r="G1615" s="275">
        <f t="shared" si="243"/>
        <v>8072.174428244226</v>
      </c>
      <c r="H1615" s="2315">
        <f t="shared" si="244"/>
        <v>0</v>
      </c>
      <c r="I1615" s="2836">
        <f t="shared" si="245"/>
        <v>0</v>
      </c>
      <c r="J1615" s="2829"/>
      <c r="K1615" s="2837"/>
    </row>
    <row r="1616" spans="1:12">
      <c r="A1616" s="2837"/>
      <c r="B1616" s="2763" t="str">
        <f>крыша!G445</f>
        <v>конек</v>
      </c>
      <c r="C1616" s="2890" t="str">
        <f>крыша!I445</f>
        <v>м.п.</v>
      </c>
      <c r="D1616" s="302">
        <f>крыша!J445</f>
        <v>6</v>
      </c>
      <c r="E1616" s="179">
        <f>крыша!K445</f>
        <v>300</v>
      </c>
      <c r="F1616" s="179"/>
      <c r="G1616" s="275">
        <f t="shared" si="243"/>
        <v>1800</v>
      </c>
      <c r="H1616" s="2315">
        <f t="shared" si="244"/>
        <v>0</v>
      </c>
      <c r="I1616" s="2836">
        <f t="shared" si="245"/>
        <v>0</v>
      </c>
      <c r="J1616" s="2829"/>
      <c r="K1616" s="2837"/>
    </row>
    <row r="1617" spans="1:12">
      <c r="A1617" s="2837"/>
      <c r="B1617" s="2763" t="str">
        <f>крыша!G446</f>
        <v>Монтаж ондулина</v>
      </c>
      <c r="C1617" s="2890" t="str">
        <f>крыша!I446</f>
        <v>м2</v>
      </c>
      <c r="D1617" s="302">
        <f>крыша!J446</f>
        <v>0</v>
      </c>
      <c r="E1617" s="179">
        <f>крыша!K446</f>
        <v>300</v>
      </c>
      <c r="F1617" s="179"/>
      <c r="G1617" s="275">
        <f t="shared" si="243"/>
        <v>0</v>
      </c>
      <c r="H1617" s="2315">
        <f t="shared" si="244"/>
        <v>0</v>
      </c>
      <c r="I1617" s="2836">
        <f t="shared" si="245"/>
        <v>0</v>
      </c>
      <c r="J1617" s="2829"/>
      <c r="K1617" s="2837"/>
    </row>
    <row r="1618" spans="1:12">
      <c r="A1618" s="2837"/>
      <c r="B1618" s="2763" t="str">
        <f>крыша!G447</f>
        <v>Монтаж фанеры/osb</v>
      </c>
      <c r="C1618" s="2890" t="str">
        <f>крыша!I447</f>
        <v>м2</v>
      </c>
      <c r="D1618" s="302">
        <f>крыша!J447</f>
        <v>0</v>
      </c>
      <c r="E1618" s="179">
        <f>крыша!K447</f>
        <v>200</v>
      </c>
      <c r="F1618" s="179"/>
      <c r="G1618" s="275">
        <f t="shared" si="243"/>
        <v>0</v>
      </c>
      <c r="H1618" s="2315">
        <f t="shared" si="244"/>
        <v>0</v>
      </c>
      <c r="I1618" s="2836">
        <f t="shared" si="245"/>
        <v>0</v>
      </c>
      <c r="J1618" s="2829"/>
      <c r="K1618" s="2837"/>
    </row>
    <row r="1619" spans="1:12">
      <c r="A1619" s="2837"/>
      <c r="B1619" s="2763" t="str">
        <f>крыша!G448</f>
        <v>монтаж подкладочного ковра</v>
      </c>
      <c r="C1619" s="2890" t="str">
        <f>крыша!I448</f>
        <v>м2</v>
      </c>
      <c r="D1619" s="302">
        <f>крыша!J448</f>
        <v>0</v>
      </c>
      <c r="E1619" s="179">
        <f>крыша!K448</f>
        <v>150</v>
      </c>
      <c r="F1619" s="179"/>
      <c r="G1619" s="275">
        <f t="shared" si="243"/>
        <v>0</v>
      </c>
      <c r="H1619" s="2315">
        <f t="shared" si="244"/>
        <v>0</v>
      </c>
      <c r="I1619" s="2836">
        <f t="shared" si="245"/>
        <v>0</v>
      </c>
      <c r="J1619" s="2829"/>
      <c r="K1619" s="2837"/>
    </row>
    <row r="1620" spans="1:12">
      <c r="A1620" s="2837"/>
      <c r="B1620" s="2763" t="str">
        <f>крыша!G449</f>
        <v>Монтаж мягкой кровли</v>
      </c>
      <c r="C1620" s="2890" t="str">
        <f>крыша!I449</f>
        <v>м2</v>
      </c>
      <c r="D1620" s="302">
        <f>крыша!J449</f>
        <v>0</v>
      </c>
      <c r="E1620" s="179">
        <f>крыша!K449</f>
        <v>350</v>
      </c>
      <c r="F1620" s="179"/>
      <c r="G1620" s="275">
        <f t="shared" si="243"/>
        <v>0</v>
      </c>
      <c r="H1620" s="2315">
        <f t="shared" si="244"/>
        <v>0</v>
      </c>
      <c r="I1620" s="2836">
        <f t="shared" si="245"/>
        <v>0</v>
      </c>
      <c r="J1620" s="2829"/>
      <c r="K1620" s="2837"/>
    </row>
    <row r="1621" spans="1:12">
      <c r="A1621" s="2837"/>
      <c r="B1621" s="3278" t="s">
        <v>4641</v>
      </c>
      <c r="C1621" s="3278"/>
      <c r="D1621" s="3278"/>
      <c r="E1621" s="3278"/>
      <c r="F1621" s="2868"/>
      <c r="G1621" s="2315">
        <f>SUM(G1604:G1620)*H1602</f>
        <v>0</v>
      </c>
      <c r="H1621" s="2315">
        <f>SUM(H1604:H1620)</f>
        <v>0</v>
      </c>
      <c r="I1621" s="2836">
        <f t="shared" si="245"/>
        <v>0</v>
      </c>
      <c r="J1621" s="2829"/>
      <c r="K1621" s="2837"/>
    </row>
    <row r="1622" spans="1:12" ht="21">
      <c r="A1622" s="2837"/>
      <c r="B1622" s="3282" t="s">
        <v>4157</v>
      </c>
      <c r="C1622" s="3282"/>
      <c r="D1622" s="3282"/>
      <c r="E1622" s="3282"/>
      <c r="F1622" s="2887"/>
      <c r="G1622" s="941"/>
      <c r="H1622" s="2901">
        <f>дома!G1202</f>
        <v>0</v>
      </c>
      <c r="I1622" s="2940">
        <f>H1622</f>
        <v>0</v>
      </c>
      <c r="J1622" s="2829"/>
      <c r="K1622" s="2837"/>
    </row>
    <row r="1623" spans="1:12">
      <c r="A1623" s="2829"/>
      <c r="B1623" s="3285" t="s">
        <v>2720</v>
      </c>
      <c r="C1623" s="3285"/>
      <c r="D1623" s="3285"/>
      <c r="E1623" s="3285"/>
      <c r="F1623" s="2902"/>
      <c r="G1623" s="941"/>
      <c r="H1623" s="2903">
        <f>H1622</f>
        <v>0</v>
      </c>
      <c r="I1623" s="2940">
        <f>H1623</f>
        <v>0</v>
      </c>
      <c r="J1623" s="2850"/>
      <c r="K1623" s="2851"/>
    </row>
    <row r="1624" spans="1:12">
      <c r="A1624" s="2829"/>
      <c r="B1624" s="302" t="str">
        <f>крыша!A508</f>
        <v>Доска сухая, 200*50мм</v>
      </c>
      <c r="C1624" s="2890" t="str">
        <f>крыша!B508</f>
        <v>м3</v>
      </c>
      <c r="D1624" s="302">
        <f>крыша!C508</f>
        <v>1.2233714629099153</v>
      </c>
      <c r="E1624" s="302">
        <f>крыша!D508</f>
        <v>9000</v>
      </c>
      <c r="F1624" s="302"/>
      <c r="G1624" s="275">
        <f t="shared" ref="G1624:G1663" si="246">IF(F1624&gt;0,D1624*F1624,E1624*D1624)</f>
        <v>11010.343166189237</v>
      </c>
      <c r="H1624" s="96">
        <f t="shared" ref="H1624:H1663" si="247">D1624*E1624*$H$1623</f>
        <v>0</v>
      </c>
      <c r="I1624" s="2911">
        <f t="shared" ref="I1624:I1664" si="248">IF(G1624&gt;H1624,G1624,H1624)*$H$1622</f>
        <v>0</v>
      </c>
      <c r="J1624" s="2863"/>
      <c r="K1624" s="223">
        <f t="shared" ref="K1624:K1664" si="249">D1624-J1624</f>
        <v>1.2233714629099153</v>
      </c>
      <c r="L1624" s="2854"/>
    </row>
    <row r="1625" spans="1:12">
      <c r="A1625" s="2837"/>
      <c r="B1625" s="302" t="str">
        <f>крыша!A509</f>
        <v xml:space="preserve">бугель, доска </v>
      </c>
      <c r="C1625" s="2890" t="str">
        <f>крыша!B509</f>
        <v>м3</v>
      </c>
      <c r="D1625" s="302">
        <f>крыша!C509</f>
        <v>0.2970000000000001</v>
      </c>
      <c r="E1625" s="302">
        <f>крыша!D509</f>
        <v>9000</v>
      </c>
      <c r="F1625" s="302"/>
      <c r="G1625" s="275">
        <f t="shared" si="246"/>
        <v>2673.0000000000009</v>
      </c>
      <c r="H1625" s="96">
        <f t="shared" si="247"/>
        <v>0</v>
      </c>
      <c r="I1625" s="2911">
        <f t="shared" si="248"/>
        <v>0</v>
      </c>
      <c r="J1625" s="2863"/>
      <c r="K1625" s="223">
        <f t="shared" si="249"/>
        <v>0.2970000000000001</v>
      </c>
      <c r="L1625" s="2854"/>
    </row>
    <row r="1626" spans="1:12">
      <c r="A1626" s="2837"/>
      <c r="B1626" s="302" t="str">
        <f>крыша!A510</f>
        <v>стойка под конек</v>
      </c>
      <c r="C1626" s="2890" t="str">
        <f>крыша!B510</f>
        <v>м3</v>
      </c>
      <c r="D1626" s="302">
        <f>крыша!C510</f>
        <v>0.42177087639996641</v>
      </c>
      <c r="E1626" s="302">
        <f>крыша!D510</f>
        <v>9000</v>
      </c>
      <c r="F1626" s="302"/>
      <c r="G1626" s="275">
        <f t="shared" si="246"/>
        <v>3795.9378875996977</v>
      </c>
      <c r="H1626" s="96">
        <f t="shared" si="247"/>
        <v>0</v>
      </c>
      <c r="I1626" s="2911">
        <f t="shared" si="248"/>
        <v>0</v>
      </c>
      <c r="J1626" s="2863"/>
      <c r="K1626" s="223">
        <f t="shared" si="249"/>
        <v>0.42177087639996641</v>
      </c>
      <c r="L1626" s="2854"/>
    </row>
    <row r="1627" spans="1:12">
      <c r="A1627" s="2837"/>
      <c r="B1627" s="302" t="str">
        <f>крыша!A511</f>
        <v>Сосна влаж,100*25мм</v>
      </c>
      <c r="C1627" s="2890" t="str">
        <f>крыша!B511</f>
        <v>м3</v>
      </c>
      <c r="D1627" s="302">
        <f>крыша!C511</f>
        <v>0.50612505167995969</v>
      </c>
      <c r="E1627" s="302">
        <f>крыша!D511</f>
        <v>6500</v>
      </c>
      <c r="F1627" s="302"/>
      <c r="G1627" s="275">
        <f t="shared" si="246"/>
        <v>3289.8128359197381</v>
      </c>
      <c r="H1627" s="96">
        <f t="shared" si="247"/>
        <v>0</v>
      </c>
      <c r="I1627" s="2911">
        <f t="shared" si="248"/>
        <v>0</v>
      </c>
      <c r="J1627" s="2863"/>
      <c r="K1627" s="223">
        <f t="shared" si="249"/>
        <v>0.50612505167995969</v>
      </c>
      <c r="L1627" s="2854"/>
    </row>
    <row r="1628" spans="1:12">
      <c r="A1628" s="2837"/>
      <c r="B1628" s="302" t="str">
        <f>крыша!A512</f>
        <v>Доска сухая, калибр., 35*45мм</v>
      </c>
      <c r="C1628" s="2890" t="str">
        <f>крыша!B512</f>
        <v>шт</v>
      </c>
      <c r="D1628" s="302">
        <f>крыша!C512</f>
        <v>0.11625059780774073</v>
      </c>
      <c r="E1628" s="302">
        <f>крыша!D512</f>
        <v>12500</v>
      </c>
      <c r="F1628" s="302"/>
      <c r="G1628" s="275">
        <f t="shared" si="246"/>
        <v>1453.132472596759</v>
      </c>
      <c r="H1628" s="96">
        <f t="shared" si="247"/>
        <v>0</v>
      </c>
      <c r="I1628" s="2911">
        <f t="shared" si="248"/>
        <v>0</v>
      </c>
      <c r="J1628" s="2863"/>
      <c r="K1628" s="223">
        <f t="shared" si="249"/>
        <v>0.11625059780774073</v>
      </c>
      <c r="L1628" s="2854"/>
    </row>
    <row r="1629" spans="1:12">
      <c r="A1629" s="2837"/>
      <c r="B1629" s="302" t="str">
        <f>крыша!A513</f>
        <v>нет ветроизоляции</v>
      </c>
      <c r="C1629" s="2890" t="str">
        <f>крыша!B513</f>
        <v>м2</v>
      </c>
      <c r="D1629" s="302">
        <f>крыша!C513</f>
        <v>24.04093995479808</v>
      </c>
      <c r="E1629" s="302">
        <f>крыша!D513</f>
        <v>0</v>
      </c>
      <c r="F1629" s="302"/>
      <c r="G1629" s="275">
        <f t="shared" si="246"/>
        <v>0</v>
      </c>
      <c r="H1629" s="96">
        <f t="shared" si="247"/>
        <v>0</v>
      </c>
      <c r="I1629" s="2911">
        <f t="shared" si="248"/>
        <v>0</v>
      </c>
      <c r="J1629" s="2863"/>
      <c r="K1629" s="223">
        <f t="shared" si="249"/>
        <v>24.04093995479808</v>
      </c>
      <c r="L1629" s="2854"/>
    </row>
    <row r="1630" spans="1:12">
      <c r="A1630" s="2837"/>
      <c r="B1630" s="302" t="str">
        <f>крыша!A514</f>
        <v>нет пароизоляции</v>
      </c>
      <c r="C1630" s="2890" t="str">
        <f>крыша!B514</f>
        <v>м2</v>
      </c>
      <c r="D1630" s="302">
        <f>крыша!C514</f>
        <v>22.037528291898244</v>
      </c>
      <c r="E1630" s="302">
        <f>крыша!D514</f>
        <v>0</v>
      </c>
      <c r="F1630" s="302"/>
      <c r="G1630" s="275">
        <f t="shared" si="246"/>
        <v>0</v>
      </c>
      <c r="H1630" s="96">
        <f t="shared" si="247"/>
        <v>0</v>
      </c>
      <c r="I1630" s="2911">
        <f t="shared" si="248"/>
        <v>0</v>
      </c>
      <c r="J1630" s="2863"/>
      <c r="K1630" s="223">
        <f t="shared" si="249"/>
        <v>22.037528291898244</v>
      </c>
      <c r="L1630" s="2854"/>
    </row>
    <row r="1631" spans="1:12">
      <c r="A1631" s="2837"/>
      <c r="B1631" s="302" t="str">
        <f>крыша!A515</f>
        <v>Плитный,28кг/м3, технониколь, 100мм</v>
      </c>
      <c r="C1631" s="2890" t="str">
        <f>крыша!B515</f>
        <v>м3</v>
      </c>
      <c r="D1631" s="302">
        <f>крыша!C515</f>
        <v>2.0034116628998402</v>
      </c>
      <c r="E1631" s="302">
        <f>крыша!D515</f>
        <v>1700</v>
      </c>
      <c r="F1631" s="302"/>
      <c r="G1631" s="275">
        <f t="shared" si="246"/>
        <v>3405.7998269297282</v>
      </c>
      <c r="H1631" s="96">
        <f t="shared" si="247"/>
        <v>0</v>
      </c>
      <c r="I1631" s="2911">
        <f t="shared" si="248"/>
        <v>0</v>
      </c>
      <c r="J1631" s="2863"/>
      <c r="K1631" s="223">
        <f t="shared" si="249"/>
        <v>2.0034116628998402</v>
      </c>
      <c r="L1631" s="2854"/>
    </row>
    <row r="1632" spans="1:12">
      <c r="A1632" s="2837"/>
      <c r="B1632" s="302" t="str">
        <f>крыша!A516</f>
        <v>Металлочерепица</v>
      </c>
      <c r="C1632" s="2890" t="str">
        <f>крыша!B516</f>
        <v>м2</v>
      </c>
      <c r="D1632" s="302">
        <f>крыша!C516</f>
        <v>28.04776328059776</v>
      </c>
      <c r="E1632" s="302">
        <f>крыша!D516</f>
        <v>250</v>
      </c>
      <c r="F1632" s="302"/>
      <c r="G1632" s="275">
        <f t="shared" si="246"/>
        <v>7011.9408201494398</v>
      </c>
      <c r="H1632" s="96">
        <f t="shared" si="247"/>
        <v>0</v>
      </c>
      <c r="I1632" s="2911">
        <f t="shared" si="248"/>
        <v>0</v>
      </c>
      <c r="J1632" s="2863"/>
      <c r="K1632" s="223">
        <f t="shared" si="249"/>
        <v>28.04776328059776</v>
      </c>
      <c r="L1632" s="2854"/>
    </row>
    <row r="1633" spans="1:12">
      <c r="A1633" s="2837"/>
      <c r="B1633" s="302" t="str">
        <f>крыша!A517</f>
        <v>Карнизная планка</v>
      </c>
      <c r="C1633" s="2890" t="str">
        <f>крыша!B517</f>
        <v>м.п.</v>
      </c>
      <c r="D1633" s="302">
        <f>крыша!C517</f>
        <v>4</v>
      </c>
      <c r="E1633" s="302">
        <f>крыша!D517</f>
        <v>200</v>
      </c>
      <c r="F1633" s="302"/>
      <c r="G1633" s="275">
        <f t="shared" si="246"/>
        <v>800</v>
      </c>
      <c r="H1633" s="96">
        <f t="shared" si="247"/>
        <v>0</v>
      </c>
      <c r="I1633" s="2911">
        <f t="shared" si="248"/>
        <v>0</v>
      </c>
      <c r="J1633" s="2863"/>
      <c r="K1633" s="223">
        <f t="shared" si="249"/>
        <v>4</v>
      </c>
      <c r="L1633" s="2854"/>
    </row>
    <row r="1634" spans="1:12">
      <c r="A1634" s="2837"/>
      <c r="B1634" s="302" t="str">
        <f>крыша!A518</f>
        <v>Торцевая планка</v>
      </c>
      <c r="C1634" s="2890" t="str">
        <f>крыша!B518</f>
        <v>м.п.</v>
      </c>
      <c r="D1634" s="302">
        <f>крыша!C518</f>
        <v>10.544271909999159</v>
      </c>
      <c r="E1634" s="302">
        <f>крыша!D518</f>
        <v>200</v>
      </c>
      <c r="F1634" s="302"/>
      <c r="G1634" s="275">
        <f t="shared" si="246"/>
        <v>2108.8543819998317</v>
      </c>
      <c r="H1634" s="96">
        <f t="shared" si="247"/>
        <v>0</v>
      </c>
      <c r="I1634" s="2911">
        <f t="shared" si="248"/>
        <v>0</v>
      </c>
      <c r="J1634" s="2863"/>
      <c r="K1634" s="223">
        <f t="shared" si="249"/>
        <v>10.544271909999159</v>
      </c>
      <c r="L1634" s="2854"/>
    </row>
    <row r="1635" spans="1:12">
      <c r="A1635" s="2837"/>
      <c r="B1635" s="302" t="str">
        <f>крыша!A519</f>
        <v>Конек</v>
      </c>
      <c r="C1635" s="2890" t="str">
        <f>крыша!B519</f>
        <v>м.п.</v>
      </c>
      <c r="D1635" s="302">
        <f>крыша!C519</f>
        <v>4.8</v>
      </c>
      <c r="E1635" s="302">
        <f>крыша!D519</f>
        <v>230</v>
      </c>
      <c r="F1635" s="302"/>
      <c r="G1635" s="275">
        <f t="shared" si="246"/>
        <v>1104</v>
      </c>
      <c r="H1635" s="96">
        <f t="shared" si="247"/>
        <v>0</v>
      </c>
      <c r="I1635" s="2911">
        <f t="shared" si="248"/>
        <v>0</v>
      </c>
      <c r="J1635" s="2863"/>
      <c r="K1635" s="223">
        <f t="shared" si="249"/>
        <v>4.8</v>
      </c>
      <c r="L1635" s="2854"/>
    </row>
    <row r="1636" spans="1:12">
      <c r="A1636" s="2837"/>
      <c r="B1636" s="302" t="str">
        <f>крыша!A520</f>
        <v>Ендова нижняя</v>
      </c>
      <c r="C1636" s="2890" t="str">
        <f>крыша!B520</f>
        <v>м.п.</v>
      </c>
      <c r="D1636" s="302">
        <f>крыша!C520</f>
        <v>12.142616803324158</v>
      </c>
      <c r="E1636" s="302">
        <f>крыша!D520</f>
        <v>160</v>
      </c>
      <c r="F1636" s="302"/>
      <c r="G1636" s="275">
        <f t="shared" si="246"/>
        <v>1942.8186885318653</v>
      </c>
      <c r="H1636" s="96">
        <f t="shared" si="247"/>
        <v>0</v>
      </c>
      <c r="I1636" s="2911">
        <f t="shared" si="248"/>
        <v>0</v>
      </c>
      <c r="J1636" s="2863"/>
      <c r="K1636" s="223">
        <f t="shared" si="249"/>
        <v>12.142616803324158</v>
      </c>
      <c r="L1636" s="2854"/>
    </row>
    <row r="1637" spans="1:12">
      <c r="A1637" s="2837"/>
      <c r="B1637" s="302" t="str">
        <f>крыша!A521</f>
        <v>Ендова верхняя</v>
      </c>
      <c r="C1637" s="2890" t="str">
        <f>крыша!B521</f>
        <v>м.п.</v>
      </c>
      <c r="D1637" s="302">
        <f>крыша!C521</f>
        <v>12.142616803324158</v>
      </c>
      <c r="E1637" s="302">
        <f>крыша!D521</f>
        <v>190</v>
      </c>
      <c r="F1637" s="302"/>
      <c r="G1637" s="275">
        <f t="shared" si="246"/>
        <v>2307.0971926315901</v>
      </c>
      <c r="H1637" s="96">
        <f t="shared" si="247"/>
        <v>0</v>
      </c>
      <c r="I1637" s="2911">
        <f t="shared" si="248"/>
        <v>0</v>
      </c>
      <c r="J1637" s="2863"/>
      <c r="K1637" s="223">
        <f t="shared" si="249"/>
        <v>12.142616803324158</v>
      </c>
      <c r="L1637" s="2854"/>
    </row>
    <row r="1638" spans="1:12">
      <c r="A1638" s="2837"/>
      <c r="B1638" s="302" t="str">
        <f>крыша!A522</f>
        <v>ондулин</v>
      </c>
      <c r="C1638" s="2890" t="str">
        <f>крыша!B522</f>
        <v>м2</v>
      </c>
      <c r="D1638" s="302">
        <f>крыша!C522</f>
        <v>0</v>
      </c>
      <c r="E1638" s="302">
        <f>крыша!D522</f>
        <v>180</v>
      </c>
      <c r="F1638" s="302"/>
      <c r="G1638" s="275">
        <f t="shared" si="246"/>
        <v>0</v>
      </c>
      <c r="H1638" s="96">
        <f t="shared" si="247"/>
        <v>0</v>
      </c>
      <c r="I1638" s="2911">
        <f t="shared" si="248"/>
        <v>0</v>
      </c>
      <c r="J1638" s="2863"/>
      <c r="K1638" s="223">
        <f t="shared" si="249"/>
        <v>0</v>
      </c>
      <c r="L1638" s="2854"/>
    </row>
    <row r="1639" spans="1:12">
      <c r="A1639" s="2837"/>
      <c r="B1639" s="302" t="str">
        <f>крыша!A523</f>
        <v>Карнизная планка</v>
      </c>
      <c r="C1639" s="2890" t="str">
        <f>крыша!B523</f>
        <v>м.п.</v>
      </c>
      <c r="D1639" s="302">
        <f>крыша!C523</f>
        <v>0</v>
      </c>
      <c r="E1639" s="302">
        <f>крыша!D523</f>
        <v>190</v>
      </c>
      <c r="F1639" s="302"/>
      <c r="G1639" s="275">
        <f t="shared" si="246"/>
        <v>0</v>
      </c>
      <c r="H1639" s="96">
        <f t="shared" si="247"/>
        <v>0</v>
      </c>
      <c r="I1639" s="2911">
        <f t="shared" si="248"/>
        <v>0</v>
      </c>
      <c r="J1639" s="2863"/>
      <c r="K1639" s="223">
        <f t="shared" si="249"/>
        <v>0</v>
      </c>
      <c r="L1639" s="2854"/>
    </row>
    <row r="1640" spans="1:12">
      <c r="A1640" s="2837"/>
      <c r="B1640" s="302" t="str">
        <f>крыша!A524</f>
        <v>Торцевая планка</v>
      </c>
      <c r="C1640" s="2890" t="str">
        <f>крыша!B524</f>
        <v>м.п.</v>
      </c>
      <c r="D1640" s="302">
        <f>крыша!C524</f>
        <v>0</v>
      </c>
      <c r="E1640" s="302">
        <f>крыша!D524</f>
        <v>190</v>
      </c>
      <c r="F1640" s="302"/>
      <c r="G1640" s="275">
        <f t="shared" si="246"/>
        <v>0</v>
      </c>
      <c r="H1640" s="96">
        <f t="shared" si="247"/>
        <v>0</v>
      </c>
      <c r="I1640" s="2911">
        <f t="shared" si="248"/>
        <v>0</v>
      </c>
      <c r="J1640" s="2863"/>
      <c r="K1640" s="223">
        <f t="shared" si="249"/>
        <v>0</v>
      </c>
      <c r="L1640" s="2854"/>
    </row>
    <row r="1641" spans="1:12">
      <c r="A1641" s="2837"/>
      <c r="B1641" s="302" t="str">
        <f>крыша!A525</f>
        <v>Конек</v>
      </c>
      <c r="C1641" s="2890" t="str">
        <f>крыша!B525</f>
        <v>м.п.</v>
      </c>
      <c r="D1641" s="302">
        <f>крыша!C525</f>
        <v>0</v>
      </c>
      <c r="E1641" s="302">
        <f>крыша!D525</f>
        <v>200</v>
      </c>
      <c r="F1641" s="302"/>
      <c r="G1641" s="275">
        <f t="shared" si="246"/>
        <v>0</v>
      </c>
      <c r="H1641" s="96">
        <f t="shared" si="247"/>
        <v>0</v>
      </c>
      <c r="I1641" s="2911">
        <f t="shared" si="248"/>
        <v>0</v>
      </c>
      <c r="J1641" s="2863"/>
      <c r="K1641" s="223">
        <f t="shared" si="249"/>
        <v>0</v>
      </c>
      <c r="L1641" s="2854"/>
    </row>
    <row r="1642" spans="1:12">
      <c r="A1642" s="2837"/>
      <c r="B1642" s="302" t="str">
        <f>крыша!A526</f>
        <v>Ендова нижняя</v>
      </c>
      <c r="C1642" s="2890" t="str">
        <f>крыша!B526</f>
        <v>м.п.</v>
      </c>
      <c r="D1642" s="302">
        <f>крыша!C526</f>
        <v>0</v>
      </c>
      <c r="E1642" s="302">
        <f>крыша!D526</f>
        <v>160</v>
      </c>
      <c r="F1642" s="302"/>
      <c r="G1642" s="275">
        <f t="shared" si="246"/>
        <v>0</v>
      </c>
      <c r="H1642" s="96">
        <f t="shared" si="247"/>
        <v>0</v>
      </c>
      <c r="I1642" s="2911">
        <f t="shared" si="248"/>
        <v>0</v>
      </c>
      <c r="J1642" s="2863"/>
      <c r="K1642" s="223">
        <f t="shared" si="249"/>
        <v>0</v>
      </c>
      <c r="L1642" s="2854"/>
    </row>
    <row r="1643" spans="1:12">
      <c r="A1643" s="2837"/>
      <c r="B1643" s="302" t="str">
        <f>крыша!A527</f>
        <v>Ендова верхняя</v>
      </c>
      <c r="C1643" s="2890" t="str">
        <f>крыша!B527</f>
        <v>м.п.</v>
      </c>
      <c r="D1643" s="302">
        <f>крыша!C527</f>
        <v>0</v>
      </c>
      <c r="E1643" s="302">
        <f>крыша!D527</f>
        <v>190</v>
      </c>
      <c r="F1643" s="302"/>
      <c r="G1643" s="275">
        <f t="shared" si="246"/>
        <v>0</v>
      </c>
      <c r="H1643" s="96">
        <f t="shared" si="247"/>
        <v>0</v>
      </c>
      <c r="I1643" s="2911">
        <f t="shared" si="248"/>
        <v>0</v>
      </c>
      <c r="J1643" s="2863"/>
      <c r="K1643" s="223">
        <f t="shared" si="249"/>
        <v>0</v>
      </c>
      <c r="L1643" s="2854"/>
    </row>
    <row r="1644" spans="1:12">
      <c r="A1644" s="2837"/>
      <c r="B1644" s="302" t="str">
        <f>крыша!A528</f>
        <v>Планка примыкания</v>
      </c>
      <c r="C1644" s="2890" t="str">
        <f>крыша!B528</f>
        <v>м.п.</v>
      </c>
      <c r="D1644" s="302">
        <f>крыша!C528</f>
        <v>0</v>
      </c>
      <c r="E1644" s="302">
        <f>крыша!D528</f>
        <v>190</v>
      </c>
      <c r="F1644" s="302"/>
      <c r="G1644" s="275">
        <f t="shared" si="246"/>
        <v>0</v>
      </c>
      <c r="H1644" s="96">
        <f t="shared" si="247"/>
        <v>0</v>
      </c>
      <c r="I1644" s="2911">
        <f t="shared" si="248"/>
        <v>0</v>
      </c>
      <c r="J1644" s="2863"/>
      <c r="K1644" s="223">
        <f t="shared" si="249"/>
        <v>0</v>
      </c>
      <c r="L1644" s="2854"/>
    </row>
    <row r="1645" spans="1:12">
      <c r="A1645" s="2837"/>
      <c r="B1645" s="302" t="str">
        <f>крыша!A529</f>
        <v>Крепеж для ондулина</v>
      </c>
      <c r="C1645" s="2890" t="str">
        <f>крыша!B529</f>
        <v>шт</v>
      </c>
      <c r="D1645" s="302">
        <f>крыша!C529</f>
        <v>0</v>
      </c>
      <c r="E1645" s="302">
        <f>крыша!D529</f>
        <v>4.5</v>
      </c>
      <c r="F1645" s="302"/>
      <c r="G1645" s="275">
        <f t="shared" si="246"/>
        <v>0</v>
      </c>
      <c r="H1645" s="96">
        <f t="shared" si="247"/>
        <v>0</v>
      </c>
      <c r="I1645" s="2911">
        <f t="shared" si="248"/>
        <v>0</v>
      </c>
      <c r="J1645" s="2863"/>
      <c r="K1645" s="223">
        <f t="shared" si="249"/>
        <v>0</v>
      </c>
      <c r="L1645" s="2854"/>
    </row>
    <row r="1646" spans="1:12">
      <c r="A1646" s="2837"/>
      <c r="B1646" s="302" t="str">
        <f>крыша!A530</f>
        <v xml:space="preserve">Фанера Березовая марка ФК - влагостойкая,  18 мм </v>
      </c>
      <c r="C1646" s="2890" t="str">
        <f>крыша!B530</f>
        <v>м2</v>
      </c>
      <c r="D1646" s="302">
        <f>крыша!C530</f>
        <v>22.037528291898244</v>
      </c>
      <c r="E1646" s="302">
        <f>крыша!D530</f>
        <v>533.33333333333337</v>
      </c>
      <c r="F1646" s="302"/>
      <c r="G1646" s="275">
        <f t="shared" si="246"/>
        <v>11753.348422345731</v>
      </c>
      <c r="H1646" s="96">
        <f t="shared" si="247"/>
        <v>0</v>
      </c>
      <c r="I1646" s="2911">
        <f t="shared" si="248"/>
        <v>0</v>
      </c>
      <c r="J1646" s="2863"/>
      <c r="K1646" s="223">
        <f t="shared" si="249"/>
        <v>22.037528291898244</v>
      </c>
      <c r="L1646" s="2854"/>
    </row>
    <row r="1647" spans="1:12">
      <c r="A1647" s="2837"/>
      <c r="B1647" s="302" t="str">
        <f>крыша!A531</f>
        <v>Рядовая черепица</v>
      </c>
      <c r="C1647" s="2890" t="str">
        <f>крыша!B531</f>
        <v>м2</v>
      </c>
      <c r="D1647" s="302">
        <f>крыша!C531</f>
        <v>0</v>
      </c>
      <c r="E1647" s="302">
        <f>крыша!D531</f>
        <v>360</v>
      </c>
      <c r="F1647" s="302"/>
      <c r="G1647" s="275">
        <f t="shared" si="246"/>
        <v>0</v>
      </c>
      <c r="H1647" s="96">
        <f t="shared" si="247"/>
        <v>0</v>
      </c>
      <c r="I1647" s="2911">
        <f t="shared" si="248"/>
        <v>0</v>
      </c>
      <c r="J1647" s="2863"/>
      <c r="K1647" s="223">
        <f t="shared" si="249"/>
        <v>0</v>
      </c>
      <c r="L1647" s="2854"/>
    </row>
    <row r="1648" spans="1:12">
      <c r="A1648" s="2837"/>
      <c r="B1648" s="302" t="str">
        <f>крыша!A532</f>
        <v>Металл оцинк защита (карниз)</v>
      </c>
      <c r="C1648" s="2890" t="str">
        <f>крыша!B532</f>
        <v>м.п.</v>
      </c>
      <c r="D1648" s="302">
        <f>крыша!C532</f>
        <v>0</v>
      </c>
      <c r="E1648" s="302">
        <f>крыша!D532</f>
        <v>200</v>
      </c>
      <c r="F1648" s="302"/>
      <c r="G1648" s="275">
        <f t="shared" si="246"/>
        <v>0</v>
      </c>
      <c r="H1648" s="96">
        <f t="shared" si="247"/>
        <v>0</v>
      </c>
      <c r="I1648" s="2911">
        <f t="shared" si="248"/>
        <v>0</v>
      </c>
      <c r="J1648" s="2863"/>
      <c r="K1648" s="223">
        <f t="shared" si="249"/>
        <v>0</v>
      </c>
      <c r="L1648" s="2854"/>
    </row>
    <row r="1649" spans="1:12">
      <c r="A1649" s="2837"/>
      <c r="B1649" s="302" t="str">
        <f>крыша!A533</f>
        <v>Подкладочный ковер</v>
      </c>
      <c r="C1649" s="2890" t="str">
        <f>крыша!B533</f>
        <v>м.п.</v>
      </c>
      <c r="D1649" s="302">
        <f>крыша!C533</f>
        <v>0</v>
      </c>
      <c r="E1649" s="302">
        <f>крыша!D533</f>
        <v>220</v>
      </c>
      <c r="F1649" s="302"/>
      <c r="G1649" s="275">
        <f t="shared" si="246"/>
        <v>0</v>
      </c>
      <c r="H1649" s="96">
        <f t="shared" si="247"/>
        <v>0</v>
      </c>
      <c r="I1649" s="2911">
        <f t="shared" si="248"/>
        <v>0</v>
      </c>
      <c r="J1649" s="2863"/>
      <c r="K1649" s="223">
        <f t="shared" si="249"/>
        <v>0</v>
      </c>
      <c r="L1649" s="2854"/>
    </row>
    <row r="1650" spans="1:12">
      <c r="A1650" s="2837"/>
      <c r="B1650" s="302" t="str">
        <f>крыша!A534</f>
        <v>Карнизная самоклеющаяся черепица</v>
      </c>
      <c r="C1650" s="2890" t="str">
        <f>крыша!B534</f>
        <v>м.п.</v>
      </c>
      <c r="D1650" s="302">
        <f>крыша!C534</f>
        <v>0</v>
      </c>
      <c r="E1650" s="302">
        <f>крыша!D534</f>
        <v>220</v>
      </c>
      <c r="F1650" s="302"/>
      <c r="G1650" s="275">
        <f t="shared" si="246"/>
        <v>0</v>
      </c>
      <c r="H1650" s="96">
        <f t="shared" si="247"/>
        <v>0</v>
      </c>
      <c r="I1650" s="2911">
        <f t="shared" si="248"/>
        <v>0</v>
      </c>
      <c r="J1650" s="2863"/>
      <c r="K1650" s="223">
        <f t="shared" si="249"/>
        <v>0</v>
      </c>
      <c r="L1650" s="2854"/>
    </row>
    <row r="1651" spans="1:12">
      <c r="A1651" s="2837"/>
      <c r="B1651" s="302" t="str">
        <f>крыша!A535</f>
        <v>Спец ковер ендова нижняя</v>
      </c>
      <c r="C1651" s="2890" t="str">
        <f>крыша!B535</f>
        <v>м.п.</v>
      </c>
      <c r="D1651" s="302">
        <f>крыша!C535</f>
        <v>0</v>
      </c>
      <c r="E1651" s="302">
        <f>крыша!D535</f>
        <v>200</v>
      </c>
      <c r="F1651" s="302"/>
      <c r="G1651" s="275">
        <f t="shared" si="246"/>
        <v>0</v>
      </c>
      <c r="H1651" s="96">
        <f t="shared" si="247"/>
        <v>0</v>
      </c>
      <c r="I1651" s="2911">
        <f t="shared" si="248"/>
        <v>0</v>
      </c>
      <c r="J1651" s="2863"/>
      <c r="K1651" s="223">
        <f t="shared" si="249"/>
        <v>0</v>
      </c>
      <c r="L1651" s="2854"/>
    </row>
    <row r="1652" spans="1:12">
      <c r="A1652" s="2837"/>
      <c r="B1652" s="302" t="str">
        <f>крыша!A536</f>
        <v>Коньковой элемент</v>
      </c>
      <c r="C1652" s="2890" t="str">
        <f>крыша!B536</f>
        <v>м.п.</v>
      </c>
      <c r="D1652" s="302">
        <f>крыша!C536</f>
        <v>0</v>
      </c>
      <c r="E1652" s="302">
        <f>крыша!D536</f>
        <v>250</v>
      </c>
      <c r="F1652" s="302"/>
      <c r="G1652" s="275">
        <f t="shared" si="246"/>
        <v>0</v>
      </c>
      <c r="H1652" s="96">
        <f t="shared" si="247"/>
        <v>0</v>
      </c>
      <c r="I1652" s="2911">
        <f t="shared" si="248"/>
        <v>0</v>
      </c>
      <c r="J1652" s="2863"/>
      <c r="K1652" s="223">
        <f t="shared" si="249"/>
        <v>0</v>
      </c>
      <c r="L1652" s="2854"/>
    </row>
    <row r="1653" spans="1:12">
      <c r="A1653" s="2837"/>
      <c r="B1653" s="302" t="str">
        <f>крыша!A537</f>
        <v>Планка премыкания</v>
      </c>
      <c r="C1653" s="2890" t="str">
        <f>крыша!B537</f>
        <v>м.п.</v>
      </c>
      <c r="D1653" s="302">
        <f>крыша!C537</f>
        <v>0</v>
      </c>
      <c r="E1653" s="302">
        <f>крыша!D537</f>
        <v>200</v>
      </c>
      <c r="F1653" s="302"/>
      <c r="G1653" s="275">
        <f t="shared" si="246"/>
        <v>0</v>
      </c>
      <c r="H1653" s="96">
        <f t="shared" si="247"/>
        <v>0</v>
      </c>
      <c r="I1653" s="2911">
        <f t="shared" si="248"/>
        <v>0</v>
      </c>
      <c r="J1653" s="2863"/>
      <c r="K1653" s="223">
        <f t="shared" si="249"/>
        <v>0</v>
      </c>
      <c r="L1653" s="2854"/>
    </row>
    <row r="1654" spans="1:12">
      <c r="A1654" s="2837"/>
      <c r="B1654" s="302" t="str">
        <f>крыша!A538</f>
        <v>Гвозди для крепления подкладочного ковра</v>
      </c>
      <c r="C1654" s="2890" t="str">
        <f>крыша!B538</f>
        <v>шт</v>
      </c>
      <c r="D1654" s="302">
        <f>крыша!C538</f>
        <v>0</v>
      </c>
      <c r="E1654" s="302">
        <f>крыша!D538</f>
        <v>1.2E-2</v>
      </c>
      <c r="F1654" s="302"/>
      <c r="G1654" s="275">
        <f t="shared" si="246"/>
        <v>0</v>
      </c>
      <c r="H1654" s="96">
        <f t="shared" si="247"/>
        <v>0</v>
      </c>
      <c r="I1654" s="2911">
        <f t="shared" si="248"/>
        <v>0</v>
      </c>
      <c r="J1654" s="2863"/>
      <c r="K1654" s="223">
        <f t="shared" si="249"/>
        <v>0</v>
      </c>
      <c r="L1654" s="2854"/>
    </row>
    <row r="1655" spans="1:12">
      <c r="A1655" s="2837"/>
      <c r="B1655" s="302" t="str">
        <f>крыша!A539</f>
        <v>Гвозди для крепления черепицы</v>
      </c>
      <c r="C1655" s="2890" t="str">
        <f>крыша!B539</f>
        <v>шт</v>
      </c>
      <c r="D1655" s="302">
        <f>крыша!C539</f>
        <v>0</v>
      </c>
      <c r="E1655" s="302">
        <f>крыша!D539</f>
        <v>0.25</v>
      </c>
      <c r="F1655" s="302"/>
      <c r="G1655" s="275">
        <f t="shared" si="246"/>
        <v>0</v>
      </c>
      <c r="H1655" s="96">
        <f t="shared" si="247"/>
        <v>0</v>
      </c>
      <c r="I1655" s="2911">
        <f t="shared" si="248"/>
        <v>0</v>
      </c>
      <c r="J1655" s="2863"/>
      <c r="K1655" s="223">
        <f t="shared" si="249"/>
        <v>0</v>
      </c>
      <c r="L1655" s="2854"/>
    </row>
    <row r="1656" spans="1:12">
      <c r="A1656" s="2837"/>
      <c r="B1656" s="302" t="str">
        <f>крыша!A540</f>
        <v>Клей для монтажа черепицы</v>
      </c>
      <c r="C1656" s="2890" t="str">
        <f>крыша!B540</f>
        <v>кг</v>
      </c>
      <c r="D1656" s="302">
        <f>крыша!C540</f>
        <v>0</v>
      </c>
      <c r="E1656" s="302">
        <f>крыша!D540</f>
        <v>250</v>
      </c>
      <c r="F1656" s="302"/>
      <c r="G1656" s="275">
        <f t="shared" si="246"/>
        <v>0</v>
      </c>
      <c r="H1656" s="96">
        <f t="shared" si="247"/>
        <v>0</v>
      </c>
      <c r="I1656" s="2911">
        <f t="shared" si="248"/>
        <v>0</v>
      </c>
      <c r="J1656" s="2863"/>
      <c r="K1656" s="223">
        <f t="shared" si="249"/>
        <v>0</v>
      </c>
      <c r="L1656" s="2854"/>
    </row>
    <row r="1657" spans="1:12">
      <c r="A1657" s="2837"/>
      <c r="B1657" s="302" t="str">
        <f>крыша!A541</f>
        <v>лента дельта мульти бэнд</v>
      </c>
      <c r="C1657" s="2890" t="str">
        <f>крыша!B541</f>
        <v>шт</v>
      </c>
      <c r="D1657" s="302">
        <f>крыша!C541</f>
        <v>1.6695097190832</v>
      </c>
      <c r="E1657" s="302">
        <f>крыша!D541</f>
        <v>1200</v>
      </c>
      <c r="F1657" s="302"/>
      <c r="G1657" s="275">
        <f t="shared" si="246"/>
        <v>2003.4116628998399</v>
      </c>
      <c r="H1657" s="96">
        <f t="shared" si="247"/>
        <v>0</v>
      </c>
      <c r="I1657" s="2911">
        <f t="shared" si="248"/>
        <v>0</v>
      </c>
      <c r="J1657" s="2863"/>
      <c r="K1657" s="223">
        <f t="shared" si="249"/>
        <v>1.6695097190832</v>
      </c>
      <c r="L1657" s="2854"/>
    </row>
    <row r="1658" spans="1:12">
      <c r="A1658" s="2837"/>
      <c r="B1658" s="302" t="str">
        <f>крыша!A542</f>
        <v>лента дельта sb-60</v>
      </c>
      <c r="C1658" s="2890" t="str">
        <f>крыша!B542</f>
        <v>шт</v>
      </c>
      <c r="D1658" s="302">
        <f>крыша!C542</f>
        <v>0.80136466515993598</v>
      </c>
      <c r="E1658" s="302">
        <f>крыша!D542</f>
        <v>1100</v>
      </c>
      <c r="F1658" s="302"/>
      <c r="G1658" s="275">
        <f t="shared" si="246"/>
        <v>881.50113167592963</v>
      </c>
      <c r="H1658" s="96">
        <f t="shared" si="247"/>
        <v>0</v>
      </c>
      <c r="I1658" s="2911">
        <f t="shared" si="248"/>
        <v>0</v>
      </c>
      <c r="J1658" s="2863"/>
      <c r="K1658" s="223">
        <f t="shared" si="249"/>
        <v>0.80136466515993598</v>
      </c>
      <c r="L1658" s="2854"/>
    </row>
    <row r="1659" spans="1:12">
      <c r="A1659" s="2837"/>
      <c r="B1659" s="302" t="str">
        <f>крыша!A543</f>
        <v>Кровельный саморез</v>
      </c>
      <c r="C1659" s="2890" t="str">
        <f>крыша!B543</f>
        <v>шт</v>
      </c>
      <c r="D1659" s="302">
        <f>крыша!C543</f>
        <v>240.4093995479808</v>
      </c>
      <c r="E1659" s="302">
        <f>крыша!D543</f>
        <v>2</v>
      </c>
      <c r="F1659" s="302"/>
      <c r="G1659" s="275">
        <f t="shared" si="246"/>
        <v>480.81879909596159</v>
      </c>
      <c r="H1659" s="96">
        <f t="shared" si="247"/>
        <v>0</v>
      </c>
      <c r="I1659" s="2911">
        <f t="shared" si="248"/>
        <v>0</v>
      </c>
      <c r="J1659" s="2863"/>
      <c r="K1659" s="223">
        <f t="shared" si="249"/>
        <v>240.4093995479808</v>
      </c>
      <c r="L1659" s="2854"/>
    </row>
    <row r="1660" spans="1:12">
      <c r="A1660" s="2837"/>
      <c r="B1660" s="302" t="str">
        <f>крыша!A544</f>
        <v xml:space="preserve">Гвозди ершоные 3,4 x 60            </v>
      </c>
      <c r="C1660" s="2890" t="str">
        <f>крыша!B544</f>
        <v>кг</v>
      </c>
      <c r="D1660" s="302">
        <f>крыша!C544</f>
        <v>7.5918757751993953</v>
      </c>
      <c r="E1660" s="302">
        <f>крыша!D544</f>
        <v>75.510000000000005</v>
      </c>
      <c r="F1660" s="302"/>
      <c r="G1660" s="275">
        <f t="shared" si="246"/>
        <v>573.26253978530633</v>
      </c>
      <c r="H1660" s="96">
        <f t="shared" si="247"/>
        <v>0</v>
      </c>
      <c r="I1660" s="2911">
        <f t="shared" si="248"/>
        <v>0</v>
      </c>
      <c r="J1660" s="2863"/>
      <c r="K1660" s="223">
        <f t="shared" si="249"/>
        <v>7.5918757751993953</v>
      </c>
      <c r="L1660" s="2854"/>
    </row>
    <row r="1661" spans="1:12">
      <c r="A1661" s="2837"/>
      <c r="B1661" s="302" t="str">
        <f>крыша!A545</f>
        <v xml:space="preserve">Гвозди ершоные 2,8 х 90            </v>
      </c>
      <c r="C1661" s="2890" t="str">
        <f>крыша!B545</f>
        <v>кг</v>
      </c>
      <c r="D1661" s="302">
        <f>крыша!C545</f>
        <v>19.421423393098816</v>
      </c>
      <c r="E1661" s="302">
        <f>крыша!D545</f>
        <v>76.489999999999995</v>
      </c>
      <c r="F1661" s="302"/>
      <c r="G1661" s="275">
        <f t="shared" si="246"/>
        <v>1485.5446753381284</v>
      </c>
      <c r="H1661" s="96">
        <f t="shared" si="247"/>
        <v>0</v>
      </c>
      <c r="I1661" s="2911">
        <f t="shared" si="248"/>
        <v>0</v>
      </c>
      <c r="J1661" s="2863"/>
      <c r="K1661" s="223">
        <f t="shared" si="249"/>
        <v>19.421423393098816</v>
      </c>
      <c r="L1661" s="2854"/>
    </row>
    <row r="1662" spans="1:12">
      <c r="A1662" s="2837"/>
      <c r="B1662" s="302" t="str">
        <f>крыша!A546</f>
        <v xml:space="preserve">Пластина соеденительная 100х240х2           </v>
      </c>
      <c r="C1662" s="2890" t="str">
        <f>крыша!B546</f>
        <v>шт</v>
      </c>
      <c r="D1662" s="302">
        <f>крыша!C546</f>
        <v>18</v>
      </c>
      <c r="E1662" s="302">
        <f>крыша!D546</f>
        <v>31.54</v>
      </c>
      <c r="F1662" s="302"/>
      <c r="G1662" s="275">
        <f t="shared" si="246"/>
        <v>567.72</v>
      </c>
      <c r="H1662" s="96">
        <f t="shared" si="247"/>
        <v>0</v>
      </c>
      <c r="I1662" s="2911">
        <f t="shared" si="248"/>
        <v>0</v>
      </c>
      <c r="J1662" s="2863"/>
      <c r="K1662" s="223">
        <f t="shared" si="249"/>
        <v>18</v>
      </c>
      <c r="L1662" s="2854"/>
    </row>
    <row r="1663" spans="1:12">
      <c r="A1663" s="2837"/>
      <c r="B1663" s="302" t="str">
        <f>крыша!A547</f>
        <v xml:space="preserve">Уголок усиленный 90х70х55х2,5        </v>
      </c>
      <c r="C1663" s="2890" t="str">
        <f>крыша!B547</f>
        <v>шт</v>
      </c>
      <c r="D1663" s="302">
        <f>крыша!C547</f>
        <v>18</v>
      </c>
      <c r="E1663" s="302">
        <f>крыша!D547</f>
        <v>30</v>
      </c>
      <c r="F1663" s="302"/>
      <c r="G1663" s="275">
        <f t="shared" si="246"/>
        <v>540</v>
      </c>
      <c r="H1663" s="96">
        <f t="shared" si="247"/>
        <v>0</v>
      </c>
      <c r="I1663" s="2911">
        <f t="shared" si="248"/>
        <v>0</v>
      </c>
      <c r="J1663" s="2863"/>
      <c r="K1663" s="223">
        <f t="shared" si="249"/>
        <v>18</v>
      </c>
      <c r="L1663" s="2854"/>
    </row>
    <row r="1664" spans="1:12">
      <c r="A1664" s="2837"/>
      <c r="B1664" s="3278" t="s">
        <v>4640</v>
      </c>
      <c r="C1664" s="3278"/>
      <c r="D1664" s="3278"/>
      <c r="E1664" s="3278"/>
      <c r="F1664" s="2868"/>
      <c r="G1664" s="2315">
        <f>SUM(G1624:G1663)*H1622</f>
        <v>0</v>
      </c>
      <c r="H1664" s="2315">
        <f>SUM(H1624:H1663)</f>
        <v>0</v>
      </c>
      <c r="I1664" s="2911">
        <f t="shared" si="248"/>
        <v>0</v>
      </c>
      <c r="J1664" s="2863"/>
      <c r="K1664" s="223">
        <f t="shared" si="249"/>
        <v>0</v>
      </c>
      <c r="L1664" s="2854"/>
    </row>
    <row r="1665" spans="1:11">
      <c r="A1665" s="2837"/>
      <c r="B1665" s="3279" t="s">
        <v>1409</v>
      </c>
      <c r="C1665" s="3279"/>
      <c r="D1665" s="3279"/>
      <c r="E1665" s="3279"/>
      <c r="F1665" s="2870"/>
      <c r="G1665" s="941"/>
      <c r="H1665" s="2891">
        <f>H1622</f>
        <v>0</v>
      </c>
      <c r="I1665" s="2940">
        <f>H1665</f>
        <v>0</v>
      </c>
      <c r="J1665" s="2892"/>
      <c r="K1665" s="2893"/>
    </row>
    <row r="1666" spans="1:11">
      <c r="A1666" s="2829"/>
      <c r="B1666" s="2763" t="str">
        <f>крыша!G508</f>
        <v>монтаж стропил</v>
      </c>
      <c r="C1666" s="2890" t="s">
        <v>133</v>
      </c>
      <c r="D1666" s="302">
        <f>крыша!J508</f>
        <v>20.034116628998401</v>
      </c>
      <c r="E1666" s="179">
        <f>крыша!K508</f>
        <v>450</v>
      </c>
      <c r="F1666" s="179"/>
      <c r="G1666" s="275">
        <f t="shared" ref="G1666:G1678" si="250">IF(F1666&gt;0,D1666*F1666,E1666*D1666)</f>
        <v>9015.3524830492806</v>
      </c>
      <c r="H1666" s="2315">
        <f t="shared" ref="H1666:H1678" si="251">D1666*E1666*$H$1665</f>
        <v>0</v>
      </c>
      <c r="I1666" s="2836">
        <f t="shared" ref="I1666:I1679" si="252">IF(G1666&gt;H1666,G1666,H1666)*$H$1622</f>
        <v>0</v>
      </c>
      <c r="J1666" s="2829"/>
      <c r="K1666" s="2837"/>
    </row>
    <row r="1667" spans="1:11">
      <c r="A1667" s="2837"/>
      <c r="B1667" s="2763" t="str">
        <f>крыша!G509</f>
        <v>обрешетка</v>
      </c>
      <c r="C1667" s="2890" t="s">
        <v>133</v>
      </c>
      <c r="D1667" s="302">
        <f>крыша!J509</f>
        <v>20.034116628998401</v>
      </c>
      <c r="E1667" s="179">
        <f>крыша!K509</f>
        <v>100</v>
      </c>
      <c r="F1667" s="179"/>
      <c r="G1667" s="275">
        <f t="shared" si="250"/>
        <v>2003.4116628998402</v>
      </c>
      <c r="H1667" s="2315">
        <f t="shared" si="251"/>
        <v>0</v>
      </c>
      <c r="I1667" s="2836">
        <f t="shared" si="252"/>
        <v>0</v>
      </c>
      <c r="J1667" s="2829"/>
      <c r="K1667" s="2837"/>
    </row>
    <row r="1668" spans="1:11">
      <c r="A1668" s="2837"/>
      <c r="B1668" s="2763" t="str">
        <f>крыша!G510</f>
        <v>контробеш</v>
      </c>
      <c r="C1668" s="2890" t="s">
        <v>133</v>
      </c>
      <c r="D1668" s="302">
        <f>крыша!J510</f>
        <v>20.034116628998401</v>
      </c>
      <c r="E1668" s="179">
        <f>крыша!K510</f>
        <v>100</v>
      </c>
      <c r="F1668" s="179"/>
      <c r="G1668" s="275">
        <f t="shared" si="250"/>
        <v>2003.4116628998402</v>
      </c>
      <c r="H1668" s="2315">
        <f t="shared" si="251"/>
        <v>0</v>
      </c>
      <c r="I1668" s="2836">
        <f t="shared" si="252"/>
        <v>0</v>
      </c>
      <c r="J1668" s="2829"/>
      <c r="K1668" s="2837"/>
    </row>
    <row r="1669" spans="1:11">
      <c r="A1669" s="2837"/>
      <c r="B1669" s="2763" t="str">
        <f>крыша!G511</f>
        <v>мембрана</v>
      </c>
      <c r="C1669" s="2890" t="s">
        <v>133</v>
      </c>
      <c r="D1669" s="302">
        <f>крыша!J511</f>
        <v>0</v>
      </c>
      <c r="E1669" s="179">
        <f>крыша!K511</f>
        <v>100</v>
      </c>
      <c r="F1669" s="179"/>
      <c r="G1669" s="275">
        <f t="shared" si="250"/>
        <v>0</v>
      </c>
      <c r="H1669" s="2315">
        <f t="shared" si="251"/>
        <v>0</v>
      </c>
      <c r="I1669" s="2836">
        <f t="shared" si="252"/>
        <v>0</v>
      </c>
      <c r="J1669" s="2829"/>
      <c r="K1669" s="2837"/>
    </row>
    <row r="1670" spans="1:11">
      <c r="A1670" s="2837"/>
      <c r="B1670" s="2763" t="str">
        <f>крыша!G512</f>
        <v>пароизоляц</v>
      </c>
      <c r="C1670" s="2890" t="s">
        <v>133</v>
      </c>
      <c r="D1670" s="302">
        <f>крыша!J512</f>
        <v>0</v>
      </c>
      <c r="E1670" s="179">
        <f>крыша!K512</f>
        <v>100</v>
      </c>
      <c r="F1670" s="179"/>
      <c r="G1670" s="275">
        <f t="shared" si="250"/>
        <v>0</v>
      </c>
      <c r="H1670" s="2315">
        <f t="shared" si="251"/>
        <v>0</v>
      </c>
      <c r="I1670" s="2836">
        <f t="shared" si="252"/>
        <v>0</v>
      </c>
      <c r="J1670" s="2829"/>
      <c r="K1670" s="2837"/>
    </row>
    <row r="1671" spans="1:11">
      <c r="A1671" s="2837"/>
      <c r="B1671" s="2763" t="str">
        <f>крыша!G513</f>
        <v>утеплитель</v>
      </c>
      <c r="C1671" s="2890" t="s">
        <v>133</v>
      </c>
      <c r="D1671" s="302">
        <f>крыша!J513</f>
        <v>20.034116628998401</v>
      </c>
      <c r="E1671" s="179">
        <f>крыша!K513</f>
        <v>200</v>
      </c>
      <c r="F1671" s="179"/>
      <c r="G1671" s="275">
        <f t="shared" si="250"/>
        <v>4006.8233257996803</v>
      </c>
      <c r="H1671" s="2315">
        <f t="shared" si="251"/>
        <v>0</v>
      </c>
      <c r="I1671" s="2836">
        <f t="shared" si="252"/>
        <v>0</v>
      </c>
      <c r="J1671" s="2829"/>
      <c r="K1671" s="2837"/>
    </row>
    <row r="1672" spans="1:11">
      <c r="A1672" s="2837"/>
      <c r="B1672" s="2763" t="str">
        <f>крыша!G514</f>
        <v>Монтаж металлочерепицы</v>
      </c>
      <c r="C1672" s="2890" t="s">
        <v>133</v>
      </c>
      <c r="D1672" s="302">
        <f>крыша!J514</f>
        <v>20.034116628998401</v>
      </c>
      <c r="E1672" s="179">
        <f>крыша!K514</f>
        <v>300</v>
      </c>
      <c r="F1672" s="179"/>
      <c r="G1672" s="275">
        <f t="shared" si="250"/>
        <v>6010.2349886995207</v>
      </c>
      <c r="H1672" s="2315">
        <f t="shared" si="251"/>
        <v>0</v>
      </c>
      <c r="I1672" s="2836">
        <f t="shared" si="252"/>
        <v>0</v>
      </c>
      <c r="J1672" s="2829"/>
      <c r="K1672" s="2837"/>
    </row>
    <row r="1673" spans="1:11">
      <c r="A1673" s="2837"/>
      <c r="B1673" s="2763" t="str">
        <f>крыша!G515</f>
        <v>карнизная планка</v>
      </c>
      <c r="C1673" s="2890" t="s">
        <v>156</v>
      </c>
      <c r="D1673" s="302">
        <f>крыша!J515</f>
        <v>4</v>
      </c>
      <c r="E1673" s="179">
        <f>крыша!K515</f>
        <v>100</v>
      </c>
      <c r="F1673" s="179"/>
      <c r="G1673" s="275">
        <f t="shared" si="250"/>
        <v>400</v>
      </c>
      <c r="H1673" s="2315">
        <f t="shared" si="251"/>
        <v>0</v>
      </c>
      <c r="I1673" s="2836">
        <f t="shared" si="252"/>
        <v>0</v>
      </c>
      <c r="J1673" s="2829"/>
      <c r="K1673" s="2837"/>
    </row>
    <row r="1674" spans="1:11">
      <c r="A1674" s="2837"/>
      <c r="B1674" s="2763" t="str">
        <f>крыша!G516</f>
        <v>торцевая планка</v>
      </c>
      <c r="C1674" s="2890" t="s">
        <v>156</v>
      </c>
      <c r="D1674" s="302">
        <f>крыша!J516</f>
        <v>10.544271909999159</v>
      </c>
      <c r="E1674" s="179">
        <f>крыша!K516</f>
        <v>100</v>
      </c>
      <c r="F1674" s="179"/>
      <c r="G1674" s="275">
        <f t="shared" si="250"/>
        <v>1054.4271909999159</v>
      </c>
      <c r="H1674" s="2315">
        <f t="shared" si="251"/>
        <v>0</v>
      </c>
      <c r="I1674" s="2836">
        <f t="shared" si="252"/>
        <v>0</v>
      </c>
      <c r="J1674" s="2829"/>
      <c r="K1674" s="2837"/>
    </row>
    <row r="1675" spans="1:11">
      <c r="A1675" s="2837"/>
      <c r="B1675" s="2763" t="str">
        <f>крыша!G517</f>
        <v>Монтаж ондулина</v>
      </c>
      <c r="C1675" s="2890" t="s">
        <v>133</v>
      </c>
      <c r="D1675" s="302">
        <f>крыша!J517</f>
        <v>0</v>
      </c>
      <c r="E1675" s="179">
        <f>крыша!K517</f>
        <v>300</v>
      </c>
      <c r="F1675" s="179"/>
      <c r="G1675" s="275">
        <f t="shared" si="250"/>
        <v>0</v>
      </c>
      <c r="H1675" s="2315">
        <f t="shared" si="251"/>
        <v>0</v>
      </c>
      <c r="I1675" s="2836">
        <f t="shared" si="252"/>
        <v>0</v>
      </c>
      <c r="J1675" s="2829"/>
      <c r="K1675" s="2837"/>
    </row>
    <row r="1676" spans="1:11">
      <c r="A1676" s="2837"/>
      <c r="B1676" s="2763" t="str">
        <f>крыша!G518</f>
        <v>Монтаж фанеры/osb</v>
      </c>
      <c r="C1676" s="2890" t="s">
        <v>133</v>
      </c>
      <c r="D1676" s="302">
        <f>крыша!J518</f>
        <v>20.034116628998401</v>
      </c>
      <c r="E1676" s="179">
        <f>крыша!K518</f>
        <v>200</v>
      </c>
      <c r="F1676" s="179"/>
      <c r="G1676" s="275">
        <f t="shared" si="250"/>
        <v>4006.8233257996803</v>
      </c>
      <c r="H1676" s="2315">
        <f t="shared" si="251"/>
        <v>0</v>
      </c>
      <c r="I1676" s="2836">
        <f t="shared" si="252"/>
        <v>0</v>
      </c>
      <c r="J1676" s="2829"/>
      <c r="K1676" s="2837"/>
    </row>
    <row r="1677" spans="1:11">
      <c r="A1677" s="2837"/>
      <c r="B1677" s="2763" t="str">
        <f>крыша!G519</f>
        <v>монтаж подкладочного ковра</v>
      </c>
      <c r="C1677" s="2890" t="s">
        <v>133</v>
      </c>
      <c r="D1677" s="302">
        <f>крыша!J519</f>
        <v>0</v>
      </c>
      <c r="E1677" s="179">
        <f>крыша!K519</f>
        <v>150</v>
      </c>
      <c r="F1677" s="179"/>
      <c r="G1677" s="275">
        <f t="shared" si="250"/>
        <v>0</v>
      </c>
      <c r="H1677" s="2315">
        <f t="shared" si="251"/>
        <v>0</v>
      </c>
      <c r="I1677" s="2836">
        <f t="shared" si="252"/>
        <v>0</v>
      </c>
      <c r="J1677" s="2829"/>
      <c r="K1677" s="2837"/>
    </row>
    <row r="1678" spans="1:11">
      <c r="A1678" s="2837"/>
      <c r="B1678" s="2763" t="str">
        <f>крыша!G520</f>
        <v>Монтаж мягкой кровли</v>
      </c>
      <c r="C1678" s="2890" t="s">
        <v>133</v>
      </c>
      <c r="D1678" s="302">
        <f>крыша!J520</f>
        <v>0</v>
      </c>
      <c r="E1678" s="179">
        <f>крыша!K520</f>
        <v>350</v>
      </c>
      <c r="F1678" s="179"/>
      <c r="G1678" s="275">
        <f t="shared" si="250"/>
        <v>0</v>
      </c>
      <c r="H1678" s="2315">
        <f t="shared" si="251"/>
        <v>0</v>
      </c>
      <c r="I1678" s="2836">
        <f t="shared" si="252"/>
        <v>0</v>
      </c>
      <c r="J1678" s="2829"/>
      <c r="K1678" s="2837"/>
    </row>
    <row r="1679" spans="1:11">
      <c r="A1679" s="2837"/>
      <c r="B1679" s="3278" t="s">
        <v>4641</v>
      </c>
      <c r="C1679" s="3278"/>
      <c r="D1679" s="3278"/>
      <c r="E1679" s="3278"/>
      <c r="F1679" s="2868"/>
      <c r="G1679" s="2315">
        <f>SUM(G1666:G1678)*H1665</f>
        <v>0</v>
      </c>
      <c r="H1679" s="2315">
        <f>SUM(H1666:H1678)</f>
        <v>0</v>
      </c>
      <c r="I1679" s="2836">
        <f t="shared" si="252"/>
        <v>0</v>
      </c>
      <c r="J1679" s="2829"/>
      <c r="K1679" s="2837"/>
    </row>
    <row r="1680" spans="1:11" ht="21">
      <c r="A1680" s="2837"/>
      <c r="B1680" s="3296" t="s">
        <v>4662</v>
      </c>
      <c r="C1680" s="3296"/>
      <c r="D1680" s="3296"/>
      <c r="E1680" s="3296"/>
      <c r="F1680" s="2955"/>
      <c r="G1680" s="941"/>
      <c r="H1680" s="2956">
        <f>пристройка!D2</f>
        <v>0</v>
      </c>
      <c r="I1680" s="2940">
        <f>H1680</f>
        <v>0</v>
      </c>
      <c r="J1680" s="2829"/>
      <c r="K1680" s="2837"/>
    </row>
    <row r="1681" spans="1:12">
      <c r="A1681" s="2829"/>
      <c r="B1681" s="3285" t="s">
        <v>2720</v>
      </c>
      <c r="C1681" s="3285"/>
      <c r="D1681" s="3285"/>
      <c r="E1681" s="3285"/>
      <c r="F1681" s="2910"/>
      <c r="G1681" s="941"/>
      <c r="H1681" s="2903">
        <f>H1680</f>
        <v>0</v>
      </c>
      <c r="I1681" s="2940">
        <f>H1681</f>
        <v>0</v>
      </c>
      <c r="J1681" s="2850"/>
      <c r="K1681" s="2851"/>
    </row>
    <row r="1682" spans="1:12">
      <c r="A1682" s="2829"/>
      <c r="B1682" s="302" t="str">
        <f>пристройка!A210</f>
        <v>Доска сухая калиброванная, 190*45мм</v>
      </c>
      <c r="C1682" s="2890" t="str">
        <f>пристройка!B210</f>
        <v>м3</v>
      </c>
      <c r="D1682" s="302">
        <f>пристройка!C210</f>
        <v>0</v>
      </c>
      <c r="E1682" s="179">
        <f>пристройка!D210</f>
        <v>12500</v>
      </c>
      <c r="F1682" s="179"/>
      <c r="G1682" s="275">
        <f t="shared" ref="G1682:G1728" si="253">IF(F1682&gt;0,D1682*F1682,E1682*D1682)</f>
        <v>0</v>
      </c>
      <c r="H1682" s="96">
        <f t="shared" ref="H1682:H1728" si="254">D1682*E1682*$H$1681</f>
        <v>0</v>
      </c>
      <c r="I1682" s="2911">
        <f t="shared" ref="I1682:I1729" si="255">IF(G1682&gt;H1682,G1682,H1682)*$H$1680</f>
        <v>0</v>
      </c>
      <c r="J1682" s="2863"/>
      <c r="K1682" s="223">
        <f t="shared" ref="K1682:K1729" si="256">D1682-J1682</f>
        <v>0</v>
      </c>
      <c r="L1682" s="2854"/>
    </row>
    <row r="1683" spans="1:12">
      <c r="A1683" s="2837"/>
      <c r="B1683" s="302" t="str">
        <f>пристройка!A211</f>
        <v xml:space="preserve">Болты анкерные с гайкой 12,0 х 280          </v>
      </c>
      <c r="C1683" s="2890" t="str">
        <f>пристройка!B211</f>
        <v>шт</v>
      </c>
      <c r="D1683" s="302">
        <f>пристройка!C211</f>
        <v>0</v>
      </c>
      <c r="E1683" s="179">
        <f>пристройка!D211</f>
        <v>27.1</v>
      </c>
      <c r="F1683" s="179"/>
      <c r="G1683" s="275">
        <f t="shared" si="253"/>
        <v>0</v>
      </c>
      <c r="H1683" s="96">
        <f t="shared" si="254"/>
        <v>0</v>
      </c>
      <c r="I1683" s="2911">
        <f t="shared" si="255"/>
        <v>0</v>
      </c>
      <c r="J1683" s="2863"/>
      <c r="K1683" s="223">
        <f t="shared" si="256"/>
        <v>0</v>
      </c>
      <c r="L1683" s="2854"/>
    </row>
    <row r="1684" spans="1:12">
      <c r="A1684" s="2837"/>
      <c r="B1684" s="302" t="str">
        <f>пристройка!A212</f>
        <v>Доска сухая, 200*50мм</v>
      </c>
      <c r="C1684" s="2890" t="str">
        <f>пристройка!B212</f>
        <v>м3</v>
      </c>
      <c r="D1684" s="302">
        <f>пристройка!C212</f>
        <v>0</v>
      </c>
      <c r="E1684" s="179">
        <f>пристройка!D212</f>
        <v>9000</v>
      </c>
      <c r="F1684" s="179"/>
      <c r="G1684" s="275">
        <f t="shared" si="253"/>
        <v>0</v>
      </c>
      <c r="H1684" s="96">
        <f t="shared" si="254"/>
        <v>0</v>
      </c>
      <c r="I1684" s="2911">
        <f t="shared" si="255"/>
        <v>0</v>
      </c>
      <c r="J1684" s="2863"/>
      <c r="K1684" s="223">
        <f t="shared" si="256"/>
        <v>0</v>
      </c>
      <c r="L1684" s="2854"/>
    </row>
    <row r="1685" spans="1:12">
      <c r="A1685" s="2837"/>
      <c r="B1685" s="302" t="str">
        <f>пристройка!A213</f>
        <v xml:space="preserve">бугель, доска </v>
      </c>
      <c r="C1685" s="2890" t="str">
        <f>пристройка!B213</f>
        <v>м3</v>
      </c>
      <c r="D1685" s="302">
        <f>пристройка!C213</f>
        <v>0</v>
      </c>
      <c r="E1685" s="179">
        <f>пристройка!D213</f>
        <v>9000</v>
      </c>
      <c r="F1685" s="179"/>
      <c r="G1685" s="275">
        <f t="shared" si="253"/>
        <v>0</v>
      </c>
      <c r="H1685" s="96">
        <f t="shared" si="254"/>
        <v>0</v>
      </c>
      <c r="I1685" s="2911">
        <f t="shared" si="255"/>
        <v>0</v>
      </c>
      <c r="J1685" s="2863"/>
      <c r="K1685" s="223">
        <f t="shared" si="256"/>
        <v>0</v>
      </c>
      <c r="L1685" s="2854"/>
    </row>
    <row r="1686" spans="1:12">
      <c r="A1686" s="2837"/>
      <c r="B1686" s="302" t="str">
        <f>пристройка!A214</f>
        <v>Сосна влаж,100*25мм</v>
      </c>
      <c r="C1686" s="2890" t="str">
        <f>пристройка!B214</f>
        <v>м3</v>
      </c>
      <c r="D1686" s="302">
        <f>пристройка!C214</f>
        <v>0</v>
      </c>
      <c r="E1686" s="179">
        <f>пристройка!D214</f>
        <v>6500</v>
      </c>
      <c r="F1686" s="179"/>
      <c r="G1686" s="275">
        <f t="shared" si="253"/>
        <v>0</v>
      </c>
      <c r="H1686" s="96">
        <f t="shared" si="254"/>
        <v>0</v>
      </c>
      <c r="I1686" s="2911">
        <f t="shared" si="255"/>
        <v>0</v>
      </c>
      <c r="J1686" s="2863"/>
      <c r="K1686" s="223">
        <f t="shared" si="256"/>
        <v>0</v>
      </c>
      <c r="L1686" s="2854"/>
    </row>
    <row r="1687" spans="1:12">
      <c r="A1687" s="2837"/>
      <c r="B1687" s="302" t="str">
        <f>пристройка!A215</f>
        <v>Доска сухая, калибр., 35*45мм</v>
      </c>
      <c r="C1687" s="2890" t="str">
        <f>пристройка!B215</f>
        <v>шт</v>
      </c>
      <c r="D1687" s="302">
        <f>пристройка!C215</f>
        <v>0</v>
      </c>
      <c r="E1687" s="179">
        <f>пристройка!D215</f>
        <v>12500</v>
      </c>
      <c r="F1687" s="179"/>
      <c r="G1687" s="275">
        <f t="shared" si="253"/>
        <v>0</v>
      </c>
      <c r="H1687" s="96">
        <f t="shared" si="254"/>
        <v>0</v>
      </c>
      <c r="I1687" s="2911">
        <f t="shared" si="255"/>
        <v>0</v>
      </c>
      <c r="J1687" s="2863"/>
      <c r="K1687" s="223">
        <f t="shared" si="256"/>
        <v>0</v>
      </c>
      <c r="L1687" s="2854"/>
    </row>
    <row r="1688" spans="1:12">
      <c r="A1688" s="2837"/>
      <c r="B1688" s="302" t="str">
        <f>пристройка!A216</f>
        <v>Мембраны Tyvek Soft</v>
      </c>
      <c r="C1688" s="2890" t="str">
        <f>пристройка!B216</f>
        <v>м2</v>
      </c>
      <c r="D1688" s="302">
        <f>пристройка!C216</f>
        <v>0</v>
      </c>
      <c r="E1688" s="302">
        <f>пристройка!D216</f>
        <v>86</v>
      </c>
      <c r="F1688" s="302"/>
      <c r="G1688" s="275">
        <f t="shared" si="253"/>
        <v>0</v>
      </c>
      <c r="H1688" s="96">
        <f t="shared" si="254"/>
        <v>0</v>
      </c>
      <c r="I1688" s="2911">
        <f t="shared" si="255"/>
        <v>0</v>
      </c>
      <c r="J1688" s="2863"/>
      <c r="K1688" s="223">
        <f t="shared" si="256"/>
        <v>0</v>
      </c>
      <c r="L1688" s="2854"/>
    </row>
    <row r="1689" spans="1:12">
      <c r="A1689" s="2837"/>
      <c r="B1689" s="302" t="str">
        <f>пристройка!A217</f>
        <v>Пленка Delta-Reflex</v>
      </c>
      <c r="C1689" s="2890" t="str">
        <f>пристройка!B217</f>
        <v>м2</v>
      </c>
      <c r="D1689" s="302">
        <f>пристройка!C217</f>
        <v>0</v>
      </c>
      <c r="E1689" s="302">
        <f>пристройка!D217</f>
        <v>156</v>
      </c>
      <c r="F1689" s="302"/>
      <c r="G1689" s="275">
        <f t="shared" si="253"/>
        <v>0</v>
      </c>
      <c r="H1689" s="96">
        <f t="shared" si="254"/>
        <v>0</v>
      </c>
      <c r="I1689" s="2911">
        <f t="shared" si="255"/>
        <v>0</v>
      </c>
      <c r="J1689" s="2863"/>
      <c r="K1689" s="223">
        <f t="shared" si="256"/>
        <v>0</v>
      </c>
      <c r="L1689" s="2854"/>
    </row>
    <row r="1690" spans="1:12">
      <c r="A1690" s="2837"/>
      <c r="B1690" s="302" t="str">
        <f>пристройка!A218</f>
        <v>Плитный,28кг/м3, технониколь, 200мм</v>
      </c>
      <c r="C1690" s="2890" t="str">
        <f>пристройка!B218</f>
        <v>м3</v>
      </c>
      <c r="D1690" s="302">
        <f>пристройка!C218</f>
        <v>0</v>
      </c>
      <c r="E1690" s="302">
        <f>пристройка!D218</f>
        <v>1700</v>
      </c>
      <c r="F1690" s="302"/>
      <c r="G1690" s="275">
        <f t="shared" si="253"/>
        <v>0</v>
      </c>
      <c r="H1690" s="96">
        <f t="shared" si="254"/>
        <v>0</v>
      </c>
      <c r="I1690" s="2911">
        <f t="shared" si="255"/>
        <v>0</v>
      </c>
      <c r="J1690" s="2863"/>
      <c r="K1690" s="223">
        <f t="shared" si="256"/>
        <v>0</v>
      </c>
      <c r="L1690" s="2854"/>
    </row>
    <row r="1691" spans="1:12">
      <c r="A1691" s="2837"/>
      <c r="B1691" s="302" t="str">
        <f>пристройка!A219</f>
        <v>металлочерепица</v>
      </c>
      <c r="C1691" s="2890" t="str">
        <f>пристройка!B219</f>
        <v>м2</v>
      </c>
      <c r="D1691" s="302">
        <f>пристройка!C219</f>
        <v>0</v>
      </c>
      <c r="E1691" s="179">
        <f>пристройка!D219</f>
        <v>250</v>
      </c>
      <c r="F1691" s="179"/>
      <c r="G1691" s="275">
        <f t="shared" si="253"/>
        <v>0</v>
      </c>
      <c r="H1691" s="96">
        <f t="shared" si="254"/>
        <v>0</v>
      </c>
      <c r="I1691" s="2911">
        <f t="shared" si="255"/>
        <v>0</v>
      </c>
      <c r="J1691" s="2863"/>
      <c r="K1691" s="223">
        <f t="shared" si="256"/>
        <v>0</v>
      </c>
      <c r="L1691" s="2854"/>
    </row>
    <row r="1692" spans="1:12">
      <c r="A1692" s="2837"/>
      <c r="B1692" s="302" t="str">
        <f>пристройка!A220</f>
        <v>Карнизная планка</v>
      </c>
      <c r="C1692" s="2890" t="str">
        <f>пристройка!B220</f>
        <v>м.п.</v>
      </c>
      <c r="D1692" s="302">
        <f>пристройка!C220</f>
        <v>0</v>
      </c>
      <c r="E1692" s="179">
        <f>пристройка!D220</f>
        <v>200</v>
      </c>
      <c r="F1692" s="179"/>
      <c r="G1692" s="275">
        <f t="shared" si="253"/>
        <v>0</v>
      </c>
      <c r="H1692" s="96">
        <f t="shared" si="254"/>
        <v>0</v>
      </c>
      <c r="I1692" s="2911">
        <f t="shared" si="255"/>
        <v>0</v>
      </c>
      <c r="J1692" s="2863"/>
      <c r="K1692" s="223">
        <f t="shared" si="256"/>
        <v>0</v>
      </c>
      <c r="L1692" s="2854"/>
    </row>
    <row r="1693" spans="1:12">
      <c r="A1693" s="2837"/>
      <c r="B1693" s="302" t="str">
        <f>пристройка!A221</f>
        <v>Торцевая планка</v>
      </c>
      <c r="C1693" s="2890" t="str">
        <f>пристройка!B221</f>
        <v>м.п.</v>
      </c>
      <c r="D1693" s="302">
        <f>пристройка!C221</f>
        <v>0</v>
      </c>
      <c r="E1693" s="302">
        <f>пристройка!D221</f>
        <v>200</v>
      </c>
      <c r="F1693" s="302"/>
      <c r="G1693" s="275">
        <f t="shared" si="253"/>
        <v>0</v>
      </c>
      <c r="H1693" s="96">
        <f t="shared" si="254"/>
        <v>0</v>
      </c>
      <c r="I1693" s="2911">
        <f t="shared" si="255"/>
        <v>0</v>
      </c>
      <c r="J1693" s="2863"/>
      <c r="K1693" s="223">
        <f t="shared" si="256"/>
        <v>0</v>
      </c>
      <c r="L1693" s="2854"/>
    </row>
    <row r="1694" spans="1:12">
      <c r="A1694" s="2837"/>
      <c r="B1694" s="302" t="str">
        <f>пристройка!A222</f>
        <v>Конек</v>
      </c>
      <c r="C1694" s="2890" t="str">
        <f>пристройка!B222</f>
        <v>м.п.</v>
      </c>
      <c r="D1694" s="302">
        <f>пристройка!C222</f>
        <v>0</v>
      </c>
      <c r="E1694" s="179">
        <f>пристройка!D222</f>
        <v>230</v>
      </c>
      <c r="F1694" s="179"/>
      <c r="G1694" s="275">
        <f t="shared" si="253"/>
        <v>0</v>
      </c>
      <c r="H1694" s="96">
        <f t="shared" si="254"/>
        <v>0</v>
      </c>
      <c r="I1694" s="2911">
        <f t="shared" si="255"/>
        <v>0</v>
      </c>
      <c r="J1694" s="2863"/>
      <c r="K1694" s="223">
        <f t="shared" si="256"/>
        <v>0</v>
      </c>
      <c r="L1694" s="2854"/>
    </row>
    <row r="1695" spans="1:12">
      <c r="A1695" s="2837"/>
      <c r="B1695" s="302" t="str">
        <f>пристройка!A223</f>
        <v>Ендова нижняя</v>
      </c>
      <c r="C1695" s="2890" t="str">
        <f>пристройка!B223</f>
        <v>м.п</v>
      </c>
      <c r="D1695" s="302">
        <f>пристройка!C223</f>
        <v>0</v>
      </c>
      <c r="E1695" s="302">
        <f>пристройка!D223</f>
        <v>160</v>
      </c>
      <c r="F1695" s="302"/>
      <c r="G1695" s="275">
        <f t="shared" si="253"/>
        <v>0</v>
      </c>
      <c r="H1695" s="96">
        <f t="shared" si="254"/>
        <v>0</v>
      </c>
      <c r="I1695" s="2911">
        <f t="shared" si="255"/>
        <v>0</v>
      </c>
      <c r="J1695" s="2863"/>
      <c r="K1695" s="223">
        <f t="shared" si="256"/>
        <v>0</v>
      </c>
      <c r="L1695" s="2854"/>
    </row>
    <row r="1696" spans="1:12">
      <c r="A1696" s="2837"/>
      <c r="B1696" s="302" t="str">
        <f>пристройка!A225</f>
        <v>Планка примыкания</v>
      </c>
      <c r="C1696" s="2890" t="str">
        <f>пристройка!B225</f>
        <v>м.п.</v>
      </c>
      <c r="D1696" s="302">
        <f>пристройка!C225</f>
        <v>0</v>
      </c>
      <c r="E1696" s="302">
        <f>пристройка!D225</f>
        <v>190</v>
      </c>
      <c r="F1696" s="302"/>
      <c r="G1696" s="275">
        <f t="shared" si="253"/>
        <v>0</v>
      </c>
      <c r="H1696" s="96">
        <f t="shared" si="254"/>
        <v>0</v>
      </c>
      <c r="I1696" s="2911">
        <f t="shared" si="255"/>
        <v>0</v>
      </c>
      <c r="J1696" s="2863"/>
      <c r="K1696" s="223">
        <f t="shared" si="256"/>
        <v>0</v>
      </c>
      <c r="L1696" s="2854"/>
    </row>
    <row r="1697" spans="1:12">
      <c r="A1697" s="2837"/>
      <c r="B1697" s="302" t="str">
        <f>пристройка!A226</f>
        <v>ондулин</v>
      </c>
      <c r="C1697" s="2890" t="str">
        <f>пристройка!B226</f>
        <v>м2</v>
      </c>
      <c r="D1697" s="302">
        <f>пристройка!C226</f>
        <v>0</v>
      </c>
      <c r="E1697" s="302">
        <f>пристройка!D226</f>
        <v>180</v>
      </c>
      <c r="F1697" s="302"/>
      <c r="G1697" s="275">
        <f t="shared" si="253"/>
        <v>0</v>
      </c>
      <c r="H1697" s="96">
        <f t="shared" si="254"/>
        <v>0</v>
      </c>
      <c r="I1697" s="2911">
        <f t="shared" si="255"/>
        <v>0</v>
      </c>
      <c r="J1697" s="2863"/>
      <c r="K1697" s="223">
        <f t="shared" si="256"/>
        <v>0</v>
      </c>
      <c r="L1697" s="2854"/>
    </row>
    <row r="1698" spans="1:12">
      <c r="A1698" s="2837"/>
      <c r="B1698" s="302" t="str">
        <f>пристройка!A227</f>
        <v>Карнизная планка</v>
      </c>
      <c r="C1698" s="2890" t="str">
        <f>пристройка!B227</f>
        <v>м.п.</v>
      </c>
      <c r="D1698" s="302">
        <f>пристройка!C227</f>
        <v>0</v>
      </c>
      <c r="E1698" s="302">
        <f>пристройка!D227</f>
        <v>190</v>
      </c>
      <c r="F1698" s="302"/>
      <c r="G1698" s="275">
        <f t="shared" si="253"/>
        <v>0</v>
      </c>
      <c r="H1698" s="96">
        <f t="shared" si="254"/>
        <v>0</v>
      </c>
      <c r="I1698" s="2911">
        <f t="shared" si="255"/>
        <v>0</v>
      </c>
      <c r="J1698" s="2863"/>
      <c r="K1698" s="223">
        <f t="shared" si="256"/>
        <v>0</v>
      </c>
      <c r="L1698" s="2854"/>
    </row>
    <row r="1699" spans="1:12">
      <c r="A1699" s="2837"/>
      <c r="B1699" s="302" t="str">
        <f>пристройка!A228</f>
        <v>Торцевая планка</v>
      </c>
      <c r="C1699" s="2890" t="str">
        <f>пристройка!B228</f>
        <v>м.п.</v>
      </c>
      <c r="D1699" s="302">
        <f>пристройка!C228</f>
        <v>0</v>
      </c>
      <c r="E1699" s="302">
        <f>пристройка!D228</f>
        <v>190</v>
      </c>
      <c r="F1699" s="302"/>
      <c r="G1699" s="275">
        <f t="shared" si="253"/>
        <v>0</v>
      </c>
      <c r="H1699" s="96">
        <f t="shared" si="254"/>
        <v>0</v>
      </c>
      <c r="I1699" s="2911">
        <f t="shared" si="255"/>
        <v>0</v>
      </c>
      <c r="J1699" s="2863"/>
      <c r="K1699" s="223">
        <f t="shared" si="256"/>
        <v>0</v>
      </c>
      <c r="L1699" s="2854"/>
    </row>
    <row r="1700" spans="1:12">
      <c r="A1700" s="2837"/>
      <c r="B1700" s="302" t="str">
        <f>пристройка!A229</f>
        <v>Конек</v>
      </c>
      <c r="C1700" s="2890" t="str">
        <f>пристройка!B229</f>
        <v>м.п.</v>
      </c>
      <c r="D1700" s="302">
        <f>пристройка!C229</f>
        <v>0</v>
      </c>
      <c r="E1700" s="302">
        <f>пристройка!D229</f>
        <v>200</v>
      </c>
      <c r="F1700" s="302"/>
      <c r="G1700" s="275">
        <f t="shared" si="253"/>
        <v>0</v>
      </c>
      <c r="H1700" s="96">
        <f t="shared" si="254"/>
        <v>0</v>
      </c>
      <c r="I1700" s="2911">
        <f t="shared" si="255"/>
        <v>0</v>
      </c>
      <c r="J1700" s="2863"/>
      <c r="K1700" s="223">
        <f t="shared" si="256"/>
        <v>0</v>
      </c>
      <c r="L1700" s="2854"/>
    </row>
    <row r="1701" spans="1:12">
      <c r="A1701" s="2837"/>
      <c r="B1701" s="302" t="str">
        <f>пристройка!A230</f>
        <v>Ендова нижняя</v>
      </c>
      <c r="C1701" s="2890" t="str">
        <f>пристройка!B230</f>
        <v>м.п.</v>
      </c>
      <c r="D1701" s="302">
        <f>пристройка!C230</f>
        <v>0</v>
      </c>
      <c r="E1701" s="302">
        <f>пристройка!D230</f>
        <v>160</v>
      </c>
      <c r="F1701" s="302"/>
      <c r="G1701" s="275">
        <f t="shared" si="253"/>
        <v>0</v>
      </c>
      <c r="H1701" s="96">
        <f t="shared" si="254"/>
        <v>0</v>
      </c>
      <c r="I1701" s="2911">
        <f t="shared" si="255"/>
        <v>0</v>
      </c>
      <c r="J1701" s="2863"/>
      <c r="K1701" s="223">
        <f t="shared" si="256"/>
        <v>0</v>
      </c>
      <c r="L1701" s="2854"/>
    </row>
    <row r="1702" spans="1:12">
      <c r="A1702" s="2837"/>
      <c r="B1702" s="302" t="str">
        <f>пристройка!A231</f>
        <v>Ендова верхняя</v>
      </c>
      <c r="C1702" s="2890" t="str">
        <f>пристройка!B231</f>
        <v>м.п.</v>
      </c>
      <c r="D1702" s="302">
        <f>пристройка!C231</f>
        <v>0</v>
      </c>
      <c r="E1702" s="302">
        <f>пристройка!D231</f>
        <v>190</v>
      </c>
      <c r="F1702" s="302"/>
      <c r="G1702" s="275">
        <f t="shared" si="253"/>
        <v>0</v>
      </c>
      <c r="H1702" s="96">
        <f t="shared" si="254"/>
        <v>0</v>
      </c>
      <c r="I1702" s="2911">
        <f t="shared" si="255"/>
        <v>0</v>
      </c>
      <c r="J1702" s="2863"/>
      <c r="K1702" s="223">
        <f t="shared" si="256"/>
        <v>0</v>
      </c>
      <c r="L1702" s="2854"/>
    </row>
    <row r="1703" spans="1:12">
      <c r="A1703" s="2837"/>
      <c r="B1703" s="302" t="str">
        <f>пристройка!A232</f>
        <v>Планка примыкания</v>
      </c>
      <c r="C1703" s="2890" t="str">
        <f>пристройка!B232</f>
        <v>м.п.</v>
      </c>
      <c r="D1703" s="302">
        <f>пристройка!C232</f>
        <v>0</v>
      </c>
      <c r="E1703" s="302">
        <f>пристройка!D232</f>
        <v>190</v>
      </c>
      <c r="F1703" s="302"/>
      <c r="G1703" s="275">
        <f t="shared" si="253"/>
        <v>0</v>
      </c>
      <c r="H1703" s="96">
        <f t="shared" si="254"/>
        <v>0</v>
      </c>
      <c r="I1703" s="2911">
        <f t="shared" si="255"/>
        <v>0</v>
      </c>
      <c r="J1703" s="2863"/>
      <c r="K1703" s="223">
        <f t="shared" si="256"/>
        <v>0</v>
      </c>
      <c r="L1703" s="2854"/>
    </row>
    <row r="1704" spans="1:12">
      <c r="A1704" s="2837"/>
      <c r="B1704" s="302" t="str">
        <f>пристройка!A233</f>
        <v>Крепеж для ондулина</v>
      </c>
      <c r="C1704" s="2890" t="str">
        <f>пристройка!B233</f>
        <v>шт</v>
      </c>
      <c r="D1704" s="302">
        <f>пристройка!C233</f>
        <v>0</v>
      </c>
      <c r="E1704" s="302">
        <f>пристройка!D233</f>
        <v>4.5</v>
      </c>
      <c r="F1704" s="302"/>
      <c r="G1704" s="275">
        <f t="shared" si="253"/>
        <v>0</v>
      </c>
      <c r="H1704" s="96">
        <f t="shared" si="254"/>
        <v>0</v>
      </c>
      <c r="I1704" s="2911">
        <f t="shared" si="255"/>
        <v>0</v>
      </c>
      <c r="J1704" s="2863"/>
      <c r="K1704" s="223">
        <f t="shared" si="256"/>
        <v>0</v>
      </c>
      <c r="L1704" s="2854"/>
    </row>
    <row r="1705" spans="1:12">
      <c r="A1705" s="2837"/>
      <c r="B1705" s="302" t="str">
        <f>пристройка!A234</f>
        <v>нет</v>
      </c>
      <c r="C1705" s="2890" t="str">
        <f>пристройка!B234</f>
        <v>м2</v>
      </c>
      <c r="D1705" s="302">
        <f>пристройка!C234</f>
        <v>0</v>
      </c>
      <c r="E1705" s="302">
        <f>пристройка!D234</f>
        <v>0</v>
      </c>
      <c r="F1705" s="302"/>
      <c r="G1705" s="275">
        <f t="shared" si="253"/>
        <v>0</v>
      </c>
      <c r="H1705" s="96">
        <f t="shared" si="254"/>
        <v>0</v>
      </c>
      <c r="I1705" s="2911">
        <f t="shared" si="255"/>
        <v>0</v>
      </c>
      <c r="J1705" s="2863"/>
      <c r="K1705" s="223">
        <f t="shared" si="256"/>
        <v>0</v>
      </c>
      <c r="L1705" s="2854"/>
    </row>
    <row r="1706" spans="1:12">
      <c r="A1706" s="2837"/>
      <c r="B1706" s="302" t="str">
        <f>пристройка!A235</f>
        <v>Рядовая черепица</v>
      </c>
      <c r="C1706" s="2890" t="str">
        <f>пристройка!B235</f>
        <v>м2</v>
      </c>
      <c r="D1706" s="302">
        <f>пристройка!C235</f>
        <v>0</v>
      </c>
      <c r="E1706" s="302">
        <f>пристройка!D235</f>
        <v>360</v>
      </c>
      <c r="F1706" s="302"/>
      <c r="G1706" s="275">
        <f t="shared" si="253"/>
        <v>0</v>
      </c>
      <c r="H1706" s="96">
        <f t="shared" si="254"/>
        <v>0</v>
      </c>
      <c r="I1706" s="2911">
        <f t="shared" si="255"/>
        <v>0</v>
      </c>
      <c r="J1706" s="2863"/>
      <c r="K1706" s="223">
        <f t="shared" si="256"/>
        <v>0</v>
      </c>
      <c r="L1706" s="2854"/>
    </row>
    <row r="1707" spans="1:12">
      <c r="A1707" s="2837"/>
      <c r="B1707" s="302" t="str">
        <f>пристройка!A236</f>
        <v>Металл оцинк защита (карниз)</v>
      </c>
      <c r="C1707" s="2890" t="str">
        <f>пристройка!B236</f>
        <v>м.п.</v>
      </c>
      <c r="D1707" s="302">
        <f>пристройка!C236</f>
        <v>0</v>
      </c>
      <c r="E1707" s="302">
        <f>пристройка!D236</f>
        <v>200</v>
      </c>
      <c r="F1707" s="302"/>
      <c r="G1707" s="275">
        <f t="shared" si="253"/>
        <v>0</v>
      </c>
      <c r="H1707" s="96">
        <f t="shared" si="254"/>
        <v>0</v>
      </c>
      <c r="I1707" s="2911">
        <f t="shared" si="255"/>
        <v>0</v>
      </c>
      <c r="J1707" s="2863"/>
      <c r="K1707" s="223">
        <f t="shared" si="256"/>
        <v>0</v>
      </c>
      <c r="L1707" s="2854"/>
    </row>
    <row r="1708" spans="1:12">
      <c r="A1708" s="2837"/>
      <c r="B1708" s="302" t="str">
        <f>пристройка!A237</f>
        <v>Подкладочный ковер</v>
      </c>
      <c r="C1708" s="2890" t="str">
        <f>пристройка!B237</f>
        <v>м.п.</v>
      </c>
      <c r="D1708" s="302">
        <f>пристройка!C237</f>
        <v>0</v>
      </c>
      <c r="E1708" s="302">
        <f>пристройка!D237</f>
        <v>220</v>
      </c>
      <c r="F1708" s="302"/>
      <c r="G1708" s="275">
        <f t="shared" si="253"/>
        <v>0</v>
      </c>
      <c r="H1708" s="96">
        <f t="shared" si="254"/>
        <v>0</v>
      </c>
      <c r="I1708" s="2911">
        <f t="shared" si="255"/>
        <v>0</v>
      </c>
      <c r="J1708" s="2863"/>
      <c r="K1708" s="223">
        <f t="shared" si="256"/>
        <v>0</v>
      </c>
      <c r="L1708" s="2854"/>
    </row>
    <row r="1709" spans="1:12">
      <c r="A1709" s="2837"/>
      <c r="B1709" s="302" t="str">
        <f>пристройка!A238</f>
        <v>Карнизная самоклеющаяся черепица</v>
      </c>
      <c r="C1709" s="2890" t="str">
        <f>пристройка!B238</f>
        <v>м.п.</v>
      </c>
      <c r="D1709" s="302">
        <f>пристройка!C238</f>
        <v>0</v>
      </c>
      <c r="E1709" s="302">
        <f>пристройка!D238</f>
        <v>220</v>
      </c>
      <c r="F1709" s="302"/>
      <c r="G1709" s="275">
        <f t="shared" si="253"/>
        <v>0</v>
      </c>
      <c r="H1709" s="96">
        <f t="shared" si="254"/>
        <v>0</v>
      </c>
      <c r="I1709" s="2911">
        <f t="shared" si="255"/>
        <v>0</v>
      </c>
      <c r="J1709" s="2863"/>
      <c r="K1709" s="223">
        <f t="shared" si="256"/>
        <v>0</v>
      </c>
      <c r="L1709" s="2854"/>
    </row>
    <row r="1710" spans="1:12">
      <c r="A1710" s="2837"/>
      <c r="B1710" s="302" t="str">
        <f>пристройка!A239</f>
        <v>Спец ковер ендова нижняя</v>
      </c>
      <c r="C1710" s="2890" t="str">
        <f>пристройка!B239</f>
        <v>м.п.</v>
      </c>
      <c r="D1710" s="302">
        <f>пристройка!C239</f>
        <v>0</v>
      </c>
      <c r="E1710" s="302">
        <f>пристройка!D239</f>
        <v>200</v>
      </c>
      <c r="F1710" s="302"/>
      <c r="G1710" s="275">
        <f t="shared" si="253"/>
        <v>0</v>
      </c>
      <c r="H1710" s="96">
        <f t="shared" si="254"/>
        <v>0</v>
      </c>
      <c r="I1710" s="2911">
        <f t="shared" si="255"/>
        <v>0</v>
      </c>
      <c r="J1710" s="2863"/>
      <c r="K1710" s="223">
        <f t="shared" si="256"/>
        <v>0</v>
      </c>
      <c r="L1710" s="2854"/>
    </row>
    <row r="1711" spans="1:12">
      <c r="A1711" s="2837"/>
      <c r="B1711" s="302" t="str">
        <f>пристройка!A240</f>
        <v>Коньковой элемент</v>
      </c>
      <c r="C1711" s="2890" t="str">
        <f>пристройка!B240</f>
        <v>м.п.</v>
      </c>
      <c r="D1711" s="302">
        <f>пристройка!C240</f>
        <v>0</v>
      </c>
      <c r="E1711" s="302">
        <f>пристройка!D240</f>
        <v>250</v>
      </c>
      <c r="F1711" s="302"/>
      <c r="G1711" s="275">
        <f t="shared" si="253"/>
        <v>0</v>
      </c>
      <c r="H1711" s="96">
        <f t="shared" si="254"/>
        <v>0</v>
      </c>
      <c r="I1711" s="2911">
        <f t="shared" si="255"/>
        <v>0</v>
      </c>
      <c r="J1711" s="2863"/>
      <c r="K1711" s="223">
        <f t="shared" si="256"/>
        <v>0</v>
      </c>
      <c r="L1711" s="2854"/>
    </row>
    <row r="1712" spans="1:12">
      <c r="A1712" s="2837"/>
      <c r="B1712" s="302" t="str">
        <f>пристройка!A241</f>
        <v>Планка премыкания</v>
      </c>
      <c r="C1712" s="2890" t="str">
        <f>пристройка!B241</f>
        <v>м.п.</v>
      </c>
      <c r="D1712" s="302">
        <f>пристройка!C241</f>
        <v>0</v>
      </c>
      <c r="E1712" s="302">
        <f>пристройка!D241</f>
        <v>200</v>
      </c>
      <c r="F1712" s="302"/>
      <c r="G1712" s="275">
        <f t="shared" si="253"/>
        <v>0</v>
      </c>
      <c r="H1712" s="96">
        <f t="shared" si="254"/>
        <v>0</v>
      </c>
      <c r="I1712" s="2911">
        <f t="shared" si="255"/>
        <v>0</v>
      </c>
      <c r="J1712" s="2863"/>
      <c r="K1712" s="223">
        <f t="shared" si="256"/>
        <v>0</v>
      </c>
      <c r="L1712" s="2854"/>
    </row>
    <row r="1713" spans="1:12">
      <c r="A1713" s="2837"/>
      <c r="B1713" s="302" t="str">
        <f>пристройка!A242</f>
        <v>Гвозди для крепления подкладочного ковра</v>
      </c>
      <c r="C1713" s="2890" t="str">
        <f>пристройка!B242</f>
        <v>шт</v>
      </c>
      <c r="D1713" s="302">
        <f>пристройка!C242</f>
        <v>0</v>
      </c>
      <c r="E1713" s="302">
        <f>пристройка!D242</f>
        <v>1.2E-2</v>
      </c>
      <c r="F1713" s="302"/>
      <c r="G1713" s="275">
        <f t="shared" si="253"/>
        <v>0</v>
      </c>
      <c r="H1713" s="96">
        <f t="shared" si="254"/>
        <v>0</v>
      </c>
      <c r="I1713" s="2911">
        <f t="shared" si="255"/>
        <v>0</v>
      </c>
      <c r="J1713" s="2863"/>
      <c r="K1713" s="223">
        <f t="shared" si="256"/>
        <v>0</v>
      </c>
      <c r="L1713" s="2854"/>
    </row>
    <row r="1714" spans="1:12">
      <c r="A1714" s="2837"/>
      <c r="B1714" s="302" t="str">
        <f>пристройка!A243</f>
        <v>Гвозди для крепления черепицы</v>
      </c>
      <c r="C1714" s="2890" t="str">
        <f>пристройка!B243</f>
        <v>шт</v>
      </c>
      <c r="D1714" s="302">
        <f>пристройка!C243</f>
        <v>0</v>
      </c>
      <c r="E1714" s="302">
        <f>пристройка!D243</f>
        <v>0.25</v>
      </c>
      <c r="F1714" s="302"/>
      <c r="G1714" s="275">
        <f t="shared" si="253"/>
        <v>0</v>
      </c>
      <c r="H1714" s="96">
        <f t="shared" si="254"/>
        <v>0</v>
      </c>
      <c r="I1714" s="2911">
        <f t="shared" si="255"/>
        <v>0</v>
      </c>
      <c r="J1714" s="2863"/>
      <c r="K1714" s="223">
        <f t="shared" si="256"/>
        <v>0</v>
      </c>
      <c r="L1714" s="2854"/>
    </row>
    <row r="1715" spans="1:12">
      <c r="A1715" s="2837"/>
      <c r="B1715" s="302" t="str">
        <f>пристройка!A244</f>
        <v>Клей для монтажа черепицы</v>
      </c>
      <c r="C1715" s="2890" t="str">
        <f>пристройка!B244</f>
        <v>кг</v>
      </c>
      <c r="D1715" s="302">
        <f>пристройка!C244</f>
        <v>0</v>
      </c>
      <c r="E1715" s="302">
        <f>пристройка!D244</f>
        <v>250</v>
      </c>
      <c r="F1715" s="302"/>
      <c r="G1715" s="275">
        <f t="shared" si="253"/>
        <v>0</v>
      </c>
      <c r="H1715" s="96">
        <f t="shared" si="254"/>
        <v>0</v>
      </c>
      <c r="I1715" s="2911">
        <f t="shared" si="255"/>
        <v>0</v>
      </c>
      <c r="J1715" s="2863"/>
      <c r="K1715" s="223">
        <f t="shared" si="256"/>
        <v>0</v>
      </c>
      <c r="L1715" s="2854"/>
    </row>
    <row r="1716" spans="1:12">
      <c r="A1716" s="2837"/>
      <c r="B1716" s="302" t="str">
        <f>пристройка!A245</f>
        <v>желоб</v>
      </c>
      <c r="C1716" s="2890" t="str">
        <f>пристройка!B245</f>
        <v>м.п</v>
      </c>
      <c r="D1716" s="302">
        <f>пристройка!C245</f>
        <v>0</v>
      </c>
      <c r="E1716" s="302">
        <f>пристройка!D245</f>
        <v>300</v>
      </c>
      <c r="F1716" s="302"/>
      <c r="G1716" s="275">
        <f t="shared" si="253"/>
        <v>0</v>
      </c>
      <c r="H1716" s="96">
        <f t="shared" si="254"/>
        <v>0</v>
      </c>
      <c r="I1716" s="2911">
        <f t="shared" si="255"/>
        <v>0</v>
      </c>
      <c r="J1716" s="2863"/>
      <c r="K1716" s="223">
        <f t="shared" si="256"/>
        <v>0</v>
      </c>
      <c r="L1716" s="2854"/>
    </row>
    <row r="1717" spans="1:12">
      <c r="A1717" s="2837"/>
      <c r="B1717" s="302" t="str">
        <f>пристройка!A246</f>
        <v>отвод</v>
      </c>
      <c r="C1717" s="2890" t="str">
        <f>пристройка!B246</f>
        <v>шт</v>
      </c>
      <c r="D1717" s="302">
        <f>пристройка!C246</f>
        <v>0</v>
      </c>
      <c r="E1717" s="302">
        <f>пристройка!D246</f>
        <v>250</v>
      </c>
      <c r="F1717" s="302"/>
      <c r="G1717" s="275">
        <f t="shared" si="253"/>
        <v>0</v>
      </c>
      <c r="H1717" s="96">
        <f t="shared" si="254"/>
        <v>0</v>
      </c>
      <c r="I1717" s="2911">
        <f t="shared" si="255"/>
        <v>0</v>
      </c>
      <c r="J1717" s="2863"/>
      <c r="K1717" s="223">
        <f t="shared" si="256"/>
        <v>0</v>
      </c>
      <c r="L1717" s="2854"/>
    </row>
    <row r="1718" spans="1:12">
      <c r="A1718" s="2837"/>
      <c r="B1718" s="302" t="str">
        <f>пристройка!A247</f>
        <v>труба водосточная</v>
      </c>
      <c r="C1718" s="2890" t="str">
        <f>пристройка!B247</f>
        <v>м.п.</v>
      </c>
      <c r="D1718" s="302">
        <f>пристройка!C247</f>
        <v>0</v>
      </c>
      <c r="E1718" s="302">
        <f>пристройка!D247</f>
        <v>300</v>
      </c>
      <c r="F1718" s="302"/>
      <c r="G1718" s="275">
        <f t="shared" si="253"/>
        <v>0</v>
      </c>
      <c r="H1718" s="96">
        <f t="shared" si="254"/>
        <v>0</v>
      </c>
      <c r="I1718" s="2911">
        <f t="shared" si="255"/>
        <v>0</v>
      </c>
      <c r="J1718" s="2863"/>
      <c r="K1718" s="223">
        <f t="shared" si="256"/>
        <v>0</v>
      </c>
      <c r="L1718" s="2854"/>
    </row>
    <row r="1719" spans="1:12">
      <c r="A1719" s="2837"/>
      <c r="B1719" s="302" t="str">
        <f>пристройка!A248</f>
        <v>заглушка для желоба</v>
      </c>
      <c r="C1719" s="2890" t="str">
        <f>пристройка!B248</f>
        <v>шт</v>
      </c>
      <c r="D1719" s="302">
        <f>пристройка!C248</f>
        <v>0</v>
      </c>
      <c r="E1719" s="302">
        <f>пристройка!D248</f>
        <v>190</v>
      </c>
      <c r="F1719" s="302"/>
      <c r="G1719" s="275">
        <f t="shared" si="253"/>
        <v>0</v>
      </c>
      <c r="H1719" s="96">
        <f t="shared" si="254"/>
        <v>0</v>
      </c>
      <c r="I1719" s="2911">
        <f t="shared" si="255"/>
        <v>0</v>
      </c>
      <c r="J1719" s="2863"/>
      <c r="K1719" s="223">
        <f t="shared" si="256"/>
        <v>0</v>
      </c>
      <c r="L1719" s="2854"/>
    </row>
    <row r="1720" spans="1:12">
      <c r="A1720" s="2837"/>
      <c r="B1720" s="302" t="str">
        <f>пристройка!A249</f>
        <v>соеденитель для желоба</v>
      </c>
      <c r="C1720" s="2890" t="str">
        <f>пристройка!B249</f>
        <v>шт</v>
      </c>
      <c r="D1720" s="302">
        <f>пристройка!C249</f>
        <v>2</v>
      </c>
      <c r="E1720" s="179">
        <f>пристройка!D249</f>
        <v>180</v>
      </c>
      <c r="F1720" s="179"/>
      <c r="G1720" s="275">
        <f t="shared" si="253"/>
        <v>360</v>
      </c>
      <c r="H1720" s="96">
        <f t="shared" si="254"/>
        <v>0</v>
      </c>
      <c r="I1720" s="2911">
        <f t="shared" si="255"/>
        <v>0</v>
      </c>
      <c r="J1720" s="2863"/>
      <c r="K1720" s="223">
        <f t="shared" si="256"/>
        <v>2</v>
      </c>
      <c r="L1720" s="2854"/>
    </row>
    <row r="1721" spans="1:12">
      <c r="A1721" s="2837"/>
      <c r="B1721" s="302" t="str">
        <f>пристройка!A250</f>
        <v>кронштейн для желоба</v>
      </c>
      <c r="C1721" s="2890" t="str">
        <f>пристройка!B250</f>
        <v>шт</v>
      </c>
      <c r="D1721" s="302">
        <f>пристройка!C250</f>
        <v>0</v>
      </c>
      <c r="E1721" s="302">
        <f>пристройка!D250</f>
        <v>130</v>
      </c>
      <c r="F1721" s="302"/>
      <c r="G1721" s="275">
        <f t="shared" si="253"/>
        <v>0</v>
      </c>
      <c r="H1721" s="96">
        <f t="shared" si="254"/>
        <v>0</v>
      </c>
      <c r="I1721" s="2911">
        <f t="shared" si="255"/>
        <v>0</v>
      </c>
      <c r="J1721" s="2863"/>
      <c r="K1721" s="223">
        <f t="shared" si="256"/>
        <v>0</v>
      </c>
      <c r="L1721" s="2854"/>
    </row>
    <row r="1722" spans="1:12">
      <c r="A1722" s="2837"/>
      <c r="B1722" s="302" t="str">
        <f>пристройка!A251</f>
        <v>переход из желоба в трубу</v>
      </c>
      <c r="C1722" s="2890" t="str">
        <f>пристройка!B251</f>
        <v>шт</v>
      </c>
      <c r="D1722" s="302">
        <f>пристройка!C251</f>
        <v>0</v>
      </c>
      <c r="E1722" s="302">
        <f>пристройка!D251</f>
        <v>350</v>
      </c>
      <c r="F1722" s="302"/>
      <c r="G1722" s="275">
        <f t="shared" si="253"/>
        <v>0</v>
      </c>
      <c r="H1722" s="96">
        <f t="shared" si="254"/>
        <v>0</v>
      </c>
      <c r="I1722" s="2911">
        <f t="shared" si="255"/>
        <v>0</v>
      </c>
      <c r="J1722" s="2863"/>
      <c r="K1722" s="223">
        <f t="shared" si="256"/>
        <v>0</v>
      </c>
      <c r="L1722" s="2854"/>
    </row>
    <row r="1723" spans="1:12">
      <c r="A1723" s="2837"/>
      <c r="B1723" s="302" t="str">
        <f>пристройка!A252</f>
        <v>лента дельта мульти бэнд</v>
      </c>
      <c r="C1723" s="2890" t="str">
        <f>пристройка!B252</f>
        <v>шт</v>
      </c>
      <c r="D1723" s="302">
        <f>пристройка!C252</f>
        <v>0</v>
      </c>
      <c r="E1723" s="302">
        <f>пристройка!D252</f>
        <v>1200</v>
      </c>
      <c r="F1723" s="302"/>
      <c r="G1723" s="275">
        <f t="shared" si="253"/>
        <v>0</v>
      </c>
      <c r="H1723" s="96">
        <f t="shared" si="254"/>
        <v>0</v>
      </c>
      <c r="I1723" s="2911">
        <f t="shared" si="255"/>
        <v>0</v>
      </c>
      <c r="J1723" s="2863"/>
      <c r="K1723" s="223">
        <f t="shared" si="256"/>
        <v>0</v>
      </c>
      <c r="L1723" s="2854"/>
    </row>
    <row r="1724" spans="1:12">
      <c r="A1724" s="2837"/>
      <c r="B1724" s="302" t="str">
        <f>пристройка!A253</f>
        <v>лента дельта sb-60</v>
      </c>
      <c r="C1724" s="2890" t="str">
        <f>пристройка!B253</f>
        <v>шт</v>
      </c>
      <c r="D1724" s="302">
        <f>пристройка!C253</f>
        <v>0</v>
      </c>
      <c r="E1724" s="302">
        <f>пристройка!D253</f>
        <v>1100</v>
      </c>
      <c r="F1724" s="302"/>
      <c r="G1724" s="275">
        <f t="shared" si="253"/>
        <v>0</v>
      </c>
      <c r="H1724" s="96">
        <f t="shared" si="254"/>
        <v>0</v>
      </c>
      <c r="I1724" s="2911">
        <f t="shared" si="255"/>
        <v>0</v>
      </c>
      <c r="J1724" s="2863"/>
      <c r="K1724" s="223">
        <f t="shared" si="256"/>
        <v>0</v>
      </c>
      <c r="L1724" s="2854"/>
    </row>
    <row r="1725" spans="1:12">
      <c r="A1725" s="2837"/>
      <c r="B1725" s="302" t="str">
        <f>пристройка!A254</f>
        <v>Кровельный саморез</v>
      </c>
      <c r="C1725" s="2890" t="str">
        <f>пристройка!B254</f>
        <v>шт</v>
      </c>
      <c r="D1725" s="302">
        <f>пристройка!C254</f>
        <v>0</v>
      </c>
      <c r="E1725" s="302">
        <f>пристройка!D254</f>
        <v>2</v>
      </c>
      <c r="F1725" s="302"/>
      <c r="G1725" s="275">
        <f t="shared" si="253"/>
        <v>0</v>
      </c>
      <c r="H1725" s="96">
        <f t="shared" si="254"/>
        <v>0</v>
      </c>
      <c r="I1725" s="2911">
        <f t="shared" si="255"/>
        <v>0</v>
      </c>
      <c r="J1725" s="2863"/>
      <c r="K1725" s="223">
        <f t="shared" si="256"/>
        <v>0</v>
      </c>
      <c r="L1725" s="2854"/>
    </row>
    <row r="1726" spans="1:12">
      <c r="A1726" s="2837"/>
      <c r="B1726" s="302" t="str">
        <f>пристройка!A255</f>
        <v xml:space="preserve">Гвозди ершоные 3,4 x 60            </v>
      </c>
      <c r="C1726" s="2890" t="str">
        <f>пристройка!B255</f>
        <v>кг</v>
      </c>
      <c r="D1726" s="302">
        <f>пристройка!C255</f>
        <v>0</v>
      </c>
      <c r="E1726" s="302">
        <f>пристройка!D255</f>
        <v>75.510000000000005</v>
      </c>
      <c r="F1726" s="302"/>
      <c r="G1726" s="275">
        <f t="shared" si="253"/>
        <v>0</v>
      </c>
      <c r="H1726" s="96">
        <f t="shared" si="254"/>
        <v>0</v>
      </c>
      <c r="I1726" s="2911">
        <f t="shared" si="255"/>
        <v>0</v>
      </c>
      <c r="J1726" s="2863"/>
      <c r="K1726" s="223">
        <f t="shared" si="256"/>
        <v>0</v>
      </c>
      <c r="L1726" s="2854"/>
    </row>
    <row r="1727" spans="1:12">
      <c r="A1727" s="2837"/>
      <c r="B1727" s="302" t="str">
        <f>пристройка!A256</f>
        <v xml:space="preserve">Гвозди ершоные 2,8 х 90            </v>
      </c>
      <c r="C1727" s="2890" t="str">
        <f>пристройка!B256</f>
        <v>кг</v>
      </c>
      <c r="D1727" s="302">
        <f>пристройка!C256</f>
        <v>0</v>
      </c>
      <c r="E1727" s="179">
        <f>пристройка!D256</f>
        <v>76.489999999999995</v>
      </c>
      <c r="F1727" s="179"/>
      <c r="G1727" s="275">
        <f t="shared" si="253"/>
        <v>0</v>
      </c>
      <c r="H1727" s="96">
        <f t="shared" si="254"/>
        <v>0</v>
      </c>
      <c r="I1727" s="2911">
        <f t="shared" si="255"/>
        <v>0</v>
      </c>
      <c r="J1727" s="2863"/>
      <c r="K1727" s="223">
        <f t="shared" si="256"/>
        <v>0</v>
      </c>
      <c r="L1727" s="2854"/>
    </row>
    <row r="1728" spans="1:12">
      <c r="A1728" s="2837"/>
      <c r="B1728" s="302" t="str">
        <f>пристройка!A257</f>
        <v xml:space="preserve">Уголок усиленный 90х70х55х2,5        </v>
      </c>
      <c r="C1728" s="2890" t="str">
        <f>пристройка!B257</f>
        <v>шт</v>
      </c>
      <c r="D1728" s="302">
        <f>пристройка!C257</f>
        <v>0</v>
      </c>
      <c r="E1728" s="302">
        <f>пристройка!D257</f>
        <v>30</v>
      </c>
      <c r="F1728" s="302"/>
      <c r="G1728" s="275">
        <f t="shared" si="253"/>
        <v>0</v>
      </c>
      <c r="H1728" s="96">
        <f t="shared" si="254"/>
        <v>0</v>
      </c>
      <c r="I1728" s="2911">
        <f t="shared" si="255"/>
        <v>0</v>
      </c>
      <c r="J1728" s="2863"/>
      <c r="K1728" s="223">
        <f t="shared" si="256"/>
        <v>0</v>
      </c>
      <c r="L1728" s="2854"/>
    </row>
    <row r="1729" spans="1:12">
      <c r="A1729" s="2837"/>
      <c r="B1729" s="3278" t="s">
        <v>4640</v>
      </c>
      <c r="C1729" s="3278"/>
      <c r="D1729" s="3278"/>
      <c r="E1729" s="3278"/>
      <c r="F1729" s="2868"/>
      <c r="G1729" s="2315">
        <f>SUM(G1682:G1728)*H1680</f>
        <v>0</v>
      </c>
      <c r="H1729" s="2315">
        <f>SUM(H1682:H1728)</f>
        <v>0</v>
      </c>
      <c r="I1729" s="2911">
        <f t="shared" si="255"/>
        <v>0</v>
      </c>
      <c r="J1729" s="2863"/>
      <c r="K1729" s="223">
        <f t="shared" si="256"/>
        <v>0</v>
      </c>
      <c r="L1729" s="2854"/>
    </row>
    <row r="1730" spans="1:12">
      <c r="A1730" s="2837"/>
      <c r="B1730" s="3279" t="s">
        <v>1409</v>
      </c>
      <c r="C1730" s="3279"/>
      <c r="D1730" s="3279"/>
      <c r="E1730" s="3279"/>
      <c r="F1730" s="2912"/>
      <c r="G1730" s="941"/>
      <c r="H1730" s="2891">
        <f>H1680</f>
        <v>0</v>
      </c>
      <c r="I1730" s="2940">
        <f>H1730</f>
        <v>0</v>
      </c>
      <c r="J1730" s="2892"/>
      <c r="K1730" s="2893"/>
    </row>
    <row r="1731" spans="1:12">
      <c r="A1731" s="2829"/>
      <c r="B1731" s="2763" t="str">
        <f>пристройка!H210</f>
        <v>монтаж мауэрлат</v>
      </c>
      <c r="C1731" s="2890" t="str">
        <f>пристройка!I210</f>
        <v>м.п.</v>
      </c>
      <c r="D1731" s="275">
        <f>пристройка!J210</f>
        <v>0</v>
      </c>
      <c r="E1731" s="100">
        <f>пристройка!K210</f>
        <v>250</v>
      </c>
      <c r="F1731" s="100"/>
      <c r="G1731" s="275">
        <f t="shared" ref="G1731:G1747" si="257">IF(F1731&gt;0,D1731*F1731,E1731*D1731)</f>
        <v>0</v>
      </c>
      <c r="H1731" s="2315">
        <f t="shared" ref="H1731:H1747" si="258">D1731*E1731*$H$1730</f>
        <v>0</v>
      </c>
      <c r="I1731" s="2836">
        <f t="shared" ref="I1731:I1748" si="259">IF(G1731&gt;H1731,G1731,H1731)*$H$1680</f>
        <v>0</v>
      </c>
      <c r="J1731" s="2829"/>
      <c r="K1731" s="2837"/>
    </row>
    <row r="1732" spans="1:12">
      <c r="A1732" s="2837"/>
      <c r="B1732" s="2763" t="str">
        <f>пристройка!H211</f>
        <v>монтаж стропил</v>
      </c>
      <c r="C1732" s="2890" t="str">
        <f>пристройка!I211</f>
        <v>м2</v>
      </c>
      <c r="D1732" s="275">
        <f>пристройка!J211</f>
        <v>0</v>
      </c>
      <c r="E1732" s="100">
        <f>пристройка!K211</f>
        <v>450</v>
      </c>
      <c r="F1732" s="100"/>
      <c r="G1732" s="275">
        <f t="shared" si="257"/>
        <v>0</v>
      </c>
      <c r="H1732" s="2315">
        <f t="shared" si="258"/>
        <v>0</v>
      </c>
      <c r="I1732" s="2836">
        <f t="shared" si="259"/>
        <v>0</v>
      </c>
      <c r="J1732" s="2829"/>
      <c r="K1732" s="2837"/>
    </row>
    <row r="1733" spans="1:12">
      <c r="A1733" s="2837"/>
      <c r="B1733" s="2763" t="str">
        <f>пристройка!H212</f>
        <v>обрешетка</v>
      </c>
      <c r="C1733" s="2890" t="str">
        <f>пристройка!I212</f>
        <v>м2</v>
      </c>
      <c r="D1733" s="275">
        <f>пристройка!J212</f>
        <v>0</v>
      </c>
      <c r="E1733" s="100">
        <f>пристройка!K212</f>
        <v>100</v>
      </c>
      <c r="F1733" s="100"/>
      <c r="G1733" s="275">
        <f t="shared" si="257"/>
        <v>0</v>
      </c>
      <c r="H1733" s="2315">
        <f t="shared" si="258"/>
        <v>0</v>
      </c>
      <c r="I1733" s="2836">
        <f t="shared" si="259"/>
        <v>0</v>
      </c>
      <c r="J1733" s="2829"/>
      <c r="K1733" s="2837"/>
    </row>
    <row r="1734" spans="1:12">
      <c r="A1734" s="2837"/>
      <c r="B1734" s="2763" t="str">
        <f>пристройка!H213</f>
        <v>контробеш</v>
      </c>
      <c r="C1734" s="2890" t="str">
        <f>пристройка!I213</f>
        <v>м2</v>
      </c>
      <c r="D1734" s="275">
        <f>пристройка!J213</f>
        <v>0</v>
      </c>
      <c r="E1734" s="100">
        <f>пристройка!K213</f>
        <v>100</v>
      </c>
      <c r="F1734" s="100"/>
      <c r="G1734" s="275">
        <f t="shared" si="257"/>
        <v>0</v>
      </c>
      <c r="H1734" s="2315">
        <f t="shared" si="258"/>
        <v>0</v>
      </c>
      <c r="I1734" s="2836">
        <f t="shared" si="259"/>
        <v>0</v>
      </c>
      <c r="J1734" s="2829"/>
      <c r="K1734" s="2837"/>
    </row>
    <row r="1735" spans="1:12">
      <c r="A1735" s="2837"/>
      <c r="B1735" s="2763" t="str">
        <f>пристройка!H214</f>
        <v>мембрана</v>
      </c>
      <c r="C1735" s="2890" t="str">
        <f>пристройка!I214</f>
        <v>м2</v>
      </c>
      <c r="D1735" s="275">
        <f>пристройка!J214</f>
        <v>0</v>
      </c>
      <c r="E1735" s="100">
        <f>пристройка!K214</f>
        <v>100</v>
      </c>
      <c r="F1735" s="100"/>
      <c r="G1735" s="275">
        <f t="shared" si="257"/>
        <v>0</v>
      </c>
      <c r="H1735" s="2315">
        <f t="shared" si="258"/>
        <v>0</v>
      </c>
      <c r="I1735" s="2836">
        <f t="shared" si="259"/>
        <v>0</v>
      </c>
      <c r="J1735" s="2829"/>
      <c r="K1735" s="2837"/>
    </row>
    <row r="1736" spans="1:12">
      <c r="A1736" s="2837"/>
      <c r="B1736" s="2763" t="str">
        <f>пристройка!H215</f>
        <v>пароизоляц</v>
      </c>
      <c r="C1736" s="2890" t="str">
        <f>пристройка!I215</f>
        <v>м2</v>
      </c>
      <c r="D1736" s="275">
        <f>пристройка!J215</f>
        <v>0</v>
      </c>
      <c r="E1736" s="100">
        <f>пристройка!K215</f>
        <v>100</v>
      </c>
      <c r="F1736" s="100"/>
      <c r="G1736" s="275">
        <f t="shared" si="257"/>
        <v>0</v>
      </c>
      <c r="H1736" s="2315">
        <f t="shared" si="258"/>
        <v>0</v>
      </c>
      <c r="I1736" s="2836">
        <f t="shared" si="259"/>
        <v>0</v>
      </c>
      <c r="J1736" s="2829"/>
      <c r="K1736" s="2837"/>
    </row>
    <row r="1737" spans="1:12">
      <c r="A1737" s="2837"/>
      <c r="B1737" s="2763" t="str">
        <f>пристройка!H216</f>
        <v>утеплитель</v>
      </c>
      <c r="C1737" s="2890" t="str">
        <f>пристройка!I216</f>
        <v>м2</v>
      </c>
      <c r="D1737" s="275">
        <f>пристройка!J216</f>
        <v>0</v>
      </c>
      <c r="E1737" s="100">
        <f>пристройка!K216</f>
        <v>200</v>
      </c>
      <c r="F1737" s="100"/>
      <c r="G1737" s="275">
        <f t="shared" si="257"/>
        <v>0</v>
      </c>
      <c r="H1737" s="2315">
        <f t="shared" si="258"/>
        <v>0</v>
      </c>
      <c r="I1737" s="2836">
        <f t="shared" si="259"/>
        <v>0</v>
      </c>
      <c r="J1737" s="2829"/>
      <c r="K1737" s="2837"/>
    </row>
    <row r="1738" spans="1:12">
      <c r="A1738" s="2837"/>
      <c r="B1738" s="2763" t="str">
        <f>пристройка!H217</f>
        <v>Монтаж металлочерепицы</v>
      </c>
      <c r="C1738" s="2890" t="str">
        <f>пристройка!I217</f>
        <v>м2</v>
      </c>
      <c r="D1738" s="275">
        <f>пристройка!J217</f>
        <v>0</v>
      </c>
      <c r="E1738" s="100">
        <f>пристройка!K217</f>
        <v>300</v>
      </c>
      <c r="F1738" s="100"/>
      <c r="G1738" s="275">
        <f t="shared" si="257"/>
        <v>0</v>
      </c>
      <c r="H1738" s="2315">
        <f t="shared" si="258"/>
        <v>0</v>
      </c>
      <c r="I1738" s="2836">
        <f t="shared" si="259"/>
        <v>0</v>
      </c>
      <c r="J1738" s="2829"/>
      <c r="K1738" s="2837"/>
    </row>
    <row r="1739" spans="1:12">
      <c r="A1739" s="2837"/>
      <c r="B1739" s="2763" t="str">
        <f>пристройка!H218</f>
        <v>карнизная планка</v>
      </c>
      <c r="C1739" s="2890" t="str">
        <f>пристройка!I218</f>
        <v>м2</v>
      </c>
      <c r="D1739" s="275">
        <f>пристройка!J218</f>
        <v>0</v>
      </c>
      <c r="E1739" s="100">
        <f>пристройка!K218</f>
        <v>100</v>
      </c>
      <c r="F1739" s="100"/>
      <c r="G1739" s="275">
        <f t="shared" si="257"/>
        <v>0</v>
      </c>
      <c r="H1739" s="2315">
        <f t="shared" si="258"/>
        <v>0</v>
      </c>
      <c r="I1739" s="2836">
        <f t="shared" si="259"/>
        <v>0</v>
      </c>
      <c r="J1739" s="2829"/>
      <c r="K1739" s="2837"/>
    </row>
    <row r="1740" spans="1:12">
      <c r="A1740" s="2837"/>
      <c r="B1740" s="2763" t="str">
        <f>пристройка!H219</f>
        <v>торцевая планка</v>
      </c>
      <c r="C1740" s="2890" t="str">
        <f>пристройка!I219</f>
        <v>м2</v>
      </c>
      <c r="D1740" s="275">
        <f>пристройка!J219</f>
        <v>0</v>
      </c>
      <c r="E1740" s="100">
        <f>пристройка!K219</f>
        <v>100</v>
      </c>
      <c r="F1740" s="100"/>
      <c r="G1740" s="275">
        <f t="shared" si="257"/>
        <v>0</v>
      </c>
      <c r="H1740" s="2315">
        <f t="shared" si="258"/>
        <v>0</v>
      </c>
      <c r="I1740" s="2836">
        <f t="shared" si="259"/>
        <v>0</v>
      </c>
      <c r="J1740" s="2829"/>
      <c r="K1740" s="2837"/>
    </row>
    <row r="1741" spans="1:12">
      <c r="A1741" s="2837"/>
      <c r="B1741" s="2763" t="str">
        <f>пристройка!H220</f>
        <v>желоб водосточный</v>
      </c>
      <c r="C1741" s="2890" t="str">
        <f>пристройка!I220</f>
        <v>м.п.</v>
      </c>
      <c r="D1741" s="275">
        <f>пристройка!J220</f>
        <v>0</v>
      </c>
      <c r="E1741" s="100">
        <f>пристройка!K220</f>
        <v>300</v>
      </c>
      <c r="F1741" s="100"/>
      <c r="G1741" s="275">
        <f t="shared" si="257"/>
        <v>0</v>
      </c>
      <c r="H1741" s="2315">
        <f t="shared" si="258"/>
        <v>0</v>
      </c>
      <c r="I1741" s="2836">
        <f t="shared" si="259"/>
        <v>0</v>
      </c>
      <c r="J1741" s="2829"/>
      <c r="K1741" s="2837"/>
    </row>
    <row r="1742" spans="1:12">
      <c r="A1742" s="2837"/>
      <c r="B1742" s="2763" t="str">
        <f>пристройка!H221</f>
        <v>труба водосточная</v>
      </c>
      <c r="C1742" s="2890" t="str">
        <f>пристройка!I221</f>
        <v>м.п.</v>
      </c>
      <c r="D1742" s="275">
        <f>пристройка!J221</f>
        <v>0</v>
      </c>
      <c r="E1742" s="100">
        <f>пристройка!K221</f>
        <v>300</v>
      </c>
      <c r="F1742" s="100"/>
      <c r="G1742" s="275">
        <f t="shared" si="257"/>
        <v>0</v>
      </c>
      <c r="H1742" s="2315">
        <f t="shared" si="258"/>
        <v>0</v>
      </c>
      <c r="I1742" s="2836">
        <f t="shared" si="259"/>
        <v>0</v>
      </c>
      <c r="J1742" s="2829"/>
      <c r="K1742" s="2837"/>
    </row>
    <row r="1743" spans="1:12">
      <c r="A1743" s="2837"/>
      <c r="B1743" s="2763" t="str">
        <f>пристройка!H222</f>
        <v>ендова внутр/наружн</v>
      </c>
      <c r="C1743" s="2890" t="str">
        <f>пристройка!I222</f>
        <v>м.п.</v>
      </c>
      <c r="D1743" s="275">
        <f>пристройка!J222</f>
        <v>0</v>
      </c>
      <c r="E1743" s="100">
        <f>пристройка!K222</f>
        <v>300</v>
      </c>
      <c r="F1743" s="100"/>
      <c r="G1743" s="275">
        <f t="shared" si="257"/>
        <v>0</v>
      </c>
      <c r="H1743" s="2315">
        <f t="shared" si="258"/>
        <v>0</v>
      </c>
      <c r="I1743" s="2836">
        <f t="shared" si="259"/>
        <v>0</v>
      </c>
      <c r="J1743" s="2829"/>
      <c r="K1743" s="2837"/>
    </row>
    <row r="1744" spans="1:12">
      <c r="A1744" s="2837"/>
      <c r="B1744" s="2763" t="str">
        <f>пристройка!H223</f>
        <v>Монтаж ондулина</v>
      </c>
      <c r="C1744" s="2890" t="str">
        <f>пристройка!I223</f>
        <v>м2</v>
      </c>
      <c r="D1744" s="275">
        <f>пристройка!J223</f>
        <v>0</v>
      </c>
      <c r="E1744" s="100">
        <f>пристройка!K223</f>
        <v>300</v>
      </c>
      <c r="F1744" s="100"/>
      <c r="G1744" s="275">
        <f t="shared" si="257"/>
        <v>0</v>
      </c>
      <c r="H1744" s="2315">
        <f t="shared" si="258"/>
        <v>0</v>
      </c>
      <c r="I1744" s="2836">
        <f t="shared" si="259"/>
        <v>0</v>
      </c>
      <c r="J1744" s="2829"/>
      <c r="K1744" s="2837"/>
    </row>
    <row r="1745" spans="1:12">
      <c r="A1745" s="2837"/>
      <c r="B1745" s="2763" t="str">
        <f>пристройка!H225</f>
        <v>Монтаж фанеры/osb</v>
      </c>
      <c r="C1745" s="2890" t="str">
        <f>пристройка!I225</f>
        <v>м2</v>
      </c>
      <c r="D1745" s="275">
        <f>пристройка!J225</f>
        <v>0</v>
      </c>
      <c r="E1745" s="100">
        <f>пристройка!K225</f>
        <v>200</v>
      </c>
      <c r="F1745" s="100"/>
      <c r="G1745" s="275">
        <f t="shared" si="257"/>
        <v>0</v>
      </c>
      <c r="H1745" s="2315">
        <f t="shared" si="258"/>
        <v>0</v>
      </c>
      <c r="I1745" s="2836">
        <f t="shared" si="259"/>
        <v>0</v>
      </c>
      <c r="J1745" s="2829"/>
      <c r="K1745" s="2837"/>
    </row>
    <row r="1746" spans="1:12">
      <c r="A1746" s="2837"/>
      <c r="B1746" s="2763" t="str">
        <f>пристройка!H226</f>
        <v>монтаж подкладочного ковра</v>
      </c>
      <c r="C1746" s="2890" t="str">
        <f>пристройка!I226</f>
        <v>м2</v>
      </c>
      <c r="D1746" s="275">
        <f>пристройка!J226</f>
        <v>0</v>
      </c>
      <c r="E1746" s="100">
        <f>пристройка!K226</f>
        <v>150</v>
      </c>
      <c r="F1746" s="100"/>
      <c r="G1746" s="275">
        <f t="shared" si="257"/>
        <v>0</v>
      </c>
      <c r="H1746" s="2315">
        <f t="shared" si="258"/>
        <v>0</v>
      </c>
      <c r="I1746" s="2836">
        <f t="shared" si="259"/>
        <v>0</v>
      </c>
      <c r="J1746" s="2829"/>
      <c r="K1746" s="2837"/>
    </row>
    <row r="1747" spans="1:12">
      <c r="A1747" s="2837"/>
      <c r="B1747" s="2763" t="str">
        <f>пристройка!H227</f>
        <v>Монтаж мягкой кровли</v>
      </c>
      <c r="C1747" s="2890" t="str">
        <f>пристройка!I227</f>
        <v>м2</v>
      </c>
      <c r="D1747" s="275">
        <f>пристройка!J227</f>
        <v>0</v>
      </c>
      <c r="E1747" s="100">
        <f>пристройка!K227</f>
        <v>350</v>
      </c>
      <c r="F1747" s="100"/>
      <c r="G1747" s="275">
        <f t="shared" si="257"/>
        <v>0</v>
      </c>
      <c r="H1747" s="2315">
        <f t="shared" si="258"/>
        <v>0</v>
      </c>
      <c r="I1747" s="2836">
        <f t="shared" si="259"/>
        <v>0</v>
      </c>
      <c r="J1747" s="2829"/>
      <c r="K1747" s="2837"/>
    </row>
    <row r="1748" spans="1:12">
      <c r="A1748" s="2837"/>
      <c r="B1748" s="3278" t="s">
        <v>4641</v>
      </c>
      <c r="C1748" s="3278"/>
      <c r="D1748" s="3278"/>
      <c r="E1748" s="3278"/>
      <c r="F1748" s="2868"/>
      <c r="G1748" s="2315">
        <f>SUM(G1731:G1747)*H1730</f>
        <v>0</v>
      </c>
      <c r="H1748" s="2315">
        <f>SUM(H1731:H1747)</f>
        <v>0</v>
      </c>
      <c r="I1748" s="2836">
        <f t="shared" si="259"/>
        <v>0</v>
      </c>
      <c r="J1748" s="2829"/>
      <c r="K1748" s="2837"/>
    </row>
    <row r="1749" spans="1:12" ht="21">
      <c r="A1749" s="2837"/>
      <c r="B1749" s="3296" t="s">
        <v>4663</v>
      </c>
      <c r="C1749" s="3296"/>
      <c r="D1749" s="3296"/>
      <c r="E1749" s="3296"/>
      <c r="F1749" s="2954"/>
      <c r="G1749" s="941"/>
      <c r="H1749" s="2956">
        <f>дома!D1229</f>
        <v>0</v>
      </c>
      <c r="I1749" s="2940">
        <f>H1749</f>
        <v>0</v>
      </c>
      <c r="J1749" s="2829"/>
      <c r="K1749" s="2837"/>
    </row>
    <row r="1750" spans="1:12">
      <c r="A1750" s="2837"/>
      <c r="B1750" s="3285" t="s">
        <v>2720</v>
      </c>
      <c r="C1750" s="3285"/>
      <c r="D1750" s="3285"/>
      <c r="E1750" s="3285"/>
      <c r="F1750" s="2902"/>
      <c r="G1750" s="941"/>
      <c r="H1750" s="2903">
        <f>H1749</f>
        <v>0</v>
      </c>
      <c r="I1750" s="2940">
        <f>H1750</f>
        <v>0</v>
      </c>
      <c r="J1750" s="2850"/>
      <c r="K1750" s="2851"/>
    </row>
    <row r="1751" spans="1:12">
      <c r="A1751" s="2837"/>
      <c r="B1751" s="302" t="str">
        <f>крыша!A575</f>
        <v>Брус естественной влажности, 100*100мм</v>
      </c>
      <c r="C1751" s="2890" t="str">
        <f>крыша!B575</f>
        <v>м3</v>
      </c>
      <c r="D1751" s="302">
        <f>крыша!C575</f>
        <v>0</v>
      </c>
      <c r="E1751" s="302">
        <f>крыша!D575</f>
        <v>6500</v>
      </c>
      <c r="F1751" s="302"/>
      <c r="G1751" s="275">
        <f t="shared" ref="G1751:G1796" si="260">IF(F1751&gt;0,D1751*F1751,E1751*D1751)</f>
        <v>0</v>
      </c>
      <c r="H1751" s="96">
        <f t="shared" ref="H1751:H1796" si="261">D1751*E1751*$H$1749</f>
        <v>0</v>
      </c>
      <c r="I1751" s="2911">
        <f t="shared" ref="I1751:I1797" si="262">IF(G1751&gt;H1751,G1751,H1751)*$H$1749</f>
        <v>0</v>
      </c>
      <c r="J1751" s="2863"/>
      <c r="K1751" s="223">
        <f t="shared" ref="K1751:K1797" si="263">D1751-J1751</f>
        <v>0</v>
      </c>
      <c r="L1751" s="2854"/>
    </row>
    <row r="1752" spans="1:12">
      <c r="A1752" s="2837"/>
      <c r="B1752" s="302" t="str">
        <f>крыша!A576</f>
        <v xml:space="preserve">Болты анкерные с гайкой 12,0 х 280          </v>
      </c>
      <c r="C1752" s="2890" t="str">
        <f>крыша!B576</f>
        <v>шт</v>
      </c>
      <c r="D1752" s="302">
        <f>крыша!C576</f>
        <v>0</v>
      </c>
      <c r="E1752" s="302">
        <f>крыша!D576</f>
        <v>27.1</v>
      </c>
      <c r="F1752" s="302"/>
      <c r="G1752" s="275">
        <f t="shared" si="260"/>
        <v>0</v>
      </c>
      <c r="H1752" s="96">
        <f t="shared" si="261"/>
        <v>0</v>
      </c>
      <c r="I1752" s="2911">
        <f t="shared" si="262"/>
        <v>0</v>
      </c>
      <c r="J1752" s="2863"/>
      <c r="K1752" s="223">
        <f t="shared" si="263"/>
        <v>0</v>
      </c>
      <c r="L1752" s="2854"/>
    </row>
    <row r="1753" spans="1:12">
      <c r="A1753" s="2837"/>
      <c r="B1753" s="302" t="str">
        <f>крыша!A577</f>
        <v>Доска сухая, 200*50мм</v>
      </c>
      <c r="C1753" s="2890" t="str">
        <f>крыша!B577</f>
        <v>м3</v>
      </c>
      <c r="D1753" s="302">
        <f>крыша!C577</f>
        <v>0</v>
      </c>
      <c r="E1753" s="302">
        <f>крыша!D577</f>
        <v>9000</v>
      </c>
      <c r="F1753" s="302"/>
      <c r="G1753" s="275">
        <f t="shared" si="260"/>
        <v>0</v>
      </c>
      <c r="H1753" s="96">
        <f t="shared" si="261"/>
        <v>0</v>
      </c>
      <c r="I1753" s="2911">
        <f t="shared" si="262"/>
        <v>0</v>
      </c>
      <c r="J1753" s="2863"/>
      <c r="K1753" s="223">
        <f t="shared" si="263"/>
        <v>0</v>
      </c>
      <c r="L1753" s="2854"/>
    </row>
    <row r="1754" spans="1:12">
      <c r="A1754" s="2837"/>
      <c r="B1754" s="302" t="str">
        <f>крыша!A578</f>
        <v>Сосна влаж,100*25мм</v>
      </c>
      <c r="C1754" s="2890" t="str">
        <f>крыша!B578</f>
        <v>м3</v>
      </c>
      <c r="D1754" s="302">
        <f>крыша!C578</f>
        <v>0</v>
      </c>
      <c r="E1754" s="302">
        <f>крыша!D578</f>
        <v>6500</v>
      </c>
      <c r="F1754" s="302"/>
      <c r="G1754" s="275">
        <f t="shared" si="260"/>
        <v>0</v>
      </c>
      <c r="H1754" s="96">
        <f t="shared" si="261"/>
        <v>0</v>
      </c>
      <c r="I1754" s="2911">
        <f t="shared" si="262"/>
        <v>0</v>
      </c>
      <c r="J1754" s="2863"/>
      <c r="K1754" s="223">
        <f t="shared" si="263"/>
        <v>0</v>
      </c>
      <c r="L1754" s="2854"/>
    </row>
    <row r="1755" spans="1:12">
      <c r="A1755" s="2837"/>
      <c r="B1755" s="302" t="str">
        <f>крыша!A579</f>
        <v>Доска сухая, калибр., 35*45мм</v>
      </c>
      <c r="C1755" s="2890" t="str">
        <f>крыша!B579</f>
        <v>шт</v>
      </c>
      <c r="D1755" s="302">
        <f>крыша!C579</f>
        <v>0</v>
      </c>
      <c r="E1755" s="302">
        <f>крыша!D579</f>
        <v>12500</v>
      </c>
      <c r="F1755" s="302"/>
      <c r="G1755" s="275">
        <f t="shared" si="260"/>
        <v>0</v>
      </c>
      <c r="H1755" s="96">
        <f t="shared" si="261"/>
        <v>0</v>
      </c>
      <c r="I1755" s="2911">
        <f t="shared" si="262"/>
        <v>0</v>
      </c>
      <c r="J1755" s="2863"/>
      <c r="K1755" s="223">
        <f t="shared" si="263"/>
        <v>0</v>
      </c>
      <c r="L1755" s="2854"/>
    </row>
    <row r="1756" spans="1:12">
      <c r="A1756" s="2837"/>
      <c r="B1756" s="302" t="str">
        <f>крыша!A580</f>
        <v>нет ветроизоляции</v>
      </c>
      <c r="C1756" s="2890" t="str">
        <f>крыша!B580</f>
        <v>м2</v>
      </c>
      <c r="D1756" s="302">
        <f>крыша!C580</f>
        <v>0</v>
      </c>
      <c r="E1756" s="302">
        <f>крыша!D580</f>
        <v>0</v>
      </c>
      <c r="F1756" s="302"/>
      <c r="G1756" s="275">
        <f t="shared" si="260"/>
        <v>0</v>
      </c>
      <c r="H1756" s="96">
        <f t="shared" si="261"/>
        <v>0</v>
      </c>
      <c r="I1756" s="2911">
        <f t="shared" si="262"/>
        <v>0</v>
      </c>
      <c r="J1756" s="2863"/>
      <c r="K1756" s="223">
        <f t="shared" si="263"/>
        <v>0</v>
      </c>
      <c r="L1756" s="2854"/>
    </row>
    <row r="1757" spans="1:12">
      <c r="A1757" s="2837"/>
      <c r="B1757" s="302" t="str">
        <f>крыша!A581</f>
        <v>нет пароизоляции</v>
      </c>
      <c r="C1757" s="2890" t="str">
        <f>крыша!B581</f>
        <v>м2</v>
      </c>
      <c r="D1757" s="302">
        <f>крыша!C581</f>
        <v>0</v>
      </c>
      <c r="E1757" s="302">
        <f>крыша!D581</f>
        <v>0</v>
      </c>
      <c r="F1757" s="302"/>
      <c r="G1757" s="275">
        <f t="shared" si="260"/>
        <v>0</v>
      </c>
      <c r="H1757" s="96">
        <f t="shared" si="261"/>
        <v>0</v>
      </c>
      <c r="I1757" s="2911">
        <f t="shared" si="262"/>
        <v>0</v>
      </c>
      <c r="J1757" s="2863"/>
      <c r="K1757" s="223">
        <f t="shared" si="263"/>
        <v>0</v>
      </c>
      <c r="L1757" s="2854"/>
    </row>
    <row r="1758" spans="1:12">
      <c r="A1758" s="2837"/>
      <c r="B1758" s="302" t="str">
        <f>крыша!A582</f>
        <v>Плитный,28кг/м3, технониколь, 100мм</v>
      </c>
      <c r="C1758" s="2890" t="str">
        <f>крыша!B582</f>
        <v>м3</v>
      </c>
      <c r="D1758" s="302">
        <f>крыша!C582</f>
        <v>1.1256598192648954</v>
      </c>
      <c r="E1758" s="302">
        <f>крыша!D582</f>
        <v>1700</v>
      </c>
      <c r="F1758" s="302"/>
      <c r="G1758" s="275">
        <f t="shared" si="260"/>
        <v>1913.6216927503222</v>
      </c>
      <c r="H1758" s="96">
        <f t="shared" si="261"/>
        <v>0</v>
      </c>
      <c r="I1758" s="2911">
        <f t="shared" si="262"/>
        <v>0</v>
      </c>
      <c r="J1758" s="2863"/>
      <c r="K1758" s="223">
        <f t="shared" si="263"/>
        <v>1.1256598192648954</v>
      </c>
      <c r="L1758" s="2854"/>
    </row>
    <row r="1759" spans="1:12">
      <c r="A1759" s="2837"/>
      <c r="B1759" s="302" t="str">
        <f>крыша!A583</f>
        <v>металлочерепица</v>
      </c>
      <c r="C1759" s="2890" t="str">
        <f>крыша!B583</f>
        <v>м2</v>
      </c>
      <c r="D1759" s="302">
        <f>крыша!C583</f>
        <v>0</v>
      </c>
      <c r="E1759" s="302">
        <f>крыша!D583</f>
        <v>250</v>
      </c>
      <c r="F1759" s="302"/>
      <c r="G1759" s="275">
        <f t="shared" si="260"/>
        <v>0</v>
      </c>
      <c r="H1759" s="96">
        <f t="shared" si="261"/>
        <v>0</v>
      </c>
      <c r="I1759" s="2911">
        <f t="shared" si="262"/>
        <v>0</v>
      </c>
      <c r="J1759" s="2863"/>
      <c r="K1759" s="223">
        <f t="shared" si="263"/>
        <v>0</v>
      </c>
      <c r="L1759" s="2854"/>
    </row>
    <row r="1760" spans="1:12">
      <c r="A1760" s="2837"/>
      <c r="B1760" s="302" t="str">
        <f>крыша!A584</f>
        <v>Карнизная планка</v>
      </c>
      <c r="C1760" s="2890" t="str">
        <f>крыша!B584</f>
        <v>м.п.</v>
      </c>
      <c r="D1760" s="302">
        <f>крыша!C584</f>
        <v>0</v>
      </c>
      <c r="E1760" s="302">
        <f>крыша!D584</f>
        <v>200</v>
      </c>
      <c r="F1760" s="302"/>
      <c r="G1760" s="275">
        <f t="shared" si="260"/>
        <v>0</v>
      </c>
      <c r="H1760" s="96">
        <f t="shared" si="261"/>
        <v>0</v>
      </c>
      <c r="I1760" s="2911">
        <f t="shared" si="262"/>
        <v>0</v>
      </c>
      <c r="J1760" s="2863"/>
      <c r="K1760" s="223">
        <f t="shared" si="263"/>
        <v>0</v>
      </c>
      <c r="L1760" s="2854"/>
    </row>
    <row r="1761" spans="1:12">
      <c r="A1761" s="2837"/>
      <c r="B1761" s="302" t="str">
        <f>крыша!A585</f>
        <v>Конек</v>
      </c>
      <c r="C1761" s="2890" t="str">
        <f>крыша!B585</f>
        <v>м.п.</v>
      </c>
      <c r="D1761" s="302">
        <f>крыша!C585</f>
        <v>0</v>
      </c>
      <c r="E1761" s="302">
        <f>крыша!D585</f>
        <v>230</v>
      </c>
      <c r="F1761" s="302"/>
      <c r="G1761" s="275">
        <f t="shared" si="260"/>
        <v>0</v>
      </c>
      <c r="H1761" s="96">
        <f t="shared" si="261"/>
        <v>0</v>
      </c>
      <c r="I1761" s="2911">
        <f t="shared" si="262"/>
        <v>0</v>
      </c>
      <c r="J1761" s="2863"/>
      <c r="K1761" s="223">
        <f t="shared" si="263"/>
        <v>0</v>
      </c>
      <c r="L1761" s="2854"/>
    </row>
    <row r="1762" spans="1:12">
      <c r="A1762" s="2837"/>
      <c r="B1762" s="302" t="str">
        <f>крыша!A586</f>
        <v>Ендова нижняя</v>
      </c>
      <c r="C1762" s="2890" t="str">
        <f>крыша!B586</f>
        <v>м.п</v>
      </c>
      <c r="D1762" s="302">
        <f>крыша!C586</f>
        <v>0</v>
      </c>
      <c r="E1762" s="302">
        <f>крыша!D586</f>
        <v>160</v>
      </c>
      <c r="F1762" s="302"/>
      <c r="G1762" s="275">
        <f t="shared" si="260"/>
        <v>0</v>
      </c>
      <c r="H1762" s="96">
        <f t="shared" si="261"/>
        <v>0</v>
      </c>
      <c r="I1762" s="2911">
        <f t="shared" si="262"/>
        <v>0</v>
      </c>
      <c r="J1762" s="2863"/>
      <c r="K1762" s="223">
        <f t="shared" si="263"/>
        <v>0</v>
      </c>
      <c r="L1762" s="2854"/>
    </row>
    <row r="1763" spans="1:12">
      <c r="A1763" s="2837"/>
      <c r="B1763" s="302" t="str">
        <f>крыша!A587</f>
        <v>Планка примыкания</v>
      </c>
      <c r="C1763" s="2890" t="str">
        <f>крыша!B587</f>
        <v>м.п</v>
      </c>
      <c r="D1763" s="302">
        <f>крыша!C587</f>
        <v>0</v>
      </c>
      <c r="E1763" s="302">
        <f>крыша!D587</f>
        <v>190</v>
      </c>
      <c r="F1763" s="302"/>
      <c r="G1763" s="275">
        <f t="shared" si="260"/>
        <v>0</v>
      </c>
      <c r="H1763" s="96">
        <f t="shared" si="261"/>
        <v>0</v>
      </c>
      <c r="I1763" s="2911">
        <f t="shared" si="262"/>
        <v>0</v>
      </c>
      <c r="J1763" s="2863"/>
      <c r="K1763" s="223">
        <f t="shared" si="263"/>
        <v>0</v>
      </c>
      <c r="L1763" s="2854"/>
    </row>
    <row r="1764" spans="1:12">
      <c r="A1764" s="2837"/>
      <c r="B1764" s="302" t="str">
        <f>крыша!A588</f>
        <v>ондулин</v>
      </c>
      <c r="C1764" s="2890" t="str">
        <f>крыша!B588</f>
        <v>м2</v>
      </c>
      <c r="D1764" s="302">
        <f>крыша!C588</f>
        <v>0</v>
      </c>
      <c r="E1764" s="302">
        <f>крыша!D588</f>
        <v>180</v>
      </c>
      <c r="F1764" s="302"/>
      <c r="G1764" s="275">
        <f t="shared" si="260"/>
        <v>0</v>
      </c>
      <c r="H1764" s="96">
        <f t="shared" si="261"/>
        <v>0</v>
      </c>
      <c r="I1764" s="2911">
        <f t="shared" si="262"/>
        <v>0</v>
      </c>
      <c r="J1764" s="2863"/>
      <c r="K1764" s="223">
        <f t="shared" si="263"/>
        <v>0</v>
      </c>
      <c r="L1764" s="2854"/>
    </row>
    <row r="1765" spans="1:12">
      <c r="A1765" s="2837"/>
      <c r="B1765" s="302" t="str">
        <f>крыша!A589</f>
        <v>Карнизная планка</v>
      </c>
      <c r="C1765" s="2890" t="str">
        <f>крыша!B589</f>
        <v>м.п.</v>
      </c>
      <c r="D1765" s="302">
        <f>крыша!C589</f>
        <v>0</v>
      </c>
      <c r="E1765" s="302">
        <f>крыша!D589</f>
        <v>190</v>
      </c>
      <c r="F1765" s="302"/>
      <c r="G1765" s="275">
        <f t="shared" si="260"/>
        <v>0</v>
      </c>
      <c r="H1765" s="96">
        <f t="shared" si="261"/>
        <v>0</v>
      </c>
      <c r="I1765" s="2911">
        <f t="shared" si="262"/>
        <v>0</v>
      </c>
      <c r="J1765" s="2863"/>
      <c r="K1765" s="223">
        <f t="shared" si="263"/>
        <v>0</v>
      </c>
      <c r="L1765" s="2854"/>
    </row>
    <row r="1766" spans="1:12">
      <c r="A1766" s="2837"/>
      <c r="B1766" s="302" t="str">
        <f>крыша!A590</f>
        <v>Торцевая планка</v>
      </c>
      <c r="C1766" s="2890" t="str">
        <f>крыша!B590</f>
        <v>м.п.</v>
      </c>
      <c r="D1766" s="302">
        <f>крыша!C590</f>
        <v>0</v>
      </c>
      <c r="E1766" s="302">
        <f>крыша!D590</f>
        <v>190</v>
      </c>
      <c r="F1766" s="302"/>
      <c r="G1766" s="275">
        <f t="shared" si="260"/>
        <v>0</v>
      </c>
      <c r="H1766" s="96">
        <f t="shared" si="261"/>
        <v>0</v>
      </c>
      <c r="I1766" s="2911">
        <f t="shared" si="262"/>
        <v>0</v>
      </c>
      <c r="J1766" s="2863"/>
      <c r="K1766" s="223">
        <f t="shared" si="263"/>
        <v>0</v>
      </c>
      <c r="L1766" s="2854"/>
    </row>
    <row r="1767" spans="1:12">
      <c r="A1767" s="2837"/>
      <c r="B1767" s="302" t="str">
        <f>крыша!A591</f>
        <v>Конек</v>
      </c>
      <c r="C1767" s="2890" t="str">
        <f>крыша!B591</f>
        <v>м.п.</v>
      </c>
      <c r="D1767" s="302">
        <f>крыша!C591</f>
        <v>0</v>
      </c>
      <c r="E1767" s="302">
        <f>крыша!D591</f>
        <v>200</v>
      </c>
      <c r="F1767" s="302"/>
      <c r="G1767" s="275">
        <f t="shared" si="260"/>
        <v>0</v>
      </c>
      <c r="H1767" s="96">
        <f t="shared" si="261"/>
        <v>0</v>
      </c>
      <c r="I1767" s="2911">
        <f t="shared" si="262"/>
        <v>0</v>
      </c>
      <c r="J1767" s="2863"/>
      <c r="K1767" s="223">
        <f t="shared" si="263"/>
        <v>0</v>
      </c>
      <c r="L1767" s="2854"/>
    </row>
    <row r="1768" spans="1:12">
      <c r="A1768" s="2837"/>
      <c r="B1768" s="302" t="str">
        <f>крыша!A592</f>
        <v>Ендова нижняя</v>
      </c>
      <c r="C1768" s="2890" t="str">
        <f>крыша!B592</f>
        <v>м.п.</v>
      </c>
      <c r="D1768" s="302">
        <f>крыша!C592</f>
        <v>0</v>
      </c>
      <c r="E1768" s="302">
        <f>крыша!D592</f>
        <v>160</v>
      </c>
      <c r="F1768" s="302"/>
      <c r="G1768" s="275">
        <f t="shared" si="260"/>
        <v>0</v>
      </c>
      <c r="H1768" s="96">
        <f t="shared" si="261"/>
        <v>0</v>
      </c>
      <c r="I1768" s="2911">
        <f t="shared" si="262"/>
        <v>0</v>
      </c>
      <c r="J1768" s="2863"/>
      <c r="K1768" s="223">
        <f t="shared" si="263"/>
        <v>0</v>
      </c>
      <c r="L1768" s="2854"/>
    </row>
    <row r="1769" spans="1:12">
      <c r="A1769" s="2837"/>
      <c r="B1769" s="302" t="str">
        <f>крыша!A593</f>
        <v>Ендова верхняя</v>
      </c>
      <c r="C1769" s="2890" t="str">
        <f>крыша!B593</f>
        <v>м.п.</v>
      </c>
      <c r="D1769" s="302">
        <f>крыша!C593</f>
        <v>0</v>
      </c>
      <c r="E1769" s="302">
        <f>крыша!D593</f>
        <v>190</v>
      </c>
      <c r="F1769" s="302"/>
      <c r="G1769" s="275">
        <f t="shared" si="260"/>
        <v>0</v>
      </c>
      <c r="H1769" s="96">
        <f t="shared" si="261"/>
        <v>0</v>
      </c>
      <c r="I1769" s="2911">
        <f t="shared" si="262"/>
        <v>0</v>
      </c>
      <c r="J1769" s="2863"/>
      <c r="K1769" s="223">
        <f t="shared" si="263"/>
        <v>0</v>
      </c>
      <c r="L1769" s="2854"/>
    </row>
    <row r="1770" spans="1:12">
      <c r="A1770" s="2837"/>
      <c r="B1770" s="302" t="str">
        <f>крыша!A594</f>
        <v>Планка примыкания</v>
      </c>
      <c r="C1770" s="2890" t="str">
        <f>крыша!B594</f>
        <v>м.п.</v>
      </c>
      <c r="D1770" s="302">
        <f>крыша!C594</f>
        <v>0</v>
      </c>
      <c r="E1770" s="302">
        <f>крыша!D594</f>
        <v>190</v>
      </c>
      <c r="F1770" s="302"/>
      <c r="G1770" s="275">
        <f t="shared" si="260"/>
        <v>0</v>
      </c>
      <c r="H1770" s="96">
        <f t="shared" si="261"/>
        <v>0</v>
      </c>
      <c r="I1770" s="2911">
        <f t="shared" si="262"/>
        <v>0</v>
      </c>
      <c r="J1770" s="2863"/>
      <c r="K1770" s="223">
        <f t="shared" si="263"/>
        <v>0</v>
      </c>
      <c r="L1770" s="2854"/>
    </row>
    <row r="1771" spans="1:12">
      <c r="A1771" s="2837"/>
      <c r="B1771" s="302" t="str">
        <f>крыша!A595</f>
        <v>Крепеж для ондулина</v>
      </c>
      <c r="C1771" s="2890" t="str">
        <f>крыша!B595</f>
        <v>шт</v>
      </c>
      <c r="D1771" s="302">
        <f>крыша!C595</f>
        <v>0</v>
      </c>
      <c r="E1771" s="302">
        <f>крыша!D595</f>
        <v>4.5</v>
      </c>
      <c r="F1771" s="302"/>
      <c r="G1771" s="275">
        <f t="shared" si="260"/>
        <v>0</v>
      </c>
      <c r="H1771" s="96">
        <f t="shared" si="261"/>
        <v>0</v>
      </c>
      <c r="I1771" s="2911">
        <f t="shared" si="262"/>
        <v>0</v>
      </c>
      <c r="J1771" s="2863"/>
      <c r="K1771" s="223">
        <f t="shared" si="263"/>
        <v>0</v>
      </c>
      <c r="L1771" s="2854"/>
    </row>
    <row r="1772" spans="1:12">
      <c r="A1772" s="2837"/>
      <c r="B1772" s="302" t="str">
        <f>крыша!A596</f>
        <v>нет</v>
      </c>
      <c r="C1772" s="2890" t="str">
        <f>крыша!B596</f>
        <v>м2</v>
      </c>
      <c r="D1772" s="302">
        <f>крыша!C596</f>
        <v>0</v>
      </c>
      <c r="E1772" s="302">
        <f>крыша!D596</f>
        <v>0</v>
      </c>
      <c r="F1772" s="302"/>
      <c r="G1772" s="275">
        <f t="shared" si="260"/>
        <v>0</v>
      </c>
      <c r="H1772" s="96">
        <f t="shared" si="261"/>
        <v>0</v>
      </c>
      <c r="I1772" s="2911">
        <f t="shared" si="262"/>
        <v>0</v>
      </c>
      <c r="J1772" s="2863"/>
      <c r="K1772" s="223">
        <f t="shared" si="263"/>
        <v>0</v>
      </c>
      <c r="L1772" s="2854"/>
    </row>
    <row r="1773" spans="1:12">
      <c r="A1773" s="2837"/>
      <c r="B1773" s="302" t="str">
        <f>крыша!A597</f>
        <v>Рядовая черепица</v>
      </c>
      <c r="C1773" s="2890" t="str">
        <f>крыша!B597</f>
        <v>м2</v>
      </c>
      <c r="D1773" s="302">
        <f>крыша!C597</f>
        <v>0</v>
      </c>
      <c r="E1773" s="302">
        <f>крыша!D597</f>
        <v>360</v>
      </c>
      <c r="F1773" s="302"/>
      <c r="G1773" s="275">
        <f t="shared" si="260"/>
        <v>0</v>
      </c>
      <c r="H1773" s="96">
        <f t="shared" si="261"/>
        <v>0</v>
      </c>
      <c r="I1773" s="2911">
        <f t="shared" si="262"/>
        <v>0</v>
      </c>
      <c r="J1773" s="2863"/>
      <c r="K1773" s="223">
        <f t="shared" si="263"/>
        <v>0</v>
      </c>
      <c r="L1773" s="2854"/>
    </row>
    <row r="1774" spans="1:12">
      <c r="A1774" s="2837"/>
      <c r="B1774" s="302" t="str">
        <f>крыша!A598</f>
        <v>Металл оцинк защита (карниз)</v>
      </c>
      <c r="C1774" s="2890" t="str">
        <f>крыша!B598</f>
        <v>м.п.</v>
      </c>
      <c r="D1774" s="302">
        <f>крыша!C598</f>
        <v>0</v>
      </c>
      <c r="E1774" s="302">
        <f>крыша!D598</f>
        <v>200</v>
      </c>
      <c r="F1774" s="302"/>
      <c r="G1774" s="275">
        <f t="shared" si="260"/>
        <v>0</v>
      </c>
      <c r="H1774" s="96">
        <f t="shared" si="261"/>
        <v>0</v>
      </c>
      <c r="I1774" s="2911">
        <f t="shared" si="262"/>
        <v>0</v>
      </c>
      <c r="J1774" s="2863"/>
      <c r="K1774" s="223">
        <f t="shared" si="263"/>
        <v>0</v>
      </c>
      <c r="L1774" s="2854"/>
    </row>
    <row r="1775" spans="1:12">
      <c r="A1775" s="2837"/>
      <c r="B1775" s="302" t="str">
        <f>крыша!A599</f>
        <v>Подкладочный ковер</v>
      </c>
      <c r="C1775" s="2890" t="str">
        <f>крыша!B599</f>
        <v>м.п.</v>
      </c>
      <c r="D1775" s="302">
        <f>крыша!C599</f>
        <v>0</v>
      </c>
      <c r="E1775" s="302">
        <f>крыша!D599</f>
        <v>220</v>
      </c>
      <c r="F1775" s="302"/>
      <c r="G1775" s="275">
        <f t="shared" si="260"/>
        <v>0</v>
      </c>
      <c r="H1775" s="96">
        <f t="shared" si="261"/>
        <v>0</v>
      </c>
      <c r="I1775" s="2911">
        <f t="shared" si="262"/>
        <v>0</v>
      </c>
      <c r="J1775" s="2863"/>
      <c r="K1775" s="223">
        <f t="shared" si="263"/>
        <v>0</v>
      </c>
      <c r="L1775" s="2854"/>
    </row>
    <row r="1776" spans="1:12">
      <c r="A1776" s="2837"/>
      <c r="B1776" s="302" t="str">
        <f>крыша!A600</f>
        <v>Карнизная самоклеющаяся черепица</v>
      </c>
      <c r="C1776" s="2890" t="str">
        <f>крыша!B600</f>
        <v>м.п.</v>
      </c>
      <c r="D1776" s="302">
        <f>крыша!C600</f>
        <v>0</v>
      </c>
      <c r="E1776" s="302">
        <f>крыша!D600</f>
        <v>220</v>
      </c>
      <c r="F1776" s="302"/>
      <c r="G1776" s="275">
        <f t="shared" si="260"/>
        <v>0</v>
      </c>
      <c r="H1776" s="96">
        <f t="shared" si="261"/>
        <v>0</v>
      </c>
      <c r="I1776" s="2911">
        <f t="shared" si="262"/>
        <v>0</v>
      </c>
      <c r="J1776" s="2863"/>
      <c r="K1776" s="223">
        <f t="shared" si="263"/>
        <v>0</v>
      </c>
      <c r="L1776" s="2854"/>
    </row>
    <row r="1777" spans="1:12">
      <c r="A1777" s="2837"/>
      <c r="B1777" s="302" t="str">
        <f>крыша!A601</f>
        <v>Спец ковер ендова нижняя</v>
      </c>
      <c r="C1777" s="2890" t="str">
        <f>крыша!B601</f>
        <v>м.п.</v>
      </c>
      <c r="D1777" s="302">
        <f>крыша!C601</f>
        <v>0</v>
      </c>
      <c r="E1777" s="302">
        <f>крыша!D601</f>
        <v>200</v>
      </c>
      <c r="F1777" s="302"/>
      <c r="G1777" s="275">
        <f t="shared" si="260"/>
        <v>0</v>
      </c>
      <c r="H1777" s="96">
        <f t="shared" si="261"/>
        <v>0</v>
      </c>
      <c r="I1777" s="2911">
        <f t="shared" si="262"/>
        <v>0</v>
      </c>
      <c r="J1777" s="2863"/>
      <c r="K1777" s="223">
        <f t="shared" si="263"/>
        <v>0</v>
      </c>
      <c r="L1777" s="2854"/>
    </row>
    <row r="1778" spans="1:12">
      <c r="A1778" s="2837"/>
      <c r="B1778" s="302" t="str">
        <f>крыша!A602</f>
        <v>Коньковой элемент</v>
      </c>
      <c r="C1778" s="2890" t="str">
        <f>крыша!B602</f>
        <v>м.п.</v>
      </c>
      <c r="D1778" s="302">
        <f>крыша!C602</f>
        <v>0</v>
      </c>
      <c r="E1778" s="302">
        <f>крыша!D602</f>
        <v>250</v>
      </c>
      <c r="F1778" s="302"/>
      <c r="G1778" s="275">
        <f t="shared" si="260"/>
        <v>0</v>
      </c>
      <c r="H1778" s="96">
        <f t="shared" si="261"/>
        <v>0</v>
      </c>
      <c r="I1778" s="2911">
        <f t="shared" si="262"/>
        <v>0</v>
      </c>
      <c r="J1778" s="2863"/>
      <c r="K1778" s="223">
        <f t="shared" si="263"/>
        <v>0</v>
      </c>
      <c r="L1778" s="2854"/>
    </row>
    <row r="1779" spans="1:12">
      <c r="A1779" s="2837"/>
      <c r="B1779" s="302" t="str">
        <f>крыша!A603</f>
        <v>Планка премыкания</v>
      </c>
      <c r="C1779" s="2890" t="str">
        <f>крыша!B603</f>
        <v>м.п.</v>
      </c>
      <c r="D1779" s="302">
        <f>крыша!C603</f>
        <v>0</v>
      </c>
      <c r="E1779" s="302">
        <f>крыша!D603</f>
        <v>200</v>
      </c>
      <c r="F1779" s="302"/>
      <c r="G1779" s="275">
        <f t="shared" si="260"/>
        <v>0</v>
      </c>
      <c r="H1779" s="96">
        <f t="shared" si="261"/>
        <v>0</v>
      </c>
      <c r="I1779" s="2911">
        <f t="shared" si="262"/>
        <v>0</v>
      </c>
      <c r="J1779" s="2863"/>
      <c r="K1779" s="223">
        <f t="shared" si="263"/>
        <v>0</v>
      </c>
      <c r="L1779" s="2854"/>
    </row>
    <row r="1780" spans="1:12">
      <c r="A1780" s="2837"/>
      <c r="B1780" s="302" t="str">
        <f>крыша!A604</f>
        <v>Гвозди для крепления подкладочного ковра</v>
      </c>
      <c r="C1780" s="2890" t="str">
        <f>крыша!B604</f>
        <v>шт</v>
      </c>
      <c r="D1780" s="302">
        <f>крыша!C604</f>
        <v>0</v>
      </c>
      <c r="E1780" s="302">
        <f>крыша!D604</f>
        <v>1.2E-2</v>
      </c>
      <c r="F1780" s="302"/>
      <c r="G1780" s="275">
        <f t="shared" si="260"/>
        <v>0</v>
      </c>
      <c r="H1780" s="96">
        <f t="shared" si="261"/>
        <v>0</v>
      </c>
      <c r="I1780" s="2911">
        <f t="shared" si="262"/>
        <v>0</v>
      </c>
      <c r="J1780" s="2863"/>
      <c r="K1780" s="223">
        <f t="shared" si="263"/>
        <v>0</v>
      </c>
      <c r="L1780" s="2854"/>
    </row>
    <row r="1781" spans="1:12">
      <c r="A1781" s="2837"/>
      <c r="B1781" s="302" t="str">
        <f>крыша!A605</f>
        <v>Гвозди для крепления черепицы</v>
      </c>
      <c r="C1781" s="2890" t="str">
        <f>крыша!B605</f>
        <v>шт</v>
      </c>
      <c r="D1781" s="302">
        <f>крыша!C605</f>
        <v>0</v>
      </c>
      <c r="E1781" s="302">
        <f>крыша!D605</f>
        <v>0.25</v>
      </c>
      <c r="F1781" s="302"/>
      <c r="G1781" s="275">
        <f t="shared" si="260"/>
        <v>0</v>
      </c>
      <c r="H1781" s="96">
        <f t="shared" si="261"/>
        <v>0</v>
      </c>
      <c r="I1781" s="2911">
        <f t="shared" si="262"/>
        <v>0</v>
      </c>
      <c r="J1781" s="2863"/>
      <c r="K1781" s="223">
        <f t="shared" si="263"/>
        <v>0</v>
      </c>
      <c r="L1781" s="2854"/>
    </row>
    <row r="1782" spans="1:12">
      <c r="A1782" s="2837"/>
      <c r="B1782" s="302" t="str">
        <f>крыша!A606</f>
        <v>Клей для монтажа черепицы</v>
      </c>
      <c r="C1782" s="2890" t="str">
        <f>крыша!B606</f>
        <v>кг</v>
      </c>
      <c r="D1782" s="302">
        <f>крыша!C606</f>
        <v>0</v>
      </c>
      <c r="E1782" s="302">
        <f>крыша!D606</f>
        <v>250</v>
      </c>
      <c r="F1782" s="302"/>
      <c r="G1782" s="275">
        <f t="shared" si="260"/>
        <v>0</v>
      </c>
      <c r="H1782" s="96">
        <f t="shared" si="261"/>
        <v>0</v>
      </c>
      <c r="I1782" s="2911">
        <f t="shared" si="262"/>
        <v>0</v>
      </c>
      <c r="J1782" s="2863"/>
      <c r="K1782" s="223">
        <f t="shared" si="263"/>
        <v>0</v>
      </c>
      <c r="L1782" s="2854"/>
    </row>
    <row r="1783" spans="1:12">
      <c r="A1783" s="2837"/>
      <c r="B1783" s="302" t="str">
        <f>крыша!A607</f>
        <v>желоб</v>
      </c>
      <c r="C1783" s="2890" t="str">
        <f>крыша!B607</f>
        <v>м.п</v>
      </c>
      <c r="D1783" s="302">
        <f>крыша!C607</f>
        <v>0</v>
      </c>
      <c r="E1783" s="302">
        <f>крыша!D607</f>
        <v>300</v>
      </c>
      <c r="F1783" s="302"/>
      <c r="G1783" s="275">
        <f t="shared" si="260"/>
        <v>0</v>
      </c>
      <c r="H1783" s="96">
        <f t="shared" si="261"/>
        <v>0</v>
      </c>
      <c r="I1783" s="2911">
        <f t="shared" si="262"/>
        <v>0</v>
      </c>
      <c r="J1783" s="2863"/>
      <c r="K1783" s="223">
        <f t="shared" si="263"/>
        <v>0</v>
      </c>
      <c r="L1783" s="2854"/>
    </row>
    <row r="1784" spans="1:12">
      <c r="A1784" s="2837"/>
      <c r="B1784" s="302" t="str">
        <f>крыша!A608</f>
        <v>отвод</v>
      </c>
      <c r="C1784" s="2890" t="str">
        <f>крыша!B608</f>
        <v>шт</v>
      </c>
      <c r="D1784" s="302">
        <f>крыша!C608</f>
        <v>4</v>
      </c>
      <c r="E1784" s="302">
        <f>крыша!D608</f>
        <v>250</v>
      </c>
      <c r="F1784" s="302"/>
      <c r="G1784" s="275">
        <f t="shared" si="260"/>
        <v>1000</v>
      </c>
      <c r="H1784" s="96">
        <f t="shared" si="261"/>
        <v>0</v>
      </c>
      <c r="I1784" s="2911">
        <f t="shared" si="262"/>
        <v>0</v>
      </c>
      <c r="J1784" s="2863"/>
      <c r="K1784" s="223">
        <f t="shared" si="263"/>
        <v>4</v>
      </c>
      <c r="L1784" s="2854"/>
    </row>
    <row r="1785" spans="1:12">
      <c r="A1785" s="2837"/>
      <c r="B1785" s="302" t="str">
        <f>крыша!A609</f>
        <v>труба водосточная</v>
      </c>
      <c r="C1785" s="2890" t="str">
        <f>крыша!B609</f>
        <v>м.п.</v>
      </c>
      <c r="D1785" s="302">
        <f>крыша!C609</f>
        <v>0</v>
      </c>
      <c r="E1785" s="302">
        <f>крыша!D609</f>
        <v>300</v>
      </c>
      <c r="F1785" s="302"/>
      <c r="G1785" s="275">
        <f t="shared" si="260"/>
        <v>0</v>
      </c>
      <c r="H1785" s="96">
        <f t="shared" si="261"/>
        <v>0</v>
      </c>
      <c r="I1785" s="2911">
        <f t="shared" si="262"/>
        <v>0</v>
      </c>
      <c r="J1785" s="2863"/>
      <c r="K1785" s="223">
        <f t="shared" si="263"/>
        <v>0</v>
      </c>
      <c r="L1785" s="2854"/>
    </row>
    <row r="1786" spans="1:12">
      <c r="A1786" s="2837"/>
      <c r="B1786" s="302" t="str">
        <f>крыша!A610</f>
        <v>заглушка для желоба</v>
      </c>
      <c r="C1786" s="2890" t="str">
        <f>крыша!B610</f>
        <v>шт</v>
      </c>
      <c r="D1786" s="302">
        <f>крыша!C610</f>
        <v>0</v>
      </c>
      <c r="E1786" s="302">
        <f>крыша!D610</f>
        <v>190</v>
      </c>
      <c r="F1786" s="302"/>
      <c r="G1786" s="275">
        <f t="shared" si="260"/>
        <v>0</v>
      </c>
      <c r="H1786" s="96">
        <f t="shared" si="261"/>
        <v>0</v>
      </c>
      <c r="I1786" s="2911">
        <f t="shared" si="262"/>
        <v>0</v>
      </c>
      <c r="J1786" s="2863"/>
      <c r="K1786" s="223">
        <f t="shared" si="263"/>
        <v>0</v>
      </c>
      <c r="L1786" s="2854"/>
    </row>
    <row r="1787" spans="1:12">
      <c r="A1787" s="2837"/>
      <c r="B1787" s="302" t="str">
        <f>крыша!A611</f>
        <v>соеденитель для желоба</v>
      </c>
      <c r="C1787" s="2890" t="str">
        <f>крыша!B611</f>
        <v>шт</v>
      </c>
      <c r="D1787" s="302">
        <f>крыша!C611</f>
        <v>0</v>
      </c>
      <c r="E1787" s="302">
        <f>крыша!D611</f>
        <v>180</v>
      </c>
      <c r="F1787" s="302"/>
      <c r="G1787" s="275">
        <f t="shared" si="260"/>
        <v>0</v>
      </c>
      <c r="H1787" s="96">
        <f t="shared" si="261"/>
        <v>0</v>
      </c>
      <c r="I1787" s="2911">
        <f t="shared" si="262"/>
        <v>0</v>
      </c>
      <c r="J1787" s="2863"/>
      <c r="K1787" s="223">
        <f t="shared" si="263"/>
        <v>0</v>
      </c>
      <c r="L1787" s="2854"/>
    </row>
    <row r="1788" spans="1:12">
      <c r="A1788" s="2837"/>
      <c r="B1788" s="302" t="str">
        <f>крыша!A612</f>
        <v>кронштейн для желоба</v>
      </c>
      <c r="C1788" s="2890" t="str">
        <f>крыша!B612</f>
        <v>шт</v>
      </c>
      <c r="D1788" s="302">
        <f>крыша!C612</f>
        <v>0</v>
      </c>
      <c r="E1788" s="302">
        <f>крыша!D612</f>
        <v>130</v>
      </c>
      <c r="F1788" s="302"/>
      <c r="G1788" s="275">
        <f t="shared" si="260"/>
        <v>0</v>
      </c>
      <c r="H1788" s="96">
        <f t="shared" si="261"/>
        <v>0</v>
      </c>
      <c r="I1788" s="2911">
        <f t="shared" si="262"/>
        <v>0</v>
      </c>
      <c r="J1788" s="2863"/>
      <c r="K1788" s="223">
        <f t="shared" si="263"/>
        <v>0</v>
      </c>
      <c r="L1788" s="2854"/>
    </row>
    <row r="1789" spans="1:12">
      <c r="A1789" s="2837"/>
      <c r="B1789" s="302" t="str">
        <f>крыша!A613</f>
        <v>переход из желоба в трубу</v>
      </c>
      <c r="C1789" s="2890" t="str">
        <f>крыша!B613</f>
        <v>шт</v>
      </c>
      <c r="D1789" s="302">
        <f>крыша!C613</f>
        <v>2</v>
      </c>
      <c r="E1789" s="302">
        <f>крыша!D613</f>
        <v>350</v>
      </c>
      <c r="F1789" s="302"/>
      <c r="G1789" s="275">
        <f t="shared" si="260"/>
        <v>700</v>
      </c>
      <c r="H1789" s="96">
        <f t="shared" si="261"/>
        <v>0</v>
      </c>
      <c r="I1789" s="2911">
        <f t="shared" si="262"/>
        <v>0</v>
      </c>
      <c r="J1789" s="2863"/>
      <c r="K1789" s="223">
        <f t="shared" si="263"/>
        <v>2</v>
      </c>
      <c r="L1789" s="2854"/>
    </row>
    <row r="1790" spans="1:12">
      <c r="A1790" s="2837"/>
      <c r="B1790" s="302" t="str">
        <f>крыша!A614</f>
        <v>лента дельта мульти бэнд</v>
      </c>
      <c r="C1790" s="2890" t="str">
        <f>крыша!B614</f>
        <v>шт</v>
      </c>
      <c r="D1790" s="302">
        <f>крыша!C614</f>
        <v>0</v>
      </c>
      <c r="E1790" s="302">
        <f>крыша!D614</f>
        <v>1200</v>
      </c>
      <c r="F1790" s="302"/>
      <c r="G1790" s="275">
        <f t="shared" si="260"/>
        <v>0</v>
      </c>
      <c r="H1790" s="96">
        <f t="shared" si="261"/>
        <v>0</v>
      </c>
      <c r="I1790" s="2911">
        <f t="shared" si="262"/>
        <v>0</v>
      </c>
      <c r="J1790" s="2863"/>
      <c r="K1790" s="223">
        <f t="shared" si="263"/>
        <v>0</v>
      </c>
      <c r="L1790" s="2854"/>
    </row>
    <row r="1791" spans="1:12">
      <c r="A1791" s="2837"/>
      <c r="B1791" s="302" t="str">
        <f>крыша!A615</f>
        <v>лента дельта sb-60</v>
      </c>
      <c r="C1791" s="2890" t="str">
        <f>крыша!B615</f>
        <v>шт</v>
      </c>
      <c r="D1791" s="302">
        <f>крыша!C615</f>
        <v>0</v>
      </c>
      <c r="E1791" s="302">
        <f>крыша!D615</f>
        <v>1100</v>
      </c>
      <c r="F1791" s="302"/>
      <c r="G1791" s="275">
        <f t="shared" si="260"/>
        <v>0</v>
      </c>
      <c r="H1791" s="96">
        <f t="shared" si="261"/>
        <v>0</v>
      </c>
      <c r="I1791" s="2911">
        <f t="shared" si="262"/>
        <v>0</v>
      </c>
      <c r="J1791" s="2863"/>
      <c r="K1791" s="223">
        <f t="shared" si="263"/>
        <v>0</v>
      </c>
      <c r="L1791" s="2854"/>
    </row>
    <row r="1792" spans="1:12">
      <c r="A1792" s="2837"/>
      <c r="B1792" s="302" t="str">
        <f>крыша!A616</f>
        <v>Кровельный саморез</v>
      </c>
      <c r="C1792" s="2890" t="str">
        <f>крыша!B616</f>
        <v>шт</v>
      </c>
      <c r="D1792" s="302">
        <f>крыша!C616</f>
        <v>0</v>
      </c>
      <c r="E1792" s="302">
        <f>крыша!D616</f>
        <v>2</v>
      </c>
      <c r="F1792" s="302"/>
      <c r="G1792" s="275">
        <f t="shared" si="260"/>
        <v>0</v>
      </c>
      <c r="H1792" s="96">
        <f t="shared" si="261"/>
        <v>0</v>
      </c>
      <c r="I1792" s="2911">
        <f t="shared" si="262"/>
        <v>0</v>
      </c>
      <c r="J1792" s="2863"/>
      <c r="K1792" s="223">
        <f t="shared" si="263"/>
        <v>0</v>
      </c>
      <c r="L1792" s="2854"/>
    </row>
    <row r="1793" spans="1:14">
      <c r="A1793" s="2837"/>
      <c r="B1793" s="302" t="str">
        <f>крыша!A617</f>
        <v xml:space="preserve">Гвозди ершоные 3,4 x 60            </v>
      </c>
      <c r="C1793" s="2890" t="str">
        <f>крыша!B617</f>
        <v>кг</v>
      </c>
      <c r="D1793" s="302">
        <f>крыша!C617</f>
        <v>0</v>
      </c>
      <c r="E1793" s="302">
        <f>крыша!D617</f>
        <v>75.510000000000005</v>
      </c>
      <c r="F1793" s="302"/>
      <c r="G1793" s="275">
        <f t="shared" si="260"/>
        <v>0</v>
      </c>
      <c r="H1793" s="96">
        <f t="shared" si="261"/>
        <v>0</v>
      </c>
      <c r="I1793" s="2911">
        <f t="shared" si="262"/>
        <v>0</v>
      </c>
      <c r="J1793" s="2863"/>
      <c r="K1793" s="223">
        <f t="shared" si="263"/>
        <v>0</v>
      </c>
      <c r="L1793" s="2854"/>
    </row>
    <row r="1794" spans="1:14">
      <c r="A1794" s="2837"/>
      <c r="B1794" s="302" t="str">
        <f>крыша!A618</f>
        <v xml:space="preserve">Гвозди ершоные 2,8 х 90            </v>
      </c>
      <c r="C1794" s="2890" t="str">
        <f>крыша!B618</f>
        <v>кг</v>
      </c>
      <c r="D1794" s="302">
        <f>крыша!C618</f>
        <v>0</v>
      </c>
      <c r="E1794" s="302">
        <f>крыша!D618</f>
        <v>76.489999999999995</v>
      </c>
      <c r="F1794" s="302"/>
      <c r="G1794" s="275">
        <f t="shared" si="260"/>
        <v>0</v>
      </c>
      <c r="H1794" s="96">
        <f t="shared" si="261"/>
        <v>0</v>
      </c>
      <c r="I1794" s="2911">
        <f t="shared" si="262"/>
        <v>0</v>
      </c>
      <c r="J1794" s="2863"/>
      <c r="K1794" s="223">
        <f t="shared" si="263"/>
        <v>0</v>
      </c>
      <c r="L1794" s="2854"/>
    </row>
    <row r="1795" spans="1:14">
      <c r="A1795" s="2837"/>
      <c r="B1795" s="302" t="str">
        <f>крыша!A619</f>
        <v xml:space="preserve">Пластина соеденительная 100х240х2           </v>
      </c>
      <c r="C1795" s="2890" t="str">
        <f>крыша!B619</f>
        <v>шт</v>
      </c>
      <c r="D1795" s="302">
        <f>крыша!C619</f>
        <v>2.2999999999999998</v>
      </c>
      <c r="E1795" s="302">
        <f>крыша!D619</f>
        <v>31.54</v>
      </c>
      <c r="F1795" s="302"/>
      <c r="G1795" s="275">
        <f t="shared" si="260"/>
        <v>72.541999999999987</v>
      </c>
      <c r="H1795" s="96">
        <f t="shared" si="261"/>
        <v>0</v>
      </c>
      <c r="I1795" s="2911">
        <f t="shared" si="262"/>
        <v>0</v>
      </c>
      <c r="J1795" s="2863"/>
      <c r="K1795" s="223">
        <f t="shared" si="263"/>
        <v>2.2999999999999998</v>
      </c>
      <c r="L1795" s="2854"/>
    </row>
    <row r="1796" spans="1:14">
      <c r="A1796" s="2837"/>
      <c r="B1796" s="302" t="str">
        <f>крыша!A620</f>
        <v xml:space="preserve">Уголок усиленный 90х70х55х2,5        </v>
      </c>
      <c r="C1796" s="2890" t="str">
        <f>крыша!B620</f>
        <v>шт</v>
      </c>
      <c r="D1796" s="302">
        <f>крыша!C620</f>
        <v>3.4499999999999997</v>
      </c>
      <c r="E1796" s="302">
        <f>крыша!D620</f>
        <v>30</v>
      </c>
      <c r="F1796" s="302"/>
      <c r="G1796" s="275">
        <f t="shared" si="260"/>
        <v>103.49999999999999</v>
      </c>
      <c r="H1796" s="96">
        <f t="shared" si="261"/>
        <v>0</v>
      </c>
      <c r="I1796" s="2911">
        <f t="shared" si="262"/>
        <v>0</v>
      </c>
      <c r="J1796" s="2863"/>
      <c r="K1796" s="223">
        <f t="shared" si="263"/>
        <v>3.4499999999999997</v>
      </c>
      <c r="L1796" s="2854"/>
    </row>
    <row r="1797" spans="1:14">
      <c r="A1797" s="2837"/>
      <c r="B1797" s="3278" t="s">
        <v>4640</v>
      </c>
      <c r="C1797" s="3278"/>
      <c r="D1797" s="3278"/>
      <c r="E1797" s="3278"/>
      <c r="F1797" s="2868"/>
      <c r="G1797" s="2315">
        <f>SUM(G1751:G1796)*H1749</f>
        <v>0</v>
      </c>
      <c r="H1797" s="2315">
        <f>SUM(H1751:H1796)</f>
        <v>0</v>
      </c>
      <c r="I1797" s="2911">
        <f t="shared" si="262"/>
        <v>0</v>
      </c>
      <c r="J1797" s="2863"/>
      <c r="K1797" s="223">
        <f t="shared" si="263"/>
        <v>0</v>
      </c>
      <c r="L1797" s="2854"/>
    </row>
    <row r="1798" spans="1:14">
      <c r="A1798" s="2837"/>
      <c r="B1798" s="3279" t="s">
        <v>1409</v>
      </c>
      <c r="C1798" s="3279"/>
      <c r="D1798" s="3279"/>
      <c r="E1798" s="3279"/>
      <c r="F1798" s="2870"/>
      <c r="G1798" s="941"/>
      <c r="H1798" s="2891">
        <f>H1749</f>
        <v>0</v>
      </c>
      <c r="I1798" s="2940">
        <f>H1798</f>
        <v>0</v>
      </c>
      <c r="J1798" s="2892"/>
      <c r="K1798" s="2893"/>
    </row>
    <row r="1799" spans="1:14">
      <c r="A1799" s="2837"/>
      <c r="B1799" s="2763" t="str">
        <f>крыша!G576</f>
        <v>монтаж мауэрлат</v>
      </c>
      <c r="C1799" s="2890" t="str">
        <f>крыша!I576</f>
        <v>м.п.</v>
      </c>
      <c r="D1799" s="302">
        <f>крыша!J576</f>
        <v>0</v>
      </c>
      <c r="E1799" s="179">
        <f>крыша!K576</f>
        <v>250</v>
      </c>
      <c r="F1799" s="179"/>
      <c r="G1799" s="275">
        <f t="shared" ref="G1799:G1813" si="264">IF(F1799&gt;0,D1799*F1799,E1799*D1799)</f>
        <v>0</v>
      </c>
      <c r="H1799" s="2315">
        <f t="shared" ref="H1799:H1813" si="265">D1799*E1799*$H$1798</f>
        <v>0</v>
      </c>
      <c r="I1799" s="2836">
        <f t="shared" ref="I1799:I1814" si="266">IF(G1799&gt;H1799,G1799,H1799)*$H$1749</f>
        <v>0</v>
      </c>
      <c r="J1799" s="2829"/>
      <c r="L1799" s="910"/>
      <c r="M1799" s="910"/>
      <c r="N1799" s="910"/>
    </row>
    <row r="1800" spans="1:14">
      <c r="A1800" s="2837"/>
      <c r="B1800" s="2763" t="str">
        <f>крыша!G577</f>
        <v>монтаж стропил</v>
      </c>
      <c r="C1800" s="2890" t="str">
        <f>крыша!I577</f>
        <v>м2</v>
      </c>
      <c r="D1800" s="302">
        <f>крыша!J577</f>
        <v>0</v>
      </c>
      <c r="E1800" s="179">
        <f>крыша!K577</f>
        <v>450</v>
      </c>
      <c r="F1800" s="179"/>
      <c r="G1800" s="275">
        <f t="shared" si="264"/>
        <v>0</v>
      </c>
      <c r="H1800" s="2315">
        <f t="shared" si="265"/>
        <v>0</v>
      </c>
      <c r="I1800" s="2836">
        <f t="shared" si="266"/>
        <v>0</v>
      </c>
      <c r="J1800" s="2829"/>
      <c r="L1800" s="910"/>
      <c r="M1800" s="910"/>
      <c r="N1800" s="910"/>
    </row>
    <row r="1801" spans="1:14">
      <c r="A1801" s="2837"/>
      <c r="B1801" s="2763" t="str">
        <f>крыша!G578</f>
        <v>обрешетка</v>
      </c>
      <c r="C1801" s="2890" t="str">
        <f>крыша!I578</f>
        <v>м2</v>
      </c>
      <c r="D1801" s="302">
        <f>крыша!J578</f>
        <v>0</v>
      </c>
      <c r="E1801" s="179">
        <f>крыша!K578</f>
        <v>100</v>
      </c>
      <c r="F1801" s="179"/>
      <c r="G1801" s="275">
        <f t="shared" si="264"/>
        <v>0</v>
      </c>
      <c r="H1801" s="2315">
        <f t="shared" si="265"/>
        <v>0</v>
      </c>
      <c r="I1801" s="2836">
        <f t="shared" si="266"/>
        <v>0</v>
      </c>
      <c r="J1801" s="2829"/>
      <c r="L1801" s="910"/>
      <c r="M1801" s="910"/>
      <c r="N1801" s="910"/>
    </row>
    <row r="1802" spans="1:14">
      <c r="A1802" s="2837"/>
      <c r="B1802" s="2763" t="str">
        <f>крыша!G579</f>
        <v>контробеш</v>
      </c>
      <c r="C1802" s="2890" t="str">
        <f>крыша!I579</f>
        <v>м2</v>
      </c>
      <c r="D1802" s="302">
        <f>крыша!J579</f>
        <v>0</v>
      </c>
      <c r="E1802" s="179">
        <f>крыша!K579</f>
        <v>100</v>
      </c>
      <c r="F1802" s="179"/>
      <c r="G1802" s="275">
        <f t="shared" si="264"/>
        <v>0</v>
      </c>
      <c r="H1802" s="2315">
        <f t="shared" si="265"/>
        <v>0</v>
      </c>
      <c r="I1802" s="2836">
        <f t="shared" si="266"/>
        <v>0</v>
      </c>
      <c r="J1802" s="2829"/>
      <c r="L1802" s="910"/>
      <c r="M1802" s="910"/>
      <c r="N1802" s="910"/>
    </row>
    <row r="1803" spans="1:14">
      <c r="A1803" s="2837"/>
      <c r="B1803" s="2763" t="str">
        <f>крыша!G580</f>
        <v>мембрана</v>
      </c>
      <c r="C1803" s="2890" t="str">
        <f>крыша!I580</f>
        <v>м2</v>
      </c>
      <c r="D1803" s="302">
        <f>крыша!J580</f>
        <v>0</v>
      </c>
      <c r="E1803" s="179">
        <f>крыша!K580</f>
        <v>100</v>
      </c>
      <c r="F1803" s="179"/>
      <c r="G1803" s="275">
        <f t="shared" si="264"/>
        <v>0</v>
      </c>
      <c r="H1803" s="2315">
        <f t="shared" si="265"/>
        <v>0</v>
      </c>
      <c r="I1803" s="2836">
        <f t="shared" si="266"/>
        <v>0</v>
      </c>
      <c r="J1803" s="2829"/>
      <c r="L1803" s="910"/>
      <c r="M1803" s="910"/>
      <c r="N1803" s="910"/>
    </row>
    <row r="1804" spans="1:14">
      <c r="A1804" s="2837"/>
      <c r="B1804" s="2763" t="str">
        <f>крыша!G581</f>
        <v>пароизоляц</v>
      </c>
      <c r="C1804" s="2890" t="str">
        <f>крыша!I581</f>
        <v>м2</v>
      </c>
      <c r="D1804" s="302">
        <f>крыша!J581</f>
        <v>0</v>
      </c>
      <c r="E1804" s="179">
        <f>крыша!K581</f>
        <v>100</v>
      </c>
      <c r="F1804" s="179"/>
      <c r="G1804" s="275">
        <f t="shared" si="264"/>
        <v>0</v>
      </c>
      <c r="H1804" s="2315">
        <f t="shared" si="265"/>
        <v>0</v>
      </c>
      <c r="I1804" s="2836">
        <f t="shared" si="266"/>
        <v>0</v>
      </c>
      <c r="J1804" s="2829"/>
      <c r="L1804" s="910"/>
      <c r="M1804" s="910"/>
      <c r="N1804" s="910"/>
    </row>
    <row r="1805" spans="1:14">
      <c r="A1805" s="2837"/>
      <c r="B1805" s="2763" t="str">
        <f>крыша!G582</f>
        <v>утеплитель</v>
      </c>
      <c r="C1805" s="2890" t="str">
        <f>крыша!I582</f>
        <v>м2</v>
      </c>
      <c r="D1805" s="302">
        <f>крыша!J582</f>
        <v>0</v>
      </c>
      <c r="E1805" s="179">
        <f>крыша!K582</f>
        <v>200</v>
      </c>
      <c r="F1805" s="179"/>
      <c r="G1805" s="275">
        <f t="shared" si="264"/>
        <v>0</v>
      </c>
      <c r="H1805" s="2315">
        <f t="shared" si="265"/>
        <v>0</v>
      </c>
      <c r="I1805" s="2836">
        <f t="shared" si="266"/>
        <v>0</v>
      </c>
      <c r="J1805" s="2829"/>
      <c r="L1805" s="910"/>
      <c r="M1805" s="910"/>
      <c r="N1805" s="910"/>
    </row>
    <row r="1806" spans="1:14">
      <c r="A1806" s="2837"/>
      <c r="B1806" s="2763" t="str">
        <f>крыша!G583</f>
        <v>Монтаж металлочерепицы</v>
      </c>
      <c r="C1806" s="2890" t="str">
        <f>крыша!I583</f>
        <v>м2</v>
      </c>
      <c r="D1806" s="302">
        <f>крыша!J583</f>
        <v>0</v>
      </c>
      <c r="E1806" s="179">
        <f>крыша!K583</f>
        <v>300</v>
      </c>
      <c r="F1806" s="179"/>
      <c r="G1806" s="275">
        <f t="shared" si="264"/>
        <v>0</v>
      </c>
      <c r="H1806" s="2315">
        <f t="shared" si="265"/>
        <v>0</v>
      </c>
      <c r="I1806" s="2836">
        <f t="shared" si="266"/>
        <v>0</v>
      </c>
      <c r="J1806" s="2829"/>
      <c r="L1806" s="910"/>
      <c r="M1806" s="910"/>
      <c r="N1806" s="910"/>
    </row>
    <row r="1807" spans="1:14">
      <c r="A1807" s="2837"/>
      <c r="B1807" s="2763" t="str">
        <f>крыша!G584</f>
        <v>карнизная планка</v>
      </c>
      <c r="C1807" s="2890" t="str">
        <f>крыша!I584</f>
        <v>м2</v>
      </c>
      <c r="D1807" s="302">
        <f>крыша!J584</f>
        <v>0</v>
      </c>
      <c r="E1807" s="179">
        <f>крыша!K584</f>
        <v>100</v>
      </c>
      <c r="F1807" s="179"/>
      <c r="G1807" s="275">
        <f t="shared" si="264"/>
        <v>0</v>
      </c>
      <c r="H1807" s="2315">
        <f t="shared" si="265"/>
        <v>0</v>
      </c>
      <c r="I1807" s="2836">
        <f t="shared" si="266"/>
        <v>0</v>
      </c>
      <c r="J1807" s="2829"/>
      <c r="L1807" s="910"/>
      <c r="M1807" s="910"/>
      <c r="N1807" s="910"/>
    </row>
    <row r="1808" spans="1:14">
      <c r="A1808" s="2837"/>
      <c r="B1808" s="2763" t="str">
        <f>крыша!G585</f>
        <v>желоб водосточный</v>
      </c>
      <c r="C1808" s="2890" t="str">
        <f>крыша!I585</f>
        <v>м.п.</v>
      </c>
      <c r="D1808" s="302">
        <f>крыша!J585</f>
        <v>0</v>
      </c>
      <c r="E1808" s="179">
        <f>крыша!K585</f>
        <v>300</v>
      </c>
      <c r="F1808" s="179"/>
      <c r="G1808" s="275">
        <f t="shared" si="264"/>
        <v>0</v>
      </c>
      <c r="H1808" s="2315">
        <f t="shared" si="265"/>
        <v>0</v>
      </c>
      <c r="I1808" s="2836">
        <f t="shared" si="266"/>
        <v>0</v>
      </c>
      <c r="J1808" s="2829"/>
      <c r="L1808" s="910"/>
      <c r="M1808" s="910"/>
      <c r="N1808" s="910"/>
    </row>
    <row r="1809" spans="1:14">
      <c r="A1809" s="2837"/>
      <c r="B1809" s="2763" t="str">
        <f>крыша!G586</f>
        <v>труба водосточная</v>
      </c>
      <c r="C1809" s="2890" t="str">
        <f>крыша!I586</f>
        <v>м.п.</v>
      </c>
      <c r="D1809" s="302">
        <f>крыша!J586</f>
        <v>0</v>
      </c>
      <c r="E1809" s="179">
        <f>крыша!K586</f>
        <v>300</v>
      </c>
      <c r="F1809" s="179"/>
      <c r="G1809" s="275">
        <f t="shared" si="264"/>
        <v>0</v>
      </c>
      <c r="H1809" s="2315">
        <f t="shared" si="265"/>
        <v>0</v>
      </c>
      <c r="I1809" s="2836">
        <f t="shared" si="266"/>
        <v>0</v>
      </c>
      <c r="J1809" s="2829"/>
      <c r="L1809" s="910"/>
      <c r="M1809" s="910"/>
      <c r="N1809" s="910"/>
    </row>
    <row r="1810" spans="1:14">
      <c r="A1810" s="2837"/>
      <c r="B1810" s="2763" t="str">
        <f>крыша!G587</f>
        <v>ендова внутр/наружн</v>
      </c>
      <c r="C1810" s="2890" t="str">
        <f>крыша!I587</f>
        <v>м.п.</v>
      </c>
      <c r="D1810" s="302">
        <f>крыша!J587</f>
        <v>0</v>
      </c>
      <c r="E1810" s="179">
        <f>крыша!K587</f>
        <v>300</v>
      </c>
      <c r="F1810" s="179"/>
      <c r="G1810" s="275">
        <f t="shared" si="264"/>
        <v>0</v>
      </c>
      <c r="H1810" s="2315">
        <f t="shared" si="265"/>
        <v>0</v>
      </c>
      <c r="I1810" s="2836">
        <f t="shared" si="266"/>
        <v>0</v>
      </c>
      <c r="J1810" s="2829"/>
      <c r="L1810" s="910"/>
      <c r="M1810" s="910"/>
      <c r="N1810" s="910"/>
    </row>
    <row r="1811" spans="1:14">
      <c r="A1811" s="2837"/>
      <c r="B1811" s="2763" t="str">
        <f>крыша!G588</f>
        <v>Монтаж фанеры/osb</v>
      </c>
      <c r="C1811" s="2890" t="str">
        <f>крыша!I588</f>
        <v>м2</v>
      </c>
      <c r="D1811" s="302">
        <f>крыша!J588</f>
        <v>0</v>
      </c>
      <c r="E1811" s="179">
        <f>крыша!K588</f>
        <v>200</v>
      </c>
      <c r="F1811" s="179"/>
      <c r="G1811" s="275">
        <f t="shared" si="264"/>
        <v>0</v>
      </c>
      <c r="H1811" s="2315">
        <f t="shared" si="265"/>
        <v>0</v>
      </c>
      <c r="I1811" s="2836">
        <f t="shared" si="266"/>
        <v>0</v>
      </c>
      <c r="J1811" s="2829"/>
      <c r="L1811" s="910"/>
      <c r="M1811" s="910"/>
      <c r="N1811" s="910"/>
    </row>
    <row r="1812" spans="1:14">
      <c r="A1812" s="2837"/>
      <c r="B1812" s="2763" t="str">
        <f>крыша!G589</f>
        <v>монтаж подкладочного ковра</v>
      </c>
      <c r="C1812" s="2890" t="str">
        <f>крыша!I589</f>
        <v>м2</v>
      </c>
      <c r="D1812" s="302">
        <f>крыша!J589</f>
        <v>0</v>
      </c>
      <c r="E1812" s="179">
        <f>крыша!K589</f>
        <v>150</v>
      </c>
      <c r="F1812" s="179"/>
      <c r="G1812" s="275">
        <f t="shared" si="264"/>
        <v>0</v>
      </c>
      <c r="H1812" s="2315">
        <f t="shared" si="265"/>
        <v>0</v>
      </c>
      <c r="I1812" s="2836">
        <f t="shared" si="266"/>
        <v>0</v>
      </c>
      <c r="J1812" s="2829"/>
      <c r="L1812" s="910"/>
      <c r="M1812" s="910"/>
      <c r="N1812" s="910"/>
    </row>
    <row r="1813" spans="1:14">
      <c r="A1813" s="2837"/>
      <c r="B1813" s="2763" t="str">
        <f>крыша!G590</f>
        <v>Монтаж мягкой кровли</v>
      </c>
      <c r="C1813" s="2890" t="str">
        <f>крыша!I590</f>
        <v>м2</v>
      </c>
      <c r="D1813" s="302">
        <f>крыша!J590</f>
        <v>0</v>
      </c>
      <c r="E1813" s="179">
        <f>крыша!K590</f>
        <v>350</v>
      </c>
      <c r="F1813" s="179"/>
      <c r="G1813" s="275">
        <f t="shared" si="264"/>
        <v>0</v>
      </c>
      <c r="H1813" s="2315">
        <f t="shared" si="265"/>
        <v>0</v>
      </c>
      <c r="I1813" s="2836">
        <f t="shared" si="266"/>
        <v>0</v>
      </c>
      <c r="J1813" s="2829"/>
      <c r="L1813" s="910"/>
      <c r="M1813" s="910"/>
      <c r="N1813" s="910"/>
    </row>
    <row r="1814" spans="1:14">
      <c r="A1814" s="2837"/>
      <c r="B1814" s="3278" t="s">
        <v>4641</v>
      </c>
      <c r="C1814" s="3278"/>
      <c r="D1814" s="3278"/>
      <c r="E1814" s="3278"/>
      <c r="F1814" s="2868"/>
      <c r="G1814" s="2315">
        <f>SUM(G1799:G1813)*H1798</f>
        <v>0</v>
      </c>
      <c r="H1814" s="2315">
        <f>SUM(H1799:H1813)</f>
        <v>0</v>
      </c>
      <c r="I1814" s="2836">
        <f t="shared" si="266"/>
        <v>0</v>
      </c>
      <c r="J1814" s="2829"/>
      <c r="K1814" s="2837"/>
    </row>
    <row r="1815" spans="1:14" ht="21">
      <c r="A1815" s="2837"/>
      <c r="B1815" s="3282" t="s">
        <v>4664</v>
      </c>
      <c r="C1815" s="3282"/>
      <c r="D1815" s="3282"/>
      <c r="E1815" s="3282"/>
      <c r="F1815" s="2909"/>
      <c r="G1815" s="941"/>
      <c r="H1815" s="2878">
        <f>дома!D2019*дома!G2093</f>
        <v>0</v>
      </c>
      <c r="I1815" s="2940">
        <f>H1815</f>
        <v>0</v>
      </c>
      <c r="J1815" s="2829"/>
      <c r="K1815" s="2837"/>
    </row>
    <row r="1816" spans="1:14">
      <c r="A1816" s="2829"/>
      <c r="B1816" s="3285" t="s">
        <v>2720</v>
      </c>
      <c r="C1816" s="3285"/>
      <c r="D1816" s="3285"/>
      <c r="E1816" s="3285"/>
      <c r="F1816" s="2910"/>
      <c r="G1816" s="941"/>
      <c r="H1816" s="2903">
        <f>H1815</f>
        <v>0</v>
      </c>
      <c r="I1816" s="2940">
        <f>H1816</f>
        <v>0</v>
      </c>
      <c r="J1816" s="2850"/>
      <c r="K1816" s="2851"/>
    </row>
    <row r="1817" spans="1:14">
      <c r="A1817" s="2837"/>
      <c r="B1817" s="275" t="str">
        <f>дома!A2136</f>
        <v>Доска сухая, 200*50мм</v>
      </c>
      <c r="C1817" s="99" t="str">
        <f>дома!B2136</f>
        <v>м3</v>
      </c>
      <c r="D1817" s="275">
        <f>дома!C2136</f>
        <v>0</v>
      </c>
      <c r="E1817" s="100">
        <f>дома!D2136</f>
        <v>9000</v>
      </c>
      <c r="F1817" s="100"/>
      <c r="G1817" s="275">
        <f t="shared" ref="G1817:G1857" si="267">IF(F1817&gt;0,D1817*F1817,E1817*D1817)</f>
        <v>0</v>
      </c>
      <c r="H1817" s="2315">
        <f t="shared" ref="H1817:H1857" si="268">D1817*E1817*$H$1816</f>
        <v>0</v>
      </c>
      <c r="I1817" s="2911">
        <f t="shared" ref="I1817:I1858" si="269">IF(G1817&gt;H1817,G1817,H1817)*$H$1815</f>
        <v>0</v>
      </c>
      <c r="J1817" s="2863"/>
      <c r="K1817" s="223">
        <f t="shared" ref="K1817:K1858" si="270">D1817-J1817</f>
        <v>0</v>
      </c>
      <c r="L1817" s="2854"/>
    </row>
    <row r="1818" spans="1:14">
      <c r="A1818" s="2837"/>
      <c r="B1818" s="275" t="str">
        <f>дома!A2137</f>
        <v>Сосна влаж,100*25мм</v>
      </c>
      <c r="C1818" s="99" t="str">
        <f>дома!B2137</f>
        <v>м3</v>
      </c>
      <c r="D1818" s="275">
        <f>дома!C2137</f>
        <v>0</v>
      </c>
      <c r="E1818" s="100">
        <f>дома!D2137</f>
        <v>6500</v>
      </c>
      <c r="F1818" s="100"/>
      <c r="G1818" s="275">
        <f t="shared" si="267"/>
        <v>0</v>
      </c>
      <c r="H1818" s="2315">
        <f t="shared" si="268"/>
        <v>0</v>
      </c>
      <c r="I1818" s="2911">
        <f t="shared" si="269"/>
        <v>0</v>
      </c>
      <c r="J1818" s="2863"/>
      <c r="K1818" s="223">
        <f t="shared" si="270"/>
        <v>0</v>
      </c>
      <c r="L1818" s="2854"/>
    </row>
    <row r="1819" spans="1:14">
      <c r="A1819" s="2837"/>
      <c r="B1819" s="275" t="str">
        <f>дома!A2138</f>
        <v>Доска сухая, калибр., 35*45мм</v>
      </c>
      <c r="C1819" s="99" t="str">
        <f>дома!B2138</f>
        <v>шт</v>
      </c>
      <c r="D1819" s="275">
        <f>дома!C2138</f>
        <v>0</v>
      </c>
      <c r="E1819" s="100">
        <f>дома!D2138</f>
        <v>12500</v>
      </c>
      <c r="F1819" s="100"/>
      <c r="G1819" s="275">
        <f t="shared" si="267"/>
        <v>0</v>
      </c>
      <c r="H1819" s="2315">
        <f t="shared" si="268"/>
        <v>0</v>
      </c>
      <c r="I1819" s="2911">
        <f t="shared" si="269"/>
        <v>0</v>
      </c>
      <c r="J1819" s="2863"/>
      <c r="K1819" s="223">
        <f t="shared" si="270"/>
        <v>0</v>
      </c>
      <c r="L1819" s="2854"/>
    </row>
    <row r="1820" spans="1:14">
      <c r="A1820" s="2837"/>
      <c r="B1820" s="275" t="str">
        <f>дома!A2139</f>
        <v>нет ветроизоляции</v>
      </c>
      <c r="C1820" s="99" t="str">
        <f>дома!B2139</f>
        <v>м2</v>
      </c>
      <c r="D1820" s="275">
        <f>дома!C2139</f>
        <v>0</v>
      </c>
      <c r="E1820" s="275">
        <f>дома!D2139</f>
        <v>0</v>
      </c>
      <c r="F1820" s="275"/>
      <c r="G1820" s="275">
        <f t="shared" si="267"/>
        <v>0</v>
      </c>
      <c r="H1820" s="2315">
        <f t="shared" si="268"/>
        <v>0</v>
      </c>
      <c r="I1820" s="2911">
        <f t="shared" si="269"/>
        <v>0</v>
      </c>
      <c r="J1820" s="2863"/>
      <c r="K1820" s="223">
        <f t="shared" si="270"/>
        <v>0</v>
      </c>
      <c r="L1820" s="2854"/>
    </row>
    <row r="1821" spans="1:14">
      <c r="A1821" s="2837"/>
      <c r="B1821" s="275" t="str">
        <f>дома!A2140</f>
        <v>металлочерепица</v>
      </c>
      <c r="C1821" s="99" t="str">
        <f>дома!B2140</f>
        <v>м2</v>
      </c>
      <c r="D1821" s="275">
        <f>дома!C2140</f>
        <v>0</v>
      </c>
      <c r="E1821" s="100">
        <f>дома!D2140</f>
        <v>250</v>
      </c>
      <c r="F1821" s="100"/>
      <c r="G1821" s="275">
        <f t="shared" si="267"/>
        <v>0</v>
      </c>
      <c r="H1821" s="2315">
        <f t="shared" si="268"/>
        <v>0</v>
      </c>
      <c r="I1821" s="2911">
        <f t="shared" si="269"/>
        <v>0</v>
      </c>
      <c r="J1821" s="2863"/>
      <c r="K1821" s="223">
        <f t="shared" si="270"/>
        <v>0</v>
      </c>
      <c r="L1821" s="2854"/>
    </row>
    <row r="1822" spans="1:14">
      <c r="A1822" s="2837"/>
      <c r="B1822" s="275" t="str">
        <f>дома!A2141</f>
        <v>карнизная планка</v>
      </c>
      <c r="C1822" s="99" t="str">
        <f>дома!B2141</f>
        <v>м.п.</v>
      </c>
      <c r="D1822" s="275">
        <f>дома!C2141</f>
        <v>0</v>
      </c>
      <c r="E1822" s="100">
        <f>дома!D2141</f>
        <v>200</v>
      </c>
      <c r="F1822" s="100"/>
      <c r="G1822" s="275">
        <f t="shared" si="267"/>
        <v>0</v>
      </c>
      <c r="H1822" s="2315">
        <f t="shared" si="268"/>
        <v>0</v>
      </c>
      <c r="I1822" s="2911">
        <f t="shared" si="269"/>
        <v>0</v>
      </c>
      <c r="J1822" s="2863"/>
      <c r="K1822" s="223">
        <f t="shared" si="270"/>
        <v>0</v>
      </c>
      <c r="L1822" s="2854"/>
    </row>
    <row r="1823" spans="1:14">
      <c r="A1823" s="2837"/>
      <c r="B1823" s="275" t="str">
        <f>дома!A2142</f>
        <v>торцевая планка</v>
      </c>
      <c r="C1823" s="99" t="str">
        <f>дома!B2142</f>
        <v>м.п.</v>
      </c>
      <c r="D1823" s="275">
        <f>дома!C2142</f>
        <v>0</v>
      </c>
      <c r="E1823" s="100">
        <f>дома!D2142</f>
        <v>200</v>
      </c>
      <c r="F1823" s="100"/>
      <c r="G1823" s="275">
        <f t="shared" si="267"/>
        <v>0</v>
      </c>
      <c r="H1823" s="2315">
        <f t="shared" si="268"/>
        <v>0</v>
      </c>
      <c r="I1823" s="2911">
        <f t="shared" si="269"/>
        <v>0</v>
      </c>
      <c r="J1823" s="2863"/>
      <c r="K1823" s="223">
        <f t="shared" si="270"/>
        <v>0</v>
      </c>
      <c r="L1823" s="2854"/>
    </row>
    <row r="1824" spans="1:14">
      <c r="A1824" s="2837"/>
      <c r="B1824" s="275" t="str">
        <f>дома!A2143</f>
        <v>конек</v>
      </c>
      <c r="C1824" s="99" t="str">
        <f>дома!B2143</f>
        <v>м.п.</v>
      </c>
      <c r="D1824" s="275">
        <f>дома!C2143</f>
        <v>0</v>
      </c>
      <c r="E1824" s="100">
        <f>дома!D2143</f>
        <v>230</v>
      </c>
      <c r="F1824" s="100"/>
      <c r="G1824" s="275">
        <f t="shared" si="267"/>
        <v>0</v>
      </c>
      <c r="H1824" s="2315">
        <f t="shared" si="268"/>
        <v>0</v>
      </c>
      <c r="I1824" s="2911">
        <f t="shared" si="269"/>
        <v>0</v>
      </c>
      <c r="J1824" s="2863"/>
      <c r="K1824" s="223">
        <f t="shared" si="270"/>
        <v>0</v>
      </c>
      <c r="L1824" s="2854"/>
    </row>
    <row r="1825" spans="1:12">
      <c r="A1825" s="2837"/>
      <c r="B1825" s="275" t="str">
        <f>дома!A2144</f>
        <v>ондулин</v>
      </c>
      <c r="C1825" s="99" t="str">
        <f>дома!B2144</f>
        <v>м2</v>
      </c>
      <c r="D1825" s="275">
        <f>дома!C2144</f>
        <v>0</v>
      </c>
      <c r="E1825" s="275">
        <f>дома!D2144</f>
        <v>180</v>
      </c>
      <c r="F1825" s="275"/>
      <c r="G1825" s="275">
        <f t="shared" si="267"/>
        <v>0</v>
      </c>
      <c r="H1825" s="2315">
        <f t="shared" si="268"/>
        <v>0</v>
      </c>
      <c r="I1825" s="2911">
        <f t="shared" si="269"/>
        <v>0</v>
      </c>
      <c r="J1825" s="2863"/>
      <c r="K1825" s="223">
        <f t="shared" si="270"/>
        <v>0</v>
      </c>
      <c r="L1825" s="2854"/>
    </row>
    <row r="1826" spans="1:12">
      <c r="A1826" s="2837"/>
      <c r="B1826" s="275" t="str">
        <f>дома!A2145</f>
        <v>Карнизная планка</v>
      </c>
      <c r="C1826" s="99" t="str">
        <f>дома!B2145</f>
        <v>м.п.</v>
      </c>
      <c r="D1826" s="275">
        <f>дома!C2145</f>
        <v>0</v>
      </c>
      <c r="E1826" s="275">
        <f>дома!D2145</f>
        <v>190</v>
      </c>
      <c r="F1826" s="275"/>
      <c r="G1826" s="275">
        <f t="shared" si="267"/>
        <v>0</v>
      </c>
      <c r="H1826" s="2315">
        <f t="shared" si="268"/>
        <v>0</v>
      </c>
      <c r="I1826" s="2911">
        <f t="shared" si="269"/>
        <v>0</v>
      </c>
      <c r="J1826" s="2863"/>
      <c r="K1826" s="223">
        <f t="shared" si="270"/>
        <v>0</v>
      </c>
      <c r="L1826" s="2854"/>
    </row>
    <row r="1827" spans="1:12">
      <c r="A1827" s="2837"/>
      <c r="B1827" s="275" t="str">
        <f>дома!A2146</f>
        <v>Торцевая планка</v>
      </c>
      <c r="C1827" s="99" t="str">
        <f>дома!B2146</f>
        <v>м.п.</v>
      </c>
      <c r="D1827" s="275">
        <f>дома!C2146</f>
        <v>0</v>
      </c>
      <c r="E1827" s="275">
        <f>дома!D2146</f>
        <v>190</v>
      </c>
      <c r="F1827" s="275"/>
      <c r="G1827" s="275">
        <f t="shared" si="267"/>
        <v>0</v>
      </c>
      <c r="H1827" s="2315">
        <f t="shared" si="268"/>
        <v>0</v>
      </c>
      <c r="I1827" s="2911">
        <f t="shared" si="269"/>
        <v>0</v>
      </c>
      <c r="J1827" s="2863"/>
      <c r="K1827" s="223">
        <f t="shared" si="270"/>
        <v>0</v>
      </c>
      <c r="L1827" s="2854"/>
    </row>
    <row r="1828" spans="1:12">
      <c r="A1828" s="2837"/>
      <c r="B1828" s="275" t="str">
        <f>дома!A2147</f>
        <v>Конек</v>
      </c>
      <c r="C1828" s="99" t="str">
        <f>дома!B2147</f>
        <v>м.п.</v>
      </c>
      <c r="D1828" s="275">
        <f>дома!C2147</f>
        <v>0</v>
      </c>
      <c r="E1828" s="275">
        <f>дома!D2147</f>
        <v>200</v>
      </c>
      <c r="F1828" s="275"/>
      <c r="G1828" s="275">
        <f t="shared" si="267"/>
        <v>0</v>
      </c>
      <c r="H1828" s="2315">
        <f t="shared" si="268"/>
        <v>0</v>
      </c>
      <c r="I1828" s="2911">
        <f t="shared" si="269"/>
        <v>0</v>
      </c>
      <c r="J1828" s="2863"/>
      <c r="K1828" s="223">
        <f t="shared" si="270"/>
        <v>0</v>
      </c>
      <c r="L1828" s="2854"/>
    </row>
    <row r="1829" spans="1:12">
      <c r="A1829" s="2837"/>
      <c r="B1829" s="275" t="str">
        <f>дома!A2148</f>
        <v>Ендова нижняя</v>
      </c>
      <c r="C1829" s="99" t="str">
        <f>дома!B2148</f>
        <v>м.п.</v>
      </c>
      <c r="D1829" s="275">
        <f>дома!C2148</f>
        <v>0</v>
      </c>
      <c r="E1829" s="275">
        <f>дома!D2148</f>
        <v>160</v>
      </c>
      <c r="F1829" s="275"/>
      <c r="G1829" s="275">
        <f t="shared" si="267"/>
        <v>0</v>
      </c>
      <c r="H1829" s="2315">
        <f t="shared" si="268"/>
        <v>0</v>
      </c>
      <c r="I1829" s="2911">
        <f t="shared" si="269"/>
        <v>0</v>
      </c>
      <c r="J1829" s="2863"/>
      <c r="K1829" s="223">
        <f t="shared" si="270"/>
        <v>0</v>
      </c>
      <c r="L1829" s="2854"/>
    </row>
    <row r="1830" spans="1:12">
      <c r="A1830" s="2837"/>
      <c r="B1830" s="275" t="str">
        <f>дома!A2149</f>
        <v>Ендова верхняя</v>
      </c>
      <c r="C1830" s="99" t="str">
        <f>дома!B2149</f>
        <v>м.п.</v>
      </c>
      <c r="D1830" s="275">
        <f>дома!C2149</f>
        <v>0</v>
      </c>
      <c r="E1830" s="275">
        <f>дома!D2149</f>
        <v>190</v>
      </c>
      <c r="F1830" s="275"/>
      <c r="G1830" s="275">
        <f t="shared" si="267"/>
        <v>0</v>
      </c>
      <c r="H1830" s="2315">
        <f t="shared" si="268"/>
        <v>0</v>
      </c>
      <c r="I1830" s="2911">
        <f t="shared" si="269"/>
        <v>0</v>
      </c>
      <c r="J1830" s="2863"/>
      <c r="K1830" s="223">
        <f t="shared" si="270"/>
        <v>0</v>
      </c>
      <c r="L1830" s="2854"/>
    </row>
    <row r="1831" spans="1:12">
      <c r="A1831" s="2837"/>
      <c r="B1831" s="275" t="str">
        <f>дома!A2150</f>
        <v>Планка примыкания</v>
      </c>
      <c r="C1831" s="99" t="str">
        <f>дома!B2150</f>
        <v>м.п.</v>
      </c>
      <c r="D1831" s="275">
        <f>дома!C2150</f>
        <v>0</v>
      </c>
      <c r="E1831" s="275">
        <f>дома!D2150</f>
        <v>190</v>
      </c>
      <c r="F1831" s="275"/>
      <c r="G1831" s="275">
        <f t="shared" si="267"/>
        <v>0</v>
      </c>
      <c r="H1831" s="2315">
        <f t="shared" si="268"/>
        <v>0</v>
      </c>
      <c r="I1831" s="2911">
        <f t="shared" si="269"/>
        <v>0</v>
      </c>
      <c r="J1831" s="2863"/>
      <c r="K1831" s="223">
        <f t="shared" si="270"/>
        <v>0</v>
      </c>
      <c r="L1831" s="2854"/>
    </row>
    <row r="1832" spans="1:12">
      <c r="A1832" s="2837"/>
      <c r="B1832" s="275" t="str">
        <f>дома!A2151</f>
        <v>Крепеж для ондулина</v>
      </c>
      <c r="C1832" s="99" t="str">
        <f>дома!B2151</f>
        <v>шт</v>
      </c>
      <c r="D1832" s="275">
        <f>дома!C2151</f>
        <v>0</v>
      </c>
      <c r="E1832" s="275">
        <f>дома!D2151</f>
        <v>4.5</v>
      </c>
      <c r="F1832" s="275"/>
      <c r="G1832" s="275">
        <f t="shared" si="267"/>
        <v>0</v>
      </c>
      <c r="H1832" s="2315">
        <f t="shared" si="268"/>
        <v>0</v>
      </c>
      <c r="I1832" s="2911">
        <f t="shared" si="269"/>
        <v>0</v>
      </c>
      <c r="J1832" s="2863"/>
      <c r="K1832" s="223">
        <f t="shared" si="270"/>
        <v>0</v>
      </c>
      <c r="L1832" s="2854"/>
    </row>
    <row r="1833" spans="1:12">
      <c r="A1833" s="2837"/>
      <c r="B1833" s="275" t="str">
        <f>дома!A2152</f>
        <v>нет</v>
      </c>
      <c r="C1833" s="99" t="str">
        <f>дома!B2152</f>
        <v>м2</v>
      </c>
      <c r="D1833" s="275">
        <f>дома!C2152</f>
        <v>21.412047449975443</v>
      </c>
      <c r="E1833" s="275">
        <f>дома!D2152</f>
        <v>0</v>
      </c>
      <c r="F1833" s="275"/>
      <c r="G1833" s="275">
        <f t="shared" si="267"/>
        <v>0</v>
      </c>
      <c r="H1833" s="2315">
        <f t="shared" si="268"/>
        <v>0</v>
      </c>
      <c r="I1833" s="2911">
        <f t="shared" si="269"/>
        <v>0</v>
      </c>
      <c r="J1833" s="2863"/>
      <c r="K1833" s="223">
        <f t="shared" si="270"/>
        <v>21.412047449975443</v>
      </c>
      <c r="L1833" s="2854"/>
    </row>
    <row r="1834" spans="1:12">
      <c r="A1834" s="2837"/>
      <c r="B1834" s="275" t="str">
        <f>дома!A2153</f>
        <v>Рядовая черепица</v>
      </c>
      <c r="C1834" s="99" t="str">
        <f>дома!B2153</f>
        <v>м2</v>
      </c>
      <c r="D1834" s="275">
        <f>дома!C2153</f>
        <v>0</v>
      </c>
      <c r="E1834" s="275">
        <f>дома!D2153</f>
        <v>360</v>
      </c>
      <c r="F1834" s="275"/>
      <c r="G1834" s="275">
        <f t="shared" si="267"/>
        <v>0</v>
      </c>
      <c r="H1834" s="2315">
        <f t="shared" si="268"/>
        <v>0</v>
      </c>
      <c r="I1834" s="2911">
        <f t="shared" si="269"/>
        <v>0</v>
      </c>
      <c r="J1834" s="2863"/>
      <c r="K1834" s="223">
        <f t="shared" si="270"/>
        <v>0</v>
      </c>
      <c r="L1834" s="2854"/>
    </row>
    <row r="1835" spans="1:12">
      <c r="A1835" s="2837"/>
      <c r="B1835" s="275" t="str">
        <f>дома!A2154</f>
        <v>Металл оцинк защита (карниз)</v>
      </c>
      <c r="C1835" s="99" t="str">
        <f>дома!B2154</f>
        <v>м.п.</v>
      </c>
      <c r="D1835" s="275">
        <f>дома!C2154</f>
        <v>0</v>
      </c>
      <c r="E1835" s="275">
        <f>дома!D2154</f>
        <v>200</v>
      </c>
      <c r="F1835" s="275"/>
      <c r="G1835" s="275">
        <f t="shared" si="267"/>
        <v>0</v>
      </c>
      <c r="H1835" s="2315">
        <f t="shared" si="268"/>
        <v>0</v>
      </c>
      <c r="I1835" s="2911">
        <f t="shared" si="269"/>
        <v>0</v>
      </c>
      <c r="J1835" s="2863"/>
      <c r="K1835" s="223">
        <f t="shared" si="270"/>
        <v>0</v>
      </c>
      <c r="L1835" s="2854"/>
    </row>
    <row r="1836" spans="1:12">
      <c r="A1836" s="2837"/>
      <c r="B1836" s="275" t="str">
        <f>дома!A2155</f>
        <v>Подкладочный ковер</v>
      </c>
      <c r="C1836" s="99" t="str">
        <f>дома!B2155</f>
        <v>м.п.</v>
      </c>
      <c r="D1836" s="275">
        <f>дома!C2155</f>
        <v>0</v>
      </c>
      <c r="E1836" s="275">
        <f>дома!D2155</f>
        <v>220</v>
      </c>
      <c r="F1836" s="275"/>
      <c r="G1836" s="275">
        <f t="shared" si="267"/>
        <v>0</v>
      </c>
      <c r="H1836" s="2315">
        <f t="shared" si="268"/>
        <v>0</v>
      </c>
      <c r="I1836" s="2911">
        <f t="shared" si="269"/>
        <v>0</v>
      </c>
      <c r="J1836" s="2863"/>
      <c r="K1836" s="223">
        <f t="shared" si="270"/>
        <v>0</v>
      </c>
      <c r="L1836" s="2854"/>
    </row>
    <row r="1837" spans="1:12">
      <c r="A1837" s="2837"/>
      <c r="B1837" s="275" t="str">
        <f>дома!A2156</f>
        <v>Карнизная самоклеющаяся черепица</v>
      </c>
      <c r="C1837" s="99" t="str">
        <f>дома!B2156</f>
        <v>м.п.</v>
      </c>
      <c r="D1837" s="275">
        <f>дома!C2156</f>
        <v>0</v>
      </c>
      <c r="E1837" s="275">
        <f>дома!D2156</f>
        <v>220</v>
      </c>
      <c r="F1837" s="275"/>
      <c r="G1837" s="275">
        <f t="shared" si="267"/>
        <v>0</v>
      </c>
      <c r="H1837" s="2315">
        <f t="shared" si="268"/>
        <v>0</v>
      </c>
      <c r="I1837" s="2911">
        <f t="shared" si="269"/>
        <v>0</v>
      </c>
      <c r="J1837" s="2863"/>
      <c r="K1837" s="223">
        <f t="shared" si="270"/>
        <v>0</v>
      </c>
      <c r="L1837" s="2854"/>
    </row>
    <row r="1838" spans="1:12">
      <c r="A1838" s="2837"/>
      <c r="B1838" s="275" t="str">
        <f>дома!A2157</f>
        <v>Спец ковер ендова нижняя</v>
      </c>
      <c r="C1838" s="99" t="str">
        <f>дома!B2157</f>
        <v>м.п.</v>
      </c>
      <c r="D1838" s="275">
        <f>дома!C2157</f>
        <v>0</v>
      </c>
      <c r="E1838" s="275">
        <f>дома!D2157</f>
        <v>200</v>
      </c>
      <c r="F1838" s="275"/>
      <c r="G1838" s="275">
        <f t="shared" si="267"/>
        <v>0</v>
      </c>
      <c r="H1838" s="2315">
        <f t="shared" si="268"/>
        <v>0</v>
      </c>
      <c r="I1838" s="2911">
        <f t="shared" si="269"/>
        <v>0</v>
      </c>
      <c r="J1838" s="2863"/>
      <c r="K1838" s="223">
        <f t="shared" si="270"/>
        <v>0</v>
      </c>
      <c r="L1838" s="2854"/>
    </row>
    <row r="1839" spans="1:12">
      <c r="A1839" s="2837"/>
      <c r="B1839" s="275" t="str">
        <f>дома!A2158</f>
        <v>Коньковой элемент</v>
      </c>
      <c r="C1839" s="99" t="str">
        <f>дома!B2158</f>
        <v>м.п.</v>
      </c>
      <c r="D1839" s="275">
        <f>дома!C2158</f>
        <v>0</v>
      </c>
      <c r="E1839" s="275">
        <f>дома!D2158</f>
        <v>250</v>
      </c>
      <c r="F1839" s="275"/>
      <c r="G1839" s="275">
        <f t="shared" si="267"/>
        <v>0</v>
      </c>
      <c r="H1839" s="2315">
        <f t="shared" si="268"/>
        <v>0</v>
      </c>
      <c r="I1839" s="2911">
        <f t="shared" si="269"/>
        <v>0</v>
      </c>
      <c r="J1839" s="2863"/>
      <c r="K1839" s="223">
        <f t="shared" si="270"/>
        <v>0</v>
      </c>
      <c r="L1839" s="2854"/>
    </row>
    <row r="1840" spans="1:12">
      <c r="A1840" s="2837"/>
      <c r="B1840" s="275" t="str">
        <f>дома!A2159</f>
        <v>Планка премыкания</v>
      </c>
      <c r="C1840" s="99" t="str">
        <f>дома!B2159</f>
        <v>м.п.</v>
      </c>
      <c r="D1840" s="275">
        <f>дома!C2159</f>
        <v>0</v>
      </c>
      <c r="E1840" s="275">
        <f>дома!D2159</f>
        <v>200</v>
      </c>
      <c r="F1840" s="275"/>
      <c r="G1840" s="275">
        <f t="shared" si="267"/>
        <v>0</v>
      </c>
      <c r="H1840" s="2315">
        <f t="shared" si="268"/>
        <v>0</v>
      </c>
      <c r="I1840" s="2911">
        <f t="shared" si="269"/>
        <v>0</v>
      </c>
      <c r="J1840" s="2863"/>
      <c r="K1840" s="223">
        <f t="shared" si="270"/>
        <v>0</v>
      </c>
      <c r="L1840" s="2854"/>
    </row>
    <row r="1841" spans="1:12">
      <c r="A1841" s="2837"/>
      <c r="B1841" s="275" t="str">
        <f>дома!A2160</f>
        <v>Гвозди для крепления подкладочного ковра</v>
      </c>
      <c r="C1841" s="99" t="str">
        <f>дома!B2160</f>
        <v>шт</v>
      </c>
      <c r="D1841" s="275">
        <f>дома!C2160</f>
        <v>0</v>
      </c>
      <c r="E1841" s="275">
        <f>дома!D2160</f>
        <v>1.2E-2</v>
      </c>
      <c r="F1841" s="275"/>
      <c r="G1841" s="275">
        <f t="shared" si="267"/>
        <v>0</v>
      </c>
      <c r="H1841" s="2315">
        <f t="shared" si="268"/>
        <v>0</v>
      </c>
      <c r="I1841" s="2911">
        <f t="shared" si="269"/>
        <v>0</v>
      </c>
      <c r="J1841" s="2863"/>
      <c r="K1841" s="223">
        <f t="shared" si="270"/>
        <v>0</v>
      </c>
      <c r="L1841" s="2854"/>
    </row>
    <row r="1842" spans="1:12">
      <c r="A1842" s="2837"/>
      <c r="B1842" s="275" t="str">
        <f>дома!A2161</f>
        <v>Гвозди для крепления черепицы</v>
      </c>
      <c r="C1842" s="99" t="str">
        <f>дома!B2161</f>
        <v>шт</v>
      </c>
      <c r="D1842" s="275">
        <f>дома!C2161</f>
        <v>0</v>
      </c>
      <c r="E1842" s="275">
        <f>дома!D2161</f>
        <v>0.25</v>
      </c>
      <c r="F1842" s="275"/>
      <c r="G1842" s="275">
        <f t="shared" si="267"/>
        <v>0</v>
      </c>
      <c r="H1842" s="2315">
        <f t="shared" si="268"/>
        <v>0</v>
      </c>
      <c r="I1842" s="2911">
        <f t="shared" si="269"/>
        <v>0</v>
      </c>
      <c r="J1842" s="2863"/>
      <c r="K1842" s="223">
        <f t="shared" si="270"/>
        <v>0</v>
      </c>
      <c r="L1842" s="2854"/>
    </row>
    <row r="1843" spans="1:12">
      <c r="A1843" s="2837"/>
      <c r="B1843" s="275" t="str">
        <f>дома!A2162</f>
        <v>Клей для монтажа черепицы</v>
      </c>
      <c r="C1843" s="99" t="str">
        <f>дома!B2162</f>
        <v>кг</v>
      </c>
      <c r="D1843" s="275">
        <f>дома!C2162</f>
        <v>0</v>
      </c>
      <c r="E1843" s="275">
        <f>дома!D2162</f>
        <v>250</v>
      </c>
      <c r="F1843" s="275"/>
      <c r="G1843" s="275">
        <f t="shared" si="267"/>
        <v>0</v>
      </c>
      <c r="H1843" s="2315">
        <f t="shared" si="268"/>
        <v>0</v>
      </c>
      <c r="I1843" s="2911">
        <f t="shared" si="269"/>
        <v>0</v>
      </c>
      <c r="J1843" s="2863"/>
      <c r="K1843" s="223">
        <f t="shared" si="270"/>
        <v>0</v>
      </c>
      <c r="L1843" s="2854"/>
    </row>
    <row r="1844" spans="1:12">
      <c r="A1844" s="2837"/>
      <c r="B1844" s="275" t="str">
        <f>дома!A2163</f>
        <v>желоб</v>
      </c>
      <c r="C1844" s="99" t="str">
        <f>дома!B2163</f>
        <v>м.п</v>
      </c>
      <c r="D1844" s="275">
        <f>дома!C2163</f>
        <v>7.6</v>
      </c>
      <c r="E1844" s="100">
        <f>дома!D2163</f>
        <v>300</v>
      </c>
      <c r="F1844" s="100"/>
      <c r="G1844" s="275">
        <f t="shared" si="267"/>
        <v>2280</v>
      </c>
      <c r="H1844" s="2315">
        <f t="shared" si="268"/>
        <v>0</v>
      </c>
      <c r="I1844" s="2911">
        <f t="shared" si="269"/>
        <v>0</v>
      </c>
      <c r="J1844" s="2863"/>
      <c r="K1844" s="223">
        <f t="shared" si="270"/>
        <v>7.6</v>
      </c>
      <c r="L1844" s="2854"/>
    </row>
    <row r="1845" spans="1:12">
      <c r="A1845" s="2837"/>
      <c r="B1845" s="275" t="str">
        <f>дома!A2164</f>
        <v>отвод</v>
      </c>
      <c r="C1845" s="99" t="str">
        <f>дома!B2164</f>
        <v>шт</v>
      </c>
      <c r="D1845" s="275">
        <f>дома!C2164</f>
        <v>0</v>
      </c>
      <c r="E1845" s="100">
        <f>дома!D2164</f>
        <v>250</v>
      </c>
      <c r="F1845" s="100"/>
      <c r="G1845" s="275">
        <f t="shared" si="267"/>
        <v>0</v>
      </c>
      <c r="H1845" s="2315">
        <f t="shared" si="268"/>
        <v>0</v>
      </c>
      <c r="I1845" s="2911">
        <f t="shared" si="269"/>
        <v>0</v>
      </c>
      <c r="J1845" s="2863"/>
      <c r="K1845" s="223">
        <f t="shared" si="270"/>
        <v>0</v>
      </c>
      <c r="L1845" s="2854"/>
    </row>
    <row r="1846" spans="1:12">
      <c r="A1846" s="2837"/>
      <c r="B1846" s="275" t="str">
        <f>дома!A2165</f>
        <v>труба водосточная</v>
      </c>
      <c r="C1846" s="99" t="str">
        <f>дома!B2165</f>
        <v>м.п.</v>
      </c>
      <c r="D1846" s="275">
        <f>дома!C2165</f>
        <v>3.7</v>
      </c>
      <c r="E1846" s="100">
        <f>дома!D2165</f>
        <v>300</v>
      </c>
      <c r="F1846" s="100"/>
      <c r="G1846" s="275">
        <f t="shared" si="267"/>
        <v>1110</v>
      </c>
      <c r="H1846" s="2315">
        <f t="shared" si="268"/>
        <v>0</v>
      </c>
      <c r="I1846" s="2911">
        <f t="shared" si="269"/>
        <v>0</v>
      </c>
      <c r="J1846" s="2863"/>
      <c r="K1846" s="223">
        <f t="shared" si="270"/>
        <v>3.7</v>
      </c>
      <c r="L1846" s="2854"/>
    </row>
    <row r="1847" spans="1:12">
      <c r="A1847" s="2837"/>
      <c r="B1847" s="275" t="str">
        <f>дома!A2166</f>
        <v>заглушка для желоба</v>
      </c>
      <c r="C1847" s="99" t="str">
        <f>дома!B2166</f>
        <v>шт</v>
      </c>
      <c r="D1847" s="275">
        <f>дома!C2166</f>
        <v>0</v>
      </c>
      <c r="E1847" s="100">
        <f>дома!D2166</f>
        <v>190</v>
      </c>
      <c r="F1847" s="100"/>
      <c r="G1847" s="275">
        <f t="shared" si="267"/>
        <v>0</v>
      </c>
      <c r="H1847" s="2315">
        <f t="shared" si="268"/>
        <v>0</v>
      </c>
      <c r="I1847" s="2911">
        <f t="shared" si="269"/>
        <v>0</v>
      </c>
      <c r="J1847" s="2863"/>
      <c r="K1847" s="223">
        <f t="shared" si="270"/>
        <v>0</v>
      </c>
      <c r="L1847" s="2854"/>
    </row>
    <row r="1848" spans="1:12">
      <c r="A1848" s="2837"/>
      <c r="B1848" s="275" t="str">
        <f>дома!A2167</f>
        <v>соеденитель для желоба</v>
      </c>
      <c r="C1848" s="99" t="str">
        <f>дома!B2167</f>
        <v>шт</v>
      </c>
      <c r="D1848" s="275">
        <f>дома!C2167</f>
        <v>0</v>
      </c>
      <c r="E1848" s="100">
        <f>дома!D2167</f>
        <v>180</v>
      </c>
      <c r="F1848" s="100"/>
      <c r="G1848" s="275">
        <f t="shared" si="267"/>
        <v>0</v>
      </c>
      <c r="H1848" s="2315">
        <f t="shared" si="268"/>
        <v>0</v>
      </c>
      <c r="I1848" s="2911">
        <f t="shared" si="269"/>
        <v>0</v>
      </c>
      <c r="J1848" s="2863"/>
      <c r="K1848" s="223">
        <f t="shared" si="270"/>
        <v>0</v>
      </c>
      <c r="L1848" s="2854"/>
    </row>
    <row r="1849" spans="1:12">
      <c r="A1849" s="2837"/>
      <c r="B1849" s="275" t="str">
        <f>дома!A2168</f>
        <v>кронштейн для желоба</v>
      </c>
      <c r="C1849" s="99" t="str">
        <f>дома!B2168</f>
        <v>шт</v>
      </c>
      <c r="D1849" s="275">
        <f>дома!C2168</f>
        <v>0</v>
      </c>
      <c r="E1849" s="100">
        <f>дома!D2168</f>
        <v>130</v>
      </c>
      <c r="F1849" s="100"/>
      <c r="G1849" s="275">
        <f t="shared" si="267"/>
        <v>0</v>
      </c>
      <c r="H1849" s="2315">
        <f t="shared" si="268"/>
        <v>0</v>
      </c>
      <c r="I1849" s="2911">
        <f t="shared" si="269"/>
        <v>0</v>
      </c>
      <c r="J1849" s="2863"/>
      <c r="K1849" s="223">
        <f t="shared" si="270"/>
        <v>0</v>
      </c>
      <c r="L1849" s="2854"/>
    </row>
    <row r="1850" spans="1:12">
      <c r="A1850" s="2837"/>
      <c r="B1850" s="275" t="str">
        <f>дома!A2169</f>
        <v>переход из желоба в трубу</v>
      </c>
      <c r="C1850" s="99" t="str">
        <f>дома!B2169</f>
        <v>шт</v>
      </c>
      <c r="D1850" s="275">
        <f>дома!C2169</f>
        <v>0</v>
      </c>
      <c r="E1850" s="100">
        <f>дома!D2169</f>
        <v>350</v>
      </c>
      <c r="F1850" s="100"/>
      <c r="G1850" s="275">
        <f t="shared" si="267"/>
        <v>0</v>
      </c>
      <c r="H1850" s="2315">
        <f t="shared" si="268"/>
        <v>0</v>
      </c>
      <c r="I1850" s="2911">
        <f t="shared" si="269"/>
        <v>0</v>
      </c>
      <c r="J1850" s="2863"/>
      <c r="K1850" s="223">
        <f t="shared" si="270"/>
        <v>0</v>
      </c>
      <c r="L1850" s="2854"/>
    </row>
    <row r="1851" spans="1:12">
      <c r="A1851" s="2837"/>
      <c r="B1851" s="275" t="str">
        <f>дома!A2170</f>
        <v>лента дельта мульти бэнд</v>
      </c>
      <c r="C1851" s="99" t="str">
        <f>дома!B2170</f>
        <v>шт</v>
      </c>
      <c r="D1851" s="275">
        <f>дома!C2170</f>
        <v>0</v>
      </c>
      <c r="E1851" s="100">
        <f>дома!D2170</f>
        <v>1200</v>
      </c>
      <c r="F1851" s="100"/>
      <c r="G1851" s="275">
        <f t="shared" si="267"/>
        <v>0</v>
      </c>
      <c r="H1851" s="2315">
        <f t="shared" si="268"/>
        <v>0</v>
      </c>
      <c r="I1851" s="2911">
        <f t="shared" si="269"/>
        <v>0</v>
      </c>
      <c r="J1851" s="2863"/>
      <c r="K1851" s="223">
        <f t="shared" si="270"/>
        <v>0</v>
      </c>
      <c r="L1851" s="2854"/>
    </row>
    <row r="1852" spans="1:12">
      <c r="A1852" s="2837"/>
      <c r="B1852" s="275" t="str">
        <f>дома!A2171</f>
        <v>лента дельта sb-60</v>
      </c>
      <c r="C1852" s="99" t="str">
        <f>дома!B2171</f>
        <v>шт</v>
      </c>
      <c r="D1852" s="275">
        <f>дома!C2171</f>
        <v>0</v>
      </c>
      <c r="E1852" s="100">
        <f>дома!D2171</f>
        <v>1100</v>
      </c>
      <c r="F1852" s="100"/>
      <c r="G1852" s="275">
        <f t="shared" si="267"/>
        <v>0</v>
      </c>
      <c r="H1852" s="2315">
        <f t="shared" si="268"/>
        <v>0</v>
      </c>
      <c r="I1852" s="2911">
        <f t="shared" si="269"/>
        <v>0</v>
      </c>
      <c r="J1852" s="2863"/>
      <c r="K1852" s="223">
        <f t="shared" si="270"/>
        <v>0</v>
      </c>
      <c r="L1852" s="2854"/>
    </row>
    <row r="1853" spans="1:12">
      <c r="A1853" s="2837"/>
      <c r="B1853" s="275" t="str">
        <f>дома!A2172</f>
        <v>Кровельный саморез</v>
      </c>
      <c r="C1853" s="99" t="str">
        <f>дома!B2172</f>
        <v>шт</v>
      </c>
      <c r="D1853" s="275">
        <f>дома!C2172</f>
        <v>0</v>
      </c>
      <c r="E1853" s="100">
        <f>дома!D2172</f>
        <v>2</v>
      </c>
      <c r="F1853" s="100"/>
      <c r="G1853" s="275">
        <f t="shared" si="267"/>
        <v>0</v>
      </c>
      <c r="H1853" s="2315">
        <f t="shared" si="268"/>
        <v>0</v>
      </c>
      <c r="I1853" s="2911">
        <f t="shared" si="269"/>
        <v>0</v>
      </c>
      <c r="J1853" s="2863"/>
      <c r="K1853" s="223">
        <f t="shared" si="270"/>
        <v>0</v>
      </c>
      <c r="L1853" s="2854"/>
    </row>
    <row r="1854" spans="1:12">
      <c r="A1854" s="2837"/>
      <c r="B1854" s="275" t="str">
        <f>дома!A2173</f>
        <v xml:space="preserve">Гвозди ершоные 3,4 x 60            </v>
      </c>
      <c r="C1854" s="99" t="str">
        <f>дома!B2173</f>
        <v>кг</v>
      </c>
      <c r="D1854" s="275">
        <f>дома!C2173</f>
        <v>0</v>
      </c>
      <c r="E1854" s="100">
        <f>дома!D2173</f>
        <v>75.510000000000005</v>
      </c>
      <c r="F1854" s="100"/>
      <c r="G1854" s="275">
        <f t="shared" si="267"/>
        <v>0</v>
      </c>
      <c r="H1854" s="2315">
        <f t="shared" si="268"/>
        <v>0</v>
      </c>
      <c r="I1854" s="2911">
        <f t="shared" si="269"/>
        <v>0</v>
      </c>
      <c r="J1854" s="2863"/>
      <c r="K1854" s="223">
        <f t="shared" si="270"/>
        <v>0</v>
      </c>
      <c r="L1854" s="2854"/>
    </row>
    <row r="1855" spans="1:12">
      <c r="A1855" s="2837"/>
      <c r="B1855" s="275" t="str">
        <f>дома!A2174</f>
        <v xml:space="preserve">Гвозди ершоные 2,8 х 90            </v>
      </c>
      <c r="C1855" s="99" t="str">
        <f>дома!B2174</f>
        <v>шт</v>
      </c>
      <c r="D1855" s="275">
        <f>дома!C2174</f>
        <v>0</v>
      </c>
      <c r="E1855" s="100">
        <f>дома!D2174</f>
        <v>76.489999999999995</v>
      </c>
      <c r="F1855" s="100"/>
      <c r="G1855" s="275">
        <f t="shared" si="267"/>
        <v>0</v>
      </c>
      <c r="H1855" s="2315">
        <f t="shared" si="268"/>
        <v>0</v>
      </c>
      <c r="I1855" s="2911">
        <f t="shared" si="269"/>
        <v>0</v>
      </c>
      <c r="J1855" s="2863"/>
      <c r="K1855" s="223">
        <f t="shared" si="270"/>
        <v>0</v>
      </c>
      <c r="L1855" s="2854"/>
    </row>
    <row r="1856" spans="1:12">
      <c r="A1856" s="2837"/>
      <c r="B1856" s="275" t="str">
        <f>дома!A2175</f>
        <v xml:space="preserve">Пластина соеденительная 100х240х2           </v>
      </c>
      <c r="C1856" s="99" t="str">
        <f>дома!B2175</f>
        <v>шт</v>
      </c>
      <c r="D1856" s="275">
        <f>дома!C2175</f>
        <v>0</v>
      </c>
      <c r="E1856" s="100">
        <f>дома!D2175</f>
        <v>31.54</v>
      </c>
      <c r="F1856" s="100"/>
      <c r="G1856" s="275">
        <f t="shared" si="267"/>
        <v>0</v>
      </c>
      <c r="H1856" s="2315">
        <f t="shared" si="268"/>
        <v>0</v>
      </c>
      <c r="I1856" s="2911">
        <f t="shared" si="269"/>
        <v>0</v>
      </c>
      <c r="J1856" s="2863"/>
      <c r="K1856" s="223">
        <f t="shared" si="270"/>
        <v>0</v>
      </c>
      <c r="L1856" s="2854"/>
    </row>
    <row r="1857" spans="1:12">
      <c r="A1857" s="2837"/>
      <c r="B1857" s="275" t="str">
        <f>дома!A2176</f>
        <v xml:space="preserve">Уголок усиленный 90х70х55х2,5        </v>
      </c>
      <c r="C1857" s="99" t="str">
        <f>дома!B2176</f>
        <v>шт</v>
      </c>
      <c r="D1857" s="275">
        <f>дома!C2176</f>
        <v>0</v>
      </c>
      <c r="E1857" s="100">
        <f>дома!D2176</f>
        <v>30</v>
      </c>
      <c r="F1857" s="100"/>
      <c r="G1857" s="275">
        <f t="shared" si="267"/>
        <v>0</v>
      </c>
      <c r="H1857" s="2315">
        <f t="shared" si="268"/>
        <v>0</v>
      </c>
      <c r="I1857" s="2911">
        <f t="shared" si="269"/>
        <v>0</v>
      </c>
      <c r="J1857" s="2863"/>
      <c r="K1857" s="223">
        <f t="shared" si="270"/>
        <v>0</v>
      </c>
      <c r="L1857" s="2854"/>
    </row>
    <row r="1858" spans="1:12">
      <c r="A1858" s="2837"/>
      <c r="B1858" s="3278" t="s">
        <v>4640</v>
      </c>
      <c r="C1858" s="3278"/>
      <c r="D1858" s="3278"/>
      <c r="E1858" s="3278"/>
      <c r="F1858" s="2868"/>
      <c r="G1858" s="2315">
        <f>SUM(G1817:G1857)*H1815</f>
        <v>0</v>
      </c>
      <c r="H1858" s="2315">
        <f>SUM(H1817:H1857)</f>
        <v>0</v>
      </c>
      <c r="I1858" s="2911">
        <f t="shared" si="269"/>
        <v>0</v>
      </c>
      <c r="J1858" s="2863"/>
      <c r="K1858" s="223">
        <f t="shared" si="270"/>
        <v>0</v>
      </c>
      <c r="L1858" s="2854"/>
    </row>
    <row r="1859" spans="1:12">
      <c r="A1859" s="2837"/>
      <c r="B1859" s="3297" t="s">
        <v>1409</v>
      </c>
      <c r="C1859" s="3297"/>
      <c r="D1859" s="3297"/>
      <c r="E1859" s="3297"/>
      <c r="F1859" s="2957"/>
      <c r="G1859" s="941"/>
      <c r="H1859" s="2891">
        <f>H1815</f>
        <v>0</v>
      </c>
      <c r="I1859" s="2940">
        <f>H1859</f>
        <v>0</v>
      </c>
      <c r="J1859" s="2892"/>
      <c r="K1859" s="2893"/>
    </row>
    <row r="1860" spans="1:12">
      <c r="A1860" s="2837"/>
      <c r="B1860" s="275" t="str">
        <f>дома!G2136</f>
        <v>монтаж стропил</v>
      </c>
      <c r="C1860" s="99" t="str">
        <f>дома!J2136</f>
        <v>м2</v>
      </c>
      <c r="D1860" s="275">
        <f>дома!K2136</f>
        <v>0</v>
      </c>
      <c r="E1860" s="100">
        <f>дома!L2136</f>
        <v>450</v>
      </c>
      <c r="F1860" s="100"/>
      <c r="G1860" s="275">
        <f t="shared" ref="G1860:G1872" si="271">IF(F1860&gt;0,D1860*F1860,E1860*D1860)</f>
        <v>0</v>
      </c>
      <c r="H1860" s="2315">
        <f t="shared" ref="H1860:H1872" si="272">D1860*E1860*$H$1859</f>
        <v>0</v>
      </c>
      <c r="I1860" s="2836">
        <f t="shared" ref="I1860:I1873" si="273">IF(G1860&gt;H1860,G1860,H1860)*$H$1815</f>
        <v>0</v>
      </c>
      <c r="J1860" s="2829"/>
      <c r="K1860" s="2837"/>
    </row>
    <row r="1861" spans="1:12">
      <c r="A1861" s="2837"/>
      <c r="B1861" s="275" t="str">
        <f>дома!G2137</f>
        <v>обрешетка</v>
      </c>
      <c r="C1861" s="99" t="str">
        <f>дома!J2137</f>
        <v>м2</v>
      </c>
      <c r="D1861" s="275">
        <f>дома!K2137</f>
        <v>0</v>
      </c>
      <c r="E1861" s="100">
        <f>дома!L2137</f>
        <v>100</v>
      </c>
      <c r="F1861" s="100"/>
      <c r="G1861" s="275">
        <f t="shared" si="271"/>
        <v>0</v>
      </c>
      <c r="H1861" s="2315">
        <f t="shared" si="272"/>
        <v>0</v>
      </c>
      <c r="I1861" s="2836">
        <f t="shared" si="273"/>
        <v>0</v>
      </c>
      <c r="J1861" s="2829"/>
      <c r="K1861" s="2837"/>
    </row>
    <row r="1862" spans="1:12">
      <c r="A1862" s="2837"/>
      <c r="B1862" s="275" t="str">
        <f>дома!G2138</f>
        <v>контробеш</v>
      </c>
      <c r="C1862" s="99" t="str">
        <f>дома!J2138</f>
        <v>м2</v>
      </c>
      <c r="D1862" s="275">
        <f>дома!K2138</f>
        <v>0</v>
      </c>
      <c r="E1862" s="100">
        <f>дома!L2138</f>
        <v>100</v>
      </c>
      <c r="F1862" s="100"/>
      <c r="G1862" s="275">
        <f t="shared" si="271"/>
        <v>0</v>
      </c>
      <c r="H1862" s="2315">
        <f t="shared" si="272"/>
        <v>0</v>
      </c>
      <c r="I1862" s="2836">
        <f t="shared" si="273"/>
        <v>0</v>
      </c>
      <c r="J1862" s="2829"/>
      <c r="K1862" s="2837"/>
    </row>
    <row r="1863" spans="1:12">
      <c r="A1863" s="2837"/>
      <c r="B1863" s="275" t="str">
        <f>дома!G2139</f>
        <v>мембрана</v>
      </c>
      <c r="C1863" s="99" t="str">
        <f>дома!J2139</f>
        <v>м2</v>
      </c>
      <c r="D1863" s="275">
        <f>дома!K2139</f>
        <v>0</v>
      </c>
      <c r="E1863" s="100">
        <f>дома!L2139</f>
        <v>100</v>
      </c>
      <c r="F1863" s="100"/>
      <c r="G1863" s="275">
        <f t="shared" si="271"/>
        <v>0</v>
      </c>
      <c r="H1863" s="2315">
        <f t="shared" si="272"/>
        <v>0</v>
      </c>
      <c r="I1863" s="2836">
        <f t="shared" si="273"/>
        <v>0</v>
      </c>
      <c r="J1863" s="2829"/>
      <c r="K1863" s="2837"/>
    </row>
    <row r="1864" spans="1:12">
      <c r="A1864" s="2837"/>
      <c r="B1864" s="275" t="str">
        <f>дома!G2140</f>
        <v>Монтаж металлочерепицы</v>
      </c>
      <c r="C1864" s="99" t="str">
        <f>дома!J2140</f>
        <v>м2</v>
      </c>
      <c r="D1864" s="275">
        <f>дома!K2140</f>
        <v>0</v>
      </c>
      <c r="E1864" s="100">
        <f>дома!L2140</f>
        <v>300</v>
      </c>
      <c r="F1864" s="100"/>
      <c r="G1864" s="275">
        <f t="shared" si="271"/>
        <v>0</v>
      </c>
      <c r="H1864" s="2315">
        <f t="shared" si="272"/>
        <v>0</v>
      </c>
      <c r="I1864" s="2836">
        <f t="shared" si="273"/>
        <v>0</v>
      </c>
      <c r="J1864" s="2829"/>
      <c r="K1864" s="2837"/>
    </row>
    <row r="1865" spans="1:12">
      <c r="A1865" s="2837"/>
      <c r="B1865" s="275" t="str">
        <f>дома!G2141</f>
        <v>карнизная планка</v>
      </c>
      <c r="C1865" s="99" t="str">
        <f>дома!J2141</f>
        <v>м2</v>
      </c>
      <c r="D1865" s="275">
        <f>дома!K2141</f>
        <v>0</v>
      </c>
      <c r="E1865" s="100">
        <f>дома!L2141</f>
        <v>100</v>
      </c>
      <c r="F1865" s="100"/>
      <c r="G1865" s="275">
        <f t="shared" si="271"/>
        <v>0</v>
      </c>
      <c r="H1865" s="2315">
        <f t="shared" si="272"/>
        <v>0</v>
      </c>
      <c r="I1865" s="2836">
        <f t="shared" si="273"/>
        <v>0</v>
      </c>
      <c r="J1865" s="2829"/>
      <c r="K1865" s="2837"/>
    </row>
    <row r="1866" spans="1:12">
      <c r="A1866" s="2837"/>
      <c r="B1866" s="275" t="str">
        <f>дома!G2142</f>
        <v>торцевая планка</v>
      </c>
      <c r="C1866" s="99" t="str">
        <f>дома!J2142</f>
        <v>м2</v>
      </c>
      <c r="D1866" s="275">
        <f>дома!K2142</f>
        <v>0</v>
      </c>
      <c r="E1866" s="100">
        <f>дома!L2142</f>
        <v>100</v>
      </c>
      <c r="F1866" s="100"/>
      <c r="G1866" s="275">
        <f t="shared" si="271"/>
        <v>0</v>
      </c>
      <c r="H1866" s="2315">
        <f t="shared" si="272"/>
        <v>0</v>
      </c>
      <c r="I1866" s="2836">
        <f t="shared" si="273"/>
        <v>0</v>
      </c>
      <c r="J1866" s="2829"/>
      <c r="K1866" s="2837"/>
    </row>
    <row r="1867" spans="1:12">
      <c r="A1867" s="2837"/>
      <c r="B1867" s="275" t="str">
        <f>дома!G2143</f>
        <v>желоб водосточный</v>
      </c>
      <c r="C1867" s="99" t="str">
        <f>дома!J2143</f>
        <v>м.п.</v>
      </c>
      <c r="D1867" s="275">
        <f>дома!K2143</f>
        <v>0</v>
      </c>
      <c r="E1867" s="100">
        <f>дома!L2143</f>
        <v>300</v>
      </c>
      <c r="F1867" s="100"/>
      <c r="G1867" s="275">
        <f t="shared" si="271"/>
        <v>0</v>
      </c>
      <c r="H1867" s="2315">
        <f t="shared" si="272"/>
        <v>0</v>
      </c>
      <c r="I1867" s="2836">
        <f t="shared" si="273"/>
        <v>0</v>
      </c>
      <c r="J1867" s="2829"/>
      <c r="K1867" s="2837"/>
    </row>
    <row r="1868" spans="1:12">
      <c r="A1868" s="2837"/>
      <c r="B1868" s="275" t="str">
        <f>дома!G2144</f>
        <v>труба водосточная</v>
      </c>
      <c r="C1868" s="99" t="str">
        <f>дома!J2144</f>
        <v>м.п.</v>
      </c>
      <c r="D1868" s="275">
        <f>дома!K2144</f>
        <v>0</v>
      </c>
      <c r="E1868" s="100">
        <f>дома!L2144</f>
        <v>300</v>
      </c>
      <c r="F1868" s="100"/>
      <c r="G1868" s="275">
        <f t="shared" si="271"/>
        <v>0</v>
      </c>
      <c r="H1868" s="2315">
        <f t="shared" si="272"/>
        <v>0</v>
      </c>
      <c r="I1868" s="2836">
        <f t="shared" si="273"/>
        <v>0</v>
      </c>
      <c r="J1868" s="2829"/>
      <c r="K1868" s="2837"/>
    </row>
    <row r="1869" spans="1:12">
      <c r="A1869" s="2837"/>
      <c r="B1869" s="275" t="str">
        <f>дома!G2145</f>
        <v>Монтаж ондулина</v>
      </c>
      <c r="C1869" s="99" t="str">
        <f>дома!J2145</f>
        <v>м2</v>
      </c>
      <c r="D1869" s="275">
        <f>дома!K2145</f>
        <v>0</v>
      </c>
      <c r="E1869" s="100">
        <f>дома!L2145</f>
        <v>300</v>
      </c>
      <c r="F1869" s="100"/>
      <c r="G1869" s="275">
        <f t="shared" si="271"/>
        <v>0</v>
      </c>
      <c r="H1869" s="2315">
        <f t="shared" si="272"/>
        <v>0</v>
      </c>
      <c r="I1869" s="2836">
        <f t="shared" si="273"/>
        <v>0</v>
      </c>
      <c r="J1869" s="2829"/>
      <c r="K1869" s="2837"/>
    </row>
    <row r="1870" spans="1:12">
      <c r="A1870" s="2837"/>
      <c r="B1870" s="275" t="str">
        <f>дома!G2146</f>
        <v>Монтаж фанеры/osb</v>
      </c>
      <c r="C1870" s="99" t="str">
        <f>дома!J2146</f>
        <v>м2</v>
      </c>
      <c r="D1870" s="275">
        <f>дома!K2146</f>
        <v>0</v>
      </c>
      <c r="E1870" s="100">
        <f>дома!L2146</f>
        <v>200</v>
      </c>
      <c r="F1870" s="100"/>
      <c r="G1870" s="275">
        <f t="shared" si="271"/>
        <v>0</v>
      </c>
      <c r="H1870" s="2315">
        <f t="shared" si="272"/>
        <v>0</v>
      </c>
      <c r="I1870" s="2836">
        <f t="shared" si="273"/>
        <v>0</v>
      </c>
      <c r="J1870" s="2829"/>
      <c r="K1870" s="2837"/>
    </row>
    <row r="1871" spans="1:12">
      <c r="A1871" s="2837"/>
      <c r="B1871" s="275" t="str">
        <f>дома!G2147</f>
        <v>монтаж подкладочного ковра</v>
      </c>
      <c r="C1871" s="99" t="str">
        <f>дома!J2147</f>
        <v>м2</v>
      </c>
      <c r="D1871" s="275">
        <f>дома!K2147</f>
        <v>0</v>
      </c>
      <c r="E1871" s="100">
        <f>дома!L2147</f>
        <v>150</v>
      </c>
      <c r="F1871" s="100"/>
      <c r="G1871" s="275">
        <f t="shared" si="271"/>
        <v>0</v>
      </c>
      <c r="H1871" s="2315">
        <f t="shared" si="272"/>
        <v>0</v>
      </c>
      <c r="I1871" s="2836">
        <f t="shared" si="273"/>
        <v>0</v>
      </c>
      <c r="J1871" s="2829"/>
      <c r="K1871" s="2837"/>
    </row>
    <row r="1872" spans="1:12">
      <c r="A1872" s="2837"/>
      <c r="B1872" s="275" t="str">
        <f>дома!G2148</f>
        <v>Монтаж мягкой кровли</v>
      </c>
      <c r="C1872" s="99" t="str">
        <f>дома!J2148</f>
        <v>м2</v>
      </c>
      <c r="D1872" s="275">
        <f>дома!K2148</f>
        <v>0</v>
      </c>
      <c r="E1872" s="100">
        <f>дома!L2148</f>
        <v>350</v>
      </c>
      <c r="F1872" s="100"/>
      <c r="G1872" s="275">
        <f t="shared" si="271"/>
        <v>0</v>
      </c>
      <c r="H1872" s="2315">
        <f t="shared" si="272"/>
        <v>0</v>
      </c>
      <c r="I1872" s="2836">
        <f t="shared" si="273"/>
        <v>0</v>
      </c>
      <c r="J1872" s="2829"/>
      <c r="K1872" s="2837"/>
    </row>
    <row r="1873" spans="1:12">
      <c r="A1873" s="2837"/>
      <c r="B1873" s="3278" t="s">
        <v>4641</v>
      </c>
      <c r="C1873" s="3278"/>
      <c r="D1873" s="3278"/>
      <c r="E1873" s="3278"/>
      <c r="F1873" s="2868"/>
      <c r="G1873" s="2315">
        <f>SUM(G1860:G1872)*H1859</f>
        <v>0</v>
      </c>
      <c r="H1873" s="2315">
        <f>SUM(H1860:H1872)</f>
        <v>0</v>
      </c>
      <c r="I1873" s="2836">
        <f t="shared" si="273"/>
        <v>0</v>
      </c>
      <c r="J1873" s="2829"/>
      <c r="K1873" s="2837"/>
    </row>
    <row r="1874" spans="1:12" ht="21">
      <c r="A1874" s="2837"/>
      <c r="B1874" s="3282" t="s">
        <v>4665</v>
      </c>
      <c r="C1874" s="3282"/>
      <c r="D1874" s="3282"/>
      <c r="E1874" s="3282"/>
      <c r="F1874" s="2946"/>
      <c r="G1874" s="941"/>
      <c r="H1874" s="2896">
        <f>VLOOKUP('Ввод данных'!F693,связи1!A2:B3,2,0)</f>
        <v>0</v>
      </c>
      <c r="I1874" s="2940">
        <f>H1874</f>
        <v>0</v>
      </c>
      <c r="J1874" s="2829"/>
      <c r="K1874" s="2837"/>
    </row>
    <row r="1875" spans="1:12">
      <c r="A1875" s="2837"/>
      <c r="B1875" s="3285" t="s">
        <v>2720</v>
      </c>
      <c r="C1875" s="3285"/>
      <c r="D1875" s="3285"/>
      <c r="E1875" s="3285"/>
      <c r="F1875" s="2606"/>
      <c r="G1875" s="941"/>
      <c r="H1875" s="2896">
        <f>H1874</f>
        <v>0</v>
      </c>
      <c r="I1875" s="2940">
        <f>H1875</f>
        <v>0</v>
      </c>
      <c r="J1875" s="2850"/>
      <c r="K1875" s="2851"/>
    </row>
    <row r="1876" spans="1:12">
      <c r="A1876" s="2837"/>
      <c r="B1876" s="2898" t="str">
        <f>дома!A2278</f>
        <v>Доска сухая, 150*50мм</v>
      </c>
      <c r="C1876" s="236" t="str">
        <f>дома!B2278</f>
        <v>м3</v>
      </c>
      <c r="D1876" s="2899">
        <f>дома!C2278</f>
        <v>0.15829097259833563</v>
      </c>
      <c r="E1876" s="35">
        <f>дома!D2278</f>
        <v>9000</v>
      </c>
      <c r="F1876" s="35"/>
      <c r="G1876" s="275">
        <f t="shared" ref="G1876:G1912" si="274">IF(F1876&gt;0,D1876*F1876,E1876*D1876)</f>
        <v>1424.6187533850207</v>
      </c>
      <c r="H1876" s="2315">
        <f t="shared" ref="H1876:H1912" si="275">D1876*E1876*$H$1874</f>
        <v>0</v>
      </c>
      <c r="I1876" s="2911">
        <f t="shared" ref="I1876:I1913" si="276">IF(G1876&gt;H1876,G1876,H1876)*$H$1874</f>
        <v>0</v>
      </c>
      <c r="J1876" s="2863"/>
      <c r="K1876" s="223">
        <f t="shared" ref="K1876:K1913" si="277">D1876-J1876</f>
        <v>0.15829097259833563</v>
      </c>
      <c r="L1876" s="2854"/>
    </row>
    <row r="1877" spans="1:12">
      <c r="A1877" s="2837"/>
      <c r="B1877" s="2898" t="str">
        <f>дома!A2279</f>
        <v>Сосна влаж,100*25мм</v>
      </c>
      <c r="C1877" s="236" t="str">
        <f>дома!B2279</f>
        <v>м3</v>
      </c>
      <c r="D1877" s="2899">
        <f>дома!C2279</f>
        <v>4.6188683504841059E-2</v>
      </c>
      <c r="E1877" s="35">
        <f>дома!D2279</f>
        <v>6500</v>
      </c>
      <c r="F1877" s="35"/>
      <c r="G1877" s="275">
        <f t="shared" si="274"/>
        <v>300.22644278146686</v>
      </c>
      <c r="H1877" s="2315">
        <f t="shared" si="275"/>
        <v>0</v>
      </c>
      <c r="I1877" s="2911">
        <f t="shared" si="276"/>
        <v>0</v>
      </c>
      <c r="J1877" s="2863"/>
      <c r="K1877" s="223">
        <f t="shared" si="277"/>
        <v>4.6188683504841059E-2</v>
      </c>
      <c r="L1877" s="2854"/>
    </row>
    <row r="1878" spans="1:12">
      <c r="A1878" s="2837"/>
      <c r="B1878" s="2898" t="str">
        <f>дома!A2280</f>
        <v>нет</v>
      </c>
      <c r="C1878" s="236" t="str">
        <f>дома!B2280</f>
        <v>м2</v>
      </c>
      <c r="D1878" s="2899">
        <f>дома!C2280</f>
        <v>0</v>
      </c>
      <c r="E1878" s="35">
        <f>дома!D2280</f>
        <v>0</v>
      </c>
      <c r="F1878" s="35"/>
      <c r="G1878" s="275">
        <f t="shared" si="274"/>
        <v>0</v>
      </c>
      <c r="H1878" s="2315">
        <f t="shared" si="275"/>
        <v>0</v>
      </c>
      <c r="I1878" s="2911">
        <f t="shared" si="276"/>
        <v>0</v>
      </c>
      <c r="J1878" s="2863"/>
      <c r="K1878" s="223">
        <f t="shared" si="277"/>
        <v>0</v>
      </c>
      <c r="L1878" s="2854"/>
    </row>
    <row r="1879" spans="1:12">
      <c r="A1879" s="2837"/>
      <c r="B1879" s="2898" t="str">
        <f>дома!A2281</f>
        <v>нет</v>
      </c>
      <c r="C1879" s="236" t="str">
        <f>дома!B2281</f>
        <v>м2</v>
      </c>
      <c r="D1879" s="2899">
        <f>дома!C2281</f>
        <v>7.390189360774567</v>
      </c>
      <c r="E1879" s="35">
        <f>дома!D2281</f>
        <v>0</v>
      </c>
      <c r="F1879" s="35"/>
      <c r="G1879" s="275">
        <f t="shared" si="274"/>
        <v>0</v>
      </c>
      <c r="H1879" s="2315">
        <f t="shared" si="275"/>
        <v>0</v>
      </c>
      <c r="I1879" s="2911">
        <f t="shared" si="276"/>
        <v>0</v>
      </c>
      <c r="J1879" s="2863"/>
      <c r="K1879" s="223">
        <f t="shared" si="277"/>
        <v>7.390189360774567</v>
      </c>
      <c r="L1879" s="2854"/>
    </row>
    <row r="1880" spans="1:12">
      <c r="A1880" s="2837"/>
      <c r="B1880" s="2898" t="str">
        <f>дома!A2282</f>
        <v>Мембраны Tyvek Solid</v>
      </c>
      <c r="C1880" s="236" t="str">
        <f>дома!B2282</f>
        <v>м2</v>
      </c>
      <c r="D1880" s="2899">
        <f>дома!C2282</f>
        <v>7.390189360774567</v>
      </c>
      <c r="E1880" s="35">
        <f>дома!D2282</f>
        <v>99</v>
      </c>
      <c r="F1880" s="35"/>
      <c r="G1880" s="275">
        <f t="shared" si="274"/>
        <v>731.62874671668214</v>
      </c>
      <c r="H1880" s="2315">
        <f t="shared" si="275"/>
        <v>0</v>
      </c>
      <c r="I1880" s="2911">
        <f t="shared" si="276"/>
        <v>0</v>
      </c>
      <c r="J1880" s="2863"/>
      <c r="K1880" s="223">
        <f t="shared" si="277"/>
        <v>7.390189360774567</v>
      </c>
      <c r="L1880" s="2854"/>
    </row>
    <row r="1881" spans="1:12">
      <c r="A1881" s="2837"/>
      <c r="B1881" s="2898" t="str">
        <f>дома!A2283</f>
        <v>металлочерепица</v>
      </c>
      <c r="C1881" s="236" t="str">
        <f>дома!B2283</f>
        <v>м2</v>
      </c>
      <c r="D1881" s="2899">
        <f>дома!C2283</f>
        <v>7.390189360774567</v>
      </c>
      <c r="E1881" s="35">
        <f>дома!D2283</f>
        <v>250</v>
      </c>
      <c r="F1881" s="35"/>
      <c r="G1881" s="275">
        <f t="shared" si="274"/>
        <v>1847.5473401936417</v>
      </c>
      <c r="H1881" s="2315">
        <f t="shared" si="275"/>
        <v>0</v>
      </c>
      <c r="I1881" s="2911">
        <f t="shared" si="276"/>
        <v>0</v>
      </c>
      <c r="J1881" s="2863"/>
      <c r="K1881" s="223">
        <f t="shared" si="277"/>
        <v>7.390189360774567</v>
      </c>
      <c r="L1881" s="2854"/>
    </row>
    <row r="1882" spans="1:12">
      <c r="A1882" s="2837"/>
      <c r="B1882" s="2898" t="str">
        <f>дома!A2284</f>
        <v>карнизная планка</v>
      </c>
      <c r="C1882" s="236" t="str">
        <f>дома!B2284</f>
        <v>м.п.</v>
      </c>
      <c r="D1882" s="2899">
        <f>дома!C2284</f>
        <v>4.18</v>
      </c>
      <c r="E1882" s="35">
        <f>дома!D2284</f>
        <v>200</v>
      </c>
      <c r="F1882" s="35"/>
      <c r="G1882" s="275">
        <f t="shared" si="274"/>
        <v>836</v>
      </c>
      <c r="H1882" s="2315">
        <f t="shared" si="275"/>
        <v>0</v>
      </c>
      <c r="I1882" s="2911">
        <f t="shared" si="276"/>
        <v>0</v>
      </c>
      <c r="J1882" s="2863"/>
      <c r="K1882" s="223">
        <f t="shared" si="277"/>
        <v>4.18</v>
      </c>
      <c r="L1882" s="2854"/>
    </row>
    <row r="1883" spans="1:12">
      <c r="A1883" s="2837"/>
      <c r="B1883" s="2898" t="str">
        <f>дома!A2285</f>
        <v>торцевая планка</v>
      </c>
      <c r="C1883" s="236" t="str">
        <f>дома!B2285</f>
        <v>м.п.</v>
      </c>
      <c r="D1883" s="2899">
        <f>дома!C2285</f>
        <v>3.5654422354614148</v>
      </c>
      <c r="E1883" s="35">
        <f>дома!D2285</f>
        <v>200</v>
      </c>
      <c r="F1883" s="35"/>
      <c r="G1883" s="275">
        <f t="shared" si="274"/>
        <v>713.08844709228299</v>
      </c>
      <c r="H1883" s="2315">
        <f t="shared" si="275"/>
        <v>0</v>
      </c>
      <c r="I1883" s="2911">
        <f t="shared" si="276"/>
        <v>0</v>
      </c>
      <c r="J1883" s="2863"/>
      <c r="K1883" s="223">
        <f t="shared" si="277"/>
        <v>3.5654422354614148</v>
      </c>
      <c r="L1883" s="2854"/>
    </row>
    <row r="1884" spans="1:12">
      <c r="A1884" s="2837"/>
      <c r="B1884" s="2898" t="str">
        <f>дома!A2286</f>
        <v>конек</v>
      </c>
      <c r="C1884" s="236" t="str">
        <f>дома!B2286</f>
        <v>м.п.</v>
      </c>
      <c r="D1884" s="2899">
        <f>дома!C2286</f>
        <v>0</v>
      </c>
      <c r="E1884" s="35">
        <f>дома!D2286</f>
        <v>230</v>
      </c>
      <c r="F1884" s="35"/>
      <c r="G1884" s="275">
        <f t="shared" si="274"/>
        <v>0</v>
      </c>
      <c r="H1884" s="2315">
        <f t="shared" si="275"/>
        <v>0</v>
      </c>
      <c r="I1884" s="2911">
        <f t="shared" si="276"/>
        <v>0</v>
      </c>
      <c r="J1884" s="2863"/>
      <c r="K1884" s="223">
        <f t="shared" si="277"/>
        <v>0</v>
      </c>
      <c r="L1884" s="2854"/>
    </row>
    <row r="1885" spans="1:12">
      <c r="A1885" s="2837"/>
      <c r="B1885" s="2898" t="str">
        <f>дома!A2287</f>
        <v>ондулин</v>
      </c>
      <c r="C1885" s="236" t="str">
        <f>дома!B2287</f>
        <v>м2</v>
      </c>
      <c r="D1885" s="2899">
        <f>дома!C2287</f>
        <v>0</v>
      </c>
      <c r="E1885" s="35">
        <f>дома!D2287</f>
        <v>180</v>
      </c>
      <c r="F1885" s="35"/>
      <c r="G1885" s="275">
        <f t="shared" si="274"/>
        <v>0</v>
      </c>
      <c r="H1885" s="2315">
        <f t="shared" si="275"/>
        <v>0</v>
      </c>
      <c r="I1885" s="2911">
        <f t="shared" si="276"/>
        <v>0</v>
      </c>
      <c r="J1885" s="2863"/>
      <c r="K1885" s="223">
        <f t="shared" si="277"/>
        <v>0</v>
      </c>
      <c r="L1885" s="2854"/>
    </row>
    <row r="1886" spans="1:12">
      <c r="A1886" s="2837"/>
      <c r="B1886" s="2898" t="str">
        <f>дома!A2288</f>
        <v>Карнизная планка</v>
      </c>
      <c r="C1886" s="236" t="str">
        <f>дома!B2288</f>
        <v>м.п.</v>
      </c>
      <c r="D1886" s="2899">
        <f>дома!C2288</f>
        <v>0</v>
      </c>
      <c r="E1886" s="35">
        <f>дома!D2288</f>
        <v>190</v>
      </c>
      <c r="F1886" s="35"/>
      <c r="G1886" s="275">
        <f t="shared" si="274"/>
        <v>0</v>
      </c>
      <c r="H1886" s="2315">
        <f t="shared" si="275"/>
        <v>0</v>
      </c>
      <c r="I1886" s="2911">
        <f t="shared" si="276"/>
        <v>0</v>
      </c>
      <c r="J1886" s="2863"/>
      <c r="K1886" s="223">
        <f t="shared" si="277"/>
        <v>0</v>
      </c>
      <c r="L1886" s="2854"/>
    </row>
    <row r="1887" spans="1:12">
      <c r="A1887" s="2837"/>
      <c r="B1887" s="2898" t="str">
        <f>дома!A2289</f>
        <v>Торцевая планка</v>
      </c>
      <c r="C1887" s="236" t="str">
        <f>дома!B2289</f>
        <v>м.п.</v>
      </c>
      <c r="D1887" s="2899">
        <f>дома!C2289</f>
        <v>0</v>
      </c>
      <c r="E1887" s="35">
        <f>дома!D2289</f>
        <v>190</v>
      </c>
      <c r="F1887" s="35"/>
      <c r="G1887" s="275">
        <f t="shared" si="274"/>
        <v>0</v>
      </c>
      <c r="H1887" s="2315">
        <f t="shared" si="275"/>
        <v>0</v>
      </c>
      <c r="I1887" s="2911">
        <f t="shared" si="276"/>
        <v>0</v>
      </c>
      <c r="J1887" s="2863"/>
      <c r="K1887" s="223">
        <f t="shared" si="277"/>
        <v>0</v>
      </c>
      <c r="L1887" s="2854"/>
    </row>
    <row r="1888" spans="1:12">
      <c r="A1888" s="2837"/>
      <c r="B1888" s="2898" t="str">
        <f>дома!A2290</f>
        <v>Конек</v>
      </c>
      <c r="C1888" s="236" t="str">
        <f>дома!B2290</f>
        <v>м.п.</v>
      </c>
      <c r="D1888" s="2899">
        <f>дома!C2290</f>
        <v>0</v>
      </c>
      <c r="E1888" s="35">
        <f>дома!D2290</f>
        <v>200</v>
      </c>
      <c r="F1888" s="35"/>
      <c r="G1888" s="275">
        <f t="shared" si="274"/>
        <v>0</v>
      </c>
      <c r="H1888" s="2315">
        <f t="shared" si="275"/>
        <v>0</v>
      </c>
      <c r="I1888" s="2911">
        <f t="shared" si="276"/>
        <v>0</v>
      </c>
      <c r="J1888" s="2863"/>
      <c r="K1888" s="223">
        <f t="shared" si="277"/>
        <v>0</v>
      </c>
      <c r="L1888" s="2854"/>
    </row>
    <row r="1889" spans="1:12">
      <c r="A1889" s="2837"/>
      <c r="B1889" s="2898" t="str">
        <f>дома!A2291</f>
        <v>Ендова нижняя</v>
      </c>
      <c r="C1889" s="236" t="str">
        <f>дома!B2291</f>
        <v>м.п.</v>
      </c>
      <c r="D1889" s="2899">
        <f>дома!C2291</f>
        <v>0</v>
      </c>
      <c r="E1889" s="35">
        <f>дома!D2291</f>
        <v>160</v>
      </c>
      <c r="F1889" s="35"/>
      <c r="G1889" s="275">
        <f t="shared" si="274"/>
        <v>0</v>
      </c>
      <c r="H1889" s="2315">
        <f t="shared" si="275"/>
        <v>0</v>
      </c>
      <c r="I1889" s="2911">
        <f t="shared" si="276"/>
        <v>0</v>
      </c>
      <c r="J1889" s="2863"/>
      <c r="K1889" s="223">
        <f t="shared" si="277"/>
        <v>0</v>
      </c>
      <c r="L1889" s="2854"/>
    </row>
    <row r="1890" spans="1:12">
      <c r="A1890" s="2837"/>
      <c r="B1890" s="2898" t="str">
        <f>дома!A2292</f>
        <v>Ендова верхняя</v>
      </c>
      <c r="C1890" s="236" t="str">
        <f>дома!B2292</f>
        <v>м.п.</v>
      </c>
      <c r="D1890" s="2899">
        <f>дома!C2292</f>
        <v>0</v>
      </c>
      <c r="E1890" s="35">
        <f>дома!D2292</f>
        <v>190</v>
      </c>
      <c r="F1890" s="35"/>
      <c r="G1890" s="275">
        <f t="shared" si="274"/>
        <v>0</v>
      </c>
      <c r="H1890" s="2315">
        <f t="shared" si="275"/>
        <v>0</v>
      </c>
      <c r="I1890" s="2911">
        <f t="shared" si="276"/>
        <v>0</v>
      </c>
      <c r="J1890" s="2863"/>
      <c r="K1890" s="223">
        <f t="shared" si="277"/>
        <v>0</v>
      </c>
      <c r="L1890" s="2854"/>
    </row>
    <row r="1891" spans="1:12">
      <c r="A1891" s="2837"/>
      <c r="B1891" s="2898" t="str">
        <f>дома!A2293</f>
        <v>Планка примыкания</v>
      </c>
      <c r="C1891" s="236" t="str">
        <f>дома!B2293</f>
        <v>м.п.</v>
      </c>
      <c r="D1891" s="2899">
        <f>дома!C2293</f>
        <v>0</v>
      </c>
      <c r="E1891" s="35">
        <f>дома!D2293</f>
        <v>190</v>
      </c>
      <c r="F1891" s="35"/>
      <c r="G1891" s="275">
        <f t="shared" si="274"/>
        <v>0</v>
      </c>
      <c r="H1891" s="2315">
        <f t="shared" si="275"/>
        <v>0</v>
      </c>
      <c r="I1891" s="2911">
        <f t="shared" si="276"/>
        <v>0</v>
      </c>
      <c r="J1891" s="2863"/>
      <c r="K1891" s="223">
        <f t="shared" si="277"/>
        <v>0</v>
      </c>
      <c r="L1891" s="2854"/>
    </row>
    <row r="1892" spans="1:12">
      <c r="A1892" s="2837"/>
      <c r="B1892" s="2898" t="str">
        <f>дома!A2294</f>
        <v>Крепеж для ондулина</v>
      </c>
      <c r="C1892" s="236" t="str">
        <f>дома!B2294</f>
        <v>шт</v>
      </c>
      <c r="D1892" s="2899">
        <f>дома!C2294</f>
        <v>0</v>
      </c>
      <c r="E1892" s="35">
        <f>дома!D2294</f>
        <v>4.5</v>
      </c>
      <c r="F1892" s="35"/>
      <c r="G1892" s="275">
        <f t="shared" si="274"/>
        <v>0</v>
      </c>
      <c r="H1892" s="2315">
        <f t="shared" si="275"/>
        <v>0</v>
      </c>
      <c r="I1892" s="2911">
        <f t="shared" si="276"/>
        <v>0</v>
      </c>
      <c r="J1892" s="2863"/>
      <c r="K1892" s="223">
        <f t="shared" si="277"/>
        <v>0</v>
      </c>
      <c r="L1892" s="2854"/>
    </row>
    <row r="1893" spans="1:12">
      <c r="A1893" s="2837"/>
      <c r="B1893" s="2898" t="str">
        <f>дома!A2295</f>
        <v>Рядовая черепица</v>
      </c>
      <c r="C1893" s="236" t="str">
        <f>дома!B2295</f>
        <v>м2</v>
      </c>
      <c r="D1893" s="2899">
        <f>дома!C2295</f>
        <v>0</v>
      </c>
      <c r="E1893" s="35">
        <f>дома!D2295</f>
        <v>360</v>
      </c>
      <c r="F1893" s="35"/>
      <c r="G1893" s="275">
        <f t="shared" si="274"/>
        <v>0</v>
      </c>
      <c r="H1893" s="2315">
        <f t="shared" si="275"/>
        <v>0</v>
      </c>
      <c r="I1893" s="2911">
        <f t="shared" si="276"/>
        <v>0</v>
      </c>
      <c r="J1893" s="2863"/>
      <c r="K1893" s="223">
        <f t="shared" si="277"/>
        <v>0</v>
      </c>
      <c r="L1893" s="2854"/>
    </row>
    <row r="1894" spans="1:12">
      <c r="A1894" s="2837"/>
      <c r="B1894" s="2898" t="str">
        <f>дома!A2296</f>
        <v>Металл оцинк защита (карниз)</v>
      </c>
      <c r="C1894" s="236" t="str">
        <f>дома!B2296</f>
        <v>м.п.</v>
      </c>
      <c r="D1894" s="2899">
        <f>дома!C2296</f>
        <v>0</v>
      </c>
      <c r="E1894" s="35">
        <f>дома!D2296</f>
        <v>200</v>
      </c>
      <c r="F1894" s="35"/>
      <c r="G1894" s="275">
        <f t="shared" si="274"/>
        <v>0</v>
      </c>
      <c r="H1894" s="2315">
        <f t="shared" si="275"/>
        <v>0</v>
      </c>
      <c r="I1894" s="2911">
        <f t="shared" si="276"/>
        <v>0</v>
      </c>
      <c r="J1894" s="2863"/>
      <c r="K1894" s="223">
        <f t="shared" si="277"/>
        <v>0</v>
      </c>
      <c r="L1894" s="2854"/>
    </row>
    <row r="1895" spans="1:12">
      <c r="A1895" s="2837"/>
      <c r="B1895" s="2898" t="str">
        <f>дома!A2297</f>
        <v>Подкладочный ковер</v>
      </c>
      <c r="C1895" s="236" t="str">
        <f>дома!B2297</f>
        <v>м.п.</v>
      </c>
      <c r="D1895" s="2899">
        <f>дома!C2297</f>
        <v>0</v>
      </c>
      <c r="E1895" s="35">
        <f>дома!D2297</f>
        <v>220</v>
      </c>
      <c r="F1895" s="35"/>
      <c r="G1895" s="275">
        <f t="shared" si="274"/>
        <v>0</v>
      </c>
      <c r="H1895" s="2315">
        <f t="shared" si="275"/>
        <v>0</v>
      </c>
      <c r="I1895" s="2911">
        <f t="shared" si="276"/>
        <v>0</v>
      </c>
      <c r="J1895" s="2863"/>
      <c r="K1895" s="223">
        <f t="shared" si="277"/>
        <v>0</v>
      </c>
      <c r="L1895" s="2854"/>
    </row>
    <row r="1896" spans="1:12">
      <c r="A1896" s="2837"/>
      <c r="B1896" s="2898" t="str">
        <f>дома!A2298</f>
        <v>Карнизная самоклеющаяся черепица</v>
      </c>
      <c r="C1896" s="236" t="str">
        <f>дома!B2298</f>
        <v>м.п.</v>
      </c>
      <c r="D1896" s="2899">
        <f>дома!C2298</f>
        <v>0</v>
      </c>
      <c r="E1896" s="35">
        <f>дома!D2298</f>
        <v>220</v>
      </c>
      <c r="F1896" s="35"/>
      <c r="G1896" s="275">
        <f t="shared" si="274"/>
        <v>0</v>
      </c>
      <c r="H1896" s="2315">
        <f t="shared" si="275"/>
        <v>0</v>
      </c>
      <c r="I1896" s="2911">
        <f t="shared" si="276"/>
        <v>0</v>
      </c>
      <c r="J1896" s="2863"/>
      <c r="K1896" s="223">
        <f t="shared" si="277"/>
        <v>0</v>
      </c>
      <c r="L1896" s="2854"/>
    </row>
    <row r="1897" spans="1:12">
      <c r="A1897" s="2837"/>
      <c r="B1897" s="2898" t="str">
        <f>дома!A2299</f>
        <v>Спец ковер ендова нижняя</v>
      </c>
      <c r="C1897" s="236" t="str">
        <f>дома!B2299</f>
        <v>м.п.</v>
      </c>
      <c r="D1897" s="2899">
        <f>дома!C2299</f>
        <v>0</v>
      </c>
      <c r="E1897" s="35">
        <f>дома!D2299</f>
        <v>200</v>
      </c>
      <c r="F1897" s="35"/>
      <c r="G1897" s="275">
        <f t="shared" si="274"/>
        <v>0</v>
      </c>
      <c r="H1897" s="2315">
        <f t="shared" si="275"/>
        <v>0</v>
      </c>
      <c r="I1897" s="2911">
        <f t="shared" si="276"/>
        <v>0</v>
      </c>
      <c r="J1897" s="2863"/>
      <c r="K1897" s="223">
        <f t="shared" si="277"/>
        <v>0</v>
      </c>
      <c r="L1897" s="2854"/>
    </row>
    <row r="1898" spans="1:12">
      <c r="A1898" s="2837"/>
      <c r="B1898" s="2898" t="str">
        <f>дома!A2300</f>
        <v>Коньковой элемент</v>
      </c>
      <c r="C1898" s="236" t="str">
        <f>дома!B2300</f>
        <v>м.п.</v>
      </c>
      <c r="D1898" s="2899">
        <f>дома!C2300</f>
        <v>0</v>
      </c>
      <c r="E1898" s="35">
        <f>дома!D2300</f>
        <v>250</v>
      </c>
      <c r="F1898" s="35"/>
      <c r="G1898" s="275">
        <f t="shared" si="274"/>
        <v>0</v>
      </c>
      <c r="H1898" s="2315">
        <f t="shared" si="275"/>
        <v>0</v>
      </c>
      <c r="I1898" s="2911">
        <f t="shared" si="276"/>
        <v>0</v>
      </c>
      <c r="J1898" s="2863"/>
      <c r="K1898" s="223">
        <f t="shared" si="277"/>
        <v>0</v>
      </c>
      <c r="L1898" s="2854"/>
    </row>
    <row r="1899" spans="1:12">
      <c r="A1899" s="2837"/>
      <c r="B1899" s="2898" t="str">
        <f>дома!A2301</f>
        <v>Планка премыкания</v>
      </c>
      <c r="C1899" s="236" t="str">
        <f>дома!B2301</f>
        <v>м.п.</v>
      </c>
      <c r="D1899" s="2899">
        <f>дома!C2301</f>
        <v>0</v>
      </c>
      <c r="E1899" s="35">
        <f>дома!D2301</f>
        <v>200</v>
      </c>
      <c r="F1899" s="35"/>
      <c r="G1899" s="275">
        <f t="shared" si="274"/>
        <v>0</v>
      </c>
      <c r="H1899" s="2315">
        <f t="shared" si="275"/>
        <v>0</v>
      </c>
      <c r="I1899" s="2911">
        <f t="shared" si="276"/>
        <v>0</v>
      </c>
      <c r="J1899" s="2863"/>
      <c r="K1899" s="223">
        <f t="shared" si="277"/>
        <v>0</v>
      </c>
      <c r="L1899" s="2854"/>
    </row>
    <row r="1900" spans="1:12">
      <c r="A1900" s="2837"/>
      <c r="B1900" s="2898" t="str">
        <f>дома!A2302</f>
        <v>Гвозди для крепления подкладочного ковра</v>
      </c>
      <c r="C1900" s="236" t="str">
        <f>дома!B2302</f>
        <v>шт</v>
      </c>
      <c r="D1900" s="2899">
        <f>дома!C2302</f>
        <v>0</v>
      </c>
      <c r="E1900" s="35">
        <f>дома!D2302</f>
        <v>1.2E-2</v>
      </c>
      <c r="F1900" s="35"/>
      <c r="G1900" s="275">
        <f t="shared" si="274"/>
        <v>0</v>
      </c>
      <c r="H1900" s="2315">
        <f t="shared" si="275"/>
        <v>0</v>
      </c>
      <c r="I1900" s="2911">
        <f t="shared" si="276"/>
        <v>0</v>
      </c>
      <c r="J1900" s="2863"/>
      <c r="K1900" s="223">
        <f t="shared" si="277"/>
        <v>0</v>
      </c>
      <c r="L1900" s="2854"/>
    </row>
    <row r="1901" spans="1:12">
      <c r="A1901" s="2837"/>
      <c r="B1901" s="2898" t="str">
        <f>дома!A2303</f>
        <v>Гвозди для крепления черепицы</v>
      </c>
      <c r="C1901" s="236" t="str">
        <f>дома!B2303</f>
        <v>шт</v>
      </c>
      <c r="D1901" s="2899">
        <f>дома!C2303</f>
        <v>0</v>
      </c>
      <c r="E1901" s="35">
        <f>дома!D2303</f>
        <v>0.25</v>
      </c>
      <c r="F1901" s="35"/>
      <c r="G1901" s="275">
        <f t="shared" si="274"/>
        <v>0</v>
      </c>
      <c r="H1901" s="2315">
        <f t="shared" si="275"/>
        <v>0</v>
      </c>
      <c r="I1901" s="2911">
        <f t="shared" si="276"/>
        <v>0</v>
      </c>
      <c r="J1901" s="2863"/>
      <c r="K1901" s="223">
        <f t="shared" si="277"/>
        <v>0</v>
      </c>
      <c r="L1901" s="2854"/>
    </row>
    <row r="1902" spans="1:12">
      <c r="A1902" s="2837"/>
      <c r="B1902" s="2898" t="str">
        <f>дома!A2304</f>
        <v>Клей для монтажа черепицы</v>
      </c>
      <c r="C1902" s="236" t="str">
        <f>дома!B2304</f>
        <v>кг</v>
      </c>
      <c r="D1902" s="2899">
        <f>дома!C2304</f>
        <v>0</v>
      </c>
      <c r="E1902" s="35">
        <f>дома!D2304</f>
        <v>250</v>
      </c>
      <c r="F1902" s="35"/>
      <c r="G1902" s="275">
        <f t="shared" si="274"/>
        <v>0</v>
      </c>
      <c r="H1902" s="2315">
        <f t="shared" si="275"/>
        <v>0</v>
      </c>
      <c r="I1902" s="2911">
        <f t="shared" si="276"/>
        <v>0</v>
      </c>
      <c r="J1902" s="2863"/>
      <c r="K1902" s="223">
        <f t="shared" si="277"/>
        <v>0</v>
      </c>
      <c r="L1902" s="2854"/>
    </row>
    <row r="1903" spans="1:12">
      <c r="A1903" s="2837"/>
      <c r="B1903" s="2898" t="str">
        <f>дома!A2305</f>
        <v>желоб</v>
      </c>
      <c r="C1903" s="236" t="str">
        <f>дома!B2305</f>
        <v>м.п</v>
      </c>
      <c r="D1903" s="2899">
        <f>дома!C2305</f>
        <v>4.18</v>
      </c>
      <c r="E1903" s="35">
        <f>дома!D2305</f>
        <v>300</v>
      </c>
      <c r="F1903" s="35"/>
      <c r="G1903" s="275">
        <f t="shared" si="274"/>
        <v>1254</v>
      </c>
      <c r="H1903" s="2315">
        <f t="shared" si="275"/>
        <v>0</v>
      </c>
      <c r="I1903" s="2911">
        <f t="shared" si="276"/>
        <v>0</v>
      </c>
      <c r="J1903" s="2863"/>
      <c r="K1903" s="223">
        <f t="shared" si="277"/>
        <v>4.18</v>
      </c>
      <c r="L1903" s="2854"/>
    </row>
    <row r="1904" spans="1:12">
      <c r="A1904" s="2837"/>
      <c r="B1904" s="2898" t="str">
        <f>дома!A2306</f>
        <v>отвод</v>
      </c>
      <c r="C1904" s="236" t="str">
        <f>дома!B2306</f>
        <v>шт</v>
      </c>
      <c r="D1904" s="2899">
        <f>дома!C2306</f>
        <v>2</v>
      </c>
      <c r="E1904" s="35">
        <f>дома!D2306</f>
        <v>250</v>
      </c>
      <c r="F1904" s="35"/>
      <c r="G1904" s="275">
        <f t="shared" si="274"/>
        <v>500</v>
      </c>
      <c r="H1904" s="2315">
        <f t="shared" si="275"/>
        <v>0</v>
      </c>
      <c r="I1904" s="2911">
        <f t="shared" si="276"/>
        <v>0</v>
      </c>
      <c r="J1904" s="2863"/>
      <c r="K1904" s="223">
        <f t="shared" si="277"/>
        <v>2</v>
      </c>
      <c r="L1904" s="2854"/>
    </row>
    <row r="1905" spans="1:12">
      <c r="A1905" s="2837"/>
      <c r="B1905" s="2898" t="str">
        <f>дома!A2307</f>
        <v>труба водосточная</v>
      </c>
      <c r="C1905" s="236" t="str">
        <f>дома!B2307</f>
        <v>м.п.</v>
      </c>
      <c r="D1905" s="2899">
        <f>дома!C2307</f>
        <v>0</v>
      </c>
      <c r="E1905" s="35">
        <f>дома!D2307</f>
        <v>300</v>
      </c>
      <c r="F1905" s="35"/>
      <c r="G1905" s="275">
        <f t="shared" si="274"/>
        <v>0</v>
      </c>
      <c r="H1905" s="2315">
        <f t="shared" si="275"/>
        <v>0</v>
      </c>
      <c r="I1905" s="2911">
        <f t="shared" si="276"/>
        <v>0</v>
      </c>
      <c r="J1905" s="2863"/>
      <c r="K1905" s="223">
        <f t="shared" si="277"/>
        <v>0</v>
      </c>
      <c r="L1905" s="2854"/>
    </row>
    <row r="1906" spans="1:12">
      <c r="A1906" s="2837"/>
      <c r="B1906" s="2898" t="str">
        <f>дома!A2308</f>
        <v>заглушка для желоба</v>
      </c>
      <c r="C1906" s="236" t="str">
        <f>дома!B2308</f>
        <v>шт</v>
      </c>
      <c r="D1906" s="2899">
        <f>дома!C2308</f>
        <v>2</v>
      </c>
      <c r="E1906" s="35">
        <f>дома!D2308</f>
        <v>190</v>
      </c>
      <c r="F1906" s="35"/>
      <c r="G1906" s="275">
        <f t="shared" si="274"/>
        <v>380</v>
      </c>
      <c r="H1906" s="2315">
        <f t="shared" si="275"/>
        <v>0</v>
      </c>
      <c r="I1906" s="2911">
        <f t="shared" si="276"/>
        <v>0</v>
      </c>
      <c r="J1906" s="2863"/>
      <c r="K1906" s="223">
        <f t="shared" si="277"/>
        <v>2</v>
      </c>
      <c r="L1906" s="2854"/>
    </row>
    <row r="1907" spans="1:12">
      <c r="A1907" s="2837"/>
      <c r="B1907" s="2898" t="str">
        <f>дома!A2309</f>
        <v>соеденитель для желоба</v>
      </c>
      <c r="C1907" s="236" t="str">
        <f>дома!B2309</f>
        <v>шт</v>
      </c>
      <c r="D1907" s="2899">
        <f>дома!C2309</f>
        <v>2</v>
      </c>
      <c r="E1907" s="35">
        <f>дома!D2309</f>
        <v>180</v>
      </c>
      <c r="F1907" s="35"/>
      <c r="G1907" s="275">
        <f t="shared" si="274"/>
        <v>360</v>
      </c>
      <c r="H1907" s="2315">
        <f t="shared" si="275"/>
        <v>0</v>
      </c>
      <c r="I1907" s="2911">
        <f t="shared" si="276"/>
        <v>0</v>
      </c>
      <c r="J1907" s="2863"/>
      <c r="K1907" s="223">
        <f t="shared" si="277"/>
        <v>2</v>
      </c>
      <c r="L1907" s="2854"/>
    </row>
    <row r="1908" spans="1:12">
      <c r="A1908" s="2837"/>
      <c r="B1908" s="2898" t="str">
        <f>дома!A2310</f>
        <v>кронштейн для желоба</v>
      </c>
      <c r="C1908" s="236" t="str">
        <f>дома!B2310</f>
        <v>шт</v>
      </c>
      <c r="D1908" s="2899">
        <f>дома!C2310</f>
        <v>10.45</v>
      </c>
      <c r="E1908" s="35">
        <f>дома!D2310</f>
        <v>130</v>
      </c>
      <c r="F1908" s="35"/>
      <c r="G1908" s="275">
        <f t="shared" si="274"/>
        <v>1358.5</v>
      </c>
      <c r="H1908" s="2315">
        <f t="shared" si="275"/>
        <v>0</v>
      </c>
      <c r="I1908" s="2911">
        <f t="shared" si="276"/>
        <v>0</v>
      </c>
      <c r="J1908" s="2863"/>
      <c r="K1908" s="223">
        <f t="shared" si="277"/>
        <v>10.45</v>
      </c>
      <c r="L1908" s="2854"/>
    </row>
    <row r="1909" spans="1:12">
      <c r="A1909" s="2837"/>
      <c r="B1909" s="2898" t="str">
        <f>дома!A2311</f>
        <v>переход из желоба в трубу</v>
      </c>
      <c r="C1909" s="236" t="str">
        <f>дома!B2311</f>
        <v>шт</v>
      </c>
      <c r="D1909" s="2899">
        <f>дома!C2311</f>
        <v>2</v>
      </c>
      <c r="E1909" s="35">
        <f>дома!D2311</f>
        <v>350</v>
      </c>
      <c r="F1909" s="35"/>
      <c r="G1909" s="275">
        <f t="shared" si="274"/>
        <v>700</v>
      </c>
      <c r="H1909" s="2315">
        <f t="shared" si="275"/>
        <v>0</v>
      </c>
      <c r="I1909" s="2911">
        <f t="shared" si="276"/>
        <v>0</v>
      </c>
      <c r="J1909" s="2863"/>
      <c r="K1909" s="223">
        <f t="shared" si="277"/>
        <v>2</v>
      </c>
      <c r="L1909" s="2854"/>
    </row>
    <row r="1910" spans="1:12">
      <c r="A1910" s="2837"/>
      <c r="B1910" s="2898" t="str">
        <f>дома!A2312</f>
        <v>лента дельта мульти бэнд</v>
      </c>
      <c r="C1910" s="236" t="str">
        <f>дома!B2312</f>
        <v>шт</v>
      </c>
      <c r="D1910" s="2899">
        <f>дома!C2312</f>
        <v>0.17595688954225161</v>
      </c>
      <c r="E1910" s="35">
        <f>дома!D2312</f>
        <v>1200</v>
      </c>
      <c r="F1910" s="35"/>
      <c r="G1910" s="275">
        <f t="shared" si="274"/>
        <v>211.14826745070192</v>
      </c>
      <c r="H1910" s="2315">
        <f t="shared" si="275"/>
        <v>0</v>
      </c>
      <c r="I1910" s="2911">
        <f t="shared" si="276"/>
        <v>0</v>
      </c>
      <c r="J1910" s="2863"/>
      <c r="K1910" s="223">
        <f t="shared" si="277"/>
        <v>0.17595688954225161</v>
      </c>
      <c r="L1910" s="2854"/>
    </row>
    <row r="1911" spans="1:12">
      <c r="A1911" s="2837"/>
      <c r="B1911" s="2898" t="str">
        <f>дома!A2313</f>
        <v>лента дельта sb-60</v>
      </c>
      <c r="C1911" s="236" t="str">
        <f>дома!B2313</f>
        <v>шт</v>
      </c>
      <c r="D1911" s="2899">
        <f>дома!C2313</f>
        <v>0.13685535853286238</v>
      </c>
      <c r="E1911" s="35">
        <f>дома!D2313</f>
        <v>1100</v>
      </c>
      <c r="F1911" s="35"/>
      <c r="G1911" s="275">
        <f t="shared" si="274"/>
        <v>150.54089438614861</v>
      </c>
      <c r="H1911" s="2315">
        <f t="shared" si="275"/>
        <v>0</v>
      </c>
      <c r="I1911" s="2911">
        <f t="shared" si="276"/>
        <v>0</v>
      </c>
      <c r="J1911" s="2863"/>
      <c r="K1911" s="223">
        <f t="shared" si="277"/>
        <v>0.13685535853286238</v>
      </c>
      <c r="L1911" s="2854"/>
    </row>
    <row r="1912" spans="1:12">
      <c r="A1912" s="2837"/>
      <c r="B1912" s="2898" t="str">
        <f>дома!A2314</f>
        <v>Кровельный саморез</v>
      </c>
      <c r="C1912" s="236" t="str">
        <f>дома!B2314</f>
        <v>шт</v>
      </c>
      <c r="D1912" s="2899">
        <f>дома!C2314</f>
        <v>73.901893607745677</v>
      </c>
      <c r="E1912" s="35">
        <f>дома!D2314</f>
        <v>2</v>
      </c>
      <c r="F1912" s="35"/>
      <c r="G1912" s="275">
        <f t="shared" si="274"/>
        <v>147.80378721549135</v>
      </c>
      <c r="H1912" s="2315">
        <f t="shared" si="275"/>
        <v>0</v>
      </c>
      <c r="I1912" s="2911">
        <f t="shared" si="276"/>
        <v>0</v>
      </c>
      <c r="J1912" s="2863"/>
      <c r="K1912" s="223">
        <f t="shared" si="277"/>
        <v>73.901893607745677</v>
      </c>
      <c r="L1912" s="2854"/>
    </row>
    <row r="1913" spans="1:12">
      <c r="A1913" s="2837"/>
      <c r="B1913" s="3278" t="s">
        <v>4640</v>
      </c>
      <c r="C1913" s="3278"/>
      <c r="D1913" s="3278"/>
      <c r="E1913" s="3278"/>
      <c r="F1913" s="2868"/>
      <c r="G1913" s="2315">
        <f>SUM(G1876:G1912)*H1874</f>
        <v>0</v>
      </c>
      <c r="H1913" s="2315">
        <f>SUM(H1876:H1912)</f>
        <v>0</v>
      </c>
      <c r="I1913" s="2911">
        <f t="shared" si="276"/>
        <v>0</v>
      </c>
      <c r="J1913" s="2863"/>
      <c r="K1913" s="223">
        <f t="shared" si="277"/>
        <v>0</v>
      </c>
      <c r="L1913" s="2854"/>
    </row>
    <row r="1914" spans="1:12">
      <c r="A1914" s="2837"/>
      <c r="B1914" s="3297" t="s">
        <v>1409</v>
      </c>
      <c r="C1914" s="3297"/>
      <c r="D1914" s="3297"/>
      <c r="E1914" s="3297"/>
      <c r="F1914" s="2958"/>
      <c r="G1914" s="941"/>
      <c r="H1914" s="2896">
        <f>H1874</f>
        <v>0</v>
      </c>
      <c r="I1914" s="2940">
        <f>H1914</f>
        <v>0</v>
      </c>
      <c r="J1914" s="2892"/>
      <c r="K1914" s="2893"/>
    </row>
    <row r="1915" spans="1:12">
      <c r="A1915" s="2837"/>
      <c r="B1915" s="2898" t="str">
        <f>дома!G2278</f>
        <v>монтаж стропил</v>
      </c>
      <c r="C1915" s="236" t="str">
        <f>дома!J2278</f>
        <v>м2</v>
      </c>
      <c r="D1915" s="2899">
        <f>дома!K2278</f>
        <v>6.1584911339788064</v>
      </c>
      <c r="E1915" s="35">
        <f>дома!L2278</f>
        <v>450</v>
      </c>
      <c r="F1915" s="35"/>
      <c r="G1915" s="275">
        <f t="shared" ref="G1915:G1928" si="278">IF(F1915&gt;0,D1915*F1915,E1915*D1915)</f>
        <v>2771.3210102904627</v>
      </c>
      <c r="H1915" s="2315">
        <f t="shared" ref="H1915:H1928" si="279">D1915*E1915*$H$1914</f>
        <v>0</v>
      </c>
      <c r="I1915" s="2836">
        <f t="shared" ref="I1915:I1929" si="280">IF(G1915&gt;H1915,G1915,H1915)*$H$1874</f>
        <v>0</v>
      </c>
      <c r="J1915" s="2829"/>
      <c r="K1915" s="2837"/>
    </row>
    <row r="1916" spans="1:12">
      <c r="A1916" s="2837"/>
      <c r="B1916" s="2898" t="str">
        <f>дома!G2279</f>
        <v>обрешетка</v>
      </c>
      <c r="C1916" s="236" t="str">
        <f>дома!J2279</f>
        <v>м2</v>
      </c>
      <c r="D1916" s="2899">
        <f>дома!K2279</f>
        <v>6.1584911339788064</v>
      </c>
      <c r="E1916" s="35">
        <f>дома!L2279</f>
        <v>100</v>
      </c>
      <c r="F1916" s="35"/>
      <c r="G1916" s="275">
        <f t="shared" si="278"/>
        <v>615.84911339788061</v>
      </c>
      <c r="H1916" s="2315">
        <f t="shared" si="279"/>
        <v>0</v>
      </c>
      <c r="I1916" s="2836">
        <f t="shared" si="280"/>
        <v>0</v>
      </c>
      <c r="J1916" s="2829"/>
      <c r="K1916" s="2837"/>
    </row>
    <row r="1917" spans="1:12">
      <c r="A1917" s="2837"/>
      <c r="B1917" s="2898" t="str">
        <f>дома!G2280</f>
        <v>контробеш</v>
      </c>
      <c r="C1917" s="236" t="str">
        <f>дома!J2280</f>
        <v>м2</v>
      </c>
      <c r="D1917" s="2899">
        <f>дома!K2280</f>
        <v>0</v>
      </c>
      <c r="E1917" s="35">
        <f>дома!L2280</f>
        <v>100</v>
      </c>
      <c r="F1917" s="35"/>
      <c r="G1917" s="275">
        <f t="shared" si="278"/>
        <v>0</v>
      </c>
      <c r="H1917" s="2315">
        <f t="shared" si="279"/>
        <v>0</v>
      </c>
      <c r="I1917" s="2836">
        <f t="shared" si="280"/>
        <v>0</v>
      </c>
      <c r="J1917" s="2829"/>
      <c r="K1917" s="2837"/>
    </row>
    <row r="1918" spans="1:12">
      <c r="A1918" s="2837"/>
      <c r="B1918" s="2898" t="str">
        <f>дома!G2281</f>
        <v>мембрана</v>
      </c>
      <c r="C1918" s="236" t="str">
        <f>дома!J2281</f>
        <v>м2</v>
      </c>
      <c r="D1918" s="2899">
        <f>дома!K2281</f>
        <v>6.1584911339788064</v>
      </c>
      <c r="E1918" s="35">
        <f>дома!L2281</f>
        <v>100</v>
      </c>
      <c r="F1918" s="35"/>
      <c r="G1918" s="275">
        <f t="shared" si="278"/>
        <v>615.84911339788061</v>
      </c>
      <c r="H1918" s="2315">
        <f t="shared" si="279"/>
        <v>0</v>
      </c>
      <c r="I1918" s="2836">
        <f t="shared" si="280"/>
        <v>0</v>
      </c>
      <c r="J1918" s="2829"/>
      <c r="K1918" s="2837"/>
    </row>
    <row r="1919" spans="1:12">
      <c r="A1919" s="2837"/>
      <c r="B1919" s="2898" t="str">
        <f>дома!G2282</f>
        <v>Монтаж металлочерепицы</v>
      </c>
      <c r="C1919" s="236" t="str">
        <f>дома!J2282</f>
        <v>м2</v>
      </c>
      <c r="D1919" s="2899">
        <f>дома!K2282</f>
        <v>6.1584911339788064</v>
      </c>
      <c r="E1919" s="35">
        <f>дома!L2282</f>
        <v>300</v>
      </c>
      <c r="F1919" s="35"/>
      <c r="G1919" s="275">
        <f t="shared" si="278"/>
        <v>1847.547340193642</v>
      </c>
      <c r="H1919" s="2315">
        <f t="shared" si="279"/>
        <v>0</v>
      </c>
      <c r="I1919" s="2836">
        <f t="shared" si="280"/>
        <v>0</v>
      </c>
      <c r="J1919" s="2829"/>
      <c r="K1919" s="2837"/>
    </row>
    <row r="1920" spans="1:12">
      <c r="A1920" s="2837"/>
      <c r="B1920" s="2898" t="str">
        <f>дома!G2283</f>
        <v>карнизная планка</v>
      </c>
      <c r="C1920" s="236" t="str">
        <f>дома!J2283</f>
        <v>м2</v>
      </c>
      <c r="D1920" s="2899">
        <f>дома!K2283</f>
        <v>4.18</v>
      </c>
      <c r="E1920" s="35">
        <f>дома!L2283</f>
        <v>100</v>
      </c>
      <c r="F1920" s="35"/>
      <c r="G1920" s="275">
        <f t="shared" si="278"/>
        <v>418</v>
      </c>
      <c r="H1920" s="2315">
        <f t="shared" si="279"/>
        <v>0</v>
      </c>
      <c r="I1920" s="2836">
        <f t="shared" si="280"/>
        <v>0</v>
      </c>
      <c r="J1920" s="2829"/>
      <c r="K1920" s="2837"/>
    </row>
    <row r="1921" spans="1:12">
      <c r="A1921" s="2837"/>
      <c r="B1921" s="2898" t="str">
        <f>дома!G2284</f>
        <v>торцевая планка</v>
      </c>
      <c r="C1921" s="236" t="str">
        <f>дома!J2284</f>
        <v>м2</v>
      </c>
      <c r="D1921" s="2899">
        <f>дома!K2284</f>
        <v>3.5654422354614148</v>
      </c>
      <c r="E1921" s="35">
        <f>дома!L2284</f>
        <v>100</v>
      </c>
      <c r="F1921" s="35"/>
      <c r="G1921" s="275">
        <f t="shared" si="278"/>
        <v>356.5442235461415</v>
      </c>
      <c r="H1921" s="2315">
        <f t="shared" si="279"/>
        <v>0</v>
      </c>
      <c r="I1921" s="2836">
        <f t="shared" si="280"/>
        <v>0</v>
      </c>
      <c r="J1921" s="2829"/>
      <c r="K1921" s="2837"/>
    </row>
    <row r="1922" spans="1:12">
      <c r="A1922" s="2837"/>
      <c r="B1922" s="2898" t="str">
        <f>дома!G2285</f>
        <v>желоб водосточный</v>
      </c>
      <c r="C1922" s="236" t="str">
        <f>дома!J2285</f>
        <v>м.п.</v>
      </c>
      <c r="D1922" s="2899">
        <f>дома!K2285</f>
        <v>4.18</v>
      </c>
      <c r="E1922" s="35">
        <f>дома!L2285</f>
        <v>300</v>
      </c>
      <c r="F1922" s="35"/>
      <c r="G1922" s="275">
        <f t="shared" si="278"/>
        <v>1254</v>
      </c>
      <c r="H1922" s="2315">
        <f t="shared" si="279"/>
        <v>0</v>
      </c>
      <c r="I1922" s="2836">
        <f t="shared" si="280"/>
        <v>0</v>
      </c>
      <c r="J1922" s="2829"/>
      <c r="K1922" s="2837"/>
    </row>
    <row r="1923" spans="1:12">
      <c r="A1923" s="2837"/>
      <c r="B1923" s="2898" t="str">
        <f>дома!G2286</f>
        <v>труба водосточная</v>
      </c>
      <c r="C1923" s="236" t="str">
        <f>дома!J2286</f>
        <v>м.п.</v>
      </c>
      <c r="D1923" s="2899">
        <f>дома!K2286</f>
        <v>0</v>
      </c>
      <c r="E1923" s="35">
        <f>дома!L2286</f>
        <v>300</v>
      </c>
      <c r="F1923" s="35"/>
      <c r="G1923" s="275">
        <f t="shared" si="278"/>
        <v>0</v>
      </c>
      <c r="H1923" s="2315">
        <f t="shared" si="279"/>
        <v>0</v>
      </c>
      <c r="I1923" s="2836">
        <f t="shared" si="280"/>
        <v>0</v>
      </c>
      <c r="J1923" s="2829"/>
      <c r="K1923" s="2837"/>
    </row>
    <row r="1924" spans="1:12">
      <c r="A1924" s="2837"/>
      <c r="B1924" s="2898" t="str">
        <f>дома!G2287</f>
        <v>Монтаж ондулина</v>
      </c>
      <c r="C1924" s="236" t="str">
        <f>дома!J2287</f>
        <v>м2</v>
      </c>
      <c r="D1924" s="2899">
        <f>дома!K2287</f>
        <v>0</v>
      </c>
      <c r="E1924" s="35">
        <f>дома!L2287</f>
        <v>300</v>
      </c>
      <c r="F1924" s="35"/>
      <c r="G1924" s="275">
        <f t="shared" si="278"/>
        <v>0</v>
      </c>
      <c r="H1924" s="2315">
        <f t="shared" si="279"/>
        <v>0</v>
      </c>
      <c r="I1924" s="2836">
        <f t="shared" si="280"/>
        <v>0</v>
      </c>
      <c r="J1924" s="2829"/>
      <c r="K1924" s="2837"/>
    </row>
    <row r="1925" spans="1:12">
      <c r="A1925" s="2837"/>
      <c r="B1925" s="2898" t="str">
        <f>дома!G2288</f>
        <v>Монтаж фанеры/osb</v>
      </c>
      <c r="C1925" s="236" t="str">
        <f>дома!J2288</f>
        <v>м2</v>
      </c>
      <c r="D1925" s="2899">
        <f>дома!K2288</f>
        <v>0</v>
      </c>
      <c r="E1925" s="35">
        <f>дома!L2288</f>
        <v>200</v>
      </c>
      <c r="F1925" s="35"/>
      <c r="G1925" s="275">
        <f t="shared" si="278"/>
        <v>0</v>
      </c>
      <c r="H1925" s="2315">
        <f t="shared" si="279"/>
        <v>0</v>
      </c>
      <c r="I1925" s="2836">
        <f t="shared" si="280"/>
        <v>0</v>
      </c>
      <c r="J1925" s="2829"/>
      <c r="K1925" s="2837"/>
    </row>
    <row r="1926" spans="1:12">
      <c r="A1926" s="2837"/>
      <c r="B1926" s="2898" t="str">
        <f>дома!G2289</f>
        <v>монтаж подкладочного ковра</v>
      </c>
      <c r="C1926" s="236" t="str">
        <f>дома!J2289</f>
        <v>м2</v>
      </c>
      <c r="D1926" s="2899">
        <f>дома!K2289</f>
        <v>0</v>
      </c>
      <c r="E1926" s="35">
        <f>дома!L2289</f>
        <v>150</v>
      </c>
      <c r="F1926" s="35"/>
      <c r="G1926" s="275">
        <f t="shared" si="278"/>
        <v>0</v>
      </c>
      <c r="H1926" s="2315">
        <f t="shared" si="279"/>
        <v>0</v>
      </c>
      <c r="I1926" s="2836">
        <f t="shared" si="280"/>
        <v>0</v>
      </c>
      <c r="J1926" s="2829"/>
      <c r="K1926" s="2837"/>
    </row>
    <row r="1927" spans="1:12">
      <c r="A1927" s="2837"/>
      <c r="B1927" s="2898" t="str">
        <f>дома!G2290</f>
        <v>Монтаж мягкой кровли</v>
      </c>
      <c r="C1927" s="236" t="str">
        <f>дома!J2290</f>
        <v>м2</v>
      </c>
      <c r="D1927" s="2899">
        <f>дома!K2290</f>
        <v>0</v>
      </c>
      <c r="E1927" s="35">
        <f>дома!L2290</f>
        <v>350</v>
      </c>
      <c r="F1927" s="35"/>
      <c r="G1927" s="275">
        <f t="shared" si="278"/>
        <v>0</v>
      </c>
      <c r="H1927" s="2315">
        <f t="shared" si="279"/>
        <v>0</v>
      </c>
      <c r="I1927" s="2836">
        <f t="shared" si="280"/>
        <v>0</v>
      </c>
      <c r="J1927" s="2829"/>
      <c r="K1927" s="2837"/>
    </row>
    <row r="1928" spans="1:12">
      <c r="A1928" s="2837"/>
      <c r="B1928" s="2898" t="str">
        <f>дома!G2291</f>
        <v>Монтаж планки примыкания</v>
      </c>
      <c r="C1928" s="236" t="str">
        <f>дома!J2291</f>
        <v>м.п.</v>
      </c>
      <c r="D1928" s="2899">
        <f>дома!K2291</f>
        <v>0</v>
      </c>
      <c r="E1928" s="35">
        <f>дома!L2291</f>
        <v>200</v>
      </c>
      <c r="F1928" s="35"/>
      <c r="G1928" s="275">
        <f t="shared" si="278"/>
        <v>0</v>
      </c>
      <c r="H1928" s="2315">
        <f t="shared" si="279"/>
        <v>0</v>
      </c>
      <c r="I1928" s="2836">
        <f t="shared" si="280"/>
        <v>0</v>
      </c>
      <c r="J1928" s="2829"/>
      <c r="K1928" s="2837"/>
    </row>
    <row r="1929" spans="1:12">
      <c r="A1929" s="2837"/>
      <c r="B1929" s="3278" t="s">
        <v>4641</v>
      </c>
      <c r="C1929" s="3278"/>
      <c r="D1929" s="3278"/>
      <c r="E1929" s="3278"/>
      <c r="F1929" s="2868"/>
      <c r="G1929" s="2315">
        <f>SUM(G1915:G1928)*H1914</f>
        <v>0</v>
      </c>
      <c r="H1929" s="2315">
        <f>SUM(H1915:H1928)</f>
        <v>0</v>
      </c>
      <c r="I1929" s="2836">
        <f t="shared" si="280"/>
        <v>0</v>
      </c>
      <c r="J1929" s="2829"/>
      <c r="K1929" s="2837"/>
    </row>
    <row r="1930" spans="1:12" ht="21">
      <c r="A1930" s="2837"/>
      <c r="B1930" s="3282" t="s">
        <v>4666</v>
      </c>
      <c r="C1930" s="3282"/>
      <c r="D1930" s="3282"/>
      <c r="E1930" s="3282"/>
      <c r="F1930" s="2887"/>
      <c r="G1930" s="941"/>
      <c r="H1930" s="2901">
        <f>VLOOKUP('Ввод данных'!AC67,связи1!A2:B3,2,0)</f>
        <v>0</v>
      </c>
      <c r="I1930" s="2940">
        <f>H1930</f>
        <v>0</v>
      </c>
      <c r="J1930" s="2829"/>
      <c r="K1930" s="2837"/>
    </row>
    <row r="1931" spans="1:12">
      <c r="A1931" s="2829"/>
      <c r="B1931" s="3285" t="s">
        <v>2720</v>
      </c>
      <c r="C1931" s="3285"/>
      <c r="D1931" s="3285"/>
      <c r="E1931" s="3285"/>
      <c r="F1931" s="2902"/>
      <c r="G1931" s="941"/>
      <c r="H1931" s="2903">
        <f>H1930</f>
        <v>0</v>
      </c>
      <c r="I1931" s="2940">
        <f>H1931</f>
        <v>0</v>
      </c>
      <c r="J1931" s="2850"/>
      <c r="K1931" s="2851"/>
    </row>
    <row r="1932" spans="1:12">
      <c r="A1932" s="2829"/>
      <c r="B1932" s="302" t="str">
        <f>отделка!A393</f>
        <v xml:space="preserve">окна   </v>
      </c>
      <c r="C1932" s="2890" t="str">
        <f>отделка!B393</f>
        <v>м2</v>
      </c>
      <c r="D1932" s="302">
        <f>отделка!C393</f>
        <v>1.2</v>
      </c>
      <c r="E1932" s="302">
        <f>отделка!D393</f>
        <v>3500</v>
      </c>
      <c r="F1932" s="302"/>
      <c r="G1932" s="275">
        <f t="shared" ref="G1932:G1951" si="281">IF(F1932&gt;0,D1932*F1932,E1932*D1932)</f>
        <v>4200</v>
      </c>
      <c r="H1932" s="96">
        <f t="shared" ref="H1932:H1951" si="282">D1932*E1932*$H$1931</f>
        <v>0</v>
      </c>
      <c r="I1932" s="2911">
        <f t="shared" ref="I1932:I1952" si="283">IF(G1932&gt;H1932,G1932,H1932)*$H$1930</f>
        <v>0</v>
      </c>
      <c r="J1932" s="2863"/>
      <c r="K1932" s="223">
        <f t="shared" ref="K1932:K1952" si="284">D1932-J1932</f>
        <v>1.2</v>
      </c>
      <c r="L1932" s="2854"/>
    </row>
    <row r="1933" spans="1:12">
      <c r="A1933" s="2837"/>
      <c r="B1933" s="302" t="str">
        <f>отделка!A394</f>
        <v>подоконник</v>
      </c>
      <c r="C1933" s="2890" t="str">
        <f>отделка!B394</f>
        <v>м.п.</v>
      </c>
      <c r="D1933" s="302">
        <f>отделка!C394</f>
        <v>1</v>
      </c>
      <c r="E1933" s="302">
        <f>отделка!D394</f>
        <v>200</v>
      </c>
      <c r="F1933" s="302"/>
      <c r="G1933" s="275">
        <f t="shared" si="281"/>
        <v>200</v>
      </c>
      <c r="H1933" s="96">
        <f t="shared" si="282"/>
        <v>0</v>
      </c>
      <c r="I1933" s="2911">
        <f t="shared" si="283"/>
        <v>0</v>
      </c>
      <c r="J1933" s="2863"/>
      <c r="K1933" s="223">
        <f t="shared" si="284"/>
        <v>1</v>
      </c>
      <c r="L1933" s="2854"/>
    </row>
    <row r="1934" spans="1:12">
      <c r="A1934" s="2837"/>
      <c r="B1934" s="302" t="str">
        <f>отделка!A395</f>
        <v>направляющие для откосов внутр</v>
      </c>
      <c r="C1934" s="2890" t="str">
        <f>отделка!B395</f>
        <v>шт</v>
      </c>
      <c r="D1934" s="302">
        <f>отделка!C395</f>
        <v>3.4000000000000004</v>
      </c>
      <c r="E1934" s="302">
        <f>отделка!D395</f>
        <v>50</v>
      </c>
      <c r="F1934" s="302"/>
      <c r="G1934" s="275">
        <f t="shared" si="281"/>
        <v>170.00000000000003</v>
      </c>
      <c r="H1934" s="96">
        <f t="shared" si="282"/>
        <v>0</v>
      </c>
      <c r="I1934" s="2911">
        <f t="shared" si="283"/>
        <v>0</v>
      </c>
      <c r="J1934" s="2863"/>
      <c r="K1934" s="223">
        <f t="shared" si="284"/>
        <v>3.4000000000000004</v>
      </c>
      <c r="L1934" s="2854"/>
    </row>
    <row r="1935" spans="1:12">
      <c r="A1935" s="2837"/>
      <c r="B1935" s="302" t="str">
        <f>отделка!A396</f>
        <v>откосы внутр</v>
      </c>
      <c r="C1935" s="2890" t="str">
        <f>отделка!B396</f>
        <v>шт</v>
      </c>
      <c r="D1935" s="302">
        <f>отделка!C396</f>
        <v>3.4000000000000004</v>
      </c>
      <c r="E1935" s="302">
        <f>отделка!D396</f>
        <v>100</v>
      </c>
      <c r="F1935" s="302"/>
      <c r="G1935" s="275">
        <f t="shared" si="281"/>
        <v>340.00000000000006</v>
      </c>
      <c r="H1935" s="96">
        <f t="shared" si="282"/>
        <v>0</v>
      </c>
      <c r="I1935" s="2911">
        <f t="shared" si="283"/>
        <v>0</v>
      </c>
      <c r="J1935" s="2863"/>
      <c r="K1935" s="223">
        <f t="shared" si="284"/>
        <v>3.4000000000000004</v>
      </c>
      <c r="L1935" s="2854"/>
    </row>
    <row r="1936" spans="1:12">
      <c r="A1936" s="2837"/>
      <c r="B1936" s="302" t="str">
        <f>отделка!A397</f>
        <v>уголок для откосов внутр</v>
      </c>
      <c r="C1936" s="2890" t="str">
        <f>отделка!B397</f>
        <v>шт</v>
      </c>
      <c r="D1936" s="302">
        <f>отделка!C397</f>
        <v>3.4000000000000004</v>
      </c>
      <c r="E1936" s="302">
        <f>отделка!D397</f>
        <v>50</v>
      </c>
      <c r="F1936" s="302"/>
      <c r="G1936" s="275">
        <f t="shared" si="281"/>
        <v>170.00000000000003</v>
      </c>
      <c r="H1936" s="96">
        <f t="shared" si="282"/>
        <v>0</v>
      </c>
      <c r="I1936" s="2911">
        <f t="shared" si="283"/>
        <v>0</v>
      </c>
      <c r="J1936" s="2863"/>
      <c r="K1936" s="223">
        <f t="shared" si="284"/>
        <v>3.4000000000000004</v>
      </c>
      <c r="L1936" s="2854"/>
    </row>
    <row r="1937" spans="1:12">
      <c r="A1937" s="2837"/>
      <c r="B1937" s="302" t="str">
        <f>отделка!A398</f>
        <v>отлив</v>
      </c>
      <c r="C1937" s="2890" t="str">
        <f>отделка!B398</f>
        <v>шт</v>
      </c>
      <c r="D1937" s="302">
        <f>отделка!C398</f>
        <v>0</v>
      </c>
      <c r="E1937" s="302">
        <f>отделка!D398</f>
        <v>130</v>
      </c>
      <c r="F1937" s="302"/>
      <c r="G1937" s="275">
        <f t="shared" si="281"/>
        <v>0</v>
      </c>
      <c r="H1937" s="96">
        <f t="shared" si="282"/>
        <v>0</v>
      </c>
      <c r="I1937" s="2911">
        <f t="shared" si="283"/>
        <v>0</v>
      </c>
      <c r="J1937" s="2863"/>
      <c r="K1937" s="223">
        <f t="shared" si="284"/>
        <v>0</v>
      </c>
      <c r="L1937" s="2854"/>
    </row>
    <row r="1938" spans="1:12">
      <c r="A1938" s="2837"/>
      <c r="B1938" s="302" t="str">
        <f>отделка!A399</f>
        <v>откосы нар</v>
      </c>
      <c r="C1938" s="2890" t="str">
        <f>отделка!B399</f>
        <v>шт</v>
      </c>
      <c r="D1938" s="302">
        <f>отделка!C399</f>
        <v>0</v>
      </c>
      <c r="E1938" s="302">
        <f>отделка!D399</f>
        <v>150</v>
      </c>
      <c r="F1938" s="302"/>
      <c r="G1938" s="275">
        <f t="shared" si="281"/>
        <v>0</v>
      </c>
      <c r="H1938" s="96">
        <f t="shared" si="282"/>
        <v>0</v>
      </c>
      <c r="I1938" s="2911">
        <f t="shared" si="283"/>
        <v>0</v>
      </c>
      <c r="J1938" s="2863"/>
      <c r="K1938" s="223">
        <f t="shared" si="284"/>
        <v>0</v>
      </c>
      <c r="L1938" s="2854"/>
    </row>
    <row r="1939" spans="1:12">
      <c r="A1939" s="2837"/>
      <c r="B1939" s="302" t="str">
        <f>отделка!A400</f>
        <v>направляющие для откосов нар</v>
      </c>
      <c r="C1939" s="2890" t="str">
        <f>отделка!B400</f>
        <v>шт</v>
      </c>
      <c r="D1939" s="302">
        <f>отделка!C400</f>
        <v>0</v>
      </c>
      <c r="E1939" s="302">
        <f>отделка!D400</f>
        <v>80</v>
      </c>
      <c r="F1939" s="302"/>
      <c r="G1939" s="275">
        <f t="shared" si="281"/>
        <v>0</v>
      </c>
      <c r="H1939" s="96">
        <f t="shared" si="282"/>
        <v>0</v>
      </c>
      <c r="I1939" s="2911">
        <f t="shared" si="283"/>
        <v>0</v>
      </c>
      <c r="J1939" s="2863"/>
      <c r="K1939" s="223">
        <f t="shared" si="284"/>
        <v>0</v>
      </c>
      <c r="L1939" s="2854"/>
    </row>
    <row r="1940" spans="1:12">
      <c r="A1940" s="2837"/>
      <c r="B1940" s="302" t="str">
        <f>отделка!A401</f>
        <v>уголок для откосов нар</v>
      </c>
      <c r="C1940" s="2890" t="str">
        <f>отделка!B401</f>
        <v>шт</v>
      </c>
      <c r="D1940" s="302">
        <f>отделка!C401</f>
        <v>0</v>
      </c>
      <c r="E1940" s="302">
        <f>отделка!D401</f>
        <v>60</v>
      </c>
      <c r="F1940" s="302"/>
      <c r="G1940" s="275">
        <f t="shared" si="281"/>
        <v>0</v>
      </c>
      <c r="H1940" s="96">
        <f t="shared" si="282"/>
        <v>0</v>
      </c>
      <c r="I1940" s="2911">
        <f t="shared" si="283"/>
        <v>0</v>
      </c>
      <c r="J1940" s="2863"/>
      <c r="K1940" s="223">
        <f t="shared" si="284"/>
        <v>0</v>
      </c>
      <c r="L1940" s="2854"/>
    </row>
    <row r="1941" spans="1:12">
      <c r="A1941" s="2837"/>
      <c r="B1941" s="302" t="str">
        <f>отделка!A402</f>
        <v>ветроизоляция окон</v>
      </c>
      <c r="C1941" s="2890" t="str">
        <f>отделка!B402</f>
        <v>м.п.</v>
      </c>
      <c r="D1941" s="302">
        <f>отделка!C402</f>
        <v>0</v>
      </c>
      <c r="E1941" s="302">
        <f>отделка!D402</f>
        <v>40</v>
      </c>
      <c r="F1941" s="302"/>
      <c r="G1941" s="275">
        <f t="shared" si="281"/>
        <v>0</v>
      </c>
      <c r="H1941" s="96">
        <f t="shared" si="282"/>
        <v>0</v>
      </c>
      <c r="I1941" s="2911">
        <f t="shared" si="283"/>
        <v>0</v>
      </c>
      <c r="J1941" s="2863"/>
      <c r="K1941" s="223">
        <f t="shared" si="284"/>
        <v>0</v>
      </c>
      <c r="L1941" s="2854"/>
    </row>
    <row r="1942" spans="1:12">
      <c r="A1942" s="2837"/>
      <c r="B1942" s="302" t="str">
        <f>отделка!A403</f>
        <v>пароизоляция окон</v>
      </c>
      <c r="C1942" s="2890" t="str">
        <f>отделка!B403</f>
        <v>шт</v>
      </c>
      <c r="D1942" s="302">
        <f>отделка!C403</f>
        <v>3.4000000000000004</v>
      </c>
      <c r="E1942" s="302">
        <f>отделка!D403</f>
        <v>40</v>
      </c>
      <c r="F1942" s="302"/>
      <c r="G1942" s="275">
        <f t="shared" si="281"/>
        <v>136</v>
      </c>
      <c r="H1942" s="96">
        <f t="shared" si="282"/>
        <v>0</v>
      </c>
      <c r="I1942" s="2911">
        <f t="shared" si="283"/>
        <v>0</v>
      </c>
      <c r="J1942" s="2863"/>
      <c r="K1942" s="223">
        <f t="shared" si="284"/>
        <v>3.4000000000000004</v>
      </c>
      <c r="L1942" s="2854"/>
    </row>
    <row r="1943" spans="1:12">
      <c r="A1943" s="2837"/>
      <c r="B1943" s="302" t="str">
        <f>отделка!A404</f>
        <v>крепления</v>
      </c>
      <c r="C1943" s="2890" t="str">
        <f>отделка!B404</f>
        <v>шт</v>
      </c>
      <c r="D1943" s="302">
        <f>отделка!C404</f>
        <v>8</v>
      </c>
      <c r="E1943" s="302">
        <f>отделка!D404</f>
        <v>15</v>
      </c>
      <c r="F1943" s="302"/>
      <c r="G1943" s="275">
        <f t="shared" si="281"/>
        <v>120</v>
      </c>
      <c r="H1943" s="96">
        <f t="shared" si="282"/>
        <v>0</v>
      </c>
      <c r="I1943" s="2911">
        <f t="shared" si="283"/>
        <v>0</v>
      </c>
      <c r="J1943" s="2863"/>
      <c r="K1943" s="223">
        <f t="shared" si="284"/>
        <v>8</v>
      </c>
      <c r="L1943" s="2854"/>
    </row>
    <row r="1944" spans="1:12">
      <c r="A1944" s="2837"/>
      <c r="B1944" s="302" t="str">
        <f>отделка!A405</f>
        <v>Пена монтажная, всесезонняя 800мл</v>
      </c>
      <c r="C1944" s="2890" t="str">
        <f>отделка!B405</f>
        <v>шт</v>
      </c>
      <c r="D1944" s="302">
        <f>отделка!C405</f>
        <v>1</v>
      </c>
      <c r="E1944" s="302">
        <f>отделка!D405</f>
        <v>300</v>
      </c>
      <c r="F1944" s="302"/>
      <c r="G1944" s="275">
        <f t="shared" si="281"/>
        <v>300</v>
      </c>
      <c r="H1944" s="96">
        <f t="shared" si="282"/>
        <v>0</v>
      </c>
      <c r="I1944" s="2911">
        <f t="shared" si="283"/>
        <v>0</v>
      </c>
      <c r="J1944" s="2863"/>
      <c r="K1944" s="223">
        <f t="shared" si="284"/>
        <v>1</v>
      </c>
      <c r="L1944" s="2854"/>
    </row>
    <row r="1945" spans="1:12">
      <c r="A1945" s="2837"/>
      <c r="B1945" s="302" t="str">
        <f>отделка!A406</f>
        <v>Французские окна</v>
      </c>
      <c r="C1945" s="2890" t="str">
        <f>отделка!B406</f>
        <v>м2</v>
      </c>
      <c r="D1945" s="302">
        <f>отделка!C406</f>
        <v>0</v>
      </c>
      <c r="E1945" s="302">
        <f>отделка!D406</f>
        <v>6000</v>
      </c>
      <c r="F1945" s="302"/>
      <c r="G1945" s="275">
        <f t="shared" si="281"/>
        <v>0</v>
      </c>
      <c r="H1945" s="96">
        <f t="shared" si="282"/>
        <v>0</v>
      </c>
      <c r="I1945" s="2911">
        <f t="shared" si="283"/>
        <v>0</v>
      </c>
      <c r="J1945" s="2863"/>
      <c r="K1945" s="223">
        <f t="shared" si="284"/>
        <v>0</v>
      </c>
      <c r="L1945" s="2854"/>
    </row>
    <row r="1946" spans="1:12">
      <c r="A1946" s="2837"/>
      <c r="B1946" s="302" t="str">
        <f>отделка!A407</f>
        <v>анкерный болт для крепления окно фр</v>
      </c>
      <c r="C1946" s="2890" t="str">
        <f>отделка!B407</f>
        <v>шт</v>
      </c>
      <c r="D1946" s="302">
        <f>отделка!C407</f>
        <v>0</v>
      </c>
      <c r="E1946" s="302">
        <f>отделка!D407</f>
        <v>20</v>
      </c>
      <c r="F1946" s="302"/>
      <c r="G1946" s="275">
        <f t="shared" si="281"/>
        <v>0</v>
      </c>
      <c r="H1946" s="96">
        <f t="shared" si="282"/>
        <v>0</v>
      </c>
      <c r="I1946" s="2911">
        <f t="shared" si="283"/>
        <v>0</v>
      </c>
      <c r="J1946" s="2863"/>
      <c r="K1946" s="223">
        <f t="shared" si="284"/>
        <v>0</v>
      </c>
      <c r="L1946" s="2854"/>
    </row>
    <row r="1947" spans="1:12">
      <c r="A1947" s="2837"/>
      <c r="B1947" s="302" t="str">
        <f>отделка!A408</f>
        <v>Пена монтажная, всесезонняя 800мл</v>
      </c>
      <c r="C1947" s="2890" t="str">
        <f>отделка!B408</f>
        <v>шт</v>
      </c>
      <c r="D1947" s="302">
        <f>отделка!C408</f>
        <v>0</v>
      </c>
      <c r="E1947" s="302">
        <f>отделка!D408</f>
        <v>300</v>
      </c>
      <c r="F1947" s="302"/>
      <c r="G1947" s="275">
        <f t="shared" si="281"/>
        <v>0</v>
      </c>
      <c r="H1947" s="96">
        <f t="shared" si="282"/>
        <v>0</v>
      </c>
      <c r="I1947" s="2911">
        <f t="shared" si="283"/>
        <v>0</v>
      </c>
      <c r="J1947" s="2863"/>
      <c r="K1947" s="223">
        <f t="shared" si="284"/>
        <v>0</v>
      </c>
      <c r="L1947" s="2854"/>
    </row>
    <row r="1948" spans="1:12">
      <c r="A1948" s="2837"/>
      <c r="B1948" s="302" t="str">
        <f>отделка!A409</f>
        <v>пластины для крепления</v>
      </c>
      <c r="C1948" s="2890" t="str">
        <f>отделка!B409</f>
        <v>шт</v>
      </c>
      <c r="D1948" s="302">
        <f>отделка!C409</f>
        <v>0</v>
      </c>
      <c r="E1948" s="302">
        <f>отделка!D409</f>
        <v>25</v>
      </c>
      <c r="F1948" s="302"/>
      <c r="G1948" s="275">
        <f t="shared" si="281"/>
        <v>0</v>
      </c>
      <c r="H1948" s="96">
        <f t="shared" si="282"/>
        <v>0</v>
      </c>
      <c r="I1948" s="2911">
        <f t="shared" si="283"/>
        <v>0</v>
      </c>
      <c r="J1948" s="2863"/>
      <c r="K1948" s="223">
        <f t="shared" si="284"/>
        <v>0</v>
      </c>
      <c r="L1948" s="2854"/>
    </row>
    <row r="1949" spans="1:12">
      <c r="A1949" s="2837"/>
      <c r="B1949" s="302" t="str">
        <f>отделка!A410</f>
        <v>Двери входные</v>
      </c>
      <c r="C1949" s="2890" t="str">
        <f>отделка!B410</f>
        <v>шт</v>
      </c>
      <c r="D1949" s="302">
        <f>отделка!C410</f>
        <v>0</v>
      </c>
      <c r="E1949" s="302">
        <f>отделка!D410</f>
        <v>12000</v>
      </c>
      <c r="F1949" s="302"/>
      <c r="G1949" s="275">
        <f t="shared" si="281"/>
        <v>0</v>
      </c>
      <c r="H1949" s="96">
        <f t="shared" si="282"/>
        <v>0</v>
      </c>
      <c r="I1949" s="2911">
        <f t="shared" si="283"/>
        <v>0</v>
      </c>
      <c r="J1949" s="2863"/>
      <c r="K1949" s="223">
        <f t="shared" si="284"/>
        <v>0</v>
      </c>
      <c r="L1949" s="2854"/>
    </row>
    <row r="1950" spans="1:12">
      <c r="A1950" s="2837"/>
      <c r="B1950" s="302" t="str">
        <f>отделка!A411</f>
        <v>Анкер болт, 12*200</v>
      </c>
      <c r="C1950" s="2890" t="str">
        <f>отделка!B411</f>
        <v>шт</v>
      </c>
      <c r="D1950" s="302">
        <f>отделка!C411</f>
        <v>0</v>
      </c>
      <c r="E1950" s="302">
        <f>отделка!D411</f>
        <v>0</v>
      </c>
      <c r="F1950" s="302"/>
      <c r="G1950" s="275">
        <f t="shared" si="281"/>
        <v>0</v>
      </c>
      <c r="H1950" s="96">
        <f t="shared" si="282"/>
        <v>0</v>
      </c>
      <c r="I1950" s="2911">
        <f t="shared" si="283"/>
        <v>0</v>
      </c>
      <c r="J1950" s="2863"/>
      <c r="K1950" s="223">
        <f t="shared" si="284"/>
        <v>0</v>
      </c>
      <c r="L1950" s="2854"/>
    </row>
    <row r="1951" spans="1:12">
      <c r="A1951" s="2837"/>
      <c r="B1951" s="302" t="str">
        <f>отделка!A412</f>
        <v>Пена монтажная</v>
      </c>
      <c r="C1951" s="2890" t="str">
        <f>отделка!B412</f>
        <v>шт</v>
      </c>
      <c r="D1951" s="302">
        <f>отделка!C412</f>
        <v>0</v>
      </c>
      <c r="E1951" s="302">
        <f>отделка!D412</f>
        <v>0</v>
      </c>
      <c r="F1951" s="302"/>
      <c r="G1951" s="275">
        <f t="shared" si="281"/>
        <v>0</v>
      </c>
      <c r="H1951" s="96">
        <f t="shared" si="282"/>
        <v>0</v>
      </c>
      <c r="I1951" s="2911">
        <f t="shared" si="283"/>
        <v>0</v>
      </c>
      <c r="J1951" s="2863"/>
      <c r="K1951" s="223">
        <f t="shared" si="284"/>
        <v>0</v>
      </c>
      <c r="L1951" s="2854"/>
    </row>
    <row r="1952" spans="1:12">
      <c r="A1952" s="2837"/>
      <c r="B1952" s="3278" t="s">
        <v>4640</v>
      </c>
      <c r="C1952" s="3278"/>
      <c r="D1952" s="3278"/>
      <c r="E1952" s="3278"/>
      <c r="F1952" s="2868"/>
      <c r="G1952" s="2315">
        <f>SUM(G1932:G1951)*H1930</f>
        <v>0</v>
      </c>
      <c r="H1952" s="2315">
        <f>SUM(H1932:H1951)</f>
        <v>0</v>
      </c>
      <c r="I1952" s="2911">
        <f t="shared" si="283"/>
        <v>0</v>
      </c>
      <c r="J1952" s="2863"/>
      <c r="K1952" s="223">
        <f t="shared" si="284"/>
        <v>0</v>
      </c>
      <c r="L1952" s="2854"/>
    </row>
    <row r="1953" spans="1:13">
      <c r="A1953" s="2837"/>
      <c r="B1953" s="3279" t="s">
        <v>1409</v>
      </c>
      <c r="C1953" s="3279"/>
      <c r="D1953" s="3279"/>
      <c r="E1953" s="3279"/>
      <c r="F1953" s="2870"/>
      <c r="G1953" s="941"/>
      <c r="H1953" s="2891">
        <f>H1930</f>
        <v>0</v>
      </c>
      <c r="I1953" s="2940">
        <f>H1953</f>
        <v>0</v>
      </c>
      <c r="J1953" s="2892"/>
      <c r="K1953" s="2893"/>
    </row>
    <row r="1954" spans="1:13">
      <c r="A1954" s="2829"/>
      <c r="B1954" s="2763" t="s">
        <v>1516</v>
      </c>
      <c r="C1954" s="2890" t="s">
        <v>159</v>
      </c>
      <c r="D1954" s="302">
        <f>отделка!J393</f>
        <v>1</v>
      </c>
      <c r="E1954" s="100">
        <f>отделка!K393</f>
        <v>1000</v>
      </c>
      <c r="F1954" s="100"/>
      <c r="G1954" s="275">
        <f t="shared" ref="G1954:G1966" si="285">IF(F1954&gt;0,D1954*F1954,E1954*D1954)</f>
        <v>1000</v>
      </c>
      <c r="H1954" s="2315">
        <f t="shared" ref="H1954:H1966" si="286">D1954*E1954*$H$1953</f>
        <v>0</v>
      </c>
      <c r="I1954" s="2836">
        <f t="shared" ref="I1954:I1967" si="287">IF(G1954&gt;H1954,G1954,H1954)*$H$1930</f>
        <v>0</v>
      </c>
      <c r="J1954" s="2829"/>
      <c r="K1954" s="2837"/>
    </row>
    <row r="1955" spans="1:13">
      <c r="A1955" s="2837"/>
      <c r="B1955" s="2763" t="s">
        <v>1517</v>
      </c>
      <c r="C1955" s="2890" t="s">
        <v>159</v>
      </c>
      <c r="D1955" s="302">
        <f>отделка!J394</f>
        <v>1</v>
      </c>
      <c r="E1955" s="100">
        <f>отделка!K394</f>
        <v>400</v>
      </c>
      <c r="F1955" s="100"/>
      <c r="G1955" s="275">
        <f t="shared" si="285"/>
        <v>400</v>
      </c>
      <c r="H1955" s="2315">
        <f t="shared" si="286"/>
        <v>0</v>
      </c>
      <c r="I1955" s="2836">
        <f t="shared" si="287"/>
        <v>0</v>
      </c>
      <c r="L1955" s="910"/>
      <c r="M1955" s="910"/>
    </row>
    <row r="1956" spans="1:13">
      <c r="A1956" s="2837"/>
      <c r="B1956" s="2763" t="s">
        <v>3929</v>
      </c>
      <c r="C1956" s="2890" t="s">
        <v>159</v>
      </c>
      <c r="D1956" s="302">
        <f>отделка!J395</f>
        <v>3.4000000000000004</v>
      </c>
      <c r="E1956" s="100">
        <f>отделка!K395</f>
        <v>150</v>
      </c>
      <c r="F1956" s="100"/>
      <c r="G1956" s="275">
        <f t="shared" si="285"/>
        <v>510.00000000000006</v>
      </c>
      <c r="H1956" s="2315">
        <f t="shared" si="286"/>
        <v>0</v>
      </c>
      <c r="I1956" s="2836">
        <f t="shared" si="287"/>
        <v>0</v>
      </c>
      <c r="L1956" s="910"/>
      <c r="M1956" s="910"/>
    </row>
    <row r="1957" spans="1:13">
      <c r="A1957" s="2837"/>
      <c r="B1957" s="2763" t="s">
        <v>3930</v>
      </c>
      <c r="C1957" s="2890" t="s">
        <v>159</v>
      </c>
      <c r="D1957" s="302">
        <f>отделка!J396</f>
        <v>3.4000000000000004</v>
      </c>
      <c r="E1957" s="100">
        <f>отделка!K396</f>
        <v>50</v>
      </c>
      <c r="F1957" s="100"/>
      <c r="G1957" s="275">
        <f t="shared" si="285"/>
        <v>170.00000000000003</v>
      </c>
      <c r="H1957" s="2315">
        <f t="shared" si="286"/>
        <v>0</v>
      </c>
      <c r="I1957" s="2836">
        <f t="shared" si="287"/>
        <v>0</v>
      </c>
      <c r="L1957" s="910"/>
      <c r="M1957" s="910"/>
    </row>
    <row r="1958" spans="1:13">
      <c r="A1958" s="2837"/>
      <c r="B1958" s="2763" t="s">
        <v>3931</v>
      </c>
      <c r="C1958" s="2890" t="s">
        <v>159</v>
      </c>
      <c r="D1958" s="302">
        <f>отделка!J397</f>
        <v>3.4000000000000004</v>
      </c>
      <c r="E1958" s="100">
        <f>отделка!K397</f>
        <v>50</v>
      </c>
      <c r="F1958" s="100"/>
      <c r="G1958" s="275">
        <f t="shared" si="285"/>
        <v>170.00000000000003</v>
      </c>
      <c r="H1958" s="2315">
        <f t="shared" si="286"/>
        <v>0</v>
      </c>
      <c r="I1958" s="2836">
        <f t="shared" si="287"/>
        <v>0</v>
      </c>
      <c r="J1958" s="2829"/>
      <c r="K1958" s="2837"/>
    </row>
    <row r="1959" spans="1:13">
      <c r="A1959" s="2837"/>
      <c r="B1959" s="2763" t="s">
        <v>1521</v>
      </c>
      <c r="C1959" s="2890" t="s">
        <v>159</v>
      </c>
      <c r="D1959" s="302">
        <f>отделка!J398</f>
        <v>0</v>
      </c>
      <c r="E1959" s="100">
        <f>отделка!K398</f>
        <v>150</v>
      </c>
      <c r="F1959" s="100"/>
      <c r="G1959" s="275">
        <f t="shared" si="285"/>
        <v>0</v>
      </c>
      <c r="H1959" s="2315">
        <f t="shared" si="286"/>
        <v>0</v>
      </c>
      <c r="I1959" s="2836">
        <f t="shared" si="287"/>
        <v>0</v>
      </c>
      <c r="J1959" s="2829"/>
      <c r="K1959" s="2837"/>
    </row>
    <row r="1960" spans="1:13">
      <c r="A1960" s="2837"/>
      <c r="B1960" s="2763" t="s">
        <v>3932</v>
      </c>
      <c r="C1960" s="2890" t="s">
        <v>159</v>
      </c>
      <c r="D1960" s="302">
        <f>отделка!J399</f>
        <v>0</v>
      </c>
      <c r="E1960" s="100">
        <f>отделка!K399</f>
        <v>250</v>
      </c>
      <c r="F1960" s="100"/>
      <c r="G1960" s="275">
        <f t="shared" si="285"/>
        <v>0</v>
      </c>
      <c r="H1960" s="2315">
        <f t="shared" si="286"/>
        <v>0</v>
      </c>
      <c r="I1960" s="2836">
        <f t="shared" si="287"/>
        <v>0</v>
      </c>
      <c r="J1960" s="2829"/>
      <c r="K1960" s="2837"/>
    </row>
    <row r="1961" spans="1:13">
      <c r="A1961" s="2837"/>
      <c r="B1961" s="2763" t="s">
        <v>3933</v>
      </c>
      <c r="C1961" s="2890" t="s">
        <v>159</v>
      </c>
      <c r="D1961" s="302">
        <f>отделка!J400</f>
        <v>0</v>
      </c>
      <c r="E1961" s="100">
        <f>отделка!K400</f>
        <v>50</v>
      </c>
      <c r="F1961" s="100"/>
      <c r="G1961" s="275">
        <f t="shared" si="285"/>
        <v>0</v>
      </c>
      <c r="H1961" s="2315">
        <f t="shared" si="286"/>
        <v>0</v>
      </c>
      <c r="I1961" s="2836">
        <f t="shared" si="287"/>
        <v>0</v>
      </c>
      <c r="J1961" s="2829"/>
      <c r="K1961" s="2837"/>
    </row>
    <row r="1962" spans="1:13">
      <c r="A1962" s="2837"/>
      <c r="B1962" s="2763" t="s">
        <v>3934</v>
      </c>
      <c r="C1962" s="2890" t="s">
        <v>159</v>
      </c>
      <c r="D1962" s="302">
        <f>отделка!J401</f>
        <v>0</v>
      </c>
      <c r="E1962" s="100">
        <f>отделка!K401</f>
        <v>50</v>
      </c>
      <c r="F1962" s="100"/>
      <c r="G1962" s="275">
        <f t="shared" si="285"/>
        <v>0</v>
      </c>
      <c r="H1962" s="2315">
        <f t="shared" si="286"/>
        <v>0</v>
      </c>
      <c r="I1962" s="2836">
        <f t="shared" si="287"/>
        <v>0</v>
      </c>
      <c r="J1962" s="2829"/>
      <c r="K1962" s="2837"/>
    </row>
    <row r="1963" spans="1:13">
      <c r="A1963" s="2837"/>
      <c r="B1963" s="2763" t="s">
        <v>1525</v>
      </c>
      <c r="C1963" s="2890" t="s">
        <v>156</v>
      </c>
      <c r="D1963" s="302">
        <f>отделка!J402</f>
        <v>0</v>
      </c>
      <c r="E1963" s="100">
        <f>отделка!K402</f>
        <v>50</v>
      </c>
      <c r="F1963" s="100"/>
      <c r="G1963" s="275">
        <f t="shared" si="285"/>
        <v>0</v>
      </c>
      <c r="H1963" s="2315">
        <f t="shared" si="286"/>
        <v>0</v>
      </c>
      <c r="I1963" s="2836">
        <f t="shared" si="287"/>
        <v>0</v>
      </c>
      <c r="J1963" s="2829"/>
      <c r="K1963" s="2837"/>
    </row>
    <row r="1964" spans="1:13">
      <c r="A1964" s="2837"/>
      <c r="B1964" s="2763" t="s">
        <v>1526</v>
      </c>
      <c r="C1964" s="2890" t="s">
        <v>156</v>
      </c>
      <c r="D1964" s="302">
        <f>отделка!J403</f>
        <v>3.4000000000000004</v>
      </c>
      <c r="E1964" s="100">
        <f>отделка!K403</f>
        <v>50</v>
      </c>
      <c r="F1964" s="100"/>
      <c r="G1964" s="275">
        <f t="shared" si="285"/>
        <v>170.00000000000003</v>
      </c>
      <c r="H1964" s="2315">
        <f t="shared" si="286"/>
        <v>0</v>
      </c>
      <c r="I1964" s="2836">
        <f t="shared" si="287"/>
        <v>0</v>
      </c>
      <c r="J1964" s="2829"/>
      <c r="K1964" s="2837"/>
    </row>
    <row r="1965" spans="1:13">
      <c r="A1965" s="2837"/>
      <c r="B1965" s="2763" t="str">
        <f>'Смета Внутр'!B1949</f>
        <v>Двери входные</v>
      </c>
      <c r="C1965" s="2890" t="s">
        <v>159</v>
      </c>
      <c r="D1965" s="302">
        <f>отделка!J404</f>
        <v>0</v>
      </c>
      <c r="E1965" s="100">
        <f>отделка!K404</f>
        <v>2000</v>
      </c>
      <c r="F1965" s="100"/>
      <c r="G1965" s="275">
        <f t="shared" si="285"/>
        <v>0</v>
      </c>
      <c r="H1965" s="2315">
        <f t="shared" si="286"/>
        <v>0</v>
      </c>
      <c r="I1965" s="2836">
        <f t="shared" si="287"/>
        <v>0</v>
      </c>
      <c r="J1965" s="2829"/>
      <c r="K1965" s="2837"/>
    </row>
    <row r="1966" spans="1:13">
      <c r="A1966" s="2837"/>
      <c r="B1966" s="98" t="s">
        <v>3935</v>
      </c>
      <c r="C1966" s="99" t="s">
        <v>159</v>
      </c>
      <c r="D1966" s="302">
        <f>отделка!J405</f>
        <v>0</v>
      </c>
      <c r="E1966" s="100">
        <f>отделка!K405</f>
        <v>4500</v>
      </c>
      <c r="F1966" s="100"/>
      <c r="G1966" s="275">
        <f t="shared" si="285"/>
        <v>0</v>
      </c>
      <c r="H1966" s="2315">
        <f t="shared" si="286"/>
        <v>0</v>
      </c>
      <c r="I1966" s="2836">
        <f t="shared" si="287"/>
        <v>0</v>
      </c>
      <c r="J1966" s="2829"/>
      <c r="K1966" s="2837"/>
    </row>
    <row r="1967" spans="1:13">
      <c r="A1967" s="2837"/>
      <c r="B1967" s="3278" t="s">
        <v>4641</v>
      </c>
      <c r="C1967" s="3278"/>
      <c r="D1967" s="3278"/>
      <c r="E1967" s="3278"/>
      <c r="F1967" s="2868"/>
      <c r="G1967" s="2315">
        <f>SUM(G1954:G1966)*H1953</f>
        <v>0</v>
      </c>
      <c r="H1967" s="2315">
        <f>SUM(H1954:H1966)</f>
        <v>0</v>
      </c>
      <c r="I1967" s="2836">
        <f t="shared" si="287"/>
        <v>0</v>
      </c>
      <c r="J1967" s="2829"/>
      <c r="K1967" s="2837"/>
    </row>
    <row r="1968" spans="1:13" ht="21">
      <c r="A1968" s="2837"/>
      <c r="B1968" s="3282" t="s">
        <v>1235</v>
      </c>
      <c r="C1968" s="3282"/>
      <c r="D1968" s="3282"/>
      <c r="E1968" s="3282"/>
      <c r="F1968" s="2887"/>
      <c r="G1968" s="941"/>
      <c r="H1968" s="2901">
        <f>VLOOKUP('Ввод данных'!F1154,связи1!A2:B3,2,0)</f>
        <v>0</v>
      </c>
      <c r="I1968" s="2940">
        <f>H1968</f>
        <v>0</v>
      </c>
      <c r="J1968" s="2829"/>
      <c r="K1968" s="2837"/>
    </row>
    <row r="1969" spans="1:12">
      <c r="A1969" s="2829"/>
      <c r="B1969" s="3285" t="s">
        <v>2720</v>
      </c>
      <c r="C1969" s="3285"/>
      <c r="D1969" s="3285"/>
      <c r="E1969" s="3285"/>
      <c r="F1969" s="2902"/>
      <c r="G1969" s="941"/>
      <c r="H1969" s="2903">
        <f>H1968</f>
        <v>0</v>
      </c>
      <c r="I1969" s="2940">
        <f>H1969</f>
        <v>0</v>
      </c>
      <c r="J1969" s="2850"/>
      <c r="K1969" s="2851"/>
    </row>
    <row r="1970" spans="1:12">
      <c r="A1970" s="2829"/>
      <c r="B1970" s="302" t="s">
        <v>1237</v>
      </c>
      <c r="C1970" s="2890" t="s">
        <v>159</v>
      </c>
      <c r="D1970" s="302">
        <f>отделка!C426</f>
        <v>18</v>
      </c>
      <c r="E1970" s="100">
        <f>отделка!D426</f>
        <v>400</v>
      </c>
      <c r="F1970" s="100"/>
      <c r="G1970" s="275">
        <f t="shared" ref="G1970:G1979" si="288">IF(F1970&gt;0,D1970*F1970,E1970*D1970)</f>
        <v>7200</v>
      </c>
      <c r="H1970" s="96">
        <f t="shared" ref="H1970:H1979" si="289">D1970*E1970*$H$1969</f>
        <v>0</v>
      </c>
      <c r="I1970" s="2911">
        <f t="shared" ref="I1970:I1980" si="290">IF(G1970&gt;H1970,G1970,H1970)*$H$1968</f>
        <v>0</v>
      </c>
      <c r="J1970" s="2863"/>
      <c r="K1970" s="223">
        <f t="shared" ref="K1970:K1980" si="291">D1970-J1970</f>
        <v>18</v>
      </c>
      <c r="L1970" s="2854"/>
    </row>
    <row r="1971" spans="1:12">
      <c r="A1971" s="2837"/>
      <c r="B1971" s="302" t="s">
        <v>1238</v>
      </c>
      <c r="C1971" s="2890" t="s">
        <v>159</v>
      </c>
      <c r="D1971" s="302">
        <f>отделка!C427</f>
        <v>1</v>
      </c>
      <c r="E1971" s="100">
        <f>отделка!D427</f>
        <v>2000</v>
      </c>
      <c r="F1971" s="100"/>
      <c r="G1971" s="275">
        <f t="shared" si="288"/>
        <v>2000</v>
      </c>
      <c r="H1971" s="96">
        <f t="shared" si="289"/>
        <v>0</v>
      </c>
      <c r="I1971" s="2911">
        <f t="shared" si="290"/>
        <v>0</v>
      </c>
      <c r="J1971" s="2863"/>
      <c r="K1971" s="223">
        <f t="shared" si="291"/>
        <v>1</v>
      </c>
      <c r="L1971" s="2854"/>
    </row>
    <row r="1972" spans="1:12">
      <c r="A1972" s="2837"/>
      <c r="B1972" s="302" t="s">
        <v>1239</v>
      </c>
      <c r="C1972" s="2890" t="s">
        <v>159</v>
      </c>
      <c r="D1972" s="302">
        <f>отделка!C428</f>
        <v>4</v>
      </c>
      <c r="E1972" s="100">
        <f>отделка!D428</f>
        <v>1000</v>
      </c>
      <c r="F1972" s="100"/>
      <c r="G1972" s="275">
        <f t="shared" si="288"/>
        <v>4000</v>
      </c>
      <c r="H1972" s="96">
        <f t="shared" si="289"/>
        <v>0</v>
      </c>
      <c r="I1972" s="2911">
        <f t="shared" si="290"/>
        <v>0</v>
      </c>
      <c r="J1972" s="2863"/>
      <c r="K1972" s="223">
        <f t="shared" si="291"/>
        <v>4</v>
      </c>
      <c r="L1972" s="2854"/>
    </row>
    <row r="1973" spans="1:12">
      <c r="A1973" s="2837"/>
      <c r="B1973" s="302" t="s">
        <v>1240</v>
      </c>
      <c r="C1973" s="2890" t="s">
        <v>159</v>
      </c>
      <c r="D1973" s="302">
        <f>отделка!C429</f>
        <v>1</v>
      </c>
      <c r="E1973" s="100">
        <f>отделка!D429</f>
        <v>900</v>
      </c>
      <c r="F1973" s="100"/>
      <c r="G1973" s="275">
        <f t="shared" si="288"/>
        <v>900</v>
      </c>
      <c r="H1973" s="96">
        <f t="shared" si="289"/>
        <v>0</v>
      </c>
      <c r="I1973" s="2911">
        <f t="shared" si="290"/>
        <v>0</v>
      </c>
      <c r="J1973" s="2863"/>
      <c r="K1973" s="223">
        <f t="shared" si="291"/>
        <v>1</v>
      </c>
      <c r="L1973" s="2854"/>
    </row>
    <row r="1974" spans="1:12">
      <c r="A1974" s="2837"/>
      <c r="B1974" s="302" t="s">
        <v>1241</v>
      </c>
      <c r="C1974" s="2890" t="s">
        <v>159</v>
      </c>
      <c r="D1974" s="302">
        <f>отделка!C430</f>
        <v>2</v>
      </c>
      <c r="E1974" s="100">
        <f>отделка!D430</f>
        <v>500</v>
      </c>
      <c r="F1974" s="100"/>
      <c r="G1974" s="275">
        <f t="shared" si="288"/>
        <v>1000</v>
      </c>
      <c r="H1974" s="96">
        <f t="shared" si="289"/>
        <v>0</v>
      </c>
      <c r="I1974" s="2911">
        <f t="shared" si="290"/>
        <v>0</v>
      </c>
      <c r="J1974" s="2863"/>
      <c r="K1974" s="223">
        <f t="shared" si="291"/>
        <v>2</v>
      </c>
      <c r="L1974" s="2854"/>
    </row>
    <row r="1975" spans="1:12">
      <c r="A1975" s="2837"/>
      <c r="B1975" s="302" t="s">
        <v>1242</v>
      </c>
      <c r="C1975" s="2890" t="s">
        <v>159</v>
      </c>
      <c r="D1975" s="302">
        <f>отделка!C431</f>
        <v>4</v>
      </c>
      <c r="E1975" s="100">
        <f>отделка!D431</f>
        <v>1500</v>
      </c>
      <c r="F1975" s="100"/>
      <c r="G1975" s="275">
        <f t="shared" si="288"/>
        <v>6000</v>
      </c>
      <c r="H1975" s="96">
        <f t="shared" si="289"/>
        <v>0</v>
      </c>
      <c r="I1975" s="2911">
        <f t="shared" si="290"/>
        <v>0</v>
      </c>
      <c r="J1975" s="2863"/>
      <c r="K1975" s="223">
        <f t="shared" si="291"/>
        <v>4</v>
      </c>
      <c r="L1975" s="2854"/>
    </row>
    <row r="1976" spans="1:12">
      <c r="A1976" s="2837"/>
      <c r="B1976" s="302" t="s">
        <v>1243</v>
      </c>
      <c r="C1976" s="2890" t="s">
        <v>159</v>
      </c>
      <c r="D1976" s="302">
        <f>отделка!C432</f>
        <v>108</v>
      </c>
      <c r="E1976" s="100">
        <f>отделка!D432</f>
        <v>15</v>
      </c>
      <c r="F1976" s="100"/>
      <c r="G1976" s="275">
        <f t="shared" si="288"/>
        <v>1620</v>
      </c>
      <c r="H1976" s="96">
        <f t="shared" si="289"/>
        <v>0</v>
      </c>
      <c r="I1976" s="2911">
        <f t="shared" si="290"/>
        <v>0</v>
      </c>
      <c r="J1976" s="2863"/>
      <c r="K1976" s="223">
        <f t="shared" si="291"/>
        <v>108</v>
      </c>
      <c r="L1976" s="2854"/>
    </row>
    <row r="1977" spans="1:12">
      <c r="A1977" s="2837"/>
      <c r="B1977" s="302" t="s">
        <v>1244</v>
      </c>
      <c r="C1977" s="2890" t="s">
        <v>159</v>
      </c>
      <c r="D1977" s="302">
        <f>отделка!C433</f>
        <v>8</v>
      </c>
      <c r="E1977" s="100">
        <f>отделка!D433</f>
        <v>20</v>
      </c>
      <c r="F1977" s="100"/>
      <c r="G1977" s="275">
        <f t="shared" si="288"/>
        <v>160</v>
      </c>
      <c r="H1977" s="96">
        <f t="shared" si="289"/>
        <v>0</v>
      </c>
      <c r="I1977" s="2911">
        <f t="shared" si="290"/>
        <v>0</v>
      </c>
      <c r="J1977" s="2863"/>
      <c r="K1977" s="223">
        <f t="shared" si="291"/>
        <v>8</v>
      </c>
      <c r="L1977" s="2854"/>
    </row>
    <row r="1978" spans="1:12">
      <c r="A1978" s="2837"/>
      <c r="B1978" s="302" t="s">
        <v>1245</v>
      </c>
      <c r="C1978" s="2890" t="s">
        <v>159</v>
      </c>
      <c r="D1978" s="302">
        <f>отделка!C434</f>
        <v>4</v>
      </c>
      <c r="E1978" s="100">
        <f>отделка!D434</f>
        <v>200</v>
      </c>
      <c r="F1978" s="100"/>
      <c r="G1978" s="275">
        <f t="shared" si="288"/>
        <v>800</v>
      </c>
      <c r="H1978" s="96">
        <f t="shared" si="289"/>
        <v>0</v>
      </c>
      <c r="I1978" s="2911">
        <f t="shared" si="290"/>
        <v>0</v>
      </c>
      <c r="J1978" s="2863"/>
      <c r="K1978" s="223">
        <f t="shared" si="291"/>
        <v>4</v>
      </c>
      <c r="L1978" s="2854"/>
    </row>
    <row r="1979" spans="1:12">
      <c r="A1979" s="2837"/>
      <c r="B1979" s="302" t="s">
        <v>1246</v>
      </c>
      <c r="C1979" s="2890" t="s">
        <v>159</v>
      </c>
      <c r="D1979" s="302">
        <f>отделка!C435</f>
        <v>25</v>
      </c>
      <c r="E1979" s="100">
        <f>отделка!D435</f>
        <v>100</v>
      </c>
      <c r="F1979" s="100"/>
      <c r="G1979" s="275">
        <f t="shared" si="288"/>
        <v>2500</v>
      </c>
      <c r="H1979" s="96">
        <f t="shared" si="289"/>
        <v>0</v>
      </c>
      <c r="I1979" s="2911">
        <f t="shared" si="290"/>
        <v>0</v>
      </c>
      <c r="J1979" s="2863"/>
      <c r="K1979" s="223">
        <f t="shared" si="291"/>
        <v>25</v>
      </c>
      <c r="L1979" s="2854"/>
    </row>
    <row r="1980" spans="1:12">
      <c r="A1980" s="2837"/>
      <c r="B1980" s="3278" t="s">
        <v>4640</v>
      </c>
      <c r="C1980" s="3278"/>
      <c r="D1980" s="3278"/>
      <c r="E1980" s="3278"/>
      <c r="F1980" s="2868"/>
      <c r="G1980" s="2315">
        <f>SUM(G1970:G1979)*H1968</f>
        <v>0</v>
      </c>
      <c r="H1980" s="2315">
        <f>SUM(H1970:H1979)</f>
        <v>0</v>
      </c>
      <c r="I1980" s="2911">
        <f t="shared" si="290"/>
        <v>0</v>
      </c>
      <c r="J1980" s="2863"/>
      <c r="K1980" s="223">
        <f t="shared" si="291"/>
        <v>0</v>
      </c>
      <c r="L1980" s="2854"/>
    </row>
    <row r="1981" spans="1:12">
      <c r="A1981" s="2837"/>
      <c r="B1981" s="3279" t="s">
        <v>1409</v>
      </c>
      <c r="C1981" s="3279"/>
      <c r="D1981" s="3279"/>
      <c r="E1981" s="3279"/>
      <c r="F1981" s="2870"/>
      <c r="G1981" s="941"/>
      <c r="H1981" s="2891">
        <f>H1968</f>
        <v>0</v>
      </c>
      <c r="I1981" s="2940">
        <f>H1981</f>
        <v>0</v>
      </c>
      <c r="J1981" s="2892"/>
      <c r="K1981" s="2893"/>
    </row>
    <row r="1982" spans="1:12">
      <c r="A1982" s="2829"/>
      <c r="B1982" s="2763" t="s">
        <v>4667</v>
      </c>
      <c r="C1982" s="2890" t="s">
        <v>159</v>
      </c>
      <c r="D1982" s="302">
        <f>отделка!I426</f>
        <v>1</v>
      </c>
      <c r="E1982" s="100">
        <f>отделка!J426</f>
        <v>20000</v>
      </c>
      <c r="F1982" s="100"/>
      <c r="G1982" s="275">
        <f>IF(F1982&gt;0,D1982*F1982,E1982*D1982)</f>
        <v>20000</v>
      </c>
      <c r="H1982" s="96">
        <f>D1982*E1982*$H$1981</f>
        <v>0</v>
      </c>
      <c r="I1982" s="2836">
        <f>IF(G1982&gt;H1982,G1982,H1982)*$H$1968</f>
        <v>0</v>
      </c>
      <c r="J1982" s="2829"/>
      <c r="K1982" s="2837"/>
    </row>
    <row r="1983" spans="1:12">
      <c r="A1983" s="2837"/>
      <c r="B1983" s="3278" t="s">
        <v>4641</v>
      </c>
      <c r="C1983" s="3278"/>
      <c r="D1983" s="3278"/>
      <c r="E1983" s="3278"/>
      <c r="F1983" s="2868"/>
      <c r="G1983" s="2315">
        <f>SUM(G1982:G1982)*H1981</f>
        <v>0</v>
      </c>
      <c r="H1983" s="2315">
        <f>SUM(H1982:H1982)</f>
        <v>0</v>
      </c>
      <c r="I1983" s="2836">
        <f>IF(G1983&gt;H1983,G1983,H1983)*$H$1968</f>
        <v>0</v>
      </c>
      <c r="J1983" s="2829"/>
      <c r="K1983" s="2837"/>
    </row>
    <row r="1984" spans="1:12" ht="21">
      <c r="A1984" s="2837"/>
      <c r="B1984" s="3283" t="s">
        <v>3982</v>
      </c>
      <c r="C1984" s="3283"/>
      <c r="D1984" s="3283"/>
      <c r="E1984" s="3283"/>
      <c r="F1984" s="3283"/>
      <c r="G1984" s="3283"/>
      <c r="H1984" s="2896">
        <f>VLOOKUP('Ввод данных'!F1126,связи1!A2:B3,2,0)</f>
        <v>0</v>
      </c>
      <c r="I1984" s="2836"/>
      <c r="J1984" s="2850"/>
      <c r="K1984" s="2851"/>
    </row>
    <row r="1985" spans="1:12">
      <c r="A1985" s="2837"/>
      <c r="B1985" s="3298" t="s">
        <v>2720</v>
      </c>
      <c r="C1985" s="3298"/>
      <c r="D1985" s="3298"/>
      <c r="E1985" s="3298"/>
      <c r="F1985" s="3298"/>
      <c r="G1985" s="3298"/>
      <c r="H1985" s="2960">
        <f>H1984</f>
        <v>0</v>
      </c>
      <c r="I1985" s="2911"/>
      <c r="J1985" s="31"/>
      <c r="K1985" s="2506"/>
      <c r="L1985" s="2854"/>
    </row>
    <row r="1986" spans="1:12">
      <c r="A1986" s="2837"/>
      <c r="B1986" s="2898" t="str">
        <f>отделка!A748</f>
        <v>Арматура А1 8 мм</v>
      </c>
      <c r="C1986" s="2961" t="s">
        <v>156</v>
      </c>
      <c r="D1986" s="2961">
        <f>отделка!D748</f>
        <v>52</v>
      </c>
      <c r="E1986" s="35">
        <f>отделка!C748</f>
        <v>17.538</v>
      </c>
      <c r="F1986" s="2868"/>
      <c r="G1986" s="275">
        <f t="shared" ref="G1986:G1993" si="292">IF(F1986&gt;0,D1986*F1986,E1986*D1986)</f>
        <v>911.976</v>
      </c>
      <c r="H1986" s="96">
        <f t="shared" ref="H1986:H1993" si="293">D1986*E1986*$H$1984</f>
        <v>0</v>
      </c>
      <c r="I1986" s="2911">
        <f t="shared" ref="I1986:I1994" si="294">IF(G1986&gt;H1986,G1986,H1986)*$H$1984</f>
        <v>0</v>
      </c>
      <c r="J1986" s="2863"/>
      <c r="K1986" s="223">
        <f t="shared" ref="K1986:K1993" si="295">D1986-J1986</f>
        <v>52</v>
      </c>
      <c r="L1986" s="2854"/>
    </row>
    <row r="1987" spans="1:12">
      <c r="A1987" s="2837"/>
      <c r="B1987" s="2898" t="str">
        <f>отделка!A750</f>
        <v>Доска 50/150</v>
      </c>
      <c r="C1987" s="2961" t="s">
        <v>156</v>
      </c>
      <c r="D1987" s="35">
        <f>отделка!D750</f>
        <v>10</v>
      </c>
      <c r="E1987" s="35">
        <f>отделка!C750</f>
        <v>67.5</v>
      </c>
      <c r="F1987" s="2868"/>
      <c r="G1987" s="275">
        <f t="shared" si="292"/>
        <v>675</v>
      </c>
      <c r="H1987" s="96">
        <f t="shared" si="293"/>
        <v>0</v>
      </c>
      <c r="I1987" s="2911">
        <f t="shared" si="294"/>
        <v>0</v>
      </c>
      <c r="J1987" s="2863"/>
      <c r="K1987" s="223">
        <f t="shared" si="295"/>
        <v>10</v>
      </c>
      <c r="L1987" s="2854"/>
    </row>
    <row r="1988" spans="1:12">
      <c r="A1988" s="2837"/>
      <c r="B1988" s="2898" t="str">
        <f>отделка!A751</f>
        <v>OSB-3 КНР (для наружных работ), 12мм</v>
      </c>
      <c r="C1988" s="2961" t="s">
        <v>133</v>
      </c>
      <c r="D1988" s="35">
        <f>отделка!D751</f>
        <v>7</v>
      </c>
      <c r="E1988" s="35">
        <f>отделка!C751</f>
        <v>245</v>
      </c>
      <c r="F1988" s="2868"/>
      <c r="G1988" s="275">
        <f t="shared" si="292"/>
        <v>1715</v>
      </c>
      <c r="H1988" s="96">
        <f t="shared" si="293"/>
        <v>0</v>
      </c>
      <c r="I1988" s="2911">
        <f t="shared" si="294"/>
        <v>0</v>
      </c>
      <c r="J1988" s="2863"/>
      <c r="K1988" s="223">
        <f t="shared" si="295"/>
        <v>7</v>
      </c>
      <c r="L1988" s="2854"/>
    </row>
    <row r="1989" spans="1:12">
      <c r="A1989" s="2837"/>
      <c r="B1989" s="2898" t="str">
        <f>отделка!A752</f>
        <v>Бетон, м350</v>
      </c>
      <c r="C1989" s="2961" t="s">
        <v>135</v>
      </c>
      <c r="D1989" s="35">
        <f>отделка!D752</f>
        <v>0.42399999999999999</v>
      </c>
      <c r="E1989" s="35">
        <f>отделка!C752</f>
        <v>3500</v>
      </c>
      <c r="F1989" s="2868"/>
      <c r="G1989" s="275">
        <f t="shared" si="292"/>
        <v>1484</v>
      </c>
      <c r="H1989" s="96">
        <f t="shared" si="293"/>
        <v>0</v>
      </c>
      <c r="I1989" s="2911">
        <f t="shared" si="294"/>
        <v>0</v>
      </c>
      <c r="J1989" s="2863"/>
      <c r="K1989" s="223">
        <f t="shared" si="295"/>
        <v>0.42399999999999999</v>
      </c>
      <c r="L1989" s="2854"/>
    </row>
    <row r="1990" spans="1:12">
      <c r="A1990" s="2837"/>
      <c r="B1990" s="2898" t="str">
        <f>отделка!A753</f>
        <v xml:space="preserve">Саморезы 3,5 x 55            </v>
      </c>
      <c r="C1990" s="2961" t="s">
        <v>188</v>
      </c>
      <c r="D1990" s="35">
        <f>отделка!D753</f>
        <v>1</v>
      </c>
      <c r="E1990" s="35">
        <f>отделка!C753</f>
        <v>105.62</v>
      </c>
      <c r="F1990" s="2868"/>
      <c r="G1990" s="275">
        <f t="shared" si="292"/>
        <v>105.62</v>
      </c>
      <c r="H1990" s="96">
        <f t="shared" si="293"/>
        <v>0</v>
      </c>
      <c r="I1990" s="2911">
        <f t="shared" si="294"/>
        <v>0</v>
      </c>
      <c r="J1990" s="2863"/>
      <c r="K1990" s="223">
        <f t="shared" si="295"/>
        <v>1</v>
      </c>
      <c r="L1990" s="2854"/>
    </row>
    <row r="1991" spans="1:12">
      <c r="A1991" s="2837"/>
      <c r="B1991" s="2898" t="str">
        <f>отделка!A754</f>
        <v>Нет техники</v>
      </c>
      <c r="C1991" s="2961" t="s">
        <v>154</v>
      </c>
      <c r="D1991" s="35">
        <f>отделка!D754</f>
        <v>0</v>
      </c>
      <c r="E1991" s="35">
        <f>отделка!C754</f>
        <v>0</v>
      </c>
      <c r="F1991" s="2868"/>
      <c r="G1991" s="275">
        <f t="shared" si="292"/>
        <v>0</v>
      </c>
      <c r="H1991" s="96">
        <f t="shared" si="293"/>
        <v>0</v>
      </c>
      <c r="I1991" s="2911">
        <f t="shared" si="294"/>
        <v>0</v>
      </c>
      <c r="J1991" s="2863"/>
      <c r="K1991" s="223">
        <f t="shared" si="295"/>
        <v>0</v>
      </c>
      <c r="L1991" s="2854"/>
    </row>
    <row r="1992" spans="1:12">
      <c r="A1992" s="2837"/>
      <c r="B1992" s="2898" t="str">
        <f>отделка!A755</f>
        <v>Манипулятор 5т</v>
      </c>
      <c r="C1992" s="2961" t="s">
        <v>799</v>
      </c>
      <c r="D1992" s="35">
        <f>отделка!D755</f>
        <v>3</v>
      </c>
      <c r="E1992" s="35">
        <f>отделка!C755</f>
        <v>2500</v>
      </c>
      <c r="F1992" s="2868"/>
      <c r="G1992" s="275">
        <f t="shared" si="292"/>
        <v>7500</v>
      </c>
      <c r="H1992" s="96">
        <f t="shared" si="293"/>
        <v>0</v>
      </c>
      <c r="I1992" s="2911">
        <f t="shared" si="294"/>
        <v>0</v>
      </c>
      <c r="J1992" s="2863"/>
      <c r="K1992" s="223">
        <f t="shared" si="295"/>
        <v>3</v>
      </c>
      <c r="L1992" s="2854"/>
    </row>
    <row r="1993" spans="1:12">
      <c r="A1993" s="2837"/>
      <c r="B1993" s="2898" t="str">
        <f>отделка!A756</f>
        <v>Доп. Расходы</v>
      </c>
      <c r="C1993" s="2961" t="s">
        <v>2432</v>
      </c>
      <c r="D1993" s="2961">
        <v>1</v>
      </c>
      <c r="E1993" s="35">
        <f>отделка!C756</f>
        <v>2000</v>
      </c>
      <c r="F1993" s="2868"/>
      <c r="G1993" s="275">
        <f t="shared" si="292"/>
        <v>2000</v>
      </c>
      <c r="H1993" s="96">
        <f t="shared" si="293"/>
        <v>0</v>
      </c>
      <c r="I1993" s="2911">
        <f t="shared" si="294"/>
        <v>0</v>
      </c>
      <c r="J1993" s="2863"/>
      <c r="K1993" s="223">
        <f t="shared" si="295"/>
        <v>1</v>
      </c>
      <c r="L1993" s="2854"/>
    </row>
    <row r="1994" spans="1:12">
      <c r="A1994" s="2837"/>
      <c r="B1994" s="3278" t="s">
        <v>4640</v>
      </c>
      <c r="C1994" s="3278"/>
      <c r="D1994" s="3278"/>
      <c r="E1994" s="3278"/>
      <c r="F1994" s="2920"/>
      <c r="G1994" s="2315">
        <f>SUM(G1986:G1993)</f>
        <v>14391.596000000001</v>
      </c>
      <c r="H1994" s="2315">
        <f>SUM(H1986:H1993)</f>
        <v>0</v>
      </c>
      <c r="I1994" s="2836">
        <f t="shared" si="294"/>
        <v>0</v>
      </c>
      <c r="J1994" s="2892"/>
      <c r="K1994" s="2893"/>
    </row>
    <row r="1995" spans="1:12">
      <c r="A1995" s="2837"/>
      <c r="B1995" s="3286" t="s">
        <v>1409</v>
      </c>
      <c r="C1995" s="3286"/>
      <c r="D1995" s="3286"/>
      <c r="E1995" s="3286"/>
      <c r="F1995" s="3286"/>
      <c r="G1995" s="3286"/>
      <c r="H1995" s="2896">
        <f>H1984</f>
        <v>0</v>
      </c>
      <c r="I1995" s="2836"/>
      <c r="J1995" s="2850"/>
      <c r="K1995" s="2851"/>
    </row>
    <row r="1996" spans="1:12">
      <c r="A1996" s="2837"/>
      <c r="B1996" s="2898" t="str">
        <f>отделка!A757</f>
        <v>Монтаж лестницы</v>
      </c>
      <c r="C1996" s="2961" t="s">
        <v>2432</v>
      </c>
      <c r="D1996" s="2961">
        <v>1</v>
      </c>
      <c r="E1996" s="35">
        <f>отделка!C757</f>
        <v>50000</v>
      </c>
      <c r="F1996" s="2868"/>
      <c r="G1996" s="275">
        <f>IF(F1996&gt;0,D1996*F1996,E1996*D1996)</f>
        <v>50000</v>
      </c>
      <c r="H1996" s="96">
        <f>D1996*E1996*$H$1995</f>
        <v>0</v>
      </c>
      <c r="I1996" s="2911">
        <f>IF(G1996&gt;H1996,G1996,H1996)*$H$1995</f>
        <v>0</v>
      </c>
      <c r="J1996" s="31"/>
      <c r="K1996" s="2962"/>
      <c r="L1996" s="2854"/>
    </row>
    <row r="1997" spans="1:12">
      <c r="A1997" s="2837"/>
      <c r="B1997" s="3278" t="s">
        <v>4641</v>
      </c>
      <c r="C1997" s="3278"/>
      <c r="D1997" s="3278"/>
      <c r="E1997" s="3278"/>
      <c r="F1997" s="2920"/>
      <c r="G1997" s="2315">
        <f>SUM(G1996)</f>
        <v>50000</v>
      </c>
      <c r="H1997" s="2315">
        <f>SUM(H1996)</f>
        <v>0</v>
      </c>
      <c r="I1997" s="2911">
        <f>IF(G1997&gt;H1997,G1997,H1997)*$H$1995</f>
        <v>0</v>
      </c>
      <c r="J1997" s="2892"/>
      <c r="K1997" s="2893"/>
    </row>
    <row r="1998" spans="1:12" ht="21">
      <c r="A1998" s="2837"/>
      <c r="B1998" s="3291" t="s">
        <v>4668</v>
      </c>
      <c r="C1998" s="3291"/>
      <c r="D1998" s="3291"/>
      <c r="E1998" s="3291"/>
      <c r="F1998" s="3291"/>
      <c r="G1998" s="3291"/>
      <c r="H1998" s="2896">
        <f>VLOOKUP('Ввод данных'!F1146,связи1!A2:B3,2,0)</f>
        <v>0</v>
      </c>
      <c r="I1998" s="2836"/>
      <c r="J1998" s="2892"/>
      <c r="K1998" s="2893"/>
    </row>
    <row r="1999" spans="1:12">
      <c r="A1999" s="2837"/>
      <c r="B1999" s="3298" t="s">
        <v>2720</v>
      </c>
      <c r="C1999" s="3298"/>
      <c r="D1999" s="3298"/>
      <c r="E1999" s="3298"/>
      <c r="F1999" s="3298"/>
      <c r="G1999" s="3298"/>
      <c r="H1999" s="2963">
        <f>H1998</f>
        <v>0</v>
      </c>
      <c r="I1999" s="2836"/>
      <c r="J1999" s="2964"/>
      <c r="K1999" s="2965"/>
    </row>
    <row r="2000" spans="1:12">
      <c r="A2000" s="2837"/>
      <c r="B2000" s="2966" t="str">
        <f>'Ввод данных'!A1147</f>
        <v>Бетонная лестница 2</v>
      </c>
      <c r="C2000" s="2961" t="s">
        <v>799</v>
      </c>
      <c r="D2000" s="2961">
        <f>'Ввод данных'!B1147</f>
        <v>1</v>
      </c>
      <c r="E2000" s="2961">
        <f>VLOOKUP(B2000,'Прайс лист'!B115:G124,6,0)*D2000</f>
        <v>30000</v>
      </c>
      <c r="F2000" s="2868"/>
      <c r="G2000" s="275">
        <f>IF(F2000&gt;0,D2000*F2000,E2000*D2000)</f>
        <v>30000</v>
      </c>
      <c r="H2000" s="96">
        <f>D2000*E2000*$H$1998</f>
        <v>0</v>
      </c>
      <c r="I2000" s="2836">
        <f t="shared" ref="I2000:I2005" si="296">IF(G2000&gt;H2000,G2000,H2000)*$H$1998</f>
        <v>0</v>
      </c>
      <c r="J2000" s="2863"/>
      <c r="K2000" s="223">
        <f>D2000-J2000</f>
        <v>1</v>
      </c>
      <c r="L2000" s="2854"/>
    </row>
    <row r="2001" spans="1:12">
      <c r="A2001" s="2837"/>
      <c r="B2001" s="2966" t="str">
        <f>'Ввод данных'!A1148</f>
        <v xml:space="preserve">Нет </v>
      </c>
      <c r="C2001" s="2961" t="s">
        <v>799</v>
      </c>
      <c r="D2001" s="2961">
        <f>'Ввод данных'!B1148</f>
        <v>2</v>
      </c>
      <c r="E2001" s="2961">
        <f>VLOOKUP(B2001,'Прайс лист'!B115:G124,5,0)*D2001</f>
        <v>0</v>
      </c>
      <c r="F2001" s="2868"/>
      <c r="G2001" s="275">
        <f>IF(F2001&gt;0,D2001*F2001,E2001*D2001)</f>
        <v>0</v>
      </c>
      <c r="H2001" s="96">
        <f>D2001*E2001*$H$1998</f>
        <v>0</v>
      </c>
      <c r="I2001" s="2836">
        <f t="shared" si="296"/>
        <v>0</v>
      </c>
      <c r="J2001" s="2863"/>
      <c r="K2001" s="223">
        <f>D2001-J2001</f>
        <v>2</v>
      </c>
      <c r="L2001" s="2854"/>
    </row>
    <row r="2002" spans="1:12">
      <c r="A2002" s="2837"/>
      <c r="B2002" s="2966" t="str">
        <f>'Ввод данных'!A1149</f>
        <v>Доп. Расходы</v>
      </c>
      <c r="C2002" s="2961" t="s">
        <v>2432</v>
      </c>
      <c r="D2002" s="910">
        <v>1</v>
      </c>
      <c r="E2002" s="2961">
        <f>'Ввод данных'!C1149</f>
        <v>2000</v>
      </c>
      <c r="F2002" s="2868"/>
      <c r="G2002" s="275">
        <f>IF(F2002&gt;0,D2002*F2002,E2002*D2002)</f>
        <v>2000</v>
      </c>
      <c r="H2002" s="96">
        <f>D2002*E2002*$H$1998</f>
        <v>0</v>
      </c>
      <c r="I2002" s="2836">
        <f t="shared" si="296"/>
        <v>0</v>
      </c>
      <c r="J2002" s="2863"/>
      <c r="K2002" s="223">
        <f>E2002-J2002</f>
        <v>2000</v>
      </c>
      <c r="L2002" s="2854"/>
    </row>
    <row r="2003" spans="1:12">
      <c r="A2003" s="2837"/>
      <c r="B2003" s="2966" t="str">
        <f>'Ввод данных'!A1150</f>
        <v>Нет техники</v>
      </c>
      <c r="C2003" s="2961" t="s">
        <v>154</v>
      </c>
      <c r="D2003" s="2961">
        <f>'Ввод данных'!C1150</f>
        <v>0</v>
      </c>
      <c r="E2003" s="2961">
        <f>VLOOKUP(B2003,'Прайс лист'!B180:G194,6,0)</f>
        <v>0</v>
      </c>
      <c r="F2003" s="2868"/>
      <c r="G2003" s="275">
        <f>IF(F2003&gt;0,D2003*F2003,E2003*D2003)</f>
        <v>0</v>
      </c>
      <c r="H2003" s="96">
        <f>D2003*E2003*$H$1998</f>
        <v>0</v>
      </c>
      <c r="I2003" s="2836">
        <f t="shared" si="296"/>
        <v>0</v>
      </c>
      <c r="J2003" s="2863"/>
      <c r="K2003" s="223">
        <f>D2003-J2003</f>
        <v>0</v>
      </c>
      <c r="L2003" s="2854"/>
    </row>
    <row r="2004" spans="1:12">
      <c r="A2004" s="2837"/>
      <c r="B2004" s="2966" t="str">
        <f>'Ввод данных'!A1151</f>
        <v>Нет техники</v>
      </c>
      <c r="C2004" s="2961" t="s">
        <v>799</v>
      </c>
      <c r="D2004" s="2961">
        <f>'Ввод данных'!C1151</f>
        <v>3</v>
      </c>
      <c r="E2004" s="2961">
        <f>VLOOKUP(B2004,'Прайс лист'!B180:G194,6,0)</f>
        <v>0</v>
      </c>
      <c r="F2004" s="2868"/>
      <c r="G2004" s="275">
        <f>IF(F2004&gt;0,D2004*F2004,E2004*D2004)</f>
        <v>0</v>
      </c>
      <c r="H2004" s="96">
        <f>D2004*E2004*$H$1998</f>
        <v>0</v>
      </c>
      <c r="I2004" s="2836">
        <f t="shared" si="296"/>
        <v>0</v>
      </c>
      <c r="J2004" s="2863"/>
      <c r="K2004" s="223">
        <f>D2004-J2004</f>
        <v>3</v>
      </c>
      <c r="L2004" s="2854"/>
    </row>
    <row r="2005" spans="1:12">
      <c r="A2005" s="2837"/>
      <c r="B2005" s="3278" t="s">
        <v>4640</v>
      </c>
      <c r="C2005" s="3278"/>
      <c r="D2005" s="3278"/>
      <c r="E2005" s="3278"/>
      <c r="F2005" s="2920"/>
      <c r="G2005" s="2315">
        <f>SUM(G2000:G2004)</f>
        <v>32000</v>
      </c>
      <c r="H2005" s="96">
        <f>SUM(H2000:H2004)</f>
        <v>0</v>
      </c>
      <c r="I2005" s="2836">
        <f t="shared" si="296"/>
        <v>0</v>
      </c>
      <c r="J2005" s="2892"/>
      <c r="K2005" s="2893"/>
    </row>
    <row r="2006" spans="1:12">
      <c r="A2006" s="2837"/>
      <c r="B2006" s="3299" t="s">
        <v>1409</v>
      </c>
      <c r="C2006" s="3299"/>
      <c r="D2006" s="3299"/>
      <c r="E2006" s="3299"/>
      <c r="F2006" s="3299"/>
      <c r="G2006" s="3299"/>
      <c r="H2006" s="2896">
        <f>H1998</f>
        <v>0</v>
      </c>
      <c r="I2006" s="2836"/>
      <c r="J2006" s="2892"/>
      <c r="K2006" s="2893"/>
    </row>
    <row r="2007" spans="1:12">
      <c r="A2007" s="2837"/>
      <c r="B2007" s="2966" t="str">
        <f>'Ввод данных'!A1152</f>
        <v>Монтаж готовой бетонной лестницы 2</v>
      </c>
      <c r="C2007" s="2941" t="s">
        <v>2432</v>
      </c>
      <c r="D2007" s="2961">
        <f>'Ввод данных'!C1152</f>
        <v>1</v>
      </c>
      <c r="E2007" s="2961">
        <f>VLOOKUP(B2007,'Прайс лист'!B1891:G1899,6,0)</f>
        <v>10000</v>
      </c>
      <c r="F2007" s="2959"/>
      <c r="G2007" s="275">
        <f>IF(F2007&gt;0,D2007*F2007,E2007*D2007)</f>
        <v>10000</v>
      </c>
      <c r="H2007" s="96">
        <f>D2007*E2007*$H$1998</f>
        <v>0</v>
      </c>
      <c r="I2007" s="2836">
        <f>IF(G2007&gt;H2007,G2007,H2007)*$H$1998</f>
        <v>0</v>
      </c>
      <c r="J2007" s="2892"/>
      <c r="K2007" s="2893"/>
    </row>
    <row r="2008" spans="1:12">
      <c r="A2008" s="2837"/>
      <c r="B2008" s="3278" t="s">
        <v>4641</v>
      </c>
      <c r="C2008" s="3278"/>
      <c r="D2008" s="3278"/>
      <c r="E2008" s="3278"/>
      <c r="F2008" s="2920"/>
      <c r="G2008" s="2315">
        <f>SUM(G2007)</f>
        <v>10000</v>
      </c>
      <c r="H2008" s="2315">
        <f>SUM(H2007)</f>
        <v>0</v>
      </c>
      <c r="I2008" s="2836">
        <f>IF(G2008&gt;H2008,G2008,H2008)*$H$1998</f>
        <v>0</v>
      </c>
      <c r="J2008" s="2892"/>
      <c r="K2008" s="2893"/>
    </row>
    <row r="2009" spans="1:12" ht="21">
      <c r="A2009" s="2837"/>
      <c r="B2009" s="3300" t="s">
        <v>1529</v>
      </c>
      <c r="C2009" s="3300"/>
      <c r="D2009" s="3300"/>
      <c r="E2009" s="3300"/>
      <c r="F2009" s="2967"/>
      <c r="G2009" s="941"/>
      <c r="H2009" s="2934">
        <f>VLOOKUP('Ввод данных'!AC70,связи1!A2:B3,2,0)</f>
        <v>0</v>
      </c>
      <c r="I2009" s="2940">
        <f>H2009</f>
        <v>0</v>
      </c>
      <c r="J2009" s="2829"/>
      <c r="K2009" s="2837"/>
    </row>
    <row r="2010" spans="1:12">
      <c r="A2010" s="2837"/>
      <c r="B2010" s="3293" t="s">
        <v>2720</v>
      </c>
      <c r="C2010" s="3293"/>
      <c r="D2010" s="3293"/>
      <c r="E2010" s="3293"/>
      <c r="F2010" s="2947"/>
      <c r="G2010" s="941"/>
      <c r="H2010" s="2968">
        <f>H2009</f>
        <v>0</v>
      </c>
      <c r="I2010" s="2940">
        <f>H2010</f>
        <v>0</v>
      </c>
      <c r="J2010" s="2850"/>
      <c r="K2010" s="2851"/>
    </row>
    <row r="2011" spans="1:12">
      <c r="A2011" s="2837"/>
      <c r="B2011" s="132" t="str">
        <f>отделка!A714</f>
        <v>MR10 78X160</v>
      </c>
      <c r="C2011" s="290" t="s">
        <v>159</v>
      </c>
      <c r="D2011" s="2227">
        <f>отделка!F714</f>
        <v>1</v>
      </c>
      <c r="E2011" s="2969">
        <f>отделка!H714</f>
        <v>22353</v>
      </c>
      <c r="F2011" s="2969"/>
      <c r="G2011" s="275">
        <f>IF(F2011&gt;0,D2011*F2011,E2011*D2011)</f>
        <v>22353</v>
      </c>
      <c r="H2011" s="2315">
        <f>D2011*E2011*$H$2009</f>
        <v>0</v>
      </c>
      <c r="I2011" s="2911">
        <f>IF(G2011&gt;H2011,G2011,H2011)*$H$2009</f>
        <v>0</v>
      </c>
      <c r="J2011" s="2863"/>
      <c r="K2011" s="223">
        <f>D2011-J2011</f>
        <v>1</v>
      </c>
      <c r="L2011" s="2854"/>
    </row>
    <row r="2012" spans="1:12">
      <c r="A2012" s="2837"/>
      <c r="B2012" s="132" t="str">
        <f>отделка!A715</f>
        <v>MR08 78X140</v>
      </c>
      <c r="C2012" s="290" t="s">
        <v>159</v>
      </c>
      <c r="D2012" s="2227">
        <f>отделка!F715</f>
        <v>2</v>
      </c>
      <c r="E2012" s="2969">
        <f>отделка!H715</f>
        <v>21506</v>
      </c>
      <c r="F2012" s="2969"/>
      <c r="G2012" s="275">
        <f>IF(F2012&gt;0,D2012*F2012,E2012*D2012)</f>
        <v>43012</v>
      </c>
      <c r="H2012" s="2315">
        <f>D2012*E2012*$H$2009</f>
        <v>0</v>
      </c>
      <c r="I2012" s="2911">
        <f>IF(G2012&gt;H2012,G2012,H2012)*$H$2009</f>
        <v>0</v>
      </c>
      <c r="J2012" s="2863"/>
      <c r="K2012" s="223">
        <f>D2012-J2012</f>
        <v>2</v>
      </c>
      <c r="L2012" s="2854"/>
    </row>
    <row r="2013" spans="1:12">
      <c r="A2013" s="2837"/>
      <c r="B2013" s="132" t="str">
        <f>отделка!A716</f>
        <v>MR10 78X160</v>
      </c>
      <c r="C2013" s="290" t="s">
        <v>159</v>
      </c>
      <c r="D2013" s="2227">
        <f>отделка!F716</f>
        <v>5</v>
      </c>
      <c r="E2013" s="2969">
        <f>отделка!H716</f>
        <v>22353</v>
      </c>
      <c r="F2013" s="2969"/>
      <c r="G2013" s="275">
        <f>IF(F2013&gt;0,D2013*F2013,E2013*D2013)</f>
        <v>111765</v>
      </c>
      <c r="H2013" s="2315">
        <f>D2013*E2013*$H$2009</f>
        <v>0</v>
      </c>
      <c r="I2013" s="2911">
        <f>IF(G2013&gt;H2013,G2013,H2013)*$H$2009</f>
        <v>0</v>
      </c>
      <c r="J2013" s="2863"/>
      <c r="K2013" s="223">
        <f>D2013-J2013</f>
        <v>5</v>
      </c>
      <c r="L2013" s="2854"/>
    </row>
    <row r="2014" spans="1:12">
      <c r="A2014" s="2837"/>
      <c r="B2014" s="132" t="str">
        <f>отделка!A717</f>
        <v>MR04 78X98</v>
      </c>
      <c r="C2014" s="290" t="s">
        <v>159</v>
      </c>
      <c r="D2014" s="2227">
        <f>отделка!F717</f>
        <v>0</v>
      </c>
      <c r="E2014" s="2969">
        <f>отделка!H717</f>
        <v>18658</v>
      </c>
      <c r="F2014" s="2969"/>
      <c r="G2014" s="275">
        <f>IF(F2014&gt;0,D2014*F2014,E2014*D2014)</f>
        <v>0</v>
      </c>
      <c r="H2014" s="2315">
        <f>D2014*E2014*$H$2009</f>
        <v>0</v>
      </c>
      <c r="I2014" s="2911">
        <f>IF(G2014&gt;H2014,G2014,H2014)*$H$2009</f>
        <v>0</v>
      </c>
      <c r="J2014" s="2863"/>
      <c r="K2014" s="223">
        <f>D2014-J2014</f>
        <v>0</v>
      </c>
      <c r="L2014" s="2854"/>
    </row>
    <row r="2015" spans="1:12">
      <c r="A2015" s="2837"/>
      <c r="B2015" s="3278" t="s">
        <v>4640</v>
      </c>
      <c r="C2015" s="3278"/>
      <c r="D2015" s="3278"/>
      <c r="E2015" s="3278"/>
      <c r="F2015" s="2868"/>
      <c r="G2015" s="2315">
        <f>SUM(G2011:G2014)*H2009</f>
        <v>0</v>
      </c>
      <c r="H2015" s="2315">
        <f>SUM(H2011:H2014)</f>
        <v>0</v>
      </c>
      <c r="I2015" s="2911">
        <f>IF(G2015&gt;H2015,G2015,H2015)*$H$2009</f>
        <v>0</v>
      </c>
      <c r="J2015" s="2863"/>
      <c r="K2015" s="223">
        <f>D2015-J2015</f>
        <v>0</v>
      </c>
      <c r="L2015" s="2854"/>
    </row>
    <row r="2016" spans="1:12">
      <c r="A2016" s="2837"/>
      <c r="B2016" s="3279" t="s">
        <v>1409</v>
      </c>
      <c r="C2016" s="3279"/>
      <c r="D2016" s="3279"/>
      <c r="E2016" s="3279"/>
      <c r="F2016" s="2949"/>
      <c r="G2016" s="941"/>
      <c r="H2016" s="2896">
        <f>H2010</f>
        <v>0</v>
      </c>
      <c r="I2016" s="2940">
        <f>H2016</f>
        <v>0</v>
      </c>
      <c r="J2016" s="2892"/>
      <c r="K2016" s="2893"/>
    </row>
    <row r="2017" spans="1:12" ht="17">
      <c r="A2017" s="2837"/>
      <c r="B2017" s="2227" t="str">
        <f>отделка!A714</f>
        <v>MR10 78X160</v>
      </c>
      <c r="C2017" s="290" t="s">
        <v>159</v>
      </c>
      <c r="D2017" s="132">
        <f>отделка!K714</f>
        <v>1</v>
      </c>
      <c r="E2017" s="291">
        <f>отделка!L714</f>
        <v>4200</v>
      </c>
      <c r="F2017" s="291"/>
      <c r="G2017" s="275">
        <f>IF(F2017&gt;0,D2017*F2017,E2017*D2017)</f>
        <v>4200</v>
      </c>
      <c r="H2017" s="2315">
        <f>D2017*E2017*$H$2009</f>
        <v>0</v>
      </c>
      <c r="I2017" s="2836">
        <f>IF(G2017&gt;H2017,G2017,H2017)*$H$2009</f>
        <v>0</v>
      </c>
      <c r="J2017" s="2829"/>
      <c r="K2017" s="2837"/>
    </row>
    <row r="2018" spans="1:12" ht="17">
      <c r="A2018" s="2837"/>
      <c r="B2018" s="2227" t="str">
        <f>отделка!A715</f>
        <v>MR08 78X140</v>
      </c>
      <c r="C2018" s="290" t="s">
        <v>159</v>
      </c>
      <c r="D2018" s="132">
        <f>отделка!K715</f>
        <v>2</v>
      </c>
      <c r="E2018" s="291">
        <f>отделка!L715</f>
        <v>4000</v>
      </c>
      <c r="F2018" s="291"/>
      <c r="G2018" s="275">
        <f>IF(F2018&gt;0,D2018*F2018,E2018*D2018)</f>
        <v>8000</v>
      </c>
      <c r="H2018" s="2315">
        <f>D2018*E2018*$H$2009</f>
        <v>0</v>
      </c>
      <c r="I2018" s="2836">
        <f>IF(G2018&gt;H2018,G2018,H2018)*$H$2009</f>
        <v>0</v>
      </c>
      <c r="J2018" s="2829"/>
      <c r="K2018" s="2837"/>
    </row>
    <row r="2019" spans="1:12" ht="17">
      <c r="A2019" s="2837"/>
      <c r="B2019" s="2227" t="str">
        <f>отделка!A716</f>
        <v>MR10 78X160</v>
      </c>
      <c r="C2019" s="290" t="s">
        <v>159</v>
      </c>
      <c r="D2019" s="132">
        <f>отделка!K716</f>
        <v>5</v>
      </c>
      <c r="E2019" s="291">
        <f>отделка!L716</f>
        <v>4200</v>
      </c>
      <c r="F2019" s="291"/>
      <c r="G2019" s="275">
        <f>IF(F2019&gt;0,D2019*F2019,E2019*D2019)</f>
        <v>21000</v>
      </c>
      <c r="H2019" s="2315">
        <f>D2019*E2019*$H$2009</f>
        <v>0</v>
      </c>
      <c r="I2019" s="2836">
        <f>IF(G2019&gt;H2019,G2019,H2019)*$H$2009</f>
        <v>0</v>
      </c>
      <c r="J2019" s="2829"/>
      <c r="K2019" s="2837"/>
    </row>
    <row r="2020" spans="1:12" ht="17">
      <c r="A2020" s="2837"/>
      <c r="B2020" s="2227" t="str">
        <f>отделка!A717</f>
        <v>MR04 78X98</v>
      </c>
      <c r="C2020" s="290" t="s">
        <v>159</v>
      </c>
      <c r="D2020" s="132">
        <f>отделка!K717</f>
        <v>0</v>
      </c>
      <c r="E2020" s="291">
        <f>отделка!L717</f>
        <v>3700</v>
      </c>
      <c r="F2020" s="291"/>
      <c r="G2020" s="275">
        <f>IF(F2020&gt;0,D2020*F2020,E2020*D2020)</f>
        <v>0</v>
      </c>
      <c r="H2020" s="2315">
        <f>D2020*E2020*$H$2009</f>
        <v>0</v>
      </c>
      <c r="I2020" s="2836">
        <f>IF(G2020&gt;H2020,G2020,H2020)*$H$2009</f>
        <v>0</v>
      </c>
      <c r="J2020" s="2829"/>
      <c r="K2020" s="2837"/>
    </row>
    <row r="2021" spans="1:12">
      <c r="A2021" s="2837"/>
      <c r="B2021" s="3278" t="s">
        <v>4641</v>
      </c>
      <c r="C2021" s="3278"/>
      <c r="D2021" s="3278"/>
      <c r="E2021" s="3278"/>
      <c r="F2021" s="2868"/>
      <c r="G2021" s="2315">
        <f>SUM(G2017:G2020)*H2016</f>
        <v>0</v>
      </c>
      <c r="H2021" s="2315">
        <f>SUM(H2017:H2020)</f>
        <v>0</v>
      </c>
      <c r="I2021" s="2836">
        <f>IF(G2021&gt;H2021,G2021,H2021)*$H$2009</f>
        <v>0</v>
      </c>
      <c r="J2021" s="2829"/>
      <c r="K2021" s="2837"/>
    </row>
    <row r="2022" spans="1:12" ht="21">
      <c r="A2022" s="2837"/>
      <c r="B2022" s="3282" t="s">
        <v>1247</v>
      </c>
      <c r="C2022" s="3282"/>
      <c r="D2022" s="3282"/>
      <c r="E2022" s="3282"/>
      <c r="F2022" s="2887"/>
      <c r="G2022" s="941"/>
      <c r="H2022" s="2901">
        <f>VLOOKUP('Ввод данных'!F1216,связи1!A2:B3,2,0)</f>
        <v>0</v>
      </c>
      <c r="I2022" s="2940">
        <f>H2022</f>
        <v>0</v>
      </c>
      <c r="J2022" s="2829"/>
      <c r="K2022" s="2837"/>
    </row>
    <row r="2023" spans="1:12">
      <c r="A2023" s="2829"/>
      <c r="B2023" s="3285" t="s">
        <v>2720</v>
      </c>
      <c r="C2023" s="3285"/>
      <c r="D2023" s="3285"/>
      <c r="E2023" s="3285"/>
      <c r="F2023" s="2902"/>
      <c r="G2023" s="941"/>
      <c r="H2023" s="2903">
        <f>H2022</f>
        <v>0</v>
      </c>
      <c r="I2023" s="2940">
        <f>H2023</f>
        <v>0</v>
      </c>
      <c r="J2023" s="2850"/>
      <c r="K2023" s="2851"/>
    </row>
    <row r="2024" spans="1:12">
      <c r="A2024" s="2829"/>
      <c r="B2024" s="3301" t="s">
        <v>3964</v>
      </c>
      <c r="C2024" s="3301"/>
      <c r="D2024" s="3301"/>
      <c r="E2024" s="3301"/>
      <c r="F2024" s="2890"/>
      <c r="G2024" s="275">
        <f t="shared" ref="G2024:G2068" si="297">IF(F2024&gt;0,D2024*F2024,E2024*D2024)</f>
        <v>0</v>
      </c>
      <c r="H2024" s="2963">
        <f>IF(SUM(H2025:H2048)&gt;0,1,0)</f>
        <v>0</v>
      </c>
      <c r="I2024" s="2911">
        <f t="shared" ref="I2024:I2069" si="298">IF(G2024&gt;H2024,G2024,H2024)*$H$2022</f>
        <v>0</v>
      </c>
      <c r="J2024" s="2863"/>
      <c r="K2024" s="223"/>
      <c r="L2024" s="2854"/>
    </row>
    <row r="2025" spans="1:12">
      <c r="A2025" s="2837"/>
      <c r="B2025" s="302" t="str">
        <f>отделка!A509</f>
        <v>Г-образный профиль 40*40, 9мм</v>
      </c>
      <c r="C2025" s="2890" t="str">
        <f>отделка!B509</f>
        <v>м.п.</v>
      </c>
      <c r="D2025" s="302">
        <f>отделка!C509</f>
        <v>243.53999999999996</v>
      </c>
      <c r="E2025" s="302">
        <f>отделка!D509</f>
        <v>47</v>
      </c>
      <c r="F2025" s="302"/>
      <c r="G2025" s="275">
        <f t="shared" si="297"/>
        <v>11446.379999999997</v>
      </c>
      <c r="H2025" s="2315">
        <f t="shared" ref="H2025:H2048" si="299">D2025*E2025*$H$2023</f>
        <v>0</v>
      </c>
      <c r="I2025" s="2911">
        <f t="shared" si="298"/>
        <v>0</v>
      </c>
      <c r="J2025" s="2863"/>
      <c r="K2025" s="223">
        <f t="shared" ref="K2025:K2069" si="300">D2025-J2025</f>
        <v>243.53999999999996</v>
      </c>
      <c r="L2025" s="2854"/>
    </row>
    <row r="2026" spans="1:12">
      <c r="A2026" s="2837"/>
      <c r="B2026" s="302" t="str">
        <f>отделка!A510</f>
        <v>Фасадный кронштейн КК 90</v>
      </c>
      <c r="C2026" s="2890" t="str">
        <f>отделка!B510</f>
        <v>шт</v>
      </c>
      <c r="D2026" s="302">
        <f>отделка!C510</f>
        <v>584.49599999999987</v>
      </c>
      <c r="E2026" s="302">
        <f>отделка!D510</f>
        <v>15</v>
      </c>
      <c r="F2026" s="302"/>
      <c r="G2026" s="275">
        <f t="shared" si="297"/>
        <v>8767.4399999999987</v>
      </c>
      <c r="H2026" s="2315">
        <f t="shared" si="299"/>
        <v>0</v>
      </c>
      <c r="I2026" s="2911">
        <f t="shared" si="298"/>
        <v>0</v>
      </c>
      <c r="J2026" s="2863"/>
      <c r="K2026" s="223">
        <f t="shared" si="300"/>
        <v>584.49599999999987</v>
      </c>
      <c r="L2026" s="2854"/>
    </row>
    <row r="2027" spans="1:12">
      <c r="A2027" s="2837"/>
      <c r="B2027" s="302" t="str">
        <f>отделка!A511</f>
        <v xml:space="preserve">Саморезы 3,5 x 45            </v>
      </c>
      <c r="C2027" s="2890" t="str">
        <f>отделка!B511</f>
        <v>шт</v>
      </c>
      <c r="D2027" s="302">
        <f>отделка!C511</f>
        <v>1168.9919999999997</v>
      </c>
      <c r="E2027" s="302">
        <f>отделка!D511</f>
        <v>0.25</v>
      </c>
      <c r="F2027" s="302"/>
      <c r="G2027" s="275">
        <f t="shared" si="297"/>
        <v>292.24799999999993</v>
      </c>
      <c r="H2027" s="2315">
        <f t="shared" si="299"/>
        <v>0</v>
      </c>
      <c r="I2027" s="2911">
        <f t="shared" si="298"/>
        <v>0</v>
      </c>
      <c r="J2027" s="2863"/>
      <c r="K2027" s="223">
        <f t="shared" si="300"/>
        <v>1168.9919999999997</v>
      </c>
      <c r="L2027" s="2854"/>
    </row>
    <row r="2028" spans="1:12">
      <c r="A2028" s="2837"/>
      <c r="B2028" s="302" t="str">
        <f>отделка!A512</f>
        <v xml:space="preserve">Болты анкерные с гайкой 10,0 х 97           </v>
      </c>
      <c r="C2028" s="2890" t="str">
        <f>отделка!B512</f>
        <v>шт</v>
      </c>
      <c r="D2028" s="302">
        <f>отделка!C512</f>
        <v>1168.9919999999997</v>
      </c>
      <c r="E2028" s="302">
        <f>отделка!D512</f>
        <v>7.4</v>
      </c>
      <c r="F2028" s="302"/>
      <c r="G2028" s="275">
        <f t="shared" si="297"/>
        <v>8650.5407999999989</v>
      </c>
      <c r="H2028" s="2315">
        <f t="shared" si="299"/>
        <v>0</v>
      </c>
      <c r="I2028" s="2911">
        <f t="shared" si="298"/>
        <v>0</v>
      </c>
      <c r="J2028" s="2863"/>
      <c r="K2028" s="223">
        <f t="shared" si="300"/>
        <v>1168.9919999999997</v>
      </c>
      <c r="L2028" s="2854"/>
    </row>
    <row r="2029" spans="1:12">
      <c r="A2029" s="2837"/>
      <c r="B2029" s="302" t="str">
        <f>отделка!A513</f>
        <v>0,7НФ/150/75 Аренберг</v>
      </c>
      <c r="C2029" s="2890" t="str">
        <f>отделка!B513</f>
        <v>м2</v>
      </c>
      <c r="D2029" s="302">
        <f>отделка!C513</f>
        <v>95.04</v>
      </c>
      <c r="E2029" s="302">
        <f>отделка!D513</f>
        <v>1052</v>
      </c>
      <c r="F2029" s="302"/>
      <c r="G2029" s="275">
        <f t="shared" si="297"/>
        <v>99982.080000000002</v>
      </c>
      <c r="H2029" s="2315">
        <f t="shared" si="299"/>
        <v>0</v>
      </c>
      <c r="I2029" s="2911">
        <f t="shared" si="298"/>
        <v>0</v>
      </c>
      <c r="J2029" s="2863"/>
      <c r="K2029" s="223">
        <f t="shared" si="300"/>
        <v>95.04</v>
      </c>
      <c r="L2029" s="2854"/>
    </row>
    <row r="2030" spans="1:12">
      <c r="A2030" s="2837"/>
      <c r="B2030" s="302" t="str">
        <f>отделка!A514</f>
        <v>Цемент, мешок, 50кг</v>
      </c>
      <c r="C2030" s="2890" t="str">
        <f>отделка!B514</f>
        <v>меш</v>
      </c>
      <c r="D2030" s="302">
        <f>отделка!C514</f>
        <v>532.22400000000005</v>
      </c>
      <c r="E2030" s="302">
        <f>отделка!D514</f>
        <v>250</v>
      </c>
      <c r="F2030" s="302"/>
      <c r="G2030" s="275">
        <f t="shared" si="297"/>
        <v>133056</v>
      </c>
      <c r="H2030" s="2315">
        <f t="shared" si="299"/>
        <v>0</v>
      </c>
      <c r="I2030" s="2911">
        <f t="shared" si="298"/>
        <v>0</v>
      </c>
      <c r="J2030" s="2863"/>
      <c r="K2030" s="223">
        <f t="shared" si="300"/>
        <v>532.22400000000005</v>
      </c>
      <c r="L2030" s="2854"/>
    </row>
    <row r="2031" spans="1:12">
      <c r="A2031" s="2837"/>
      <c r="B2031" s="302" t="str">
        <f>отделка!A515</f>
        <v>Песок, м3</v>
      </c>
      <c r="C2031" s="2890" t="str">
        <f>отделка!B515</f>
        <v>м3</v>
      </c>
      <c r="D2031" s="302">
        <f>отделка!C515</f>
        <v>38.016000000000005</v>
      </c>
      <c r="E2031" s="302">
        <f>отделка!D515</f>
        <v>250</v>
      </c>
      <c r="F2031" s="302"/>
      <c r="G2031" s="275">
        <f t="shared" si="297"/>
        <v>9504.0000000000018</v>
      </c>
      <c r="H2031" s="2315">
        <f t="shared" si="299"/>
        <v>0</v>
      </c>
      <c r="I2031" s="2911">
        <f t="shared" si="298"/>
        <v>0</v>
      </c>
      <c r="J2031" s="2863"/>
      <c r="K2031" s="223">
        <f t="shared" si="300"/>
        <v>38.016000000000005</v>
      </c>
      <c r="L2031" s="2854"/>
    </row>
    <row r="2032" spans="1:12">
      <c r="A2032" s="2837"/>
      <c r="B2032" s="302" t="str">
        <f>отделка!A516</f>
        <v>Кладочная сетка, 100*100/150*150/200*200мм</v>
      </c>
      <c r="C2032" s="2890" t="str">
        <f>отделка!B516</f>
        <v>м2</v>
      </c>
      <c r="D2032" s="302">
        <f>отделка!C516</f>
        <v>19.8</v>
      </c>
      <c r="E2032" s="302">
        <f>отделка!D516</f>
        <v>70</v>
      </c>
      <c r="F2032" s="302"/>
      <c r="G2032" s="275">
        <f t="shared" si="297"/>
        <v>1386</v>
      </c>
      <c r="H2032" s="2315">
        <f t="shared" si="299"/>
        <v>0</v>
      </c>
      <c r="I2032" s="2911">
        <f t="shared" si="298"/>
        <v>0</v>
      </c>
      <c r="J2032" s="2863"/>
      <c r="K2032" s="223">
        <f t="shared" si="300"/>
        <v>19.8</v>
      </c>
      <c r="L2032" s="2854"/>
    </row>
    <row r="2033" spans="1:12">
      <c r="A2033" s="2837"/>
      <c r="B2033" s="302" t="str">
        <f>отделка!A517</f>
        <v>сайдинг виниловый</v>
      </c>
      <c r="C2033" s="2890" t="str">
        <f>отделка!B517</f>
        <v>м2</v>
      </c>
      <c r="D2033" s="302">
        <f>отделка!C517</f>
        <v>0</v>
      </c>
      <c r="E2033" s="302">
        <f>отделка!D517</f>
        <v>350</v>
      </c>
      <c r="F2033" s="302"/>
      <c r="G2033" s="275">
        <f t="shared" si="297"/>
        <v>0</v>
      </c>
      <c r="H2033" s="2315">
        <f t="shared" si="299"/>
        <v>0</v>
      </c>
      <c r="I2033" s="2911">
        <f t="shared" si="298"/>
        <v>0</v>
      </c>
      <c r="J2033" s="2863"/>
      <c r="K2033" s="223">
        <f t="shared" si="300"/>
        <v>0</v>
      </c>
      <c r="L2033" s="2854"/>
    </row>
    <row r="2034" spans="1:12">
      <c r="A2034" s="2837"/>
      <c r="B2034" s="302" t="str">
        <f>отделка!A518</f>
        <v>доборные элементы для винил сайдинга</v>
      </c>
      <c r="C2034" s="2890" t="str">
        <f>отделка!B518</f>
        <v>шт</v>
      </c>
      <c r="D2034" s="302">
        <f>отделка!C518</f>
        <v>0</v>
      </c>
      <c r="E2034" s="302">
        <f>отделка!D518</f>
        <v>300</v>
      </c>
      <c r="F2034" s="302"/>
      <c r="G2034" s="275">
        <f t="shared" si="297"/>
        <v>0</v>
      </c>
      <c r="H2034" s="2315">
        <f t="shared" si="299"/>
        <v>0</v>
      </c>
      <c r="I2034" s="2911">
        <f t="shared" si="298"/>
        <v>0</v>
      </c>
      <c r="J2034" s="2863"/>
      <c r="K2034" s="223">
        <f t="shared" si="300"/>
        <v>0</v>
      </c>
      <c r="L2034" s="2854"/>
    </row>
    <row r="2035" spans="1:12">
      <c r="A2035" s="2837"/>
      <c r="B2035" s="302" t="str">
        <f>отделка!A519</f>
        <v>сайдинг металлический</v>
      </c>
      <c r="C2035" s="2890" t="str">
        <f>отделка!B519</f>
        <v>м2</v>
      </c>
      <c r="D2035" s="302">
        <f>отделка!C519</f>
        <v>0</v>
      </c>
      <c r="E2035" s="302">
        <f>отделка!D519</f>
        <v>550</v>
      </c>
      <c r="F2035" s="302"/>
      <c r="G2035" s="275">
        <f t="shared" si="297"/>
        <v>0</v>
      </c>
      <c r="H2035" s="2315">
        <f t="shared" si="299"/>
        <v>0</v>
      </c>
      <c r="I2035" s="2911">
        <f t="shared" si="298"/>
        <v>0</v>
      </c>
      <c r="J2035" s="2863"/>
      <c r="K2035" s="223">
        <f t="shared" si="300"/>
        <v>0</v>
      </c>
      <c r="L2035" s="2854"/>
    </row>
    <row r="2036" spans="1:12">
      <c r="A2036" s="2837"/>
      <c r="B2036" s="302" t="str">
        <f>отделка!A520</f>
        <v>доборные элементы для метал сайдинга</v>
      </c>
      <c r="C2036" s="2890" t="str">
        <f>отделка!B520</f>
        <v>шт</v>
      </c>
      <c r="D2036" s="302">
        <f>отделка!C520</f>
        <v>0</v>
      </c>
      <c r="E2036" s="302">
        <f>отделка!D520</f>
        <v>350</v>
      </c>
      <c r="F2036" s="302"/>
      <c r="G2036" s="275">
        <f t="shared" si="297"/>
        <v>0</v>
      </c>
      <c r="H2036" s="2315">
        <f t="shared" si="299"/>
        <v>0</v>
      </c>
      <c r="I2036" s="2911">
        <f t="shared" si="298"/>
        <v>0</v>
      </c>
      <c r="J2036" s="2863"/>
      <c r="K2036" s="223">
        <f t="shared" si="300"/>
        <v>0</v>
      </c>
      <c r="L2036" s="2854"/>
    </row>
    <row r="2037" spans="1:12">
      <c r="A2037" s="2837"/>
      <c r="B2037" s="302">
        <f>отделка!A521</f>
        <v>0</v>
      </c>
      <c r="C2037" s="2890" t="str">
        <f>отделка!B521</f>
        <v>м2</v>
      </c>
      <c r="D2037" s="302">
        <f>отделка!C521</f>
        <v>0</v>
      </c>
      <c r="E2037" s="302">
        <f>отделка!D521</f>
        <v>0</v>
      </c>
      <c r="F2037" s="302"/>
      <c r="G2037" s="275">
        <f t="shared" si="297"/>
        <v>0</v>
      </c>
      <c r="H2037" s="2315">
        <f t="shared" si="299"/>
        <v>0</v>
      </c>
      <c r="I2037" s="2911">
        <f t="shared" si="298"/>
        <v>0</v>
      </c>
      <c r="J2037" s="2863"/>
      <c r="K2037" s="223">
        <f t="shared" si="300"/>
        <v>0</v>
      </c>
      <c r="L2037" s="2854"/>
    </row>
    <row r="2038" spans="1:12">
      <c r="A2038" s="2837"/>
      <c r="B2038" s="302" t="str">
        <f>отделка!A523</f>
        <v>крепления для планкена, змейка</v>
      </c>
      <c r="C2038" s="2890" t="str">
        <f>отделка!B523</f>
        <v>шт</v>
      </c>
      <c r="D2038" s="302">
        <f>отделка!C523</f>
        <v>0</v>
      </c>
      <c r="E2038" s="302">
        <f>отделка!D523</f>
        <v>15</v>
      </c>
      <c r="F2038" s="302"/>
      <c r="G2038" s="275">
        <f t="shared" si="297"/>
        <v>0</v>
      </c>
      <c r="H2038" s="2315">
        <f t="shared" si="299"/>
        <v>0</v>
      </c>
      <c r="I2038" s="2911">
        <f t="shared" si="298"/>
        <v>0</v>
      </c>
      <c r="J2038" s="2863"/>
      <c r="K2038" s="223">
        <f t="shared" si="300"/>
        <v>0</v>
      </c>
      <c r="L2038" s="2854"/>
    </row>
    <row r="2039" spans="1:12">
      <c r="A2039" s="2837"/>
      <c r="B2039" s="302">
        <f>отделка!A524</f>
        <v>0</v>
      </c>
      <c r="C2039" s="2890" t="str">
        <f>отделка!B524</f>
        <v>м2</v>
      </c>
      <c r="D2039" s="302">
        <f>отделка!C524</f>
        <v>0</v>
      </c>
      <c r="E2039" s="302">
        <f>отделка!D524</f>
        <v>1000</v>
      </c>
      <c r="F2039" s="302"/>
      <c r="G2039" s="275">
        <f t="shared" si="297"/>
        <v>0</v>
      </c>
      <c r="H2039" s="2315">
        <f t="shared" si="299"/>
        <v>0</v>
      </c>
      <c r="I2039" s="2911">
        <f t="shared" si="298"/>
        <v>0</v>
      </c>
      <c r="J2039" s="2863"/>
      <c r="K2039" s="223">
        <f t="shared" si="300"/>
        <v>0</v>
      </c>
      <c r="L2039" s="2854"/>
    </row>
    <row r="2040" spans="1:12">
      <c r="A2040" s="2837"/>
      <c r="B2040" s="302">
        <f>отделка!A525</f>
        <v>0</v>
      </c>
      <c r="C2040" s="2890" t="str">
        <f>отделка!B525</f>
        <v>м2</v>
      </c>
      <c r="D2040" s="302">
        <f>отделка!C525</f>
        <v>0</v>
      </c>
      <c r="E2040" s="302">
        <f>отделка!D525</f>
        <v>0</v>
      </c>
      <c r="F2040" s="302"/>
      <c r="G2040" s="275">
        <f t="shared" si="297"/>
        <v>0</v>
      </c>
      <c r="H2040" s="2315">
        <f t="shared" si="299"/>
        <v>0</v>
      </c>
      <c r="I2040" s="2911">
        <f t="shared" si="298"/>
        <v>0</v>
      </c>
      <c r="J2040" s="2863"/>
      <c r="K2040" s="223">
        <f t="shared" si="300"/>
        <v>0</v>
      </c>
      <c r="L2040" s="2854"/>
    </row>
    <row r="2041" spans="1:12">
      <c r="A2041" s="2837"/>
      <c r="B2041" s="302" t="str">
        <f>отделка!A526</f>
        <v xml:space="preserve">клей для камня </v>
      </c>
      <c r="C2041" s="2890" t="str">
        <f>отделка!B526</f>
        <v>меш</v>
      </c>
      <c r="D2041" s="302">
        <f>отделка!C526</f>
        <v>0</v>
      </c>
      <c r="E2041" s="302">
        <f>отделка!D526</f>
        <v>250</v>
      </c>
      <c r="F2041" s="302"/>
      <c r="G2041" s="275">
        <f t="shared" si="297"/>
        <v>0</v>
      </c>
      <c r="H2041" s="2315">
        <f t="shared" si="299"/>
        <v>0</v>
      </c>
      <c r="I2041" s="2911">
        <f t="shared" si="298"/>
        <v>0</v>
      </c>
      <c r="J2041" s="2863"/>
      <c r="K2041" s="223">
        <f t="shared" si="300"/>
        <v>0</v>
      </c>
      <c r="L2041" s="2854"/>
    </row>
    <row r="2042" spans="1:12">
      <c r="A2042" s="2837"/>
      <c r="B2042" s="302" t="str">
        <f>отделка!A527</f>
        <v>Грунт  1</v>
      </c>
      <c r="C2042" s="2890" t="str">
        <f>отделка!B527</f>
        <v>л</v>
      </c>
      <c r="D2042" s="302">
        <f>отделка!C527</f>
        <v>95.04</v>
      </c>
      <c r="E2042" s="302">
        <f>отделка!D527</f>
        <v>100</v>
      </c>
      <c r="F2042" s="302"/>
      <c r="G2042" s="275">
        <f t="shared" si="297"/>
        <v>9504</v>
      </c>
      <c r="H2042" s="2315">
        <f t="shared" si="299"/>
        <v>0</v>
      </c>
      <c r="I2042" s="2911">
        <f t="shared" si="298"/>
        <v>0</v>
      </c>
      <c r="J2042" s="2863"/>
      <c r="K2042" s="223">
        <f t="shared" si="300"/>
        <v>95.04</v>
      </c>
      <c r="L2042" s="2854"/>
    </row>
    <row r="2043" spans="1:12">
      <c r="A2043" s="2837"/>
      <c r="B2043" s="302" t="str">
        <f>отделка!A528</f>
        <v>"Тонерол" Антисептик  бесцветный  1л</v>
      </c>
      <c r="C2043" s="2890" t="str">
        <f>отделка!B528</f>
        <v>л</v>
      </c>
      <c r="D2043" s="302">
        <f>отделка!C528</f>
        <v>0</v>
      </c>
      <c r="E2043" s="302">
        <f>отделка!D528</f>
        <v>305</v>
      </c>
      <c r="F2043" s="302"/>
      <c r="G2043" s="275">
        <f t="shared" si="297"/>
        <v>0</v>
      </c>
      <c r="H2043" s="2315">
        <f t="shared" si="299"/>
        <v>0</v>
      </c>
      <c r="I2043" s="2911">
        <f t="shared" si="298"/>
        <v>0</v>
      </c>
      <c r="J2043" s="2863"/>
      <c r="K2043" s="223">
        <f t="shared" si="300"/>
        <v>0</v>
      </c>
      <c r="L2043" s="2854"/>
    </row>
    <row r="2044" spans="1:12">
      <c r="A2044" s="2837"/>
      <c r="B2044" s="302" t="str">
        <f>отделка!A529</f>
        <v>Лак для поверхностей 1</v>
      </c>
      <c r="C2044" s="2890" t="str">
        <f>отделка!B529</f>
        <v>л</v>
      </c>
      <c r="D2044" s="302">
        <f>отделка!C529</f>
        <v>0</v>
      </c>
      <c r="E2044" s="302">
        <f>отделка!D529</f>
        <v>120</v>
      </c>
      <c r="F2044" s="302"/>
      <c r="G2044" s="275">
        <f t="shared" si="297"/>
        <v>0</v>
      </c>
      <c r="H2044" s="2315">
        <f t="shared" si="299"/>
        <v>0</v>
      </c>
      <c r="I2044" s="2911">
        <f t="shared" si="298"/>
        <v>0</v>
      </c>
      <c r="J2044" s="2863"/>
      <c r="K2044" s="223">
        <f t="shared" si="300"/>
        <v>0</v>
      </c>
      <c r="L2044" s="2854"/>
    </row>
    <row r="2045" spans="1:12">
      <c r="A2045" s="2837"/>
      <c r="B2045" s="302" t="str">
        <f>отделка!A530</f>
        <v>Плитный,28кг/м3, технониколь, 100мм</v>
      </c>
      <c r="C2045" s="2890" t="str">
        <f>отделка!B530</f>
        <v>м3</v>
      </c>
      <c r="D2045" s="302">
        <f>отделка!C530</f>
        <v>11.88</v>
      </c>
      <c r="E2045" s="302">
        <f>отделка!D530</f>
        <v>1700</v>
      </c>
      <c r="F2045" s="302"/>
      <c r="G2045" s="275">
        <f t="shared" si="297"/>
        <v>20196</v>
      </c>
      <c r="H2045" s="2315">
        <f t="shared" si="299"/>
        <v>0</v>
      </c>
      <c r="I2045" s="2911">
        <f t="shared" si="298"/>
        <v>0</v>
      </c>
      <c r="J2045" s="2863"/>
      <c r="K2045" s="223">
        <f t="shared" si="300"/>
        <v>11.88</v>
      </c>
      <c r="L2045" s="2854"/>
    </row>
    <row r="2046" spans="1:12">
      <c r="A2046" s="2837"/>
      <c r="B2046" s="302">
        <f>отделка!A531</f>
        <v>0</v>
      </c>
      <c r="C2046" s="2890" t="str">
        <f>отделка!B531</f>
        <v>меш</v>
      </c>
      <c r="D2046" s="302">
        <f>отделка!C531</f>
        <v>0</v>
      </c>
      <c r="E2046" s="302">
        <f>отделка!D531</f>
        <v>0</v>
      </c>
      <c r="F2046" s="302"/>
      <c r="G2046" s="275">
        <f t="shared" si="297"/>
        <v>0</v>
      </c>
      <c r="H2046" s="2315">
        <f t="shared" si="299"/>
        <v>0</v>
      </c>
      <c r="I2046" s="2911">
        <f t="shared" si="298"/>
        <v>0</v>
      </c>
      <c r="J2046" s="2863"/>
      <c r="K2046" s="223">
        <f t="shared" si="300"/>
        <v>0</v>
      </c>
      <c r="L2046" s="2854"/>
    </row>
    <row r="2047" spans="1:12">
      <c r="A2047" s="2837"/>
      <c r="B2047" s="302" t="str">
        <f>отделка!A532</f>
        <v>Сетка штукатурная ПВС 40 Оцинкованная рулон</v>
      </c>
      <c r="C2047" s="2890" t="str">
        <f>отделка!B532</f>
        <v>м2</v>
      </c>
      <c r="D2047" s="302">
        <f>отделка!C532</f>
        <v>0</v>
      </c>
      <c r="E2047" s="302">
        <f>отделка!D532</f>
        <v>15</v>
      </c>
      <c r="F2047" s="302"/>
      <c r="G2047" s="275">
        <f t="shared" si="297"/>
        <v>0</v>
      </c>
      <c r="H2047" s="2315">
        <f t="shared" si="299"/>
        <v>0</v>
      </c>
      <c r="I2047" s="2911">
        <f t="shared" si="298"/>
        <v>0</v>
      </c>
      <c r="J2047" s="2863"/>
      <c r="K2047" s="223">
        <f t="shared" si="300"/>
        <v>0</v>
      </c>
      <c r="L2047" s="2854"/>
    </row>
    <row r="2048" spans="1:12">
      <c r="A2048" s="2837"/>
      <c r="B2048" s="302" t="str">
        <f>отделка!A533</f>
        <v>Штукатурка для наружних работ</v>
      </c>
      <c r="C2048" s="2890" t="s">
        <v>133</v>
      </c>
      <c r="D2048" s="302">
        <f>отделка!C533</f>
        <v>0</v>
      </c>
      <c r="E2048" s="302">
        <f>отделка!D533</f>
        <v>390</v>
      </c>
      <c r="F2048" s="302"/>
      <c r="G2048" s="275">
        <f t="shared" si="297"/>
        <v>0</v>
      </c>
      <c r="H2048" s="2315">
        <f t="shared" si="299"/>
        <v>0</v>
      </c>
      <c r="I2048" s="2911">
        <f t="shared" si="298"/>
        <v>0</v>
      </c>
      <c r="J2048" s="2863"/>
      <c r="K2048" s="223">
        <f t="shared" si="300"/>
        <v>0</v>
      </c>
      <c r="L2048" s="2854"/>
    </row>
    <row r="2049" spans="1:12">
      <c r="A2049" s="2837"/>
      <c r="B2049" s="3301" t="s">
        <v>1568</v>
      </c>
      <c r="C2049" s="3301"/>
      <c r="D2049" s="3301"/>
      <c r="E2049" s="3301"/>
      <c r="F2049" s="2890"/>
      <c r="G2049" s="275">
        <f t="shared" si="297"/>
        <v>0</v>
      </c>
      <c r="H2049" s="2963">
        <f>IF(SUM(H2050:H2060)&gt;0,1,0)</f>
        <v>0</v>
      </c>
      <c r="I2049" s="2911">
        <f t="shared" si="298"/>
        <v>0</v>
      </c>
      <c r="J2049" s="2863"/>
      <c r="K2049" s="223">
        <f t="shared" si="300"/>
        <v>0</v>
      </c>
      <c r="L2049" s="2854"/>
    </row>
    <row r="2050" spans="1:12">
      <c r="A2050" s="2837"/>
      <c r="B2050" s="302" t="str">
        <f>отделка!A535</f>
        <v>отлив металлический</v>
      </c>
      <c r="C2050" s="2890" t="str">
        <f>отделка!B535</f>
        <v>м.п.</v>
      </c>
      <c r="D2050" s="302">
        <f>отделка!C535</f>
        <v>56</v>
      </c>
      <c r="E2050" s="302">
        <f>отделка!D535</f>
        <v>100</v>
      </c>
      <c r="F2050" s="302"/>
      <c r="G2050" s="275">
        <f t="shared" si="297"/>
        <v>5600</v>
      </c>
      <c r="H2050" s="2315">
        <f t="shared" ref="H2050:H2060" si="301">D2050*E2050*$H$2023</f>
        <v>0</v>
      </c>
      <c r="I2050" s="2911">
        <f t="shared" si="298"/>
        <v>0</v>
      </c>
      <c r="J2050" s="2863"/>
      <c r="K2050" s="223">
        <f t="shared" si="300"/>
        <v>56</v>
      </c>
      <c r="L2050" s="2854"/>
    </row>
    <row r="2051" spans="1:12">
      <c r="A2051" s="2837"/>
      <c r="B2051" s="302" t="str">
        <f>отделка!A536</f>
        <v>сайдинг металлический</v>
      </c>
      <c r="C2051" s="2890" t="str">
        <f>отделка!B536</f>
        <v>м2</v>
      </c>
      <c r="D2051" s="302">
        <f>отделка!C536</f>
        <v>0</v>
      </c>
      <c r="E2051" s="302">
        <f>отделка!D536</f>
        <v>550</v>
      </c>
      <c r="F2051" s="302"/>
      <c r="G2051" s="275">
        <f t="shared" si="297"/>
        <v>0</v>
      </c>
      <c r="H2051" s="2315">
        <f t="shared" si="301"/>
        <v>0</v>
      </c>
      <c r="I2051" s="2911">
        <f t="shared" si="298"/>
        <v>0</v>
      </c>
      <c r="J2051" s="2863"/>
      <c r="K2051" s="223">
        <f t="shared" si="300"/>
        <v>0</v>
      </c>
      <c r="L2051" s="2854"/>
    </row>
    <row r="2052" spans="1:12">
      <c r="A2052" s="2837"/>
      <c r="B2052" s="302" t="str">
        <f>отделка!A537</f>
        <v>камень природный</v>
      </c>
      <c r="C2052" s="2890" t="str">
        <f>отделка!B537</f>
        <v>м2</v>
      </c>
      <c r="D2052" s="302">
        <f>отделка!C537</f>
        <v>22.400000000000002</v>
      </c>
      <c r="E2052" s="302">
        <f>отделка!D537</f>
        <v>600</v>
      </c>
      <c r="F2052" s="302"/>
      <c r="G2052" s="275">
        <f t="shared" si="297"/>
        <v>13440.000000000002</v>
      </c>
      <c r="H2052" s="2315">
        <f t="shared" si="301"/>
        <v>0</v>
      </c>
      <c r="I2052" s="2911">
        <f t="shared" si="298"/>
        <v>0</v>
      </c>
      <c r="J2052" s="2863"/>
      <c r="K2052" s="223">
        <f t="shared" si="300"/>
        <v>22.400000000000002</v>
      </c>
      <c r="L2052" s="2854"/>
    </row>
    <row r="2053" spans="1:12">
      <c r="A2053" s="2837"/>
      <c r="B2053" s="302" t="str">
        <f>отделка!A538</f>
        <v>камень искуственный</v>
      </c>
      <c r="C2053" s="2890" t="str">
        <f>отделка!B538</f>
        <v>м2</v>
      </c>
      <c r="D2053" s="302">
        <f>отделка!C538</f>
        <v>0</v>
      </c>
      <c r="E2053" s="302">
        <f>отделка!D538</f>
        <v>1000</v>
      </c>
      <c r="F2053" s="302"/>
      <c r="G2053" s="275">
        <f t="shared" si="297"/>
        <v>0</v>
      </c>
      <c r="H2053" s="2315">
        <f t="shared" si="301"/>
        <v>0</v>
      </c>
      <c r="I2053" s="2911">
        <f t="shared" si="298"/>
        <v>0</v>
      </c>
      <c r="J2053" s="2863"/>
      <c r="K2053" s="223">
        <f t="shared" si="300"/>
        <v>0</v>
      </c>
      <c r="L2053" s="2854"/>
    </row>
    <row r="2054" spans="1:12">
      <c r="A2054" s="2837"/>
      <c r="B2054" s="302" t="str">
        <f>отделка!A539</f>
        <v xml:space="preserve">клей для камня </v>
      </c>
      <c r="C2054" s="2890" t="str">
        <f>отделка!B539</f>
        <v>меш</v>
      </c>
      <c r="D2054" s="302">
        <f>отделка!C539</f>
        <v>7.4666666666666677</v>
      </c>
      <c r="E2054" s="302">
        <f>отделка!D539</f>
        <v>250</v>
      </c>
      <c r="F2054" s="302"/>
      <c r="G2054" s="275">
        <f t="shared" si="297"/>
        <v>1866.666666666667</v>
      </c>
      <c r="H2054" s="2315">
        <f t="shared" si="301"/>
        <v>0</v>
      </c>
      <c r="I2054" s="2911">
        <f t="shared" si="298"/>
        <v>0</v>
      </c>
      <c r="J2054" s="2863"/>
      <c r="K2054" s="223">
        <f t="shared" si="300"/>
        <v>7.4666666666666677</v>
      </c>
      <c r="L2054" s="2854"/>
    </row>
    <row r="2055" spans="1:12">
      <c r="A2055" s="2837"/>
      <c r="B2055" s="302" t="str">
        <f>отделка!A540</f>
        <v>Грунт  1</v>
      </c>
      <c r="C2055" s="2890" t="str">
        <f>отделка!B540</f>
        <v>л</v>
      </c>
      <c r="D2055" s="302">
        <f>отделка!C540</f>
        <v>0</v>
      </c>
      <c r="E2055" s="302">
        <f>отделка!D540</f>
        <v>100</v>
      </c>
      <c r="F2055" s="302"/>
      <c r="G2055" s="275">
        <f t="shared" si="297"/>
        <v>0</v>
      </c>
      <c r="H2055" s="2315">
        <f t="shared" si="301"/>
        <v>0</v>
      </c>
      <c r="I2055" s="2911">
        <f t="shared" si="298"/>
        <v>0</v>
      </c>
      <c r="J2055" s="2863"/>
      <c r="K2055" s="223">
        <f t="shared" si="300"/>
        <v>0</v>
      </c>
      <c r="L2055" s="2854"/>
    </row>
    <row r="2056" spans="1:12">
      <c r="A2056" s="2837"/>
      <c r="B2056" s="302" t="str">
        <f>отделка!A541</f>
        <v>нет</v>
      </c>
      <c r="C2056" s="2890" t="str">
        <f>отделка!B541</f>
        <v>м.п.</v>
      </c>
      <c r="D2056" s="302">
        <f>отделка!C541</f>
        <v>45.280000000000008</v>
      </c>
      <c r="E2056" s="302">
        <f>отделка!D541</f>
        <v>0</v>
      </c>
      <c r="F2056" s="302"/>
      <c r="G2056" s="275">
        <f t="shared" si="297"/>
        <v>0</v>
      </c>
      <c r="H2056" s="2315">
        <f t="shared" si="301"/>
        <v>0</v>
      </c>
      <c r="I2056" s="2911">
        <f t="shared" si="298"/>
        <v>0</v>
      </c>
      <c r="J2056" s="2863"/>
      <c r="K2056" s="223">
        <f t="shared" si="300"/>
        <v>45.280000000000008</v>
      </c>
      <c r="L2056" s="2854"/>
    </row>
    <row r="2057" spans="1:12">
      <c r="A2057" s="2837"/>
      <c r="B2057" s="302" t="str">
        <f>отделка!A542</f>
        <v>Фасадный кронштейн КК 120</v>
      </c>
      <c r="C2057" s="2890" t="str">
        <f>отделка!B542</f>
        <v>шт</v>
      </c>
      <c r="D2057" s="302">
        <f>отделка!C542</f>
        <v>168</v>
      </c>
      <c r="E2057" s="302">
        <f>отделка!D542</f>
        <v>19</v>
      </c>
      <c r="F2057" s="302"/>
      <c r="G2057" s="275">
        <f t="shared" si="297"/>
        <v>3192</v>
      </c>
      <c r="H2057" s="2315">
        <f t="shared" si="301"/>
        <v>0</v>
      </c>
      <c r="I2057" s="2911">
        <f t="shared" si="298"/>
        <v>0</v>
      </c>
      <c r="J2057" s="2863"/>
      <c r="K2057" s="223">
        <f t="shared" si="300"/>
        <v>168</v>
      </c>
      <c r="L2057" s="2854"/>
    </row>
    <row r="2058" spans="1:12">
      <c r="A2058" s="2837"/>
      <c r="B2058" s="302" t="str">
        <f>отделка!A543</f>
        <v xml:space="preserve">Болты анкерные с гайкой 10,0 х 97           </v>
      </c>
      <c r="C2058" s="2890" t="str">
        <f>отделка!B543</f>
        <v>шт</v>
      </c>
      <c r="D2058" s="302">
        <f>отделка!C543</f>
        <v>336</v>
      </c>
      <c r="E2058" s="302">
        <f>отделка!D543</f>
        <v>7.4</v>
      </c>
      <c r="F2058" s="302"/>
      <c r="G2058" s="275">
        <f t="shared" si="297"/>
        <v>2486.4</v>
      </c>
      <c r="H2058" s="2315">
        <f t="shared" si="301"/>
        <v>0</v>
      </c>
      <c r="I2058" s="2911">
        <f t="shared" si="298"/>
        <v>0</v>
      </c>
      <c r="J2058" s="2863"/>
      <c r="K2058" s="223">
        <f t="shared" si="300"/>
        <v>336</v>
      </c>
      <c r="L2058" s="2854"/>
    </row>
    <row r="2059" spans="1:12">
      <c r="A2059" s="2837"/>
      <c r="B2059" s="302" t="str">
        <f>отделка!A544</f>
        <v xml:space="preserve">Саморезы 3,5 x 45            </v>
      </c>
      <c r="C2059" s="2890" t="s">
        <v>159</v>
      </c>
      <c r="D2059" s="302">
        <f>отделка!C544</f>
        <v>336</v>
      </c>
      <c r="E2059" s="302">
        <f>отделка!D544</f>
        <v>0.25</v>
      </c>
      <c r="F2059" s="302"/>
      <c r="G2059" s="275">
        <f t="shared" si="297"/>
        <v>84</v>
      </c>
      <c r="H2059" s="2315">
        <f t="shared" si="301"/>
        <v>0</v>
      </c>
      <c r="I2059" s="2911">
        <f t="shared" si="298"/>
        <v>0</v>
      </c>
      <c r="J2059" s="2863"/>
      <c r="K2059" s="223">
        <f t="shared" si="300"/>
        <v>336</v>
      </c>
      <c r="L2059" s="2854"/>
    </row>
    <row r="2060" spans="1:12">
      <c r="A2060" s="2837"/>
      <c r="B2060" s="302" t="str">
        <f>отделка!A545</f>
        <v>Плоский шифер 8 мм</v>
      </c>
      <c r="C2060" s="2890" t="str">
        <f>отделка!B545</f>
        <v>м2</v>
      </c>
      <c r="D2060" s="302">
        <f>отделка!C545</f>
        <v>0</v>
      </c>
      <c r="E2060" s="302">
        <f>отделка!D545</f>
        <v>85</v>
      </c>
      <c r="F2060" s="302"/>
      <c r="G2060" s="275">
        <f t="shared" si="297"/>
        <v>0</v>
      </c>
      <c r="H2060" s="2315">
        <f t="shared" si="301"/>
        <v>0</v>
      </c>
      <c r="I2060" s="2911">
        <f t="shared" si="298"/>
        <v>0</v>
      </c>
      <c r="J2060" s="2863"/>
      <c r="K2060" s="223">
        <f t="shared" si="300"/>
        <v>0</v>
      </c>
      <c r="L2060" s="2854"/>
    </row>
    <row r="2061" spans="1:12">
      <c r="A2061" s="2837"/>
      <c r="B2061" s="3301" t="s">
        <v>3965</v>
      </c>
      <c r="C2061" s="3301"/>
      <c r="D2061" s="3301"/>
      <c r="E2061" s="3301"/>
      <c r="F2061" s="2890"/>
      <c r="G2061" s="275">
        <f t="shared" si="297"/>
        <v>0</v>
      </c>
      <c r="H2061" s="2963">
        <f>IF(SUM(H2062:H2068)&gt;0,1,0)</f>
        <v>0</v>
      </c>
      <c r="I2061" s="2911">
        <f t="shared" si="298"/>
        <v>0</v>
      </c>
      <c r="J2061" s="2863"/>
      <c r="K2061" s="223">
        <f t="shared" si="300"/>
        <v>0</v>
      </c>
      <c r="L2061" s="2854"/>
    </row>
    <row r="2062" spans="1:12">
      <c r="A2062" s="2837"/>
      <c r="B2062" s="302" t="str">
        <f>отделка!A547</f>
        <v>планкен</v>
      </c>
      <c r="C2062" s="2890" t="str">
        <f>отделка!B547</f>
        <v>м2</v>
      </c>
      <c r="D2062" s="302">
        <f>отделка!C547</f>
        <v>0</v>
      </c>
      <c r="E2062" s="302">
        <f>отделка!D547</f>
        <v>0</v>
      </c>
      <c r="F2062" s="302"/>
      <c r="G2062" s="275">
        <f t="shared" si="297"/>
        <v>0</v>
      </c>
      <c r="H2062" s="2315">
        <f t="shared" ref="H2062:H2068" si="302">D2062*E2062*$H$2023</f>
        <v>0</v>
      </c>
      <c r="I2062" s="2911">
        <f t="shared" si="298"/>
        <v>0</v>
      </c>
      <c r="J2062" s="2863"/>
      <c r="K2062" s="223">
        <f t="shared" si="300"/>
        <v>0</v>
      </c>
      <c r="L2062" s="2854"/>
    </row>
    <row r="2063" spans="1:12">
      <c r="A2063" s="2837"/>
      <c r="B2063" s="302" t="str">
        <f>отделка!A548</f>
        <v>Доска сухая, калибр., 35*45мм</v>
      </c>
      <c r="C2063" s="2890" t="str">
        <f>отделка!B548</f>
        <v>м.п.</v>
      </c>
      <c r="D2063" s="302">
        <f>отделка!C548</f>
        <v>112</v>
      </c>
      <c r="E2063" s="302">
        <f>отделка!D548</f>
        <v>19.6875</v>
      </c>
      <c r="F2063" s="302"/>
      <c r="G2063" s="275">
        <f t="shared" si="297"/>
        <v>2205</v>
      </c>
      <c r="H2063" s="2315">
        <f t="shared" si="302"/>
        <v>0</v>
      </c>
      <c r="I2063" s="2911">
        <f t="shared" si="298"/>
        <v>0</v>
      </c>
      <c r="J2063" s="2863"/>
      <c r="K2063" s="223">
        <f t="shared" si="300"/>
        <v>112</v>
      </c>
      <c r="L2063" s="2854"/>
    </row>
    <row r="2064" spans="1:12">
      <c r="A2064" s="2837"/>
      <c r="B2064" s="302" t="str">
        <f>отделка!A549</f>
        <v>сайдинг</v>
      </c>
      <c r="C2064" s="2890" t="str">
        <f>отделка!B549</f>
        <v>м2</v>
      </c>
      <c r="D2064" s="302">
        <f>отделка!C549</f>
        <v>0</v>
      </c>
      <c r="E2064" s="302">
        <f>отделка!D549</f>
        <v>350</v>
      </c>
      <c r="F2064" s="302"/>
      <c r="G2064" s="275">
        <f t="shared" si="297"/>
        <v>0</v>
      </c>
      <c r="H2064" s="2315">
        <f t="shared" si="302"/>
        <v>0</v>
      </c>
      <c r="I2064" s="2911">
        <f t="shared" si="298"/>
        <v>0</v>
      </c>
      <c r="J2064" s="2863"/>
      <c r="K2064" s="223">
        <f t="shared" si="300"/>
        <v>0</v>
      </c>
      <c r="L2064" s="2854"/>
    </row>
    <row r="2065" spans="1:13">
      <c r="A2065" s="2837"/>
      <c r="B2065" s="302" t="str">
        <f>отделка!A550</f>
        <v>торцевая планка винил</v>
      </c>
      <c r="C2065" s="2890" t="str">
        <f>отделка!B550</f>
        <v>м.п.</v>
      </c>
      <c r="D2065" s="302">
        <f>отделка!C550</f>
        <v>0</v>
      </c>
      <c r="E2065" s="302">
        <f>отделка!D550</f>
        <v>60</v>
      </c>
      <c r="F2065" s="302"/>
      <c r="G2065" s="275">
        <f t="shared" si="297"/>
        <v>0</v>
      </c>
      <c r="H2065" s="2315">
        <f t="shared" si="302"/>
        <v>0</v>
      </c>
      <c r="I2065" s="2911">
        <f t="shared" si="298"/>
        <v>0</v>
      </c>
      <c r="J2065" s="2863"/>
      <c r="K2065" s="223">
        <f t="shared" si="300"/>
        <v>0</v>
      </c>
      <c r="L2065" s="2854"/>
    </row>
    <row r="2066" spans="1:13">
      <c r="A2066" s="2837"/>
      <c r="B2066" s="302" t="str">
        <f>отделка!A551</f>
        <v>стартовый профиль для сайдинга</v>
      </c>
      <c r="C2066" s="2890" t="str">
        <f>отделка!B551</f>
        <v>м.п.</v>
      </c>
      <c r="D2066" s="302">
        <f>отделка!C551</f>
        <v>0</v>
      </c>
      <c r="E2066" s="302">
        <f>отделка!D551</f>
        <v>40</v>
      </c>
      <c r="F2066" s="302"/>
      <c r="G2066" s="275">
        <f t="shared" si="297"/>
        <v>0</v>
      </c>
      <c r="H2066" s="2315">
        <f t="shared" si="302"/>
        <v>0</v>
      </c>
      <c r="I2066" s="2911">
        <f t="shared" si="298"/>
        <v>0</v>
      </c>
      <c r="J2066" s="2863"/>
      <c r="K2066" s="223">
        <f t="shared" si="300"/>
        <v>0</v>
      </c>
      <c r="L2066" s="2854"/>
    </row>
    <row r="2067" spans="1:13">
      <c r="A2067" s="2837"/>
      <c r="B2067" s="302" t="str">
        <f>отделка!A552</f>
        <v xml:space="preserve">Саморезы 3,5 x 45            </v>
      </c>
      <c r="C2067" s="2890" t="str">
        <f>отделка!B552</f>
        <v>шт</v>
      </c>
      <c r="D2067" s="302">
        <f>отделка!C552</f>
        <v>336</v>
      </c>
      <c r="E2067" s="302">
        <f>отделка!D552</f>
        <v>0.25</v>
      </c>
      <c r="F2067" s="302"/>
      <c r="G2067" s="275">
        <f t="shared" si="297"/>
        <v>84</v>
      </c>
      <c r="H2067" s="2315">
        <f t="shared" si="302"/>
        <v>0</v>
      </c>
      <c r="I2067" s="2911">
        <f t="shared" si="298"/>
        <v>0</v>
      </c>
      <c r="J2067" s="2863"/>
      <c r="K2067" s="223">
        <f t="shared" si="300"/>
        <v>336</v>
      </c>
      <c r="L2067" s="2854"/>
    </row>
    <row r="2068" spans="1:13">
      <c r="A2068" s="2837"/>
      <c r="B2068" s="302" t="str">
        <f>отделка!A553</f>
        <v xml:space="preserve">Саморезы 4,2 х 75            </v>
      </c>
      <c r="C2068" s="2890" t="str">
        <f>отделка!B553</f>
        <v>шт</v>
      </c>
      <c r="D2068" s="302">
        <f>отделка!C553</f>
        <v>0</v>
      </c>
      <c r="E2068" s="302">
        <f>отделка!D553</f>
        <v>0.45</v>
      </c>
      <c r="F2068" s="302"/>
      <c r="G2068" s="275">
        <f t="shared" si="297"/>
        <v>0</v>
      </c>
      <c r="H2068" s="2315">
        <f t="shared" si="302"/>
        <v>0</v>
      </c>
      <c r="I2068" s="2911">
        <f t="shared" si="298"/>
        <v>0</v>
      </c>
      <c r="J2068" s="2863"/>
      <c r="K2068" s="223">
        <f t="shared" si="300"/>
        <v>0</v>
      </c>
      <c r="L2068" s="2854"/>
    </row>
    <row r="2069" spans="1:13">
      <c r="A2069" s="2837"/>
      <c r="B2069" s="3278" t="s">
        <v>4640</v>
      </c>
      <c r="C2069" s="3278"/>
      <c r="D2069" s="3278"/>
      <c r="E2069" s="3278"/>
      <c r="F2069" s="2868"/>
      <c r="G2069" s="2315">
        <f>SUM(G2025:G2068)*H2022</f>
        <v>0</v>
      </c>
      <c r="H2069" s="2315">
        <f>SUM(H2025:H2068)</f>
        <v>0</v>
      </c>
      <c r="I2069" s="2911">
        <f t="shared" si="298"/>
        <v>0</v>
      </c>
      <c r="J2069" s="2863"/>
      <c r="K2069" s="223">
        <f t="shared" si="300"/>
        <v>0</v>
      </c>
      <c r="L2069" s="2854"/>
    </row>
    <row r="2070" spans="1:13">
      <c r="A2070" s="2837"/>
      <c r="B2070" s="3279" t="s">
        <v>1409</v>
      </c>
      <c r="C2070" s="3279"/>
      <c r="D2070" s="3279"/>
      <c r="E2070" s="3279"/>
      <c r="F2070" s="2870"/>
      <c r="G2070" s="941"/>
      <c r="H2070" s="2891">
        <f>H2022</f>
        <v>0</v>
      </c>
      <c r="I2070" s="2940">
        <f>H2070</f>
        <v>0</v>
      </c>
      <c r="L2070" s="910"/>
      <c r="M2070" s="910"/>
    </row>
    <row r="2071" spans="1:13">
      <c r="A2071" s="2829"/>
      <c r="B2071" s="3301" t="s">
        <v>1552</v>
      </c>
      <c r="C2071" s="3301"/>
      <c r="D2071" s="3301"/>
      <c r="E2071" s="3301"/>
      <c r="F2071" s="2890"/>
      <c r="G2071" s="275">
        <f t="shared" ref="G2071:G2096" si="303">IF(F2071&gt;0,D2071*F2071,E2071*D2071)</f>
        <v>0</v>
      </c>
      <c r="H2071" s="2963">
        <f>IF(SUM(H2072:H2085)&gt;0,1,0)</f>
        <v>0</v>
      </c>
      <c r="I2071" s="2836">
        <f t="shared" ref="I2071:I2097" si="304">IF(G2071&gt;H2071,G2071,H2071)*$H$2022</f>
        <v>0</v>
      </c>
      <c r="L2071" s="910"/>
      <c r="M2071" s="910"/>
    </row>
    <row r="2072" spans="1:13">
      <c r="A2072" s="2837"/>
      <c r="B2072" s="2763" t="str">
        <f>отделка!G509</f>
        <v>кладка кирпича облицов</v>
      </c>
      <c r="C2072" s="2890" t="str">
        <f>отделка!I509</f>
        <v>м2</v>
      </c>
      <c r="D2072" s="302">
        <f>отделка!J509</f>
        <v>118.8</v>
      </c>
      <c r="E2072" s="179">
        <f>отделка!K509</f>
        <v>500</v>
      </c>
      <c r="F2072" s="179"/>
      <c r="G2072" s="275">
        <f t="shared" si="303"/>
        <v>59400</v>
      </c>
      <c r="H2072" s="2315">
        <f t="shared" ref="H2072:H2085" si="305">D2072*E2072*$H$2070</f>
        <v>0</v>
      </c>
      <c r="I2072" s="2836">
        <f t="shared" si="304"/>
        <v>0</v>
      </c>
      <c r="L2072" s="910"/>
      <c r="M2072" s="910"/>
    </row>
    <row r="2073" spans="1:13">
      <c r="A2073" s="2837"/>
      <c r="B2073" s="2763" t="str">
        <f>отделка!G510</f>
        <v>монтаж подсистемы</v>
      </c>
      <c r="C2073" s="2890" t="str">
        <f>отделка!I510</f>
        <v>м2</v>
      </c>
      <c r="D2073" s="302">
        <f>отделка!J510</f>
        <v>118.8</v>
      </c>
      <c r="E2073" s="179">
        <f>отделка!K510</f>
        <v>200</v>
      </c>
      <c r="F2073" s="179"/>
      <c r="G2073" s="275">
        <f t="shared" si="303"/>
        <v>23760</v>
      </c>
      <c r="H2073" s="2315">
        <f t="shared" si="305"/>
        <v>0</v>
      </c>
      <c r="I2073" s="2836">
        <f t="shared" si="304"/>
        <v>0</v>
      </c>
      <c r="J2073" s="2829"/>
      <c r="K2073" s="2837"/>
    </row>
    <row r="2074" spans="1:13">
      <c r="A2074" s="2837"/>
      <c r="B2074" s="2763" t="str">
        <f>отделка!G511</f>
        <v>сайдинг виниловый</v>
      </c>
      <c r="C2074" s="2890" t="str">
        <f>отделка!I511</f>
        <v>м2</v>
      </c>
      <c r="D2074" s="302">
        <f>отделка!J511</f>
        <v>0</v>
      </c>
      <c r="E2074" s="179">
        <f>отделка!K511</f>
        <v>300</v>
      </c>
      <c r="F2074" s="179"/>
      <c r="G2074" s="275">
        <f t="shared" si="303"/>
        <v>0</v>
      </c>
      <c r="H2074" s="2315">
        <f t="shared" si="305"/>
        <v>0</v>
      </c>
      <c r="I2074" s="2836">
        <f t="shared" si="304"/>
        <v>0</v>
      </c>
      <c r="J2074" s="2829"/>
      <c r="K2074" s="2837"/>
    </row>
    <row r="2075" spans="1:13">
      <c r="A2075" s="2837"/>
      <c r="B2075" s="2763" t="str">
        <f>отделка!G512</f>
        <v>сайдинг металл</v>
      </c>
      <c r="C2075" s="2890" t="str">
        <f>отделка!I512</f>
        <v>м2</v>
      </c>
      <c r="D2075" s="302">
        <f>отделка!J512</f>
        <v>0</v>
      </c>
      <c r="E2075" s="179">
        <f>отделка!K512</f>
        <v>350</v>
      </c>
      <c r="F2075" s="179"/>
      <c r="G2075" s="275">
        <f t="shared" si="303"/>
        <v>0</v>
      </c>
      <c r="H2075" s="2315">
        <f t="shared" si="305"/>
        <v>0</v>
      </c>
      <c r="I2075" s="2836">
        <f t="shared" si="304"/>
        <v>0</v>
      </c>
      <c r="J2075" s="2829"/>
      <c r="K2075" s="2837"/>
    </row>
    <row r="2076" spans="1:13">
      <c r="A2076" s="2837"/>
      <c r="B2076" s="2763" t="str">
        <f>отделка!G513</f>
        <v>планкен</v>
      </c>
      <c r="C2076" s="2890" t="str">
        <f>отделка!I513</f>
        <v>м2</v>
      </c>
      <c r="D2076" s="302">
        <f>отделка!J513</f>
        <v>0</v>
      </c>
      <c r="E2076" s="179">
        <f>отделка!K513</f>
        <v>500</v>
      </c>
      <c r="F2076" s="179"/>
      <c r="G2076" s="275">
        <f t="shared" si="303"/>
        <v>0</v>
      </c>
      <c r="H2076" s="2315">
        <f t="shared" si="305"/>
        <v>0</v>
      </c>
      <c r="I2076" s="2836">
        <f t="shared" si="304"/>
        <v>0</v>
      </c>
      <c r="J2076" s="2829"/>
      <c r="K2076" s="2837"/>
    </row>
    <row r="2077" spans="1:13">
      <c r="A2077" s="2837"/>
      <c r="B2077" s="2763" t="str">
        <f>отделка!G514</f>
        <v>камень</v>
      </c>
      <c r="C2077" s="2890" t="str">
        <f>отделка!I514</f>
        <v>м2</v>
      </c>
      <c r="D2077" s="302">
        <f>отделка!J514</f>
        <v>0</v>
      </c>
      <c r="E2077" s="179">
        <f>отделка!K514</f>
        <v>600</v>
      </c>
      <c r="F2077" s="179"/>
      <c r="G2077" s="275">
        <f t="shared" si="303"/>
        <v>0</v>
      </c>
      <c r="H2077" s="2315">
        <f t="shared" si="305"/>
        <v>0</v>
      </c>
      <c r="I2077" s="2836">
        <f t="shared" si="304"/>
        <v>0</v>
      </c>
      <c r="J2077" s="2829"/>
      <c r="K2077" s="2837"/>
    </row>
    <row r="2078" spans="1:13">
      <c r="A2078" s="2837"/>
      <c r="B2078" s="2763" t="str">
        <f>отделка!G515</f>
        <v>окрашивание поверхности</v>
      </c>
      <c r="C2078" s="2890" t="str">
        <f>отделка!I515</f>
        <v>м2</v>
      </c>
      <c r="D2078" s="302">
        <f>отделка!J515</f>
        <v>0</v>
      </c>
      <c r="E2078" s="179">
        <f>отделка!K515</f>
        <v>200</v>
      </c>
      <c r="F2078" s="179"/>
      <c r="G2078" s="275">
        <f t="shared" si="303"/>
        <v>0</v>
      </c>
      <c r="H2078" s="2315">
        <f t="shared" si="305"/>
        <v>0</v>
      </c>
      <c r="I2078" s="2836">
        <f t="shared" si="304"/>
        <v>0</v>
      </c>
      <c r="J2078" s="2829"/>
      <c r="K2078" s="2837"/>
    </row>
    <row r="2079" spans="1:13">
      <c r="A2079" s="2837"/>
      <c r="B2079" s="2763" t="str">
        <f>отделка!G516</f>
        <v>лакирование пов-ти</v>
      </c>
      <c r="C2079" s="2890" t="str">
        <f>отделка!I516</f>
        <v>м2</v>
      </c>
      <c r="D2079" s="302">
        <f>отделка!J516</f>
        <v>0</v>
      </c>
      <c r="E2079" s="179">
        <f>отделка!K516</f>
        <v>300</v>
      </c>
      <c r="F2079" s="179"/>
      <c r="G2079" s="275">
        <f t="shared" si="303"/>
        <v>0</v>
      </c>
      <c r="H2079" s="2315">
        <f t="shared" si="305"/>
        <v>0</v>
      </c>
      <c r="I2079" s="2836">
        <f t="shared" si="304"/>
        <v>0</v>
      </c>
      <c r="J2079" s="2829"/>
      <c r="K2079" s="2837"/>
    </row>
    <row r="2080" spans="1:13">
      <c r="A2080" s="2837"/>
      <c r="B2080" s="2763" t="str">
        <f>отделка!G517</f>
        <v>монтаж плоский шифер</v>
      </c>
      <c r="C2080" s="2890" t="str">
        <f>отделка!I517</f>
        <v>м2</v>
      </c>
      <c r="D2080" s="302">
        <f>отделка!J517</f>
        <v>0</v>
      </c>
      <c r="E2080" s="179">
        <f>отделка!K517</f>
        <v>120</v>
      </c>
      <c r="F2080" s="179"/>
      <c r="G2080" s="275">
        <f t="shared" si="303"/>
        <v>0</v>
      </c>
      <c r="H2080" s="2315">
        <f t="shared" si="305"/>
        <v>0</v>
      </c>
      <c r="I2080" s="2836">
        <f t="shared" si="304"/>
        <v>0</v>
      </c>
      <c r="J2080" s="2829"/>
      <c r="K2080" s="2837"/>
    </row>
    <row r="2081" spans="1:11">
      <c r="A2081" s="2837"/>
      <c r="B2081" s="2763" t="str">
        <f>отделка!G518</f>
        <v>имитация бруса</v>
      </c>
      <c r="C2081" s="2890" t="s">
        <v>133</v>
      </c>
      <c r="D2081" s="302">
        <f>отделка!J518</f>
        <v>0</v>
      </c>
      <c r="E2081" s="179">
        <f>отделка!K518</f>
        <v>400</v>
      </c>
      <c r="F2081" s="179"/>
      <c r="G2081" s="275">
        <f t="shared" si="303"/>
        <v>0</v>
      </c>
      <c r="H2081" s="2315">
        <f t="shared" si="305"/>
        <v>0</v>
      </c>
      <c r="I2081" s="2836">
        <f t="shared" si="304"/>
        <v>0</v>
      </c>
      <c r="J2081" s="2829"/>
      <c r="K2081" s="2837"/>
    </row>
    <row r="2082" spans="1:11">
      <c r="A2082" s="2837"/>
      <c r="B2082" s="2763" t="str">
        <f>отделка!G519</f>
        <v>Утепление наружних стен</v>
      </c>
      <c r="C2082" s="2890" t="str">
        <f>отделка!I519</f>
        <v>м2</v>
      </c>
      <c r="D2082" s="302">
        <f>отделка!J519</f>
        <v>118.8</v>
      </c>
      <c r="E2082" s="179">
        <f>отделка!K519</f>
        <v>200</v>
      </c>
      <c r="F2082" s="179"/>
      <c r="G2082" s="275">
        <f t="shared" si="303"/>
        <v>23760</v>
      </c>
      <c r="H2082" s="2315">
        <f t="shared" si="305"/>
        <v>0</v>
      </c>
      <c r="I2082" s="2836">
        <f t="shared" si="304"/>
        <v>0</v>
      </c>
      <c r="J2082" s="2829"/>
      <c r="K2082" s="2837"/>
    </row>
    <row r="2083" spans="1:11">
      <c r="A2083" s="2837"/>
      <c r="B2083" s="2763" t="str">
        <f>отделка!G520</f>
        <v>Оштукатуривание поверхности, подготовка</v>
      </c>
      <c r="C2083" s="2890" t="str">
        <f>отделка!I520</f>
        <v>м2</v>
      </c>
      <c r="D2083" s="302">
        <f>отделка!J520</f>
        <v>0</v>
      </c>
      <c r="E2083" s="179">
        <f>отделка!K520</f>
        <v>400</v>
      </c>
      <c r="F2083" s="179"/>
      <c r="G2083" s="275">
        <f t="shared" si="303"/>
        <v>0</v>
      </c>
      <c r="H2083" s="2315">
        <f t="shared" si="305"/>
        <v>0</v>
      </c>
      <c r="I2083" s="2836">
        <f t="shared" si="304"/>
        <v>0</v>
      </c>
      <c r="J2083" s="2829"/>
      <c r="K2083" s="2837"/>
    </row>
    <row r="2084" spans="1:11">
      <c r="A2084" s="2837"/>
      <c r="B2084" s="2763" t="str">
        <f>отделка!G521</f>
        <v>Наклейка сетки</v>
      </c>
      <c r="C2084" s="2890" t="str">
        <f>отделка!I521</f>
        <v>м2</v>
      </c>
      <c r="D2084" s="302">
        <f>отделка!J521</f>
        <v>0</v>
      </c>
      <c r="E2084" s="179">
        <f>отделка!K521</f>
        <v>200</v>
      </c>
      <c r="F2084" s="179"/>
      <c r="G2084" s="275">
        <f t="shared" si="303"/>
        <v>0</v>
      </c>
      <c r="H2084" s="2315">
        <f t="shared" si="305"/>
        <v>0</v>
      </c>
      <c r="I2084" s="2836">
        <f t="shared" si="304"/>
        <v>0</v>
      </c>
      <c r="J2084" s="2829"/>
      <c r="K2084" s="2837"/>
    </row>
    <row r="2085" spans="1:11">
      <c r="A2085" s="2837"/>
      <c r="B2085" s="2763" t="str">
        <f>отделка!G522</f>
        <v>Нанесение декоративной штукатурки</v>
      </c>
      <c r="C2085" s="2890" t="str">
        <f>отделка!I522</f>
        <v>м2</v>
      </c>
      <c r="D2085" s="302">
        <f>отделка!J522</f>
        <v>0</v>
      </c>
      <c r="E2085" s="179">
        <f>отделка!K522</f>
        <v>600</v>
      </c>
      <c r="F2085" s="179"/>
      <c r="G2085" s="275">
        <f t="shared" si="303"/>
        <v>0</v>
      </c>
      <c r="H2085" s="2315">
        <f t="shared" si="305"/>
        <v>0</v>
      </c>
      <c r="I2085" s="2836">
        <f t="shared" si="304"/>
        <v>0</v>
      </c>
      <c r="J2085" s="2829"/>
      <c r="K2085" s="2837"/>
    </row>
    <row r="2086" spans="1:11">
      <c r="A2086" s="2837"/>
      <c r="B2086" s="3301" t="s">
        <v>1568</v>
      </c>
      <c r="C2086" s="3301"/>
      <c r="D2086" s="3301"/>
      <c r="E2086" s="3301"/>
      <c r="F2086" s="2890"/>
      <c r="G2086" s="275">
        <f t="shared" si="303"/>
        <v>0</v>
      </c>
      <c r="H2086" s="2963">
        <f>IF(SUM(H2087:H2092)&gt;0,1,0)</f>
        <v>0</v>
      </c>
      <c r="I2086" s="2836">
        <f t="shared" si="304"/>
        <v>0</v>
      </c>
      <c r="J2086" s="2829"/>
      <c r="K2086" s="2837"/>
    </row>
    <row r="2087" spans="1:11">
      <c r="A2087" s="2837"/>
      <c r="B2087" s="2763" t="s">
        <v>1554</v>
      </c>
      <c r="C2087" s="2890" t="s">
        <v>133</v>
      </c>
      <c r="D2087" s="302">
        <f>отделка!J524</f>
        <v>0</v>
      </c>
      <c r="E2087" s="100">
        <f>отделка!K524</f>
        <v>200</v>
      </c>
      <c r="F2087" s="100"/>
      <c r="G2087" s="275">
        <f t="shared" si="303"/>
        <v>0</v>
      </c>
      <c r="H2087" s="2315">
        <f t="shared" ref="H2087:H2092" si="306">D2087*E2087*$H$2070</f>
        <v>0</v>
      </c>
      <c r="I2087" s="2836">
        <f t="shared" si="304"/>
        <v>0</v>
      </c>
      <c r="J2087" s="2829"/>
      <c r="K2087" s="2837"/>
    </row>
    <row r="2088" spans="1:11">
      <c r="A2088" s="2837"/>
      <c r="B2088" s="2763" t="s">
        <v>1569</v>
      </c>
      <c r="C2088" s="2890" t="s">
        <v>156</v>
      </c>
      <c r="D2088" s="302">
        <f>отделка!J525</f>
        <v>56</v>
      </c>
      <c r="E2088" s="100">
        <f>отделка!K525</f>
        <v>120</v>
      </c>
      <c r="F2088" s="100"/>
      <c r="G2088" s="275">
        <f t="shared" si="303"/>
        <v>6720</v>
      </c>
      <c r="H2088" s="2315">
        <f t="shared" si="306"/>
        <v>0</v>
      </c>
      <c r="I2088" s="2836">
        <f t="shared" si="304"/>
        <v>0</v>
      </c>
      <c r="J2088" s="2829"/>
      <c r="K2088" s="2837"/>
    </row>
    <row r="2089" spans="1:11">
      <c r="A2089" s="2837"/>
      <c r="B2089" s="2763" t="s">
        <v>1559</v>
      </c>
      <c r="C2089" s="2890" t="s">
        <v>133</v>
      </c>
      <c r="D2089" s="302">
        <f>отделка!J526</f>
        <v>22.400000000000002</v>
      </c>
      <c r="E2089" s="100">
        <f>отделка!K526</f>
        <v>120</v>
      </c>
      <c r="F2089" s="100"/>
      <c r="G2089" s="275">
        <f t="shared" si="303"/>
        <v>2688.0000000000005</v>
      </c>
      <c r="H2089" s="2315">
        <f t="shared" si="306"/>
        <v>0</v>
      </c>
      <c r="I2089" s="2836">
        <f t="shared" si="304"/>
        <v>0</v>
      </c>
      <c r="J2089" s="2829"/>
      <c r="K2089" s="2837"/>
    </row>
    <row r="2090" spans="1:11">
      <c r="A2090" s="2837"/>
      <c r="B2090" s="2763" t="s">
        <v>1570</v>
      </c>
      <c r="C2090" s="2890" t="s">
        <v>133</v>
      </c>
      <c r="D2090" s="302">
        <f>отделка!J527</f>
        <v>0</v>
      </c>
      <c r="E2090" s="100">
        <f>отделка!K527</f>
        <v>350</v>
      </c>
      <c r="F2090" s="100"/>
      <c r="G2090" s="275">
        <f t="shared" si="303"/>
        <v>0</v>
      </c>
      <c r="H2090" s="2315">
        <f t="shared" si="306"/>
        <v>0</v>
      </c>
      <c r="I2090" s="2836">
        <f t="shared" si="304"/>
        <v>0</v>
      </c>
      <c r="J2090" s="2829"/>
      <c r="K2090" s="2837"/>
    </row>
    <row r="2091" spans="1:11">
      <c r="A2091" s="2837"/>
      <c r="B2091" s="2763" t="s">
        <v>1571</v>
      </c>
      <c r="C2091" s="2890" t="s">
        <v>133</v>
      </c>
      <c r="D2091" s="302">
        <f>отделка!J528</f>
        <v>22.400000000000002</v>
      </c>
      <c r="E2091" s="100">
        <f>отделка!K528</f>
        <v>900</v>
      </c>
      <c r="F2091" s="100"/>
      <c r="G2091" s="275">
        <f t="shared" si="303"/>
        <v>20160.000000000004</v>
      </c>
      <c r="H2091" s="2315">
        <f t="shared" si="306"/>
        <v>0</v>
      </c>
      <c r="I2091" s="2836">
        <f t="shared" si="304"/>
        <v>0</v>
      </c>
      <c r="J2091" s="2829"/>
      <c r="K2091" s="2837"/>
    </row>
    <row r="2092" spans="1:11">
      <c r="A2092" s="2837"/>
      <c r="B2092" s="2763" t="s">
        <v>1572</v>
      </c>
      <c r="C2092" s="2890" t="s">
        <v>133</v>
      </c>
      <c r="D2092" s="302">
        <f>отделка!J529</f>
        <v>0</v>
      </c>
      <c r="E2092" s="100">
        <f>отделка!K529</f>
        <v>800</v>
      </c>
      <c r="F2092" s="100"/>
      <c r="G2092" s="275">
        <f t="shared" si="303"/>
        <v>0</v>
      </c>
      <c r="H2092" s="2315">
        <f t="shared" si="306"/>
        <v>0</v>
      </c>
      <c r="I2092" s="2836">
        <f t="shared" si="304"/>
        <v>0</v>
      </c>
      <c r="J2092" s="2829"/>
      <c r="K2092" s="2837"/>
    </row>
    <row r="2093" spans="1:11">
      <c r="A2093" s="2837"/>
      <c r="B2093" s="3301" t="s">
        <v>1573</v>
      </c>
      <c r="C2093" s="3301"/>
      <c r="D2093" s="3301"/>
      <c r="E2093" s="3301"/>
      <c r="F2093" s="2890"/>
      <c r="G2093" s="275">
        <f t="shared" si="303"/>
        <v>0</v>
      </c>
      <c r="H2093" s="2963">
        <f>IF(SUM(H2094:H2096)&gt;0,1,0)</f>
        <v>0</v>
      </c>
      <c r="I2093" s="2836">
        <f t="shared" si="304"/>
        <v>0</v>
      </c>
      <c r="J2093" s="2829"/>
      <c r="K2093" s="2837"/>
    </row>
    <row r="2094" spans="1:11">
      <c r="A2094" s="2837"/>
      <c r="B2094" s="2763" t="s">
        <v>1256</v>
      </c>
      <c r="C2094" s="2890" t="s">
        <v>133</v>
      </c>
      <c r="D2094" s="302">
        <f>отделка!J531</f>
        <v>0</v>
      </c>
      <c r="E2094" s="100">
        <f>отделка!K531</f>
        <v>600</v>
      </c>
      <c r="F2094" s="100"/>
      <c r="G2094" s="275">
        <f t="shared" si="303"/>
        <v>0</v>
      </c>
      <c r="H2094" s="2315">
        <f>D2094*E2094*$H$2070</f>
        <v>0</v>
      </c>
      <c r="I2094" s="2836">
        <f t="shared" si="304"/>
        <v>0</v>
      </c>
      <c r="J2094" s="2829"/>
      <c r="K2094" s="2837"/>
    </row>
    <row r="2095" spans="1:11">
      <c r="A2095" s="2837"/>
      <c r="B2095" s="2763" t="s">
        <v>1574</v>
      </c>
      <c r="C2095" s="2890" t="s">
        <v>133</v>
      </c>
      <c r="D2095" s="302">
        <f>отделка!J532</f>
        <v>0</v>
      </c>
      <c r="E2095" s="100">
        <f>отделка!K532</f>
        <v>500</v>
      </c>
      <c r="F2095" s="100"/>
      <c r="G2095" s="275">
        <f t="shared" si="303"/>
        <v>0</v>
      </c>
      <c r="H2095" s="2315">
        <f>D2095*E2095*$H$2070</f>
        <v>0</v>
      </c>
      <c r="I2095" s="2836">
        <f t="shared" si="304"/>
        <v>0</v>
      </c>
      <c r="J2095" s="2829"/>
      <c r="K2095" s="2837"/>
    </row>
    <row r="2096" spans="1:11">
      <c r="A2096" s="2837"/>
      <c r="B2096" s="2763" t="s">
        <v>1575</v>
      </c>
      <c r="C2096" s="2890" t="s">
        <v>133</v>
      </c>
      <c r="D2096" s="302">
        <f>отделка!J533</f>
        <v>118.8</v>
      </c>
      <c r="E2096" s="100">
        <f>отделка!K533</f>
        <v>100</v>
      </c>
      <c r="F2096" s="100"/>
      <c r="G2096" s="275">
        <f t="shared" si="303"/>
        <v>11880</v>
      </c>
      <c r="H2096" s="2315">
        <f>D2096*E2096*$H$2070</f>
        <v>0</v>
      </c>
      <c r="I2096" s="2836">
        <f t="shared" si="304"/>
        <v>0</v>
      </c>
      <c r="J2096" s="2829"/>
      <c r="K2096" s="2837"/>
    </row>
    <row r="2097" spans="1:12">
      <c r="A2097" s="2837"/>
      <c r="B2097" s="3278" t="s">
        <v>4641</v>
      </c>
      <c r="C2097" s="3278"/>
      <c r="D2097" s="3278"/>
      <c r="E2097" s="3278"/>
      <c r="F2097" s="2868"/>
      <c r="G2097" s="2315">
        <f>SUM(G2071:G2096)*H2070</f>
        <v>0</v>
      </c>
      <c r="H2097" s="2315">
        <f>SUM(H2071:H2096)</f>
        <v>0</v>
      </c>
      <c r="I2097" s="2836">
        <f t="shared" si="304"/>
        <v>0</v>
      </c>
      <c r="J2097" s="2829"/>
      <c r="K2097" s="2837"/>
    </row>
    <row r="2098" spans="1:12" ht="21">
      <c r="A2098" s="2837"/>
      <c r="B2098" s="3282" t="s">
        <v>4669</v>
      </c>
      <c r="C2098" s="3282"/>
      <c r="D2098" s="3282"/>
      <c r="E2098" s="3282"/>
      <c r="F2098" s="2887"/>
      <c r="G2098" s="941"/>
      <c r="H2098" s="2901">
        <f>VLOOKUP('Ввод данных'!F1262,связи1!A2:B3,2,0)</f>
        <v>0</v>
      </c>
      <c r="I2098" s="2940">
        <f>H2098</f>
        <v>0</v>
      </c>
      <c r="J2098" s="2829"/>
      <c r="K2098" s="2837"/>
    </row>
    <row r="2099" spans="1:12">
      <c r="A2099" s="2829"/>
      <c r="B2099" s="3285" t="s">
        <v>2720</v>
      </c>
      <c r="C2099" s="3285"/>
      <c r="D2099" s="3285"/>
      <c r="E2099" s="3285"/>
      <c r="F2099" s="2902"/>
      <c r="G2099" s="941"/>
      <c r="H2099" s="2903">
        <f>H2098</f>
        <v>0</v>
      </c>
      <c r="I2099" s="2940">
        <f>H2099</f>
        <v>0</v>
      </c>
      <c r="J2099" s="2850"/>
      <c r="K2099" s="2851"/>
    </row>
    <row r="2100" spans="1:12">
      <c r="A2100" s="2829"/>
      <c r="B2100" s="3301" t="s">
        <v>4670</v>
      </c>
      <c r="C2100" s="3301"/>
      <c r="D2100" s="3301"/>
      <c r="E2100" s="3301"/>
      <c r="F2100" s="2890"/>
      <c r="G2100" s="275">
        <f t="shared" ref="G2100:G2131" si="307">IF(F2100&gt;0,D2100*F2100,E2100*D2100)</f>
        <v>0</v>
      </c>
      <c r="H2100" s="2963">
        <f>IF(SUM(H2101:H2124)&gt;0,1,0)</f>
        <v>0</v>
      </c>
      <c r="I2100" s="2911">
        <f t="shared" ref="I2100:I2131" si="308">IF(G2100&gt;H2100,G2100,H2100)*$H$2098</f>
        <v>0</v>
      </c>
      <c r="J2100" s="2863"/>
      <c r="K2100" s="223">
        <f t="shared" ref="K2100:K2131" si="309">D2100-J2100</f>
        <v>0</v>
      </c>
      <c r="L2100" s="2854"/>
    </row>
    <row r="2101" spans="1:12">
      <c r="A2101" s="2837"/>
      <c r="B2101" s="302" t="s">
        <v>1268</v>
      </c>
      <c r="C2101" s="2890" t="s">
        <v>133</v>
      </c>
      <c r="D2101" s="302">
        <f>отделка!C630</f>
        <v>0</v>
      </c>
      <c r="E2101" s="100">
        <f>отделка!D630</f>
        <v>90</v>
      </c>
      <c r="F2101" s="100"/>
      <c r="G2101" s="275">
        <f t="shared" si="307"/>
        <v>0</v>
      </c>
      <c r="H2101" s="2315">
        <f t="shared" ref="H2101:H2124" si="310">D2101*E2101*$H$2099</f>
        <v>0</v>
      </c>
      <c r="I2101" s="2911">
        <f t="shared" si="308"/>
        <v>0</v>
      </c>
      <c r="J2101" s="2863"/>
      <c r="K2101" s="223">
        <f t="shared" si="309"/>
        <v>0</v>
      </c>
      <c r="L2101" s="2854"/>
    </row>
    <row r="2102" spans="1:12">
      <c r="A2102" s="2837"/>
      <c r="B2102" s="302" t="s">
        <v>1269</v>
      </c>
      <c r="C2102" s="2890" t="s">
        <v>159</v>
      </c>
      <c r="D2102" s="302">
        <f>отделка!C631</f>
        <v>0</v>
      </c>
      <c r="E2102" s="100">
        <f>отделка!D631</f>
        <v>100</v>
      </c>
      <c r="F2102" s="100"/>
      <c r="G2102" s="275">
        <f t="shared" si="307"/>
        <v>0</v>
      </c>
      <c r="H2102" s="2315">
        <f t="shared" si="310"/>
        <v>0</v>
      </c>
      <c r="I2102" s="2911">
        <f t="shared" si="308"/>
        <v>0</v>
      </c>
      <c r="J2102" s="2863"/>
      <c r="K2102" s="223">
        <f t="shared" si="309"/>
        <v>0</v>
      </c>
      <c r="L2102" s="2854"/>
    </row>
    <row r="2103" spans="1:12">
      <c r="A2103" s="2837"/>
      <c r="B2103" s="302" t="s">
        <v>1270</v>
      </c>
      <c r="C2103" s="2890" t="s">
        <v>159</v>
      </c>
      <c r="D2103" s="302">
        <f>отделка!C632</f>
        <v>0</v>
      </c>
      <c r="E2103" s="100">
        <f>отделка!D632</f>
        <v>100</v>
      </c>
      <c r="F2103" s="100"/>
      <c r="G2103" s="275">
        <f t="shared" si="307"/>
        <v>0</v>
      </c>
      <c r="H2103" s="2315">
        <f t="shared" si="310"/>
        <v>0</v>
      </c>
      <c r="I2103" s="2911">
        <f t="shared" si="308"/>
        <v>0</v>
      </c>
      <c r="J2103" s="2863"/>
      <c r="K2103" s="223">
        <f t="shared" si="309"/>
        <v>0</v>
      </c>
      <c r="L2103" s="2854"/>
    </row>
    <row r="2104" spans="1:12">
      <c r="A2104" s="2837"/>
      <c r="B2104" s="302" t="s">
        <v>1271</v>
      </c>
      <c r="C2104" s="2890" t="s">
        <v>159</v>
      </c>
      <c r="D2104" s="302">
        <f>отделка!C633</f>
        <v>0</v>
      </c>
      <c r="E2104" s="100">
        <f>отделка!D633</f>
        <v>9</v>
      </c>
      <c r="F2104" s="100"/>
      <c r="G2104" s="275">
        <f t="shared" si="307"/>
        <v>0</v>
      </c>
      <c r="H2104" s="2315">
        <f t="shared" si="310"/>
        <v>0</v>
      </c>
      <c r="I2104" s="2911">
        <f t="shared" si="308"/>
        <v>0</v>
      </c>
      <c r="J2104" s="2863"/>
      <c r="K2104" s="223">
        <f t="shared" si="309"/>
        <v>0</v>
      </c>
      <c r="L2104" s="2854"/>
    </row>
    <row r="2105" spans="1:12">
      <c r="A2105" s="2837"/>
      <c r="B2105" s="302" t="s">
        <v>1272</v>
      </c>
      <c r="C2105" s="2890" t="s">
        <v>159</v>
      </c>
      <c r="D2105" s="302">
        <f>отделка!C634</f>
        <v>0</v>
      </c>
      <c r="E2105" s="100">
        <f>отделка!D634</f>
        <v>2.5000000000000001E-2</v>
      </c>
      <c r="F2105" s="100"/>
      <c r="G2105" s="275">
        <f t="shared" si="307"/>
        <v>0</v>
      </c>
      <c r="H2105" s="2315">
        <f t="shared" si="310"/>
        <v>0</v>
      </c>
      <c r="I2105" s="2911">
        <f t="shared" si="308"/>
        <v>0</v>
      </c>
      <c r="J2105" s="2863"/>
      <c r="K2105" s="223">
        <f t="shared" si="309"/>
        <v>0</v>
      </c>
      <c r="L2105" s="2854"/>
    </row>
    <row r="2106" spans="1:12">
      <c r="A2106" s="2837"/>
      <c r="B2106" s="302" t="s">
        <v>1273</v>
      </c>
      <c r="C2106" s="2890" t="s">
        <v>159</v>
      </c>
      <c r="D2106" s="302">
        <f>отделка!C635</f>
        <v>0</v>
      </c>
      <c r="E2106" s="100">
        <f>отделка!D635</f>
        <v>2.5000000000000001E-2</v>
      </c>
      <c r="F2106" s="100"/>
      <c r="G2106" s="275">
        <f t="shared" si="307"/>
        <v>0</v>
      </c>
      <c r="H2106" s="2315">
        <f t="shared" si="310"/>
        <v>0</v>
      </c>
      <c r="I2106" s="2911">
        <f t="shared" si="308"/>
        <v>0</v>
      </c>
      <c r="J2106" s="2863"/>
      <c r="K2106" s="223">
        <f t="shared" si="309"/>
        <v>0</v>
      </c>
      <c r="L2106" s="2854"/>
    </row>
    <row r="2107" spans="1:12">
      <c r="A2107" s="2837"/>
      <c r="B2107" s="302" t="s">
        <v>1274</v>
      </c>
      <c r="C2107" s="2890" t="s">
        <v>159</v>
      </c>
      <c r="D2107" s="302">
        <f>отделка!C636</f>
        <v>0</v>
      </c>
      <c r="E2107" s="100">
        <f>отделка!D636</f>
        <v>500</v>
      </c>
      <c r="F2107" s="100"/>
      <c r="G2107" s="275">
        <f t="shared" si="307"/>
        <v>0</v>
      </c>
      <c r="H2107" s="2315">
        <f t="shared" si="310"/>
        <v>0</v>
      </c>
      <c r="I2107" s="2911">
        <f t="shared" si="308"/>
        <v>0</v>
      </c>
      <c r="J2107" s="2863"/>
      <c r="K2107" s="223">
        <f t="shared" si="309"/>
        <v>0</v>
      </c>
      <c r="L2107" s="2854"/>
    </row>
    <row r="2108" spans="1:12">
      <c r="A2108" s="2837"/>
      <c r="B2108" s="302" t="s">
        <v>1275</v>
      </c>
      <c r="C2108" s="2890" t="s">
        <v>159</v>
      </c>
      <c r="D2108" s="302">
        <f>отделка!C637</f>
        <v>0</v>
      </c>
      <c r="E2108" s="100">
        <f>отделка!D637</f>
        <v>500</v>
      </c>
      <c r="F2108" s="100"/>
      <c r="G2108" s="275">
        <f t="shared" si="307"/>
        <v>0</v>
      </c>
      <c r="H2108" s="2315">
        <f t="shared" si="310"/>
        <v>0</v>
      </c>
      <c r="I2108" s="2911">
        <f t="shared" si="308"/>
        <v>0</v>
      </c>
      <c r="J2108" s="2863"/>
      <c r="K2108" s="223">
        <f t="shared" si="309"/>
        <v>0</v>
      </c>
      <c r="L2108" s="2854"/>
    </row>
    <row r="2109" spans="1:12">
      <c r="A2109" s="2837"/>
      <c r="B2109" s="302" t="s">
        <v>1276</v>
      </c>
      <c r="C2109" s="2890" t="s">
        <v>159</v>
      </c>
      <c r="D2109" s="302">
        <f>отделка!C638</f>
        <v>0</v>
      </c>
      <c r="E2109" s="100">
        <f>отделка!D638</f>
        <v>400</v>
      </c>
      <c r="F2109" s="100"/>
      <c r="G2109" s="275">
        <f t="shared" si="307"/>
        <v>0</v>
      </c>
      <c r="H2109" s="2315">
        <f t="shared" si="310"/>
        <v>0</v>
      </c>
      <c r="I2109" s="2911">
        <f t="shared" si="308"/>
        <v>0</v>
      </c>
      <c r="J2109" s="2863"/>
      <c r="K2109" s="223">
        <f t="shared" si="309"/>
        <v>0</v>
      </c>
      <c r="L2109" s="2854"/>
    </row>
    <row r="2110" spans="1:12">
      <c r="A2110" s="2837"/>
      <c r="B2110" s="302" t="s">
        <v>1277</v>
      </c>
      <c r="C2110" s="2890" t="s">
        <v>159</v>
      </c>
      <c r="D2110" s="302">
        <f>отделка!C639</f>
        <v>0</v>
      </c>
      <c r="E2110" s="100">
        <f>отделка!D639</f>
        <v>100</v>
      </c>
      <c r="F2110" s="100"/>
      <c r="G2110" s="275">
        <f t="shared" si="307"/>
        <v>0</v>
      </c>
      <c r="H2110" s="2315">
        <f t="shared" si="310"/>
        <v>0</v>
      </c>
      <c r="I2110" s="2911">
        <f t="shared" si="308"/>
        <v>0</v>
      </c>
      <c r="J2110" s="2863"/>
      <c r="K2110" s="223">
        <f t="shared" si="309"/>
        <v>0</v>
      </c>
      <c r="L2110" s="2854"/>
    </row>
    <row r="2111" spans="1:12">
      <c r="A2111" s="2837"/>
      <c r="B2111" s="302" t="s">
        <v>1278</v>
      </c>
      <c r="C2111" s="2890" t="s">
        <v>133</v>
      </c>
      <c r="D2111" s="302">
        <f>отделка!C640</f>
        <v>0</v>
      </c>
      <c r="E2111" s="100">
        <f>отделка!D640</f>
        <v>30</v>
      </c>
      <c r="F2111" s="100"/>
      <c r="G2111" s="275">
        <f t="shared" si="307"/>
        <v>0</v>
      </c>
      <c r="H2111" s="2315">
        <f t="shared" si="310"/>
        <v>0</v>
      </c>
      <c r="I2111" s="2911">
        <f t="shared" si="308"/>
        <v>0</v>
      </c>
      <c r="J2111" s="2863"/>
      <c r="K2111" s="223">
        <f t="shared" si="309"/>
        <v>0</v>
      </c>
      <c r="L2111" s="2854"/>
    </row>
    <row r="2112" spans="1:12">
      <c r="A2112" s="2837"/>
      <c r="B2112" s="302" t="s">
        <v>1279</v>
      </c>
      <c r="C2112" s="2890" t="s">
        <v>159</v>
      </c>
      <c r="D2112" s="302">
        <f>отделка!C641</f>
        <v>0</v>
      </c>
      <c r="E2112" s="100">
        <f>отделка!D641</f>
        <v>120</v>
      </c>
      <c r="F2112" s="100"/>
      <c r="G2112" s="275">
        <f t="shared" si="307"/>
        <v>0</v>
      </c>
      <c r="H2112" s="2315">
        <f t="shared" si="310"/>
        <v>0</v>
      </c>
      <c r="I2112" s="2911">
        <f t="shared" si="308"/>
        <v>0</v>
      </c>
      <c r="J2112" s="2863"/>
      <c r="K2112" s="223">
        <f t="shared" si="309"/>
        <v>0</v>
      </c>
      <c r="L2112" s="2854"/>
    </row>
    <row r="2113" spans="1:12">
      <c r="A2113" s="2837"/>
      <c r="B2113" s="302" t="s">
        <v>1280</v>
      </c>
      <c r="C2113" s="2890" t="s">
        <v>159</v>
      </c>
      <c r="D2113" s="302">
        <f>отделка!C642</f>
        <v>0</v>
      </c>
      <c r="E2113" s="100">
        <f>отделка!D642</f>
        <v>900</v>
      </c>
      <c r="F2113" s="100"/>
      <c r="G2113" s="275">
        <f t="shared" si="307"/>
        <v>0</v>
      </c>
      <c r="H2113" s="2315">
        <f t="shared" si="310"/>
        <v>0</v>
      </c>
      <c r="I2113" s="2911">
        <f t="shared" si="308"/>
        <v>0</v>
      </c>
      <c r="J2113" s="2863"/>
      <c r="K2113" s="223">
        <f t="shared" si="309"/>
        <v>0</v>
      </c>
      <c r="L2113" s="2854"/>
    </row>
    <row r="2114" spans="1:12">
      <c r="A2114" s="2837"/>
      <c r="B2114" s="484" t="s">
        <v>1255</v>
      </c>
      <c r="C2114" s="2890" t="s">
        <v>133</v>
      </c>
      <c r="D2114" s="302">
        <f>отделка!C643</f>
        <v>0</v>
      </c>
      <c r="E2114" s="100">
        <f>отделка!D643</f>
        <v>350</v>
      </c>
      <c r="F2114" s="100"/>
      <c r="G2114" s="275">
        <f t="shared" si="307"/>
        <v>0</v>
      </c>
      <c r="H2114" s="2315">
        <f t="shared" si="310"/>
        <v>0</v>
      </c>
      <c r="I2114" s="2911">
        <f t="shared" si="308"/>
        <v>0</v>
      </c>
      <c r="J2114" s="2863"/>
      <c r="K2114" s="223">
        <f t="shared" si="309"/>
        <v>0</v>
      </c>
      <c r="L2114" s="2854"/>
    </row>
    <row r="2115" spans="1:12">
      <c r="A2115" s="2837"/>
      <c r="B2115" s="484" t="s">
        <v>1281</v>
      </c>
      <c r="C2115" s="2890" t="s">
        <v>133</v>
      </c>
      <c r="D2115" s="302">
        <f>отделка!C644</f>
        <v>0</v>
      </c>
      <c r="E2115" s="100">
        <f>отделка!D644</f>
        <v>500</v>
      </c>
      <c r="F2115" s="100"/>
      <c r="G2115" s="275">
        <f t="shared" si="307"/>
        <v>0</v>
      </c>
      <c r="H2115" s="2315">
        <f t="shared" si="310"/>
        <v>0</v>
      </c>
      <c r="I2115" s="2911">
        <f t="shared" si="308"/>
        <v>0</v>
      </c>
      <c r="J2115" s="2863"/>
      <c r="K2115" s="223">
        <f t="shared" si="309"/>
        <v>0</v>
      </c>
      <c r="L2115" s="2854"/>
    </row>
    <row r="2116" spans="1:12">
      <c r="A2116" s="2837"/>
      <c r="B2116" s="484" t="s">
        <v>1282</v>
      </c>
      <c r="C2116" s="2890" t="s">
        <v>133</v>
      </c>
      <c r="D2116" s="302">
        <f>отделка!C645</f>
        <v>0</v>
      </c>
      <c r="E2116" s="100">
        <f>отделка!D645</f>
        <v>250</v>
      </c>
      <c r="F2116" s="100"/>
      <c r="G2116" s="275">
        <f t="shared" si="307"/>
        <v>0</v>
      </c>
      <c r="H2116" s="2315">
        <f t="shared" si="310"/>
        <v>0</v>
      </c>
      <c r="I2116" s="2911">
        <f t="shared" si="308"/>
        <v>0</v>
      </c>
      <c r="J2116" s="2863"/>
      <c r="K2116" s="223">
        <f t="shared" si="309"/>
        <v>0</v>
      </c>
      <c r="L2116" s="2854"/>
    </row>
    <row r="2117" spans="1:12">
      <c r="A2117" s="2837"/>
      <c r="B2117" s="484" t="s">
        <v>1283</v>
      </c>
      <c r="C2117" s="2890" t="s">
        <v>156</v>
      </c>
      <c r="D2117" s="302">
        <f>отделка!C646</f>
        <v>0</v>
      </c>
      <c r="E2117" s="100">
        <f>отделка!D646</f>
        <v>6</v>
      </c>
      <c r="F2117" s="100"/>
      <c r="G2117" s="275">
        <f t="shared" si="307"/>
        <v>0</v>
      </c>
      <c r="H2117" s="2315">
        <f t="shared" si="310"/>
        <v>0</v>
      </c>
      <c r="I2117" s="2911">
        <f t="shared" si="308"/>
        <v>0</v>
      </c>
      <c r="J2117" s="2863"/>
      <c r="K2117" s="223">
        <f t="shared" si="309"/>
        <v>0</v>
      </c>
      <c r="L2117" s="2854"/>
    </row>
    <row r="2118" spans="1:12">
      <c r="A2118" s="2837"/>
      <c r="B2118" s="484" t="s">
        <v>1284</v>
      </c>
      <c r="C2118" s="2890" t="s">
        <v>159</v>
      </c>
      <c r="D2118" s="302">
        <f>отделка!C647</f>
        <v>0</v>
      </c>
      <c r="E2118" s="100">
        <f>отделка!D647</f>
        <v>8</v>
      </c>
      <c r="F2118" s="100"/>
      <c r="G2118" s="275">
        <f t="shared" si="307"/>
        <v>0</v>
      </c>
      <c r="H2118" s="2315">
        <f t="shared" si="310"/>
        <v>0</v>
      </c>
      <c r="I2118" s="2911">
        <f t="shared" si="308"/>
        <v>0</v>
      </c>
      <c r="J2118" s="2863"/>
      <c r="K2118" s="223">
        <f t="shared" si="309"/>
        <v>0</v>
      </c>
      <c r="L2118" s="2854"/>
    </row>
    <row r="2119" spans="1:12">
      <c r="A2119" s="2837"/>
      <c r="B2119" s="484" t="s">
        <v>1285</v>
      </c>
      <c r="C2119" s="2890" t="s">
        <v>159</v>
      </c>
      <c r="D2119" s="302">
        <f>отделка!C648</f>
        <v>0</v>
      </c>
      <c r="E2119" s="100">
        <f>отделка!D648</f>
        <v>0.02</v>
      </c>
      <c r="F2119" s="100"/>
      <c r="G2119" s="275">
        <f t="shared" si="307"/>
        <v>0</v>
      </c>
      <c r="H2119" s="2315">
        <f t="shared" si="310"/>
        <v>0</v>
      </c>
      <c r="I2119" s="2911">
        <f t="shared" si="308"/>
        <v>0</v>
      </c>
      <c r="J2119" s="2863"/>
      <c r="K2119" s="223">
        <f t="shared" si="309"/>
        <v>0</v>
      </c>
      <c r="L2119" s="2854"/>
    </row>
    <row r="2120" spans="1:12">
      <c r="A2120" s="2837"/>
      <c r="B2120" s="302" t="s">
        <v>1286</v>
      </c>
      <c r="C2120" s="2890" t="s">
        <v>159</v>
      </c>
      <c r="D2120" s="302">
        <f>отделка!C649</f>
        <v>0</v>
      </c>
      <c r="E2120" s="100">
        <f>отделка!D649</f>
        <v>0.02</v>
      </c>
      <c r="F2120" s="100"/>
      <c r="G2120" s="275">
        <f t="shared" si="307"/>
        <v>0</v>
      </c>
      <c r="H2120" s="2315">
        <f t="shared" si="310"/>
        <v>0</v>
      </c>
      <c r="I2120" s="2911">
        <f t="shared" si="308"/>
        <v>0</v>
      </c>
      <c r="J2120" s="2863"/>
      <c r="K2120" s="223">
        <f t="shared" si="309"/>
        <v>0</v>
      </c>
      <c r="L2120" s="2854"/>
    </row>
    <row r="2121" spans="1:12">
      <c r="A2121" s="2837"/>
      <c r="B2121" s="302" t="str">
        <f>отделка!G534</f>
        <v>Монтаж евровагонка</v>
      </c>
      <c r="C2121" s="2890" t="str">
        <f>отделка!I534</f>
        <v>м2</v>
      </c>
      <c r="D2121" s="302">
        <f>отделка!J534</f>
        <v>0</v>
      </c>
      <c r="E2121" s="179">
        <f>отделка!K534</f>
        <v>400</v>
      </c>
      <c r="F2121" s="179"/>
      <c r="G2121" s="275">
        <f t="shared" si="307"/>
        <v>0</v>
      </c>
      <c r="H2121" s="2315">
        <f t="shared" si="310"/>
        <v>0</v>
      </c>
      <c r="I2121" s="2911">
        <f t="shared" si="308"/>
        <v>0</v>
      </c>
      <c r="J2121" s="2863"/>
      <c r="K2121" s="223">
        <f t="shared" si="309"/>
        <v>0</v>
      </c>
      <c r="L2121" s="2854"/>
    </row>
    <row r="2122" spans="1:12">
      <c r="A2122" s="2837"/>
      <c r="B2122" s="302" t="str">
        <f>отделка!G535</f>
        <v>Монтаж вагонка штиль</v>
      </c>
      <c r="C2122" s="2890" t="str">
        <f>отделка!I535</f>
        <v>м2</v>
      </c>
      <c r="D2122" s="302">
        <f>отделка!J535</f>
        <v>0</v>
      </c>
      <c r="E2122" s="179">
        <f>отделка!K535</f>
        <v>400</v>
      </c>
      <c r="F2122" s="179"/>
      <c r="G2122" s="275">
        <f t="shared" si="307"/>
        <v>0</v>
      </c>
      <c r="H2122" s="2315">
        <f t="shared" si="310"/>
        <v>0</v>
      </c>
      <c r="I2122" s="2911">
        <f t="shared" si="308"/>
        <v>0</v>
      </c>
      <c r="J2122" s="2863"/>
      <c r="K2122" s="223">
        <f t="shared" si="309"/>
        <v>0</v>
      </c>
      <c r="L2122" s="2854"/>
    </row>
    <row r="2123" spans="1:12">
      <c r="A2123" s="2837"/>
      <c r="B2123" s="302" t="str">
        <f>отделка!G536</f>
        <v>Монтаж софт лайн</v>
      </c>
      <c r="C2123" s="2890" t="str">
        <f>отделка!I536</f>
        <v>м2</v>
      </c>
      <c r="D2123" s="302">
        <f>отделка!J536</f>
        <v>0</v>
      </c>
      <c r="E2123" s="179">
        <f>отделка!K536</f>
        <v>400</v>
      </c>
      <c r="F2123" s="179"/>
      <c r="G2123" s="275">
        <f t="shared" si="307"/>
        <v>0</v>
      </c>
      <c r="H2123" s="2315">
        <f t="shared" si="310"/>
        <v>0</v>
      </c>
      <c r="I2123" s="2911">
        <f t="shared" si="308"/>
        <v>0</v>
      </c>
      <c r="J2123" s="2863"/>
      <c r="K2123" s="223">
        <f t="shared" si="309"/>
        <v>0</v>
      </c>
      <c r="L2123" s="2854"/>
    </row>
    <row r="2124" spans="1:12">
      <c r="A2124" s="2837"/>
      <c r="B2124" s="302" t="str">
        <f>отделка!G537</f>
        <v>Монтаж блокхаус</v>
      </c>
      <c r="C2124" s="2890" t="str">
        <f>отделка!I537</f>
        <v>м2</v>
      </c>
      <c r="D2124" s="302">
        <f>отделка!J537</f>
        <v>0</v>
      </c>
      <c r="E2124" s="179">
        <f>отделка!K537</f>
        <v>400</v>
      </c>
      <c r="F2124" s="179"/>
      <c r="G2124" s="275">
        <f t="shared" si="307"/>
        <v>0</v>
      </c>
      <c r="H2124" s="2315">
        <f t="shared" si="310"/>
        <v>0</v>
      </c>
      <c r="I2124" s="2911">
        <f t="shared" si="308"/>
        <v>0</v>
      </c>
      <c r="J2124" s="2863"/>
      <c r="K2124" s="223">
        <f t="shared" si="309"/>
        <v>0</v>
      </c>
      <c r="L2124" s="2854"/>
    </row>
    <row r="2125" spans="1:12">
      <c r="A2125" s="2837"/>
      <c r="B2125" s="3301" t="s">
        <v>2386</v>
      </c>
      <c r="C2125" s="3301"/>
      <c r="D2125" s="3301"/>
      <c r="E2125" s="3301"/>
      <c r="F2125" s="2890"/>
      <c r="G2125" s="275">
        <f t="shared" si="307"/>
        <v>0</v>
      </c>
      <c r="H2125" s="2963">
        <f>IF(SUM(H2126:H2148)&gt;0,1,0)</f>
        <v>0</v>
      </c>
      <c r="I2125" s="2911">
        <f t="shared" si="308"/>
        <v>0</v>
      </c>
      <c r="J2125" s="2863"/>
      <c r="K2125" s="223">
        <f t="shared" si="309"/>
        <v>0</v>
      </c>
      <c r="L2125" s="2854"/>
    </row>
    <row r="2126" spans="1:12">
      <c r="A2126" s="2837"/>
      <c r="B2126" s="302" t="s">
        <v>1288</v>
      </c>
      <c r="C2126" s="2890" t="s">
        <v>133</v>
      </c>
      <c r="D2126" s="302">
        <f>отделка!C651</f>
        <v>0</v>
      </c>
      <c r="E2126" s="100">
        <f>отделка!D651</f>
        <v>80</v>
      </c>
      <c r="F2126" s="100"/>
      <c r="G2126" s="275">
        <f t="shared" si="307"/>
        <v>0</v>
      </c>
      <c r="H2126" s="2315">
        <f t="shared" ref="H2126:H2148" si="311">D2126*E2126*$H$2099</f>
        <v>0</v>
      </c>
      <c r="I2126" s="2911">
        <f t="shared" si="308"/>
        <v>0</v>
      </c>
      <c r="J2126" s="2863"/>
      <c r="K2126" s="223">
        <f t="shared" si="309"/>
        <v>0</v>
      </c>
      <c r="L2126" s="2854"/>
    </row>
    <row r="2127" spans="1:12">
      <c r="A2127" s="2837"/>
      <c r="B2127" s="302" t="s">
        <v>1269</v>
      </c>
      <c r="C2127" s="2890" t="s">
        <v>159</v>
      </c>
      <c r="D2127" s="302">
        <f>отделка!C652</f>
        <v>0</v>
      </c>
      <c r="E2127" s="100">
        <f>отделка!D652</f>
        <v>100</v>
      </c>
      <c r="F2127" s="100"/>
      <c r="G2127" s="275">
        <f t="shared" si="307"/>
        <v>0</v>
      </c>
      <c r="H2127" s="2315">
        <f t="shared" si="311"/>
        <v>0</v>
      </c>
      <c r="I2127" s="2911">
        <f t="shared" si="308"/>
        <v>0</v>
      </c>
      <c r="J2127" s="2863"/>
      <c r="K2127" s="223">
        <f t="shared" si="309"/>
        <v>0</v>
      </c>
      <c r="L2127" s="2854"/>
    </row>
    <row r="2128" spans="1:12">
      <c r="A2128" s="2837"/>
      <c r="B2128" s="302" t="s">
        <v>1270</v>
      </c>
      <c r="C2128" s="2890" t="s">
        <v>159</v>
      </c>
      <c r="D2128" s="302">
        <f>отделка!C653</f>
        <v>0</v>
      </c>
      <c r="E2128" s="100">
        <f>отделка!D653</f>
        <v>100</v>
      </c>
      <c r="F2128" s="100"/>
      <c r="G2128" s="275">
        <f t="shared" si="307"/>
        <v>0</v>
      </c>
      <c r="H2128" s="2315">
        <f t="shared" si="311"/>
        <v>0</v>
      </c>
      <c r="I2128" s="2911">
        <f t="shared" si="308"/>
        <v>0</v>
      </c>
      <c r="J2128" s="2863"/>
      <c r="K2128" s="223">
        <f t="shared" si="309"/>
        <v>0</v>
      </c>
      <c r="L2128" s="2854"/>
    </row>
    <row r="2129" spans="1:12">
      <c r="A2129" s="2837"/>
      <c r="B2129" s="302" t="s">
        <v>1271</v>
      </c>
      <c r="C2129" s="2890" t="s">
        <v>159</v>
      </c>
      <c r="D2129" s="302">
        <f>отделка!C654</f>
        <v>0</v>
      </c>
      <c r="E2129" s="100">
        <f>отделка!D654</f>
        <v>9</v>
      </c>
      <c r="F2129" s="100"/>
      <c r="G2129" s="275">
        <f t="shared" si="307"/>
        <v>0</v>
      </c>
      <c r="H2129" s="2315">
        <f t="shared" si="311"/>
        <v>0</v>
      </c>
      <c r="I2129" s="2911">
        <f t="shared" si="308"/>
        <v>0</v>
      </c>
      <c r="J2129" s="2863"/>
      <c r="K2129" s="223">
        <f t="shared" si="309"/>
        <v>0</v>
      </c>
      <c r="L2129" s="2854"/>
    </row>
    <row r="2130" spans="1:12">
      <c r="A2130" s="2837"/>
      <c r="B2130" s="302" t="s">
        <v>1272</v>
      </c>
      <c r="C2130" s="2890" t="s">
        <v>159</v>
      </c>
      <c r="D2130" s="302">
        <f>отделка!C655</f>
        <v>0</v>
      </c>
      <c r="E2130" s="100">
        <f>отделка!D655</f>
        <v>2.5000000000000001E-2</v>
      </c>
      <c r="F2130" s="100"/>
      <c r="G2130" s="275">
        <f t="shared" si="307"/>
        <v>0</v>
      </c>
      <c r="H2130" s="2315">
        <f t="shared" si="311"/>
        <v>0</v>
      </c>
      <c r="I2130" s="2911">
        <f t="shared" si="308"/>
        <v>0</v>
      </c>
      <c r="J2130" s="2863"/>
      <c r="K2130" s="223">
        <f t="shared" si="309"/>
        <v>0</v>
      </c>
      <c r="L2130" s="2854"/>
    </row>
    <row r="2131" spans="1:12">
      <c r="A2131" s="2837"/>
      <c r="B2131" s="302" t="s">
        <v>1273</v>
      </c>
      <c r="C2131" s="2890" t="s">
        <v>159</v>
      </c>
      <c r="D2131" s="302">
        <f>отделка!C656</f>
        <v>0</v>
      </c>
      <c r="E2131" s="100">
        <f>отделка!D656</f>
        <v>2.5000000000000001E-2</v>
      </c>
      <c r="F2131" s="100"/>
      <c r="G2131" s="275">
        <f t="shared" si="307"/>
        <v>0</v>
      </c>
      <c r="H2131" s="2315">
        <f t="shared" si="311"/>
        <v>0</v>
      </c>
      <c r="I2131" s="2911">
        <f t="shared" si="308"/>
        <v>0</v>
      </c>
      <c r="J2131" s="2863"/>
      <c r="K2131" s="223">
        <f t="shared" si="309"/>
        <v>0</v>
      </c>
      <c r="L2131" s="2854"/>
    </row>
    <row r="2132" spans="1:12">
      <c r="A2132" s="2837"/>
      <c r="B2132" s="302" t="s">
        <v>1274</v>
      </c>
      <c r="C2132" s="2890" t="s">
        <v>159</v>
      </c>
      <c r="D2132" s="302">
        <f>отделка!C657</f>
        <v>0</v>
      </c>
      <c r="E2132" s="100">
        <f>отделка!D657</f>
        <v>500</v>
      </c>
      <c r="F2132" s="100"/>
      <c r="G2132" s="275">
        <f t="shared" ref="G2132:G2163" si="312">IF(F2132&gt;0,D2132*F2132,E2132*D2132)</f>
        <v>0</v>
      </c>
      <c r="H2132" s="2315">
        <f t="shared" si="311"/>
        <v>0</v>
      </c>
      <c r="I2132" s="2911">
        <f t="shared" ref="I2132:I2163" si="313">IF(G2132&gt;H2132,G2132,H2132)*$H$2098</f>
        <v>0</v>
      </c>
      <c r="J2132" s="2863"/>
      <c r="K2132" s="223">
        <f t="shared" ref="K2132:K2163" si="314">D2132-J2132</f>
        <v>0</v>
      </c>
      <c r="L2132" s="2854"/>
    </row>
    <row r="2133" spans="1:12">
      <c r="A2133" s="2837"/>
      <c r="B2133" s="302" t="s">
        <v>1275</v>
      </c>
      <c r="C2133" s="2890" t="s">
        <v>159</v>
      </c>
      <c r="D2133" s="302">
        <f>отделка!C658</f>
        <v>0</v>
      </c>
      <c r="E2133" s="100">
        <f>отделка!D658</f>
        <v>500</v>
      </c>
      <c r="F2133" s="100"/>
      <c r="G2133" s="275">
        <f t="shared" si="312"/>
        <v>0</v>
      </c>
      <c r="H2133" s="2315">
        <f t="shared" si="311"/>
        <v>0</v>
      </c>
      <c r="I2133" s="2911">
        <f t="shared" si="313"/>
        <v>0</v>
      </c>
      <c r="J2133" s="2863"/>
      <c r="K2133" s="223">
        <f t="shared" si="314"/>
        <v>0</v>
      </c>
      <c r="L2133" s="2854"/>
    </row>
    <row r="2134" spans="1:12">
      <c r="A2134" s="2837"/>
      <c r="B2134" s="302" t="s">
        <v>1276</v>
      </c>
      <c r="C2134" s="2890" t="s">
        <v>159</v>
      </c>
      <c r="D2134" s="302">
        <f>отделка!C659</f>
        <v>0</v>
      </c>
      <c r="E2134" s="100">
        <f>отделка!D659</f>
        <v>400</v>
      </c>
      <c r="F2134" s="100"/>
      <c r="G2134" s="275">
        <f t="shared" si="312"/>
        <v>0</v>
      </c>
      <c r="H2134" s="2315">
        <f t="shared" si="311"/>
        <v>0</v>
      </c>
      <c r="I2134" s="2911">
        <f t="shared" si="313"/>
        <v>0</v>
      </c>
      <c r="J2134" s="2863"/>
      <c r="K2134" s="223">
        <f t="shared" si="314"/>
        <v>0</v>
      </c>
      <c r="L2134" s="2854"/>
    </row>
    <row r="2135" spans="1:12">
      <c r="A2135" s="2837"/>
      <c r="B2135" s="302" t="s">
        <v>1277</v>
      </c>
      <c r="C2135" s="2890" t="s">
        <v>159</v>
      </c>
      <c r="D2135" s="302">
        <f>отделка!C660</f>
        <v>0</v>
      </c>
      <c r="E2135" s="100">
        <f>отделка!D660</f>
        <v>100</v>
      </c>
      <c r="F2135" s="100"/>
      <c r="G2135" s="275">
        <f t="shared" si="312"/>
        <v>0</v>
      </c>
      <c r="H2135" s="2315">
        <f t="shared" si="311"/>
        <v>0</v>
      </c>
      <c r="I2135" s="2911">
        <f t="shared" si="313"/>
        <v>0</v>
      </c>
      <c r="J2135" s="2863"/>
      <c r="K2135" s="223">
        <f t="shared" si="314"/>
        <v>0</v>
      </c>
      <c r="L2135" s="2854"/>
    </row>
    <row r="2136" spans="1:12">
      <c r="A2136" s="2837"/>
      <c r="B2136" s="302" t="s">
        <v>1289</v>
      </c>
      <c r="C2136" s="2890" t="s">
        <v>159</v>
      </c>
      <c r="D2136" s="302">
        <f>отделка!C661</f>
        <v>0</v>
      </c>
      <c r="E2136" s="100">
        <f>отделка!D661</f>
        <v>1200</v>
      </c>
      <c r="F2136" s="100"/>
      <c r="G2136" s="275">
        <f t="shared" si="312"/>
        <v>0</v>
      </c>
      <c r="H2136" s="2315">
        <f t="shared" si="311"/>
        <v>0</v>
      </c>
      <c r="I2136" s="2911">
        <f t="shared" si="313"/>
        <v>0</v>
      </c>
      <c r="J2136" s="2863"/>
      <c r="K2136" s="223">
        <f t="shared" si="314"/>
        <v>0</v>
      </c>
      <c r="L2136" s="2854"/>
    </row>
    <row r="2137" spans="1:12">
      <c r="A2137" s="2837"/>
      <c r="B2137" s="302" t="s">
        <v>1290</v>
      </c>
      <c r="C2137" s="2890" t="s">
        <v>156</v>
      </c>
      <c r="D2137" s="302">
        <f>отделка!C662</f>
        <v>0</v>
      </c>
      <c r="E2137" s="100">
        <f>отделка!D662</f>
        <v>10</v>
      </c>
      <c r="F2137" s="100"/>
      <c r="G2137" s="275">
        <f t="shared" si="312"/>
        <v>0</v>
      </c>
      <c r="H2137" s="2315">
        <f t="shared" si="311"/>
        <v>0</v>
      </c>
      <c r="I2137" s="2911">
        <f t="shared" si="313"/>
        <v>0</v>
      </c>
      <c r="J2137" s="2863"/>
      <c r="K2137" s="223">
        <f t="shared" si="314"/>
        <v>0</v>
      </c>
      <c r="L2137" s="2854"/>
    </row>
    <row r="2138" spans="1:12">
      <c r="A2138" s="2837"/>
      <c r="B2138" s="302" t="s">
        <v>1291</v>
      </c>
      <c r="C2138" s="2890" t="s">
        <v>159</v>
      </c>
      <c r="D2138" s="302">
        <f>отделка!C663</f>
        <v>0</v>
      </c>
      <c r="E2138" s="100">
        <f>отделка!D663</f>
        <v>100</v>
      </c>
      <c r="F2138" s="100"/>
      <c r="G2138" s="275">
        <f t="shared" si="312"/>
        <v>0</v>
      </c>
      <c r="H2138" s="2315">
        <f t="shared" si="311"/>
        <v>0</v>
      </c>
      <c r="I2138" s="2911">
        <f t="shared" si="313"/>
        <v>0</v>
      </c>
      <c r="J2138" s="2863"/>
      <c r="K2138" s="223">
        <f t="shared" si="314"/>
        <v>0</v>
      </c>
      <c r="L2138" s="2854"/>
    </row>
    <row r="2139" spans="1:12">
      <c r="A2139" s="2837"/>
      <c r="B2139" s="302" t="s">
        <v>1292</v>
      </c>
      <c r="C2139" s="2890" t="s">
        <v>159</v>
      </c>
      <c r="D2139" s="302">
        <f>отделка!C664</f>
        <v>0</v>
      </c>
      <c r="E2139" s="100">
        <f>отделка!D664</f>
        <v>190</v>
      </c>
      <c r="F2139" s="100"/>
      <c r="G2139" s="275">
        <f t="shared" si="312"/>
        <v>0</v>
      </c>
      <c r="H2139" s="2315">
        <f t="shared" si="311"/>
        <v>0</v>
      </c>
      <c r="I2139" s="2911">
        <f t="shared" si="313"/>
        <v>0</v>
      </c>
      <c r="J2139" s="2863"/>
      <c r="K2139" s="223">
        <f t="shared" si="314"/>
        <v>0</v>
      </c>
      <c r="L2139" s="2854"/>
    </row>
    <row r="2140" spans="1:12">
      <c r="A2140" s="2837"/>
      <c r="B2140" s="302" t="s">
        <v>1293</v>
      </c>
      <c r="C2140" s="2890" t="s">
        <v>133</v>
      </c>
      <c r="D2140" s="302">
        <f>отделка!C665</f>
        <v>0</v>
      </c>
      <c r="E2140" s="100">
        <f>отделка!D665</f>
        <v>120</v>
      </c>
      <c r="F2140" s="100"/>
      <c r="G2140" s="275">
        <f t="shared" si="312"/>
        <v>0</v>
      </c>
      <c r="H2140" s="2315">
        <f t="shared" si="311"/>
        <v>0</v>
      </c>
      <c r="I2140" s="2911">
        <f t="shared" si="313"/>
        <v>0</v>
      </c>
      <c r="J2140" s="2863"/>
      <c r="K2140" s="223">
        <f t="shared" si="314"/>
        <v>0</v>
      </c>
      <c r="L2140" s="2854"/>
    </row>
    <row r="2141" spans="1:12">
      <c r="A2141" s="2837"/>
      <c r="B2141" s="302" t="s">
        <v>1294</v>
      </c>
      <c r="C2141" s="2890" t="s">
        <v>133</v>
      </c>
      <c r="D2141" s="302">
        <f>отделка!C666</f>
        <v>0</v>
      </c>
      <c r="E2141" s="100">
        <f>отделка!D666</f>
        <v>400</v>
      </c>
      <c r="F2141" s="100"/>
      <c r="G2141" s="275">
        <f t="shared" si="312"/>
        <v>0</v>
      </c>
      <c r="H2141" s="2315">
        <f t="shared" si="311"/>
        <v>0</v>
      </c>
      <c r="I2141" s="2911">
        <f t="shared" si="313"/>
        <v>0</v>
      </c>
      <c r="J2141" s="2863"/>
      <c r="K2141" s="223">
        <f t="shared" si="314"/>
        <v>0</v>
      </c>
      <c r="L2141" s="2854"/>
    </row>
    <row r="2142" spans="1:12">
      <c r="A2142" s="2837"/>
      <c r="B2142" s="484" t="s">
        <v>1255</v>
      </c>
      <c r="C2142" s="2890" t="s">
        <v>133</v>
      </c>
      <c r="D2142" s="302">
        <f>отделка!C667</f>
        <v>0</v>
      </c>
      <c r="E2142" s="100">
        <f>отделка!D667</f>
        <v>350</v>
      </c>
      <c r="F2142" s="100"/>
      <c r="G2142" s="275">
        <f t="shared" si="312"/>
        <v>0</v>
      </c>
      <c r="H2142" s="2315">
        <f t="shared" si="311"/>
        <v>0</v>
      </c>
      <c r="I2142" s="2911">
        <f t="shared" si="313"/>
        <v>0</v>
      </c>
      <c r="J2142" s="2863"/>
      <c r="K2142" s="223">
        <f t="shared" si="314"/>
        <v>0</v>
      </c>
      <c r="L2142" s="2854"/>
    </row>
    <row r="2143" spans="1:12">
      <c r="A2143" s="2837"/>
      <c r="B2143" s="484" t="s">
        <v>1281</v>
      </c>
      <c r="C2143" s="2890" t="s">
        <v>133</v>
      </c>
      <c r="D2143" s="302">
        <f>отделка!C668</f>
        <v>0</v>
      </c>
      <c r="E2143" s="100">
        <f>отделка!D668</f>
        <v>500</v>
      </c>
      <c r="F2143" s="100"/>
      <c r="G2143" s="275">
        <f t="shared" si="312"/>
        <v>0</v>
      </c>
      <c r="H2143" s="2315">
        <f t="shared" si="311"/>
        <v>0</v>
      </c>
      <c r="I2143" s="2911">
        <f t="shared" si="313"/>
        <v>0</v>
      </c>
      <c r="J2143" s="2863"/>
      <c r="K2143" s="223">
        <f t="shared" si="314"/>
        <v>0</v>
      </c>
      <c r="L2143" s="2854"/>
    </row>
    <row r="2144" spans="1:12">
      <c r="A2144" s="2837"/>
      <c r="B2144" s="484" t="s">
        <v>1282</v>
      </c>
      <c r="C2144" s="2890" t="s">
        <v>133</v>
      </c>
      <c r="D2144" s="302">
        <f>отделка!C669</f>
        <v>0</v>
      </c>
      <c r="E2144" s="100">
        <f>отделка!D669</f>
        <v>250</v>
      </c>
      <c r="F2144" s="100"/>
      <c r="G2144" s="275">
        <f t="shared" si="312"/>
        <v>0</v>
      </c>
      <c r="H2144" s="2315">
        <f t="shared" si="311"/>
        <v>0</v>
      </c>
      <c r="I2144" s="2911">
        <f t="shared" si="313"/>
        <v>0</v>
      </c>
      <c r="J2144" s="2863"/>
      <c r="K2144" s="223">
        <f t="shared" si="314"/>
        <v>0</v>
      </c>
      <c r="L2144" s="2854"/>
    </row>
    <row r="2145" spans="1:12">
      <c r="A2145" s="2837"/>
      <c r="B2145" s="484" t="s">
        <v>1283</v>
      </c>
      <c r="C2145" s="2890" t="s">
        <v>156</v>
      </c>
      <c r="D2145" s="302">
        <f>отделка!C670</f>
        <v>0</v>
      </c>
      <c r="E2145" s="100">
        <f>отделка!D670</f>
        <v>6</v>
      </c>
      <c r="F2145" s="100"/>
      <c r="G2145" s="275">
        <f t="shared" si="312"/>
        <v>0</v>
      </c>
      <c r="H2145" s="2315">
        <f t="shared" si="311"/>
        <v>0</v>
      </c>
      <c r="I2145" s="2911">
        <f t="shared" si="313"/>
        <v>0</v>
      </c>
      <c r="J2145" s="2863"/>
      <c r="K2145" s="223">
        <f t="shared" si="314"/>
        <v>0</v>
      </c>
      <c r="L2145" s="2854"/>
    </row>
    <row r="2146" spans="1:12">
      <c r="A2146" s="2837"/>
      <c r="B2146" s="484" t="s">
        <v>1284</v>
      </c>
      <c r="C2146" s="2890" t="s">
        <v>159</v>
      </c>
      <c r="D2146" s="302">
        <f>отделка!C671</f>
        <v>0</v>
      </c>
      <c r="E2146" s="100">
        <f>отделка!D671</f>
        <v>8</v>
      </c>
      <c r="F2146" s="100"/>
      <c r="G2146" s="275">
        <f t="shared" si="312"/>
        <v>0</v>
      </c>
      <c r="H2146" s="2315">
        <f t="shared" si="311"/>
        <v>0</v>
      </c>
      <c r="I2146" s="2911">
        <f t="shared" si="313"/>
        <v>0</v>
      </c>
      <c r="J2146" s="2863"/>
      <c r="K2146" s="223">
        <f t="shared" si="314"/>
        <v>0</v>
      </c>
      <c r="L2146" s="2854"/>
    </row>
    <row r="2147" spans="1:12">
      <c r="A2147" s="2837"/>
      <c r="B2147" s="484" t="s">
        <v>1285</v>
      </c>
      <c r="C2147" s="2890" t="s">
        <v>159</v>
      </c>
      <c r="D2147" s="302">
        <f>отделка!C672</f>
        <v>0</v>
      </c>
      <c r="E2147" s="100">
        <f>отделка!D672</f>
        <v>0.02</v>
      </c>
      <c r="F2147" s="100"/>
      <c r="G2147" s="275">
        <f t="shared" si="312"/>
        <v>0</v>
      </c>
      <c r="H2147" s="2315">
        <f t="shared" si="311"/>
        <v>0</v>
      </c>
      <c r="I2147" s="2911">
        <f t="shared" si="313"/>
        <v>0</v>
      </c>
      <c r="J2147" s="2863"/>
      <c r="K2147" s="223">
        <f t="shared" si="314"/>
        <v>0</v>
      </c>
      <c r="L2147" s="2854"/>
    </row>
    <row r="2148" spans="1:12">
      <c r="A2148" s="2837"/>
      <c r="B2148" s="302" t="s">
        <v>1286</v>
      </c>
      <c r="C2148" s="2890" t="s">
        <v>159</v>
      </c>
      <c r="D2148" s="302">
        <f>отделка!C673</f>
        <v>0</v>
      </c>
      <c r="E2148" s="100">
        <f>отделка!D673</f>
        <v>0.02</v>
      </c>
      <c r="F2148" s="100"/>
      <c r="G2148" s="275">
        <f t="shared" si="312"/>
        <v>0</v>
      </c>
      <c r="H2148" s="2315">
        <f t="shared" si="311"/>
        <v>0</v>
      </c>
      <c r="I2148" s="2911">
        <f t="shared" si="313"/>
        <v>0</v>
      </c>
      <c r="J2148" s="2863"/>
      <c r="K2148" s="223">
        <f t="shared" si="314"/>
        <v>0</v>
      </c>
      <c r="L2148" s="2854"/>
    </row>
    <row r="2149" spans="1:12">
      <c r="A2149" s="2837"/>
      <c r="B2149" s="3301" t="s">
        <v>4671</v>
      </c>
      <c r="C2149" s="3301"/>
      <c r="D2149" s="3301"/>
      <c r="E2149" s="3301"/>
      <c r="F2149" s="2890"/>
      <c r="G2149" s="275">
        <f t="shared" si="312"/>
        <v>0</v>
      </c>
      <c r="H2149" s="2963">
        <f>IF(SUM(H2150:H2159)&gt;0,1,0)</f>
        <v>0</v>
      </c>
      <c r="I2149" s="2911">
        <f t="shared" si="313"/>
        <v>0</v>
      </c>
      <c r="J2149" s="2863"/>
      <c r="K2149" s="223">
        <f t="shared" si="314"/>
        <v>0</v>
      </c>
      <c r="L2149" s="2854"/>
    </row>
    <row r="2150" spans="1:12">
      <c r="A2150" s="2837"/>
      <c r="B2150" s="302" t="s">
        <v>1296</v>
      </c>
      <c r="C2150" s="2890" t="s">
        <v>133</v>
      </c>
      <c r="D2150" s="302">
        <f>отделка!C675</f>
        <v>0</v>
      </c>
      <c r="E2150" s="100">
        <f>отделка!D675</f>
        <v>50</v>
      </c>
      <c r="F2150" s="100"/>
      <c r="G2150" s="275">
        <f t="shared" si="312"/>
        <v>0</v>
      </c>
      <c r="H2150" s="2315">
        <f t="shared" ref="H2150:H2159" si="315">D2150*E2150*$H$2099</f>
        <v>0</v>
      </c>
      <c r="I2150" s="2911">
        <f t="shared" si="313"/>
        <v>0</v>
      </c>
      <c r="J2150" s="2863"/>
      <c r="K2150" s="223">
        <f t="shared" si="314"/>
        <v>0</v>
      </c>
      <c r="L2150" s="2854"/>
    </row>
    <row r="2151" spans="1:12">
      <c r="A2151" s="2837"/>
      <c r="B2151" s="302" t="s">
        <v>1297</v>
      </c>
      <c r="C2151" s="2890" t="s">
        <v>133</v>
      </c>
      <c r="D2151" s="302">
        <f>отделка!C676</f>
        <v>0</v>
      </c>
      <c r="E2151" s="100">
        <f>отделка!D676</f>
        <v>350</v>
      </c>
      <c r="F2151" s="100"/>
      <c r="G2151" s="275">
        <f t="shared" si="312"/>
        <v>0</v>
      </c>
      <c r="H2151" s="2315">
        <f t="shared" si="315"/>
        <v>0</v>
      </c>
      <c r="I2151" s="2911">
        <f t="shared" si="313"/>
        <v>0</v>
      </c>
      <c r="J2151" s="2863"/>
      <c r="K2151" s="223">
        <f t="shared" si="314"/>
        <v>0</v>
      </c>
      <c r="L2151" s="2854"/>
    </row>
    <row r="2152" spans="1:12">
      <c r="A2152" s="2837"/>
      <c r="B2152" s="302" t="s">
        <v>1298</v>
      </c>
      <c r="C2152" s="2890" t="s">
        <v>133</v>
      </c>
      <c r="D2152" s="302">
        <f>отделка!C677</f>
        <v>94</v>
      </c>
      <c r="E2152" s="100">
        <f>отделка!D677</f>
        <v>450</v>
      </c>
      <c r="F2152" s="100"/>
      <c r="G2152" s="275">
        <f t="shared" si="312"/>
        <v>42300</v>
      </c>
      <c r="H2152" s="2315">
        <f t="shared" si="315"/>
        <v>0</v>
      </c>
      <c r="I2152" s="2911">
        <f t="shared" si="313"/>
        <v>0</v>
      </c>
      <c r="J2152" s="2863"/>
      <c r="K2152" s="223">
        <f t="shared" si="314"/>
        <v>94</v>
      </c>
      <c r="L2152" s="2854"/>
    </row>
    <row r="2153" spans="1:12">
      <c r="A2153" s="2837"/>
      <c r="B2153" s="302" t="s">
        <v>1299</v>
      </c>
      <c r="C2153" s="2890" t="s">
        <v>159</v>
      </c>
      <c r="D2153" s="302">
        <f>отделка!C678</f>
        <v>0</v>
      </c>
      <c r="E2153" s="100">
        <f>отделка!D678</f>
        <v>35</v>
      </c>
      <c r="F2153" s="100"/>
      <c r="G2153" s="275">
        <f t="shared" si="312"/>
        <v>0</v>
      </c>
      <c r="H2153" s="2315">
        <f t="shared" si="315"/>
        <v>0</v>
      </c>
      <c r="I2153" s="2911">
        <f t="shared" si="313"/>
        <v>0</v>
      </c>
      <c r="J2153" s="2863"/>
      <c r="K2153" s="223">
        <f t="shared" si="314"/>
        <v>0</v>
      </c>
      <c r="L2153" s="2854"/>
    </row>
    <row r="2154" spans="1:12">
      <c r="A2154" s="2837"/>
      <c r="B2154" s="302" t="s">
        <v>1300</v>
      </c>
      <c r="C2154" s="2890" t="s">
        <v>156</v>
      </c>
      <c r="D2154" s="302">
        <f>отделка!C679</f>
        <v>0</v>
      </c>
      <c r="E2154" s="100">
        <f>отделка!D679</f>
        <v>35</v>
      </c>
      <c r="F2154" s="100"/>
      <c r="G2154" s="275">
        <f t="shared" si="312"/>
        <v>0</v>
      </c>
      <c r="H2154" s="2315">
        <f t="shared" si="315"/>
        <v>0</v>
      </c>
      <c r="I2154" s="2911">
        <f t="shared" si="313"/>
        <v>0</v>
      </c>
      <c r="J2154" s="2863"/>
      <c r="K2154" s="223">
        <f t="shared" si="314"/>
        <v>0</v>
      </c>
      <c r="L2154" s="2854"/>
    </row>
    <row r="2155" spans="1:12">
      <c r="A2155" s="2837"/>
      <c r="B2155" s="302" t="s">
        <v>1301</v>
      </c>
      <c r="C2155" s="2890" t="s">
        <v>133</v>
      </c>
      <c r="D2155" s="302">
        <f>отделка!C680</f>
        <v>0</v>
      </c>
      <c r="E2155" s="100">
        <f>отделка!D680</f>
        <v>500</v>
      </c>
      <c r="F2155" s="100"/>
      <c r="G2155" s="275">
        <f t="shared" si="312"/>
        <v>0</v>
      </c>
      <c r="H2155" s="2315">
        <f t="shared" si="315"/>
        <v>0</v>
      </c>
      <c r="I2155" s="2911">
        <f t="shared" si="313"/>
        <v>0</v>
      </c>
      <c r="J2155" s="2863"/>
      <c r="K2155" s="223">
        <f t="shared" si="314"/>
        <v>0</v>
      </c>
      <c r="L2155" s="2854"/>
    </row>
    <row r="2156" spans="1:12">
      <c r="A2156" s="2837"/>
      <c r="B2156" s="302" t="s">
        <v>1302</v>
      </c>
      <c r="C2156" s="2890" t="s">
        <v>159</v>
      </c>
      <c r="D2156" s="302">
        <f>отделка!C681</f>
        <v>0</v>
      </c>
      <c r="E2156" s="100">
        <f>отделка!D681</f>
        <v>250</v>
      </c>
      <c r="F2156" s="100"/>
      <c r="G2156" s="275">
        <f t="shared" si="312"/>
        <v>0</v>
      </c>
      <c r="H2156" s="2315">
        <f t="shared" si="315"/>
        <v>0</v>
      </c>
      <c r="I2156" s="2911">
        <f t="shared" si="313"/>
        <v>0</v>
      </c>
      <c r="J2156" s="2863"/>
      <c r="K2156" s="223">
        <f t="shared" si="314"/>
        <v>0</v>
      </c>
      <c r="L2156" s="2854"/>
    </row>
    <row r="2157" spans="1:12">
      <c r="A2157" s="2837"/>
      <c r="B2157" s="302" t="s">
        <v>1274</v>
      </c>
      <c r="C2157" s="2890" t="s">
        <v>159</v>
      </c>
      <c r="D2157" s="302">
        <f>отделка!C682</f>
        <v>0</v>
      </c>
      <c r="E2157" s="100">
        <f>отделка!D682</f>
        <v>500</v>
      </c>
      <c r="F2157" s="100"/>
      <c r="G2157" s="275">
        <f t="shared" si="312"/>
        <v>0</v>
      </c>
      <c r="H2157" s="2315">
        <f t="shared" si="315"/>
        <v>0</v>
      </c>
      <c r="I2157" s="2911">
        <f t="shared" si="313"/>
        <v>0</v>
      </c>
      <c r="J2157" s="2863"/>
      <c r="K2157" s="223">
        <f t="shared" si="314"/>
        <v>0</v>
      </c>
      <c r="L2157" s="2854"/>
    </row>
    <row r="2158" spans="1:12">
      <c r="A2158" s="2837"/>
      <c r="B2158" s="302" t="s">
        <v>1303</v>
      </c>
      <c r="C2158" s="2890" t="s">
        <v>159</v>
      </c>
      <c r="D2158" s="302">
        <f>отделка!C683</f>
        <v>0</v>
      </c>
      <c r="E2158" s="100">
        <f>отделка!D683</f>
        <v>200</v>
      </c>
      <c r="F2158" s="100"/>
      <c r="G2158" s="275">
        <f t="shared" si="312"/>
        <v>0</v>
      </c>
      <c r="H2158" s="2315">
        <f t="shared" si="315"/>
        <v>0</v>
      </c>
      <c r="I2158" s="2911">
        <f t="shared" si="313"/>
        <v>0</v>
      </c>
      <c r="J2158" s="2863"/>
      <c r="K2158" s="223">
        <f t="shared" si="314"/>
        <v>0</v>
      </c>
      <c r="L2158" s="2854"/>
    </row>
    <row r="2159" spans="1:12">
      <c r="A2159" s="2837"/>
      <c r="B2159" s="302" t="s">
        <v>1304</v>
      </c>
      <c r="C2159" s="2890" t="s">
        <v>159</v>
      </c>
      <c r="D2159" s="302">
        <f>отделка!C684</f>
        <v>0</v>
      </c>
      <c r="E2159" s="100">
        <f>отделка!D684</f>
        <v>400</v>
      </c>
      <c r="F2159" s="100"/>
      <c r="G2159" s="275">
        <f t="shared" si="312"/>
        <v>0</v>
      </c>
      <c r="H2159" s="2315">
        <f t="shared" si="315"/>
        <v>0</v>
      </c>
      <c r="I2159" s="2911">
        <f t="shared" si="313"/>
        <v>0</v>
      </c>
      <c r="J2159" s="2863"/>
      <c r="K2159" s="223">
        <f t="shared" si="314"/>
        <v>0</v>
      </c>
      <c r="L2159" s="2854"/>
    </row>
    <row r="2160" spans="1:12">
      <c r="A2160" s="2837"/>
      <c r="B2160" s="3301" t="s">
        <v>1305</v>
      </c>
      <c r="C2160" s="3301"/>
      <c r="D2160" s="3301"/>
      <c r="E2160" s="3301"/>
      <c r="F2160" s="2970"/>
      <c r="G2160" s="275">
        <f t="shared" si="312"/>
        <v>0</v>
      </c>
      <c r="H2160" s="2963">
        <f>IF(SUM(H2161:H2171)&gt;0,1,0)</f>
        <v>0</v>
      </c>
      <c r="I2160" s="2911">
        <f t="shared" si="313"/>
        <v>0</v>
      </c>
      <c r="J2160" s="2863"/>
      <c r="K2160" s="223">
        <f t="shared" si="314"/>
        <v>0</v>
      </c>
      <c r="L2160" s="2854"/>
    </row>
    <row r="2161" spans="1:12">
      <c r="A2161" s="2837"/>
      <c r="B2161" s="302" t="s">
        <v>1306</v>
      </c>
      <c r="C2161" s="2890" t="s">
        <v>133</v>
      </c>
      <c r="D2161" s="302">
        <f>отделка!C686</f>
        <v>0</v>
      </c>
      <c r="E2161" s="100">
        <f>отделка!D686</f>
        <v>500</v>
      </c>
      <c r="F2161" s="100"/>
      <c r="G2161" s="275">
        <f t="shared" si="312"/>
        <v>0</v>
      </c>
      <c r="H2161" s="2315">
        <f t="shared" ref="H2161:H2171" si="316">D2161*E2161*$H$2099</f>
        <v>0</v>
      </c>
      <c r="I2161" s="2911">
        <f t="shared" si="313"/>
        <v>0</v>
      </c>
      <c r="J2161" s="2863"/>
      <c r="K2161" s="223">
        <f t="shared" si="314"/>
        <v>0</v>
      </c>
      <c r="L2161" s="2854"/>
    </row>
    <row r="2162" spans="1:12">
      <c r="A2162" s="2837"/>
      <c r="B2162" s="302" t="s">
        <v>1307</v>
      </c>
      <c r="C2162" s="2890" t="s">
        <v>133</v>
      </c>
      <c r="D2162" s="302">
        <f>отделка!C687</f>
        <v>0</v>
      </c>
      <c r="E2162" s="100">
        <f>отделка!D687</f>
        <v>500</v>
      </c>
      <c r="F2162" s="100"/>
      <c r="G2162" s="275">
        <f t="shared" si="312"/>
        <v>0</v>
      </c>
      <c r="H2162" s="2315">
        <f t="shared" si="316"/>
        <v>0</v>
      </c>
      <c r="I2162" s="2911">
        <f t="shared" si="313"/>
        <v>0</v>
      </c>
      <c r="J2162" s="2863"/>
      <c r="K2162" s="223">
        <f t="shared" si="314"/>
        <v>0</v>
      </c>
      <c r="L2162" s="2854"/>
    </row>
    <row r="2163" spans="1:12">
      <c r="A2163" s="2837"/>
      <c r="B2163" s="302" t="s">
        <v>1308</v>
      </c>
      <c r="C2163" s="2890" t="s">
        <v>133</v>
      </c>
      <c r="D2163" s="302">
        <f>отделка!C688</f>
        <v>0</v>
      </c>
      <c r="E2163" s="100">
        <f>отделка!D688</f>
        <v>500</v>
      </c>
      <c r="F2163" s="100"/>
      <c r="G2163" s="275">
        <f t="shared" si="312"/>
        <v>0</v>
      </c>
      <c r="H2163" s="2315">
        <f t="shared" si="316"/>
        <v>0</v>
      </c>
      <c r="I2163" s="2911">
        <f t="shared" si="313"/>
        <v>0</v>
      </c>
      <c r="J2163" s="2863"/>
      <c r="K2163" s="223">
        <f t="shared" si="314"/>
        <v>0</v>
      </c>
      <c r="L2163" s="2854"/>
    </row>
    <row r="2164" spans="1:12">
      <c r="A2164" s="2837"/>
      <c r="B2164" s="302" t="s">
        <v>1302</v>
      </c>
      <c r="C2164" s="2890" t="s">
        <v>159</v>
      </c>
      <c r="D2164" s="302">
        <f>отделка!C689</f>
        <v>0</v>
      </c>
      <c r="E2164" s="100">
        <f>отделка!D689</f>
        <v>250</v>
      </c>
      <c r="F2164" s="100"/>
      <c r="G2164" s="275">
        <f t="shared" ref="G2164:G2195" si="317">IF(F2164&gt;0,D2164*F2164,E2164*D2164)</f>
        <v>0</v>
      </c>
      <c r="H2164" s="2315">
        <f t="shared" si="316"/>
        <v>0</v>
      </c>
      <c r="I2164" s="2911">
        <f t="shared" ref="I2164:I2195" si="318">IF(G2164&gt;H2164,G2164,H2164)*$H$2098</f>
        <v>0</v>
      </c>
      <c r="J2164" s="2863"/>
      <c r="K2164" s="223">
        <f t="shared" ref="K2164:K2195" si="319">D2164-J2164</f>
        <v>0</v>
      </c>
      <c r="L2164" s="2854"/>
    </row>
    <row r="2165" spans="1:12">
      <c r="A2165" s="2837"/>
      <c r="B2165" s="302" t="s">
        <v>1274</v>
      </c>
      <c r="C2165" s="2890" t="s">
        <v>159</v>
      </c>
      <c r="D2165" s="302">
        <f>отделка!C690</f>
        <v>0</v>
      </c>
      <c r="E2165" s="100">
        <f>отделка!D690</f>
        <v>500</v>
      </c>
      <c r="F2165" s="100"/>
      <c r="G2165" s="275">
        <f t="shared" si="317"/>
        <v>0</v>
      </c>
      <c r="H2165" s="2315">
        <f t="shared" si="316"/>
        <v>0</v>
      </c>
      <c r="I2165" s="2911">
        <f t="shared" si="318"/>
        <v>0</v>
      </c>
      <c r="J2165" s="2863"/>
      <c r="K2165" s="223">
        <f t="shared" si="319"/>
        <v>0</v>
      </c>
      <c r="L2165" s="2854"/>
    </row>
    <row r="2166" spans="1:12">
      <c r="A2166" s="2837"/>
      <c r="B2166" s="302" t="s">
        <v>1309</v>
      </c>
      <c r="C2166" s="2890" t="s">
        <v>159</v>
      </c>
      <c r="D2166" s="302">
        <f>отделка!C691</f>
        <v>0</v>
      </c>
      <c r="E2166" s="100">
        <f>отделка!D691</f>
        <v>200</v>
      </c>
      <c r="F2166" s="100"/>
      <c r="G2166" s="275">
        <f t="shared" si="317"/>
        <v>0</v>
      </c>
      <c r="H2166" s="2315">
        <f t="shared" si="316"/>
        <v>0</v>
      </c>
      <c r="I2166" s="2911">
        <f t="shared" si="318"/>
        <v>0</v>
      </c>
      <c r="J2166" s="2863"/>
      <c r="K2166" s="223">
        <f t="shared" si="319"/>
        <v>0</v>
      </c>
      <c r="L2166" s="2854"/>
    </row>
    <row r="2167" spans="1:12">
      <c r="A2167" s="2837"/>
      <c r="B2167" s="302" t="s">
        <v>1304</v>
      </c>
      <c r="C2167" s="2890" t="s">
        <v>159</v>
      </c>
      <c r="D2167" s="302">
        <f>отделка!C692</f>
        <v>0</v>
      </c>
      <c r="E2167" s="100">
        <f>отделка!D692</f>
        <v>400</v>
      </c>
      <c r="F2167" s="100"/>
      <c r="G2167" s="275">
        <f t="shared" si="317"/>
        <v>0</v>
      </c>
      <c r="H2167" s="2315">
        <f t="shared" si="316"/>
        <v>0</v>
      </c>
      <c r="I2167" s="2911">
        <f t="shared" si="318"/>
        <v>0</v>
      </c>
      <c r="J2167" s="2863"/>
      <c r="K2167" s="223">
        <f t="shared" si="319"/>
        <v>0</v>
      </c>
      <c r="L2167" s="2854"/>
    </row>
    <row r="2168" spans="1:12">
      <c r="A2168" s="2837"/>
      <c r="B2168" s="302" t="s">
        <v>1310</v>
      </c>
      <c r="C2168" s="2890" t="s">
        <v>133</v>
      </c>
      <c r="D2168" s="302">
        <f>отделка!C693</f>
        <v>0</v>
      </c>
      <c r="E2168" s="100">
        <f>отделка!D693</f>
        <v>250</v>
      </c>
      <c r="F2168" s="100"/>
      <c r="G2168" s="275">
        <f t="shared" si="317"/>
        <v>0</v>
      </c>
      <c r="H2168" s="2315">
        <f t="shared" si="316"/>
        <v>0</v>
      </c>
      <c r="I2168" s="2911">
        <f t="shared" si="318"/>
        <v>0</v>
      </c>
      <c r="J2168" s="2863"/>
      <c r="K2168" s="223">
        <f t="shared" si="319"/>
        <v>0</v>
      </c>
      <c r="L2168" s="2854"/>
    </row>
    <row r="2169" spans="1:12">
      <c r="A2169" s="2837"/>
      <c r="B2169" s="302" t="s">
        <v>1311</v>
      </c>
      <c r="C2169" s="2890" t="s">
        <v>133</v>
      </c>
      <c r="D2169" s="302">
        <f>отделка!C694</f>
        <v>0</v>
      </c>
      <c r="E2169" s="100">
        <f>отделка!D694</f>
        <v>250</v>
      </c>
      <c r="F2169" s="100"/>
      <c r="G2169" s="275">
        <f t="shared" si="317"/>
        <v>0</v>
      </c>
      <c r="H2169" s="2315">
        <f t="shared" si="316"/>
        <v>0</v>
      </c>
      <c r="I2169" s="2911">
        <f t="shared" si="318"/>
        <v>0</v>
      </c>
      <c r="J2169" s="2863"/>
      <c r="K2169" s="223">
        <f t="shared" si="319"/>
        <v>0</v>
      </c>
      <c r="L2169" s="2854"/>
    </row>
    <row r="2170" spans="1:12">
      <c r="A2170" s="2837"/>
      <c r="B2170" s="302" t="s">
        <v>1312</v>
      </c>
      <c r="C2170" s="2890" t="s">
        <v>159</v>
      </c>
      <c r="D2170" s="302">
        <f>отделка!C695</f>
        <v>0</v>
      </c>
      <c r="E2170" s="100">
        <f>отделка!D695</f>
        <v>120</v>
      </c>
      <c r="F2170" s="100"/>
      <c r="G2170" s="275">
        <f t="shared" si="317"/>
        <v>0</v>
      </c>
      <c r="H2170" s="2315">
        <f t="shared" si="316"/>
        <v>0</v>
      </c>
      <c r="I2170" s="2911">
        <f t="shared" si="318"/>
        <v>0</v>
      </c>
      <c r="J2170" s="2863"/>
      <c r="K2170" s="223">
        <f t="shared" si="319"/>
        <v>0</v>
      </c>
      <c r="L2170" s="2854"/>
    </row>
    <row r="2171" spans="1:12">
      <c r="A2171" s="2837"/>
      <c r="B2171" s="302" t="s">
        <v>1294</v>
      </c>
      <c r="C2171" s="2890" t="s">
        <v>133</v>
      </c>
      <c r="D2171" s="302">
        <f>отделка!C696</f>
        <v>0</v>
      </c>
      <c r="E2171" s="100">
        <f>отделка!D696</f>
        <v>400</v>
      </c>
      <c r="F2171" s="100"/>
      <c r="G2171" s="275">
        <f t="shared" si="317"/>
        <v>0</v>
      </c>
      <c r="H2171" s="2315">
        <f t="shared" si="316"/>
        <v>0</v>
      </c>
      <c r="I2171" s="2911">
        <f t="shared" si="318"/>
        <v>0</v>
      </c>
      <c r="J2171" s="2863"/>
      <c r="K2171" s="223">
        <f t="shared" si="319"/>
        <v>0</v>
      </c>
      <c r="L2171" s="2854"/>
    </row>
    <row r="2172" spans="1:12">
      <c r="A2172" s="2837"/>
      <c r="B2172" s="3301" t="s">
        <v>1313</v>
      </c>
      <c r="C2172" s="3301"/>
      <c r="D2172" s="3301"/>
      <c r="E2172" s="3301"/>
      <c r="F2172" s="2890"/>
      <c r="G2172" s="275">
        <f t="shared" si="317"/>
        <v>0</v>
      </c>
      <c r="H2172" s="2963">
        <f>IF(SUM(H2173:H2178)&gt;0,1,0)</f>
        <v>0</v>
      </c>
      <c r="I2172" s="2911">
        <f t="shared" si="318"/>
        <v>0</v>
      </c>
      <c r="J2172" s="2863"/>
      <c r="K2172" s="223">
        <f t="shared" si="319"/>
        <v>0</v>
      </c>
      <c r="L2172" s="2854"/>
    </row>
    <row r="2173" spans="1:12">
      <c r="A2173" s="2837"/>
      <c r="B2173" s="302" t="s">
        <v>1314</v>
      </c>
      <c r="C2173" s="2890" t="s">
        <v>159</v>
      </c>
      <c r="D2173" s="302">
        <f>отделка!C698</f>
        <v>0</v>
      </c>
      <c r="E2173" s="100">
        <f>отделка!D698</f>
        <v>1900</v>
      </c>
      <c r="F2173" s="100"/>
      <c r="G2173" s="275">
        <f t="shared" si="317"/>
        <v>0</v>
      </c>
      <c r="H2173" s="2315">
        <f t="shared" ref="H2173:H2178" si="320">D2173*E2173*$H$2099</f>
        <v>0</v>
      </c>
      <c r="I2173" s="2911">
        <f t="shared" si="318"/>
        <v>0</v>
      </c>
      <c r="J2173" s="2863"/>
      <c r="K2173" s="223">
        <f t="shared" si="319"/>
        <v>0</v>
      </c>
      <c r="L2173" s="2854"/>
    </row>
    <row r="2174" spans="1:12">
      <c r="A2174" s="2837"/>
      <c r="B2174" s="302" t="s">
        <v>1315</v>
      </c>
      <c r="C2174" s="2890" t="s">
        <v>159</v>
      </c>
      <c r="D2174" s="302">
        <f>отделка!C699</f>
        <v>0</v>
      </c>
      <c r="E2174" s="100">
        <f>отделка!D699</f>
        <v>250</v>
      </c>
      <c r="F2174" s="100"/>
      <c r="G2174" s="275">
        <f t="shared" si="317"/>
        <v>0</v>
      </c>
      <c r="H2174" s="2315">
        <f t="shared" si="320"/>
        <v>0</v>
      </c>
      <c r="I2174" s="2911">
        <f t="shared" si="318"/>
        <v>0</v>
      </c>
      <c r="J2174" s="2863"/>
      <c r="K2174" s="223">
        <f t="shared" si="319"/>
        <v>0</v>
      </c>
      <c r="L2174" s="2854"/>
    </row>
    <row r="2175" spans="1:12">
      <c r="A2175" s="2837"/>
      <c r="B2175" s="302" t="s">
        <v>1316</v>
      </c>
      <c r="C2175" s="2890" t="s">
        <v>159</v>
      </c>
      <c r="D2175" s="302">
        <f>отделка!C700</f>
        <v>0</v>
      </c>
      <c r="E2175" s="100">
        <f>отделка!D700</f>
        <v>100</v>
      </c>
      <c r="F2175" s="100"/>
      <c r="G2175" s="275">
        <f t="shared" si="317"/>
        <v>0</v>
      </c>
      <c r="H2175" s="2315">
        <f t="shared" si="320"/>
        <v>0</v>
      </c>
      <c r="I2175" s="2911">
        <f t="shared" si="318"/>
        <v>0</v>
      </c>
      <c r="J2175" s="2863"/>
      <c r="K2175" s="223">
        <f t="shared" si="319"/>
        <v>0</v>
      </c>
      <c r="L2175" s="2854"/>
    </row>
    <row r="2176" spans="1:12">
      <c r="A2176" s="2837"/>
      <c r="B2176" s="302" t="s">
        <v>1317</v>
      </c>
      <c r="C2176" s="2890" t="s">
        <v>159</v>
      </c>
      <c r="D2176" s="302">
        <f>отделка!C701</f>
        <v>0</v>
      </c>
      <c r="E2176" s="100">
        <f>отделка!D701</f>
        <v>100</v>
      </c>
      <c r="F2176" s="100"/>
      <c r="G2176" s="275">
        <f t="shared" si="317"/>
        <v>0</v>
      </c>
      <c r="H2176" s="2315">
        <f t="shared" si="320"/>
        <v>0</v>
      </c>
      <c r="I2176" s="2911">
        <f t="shared" si="318"/>
        <v>0</v>
      </c>
      <c r="J2176" s="2863"/>
      <c r="K2176" s="223">
        <f t="shared" si="319"/>
        <v>0</v>
      </c>
      <c r="L2176" s="2854"/>
    </row>
    <row r="2177" spans="1:13">
      <c r="A2177" s="2837"/>
      <c r="B2177" s="302" t="s">
        <v>1318</v>
      </c>
      <c r="C2177" s="2890" t="s">
        <v>159</v>
      </c>
      <c r="D2177" s="302">
        <f>отделка!C702</f>
        <v>0</v>
      </c>
      <c r="E2177" s="100">
        <f>отделка!D702</f>
        <v>250</v>
      </c>
      <c r="F2177" s="100"/>
      <c r="G2177" s="275">
        <f t="shared" si="317"/>
        <v>0</v>
      </c>
      <c r="H2177" s="2315">
        <f t="shared" si="320"/>
        <v>0</v>
      </c>
      <c r="I2177" s="2911">
        <f t="shared" si="318"/>
        <v>0</v>
      </c>
      <c r="J2177" s="2863"/>
      <c r="K2177" s="223">
        <f t="shared" si="319"/>
        <v>0</v>
      </c>
      <c r="L2177" s="2854"/>
    </row>
    <row r="2178" spans="1:13">
      <c r="A2178" s="2837"/>
      <c r="B2178" s="302" t="s">
        <v>1319</v>
      </c>
      <c r="C2178" s="2890" t="s">
        <v>159</v>
      </c>
      <c r="D2178" s="302">
        <f>отделка!C703</f>
        <v>0</v>
      </c>
      <c r="E2178" s="100">
        <f>отделка!D703</f>
        <v>500</v>
      </c>
      <c r="F2178" s="100"/>
      <c r="G2178" s="275">
        <f t="shared" si="317"/>
        <v>0</v>
      </c>
      <c r="H2178" s="2315">
        <f t="shared" si="320"/>
        <v>0</v>
      </c>
      <c r="I2178" s="2911">
        <f t="shared" si="318"/>
        <v>0</v>
      </c>
      <c r="J2178" s="2863"/>
      <c r="K2178" s="223">
        <f t="shared" si="319"/>
        <v>0</v>
      </c>
      <c r="L2178" s="2854"/>
    </row>
    <row r="2179" spans="1:13">
      <c r="A2179" s="2837"/>
      <c r="B2179" s="3278" t="s">
        <v>4640</v>
      </c>
      <c r="C2179" s="3278"/>
      <c r="D2179" s="3278"/>
      <c r="E2179" s="3278"/>
      <c r="F2179" s="2868"/>
      <c r="G2179" s="2315">
        <f>SUM(G2101:G2178)*H2098</f>
        <v>0</v>
      </c>
      <c r="H2179" s="2315">
        <f>SUM(H2101:H2178)</f>
        <v>0</v>
      </c>
      <c r="I2179" s="2911">
        <f t="shared" si="318"/>
        <v>0</v>
      </c>
      <c r="J2179" s="2863"/>
      <c r="K2179" s="223"/>
      <c r="L2179" s="2854"/>
    </row>
    <row r="2180" spans="1:13">
      <c r="A2180" s="2837"/>
      <c r="B2180" s="3279" t="s">
        <v>1409</v>
      </c>
      <c r="C2180" s="3279"/>
      <c r="D2180" s="3279"/>
      <c r="E2180" s="3279"/>
      <c r="F2180" s="2870"/>
      <c r="G2180" s="941"/>
      <c r="H2180" s="2891">
        <f>H2098</f>
        <v>0</v>
      </c>
      <c r="I2180" s="2940">
        <f>H2180</f>
        <v>0</v>
      </c>
      <c r="J2180" s="2892"/>
      <c r="K2180" s="2893"/>
    </row>
    <row r="2181" spans="1:13">
      <c r="A2181" s="2829"/>
      <c r="B2181" s="3301" t="s">
        <v>1552</v>
      </c>
      <c r="C2181" s="3301"/>
      <c r="D2181" s="3301"/>
      <c r="E2181" s="3301"/>
      <c r="F2181" s="2890"/>
      <c r="G2181" s="275">
        <f t="shared" ref="G2181:G2224" si="321">IF(F2181&gt;0,D2181*F2181,E2181*D2181)</f>
        <v>0</v>
      </c>
      <c r="H2181" s="2963">
        <f>IF(SUM(H2182:H2191)&gt;0,1,0)</f>
        <v>0</v>
      </c>
      <c r="I2181" s="2836">
        <f t="shared" ref="I2181:I2225" si="322">IF(G2181&gt;H2181,G2181,H2181)*$H$2098</f>
        <v>0</v>
      </c>
      <c r="L2181" s="910"/>
      <c r="M2181" s="910"/>
    </row>
    <row r="2182" spans="1:13">
      <c r="A2182" s="2837"/>
      <c r="B2182" s="2763" t="s">
        <v>1577</v>
      </c>
      <c r="C2182" s="2890" t="s">
        <v>133</v>
      </c>
      <c r="D2182" s="302">
        <f>отделка!J630</f>
        <v>0</v>
      </c>
      <c r="E2182" s="100">
        <f>отделка!K630</f>
        <v>100</v>
      </c>
      <c r="F2182" s="100"/>
      <c r="G2182" s="275">
        <f t="shared" si="321"/>
        <v>0</v>
      </c>
      <c r="H2182" s="2315">
        <f t="shared" ref="H2182:H2191" si="323">D2182*E2182*$H$2180</f>
        <v>0</v>
      </c>
      <c r="I2182" s="2836">
        <f t="shared" si="322"/>
        <v>0</v>
      </c>
      <c r="L2182" s="910"/>
      <c r="M2182" s="910"/>
    </row>
    <row r="2183" spans="1:13">
      <c r="A2183" s="2837"/>
      <c r="B2183" s="2763" t="s">
        <v>1554</v>
      </c>
      <c r="C2183" s="2890" t="s">
        <v>133</v>
      </c>
      <c r="D2183" s="302">
        <f>отделка!J631</f>
        <v>0</v>
      </c>
      <c r="E2183" s="100">
        <f>отделка!K631</f>
        <v>90</v>
      </c>
      <c r="F2183" s="100"/>
      <c r="G2183" s="275">
        <f t="shared" si="321"/>
        <v>0</v>
      </c>
      <c r="H2183" s="2315">
        <f t="shared" si="323"/>
        <v>0</v>
      </c>
      <c r="I2183" s="2836">
        <f t="shared" si="322"/>
        <v>0</v>
      </c>
      <c r="L2183" s="910"/>
      <c r="M2183" s="910"/>
    </row>
    <row r="2184" spans="1:13">
      <c r="A2184" s="2837"/>
      <c r="B2184" s="2763" t="s">
        <v>1578</v>
      </c>
      <c r="C2184" s="2890" t="s">
        <v>133</v>
      </c>
      <c r="D2184" s="302">
        <f>отделка!J632</f>
        <v>0</v>
      </c>
      <c r="E2184" s="100">
        <f>отделка!K632</f>
        <v>50</v>
      </c>
      <c r="F2184" s="100"/>
      <c r="G2184" s="275">
        <f t="shared" si="321"/>
        <v>0</v>
      </c>
      <c r="H2184" s="2315">
        <f t="shared" si="323"/>
        <v>0</v>
      </c>
      <c r="I2184" s="2836">
        <f t="shared" si="322"/>
        <v>0</v>
      </c>
      <c r="J2184" s="2829"/>
      <c r="K2184" s="2837"/>
    </row>
    <row r="2185" spans="1:13">
      <c r="A2185" s="2837"/>
      <c r="B2185" s="302" t="s">
        <v>1579</v>
      </c>
      <c r="C2185" s="2890" t="s">
        <v>133</v>
      </c>
      <c r="D2185" s="302">
        <f>отделка!J633</f>
        <v>0</v>
      </c>
      <c r="E2185" s="100">
        <f>отделка!K633</f>
        <v>100</v>
      </c>
      <c r="F2185" s="100"/>
      <c r="G2185" s="275">
        <f t="shared" si="321"/>
        <v>0</v>
      </c>
      <c r="H2185" s="2315">
        <f t="shared" si="323"/>
        <v>0</v>
      </c>
      <c r="I2185" s="2836">
        <f t="shared" si="322"/>
        <v>0</v>
      </c>
      <c r="J2185" s="2829"/>
      <c r="K2185" s="2837"/>
    </row>
    <row r="2186" spans="1:13">
      <c r="A2186" s="2837"/>
      <c r="B2186" s="302" t="s">
        <v>1580</v>
      </c>
      <c r="C2186" s="2890" t="s">
        <v>133</v>
      </c>
      <c r="D2186" s="302">
        <f>отделка!J634</f>
        <v>0</v>
      </c>
      <c r="E2186" s="100">
        <f>отделка!K634</f>
        <v>120</v>
      </c>
      <c r="F2186" s="100"/>
      <c r="G2186" s="275">
        <f t="shared" si="321"/>
        <v>0</v>
      </c>
      <c r="H2186" s="2315">
        <f t="shared" si="323"/>
        <v>0</v>
      </c>
      <c r="I2186" s="2836">
        <f t="shared" si="322"/>
        <v>0</v>
      </c>
      <c r="J2186" s="2829"/>
      <c r="K2186" s="2837"/>
    </row>
    <row r="2187" spans="1:13">
      <c r="A2187" s="2837"/>
      <c r="B2187" s="302" t="s">
        <v>1581</v>
      </c>
      <c r="C2187" s="2890" t="s">
        <v>133</v>
      </c>
      <c r="D2187" s="302">
        <f>отделка!J635</f>
        <v>0</v>
      </c>
      <c r="E2187" s="100">
        <f>отделка!K635</f>
        <v>100</v>
      </c>
      <c r="F2187" s="100"/>
      <c r="G2187" s="275">
        <f t="shared" si="321"/>
        <v>0</v>
      </c>
      <c r="H2187" s="2315">
        <f t="shared" si="323"/>
        <v>0</v>
      </c>
      <c r="I2187" s="2836">
        <f t="shared" si="322"/>
        <v>0</v>
      </c>
      <c r="J2187" s="2829"/>
      <c r="K2187" s="2837"/>
    </row>
    <row r="2188" spans="1:13">
      <c r="A2188" s="2837"/>
      <c r="B2188" s="484" t="s">
        <v>1255</v>
      </c>
      <c r="C2188" s="2890" t="s">
        <v>133</v>
      </c>
      <c r="D2188" s="302">
        <f>отделка!J636</f>
        <v>0</v>
      </c>
      <c r="E2188" s="100">
        <f>отделка!K636</f>
        <v>400</v>
      </c>
      <c r="F2188" s="100"/>
      <c r="G2188" s="275">
        <f t="shared" si="321"/>
        <v>0</v>
      </c>
      <c r="H2188" s="2315">
        <f t="shared" si="323"/>
        <v>0</v>
      </c>
      <c r="I2188" s="2836">
        <f t="shared" si="322"/>
        <v>0</v>
      </c>
      <c r="J2188" s="2829"/>
      <c r="K2188" s="2837"/>
    </row>
    <row r="2189" spans="1:13">
      <c r="A2189" s="2837"/>
      <c r="B2189" s="484" t="s">
        <v>1281</v>
      </c>
      <c r="C2189" s="2890" t="s">
        <v>133</v>
      </c>
      <c r="D2189" s="302">
        <f>отделка!J637</f>
        <v>0</v>
      </c>
      <c r="E2189" s="100">
        <f>отделка!K637</f>
        <v>400</v>
      </c>
      <c r="F2189" s="100"/>
      <c r="G2189" s="275">
        <f t="shared" si="321"/>
        <v>0</v>
      </c>
      <c r="H2189" s="2315">
        <f t="shared" si="323"/>
        <v>0</v>
      </c>
      <c r="I2189" s="2836">
        <f t="shared" si="322"/>
        <v>0</v>
      </c>
      <c r="J2189" s="2829"/>
      <c r="K2189" s="2837"/>
    </row>
    <row r="2190" spans="1:13">
      <c r="A2190" s="2837"/>
      <c r="B2190" s="484" t="s">
        <v>1282</v>
      </c>
      <c r="C2190" s="2890" t="s">
        <v>133</v>
      </c>
      <c r="D2190" s="302">
        <f>отделка!J638</f>
        <v>0</v>
      </c>
      <c r="E2190" s="100">
        <f>отделка!K638</f>
        <v>400</v>
      </c>
      <c r="F2190" s="100"/>
      <c r="G2190" s="275">
        <f t="shared" si="321"/>
        <v>0</v>
      </c>
      <c r="H2190" s="2315">
        <f t="shared" si="323"/>
        <v>0</v>
      </c>
      <c r="I2190" s="2836">
        <f t="shared" si="322"/>
        <v>0</v>
      </c>
      <c r="J2190" s="2829"/>
      <c r="K2190" s="2837"/>
    </row>
    <row r="2191" spans="1:13">
      <c r="A2191" s="2837"/>
      <c r="B2191" s="484" t="s">
        <v>1283</v>
      </c>
      <c r="C2191" s="2890" t="s">
        <v>133</v>
      </c>
      <c r="D2191" s="302">
        <f>отделка!J639</f>
        <v>0</v>
      </c>
      <c r="E2191" s="100">
        <f>отделка!K639</f>
        <v>100</v>
      </c>
      <c r="F2191" s="100"/>
      <c r="G2191" s="275">
        <f t="shared" si="321"/>
        <v>0</v>
      </c>
      <c r="H2191" s="2315">
        <f t="shared" si="323"/>
        <v>0</v>
      </c>
      <c r="I2191" s="2836">
        <f t="shared" si="322"/>
        <v>0</v>
      </c>
      <c r="J2191" s="2829"/>
      <c r="K2191" s="2837"/>
    </row>
    <row r="2192" spans="1:13">
      <c r="A2192" s="2837"/>
      <c r="B2192" s="3301" t="s">
        <v>1582</v>
      </c>
      <c r="C2192" s="3301"/>
      <c r="D2192" s="3301"/>
      <c r="E2192" s="3301"/>
      <c r="F2192" s="2890"/>
      <c r="G2192" s="275">
        <f t="shared" si="321"/>
        <v>0</v>
      </c>
      <c r="H2192" s="2963">
        <f>IF(SUM(H2193:H2205)&gt;0,1,0)</f>
        <v>0</v>
      </c>
      <c r="I2192" s="2836">
        <f t="shared" si="322"/>
        <v>0</v>
      </c>
      <c r="J2192" s="2829"/>
      <c r="K2192" s="2837"/>
    </row>
    <row r="2193" spans="1:11">
      <c r="A2193" s="2837"/>
      <c r="B2193" s="2763" t="s">
        <v>1583</v>
      </c>
      <c r="C2193" s="2890" t="s">
        <v>133</v>
      </c>
      <c r="D2193" s="302">
        <f>отделка!J641</f>
        <v>0</v>
      </c>
      <c r="E2193" s="100">
        <f>отделка!K641</f>
        <v>150</v>
      </c>
      <c r="F2193" s="100"/>
      <c r="G2193" s="275">
        <f t="shared" si="321"/>
        <v>0</v>
      </c>
      <c r="H2193" s="2315">
        <f t="shared" ref="H2193:H2205" si="324">D2193*E2193*$H$2180</f>
        <v>0</v>
      </c>
      <c r="I2193" s="2836">
        <f t="shared" si="322"/>
        <v>0</v>
      </c>
      <c r="J2193" s="2829"/>
      <c r="K2193" s="2837"/>
    </row>
    <row r="2194" spans="1:11">
      <c r="A2194" s="2837"/>
      <c r="B2194" s="2763" t="s">
        <v>1554</v>
      </c>
      <c r="C2194" s="2890" t="s">
        <v>133</v>
      </c>
      <c r="D2194" s="302">
        <f>отделка!J642</f>
        <v>0</v>
      </c>
      <c r="E2194" s="100">
        <f>отделка!K642</f>
        <v>120</v>
      </c>
      <c r="F2194" s="100"/>
      <c r="G2194" s="275">
        <f t="shared" si="321"/>
        <v>0</v>
      </c>
      <c r="H2194" s="2315">
        <f t="shared" si="324"/>
        <v>0</v>
      </c>
      <c r="I2194" s="2836">
        <f t="shared" si="322"/>
        <v>0</v>
      </c>
      <c r="J2194" s="2829"/>
      <c r="K2194" s="2837"/>
    </row>
    <row r="2195" spans="1:11">
      <c r="A2195" s="2837"/>
      <c r="B2195" s="2763" t="s">
        <v>1584</v>
      </c>
      <c r="C2195" s="2890" t="s">
        <v>133</v>
      </c>
      <c r="D2195" s="302">
        <f>отделка!J643</f>
        <v>0</v>
      </c>
      <c r="E2195" s="100">
        <f>отделка!K643</f>
        <v>80</v>
      </c>
      <c r="F2195" s="100"/>
      <c r="G2195" s="275">
        <f t="shared" si="321"/>
        <v>0</v>
      </c>
      <c r="H2195" s="2315">
        <f t="shared" si="324"/>
        <v>0</v>
      </c>
      <c r="I2195" s="2836">
        <f t="shared" si="322"/>
        <v>0</v>
      </c>
      <c r="J2195" s="2829"/>
      <c r="K2195" s="2837"/>
    </row>
    <row r="2196" spans="1:11">
      <c r="A2196" s="2837"/>
      <c r="B2196" s="2763" t="s">
        <v>1585</v>
      </c>
      <c r="C2196" s="2890" t="s">
        <v>133</v>
      </c>
      <c r="D2196" s="302">
        <f>отделка!J644</f>
        <v>0</v>
      </c>
      <c r="E2196" s="100">
        <f>отделка!K644</f>
        <v>100</v>
      </c>
      <c r="F2196" s="100"/>
      <c r="G2196" s="275">
        <f t="shared" si="321"/>
        <v>0</v>
      </c>
      <c r="H2196" s="2315">
        <f t="shared" si="324"/>
        <v>0</v>
      </c>
      <c r="I2196" s="2836">
        <f t="shared" si="322"/>
        <v>0</v>
      </c>
      <c r="J2196" s="2829"/>
      <c r="K2196" s="2837"/>
    </row>
    <row r="2197" spans="1:11">
      <c r="A2197" s="2837"/>
      <c r="B2197" s="2763" t="s">
        <v>1586</v>
      </c>
      <c r="C2197" s="2890" t="s">
        <v>133</v>
      </c>
      <c r="D2197" s="302">
        <f>отделка!J645</f>
        <v>0</v>
      </c>
      <c r="E2197" s="100">
        <f>отделка!K645</f>
        <v>150</v>
      </c>
      <c r="F2197" s="100"/>
      <c r="G2197" s="275">
        <f t="shared" si="321"/>
        <v>0</v>
      </c>
      <c r="H2197" s="2315">
        <f t="shared" si="324"/>
        <v>0</v>
      </c>
      <c r="I2197" s="2836">
        <f t="shared" si="322"/>
        <v>0</v>
      </c>
      <c r="J2197" s="2829"/>
      <c r="K2197" s="2837"/>
    </row>
    <row r="2198" spans="1:11">
      <c r="A2198" s="2837"/>
      <c r="B2198" s="2763" t="s">
        <v>1294</v>
      </c>
      <c r="C2198" s="2890" t="s">
        <v>133</v>
      </c>
      <c r="D2198" s="302">
        <f>отделка!J646</f>
        <v>0</v>
      </c>
      <c r="E2198" s="100">
        <f>отделка!K646</f>
        <v>300</v>
      </c>
      <c r="F2198" s="100"/>
      <c r="G2198" s="275">
        <f t="shared" si="321"/>
        <v>0</v>
      </c>
      <c r="H2198" s="2315">
        <f t="shared" si="324"/>
        <v>0</v>
      </c>
      <c r="I2198" s="2836">
        <f t="shared" si="322"/>
        <v>0</v>
      </c>
      <c r="J2198" s="2829"/>
      <c r="K2198" s="2837"/>
    </row>
    <row r="2199" spans="1:11">
      <c r="A2199" s="2837"/>
      <c r="B2199" s="2763" t="s">
        <v>1587</v>
      </c>
      <c r="C2199" s="2890" t="s">
        <v>156</v>
      </c>
      <c r="D2199" s="302">
        <f>отделка!J647</f>
        <v>0</v>
      </c>
      <c r="E2199" s="100">
        <f>отделка!K647</f>
        <v>50</v>
      </c>
      <c r="F2199" s="100"/>
      <c r="G2199" s="275">
        <f t="shared" si="321"/>
        <v>0</v>
      </c>
      <c r="H2199" s="2315">
        <f t="shared" si="324"/>
        <v>0</v>
      </c>
      <c r="I2199" s="2836">
        <f t="shared" si="322"/>
        <v>0</v>
      </c>
      <c r="J2199" s="2829"/>
      <c r="K2199" s="2837"/>
    </row>
    <row r="2200" spans="1:11">
      <c r="A2200" s="2837"/>
      <c r="B2200" s="2763" t="s">
        <v>1588</v>
      </c>
      <c r="C2200" s="2890" t="s">
        <v>156</v>
      </c>
      <c r="D2200" s="302">
        <f>отделка!J648</f>
        <v>0</v>
      </c>
      <c r="E2200" s="100">
        <f>отделка!K648</f>
        <v>50</v>
      </c>
      <c r="F2200" s="100"/>
      <c r="G2200" s="275">
        <f t="shared" si="321"/>
        <v>0</v>
      </c>
      <c r="H2200" s="2315">
        <f t="shared" si="324"/>
        <v>0</v>
      </c>
      <c r="I2200" s="2836">
        <f t="shared" si="322"/>
        <v>0</v>
      </c>
      <c r="J2200" s="2829"/>
      <c r="K2200" s="2837"/>
    </row>
    <row r="2201" spans="1:11">
      <c r="A2201" s="2837"/>
      <c r="B2201" s="2763" t="s">
        <v>1589</v>
      </c>
      <c r="C2201" s="2890" t="s">
        <v>156</v>
      </c>
      <c r="D2201" s="302">
        <f>отделка!J649</f>
        <v>0</v>
      </c>
      <c r="E2201" s="100">
        <f>отделка!K649</f>
        <v>50</v>
      </c>
      <c r="F2201" s="100"/>
      <c r="G2201" s="275">
        <f t="shared" si="321"/>
        <v>0</v>
      </c>
      <c r="H2201" s="2315">
        <f t="shared" si="324"/>
        <v>0</v>
      </c>
      <c r="I2201" s="2836">
        <f t="shared" si="322"/>
        <v>0</v>
      </c>
      <c r="J2201" s="2829"/>
      <c r="K2201" s="2837"/>
    </row>
    <row r="2202" spans="1:11">
      <c r="A2202" s="2837"/>
      <c r="B2202" s="2971" t="s">
        <v>1255</v>
      </c>
      <c r="C2202" s="2890" t="s">
        <v>133</v>
      </c>
      <c r="D2202" s="302">
        <f>отделка!J650</f>
        <v>0</v>
      </c>
      <c r="E2202" s="100">
        <f>отделка!K650</f>
        <v>400</v>
      </c>
      <c r="F2202" s="100"/>
      <c r="G2202" s="275">
        <f t="shared" si="321"/>
        <v>0</v>
      </c>
      <c r="H2202" s="2315">
        <f t="shared" si="324"/>
        <v>0</v>
      </c>
      <c r="I2202" s="2836">
        <f t="shared" si="322"/>
        <v>0</v>
      </c>
      <c r="J2202" s="2829"/>
      <c r="K2202" s="2837"/>
    </row>
    <row r="2203" spans="1:11">
      <c r="A2203" s="2837"/>
      <c r="B2203" s="2971" t="s">
        <v>1281</v>
      </c>
      <c r="C2203" s="2890" t="s">
        <v>133</v>
      </c>
      <c r="D2203" s="302">
        <f>отделка!J651</f>
        <v>0</v>
      </c>
      <c r="E2203" s="100">
        <f>отделка!K651</f>
        <v>400</v>
      </c>
      <c r="F2203" s="100"/>
      <c r="G2203" s="275">
        <f t="shared" si="321"/>
        <v>0</v>
      </c>
      <c r="H2203" s="2315">
        <f t="shared" si="324"/>
        <v>0</v>
      </c>
      <c r="I2203" s="2836">
        <f t="shared" si="322"/>
        <v>0</v>
      </c>
      <c r="J2203" s="2829"/>
      <c r="K2203" s="2837"/>
    </row>
    <row r="2204" spans="1:11">
      <c r="A2204" s="2837"/>
      <c r="B2204" s="2971" t="s">
        <v>1282</v>
      </c>
      <c r="C2204" s="2890" t="s">
        <v>133</v>
      </c>
      <c r="D2204" s="302">
        <f>отделка!J652</f>
        <v>0</v>
      </c>
      <c r="E2204" s="100">
        <f>отделка!K652</f>
        <v>400</v>
      </c>
      <c r="F2204" s="100"/>
      <c r="G2204" s="275">
        <f t="shared" si="321"/>
        <v>0</v>
      </c>
      <c r="H2204" s="2315">
        <f t="shared" si="324"/>
        <v>0</v>
      </c>
      <c r="I2204" s="2836">
        <f t="shared" si="322"/>
        <v>0</v>
      </c>
      <c r="J2204" s="2829"/>
      <c r="K2204" s="2837"/>
    </row>
    <row r="2205" spans="1:11">
      <c r="A2205" s="2837"/>
      <c r="B2205" s="2971" t="s">
        <v>1283</v>
      </c>
      <c r="C2205" s="2890" t="s">
        <v>133</v>
      </c>
      <c r="D2205" s="302">
        <f>отделка!J653</f>
        <v>0</v>
      </c>
      <c r="E2205" s="100">
        <f>отделка!K653</f>
        <v>100</v>
      </c>
      <c r="F2205" s="100"/>
      <c r="G2205" s="275">
        <f t="shared" si="321"/>
        <v>0</v>
      </c>
      <c r="H2205" s="2315">
        <f t="shared" si="324"/>
        <v>0</v>
      </c>
      <c r="I2205" s="2836">
        <f t="shared" si="322"/>
        <v>0</v>
      </c>
      <c r="J2205" s="2829"/>
      <c r="K2205" s="2837"/>
    </row>
    <row r="2206" spans="1:11">
      <c r="A2206" s="2837"/>
      <c r="B2206" s="3301" t="s">
        <v>1590</v>
      </c>
      <c r="C2206" s="3301"/>
      <c r="D2206" s="3301"/>
      <c r="E2206" s="3301"/>
      <c r="F2206" s="2890"/>
      <c r="G2206" s="275">
        <f t="shared" si="321"/>
        <v>0</v>
      </c>
      <c r="H2206" s="2963">
        <f>IF(SUM(H2207:H2211)&gt;0,1,0)</f>
        <v>0</v>
      </c>
      <c r="I2206" s="2836">
        <f t="shared" si="322"/>
        <v>0</v>
      </c>
      <c r="J2206" s="2829"/>
      <c r="K2206" s="2837"/>
    </row>
    <row r="2207" spans="1:11">
      <c r="A2207" s="2837"/>
      <c r="B2207" s="2763" t="s">
        <v>1591</v>
      </c>
      <c r="C2207" s="2890" t="s">
        <v>133</v>
      </c>
      <c r="D2207" s="302">
        <f>отделка!J655</f>
        <v>94</v>
      </c>
      <c r="E2207" s="100">
        <f>отделка!K655</f>
        <v>30</v>
      </c>
      <c r="F2207" s="100"/>
      <c r="G2207" s="275">
        <f t="shared" si="321"/>
        <v>2820</v>
      </c>
      <c r="H2207" s="2315">
        <f>D2207*E2207*$H$2180</f>
        <v>0</v>
      </c>
      <c r="I2207" s="2836">
        <f t="shared" si="322"/>
        <v>0</v>
      </c>
      <c r="J2207" s="2829"/>
      <c r="K2207" s="2837"/>
    </row>
    <row r="2208" spans="1:11">
      <c r="A2208" s="2837"/>
      <c r="B2208" s="2763" t="s">
        <v>1297</v>
      </c>
      <c r="C2208" s="2890" t="s">
        <v>133</v>
      </c>
      <c r="D2208" s="302">
        <f>отделка!J656</f>
        <v>0</v>
      </c>
      <c r="E2208" s="100">
        <f>отделка!K656</f>
        <v>150</v>
      </c>
      <c r="F2208" s="100"/>
      <c r="G2208" s="275">
        <f t="shared" si="321"/>
        <v>0</v>
      </c>
      <c r="H2208" s="2315">
        <f>D2208*E2208*$H$2180</f>
        <v>0</v>
      </c>
      <c r="I2208" s="2836">
        <f t="shared" si="322"/>
        <v>0</v>
      </c>
      <c r="J2208" s="2829"/>
      <c r="K2208" s="2837"/>
    </row>
    <row r="2209" spans="1:11">
      <c r="A2209" s="2837"/>
      <c r="B2209" s="2763" t="s">
        <v>1298</v>
      </c>
      <c r="C2209" s="2890" t="s">
        <v>133</v>
      </c>
      <c r="D2209" s="302">
        <f>отделка!J657</f>
        <v>94</v>
      </c>
      <c r="E2209" s="100">
        <f>отделка!K657</f>
        <v>150</v>
      </c>
      <c r="F2209" s="100"/>
      <c r="G2209" s="275">
        <f t="shared" si="321"/>
        <v>14100</v>
      </c>
      <c r="H2209" s="2315">
        <f>D2209*E2209*$H$2180</f>
        <v>0</v>
      </c>
      <c r="I2209" s="2836">
        <f t="shared" si="322"/>
        <v>0</v>
      </c>
      <c r="J2209" s="2829"/>
      <c r="K2209" s="2837"/>
    </row>
    <row r="2210" spans="1:11">
      <c r="A2210" s="2837"/>
      <c r="B2210" s="2763" t="s">
        <v>1300</v>
      </c>
      <c r="C2210" s="2890" t="s">
        <v>156</v>
      </c>
      <c r="D2210" s="302">
        <f>отделка!J658</f>
        <v>0</v>
      </c>
      <c r="E2210" s="100">
        <f>отделка!K658</f>
        <v>150</v>
      </c>
      <c r="F2210" s="100"/>
      <c r="G2210" s="275">
        <f t="shared" si="321"/>
        <v>0</v>
      </c>
      <c r="H2210" s="2315">
        <f>D2210*E2210*$H$2180</f>
        <v>0</v>
      </c>
      <c r="I2210" s="2836">
        <f t="shared" si="322"/>
        <v>0</v>
      </c>
      <c r="J2210" s="2829"/>
      <c r="K2210" s="2837"/>
    </row>
    <row r="2211" spans="1:11">
      <c r="A2211" s="2837"/>
      <c r="B2211" s="2763" t="s">
        <v>1301</v>
      </c>
      <c r="C2211" s="2890" t="s">
        <v>133</v>
      </c>
      <c r="D2211" s="302">
        <f>отделка!J659</f>
        <v>0</v>
      </c>
      <c r="E2211" s="100">
        <f>отделка!K659</f>
        <v>600</v>
      </c>
      <c r="F2211" s="100"/>
      <c r="G2211" s="275">
        <f t="shared" si="321"/>
        <v>0</v>
      </c>
      <c r="H2211" s="2315">
        <f>D2211*E2211*$H$2180</f>
        <v>0</v>
      </c>
      <c r="I2211" s="2836">
        <f t="shared" si="322"/>
        <v>0</v>
      </c>
      <c r="J2211" s="2829"/>
      <c r="K2211" s="2837"/>
    </row>
    <row r="2212" spans="1:11">
      <c r="A2212" s="2837"/>
      <c r="B2212" s="3301" t="s">
        <v>1305</v>
      </c>
      <c r="C2212" s="3301"/>
      <c r="D2212" s="3301"/>
      <c r="E2212" s="3301"/>
      <c r="F2212" s="2890"/>
      <c r="G2212" s="275">
        <f t="shared" si="321"/>
        <v>0</v>
      </c>
      <c r="H2212" s="2963">
        <f>IF(SUM(H2213:H2218)&gt;0,1,0)</f>
        <v>0</v>
      </c>
      <c r="I2212" s="2836">
        <f t="shared" si="322"/>
        <v>0</v>
      </c>
      <c r="J2212" s="2829"/>
      <c r="K2212" s="2837"/>
    </row>
    <row r="2213" spans="1:11">
      <c r="A2213" s="2837"/>
      <c r="B2213" s="2763" t="s">
        <v>1306</v>
      </c>
      <c r="C2213" s="2890" t="s">
        <v>133</v>
      </c>
      <c r="D2213" s="302">
        <f>отделка!J661</f>
        <v>0</v>
      </c>
      <c r="E2213" s="100">
        <f>отделка!K661</f>
        <v>600</v>
      </c>
      <c r="F2213" s="100"/>
      <c r="G2213" s="275">
        <f t="shared" si="321"/>
        <v>0</v>
      </c>
      <c r="H2213" s="2315">
        <f t="shared" ref="H2213:H2218" si="325">D2213*E2213*$H$2180</f>
        <v>0</v>
      </c>
      <c r="I2213" s="2836">
        <f t="shared" si="322"/>
        <v>0</v>
      </c>
      <c r="J2213" s="2829"/>
      <c r="K2213" s="2837"/>
    </row>
    <row r="2214" spans="1:11">
      <c r="A2214" s="2837"/>
      <c r="B2214" s="2763" t="s">
        <v>1307</v>
      </c>
      <c r="C2214" s="2890" t="s">
        <v>133</v>
      </c>
      <c r="D2214" s="302">
        <f>отделка!J662</f>
        <v>0</v>
      </c>
      <c r="E2214" s="100">
        <f>отделка!K662</f>
        <v>600</v>
      </c>
      <c r="F2214" s="100"/>
      <c r="G2214" s="275">
        <f t="shared" si="321"/>
        <v>0</v>
      </c>
      <c r="H2214" s="2315">
        <f t="shared" si="325"/>
        <v>0</v>
      </c>
      <c r="I2214" s="2836">
        <f t="shared" si="322"/>
        <v>0</v>
      </c>
      <c r="J2214" s="2829"/>
      <c r="K2214" s="2837"/>
    </row>
    <row r="2215" spans="1:11">
      <c r="A2215" s="2837"/>
      <c r="B2215" s="2763" t="s">
        <v>1308</v>
      </c>
      <c r="C2215" s="2890" t="s">
        <v>133</v>
      </c>
      <c r="D2215" s="302">
        <f>отделка!J663</f>
        <v>0</v>
      </c>
      <c r="E2215" s="100">
        <f>отделка!K663</f>
        <v>600</v>
      </c>
      <c r="F2215" s="100"/>
      <c r="G2215" s="275">
        <f t="shared" si="321"/>
        <v>0</v>
      </c>
      <c r="H2215" s="2315">
        <f t="shared" si="325"/>
        <v>0</v>
      </c>
      <c r="I2215" s="2836">
        <f t="shared" si="322"/>
        <v>0</v>
      </c>
      <c r="J2215" s="2829"/>
      <c r="K2215" s="2837"/>
    </row>
    <row r="2216" spans="1:11">
      <c r="A2216" s="2837"/>
      <c r="B2216" s="2763" t="s">
        <v>1592</v>
      </c>
      <c r="C2216" s="2890" t="s">
        <v>133</v>
      </c>
      <c r="D2216" s="302">
        <f>отделка!J664</f>
        <v>0</v>
      </c>
      <c r="E2216" s="100">
        <f>отделка!K664</f>
        <v>150</v>
      </c>
      <c r="F2216" s="100"/>
      <c r="G2216" s="275">
        <f t="shared" si="321"/>
        <v>0</v>
      </c>
      <c r="H2216" s="2315">
        <f t="shared" si="325"/>
        <v>0</v>
      </c>
      <c r="I2216" s="2836">
        <f t="shared" si="322"/>
        <v>0</v>
      </c>
      <c r="J2216" s="2829"/>
      <c r="K2216" s="2837"/>
    </row>
    <row r="2217" spans="1:11">
      <c r="A2217" s="2837"/>
      <c r="B2217" s="2763" t="s">
        <v>1593</v>
      </c>
      <c r="C2217" s="2890" t="s">
        <v>133</v>
      </c>
      <c r="D2217" s="302">
        <f>отделка!J665</f>
        <v>0</v>
      </c>
      <c r="E2217" s="100">
        <f>отделка!K665</f>
        <v>150</v>
      </c>
      <c r="F2217" s="100"/>
      <c r="G2217" s="275">
        <f t="shared" si="321"/>
        <v>0</v>
      </c>
      <c r="H2217" s="2315">
        <f t="shared" si="325"/>
        <v>0</v>
      </c>
      <c r="I2217" s="2836">
        <f t="shared" si="322"/>
        <v>0</v>
      </c>
      <c r="J2217" s="2829"/>
      <c r="K2217" s="2837"/>
    </row>
    <row r="2218" spans="1:11">
      <c r="A2218" s="2837"/>
      <c r="B2218" s="2763" t="s">
        <v>1294</v>
      </c>
      <c r="C2218" s="2890" t="s">
        <v>133</v>
      </c>
      <c r="D2218" s="302">
        <f>отделка!J666</f>
        <v>0</v>
      </c>
      <c r="E2218" s="100">
        <f>отделка!K666</f>
        <v>300</v>
      </c>
      <c r="F2218" s="100"/>
      <c r="G2218" s="275">
        <f t="shared" si="321"/>
        <v>0</v>
      </c>
      <c r="H2218" s="2315">
        <f t="shared" si="325"/>
        <v>0</v>
      </c>
      <c r="I2218" s="2836">
        <f t="shared" si="322"/>
        <v>0</v>
      </c>
      <c r="J2218" s="2829"/>
      <c r="K2218" s="2837"/>
    </row>
    <row r="2219" spans="1:11">
      <c r="A2219" s="2837"/>
      <c r="B2219" s="3301" t="s">
        <v>1313</v>
      </c>
      <c r="C2219" s="3301"/>
      <c r="D2219" s="3301"/>
      <c r="E2219" s="3301"/>
      <c r="F2219" s="2890"/>
      <c r="G2219" s="275">
        <f t="shared" si="321"/>
        <v>0</v>
      </c>
      <c r="H2219" s="2963">
        <f>IF(SUM(H2220:H2224)&gt;0,1,0)</f>
        <v>0</v>
      </c>
      <c r="I2219" s="2836">
        <f t="shared" si="322"/>
        <v>0</v>
      </c>
      <c r="J2219" s="2829"/>
      <c r="K2219" s="2837"/>
    </row>
    <row r="2220" spans="1:11">
      <c r="A2220" s="2837"/>
      <c r="B2220" s="2763" t="s">
        <v>3977</v>
      </c>
      <c r="C2220" s="2890" t="s">
        <v>159</v>
      </c>
      <c r="D2220" s="302">
        <f>отделка!J668</f>
        <v>0</v>
      </c>
      <c r="E2220" s="100">
        <f>отделка!K668</f>
        <v>1200</v>
      </c>
      <c r="F2220" s="100"/>
      <c r="G2220" s="275">
        <f t="shared" si="321"/>
        <v>0</v>
      </c>
      <c r="H2220" s="2315">
        <f>D2220*E2220*$H$2180</f>
        <v>0</v>
      </c>
      <c r="I2220" s="2836">
        <f t="shared" si="322"/>
        <v>0</v>
      </c>
      <c r="J2220" s="2829"/>
      <c r="K2220" s="2837"/>
    </row>
    <row r="2221" spans="1:11">
      <c r="A2221" s="2837"/>
      <c r="B2221" s="2763" t="s">
        <v>1596</v>
      </c>
      <c r="C2221" s="2890" t="s">
        <v>159</v>
      </c>
      <c r="D2221" s="302">
        <f>отделка!J669</f>
        <v>0</v>
      </c>
      <c r="E2221" s="100">
        <f>отделка!K669</f>
        <v>250</v>
      </c>
      <c r="F2221" s="100"/>
      <c r="G2221" s="275">
        <f t="shared" si="321"/>
        <v>0</v>
      </c>
      <c r="H2221" s="2315">
        <f>D2221*E2221*$H$2180</f>
        <v>0</v>
      </c>
      <c r="I2221" s="2836">
        <f t="shared" si="322"/>
        <v>0</v>
      </c>
      <c r="J2221" s="2829"/>
      <c r="K2221" s="2837"/>
    </row>
    <row r="2222" spans="1:11">
      <c r="A2222" s="2837"/>
      <c r="B2222" s="2763" t="s">
        <v>1597</v>
      </c>
      <c r="C2222" s="2890" t="s">
        <v>159</v>
      </c>
      <c r="D2222" s="302">
        <f>отделка!J670</f>
        <v>0</v>
      </c>
      <c r="E2222" s="100">
        <f>отделка!K670</f>
        <v>250</v>
      </c>
      <c r="F2222" s="100"/>
      <c r="G2222" s="275">
        <f t="shared" si="321"/>
        <v>0</v>
      </c>
      <c r="H2222" s="2315">
        <f>D2222*E2222*$H$2180</f>
        <v>0</v>
      </c>
      <c r="I2222" s="2836">
        <f t="shared" si="322"/>
        <v>0</v>
      </c>
      <c r="J2222" s="2829"/>
      <c r="K2222" s="2837"/>
    </row>
    <row r="2223" spans="1:11">
      <c r="A2223" s="2837"/>
      <c r="B2223" s="2763" t="s">
        <v>1598</v>
      </c>
      <c r="C2223" s="2890" t="s">
        <v>159</v>
      </c>
      <c r="D2223" s="302">
        <f>отделка!J671</f>
        <v>0</v>
      </c>
      <c r="E2223" s="100">
        <f>отделка!K671</f>
        <v>100</v>
      </c>
      <c r="F2223" s="100"/>
      <c r="G2223" s="275">
        <f t="shared" si="321"/>
        <v>0</v>
      </c>
      <c r="H2223" s="2315">
        <f>D2223*E2223*$H$2180</f>
        <v>0</v>
      </c>
      <c r="I2223" s="2836">
        <f t="shared" si="322"/>
        <v>0</v>
      </c>
      <c r="J2223" s="2829"/>
      <c r="K2223" s="2837"/>
    </row>
    <row r="2224" spans="1:11">
      <c r="A2224" s="2837"/>
      <c r="B2224" s="2763" t="s">
        <v>1599</v>
      </c>
      <c r="C2224" s="2890" t="s">
        <v>159</v>
      </c>
      <c r="D2224" s="302">
        <f>отделка!J672</f>
        <v>0</v>
      </c>
      <c r="E2224" s="100">
        <f>отделка!K672</f>
        <v>80</v>
      </c>
      <c r="F2224" s="100"/>
      <c r="G2224" s="275">
        <f t="shared" si="321"/>
        <v>0</v>
      </c>
      <c r="H2224" s="2315">
        <f>D2224*E2224*$H$2180</f>
        <v>0</v>
      </c>
      <c r="I2224" s="2836">
        <f t="shared" si="322"/>
        <v>0</v>
      </c>
      <c r="J2224" s="2829"/>
      <c r="K2224" s="2837"/>
    </row>
    <row r="2225" spans="1:12">
      <c r="A2225" s="2837"/>
      <c r="B2225" s="3278" t="s">
        <v>4641</v>
      </c>
      <c r="C2225" s="3278"/>
      <c r="D2225" s="3278"/>
      <c r="E2225" s="3278"/>
      <c r="F2225" s="2868"/>
      <c r="G2225" s="2315">
        <f>SUM(G2182:G2224)*H2180</f>
        <v>0</v>
      </c>
      <c r="H2225" s="2315">
        <f>SUM(H2182:H2224)</f>
        <v>0</v>
      </c>
      <c r="I2225" s="2836">
        <f t="shared" si="322"/>
        <v>0</v>
      </c>
      <c r="J2225" s="2829"/>
      <c r="K2225" s="2837"/>
    </row>
    <row r="2226" spans="1:12" ht="21">
      <c r="A2226" s="2837"/>
      <c r="B2226" s="3282" t="s">
        <v>1112</v>
      </c>
      <c r="C2226" s="3282"/>
      <c r="D2226" s="3282"/>
      <c r="E2226" s="3282"/>
      <c r="F2226" s="2887"/>
      <c r="G2226" s="941"/>
      <c r="H2226" s="2901">
        <f>VLOOKUP('Ввод данных'!F1294,связи1!A2:B3,2,0)</f>
        <v>0</v>
      </c>
      <c r="I2226" s="2940">
        <f>H2226</f>
        <v>0</v>
      </c>
      <c r="J2226" s="2829"/>
      <c r="K2226" s="2837"/>
    </row>
    <row r="2227" spans="1:12">
      <c r="A2227" s="2829"/>
      <c r="B2227" s="3285" t="s">
        <v>2720</v>
      </c>
      <c r="C2227" s="3285"/>
      <c r="D2227" s="3285"/>
      <c r="E2227" s="3285"/>
      <c r="F2227" s="2902"/>
      <c r="G2227" s="941"/>
      <c r="H2227" s="2903">
        <f>H2226</f>
        <v>0</v>
      </c>
      <c r="I2227" s="2940">
        <f>H2227</f>
        <v>0</v>
      </c>
      <c r="J2227" s="2850"/>
      <c r="K2227" s="2851"/>
    </row>
    <row r="2228" spans="1:12">
      <c r="A2228" s="2829"/>
      <c r="B2228" s="302" t="str">
        <f>инженерка!A366</f>
        <v>Кабель ВВГнг(А)-LS 3х2,5 0,66</v>
      </c>
      <c r="C2228" s="2890" t="str">
        <f>инженерка!B366</f>
        <v>м.п.</v>
      </c>
      <c r="D2228" s="302">
        <f>инженерка!C366</f>
        <v>111.4</v>
      </c>
      <c r="E2228" s="302">
        <f>инженерка!D366</f>
        <v>47.36</v>
      </c>
      <c r="F2228" s="302"/>
      <c r="G2228" s="275">
        <f t="shared" ref="G2228:G2244" si="326">IF(F2228&gt;0,D2228*F2228,E2228*D2228)</f>
        <v>5275.9040000000005</v>
      </c>
      <c r="H2228" s="2315">
        <f t="shared" ref="H2228:H2244" si="327">D2228*E2228*$H$2227</f>
        <v>0</v>
      </c>
      <c r="I2228" s="2911">
        <f t="shared" ref="I2228:I2245" si="328">IF(G2228&gt;H2228,G2228,H2228)*$H$2226</f>
        <v>0</v>
      </c>
      <c r="J2228" s="2863"/>
      <c r="K2228" s="223">
        <f t="shared" ref="K2228:K2245" si="329">D2228-J2228</f>
        <v>111.4</v>
      </c>
      <c r="L2228" s="2854"/>
    </row>
    <row r="2229" spans="1:12">
      <c r="A2229" s="2837"/>
      <c r="B2229" s="302" t="str">
        <f>инженерка!A367</f>
        <v>Труба ПВХ гофрировонная гибкая 20</v>
      </c>
      <c r="C2229" s="2890" t="str">
        <f>инженерка!B367</f>
        <v>м.п.</v>
      </c>
      <c r="D2229" s="302">
        <f>инженерка!C367</f>
        <v>122.54000000000002</v>
      </c>
      <c r="E2229" s="302">
        <f>инженерка!D367</f>
        <v>5.0199999999999996</v>
      </c>
      <c r="F2229" s="302"/>
      <c r="G2229" s="275">
        <f t="shared" si="326"/>
        <v>615.1508</v>
      </c>
      <c r="H2229" s="2315">
        <f t="shared" si="327"/>
        <v>0</v>
      </c>
      <c r="I2229" s="2911">
        <f t="shared" si="328"/>
        <v>0</v>
      </c>
      <c r="J2229" s="2863"/>
      <c r="K2229" s="223">
        <f t="shared" si="329"/>
        <v>122.54000000000002</v>
      </c>
      <c r="L2229" s="2854"/>
    </row>
    <row r="2230" spans="1:12">
      <c r="A2230" s="2837"/>
      <c r="B2230" s="302" t="str">
        <f>инженерка!A368</f>
        <v>Кабель ВВГнг(А)-LS 3х1,5 0,66</v>
      </c>
      <c r="C2230" s="2890" t="str">
        <f>инженерка!B368</f>
        <v>м.п.</v>
      </c>
      <c r="D2230" s="302">
        <f>инженерка!C368</f>
        <v>186.8</v>
      </c>
      <c r="E2230" s="302">
        <f>инженерка!D368</f>
        <v>29.81</v>
      </c>
      <c r="F2230" s="302"/>
      <c r="G2230" s="275">
        <f t="shared" si="326"/>
        <v>5568.5079999999998</v>
      </c>
      <c r="H2230" s="2315">
        <f t="shared" si="327"/>
        <v>0</v>
      </c>
      <c r="I2230" s="2911">
        <f t="shared" si="328"/>
        <v>0</v>
      </c>
      <c r="J2230" s="2863"/>
      <c r="K2230" s="223">
        <f t="shared" si="329"/>
        <v>186.8</v>
      </c>
      <c r="L2230" s="2854"/>
    </row>
    <row r="2231" spans="1:12">
      <c r="A2231" s="2837"/>
      <c r="B2231" s="302" t="str">
        <f>инженерка!A369</f>
        <v>Труба ПВХ гофрировонная гибкая 25</v>
      </c>
      <c r="C2231" s="2890" t="str">
        <f>инженерка!B369</f>
        <v>м.п.</v>
      </c>
      <c r="D2231" s="302">
        <f>инженерка!C369</f>
        <v>205.48000000000002</v>
      </c>
      <c r="E2231" s="302">
        <f>инженерка!D369</f>
        <v>6.38</v>
      </c>
      <c r="F2231" s="302"/>
      <c r="G2231" s="275">
        <f t="shared" si="326"/>
        <v>1310.9624000000001</v>
      </c>
      <c r="H2231" s="2315">
        <f t="shared" si="327"/>
        <v>0</v>
      </c>
      <c r="I2231" s="2911">
        <f t="shared" si="328"/>
        <v>0</v>
      </c>
      <c r="J2231" s="2863"/>
      <c r="K2231" s="223">
        <f t="shared" si="329"/>
        <v>205.48000000000002</v>
      </c>
      <c r="L2231" s="2854"/>
    </row>
    <row r="2232" spans="1:12">
      <c r="A2232" s="2837"/>
      <c r="B2232" s="302" t="str">
        <f>инженерка!A370</f>
        <v>Кабель ВВГнг(А)-LS 3х4 0,66</v>
      </c>
      <c r="C2232" s="2890" t="str">
        <f>инженерка!B370</f>
        <v>м.п.</v>
      </c>
      <c r="D2232" s="302">
        <f>инженерка!C370</f>
        <v>75</v>
      </c>
      <c r="E2232" s="302">
        <f>инженерка!D370</f>
        <v>68</v>
      </c>
      <c r="F2232" s="302"/>
      <c r="G2232" s="275">
        <f t="shared" si="326"/>
        <v>5100</v>
      </c>
      <c r="H2232" s="2315">
        <f t="shared" si="327"/>
        <v>0</v>
      </c>
      <c r="I2232" s="2911">
        <f t="shared" si="328"/>
        <v>0</v>
      </c>
      <c r="J2232" s="2863"/>
      <c r="K2232" s="223">
        <f t="shared" si="329"/>
        <v>75</v>
      </c>
      <c r="L2232" s="2854"/>
    </row>
    <row r="2233" spans="1:12">
      <c r="A2233" s="2837"/>
      <c r="B2233" s="302" t="str">
        <f>инженерка!A371</f>
        <v>Труба ПВХ гофрировонная гибкая 32</v>
      </c>
      <c r="C2233" s="2890" t="str">
        <f>инженерка!B371</f>
        <v>м.п.</v>
      </c>
      <c r="D2233" s="302">
        <f>инженерка!C371</f>
        <v>82.5</v>
      </c>
      <c r="E2233" s="302">
        <f>инженерка!D371</f>
        <v>6.38</v>
      </c>
      <c r="F2233" s="302"/>
      <c r="G2233" s="275">
        <f t="shared" si="326"/>
        <v>526.35</v>
      </c>
      <c r="H2233" s="2315">
        <f t="shared" si="327"/>
        <v>0</v>
      </c>
      <c r="I2233" s="2911">
        <f t="shared" si="328"/>
        <v>0</v>
      </c>
      <c r="J2233" s="2863"/>
      <c r="K2233" s="223">
        <f t="shared" si="329"/>
        <v>82.5</v>
      </c>
      <c r="L2233" s="2854"/>
    </row>
    <row r="2234" spans="1:12">
      <c r="A2234" s="2837"/>
      <c r="B2234" s="302" t="str">
        <f>инженерка!A372</f>
        <v>крепления для гофры</v>
      </c>
      <c r="C2234" s="2890" t="str">
        <f>инженерка!B372</f>
        <v>шт</v>
      </c>
      <c r="D2234" s="302">
        <f>инженерка!C372</f>
        <v>400</v>
      </c>
      <c r="E2234" s="302">
        <f>инженерка!D372</f>
        <v>1</v>
      </c>
      <c r="F2234" s="302"/>
      <c r="G2234" s="275">
        <f t="shared" si="326"/>
        <v>400</v>
      </c>
      <c r="H2234" s="2315">
        <f t="shared" si="327"/>
        <v>0</v>
      </c>
      <c r="I2234" s="2911">
        <f t="shared" si="328"/>
        <v>0</v>
      </c>
      <c r="J2234" s="2863"/>
      <c r="K2234" s="223">
        <f t="shared" si="329"/>
        <v>400</v>
      </c>
      <c r="L2234" s="2854"/>
    </row>
    <row r="2235" spans="1:12">
      <c r="A2235" s="2837"/>
      <c r="B2235" s="302" t="str">
        <f>инженерка!A373</f>
        <v>саморез для крепления гофры</v>
      </c>
      <c r="C2235" s="2890" t="str">
        <f>инженерка!B373</f>
        <v>шт</v>
      </c>
      <c r="D2235" s="302">
        <f>инженерка!C373</f>
        <v>800</v>
      </c>
      <c r="E2235" s="302">
        <f>инженерка!D373</f>
        <v>0.25</v>
      </c>
      <c r="F2235" s="302"/>
      <c r="G2235" s="275">
        <f t="shared" si="326"/>
        <v>200</v>
      </c>
      <c r="H2235" s="2315">
        <f t="shared" si="327"/>
        <v>0</v>
      </c>
      <c r="I2235" s="2911">
        <f t="shared" si="328"/>
        <v>0</v>
      </c>
      <c r="J2235" s="2863"/>
      <c r="K2235" s="223">
        <f t="shared" si="329"/>
        <v>800</v>
      </c>
      <c r="L2235" s="2854"/>
    </row>
    <row r="2236" spans="1:12">
      <c r="A2236" s="2837"/>
      <c r="B2236" s="302" t="str">
        <f>инженерка!A374</f>
        <v>Коробка распределения</v>
      </c>
      <c r="C2236" s="2890" t="str">
        <f>инженерка!B374</f>
        <v>шт</v>
      </c>
      <c r="D2236" s="302">
        <f>инженерка!C374</f>
        <v>6</v>
      </c>
      <c r="E2236" s="302">
        <f>инженерка!D374</f>
        <v>20</v>
      </c>
      <c r="F2236" s="302"/>
      <c r="G2236" s="275">
        <f t="shared" si="326"/>
        <v>120</v>
      </c>
      <c r="H2236" s="2315">
        <f t="shared" si="327"/>
        <v>0</v>
      </c>
      <c r="I2236" s="2911">
        <f t="shared" si="328"/>
        <v>0</v>
      </c>
      <c r="J2236" s="2863"/>
      <c r="K2236" s="223">
        <f t="shared" si="329"/>
        <v>6</v>
      </c>
      <c r="L2236" s="2854"/>
    </row>
    <row r="2237" spans="1:12">
      <c r="A2237" s="2837"/>
      <c r="B2237" s="302" t="str">
        <f>инженерка!A375</f>
        <v>Вага</v>
      </c>
      <c r="C2237" s="2890" t="str">
        <f>инженерка!B375</f>
        <v>шт</v>
      </c>
      <c r="D2237" s="302">
        <f>инженерка!C375</f>
        <v>480</v>
      </c>
      <c r="E2237" s="302">
        <f>инженерка!D375</f>
        <v>10</v>
      </c>
      <c r="F2237" s="302"/>
      <c r="G2237" s="275">
        <f t="shared" si="326"/>
        <v>4800</v>
      </c>
      <c r="H2237" s="2315">
        <f t="shared" si="327"/>
        <v>0</v>
      </c>
      <c r="I2237" s="2911">
        <f t="shared" si="328"/>
        <v>0</v>
      </c>
      <c r="J2237" s="2863"/>
      <c r="K2237" s="223">
        <f t="shared" si="329"/>
        <v>480</v>
      </c>
      <c r="L2237" s="2854"/>
    </row>
    <row r="2238" spans="1:12">
      <c r="A2238" s="2837"/>
      <c r="B2238" s="302" t="str">
        <f>инженерка!A376</f>
        <v>Щиток электрический</v>
      </c>
      <c r="C2238" s="2890" t="str">
        <f>инженерка!B376</f>
        <v>шт</v>
      </c>
      <c r="D2238" s="302">
        <f>инженерка!C376</f>
        <v>1</v>
      </c>
      <c r="E2238" s="302">
        <f>инженерка!D376</f>
        <v>1200</v>
      </c>
      <c r="F2238" s="302"/>
      <c r="G2238" s="275">
        <f t="shared" si="326"/>
        <v>1200</v>
      </c>
      <c r="H2238" s="2315">
        <f t="shared" si="327"/>
        <v>0</v>
      </c>
      <c r="I2238" s="2911">
        <f t="shared" si="328"/>
        <v>0</v>
      </c>
      <c r="J2238" s="2863"/>
      <c r="K2238" s="223">
        <f t="shared" si="329"/>
        <v>1</v>
      </c>
      <c r="L2238" s="2854"/>
    </row>
    <row r="2239" spans="1:12">
      <c r="A2239" s="2837"/>
      <c r="B2239" s="302" t="str">
        <f>инженерка!A377</f>
        <v>автомат, 3 полюса, 32амп</v>
      </c>
      <c r="C2239" s="2890" t="str">
        <f>инженерка!B377</f>
        <v>шт</v>
      </c>
      <c r="D2239" s="302">
        <f>инженерка!C377</f>
        <v>2</v>
      </c>
      <c r="E2239" s="302">
        <f>инженерка!D377</f>
        <v>180</v>
      </c>
      <c r="F2239" s="302"/>
      <c r="G2239" s="275">
        <f t="shared" si="326"/>
        <v>360</v>
      </c>
      <c r="H2239" s="2315">
        <f t="shared" si="327"/>
        <v>0</v>
      </c>
      <c r="I2239" s="2911">
        <f t="shared" si="328"/>
        <v>0</v>
      </c>
      <c r="J2239" s="2863"/>
      <c r="K2239" s="223">
        <f t="shared" si="329"/>
        <v>2</v>
      </c>
      <c r="L2239" s="2854"/>
    </row>
    <row r="2240" spans="1:12">
      <c r="A2240" s="2837"/>
      <c r="B2240" s="302" t="str">
        <f>инженерка!A378</f>
        <v>автомат, 1 полюс, 16амп</v>
      </c>
      <c r="C2240" s="2890" t="str">
        <f>инженерка!B378</f>
        <v>шт</v>
      </c>
      <c r="D2240" s="302">
        <f>инженерка!C378</f>
        <v>20</v>
      </c>
      <c r="E2240" s="302">
        <f>инженерка!D378</f>
        <v>70</v>
      </c>
      <c r="F2240" s="302"/>
      <c r="G2240" s="275">
        <f t="shared" si="326"/>
        <v>1400</v>
      </c>
      <c r="H2240" s="2315">
        <f t="shared" si="327"/>
        <v>0</v>
      </c>
      <c r="I2240" s="2911">
        <f t="shared" si="328"/>
        <v>0</v>
      </c>
      <c r="J2240" s="2863"/>
      <c r="K2240" s="223">
        <f t="shared" si="329"/>
        <v>20</v>
      </c>
      <c r="L2240" s="2854"/>
    </row>
    <row r="2241" spans="1:13">
      <c r="A2241" s="2837"/>
      <c r="B2241" s="302" t="str">
        <f>инженерка!A379</f>
        <v>автомат, 1 полюс, 25 амп</v>
      </c>
      <c r="C2241" s="2890" t="str">
        <f>инженерка!B379</f>
        <v>шт</v>
      </c>
      <c r="D2241" s="302">
        <f>инженерка!C379</f>
        <v>2</v>
      </c>
      <c r="E2241" s="302">
        <f>инженерка!D379</f>
        <v>167</v>
      </c>
      <c r="F2241" s="302"/>
      <c r="G2241" s="275">
        <f t="shared" si="326"/>
        <v>334</v>
      </c>
      <c r="H2241" s="2315">
        <f t="shared" si="327"/>
        <v>0</v>
      </c>
      <c r="I2241" s="2911">
        <f t="shared" si="328"/>
        <v>0</v>
      </c>
      <c r="J2241" s="2863"/>
      <c r="K2241" s="223">
        <f t="shared" si="329"/>
        <v>2</v>
      </c>
      <c r="L2241" s="2854"/>
    </row>
    <row r="2242" spans="1:13">
      <c r="A2242" s="2837"/>
      <c r="B2242" s="302" t="str">
        <f>инженерка!A380</f>
        <v>Коробка электрическая</v>
      </c>
      <c r="C2242" s="2890" t="str">
        <f>инженерка!B380</f>
        <v>шт</v>
      </c>
      <c r="D2242" s="302">
        <f>инженерка!C380</f>
        <v>60</v>
      </c>
      <c r="E2242" s="302">
        <f>инженерка!D380</f>
        <v>6</v>
      </c>
      <c r="F2242" s="302"/>
      <c r="G2242" s="275">
        <f t="shared" si="326"/>
        <v>360</v>
      </c>
      <c r="H2242" s="2315">
        <f t="shared" si="327"/>
        <v>0</v>
      </c>
      <c r="I2242" s="2911">
        <f t="shared" si="328"/>
        <v>0</v>
      </c>
      <c r="J2242" s="2863"/>
      <c r="K2242" s="223">
        <f t="shared" si="329"/>
        <v>60</v>
      </c>
      <c r="L2242" s="2854"/>
    </row>
    <row r="2243" spans="1:13">
      <c r="A2243" s="2837"/>
      <c r="B2243" s="302" t="str">
        <f>инженерка!A381</f>
        <v>Розетка 2</v>
      </c>
      <c r="C2243" s="2890" t="str">
        <f>инженерка!B381</f>
        <v>шт</v>
      </c>
      <c r="D2243" s="302">
        <f>инженерка!C381</f>
        <v>40</v>
      </c>
      <c r="E2243" s="302">
        <f>инженерка!D381</f>
        <v>100</v>
      </c>
      <c r="F2243" s="302"/>
      <c r="G2243" s="275">
        <f t="shared" si="326"/>
        <v>4000</v>
      </c>
      <c r="H2243" s="2315">
        <f t="shared" si="327"/>
        <v>0</v>
      </c>
      <c r="I2243" s="2911">
        <f t="shared" si="328"/>
        <v>0</v>
      </c>
      <c r="J2243" s="2863"/>
      <c r="K2243" s="223">
        <f t="shared" si="329"/>
        <v>40</v>
      </c>
      <c r="L2243" s="2854"/>
    </row>
    <row r="2244" spans="1:13">
      <c r="A2244" s="2837"/>
      <c r="B2244" s="302" t="str">
        <f>инженерка!A382</f>
        <v>Выключатель 3</v>
      </c>
      <c r="C2244" s="2890" t="str">
        <f>инженерка!B382</f>
        <v>шт</v>
      </c>
      <c r="D2244" s="302">
        <f>инженерка!C382</f>
        <v>20</v>
      </c>
      <c r="E2244" s="302">
        <f>инженерка!D382</f>
        <v>100</v>
      </c>
      <c r="F2244" s="302"/>
      <c r="G2244" s="275">
        <f t="shared" si="326"/>
        <v>2000</v>
      </c>
      <c r="H2244" s="2315">
        <f t="shared" si="327"/>
        <v>0</v>
      </c>
      <c r="I2244" s="2911">
        <f t="shared" si="328"/>
        <v>0</v>
      </c>
      <c r="J2244" s="2863"/>
      <c r="K2244" s="223">
        <f t="shared" si="329"/>
        <v>20</v>
      </c>
      <c r="L2244" s="2854"/>
    </row>
    <row r="2245" spans="1:13">
      <c r="A2245" s="2837"/>
      <c r="B2245" s="3278" t="s">
        <v>4640</v>
      </c>
      <c r="C2245" s="3278"/>
      <c r="D2245" s="3278"/>
      <c r="E2245" s="3278"/>
      <c r="F2245" s="2868"/>
      <c r="G2245" s="2315">
        <f>SUM(G2228:G2244)*H2226</f>
        <v>0</v>
      </c>
      <c r="H2245" s="2315">
        <f>SUM(H2228:H2244)</f>
        <v>0</v>
      </c>
      <c r="I2245" s="2911">
        <f t="shared" si="328"/>
        <v>0</v>
      </c>
      <c r="J2245" s="2863"/>
      <c r="K2245" s="223">
        <f t="shared" si="329"/>
        <v>0</v>
      </c>
      <c r="L2245" s="2854"/>
    </row>
    <row r="2246" spans="1:13">
      <c r="A2246" s="2837"/>
      <c r="B2246" s="3279" t="s">
        <v>1409</v>
      </c>
      <c r="C2246" s="3279"/>
      <c r="D2246" s="3279"/>
      <c r="E2246" s="3279"/>
      <c r="F2246" s="2870"/>
      <c r="G2246" s="941"/>
      <c r="H2246" s="2891">
        <f>H2226</f>
        <v>0</v>
      </c>
      <c r="I2246" s="2940">
        <f>H2246</f>
        <v>0</v>
      </c>
      <c r="J2246" s="2892"/>
      <c r="K2246" s="2893"/>
    </row>
    <row r="2247" spans="1:13">
      <c r="A2247" s="2829"/>
      <c r="B2247" s="2763" t="str">
        <f>инженерка!G366</f>
        <v>монтаж кабеля</v>
      </c>
      <c r="C2247" s="18" t="s">
        <v>156</v>
      </c>
      <c r="D2247" s="302">
        <f>инженерка!I366</f>
        <v>373.20000000000005</v>
      </c>
      <c r="E2247" s="179">
        <f>инженерка!J366</f>
        <v>100</v>
      </c>
      <c r="F2247" s="179"/>
      <c r="G2247" s="275">
        <f t="shared" ref="G2247:G2254" si="330">IF(F2247&gt;0,D2247*F2247,E2247*D2247)</f>
        <v>37320.000000000007</v>
      </c>
      <c r="H2247" s="2315">
        <f t="shared" ref="H2247:H2254" si="331">D2247*E2247*$H$2246</f>
        <v>0</v>
      </c>
      <c r="I2247" s="2836">
        <f t="shared" ref="I2247:I2255" si="332">IF(G2247&gt;H2247,G2247,H2247)*$H$2226</f>
        <v>0</v>
      </c>
      <c r="J2247" s="2829"/>
      <c r="K2247" s="2837"/>
    </row>
    <row r="2248" spans="1:13">
      <c r="A2248" s="2837"/>
      <c r="B2248" s="2763" t="str">
        <f>инженерка!G367</f>
        <v>монтаж гофры</v>
      </c>
      <c r="C2248" s="18" t="s">
        <v>156</v>
      </c>
      <c r="D2248" s="302">
        <f>инженерка!I367</f>
        <v>373.20000000000005</v>
      </c>
      <c r="E2248" s="179">
        <f>инженерка!J367</f>
        <v>50</v>
      </c>
      <c r="F2248" s="179"/>
      <c r="G2248" s="275">
        <f t="shared" si="330"/>
        <v>18660.000000000004</v>
      </c>
      <c r="H2248" s="2315">
        <f t="shared" si="331"/>
        <v>0</v>
      </c>
      <c r="I2248" s="2836">
        <f t="shared" si="332"/>
        <v>0</v>
      </c>
      <c r="L2248" s="910"/>
      <c r="M2248" s="910"/>
    </row>
    <row r="2249" spans="1:13">
      <c r="A2249" s="2837"/>
      <c r="B2249" s="2763" t="str">
        <f>инженерка!G368</f>
        <v>монтаж коробок распр</v>
      </c>
      <c r="C2249" s="18" t="s">
        <v>799</v>
      </c>
      <c r="D2249" s="302">
        <f>инженерка!I368</f>
        <v>6</v>
      </c>
      <c r="E2249" s="179">
        <f>инженерка!J368</f>
        <v>500</v>
      </c>
      <c r="F2249" s="179"/>
      <c r="G2249" s="275">
        <f t="shared" si="330"/>
        <v>3000</v>
      </c>
      <c r="H2249" s="2315">
        <f t="shared" si="331"/>
        <v>0</v>
      </c>
      <c r="I2249" s="2836">
        <f t="shared" si="332"/>
        <v>0</v>
      </c>
      <c r="L2249" s="910"/>
      <c r="M2249" s="910"/>
    </row>
    <row r="2250" spans="1:13">
      <c r="A2250" s="2837"/>
      <c r="B2250" s="2763" t="str">
        <f>инженерка!G369</f>
        <v>монтаж коробок роз</v>
      </c>
      <c r="C2250" s="18" t="s">
        <v>799</v>
      </c>
      <c r="D2250" s="302">
        <f>инженерка!I369</f>
        <v>40</v>
      </c>
      <c r="E2250" s="179">
        <f>инженерка!J369</f>
        <v>200</v>
      </c>
      <c r="F2250" s="179"/>
      <c r="G2250" s="275">
        <f t="shared" si="330"/>
        <v>8000</v>
      </c>
      <c r="H2250" s="2315">
        <f t="shared" si="331"/>
        <v>0</v>
      </c>
      <c r="I2250" s="2836">
        <f t="shared" si="332"/>
        <v>0</v>
      </c>
      <c r="L2250" s="910"/>
      <c r="M2250" s="910"/>
    </row>
    <row r="2251" spans="1:13">
      <c r="A2251" s="2837"/>
      <c r="B2251" s="2763" t="str">
        <f>инженерка!G370</f>
        <v>монтаж коробок выкл</v>
      </c>
      <c r="C2251" s="18" t="s">
        <v>799</v>
      </c>
      <c r="D2251" s="302">
        <f>инженерка!I370</f>
        <v>20</v>
      </c>
      <c r="E2251" s="179">
        <f>инженерка!J370</f>
        <v>200</v>
      </c>
      <c r="F2251" s="179"/>
      <c r="G2251" s="275">
        <f t="shared" si="330"/>
        <v>4000</v>
      </c>
      <c r="H2251" s="2315">
        <f t="shared" si="331"/>
        <v>0</v>
      </c>
      <c r="I2251" s="2836">
        <f t="shared" si="332"/>
        <v>0</v>
      </c>
      <c r="L2251" s="910"/>
      <c r="M2251" s="910"/>
    </row>
    <row r="2252" spans="1:13">
      <c r="A2252" s="2837"/>
      <c r="B2252" s="2763" t="str">
        <f>инженерка!G371</f>
        <v>монтаж щитка</v>
      </c>
      <c r="C2252" s="18" t="s">
        <v>799</v>
      </c>
      <c r="D2252" s="302">
        <f>инженерка!I371</f>
        <v>1</v>
      </c>
      <c r="E2252" s="179">
        <f>инженерка!J371</f>
        <v>6000</v>
      </c>
      <c r="F2252" s="179"/>
      <c r="G2252" s="275">
        <f t="shared" si="330"/>
        <v>6000</v>
      </c>
      <c r="H2252" s="2315">
        <f t="shared" si="331"/>
        <v>0</v>
      </c>
      <c r="I2252" s="2836">
        <f t="shared" si="332"/>
        <v>0</v>
      </c>
      <c r="L2252" s="910"/>
      <c r="M2252" s="910"/>
    </row>
    <row r="2253" spans="1:13">
      <c r="A2253" s="2837"/>
      <c r="B2253" s="2763" t="str">
        <f>инженерка!G372</f>
        <v>установка розеток</v>
      </c>
      <c r="C2253" s="18" t="s">
        <v>799</v>
      </c>
      <c r="D2253" s="302">
        <f>инженерка!I372</f>
        <v>40</v>
      </c>
      <c r="E2253" s="179">
        <f>инженерка!J372</f>
        <v>250</v>
      </c>
      <c r="F2253" s="179"/>
      <c r="G2253" s="275">
        <f t="shared" si="330"/>
        <v>10000</v>
      </c>
      <c r="H2253" s="2315">
        <f t="shared" si="331"/>
        <v>0</v>
      </c>
      <c r="I2253" s="2836">
        <f t="shared" si="332"/>
        <v>0</v>
      </c>
      <c r="L2253" s="910"/>
      <c r="M2253" s="910"/>
    </row>
    <row r="2254" spans="1:13">
      <c r="A2254" s="2837"/>
      <c r="B2254" s="2763" t="str">
        <f>инженерка!G373</f>
        <v>установка выключателей</v>
      </c>
      <c r="C2254" s="18" t="s">
        <v>799</v>
      </c>
      <c r="D2254" s="302">
        <f>инженерка!I373</f>
        <v>20</v>
      </c>
      <c r="E2254" s="179">
        <f>инженерка!J373</f>
        <v>250</v>
      </c>
      <c r="F2254" s="179"/>
      <c r="G2254" s="275">
        <f t="shared" si="330"/>
        <v>5000</v>
      </c>
      <c r="H2254" s="2315">
        <f t="shared" si="331"/>
        <v>0</v>
      </c>
      <c r="I2254" s="2836">
        <f t="shared" si="332"/>
        <v>0</v>
      </c>
      <c r="J2254" s="2829"/>
      <c r="K2254" s="2837"/>
    </row>
    <row r="2255" spans="1:13">
      <c r="A2255" s="2837"/>
      <c r="B2255" s="3278" t="s">
        <v>4641</v>
      </c>
      <c r="C2255" s="3278"/>
      <c r="D2255" s="3278"/>
      <c r="E2255" s="3278"/>
      <c r="F2255" s="2868"/>
      <c r="G2255" s="2315">
        <f>SUM(G2247:G2254)*H2246</f>
        <v>0</v>
      </c>
      <c r="H2255" s="2315">
        <f>SUM(H2247:H2254)</f>
        <v>0</v>
      </c>
      <c r="I2255" s="2836">
        <f t="shared" si="332"/>
        <v>0</v>
      </c>
      <c r="J2255" s="2829"/>
      <c r="K2255" s="2837"/>
    </row>
    <row r="2256" spans="1:13" ht="21">
      <c r="A2256" s="2837"/>
      <c r="B2256" s="3282" t="s">
        <v>1161</v>
      </c>
      <c r="C2256" s="3282"/>
      <c r="D2256" s="3282"/>
      <c r="E2256" s="3282"/>
      <c r="F2256" s="2887"/>
      <c r="G2256" s="941"/>
      <c r="H2256" s="2901">
        <f>VLOOKUP('Ввод данных'!F1310,связи1!A2:B3,2,0)</f>
        <v>0</v>
      </c>
      <c r="I2256" s="2940">
        <f>H2256</f>
        <v>0</v>
      </c>
      <c r="J2256" s="2829"/>
      <c r="K2256" s="2837"/>
    </row>
    <row r="2257" spans="1:12">
      <c r="A2257" s="2829"/>
      <c r="B2257" s="3285" t="s">
        <v>2720</v>
      </c>
      <c r="C2257" s="3285"/>
      <c r="D2257" s="3285"/>
      <c r="E2257" s="3285"/>
      <c r="F2257" s="2902"/>
      <c r="G2257" s="941"/>
      <c r="H2257" s="2903">
        <f>H2256</f>
        <v>0</v>
      </c>
      <c r="I2257" s="2940">
        <f>H2257</f>
        <v>0</v>
      </c>
      <c r="J2257" s="2850"/>
      <c r="K2257" s="2851"/>
    </row>
    <row r="2258" spans="1:12">
      <c r="A2258" s="2829"/>
      <c r="B2258" s="302" t="str">
        <f>инженерка!A399</f>
        <v>труба диам 25/32 отопление</v>
      </c>
      <c r="C2258" s="2890" t="str">
        <f>инженерка!B399</f>
        <v>м.п.</v>
      </c>
      <c r="D2258" s="302">
        <f>инженерка!C399</f>
        <v>150.80000000000001</v>
      </c>
      <c r="E2258" s="302">
        <f>инженерка!D399</f>
        <v>40</v>
      </c>
      <c r="F2258" s="302"/>
      <c r="G2258" s="275">
        <f t="shared" ref="G2258:G2268" si="333">IF(F2258&gt;0,D2258*F2258,E2258*D2258)</f>
        <v>6032</v>
      </c>
      <c r="H2258" s="96">
        <f t="shared" ref="H2258:H2268" si="334">D2258*E2258*$H$2257</f>
        <v>0</v>
      </c>
      <c r="I2258" s="2911">
        <f t="shared" ref="I2258:I2269" si="335">IF(G2258&gt;H2258,G2258,H2258)*$H$2256</f>
        <v>0</v>
      </c>
      <c r="J2258" s="2863"/>
      <c r="K2258" s="223">
        <f t="shared" ref="K2258:K2269" si="336">D2258-J2258</f>
        <v>150.80000000000001</v>
      </c>
      <c r="L2258" s="2854"/>
    </row>
    <row r="2259" spans="1:12">
      <c r="A2259" s="2837"/>
      <c r="B2259" s="302" t="str">
        <f>инженерка!A400</f>
        <v>соеденители для трубы</v>
      </c>
      <c r="C2259" s="2890" t="str">
        <f>инженерка!B400</f>
        <v>шт</v>
      </c>
      <c r="D2259" s="302">
        <f>инженерка!C400</f>
        <v>50.266666666666673</v>
      </c>
      <c r="E2259" s="302">
        <f>инженерка!D400</f>
        <v>10</v>
      </c>
      <c r="F2259" s="302"/>
      <c r="G2259" s="275">
        <f t="shared" si="333"/>
        <v>502.66666666666674</v>
      </c>
      <c r="H2259" s="96">
        <f t="shared" si="334"/>
        <v>0</v>
      </c>
      <c r="I2259" s="2911">
        <f t="shared" si="335"/>
        <v>0</v>
      </c>
      <c r="J2259" s="2863"/>
      <c r="K2259" s="223">
        <f t="shared" si="336"/>
        <v>50.266666666666673</v>
      </c>
      <c r="L2259" s="2854"/>
    </row>
    <row r="2260" spans="1:12">
      <c r="A2260" s="2837"/>
      <c r="B2260" s="302" t="str">
        <f>инженерка!A401</f>
        <v>уголок 90 град</v>
      </c>
      <c r="C2260" s="2890" t="str">
        <f>инженерка!B401</f>
        <v>шт</v>
      </c>
      <c r="D2260" s="302">
        <f>инженерка!C401</f>
        <v>60.320000000000007</v>
      </c>
      <c r="E2260" s="302">
        <f>инженерка!D401</f>
        <v>10</v>
      </c>
      <c r="F2260" s="302"/>
      <c r="G2260" s="275">
        <f t="shared" si="333"/>
        <v>603.20000000000005</v>
      </c>
      <c r="H2260" s="96">
        <f t="shared" si="334"/>
        <v>0</v>
      </c>
      <c r="I2260" s="2911">
        <f t="shared" si="335"/>
        <v>0</v>
      </c>
      <c r="J2260" s="2863"/>
      <c r="K2260" s="223">
        <f t="shared" si="336"/>
        <v>60.320000000000007</v>
      </c>
      <c r="L2260" s="2854"/>
    </row>
    <row r="2261" spans="1:12">
      <c r="A2261" s="2837"/>
      <c r="B2261" s="302" t="str">
        <f>инженерка!A402</f>
        <v>радиаторы, 1 секция</v>
      </c>
      <c r="C2261" s="2890" t="str">
        <f>инженерка!B402</f>
        <v>шт</v>
      </c>
      <c r="D2261" s="302">
        <f>инженерка!C402</f>
        <v>50</v>
      </c>
      <c r="E2261" s="302">
        <f>инженерка!D402</f>
        <v>300</v>
      </c>
      <c r="F2261" s="302"/>
      <c r="G2261" s="275">
        <f t="shared" si="333"/>
        <v>15000</v>
      </c>
      <c r="H2261" s="96">
        <f t="shared" si="334"/>
        <v>0</v>
      </c>
      <c r="I2261" s="2911">
        <f t="shared" si="335"/>
        <v>0</v>
      </c>
      <c r="J2261" s="2863"/>
      <c r="K2261" s="223">
        <f t="shared" si="336"/>
        <v>50</v>
      </c>
      <c r="L2261" s="2854"/>
    </row>
    <row r="2262" spans="1:12">
      <c r="A2262" s="2837"/>
      <c r="B2262" s="302" t="str">
        <f>инженерка!A403</f>
        <v>комплектующие для радиаторов</v>
      </c>
      <c r="C2262" s="2890" t="str">
        <f>инженерка!B403</f>
        <v>шт</v>
      </c>
      <c r="D2262" s="302">
        <f>инженерка!C403</f>
        <v>50</v>
      </c>
      <c r="E2262" s="302">
        <f>инженерка!D403</f>
        <v>250</v>
      </c>
      <c r="F2262" s="302"/>
      <c r="G2262" s="275">
        <f t="shared" si="333"/>
        <v>12500</v>
      </c>
      <c r="H2262" s="96">
        <f t="shared" si="334"/>
        <v>0</v>
      </c>
      <c r="I2262" s="2911">
        <f t="shared" si="335"/>
        <v>0</v>
      </c>
      <c r="J2262" s="2863"/>
      <c r="K2262" s="223">
        <f t="shared" si="336"/>
        <v>50</v>
      </c>
      <c r="L2262" s="2854"/>
    </row>
    <row r="2263" spans="1:12">
      <c r="A2263" s="2837"/>
      <c r="B2263" s="302" t="str">
        <f>инженерка!A404</f>
        <v>кран американка ду 25/32 для радиаторов</v>
      </c>
      <c r="C2263" s="2890" t="str">
        <f>инженерка!B404</f>
        <v>шт</v>
      </c>
      <c r="D2263" s="302">
        <f>инженерка!C404</f>
        <v>100</v>
      </c>
      <c r="E2263" s="302">
        <f>инженерка!D404</f>
        <v>300</v>
      </c>
      <c r="F2263" s="302"/>
      <c r="G2263" s="275">
        <f t="shared" si="333"/>
        <v>30000</v>
      </c>
      <c r="H2263" s="96">
        <f t="shared" si="334"/>
        <v>0</v>
      </c>
      <c r="I2263" s="2911">
        <f t="shared" si="335"/>
        <v>0</v>
      </c>
      <c r="J2263" s="2863"/>
      <c r="K2263" s="223">
        <f t="shared" si="336"/>
        <v>100</v>
      </c>
      <c r="L2263" s="2854"/>
    </row>
    <row r="2264" spans="1:12">
      <c r="A2264" s="2837"/>
      <c r="B2264" s="302" t="str">
        <f>инженерка!A405</f>
        <v>кран гайка/резьба ду 25/32</v>
      </c>
      <c r="C2264" s="2890" t="str">
        <f>инженерка!B405</f>
        <v>шт</v>
      </c>
      <c r="D2264" s="302">
        <f>инженерка!C405</f>
        <v>100</v>
      </c>
      <c r="E2264" s="302">
        <f>инженерка!D405</f>
        <v>200</v>
      </c>
      <c r="F2264" s="302"/>
      <c r="G2264" s="275">
        <f t="shared" si="333"/>
        <v>20000</v>
      </c>
      <c r="H2264" s="96">
        <f t="shared" si="334"/>
        <v>0</v>
      </c>
      <c r="I2264" s="2911">
        <f t="shared" si="335"/>
        <v>0</v>
      </c>
      <c r="J2264" s="2863"/>
      <c r="K2264" s="223">
        <f t="shared" si="336"/>
        <v>100</v>
      </c>
      <c r="L2264" s="2854"/>
    </row>
    <row r="2265" spans="1:12">
      <c r="A2265" s="2837"/>
      <c r="B2265" s="302" t="str">
        <f>инженерка!A406</f>
        <v>труба диам 20 вода</v>
      </c>
      <c r="C2265" s="2890" t="str">
        <f>инженерка!B406</f>
        <v>м.п.</v>
      </c>
      <c r="D2265" s="302">
        <f>инженерка!C406</f>
        <v>30</v>
      </c>
      <c r="E2265" s="302">
        <f>инженерка!D406</f>
        <v>36</v>
      </c>
      <c r="F2265" s="302"/>
      <c r="G2265" s="275">
        <f t="shared" si="333"/>
        <v>1080</v>
      </c>
      <c r="H2265" s="96">
        <f t="shared" si="334"/>
        <v>0</v>
      </c>
      <c r="I2265" s="2911">
        <f t="shared" si="335"/>
        <v>0</v>
      </c>
      <c r="J2265" s="2863"/>
      <c r="K2265" s="223">
        <f t="shared" si="336"/>
        <v>30</v>
      </c>
      <c r="L2265" s="2854"/>
    </row>
    <row r="2266" spans="1:12">
      <c r="A2266" s="2837"/>
      <c r="B2266" s="302" t="str">
        <f>инженерка!A407</f>
        <v>комплектующие для хол и гор водоснаб</v>
      </c>
      <c r="C2266" s="2890" t="str">
        <f>инженерка!B407</f>
        <v>шт</v>
      </c>
      <c r="D2266" s="302">
        <f>инженерка!C407</f>
        <v>1</v>
      </c>
      <c r="E2266" s="302">
        <f>инженерка!D407</f>
        <v>100</v>
      </c>
      <c r="F2266" s="302"/>
      <c r="G2266" s="275">
        <f t="shared" si="333"/>
        <v>100</v>
      </c>
      <c r="H2266" s="96">
        <f t="shared" si="334"/>
        <v>0</v>
      </c>
      <c r="I2266" s="2911">
        <f t="shared" si="335"/>
        <v>0</v>
      </c>
      <c r="J2266" s="2863"/>
      <c r="K2266" s="223">
        <f t="shared" si="336"/>
        <v>1</v>
      </c>
      <c r="L2266" s="2854"/>
    </row>
    <row r="2267" spans="1:12">
      <c r="A2267" s="2837"/>
      <c r="B2267" s="302" t="str">
        <f>инженерка!A408</f>
        <v>соеденители для трубы</v>
      </c>
      <c r="C2267" s="2890" t="str">
        <f>инженерка!B408</f>
        <v>шт</v>
      </c>
      <c r="D2267" s="302">
        <f>инженерка!C408</f>
        <v>10</v>
      </c>
      <c r="E2267" s="302">
        <f>инженерка!D408</f>
        <v>10</v>
      </c>
      <c r="F2267" s="302"/>
      <c r="G2267" s="275">
        <f t="shared" si="333"/>
        <v>100</v>
      </c>
      <c r="H2267" s="96">
        <f t="shared" si="334"/>
        <v>0</v>
      </c>
      <c r="I2267" s="2911">
        <f t="shared" si="335"/>
        <v>0</v>
      </c>
      <c r="J2267" s="2863"/>
      <c r="K2267" s="223">
        <f t="shared" si="336"/>
        <v>10</v>
      </c>
      <c r="L2267" s="2854"/>
    </row>
    <row r="2268" spans="1:12">
      <c r="A2268" s="2837"/>
      <c r="B2268" s="302" t="str">
        <f>инженерка!A409</f>
        <v>уголок 90 град</v>
      </c>
      <c r="C2268" s="2890" t="str">
        <f>инженерка!B409</f>
        <v>шт</v>
      </c>
      <c r="D2268" s="302">
        <f>инженерка!C409</f>
        <v>15</v>
      </c>
      <c r="E2268" s="302">
        <f>инженерка!D409</f>
        <v>10</v>
      </c>
      <c r="F2268" s="302"/>
      <c r="G2268" s="275">
        <f t="shared" si="333"/>
        <v>150</v>
      </c>
      <c r="H2268" s="96">
        <f t="shared" si="334"/>
        <v>0</v>
      </c>
      <c r="I2268" s="2911">
        <f t="shared" si="335"/>
        <v>0</v>
      </c>
      <c r="J2268" s="2863"/>
      <c r="K2268" s="223">
        <f t="shared" si="336"/>
        <v>15</v>
      </c>
      <c r="L2268" s="2854"/>
    </row>
    <row r="2269" spans="1:12">
      <c r="A2269" s="2837"/>
      <c r="B2269" s="3278" t="s">
        <v>4640</v>
      </c>
      <c r="C2269" s="3278"/>
      <c r="D2269" s="3278"/>
      <c r="E2269" s="3278"/>
      <c r="F2269" s="2868"/>
      <c r="G2269" s="2315">
        <f>SUM(G2258:G2268)*H2256</f>
        <v>0</v>
      </c>
      <c r="H2269" s="2315">
        <f>SUM(H2258:H2268)</f>
        <v>0</v>
      </c>
      <c r="I2269" s="2911">
        <f t="shared" si="335"/>
        <v>0</v>
      </c>
      <c r="J2269" s="2863"/>
      <c r="K2269" s="223">
        <f t="shared" si="336"/>
        <v>0</v>
      </c>
      <c r="L2269" s="2854"/>
    </row>
    <row r="2270" spans="1:12">
      <c r="A2270" s="2837"/>
      <c r="B2270" s="3279" t="s">
        <v>1409</v>
      </c>
      <c r="C2270" s="3279"/>
      <c r="D2270" s="3279"/>
      <c r="E2270" s="3279"/>
      <c r="F2270" s="2870"/>
      <c r="G2270" s="941"/>
      <c r="H2270" s="2891">
        <f>H2256</f>
        <v>0</v>
      </c>
      <c r="I2270" s="2940">
        <f>H2270</f>
        <v>0</v>
      </c>
      <c r="J2270" s="2892"/>
      <c r="K2270" s="2893"/>
    </row>
    <row r="2271" spans="1:12">
      <c r="A2271" s="2829"/>
      <c r="B2271" s="2763" t="s">
        <v>1612</v>
      </c>
      <c r="C2271" s="18" t="s">
        <v>156</v>
      </c>
      <c r="D2271" s="302">
        <f>инженерка!I399</f>
        <v>180.8</v>
      </c>
      <c r="E2271" s="100">
        <f>инженерка!J399</f>
        <v>200</v>
      </c>
      <c r="F2271" s="100"/>
      <c r="G2271" s="275">
        <f>IF(F2271&gt;0,D2271*F2271,E2271*D2271)</f>
        <v>36160</v>
      </c>
      <c r="H2271" s="96">
        <f>D2271*E2271*$H$2270</f>
        <v>0</v>
      </c>
      <c r="I2271" s="2836">
        <f>IF(G2271&gt;H2271,G2271,H2271)*$H$2256</f>
        <v>0</v>
      </c>
      <c r="J2271" s="2829"/>
      <c r="K2271" s="2837"/>
    </row>
    <row r="2272" spans="1:12">
      <c r="A2272" s="2837"/>
      <c r="B2272" s="2763" t="s">
        <v>1613</v>
      </c>
      <c r="C2272" s="18" t="s">
        <v>159</v>
      </c>
      <c r="D2272" s="302">
        <f>инженерка!I400</f>
        <v>5</v>
      </c>
      <c r="E2272" s="100">
        <f>инженерка!J400</f>
        <v>1000</v>
      </c>
      <c r="F2272" s="100"/>
      <c r="G2272" s="275">
        <f>IF(F2272&gt;0,D2272*F2272,E2272*D2272)</f>
        <v>5000</v>
      </c>
      <c r="H2272" s="96">
        <f>D2272*E2272*$H$2270</f>
        <v>0</v>
      </c>
      <c r="I2272" s="2836">
        <f>IF(G2272&gt;H2272,G2272,H2272)*$H$2256</f>
        <v>0</v>
      </c>
      <c r="J2272" s="2829"/>
      <c r="K2272" s="2837"/>
    </row>
    <row r="2273" spans="1:12">
      <c r="A2273" s="2837"/>
      <c r="B2273" s="2763" t="s">
        <v>1612</v>
      </c>
      <c r="C2273" s="18" t="s">
        <v>156</v>
      </c>
      <c r="D2273" s="302">
        <f>инженерка!I401</f>
        <v>30</v>
      </c>
      <c r="E2273" s="100">
        <f>инженерка!J401</f>
        <v>200</v>
      </c>
      <c r="F2273" s="100"/>
      <c r="G2273" s="275">
        <f>IF(F2273&gt;0,D2273*F2273,E2273*D2273)</f>
        <v>6000</v>
      </c>
      <c r="H2273" s="96">
        <f>D2273*E2273*$H$2270</f>
        <v>0</v>
      </c>
      <c r="I2273" s="2836">
        <f>IF(G2273&gt;H2273,G2273,H2273)*$H$2256</f>
        <v>0</v>
      </c>
      <c r="J2273" s="2829"/>
      <c r="K2273" s="2837"/>
    </row>
    <row r="2274" spans="1:12">
      <c r="A2274" s="2837"/>
      <c r="B2274" s="3278" t="s">
        <v>4641</v>
      </c>
      <c r="C2274" s="3278"/>
      <c r="D2274" s="3278"/>
      <c r="E2274" s="3278"/>
      <c r="F2274" s="2868"/>
      <c r="G2274" s="2315">
        <f>SUM(G2271:G2273)*H2270</f>
        <v>0</v>
      </c>
      <c r="H2274" s="2315">
        <f>SUM(H2271:H2273)</f>
        <v>0</v>
      </c>
      <c r="I2274" s="2836">
        <f>IF(G2274&gt;H2274,G2274,H2274)*$H$2256</f>
        <v>0</v>
      </c>
      <c r="J2274" s="2829"/>
      <c r="K2274" s="2837"/>
    </row>
    <row r="2275" spans="1:12" ht="21">
      <c r="A2275" s="2837"/>
      <c r="B2275" s="3282" t="s">
        <v>1171</v>
      </c>
      <c r="C2275" s="3282"/>
      <c r="D2275" s="3282"/>
      <c r="E2275" s="3282"/>
      <c r="F2275" s="2887"/>
      <c r="G2275" s="941"/>
      <c r="H2275" s="2901">
        <f>VLOOKUP('Ввод данных'!F1325,связи1!A2:B3,2,0)</f>
        <v>0</v>
      </c>
      <c r="I2275" s="2940">
        <f>H2275</f>
        <v>0</v>
      </c>
      <c r="J2275" s="2829"/>
      <c r="K2275" s="2837"/>
    </row>
    <row r="2276" spans="1:12">
      <c r="A2276" s="2829"/>
      <c r="B2276" s="3285" t="s">
        <v>2720</v>
      </c>
      <c r="C2276" s="3285"/>
      <c r="D2276" s="3285"/>
      <c r="E2276" s="3285"/>
      <c r="F2276" s="2902"/>
      <c r="G2276" s="941"/>
      <c r="H2276" s="2903">
        <f>H2275</f>
        <v>0</v>
      </c>
      <c r="I2276" s="2940">
        <f>H2276</f>
        <v>0</v>
      </c>
      <c r="J2276" s="2850"/>
      <c r="K2276" s="2851"/>
    </row>
    <row r="2277" spans="1:12">
      <c r="A2277" s="2829"/>
      <c r="B2277" s="302" t="str">
        <f>инженерка!A427</f>
        <v>насос малыш</v>
      </c>
      <c r="C2277" s="2890" t="str">
        <f>инженерка!B427</f>
        <v>шт</v>
      </c>
      <c r="D2277" s="302">
        <f>инженерка!C427</f>
        <v>1</v>
      </c>
      <c r="E2277" s="302">
        <f>инженерка!D427</f>
        <v>2500</v>
      </c>
      <c r="F2277" s="302"/>
      <c r="G2277" s="275">
        <f t="shared" ref="G2277:G2285" si="337">IF(F2277&gt;0,D2277*F2277,E2277*D2277)</f>
        <v>2500</v>
      </c>
      <c r="H2277" s="2315">
        <f t="shared" ref="H2277:H2285" si="338">D2277*E2277*$H$2276</f>
        <v>0</v>
      </c>
      <c r="I2277" s="2911">
        <f t="shared" ref="I2277:I2286" si="339">IF(G2277&gt;H2277,G2277,H2277)*$H$2275</f>
        <v>0</v>
      </c>
      <c r="J2277" s="2863"/>
      <c r="K2277" s="223">
        <f t="shared" ref="K2277:K2286" si="340">D2277-J2277</f>
        <v>1</v>
      </c>
      <c r="L2277" s="2854"/>
    </row>
    <row r="2278" spans="1:12">
      <c r="A2278" s="2837"/>
      <c r="B2278" s="302" t="str">
        <f>инженерка!A428</f>
        <v>шланг для насоса</v>
      </c>
      <c r="C2278" s="2890" t="str">
        <f>инженерка!B428</f>
        <v>м.п.</v>
      </c>
      <c r="D2278" s="302">
        <f>инженерка!C428</f>
        <v>72</v>
      </c>
      <c r="E2278" s="302">
        <f>инженерка!D428</f>
        <v>19</v>
      </c>
      <c r="F2278" s="302"/>
      <c r="G2278" s="275">
        <f t="shared" si="337"/>
        <v>1368</v>
      </c>
      <c r="H2278" s="2315">
        <f t="shared" si="338"/>
        <v>0</v>
      </c>
      <c r="I2278" s="2911">
        <f t="shared" si="339"/>
        <v>0</v>
      </c>
      <c r="J2278" s="2863"/>
      <c r="K2278" s="223">
        <f t="shared" si="340"/>
        <v>72</v>
      </c>
      <c r="L2278" s="2854"/>
    </row>
    <row r="2279" spans="1:12">
      <c r="A2279" s="2837"/>
      <c r="B2279" s="302" t="str">
        <f>инженерка!A429</f>
        <v>тросик для насоса</v>
      </c>
      <c r="C2279" s="2890" t="str">
        <f>инженерка!B429</f>
        <v>м.п.</v>
      </c>
      <c r="D2279" s="302">
        <f>инженерка!C429</f>
        <v>72</v>
      </c>
      <c r="E2279" s="302">
        <f>инженерка!D429</f>
        <v>5</v>
      </c>
      <c r="F2279" s="302"/>
      <c r="G2279" s="275">
        <f t="shared" si="337"/>
        <v>360</v>
      </c>
      <c r="H2279" s="2315">
        <f t="shared" si="338"/>
        <v>0</v>
      </c>
      <c r="I2279" s="2911">
        <f t="shared" si="339"/>
        <v>0</v>
      </c>
      <c r="J2279" s="2863"/>
      <c r="K2279" s="223">
        <f t="shared" si="340"/>
        <v>72</v>
      </c>
      <c r="L2279" s="2854"/>
    </row>
    <row r="2280" spans="1:12">
      <c r="A2280" s="2837"/>
      <c r="B2280" s="302" t="str">
        <f>инженерка!A430</f>
        <v>изолента</v>
      </c>
      <c r="C2280" s="2890" t="str">
        <f>инженерка!B430</f>
        <v>рул</v>
      </c>
      <c r="D2280" s="302">
        <f>инженерка!C430</f>
        <v>1</v>
      </c>
      <c r="E2280" s="302">
        <f>инженерка!D430</f>
        <v>100</v>
      </c>
      <c r="F2280" s="302"/>
      <c r="G2280" s="275">
        <f t="shared" si="337"/>
        <v>100</v>
      </c>
      <c r="H2280" s="2315">
        <f t="shared" si="338"/>
        <v>0</v>
      </c>
      <c r="I2280" s="2911">
        <f t="shared" si="339"/>
        <v>0</v>
      </c>
      <c r="J2280" s="2863"/>
      <c r="K2280" s="223">
        <f t="shared" si="340"/>
        <v>1</v>
      </c>
      <c r="L2280" s="2854"/>
    </row>
    <row r="2281" spans="1:12">
      <c r="A2281" s="2837"/>
      <c r="B2281" s="302" t="str">
        <f>инженерка!A431</f>
        <v>гидроаккумулятор, 80л</v>
      </c>
      <c r="C2281" s="2890" t="str">
        <f>инженерка!B431</f>
        <v>шт</v>
      </c>
      <c r="D2281" s="302">
        <f>инженерка!C431</f>
        <v>1</v>
      </c>
      <c r="E2281" s="302">
        <f>инженерка!D431</f>
        <v>8000</v>
      </c>
      <c r="F2281" s="302"/>
      <c r="G2281" s="275">
        <f t="shared" si="337"/>
        <v>8000</v>
      </c>
      <c r="H2281" s="2315">
        <f t="shared" si="338"/>
        <v>0</v>
      </c>
      <c r="I2281" s="2911">
        <f t="shared" si="339"/>
        <v>0</v>
      </c>
      <c r="J2281" s="2863"/>
      <c r="K2281" s="223">
        <f t="shared" si="340"/>
        <v>1</v>
      </c>
      <c r="L2281" s="2854"/>
    </row>
    <row r="2282" spans="1:12">
      <c r="A2282" s="2837"/>
      <c r="B2282" s="302" t="str">
        <f>инженерка!A432</f>
        <v>автоматика</v>
      </c>
      <c r="C2282" s="2890" t="str">
        <f>инженерка!B432</f>
        <v>шт</v>
      </c>
      <c r="D2282" s="302">
        <f>инженерка!C432</f>
        <v>1</v>
      </c>
      <c r="E2282" s="302">
        <f>инженерка!D432</f>
        <v>10000</v>
      </c>
      <c r="F2282" s="302"/>
      <c r="G2282" s="275">
        <f t="shared" si="337"/>
        <v>10000</v>
      </c>
      <c r="H2282" s="2315">
        <f t="shared" si="338"/>
        <v>0</v>
      </c>
      <c r="I2282" s="2911">
        <f t="shared" si="339"/>
        <v>0</v>
      </c>
      <c r="J2282" s="2863"/>
      <c r="K2282" s="223">
        <f t="shared" si="340"/>
        <v>1</v>
      </c>
      <c r="L2282" s="2854"/>
    </row>
    <row r="2283" spans="1:12">
      <c r="A2283" s="2837"/>
      <c r="B2283" s="302" t="str">
        <f>инженерка!A433</f>
        <v>пнд труба</v>
      </c>
      <c r="C2283" s="2890" t="str">
        <f>инженерка!B433</f>
        <v>м.п.</v>
      </c>
      <c r="D2283" s="302">
        <f>инженерка!C433</f>
        <v>72</v>
      </c>
      <c r="E2283" s="302">
        <f>инженерка!D433</f>
        <v>35</v>
      </c>
      <c r="F2283" s="302"/>
      <c r="G2283" s="275">
        <f t="shared" si="337"/>
        <v>2520</v>
      </c>
      <c r="H2283" s="2315">
        <f t="shared" si="338"/>
        <v>0</v>
      </c>
      <c r="I2283" s="2911">
        <f t="shared" si="339"/>
        <v>0</v>
      </c>
      <c r="J2283" s="2863"/>
      <c r="K2283" s="223">
        <f t="shared" si="340"/>
        <v>72</v>
      </c>
      <c r="L2283" s="2854"/>
    </row>
    <row r="2284" spans="1:12">
      <c r="A2284" s="2837"/>
      <c r="B2284" s="302" t="str">
        <f>инженерка!A434</f>
        <v>скорлупа утепления двойная</v>
      </c>
      <c r="C2284" s="2890" t="str">
        <f>инженерка!B434</f>
        <v>м.п.</v>
      </c>
      <c r="D2284" s="302">
        <f>инженерка!C434</f>
        <v>10</v>
      </c>
      <c r="E2284" s="302">
        <f>инженерка!D434</f>
        <v>500</v>
      </c>
      <c r="F2284" s="302"/>
      <c r="G2284" s="275">
        <f t="shared" si="337"/>
        <v>5000</v>
      </c>
      <c r="H2284" s="2315">
        <f t="shared" si="338"/>
        <v>0</v>
      </c>
      <c r="I2284" s="2911">
        <f t="shared" si="339"/>
        <v>0</v>
      </c>
      <c r="J2284" s="2863"/>
      <c r="K2284" s="223">
        <f t="shared" si="340"/>
        <v>10</v>
      </c>
      <c r="L2284" s="2854"/>
    </row>
    <row r="2285" spans="1:12">
      <c r="A2285" s="2837"/>
      <c r="B2285" s="302" t="str">
        <f>инженерка!A435</f>
        <v>скважинный адаптер</v>
      </c>
      <c r="C2285" s="2890" t="str">
        <f>инженерка!B435</f>
        <v>шт</v>
      </c>
      <c r="D2285" s="302">
        <f>инженерка!C435</f>
        <v>1</v>
      </c>
      <c r="E2285" s="302">
        <f>инженерка!D435</f>
        <v>3000</v>
      </c>
      <c r="F2285" s="302"/>
      <c r="G2285" s="275">
        <f t="shared" si="337"/>
        <v>3000</v>
      </c>
      <c r="H2285" s="2315">
        <f t="shared" si="338"/>
        <v>0</v>
      </c>
      <c r="I2285" s="2911">
        <f t="shared" si="339"/>
        <v>0</v>
      </c>
      <c r="J2285" s="2863"/>
      <c r="K2285" s="223">
        <f t="shared" si="340"/>
        <v>1</v>
      </c>
      <c r="L2285" s="2854"/>
    </row>
    <row r="2286" spans="1:12">
      <c r="A2286" s="2837"/>
      <c r="B2286" s="3278" t="s">
        <v>4640</v>
      </c>
      <c r="C2286" s="3278"/>
      <c r="D2286" s="3278"/>
      <c r="E2286" s="3278"/>
      <c r="F2286" s="2868"/>
      <c r="G2286" s="2315">
        <f>SUM(G2277:G2285)*H2275</f>
        <v>0</v>
      </c>
      <c r="H2286" s="2315">
        <f>SUM(H2277:H2285)</f>
        <v>0</v>
      </c>
      <c r="I2286" s="2911">
        <f t="shared" si="339"/>
        <v>0</v>
      </c>
      <c r="J2286" s="2863"/>
      <c r="K2286" s="223">
        <f t="shared" si="340"/>
        <v>0</v>
      </c>
      <c r="L2286" s="2854"/>
    </row>
    <row r="2287" spans="1:12">
      <c r="A2287" s="2837"/>
      <c r="B2287" s="3279" t="s">
        <v>1409</v>
      </c>
      <c r="C2287" s="3279"/>
      <c r="D2287" s="3279"/>
      <c r="E2287" s="3279"/>
      <c r="F2287" s="2870"/>
      <c r="G2287" s="941"/>
      <c r="H2287" s="2891">
        <f>H2275</f>
        <v>0</v>
      </c>
      <c r="I2287" s="2940">
        <f>H2287</f>
        <v>0</v>
      </c>
      <c r="J2287" s="2892"/>
      <c r="K2287" s="2893"/>
    </row>
    <row r="2288" spans="1:12">
      <c r="A2288" s="2829"/>
      <c r="B2288" s="2763" t="s">
        <v>1615</v>
      </c>
      <c r="C2288" s="18" t="s">
        <v>159</v>
      </c>
      <c r="D2288" s="302">
        <f>инженерка!I427</f>
        <v>1</v>
      </c>
      <c r="E2288" s="100">
        <f>инженерка!J427</f>
        <v>1500</v>
      </c>
      <c r="F2288" s="100"/>
      <c r="G2288" s="275">
        <f t="shared" ref="G2288:G2293" si="341">IF(F2288&gt;0,D2288*F2288,E2288*D2288)</f>
        <v>1500</v>
      </c>
      <c r="H2288" s="2315">
        <f t="shared" ref="H2288:H2293" si="342">D2288*E2288*$H$2287</f>
        <v>0</v>
      </c>
      <c r="I2288" s="2836">
        <f t="shared" ref="I2288:I2294" si="343">IF(G2288&gt;H2288,G2288,H2288)*$H$2275</f>
        <v>0</v>
      </c>
      <c r="J2288" s="2829"/>
      <c r="K2288" s="2837"/>
    </row>
    <row r="2289" spans="1:13">
      <c r="A2289" s="2837"/>
      <c r="B2289" s="2763" t="s">
        <v>1616</v>
      </c>
      <c r="C2289" s="18" t="s">
        <v>159</v>
      </c>
      <c r="D2289" s="302">
        <f>инженерка!I428</f>
        <v>1</v>
      </c>
      <c r="E2289" s="100">
        <f>инженерка!J428</f>
        <v>1500</v>
      </c>
      <c r="F2289" s="100"/>
      <c r="G2289" s="275">
        <f t="shared" si="341"/>
        <v>1500</v>
      </c>
      <c r="H2289" s="2315">
        <f t="shared" si="342"/>
        <v>0</v>
      </c>
      <c r="I2289" s="2836">
        <f t="shared" si="343"/>
        <v>0</v>
      </c>
      <c r="J2289" s="2829"/>
      <c r="K2289" s="2837"/>
    </row>
    <row r="2290" spans="1:13">
      <c r="A2290" s="2837"/>
      <c r="B2290" s="2763" t="s">
        <v>4609</v>
      </c>
      <c r="C2290" s="18" t="s">
        <v>159</v>
      </c>
      <c r="D2290" s="302">
        <f>инженерка!I429</f>
        <v>1</v>
      </c>
      <c r="E2290" s="100">
        <f>инженерка!J429</f>
        <v>3000</v>
      </c>
      <c r="F2290" s="100"/>
      <c r="G2290" s="275">
        <f t="shared" si="341"/>
        <v>3000</v>
      </c>
      <c r="H2290" s="2315">
        <f t="shared" si="342"/>
        <v>0</v>
      </c>
      <c r="I2290" s="2836">
        <f t="shared" si="343"/>
        <v>0</v>
      </c>
      <c r="J2290" s="2829"/>
      <c r="K2290" s="2837"/>
    </row>
    <row r="2291" spans="1:13">
      <c r="A2291" s="2837"/>
      <c r="B2291" s="2763" t="s">
        <v>4610</v>
      </c>
      <c r="C2291" s="18" t="s">
        <v>159</v>
      </c>
      <c r="D2291" s="302">
        <f>инженерка!I430</f>
        <v>1</v>
      </c>
      <c r="E2291" s="100">
        <f>инженерка!J430</f>
        <v>2500</v>
      </c>
      <c r="F2291" s="100"/>
      <c r="G2291" s="275">
        <f t="shared" si="341"/>
        <v>2500</v>
      </c>
      <c r="H2291" s="2315">
        <f t="shared" si="342"/>
        <v>0</v>
      </c>
      <c r="I2291" s="2836">
        <f t="shared" si="343"/>
        <v>0</v>
      </c>
      <c r="L2291" s="910"/>
      <c r="M2291" s="910"/>
    </row>
    <row r="2292" spans="1:13">
      <c r="A2292" s="2837"/>
      <c r="B2292" s="2763" t="s">
        <v>1619</v>
      </c>
      <c r="C2292" s="18" t="s">
        <v>159</v>
      </c>
      <c r="D2292" s="302">
        <f>инженерка!I431</f>
        <v>1</v>
      </c>
      <c r="E2292" s="100">
        <f>инженерка!J431</f>
        <v>4000</v>
      </c>
      <c r="F2292" s="100"/>
      <c r="G2292" s="275">
        <f t="shared" si="341"/>
        <v>4000</v>
      </c>
      <c r="H2292" s="2315">
        <f t="shared" si="342"/>
        <v>0</v>
      </c>
      <c r="I2292" s="2836">
        <f t="shared" si="343"/>
        <v>0</v>
      </c>
      <c r="L2292" s="910"/>
      <c r="M2292" s="910"/>
    </row>
    <row r="2293" spans="1:13">
      <c r="A2293" s="2837"/>
      <c r="B2293" s="2763" t="s">
        <v>4611</v>
      </c>
      <c r="C2293" s="18" t="s">
        <v>156</v>
      </c>
      <c r="D2293" s="302">
        <f>инженерка!I432</f>
        <v>10</v>
      </c>
      <c r="E2293" s="100">
        <f>инженерка!J432</f>
        <v>500</v>
      </c>
      <c r="F2293" s="100"/>
      <c r="G2293" s="275">
        <f t="shared" si="341"/>
        <v>5000</v>
      </c>
      <c r="H2293" s="2315">
        <f t="shared" si="342"/>
        <v>0</v>
      </c>
      <c r="I2293" s="2836">
        <f t="shared" si="343"/>
        <v>0</v>
      </c>
      <c r="L2293" s="910"/>
      <c r="M2293" s="910"/>
    </row>
    <row r="2294" spans="1:13">
      <c r="A2294" s="2837"/>
      <c r="B2294" s="3278" t="s">
        <v>4641</v>
      </c>
      <c r="C2294" s="3278"/>
      <c r="D2294" s="3278"/>
      <c r="E2294" s="3278"/>
      <c r="F2294" s="2868"/>
      <c r="G2294" s="2315">
        <f>SUM(G2288:G2293)*H2287</f>
        <v>0</v>
      </c>
      <c r="H2294" s="2315">
        <f>SUM(H2288:H2293)</f>
        <v>0</v>
      </c>
      <c r="I2294" s="2836">
        <f t="shared" si="343"/>
        <v>0</v>
      </c>
      <c r="L2294" s="910"/>
      <c r="M2294" s="910"/>
    </row>
    <row r="2295" spans="1:13" ht="21">
      <c r="A2295" s="2837"/>
      <c r="B2295" s="3282" t="s">
        <v>1092</v>
      </c>
      <c r="C2295" s="3282"/>
      <c r="D2295" s="3282"/>
      <c r="E2295" s="3282"/>
      <c r="F2295" s="2909"/>
      <c r="G2295" s="941"/>
      <c r="H2295" s="2901">
        <f>VLOOKUP('Ввод данных'!F1352,связи1!A2:B3,2,0)</f>
        <v>0</v>
      </c>
      <c r="I2295" s="2940">
        <f>H2295</f>
        <v>0</v>
      </c>
      <c r="L2295" s="910"/>
      <c r="M2295" s="910"/>
    </row>
    <row r="2296" spans="1:13">
      <c r="A2296" s="2829"/>
      <c r="B2296" s="3285" t="s">
        <v>2720</v>
      </c>
      <c r="C2296" s="3285"/>
      <c r="D2296" s="3285"/>
      <c r="E2296" s="3285"/>
      <c r="F2296" s="2910"/>
      <c r="G2296" s="941"/>
      <c r="H2296" s="2903">
        <f>H2295</f>
        <v>0</v>
      </c>
      <c r="I2296" s="2940">
        <f>H2296</f>
        <v>0</v>
      </c>
      <c r="L2296" s="910"/>
      <c r="M2296" s="910"/>
    </row>
    <row r="2297" spans="1:13">
      <c r="A2297" s="2829"/>
      <c r="B2297" s="302" t="str">
        <f>инженерка!A464</f>
        <v>дно бетонное, диаметр 1,5м.п.</v>
      </c>
      <c r="C2297" s="2890" t="str">
        <f>инженерка!B464</f>
        <v>шт</v>
      </c>
      <c r="D2297" s="302">
        <f>инженерка!C464</f>
        <v>1</v>
      </c>
      <c r="E2297" s="179">
        <f>инженерка!D464</f>
        <v>2000</v>
      </c>
      <c r="F2297" s="179"/>
      <c r="G2297" s="275">
        <f t="shared" ref="G2297:G2309" si="344">IF(F2297&gt;0,D2297*F2297,E2297*D2297)</f>
        <v>2000</v>
      </c>
      <c r="H2297" s="2315">
        <f t="shared" ref="H2297:H2309" si="345">D2297*E2297*$H$2296</f>
        <v>0</v>
      </c>
      <c r="I2297" s="2911">
        <f t="shared" ref="I2297:I2310" si="346">IF(G2297&gt;H2297,G2297,H2297)*$H$2295</f>
        <v>0</v>
      </c>
      <c r="J2297" s="2863"/>
      <c r="K2297" s="223">
        <f t="shared" ref="K2297:K2310" si="347">D2297-J2297</f>
        <v>1</v>
      </c>
      <c r="L2297" s="910"/>
      <c r="M2297" s="910"/>
    </row>
    <row r="2298" spans="1:13">
      <c r="A2298" s="2837"/>
      <c r="B2298" s="302" t="str">
        <f>инженерка!A465</f>
        <v>кольцо бетонное, диаметр 1,5м.п.</v>
      </c>
      <c r="C2298" s="2890" t="str">
        <f>инженерка!B465</f>
        <v>шт</v>
      </c>
      <c r="D2298" s="302">
        <f>инженерка!C465</f>
        <v>3</v>
      </c>
      <c r="E2298" s="179">
        <f>инженерка!D465</f>
        <v>2800</v>
      </c>
      <c r="F2298" s="179"/>
      <c r="G2298" s="275">
        <f t="shared" si="344"/>
        <v>8400</v>
      </c>
      <c r="H2298" s="2315">
        <f t="shared" si="345"/>
        <v>0</v>
      </c>
      <c r="I2298" s="2911">
        <f t="shared" si="346"/>
        <v>0</v>
      </c>
      <c r="J2298" s="2863"/>
      <c r="K2298" s="223">
        <f t="shared" si="347"/>
        <v>3</v>
      </c>
      <c r="L2298" s="910"/>
      <c r="M2298" s="910"/>
    </row>
    <row r="2299" spans="1:13">
      <c r="A2299" s="2837"/>
      <c r="B2299" s="302" t="str">
        <f>инженерка!A466</f>
        <v>крышка бетонная, диаметр 1,5м.п.</v>
      </c>
      <c r="C2299" s="2890" t="str">
        <f>инженерка!B466</f>
        <v>шт</v>
      </c>
      <c r="D2299" s="302">
        <f>инженерка!C466</f>
        <v>1</v>
      </c>
      <c r="E2299" s="179">
        <f>инженерка!D466</f>
        <v>4000</v>
      </c>
      <c r="F2299" s="179"/>
      <c r="G2299" s="275">
        <f t="shared" si="344"/>
        <v>4000</v>
      </c>
      <c r="H2299" s="2315">
        <f t="shared" si="345"/>
        <v>0</v>
      </c>
      <c r="I2299" s="2911">
        <f t="shared" si="346"/>
        <v>0</v>
      </c>
      <c r="J2299" s="2863"/>
      <c r="K2299" s="223">
        <f t="shared" si="347"/>
        <v>1</v>
      </c>
      <c r="L2299" s="910"/>
      <c r="M2299" s="910"/>
    </row>
    <row r="2300" spans="1:13">
      <c r="A2300" s="2837"/>
      <c r="B2300" s="302" t="str">
        <f>инженерка!A467</f>
        <v>Нет люка для крышки</v>
      </c>
      <c r="C2300" s="2890" t="str">
        <f>инженерка!B467</f>
        <v>шт</v>
      </c>
      <c r="D2300" s="302">
        <f>инженерка!C467</f>
        <v>0</v>
      </c>
      <c r="E2300" s="302">
        <f>инженерка!D467</f>
        <v>0</v>
      </c>
      <c r="F2300" s="302"/>
      <c r="G2300" s="275">
        <f t="shared" si="344"/>
        <v>0</v>
      </c>
      <c r="H2300" s="2315">
        <f t="shared" si="345"/>
        <v>0</v>
      </c>
      <c r="I2300" s="2911">
        <f t="shared" si="346"/>
        <v>0</v>
      </c>
      <c r="J2300" s="2863"/>
      <c r="K2300" s="223">
        <f t="shared" si="347"/>
        <v>0</v>
      </c>
      <c r="L2300" s="2854"/>
    </row>
    <row r="2301" spans="1:13">
      <c r="A2301" s="2837"/>
      <c r="B2301" s="302" t="str">
        <f>инженерка!A468</f>
        <v>Горловина для септика бетонная</v>
      </c>
      <c r="C2301" s="2890" t="str">
        <f>инженерка!B468</f>
        <v>шт</v>
      </c>
      <c r="D2301" s="302">
        <f>инженерка!C468</f>
        <v>1</v>
      </c>
      <c r="E2301" s="179">
        <f>инженерка!D468</f>
        <v>1000</v>
      </c>
      <c r="F2301" s="179"/>
      <c r="G2301" s="275">
        <f t="shared" si="344"/>
        <v>1000</v>
      </c>
      <c r="H2301" s="2315">
        <f t="shared" si="345"/>
        <v>0</v>
      </c>
      <c r="I2301" s="2911">
        <f t="shared" si="346"/>
        <v>0</v>
      </c>
      <c r="J2301" s="2863"/>
      <c r="K2301" s="223">
        <f t="shared" si="347"/>
        <v>1</v>
      </c>
      <c r="L2301" s="2854"/>
    </row>
    <row r="2302" spans="1:13">
      <c r="A2302" s="2837"/>
      <c r="B2302" s="302" t="str">
        <f>инженерка!A469</f>
        <v>Труба канализационная D110</v>
      </c>
      <c r="C2302" s="2890" t="str">
        <f>инженерка!B469</f>
        <v>м.п.</v>
      </c>
      <c r="D2302" s="302">
        <f>инженерка!C469</f>
        <v>10</v>
      </c>
      <c r="E2302" s="179">
        <f>инженерка!D469</f>
        <v>70</v>
      </c>
      <c r="F2302" s="179"/>
      <c r="G2302" s="275">
        <f t="shared" si="344"/>
        <v>700</v>
      </c>
      <c r="H2302" s="2315">
        <f t="shared" si="345"/>
        <v>0</v>
      </c>
      <c r="I2302" s="2911">
        <f t="shared" si="346"/>
        <v>0</v>
      </c>
      <c r="J2302" s="2863"/>
      <c r="K2302" s="223">
        <f t="shared" si="347"/>
        <v>10</v>
      </c>
      <c r="L2302" s="2854"/>
    </row>
    <row r="2303" spans="1:13">
      <c r="A2303" s="2837"/>
      <c r="B2303" s="302" t="str">
        <f>инженерка!A470</f>
        <v>утепление для канализационной трубы</v>
      </c>
      <c r="C2303" s="2890" t="str">
        <f>инженерка!B470</f>
        <v>м.п.</v>
      </c>
      <c r="D2303" s="302">
        <f>инженерка!C470</f>
        <v>8</v>
      </c>
      <c r="E2303" s="179">
        <f>инженерка!D470</f>
        <v>300</v>
      </c>
      <c r="F2303" s="179"/>
      <c r="G2303" s="275">
        <f t="shared" si="344"/>
        <v>2400</v>
      </c>
      <c r="H2303" s="2315">
        <f t="shared" si="345"/>
        <v>0</v>
      </c>
      <c r="I2303" s="2911">
        <f t="shared" si="346"/>
        <v>0</v>
      </c>
      <c r="J2303" s="2863"/>
      <c r="K2303" s="223">
        <f t="shared" si="347"/>
        <v>8</v>
      </c>
      <c r="L2303" s="2854"/>
    </row>
    <row r="2304" spans="1:13">
      <c r="A2304" s="2837"/>
      <c r="B2304" s="302" t="str">
        <f>инженерка!A471</f>
        <v>раствор для бетонирования</v>
      </c>
      <c r="C2304" s="2890" t="str">
        <f>инженерка!B471</f>
        <v>шт</v>
      </c>
      <c r="D2304" s="302">
        <f>инженерка!C471</f>
        <v>3</v>
      </c>
      <c r="E2304" s="179">
        <f>инженерка!D471</f>
        <v>100</v>
      </c>
      <c r="F2304" s="179"/>
      <c r="G2304" s="275">
        <f t="shared" si="344"/>
        <v>300</v>
      </c>
      <c r="H2304" s="2315">
        <f t="shared" si="345"/>
        <v>0</v>
      </c>
      <c r="I2304" s="2911">
        <f t="shared" si="346"/>
        <v>0</v>
      </c>
      <c r="J2304" s="2863"/>
      <c r="K2304" s="223">
        <f t="shared" si="347"/>
        <v>3</v>
      </c>
      <c r="L2304" s="2854"/>
    </row>
    <row r="2305" spans="1:12">
      <c r="A2305" s="2837"/>
      <c r="B2305" s="302" t="str">
        <f>инженерка!A472</f>
        <v>скотч для скорлупы утепления</v>
      </c>
      <c r="C2305" s="2890" t="str">
        <f>инженерка!B472</f>
        <v>шт</v>
      </c>
      <c r="D2305" s="302">
        <f>инженерка!C472</f>
        <v>3</v>
      </c>
      <c r="E2305" s="179">
        <f>инженерка!D472</f>
        <v>100</v>
      </c>
      <c r="F2305" s="179"/>
      <c r="G2305" s="275">
        <f t="shared" si="344"/>
        <v>300</v>
      </c>
      <c r="H2305" s="2315">
        <f t="shared" si="345"/>
        <v>0</v>
      </c>
      <c r="I2305" s="2911">
        <f t="shared" si="346"/>
        <v>0</v>
      </c>
      <c r="J2305" s="2863"/>
      <c r="K2305" s="223">
        <f t="shared" si="347"/>
        <v>3</v>
      </c>
      <c r="L2305" s="2854"/>
    </row>
    <row r="2306" spans="1:12">
      <c r="A2306" s="2837"/>
      <c r="B2306" s="302" t="str">
        <f>инженерка!A473</f>
        <v>дно бетонное, диаметр 2м.п.</v>
      </c>
      <c r="C2306" s="2890" t="str">
        <f>инженерка!B473</f>
        <v>шт</v>
      </c>
      <c r="D2306" s="302">
        <f>инженерка!C473</f>
        <v>1</v>
      </c>
      <c r="E2306" s="302">
        <f>инженерка!D473</f>
        <v>2000</v>
      </c>
      <c r="F2306" s="302"/>
      <c r="G2306" s="275">
        <f t="shared" si="344"/>
        <v>2000</v>
      </c>
      <c r="H2306" s="2315">
        <f t="shared" si="345"/>
        <v>0</v>
      </c>
      <c r="I2306" s="2911">
        <f t="shared" si="346"/>
        <v>0</v>
      </c>
      <c r="J2306" s="2863"/>
      <c r="K2306" s="223">
        <f t="shared" si="347"/>
        <v>1</v>
      </c>
      <c r="L2306" s="2854"/>
    </row>
    <row r="2307" spans="1:12">
      <c r="A2307" s="2837"/>
      <c r="B2307" s="302" t="str">
        <f>инженерка!A474</f>
        <v>кольцо бетонное, диаметр 2м.п.</v>
      </c>
      <c r="C2307" s="2890" t="str">
        <f>инженерка!B474</f>
        <v>шт</v>
      </c>
      <c r="D2307" s="302">
        <f>инженерка!C474</f>
        <v>3</v>
      </c>
      <c r="E2307" s="302">
        <f>инженерка!D474</f>
        <v>3300</v>
      </c>
      <c r="F2307" s="302"/>
      <c r="G2307" s="275">
        <f t="shared" si="344"/>
        <v>9900</v>
      </c>
      <c r="H2307" s="2315">
        <f t="shared" si="345"/>
        <v>0</v>
      </c>
      <c r="I2307" s="2911">
        <f t="shared" si="346"/>
        <v>0</v>
      </c>
      <c r="J2307" s="2863"/>
      <c r="K2307" s="223">
        <f t="shared" si="347"/>
        <v>3</v>
      </c>
      <c r="L2307" s="2854"/>
    </row>
    <row r="2308" spans="1:12">
      <c r="A2308" s="2837"/>
      <c r="B2308" s="302" t="str">
        <f>инженерка!A475</f>
        <v>крышка бетонная, диаметр 2м.п.</v>
      </c>
      <c r="C2308" s="2890" t="str">
        <f>инженерка!B475</f>
        <v>шт</v>
      </c>
      <c r="D2308" s="302">
        <f>инженерка!C475</f>
        <v>1</v>
      </c>
      <c r="E2308" s="302">
        <f>инженерка!D475</f>
        <v>4000</v>
      </c>
      <c r="F2308" s="302"/>
      <c r="G2308" s="275">
        <f t="shared" si="344"/>
        <v>4000</v>
      </c>
      <c r="H2308" s="2315">
        <f t="shared" si="345"/>
        <v>0</v>
      </c>
      <c r="I2308" s="2911">
        <f t="shared" si="346"/>
        <v>0</v>
      </c>
      <c r="J2308" s="2863"/>
      <c r="K2308" s="223">
        <f t="shared" si="347"/>
        <v>1</v>
      </c>
      <c r="L2308" s="2854"/>
    </row>
    <row r="2309" spans="1:12">
      <c r="A2309" s="2837"/>
      <c r="B2309" s="302" t="str">
        <f>инженерка!A476</f>
        <v>Нет люка для крышки</v>
      </c>
      <c r="C2309" s="2890" t="str">
        <f>инженерка!B476</f>
        <v>шт</v>
      </c>
      <c r="D2309" s="302">
        <f>инженерка!C476</f>
        <v>0</v>
      </c>
      <c r="E2309" s="302">
        <f>инженерка!D476</f>
        <v>0</v>
      </c>
      <c r="F2309" s="302"/>
      <c r="G2309" s="275">
        <f t="shared" si="344"/>
        <v>0</v>
      </c>
      <c r="H2309" s="2315">
        <f t="shared" si="345"/>
        <v>0</v>
      </c>
      <c r="I2309" s="2911">
        <f t="shared" si="346"/>
        <v>0</v>
      </c>
      <c r="J2309" s="2863"/>
      <c r="K2309" s="223">
        <f t="shared" si="347"/>
        <v>0</v>
      </c>
      <c r="L2309" s="2854"/>
    </row>
    <row r="2310" spans="1:12">
      <c r="A2310" s="2837"/>
      <c r="B2310" s="3278" t="s">
        <v>4640</v>
      </c>
      <c r="C2310" s="3278"/>
      <c r="D2310" s="3278"/>
      <c r="E2310" s="3278"/>
      <c r="F2310" s="2868"/>
      <c r="G2310" s="2315">
        <f>SUM(G2297:G2309)*H2295</f>
        <v>0</v>
      </c>
      <c r="H2310" s="2315">
        <f>SUM(H2297:H2309)</f>
        <v>0</v>
      </c>
      <c r="I2310" s="2911">
        <f t="shared" si="346"/>
        <v>0</v>
      </c>
      <c r="J2310" s="2863"/>
      <c r="K2310" s="223">
        <f t="shared" si="347"/>
        <v>0</v>
      </c>
      <c r="L2310" s="2854"/>
    </row>
    <row r="2311" spans="1:12">
      <c r="A2311" s="2837"/>
      <c r="B2311" s="3279" t="s">
        <v>1409</v>
      </c>
      <c r="C2311" s="3279"/>
      <c r="D2311" s="3279"/>
      <c r="E2311" s="3279"/>
      <c r="F2311" s="2912"/>
      <c r="G2311" s="941"/>
      <c r="H2311" s="2891">
        <f>H2295</f>
        <v>0</v>
      </c>
      <c r="I2311" s="2940">
        <f>H2311</f>
        <v>0</v>
      </c>
      <c r="J2311" s="2892"/>
      <c r="K2311" s="2893"/>
    </row>
    <row r="2312" spans="1:12">
      <c r="A2312" s="2829"/>
      <c r="B2312" s="2763" t="str">
        <f>инженерка!G464</f>
        <v>монтаж дна</v>
      </c>
      <c r="C2312" s="18" t="s">
        <v>159</v>
      </c>
      <c r="D2312" s="302">
        <f>инженерка!I464</f>
        <v>2</v>
      </c>
      <c r="E2312" s="179">
        <f>инженерка!J464</f>
        <v>1000</v>
      </c>
      <c r="F2312" s="179"/>
      <c r="G2312" s="275">
        <f t="shared" ref="G2312:G2318" si="348">IF(F2312&gt;0,D2312*F2312,E2312*D2312)</f>
        <v>2000</v>
      </c>
      <c r="H2312" s="2315">
        <f t="shared" ref="H2312:H2318" si="349">D2312*E2312*$H$2311</f>
        <v>0</v>
      </c>
      <c r="I2312" s="2836">
        <f t="shared" ref="I2312:I2319" si="350">IF(G2312&gt;H2312,G2312,H2312)*$H$2295</f>
        <v>0</v>
      </c>
      <c r="J2312" s="2829"/>
      <c r="K2312" s="2837"/>
    </row>
    <row r="2313" spans="1:12">
      <c r="A2313" s="2837"/>
      <c r="B2313" s="2763" t="str">
        <f>инженерка!G465</f>
        <v>монтаж колец</v>
      </c>
      <c r="C2313" s="18" t="s">
        <v>159</v>
      </c>
      <c r="D2313" s="302">
        <f>инженерка!I465</f>
        <v>6</v>
      </c>
      <c r="E2313" s="179">
        <f>инженерка!J465</f>
        <v>1000</v>
      </c>
      <c r="F2313" s="179"/>
      <c r="G2313" s="275">
        <f t="shared" si="348"/>
        <v>6000</v>
      </c>
      <c r="H2313" s="2315">
        <f t="shared" si="349"/>
        <v>0</v>
      </c>
      <c r="I2313" s="2836">
        <f t="shared" si="350"/>
        <v>0</v>
      </c>
      <c r="J2313" s="2829"/>
      <c r="K2313" s="2837"/>
    </row>
    <row r="2314" spans="1:12">
      <c r="A2314" s="2837"/>
      <c r="B2314" s="2763" t="str">
        <f>инженерка!G466</f>
        <v>монтаж крышки</v>
      </c>
      <c r="C2314" s="18" t="s">
        <v>159</v>
      </c>
      <c r="D2314" s="302">
        <f>инженерка!I466</f>
        <v>2</v>
      </c>
      <c r="E2314" s="179">
        <f>инженерка!J466</f>
        <v>1000</v>
      </c>
      <c r="F2314" s="179"/>
      <c r="G2314" s="275">
        <f t="shared" si="348"/>
        <v>2000</v>
      </c>
      <c r="H2314" s="2315">
        <f t="shared" si="349"/>
        <v>0</v>
      </c>
      <c r="I2314" s="2836">
        <f t="shared" si="350"/>
        <v>0</v>
      </c>
      <c r="J2314" s="2829"/>
      <c r="K2314" s="2837"/>
    </row>
    <row r="2315" spans="1:12">
      <c r="A2315" s="2837"/>
      <c r="B2315" s="2763" t="str">
        <f>инженерка!G467</f>
        <v>монтаж люка</v>
      </c>
      <c r="C2315" s="18" t="s">
        <v>159</v>
      </c>
      <c r="D2315" s="302">
        <f>инженерка!I467</f>
        <v>0</v>
      </c>
      <c r="E2315" s="179">
        <f>инженерка!J467</f>
        <v>1000</v>
      </c>
      <c r="F2315" s="179"/>
      <c r="G2315" s="275">
        <f t="shared" si="348"/>
        <v>0</v>
      </c>
      <c r="H2315" s="2315">
        <f t="shared" si="349"/>
        <v>0</v>
      </c>
      <c r="I2315" s="2836">
        <f t="shared" si="350"/>
        <v>0</v>
      </c>
      <c r="J2315" s="2829"/>
      <c r="K2315" s="2837"/>
    </row>
    <row r="2316" spans="1:12">
      <c r="A2316" s="2837"/>
      <c r="B2316" s="2763" t="str">
        <f>инженерка!G468</f>
        <v>монтаж горловины</v>
      </c>
      <c r="C2316" s="18" t="s">
        <v>156</v>
      </c>
      <c r="D2316" s="302">
        <f>инженерка!I468</f>
        <v>1</v>
      </c>
      <c r="E2316" s="179">
        <f>инженерка!J468</f>
        <v>800</v>
      </c>
      <c r="F2316" s="179"/>
      <c r="G2316" s="275">
        <f t="shared" si="348"/>
        <v>800</v>
      </c>
      <c r="H2316" s="2315">
        <f t="shared" si="349"/>
        <v>0</v>
      </c>
      <c r="I2316" s="2836">
        <f t="shared" si="350"/>
        <v>0</v>
      </c>
      <c r="J2316" s="2829"/>
      <c r="K2316" s="2837"/>
    </row>
    <row r="2317" spans="1:12">
      <c r="A2317" s="2837"/>
      <c r="B2317" s="2763" t="str">
        <f>инженерка!G469</f>
        <v>м/ж ут-ной канал</v>
      </c>
      <c r="C2317" s="18" t="s">
        <v>159</v>
      </c>
      <c r="D2317" s="302">
        <f>инженерка!I469</f>
        <v>10</v>
      </c>
      <c r="E2317" s="179">
        <f>инженерка!J469</f>
        <v>500</v>
      </c>
      <c r="F2317" s="179"/>
      <c r="G2317" s="275">
        <f t="shared" si="348"/>
        <v>5000</v>
      </c>
      <c r="H2317" s="2315">
        <f t="shared" si="349"/>
        <v>0</v>
      </c>
      <c r="I2317" s="2836">
        <f t="shared" si="350"/>
        <v>0</v>
      </c>
      <c r="J2317" s="2829"/>
      <c r="K2317" s="2837"/>
    </row>
    <row r="2318" spans="1:12">
      <c r="A2318" s="2837"/>
      <c r="B2318" s="2763" t="str">
        <f>инженерка!G470</f>
        <v>бетонирование</v>
      </c>
      <c r="C2318" s="18" t="s">
        <v>159</v>
      </c>
      <c r="D2318" s="302">
        <f>инженерка!I470</f>
        <v>1</v>
      </c>
      <c r="E2318" s="179">
        <f>инженерка!J470</f>
        <v>2500</v>
      </c>
      <c r="F2318" s="179"/>
      <c r="G2318" s="275">
        <f t="shared" si="348"/>
        <v>2500</v>
      </c>
      <c r="H2318" s="2315">
        <f t="shared" si="349"/>
        <v>0</v>
      </c>
      <c r="I2318" s="2836">
        <f t="shared" si="350"/>
        <v>0</v>
      </c>
      <c r="J2318" s="2829"/>
      <c r="K2318" s="2837"/>
    </row>
    <row r="2319" spans="1:12">
      <c r="A2319" s="2837"/>
      <c r="B2319" s="3278" t="s">
        <v>4641</v>
      </c>
      <c r="C2319" s="3278"/>
      <c r="D2319" s="3278"/>
      <c r="E2319" s="3278"/>
      <c r="F2319" s="2868"/>
      <c r="G2319" s="2315">
        <f>SUM(G2312:G2318)*H2311</f>
        <v>0</v>
      </c>
      <c r="H2319" s="2315">
        <f>SUM(H2312:H2318)</f>
        <v>0</v>
      </c>
      <c r="I2319" s="2836">
        <f t="shared" si="350"/>
        <v>0</v>
      </c>
      <c r="J2319" s="2829"/>
      <c r="K2319" s="2837"/>
    </row>
    <row r="2320" spans="1:12" ht="21">
      <c r="A2320" s="2837"/>
      <c r="B2320" s="3282" t="s">
        <v>1184</v>
      </c>
      <c r="C2320" s="3282"/>
      <c r="D2320" s="3282"/>
      <c r="E2320" s="3282"/>
      <c r="F2320" s="2887"/>
      <c r="G2320" s="941"/>
      <c r="H2320" s="2901">
        <f>VLOOKUP('Ввод данных'!F1372,связи1!A2:B3,2,0)</f>
        <v>0</v>
      </c>
      <c r="I2320" s="2940">
        <f>H2320</f>
        <v>0</v>
      </c>
      <c r="J2320" s="2829"/>
      <c r="K2320" s="2837"/>
    </row>
    <row r="2321" spans="1:12">
      <c r="A2321" s="2829"/>
      <c r="B2321" s="3285" t="s">
        <v>2720</v>
      </c>
      <c r="C2321" s="3285"/>
      <c r="D2321" s="3285"/>
      <c r="E2321" s="3285"/>
      <c r="F2321" s="2902"/>
      <c r="G2321" s="941"/>
      <c r="H2321" s="2903">
        <f>H2320</f>
        <v>0</v>
      </c>
      <c r="I2321" s="2940">
        <f>H2321</f>
        <v>0</v>
      </c>
      <c r="J2321" s="2850"/>
      <c r="K2321" s="2851"/>
    </row>
    <row r="2322" spans="1:12">
      <c r="A2322" s="2829"/>
      <c r="B2322" s="302" t="s">
        <v>1185</v>
      </c>
      <c r="C2322" s="2890" t="s">
        <v>159</v>
      </c>
      <c r="D2322" s="302">
        <f>инженерка!C492</f>
        <v>1</v>
      </c>
      <c r="E2322" s="302">
        <f>'Прайс лист'!G1290</f>
        <v>30000</v>
      </c>
      <c r="F2322" s="302"/>
      <c r="G2322" s="275">
        <f t="shared" ref="G2322:G2335" si="351">IF(F2322&gt;0,D2322*F2322,E2322*D2322)</f>
        <v>30000</v>
      </c>
      <c r="H2322" s="2315">
        <f t="shared" ref="H2322:H2335" si="352">D2322*E2322*$H$2321</f>
        <v>0</v>
      </c>
      <c r="I2322" s="2911">
        <f t="shared" ref="I2322:I2336" si="353">IF(G2322&gt;H2322,G2322,H2322)*$H$2320</f>
        <v>0</v>
      </c>
      <c r="J2322" s="2863"/>
      <c r="K2322" s="223">
        <f t="shared" ref="K2322:K2336" si="354">D2322-J2322</f>
        <v>1</v>
      </c>
      <c r="L2322" s="2854"/>
    </row>
    <row r="2323" spans="1:12">
      <c r="A2323" s="2837"/>
      <c r="B2323" s="302" t="s">
        <v>1186</v>
      </c>
      <c r="C2323" s="2890" t="s">
        <v>159</v>
      </c>
      <c r="D2323" s="302">
        <f>инженерка!C493</f>
        <v>1</v>
      </c>
      <c r="E2323" s="302">
        <f>'Прайс лист'!G1291</f>
        <v>10000</v>
      </c>
      <c r="F2323" s="302"/>
      <c r="G2323" s="275">
        <f t="shared" si="351"/>
        <v>10000</v>
      </c>
      <c r="H2323" s="2315">
        <f t="shared" si="352"/>
        <v>0</v>
      </c>
      <c r="I2323" s="2911">
        <f t="shared" si="353"/>
        <v>0</v>
      </c>
      <c r="J2323" s="2863"/>
      <c r="K2323" s="223">
        <f t="shared" si="354"/>
        <v>1</v>
      </c>
      <c r="L2323" s="2854"/>
    </row>
    <row r="2324" spans="1:12">
      <c r="A2324" s="2837"/>
      <c r="B2324" s="302" t="s">
        <v>1187</v>
      </c>
      <c r="C2324" s="2890" t="s">
        <v>159</v>
      </c>
      <c r="D2324" s="302">
        <f>инженерка!C494</f>
        <v>1</v>
      </c>
      <c r="E2324" s="302">
        <f>'Прайс лист'!G1292</f>
        <v>5000</v>
      </c>
      <c r="F2324" s="302"/>
      <c r="G2324" s="275">
        <f t="shared" si="351"/>
        <v>5000</v>
      </c>
      <c r="H2324" s="2315">
        <f t="shared" si="352"/>
        <v>0</v>
      </c>
      <c r="I2324" s="2911">
        <f t="shared" si="353"/>
        <v>0</v>
      </c>
      <c r="J2324" s="2863"/>
      <c r="K2324" s="223">
        <f t="shared" si="354"/>
        <v>1</v>
      </c>
      <c r="L2324" s="2854"/>
    </row>
    <row r="2325" spans="1:12">
      <c r="A2325" s="2837"/>
      <c r="B2325" s="302" t="s">
        <v>1188</v>
      </c>
      <c r="C2325" s="2890" t="s">
        <v>159</v>
      </c>
      <c r="D2325" s="302">
        <f>инженерка!C490</f>
        <v>1</v>
      </c>
      <c r="E2325" s="302">
        <f>'Прайс лист'!G1293</f>
        <v>3500</v>
      </c>
      <c r="F2325" s="302"/>
      <c r="G2325" s="275">
        <f t="shared" si="351"/>
        <v>3500</v>
      </c>
      <c r="H2325" s="2315">
        <f t="shared" si="352"/>
        <v>0</v>
      </c>
      <c r="I2325" s="2911">
        <f t="shared" si="353"/>
        <v>0</v>
      </c>
      <c r="J2325" s="2863"/>
      <c r="K2325" s="223">
        <f t="shared" si="354"/>
        <v>1</v>
      </c>
      <c r="L2325" s="2854"/>
    </row>
    <row r="2326" spans="1:12">
      <c r="A2326" s="2837"/>
      <c r="B2326" s="302" t="s">
        <v>1189</v>
      </c>
      <c r="C2326" s="2890" t="s">
        <v>159</v>
      </c>
      <c r="D2326" s="302">
        <f>инженерка!C491</f>
        <v>1</v>
      </c>
      <c r="E2326" s="302">
        <f>'Прайс лист'!G1294</f>
        <v>2500</v>
      </c>
      <c r="F2326" s="302"/>
      <c r="G2326" s="275">
        <f t="shared" si="351"/>
        <v>2500</v>
      </c>
      <c r="H2326" s="2315">
        <f t="shared" si="352"/>
        <v>0</v>
      </c>
      <c r="I2326" s="2911">
        <f t="shared" si="353"/>
        <v>0</v>
      </c>
      <c r="J2326" s="2863"/>
      <c r="K2326" s="223">
        <f t="shared" si="354"/>
        <v>1</v>
      </c>
      <c r="L2326" s="2854"/>
    </row>
    <row r="2327" spans="1:12">
      <c r="A2327" s="2837"/>
      <c r="B2327" s="302" t="s">
        <v>1190</v>
      </c>
      <c r="C2327" s="2890" t="s">
        <v>159</v>
      </c>
      <c r="D2327" s="302">
        <v>2</v>
      </c>
      <c r="E2327" s="302">
        <f>'Прайс лист'!G1295</f>
        <v>700</v>
      </c>
      <c r="F2327" s="302"/>
      <c r="G2327" s="275">
        <f t="shared" si="351"/>
        <v>1400</v>
      </c>
      <c r="H2327" s="2315">
        <f t="shared" si="352"/>
        <v>0</v>
      </c>
      <c r="I2327" s="2911">
        <f t="shared" si="353"/>
        <v>0</v>
      </c>
      <c r="J2327" s="2863"/>
      <c r="K2327" s="223">
        <f t="shared" si="354"/>
        <v>2</v>
      </c>
      <c r="L2327" s="2854"/>
    </row>
    <row r="2328" spans="1:12">
      <c r="A2328" s="2837"/>
      <c r="B2328" s="302" t="s">
        <v>1191</v>
      </c>
      <c r="C2328" s="2890" t="s">
        <v>159</v>
      </c>
      <c r="D2328" s="302">
        <v>1</v>
      </c>
      <c r="E2328" s="302">
        <f>'Прайс лист'!G1296</f>
        <v>1500</v>
      </c>
      <c r="F2328" s="302"/>
      <c r="G2328" s="275">
        <f t="shared" si="351"/>
        <v>1500</v>
      </c>
      <c r="H2328" s="2315">
        <f t="shared" si="352"/>
        <v>0</v>
      </c>
      <c r="I2328" s="2911">
        <f t="shared" si="353"/>
        <v>0</v>
      </c>
      <c r="J2328" s="2863"/>
      <c r="K2328" s="223">
        <f t="shared" si="354"/>
        <v>1</v>
      </c>
      <c r="L2328" s="2854"/>
    </row>
    <row r="2329" spans="1:12">
      <c r="A2329" s="2837"/>
      <c r="B2329" s="302" t="s">
        <v>1192</v>
      </c>
      <c r="C2329" s="2890" t="s">
        <v>156</v>
      </c>
      <c r="D2329" s="302">
        <f>20*инженерка!E488</f>
        <v>20</v>
      </c>
      <c r="E2329" s="302">
        <f>'Прайс лист'!G1297</f>
        <v>100</v>
      </c>
      <c r="F2329" s="302"/>
      <c r="G2329" s="275">
        <f t="shared" si="351"/>
        <v>2000</v>
      </c>
      <c r="H2329" s="2315">
        <f t="shared" si="352"/>
        <v>0</v>
      </c>
      <c r="I2329" s="2911">
        <f t="shared" si="353"/>
        <v>0</v>
      </c>
      <c r="J2329" s="2863"/>
      <c r="K2329" s="223">
        <f t="shared" si="354"/>
        <v>20</v>
      </c>
      <c r="L2329" s="2854"/>
    </row>
    <row r="2330" spans="1:12">
      <c r="A2330" s="2837"/>
      <c r="B2330" s="302" t="s">
        <v>1193</v>
      </c>
      <c r="C2330" s="2890" t="s">
        <v>159</v>
      </c>
      <c r="D2330" s="302">
        <f>10*инженерка!E488</f>
        <v>10</v>
      </c>
      <c r="E2330" s="302">
        <f>'Прайс лист'!G1298</f>
        <v>12</v>
      </c>
      <c r="F2330" s="302"/>
      <c r="G2330" s="275">
        <f t="shared" si="351"/>
        <v>120</v>
      </c>
      <c r="H2330" s="2315">
        <f t="shared" si="352"/>
        <v>0</v>
      </c>
      <c r="I2330" s="2911">
        <f t="shared" si="353"/>
        <v>0</v>
      </c>
      <c r="J2330" s="2863"/>
      <c r="K2330" s="223">
        <f t="shared" si="354"/>
        <v>10</v>
      </c>
      <c r="L2330" s="2854"/>
    </row>
    <row r="2331" spans="1:12">
      <c r="A2331" s="2837"/>
      <c r="B2331" s="302" t="s">
        <v>1194</v>
      </c>
      <c r="C2331" s="2890" t="s">
        <v>159</v>
      </c>
      <c r="D2331" s="302">
        <f>10*инженерка!E488</f>
        <v>10</v>
      </c>
      <c r="E2331" s="302">
        <f>'Прайс лист'!G1299</f>
        <v>16</v>
      </c>
      <c r="F2331" s="302"/>
      <c r="G2331" s="275">
        <f t="shared" si="351"/>
        <v>160</v>
      </c>
      <c r="H2331" s="2315">
        <f t="shared" si="352"/>
        <v>0</v>
      </c>
      <c r="I2331" s="2911">
        <f t="shared" si="353"/>
        <v>0</v>
      </c>
      <c r="J2331" s="2863"/>
      <c r="K2331" s="223">
        <f t="shared" si="354"/>
        <v>10</v>
      </c>
      <c r="L2331" s="2854"/>
    </row>
    <row r="2332" spans="1:12">
      <c r="A2332" s="2837"/>
      <c r="B2332" s="302" t="s">
        <v>1195</v>
      </c>
      <c r="C2332" s="2890" t="s">
        <v>159</v>
      </c>
      <c r="D2332" s="302">
        <f>10*инженерка!E488</f>
        <v>10</v>
      </c>
      <c r="E2332" s="302">
        <f>'Прайс лист'!G1300</f>
        <v>12</v>
      </c>
      <c r="F2332" s="302"/>
      <c r="G2332" s="275">
        <f t="shared" si="351"/>
        <v>120</v>
      </c>
      <c r="H2332" s="2315">
        <f t="shared" si="352"/>
        <v>0</v>
      </c>
      <c r="I2332" s="2911">
        <f t="shared" si="353"/>
        <v>0</v>
      </c>
      <c r="J2332" s="2863"/>
      <c r="K2332" s="223">
        <f t="shared" si="354"/>
        <v>10</v>
      </c>
      <c r="L2332" s="2854"/>
    </row>
    <row r="2333" spans="1:12">
      <c r="A2333" s="2837"/>
      <c r="B2333" s="302" t="s">
        <v>1196</v>
      </c>
      <c r="C2333" s="2890" t="s">
        <v>159</v>
      </c>
      <c r="D2333" s="302">
        <f>5*инженерка!E488</f>
        <v>5</v>
      </c>
      <c r="E2333" s="302">
        <f>'Прайс лист'!G1301</f>
        <v>16</v>
      </c>
      <c r="F2333" s="302"/>
      <c r="G2333" s="275">
        <f t="shared" si="351"/>
        <v>80</v>
      </c>
      <c r="H2333" s="2315">
        <f t="shared" si="352"/>
        <v>0</v>
      </c>
      <c r="I2333" s="2911">
        <f t="shared" si="353"/>
        <v>0</v>
      </c>
      <c r="J2333" s="2863"/>
      <c r="K2333" s="223">
        <f t="shared" si="354"/>
        <v>5</v>
      </c>
      <c r="L2333" s="2854"/>
    </row>
    <row r="2334" spans="1:12">
      <c r="A2334" s="2837"/>
      <c r="B2334" s="302" t="s">
        <v>1197</v>
      </c>
      <c r="C2334" s="2890" t="s">
        <v>159</v>
      </c>
      <c r="D2334" s="302">
        <v>1</v>
      </c>
      <c r="E2334" s="302">
        <f>'Прайс лист'!G1302</f>
        <v>800</v>
      </c>
      <c r="F2334" s="302"/>
      <c r="G2334" s="275">
        <f t="shared" si="351"/>
        <v>800</v>
      </c>
      <c r="H2334" s="2315">
        <f t="shared" si="352"/>
        <v>0</v>
      </c>
      <c r="I2334" s="2911">
        <f t="shared" si="353"/>
        <v>0</v>
      </c>
      <c r="J2334" s="2863"/>
      <c r="K2334" s="223">
        <f t="shared" si="354"/>
        <v>1</v>
      </c>
      <c r="L2334" s="2854"/>
    </row>
    <row r="2335" spans="1:12">
      <c r="A2335" s="2837"/>
      <c r="B2335" s="302" t="s">
        <v>1198</v>
      </c>
      <c r="C2335" s="2890" t="s">
        <v>1199</v>
      </c>
      <c r="D2335" s="302">
        <v>1</v>
      </c>
      <c r="E2335" s="302">
        <f>'Прайс лист'!G1303</f>
        <v>200</v>
      </c>
      <c r="F2335" s="302"/>
      <c r="G2335" s="275">
        <f t="shared" si="351"/>
        <v>200</v>
      </c>
      <c r="H2335" s="2315">
        <f t="shared" si="352"/>
        <v>0</v>
      </c>
      <c r="I2335" s="2911">
        <f t="shared" si="353"/>
        <v>0</v>
      </c>
      <c r="J2335" s="2863"/>
      <c r="K2335" s="223">
        <f t="shared" si="354"/>
        <v>1</v>
      </c>
      <c r="L2335" s="2854"/>
    </row>
    <row r="2336" spans="1:12">
      <c r="A2336" s="2837"/>
      <c r="B2336" s="3278" t="s">
        <v>4640</v>
      </c>
      <c r="C2336" s="3278"/>
      <c r="D2336" s="3278"/>
      <c r="E2336" s="3278"/>
      <c r="F2336" s="2868"/>
      <c r="G2336" s="2315">
        <f>SUM(G2322:G2335)*H2320</f>
        <v>0</v>
      </c>
      <c r="H2336" s="2315">
        <f>SUM(H2322:H2335)</f>
        <v>0</v>
      </c>
      <c r="I2336" s="2911">
        <f t="shared" si="353"/>
        <v>0</v>
      </c>
      <c r="J2336" s="2863"/>
      <c r="K2336" s="223">
        <f t="shared" si="354"/>
        <v>0</v>
      </c>
      <c r="L2336" s="2854"/>
    </row>
    <row r="2337" spans="1:13">
      <c r="A2337" s="2837"/>
      <c r="B2337" s="3279" t="s">
        <v>1409</v>
      </c>
      <c r="C2337" s="3279"/>
      <c r="D2337" s="3279"/>
      <c r="E2337" s="3279"/>
      <c r="F2337" s="2870"/>
      <c r="G2337" s="941"/>
      <c r="H2337" s="2891">
        <f>H2320</f>
        <v>0</v>
      </c>
      <c r="I2337" s="2940">
        <f>H2337</f>
        <v>0</v>
      </c>
      <c r="J2337" s="2892"/>
      <c r="K2337" s="2893"/>
    </row>
    <row r="2338" spans="1:13">
      <c r="A2338" s="2829"/>
      <c r="B2338" s="2763" t="s">
        <v>1630</v>
      </c>
      <c r="C2338" s="18" t="s">
        <v>159</v>
      </c>
      <c r="D2338" s="302">
        <f>D2322</f>
        <v>1</v>
      </c>
      <c r="E2338" s="100">
        <f>'Прайс лист'!G1870</f>
        <v>3500</v>
      </c>
      <c r="F2338" s="100"/>
      <c r="G2338" s="275">
        <f t="shared" ref="G2338:G2345" si="355">IF(F2338&gt;0,D2338*F2338,E2338*D2338)</f>
        <v>3500</v>
      </c>
      <c r="H2338" s="2315">
        <f t="shared" ref="H2338:H2345" si="356">D2338*E2338*$H$2337</f>
        <v>0</v>
      </c>
      <c r="I2338" s="2836">
        <f t="shared" ref="I2338:I2346" si="357">IF(G2338&gt;H2338,G2338,H2338)*$H$2320</f>
        <v>0</v>
      </c>
      <c r="J2338" s="2829"/>
      <c r="K2338" s="2837"/>
    </row>
    <row r="2339" spans="1:13">
      <c r="A2339" s="2837"/>
      <c r="B2339" s="2763" t="s">
        <v>1631</v>
      </c>
      <c r="C2339" s="18" t="s">
        <v>159</v>
      </c>
      <c r="D2339" s="302">
        <f>D2323</f>
        <v>1</v>
      </c>
      <c r="E2339" s="100">
        <f>'Прайс лист'!G1871</f>
        <v>2500</v>
      </c>
      <c r="F2339" s="100"/>
      <c r="G2339" s="275">
        <f t="shared" si="355"/>
        <v>2500</v>
      </c>
      <c r="H2339" s="2315">
        <f t="shared" si="356"/>
        <v>0</v>
      </c>
      <c r="I2339" s="2836">
        <f t="shared" si="357"/>
        <v>0</v>
      </c>
      <c r="J2339" s="2829"/>
      <c r="K2339" s="2837"/>
    </row>
    <row r="2340" spans="1:13">
      <c r="A2340" s="2837"/>
      <c r="B2340" s="2763" t="s">
        <v>1632</v>
      </c>
      <c r="C2340" s="18" t="s">
        <v>159</v>
      </c>
      <c r="D2340" s="302">
        <f>D2324</f>
        <v>1</v>
      </c>
      <c r="E2340" s="100">
        <f>'Прайс лист'!G1872</f>
        <v>2000</v>
      </c>
      <c r="F2340" s="100"/>
      <c r="G2340" s="275">
        <f t="shared" si="355"/>
        <v>2000</v>
      </c>
      <c r="H2340" s="2315">
        <f t="shared" si="356"/>
        <v>0</v>
      </c>
      <c r="I2340" s="2836">
        <f t="shared" si="357"/>
        <v>0</v>
      </c>
      <c r="L2340" s="910"/>
      <c r="M2340" s="910"/>
    </row>
    <row r="2341" spans="1:13">
      <c r="A2341" s="2837"/>
      <c r="B2341" s="2763" t="s">
        <v>1633</v>
      </c>
      <c r="C2341" s="18" t="s">
        <v>159</v>
      </c>
      <c r="D2341" s="302">
        <f>D2325</f>
        <v>1</v>
      </c>
      <c r="E2341" s="100">
        <f>'Прайс лист'!G1873</f>
        <v>1000</v>
      </c>
      <c r="F2341" s="100"/>
      <c r="G2341" s="275">
        <f t="shared" si="355"/>
        <v>1000</v>
      </c>
      <c r="H2341" s="2315">
        <f t="shared" si="356"/>
        <v>0</v>
      </c>
      <c r="I2341" s="2836">
        <f t="shared" si="357"/>
        <v>0</v>
      </c>
      <c r="L2341" s="910"/>
      <c r="M2341" s="910"/>
    </row>
    <row r="2342" spans="1:13">
      <c r="A2342" s="2837"/>
      <c r="B2342" s="2763" t="s">
        <v>1634</v>
      </c>
      <c r="C2342" s="18" t="s">
        <v>159</v>
      </c>
      <c r="D2342" s="302">
        <f>D2326</f>
        <v>1</v>
      </c>
      <c r="E2342" s="100">
        <f>'Прайс лист'!G1874</f>
        <v>1000</v>
      </c>
      <c r="F2342" s="100"/>
      <c r="G2342" s="275">
        <f t="shared" si="355"/>
        <v>1000</v>
      </c>
      <c r="H2342" s="2315">
        <f t="shared" si="356"/>
        <v>0</v>
      </c>
      <c r="I2342" s="2836">
        <f t="shared" si="357"/>
        <v>0</v>
      </c>
      <c r="L2342" s="910"/>
      <c r="M2342" s="910"/>
    </row>
    <row r="2343" spans="1:13">
      <c r="A2343" s="2837"/>
      <c r="B2343" s="2763" t="s">
        <v>1635</v>
      </c>
      <c r="C2343" s="18" t="s">
        <v>159</v>
      </c>
      <c r="D2343" s="302">
        <f>D2328</f>
        <v>1</v>
      </c>
      <c r="E2343" s="100">
        <f>'Прайс лист'!G1875</f>
        <v>900</v>
      </c>
      <c r="F2343" s="100"/>
      <c r="G2343" s="275">
        <f t="shared" si="355"/>
        <v>900</v>
      </c>
      <c r="H2343" s="2315">
        <f t="shared" si="356"/>
        <v>0</v>
      </c>
      <c r="I2343" s="2836">
        <f t="shared" si="357"/>
        <v>0</v>
      </c>
      <c r="L2343" s="910"/>
      <c r="M2343" s="910"/>
    </row>
    <row r="2344" spans="1:13">
      <c r="A2344" s="2837"/>
      <c r="B2344" s="2763" t="s">
        <v>1636</v>
      </c>
      <c r="C2344" s="18" t="s">
        <v>159</v>
      </c>
      <c r="D2344" s="302">
        <f>D2327</f>
        <v>2</v>
      </c>
      <c r="E2344" s="100">
        <f>'Прайс лист'!G1876</f>
        <v>700</v>
      </c>
      <c r="F2344" s="100"/>
      <c r="G2344" s="275">
        <f t="shared" si="355"/>
        <v>1400</v>
      </c>
      <c r="H2344" s="2315">
        <f t="shared" si="356"/>
        <v>0</v>
      </c>
      <c r="I2344" s="2836">
        <f t="shared" si="357"/>
        <v>0</v>
      </c>
      <c r="L2344" s="910"/>
      <c r="M2344" s="910"/>
    </row>
    <row r="2345" spans="1:13">
      <c r="A2345" s="2837"/>
      <c r="B2345" s="2763" t="s">
        <v>1637</v>
      </c>
      <c r="C2345" s="18" t="s">
        <v>156</v>
      </c>
      <c r="D2345" s="302">
        <f>D2329</f>
        <v>20</v>
      </c>
      <c r="E2345" s="100">
        <f>'Прайс лист'!G1877</f>
        <v>500</v>
      </c>
      <c r="F2345" s="100"/>
      <c r="G2345" s="275">
        <f t="shared" si="355"/>
        <v>10000</v>
      </c>
      <c r="H2345" s="2315">
        <f t="shared" si="356"/>
        <v>0</v>
      </c>
      <c r="I2345" s="2836">
        <f t="shared" si="357"/>
        <v>0</v>
      </c>
      <c r="L2345" s="910"/>
      <c r="M2345" s="910"/>
    </row>
    <row r="2346" spans="1:13">
      <c r="A2346" s="2837"/>
      <c r="B2346" s="3278" t="s">
        <v>4641</v>
      </c>
      <c r="C2346" s="3278"/>
      <c r="D2346" s="3278"/>
      <c r="E2346" s="3278"/>
      <c r="F2346" s="2868"/>
      <c r="G2346" s="2315">
        <f>SUM(G2338:G2345)*H2337</f>
        <v>0</v>
      </c>
      <c r="H2346" s="2315">
        <f>SUM(H2338:H2345)</f>
        <v>0</v>
      </c>
      <c r="I2346" s="2836">
        <f t="shared" si="357"/>
        <v>0</v>
      </c>
      <c r="L2346" s="910"/>
      <c r="M2346" s="910"/>
    </row>
    <row r="2347" spans="1:13" ht="21">
      <c r="A2347" s="2837"/>
      <c r="B2347" s="3283" t="s">
        <v>1922</v>
      </c>
      <c r="C2347" s="3283"/>
      <c r="D2347" s="3283"/>
      <c r="E2347" s="3283"/>
      <c r="F2347" s="2938"/>
      <c r="G2347" s="941"/>
      <c r="H2347" s="2896">
        <f>IF(SUM(H2348:H2441)&gt;0,1,0)</f>
        <v>0</v>
      </c>
      <c r="I2347" s="2940">
        <f>H2347</f>
        <v>0</v>
      </c>
      <c r="L2347" s="910"/>
      <c r="M2347" s="910"/>
    </row>
    <row r="2348" spans="1:13">
      <c r="A2348" s="2837"/>
      <c r="B2348" s="2966" t="str">
        <f>фундамент!A678</f>
        <v>Нет техники</v>
      </c>
      <c r="C2348" s="2941" t="s">
        <v>1793</v>
      </c>
      <c r="D2348" s="235">
        <f>фундамент!C678</f>
        <v>0</v>
      </c>
      <c r="E2348" s="235">
        <f>фундамент!D678</f>
        <v>0</v>
      </c>
      <c r="F2348" s="235"/>
      <c r="G2348" s="275">
        <f t="shared" ref="G2348:G2379" si="358">IF(F2348&gt;0,D2348*F2348,E2348*D2348)*IF(H2348&gt;0,1,0)</f>
        <v>0</v>
      </c>
      <c r="H2348" s="2899">
        <f>фундамент!E678</f>
        <v>0</v>
      </c>
      <c r="I2348" s="2911">
        <f t="shared" ref="I2348:I2379" si="359">IF(G2348&gt;H2348,G2348,H2348)</f>
        <v>0</v>
      </c>
      <c r="J2348" s="2863"/>
      <c r="K2348" s="223">
        <f t="shared" ref="K2348:K2379" si="360">D2348-J2348</f>
        <v>0</v>
      </c>
      <c r="L2348" s="910"/>
      <c r="M2348" s="910"/>
    </row>
    <row r="2349" spans="1:13">
      <c r="A2349" s="2837"/>
      <c r="B2349" s="2966" t="str">
        <f>фундамент!A679</f>
        <v>Нет техники</v>
      </c>
      <c r="C2349" s="2941" t="s">
        <v>1793</v>
      </c>
      <c r="D2349" s="235">
        <f>фундамент!C679</f>
        <v>0</v>
      </c>
      <c r="E2349" s="235">
        <f>фундамент!D679</f>
        <v>0</v>
      </c>
      <c r="F2349" s="235"/>
      <c r="G2349" s="275">
        <f t="shared" si="358"/>
        <v>0</v>
      </c>
      <c r="H2349" s="2899">
        <f>фундамент!E679</f>
        <v>0</v>
      </c>
      <c r="I2349" s="2911">
        <f t="shared" si="359"/>
        <v>0</v>
      </c>
      <c r="J2349" s="2863"/>
      <c r="K2349" s="223">
        <f t="shared" si="360"/>
        <v>0</v>
      </c>
      <c r="L2349" s="910"/>
      <c r="M2349" s="910"/>
    </row>
    <row r="2350" spans="1:13">
      <c r="A2350" s="2837"/>
      <c r="B2350" s="2966" t="str">
        <f>фундамент!A680</f>
        <v>Нет техники</v>
      </c>
      <c r="C2350" s="2941" t="s">
        <v>1793</v>
      </c>
      <c r="D2350" s="235">
        <f>фундамент!C680</f>
        <v>0</v>
      </c>
      <c r="E2350" s="235">
        <f>фундамент!D680</f>
        <v>0</v>
      </c>
      <c r="F2350" s="235"/>
      <c r="G2350" s="275">
        <f t="shared" si="358"/>
        <v>0</v>
      </c>
      <c r="H2350" s="2899">
        <f>фундамент!E680</f>
        <v>0</v>
      </c>
      <c r="I2350" s="2911">
        <f t="shared" si="359"/>
        <v>0</v>
      </c>
      <c r="J2350" s="2863"/>
      <c r="K2350" s="223">
        <f t="shared" si="360"/>
        <v>0</v>
      </c>
      <c r="L2350" s="910"/>
      <c r="M2350" s="910"/>
    </row>
    <row r="2351" spans="1:13">
      <c r="A2351" s="2837"/>
      <c r="B2351" s="2966" t="str">
        <f>фундамент!A681</f>
        <v>Нет техники</v>
      </c>
      <c r="C2351" s="2941" t="s">
        <v>1793</v>
      </c>
      <c r="D2351" s="235">
        <f>фундамент!C681</f>
        <v>0</v>
      </c>
      <c r="E2351" s="235">
        <f>фундамент!D681</f>
        <v>0</v>
      </c>
      <c r="F2351" s="235"/>
      <c r="G2351" s="275">
        <f t="shared" si="358"/>
        <v>0</v>
      </c>
      <c r="H2351" s="2899">
        <f>фундамент!E681</f>
        <v>0</v>
      </c>
      <c r="I2351" s="2911">
        <f t="shared" si="359"/>
        <v>0</v>
      </c>
      <c r="J2351" s="2863"/>
      <c r="K2351" s="223">
        <f t="shared" si="360"/>
        <v>0</v>
      </c>
      <c r="L2351" s="910"/>
      <c r="M2351" s="910"/>
    </row>
    <row r="2352" spans="1:13">
      <c r="A2352" s="2837"/>
      <c r="B2352" s="302" t="str">
        <f>фундамент!A362</f>
        <v>Нет техники</v>
      </c>
      <c r="C2352" s="2941" t="s">
        <v>1793</v>
      </c>
      <c r="D2352" s="302">
        <f>фундамент!C362</f>
        <v>4</v>
      </c>
      <c r="E2352" s="302">
        <f>фундамент!D362</f>
        <v>0</v>
      </c>
      <c r="F2352" s="302"/>
      <c r="G2352" s="275">
        <f t="shared" si="358"/>
        <v>0</v>
      </c>
      <c r="H2352" s="2315">
        <f>D2352*E2352*$H$178</f>
        <v>0</v>
      </c>
      <c r="I2352" s="2911">
        <f t="shared" si="359"/>
        <v>0</v>
      </c>
      <c r="J2352" s="2863"/>
      <c r="K2352" s="223">
        <f t="shared" si="360"/>
        <v>4</v>
      </c>
      <c r="L2352" s="2854"/>
    </row>
    <row r="2353" spans="1:12">
      <c r="A2353" s="2837"/>
      <c r="B2353" s="302" t="str">
        <f>фундамент!A363</f>
        <v>Нет техники</v>
      </c>
      <c r="C2353" s="2941" t="s">
        <v>1793</v>
      </c>
      <c r="D2353" s="302">
        <f>фундамент!C363</f>
        <v>4</v>
      </c>
      <c r="E2353" s="302">
        <f>фундамент!D363</f>
        <v>0</v>
      </c>
      <c r="F2353" s="302"/>
      <c r="G2353" s="275">
        <f t="shared" si="358"/>
        <v>0</v>
      </c>
      <c r="H2353" s="2315">
        <f>D2353*E2353*$H$178</f>
        <v>0</v>
      </c>
      <c r="I2353" s="2911">
        <f t="shared" si="359"/>
        <v>0</v>
      </c>
      <c r="J2353" s="2863"/>
      <c r="K2353" s="223">
        <f t="shared" si="360"/>
        <v>4</v>
      </c>
      <c r="L2353" s="2854"/>
    </row>
    <row r="2354" spans="1:12">
      <c r="A2354" s="2837"/>
      <c r="B2354" s="302" t="str">
        <f>фундамент!A364</f>
        <v>Нет техники</v>
      </c>
      <c r="C2354" s="2941" t="s">
        <v>1793</v>
      </c>
      <c r="D2354" s="302">
        <f>фундамент!C364</f>
        <v>6</v>
      </c>
      <c r="E2354" s="302">
        <f>фундамент!D364</f>
        <v>0</v>
      </c>
      <c r="F2354" s="302"/>
      <c r="G2354" s="275">
        <f t="shared" si="358"/>
        <v>0</v>
      </c>
      <c r="H2354" s="2315">
        <f>D2354*E2354*$H$178</f>
        <v>0</v>
      </c>
      <c r="I2354" s="2911">
        <f t="shared" si="359"/>
        <v>0</v>
      </c>
      <c r="J2354" s="2863"/>
      <c r="K2354" s="223">
        <f t="shared" si="360"/>
        <v>6</v>
      </c>
      <c r="L2354" s="2854"/>
    </row>
    <row r="2355" spans="1:12">
      <c r="A2355" s="2837"/>
      <c r="B2355" s="302" t="str">
        <f>фундамент!A365</f>
        <v>Нет техники</v>
      </c>
      <c r="C2355" s="2941" t="s">
        <v>1793</v>
      </c>
      <c r="D2355" s="302">
        <f>фундамент!C365</f>
        <v>4</v>
      </c>
      <c r="E2355" s="302">
        <f>фундамент!D365</f>
        <v>0</v>
      </c>
      <c r="F2355" s="302"/>
      <c r="G2355" s="275">
        <f t="shared" si="358"/>
        <v>0</v>
      </c>
      <c r="H2355" s="2315">
        <f>D2355*E2355*$H$178</f>
        <v>0</v>
      </c>
      <c r="I2355" s="2911">
        <f t="shared" si="359"/>
        <v>0</v>
      </c>
      <c r="J2355" s="2863"/>
      <c r="K2355" s="223">
        <f t="shared" si="360"/>
        <v>4</v>
      </c>
      <c r="L2355" s="2854"/>
    </row>
    <row r="2356" spans="1:12">
      <c r="A2356" s="2837"/>
      <c r="B2356" s="302" t="str">
        <f>фундамент!A366</f>
        <v>Нет техники</v>
      </c>
      <c r="C2356" s="2941" t="s">
        <v>1793</v>
      </c>
      <c r="D2356" s="302">
        <f>фундамент!C366</f>
        <v>0</v>
      </c>
      <c r="E2356" s="302">
        <f>фундамент!D366</f>
        <v>0</v>
      </c>
      <c r="F2356" s="302"/>
      <c r="G2356" s="275">
        <f t="shared" si="358"/>
        <v>0</v>
      </c>
      <c r="H2356" s="2315">
        <f>D2356*E2356*$H$178</f>
        <v>0</v>
      </c>
      <c r="I2356" s="2911">
        <f t="shared" si="359"/>
        <v>0</v>
      </c>
      <c r="J2356" s="2863"/>
      <c r="K2356" s="223">
        <f t="shared" si="360"/>
        <v>0</v>
      </c>
      <c r="L2356" s="2854"/>
    </row>
    <row r="2357" spans="1:12">
      <c r="A2357" s="2837"/>
      <c r="B2357" s="302" t="str">
        <f>фундамент!A429</f>
        <v>Нет техники</v>
      </c>
      <c r="C2357" s="2941" t="s">
        <v>1793</v>
      </c>
      <c r="D2357" s="302">
        <f>фундамент!C429</f>
        <v>4</v>
      </c>
      <c r="E2357" s="302">
        <f>фундамент!D429</f>
        <v>0</v>
      </c>
      <c r="F2357" s="302"/>
      <c r="G2357" s="275">
        <f t="shared" si="358"/>
        <v>0</v>
      </c>
      <c r="H2357" s="2315">
        <f>D2357*E2357*$H$215</f>
        <v>0</v>
      </c>
      <c r="I2357" s="2911">
        <f t="shared" si="359"/>
        <v>0</v>
      </c>
      <c r="J2357" s="2863"/>
      <c r="K2357" s="223">
        <f t="shared" si="360"/>
        <v>4</v>
      </c>
      <c r="L2357" s="2854"/>
    </row>
    <row r="2358" spans="1:12">
      <c r="A2358" s="2837"/>
      <c r="B2358" s="302" t="str">
        <f>фундамент!A430</f>
        <v>Нет техники</v>
      </c>
      <c r="C2358" s="2941" t="s">
        <v>1793</v>
      </c>
      <c r="D2358" s="302">
        <f>фундамент!C430</f>
        <v>4</v>
      </c>
      <c r="E2358" s="302">
        <f>фундамент!D430</f>
        <v>0</v>
      </c>
      <c r="F2358" s="302"/>
      <c r="G2358" s="275">
        <f t="shared" si="358"/>
        <v>0</v>
      </c>
      <c r="H2358" s="2315">
        <f>D2358*E2358*$H$215</f>
        <v>0</v>
      </c>
      <c r="I2358" s="2911">
        <f t="shared" si="359"/>
        <v>0</v>
      </c>
      <c r="J2358" s="2863"/>
      <c r="K2358" s="223">
        <f t="shared" si="360"/>
        <v>4</v>
      </c>
      <c r="L2358" s="2854"/>
    </row>
    <row r="2359" spans="1:12">
      <c r="A2359" s="2837"/>
      <c r="B2359" s="302" t="str">
        <f>фундамент!A431</f>
        <v>Нет техники</v>
      </c>
      <c r="C2359" s="2941" t="s">
        <v>1793</v>
      </c>
      <c r="D2359" s="302">
        <f>фундамент!C431</f>
        <v>6</v>
      </c>
      <c r="E2359" s="302">
        <f>фундамент!D431</f>
        <v>0</v>
      </c>
      <c r="F2359" s="302"/>
      <c r="G2359" s="275">
        <f t="shared" si="358"/>
        <v>0</v>
      </c>
      <c r="H2359" s="2315">
        <f>D2359*E2359*$H$215</f>
        <v>0</v>
      </c>
      <c r="I2359" s="2911">
        <f t="shared" si="359"/>
        <v>0</v>
      </c>
      <c r="J2359" s="2863"/>
      <c r="K2359" s="223">
        <f t="shared" si="360"/>
        <v>6</v>
      </c>
      <c r="L2359" s="2854"/>
    </row>
    <row r="2360" spans="1:12">
      <c r="A2360" s="2837"/>
      <c r="B2360" s="302" t="str">
        <f>фундамент!A432</f>
        <v>Нет техники</v>
      </c>
      <c r="C2360" s="2941" t="s">
        <v>1793</v>
      </c>
      <c r="D2360" s="302">
        <f>фундамент!C432</f>
        <v>4</v>
      </c>
      <c r="E2360" s="302">
        <f>фундамент!D432</f>
        <v>0</v>
      </c>
      <c r="F2360" s="302"/>
      <c r="G2360" s="275">
        <f t="shared" si="358"/>
        <v>0</v>
      </c>
      <c r="H2360" s="2315">
        <f>D2360*E2360*$H$215</f>
        <v>0</v>
      </c>
      <c r="I2360" s="2911">
        <f t="shared" si="359"/>
        <v>0</v>
      </c>
      <c r="J2360" s="2863"/>
      <c r="K2360" s="223">
        <f t="shared" si="360"/>
        <v>4</v>
      </c>
      <c r="L2360" s="2854"/>
    </row>
    <row r="2361" spans="1:12">
      <c r="A2361" s="2837"/>
      <c r="B2361" s="302" t="str">
        <f>фундамент!A433</f>
        <v>Нет техники</v>
      </c>
      <c r="C2361" s="2941" t="s">
        <v>1793</v>
      </c>
      <c r="D2361" s="302">
        <f>фундамент!C433</f>
        <v>0</v>
      </c>
      <c r="E2361" s="302">
        <f>фундамент!D433</f>
        <v>0</v>
      </c>
      <c r="F2361" s="302"/>
      <c r="G2361" s="275">
        <f t="shared" si="358"/>
        <v>0</v>
      </c>
      <c r="H2361" s="2315">
        <f>D2361*E2361*$H$215</f>
        <v>0</v>
      </c>
      <c r="I2361" s="2911">
        <f t="shared" si="359"/>
        <v>0</v>
      </c>
      <c r="J2361" s="2863"/>
      <c r="K2361" s="223">
        <f t="shared" si="360"/>
        <v>0</v>
      </c>
      <c r="L2361" s="2854"/>
    </row>
    <row r="2362" spans="1:12">
      <c r="A2362" s="2837"/>
      <c r="B2362" s="302" t="str">
        <f>фундамент!A501</f>
        <v>Нет техники</v>
      </c>
      <c r="C2362" s="2941" t="s">
        <v>1793</v>
      </c>
      <c r="D2362" s="302">
        <f>фундамент!C501</f>
        <v>3</v>
      </c>
      <c r="E2362" s="302">
        <f>фундамент!D501</f>
        <v>0</v>
      </c>
      <c r="F2362" s="302"/>
      <c r="G2362" s="275">
        <f t="shared" si="358"/>
        <v>0</v>
      </c>
      <c r="H2362" s="2315">
        <f>D2362*E2362*$H$257</f>
        <v>0</v>
      </c>
      <c r="I2362" s="2911">
        <f t="shared" si="359"/>
        <v>0</v>
      </c>
      <c r="J2362" s="2863"/>
      <c r="K2362" s="223">
        <f t="shared" si="360"/>
        <v>3</v>
      </c>
      <c r="L2362" s="2854"/>
    </row>
    <row r="2363" spans="1:12">
      <c r="A2363" s="2837"/>
      <c r="B2363" s="302" t="str">
        <f>фундамент!A502</f>
        <v>Нет техники</v>
      </c>
      <c r="C2363" s="2941" t="s">
        <v>1793</v>
      </c>
      <c r="D2363" s="302">
        <f>фундамент!C502</f>
        <v>0</v>
      </c>
      <c r="E2363" s="302">
        <f>фундамент!D502</f>
        <v>0</v>
      </c>
      <c r="F2363" s="302"/>
      <c r="G2363" s="275">
        <f t="shared" si="358"/>
        <v>0</v>
      </c>
      <c r="H2363" s="2315">
        <f>D2363*E2363*$H$257</f>
        <v>0</v>
      </c>
      <c r="I2363" s="2911">
        <f t="shared" si="359"/>
        <v>0</v>
      </c>
      <c r="J2363" s="2863"/>
      <c r="K2363" s="223">
        <f t="shared" si="360"/>
        <v>0</v>
      </c>
      <c r="L2363" s="2854"/>
    </row>
    <row r="2364" spans="1:12">
      <c r="A2364" s="2837"/>
      <c r="B2364" s="302" t="str">
        <f>фундамент!A503</f>
        <v>Нет техники</v>
      </c>
      <c r="C2364" s="2941" t="s">
        <v>1793</v>
      </c>
      <c r="D2364" s="302">
        <f>фундамент!C503</f>
        <v>0</v>
      </c>
      <c r="E2364" s="302">
        <f>фундамент!D503</f>
        <v>0</v>
      </c>
      <c r="F2364" s="302"/>
      <c r="G2364" s="275">
        <f t="shared" si="358"/>
        <v>0</v>
      </c>
      <c r="H2364" s="2315">
        <f>D2364*E2364*$H$257</f>
        <v>0</v>
      </c>
      <c r="I2364" s="2911">
        <f t="shared" si="359"/>
        <v>0</v>
      </c>
      <c r="J2364" s="2863"/>
      <c r="K2364" s="223">
        <f t="shared" si="360"/>
        <v>0</v>
      </c>
      <c r="L2364" s="2854"/>
    </row>
    <row r="2365" spans="1:12">
      <c r="A2365" s="2837"/>
      <c r="B2365" s="302" t="str">
        <f>фундамент!A504</f>
        <v>Нет техники</v>
      </c>
      <c r="C2365" s="2941" t="s">
        <v>1793</v>
      </c>
      <c r="D2365" s="302">
        <f>фундамент!C504</f>
        <v>0</v>
      </c>
      <c r="E2365" s="302">
        <f>фундамент!D504</f>
        <v>0</v>
      </c>
      <c r="F2365" s="302"/>
      <c r="G2365" s="275">
        <f t="shared" si="358"/>
        <v>0</v>
      </c>
      <c r="H2365" s="2315">
        <f>D2365*E2365*$H$257</f>
        <v>0</v>
      </c>
      <c r="I2365" s="2911">
        <f t="shared" si="359"/>
        <v>0</v>
      </c>
      <c r="J2365" s="2863"/>
      <c r="K2365" s="223">
        <f t="shared" si="360"/>
        <v>0</v>
      </c>
      <c r="L2365" s="2854"/>
    </row>
    <row r="2366" spans="1:12">
      <c r="A2366" s="2837"/>
      <c r="B2366" s="302" t="str">
        <f>фундамент!A505</f>
        <v>Нет техники</v>
      </c>
      <c r="C2366" s="2941" t="s">
        <v>1793</v>
      </c>
      <c r="D2366" s="302">
        <f>фундамент!C505</f>
        <v>0</v>
      </c>
      <c r="E2366" s="302">
        <f>фундамент!D505</f>
        <v>0</v>
      </c>
      <c r="F2366" s="302"/>
      <c r="G2366" s="275">
        <f t="shared" si="358"/>
        <v>0</v>
      </c>
      <c r="H2366" s="2315">
        <f>D2366*E2366*$H$257</f>
        <v>0</v>
      </c>
      <c r="I2366" s="2911">
        <f t="shared" si="359"/>
        <v>0</v>
      </c>
      <c r="J2366" s="2863"/>
      <c r="K2366" s="223">
        <f t="shared" si="360"/>
        <v>0</v>
      </c>
      <c r="L2366" s="2854"/>
    </row>
    <row r="2367" spans="1:12">
      <c r="A2367" s="2837"/>
      <c r="B2367" s="302" t="str">
        <f>дома!A1416</f>
        <v>Нет техники</v>
      </c>
      <c r="C2367" s="2941" t="s">
        <v>1793</v>
      </c>
      <c r="D2367" s="302">
        <f>дома!C1416</f>
        <v>2</v>
      </c>
      <c r="E2367" s="302">
        <f>дома!D1416</f>
        <v>0</v>
      </c>
      <c r="F2367" s="302"/>
      <c r="G2367" s="275">
        <f t="shared" si="358"/>
        <v>0</v>
      </c>
      <c r="H2367" s="2315">
        <f>D2367*E2367*$H$303</f>
        <v>0</v>
      </c>
      <c r="I2367" s="2911">
        <f t="shared" si="359"/>
        <v>0</v>
      </c>
      <c r="J2367" s="2863"/>
      <c r="K2367" s="223">
        <f t="shared" si="360"/>
        <v>2</v>
      </c>
      <c r="L2367" s="2854"/>
    </row>
    <row r="2368" spans="1:12">
      <c r="A2368" s="2837"/>
      <c r="B2368" s="302" t="str">
        <f>дома!A1486</f>
        <v>Нет техники</v>
      </c>
      <c r="C2368" s="2941" t="s">
        <v>1793</v>
      </c>
      <c r="D2368" s="302">
        <f>дома!C1486</f>
        <v>2</v>
      </c>
      <c r="E2368" s="275">
        <f>дома!D1486</f>
        <v>0</v>
      </c>
      <c r="F2368" s="275"/>
      <c r="G2368" s="275">
        <f t="shared" si="358"/>
        <v>0</v>
      </c>
      <c r="H2368" s="2315">
        <f>D2368*E2368*$H$332</f>
        <v>0</v>
      </c>
      <c r="I2368" s="2911">
        <f t="shared" si="359"/>
        <v>0</v>
      </c>
      <c r="J2368" s="2863"/>
      <c r="K2368" s="223">
        <f t="shared" si="360"/>
        <v>2</v>
      </c>
      <c r="L2368" s="2854"/>
    </row>
    <row r="2369" spans="1:12">
      <c r="A2369" s="2837"/>
      <c r="B2369" s="302" t="str">
        <f>дома!A1584</f>
        <v>Нет техники</v>
      </c>
      <c r="C2369" s="2941" t="s">
        <v>1793</v>
      </c>
      <c r="D2369" s="302">
        <f>дома!C1584</f>
        <v>0</v>
      </c>
      <c r="E2369" s="302">
        <f>дома!I1584</f>
        <v>0</v>
      </c>
      <c r="F2369" s="302"/>
      <c r="G2369" s="275">
        <f t="shared" si="358"/>
        <v>0</v>
      </c>
      <c r="H2369" s="2315">
        <f>D2369*E2369*$H$541</f>
        <v>0</v>
      </c>
      <c r="I2369" s="2911">
        <f t="shared" si="359"/>
        <v>0</v>
      </c>
      <c r="J2369" s="2863"/>
      <c r="K2369" s="223">
        <f t="shared" si="360"/>
        <v>0</v>
      </c>
      <c r="L2369" s="2854"/>
    </row>
    <row r="2370" spans="1:12">
      <c r="A2370" s="2837"/>
      <c r="B2370" s="302" t="str">
        <f>дома!A1577</f>
        <v>Нет техники</v>
      </c>
      <c r="C2370" s="2941" t="s">
        <v>1793</v>
      </c>
      <c r="D2370" s="302">
        <f>дома!C1577</f>
        <v>0</v>
      </c>
      <c r="E2370" s="302">
        <f>дома!I1577</f>
        <v>0</v>
      </c>
      <c r="F2370" s="302"/>
      <c r="G2370" s="275">
        <f t="shared" si="358"/>
        <v>0</v>
      </c>
      <c r="H2370" s="2315">
        <f>D2370*E2370*$H$541</f>
        <v>0</v>
      </c>
      <c r="I2370" s="2911">
        <f t="shared" si="359"/>
        <v>0</v>
      </c>
      <c r="J2370" s="2863"/>
      <c r="K2370" s="223">
        <f t="shared" si="360"/>
        <v>0</v>
      </c>
      <c r="L2370" s="2854"/>
    </row>
    <row r="2371" spans="1:12">
      <c r="A2371" s="2837"/>
      <c r="B2371" s="302" t="str">
        <f>дома!A1578</f>
        <v>Нет техники</v>
      </c>
      <c r="C2371" s="2941" t="s">
        <v>1793</v>
      </c>
      <c r="D2371" s="302">
        <f>дома!C1578</f>
        <v>0</v>
      </c>
      <c r="E2371" s="302">
        <f>дома!I1578</f>
        <v>0</v>
      </c>
      <c r="F2371" s="302"/>
      <c r="G2371" s="275">
        <f t="shared" si="358"/>
        <v>0</v>
      </c>
      <c r="H2371" s="2315">
        <f>D2371*E2371*$H$541</f>
        <v>0</v>
      </c>
      <c r="I2371" s="2911">
        <f t="shared" si="359"/>
        <v>0</v>
      </c>
      <c r="J2371" s="2863"/>
      <c r="K2371" s="223">
        <f t="shared" si="360"/>
        <v>0</v>
      </c>
      <c r="L2371" s="2854"/>
    </row>
    <row r="2372" spans="1:12">
      <c r="A2372" s="2837"/>
      <c r="B2372" s="2763" t="str">
        <f>дома!A1660</f>
        <v>Нет техники</v>
      </c>
      <c r="C2372" s="2941" t="s">
        <v>1793</v>
      </c>
      <c r="D2372" s="302">
        <f>дома!C1660</f>
        <v>0</v>
      </c>
      <c r="E2372" s="275">
        <f>дома!I1659</f>
        <v>15000</v>
      </c>
      <c r="F2372" s="275"/>
      <c r="G2372" s="275">
        <f t="shared" si="358"/>
        <v>0</v>
      </c>
      <c r="H2372" s="2315">
        <f>D2372*E2372*$H$607</f>
        <v>0</v>
      </c>
      <c r="I2372" s="2911">
        <f t="shared" si="359"/>
        <v>0</v>
      </c>
      <c r="J2372" s="2863"/>
      <c r="K2372" s="223">
        <f t="shared" si="360"/>
        <v>0</v>
      </c>
      <c r="L2372" s="2854"/>
    </row>
    <row r="2373" spans="1:12">
      <c r="A2373" s="2837"/>
      <c r="B2373" s="2763" t="str">
        <f>дома!A1653</f>
        <v>Нет техники</v>
      </c>
      <c r="C2373" s="2941" t="s">
        <v>1793</v>
      </c>
      <c r="D2373" s="302">
        <f>дома!C1653</f>
        <v>0</v>
      </c>
      <c r="E2373" s="275">
        <f>дома!I1652</f>
        <v>3000</v>
      </c>
      <c r="F2373" s="275"/>
      <c r="G2373" s="275">
        <f t="shared" si="358"/>
        <v>0</v>
      </c>
      <c r="H2373" s="2315">
        <f>D2373*E2373*$H$607</f>
        <v>0</v>
      </c>
      <c r="I2373" s="2911">
        <f t="shared" si="359"/>
        <v>0</v>
      </c>
      <c r="J2373" s="2863"/>
      <c r="K2373" s="223">
        <f t="shared" si="360"/>
        <v>0</v>
      </c>
      <c r="L2373" s="2854"/>
    </row>
    <row r="2374" spans="1:12">
      <c r="A2374" s="2837"/>
      <c r="B2374" s="2763" t="str">
        <f>дома!A1654</f>
        <v>Нет техники</v>
      </c>
      <c r="C2374" s="2941" t="s">
        <v>1793</v>
      </c>
      <c r="D2374" s="302">
        <f>дома!C1654</f>
        <v>0</v>
      </c>
      <c r="E2374" s="275">
        <f>дома!I1653</f>
        <v>0</v>
      </c>
      <c r="F2374" s="275"/>
      <c r="G2374" s="275">
        <f t="shared" si="358"/>
        <v>0</v>
      </c>
      <c r="H2374" s="2315">
        <f>D2374*E2374*$H$607</f>
        <v>0</v>
      </c>
      <c r="I2374" s="2911">
        <f t="shared" si="359"/>
        <v>0</v>
      </c>
      <c r="J2374" s="2863"/>
      <c r="K2374" s="223">
        <f t="shared" si="360"/>
        <v>0</v>
      </c>
      <c r="L2374" s="2854"/>
    </row>
    <row r="2375" spans="1:12">
      <c r="A2375" s="2837"/>
      <c r="B2375" s="2898" t="str">
        <f>дома!A1741</f>
        <v>Нет техники</v>
      </c>
      <c r="C2375" s="2941" t="s">
        <v>1793</v>
      </c>
      <c r="D2375" s="2899">
        <f>дома!C1741</f>
        <v>0</v>
      </c>
      <c r="E2375" s="2899">
        <f>дома!I1741</f>
        <v>0</v>
      </c>
      <c r="F2375" s="2899"/>
      <c r="G2375" s="275">
        <f t="shared" si="358"/>
        <v>0</v>
      </c>
      <c r="H2375" s="2899">
        <f>D2375*E2375*$H$666</f>
        <v>0</v>
      </c>
      <c r="I2375" s="2911">
        <f t="shared" si="359"/>
        <v>0</v>
      </c>
      <c r="J2375" s="2863"/>
      <c r="K2375" s="223">
        <f t="shared" si="360"/>
        <v>0</v>
      </c>
      <c r="L2375" s="2854"/>
    </row>
    <row r="2376" spans="1:12">
      <c r="A2376" s="2837"/>
      <c r="B2376" s="2898" t="str">
        <f>дома!A1731</f>
        <v>Нет техники</v>
      </c>
      <c r="C2376" s="2941" t="s">
        <v>1793</v>
      </c>
      <c r="D2376" s="2899">
        <f>дома!C1731</f>
        <v>0</v>
      </c>
      <c r="E2376" s="2899">
        <f>дома!I1731</f>
        <v>0</v>
      </c>
      <c r="F2376" s="2899"/>
      <c r="G2376" s="275">
        <f t="shared" si="358"/>
        <v>0</v>
      </c>
      <c r="H2376" s="2899">
        <f>D2376*E2376*$H$666</f>
        <v>0</v>
      </c>
      <c r="I2376" s="2911">
        <f t="shared" si="359"/>
        <v>0</v>
      </c>
      <c r="J2376" s="2863"/>
      <c r="K2376" s="223">
        <f t="shared" si="360"/>
        <v>0</v>
      </c>
      <c r="L2376" s="2854"/>
    </row>
    <row r="2377" spans="1:12">
      <c r="A2377" s="2837"/>
      <c r="B2377" s="2898" t="str">
        <f>дома!A1732</f>
        <v>Нет техники</v>
      </c>
      <c r="C2377" s="2941" t="s">
        <v>1793</v>
      </c>
      <c r="D2377" s="2899">
        <f>дома!C1732</f>
        <v>0</v>
      </c>
      <c r="E2377" s="2899">
        <f>дома!I1732</f>
        <v>0</v>
      </c>
      <c r="F2377" s="2899"/>
      <c r="G2377" s="275">
        <f t="shared" si="358"/>
        <v>0</v>
      </c>
      <c r="H2377" s="2899">
        <f>D2377*E2377*$H$666</f>
        <v>0</v>
      </c>
      <c r="I2377" s="2911">
        <f t="shared" si="359"/>
        <v>0</v>
      </c>
      <c r="J2377" s="2863"/>
      <c r="K2377" s="223">
        <f t="shared" si="360"/>
        <v>0</v>
      </c>
      <c r="L2377" s="2854"/>
    </row>
    <row r="2378" spans="1:12">
      <c r="A2378" s="2837"/>
      <c r="B2378" s="2898" t="str">
        <f>дома!A1811</f>
        <v>Нет техники</v>
      </c>
      <c r="C2378" s="2941" t="s">
        <v>1793</v>
      </c>
      <c r="D2378" s="2899">
        <f>дома!C1811</f>
        <v>6</v>
      </c>
      <c r="E2378" s="2899">
        <f>дома!D1811</f>
        <v>0</v>
      </c>
      <c r="F2378" s="2899"/>
      <c r="G2378" s="275">
        <f t="shared" si="358"/>
        <v>0</v>
      </c>
      <c r="H2378" s="2899">
        <f>D2378*E2378*$H$718</f>
        <v>0</v>
      </c>
      <c r="I2378" s="2911">
        <f t="shared" si="359"/>
        <v>0</v>
      </c>
      <c r="J2378" s="2863"/>
      <c r="K2378" s="223">
        <f t="shared" si="360"/>
        <v>6</v>
      </c>
      <c r="L2378" s="2854"/>
    </row>
    <row r="2379" spans="1:12">
      <c r="A2379" s="2837"/>
      <c r="B2379" s="2898" t="str">
        <f>дома!A1812</f>
        <v>Нет техники</v>
      </c>
      <c r="C2379" s="2941" t="s">
        <v>1793</v>
      </c>
      <c r="D2379" s="2899">
        <f>дома!C1812</f>
        <v>0</v>
      </c>
      <c r="E2379" s="2899">
        <f>дома!D1812</f>
        <v>0</v>
      </c>
      <c r="F2379" s="2899"/>
      <c r="G2379" s="275">
        <f t="shared" si="358"/>
        <v>0</v>
      </c>
      <c r="H2379" s="2899">
        <f>D2379*E2379*$H$718</f>
        <v>0</v>
      </c>
      <c r="I2379" s="2911">
        <f t="shared" si="359"/>
        <v>0</v>
      </c>
      <c r="J2379" s="2863"/>
      <c r="K2379" s="223">
        <f t="shared" si="360"/>
        <v>0</v>
      </c>
      <c r="L2379" s="2854"/>
    </row>
    <row r="2380" spans="1:12">
      <c r="A2380" s="2837"/>
      <c r="B2380" s="275" t="str">
        <f>дома!A2010</f>
        <v>Нет техники</v>
      </c>
      <c r="C2380" s="2941" t="s">
        <v>1793</v>
      </c>
      <c r="D2380" s="275">
        <f>дома!C2010</f>
        <v>6</v>
      </c>
      <c r="E2380" s="275">
        <f>дома!D2010</f>
        <v>0</v>
      </c>
      <c r="F2380" s="275"/>
      <c r="G2380" s="275">
        <f t="shared" ref="G2380:G2411" si="361">IF(F2380&gt;0,D2380*F2380,E2380*D2380)*IF(H2380&gt;0,1,0)</f>
        <v>0</v>
      </c>
      <c r="H2380" s="275">
        <f>D2380*E2380*$H$755</f>
        <v>0</v>
      </c>
      <c r="I2380" s="2911">
        <f t="shared" ref="I2380:I2411" si="362">IF(G2380&gt;H2380,G2380,H2380)</f>
        <v>0</v>
      </c>
      <c r="J2380" s="2863"/>
      <c r="K2380" s="223">
        <f t="shared" ref="K2380:K2411" si="363">D2380-J2380</f>
        <v>6</v>
      </c>
      <c r="L2380" s="2854"/>
    </row>
    <row r="2381" spans="1:12">
      <c r="A2381" s="2837"/>
      <c r="B2381" s="275" t="str">
        <f>дома!A2011</f>
        <v>Нет техники</v>
      </c>
      <c r="C2381" s="2941" t="s">
        <v>1793</v>
      </c>
      <c r="D2381" s="275">
        <f>дома!C2011</f>
        <v>0</v>
      </c>
      <c r="E2381" s="275">
        <f>дома!D2011</f>
        <v>0</v>
      </c>
      <c r="F2381" s="275"/>
      <c r="G2381" s="275">
        <f t="shared" si="361"/>
        <v>0</v>
      </c>
      <c r="H2381" s="275">
        <f>D2381*E2381*$H$755</f>
        <v>0</v>
      </c>
      <c r="I2381" s="2911">
        <f t="shared" si="362"/>
        <v>0</v>
      </c>
      <c r="J2381" s="2863"/>
      <c r="K2381" s="223">
        <f t="shared" si="363"/>
        <v>0</v>
      </c>
      <c r="L2381" s="2854"/>
    </row>
    <row r="2382" spans="1:12" ht="16.5" customHeight="1">
      <c r="A2382" s="2837"/>
      <c r="B2382" s="275" t="str">
        <f>дома!A1964</f>
        <v>Нет техники</v>
      </c>
      <c r="C2382" s="2941" t="s">
        <v>1793</v>
      </c>
      <c r="D2382" s="275">
        <f>дома!C1964</f>
        <v>6</v>
      </c>
      <c r="E2382" s="275">
        <f>дома!D1964</f>
        <v>0</v>
      </c>
      <c r="F2382" s="275"/>
      <c r="G2382" s="275">
        <f t="shared" si="361"/>
        <v>0</v>
      </c>
      <c r="H2382" s="2315">
        <f>D2382*E2382*$H$793</f>
        <v>0</v>
      </c>
      <c r="I2382" s="2911">
        <f t="shared" si="362"/>
        <v>0</v>
      </c>
      <c r="J2382" s="2863"/>
      <c r="K2382" s="223">
        <f t="shared" si="363"/>
        <v>6</v>
      </c>
      <c r="L2382" s="2854"/>
    </row>
    <row r="2383" spans="1:12">
      <c r="A2383" s="2837"/>
      <c r="B2383" s="275" t="str">
        <f>дома!A1965</f>
        <v>Нет техники</v>
      </c>
      <c r="C2383" s="2941" t="s">
        <v>1793</v>
      </c>
      <c r="D2383" s="275">
        <f>дома!C1965</f>
        <v>0</v>
      </c>
      <c r="E2383" s="275">
        <f>дома!D1965</f>
        <v>0</v>
      </c>
      <c r="F2383" s="275"/>
      <c r="G2383" s="275">
        <f t="shared" si="361"/>
        <v>0</v>
      </c>
      <c r="H2383" s="2315">
        <f>D2383*E2383*$H$793</f>
        <v>0</v>
      </c>
      <c r="I2383" s="2911">
        <f t="shared" si="362"/>
        <v>0</v>
      </c>
      <c r="J2383" s="2863"/>
      <c r="K2383" s="223">
        <f t="shared" si="363"/>
        <v>0</v>
      </c>
      <c r="L2383" s="2854"/>
    </row>
    <row r="2384" spans="1:12">
      <c r="A2384" s="2837"/>
      <c r="B2384" s="275" t="str">
        <f>дома!A1856</f>
        <v>Нет техники</v>
      </c>
      <c r="C2384" s="2941" t="s">
        <v>1793</v>
      </c>
      <c r="D2384" s="275">
        <f>дома!C1856</f>
        <v>6</v>
      </c>
      <c r="E2384" s="275">
        <f>дома!D1856</f>
        <v>0</v>
      </c>
      <c r="F2384" s="275"/>
      <c r="G2384" s="275">
        <f t="shared" si="361"/>
        <v>0</v>
      </c>
      <c r="H2384" s="2315">
        <f>D2384*E2384*$H$830</f>
        <v>0</v>
      </c>
      <c r="I2384" s="2911">
        <f t="shared" si="362"/>
        <v>0</v>
      </c>
      <c r="J2384" s="2863"/>
      <c r="K2384" s="223">
        <f t="shared" si="363"/>
        <v>6</v>
      </c>
      <c r="L2384" s="2854"/>
    </row>
    <row r="2385" spans="1:12">
      <c r="A2385" s="2837"/>
      <c r="B2385" s="275" t="str">
        <f>дома!A1857</f>
        <v>Нет техники</v>
      </c>
      <c r="C2385" s="2941" t="s">
        <v>1793</v>
      </c>
      <c r="D2385" s="275">
        <f>дома!C1857</f>
        <v>0</v>
      </c>
      <c r="E2385" s="275">
        <f>дома!D1857</f>
        <v>0</v>
      </c>
      <c r="F2385" s="275"/>
      <c r="G2385" s="275">
        <f t="shared" si="361"/>
        <v>0</v>
      </c>
      <c r="H2385" s="2315">
        <f>D2385*E2385*$H$830</f>
        <v>0</v>
      </c>
      <c r="I2385" s="2911">
        <f t="shared" si="362"/>
        <v>0</v>
      </c>
      <c r="J2385" s="2863"/>
      <c r="K2385" s="223">
        <f t="shared" si="363"/>
        <v>0</v>
      </c>
      <c r="L2385" s="2854"/>
    </row>
    <row r="2386" spans="1:12">
      <c r="A2386" s="2837"/>
      <c r="B2386" s="275" t="str">
        <f>дома!A1903</f>
        <v>Нет техники</v>
      </c>
      <c r="C2386" s="2941" t="s">
        <v>1793</v>
      </c>
      <c r="D2386" s="275">
        <f>дома!C1903</f>
        <v>6</v>
      </c>
      <c r="E2386" s="275">
        <f>дома!D1903</f>
        <v>0</v>
      </c>
      <c r="F2386" s="275"/>
      <c r="G2386" s="275">
        <f t="shared" si="361"/>
        <v>0</v>
      </c>
      <c r="H2386" s="2315">
        <f>D2386*E2386*$H$867</f>
        <v>0</v>
      </c>
      <c r="I2386" s="2911">
        <f t="shared" si="362"/>
        <v>0</v>
      </c>
      <c r="J2386" s="2863"/>
      <c r="K2386" s="223">
        <f t="shared" si="363"/>
        <v>6</v>
      </c>
      <c r="L2386" s="2854"/>
    </row>
    <row r="2387" spans="1:12">
      <c r="A2387" s="2837"/>
      <c r="B2387" s="275" t="str">
        <f>дома!A1904</f>
        <v>Нет техники</v>
      </c>
      <c r="C2387" s="2941" t="s">
        <v>1793</v>
      </c>
      <c r="D2387" s="275">
        <f>дома!C1904</f>
        <v>0</v>
      </c>
      <c r="E2387" s="275">
        <f>дома!D1904</f>
        <v>0</v>
      </c>
      <c r="F2387" s="275"/>
      <c r="G2387" s="275">
        <f t="shared" si="361"/>
        <v>0</v>
      </c>
      <c r="H2387" s="2315">
        <f>D2387*E2387*$H$867</f>
        <v>0</v>
      </c>
      <c r="I2387" s="2911">
        <f t="shared" si="362"/>
        <v>0</v>
      </c>
      <c r="J2387" s="2863"/>
      <c r="K2387" s="223">
        <f t="shared" si="363"/>
        <v>0</v>
      </c>
      <c r="L2387" s="2854"/>
    </row>
    <row r="2388" spans="1:12">
      <c r="A2388" s="2837"/>
      <c r="B2388" s="98" t="str">
        <f>перекрытие!A229</f>
        <v>Газель</v>
      </c>
      <c r="C2388" s="2941" t="s">
        <v>1793</v>
      </c>
      <c r="D2388" s="275">
        <f>перекрытие!D229</f>
        <v>1</v>
      </c>
      <c r="E2388" s="100">
        <f>перекрытие!E229</f>
        <v>1700</v>
      </c>
      <c r="F2388" s="100"/>
      <c r="G2388" s="275">
        <f t="shared" si="361"/>
        <v>0</v>
      </c>
      <c r="H2388" s="275">
        <f>перекрытие!F229*$H$903</f>
        <v>0</v>
      </c>
      <c r="I2388" s="2911">
        <f t="shared" si="362"/>
        <v>0</v>
      </c>
      <c r="J2388" s="2863"/>
      <c r="K2388" s="223">
        <f t="shared" si="363"/>
        <v>1</v>
      </c>
      <c r="L2388" s="2854"/>
    </row>
    <row r="2389" spans="1:12">
      <c r="A2389" s="2837"/>
      <c r="B2389" s="98" t="str">
        <f>перекрытие!A230</f>
        <v>Доставка материала Фура</v>
      </c>
      <c r="C2389" s="2941" t="s">
        <v>1793</v>
      </c>
      <c r="D2389" s="275">
        <f>перекрытие!D230</f>
        <v>0</v>
      </c>
      <c r="E2389" s="275">
        <f>перекрытие!E230</f>
        <v>2500</v>
      </c>
      <c r="F2389" s="275"/>
      <c r="G2389" s="275">
        <f t="shared" si="361"/>
        <v>0</v>
      </c>
      <c r="H2389" s="275">
        <f>перекрытие!F230*$H$903</f>
        <v>0</v>
      </c>
      <c r="I2389" s="2911">
        <f t="shared" si="362"/>
        <v>0</v>
      </c>
      <c r="J2389" s="2863"/>
      <c r="K2389" s="223">
        <f t="shared" si="363"/>
        <v>0</v>
      </c>
      <c r="L2389" s="2854"/>
    </row>
    <row r="2390" spans="1:12">
      <c r="A2390" s="2837"/>
      <c r="B2390" s="98" t="str">
        <f>перекрытие!A231</f>
        <v>Воровайка</v>
      </c>
      <c r="C2390" s="2941" t="s">
        <v>1793</v>
      </c>
      <c r="D2390" s="275">
        <f>перекрытие!D231</f>
        <v>0</v>
      </c>
      <c r="E2390" s="100">
        <f>перекрытие!E231</f>
        <v>3500</v>
      </c>
      <c r="F2390" s="100"/>
      <c r="G2390" s="275">
        <f t="shared" si="361"/>
        <v>0</v>
      </c>
      <c r="H2390" s="275">
        <f>перекрытие!F231*$H$903</f>
        <v>0</v>
      </c>
      <c r="I2390" s="2911">
        <f t="shared" si="362"/>
        <v>0</v>
      </c>
      <c r="J2390" s="2863"/>
      <c r="K2390" s="223">
        <f t="shared" si="363"/>
        <v>0</v>
      </c>
      <c r="L2390" s="2854"/>
    </row>
    <row r="2391" spans="1:12">
      <c r="A2391" s="2837"/>
      <c r="B2391" s="302" t="str">
        <f>крыша!A314</f>
        <v>Нет техники</v>
      </c>
      <c r="C2391" s="2941" t="s">
        <v>1793</v>
      </c>
      <c r="D2391" s="302">
        <f>крыша!C314</f>
        <v>4</v>
      </c>
      <c r="E2391" s="302">
        <f>крыша!D314</f>
        <v>0</v>
      </c>
      <c r="F2391" s="302"/>
      <c r="G2391" s="275">
        <f t="shared" si="361"/>
        <v>0</v>
      </c>
      <c r="H2391" s="2315">
        <f>D2391*E2391*$H$1410</f>
        <v>0</v>
      </c>
      <c r="I2391" s="2911">
        <f t="shared" si="362"/>
        <v>0</v>
      </c>
      <c r="J2391" s="2863"/>
      <c r="K2391" s="223">
        <f t="shared" si="363"/>
        <v>4</v>
      </c>
      <c r="L2391" s="2854"/>
    </row>
    <row r="2392" spans="1:12">
      <c r="A2392" s="2837"/>
      <c r="B2392" s="302" t="str">
        <f>крыша!A315</f>
        <v>Нет техники</v>
      </c>
      <c r="C2392" s="2941" t="s">
        <v>1793</v>
      </c>
      <c r="D2392" s="302">
        <f>крыша!C315</f>
        <v>0</v>
      </c>
      <c r="E2392" s="302">
        <f>крыша!D315</f>
        <v>0</v>
      </c>
      <c r="F2392" s="302"/>
      <c r="G2392" s="275">
        <f t="shared" si="361"/>
        <v>0</v>
      </c>
      <c r="H2392" s="2315">
        <f>D2392*E2392*$H$1410</f>
        <v>0</v>
      </c>
      <c r="I2392" s="2911">
        <f t="shared" si="362"/>
        <v>0</v>
      </c>
      <c r="J2392" s="2863"/>
      <c r="K2392" s="223">
        <f t="shared" si="363"/>
        <v>0</v>
      </c>
      <c r="L2392" s="2854"/>
    </row>
    <row r="2393" spans="1:12">
      <c r="A2393" s="2837"/>
      <c r="B2393" s="302" t="str">
        <f>крыша!A392</f>
        <v>Нет техники</v>
      </c>
      <c r="C2393" s="2941" t="s">
        <v>1793</v>
      </c>
      <c r="D2393" s="302">
        <f>крыша!C392</f>
        <v>4</v>
      </c>
      <c r="E2393" s="302">
        <f>крыша!D392</f>
        <v>0</v>
      </c>
      <c r="F2393" s="302"/>
      <c r="G2393" s="275">
        <f t="shared" si="361"/>
        <v>0</v>
      </c>
      <c r="H2393" s="2315">
        <f>D2393*E2393*$H$1484</f>
        <v>0</v>
      </c>
      <c r="I2393" s="2911">
        <f t="shared" si="362"/>
        <v>0</v>
      </c>
      <c r="J2393" s="2863"/>
      <c r="K2393" s="223">
        <f t="shared" si="363"/>
        <v>4</v>
      </c>
      <c r="L2393" s="2854"/>
    </row>
    <row r="2394" spans="1:12">
      <c r="A2394" s="2837"/>
      <c r="B2394" s="302" t="str">
        <f>крыша!A393</f>
        <v>Нет техники</v>
      </c>
      <c r="C2394" s="2941" t="s">
        <v>1793</v>
      </c>
      <c r="D2394" s="302">
        <f>крыша!C393</f>
        <v>0</v>
      </c>
      <c r="E2394" s="302">
        <f>крыша!D393</f>
        <v>0</v>
      </c>
      <c r="F2394" s="302"/>
      <c r="G2394" s="275">
        <f t="shared" si="361"/>
        <v>0</v>
      </c>
      <c r="H2394" s="2315">
        <f>D2394*E2394*$H$1484</f>
        <v>0</v>
      </c>
      <c r="I2394" s="2911">
        <f t="shared" si="362"/>
        <v>0</v>
      </c>
      <c r="J2394" s="2863"/>
      <c r="K2394" s="223">
        <f t="shared" si="363"/>
        <v>0</v>
      </c>
      <c r="L2394" s="2854"/>
    </row>
    <row r="2395" spans="1:12">
      <c r="A2395" s="2837"/>
      <c r="B2395" s="302" t="str">
        <f>крыша!A481</f>
        <v>Манипулятор 5т</v>
      </c>
      <c r="C2395" s="2941" t="s">
        <v>1793</v>
      </c>
      <c r="D2395" s="302">
        <f>крыша!C481</f>
        <v>4</v>
      </c>
      <c r="E2395" s="302">
        <f>крыша!D481</f>
        <v>2500</v>
      </c>
      <c r="F2395" s="302"/>
      <c r="G2395" s="275">
        <f t="shared" si="361"/>
        <v>0</v>
      </c>
      <c r="H2395" s="2315">
        <f>D2395*E2395*$H$1550</f>
        <v>0</v>
      </c>
      <c r="I2395" s="2911">
        <f t="shared" si="362"/>
        <v>0</v>
      </c>
      <c r="J2395" s="2863"/>
      <c r="K2395" s="223">
        <f t="shared" si="363"/>
        <v>4</v>
      </c>
      <c r="L2395" s="2854"/>
    </row>
    <row r="2396" spans="1:12">
      <c r="A2396" s="2837"/>
      <c r="B2396" s="302" t="str">
        <f>крыша!A482</f>
        <v>Нет техники</v>
      </c>
      <c r="C2396" s="2941" t="s">
        <v>1793</v>
      </c>
      <c r="D2396" s="302">
        <f>крыша!C482</f>
        <v>0</v>
      </c>
      <c r="E2396" s="302">
        <f>крыша!D482</f>
        <v>0</v>
      </c>
      <c r="F2396" s="302"/>
      <c r="G2396" s="275">
        <f t="shared" si="361"/>
        <v>0</v>
      </c>
      <c r="H2396" s="2315">
        <f>D2396*E2396*$H$1550</f>
        <v>0</v>
      </c>
      <c r="I2396" s="2911">
        <f t="shared" si="362"/>
        <v>0</v>
      </c>
      <c r="J2396" s="2863"/>
      <c r="K2396" s="223">
        <f t="shared" si="363"/>
        <v>0</v>
      </c>
      <c r="L2396" s="2854"/>
    </row>
    <row r="2397" spans="1:12">
      <c r="A2397" s="2837"/>
      <c r="B2397" s="302" t="str">
        <f>крыша!A548</f>
        <v>Нет техники</v>
      </c>
      <c r="C2397" s="2941" t="s">
        <v>1793</v>
      </c>
      <c r="D2397" s="302">
        <f>крыша!C548</f>
        <v>4</v>
      </c>
      <c r="E2397" s="302">
        <f>крыша!D548</f>
        <v>0</v>
      </c>
      <c r="F2397" s="302"/>
      <c r="G2397" s="275">
        <f t="shared" si="361"/>
        <v>0</v>
      </c>
      <c r="H2397" s="2315">
        <f>D2397*E2397*$H$1623</f>
        <v>0</v>
      </c>
      <c r="I2397" s="2911">
        <f t="shared" si="362"/>
        <v>0</v>
      </c>
      <c r="J2397" s="2863"/>
      <c r="K2397" s="223">
        <f t="shared" si="363"/>
        <v>4</v>
      </c>
      <c r="L2397" s="2854"/>
    </row>
    <row r="2398" spans="1:12">
      <c r="A2398" s="2837"/>
      <c r="B2398" s="302" t="str">
        <f>крыша!A549</f>
        <v>Нет техники</v>
      </c>
      <c r="C2398" s="2941" t="s">
        <v>1793</v>
      </c>
      <c r="D2398" s="302">
        <f>крыша!C549</f>
        <v>0</v>
      </c>
      <c r="E2398" s="302">
        <f>крыша!D549</f>
        <v>0</v>
      </c>
      <c r="F2398" s="302"/>
      <c r="G2398" s="275">
        <f t="shared" si="361"/>
        <v>0</v>
      </c>
      <c r="H2398" s="2315">
        <f>D2398*E2398*$H$1623</f>
        <v>0</v>
      </c>
      <c r="I2398" s="2911">
        <f t="shared" si="362"/>
        <v>0</v>
      </c>
      <c r="J2398" s="2863"/>
      <c r="K2398" s="223">
        <f t="shared" si="363"/>
        <v>0</v>
      </c>
      <c r="L2398" s="2854"/>
    </row>
    <row r="2399" spans="1:12">
      <c r="A2399" s="2837"/>
      <c r="B2399" s="302" t="str">
        <f>пристройка!A258</f>
        <v>Нет техники</v>
      </c>
      <c r="C2399" s="2941" t="s">
        <v>1793</v>
      </c>
      <c r="D2399" s="302">
        <f>пристройка!C258</f>
        <v>2</v>
      </c>
      <c r="E2399" s="302">
        <f>пристройка!D258</f>
        <v>0</v>
      </c>
      <c r="F2399" s="302"/>
      <c r="G2399" s="275">
        <f t="shared" si="361"/>
        <v>0</v>
      </c>
      <c r="H2399" s="2315">
        <f>D2399*E2399*$H$1681</f>
        <v>0</v>
      </c>
      <c r="I2399" s="2911">
        <f t="shared" si="362"/>
        <v>0</v>
      </c>
      <c r="J2399" s="2863"/>
      <c r="K2399" s="223">
        <f t="shared" si="363"/>
        <v>2</v>
      </c>
      <c r="L2399" s="2854"/>
    </row>
    <row r="2400" spans="1:12">
      <c r="A2400" s="2837"/>
      <c r="B2400" s="302" t="str">
        <f>пристройка!A259</f>
        <v>Нет техники</v>
      </c>
      <c r="C2400" s="2941" t="s">
        <v>1793</v>
      </c>
      <c r="D2400" s="302">
        <f>пристройка!C259</f>
        <v>0</v>
      </c>
      <c r="E2400" s="302">
        <f>пристройка!D259</f>
        <v>0</v>
      </c>
      <c r="F2400" s="302"/>
      <c r="G2400" s="275">
        <f t="shared" si="361"/>
        <v>0</v>
      </c>
      <c r="H2400" s="2315">
        <f>D2400*E2400*$H$1681</f>
        <v>0</v>
      </c>
      <c r="I2400" s="2911">
        <f t="shared" si="362"/>
        <v>0</v>
      </c>
      <c r="J2400" s="2863"/>
      <c r="K2400" s="223">
        <f t="shared" si="363"/>
        <v>0</v>
      </c>
      <c r="L2400" s="2854"/>
    </row>
    <row r="2401" spans="1:13">
      <c r="A2401" s="2837"/>
      <c r="B2401" s="302" t="str">
        <f>крыша!A621</f>
        <v>Нет техники</v>
      </c>
      <c r="C2401" s="2941" t="s">
        <v>1793</v>
      </c>
      <c r="D2401" s="302">
        <f>крыша!C621</f>
        <v>1</v>
      </c>
      <c r="E2401" s="302">
        <f>крыша!D621</f>
        <v>0</v>
      </c>
      <c r="F2401" s="302"/>
      <c r="G2401" s="275">
        <f t="shared" si="361"/>
        <v>0</v>
      </c>
      <c r="H2401" s="2315">
        <f>D2401*E2401*$H$1749</f>
        <v>0</v>
      </c>
      <c r="I2401" s="2911">
        <f t="shared" si="362"/>
        <v>0</v>
      </c>
      <c r="J2401" s="2863"/>
      <c r="K2401" s="223">
        <f t="shared" si="363"/>
        <v>1</v>
      </c>
      <c r="L2401" s="2854"/>
    </row>
    <row r="2402" spans="1:13">
      <c r="A2402" s="2837"/>
      <c r="B2402" s="302" t="str">
        <f>крыша!A622</f>
        <v>Нет техники</v>
      </c>
      <c r="C2402" s="2941" t="s">
        <v>1793</v>
      </c>
      <c r="D2402" s="302">
        <f>крыша!C622</f>
        <v>0</v>
      </c>
      <c r="E2402" s="302">
        <f>крыша!D622</f>
        <v>0</v>
      </c>
      <c r="F2402" s="302"/>
      <c r="G2402" s="275">
        <f t="shared" si="361"/>
        <v>0</v>
      </c>
      <c r="H2402" s="2315">
        <f>D2402*E2402*$H$1749</f>
        <v>0</v>
      </c>
      <c r="I2402" s="2911">
        <f t="shared" si="362"/>
        <v>0</v>
      </c>
      <c r="J2402" s="2863"/>
      <c r="K2402" s="223">
        <f t="shared" si="363"/>
        <v>0</v>
      </c>
      <c r="L2402" s="2854"/>
    </row>
    <row r="2403" spans="1:13">
      <c r="A2403" s="2837"/>
      <c r="B2403" s="275" t="str">
        <f>дома!A2177</f>
        <v>Нет техники</v>
      </c>
      <c r="C2403" s="2941" t="s">
        <v>1793</v>
      </c>
      <c r="D2403" s="275">
        <f>дома!C2177</f>
        <v>1</v>
      </c>
      <c r="E2403" s="275">
        <f>дома!D2177</f>
        <v>0</v>
      </c>
      <c r="F2403" s="275"/>
      <c r="G2403" s="275">
        <f t="shared" si="361"/>
        <v>0</v>
      </c>
      <c r="H2403" s="2315">
        <f>D2403*E2403*$H$1816</f>
        <v>0</v>
      </c>
      <c r="I2403" s="2911">
        <f t="shared" si="362"/>
        <v>0</v>
      </c>
      <c r="J2403" s="2863"/>
      <c r="K2403" s="223">
        <f t="shared" si="363"/>
        <v>1</v>
      </c>
      <c r="L2403" s="2854"/>
    </row>
    <row r="2404" spans="1:13">
      <c r="A2404" s="2837"/>
      <c r="B2404" s="275" t="str">
        <f>дома!A2178</f>
        <v>Нет техники</v>
      </c>
      <c r="C2404" s="2941" t="s">
        <v>1793</v>
      </c>
      <c r="D2404" s="275">
        <f>дома!C2178</f>
        <v>0</v>
      </c>
      <c r="E2404" s="275">
        <f>дома!D2178</f>
        <v>0</v>
      </c>
      <c r="F2404" s="275"/>
      <c r="G2404" s="275">
        <f t="shared" si="361"/>
        <v>0</v>
      </c>
      <c r="H2404" s="2315">
        <f>D2404*E2404*$H$1816</f>
        <v>0</v>
      </c>
      <c r="I2404" s="2911">
        <f t="shared" si="362"/>
        <v>0</v>
      </c>
      <c r="J2404" s="2863"/>
      <c r="K2404" s="223">
        <f t="shared" si="363"/>
        <v>0</v>
      </c>
      <c r="L2404" s="2854"/>
    </row>
    <row r="2405" spans="1:13">
      <c r="A2405" s="2837"/>
      <c r="B2405" s="2942" t="str">
        <f>дома!A2062</f>
        <v>Нет техники</v>
      </c>
      <c r="C2405" s="2941" t="s">
        <v>1793</v>
      </c>
      <c r="D2405" s="379">
        <f>дома!C2062</f>
        <v>1</v>
      </c>
      <c r="E2405" s="379">
        <f>дома!D2062</f>
        <v>0</v>
      </c>
      <c r="F2405" s="379"/>
      <c r="G2405" s="275">
        <f t="shared" si="361"/>
        <v>0</v>
      </c>
      <c r="H2405" s="2972">
        <f>D2405*E2405*$H$1250</f>
        <v>0</v>
      </c>
      <c r="I2405" s="2911">
        <f t="shared" si="362"/>
        <v>0</v>
      </c>
      <c r="J2405" s="2863"/>
      <c r="K2405" s="223">
        <f t="shared" si="363"/>
        <v>1</v>
      </c>
      <c r="L2405" s="2854"/>
    </row>
    <row r="2406" spans="1:13">
      <c r="A2406" s="2837"/>
      <c r="B2406" s="2942" t="str">
        <f>дома!A2063</f>
        <v>Нет техники</v>
      </c>
      <c r="C2406" s="2941" t="s">
        <v>1793</v>
      </c>
      <c r="D2406" s="379">
        <f>дома!C2063</f>
        <v>0</v>
      </c>
      <c r="E2406" s="379">
        <f>дома!D2063</f>
        <v>0</v>
      </c>
      <c r="F2406" s="379"/>
      <c r="G2406" s="275">
        <f t="shared" si="361"/>
        <v>0</v>
      </c>
      <c r="H2406" s="2972">
        <f>D2406*E2406*$H$1250</f>
        <v>0</v>
      </c>
      <c r="I2406" s="2911">
        <f t="shared" si="362"/>
        <v>0</v>
      </c>
      <c r="J2406" s="2863"/>
      <c r="K2406" s="223">
        <f t="shared" si="363"/>
        <v>0</v>
      </c>
      <c r="L2406" s="2854"/>
    </row>
    <row r="2407" spans="1:13">
      <c r="A2407" s="2837"/>
      <c r="B2407" s="302" t="str">
        <f>инженерка!A477</f>
        <v>Экскаватор погрузчик</v>
      </c>
      <c r="C2407" s="2941" t="s">
        <v>1793</v>
      </c>
      <c r="D2407" s="302">
        <f>инженерка!C477</f>
        <v>5</v>
      </c>
      <c r="E2407" s="302">
        <f>инженерка!D477</f>
        <v>2200</v>
      </c>
      <c r="F2407" s="302"/>
      <c r="G2407" s="275">
        <f t="shared" si="361"/>
        <v>0</v>
      </c>
      <c r="H2407" s="2315">
        <f>D2407*E2407*$H$2296</f>
        <v>0</v>
      </c>
      <c r="I2407" s="2911">
        <f t="shared" si="362"/>
        <v>0</v>
      </c>
      <c r="J2407" s="2863"/>
      <c r="K2407" s="223">
        <f t="shared" si="363"/>
        <v>5</v>
      </c>
      <c r="L2407" s="2854"/>
    </row>
    <row r="2408" spans="1:13">
      <c r="A2408" s="2837"/>
      <c r="B2408" s="302" t="str">
        <f>инженерка!A478</f>
        <v>Манипулятор 5т</v>
      </c>
      <c r="C2408" s="2941" t="s">
        <v>1793</v>
      </c>
      <c r="D2408" s="302">
        <f>инженерка!C478</f>
        <v>3</v>
      </c>
      <c r="E2408" s="302">
        <f>инженерка!D478</f>
        <v>2500</v>
      </c>
      <c r="F2408" s="302"/>
      <c r="G2408" s="275">
        <f t="shared" si="361"/>
        <v>0</v>
      </c>
      <c r="H2408" s="2315">
        <f>D2408*E2408*$H$2296</f>
        <v>0</v>
      </c>
      <c r="I2408" s="2911">
        <f t="shared" si="362"/>
        <v>0</v>
      </c>
      <c r="J2408" s="2863"/>
      <c r="K2408" s="223">
        <f t="shared" si="363"/>
        <v>3</v>
      </c>
      <c r="L2408" s="2854"/>
    </row>
    <row r="2409" spans="1:13">
      <c r="A2409" s="2837"/>
      <c r="B2409" s="302" t="str">
        <f>инженерка!A383</f>
        <v>Нет техники</v>
      </c>
      <c r="C2409" s="2941" t="s">
        <v>1793</v>
      </c>
      <c r="D2409" s="302">
        <f>инженерка!C383</f>
        <v>4</v>
      </c>
      <c r="E2409" s="302">
        <f>инженерка!D383</f>
        <v>0</v>
      </c>
      <c r="F2409" s="302"/>
      <c r="G2409" s="275">
        <f t="shared" si="361"/>
        <v>0</v>
      </c>
      <c r="H2409" s="2315">
        <f>D2409*E2409*$H$2227</f>
        <v>0</v>
      </c>
      <c r="I2409" s="2911">
        <f t="shared" si="362"/>
        <v>0</v>
      </c>
      <c r="J2409" s="2863"/>
      <c r="K2409" s="223">
        <f t="shared" si="363"/>
        <v>4</v>
      </c>
      <c r="L2409" s="2854"/>
    </row>
    <row r="2410" spans="1:13">
      <c r="A2410" s="2837"/>
      <c r="B2410" s="302" t="str">
        <f>инженерка!A384</f>
        <v>Нет техники</v>
      </c>
      <c r="C2410" s="2941" t="s">
        <v>1793</v>
      </c>
      <c r="D2410" s="302">
        <f>инженерка!C384</f>
        <v>0</v>
      </c>
      <c r="E2410" s="302">
        <f>инженерка!D384</f>
        <v>0</v>
      </c>
      <c r="F2410" s="302"/>
      <c r="G2410" s="275">
        <f t="shared" si="361"/>
        <v>0</v>
      </c>
      <c r="H2410" s="2315">
        <f>D2410*E2410*$H$2227</f>
        <v>0</v>
      </c>
      <c r="I2410" s="2911">
        <f t="shared" si="362"/>
        <v>0</v>
      </c>
      <c r="J2410" s="2863"/>
      <c r="K2410" s="223">
        <f t="shared" si="363"/>
        <v>0</v>
      </c>
      <c r="L2410" s="2854"/>
    </row>
    <row r="2411" spans="1:13">
      <c r="A2411" s="2837"/>
      <c r="B2411" s="302" t="str">
        <f>инженерка!A410</f>
        <v>Нет техники</v>
      </c>
      <c r="C2411" s="2941" t="s">
        <v>1793</v>
      </c>
      <c r="D2411" s="302">
        <f>инженерка!C410</f>
        <v>0</v>
      </c>
      <c r="E2411" s="302">
        <f>инженерка!D410</f>
        <v>0</v>
      </c>
      <c r="F2411" s="302"/>
      <c r="G2411" s="275">
        <f t="shared" si="361"/>
        <v>0</v>
      </c>
      <c r="H2411" s="96">
        <f>D2411*E2411*$H$2257</f>
        <v>0</v>
      </c>
      <c r="I2411" s="2911">
        <f t="shared" si="362"/>
        <v>0</v>
      </c>
      <c r="J2411" s="2863"/>
      <c r="K2411" s="223">
        <f t="shared" si="363"/>
        <v>0</v>
      </c>
      <c r="L2411" s="2854"/>
    </row>
    <row r="2412" spans="1:13">
      <c r="A2412" s="2837"/>
      <c r="B2412" s="302" t="str">
        <f>инженерка!A411</f>
        <v>Нет техники</v>
      </c>
      <c r="C2412" s="2941" t="s">
        <v>1793</v>
      </c>
      <c r="D2412" s="302">
        <f>инженерка!C411</f>
        <v>0</v>
      </c>
      <c r="E2412" s="302">
        <f>инженерка!D411</f>
        <v>0</v>
      </c>
      <c r="F2412" s="302"/>
      <c r="G2412" s="275">
        <f t="shared" ref="G2412:G2443" si="364">IF(F2412&gt;0,D2412*F2412,E2412*D2412)*IF(H2412&gt;0,1,0)</f>
        <v>0</v>
      </c>
      <c r="H2412" s="96">
        <f>D2412*E2412*$H$2257</f>
        <v>0</v>
      </c>
      <c r="I2412" s="2911">
        <f t="shared" ref="I2412:I2443" si="365">IF(G2412&gt;H2412,G2412,H2412)</f>
        <v>0</v>
      </c>
      <c r="J2412" s="2863"/>
      <c r="K2412" s="223">
        <f t="shared" ref="K2412:K2443" si="366">D2412-J2412</f>
        <v>0</v>
      </c>
      <c r="L2412" s="2854"/>
    </row>
    <row r="2413" spans="1:13">
      <c r="A2413" s="2837"/>
      <c r="B2413" s="302" t="str">
        <f>инженерка!A436</f>
        <v>Нет техники</v>
      </c>
      <c r="C2413" s="2941" t="s">
        <v>1793</v>
      </c>
      <c r="D2413" s="302">
        <f>инженерка!C436</f>
        <v>4</v>
      </c>
      <c r="E2413" s="302">
        <f>инженерка!D436</f>
        <v>0</v>
      </c>
      <c r="F2413" s="302"/>
      <c r="G2413" s="275">
        <f t="shared" si="364"/>
        <v>0</v>
      </c>
      <c r="H2413" s="2315">
        <f>D2413*E2413*$H$2276</f>
        <v>0</v>
      </c>
      <c r="I2413" s="2911">
        <f t="shared" si="365"/>
        <v>0</v>
      </c>
      <c r="J2413" s="2863"/>
      <c r="K2413" s="223">
        <f t="shared" si="366"/>
        <v>4</v>
      </c>
      <c r="L2413" s="2854"/>
    </row>
    <row r="2414" spans="1:13" ht="16.5" customHeight="1">
      <c r="A2414" s="2837"/>
      <c r="B2414" s="302" t="str">
        <f>инженерка!A437</f>
        <v>Нет техники</v>
      </c>
      <c r="C2414" s="2941" t="s">
        <v>1793</v>
      </c>
      <c r="D2414" s="302">
        <f>инженерка!C437</f>
        <v>0</v>
      </c>
      <c r="E2414" s="302">
        <f>инженерка!D437</f>
        <v>0</v>
      </c>
      <c r="F2414" s="302"/>
      <c r="G2414" s="275">
        <f t="shared" si="364"/>
        <v>0</v>
      </c>
      <c r="H2414" s="2315">
        <f>D2414*E2414*$H$2276</f>
        <v>0</v>
      </c>
      <c r="I2414" s="2911">
        <f t="shared" si="365"/>
        <v>0</v>
      </c>
      <c r="J2414" s="2863"/>
      <c r="K2414" s="223">
        <f t="shared" si="366"/>
        <v>0</v>
      </c>
      <c r="L2414" s="910"/>
      <c r="M2414" s="910"/>
    </row>
    <row r="2415" spans="1:13">
      <c r="A2415" s="2837"/>
      <c r="B2415" s="302" t="str">
        <f>'Ввод данных'!A1367</f>
        <v>Вывоз мусора, камаз</v>
      </c>
      <c r="C2415" s="2941" t="s">
        <v>1793</v>
      </c>
      <c r="D2415" s="302">
        <f>'Ввод данных'!C1367</f>
        <v>4</v>
      </c>
      <c r="E2415" s="302">
        <f>VLOOKUP(B2415,'Прайс лист'!B180:G194,6,0)</f>
        <v>2000</v>
      </c>
      <c r="F2415" s="302"/>
      <c r="G2415" s="275">
        <f t="shared" si="364"/>
        <v>0</v>
      </c>
      <c r="H2415" s="2315">
        <f>D2415*E2415*$H$2321</f>
        <v>0</v>
      </c>
      <c r="I2415" s="2911">
        <f t="shared" si="365"/>
        <v>0</v>
      </c>
      <c r="J2415" s="2863"/>
      <c r="K2415" s="223">
        <f t="shared" si="366"/>
        <v>4</v>
      </c>
      <c r="L2415" s="910"/>
      <c r="M2415" s="910"/>
    </row>
    <row r="2416" spans="1:13" ht="16.5" customHeight="1">
      <c r="A2416" s="2837"/>
      <c r="B2416" s="2973" t="str">
        <f>'Ввод данных'!A1368</f>
        <v>Экскаватор погрузчик, бурение</v>
      </c>
      <c r="C2416" s="236" t="str">
        <f>'Ввод данных'!B1367</f>
        <v>час</v>
      </c>
      <c r="D2416" s="302">
        <f>'Ввод данных'!C1367</f>
        <v>4</v>
      </c>
      <c r="E2416" s="302">
        <f>VLOOKUP(B2416,'Прайс лист'!B180:G194,6,0)</f>
        <v>300</v>
      </c>
      <c r="F2416" s="302"/>
      <c r="G2416" s="275">
        <f t="shared" si="364"/>
        <v>0</v>
      </c>
      <c r="H2416" s="2315">
        <f>D2416*E2416*$H$2276</f>
        <v>0</v>
      </c>
      <c r="I2416" s="2911">
        <f t="shared" si="365"/>
        <v>0</v>
      </c>
      <c r="J2416" s="2863"/>
      <c r="K2416" s="223">
        <f t="shared" si="366"/>
        <v>4</v>
      </c>
      <c r="L2416" s="910"/>
      <c r="M2416" s="910"/>
    </row>
    <row r="2417" spans="1:13">
      <c r="A2417" s="2837"/>
      <c r="B2417" s="302" t="str">
        <f>'Ввод данных'!A1368</f>
        <v>Экскаватор погрузчик, бурение</v>
      </c>
      <c r="C2417" s="236" t="str">
        <f>'Ввод данных'!B1368</f>
        <v>час</v>
      </c>
      <c r="D2417" s="302">
        <f>'Ввод данных'!C1368</f>
        <v>4</v>
      </c>
      <c r="E2417" s="302">
        <f>VLOOKUP(B2417,'Прайс лист'!B180:G194,6,0)</f>
        <v>300</v>
      </c>
      <c r="F2417" s="302"/>
      <c r="G2417" s="275">
        <f t="shared" si="364"/>
        <v>0</v>
      </c>
      <c r="H2417" s="2315">
        <f>D2417*E2417*$H$2321</f>
        <v>0</v>
      </c>
      <c r="I2417" s="2911">
        <f t="shared" si="365"/>
        <v>0</v>
      </c>
      <c r="J2417" s="2863"/>
      <c r="K2417" s="223">
        <f t="shared" si="366"/>
        <v>4</v>
      </c>
      <c r="L2417" s="910"/>
      <c r="M2417" s="910"/>
    </row>
    <row r="2418" spans="1:13">
      <c r="A2418" s="2837"/>
      <c r="B2418" s="2898" t="str">
        <f>крыша!A699</f>
        <v>Нет техники</v>
      </c>
      <c r="C2418" s="2941" t="s">
        <v>1793</v>
      </c>
      <c r="D2418" s="2899">
        <f>крыша!C699</f>
        <v>4</v>
      </c>
      <c r="E2418" s="35">
        <f>крыша!D699</f>
        <v>0</v>
      </c>
      <c r="F2418" s="35"/>
      <c r="G2418" s="275">
        <f t="shared" si="364"/>
        <v>0</v>
      </c>
      <c r="H2418" s="2315">
        <f>D2418*E2418*$H$1335</f>
        <v>0</v>
      </c>
      <c r="I2418" s="2911">
        <f t="shared" si="365"/>
        <v>0</v>
      </c>
      <c r="J2418" s="2863"/>
      <c r="K2418" s="223">
        <f t="shared" si="366"/>
        <v>4</v>
      </c>
      <c r="L2418" s="910"/>
      <c r="M2418" s="910"/>
    </row>
    <row r="2419" spans="1:13">
      <c r="A2419" s="2837"/>
      <c r="B2419" s="2898" t="str">
        <f>крыша!A700</f>
        <v>Нет техники</v>
      </c>
      <c r="C2419" s="2941" t="s">
        <v>1793</v>
      </c>
      <c r="D2419" s="2899">
        <f>крыша!C700</f>
        <v>0</v>
      </c>
      <c r="E2419" s="35">
        <f>крыша!D700</f>
        <v>0</v>
      </c>
      <c r="F2419" s="35"/>
      <c r="G2419" s="275">
        <f t="shared" si="364"/>
        <v>0</v>
      </c>
      <c r="H2419" s="2315">
        <f>D2419*E2419*$H$1335</f>
        <v>0</v>
      </c>
      <c r="I2419" s="2911">
        <f t="shared" si="365"/>
        <v>0</v>
      </c>
      <c r="J2419" s="2863"/>
      <c r="K2419" s="223">
        <f t="shared" si="366"/>
        <v>0</v>
      </c>
      <c r="L2419" s="2854"/>
    </row>
    <row r="2420" spans="1:13">
      <c r="A2420" s="2837"/>
      <c r="B2420" s="302" t="str">
        <f>фундамент!A277</f>
        <v>Нет техники</v>
      </c>
      <c r="C2420" s="2941" t="s">
        <v>1793</v>
      </c>
      <c r="D2420" s="302">
        <f>фундамент!C277</f>
        <v>1</v>
      </c>
      <c r="E2420" s="302">
        <f>фундамент!D277</f>
        <v>0</v>
      </c>
      <c r="F2420" s="302"/>
      <c r="G2420" s="275">
        <f t="shared" si="364"/>
        <v>0</v>
      </c>
      <c r="H2420" s="2315">
        <f>D2420*E2420*$H$124</f>
        <v>0</v>
      </c>
      <c r="I2420" s="2911">
        <f t="shared" si="365"/>
        <v>0</v>
      </c>
      <c r="J2420" s="2863"/>
      <c r="K2420" s="223">
        <f t="shared" si="366"/>
        <v>1</v>
      </c>
      <c r="L2420" s="2854"/>
    </row>
    <row r="2421" spans="1:13">
      <c r="A2421" s="2837"/>
      <c r="B2421" s="302" t="str">
        <f>фундамент!A278</f>
        <v>Нет техники</v>
      </c>
      <c r="C2421" s="2941" t="s">
        <v>1793</v>
      </c>
      <c r="D2421" s="302">
        <f>фундамент!C278</f>
        <v>0</v>
      </c>
      <c r="E2421" s="302">
        <f>фундамент!D278</f>
        <v>0</v>
      </c>
      <c r="F2421" s="302"/>
      <c r="G2421" s="275">
        <f t="shared" si="364"/>
        <v>0</v>
      </c>
      <c r="H2421" s="2315">
        <f>D2421*E2421*$H$124</f>
        <v>0</v>
      </c>
      <c r="I2421" s="2911">
        <f t="shared" si="365"/>
        <v>0</v>
      </c>
      <c r="J2421" s="2863"/>
      <c r="K2421" s="223">
        <f t="shared" si="366"/>
        <v>0</v>
      </c>
      <c r="L2421" s="2854"/>
    </row>
    <row r="2422" spans="1:13">
      <c r="A2422" s="2837"/>
      <c r="B2422" s="302" t="str">
        <f>фундамент!A279</f>
        <v>Нет техники</v>
      </c>
      <c r="C2422" s="2941" t="s">
        <v>1793</v>
      </c>
      <c r="D2422" s="302">
        <f>фундамент!C279</f>
        <v>0</v>
      </c>
      <c r="E2422" s="302">
        <f>фундамент!D279</f>
        <v>0</v>
      </c>
      <c r="F2422" s="302"/>
      <c r="G2422" s="275">
        <f t="shared" si="364"/>
        <v>0</v>
      </c>
      <c r="H2422" s="2315">
        <f>D2422*E2422*$H$124</f>
        <v>0</v>
      </c>
      <c r="I2422" s="2911">
        <f t="shared" si="365"/>
        <v>0</v>
      </c>
      <c r="J2422" s="2863"/>
      <c r="K2422" s="223">
        <f t="shared" si="366"/>
        <v>0</v>
      </c>
      <c r="L2422" s="2854"/>
    </row>
    <row r="2423" spans="1:13">
      <c r="A2423" s="2837"/>
      <c r="B2423" s="302" t="str">
        <f>отделка!A413</f>
        <v>Нет техники</v>
      </c>
      <c r="C2423" s="2941" t="s">
        <v>1793</v>
      </c>
      <c r="D2423" s="302">
        <f>отделка!C413</f>
        <v>0</v>
      </c>
      <c r="E2423" s="302">
        <f>отделка!D413</f>
        <v>0</v>
      </c>
      <c r="F2423" s="302"/>
      <c r="G2423" s="275">
        <f t="shared" si="364"/>
        <v>0</v>
      </c>
      <c r="H2423" s="96">
        <f>D2423*E2423*$H$1931</f>
        <v>0</v>
      </c>
      <c r="I2423" s="2911">
        <f t="shared" si="365"/>
        <v>0</v>
      </c>
      <c r="J2423" s="2863"/>
      <c r="K2423" s="223">
        <f t="shared" si="366"/>
        <v>0</v>
      </c>
      <c r="L2423" s="2854"/>
    </row>
    <row r="2424" spans="1:13">
      <c r="A2424" s="2837"/>
      <c r="B2424" s="302" t="str">
        <f>отделка!A414</f>
        <v>Нет техники</v>
      </c>
      <c r="C2424" s="2941" t="s">
        <v>1793</v>
      </c>
      <c r="D2424" s="302">
        <f>отделка!C414</f>
        <v>3</v>
      </c>
      <c r="E2424" s="302">
        <f>отделка!D414</f>
        <v>0</v>
      </c>
      <c r="F2424" s="302"/>
      <c r="G2424" s="275">
        <f t="shared" si="364"/>
        <v>0</v>
      </c>
      <c r="H2424" s="96">
        <f>D2424*E2424*$H$1931</f>
        <v>0</v>
      </c>
      <c r="I2424" s="2911">
        <f t="shared" si="365"/>
        <v>0</v>
      </c>
      <c r="J2424" s="2863"/>
      <c r="K2424" s="223">
        <f t="shared" si="366"/>
        <v>3</v>
      </c>
      <c r="L2424" s="2854"/>
    </row>
    <row r="2425" spans="1:13">
      <c r="A2425" s="2837"/>
      <c r="B2425" s="302" t="str">
        <f>отделка!A436</f>
        <v>Нет техники</v>
      </c>
      <c r="C2425" s="2941" t="s">
        <v>1793</v>
      </c>
      <c r="D2425" s="302">
        <f>отделка!C436</f>
        <v>0</v>
      </c>
      <c r="E2425" s="302">
        <f>отделка!D436</f>
        <v>0</v>
      </c>
      <c r="F2425" s="302"/>
      <c r="G2425" s="275">
        <f t="shared" si="364"/>
        <v>0</v>
      </c>
      <c r="H2425" s="96">
        <f>D2425*E2425*$H$1969</f>
        <v>0</v>
      </c>
      <c r="I2425" s="2911">
        <f t="shared" si="365"/>
        <v>0</v>
      </c>
      <c r="J2425" s="2863"/>
      <c r="K2425" s="223">
        <f t="shared" si="366"/>
        <v>0</v>
      </c>
      <c r="L2425" s="2854"/>
    </row>
    <row r="2426" spans="1:13">
      <c r="A2426" s="2837"/>
      <c r="B2426" s="302" t="str">
        <f>отделка!A437</f>
        <v>Нет техники</v>
      </c>
      <c r="C2426" s="2941" t="s">
        <v>1793</v>
      </c>
      <c r="D2426" s="302">
        <f>отделка!C437</f>
        <v>3</v>
      </c>
      <c r="E2426" s="302">
        <f>отделка!D437</f>
        <v>0</v>
      </c>
      <c r="F2426" s="302"/>
      <c r="G2426" s="275">
        <f t="shared" si="364"/>
        <v>0</v>
      </c>
      <c r="H2426" s="96">
        <f>D2426*E2426*$H$1969</f>
        <v>0</v>
      </c>
      <c r="I2426" s="2911">
        <f t="shared" si="365"/>
        <v>0</v>
      </c>
      <c r="J2426" s="2863"/>
      <c r="K2426" s="223">
        <f t="shared" si="366"/>
        <v>3</v>
      </c>
      <c r="L2426" s="910"/>
      <c r="M2426" s="910"/>
    </row>
    <row r="2427" spans="1:13">
      <c r="A2427" s="2837"/>
      <c r="B2427" s="302" t="str">
        <f>отделка!A554</f>
        <v>Нет техники</v>
      </c>
      <c r="C2427" s="2941" t="s">
        <v>1793</v>
      </c>
      <c r="D2427" s="302">
        <f>отделка!C554</f>
        <v>0</v>
      </c>
      <c r="E2427" s="302">
        <f>отделка!D554</f>
        <v>0</v>
      </c>
      <c r="F2427" s="302"/>
      <c r="G2427" s="275">
        <f t="shared" si="364"/>
        <v>0</v>
      </c>
      <c r="H2427" s="2315">
        <f>D2427*E2427*$H$2023</f>
        <v>0</v>
      </c>
      <c r="I2427" s="2911">
        <f t="shared" si="365"/>
        <v>0</v>
      </c>
      <c r="J2427" s="2863"/>
      <c r="K2427" s="223">
        <f t="shared" si="366"/>
        <v>0</v>
      </c>
      <c r="L2427" s="910"/>
      <c r="M2427" s="910"/>
    </row>
    <row r="2428" spans="1:13">
      <c r="A2428" s="2837"/>
      <c r="B2428" s="302" t="str">
        <f>отделка!A555</f>
        <v>Нет техники</v>
      </c>
      <c r="C2428" s="2941" t="s">
        <v>1793</v>
      </c>
      <c r="D2428" s="302">
        <f>отделка!C555</f>
        <v>0</v>
      </c>
      <c r="E2428" s="302">
        <f>отделка!D555</f>
        <v>0</v>
      </c>
      <c r="F2428" s="302"/>
      <c r="G2428" s="275">
        <f t="shared" si="364"/>
        <v>0</v>
      </c>
      <c r="H2428" s="2315">
        <f>D2428*E2428*$H$2023</f>
        <v>0</v>
      </c>
      <c r="I2428" s="2911">
        <f t="shared" si="365"/>
        <v>0</v>
      </c>
      <c r="J2428" s="2863"/>
      <c r="K2428" s="223">
        <f t="shared" si="366"/>
        <v>0</v>
      </c>
      <c r="L2428" s="910"/>
      <c r="M2428" s="910"/>
    </row>
    <row r="2429" spans="1:13">
      <c r="A2429" s="2837"/>
      <c r="B2429" s="302" t="str">
        <f>отделка!A704</f>
        <v>Нет техники</v>
      </c>
      <c r="C2429" s="2941" t="s">
        <v>1793</v>
      </c>
      <c r="D2429" s="302">
        <f>отделка!C704</f>
        <v>0</v>
      </c>
      <c r="E2429" s="302">
        <f>отделка!D704</f>
        <v>0</v>
      </c>
      <c r="F2429" s="302"/>
      <c r="G2429" s="275">
        <f t="shared" si="364"/>
        <v>0</v>
      </c>
      <c r="H2429" s="2315">
        <f>D2429*E2429*$H$2099</f>
        <v>0</v>
      </c>
      <c r="I2429" s="2911">
        <f t="shared" si="365"/>
        <v>0</v>
      </c>
      <c r="J2429" s="2863"/>
      <c r="K2429" s="223">
        <f t="shared" si="366"/>
        <v>0</v>
      </c>
      <c r="L2429" s="910"/>
      <c r="M2429" s="910"/>
    </row>
    <row r="2430" spans="1:13">
      <c r="A2430" s="2837"/>
      <c r="B2430" s="302" t="str">
        <f>отделка!A705</f>
        <v>Нет техники</v>
      </c>
      <c r="C2430" s="2941" t="s">
        <v>1793</v>
      </c>
      <c r="D2430" s="302">
        <f>отделка!C705</f>
        <v>0</v>
      </c>
      <c r="E2430" s="302">
        <f>отделка!D705</f>
        <v>0</v>
      </c>
      <c r="F2430" s="302"/>
      <c r="G2430" s="275">
        <f t="shared" si="364"/>
        <v>0</v>
      </c>
      <c r="H2430" s="2315">
        <f>D2430*E2430*$H$2099</f>
        <v>0</v>
      </c>
      <c r="I2430" s="2911">
        <f t="shared" si="365"/>
        <v>0</v>
      </c>
      <c r="J2430" s="2863"/>
      <c r="K2430" s="223">
        <f t="shared" si="366"/>
        <v>0</v>
      </c>
      <c r="L2430" s="910"/>
      <c r="M2430" s="910"/>
    </row>
    <row r="2431" spans="1:13" ht="17">
      <c r="A2431" s="2837"/>
      <c r="B2431" s="2974" t="str">
        <f>дома!A2210</f>
        <v>Нет техники</v>
      </c>
      <c r="C2431" s="2941" t="s">
        <v>1793</v>
      </c>
      <c r="D2431" s="2974">
        <f>дома!C2210</f>
        <v>0</v>
      </c>
      <c r="E2431" s="2974">
        <f>дома!D2210</f>
        <v>0</v>
      </c>
      <c r="F2431" s="2974"/>
      <c r="G2431" s="275">
        <f t="shared" si="364"/>
        <v>0</v>
      </c>
      <c r="H2431" s="2315">
        <f>D2431*E2431*$H$1313</f>
        <v>0</v>
      </c>
      <c r="I2431" s="2911">
        <f t="shared" si="365"/>
        <v>0</v>
      </c>
      <c r="J2431" s="2863"/>
      <c r="K2431" s="223">
        <f t="shared" si="366"/>
        <v>0</v>
      </c>
      <c r="L2431" s="910"/>
      <c r="M2431" s="910"/>
    </row>
    <row r="2432" spans="1:13" ht="17">
      <c r="A2432" s="2837"/>
      <c r="B2432" s="2974" t="str">
        <f>дома!A2211</f>
        <v>Нет техники</v>
      </c>
      <c r="C2432" s="2941" t="s">
        <v>1793</v>
      </c>
      <c r="D2432" s="2974">
        <f>дома!C2211</f>
        <v>0</v>
      </c>
      <c r="E2432" s="2974">
        <f>дома!D2211</f>
        <v>0</v>
      </c>
      <c r="F2432" s="2974"/>
      <c r="G2432" s="275">
        <f t="shared" si="364"/>
        <v>0</v>
      </c>
      <c r="H2432" s="2315">
        <f>D2432*E2432*$H$1313</f>
        <v>0</v>
      </c>
      <c r="I2432" s="2911">
        <f t="shared" si="365"/>
        <v>0</v>
      </c>
      <c r="J2432" s="2863"/>
      <c r="K2432" s="223">
        <f t="shared" si="366"/>
        <v>0</v>
      </c>
      <c r="L2432" s="2858"/>
      <c r="M2432" s="2858"/>
    </row>
    <row r="2433" spans="1:13">
      <c r="A2433" s="2837"/>
      <c r="B2433" s="2898" t="str">
        <f>дома!A2315</f>
        <v>Экскаватор погрузчик, бурение</v>
      </c>
      <c r="C2433" s="236" t="str">
        <f>дома!B2315</f>
        <v>ед.</v>
      </c>
      <c r="D2433" s="2899">
        <f>дома!C2315</f>
        <v>0</v>
      </c>
      <c r="E2433" s="35">
        <f>дома!D2315</f>
        <v>300</v>
      </c>
      <c r="F2433" s="35"/>
      <c r="G2433" s="275">
        <f t="shared" si="364"/>
        <v>0</v>
      </c>
      <c r="H2433" s="2315">
        <f t="shared" ref="H2433:H2440" si="367">D2433*E2433*$H$1874</f>
        <v>0</v>
      </c>
      <c r="I2433" s="2911">
        <f t="shared" si="365"/>
        <v>0</v>
      </c>
      <c r="J2433" s="2863"/>
      <c r="K2433" s="223">
        <f t="shared" si="366"/>
        <v>0</v>
      </c>
      <c r="L2433" s="2858"/>
      <c r="M2433" s="2858"/>
    </row>
    <row r="2434" spans="1:13">
      <c r="A2434" s="2837"/>
      <c r="B2434" s="2898" t="str">
        <f>дома!A2316</f>
        <v>Нет техники</v>
      </c>
      <c r="C2434" s="236" t="str">
        <f>дома!B2316</f>
        <v>ед.</v>
      </c>
      <c r="D2434" s="2899">
        <f>дома!C2316</f>
        <v>0</v>
      </c>
      <c r="E2434" s="35">
        <f>дома!D2316</f>
        <v>0</v>
      </c>
      <c r="F2434" s="35"/>
      <c r="G2434" s="275">
        <f t="shared" si="364"/>
        <v>0</v>
      </c>
      <c r="H2434" s="2315">
        <f t="shared" si="367"/>
        <v>0</v>
      </c>
      <c r="I2434" s="2911">
        <f t="shared" si="365"/>
        <v>0</v>
      </c>
      <c r="J2434" s="2863"/>
      <c r="K2434" s="223">
        <f t="shared" si="366"/>
        <v>0</v>
      </c>
      <c r="L2434" s="2858"/>
      <c r="M2434" s="2858"/>
    </row>
    <row r="2435" spans="1:13">
      <c r="A2435" s="2837"/>
      <c r="B2435" s="2975" t="str">
        <f>B456</f>
        <v>Нет техники</v>
      </c>
      <c r="C2435" s="2975"/>
      <c r="D2435" s="2976">
        <f>D456</f>
        <v>2</v>
      </c>
      <c r="E2435" s="35">
        <f>E456</f>
        <v>0</v>
      </c>
      <c r="F2435" s="2937"/>
      <c r="G2435" s="275">
        <f t="shared" si="364"/>
        <v>0</v>
      </c>
      <c r="H2435" s="2315">
        <f t="shared" si="367"/>
        <v>0</v>
      </c>
      <c r="I2435" s="2911">
        <f t="shared" si="365"/>
        <v>0</v>
      </c>
      <c r="J2435" s="2863"/>
      <c r="K2435" s="223">
        <f t="shared" si="366"/>
        <v>2</v>
      </c>
      <c r="L2435" s="2858"/>
      <c r="M2435" s="2858"/>
    </row>
    <row r="2436" spans="1:13">
      <c r="A2436" s="2837"/>
      <c r="B2436" s="2975" t="str">
        <f>B539</f>
        <v>Нет техники</v>
      </c>
      <c r="C2436" s="2975"/>
      <c r="D2436" s="2976">
        <f>D539</f>
        <v>2</v>
      </c>
      <c r="E2436" s="35">
        <f>E539</f>
        <v>0</v>
      </c>
      <c r="F2436" s="2937"/>
      <c r="G2436" s="275">
        <f t="shared" si="364"/>
        <v>0</v>
      </c>
      <c r="H2436" s="2315">
        <f t="shared" si="367"/>
        <v>0</v>
      </c>
      <c r="I2436" s="2911">
        <f t="shared" si="365"/>
        <v>0</v>
      </c>
      <c r="J2436" s="2863"/>
      <c r="K2436" s="223">
        <f t="shared" si="366"/>
        <v>2</v>
      </c>
      <c r="L2436" s="2858"/>
      <c r="M2436" s="2858"/>
    </row>
    <row r="2437" spans="1:13">
      <c r="A2437" s="2837"/>
      <c r="B2437" s="2975" t="str">
        <f t="shared" ref="B2437:E2438" si="368">B1991</f>
        <v>Нет техники</v>
      </c>
      <c r="C2437" s="2977" t="str">
        <f t="shared" si="368"/>
        <v>час</v>
      </c>
      <c r="D2437" s="2976">
        <f t="shared" si="368"/>
        <v>0</v>
      </c>
      <c r="E2437" s="35">
        <f t="shared" si="368"/>
        <v>0</v>
      </c>
      <c r="F2437" s="2937"/>
      <c r="G2437" s="275">
        <f t="shared" si="364"/>
        <v>0</v>
      </c>
      <c r="H2437" s="2315">
        <f t="shared" si="367"/>
        <v>0</v>
      </c>
      <c r="I2437" s="2911">
        <f t="shared" si="365"/>
        <v>0</v>
      </c>
      <c r="J2437" s="2863"/>
      <c r="K2437" s="223">
        <f t="shared" si="366"/>
        <v>0</v>
      </c>
      <c r="L2437" s="2858"/>
      <c r="M2437" s="2858"/>
    </row>
    <row r="2438" spans="1:13">
      <c r="A2438" s="2837"/>
      <c r="B2438" s="2975" t="str">
        <f t="shared" si="368"/>
        <v>Манипулятор 5т</v>
      </c>
      <c r="C2438" s="2977" t="str">
        <f t="shared" si="368"/>
        <v>шт.</v>
      </c>
      <c r="D2438" s="2976">
        <f t="shared" si="368"/>
        <v>3</v>
      </c>
      <c r="E2438" s="35">
        <f t="shared" si="368"/>
        <v>2500</v>
      </c>
      <c r="F2438" s="2937"/>
      <c r="G2438" s="275">
        <f t="shared" si="364"/>
        <v>0</v>
      </c>
      <c r="H2438" s="2315">
        <f t="shared" si="367"/>
        <v>0</v>
      </c>
      <c r="I2438" s="2911">
        <f t="shared" si="365"/>
        <v>0</v>
      </c>
      <c r="J2438" s="2863"/>
      <c r="K2438" s="223">
        <f t="shared" si="366"/>
        <v>3</v>
      </c>
      <c r="L2438" s="2858"/>
      <c r="M2438" s="2858"/>
    </row>
    <row r="2439" spans="1:13">
      <c r="A2439" s="2837"/>
      <c r="B2439" s="2975" t="str">
        <f t="shared" ref="B2439:E2440" si="369">B2003</f>
        <v>Нет техники</v>
      </c>
      <c r="C2439" s="2977" t="str">
        <f t="shared" si="369"/>
        <v>час</v>
      </c>
      <c r="D2439" s="2976">
        <f t="shared" si="369"/>
        <v>0</v>
      </c>
      <c r="E2439" s="35">
        <f t="shared" si="369"/>
        <v>0</v>
      </c>
      <c r="F2439" s="2937"/>
      <c r="G2439" s="275">
        <f t="shared" si="364"/>
        <v>0</v>
      </c>
      <c r="H2439" s="2315">
        <f t="shared" si="367"/>
        <v>0</v>
      </c>
      <c r="I2439" s="2911">
        <f t="shared" si="365"/>
        <v>0</v>
      </c>
      <c r="J2439" s="2863"/>
      <c r="K2439" s="223">
        <f t="shared" si="366"/>
        <v>0</v>
      </c>
      <c r="L2439" s="2858"/>
      <c r="M2439" s="2858"/>
    </row>
    <row r="2440" spans="1:13">
      <c r="A2440" s="2837"/>
      <c r="B2440" s="2975" t="str">
        <f t="shared" si="369"/>
        <v>Нет техники</v>
      </c>
      <c r="C2440" s="2977" t="str">
        <f t="shared" si="369"/>
        <v>шт.</v>
      </c>
      <c r="D2440" s="2976">
        <f t="shared" si="369"/>
        <v>3</v>
      </c>
      <c r="E2440" s="35">
        <f t="shared" si="369"/>
        <v>0</v>
      </c>
      <c r="F2440" s="2937"/>
      <c r="G2440" s="275">
        <f t="shared" si="364"/>
        <v>0</v>
      </c>
      <c r="H2440" s="2315">
        <f t="shared" si="367"/>
        <v>0</v>
      </c>
      <c r="I2440" s="2911">
        <f t="shared" si="365"/>
        <v>0</v>
      </c>
      <c r="J2440" s="2863"/>
      <c r="K2440" s="223">
        <f t="shared" si="366"/>
        <v>3</v>
      </c>
      <c r="L2440" s="2858"/>
      <c r="M2440" s="2858"/>
    </row>
    <row r="2441" spans="1:13" ht="17.25" customHeight="1">
      <c r="A2441" s="2837"/>
      <c r="B2441" s="3302" t="s">
        <v>4605</v>
      </c>
      <c r="C2441" s="3302"/>
      <c r="D2441" s="3302"/>
      <c r="E2441" s="3302"/>
      <c r="F2441" s="2978"/>
      <c r="G2441" s="2315">
        <f>SUM(G2348:G2440)</f>
        <v>0</v>
      </c>
      <c r="H2441" s="2315">
        <f>SUM(H2348:H2440)</f>
        <v>0</v>
      </c>
      <c r="I2441" s="2911">
        <f t="shared" si="365"/>
        <v>0</v>
      </c>
      <c r="J2441" s="2863"/>
      <c r="K2441" s="223">
        <f t="shared" si="366"/>
        <v>0</v>
      </c>
      <c r="L2441" s="910"/>
      <c r="M2441" s="910"/>
    </row>
    <row r="2442" spans="1:13" ht="21">
      <c r="A2442" s="2837"/>
      <c r="B2442" s="3303" t="s">
        <v>4672</v>
      </c>
      <c r="C2442" s="3303"/>
      <c r="D2442" s="3303"/>
      <c r="E2442" s="3303"/>
      <c r="F2442" s="2979"/>
      <c r="G2442" s="941"/>
      <c r="H2442" s="2980">
        <f>H2482</f>
        <v>15000</v>
      </c>
      <c r="I2442" s="2981">
        <f>H2442</f>
        <v>15000</v>
      </c>
      <c r="J2442" s="2982"/>
      <c r="K2442" s="123"/>
      <c r="L2442" s="910"/>
      <c r="M2442" s="910"/>
    </row>
    <row r="2443" spans="1:13">
      <c r="A2443" s="2837"/>
      <c r="B2443" s="302" t="str">
        <f>'Ввод данных'!A1370</f>
        <v>расходные материалы котельная</v>
      </c>
      <c r="C2443" s="2890" t="s">
        <v>1796</v>
      </c>
      <c r="D2443" s="302">
        <f>1</f>
        <v>1</v>
      </c>
      <c r="E2443" s="302">
        <f>'Ввод данных'!C1370</f>
        <v>5000</v>
      </c>
      <c r="F2443" s="302"/>
      <c r="G2443" s="275">
        <f t="shared" ref="G2443:G2481" si="370">IF(F2443&gt;0,D2443*F2443,E2443*D2443)*IF(H2443&gt;0,1,0)</f>
        <v>0</v>
      </c>
      <c r="H2443" s="2315">
        <f>D2443*E2443*$H$2321</f>
        <v>0</v>
      </c>
      <c r="I2443" s="2911">
        <f t="shared" ref="I2443:I2482" si="371">IF(G2443&gt;H2443,G2443,H2443)</f>
        <v>0</v>
      </c>
      <c r="J2443" s="2863"/>
      <c r="K2443" s="223">
        <f t="shared" ref="K2443:K2482" si="372">D2443-J2443</f>
        <v>1</v>
      </c>
      <c r="L2443" s="910"/>
      <c r="M2443" s="910"/>
    </row>
    <row r="2444" spans="1:13">
      <c r="A2444" s="2837"/>
      <c r="B2444" s="302" t="str">
        <f>инженерка!A438</f>
        <v>расходные материалы скважина</v>
      </c>
      <c r="C2444" s="2890" t="str">
        <f>инженерка!B438</f>
        <v>рублей</v>
      </c>
      <c r="D2444" s="302">
        <f>инженерка!C438</f>
        <v>1</v>
      </c>
      <c r="E2444" s="302">
        <f>инженерка!D438</f>
        <v>5000</v>
      </c>
      <c r="F2444" s="302"/>
      <c r="G2444" s="275">
        <f t="shared" si="370"/>
        <v>0</v>
      </c>
      <c r="H2444" s="2315">
        <f>D2444*E2444*$H$2276</f>
        <v>0</v>
      </c>
      <c r="I2444" s="2911">
        <f t="shared" si="371"/>
        <v>0</v>
      </c>
      <c r="J2444" s="2863"/>
      <c r="K2444" s="223">
        <f t="shared" si="372"/>
        <v>1</v>
      </c>
      <c r="L2444" s="910"/>
      <c r="M2444" s="910"/>
    </row>
    <row r="2445" spans="1:13">
      <c r="A2445" s="2837"/>
      <c r="B2445" s="302" t="str">
        <f>инженерка!A412</f>
        <v>расходные материалы для отопления</v>
      </c>
      <c r="C2445" s="2890" t="str">
        <f>инженерка!B412</f>
        <v>рублей</v>
      </c>
      <c r="D2445" s="302">
        <f>инженерка!C412</f>
        <v>1</v>
      </c>
      <c r="E2445" s="302">
        <f>инженерка!D412</f>
        <v>5000</v>
      </c>
      <c r="F2445" s="302"/>
      <c r="G2445" s="275">
        <f t="shared" si="370"/>
        <v>0</v>
      </c>
      <c r="H2445" s="96">
        <f>D2445*E2445*$H$2257</f>
        <v>0</v>
      </c>
      <c r="I2445" s="2911">
        <f t="shared" si="371"/>
        <v>0</v>
      </c>
      <c r="J2445" s="2863"/>
      <c r="K2445" s="223">
        <f t="shared" si="372"/>
        <v>1</v>
      </c>
      <c r="L2445" s="910"/>
      <c r="M2445" s="910"/>
    </row>
    <row r="2446" spans="1:13">
      <c r="A2446" s="2837"/>
      <c r="B2446" s="302" t="str">
        <f>инженерка!A385</f>
        <v>расходные материалы для электрики</v>
      </c>
      <c r="C2446" s="2890" t="str">
        <f>инженерка!B385</f>
        <v>рублей</v>
      </c>
      <c r="D2446" s="302">
        <f>инженерка!C385</f>
        <v>1</v>
      </c>
      <c r="E2446" s="302">
        <f>инженерка!D385</f>
        <v>5000</v>
      </c>
      <c r="F2446" s="302"/>
      <c r="G2446" s="275">
        <f t="shared" si="370"/>
        <v>0</v>
      </c>
      <c r="H2446" s="2315">
        <f>D2446*E2446*$H$2227</f>
        <v>0</v>
      </c>
      <c r="I2446" s="2911">
        <f t="shared" si="371"/>
        <v>0</v>
      </c>
      <c r="J2446" s="2863"/>
      <c r="K2446" s="223">
        <f t="shared" si="372"/>
        <v>1</v>
      </c>
      <c r="L2446" s="910"/>
      <c r="M2446" s="910"/>
    </row>
    <row r="2447" spans="1:13">
      <c r="A2447" s="2837"/>
      <c r="B2447" s="302" t="str">
        <f>фундамент!A506</f>
        <v>расходные материалы плита ушп</v>
      </c>
      <c r="C2447" s="2890" t="str">
        <f>фундамент!B506</f>
        <v>рублей</v>
      </c>
      <c r="D2447" s="302">
        <f>фундамент!C506</f>
        <v>1</v>
      </c>
      <c r="E2447" s="179">
        <f>фундамент!D506</f>
        <v>12000</v>
      </c>
      <c r="F2447" s="179"/>
      <c r="G2447" s="275">
        <f t="shared" si="370"/>
        <v>0</v>
      </c>
      <c r="H2447" s="2315">
        <f>D2447*E2447*$H$257</f>
        <v>0</v>
      </c>
      <c r="I2447" s="2911">
        <f t="shared" si="371"/>
        <v>0</v>
      </c>
      <c r="J2447" s="2863"/>
      <c r="K2447" s="223">
        <f t="shared" si="372"/>
        <v>1</v>
      </c>
      <c r="L2447" s="2854"/>
    </row>
    <row r="2448" spans="1:13">
      <c r="A2448" s="2837"/>
      <c r="B2448" s="302" t="str">
        <f>фундамент!A361</f>
        <v>расходные материалы свайноростверковый фундамент</v>
      </c>
      <c r="C2448" s="2890" t="s">
        <v>1796</v>
      </c>
      <c r="D2448" s="302">
        <f>фундамент!C361</f>
        <v>1</v>
      </c>
      <c r="E2448" s="302">
        <f>фундамент!D361</f>
        <v>8000</v>
      </c>
      <c r="F2448" s="302"/>
      <c r="G2448" s="275">
        <f t="shared" si="370"/>
        <v>0</v>
      </c>
      <c r="H2448" s="2315">
        <f>D2448*E2448*$H$178</f>
        <v>0</v>
      </c>
      <c r="I2448" s="2911">
        <f t="shared" si="371"/>
        <v>0</v>
      </c>
      <c r="J2448" s="2863"/>
      <c r="K2448" s="223">
        <f t="shared" si="372"/>
        <v>1</v>
      </c>
      <c r="L2448" s="2854"/>
    </row>
    <row r="2449" spans="1:12">
      <c r="A2449" s="2837"/>
      <c r="B2449" s="302" t="str">
        <f>фундамент!A428</f>
        <v>расходные материалы свайноростверковый фундамент</v>
      </c>
      <c r="C2449" s="2890" t="s">
        <v>1796</v>
      </c>
      <c r="D2449" s="302">
        <f>фундамент!C428</f>
        <v>1</v>
      </c>
      <c r="E2449" s="302">
        <f>фундамент!D428</f>
        <v>8000</v>
      </c>
      <c r="F2449" s="302"/>
      <c r="G2449" s="275">
        <f t="shared" si="370"/>
        <v>0</v>
      </c>
      <c r="H2449" s="2315">
        <f>D2449*E2449*$H$215</f>
        <v>0</v>
      </c>
      <c r="I2449" s="2911">
        <f t="shared" si="371"/>
        <v>0</v>
      </c>
      <c r="J2449" s="2863"/>
      <c r="K2449" s="223">
        <f t="shared" si="372"/>
        <v>1</v>
      </c>
      <c r="L2449" s="2854"/>
    </row>
    <row r="2450" spans="1:12">
      <c r="A2450" s="2837"/>
      <c r="B2450" s="302" t="str">
        <f>дома!A1415</f>
        <v>расходные материалы сип панели</v>
      </c>
      <c r="C2450" s="2890" t="s">
        <v>1796</v>
      </c>
      <c r="D2450" s="302">
        <f>дома!C1415</f>
        <v>1</v>
      </c>
      <c r="E2450" s="302">
        <f>дома!D1415</f>
        <v>3000</v>
      </c>
      <c r="F2450" s="302"/>
      <c r="G2450" s="275">
        <f t="shared" si="370"/>
        <v>0</v>
      </c>
      <c r="H2450" s="2315">
        <f>D2450*E2450*$H$303</f>
        <v>0</v>
      </c>
      <c r="I2450" s="2911">
        <f t="shared" si="371"/>
        <v>0</v>
      </c>
      <c r="J2450" s="2863"/>
      <c r="K2450" s="223">
        <f t="shared" si="372"/>
        <v>1</v>
      </c>
      <c r="L2450" s="2854"/>
    </row>
    <row r="2451" spans="1:12">
      <c r="A2451" s="2837"/>
      <c r="B2451" s="302" t="str">
        <f>дома!A1485</f>
        <v>расходные материалы каркасный дом</v>
      </c>
      <c r="C2451" s="2890" t="s">
        <v>1796</v>
      </c>
      <c r="D2451" s="302">
        <f>дома!C1485</f>
        <v>1</v>
      </c>
      <c r="E2451" s="275">
        <f>дома!D1485</f>
        <v>12000</v>
      </c>
      <c r="F2451" s="275"/>
      <c r="G2451" s="275">
        <f t="shared" si="370"/>
        <v>0</v>
      </c>
      <c r="H2451" s="2315">
        <f>D2451*E2451*$H$332</f>
        <v>0</v>
      </c>
      <c r="I2451" s="2911">
        <f t="shared" si="371"/>
        <v>0</v>
      </c>
      <c r="J2451" s="2863"/>
      <c r="K2451" s="223">
        <f t="shared" si="372"/>
        <v>1</v>
      </c>
      <c r="L2451" s="2854"/>
    </row>
    <row r="2452" spans="1:12">
      <c r="A2452" s="2837"/>
      <c r="B2452" s="302" t="str">
        <f>дома!A1583</f>
        <v>расходные материалы каменные дома</v>
      </c>
      <c r="C2452" s="2890" t="s">
        <v>1796</v>
      </c>
      <c r="D2452" s="302">
        <f>дома!C1583</f>
        <v>1</v>
      </c>
      <c r="E2452" s="302">
        <f>дома!I1583</f>
        <v>15000</v>
      </c>
      <c r="F2452" s="302"/>
      <c r="G2452" s="275">
        <f t="shared" si="370"/>
        <v>0</v>
      </c>
      <c r="H2452" s="2315">
        <f>D2452*E2452*$H$541</f>
        <v>0</v>
      </c>
      <c r="I2452" s="2911">
        <f t="shared" si="371"/>
        <v>0</v>
      </c>
      <c r="J2452" s="2863"/>
      <c r="K2452" s="223">
        <f t="shared" si="372"/>
        <v>1</v>
      </c>
      <c r="L2452" s="2854"/>
    </row>
    <row r="2453" spans="1:12">
      <c r="A2453" s="2837"/>
      <c r="B2453" s="2763" t="str">
        <f>дома!A1659</f>
        <v>расходные материалы каменные дома</v>
      </c>
      <c r="C2453" s="2890" t="s">
        <v>1796</v>
      </c>
      <c r="D2453" s="302">
        <f>дома!C1659</f>
        <v>1</v>
      </c>
      <c r="E2453" s="275">
        <f>дома!I1657</f>
        <v>0</v>
      </c>
      <c r="F2453" s="275"/>
      <c r="G2453" s="275">
        <f t="shared" si="370"/>
        <v>0</v>
      </c>
      <c r="H2453" s="2315">
        <f>D2453*E2453*$H$607</f>
        <v>0</v>
      </c>
      <c r="I2453" s="2911">
        <f t="shared" si="371"/>
        <v>0</v>
      </c>
      <c r="J2453" s="2863"/>
      <c r="K2453" s="223">
        <f t="shared" si="372"/>
        <v>1</v>
      </c>
      <c r="L2453" s="2854"/>
    </row>
    <row r="2454" spans="1:12">
      <c r="A2454" s="2837"/>
      <c r="B2454" s="2898" t="str">
        <f>дома!A1740</f>
        <v>расходные материалы каменные дома</v>
      </c>
      <c r="C2454" s="2890" t="s">
        <v>1796</v>
      </c>
      <c r="D2454" s="2899">
        <f>дома!C1740</f>
        <v>1</v>
      </c>
      <c r="E2454" s="2899">
        <f>дома!I1740</f>
        <v>15000</v>
      </c>
      <c r="F2454" s="2899"/>
      <c r="G2454" s="275">
        <f t="shared" si="370"/>
        <v>15000</v>
      </c>
      <c r="H2454" s="2899">
        <f>D2454*E2454*$H$666</f>
        <v>15000</v>
      </c>
      <c r="I2454" s="2911">
        <f t="shared" si="371"/>
        <v>15000</v>
      </c>
      <c r="J2454" s="2863"/>
      <c r="K2454" s="223">
        <f t="shared" si="372"/>
        <v>1</v>
      </c>
      <c r="L2454" s="2854"/>
    </row>
    <row r="2455" spans="1:12">
      <c r="A2455" s="2837"/>
      <c r="B2455" s="2898" t="str">
        <f>дома!A1810</f>
        <v>расходные материалы дома из леса</v>
      </c>
      <c r="C2455" s="2890" t="s">
        <v>1796</v>
      </c>
      <c r="D2455" s="2899">
        <f>дома!C1810</f>
        <v>1</v>
      </c>
      <c r="E2455" s="2899">
        <f>дома!D1810</f>
        <v>3000</v>
      </c>
      <c r="F2455" s="2899"/>
      <c r="G2455" s="275">
        <f t="shared" si="370"/>
        <v>0</v>
      </c>
      <c r="H2455" s="2899">
        <f>D2455*E2455*$H$718</f>
        <v>0</v>
      </c>
      <c r="I2455" s="2911">
        <f t="shared" si="371"/>
        <v>0</v>
      </c>
      <c r="J2455" s="2863"/>
      <c r="K2455" s="223">
        <f t="shared" si="372"/>
        <v>1</v>
      </c>
      <c r="L2455" s="2854"/>
    </row>
    <row r="2456" spans="1:12">
      <c r="A2456" s="2837"/>
      <c r="B2456" s="275" t="str">
        <f>дома!A2009</f>
        <v>расходные материалы дома из леса</v>
      </c>
      <c r="C2456" s="2890" t="s">
        <v>1796</v>
      </c>
      <c r="D2456" s="275">
        <f>дома!C2009</f>
        <v>1</v>
      </c>
      <c r="E2456" s="100">
        <f>дома!D2009</f>
        <v>3000</v>
      </c>
      <c r="F2456" s="100"/>
      <c r="G2456" s="275">
        <f t="shared" si="370"/>
        <v>0</v>
      </c>
      <c r="H2456" s="275">
        <f>D2456*E2456*$H$755</f>
        <v>0</v>
      </c>
      <c r="I2456" s="2911">
        <f t="shared" si="371"/>
        <v>0</v>
      </c>
      <c r="J2456" s="2863"/>
      <c r="K2456" s="223">
        <f t="shared" si="372"/>
        <v>1</v>
      </c>
      <c r="L2456" s="2854"/>
    </row>
    <row r="2457" spans="1:12">
      <c r="A2457" s="2837"/>
      <c r="B2457" s="275" t="str">
        <f>дома!A1963</f>
        <v>расходные материалы дома из леса</v>
      </c>
      <c r="C2457" s="2890" t="s">
        <v>1796</v>
      </c>
      <c r="D2457" s="275">
        <f>дома!C1963</f>
        <v>1</v>
      </c>
      <c r="E2457" s="275">
        <f>дома!D1963</f>
        <v>3000</v>
      </c>
      <c r="F2457" s="275"/>
      <c r="G2457" s="275">
        <f t="shared" si="370"/>
        <v>0</v>
      </c>
      <c r="H2457" s="2315">
        <f>D2457*E2457*$H$793</f>
        <v>0</v>
      </c>
      <c r="I2457" s="2911">
        <f t="shared" si="371"/>
        <v>0</v>
      </c>
      <c r="J2457" s="2863"/>
      <c r="K2457" s="223">
        <f t="shared" si="372"/>
        <v>1</v>
      </c>
      <c r="L2457" s="2854"/>
    </row>
    <row r="2458" spans="1:12">
      <c r="A2458" s="2837"/>
      <c r="B2458" s="275" t="str">
        <f>дома!A1855</f>
        <v>расходные материалы дома из леса</v>
      </c>
      <c r="C2458" s="2890" t="s">
        <v>1796</v>
      </c>
      <c r="D2458" s="275">
        <f>дома!C1855</f>
        <v>1</v>
      </c>
      <c r="E2458" s="275">
        <f>дома!D1855</f>
        <v>3000</v>
      </c>
      <c r="F2458" s="275"/>
      <c r="G2458" s="275">
        <f t="shared" si="370"/>
        <v>0</v>
      </c>
      <c r="H2458" s="2315">
        <f>D2458*E2458*$H$830</f>
        <v>0</v>
      </c>
      <c r="I2458" s="2911">
        <f t="shared" si="371"/>
        <v>0</v>
      </c>
      <c r="J2458" s="2863"/>
      <c r="K2458" s="223">
        <f t="shared" si="372"/>
        <v>1</v>
      </c>
      <c r="L2458" s="2854"/>
    </row>
    <row r="2459" spans="1:12">
      <c r="A2459" s="2837"/>
      <c r="B2459" s="275" t="str">
        <f>дома!A1902</f>
        <v>расходные материалы дома из леса</v>
      </c>
      <c r="C2459" s="2890" t="s">
        <v>1796</v>
      </c>
      <c r="D2459" s="275">
        <f>дома!C1902</f>
        <v>1</v>
      </c>
      <c r="E2459" s="275">
        <f>дома!D1902</f>
        <v>3000</v>
      </c>
      <c r="F2459" s="275"/>
      <c r="G2459" s="275">
        <f t="shared" si="370"/>
        <v>0</v>
      </c>
      <c r="H2459" s="2315">
        <f>D2459*E2459*$H$867</f>
        <v>0</v>
      </c>
      <c r="I2459" s="2911">
        <f t="shared" si="371"/>
        <v>0</v>
      </c>
      <c r="J2459" s="2863"/>
      <c r="K2459" s="223">
        <f t="shared" si="372"/>
        <v>1</v>
      </c>
      <c r="L2459" s="2854"/>
    </row>
    <row r="2460" spans="1:12">
      <c r="A2460" s="2837"/>
      <c r="B2460" s="302" t="str">
        <f>крыша!A623</f>
        <v>расходные материалы эркер</v>
      </c>
      <c r="C2460" s="2890" t="str">
        <f>крыша!B623</f>
        <v>рублей</v>
      </c>
      <c r="D2460" s="302">
        <f>крыша!C623</f>
        <v>1</v>
      </c>
      <c r="E2460" s="302">
        <f>крыша!D623</f>
        <v>3000</v>
      </c>
      <c r="F2460" s="302"/>
      <c r="G2460" s="275">
        <f t="shared" si="370"/>
        <v>0</v>
      </c>
      <c r="H2460" s="2315">
        <f>D2460*E2460*$H$1749</f>
        <v>0</v>
      </c>
      <c r="I2460" s="2911">
        <f t="shared" si="371"/>
        <v>0</v>
      </c>
      <c r="J2460" s="2863"/>
      <c r="K2460" s="223">
        <f t="shared" si="372"/>
        <v>1</v>
      </c>
      <c r="L2460" s="2854"/>
    </row>
    <row r="2461" spans="1:12">
      <c r="A2461" s="2837"/>
      <c r="B2461" s="302" t="str">
        <f>крыша!A316</f>
        <v>расходные материалы двускатная кровля</v>
      </c>
      <c r="C2461" s="2890" t="str">
        <f>крыша!B316</f>
        <v>рублей</v>
      </c>
      <c r="D2461" s="302">
        <f>крыша!C316</f>
        <v>1</v>
      </c>
      <c r="E2461" s="179">
        <f>крыша!D316</f>
        <v>0</v>
      </c>
      <c r="F2461" s="179"/>
      <c r="G2461" s="275">
        <f t="shared" si="370"/>
        <v>0</v>
      </c>
      <c r="H2461" s="2315">
        <f>D2461*E2461*$H$1410</f>
        <v>0</v>
      </c>
      <c r="I2461" s="2911">
        <f t="shared" si="371"/>
        <v>0</v>
      </c>
      <c r="J2461" s="2863"/>
      <c r="K2461" s="223">
        <f t="shared" si="372"/>
        <v>1</v>
      </c>
      <c r="L2461" s="2854"/>
    </row>
    <row r="2462" spans="1:12">
      <c r="A2462" s="2837"/>
      <c r="B2462" s="302" t="str">
        <f>крыша!A394</f>
        <v>расходные материалы вальмовая кровля</v>
      </c>
      <c r="C2462" s="2890" t="str">
        <f>крыша!B394</f>
        <v>рублей</v>
      </c>
      <c r="D2462" s="302">
        <f>крыша!C394</f>
        <v>1</v>
      </c>
      <c r="E2462" s="302">
        <f>крыша!D394</f>
        <v>10000</v>
      </c>
      <c r="F2462" s="302"/>
      <c r="G2462" s="275">
        <f t="shared" si="370"/>
        <v>0</v>
      </c>
      <c r="H2462" s="2315">
        <f>D2462*E2462*$H$1484</f>
        <v>0</v>
      </c>
      <c r="I2462" s="2911">
        <f t="shared" si="371"/>
        <v>0</v>
      </c>
      <c r="J2462" s="2863"/>
      <c r="K2462" s="223">
        <f t="shared" si="372"/>
        <v>1</v>
      </c>
      <c r="L2462" s="2854"/>
    </row>
    <row r="2463" spans="1:12">
      <c r="A2463" s="2837"/>
      <c r="B2463" s="302" t="str">
        <f>крыша!A483</f>
        <v>расходные материалы полувальмовая кровля</v>
      </c>
      <c r="C2463" s="2890" t="str">
        <f>крыша!B483</f>
        <v>рублей</v>
      </c>
      <c r="D2463" s="302">
        <f>крыша!C483</f>
        <v>1</v>
      </c>
      <c r="E2463" s="302">
        <f>крыша!D483</f>
        <v>10000</v>
      </c>
      <c r="F2463" s="302"/>
      <c r="G2463" s="275">
        <f t="shared" si="370"/>
        <v>0</v>
      </c>
      <c r="H2463" s="2315">
        <f>D2463*E2463*$H$1550</f>
        <v>0</v>
      </c>
      <c r="I2463" s="2911">
        <f t="shared" si="371"/>
        <v>0</v>
      </c>
      <c r="J2463" s="2863"/>
      <c r="K2463" s="223">
        <f t="shared" si="372"/>
        <v>1</v>
      </c>
      <c r="L2463" s="2854"/>
    </row>
    <row r="2464" spans="1:12">
      <c r="A2464" s="2837"/>
      <c r="B2464" s="302" t="str">
        <f>крыша!A550</f>
        <v>расходные материалы элементы кровель</v>
      </c>
      <c r="C2464" s="2890" t="str">
        <f>крыша!B550</f>
        <v>рублей</v>
      </c>
      <c r="D2464" s="302">
        <f>крыша!C550</f>
        <v>1</v>
      </c>
      <c r="E2464" s="302">
        <f>крыша!D550</f>
        <v>10000</v>
      </c>
      <c r="F2464" s="302"/>
      <c r="G2464" s="275">
        <f t="shared" si="370"/>
        <v>0</v>
      </c>
      <c r="H2464" s="2315">
        <f>D2464*E2464*$H$1623</f>
        <v>0</v>
      </c>
      <c r="I2464" s="2911">
        <f t="shared" si="371"/>
        <v>0</v>
      </c>
      <c r="J2464" s="2863"/>
      <c r="K2464" s="223">
        <f t="shared" si="372"/>
        <v>1</v>
      </c>
      <c r="L2464" s="2854"/>
    </row>
    <row r="2465" spans="1:13">
      <c r="A2465" s="2837"/>
      <c r="B2465" s="302" t="str">
        <f>пристройка!A260</f>
        <v>расходные материалы пристройки</v>
      </c>
      <c r="C2465" s="2890" t="str">
        <f>пристройка!B260</f>
        <v>рублей</v>
      </c>
      <c r="D2465" s="302">
        <f>пристройка!C260</f>
        <v>1</v>
      </c>
      <c r="E2465" s="179">
        <f>пристройка!D260</f>
        <v>10000</v>
      </c>
      <c r="F2465" s="179"/>
      <c r="G2465" s="275">
        <f t="shared" si="370"/>
        <v>0</v>
      </c>
      <c r="H2465" s="2315">
        <f>D2465*E2465*$H$1681</f>
        <v>0</v>
      </c>
      <c r="I2465" s="2911">
        <f t="shared" si="371"/>
        <v>0</v>
      </c>
      <c r="J2465" s="2863"/>
      <c r="K2465" s="223">
        <f t="shared" si="372"/>
        <v>1</v>
      </c>
      <c r="L2465" s="2854"/>
    </row>
    <row r="2466" spans="1:13">
      <c r="A2466" s="2837"/>
      <c r="B2466" s="2942" t="str">
        <f>дома!A2064</f>
        <v>расходные материалы веранда</v>
      </c>
      <c r="C2466" s="2943" t="str">
        <f>дома!B2064</f>
        <v>рублей</v>
      </c>
      <c r="D2466" s="379">
        <f>дома!C2064</f>
        <v>1</v>
      </c>
      <c r="E2466" s="2944">
        <f>дома!D2064</f>
        <v>0</v>
      </c>
      <c r="F2466" s="2944"/>
      <c r="G2466" s="275">
        <f t="shared" si="370"/>
        <v>0</v>
      </c>
      <c r="H2466" s="2972">
        <f>D2466*E2466*$H$1250</f>
        <v>0</v>
      </c>
      <c r="I2466" s="2911">
        <f t="shared" si="371"/>
        <v>0</v>
      </c>
      <c r="J2466" s="2863"/>
      <c r="K2466" s="223">
        <f t="shared" si="372"/>
        <v>1</v>
      </c>
      <c r="L2466" s="2854"/>
    </row>
    <row r="2467" spans="1:13">
      <c r="A2467" s="2837"/>
      <c r="B2467" s="302" t="str">
        <f>инженерка!A479</f>
        <v>расходные материалы для септика</v>
      </c>
      <c r="C2467" s="2890" t="str">
        <f>инженерка!B479</f>
        <v>рублей</v>
      </c>
      <c r="D2467" s="302">
        <f>инженерка!C479</f>
        <v>1</v>
      </c>
      <c r="E2467" s="179">
        <f>инженерка!D479</f>
        <v>5000</v>
      </c>
      <c r="F2467" s="179"/>
      <c r="G2467" s="275">
        <f t="shared" si="370"/>
        <v>0</v>
      </c>
      <c r="H2467" s="2315">
        <f>D2467*E2467*$H$2296</f>
        <v>0</v>
      </c>
      <c r="I2467" s="2911">
        <f t="shared" si="371"/>
        <v>0</v>
      </c>
      <c r="J2467" s="2863"/>
      <c r="K2467" s="223">
        <f t="shared" si="372"/>
        <v>1</v>
      </c>
      <c r="L2467" s="2854"/>
    </row>
    <row r="2468" spans="1:13">
      <c r="A2468" s="2837"/>
      <c r="B2468" s="2898" t="str">
        <f>крыша!A701</f>
        <v>расходные материалы односкатная кровля</v>
      </c>
      <c r="C2468" s="236" t="str">
        <f>крыша!B701</f>
        <v>рублей</v>
      </c>
      <c r="D2468" s="2899">
        <f>крыша!C701</f>
        <v>1</v>
      </c>
      <c r="E2468" s="35">
        <f>крыша!D701</f>
        <v>10000</v>
      </c>
      <c r="F2468" s="35"/>
      <c r="G2468" s="275">
        <f t="shared" si="370"/>
        <v>0</v>
      </c>
      <c r="H2468" s="2315">
        <f>D2468*E2468*$H$1335</f>
        <v>0</v>
      </c>
      <c r="I2468" s="2911">
        <f t="shared" si="371"/>
        <v>0</v>
      </c>
      <c r="J2468" s="2863"/>
      <c r="K2468" s="223">
        <f t="shared" si="372"/>
        <v>1</v>
      </c>
      <c r="L2468" s="2854"/>
    </row>
    <row r="2469" spans="1:13">
      <c r="A2469" s="2837"/>
      <c r="B2469" s="302" t="str">
        <f>фундамент!A280</f>
        <v>Расходные материалы винтовые сваи</v>
      </c>
      <c r="C2469" s="2890" t="str">
        <f>фундамент!B280</f>
        <v>рублей</v>
      </c>
      <c r="D2469" s="302">
        <f>фундамент!C280</f>
        <v>1</v>
      </c>
      <c r="E2469" s="302">
        <f>фундамент!D280</f>
        <v>6000</v>
      </c>
      <c r="F2469" s="302"/>
      <c r="G2469" s="275">
        <f t="shared" si="370"/>
        <v>0</v>
      </c>
      <c r="H2469" s="2315">
        <f>D2469*E2469*$H$124</f>
        <v>0</v>
      </c>
      <c r="I2469" s="2911">
        <f t="shared" si="371"/>
        <v>0</v>
      </c>
      <c r="J2469" s="2863"/>
      <c r="K2469" s="223">
        <f t="shared" si="372"/>
        <v>1</v>
      </c>
      <c r="L2469" s="2854"/>
    </row>
    <row r="2470" spans="1:13">
      <c r="A2470" s="2837"/>
      <c r="B2470" s="302" t="str">
        <f>отделка!A415</f>
        <v>расходные материалы окна</v>
      </c>
      <c r="C2470" s="2890" t="str">
        <f>отделка!B415</f>
        <v>рублей</v>
      </c>
      <c r="D2470" s="302">
        <f>отделка!C415</f>
        <v>1</v>
      </c>
      <c r="E2470" s="302">
        <f>отделка!D415</f>
        <v>5000</v>
      </c>
      <c r="F2470" s="302"/>
      <c r="G2470" s="275">
        <f t="shared" si="370"/>
        <v>0</v>
      </c>
      <c r="H2470" s="96">
        <f>D2470*E2470*$H$1931</f>
        <v>0</v>
      </c>
      <c r="I2470" s="2911">
        <f t="shared" si="371"/>
        <v>0</v>
      </c>
      <c r="J2470" s="2863"/>
      <c r="K2470" s="223">
        <f t="shared" si="372"/>
        <v>1</v>
      </c>
      <c r="L2470" s="2854"/>
    </row>
    <row r="2471" spans="1:13">
      <c r="A2471" s="2837"/>
      <c r="B2471" s="302" t="str">
        <f>отделка!A438</f>
        <v>расходные материалы лестница</v>
      </c>
      <c r="C2471" s="2890" t="str">
        <f>отделка!B438</f>
        <v>рублей</v>
      </c>
      <c r="D2471" s="302">
        <f>отделка!C438</f>
        <v>1</v>
      </c>
      <c r="E2471" s="302">
        <f>отделка!D438</f>
        <v>5000</v>
      </c>
      <c r="F2471" s="302"/>
      <c r="G2471" s="275">
        <f t="shared" si="370"/>
        <v>0</v>
      </c>
      <c r="H2471" s="96">
        <f>D2471*E2471*$H$1969</f>
        <v>0</v>
      </c>
      <c r="I2471" s="2911">
        <f t="shared" si="371"/>
        <v>0</v>
      </c>
      <c r="J2471" s="2863"/>
      <c r="K2471" s="223">
        <f t="shared" si="372"/>
        <v>1</v>
      </c>
      <c r="L2471" s="2854"/>
    </row>
    <row r="2472" spans="1:13">
      <c r="A2472" s="2837"/>
      <c r="B2472" s="302" t="str">
        <f>отделка!A556</f>
        <v>расходные материалы отделка внешняя</v>
      </c>
      <c r="C2472" s="2890" t="str">
        <f>отделка!B556</f>
        <v>рублей</v>
      </c>
      <c r="D2472" s="302">
        <f>отделка!C556</f>
        <v>1</v>
      </c>
      <c r="E2472" s="302">
        <f>отделка!D556</f>
        <v>3000</v>
      </c>
      <c r="F2472" s="302"/>
      <c r="G2472" s="275">
        <f t="shared" si="370"/>
        <v>0</v>
      </c>
      <c r="H2472" s="2315">
        <f>D2472*E2472*$H$2023</f>
        <v>0</v>
      </c>
      <c r="I2472" s="2911">
        <f t="shared" si="371"/>
        <v>0</v>
      </c>
      <c r="J2472" s="2863"/>
      <c r="K2472" s="223">
        <f t="shared" si="372"/>
        <v>1</v>
      </c>
      <c r="L2472" s="910"/>
      <c r="M2472" s="910"/>
    </row>
    <row r="2473" spans="1:13">
      <c r="A2473" s="2837"/>
      <c r="B2473" s="302" t="str">
        <f>отделка!A706</f>
        <v>расходные материалы чистовая отделка</v>
      </c>
      <c r="C2473" s="2890" t="str">
        <f>отделка!B706</f>
        <v>рублей</v>
      </c>
      <c r="D2473" s="302">
        <f>отделка!C706</f>
        <v>1</v>
      </c>
      <c r="E2473" s="302">
        <f>отделка!D706</f>
        <v>5000</v>
      </c>
      <c r="F2473" s="302"/>
      <c r="G2473" s="275">
        <f t="shared" si="370"/>
        <v>0</v>
      </c>
      <c r="H2473" s="2315">
        <f>D2473*E2473*$H$2099</f>
        <v>0</v>
      </c>
      <c r="I2473" s="2911">
        <f t="shared" si="371"/>
        <v>0</v>
      </c>
      <c r="J2473" s="2863"/>
      <c r="K2473" s="223">
        <f t="shared" si="372"/>
        <v>1</v>
      </c>
      <c r="L2473" s="910"/>
      <c r="M2473" s="910"/>
    </row>
    <row r="2474" spans="1:13" ht="17">
      <c r="A2474" s="2837"/>
      <c r="B2474" s="2974" t="str">
        <f>дома!A2212</f>
        <v>расходные материалы балкон</v>
      </c>
      <c r="C2474" s="2983" t="str">
        <f>дома!B2212</f>
        <v>рублей</v>
      </c>
      <c r="D2474" s="2974">
        <f>дома!C2212</f>
        <v>0</v>
      </c>
      <c r="E2474" s="2974">
        <f>дома!D2212</f>
        <v>0</v>
      </c>
      <c r="F2474" s="2974"/>
      <c r="G2474" s="275">
        <f t="shared" si="370"/>
        <v>0</v>
      </c>
      <c r="H2474" s="2315">
        <f>D2474*E2474*$H$1313</f>
        <v>0</v>
      </c>
      <c r="I2474" s="2911">
        <f t="shared" si="371"/>
        <v>0</v>
      </c>
      <c r="J2474" s="2863"/>
      <c r="K2474" s="223">
        <f t="shared" si="372"/>
        <v>0</v>
      </c>
      <c r="L2474" s="910"/>
      <c r="M2474" s="910"/>
    </row>
    <row r="2475" spans="1:13">
      <c r="A2475" s="2837"/>
      <c r="B2475" s="302" t="str">
        <f>перекрытие!A226</f>
        <v>расходные материалы перекрытие</v>
      </c>
      <c r="C2475" s="2890" t="str">
        <f>перекрытие!B226</f>
        <v>рублей</v>
      </c>
      <c r="D2475" s="302">
        <f>перекрытие!D226</f>
        <v>1</v>
      </c>
      <c r="E2475" s="179">
        <f>перекрытие!E226</f>
        <v>5000</v>
      </c>
      <c r="F2475" s="179"/>
      <c r="G2475" s="275">
        <f t="shared" si="370"/>
        <v>0</v>
      </c>
      <c r="H2475" s="275">
        <f>перекрытие!F226*$H$903</f>
        <v>0</v>
      </c>
      <c r="I2475" s="2911">
        <f t="shared" si="371"/>
        <v>0</v>
      </c>
      <c r="J2475" s="2863"/>
      <c r="K2475" s="223">
        <f t="shared" si="372"/>
        <v>1</v>
      </c>
      <c r="L2475" s="910"/>
      <c r="M2475" s="910"/>
    </row>
    <row r="2476" spans="1:13">
      <c r="A2476" s="2837"/>
      <c r="B2476" s="302" t="str">
        <f>фундамент!A682</f>
        <v>расходные материалы цокольный этаж</v>
      </c>
      <c r="C2476" s="2890" t="str">
        <f>фундамент!B682</f>
        <v>рублей</v>
      </c>
      <c r="D2476" s="302">
        <f>фундамент!C682</f>
        <v>0</v>
      </c>
      <c r="E2476" s="302">
        <f>фундамент!D682</f>
        <v>5000</v>
      </c>
      <c r="F2476" s="302"/>
      <c r="G2476" s="275">
        <f t="shared" si="370"/>
        <v>0</v>
      </c>
      <c r="H2476" s="275">
        <f>фундамент!E682</f>
        <v>0</v>
      </c>
      <c r="I2476" s="2911">
        <f t="shared" si="371"/>
        <v>0</v>
      </c>
      <c r="J2476" s="2863"/>
      <c r="K2476" s="223">
        <f t="shared" si="372"/>
        <v>0</v>
      </c>
      <c r="L2476" s="910"/>
      <c r="M2476" s="910"/>
    </row>
    <row r="2477" spans="1:13">
      <c r="A2477" s="2837"/>
      <c r="B2477" s="2898" t="str">
        <f>дома!A2317</f>
        <v>Расходные материалы крыльцо</v>
      </c>
      <c r="C2477" s="236" t="str">
        <f>дома!B2317</f>
        <v>рублей</v>
      </c>
      <c r="D2477" s="2899">
        <f>дома!C2317</f>
        <v>1</v>
      </c>
      <c r="E2477" s="35">
        <f>дома!D2317</f>
        <v>5000</v>
      </c>
      <c r="F2477" s="35"/>
      <c r="G2477" s="275">
        <f t="shared" si="370"/>
        <v>0</v>
      </c>
      <c r="H2477" s="2315">
        <f>D2477*E2477*$H$1874</f>
        <v>0</v>
      </c>
      <c r="I2477" s="2911">
        <f t="shared" si="371"/>
        <v>0</v>
      </c>
      <c r="J2477" s="2863"/>
      <c r="K2477" s="223">
        <f t="shared" si="372"/>
        <v>1</v>
      </c>
      <c r="L2477" s="910"/>
      <c r="M2477" s="910"/>
    </row>
    <row r="2478" spans="1:13">
      <c r="A2478" s="2837"/>
      <c r="B2478" s="2975" t="str">
        <f>B455</f>
        <v>расходные материалы каркасный дом</v>
      </c>
      <c r="C2478" s="236"/>
      <c r="D2478" s="2976">
        <f>D455</f>
        <v>1</v>
      </c>
      <c r="E2478" s="35">
        <f>E455</f>
        <v>12000</v>
      </c>
      <c r="F2478" s="2937"/>
      <c r="G2478" s="275">
        <f t="shared" si="370"/>
        <v>0</v>
      </c>
      <c r="H2478" s="2315">
        <f>D2478*E2478*$H$1874</f>
        <v>0</v>
      </c>
      <c r="I2478" s="2911">
        <f t="shared" si="371"/>
        <v>0</v>
      </c>
      <c r="J2478" s="2863"/>
      <c r="K2478" s="223">
        <f t="shared" si="372"/>
        <v>1</v>
      </c>
      <c r="L2478" s="910"/>
      <c r="M2478" s="910"/>
    </row>
    <row r="2479" spans="1:13">
      <c r="A2479" s="2837"/>
      <c r="B2479" s="2975" t="str">
        <f>B538</f>
        <v>расходные материалы каркасный дом</v>
      </c>
      <c r="C2479" s="2975"/>
      <c r="D2479" s="2976">
        <f>D538</f>
        <v>1</v>
      </c>
      <c r="E2479" s="35">
        <f>E538</f>
        <v>12000</v>
      </c>
      <c r="F2479" s="2937"/>
      <c r="G2479" s="275">
        <f t="shared" si="370"/>
        <v>0</v>
      </c>
      <c r="H2479" s="2315">
        <f>D2479*E2479*$H$1874</f>
        <v>0</v>
      </c>
      <c r="I2479" s="2911">
        <f t="shared" si="371"/>
        <v>0</v>
      </c>
      <c r="J2479" s="2863"/>
      <c r="K2479" s="223">
        <f t="shared" si="372"/>
        <v>1</v>
      </c>
      <c r="L2479" s="910"/>
      <c r="M2479" s="910"/>
    </row>
    <row r="2480" spans="1:13">
      <c r="A2480" s="2837"/>
      <c r="B2480" s="2975" t="str">
        <f>B1993</f>
        <v>Доп. Расходы</v>
      </c>
      <c r="C2480" s="2977" t="str">
        <f>C1993</f>
        <v>руб.</v>
      </c>
      <c r="D2480" s="2976">
        <f>D1993</f>
        <v>1</v>
      </c>
      <c r="E2480" s="35">
        <f>E1993</f>
        <v>2000</v>
      </c>
      <c r="F2480" s="2937"/>
      <c r="G2480" s="275">
        <f t="shared" si="370"/>
        <v>0</v>
      </c>
      <c r="H2480" s="2315">
        <f>D2480*E2480*$H$1874</f>
        <v>0</v>
      </c>
      <c r="I2480" s="2911">
        <f t="shared" si="371"/>
        <v>0</v>
      </c>
      <c r="J2480" s="2863"/>
      <c r="K2480" s="223">
        <f t="shared" si="372"/>
        <v>1</v>
      </c>
      <c r="L2480" s="910"/>
      <c r="M2480" s="910"/>
    </row>
    <row r="2481" spans="1:13">
      <c r="A2481" s="2837"/>
      <c r="B2481" s="2975" t="str">
        <f>B2002</f>
        <v>Доп. Расходы</v>
      </c>
      <c r="C2481" s="2977" t="str">
        <f>C2002</f>
        <v>руб.</v>
      </c>
      <c r="D2481" s="2976">
        <f>D2002</f>
        <v>1</v>
      </c>
      <c r="E2481" s="35">
        <f>E2002</f>
        <v>2000</v>
      </c>
      <c r="F2481" s="2937"/>
      <c r="G2481" s="275">
        <f t="shared" si="370"/>
        <v>0</v>
      </c>
      <c r="H2481" s="2315">
        <f>D2481*E2481*$H$1874</f>
        <v>0</v>
      </c>
      <c r="I2481" s="2911">
        <f t="shared" si="371"/>
        <v>0</v>
      </c>
      <c r="J2481" s="2863"/>
      <c r="K2481" s="223">
        <f t="shared" si="372"/>
        <v>1</v>
      </c>
      <c r="L2481" s="910"/>
      <c r="M2481" s="910"/>
    </row>
    <row r="2482" spans="1:13">
      <c r="A2482" s="2837"/>
      <c r="B2482" s="3302" t="s">
        <v>4605</v>
      </c>
      <c r="C2482" s="3302"/>
      <c r="D2482" s="3302"/>
      <c r="E2482" s="3302"/>
      <c r="F2482" s="2978"/>
      <c r="G2482" s="2984">
        <f>SUM(G2443:G2481)</f>
        <v>15000</v>
      </c>
      <c r="H2482" s="2984">
        <f>SUM(H2443:H2481)</f>
        <v>15000</v>
      </c>
      <c r="I2482" s="2911">
        <f t="shared" si="371"/>
        <v>15000</v>
      </c>
      <c r="J2482" s="2863"/>
      <c r="K2482" s="223">
        <f t="shared" si="372"/>
        <v>0</v>
      </c>
      <c r="L2482" s="910"/>
      <c r="M2482" s="910"/>
    </row>
    <row r="2483" spans="1:13" ht="21">
      <c r="A2483" s="2837"/>
      <c r="B2483" s="3303" t="s">
        <v>2359</v>
      </c>
      <c r="C2483" s="3303"/>
      <c r="D2483" s="3303"/>
      <c r="E2483" s="3303"/>
      <c r="F2483" s="2985"/>
      <c r="G2483" s="941"/>
      <c r="H2483" s="2980">
        <f>H2496</f>
        <v>0</v>
      </c>
      <c r="I2483" s="2981">
        <f>H2483</f>
        <v>0</v>
      </c>
      <c r="J2483" s="2982"/>
      <c r="K2483" s="123"/>
      <c r="L2483" s="910"/>
      <c r="M2483" s="910"/>
    </row>
    <row r="2484" spans="1:13">
      <c r="A2484" s="2837"/>
      <c r="B2484" s="302" t="str">
        <f>дома!A1412</f>
        <v>Командировочные расходы</v>
      </c>
      <c r="C2484" s="2890" t="str">
        <f>дома!B1412</f>
        <v>рублей</v>
      </c>
      <c r="D2484" s="302">
        <f>дома!C1412</f>
        <v>1</v>
      </c>
      <c r="E2484" s="302">
        <f>дома!D1412</f>
        <v>0</v>
      </c>
      <c r="F2484" s="302"/>
      <c r="G2484" s="275">
        <f t="shared" ref="G2484:G2495" si="373">IF(F2484&gt;0,D2484*F2484,E2484*D2484)*IF(H2484&gt;0,1,0)</f>
        <v>0</v>
      </c>
      <c r="H2484" s="96">
        <f>D2484*E2484*$H$303</f>
        <v>0</v>
      </c>
      <c r="I2484" s="2911">
        <f t="shared" ref="I2484:I2496" si="374">IF(G2484&gt;H2484,G2484,H2484)</f>
        <v>0</v>
      </c>
      <c r="J2484" s="2863"/>
      <c r="K2484" s="223">
        <f t="shared" ref="K2484:K2496" si="375">D2484-J2484</f>
        <v>1</v>
      </c>
      <c r="L2484" s="910"/>
      <c r="M2484" s="910"/>
    </row>
    <row r="2485" spans="1:13">
      <c r="A2485" s="2837"/>
      <c r="B2485" s="302" t="str">
        <f>дома!A1484</f>
        <v>Командировочные расходы</v>
      </c>
      <c r="C2485" s="2890" t="str">
        <f>дома!B1484</f>
        <v>рублей</v>
      </c>
      <c r="D2485" s="302">
        <f>дома!C1484</f>
        <v>1</v>
      </c>
      <c r="E2485" s="302">
        <f>дома!D1484</f>
        <v>0</v>
      </c>
      <c r="F2485" s="302"/>
      <c r="G2485" s="275">
        <f t="shared" si="373"/>
        <v>0</v>
      </c>
      <c r="H2485" s="96">
        <f>D2485*E2485*$H$332</f>
        <v>0</v>
      </c>
      <c r="I2485" s="2911">
        <f t="shared" si="374"/>
        <v>0</v>
      </c>
      <c r="J2485" s="2863"/>
      <c r="K2485" s="223">
        <f t="shared" si="375"/>
        <v>1</v>
      </c>
      <c r="L2485" s="910"/>
      <c r="M2485" s="910"/>
    </row>
    <row r="2486" spans="1:13">
      <c r="A2486" s="2837"/>
      <c r="B2486" s="302" t="str">
        <f>дома!A1582</f>
        <v>Командировочные расходы</v>
      </c>
      <c r="C2486" s="2890" t="str">
        <f>дома!B1582</f>
        <v>рублей</v>
      </c>
      <c r="D2486" s="302">
        <f>дома!C1582</f>
        <v>1</v>
      </c>
      <c r="E2486" s="302">
        <f>дома!I1582</f>
        <v>0</v>
      </c>
      <c r="F2486" s="302"/>
      <c r="G2486" s="275">
        <f t="shared" si="373"/>
        <v>0</v>
      </c>
      <c r="H2486" s="96">
        <f>D2486*E2486*$H$541</f>
        <v>0</v>
      </c>
      <c r="I2486" s="2911">
        <f t="shared" si="374"/>
        <v>0</v>
      </c>
      <c r="J2486" s="2863"/>
      <c r="K2486" s="223">
        <f t="shared" si="375"/>
        <v>1</v>
      </c>
      <c r="L2486" s="910"/>
      <c r="M2486" s="910"/>
    </row>
    <row r="2487" spans="1:13">
      <c r="A2487" s="2837"/>
      <c r="B2487" s="302" t="str">
        <f>дома!A1658</f>
        <v>Командировочные расходы</v>
      </c>
      <c r="C2487" s="2890" t="str">
        <f>дома!B1658</f>
        <v>рублей</v>
      </c>
      <c r="D2487" s="302">
        <f>дома!C1658</f>
        <v>1</v>
      </c>
      <c r="E2487" s="302">
        <f>дома!I1658</f>
        <v>0</v>
      </c>
      <c r="F2487" s="302"/>
      <c r="G2487" s="275">
        <f t="shared" si="373"/>
        <v>0</v>
      </c>
      <c r="H2487" s="96">
        <f>D2487*E2487*$H$607</f>
        <v>0</v>
      </c>
      <c r="I2487" s="2911">
        <f t="shared" si="374"/>
        <v>0</v>
      </c>
      <c r="J2487" s="2863"/>
      <c r="K2487" s="223">
        <f t="shared" si="375"/>
        <v>1</v>
      </c>
      <c r="L2487" s="2854"/>
    </row>
    <row r="2488" spans="1:13">
      <c r="A2488" s="2837"/>
      <c r="B2488" s="2898" t="str">
        <f>дома!A1739</f>
        <v>Командировочные расходы</v>
      </c>
      <c r="C2488" s="236" t="str">
        <f>дома!B1739</f>
        <v>рублей</v>
      </c>
      <c r="D2488" s="2899">
        <f>дома!C1739</f>
        <v>1</v>
      </c>
      <c r="E2488" s="35">
        <f>дома!I1739</f>
        <v>0</v>
      </c>
      <c r="F2488" s="35"/>
      <c r="G2488" s="275">
        <f t="shared" si="373"/>
        <v>0</v>
      </c>
      <c r="H2488" s="35">
        <f>D2488*E2488*$H$666</f>
        <v>0</v>
      </c>
      <c r="I2488" s="2911">
        <f t="shared" si="374"/>
        <v>0</v>
      </c>
      <c r="J2488" s="2863"/>
      <c r="K2488" s="223">
        <f t="shared" si="375"/>
        <v>1</v>
      </c>
      <c r="L2488" s="2854"/>
    </row>
    <row r="2489" spans="1:13">
      <c r="A2489" s="2837"/>
      <c r="B2489" s="2898" t="str">
        <f>дома!A1809</f>
        <v>Командировочные расходы</v>
      </c>
      <c r="C2489" s="236" t="str">
        <f>дома!B1809</f>
        <v>рублей</v>
      </c>
      <c r="D2489" s="2899">
        <f>дома!C1809</f>
        <v>1</v>
      </c>
      <c r="E2489" s="35">
        <f>дома!D1809</f>
        <v>0</v>
      </c>
      <c r="F2489" s="35"/>
      <c r="G2489" s="275">
        <f t="shared" si="373"/>
        <v>0</v>
      </c>
      <c r="H2489" s="35">
        <f>D2489*E2489*$H$718</f>
        <v>0</v>
      </c>
      <c r="I2489" s="2911">
        <f t="shared" si="374"/>
        <v>0</v>
      </c>
      <c r="J2489" s="2863"/>
      <c r="K2489" s="223">
        <f t="shared" si="375"/>
        <v>1</v>
      </c>
      <c r="L2489" s="2854"/>
    </row>
    <row r="2490" spans="1:13">
      <c r="A2490" s="2837"/>
      <c r="B2490" s="275" t="str">
        <f>дома!A2008</f>
        <v>Командировочные расходы</v>
      </c>
      <c r="C2490" s="99" t="str">
        <f>дома!B2008</f>
        <v>рублей</v>
      </c>
      <c r="D2490" s="275">
        <f>дома!C2008</f>
        <v>1</v>
      </c>
      <c r="E2490" s="100">
        <f>дома!D2008</f>
        <v>0</v>
      </c>
      <c r="F2490" s="100"/>
      <c r="G2490" s="275">
        <f t="shared" si="373"/>
        <v>0</v>
      </c>
      <c r="H2490" s="275">
        <f>D2490*E2490*$H$755</f>
        <v>0</v>
      </c>
      <c r="I2490" s="2911">
        <f t="shared" si="374"/>
        <v>0</v>
      </c>
      <c r="J2490" s="2863"/>
      <c r="K2490" s="223">
        <f t="shared" si="375"/>
        <v>1</v>
      </c>
      <c r="L2490" s="2854"/>
    </row>
    <row r="2491" spans="1:13">
      <c r="A2491" s="2837"/>
      <c r="B2491" s="275" t="str">
        <f>дома!A1962</f>
        <v>Командировочные расходы</v>
      </c>
      <c r="C2491" s="99" t="str">
        <f>дома!B1962</f>
        <v>рублей</v>
      </c>
      <c r="D2491" s="275">
        <f>дома!C1962</f>
        <v>1</v>
      </c>
      <c r="E2491" s="100">
        <f>дома!D1962</f>
        <v>0</v>
      </c>
      <c r="F2491" s="100"/>
      <c r="G2491" s="275">
        <f t="shared" si="373"/>
        <v>0</v>
      </c>
      <c r="H2491" s="2315">
        <f>D2491*E2491*$H$793</f>
        <v>0</v>
      </c>
      <c r="I2491" s="2911">
        <f t="shared" si="374"/>
        <v>0</v>
      </c>
      <c r="J2491" s="2863"/>
      <c r="K2491" s="223">
        <f t="shared" si="375"/>
        <v>1</v>
      </c>
      <c r="L2491" s="2854"/>
    </row>
    <row r="2492" spans="1:13">
      <c r="A2492" s="2837"/>
      <c r="B2492" s="275" t="str">
        <f>дома!A1854</f>
        <v>Командировочные расходы</v>
      </c>
      <c r="C2492" s="99" t="str">
        <f>дома!B1854</f>
        <v>рублей</v>
      </c>
      <c r="D2492" s="275">
        <f>дома!C1854</f>
        <v>1</v>
      </c>
      <c r="E2492" s="100">
        <f>дома!D1854</f>
        <v>0</v>
      </c>
      <c r="F2492" s="100"/>
      <c r="G2492" s="275">
        <f t="shared" si="373"/>
        <v>0</v>
      </c>
      <c r="H2492" s="96">
        <f>D2492*E2492*$H$830</f>
        <v>0</v>
      </c>
      <c r="I2492" s="2911">
        <f t="shared" si="374"/>
        <v>0</v>
      </c>
      <c r="J2492" s="2863"/>
      <c r="K2492" s="223">
        <f t="shared" si="375"/>
        <v>1</v>
      </c>
      <c r="L2492" s="2854"/>
    </row>
    <row r="2493" spans="1:13">
      <c r="A2493" s="2837"/>
      <c r="B2493" s="275" t="str">
        <f>дома!A1901</f>
        <v>Командировочные расходы</v>
      </c>
      <c r="C2493" s="99" t="str">
        <f>дома!B1901</f>
        <v>рублей</v>
      </c>
      <c r="D2493" s="275">
        <f>дома!C1901</f>
        <v>1</v>
      </c>
      <c r="E2493" s="100">
        <f>дома!D1901</f>
        <v>0</v>
      </c>
      <c r="F2493" s="100"/>
      <c r="G2493" s="275">
        <f t="shared" si="373"/>
        <v>0</v>
      </c>
      <c r="H2493" s="96">
        <f>D2493*E2493*$H$867</f>
        <v>0</v>
      </c>
      <c r="I2493" s="2911">
        <f t="shared" si="374"/>
        <v>0</v>
      </c>
      <c r="J2493" s="2863"/>
      <c r="K2493" s="223">
        <f t="shared" si="375"/>
        <v>1</v>
      </c>
      <c r="L2493" s="2854"/>
    </row>
    <row r="2494" spans="1:13">
      <c r="A2494" s="2837"/>
      <c r="B2494" s="2284" t="str">
        <f>B454</f>
        <v>Командировочные расходы</v>
      </c>
      <c r="C2494" s="2284"/>
      <c r="D2494" s="2284">
        <f>D454</f>
        <v>1</v>
      </c>
      <c r="E2494" s="275">
        <f>E454</f>
        <v>0</v>
      </c>
      <c r="F2494" s="2986"/>
      <c r="G2494" s="275">
        <f t="shared" si="373"/>
        <v>0</v>
      </c>
      <c r="H2494" s="96">
        <f>D2494*E2494*$H$867</f>
        <v>0</v>
      </c>
      <c r="I2494" s="2911">
        <f t="shared" si="374"/>
        <v>0</v>
      </c>
      <c r="J2494" s="2863"/>
      <c r="K2494" s="223">
        <f t="shared" si="375"/>
        <v>1</v>
      </c>
      <c r="L2494" s="2854"/>
    </row>
    <row r="2495" spans="1:13">
      <c r="A2495" s="2837"/>
      <c r="B2495" s="2284" t="str">
        <f>B537</f>
        <v>Командировочные расходы</v>
      </c>
      <c r="C2495" s="2284"/>
      <c r="D2495" s="2284">
        <f>D537</f>
        <v>1</v>
      </c>
      <c r="E2495" s="275">
        <f>E537</f>
        <v>0</v>
      </c>
      <c r="F2495" s="2986"/>
      <c r="G2495" s="275">
        <f t="shared" si="373"/>
        <v>0</v>
      </c>
      <c r="H2495" s="96">
        <f>D2495*E2495*$H$867</f>
        <v>0</v>
      </c>
      <c r="I2495" s="2911">
        <f t="shared" si="374"/>
        <v>0</v>
      </c>
      <c r="J2495" s="2863"/>
      <c r="K2495" s="223">
        <f t="shared" si="375"/>
        <v>1</v>
      </c>
      <c r="L2495" s="2854"/>
    </row>
    <row r="2496" spans="1:13">
      <c r="A2496" s="2837"/>
      <c r="B2496" s="3302" t="s">
        <v>4605</v>
      </c>
      <c r="C2496" s="3302"/>
      <c r="D2496" s="3302"/>
      <c r="E2496" s="3302"/>
      <c r="F2496" s="2978"/>
      <c r="G2496" s="2984">
        <f>SUM(G2484:G2495)</f>
        <v>0</v>
      </c>
      <c r="H2496" s="2984">
        <f>SUM(H2484:H2495)</f>
        <v>0</v>
      </c>
      <c r="I2496" s="2911">
        <f t="shared" si="374"/>
        <v>0</v>
      </c>
      <c r="J2496" s="2863"/>
      <c r="K2496" s="223">
        <f t="shared" si="375"/>
        <v>0</v>
      </c>
      <c r="L2496" s="2854"/>
    </row>
    <row r="2497" spans="1:11">
      <c r="A2497" s="2837"/>
      <c r="B2497" s="2893"/>
      <c r="C2497" s="2987"/>
      <c r="D2497" s="2988"/>
      <c r="E2497" s="2989"/>
      <c r="F2497" s="2989"/>
      <c r="G2497" s="2989"/>
      <c r="H2497" s="2990"/>
      <c r="I2497" s="2836"/>
      <c r="J2497" s="2892"/>
      <c r="K2497" s="2893"/>
    </row>
    <row r="2498" spans="1:11">
      <c r="A2498" s="2829"/>
      <c r="B2498" s="3304" t="s">
        <v>4673</v>
      </c>
      <c r="C2498" s="3304"/>
      <c r="D2498" s="3304"/>
      <c r="E2498" s="3304"/>
      <c r="F2498" s="2991"/>
      <c r="G2498" s="2992">
        <f>G23+G54+G87+G112+G131+G196+G236+G281+G322+G358+G592+G652+G708+G743+G780+G817+G854+G891+G1202+G1277+G1326+G1463+G1530+G1601+G1664+G1729+G1797+G1858+G1952+G1980+G2015+G2069+G2179+G2245+G2269+G2286+G2310+G2336+G2482+G1389+G149+G167+G1913+G1309+G429+G512+G1994+G2005</f>
        <v>728424.68621438311</v>
      </c>
      <c r="H2498" s="2992">
        <f>H23+H54+H87+H112+H131+H196+H236+H281+H322+H358+H592+H652+H708+H743+H780+H817+H854+H891+H1202+H1277+H1326+H1463+H1530+H1601+H1664+H1729+H1797+H1858+H1952+H1980+H2015+H2069+H2179+H2245+H2269+H2286+H2310+H2336+H2482+H1389+H149+H167+H1913+H1309+H429+H512+H1994+H2005</f>
        <v>645423.27619999996</v>
      </c>
      <c r="I2498" s="2844"/>
      <c r="J2498" s="2829"/>
      <c r="K2498" s="2837"/>
    </row>
    <row r="2499" spans="1:11">
      <c r="A2499" s="2829"/>
      <c r="B2499" s="3304" t="s">
        <v>4674</v>
      </c>
      <c r="C2499" s="3304"/>
      <c r="D2499" s="3304"/>
      <c r="E2499" s="3304"/>
      <c r="F2499" s="2991"/>
      <c r="G2499" s="2992">
        <f>G33+G70+G98+G122+G140+G213+G255+G301+G330+G374+G605+G665+G791+G828+G865+G902+G1288+G1482+G1548+G1621+G1679+G1748+G1873+G1967+G1983+G2097+G2225+G2255+G2274+G2294+G2319+G2346+G1334+G2021+G1814+G754+G717+G1248+G1408+G158+G176+G1929+G1312+G452+G535+G1997+G2008</f>
        <v>307133.60000000003</v>
      </c>
      <c r="H2499" s="2992">
        <f>H33+H70+H98+H122+H140+H213+H255+H301+H330+H374+H605+H665+H791+H828+H865+H902+H1288+H1482+H1548+H1621+H1679+H1748+H1873+H1967+H1983+H2097+H2225+H2255+H2274+H2294+H2319+H2346+H1334+H2021+H1814+H754+H717+H1248+H1408+H158+H176+H1929+H1312+H452+H535+H1997+H2008</f>
        <v>247133.60000000003</v>
      </c>
      <c r="I2499" s="2844"/>
      <c r="J2499" s="2829"/>
      <c r="K2499" s="2837"/>
    </row>
    <row r="2500" spans="1:11">
      <c r="A2500" s="2829"/>
      <c r="B2500" s="2993"/>
      <c r="C2500" s="2994"/>
      <c r="D2500" s="2995"/>
      <c r="E2500" s="2991" t="s">
        <v>4675</v>
      </c>
      <c r="F2500" s="2991"/>
      <c r="G2500" s="2992">
        <f>G2441</f>
        <v>0</v>
      </c>
      <c r="H2500" s="2992">
        <f>H2441</f>
        <v>0</v>
      </c>
      <c r="I2500" s="2844"/>
      <c r="J2500" s="2829"/>
      <c r="K2500" s="2837"/>
    </row>
    <row r="2501" spans="1:11">
      <c r="A2501" s="2829"/>
      <c r="B2501" s="3304" t="s">
        <v>4676</v>
      </c>
      <c r="C2501" s="3304"/>
      <c r="D2501" s="3304"/>
      <c r="E2501" s="3304"/>
      <c r="F2501" s="2991"/>
      <c r="G2501" s="2992">
        <f>G2482</f>
        <v>15000</v>
      </c>
      <c r="H2501" s="2992">
        <f>H2482</f>
        <v>15000</v>
      </c>
      <c r="I2501" s="2844"/>
      <c r="J2501" s="2829"/>
      <c r="K2501" s="2837"/>
    </row>
    <row r="2502" spans="1:11">
      <c r="A2502" s="2829"/>
      <c r="B2502" s="3305" t="s">
        <v>4677</v>
      </c>
      <c r="C2502" s="3305"/>
      <c r="D2502" s="3305"/>
      <c r="E2502" s="3305"/>
      <c r="F2502" s="2996"/>
      <c r="G2502" s="2992">
        <f>G2496</f>
        <v>0</v>
      </c>
      <c r="H2502" s="2992">
        <f>H2496</f>
        <v>0</v>
      </c>
      <c r="I2502" s="2844"/>
      <c r="J2502" s="2829"/>
      <c r="K2502" s="2837"/>
    </row>
    <row r="2503" spans="1:11">
      <c r="A2503" s="2829"/>
      <c r="B2503" s="3304" t="s">
        <v>4678</v>
      </c>
      <c r="C2503" s="3304"/>
      <c r="D2503" s="3304"/>
      <c r="E2503" s="3304"/>
      <c r="F2503" s="2991"/>
      <c r="G2503" s="2992">
        <f>SUM(G2498:G2502)</f>
        <v>1050558.2862143831</v>
      </c>
      <c r="H2503" s="2992">
        <f>SUM(H2498:H2502)</f>
        <v>907556.87620000006</v>
      </c>
      <c r="I2503" s="2844"/>
      <c r="J2503" s="2829"/>
      <c r="K2503" s="2837"/>
    </row>
    <row r="2504" spans="1:11">
      <c r="A2504" s="2829"/>
      <c r="B2504" s="3306" t="s">
        <v>4679</v>
      </c>
      <c r="C2504" s="3306"/>
      <c r="D2504" s="3306"/>
      <c r="E2504" s="3306"/>
      <c r="F2504" s="3306"/>
      <c r="G2504" s="3306"/>
      <c r="H2504" s="3306"/>
      <c r="I2504" s="2844"/>
      <c r="J2504" s="2829"/>
      <c r="K2504" s="2837"/>
    </row>
    <row r="2505" spans="1:11">
      <c r="A2505" s="2829"/>
      <c r="B2505" s="2829" t="s">
        <v>4680</v>
      </c>
      <c r="C2505" s="2997"/>
      <c r="D2505" s="2998"/>
      <c r="E2505" s="2999"/>
      <c r="F2505" s="2999"/>
      <c r="G2505" s="2999"/>
      <c r="H2505" s="3000"/>
      <c r="I2505" s="2844"/>
      <c r="J2505" s="2829"/>
      <c r="K2505" s="2837"/>
    </row>
    <row r="2506" spans="1:11">
      <c r="A2506" s="2829"/>
      <c r="B2506" s="3306" t="s">
        <v>4681</v>
      </c>
      <c r="C2506" s="3306"/>
      <c r="D2506" s="3306"/>
      <c r="E2506" s="2999"/>
      <c r="F2506" s="2999"/>
      <c r="G2506" s="2999"/>
      <c r="H2506" s="3000"/>
      <c r="I2506" s="2844"/>
      <c r="J2506" s="2829"/>
      <c r="K2506" s="2837"/>
    </row>
    <row r="2507" spans="1:11">
      <c r="A2507" s="2829"/>
      <c r="B2507" s="3306" t="s">
        <v>4682</v>
      </c>
      <c r="C2507" s="3306"/>
      <c r="D2507" s="3306"/>
      <c r="E2507" s="3001"/>
      <c r="F2507" s="3001"/>
      <c r="G2507" s="3001"/>
      <c r="H2507" s="3000"/>
      <c r="I2507" s="2844"/>
      <c r="J2507" s="2829"/>
      <c r="K2507" s="2837"/>
    </row>
    <row r="2508" spans="1:11">
      <c r="A2508" s="2829"/>
      <c r="B2508" s="2829"/>
      <c r="C2508" s="2997"/>
      <c r="D2508" s="2998"/>
      <c r="E2508" s="3001"/>
      <c r="F2508" s="3001"/>
      <c r="G2508" s="3001"/>
      <c r="H2508" s="3000"/>
      <c r="I2508" s="2844"/>
      <c r="J2508" s="2829"/>
      <c r="K2508" s="2837"/>
    </row>
    <row r="2509" spans="1:11">
      <c r="A2509" s="2829"/>
      <c r="B2509" s="2829"/>
      <c r="C2509" s="2997"/>
      <c r="D2509" s="2998"/>
      <c r="E2509" s="2838"/>
      <c r="F2509" s="2838"/>
      <c r="G2509" s="2838"/>
      <c r="H2509" s="3000"/>
      <c r="I2509" s="2844"/>
      <c r="J2509" s="2829"/>
      <c r="K2509" s="2837"/>
    </row>
    <row r="2510" spans="1:11">
      <c r="A2510" s="2829"/>
      <c r="B2510" s="2829"/>
      <c r="C2510" s="2997"/>
      <c r="D2510" s="2998"/>
      <c r="E2510" s="2838"/>
      <c r="F2510" s="2838"/>
      <c r="G2510" s="2838"/>
      <c r="H2510" s="3000"/>
      <c r="I2510" s="2844"/>
      <c r="J2510" s="2829"/>
      <c r="K2510" s="2837"/>
    </row>
    <row r="2511" spans="1:11">
      <c r="A2511" s="2829"/>
      <c r="B2511" s="2829"/>
      <c r="C2511" s="2997"/>
      <c r="D2511" s="2998"/>
      <c r="E2511" s="2838"/>
      <c r="F2511" s="2838"/>
      <c r="G2511" s="2838"/>
      <c r="H2511" s="3000"/>
      <c r="I2511" s="2844"/>
      <c r="J2511" s="2829"/>
      <c r="K2511" s="2837"/>
    </row>
    <row r="2512" spans="1:11">
      <c r="A2512" s="2829"/>
      <c r="B2512" s="2829"/>
      <c r="C2512" s="2997"/>
      <c r="D2512" s="2998"/>
      <c r="E2512" s="2838"/>
      <c r="F2512" s="2838"/>
      <c r="G2512" s="2838"/>
      <c r="H2512" s="3000"/>
      <c r="I2512" s="2844"/>
      <c r="J2512" s="2829"/>
      <c r="K2512" s="2837"/>
    </row>
    <row r="2513" spans="1:11">
      <c r="A2513" s="2829"/>
      <c r="B2513" s="2829"/>
      <c r="C2513" s="2997"/>
      <c r="D2513" s="2998"/>
      <c r="E2513" s="2838"/>
      <c r="F2513" s="2838"/>
      <c r="G2513" s="2838"/>
      <c r="H2513" s="3000"/>
      <c r="I2513" s="2844"/>
      <c r="J2513" s="2829"/>
      <c r="K2513" s="2837"/>
    </row>
    <row r="2514" spans="1:11">
      <c r="A2514" s="2829"/>
      <c r="B2514" s="2829"/>
      <c r="C2514" s="2997"/>
      <c r="D2514" s="2998"/>
      <c r="E2514" s="2838"/>
      <c r="F2514" s="2838"/>
      <c r="G2514" s="2838"/>
      <c r="H2514" s="3000"/>
      <c r="I2514" s="2844"/>
      <c r="J2514" s="2829"/>
      <c r="K2514" s="2837"/>
    </row>
    <row r="2515" spans="1:11">
      <c r="A2515" s="2829"/>
      <c r="B2515" s="2829"/>
      <c r="C2515" s="2997"/>
      <c r="D2515" s="2998"/>
      <c r="E2515" s="2838"/>
      <c r="F2515" s="2838"/>
      <c r="G2515" s="2838"/>
      <c r="H2515" s="3000"/>
      <c r="I2515" s="2844"/>
      <c r="J2515" s="2829"/>
      <c r="K2515" s="2837"/>
    </row>
    <row r="2516" spans="1:11">
      <c r="A2516" s="2829"/>
      <c r="B2516" s="2829"/>
      <c r="C2516" s="2997"/>
      <c r="D2516" s="2998"/>
      <c r="E2516" s="2838"/>
      <c r="F2516" s="2838"/>
      <c r="G2516" s="2838"/>
      <c r="H2516" s="3000"/>
      <c r="I2516" s="2844"/>
      <c r="J2516" s="2829"/>
      <c r="K2516" s="2837"/>
    </row>
    <row r="2517" spans="1:11">
      <c r="A2517" s="2829"/>
      <c r="B2517" s="2829"/>
      <c r="C2517" s="2997"/>
      <c r="D2517" s="2998"/>
      <c r="E2517" s="2838"/>
      <c r="F2517" s="2838"/>
      <c r="G2517" s="2838"/>
      <c r="H2517" s="3000"/>
      <c r="I2517" s="2844"/>
      <c r="J2517" s="2829"/>
      <c r="K2517" s="2837"/>
    </row>
    <row r="2518" spans="1:11">
      <c r="A2518" s="2829"/>
      <c r="B2518" s="2829"/>
      <c r="C2518" s="2997"/>
      <c r="D2518" s="2998"/>
      <c r="E2518" s="2838"/>
      <c r="F2518" s="2838"/>
      <c r="G2518" s="2838"/>
      <c r="H2518" s="3000"/>
      <c r="I2518" s="2844"/>
      <c r="J2518" s="2829"/>
      <c r="K2518" s="2837"/>
    </row>
    <row r="2519" spans="1:11">
      <c r="A2519" s="2829"/>
      <c r="B2519" s="2829"/>
      <c r="C2519" s="2997"/>
      <c r="D2519" s="2998"/>
      <c r="E2519" s="2838"/>
      <c r="F2519" s="2838"/>
      <c r="G2519" s="2838"/>
      <c r="H2519" s="3000"/>
      <c r="I2519" s="2844"/>
      <c r="J2519" s="2829"/>
      <c r="K2519" s="2837"/>
    </row>
    <row r="2520" spans="1:11">
      <c r="A2520" s="2829"/>
      <c r="B2520" s="2829"/>
      <c r="C2520" s="2997"/>
      <c r="D2520" s="2998"/>
      <c r="E2520" s="2838"/>
      <c r="F2520" s="2838"/>
      <c r="G2520" s="2838"/>
      <c r="H2520" s="3000"/>
      <c r="I2520" s="2844"/>
      <c r="J2520" s="2829"/>
      <c r="K2520" s="2837"/>
    </row>
    <row r="2521" spans="1:11">
      <c r="A2521" s="2829"/>
      <c r="B2521" s="2829"/>
      <c r="C2521" s="2997"/>
      <c r="D2521" s="2998"/>
      <c r="E2521" s="2838"/>
      <c r="F2521" s="2838"/>
      <c r="G2521" s="2838"/>
      <c r="H2521" s="3000"/>
      <c r="I2521" s="2844"/>
      <c r="J2521" s="2829"/>
      <c r="K2521" s="2837"/>
    </row>
    <row r="2522" spans="1:11">
      <c r="A2522" s="2829"/>
      <c r="B2522" s="2829"/>
      <c r="C2522" s="2997"/>
      <c r="D2522" s="2998"/>
      <c r="E2522" s="2838"/>
      <c r="F2522" s="2838"/>
      <c r="G2522" s="2838"/>
      <c r="H2522" s="3000"/>
      <c r="I2522" s="2844"/>
      <c r="J2522" s="2829"/>
      <c r="K2522" s="2837"/>
    </row>
    <row r="2523" spans="1:11">
      <c r="A2523" s="2829"/>
      <c r="B2523" s="2829"/>
      <c r="C2523" s="2997"/>
      <c r="D2523" s="2998"/>
      <c r="E2523" s="2838"/>
      <c r="F2523" s="2838"/>
      <c r="G2523" s="2838"/>
      <c r="H2523" s="3000"/>
      <c r="I2523" s="2844"/>
      <c r="J2523" s="2829"/>
      <c r="K2523" s="2837"/>
    </row>
    <row r="2524" spans="1:11">
      <c r="A2524" s="2829"/>
      <c r="B2524" s="2829"/>
      <c r="C2524" s="2997"/>
      <c r="D2524" s="2998"/>
      <c r="E2524" s="2838"/>
      <c r="F2524" s="2838"/>
      <c r="G2524" s="2838"/>
      <c r="H2524" s="3000"/>
      <c r="I2524" s="2844"/>
      <c r="J2524" s="2829"/>
      <c r="K2524" s="2837"/>
    </row>
    <row r="2525" spans="1:11">
      <c r="A2525" s="2829"/>
      <c r="B2525" s="2829"/>
      <c r="C2525" s="2997"/>
      <c r="D2525" s="2998"/>
      <c r="E2525" s="2838"/>
      <c r="F2525" s="2838"/>
      <c r="G2525" s="2838"/>
      <c r="H2525" s="3000"/>
      <c r="I2525" s="2844"/>
      <c r="J2525" s="2829"/>
      <c r="K2525" s="2837"/>
    </row>
    <row r="2526" spans="1:11">
      <c r="A2526" s="2829"/>
      <c r="B2526" s="2829"/>
      <c r="C2526" s="2997"/>
      <c r="D2526" s="2998"/>
      <c r="E2526" s="2838"/>
      <c r="F2526" s="2838"/>
      <c r="G2526" s="2838"/>
      <c r="H2526" s="3000"/>
      <c r="I2526" s="2844"/>
      <c r="J2526" s="2829"/>
      <c r="K2526" s="2837"/>
    </row>
    <row r="2527" spans="1:11">
      <c r="A2527" s="2829"/>
      <c r="B2527" s="2829"/>
      <c r="C2527" s="2997"/>
      <c r="D2527" s="2998"/>
      <c r="E2527" s="2838"/>
      <c r="F2527" s="2838"/>
      <c r="G2527" s="2838"/>
      <c r="H2527" s="3000"/>
      <c r="I2527" s="2844"/>
      <c r="J2527" s="2829"/>
      <c r="K2527" s="2837"/>
    </row>
    <row r="2528" spans="1:11">
      <c r="A2528" s="2829"/>
      <c r="B2528" s="2829"/>
      <c r="C2528" s="2997"/>
      <c r="D2528" s="2998"/>
      <c r="E2528" s="2838"/>
      <c r="F2528" s="2838"/>
      <c r="G2528" s="2838"/>
      <c r="H2528" s="3000"/>
      <c r="I2528" s="2844"/>
      <c r="J2528" s="2829"/>
      <c r="K2528" s="2837"/>
    </row>
    <row r="2529" spans="1:11">
      <c r="A2529" s="2829"/>
      <c r="B2529" s="2829"/>
      <c r="C2529" s="2997"/>
      <c r="D2529" s="2998"/>
      <c r="E2529" s="2838"/>
      <c r="F2529" s="2838"/>
      <c r="G2529" s="2838"/>
      <c r="H2529" s="3000"/>
      <c r="I2529" s="2844"/>
      <c r="J2529" s="2829"/>
      <c r="K2529" s="2837"/>
    </row>
    <row r="2530" spans="1:11">
      <c r="A2530" s="2829"/>
      <c r="B2530" s="2829"/>
      <c r="C2530" s="2997"/>
      <c r="D2530" s="2998"/>
      <c r="E2530" s="2838"/>
      <c r="F2530" s="2838"/>
      <c r="G2530" s="2838"/>
      <c r="H2530" s="3000"/>
      <c r="I2530" s="2844"/>
      <c r="J2530" s="2829"/>
      <c r="K2530" s="2837"/>
    </row>
    <row r="2531" spans="1:11">
      <c r="A2531" s="2829"/>
      <c r="B2531" s="2829"/>
      <c r="C2531" s="2997"/>
      <c r="D2531" s="2998"/>
      <c r="E2531" s="2838"/>
      <c r="F2531" s="2838"/>
      <c r="G2531" s="2838"/>
      <c r="H2531" s="3000"/>
      <c r="I2531" s="2844"/>
      <c r="J2531" s="2829"/>
      <c r="K2531" s="2837"/>
    </row>
    <row r="2532" spans="1:11">
      <c r="A2532" s="2829"/>
      <c r="B2532" s="2829"/>
      <c r="C2532" s="2997"/>
      <c r="D2532" s="2998"/>
      <c r="E2532" s="2838"/>
      <c r="F2532" s="2838"/>
      <c r="G2532" s="2838"/>
      <c r="H2532" s="3000"/>
      <c r="I2532" s="2844"/>
      <c r="J2532" s="2829"/>
      <c r="K2532" s="2837"/>
    </row>
    <row r="2533" spans="1:11">
      <c r="A2533" s="2829"/>
      <c r="B2533" s="2829"/>
      <c r="C2533" s="2997"/>
      <c r="D2533" s="2998"/>
      <c r="E2533" s="2838"/>
      <c r="F2533" s="2838"/>
      <c r="G2533" s="2838"/>
      <c r="H2533" s="3000"/>
      <c r="I2533" s="2844"/>
      <c r="J2533" s="2829"/>
      <c r="K2533" s="2837"/>
    </row>
    <row r="2534" spans="1:11">
      <c r="A2534" s="2829"/>
      <c r="B2534" s="2829"/>
      <c r="C2534" s="2997"/>
      <c r="D2534" s="2998"/>
      <c r="E2534" s="2838"/>
      <c r="F2534" s="2838"/>
      <c r="G2534" s="2838"/>
      <c r="H2534" s="3000"/>
      <c r="I2534" s="2844"/>
      <c r="J2534" s="2829"/>
      <c r="K2534" s="2837"/>
    </row>
    <row r="2535" spans="1:11">
      <c r="A2535" s="2829"/>
      <c r="B2535" s="2829"/>
      <c r="C2535" s="2997"/>
      <c r="D2535" s="2998"/>
      <c r="E2535" s="2838"/>
      <c r="F2535" s="2838"/>
      <c r="G2535" s="2838"/>
      <c r="H2535" s="3000"/>
      <c r="I2535" s="2844"/>
      <c r="J2535" s="2829"/>
      <c r="K2535" s="2837"/>
    </row>
    <row r="2536" spans="1:11">
      <c r="A2536" s="2829"/>
      <c r="B2536" s="2829"/>
      <c r="C2536" s="2997"/>
      <c r="D2536" s="2998"/>
      <c r="E2536" s="2838"/>
      <c r="F2536" s="2838"/>
      <c r="G2536" s="2838"/>
      <c r="H2536" s="3000"/>
      <c r="I2536" s="2844"/>
      <c r="J2536" s="2829"/>
      <c r="K2536" s="2837"/>
    </row>
    <row r="2537" spans="1:11">
      <c r="A2537" s="2829"/>
      <c r="B2537" s="2829"/>
      <c r="C2537" s="2997"/>
      <c r="D2537" s="2998"/>
      <c r="E2537" s="2838"/>
      <c r="F2537" s="2838"/>
      <c r="G2537" s="2838"/>
      <c r="H2537" s="3000"/>
      <c r="I2537" s="2844"/>
      <c r="J2537" s="2829"/>
      <c r="K2537" s="2837"/>
    </row>
    <row r="2538" spans="1:11">
      <c r="A2538" s="2829"/>
      <c r="B2538" s="2829"/>
      <c r="C2538" s="2997"/>
      <c r="D2538" s="2998"/>
      <c r="E2538" s="2838"/>
      <c r="F2538" s="2838"/>
      <c r="G2538" s="2838"/>
      <c r="H2538" s="3000"/>
      <c r="I2538" s="2844"/>
      <c r="J2538" s="2829"/>
      <c r="K2538" s="2837"/>
    </row>
    <row r="2539" spans="1:11">
      <c r="A2539" s="2829"/>
      <c r="B2539" s="2829"/>
      <c r="C2539" s="2997"/>
      <c r="D2539" s="2998"/>
      <c r="E2539" s="2838"/>
      <c r="F2539" s="2838"/>
      <c r="G2539" s="2838"/>
      <c r="H2539" s="3000"/>
      <c r="I2539" s="2844"/>
      <c r="J2539" s="2829"/>
      <c r="K2539" s="2837"/>
    </row>
    <row r="2540" spans="1:11">
      <c r="A2540" s="2829"/>
      <c r="B2540" s="2829"/>
      <c r="C2540" s="2997"/>
      <c r="D2540" s="2998"/>
      <c r="E2540" s="2838"/>
      <c r="F2540" s="2838"/>
      <c r="G2540" s="2838"/>
      <c r="H2540" s="3000"/>
      <c r="I2540" s="2844"/>
      <c r="J2540" s="2829"/>
      <c r="K2540" s="2837"/>
    </row>
    <row r="2541" spans="1:11">
      <c r="A2541" s="2829"/>
      <c r="B2541" s="2829"/>
      <c r="C2541" s="2997"/>
      <c r="D2541" s="2998"/>
      <c r="E2541" s="2838"/>
      <c r="F2541" s="2838"/>
      <c r="G2541" s="2838"/>
      <c r="H2541" s="3000"/>
      <c r="I2541" s="2844"/>
      <c r="J2541" s="2829"/>
      <c r="K2541" s="2837"/>
    </row>
    <row r="2542" spans="1:11">
      <c r="A2542" s="2829"/>
      <c r="B2542" s="2829"/>
      <c r="C2542" s="2997"/>
      <c r="D2542" s="2998"/>
      <c r="E2542" s="2838"/>
      <c r="F2542" s="2838"/>
      <c r="G2542" s="2838"/>
      <c r="H2542" s="3000"/>
      <c r="I2542" s="2844"/>
      <c r="J2542" s="2829"/>
      <c r="K2542" s="2837"/>
    </row>
    <row r="2543" spans="1:11">
      <c r="A2543" s="2829"/>
      <c r="B2543" s="2829"/>
      <c r="C2543" s="2997"/>
      <c r="D2543" s="2998"/>
      <c r="E2543" s="2838"/>
      <c r="F2543" s="2838"/>
      <c r="G2543" s="2838"/>
      <c r="H2543" s="3000"/>
      <c r="I2543" s="2844"/>
      <c r="J2543" s="2829"/>
      <c r="K2543" s="2837"/>
    </row>
    <row r="2544" spans="1:11">
      <c r="A2544" s="2829"/>
      <c r="B2544" s="2829"/>
      <c r="C2544" s="2997"/>
      <c r="D2544" s="2998"/>
      <c r="E2544" s="2838"/>
      <c r="F2544" s="2838"/>
      <c r="G2544" s="2838"/>
      <c r="H2544" s="3000"/>
      <c r="I2544" s="2844"/>
      <c r="J2544" s="2829"/>
      <c r="K2544" s="2837"/>
    </row>
    <row r="2545" spans="1:11">
      <c r="A2545" s="2829"/>
      <c r="B2545" s="2829"/>
      <c r="C2545" s="2997"/>
      <c r="D2545" s="2998"/>
      <c r="E2545" s="2838"/>
      <c r="F2545" s="2838"/>
      <c r="G2545" s="2838"/>
      <c r="H2545" s="3000"/>
      <c r="I2545" s="2844"/>
      <c r="J2545" s="2829"/>
      <c r="K2545" s="2837"/>
    </row>
    <row r="2546" spans="1:11">
      <c r="A2546" s="2829"/>
      <c r="B2546" s="2829"/>
      <c r="C2546" s="2997"/>
      <c r="D2546" s="2998"/>
      <c r="E2546" s="2838"/>
      <c r="F2546" s="2838"/>
      <c r="G2546" s="2838"/>
      <c r="H2546" s="3000"/>
      <c r="I2546" s="2844"/>
      <c r="J2546" s="2829"/>
      <c r="K2546" s="2837"/>
    </row>
    <row r="2547" spans="1:11">
      <c r="A2547" s="2829"/>
      <c r="B2547" s="2829"/>
      <c r="C2547" s="2997"/>
      <c r="D2547" s="2998"/>
      <c r="E2547" s="2838"/>
      <c r="F2547" s="2838"/>
      <c r="G2547" s="2838"/>
      <c r="H2547" s="3000"/>
      <c r="I2547" s="2844"/>
      <c r="J2547" s="2829"/>
      <c r="K2547" s="2837"/>
    </row>
  </sheetData>
  <autoFilter ref="H11:H2507" xr:uid="{00000000-0009-0000-0000-00000C000000}"/>
  <mergeCells count="277">
    <mergeCell ref="B2499:E2499"/>
    <mergeCell ref="B2501:E2501"/>
    <mergeCell ref="B2502:E2502"/>
    <mergeCell ref="B2503:E2503"/>
    <mergeCell ref="B2504:H2504"/>
    <mergeCell ref="B2506:D2506"/>
    <mergeCell ref="B2507:D2507"/>
    <mergeCell ref="B2337:E2337"/>
    <mergeCell ref="B2346:E2346"/>
    <mergeCell ref="B2347:E2347"/>
    <mergeCell ref="B2441:E2441"/>
    <mergeCell ref="B2442:E2442"/>
    <mergeCell ref="B2482:E2482"/>
    <mergeCell ref="B2483:E2483"/>
    <mergeCell ref="B2496:E2496"/>
    <mergeCell ref="B2498:E2498"/>
    <mergeCell ref="B2294:E2294"/>
    <mergeCell ref="B2295:E2295"/>
    <mergeCell ref="B2296:E2296"/>
    <mergeCell ref="B2310:E2310"/>
    <mergeCell ref="B2311:E2311"/>
    <mergeCell ref="B2319:E2319"/>
    <mergeCell ref="B2320:E2320"/>
    <mergeCell ref="B2321:E2321"/>
    <mergeCell ref="B2336:E2336"/>
    <mergeCell ref="B2256:E2256"/>
    <mergeCell ref="B2257:E2257"/>
    <mergeCell ref="B2269:E2269"/>
    <mergeCell ref="B2270:E2270"/>
    <mergeCell ref="B2274:E2274"/>
    <mergeCell ref="B2275:E2275"/>
    <mergeCell ref="B2276:E2276"/>
    <mergeCell ref="B2286:E2286"/>
    <mergeCell ref="B2287:E2287"/>
    <mergeCell ref="B2206:E2206"/>
    <mergeCell ref="B2212:E2212"/>
    <mergeCell ref="B2219:E2219"/>
    <mergeCell ref="B2225:E2225"/>
    <mergeCell ref="B2226:E2226"/>
    <mergeCell ref="B2227:E2227"/>
    <mergeCell ref="B2245:E2245"/>
    <mergeCell ref="B2246:E2246"/>
    <mergeCell ref="B2255:E2255"/>
    <mergeCell ref="B2100:E2100"/>
    <mergeCell ref="B2125:E2125"/>
    <mergeCell ref="B2149:E2149"/>
    <mergeCell ref="B2160:E2160"/>
    <mergeCell ref="B2172:E2172"/>
    <mergeCell ref="B2179:E2179"/>
    <mergeCell ref="B2180:E2180"/>
    <mergeCell ref="B2181:E2181"/>
    <mergeCell ref="B2192:E2192"/>
    <mergeCell ref="B2061:E2061"/>
    <mergeCell ref="B2069:E2069"/>
    <mergeCell ref="B2070:E2070"/>
    <mergeCell ref="B2071:E2071"/>
    <mergeCell ref="B2086:E2086"/>
    <mergeCell ref="B2093:E2093"/>
    <mergeCell ref="B2097:E2097"/>
    <mergeCell ref="B2098:E2098"/>
    <mergeCell ref="B2099:E2099"/>
    <mergeCell ref="B2009:E2009"/>
    <mergeCell ref="B2010:E2010"/>
    <mergeCell ref="B2015:E2015"/>
    <mergeCell ref="B2016:E2016"/>
    <mergeCell ref="B2021:E2021"/>
    <mergeCell ref="B2022:E2022"/>
    <mergeCell ref="B2023:E2023"/>
    <mergeCell ref="B2024:E2024"/>
    <mergeCell ref="B2049:E2049"/>
    <mergeCell ref="B1985:G1985"/>
    <mergeCell ref="B1994:E1994"/>
    <mergeCell ref="B1995:G1995"/>
    <mergeCell ref="B1997:E1997"/>
    <mergeCell ref="B1998:G1998"/>
    <mergeCell ref="B1999:G1999"/>
    <mergeCell ref="B2005:E2005"/>
    <mergeCell ref="B2006:G2006"/>
    <mergeCell ref="B2008:E2008"/>
    <mergeCell ref="B1952:E1952"/>
    <mergeCell ref="B1953:E1953"/>
    <mergeCell ref="B1967:E1967"/>
    <mergeCell ref="B1968:E1968"/>
    <mergeCell ref="B1969:E1969"/>
    <mergeCell ref="B1980:E1980"/>
    <mergeCell ref="B1981:E1981"/>
    <mergeCell ref="B1983:E1983"/>
    <mergeCell ref="B1984:G1984"/>
    <mergeCell ref="B1859:E1859"/>
    <mergeCell ref="B1873:E1873"/>
    <mergeCell ref="B1874:E1874"/>
    <mergeCell ref="B1875:E1875"/>
    <mergeCell ref="B1913:E1913"/>
    <mergeCell ref="B1914:E1914"/>
    <mergeCell ref="B1929:E1929"/>
    <mergeCell ref="B1930:E1930"/>
    <mergeCell ref="B1931:E1931"/>
    <mergeCell ref="B1748:E1748"/>
    <mergeCell ref="B1749:E1749"/>
    <mergeCell ref="B1750:E1750"/>
    <mergeCell ref="B1797:E1797"/>
    <mergeCell ref="B1798:E1798"/>
    <mergeCell ref="B1814:E1814"/>
    <mergeCell ref="B1815:E1815"/>
    <mergeCell ref="B1816:E1816"/>
    <mergeCell ref="B1858:E1858"/>
    <mergeCell ref="B1622:E1622"/>
    <mergeCell ref="B1623:E1623"/>
    <mergeCell ref="B1664:E1664"/>
    <mergeCell ref="B1665:E1665"/>
    <mergeCell ref="B1679:E1679"/>
    <mergeCell ref="B1680:E1680"/>
    <mergeCell ref="B1681:E1681"/>
    <mergeCell ref="B1729:E1729"/>
    <mergeCell ref="B1730:E1730"/>
    <mergeCell ref="B1484:E1484"/>
    <mergeCell ref="B1530:E1530"/>
    <mergeCell ref="B1531:E1531"/>
    <mergeCell ref="B1548:E1548"/>
    <mergeCell ref="B1549:E1549"/>
    <mergeCell ref="B1550:E1550"/>
    <mergeCell ref="B1601:E1601"/>
    <mergeCell ref="B1602:E1602"/>
    <mergeCell ref="B1621:E1621"/>
    <mergeCell ref="B1389:E1389"/>
    <mergeCell ref="B1390:E1390"/>
    <mergeCell ref="B1408:E1408"/>
    <mergeCell ref="B1409:E1409"/>
    <mergeCell ref="B1410:E1410"/>
    <mergeCell ref="B1463:E1463"/>
    <mergeCell ref="B1464:E1464"/>
    <mergeCell ref="B1482:E1482"/>
    <mergeCell ref="B1483:E1483"/>
    <mergeCell ref="B1310:E1310"/>
    <mergeCell ref="B1312:E1312"/>
    <mergeCell ref="B1313:E1313"/>
    <mergeCell ref="B1314:E1314"/>
    <mergeCell ref="B1326:E1326"/>
    <mergeCell ref="B1327:E1327"/>
    <mergeCell ref="B1334:E1334"/>
    <mergeCell ref="B1335:E1335"/>
    <mergeCell ref="B1336:E1336"/>
    <mergeCell ref="B1248:E1248"/>
    <mergeCell ref="B1249:E1249"/>
    <mergeCell ref="B1250:E1250"/>
    <mergeCell ref="B1277:E1277"/>
    <mergeCell ref="B1278:E1278"/>
    <mergeCell ref="B1288:E1288"/>
    <mergeCell ref="B1289:E1289"/>
    <mergeCell ref="B1290:E1290"/>
    <mergeCell ref="B1309:E1309"/>
    <mergeCell ref="B866:E866"/>
    <mergeCell ref="B867:E867"/>
    <mergeCell ref="B891:E891"/>
    <mergeCell ref="B892:E892"/>
    <mergeCell ref="B902:E902"/>
    <mergeCell ref="B903:E903"/>
    <mergeCell ref="B904:E904"/>
    <mergeCell ref="B1202:E1202"/>
    <mergeCell ref="B1203:E1203"/>
    <mergeCell ref="B793:E793"/>
    <mergeCell ref="B817:E817"/>
    <mergeCell ref="B818:E818"/>
    <mergeCell ref="B828:E828"/>
    <mergeCell ref="B829:E829"/>
    <mergeCell ref="B830:E830"/>
    <mergeCell ref="B854:E854"/>
    <mergeCell ref="B855:E855"/>
    <mergeCell ref="B865:E865"/>
    <mergeCell ref="B743:E743"/>
    <mergeCell ref="B744:E744"/>
    <mergeCell ref="B754:E754"/>
    <mergeCell ref="B755:E755"/>
    <mergeCell ref="B756:E756"/>
    <mergeCell ref="B780:E780"/>
    <mergeCell ref="B781:E781"/>
    <mergeCell ref="B791:E791"/>
    <mergeCell ref="B792:E792"/>
    <mergeCell ref="B653:E653"/>
    <mergeCell ref="B665:E665"/>
    <mergeCell ref="B666:E666"/>
    <mergeCell ref="B667:E667"/>
    <mergeCell ref="B708:E708"/>
    <mergeCell ref="B709:E709"/>
    <mergeCell ref="B717:E717"/>
    <mergeCell ref="B718:E718"/>
    <mergeCell ref="B719:E719"/>
    <mergeCell ref="B540:E540"/>
    <mergeCell ref="B541:E541"/>
    <mergeCell ref="B542:E542"/>
    <mergeCell ref="B592:E592"/>
    <mergeCell ref="B593:E593"/>
    <mergeCell ref="B605:E605"/>
    <mergeCell ref="B606:E606"/>
    <mergeCell ref="B607:E607"/>
    <mergeCell ref="B652:E652"/>
    <mergeCell ref="B452:E452"/>
    <mergeCell ref="B453:C453"/>
    <mergeCell ref="B457:E457"/>
    <mergeCell ref="B458:C458"/>
    <mergeCell ref="B459:C459"/>
    <mergeCell ref="B512:E512"/>
    <mergeCell ref="B513:E513"/>
    <mergeCell ref="B535:E535"/>
    <mergeCell ref="B536:C536"/>
    <mergeCell ref="B331:E331"/>
    <mergeCell ref="B332:E332"/>
    <mergeCell ref="B358:E358"/>
    <mergeCell ref="B359:E359"/>
    <mergeCell ref="B374:E374"/>
    <mergeCell ref="B375:D375"/>
    <mergeCell ref="B376:C376"/>
    <mergeCell ref="B429:E429"/>
    <mergeCell ref="B430:E430"/>
    <mergeCell ref="B257:E257"/>
    <mergeCell ref="B281:E281"/>
    <mergeCell ref="B282:E282"/>
    <mergeCell ref="B301:E301"/>
    <mergeCell ref="B302:E302"/>
    <mergeCell ref="B303:E303"/>
    <mergeCell ref="B322:E322"/>
    <mergeCell ref="B323:E323"/>
    <mergeCell ref="B330:E330"/>
    <mergeCell ref="B196:E196"/>
    <mergeCell ref="B197:E197"/>
    <mergeCell ref="B213:E213"/>
    <mergeCell ref="B214:E214"/>
    <mergeCell ref="B215:E215"/>
    <mergeCell ref="B236:E236"/>
    <mergeCell ref="B237:E237"/>
    <mergeCell ref="B255:E255"/>
    <mergeCell ref="B256:E256"/>
    <mergeCell ref="B150:E150"/>
    <mergeCell ref="B158:E158"/>
    <mergeCell ref="B159:E159"/>
    <mergeCell ref="B160:E160"/>
    <mergeCell ref="B167:E167"/>
    <mergeCell ref="B168:E168"/>
    <mergeCell ref="B176:E176"/>
    <mergeCell ref="B177:E177"/>
    <mergeCell ref="B178:E178"/>
    <mergeCell ref="B122:E122"/>
    <mergeCell ref="B123:E123"/>
    <mergeCell ref="B124:E124"/>
    <mergeCell ref="B131:E131"/>
    <mergeCell ref="B132:E132"/>
    <mergeCell ref="B140:E140"/>
    <mergeCell ref="B141:E141"/>
    <mergeCell ref="B142:E142"/>
    <mergeCell ref="B149:E149"/>
    <mergeCell ref="B71:E71"/>
    <mergeCell ref="B72:E72"/>
    <mergeCell ref="B87:E87"/>
    <mergeCell ref="B88:E88"/>
    <mergeCell ref="B98:E98"/>
    <mergeCell ref="B99:E99"/>
    <mergeCell ref="B100:E100"/>
    <mergeCell ref="B112:E112"/>
    <mergeCell ref="B113:E113"/>
    <mergeCell ref="B13:E13"/>
    <mergeCell ref="B23:E23"/>
    <mergeCell ref="B24:E24"/>
    <mergeCell ref="B33:E33"/>
    <mergeCell ref="B34:E34"/>
    <mergeCell ref="B35:E35"/>
    <mergeCell ref="B54:E54"/>
    <mergeCell ref="B55:E55"/>
    <mergeCell ref="B70:E70"/>
    <mergeCell ref="D2:G2"/>
    <mergeCell ref="D3:G3"/>
    <mergeCell ref="D4:G4"/>
    <mergeCell ref="D5:G5"/>
    <mergeCell ref="D6:G6"/>
    <mergeCell ref="B8:H8"/>
    <mergeCell ref="B9:H9"/>
    <mergeCell ref="J11:K11"/>
    <mergeCell ref="B12:E12"/>
  </mergeCells>
  <pageMargins left="0.70833333333333304" right="0.70833333333333304" top="0.74791666666666701" bottom="0.74791666666666701" header="0.51180555555555496" footer="0.51180555555555496"/>
  <pageSetup paperSize="9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AMJ2357"/>
  <sheetViews>
    <sheetView zoomScale="60" zoomScaleNormal="60" workbookViewId="0">
      <selection activeCell="H2349" sqref="H2349"/>
    </sheetView>
  </sheetViews>
  <sheetFormatPr baseColWidth="10" defaultColWidth="9.1640625" defaultRowHeight="15"/>
  <cols>
    <col min="1" max="1" width="5.1640625" style="3002" customWidth="1"/>
    <col min="2" max="2" width="57.1640625" style="3002" customWidth="1"/>
    <col min="3" max="3" width="9.6640625" style="3003" customWidth="1"/>
    <col min="4" max="4" width="9.6640625" style="3004" customWidth="1"/>
    <col min="5" max="5" width="12.6640625" style="3002" customWidth="1"/>
    <col min="6" max="6" width="14.5" style="3005" customWidth="1"/>
    <col min="7" max="1024" width="9.1640625" style="3002"/>
  </cols>
  <sheetData>
    <row r="2" spans="2:6">
      <c r="B2" s="3002" t="str">
        <f>'Смета Внутр'!B1</f>
        <v xml:space="preserve">Приложение №3 </v>
      </c>
    </row>
    <row r="3" spans="2:6">
      <c r="B3" s="3002" t="str">
        <f>'Смета Внутр'!B2</f>
        <v>от "22"07. 2017г.</v>
      </c>
      <c r="C3" s="3307" t="str">
        <f>'Смета Внутр'!D2</f>
        <v>Длина дома, м.п.</v>
      </c>
      <c r="D3" s="3307"/>
      <c r="E3" s="3307"/>
      <c r="F3" s="3006">
        <f>'Смета Внутр'!H2</f>
        <v>10</v>
      </c>
    </row>
    <row r="4" spans="2:6">
      <c r="C4" s="3307" t="str">
        <f>'Смета Внутр'!D3</f>
        <v>Ширина дома, м.п.</v>
      </c>
      <c r="D4" s="3307"/>
      <c r="E4" s="3307"/>
      <c r="F4" s="3006">
        <f>'Смета Внутр'!H3</f>
        <v>10</v>
      </c>
    </row>
    <row r="5" spans="2:6">
      <c r="C5" s="3307" t="str">
        <f>'Смета Внутр'!D4</f>
        <v>Этажность дома</v>
      </c>
      <c r="D5" s="3307"/>
      <c r="E5" s="3307"/>
      <c r="F5" s="3006">
        <f>'Смета Внутр'!H4</f>
        <v>1</v>
      </c>
    </row>
    <row r="6" spans="2:6">
      <c r="C6" s="3307" t="str">
        <f>'Смета Внутр'!D5</f>
        <v>S строения общая, м2</v>
      </c>
      <c r="D6" s="3307"/>
      <c r="E6" s="3307"/>
      <c r="F6" s="3006">
        <f>'Смета Внутр'!H5</f>
        <v>100</v>
      </c>
    </row>
    <row r="7" spans="2:6">
      <c r="C7" s="3307" t="str">
        <f>'Смета Внутр'!D6</f>
        <v>S строения чистая, м2</v>
      </c>
      <c r="D7" s="3307"/>
      <c r="E7" s="3307"/>
      <c r="F7" s="3006">
        <f>'Смета Внутр'!H6</f>
        <v>100</v>
      </c>
    </row>
    <row r="9" spans="2:6">
      <c r="B9" s="3308" t="str">
        <f>'Смета Внутр'!B8</f>
        <v>СМЕТНЫЙ РАСЧЕТ №4</v>
      </c>
      <c r="C9" s="3308"/>
      <c r="D9" s="3308"/>
      <c r="E9" s="3308"/>
      <c r="F9" s="3308"/>
    </row>
    <row r="10" spans="2:6">
      <c r="B10" s="3308" t="str">
        <f>'Смета Внутр'!B9</f>
        <v>К договору №12 от "22"07. 2017г.</v>
      </c>
      <c r="C10" s="3308"/>
      <c r="D10" s="3308"/>
      <c r="E10" s="3308"/>
      <c r="F10" s="3308"/>
    </row>
    <row r="12" spans="2:6">
      <c r="B12" s="3007" t="str">
        <f>'Смета Внутр'!B11</f>
        <v>Наименование работ и затрат</v>
      </c>
      <c r="C12" s="3008" t="str">
        <f>'Смета Внутр'!C11</f>
        <v>ед. изм.</v>
      </c>
      <c r="D12" s="3009" t="str">
        <f>'Смета Внутр'!D11</f>
        <v>кол-во</v>
      </c>
      <c r="E12" s="3007" t="str">
        <f>'Смета Внутр'!E11</f>
        <v>Цена ед.изм.</v>
      </c>
      <c r="F12" s="3010" t="str">
        <f>'Смета Внутр'!H11</f>
        <v>Цена по прайсу</v>
      </c>
    </row>
    <row r="13" spans="2:6" ht="19">
      <c r="B13" s="3309" t="str">
        <f>'Смета Внутр'!B12</f>
        <v>Фундамент ленточный, под стены цоколя</v>
      </c>
      <c r="C13" s="3309"/>
      <c r="D13" s="3309"/>
      <c r="E13" s="3309"/>
      <c r="F13" s="3011">
        <f>'Смета Внутр'!H12</f>
        <v>0</v>
      </c>
    </row>
    <row r="14" spans="2:6">
      <c r="B14" s="3310" t="str">
        <f>'Смета Внутр'!B13</f>
        <v>Материалы</v>
      </c>
      <c r="C14" s="3310"/>
      <c r="D14" s="3310"/>
      <c r="E14" s="3310"/>
      <c r="F14" s="3011">
        <f>'Смета Внутр'!H13</f>
        <v>0</v>
      </c>
    </row>
    <row r="15" spans="2:6">
      <c r="B15" s="3007" t="str">
        <f>'Смета Внутр'!B14</f>
        <v>Сосна влаж,150*40мм</v>
      </c>
      <c r="C15" s="3008" t="str">
        <f>'Смета Внутр'!C14</f>
        <v>м3</v>
      </c>
      <c r="D15" s="3009">
        <f>'Смета Внутр'!D14</f>
        <v>0</v>
      </c>
      <c r="E15" s="3007"/>
      <c r="F15" s="3012">
        <f>'Смета Внутр'!H14</f>
        <v>0</v>
      </c>
    </row>
    <row r="16" spans="2:6">
      <c r="B16" s="3007" t="str">
        <f>'Смета Внутр'!B15</f>
        <v xml:space="preserve">Пленка гидроизоляционная </v>
      </c>
      <c r="C16" s="3008" t="str">
        <f>'Смета Внутр'!C15</f>
        <v>м2</v>
      </c>
      <c r="D16" s="3009">
        <f>'Смета Внутр'!D15</f>
        <v>0</v>
      </c>
      <c r="E16" s="3007"/>
      <c r="F16" s="3012">
        <f>'Смета Внутр'!H15</f>
        <v>0</v>
      </c>
    </row>
    <row r="17" spans="2:6">
      <c r="B17" s="3007" t="str">
        <f>'Смета Внутр'!B16</f>
        <v>Гидроизол</v>
      </c>
      <c r="C17" s="3008" t="str">
        <f>'Смета Внутр'!C16</f>
        <v>м2</v>
      </c>
      <c r="D17" s="3009">
        <f>'Смета Внутр'!D16</f>
        <v>0</v>
      </c>
      <c r="E17" s="3007"/>
      <c r="F17" s="3012">
        <f>'Смета Внутр'!H16</f>
        <v>0</v>
      </c>
    </row>
    <row r="18" spans="2:6">
      <c r="B18" s="3007" t="str">
        <f>'Смета Внутр'!B17</f>
        <v>Арматура стальная Ø 12</v>
      </c>
      <c r="C18" s="3008" t="str">
        <f>'Смета Внутр'!C17</f>
        <v>м.п</v>
      </c>
      <c r="D18" s="3009">
        <f>'Смета Внутр'!D17</f>
        <v>0</v>
      </c>
      <c r="E18" s="3007"/>
      <c r="F18" s="3012">
        <f>'Смета Внутр'!H17</f>
        <v>0</v>
      </c>
    </row>
    <row r="19" spans="2:6">
      <c r="B19" s="3007" t="str">
        <f>'Смета Внутр'!B18</f>
        <v>Нет арматуры</v>
      </c>
      <c r="C19" s="3008" t="str">
        <f>'Смета Внутр'!C18</f>
        <v>м.п</v>
      </c>
      <c r="D19" s="3009">
        <f>'Смета Внутр'!D18</f>
        <v>0</v>
      </c>
      <c r="E19" s="3007"/>
      <c r="F19" s="3012">
        <f>'Смета Внутр'!H18</f>
        <v>0</v>
      </c>
    </row>
    <row r="20" spans="2:6">
      <c r="B20" s="3007" t="str">
        <f>'Смета Внутр'!B19</f>
        <v>Вязальная проволока</v>
      </c>
      <c r="C20" s="3008" t="str">
        <f>'Смета Внутр'!C19</f>
        <v>кг</v>
      </c>
      <c r="D20" s="3009">
        <f>'Смета Внутр'!D19</f>
        <v>0</v>
      </c>
      <c r="E20" s="3007"/>
      <c r="F20" s="3012">
        <f>'Смета Внутр'!H19</f>
        <v>0</v>
      </c>
    </row>
    <row r="21" spans="2:6">
      <c r="B21" s="3007" t="str">
        <f>'Смета Внутр'!B20</f>
        <v xml:space="preserve">Гвозди строительные 3,5 x 90            </v>
      </c>
      <c r="C21" s="3008" t="str">
        <f>'Смета Внутр'!C20</f>
        <v>кг</v>
      </c>
      <c r="D21" s="3009">
        <f>'Смета Внутр'!D20</f>
        <v>0</v>
      </c>
      <c r="E21" s="3007"/>
      <c r="F21" s="3012">
        <f>'Смета Внутр'!H20</f>
        <v>0</v>
      </c>
    </row>
    <row r="22" spans="2:6">
      <c r="B22" s="3007" t="str">
        <f>'Смета Внутр'!B21</f>
        <v>ПГС, машина 13м3</v>
      </c>
      <c r="C22" s="3008" t="str">
        <f>'Смета Внутр'!C21</f>
        <v>маш</v>
      </c>
      <c r="D22" s="3009">
        <f>'Смета Внутр'!D21</f>
        <v>0</v>
      </c>
      <c r="E22" s="3007"/>
      <c r="F22" s="3012">
        <f>'Смета Внутр'!H21</f>
        <v>0</v>
      </c>
    </row>
    <row r="23" spans="2:6">
      <c r="B23" s="3007" t="str">
        <f>'Смета Внутр'!B22</f>
        <v>Бетон, м200</v>
      </c>
      <c r="C23" s="3008" t="str">
        <f>'Смета Внутр'!C22</f>
        <v>м3</v>
      </c>
      <c r="D23" s="3009">
        <f>'Смета Внутр'!D22</f>
        <v>0</v>
      </c>
      <c r="E23" s="3007"/>
      <c r="F23" s="3012">
        <f>'Смета Внутр'!H22</f>
        <v>0</v>
      </c>
    </row>
    <row r="24" spans="2:6">
      <c r="B24" s="3311" t="str">
        <f>'Смета Внутр'!B23</f>
        <v>Итого материалы</v>
      </c>
      <c r="C24" s="3311"/>
      <c r="D24" s="3311"/>
      <c r="E24" s="3311"/>
      <c r="F24" s="3014">
        <f>'Смета Внутр'!G23</f>
        <v>0</v>
      </c>
    </row>
    <row r="25" spans="2:6">
      <c r="B25" s="3312" t="str">
        <f>'Смета Внутр'!B24</f>
        <v>Работы</v>
      </c>
      <c r="C25" s="3312"/>
      <c r="D25" s="3312"/>
      <c r="E25" s="3312"/>
      <c r="F25" s="3011">
        <f>'Смета Внутр'!H24</f>
        <v>0</v>
      </c>
    </row>
    <row r="26" spans="2:6">
      <c r="B26" s="3007" t="str">
        <f>'Смета Внутр'!B25</f>
        <v>сборка опалубки</v>
      </c>
      <c r="C26" s="3008" t="str">
        <f>'Смета Внутр'!C25</f>
        <v>м2</v>
      </c>
      <c r="D26" s="3009">
        <f>'Смета Внутр'!D25</f>
        <v>0</v>
      </c>
      <c r="E26" s="3007"/>
      <c r="F26" s="3012">
        <f>'Смета Внутр'!H25</f>
        <v>0</v>
      </c>
    </row>
    <row r="27" spans="2:6">
      <c r="B27" s="3007" t="str">
        <f>'Смета Внутр'!B26</f>
        <v>разборка опалубки</v>
      </c>
      <c r="C27" s="3008" t="str">
        <f>'Смета Внутр'!C26</f>
        <v>м2</v>
      </c>
      <c r="D27" s="3009">
        <f>'Смета Внутр'!D26</f>
        <v>0</v>
      </c>
      <c r="E27" s="3007"/>
      <c r="F27" s="3012">
        <f>'Смета Внутр'!H26</f>
        <v>0</v>
      </c>
    </row>
    <row r="28" spans="2:6">
      <c r="B28" s="3007" t="str">
        <f>'Смета Внутр'!B27</f>
        <v>трамбовка</v>
      </c>
      <c r="C28" s="3008" t="str">
        <f>'Смета Внутр'!C27</f>
        <v>м2</v>
      </c>
      <c r="D28" s="3009">
        <f>'Смета Внутр'!D27</f>
        <v>0</v>
      </c>
      <c r="E28" s="3007"/>
      <c r="F28" s="3012">
        <f>'Смета Внутр'!H27</f>
        <v>0</v>
      </c>
    </row>
    <row r="29" spans="2:6">
      <c r="B29" s="3007" t="str">
        <f>'Смета Внутр'!B28</f>
        <v>настил пленки</v>
      </c>
      <c r="C29" s="3008" t="str">
        <f>'Смета Внутр'!C28</f>
        <v>м2</v>
      </c>
      <c r="D29" s="3009">
        <f>'Смета Внутр'!D28</f>
        <v>0</v>
      </c>
      <c r="E29" s="3007"/>
      <c r="F29" s="3012">
        <f>'Смета Внутр'!H28</f>
        <v>0</v>
      </c>
    </row>
    <row r="30" spans="2:6">
      <c r="B30" s="3007" t="str">
        <f>'Смета Внутр'!B29</f>
        <v>армирование</v>
      </c>
      <c r="C30" s="3008" t="str">
        <f>'Смета Внутр'!C29</f>
        <v>м.п</v>
      </c>
      <c r="D30" s="3009">
        <f>'Смета Внутр'!D29</f>
        <v>0</v>
      </c>
      <c r="E30" s="3007"/>
      <c r="F30" s="3012">
        <f>'Смета Внутр'!H29</f>
        <v>0</v>
      </c>
    </row>
    <row r="31" spans="2:6">
      <c r="B31" s="3007" t="str">
        <f>'Смета Внутр'!B30</f>
        <v>армирование</v>
      </c>
      <c r="C31" s="3008" t="str">
        <f>'Смета Внутр'!C30</f>
        <v>м.п.</v>
      </c>
      <c r="D31" s="3009">
        <f>'Смета Внутр'!D30</f>
        <v>0</v>
      </c>
      <c r="E31" s="3007"/>
      <c r="F31" s="3012">
        <f>'Смета Внутр'!H30</f>
        <v>0</v>
      </c>
    </row>
    <row r="32" spans="2:6">
      <c r="B32" s="3007" t="str">
        <f>'Смета Внутр'!B31</f>
        <v>настил гидроизола</v>
      </c>
      <c r="C32" s="3008" t="str">
        <f>'Смета Внутр'!C31</f>
        <v>м2</v>
      </c>
      <c r="D32" s="3009">
        <f>'Смета Внутр'!D31</f>
        <v>0</v>
      </c>
      <c r="E32" s="3007"/>
      <c r="F32" s="3012">
        <f>'Смета Внутр'!H31</f>
        <v>0</v>
      </c>
    </row>
    <row r="33" spans="2:6">
      <c r="B33" s="3007" t="str">
        <f>'Смета Внутр'!B32</f>
        <v>приемка бетона</v>
      </c>
      <c r="C33" s="3008" t="str">
        <f>'Смета Внутр'!C32</f>
        <v>м3</v>
      </c>
      <c r="D33" s="3009">
        <f>'Смета Внутр'!D32</f>
        <v>0</v>
      </c>
      <c r="E33" s="3007"/>
      <c r="F33" s="3012">
        <f>'Смета Внутр'!H32</f>
        <v>0</v>
      </c>
    </row>
    <row r="34" spans="2:6">
      <c r="B34" s="3311" t="str">
        <f>'Смета Внутр'!B33</f>
        <v>Итого работы</v>
      </c>
      <c r="C34" s="3311"/>
      <c r="D34" s="3311"/>
      <c r="E34" s="3311"/>
      <c r="F34" s="3014">
        <f>'Смета Внутр'!G33</f>
        <v>0</v>
      </c>
    </row>
    <row r="35" spans="2:6" ht="19">
      <c r="B35" s="3313" t="str">
        <f>'Смета Внутр'!B34</f>
        <v>Стяжка в цокольном этаже</v>
      </c>
      <c r="C35" s="3313"/>
      <c r="D35" s="3313"/>
      <c r="E35" s="3313"/>
      <c r="F35" s="3011">
        <f>'Смета Внутр'!H34</f>
        <v>0</v>
      </c>
    </row>
    <row r="36" spans="2:6">
      <c r="B36" s="3310" t="str">
        <f>'Смета Внутр'!B35</f>
        <v>Материалы</v>
      </c>
      <c r="C36" s="3310"/>
      <c r="D36" s="3310"/>
      <c r="E36" s="3310"/>
      <c r="F36" s="3011">
        <f>'Смета Внутр'!H35</f>
        <v>0</v>
      </c>
    </row>
    <row r="37" spans="2:6">
      <c r="B37" s="3007" t="str">
        <f>'Смета Внутр'!B36</f>
        <v>Скальник, 1 маш 13м3</v>
      </c>
      <c r="C37" s="3008" t="str">
        <f>'Смета Внутр'!C36</f>
        <v>маш</v>
      </c>
      <c r="D37" s="3009">
        <f>'Смета Внутр'!D36</f>
        <v>0</v>
      </c>
      <c r="E37" s="3007"/>
      <c r="F37" s="3012">
        <f>'Смета Внутр'!H36</f>
        <v>0</v>
      </c>
    </row>
    <row r="38" spans="2:6">
      <c r="B38" s="3007" t="str">
        <f>'Смета Внутр'!B37</f>
        <v>ПГС, машина 13м3</v>
      </c>
      <c r="C38" s="3008" t="str">
        <f>'Смета Внутр'!C37</f>
        <v>маш</v>
      </c>
      <c r="D38" s="3009">
        <f>'Смета Внутр'!D37</f>
        <v>0</v>
      </c>
      <c r="E38" s="3007"/>
      <c r="F38" s="3012">
        <f>'Смета Внутр'!H37</f>
        <v>0</v>
      </c>
    </row>
    <row r="39" spans="2:6">
      <c r="B39" s="3007" t="str">
        <f>'Смета Внутр'!B38</f>
        <v>Песок, машина 13м3</v>
      </c>
      <c r="C39" s="3008" t="str">
        <f>'Смета Внутр'!C38</f>
        <v>маш</v>
      </c>
      <c r="D39" s="3009">
        <f>'Смета Внутр'!D38</f>
        <v>0</v>
      </c>
      <c r="E39" s="3007"/>
      <c r="F39" s="3012">
        <f>'Смета Внутр'!H38</f>
        <v>0</v>
      </c>
    </row>
    <row r="40" spans="2:6">
      <c r="B40" s="3007" t="str">
        <f>'Смета Внутр'!B39</f>
        <v>Геотекстиль</v>
      </c>
      <c r="C40" s="3008" t="str">
        <f>'Смета Внутр'!C39</f>
        <v>м2</v>
      </c>
      <c r="D40" s="3009">
        <f>'Смета Внутр'!D39</f>
        <v>0</v>
      </c>
      <c r="E40" s="3007"/>
      <c r="F40" s="3012">
        <f>'Смета Внутр'!H39</f>
        <v>0</v>
      </c>
    </row>
    <row r="41" spans="2:6">
      <c r="B41" s="3007" t="str">
        <f>'Смета Внутр'!B40</f>
        <v>Плитный,28кг/м3, технониколь, 100мм</v>
      </c>
      <c r="C41" s="3008" t="str">
        <f>'Смета Внутр'!C40</f>
        <v>м3</v>
      </c>
      <c r="D41" s="3009">
        <f>'Смета Внутр'!D40</f>
        <v>0</v>
      </c>
      <c r="E41" s="3007"/>
      <c r="F41" s="3012">
        <f>'Смета Внутр'!H40</f>
        <v>0</v>
      </c>
    </row>
    <row r="42" spans="2:6">
      <c r="B42" s="3007" t="str">
        <f>'Смета Внутр'!B41</f>
        <v xml:space="preserve">Пленка гидроизоляционная </v>
      </c>
      <c r="C42" s="3008" t="str">
        <f>'Смета Внутр'!C41</f>
        <v>м2</v>
      </c>
      <c r="D42" s="3009">
        <f>'Смета Внутр'!D41</f>
        <v>0</v>
      </c>
      <c r="E42" s="3007"/>
      <c r="F42" s="3012">
        <f>'Смета Внутр'!H41</f>
        <v>0</v>
      </c>
    </row>
    <row r="43" spans="2:6">
      <c r="B43" s="3007" t="str">
        <f>'Смета Внутр'!B42</f>
        <v>Кладочная сетка, 100*100/150*150/200*200мм</v>
      </c>
      <c r="C43" s="3008" t="str">
        <f>'Смета Внутр'!C42</f>
        <v>м2</v>
      </c>
      <c r="D43" s="3009">
        <f>'Смета Внутр'!D42</f>
        <v>0</v>
      </c>
      <c r="E43" s="3007"/>
      <c r="F43" s="3012">
        <f>'Смета Внутр'!H42</f>
        <v>0</v>
      </c>
    </row>
    <row r="44" spans="2:6">
      <c r="B44" s="3007" t="str">
        <f>'Смета Внутр'!B43</f>
        <v>Стяжки пластиковые</v>
      </c>
      <c r="C44" s="3008" t="str">
        <f>'Смета Внутр'!C43</f>
        <v>шт</v>
      </c>
      <c r="D44" s="3009">
        <f>'Смета Внутр'!D43</f>
        <v>0</v>
      </c>
      <c r="E44" s="3007"/>
      <c r="F44" s="3012">
        <f>'Смета Внутр'!H43</f>
        <v>0</v>
      </c>
    </row>
    <row r="45" spans="2:6">
      <c r="B45" s="3007" t="str">
        <f>'Смета Внутр'!B44</f>
        <v>Стяжки пластиковые</v>
      </c>
      <c r="C45" s="3008" t="str">
        <f>'Смета Внутр'!C44</f>
        <v>шт</v>
      </c>
      <c r="D45" s="3009">
        <f>'Смета Внутр'!D44</f>
        <v>0</v>
      </c>
      <c r="E45" s="3007"/>
      <c r="F45" s="3012">
        <f>'Смета Внутр'!H44</f>
        <v>0</v>
      </c>
    </row>
    <row r="46" spans="2:6">
      <c r="B46" s="3007" t="str">
        <f>'Смета Внутр'!B45</f>
        <v>Труба теплого пола 3</v>
      </c>
      <c r="C46" s="3008" t="str">
        <f>'Смета Внутр'!C45</f>
        <v>м.п</v>
      </c>
      <c r="D46" s="3009">
        <f>'Смета Внутр'!D45</f>
        <v>0</v>
      </c>
      <c r="E46" s="3007"/>
      <c r="F46" s="3012">
        <f>'Смета Внутр'!H45</f>
        <v>0</v>
      </c>
    </row>
    <row r="47" spans="2:6">
      <c r="B47" s="3007" t="str">
        <f>'Смета Внутр'!B46</f>
        <v>Коллектор 6</v>
      </c>
      <c r="C47" s="3008" t="str">
        <f>'Смета Внутр'!C46</f>
        <v>шт</v>
      </c>
      <c r="D47" s="3009">
        <f>'Смета Внутр'!D46</f>
        <v>0</v>
      </c>
      <c r="E47" s="3007"/>
      <c r="F47" s="3012">
        <f>'Смета Внутр'!H46</f>
        <v>0</v>
      </c>
    </row>
    <row r="48" spans="2:6">
      <c r="B48" s="3007" t="str">
        <f>'Смета Внутр'!B47</f>
        <v>Арматура стальная Ø 10 </v>
      </c>
      <c r="C48" s="3008" t="str">
        <f>'Смета Внутр'!C47</f>
        <v>м.п.</v>
      </c>
      <c r="D48" s="3009">
        <f>'Смета Внутр'!D47</f>
        <v>0</v>
      </c>
      <c r="E48" s="3007"/>
      <c r="F48" s="3012">
        <f>'Смета Внутр'!H47</f>
        <v>0</v>
      </c>
    </row>
    <row r="49" spans="2:6">
      <c r="B49" s="3007" t="str">
        <f>'Смета Внутр'!B48</f>
        <v>Вязальная проволока</v>
      </c>
      <c r="C49" s="3008" t="str">
        <f>'Смета Внутр'!C48</f>
        <v>кг</v>
      </c>
      <c r="D49" s="3009">
        <f>'Смета Внутр'!D48</f>
        <v>0</v>
      </c>
      <c r="E49" s="3007"/>
      <c r="F49" s="3012">
        <f>'Смета Внутр'!H48</f>
        <v>0</v>
      </c>
    </row>
    <row r="50" spans="2:6">
      <c r="B50" s="3007" t="str">
        <f>'Смета Внутр'!B49</f>
        <v>Подставка под арматурный каркас</v>
      </c>
      <c r="C50" s="3008" t="str">
        <f>'Смета Внутр'!C49</f>
        <v>шт</v>
      </c>
      <c r="D50" s="3009">
        <f>'Смета Внутр'!D49</f>
        <v>0</v>
      </c>
      <c r="E50" s="3007"/>
      <c r="F50" s="3012">
        <f>'Смета Внутр'!H49</f>
        <v>0</v>
      </c>
    </row>
    <row r="51" spans="2:6">
      <c r="B51" s="3007" t="str">
        <f>'Смета Внутр'!B50</f>
        <v>труба дренажная d90 с перфорацией, в фильтре</v>
      </c>
      <c r="C51" s="3008" t="str">
        <f>'Смета Внутр'!C50</f>
        <v>шт</v>
      </c>
      <c r="D51" s="3009">
        <f>'Смета Внутр'!D50</f>
        <v>0</v>
      </c>
      <c r="E51" s="3007"/>
      <c r="F51" s="3012">
        <f>'Смета Внутр'!H50</f>
        <v>0</v>
      </c>
    </row>
    <row r="52" spans="2:6">
      <c r="B52" s="3007" t="str">
        <f>'Смета Внутр'!B51</f>
        <v>Дренажный колодец D400</v>
      </c>
      <c r="C52" s="3008" t="str">
        <f>'Смета Внутр'!C51</f>
        <v>шт</v>
      </c>
      <c r="D52" s="3009">
        <f>'Смета Внутр'!D51</f>
        <v>0</v>
      </c>
      <c r="E52" s="3007"/>
      <c r="F52" s="3012">
        <f>'Смета Внутр'!H51</f>
        <v>0</v>
      </c>
    </row>
    <row r="53" spans="2:6">
      <c r="B53" s="3007" t="str">
        <f>'Смета Внутр'!B52</f>
        <v>Демпферная лента</v>
      </c>
      <c r="C53" s="3008" t="str">
        <f>'Смета Внутр'!C52</f>
        <v>м.п.</v>
      </c>
      <c r="D53" s="3009">
        <f>'Смета Внутр'!D52</f>
        <v>0</v>
      </c>
      <c r="E53" s="3007"/>
      <c r="F53" s="3012">
        <f>'Смета Внутр'!H52</f>
        <v>0</v>
      </c>
    </row>
    <row r="54" spans="2:6">
      <c r="B54" s="3007" t="str">
        <f>'Смета Внутр'!B53</f>
        <v>Бетон, м350</v>
      </c>
      <c r="C54" s="3008" t="str">
        <f>'Смета Внутр'!C53</f>
        <v>м3</v>
      </c>
      <c r="D54" s="3009">
        <f>'Смета Внутр'!D53</f>
        <v>0</v>
      </c>
      <c r="E54" s="3007"/>
      <c r="F54" s="3012">
        <f>'Смета Внутр'!H53</f>
        <v>0</v>
      </c>
    </row>
    <row r="55" spans="2:6">
      <c r="B55" s="3314" t="str">
        <f>'Смета Внутр'!B54</f>
        <v>Итого материалы</v>
      </c>
      <c r="C55" s="3314"/>
      <c r="D55" s="3314"/>
      <c r="E55" s="3314"/>
      <c r="F55" s="3014">
        <f>'Смета Внутр'!G54</f>
        <v>0</v>
      </c>
    </row>
    <row r="56" spans="2:6">
      <c r="B56" s="3312" t="str">
        <f>'Смета Внутр'!B55</f>
        <v>Работы</v>
      </c>
      <c r="C56" s="3312"/>
      <c r="D56" s="3312"/>
      <c r="E56" s="3312"/>
      <c r="F56" s="3011">
        <f>'Смета Внутр'!H55</f>
        <v>0</v>
      </c>
    </row>
    <row r="57" spans="2:6">
      <c r="B57" s="3007" t="str">
        <f>'Смета Внутр'!B56</f>
        <v>трамбовка скальник</v>
      </c>
      <c r="C57" s="3008" t="str">
        <f>'Смета Внутр'!C56</f>
        <v>м2</v>
      </c>
      <c r="D57" s="3009">
        <f>'Смета Внутр'!D56</f>
        <v>0</v>
      </c>
      <c r="E57" s="3007"/>
      <c r="F57" s="3012">
        <f>'Смета Внутр'!H56</f>
        <v>0</v>
      </c>
    </row>
    <row r="58" spans="2:6">
      <c r="B58" s="3007" t="str">
        <f>'Смета Внутр'!B57</f>
        <v>трамбовка пгс</v>
      </c>
      <c r="C58" s="3008" t="str">
        <f>'Смета Внутр'!C57</f>
        <v>м2</v>
      </c>
      <c r="D58" s="3009">
        <f>'Смета Внутр'!D57</f>
        <v>0</v>
      </c>
      <c r="E58" s="3007"/>
      <c r="F58" s="3012">
        <f>'Смета Внутр'!H57</f>
        <v>0</v>
      </c>
    </row>
    <row r="59" spans="2:6">
      <c r="B59" s="3007" t="str">
        <f>'Смета Внутр'!B58</f>
        <v>трамбовка песок</v>
      </c>
      <c r="C59" s="3008" t="str">
        <f>'Смета Внутр'!C58</f>
        <v>м2</v>
      </c>
      <c r="D59" s="3009">
        <f>'Смета Внутр'!D58</f>
        <v>0</v>
      </c>
      <c r="E59" s="3007"/>
      <c r="F59" s="3012">
        <f>'Смета Внутр'!H58</f>
        <v>0</v>
      </c>
    </row>
    <row r="60" spans="2:6">
      <c r="B60" s="3007" t="str">
        <f>'Смета Внутр'!B59</f>
        <v>укладка геотекстиля</v>
      </c>
      <c r="C60" s="3008" t="str">
        <f>'Смета Внутр'!C59</f>
        <v>м2</v>
      </c>
      <c r="D60" s="3009">
        <f>'Смета Внутр'!D59</f>
        <v>0</v>
      </c>
      <c r="E60" s="3007"/>
      <c r="F60" s="3012">
        <f>'Смета Внутр'!H59</f>
        <v>0</v>
      </c>
    </row>
    <row r="61" spans="2:6">
      <c r="B61" s="3007" t="str">
        <f>'Смета Внутр'!B60</f>
        <v>укладка карбона</v>
      </c>
      <c r="C61" s="3008" t="str">
        <f>'Смета Внутр'!C60</f>
        <v>м2</v>
      </c>
      <c r="D61" s="3009">
        <f>'Смета Внутр'!D60</f>
        <v>0</v>
      </c>
      <c r="E61" s="3007"/>
      <c r="F61" s="3012">
        <f>'Смета Внутр'!H60</f>
        <v>0</v>
      </c>
    </row>
    <row r="62" spans="2:6">
      <c r="B62" s="3007" t="str">
        <f>'Смета Внутр'!B61</f>
        <v>укладка пленки</v>
      </c>
      <c r="C62" s="3008" t="str">
        <f>'Смета Внутр'!C61</f>
        <v>м2</v>
      </c>
      <c r="D62" s="3009">
        <f>'Смета Внутр'!D61</f>
        <v>0</v>
      </c>
      <c r="E62" s="3007"/>
      <c r="F62" s="3012">
        <f>'Смета Внутр'!H61</f>
        <v>0</v>
      </c>
    </row>
    <row r="63" spans="2:6">
      <c r="B63" s="3007" t="str">
        <f>'Смета Внутр'!B62</f>
        <v>укладка сетки</v>
      </c>
      <c r="C63" s="3008" t="str">
        <f>'Смета Внутр'!C62</f>
        <v>м2</v>
      </c>
      <c r="D63" s="3009">
        <f>'Смета Внутр'!D62</f>
        <v>0</v>
      </c>
      <c r="E63" s="3007"/>
      <c r="F63" s="3012">
        <f>'Смета Внутр'!H62</f>
        <v>0</v>
      </c>
    </row>
    <row r="64" spans="2:6">
      <c r="B64" s="3007" t="str">
        <f>'Смета Внутр'!B63</f>
        <v>укладка теп. Пола</v>
      </c>
      <c r="C64" s="3008" t="str">
        <f>'Смета Внутр'!C63</f>
        <v>м2</v>
      </c>
      <c r="D64" s="3009">
        <f>'Смета Внутр'!D63</f>
        <v>0</v>
      </c>
      <c r="E64" s="3007"/>
      <c r="F64" s="3012">
        <f>'Смета Внутр'!H63</f>
        <v>0</v>
      </c>
    </row>
    <row r="65" spans="2:6">
      <c r="B65" s="3007" t="str">
        <f>'Смета Внутр'!B64</f>
        <v>монтаж коллектора</v>
      </c>
      <c r="C65" s="3008" t="str">
        <f>'Смета Внутр'!C64</f>
        <v>шт</v>
      </c>
      <c r="D65" s="3009">
        <f>'Смета Внутр'!D64</f>
        <v>0</v>
      </c>
      <c r="E65" s="3007"/>
      <c r="F65" s="3012">
        <f>'Смета Внутр'!H64</f>
        <v>0</v>
      </c>
    </row>
    <row r="66" spans="2:6">
      <c r="B66" s="3007" t="str">
        <f>'Смета Внутр'!B65</f>
        <v xml:space="preserve">армирование </v>
      </c>
      <c r="C66" s="3008" t="str">
        <f>'Смета Внутр'!C65</f>
        <v>м2</v>
      </c>
      <c r="D66" s="3009">
        <f>'Смета Внутр'!D65</f>
        <v>0</v>
      </c>
      <c r="E66" s="3007"/>
      <c r="F66" s="3012">
        <f>'Смета Внутр'!H65</f>
        <v>0</v>
      </c>
    </row>
    <row r="67" spans="2:6">
      <c r="B67" s="3007" t="str">
        <f>'Смета Внутр'!B66</f>
        <v>монтаж дренажн труб</v>
      </c>
      <c r="C67" s="3008" t="str">
        <f>'Смета Внутр'!C66</f>
        <v>м.п.</v>
      </c>
      <c r="D67" s="3009">
        <f>'Смета Внутр'!D66</f>
        <v>0</v>
      </c>
      <c r="E67" s="3007"/>
      <c r="F67" s="3012">
        <f>'Смета Внутр'!H66</f>
        <v>0</v>
      </c>
    </row>
    <row r="68" spans="2:6">
      <c r="B68" s="3007" t="str">
        <f>'Смета Внутр'!B67</f>
        <v>монтаж дренаж колодец</v>
      </c>
      <c r="C68" s="3008" t="str">
        <f>'Смета Внутр'!C67</f>
        <v>шт</v>
      </c>
      <c r="D68" s="3009">
        <f>'Смета Внутр'!D67</f>
        <v>0</v>
      </c>
      <c r="E68" s="3007"/>
      <c r="F68" s="3012">
        <f>'Смета Внутр'!H67</f>
        <v>0</v>
      </c>
    </row>
    <row r="69" spans="2:6">
      <c r="B69" s="3007" t="str">
        <f>'Смета Внутр'!B68</f>
        <v>приемка бетона на пол</v>
      </c>
      <c r="C69" s="3008" t="str">
        <f>'Смета Внутр'!C68</f>
        <v>м2</v>
      </c>
      <c r="D69" s="3009">
        <f>'Смета Внутр'!D68</f>
        <v>0</v>
      </c>
      <c r="E69" s="3007"/>
      <c r="F69" s="3012">
        <f>'Смета Внутр'!H68</f>
        <v>0</v>
      </c>
    </row>
    <row r="70" spans="2:6">
      <c r="B70" s="3007" t="str">
        <f>'Смета Внутр'!B69</f>
        <v>демпферная лента</v>
      </c>
      <c r="C70" s="3008" t="str">
        <f>'Смета Внутр'!C69</f>
        <v>м.п.</v>
      </c>
      <c r="D70" s="3009">
        <f>'Смета Внутр'!D69</f>
        <v>0</v>
      </c>
      <c r="E70" s="3007"/>
      <c r="F70" s="3012">
        <f>'Смета Внутр'!H69</f>
        <v>0</v>
      </c>
    </row>
    <row r="71" spans="2:6">
      <c r="B71" s="3311" t="str">
        <f>'Смета Внутр'!B70</f>
        <v>Итого работы</v>
      </c>
      <c r="C71" s="3311"/>
      <c r="D71" s="3311"/>
      <c r="E71" s="3311"/>
      <c r="F71" s="3014">
        <f>'Смета Внутр'!G70</f>
        <v>0</v>
      </c>
    </row>
    <row r="72" spans="2:6" ht="19">
      <c r="B72" s="3313" t="str">
        <f>'Смета Внутр'!B71</f>
        <v>Цокольный этаж из блоков ФБС</v>
      </c>
      <c r="C72" s="3313"/>
      <c r="D72" s="3313"/>
      <c r="E72" s="3313"/>
      <c r="F72" s="3011">
        <f>'Смета Внутр'!H71</f>
        <v>0</v>
      </c>
    </row>
    <row r="73" spans="2:6">
      <c r="B73" s="3312" t="str">
        <f>'Смета Внутр'!B72</f>
        <v>Материалы</v>
      </c>
      <c r="C73" s="3312"/>
      <c r="D73" s="3312"/>
      <c r="E73" s="3312"/>
      <c r="F73" s="3011">
        <f>'Смета Внутр'!H72</f>
        <v>0</v>
      </c>
    </row>
    <row r="74" spans="2:6">
      <c r="B74" s="3007" t="str">
        <f>'Смета Внутр'!B73</f>
        <v xml:space="preserve">Праймер для обработки </v>
      </c>
      <c r="C74" s="3008" t="str">
        <f>'Смета Внутр'!C73</f>
        <v>л</v>
      </c>
      <c r="D74" s="3009">
        <f>'Смета Внутр'!D73</f>
        <v>0</v>
      </c>
      <c r="E74" s="3007"/>
      <c r="F74" s="3012">
        <f>'Смета Внутр'!H73</f>
        <v>0</v>
      </c>
    </row>
    <row r="75" spans="2:6">
      <c r="B75" s="3007" t="str">
        <f>'Смета Внутр'!B74</f>
        <v>Гидроизол</v>
      </c>
      <c r="C75" s="3008" t="str">
        <f>'Смета Внутр'!C74</f>
        <v>м2</v>
      </c>
      <c r="D75" s="3009">
        <f>'Смета Внутр'!D74</f>
        <v>0</v>
      </c>
      <c r="E75" s="3007"/>
      <c r="F75" s="3012">
        <f>'Смета Внутр'!H74</f>
        <v>0</v>
      </c>
    </row>
    <row r="76" spans="2:6">
      <c r="B76" s="3007" t="str">
        <f>'Смета Внутр'!B75</f>
        <v>Мастика битумная</v>
      </c>
      <c r="C76" s="3008" t="str">
        <f>'Смета Внутр'!C75</f>
        <v>кг</v>
      </c>
      <c r="D76" s="3009">
        <f>'Смета Внутр'!D75</f>
        <v>0</v>
      </c>
      <c r="E76" s="3007"/>
      <c r="F76" s="3012">
        <f>'Смета Внутр'!H75</f>
        <v>0</v>
      </c>
    </row>
    <row r="77" spans="2:6">
      <c r="B77" s="3007" t="str">
        <f>'Смета Внутр'!B76</f>
        <v>Блоки ФБС</v>
      </c>
      <c r="C77" s="3008" t="str">
        <f>'Смета Внутр'!C76</f>
        <v>м3</v>
      </c>
      <c r="D77" s="3009">
        <f>'Смета Внутр'!D76</f>
        <v>0</v>
      </c>
      <c r="E77" s="3007"/>
      <c r="F77" s="3012">
        <f>'Смета Внутр'!H76</f>
        <v>0</v>
      </c>
    </row>
    <row r="78" spans="2:6">
      <c r="B78" s="3007" t="str">
        <f>'Смета Внутр'!B77</f>
        <v>Кладочная сетка, 100*100/150*150/200*200мм</v>
      </c>
      <c r="C78" s="3008" t="str">
        <f>'Смета Внутр'!C77</f>
        <v>м2</v>
      </c>
      <c r="D78" s="3009">
        <f>'Смета Внутр'!D77</f>
        <v>0</v>
      </c>
      <c r="E78" s="3007"/>
      <c r="F78" s="3012">
        <f>'Смета Внутр'!H77</f>
        <v>0</v>
      </c>
    </row>
    <row r="79" spans="2:6">
      <c r="B79" s="3007" t="str">
        <f>'Смета Внутр'!B78</f>
        <v>Вязальная проволока</v>
      </c>
      <c r="C79" s="3008" t="str">
        <f>'Смета Внутр'!C78</f>
        <v>кг</v>
      </c>
      <c r="D79" s="3009">
        <f>'Смета Внутр'!D78</f>
        <v>0</v>
      </c>
      <c r="E79" s="3007"/>
      <c r="F79" s="3012">
        <f>'Смета Внутр'!H78</f>
        <v>0</v>
      </c>
    </row>
    <row r="80" spans="2:6">
      <c r="B80" s="3007" t="str">
        <f>'Смета Внутр'!B79</f>
        <v>Раствор, м250</v>
      </c>
      <c r="C80" s="3008" t="str">
        <f>'Смета Внутр'!C79</f>
        <v>м3</v>
      </c>
      <c r="D80" s="3009">
        <f>'Смета Внутр'!D79</f>
        <v>0</v>
      </c>
      <c r="E80" s="3007"/>
      <c r="F80" s="3012">
        <f>'Смета Внутр'!H79</f>
        <v>0</v>
      </c>
    </row>
    <row r="81" spans="2:6">
      <c r="B81" s="3007" t="str">
        <f>'Смета Внутр'!B80</f>
        <v>Сосна влаж,150*40мм</v>
      </c>
      <c r="C81" s="3008" t="str">
        <f>'Смета Внутр'!C80</f>
        <v>м3</v>
      </c>
      <c r="D81" s="3009">
        <f>'Смета Внутр'!D80</f>
        <v>0</v>
      </c>
      <c r="E81" s="3007"/>
      <c r="F81" s="3012">
        <f>'Смета Внутр'!H80</f>
        <v>0</v>
      </c>
    </row>
    <row r="82" spans="2:6">
      <c r="B82" s="3007" t="str">
        <f>'Смета Внутр'!B81</f>
        <v>Арматура стальная Ø 10 </v>
      </c>
      <c r="C82" s="3008" t="str">
        <f>'Смета Внутр'!C81</f>
        <v>м.п.</v>
      </c>
      <c r="D82" s="3009">
        <f>'Смета Внутр'!D81</f>
        <v>0</v>
      </c>
      <c r="E82" s="3007"/>
      <c r="F82" s="3012">
        <f>'Смета Внутр'!H81</f>
        <v>0</v>
      </c>
    </row>
    <row r="83" spans="2:6">
      <c r="B83" s="3007" t="str">
        <f>'Смета Внутр'!B82</f>
        <v>Нет арматуры</v>
      </c>
      <c r="C83" s="3008" t="str">
        <f>'Смета Внутр'!C82</f>
        <v>м.п.</v>
      </c>
      <c r="D83" s="3009">
        <f>'Смета Внутр'!D82</f>
        <v>0</v>
      </c>
      <c r="E83" s="3007"/>
      <c r="F83" s="3012">
        <f>'Смета Внутр'!H82</f>
        <v>0</v>
      </c>
    </row>
    <row r="84" spans="2:6">
      <c r="B84" s="3007" t="str">
        <f>'Смета Внутр'!B83</f>
        <v>Бетон, м300</v>
      </c>
      <c r="C84" s="3008" t="str">
        <f>'Смета Внутр'!C83</f>
        <v>м3</v>
      </c>
      <c r="D84" s="3009">
        <f>'Смета Внутр'!D83</f>
        <v>0</v>
      </c>
      <c r="E84" s="3007"/>
      <c r="F84" s="3012">
        <f>'Смета Внутр'!H83</f>
        <v>0</v>
      </c>
    </row>
    <row r="85" spans="2:6">
      <c r="B85" s="3007" t="str">
        <f>'Смета Внутр'!B84</f>
        <v xml:space="preserve">Праймер для обработки </v>
      </c>
      <c r="C85" s="3008" t="str">
        <f>'Смета Внутр'!C84</f>
        <v>л</v>
      </c>
      <c r="D85" s="3009">
        <f>'Смета Внутр'!D84</f>
        <v>0</v>
      </c>
      <c r="E85" s="3007"/>
      <c r="F85" s="3012">
        <f>'Смета Внутр'!H84</f>
        <v>0</v>
      </c>
    </row>
    <row r="86" spans="2:6">
      <c r="B86" s="3007" t="str">
        <f>'Смета Внутр'!B85</f>
        <v>Плитный,28кг/м3, технониколь, 100мм</v>
      </c>
      <c r="C86" s="3008" t="str">
        <f>'Смета Внутр'!C85</f>
        <v>м3</v>
      </c>
      <c r="D86" s="3009">
        <f>'Смета Внутр'!D85</f>
        <v>0</v>
      </c>
      <c r="E86" s="3007"/>
      <c r="F86" s="3012">
        <f>'Смета Внутр'!H85</f>
        <v>0</v>
      </c>
    </row>
    <row r="87" spans="2:6">
      <c r="B87" s="3007" t="str">
        <f>'Смета Внутр'!B86</f>
        <v>Грибок для крепления утеплителя</v>
      </c>
      <c r="C87" s="3008" t="str">
        <f>'Смета Внутр'!C86</f>
        <v>шт</v>
      </c>
      <c r="D87" s="3009">
        <f>'Смета Внутр'!D86</f>
        <v>0</v>
      </c>
      <c r="E87" s="3007"/>
      <c r="F87" s="3012">
        <f>'Смета Внутр'!H86</f>
        <v>0</v>
      </c>
    </row>
    <row r="88" spans="2:6">
      <c r="B88" s="3311" t="str">
        <f>'Смета Внутр'!B87</f>
        <v>Итого материалы</v>
      </c>
      <c r="C88" s="3311"/>
      <c r="D88" s="3311"/>
      <c r="E88" s="3311"/>
      <c r="F88" s="3014">
        <f>'Смета Внутр'!G87</f>
        <v>0</v>
      </c>
    </row>
    <row r="89" spans="2:6">
      <c r="B89" s="3312" t="str">
        <f>'Смета Внутр'!B88</f>
        <v>Работы</v>
      </c>
      <c r="C89" s="3312"/>
      <c r="D89" s="3312"/>
      <c r="E89" s="3312"/>
      <c r="F89" s="3011">
        <f>'Смета Внутр'!H88</f>
        <v>0</v>
      </c>
    </row>
    <row r="90" spans="2:6">
      <c r="B90" s="3007" t="str">
        <f>'Смета Внутр'!B89</f>
        <v>обработка праймер</v>
      </c>
      <c r="C90" s="3008" t="str">
        <f>'Смета Внутр'!C89</f>
        <v>м2</v>
      </c>
      <c r="D90" s="3009">
        <f>'Смета Внутр'!D89</f>
        <v>0</v>
      </c>
      <c r="E90" s="3007"/>
      <c r="F90" s="3012">
        <f>'Смета Внутр'!H89</f>
        <v>0</v>
      </c>
    </row>
    <row r="91" spans="2:6">
      <c r="B91" s="3007" t="str">
        <f>'Смета Внутр'!B90</f>
        <v>настил гидроизола</v>
      </c>
      <c r="C91" s="3008" t="str">
        <f>'Смета Внутр'!C90</f>
        <v>м2</v>
      </c>
      <c r="D91" s="3009">
        <f>'Смета Внутр'!D90</f>
        <v>0</v>
      </c>
      <c r="E91" s="3007"/>
      <c r="F91" s="3012">
        <f>'Смета Внутр'!H90</f>
        <v>0</v>
      </c>
    </row>
    <row r="92" spans="2:6">
      <c r="B92" s="3007" t="str">
        <f>'Смета Внутр'!B91</f>
        <v>Кладка блоков ФБС</v>
      </c>
      <c r="C92" s="3008" t="str">
        <f>'Смета Внутр'!C91</f>
        <v>м3</v>
      </c>
      <c r="D92" s="3009">
        <f>'Смета Внутр'!D91</f>
        <v>0</v>
      </c>
      <c r="E92" s="3007"/>
      <c r="F92" s="3012">
        <f>'Смета Внутр'!H91</f>
        <v>0</v>
      </c>
    </row>
    <row r="93" spans="2:6">
      <c r="B93" s="3007" t="str">
        <f>'Смета Внутр'!B92</f>
        <v>укладка сетки</v>
      </c>
      <c r="C93" s="3008" t="str">
        <f>'Смета Внутр'!C92</f>
        <v>м2</v>
      </c>
      <c r="D93" s="3009">
        <f>'Смета Внутр'!D92</f>
        <v>0</v>
      </c>
      <c r="E93" s="3007"/>
      <c r="F93" s="3012">
        <f>'Смета Внутр'!H92</f>
        <v>0</v>
      </c>
    </row>
    <row r="94" spans="2:6">
      <c r="B94" s="3007" t="str">
        <f>'Смета Внутр'!B93</f>
        <v>гидроизоляция стен</v>
      </c>
      <c r="C94" s="3008" t="str">
        <f>'Смета Внутр'!C93</f>
        <v>м2</v>
      </c>
      <c r="D94" s="3009">
        <f>'Смета Внутр'!D93</f>
        <v>0</v>
      </c>
      <c r="E94" s="3007"/>
      <c r="F94" s="3012">
        <f>'Смета Внутр'!H93</f>
        <v>0</v>
      </c>
    </row>
    <row r="95" spans="2:6">
      <c r="B95" s="3007" t="str">
        <f>'Смета Внутр'!B94</f>
        <v>Монтаж утеплителя стен наружних</v>
      </c>
      <c r="C95" s="3008" t="str">
        <f>'Смета Внутр'!C94</f>
        <v>м2</v>
      </c>
      <c r="D95" s="3009">
        <f>'Смета Внутр'!D94</f>
        <v>0</v>
      </c>
      <c r="E95" s="3007"/>
      <c r="F95" s="3012">
        <f>'Смета Внутр'!H94</f>
        <v>0</v>
      </c>
    </row>
    <row r="96" spans="2:6">
      <c r="B96" s="3007" t="str">
        <f>'Смета Внутр'!B95</f>
        <v>сборка опалубки</v>
      </c>
      <c r="C96" s="3008" t="str">
        <f>'Смета Внутр'!C95</f>
        <v>м2</v>
      </c>
      <c r="D96" s="3009">
        <f>'Смета Внутр'!D95</f>
        <v>0</v>
      </c>
      <c r="E96" s="3007"/>
      <c r="F96" s="3012">
        <f>'Смета Внутр'!H95</f>
        <v>0</v>
      </c>
    </row>
    <row r="97" spans="2:6">
      <c r="B97" s="3007" t="str">
        <f>'Смета Внутр'!B96</f>
        <v>разборка опалубки</v>
      </c>
      <c r="C97" s="3008" t="str">
        <f>'Смета Внутр'!C96</f>
        <v>м2</v>
      </c>
      <c r="D97" s="3009">
        <f>'Смета Внутр'!D96</f>
        <v>0</v>
      </c>
      <c r="E97" s="3007"/>
      <c r="F97" s="3012">
        <f>'Смета Внутр'!H96</f>
        <v>0</v>
      </c>
    </row>
    <row r="98" spans="2:6">
      <c r="B98" s="3007" t="str">
        <f>'Смета Внутр'!B97</f>
        <v>приемка бетона</v>
      </c>
      <c r="C98" s="3008" t="str">
        <f>'Смета Внутр'!C97</f>
        <v>м3</v>
      </c>
      <c r="D98" s="3009">
        <f>'Смета Внутр'!D97</f>
        <v>0</v>
      </c>
      <c r="E98" s="3007"/>
      <c r="F98" s="3012">
        <f>'Смета Внутр'!H97</f>
        <v>0</v>
      </c>
    </row>
    <row r="99" spans="2:6">
      <c r="B99" s="3314" t="str">
        <f>'Смета Внутр'!B98</f>
        <v>Итого работы</v>
      </c>
      <c r="C99" s="3314"/>
      <c r="D99" s="3314"/>
      <c r="E99" s="3314"/>
      <c r="F99" s="3014">
        <f>'Смета Внутр'!G98</f>
        <v>0</v>
      </c>
    </row>
    <row r="100" spans="2:6" ht="19">
      <c r="B100" s="3313" t="str">
        <f>'Смета Внутр'!B99</f>
        <v>Цокольный этаж из Монолит (бетон)</v>
      </c>
      <c r="C100" s="3313"/>
      <c r="D100" s="3313"/>
      <c r="E100" s="3313"/>
      <c r="F100" s="3011">
        <f>'Смета Внутр'!H99</f>
        <v>0</v>
      </c>
    </row>
    <row r="101" spans="2:6">
      <c r="B101" s="3310" t="str">
        <f>'Смета Внутр'!B100</f>
        <v>Материалы</v>
      </c>
      <c r="C101" s="3310"/>
      <c r="D101" s="3310"/>
      <c r="E101" s="3310"/>
      <c r="F101" s="3011">
        <f>'Смета Внутр'!H100</f>
        <v>0</v>
      </c>
    </row>
    <row r="102" spans="2:6">
      <c r="B102" s="3007" t="str">
        <f>'Смета Внутр'!B101</f>
        <v xml:space="preserve">Праймер для обработки </v>
      </c>
      <c r="C102" s="3008" t="str">
        <f>'Смета Внутр'!C101</f>
        <v>л</v>
      </c>
      <c r="D102" s="3009">
        <f>'Смета Внутр'!D101</f>
        <v>0</v>
      </c>
      <c r="E102" s="3007"/>
      <c r="F102" s="3012">
        <f>'Смета Внутр'!H101</f>
        <v>0</v>
      </c>
    </row>
    <row r="103" spans="2:6">
      <c r="B103" s="3007" t="str">
        <f>'Смета Внутр'!B102</f>
        <v>Гидроизол</v>
      </c>
      <c r="C103" s="3008" t="str">
        <f>'Смета Внутр'!C102</f>
        <v>м2</v>
      </c>
      <c r="D103" s="3009">
        <f>'Смета Внутр'!D102</f>
        <v>0</v>
      </c>
      <c r="E103" s="3007"/>
      <c r="F103" s="3012">
        <f>'Смета Внутр'!H102</f>
        <v>0</v>
      </c>
    </row>
    <row r="104" spans="2:6">
      <c r="B104" s="3007" t="str">
        <f>'Смета Внутр'!B103</f>
        <v>Мастика битумная</v>
      </c>
      <c r="C104" s="3008" t="str">
        <f>'Смета Внутр'!C103</f>
        <v>кг</v>
      </c>
      <c r="D104" s="3009">
        <f>'Смета Внутр'!D103</f>
        <v>0</v>
      </c>
      <c r="E104" s="3007"/>
      <c r="F104" s="3012">
        <f>'Смета Внутр'!H103</f>
        <v>0</v>
      </c>
    </row>
    <row r="105" spans="2:6">
      <c r="B105" s="3007" t="str">
        <f>'Смета Внутр'!B104</f>
        <v>Сосна влаж,150*40мм</v>
      </c>
      <c r="C105" s="3008" t="str">
        <f>'Смета Внутр'!C104</f>
        <v>м3</v>
      </c>
      <c r="D105" s="3009">
        <f>'Смета Внутр'!D104</f>
        <v>0</v>
      </c>
      <c r="E105" s="3007"/>
      <c r="F105" s="3012">
        <f>'Смета Внутр'!H104</f>
        <v>0</v>
      </c>
    </row>
    <row r="106" spans="2:6">
      <c r="B106" s="3007" t="str">
        <f>'Смета Внутр'!B105</f>
        <v>Крепления для опалубки</v>
      </c>
      <c r="C106" s="3008" t="str">
        <f>'Смета Внутр'!C105</f>
        <v>шт</v>
      </c>
      <c r="D106" s="3009">
        <f>'Смета Внутр'!D105</f>
        <v>0</v>
      </c>
      <c r="E106" s="3007"/>
      <c r="F106" s="3012">
        <f>'Смета Внутр'!H105</f>
        <v>0</v>
      </c>
    </row>
    <row r="107" spans="2:6">
      <c r="B107" s="3007" t="str">
        <f>'Смета Внутр'!B106</f>
        <v>Арматура стальная Ø 12</v>
      </c>
      <c r="C107" s="3008" t="str">
        <f>'Смета Внутр'!C106</f>
        <v>м.п.</v>
      </c>
      <c r="D107" s="3009">
        <f>'Смета Внутр'!D106</f>
        <v>0</v>
      </c>
      <c r="E107" s="3007"/>
      <c r="F107" s="3012">
        <f>'Смета Внутр'!H106</f>
        <v>0</v>
      </c>
    </row>
    <row r="108" spans="2:6">
      <c r="B108" s="3007" t="str">
        <f>'Смета Внутр'!B107</f>
        <v>Вязальная проволока</v>
      </c>
      <c r="C108" s="3008" t="str">
        <f>'Смета Внутр'!C107</f>
        <v>кг</v>
      </c>
      <c r="D108" s="3009">
        <f>'Смета Внутр'!D107</f>
        <v>0</v>
      </c>
      <c r="E108" s="3007"/>
      <c r="F108" s="3012">
        <f>'Смета Внутр'!H107</f>
        <v>0</v>
      </c>
    </row>
    <row r="109" spans="2:6">
      <c r="B109" s="3007" t="str">
        <f>'Смета Внутр'!B108</f>
        <v>Бетон, м300</v>
      </c>
      <c r="C109" s="3008" t="str">
        <f>'Смета Внутр'!C108</f>
        <v>м3</v>
      </c>
      <c r="D109" s="3009">
        <f>'Смета Внутр'!D108</f>
        <v>0</v>
      </c>
      <c r="E109" s="3007"/>
      <c r="F109" s="3012">
        <f>'Смета Внутр'!H108</f>
        <v>0</v>
      </c>
    </row>
    <row r="110" spans="2:6">
      <c r="B110" s="3007" t="str">
        <f>'Смета Внутр'!B109</f>
        <v xml:space="preserve">Праймер для обработки </v>
      </c>
      <c r="C110" s="3008" t="str">
        <f>'Смета Внутр'!C109</f>
        <v>кг</v>
      </c>
      <c r="D110" s="3009">
        <f>'Смета Внутр'!D109</f>
        <v>0</v>
      </c>
      <c r="E110" s="3007"/>
      <c r="F110" s="3012">
        <f>'Смета Внутр'!H109</f>
        <v>0</v>
      </c>
    </row>
    <row r="111" spans="2:6">
      <c r="B111" s="3007" t="str">
        <f>'Смета Внутр'!B110</f>
        <v>Плитный,28кг/м3, технониколь, 100мм</v>
      </c>
      <c r="C111" s="3008" t="str">
        <f>'Смета Внутр'!C110</f>
        <v>м3</v>
      </c>
      <c r="D111" s="3009">
        <f>'Смета Внутр'!D110</f>
        <v>0</v>
      </c>
      <c r="E111" s="3007"/>
      <c r="F111" s="3012">
        <f>'Смета Внутр'!H110</f>
        <v>0</v>
      </c>
    </row>
    <row r="112" spans="2:6">
      <c r="B112" s="3007" t="str">
        <f>'Смета Внутр'!B111</f>
        <v>Грибок для крепления утеплителя</v>
      </c>
      <c r="C112" s="3008" t="str">
        <f>'Смета Внутр'!C111</f>
        <v>шт</v>
      </c>
      <c r="D112" s="3009">
        <f>'Смета Внутр'!D111</f>
        <v>0</v>
      </c>
      <c r="E112" s="3007"/>
      <c r="F112" s="3012">
        <f>'Смета Внутр'!H111</f>
        <v>0</v>
      </c>
    </row>
    <row r="113" spans="2:6">
      <c r="B113" s="3311" t="str">
        <f>'Смета Внутр'!B112</f>
        <v>Итого материалы</v>
      </c>
      <c r="C113" s="3311"/>
      <c r="D113" s="3311"/>
      <c r="E113" s="3311"/>
      <c r="F113" s="3014">
        <f>'Смета Внутр'!G112</f>
        <v>0</v>
      </c>
    </row>
    <row r="114" spans="2:6">
      <c r="B114" s="3312" t="str">
        <f>'Смета Внутр'!B113</f>
        <v>Работы</v>
      </c>
      <c r="C114" s="3312"/>
      <c r="D114" s="3312"/>
      <c r="E114" s="3312"/>
      <c r="F114" s="3011">
        <f>'Смета Внутр'!H113</f>
        <v>0</v>
      </c>
    </row>
    <row r="115" spans="2:6">
      <c r="B115" s="3007" t="str">
        <f>'Смета Внутр'!B114</f>
        <v>обработка праймер</v>
      </c>
      <c r="C115" s="3008" t="str">
        <f>'Смета Внутр'!C114</f>
        <v>м2</v>
      </c>
      <c r="D115" s="3009">
        <f>'Смета Внутр'!D114</f>
        <v>0</v>
      </c>
      <c r="E115" s="3007"/>
      <c r="F115" s="3012">
        <f>'Смета Внутр'!H114</f>
        <v>0</v>
      </c>
    </row>
    <row r="116" spans="2:6">
      <c r="B116" s="3007" t="str">
        <f>'Смета Внутр'!B115</f>
        <v>настил гидроизола</v>
      </c>
      <c r="C116" s="3008" t="str">
        <f>'Смета Внутр'!C115</f>
        <v>м2</v>
      </c>
      <c r="D116" s="3009">
        <f>'Смета Внутр'!D115</f>
        <v>0</v>
      </c>
      <c r="E116" s="3007"/>
      <c r="F116" s="3012">
        <f>'Смета Внутр'!H115</f>
        <v>0</v>
      </c>
    </row>
    <row r="117" spans="2:6">
      <c r="B117" s="3007" t="str">
        <f>'Смета Внутр'!B116</f>
        <v>вязка арматуры</v>
      </c>
      <c r="C117" s="3008" t="str">
        <f>'Смета Внутр'!C116</f>
        <v>м.п.</v>
      </c>
      <c r="D117" s="3009">
        <f>'Смета Внутр'!D116</f>
        <v>0</v>
      </c>
      <c r="E117" s="3007"/>
      <c r="F117" s="3012">
        <f>'Смета Внутр'!H116</f>
        <v>0</v>
      </c>
    </row>
    <row r="118" spans="2:6">
      <c r="B118" s="3007" t="str">
        <f>'Смета Внутр'!B117</f>
        <v>сборка опалубки</v>
      </c>
      <c r="C118" s="3008" t="str">
        <f>'Смета Внутр'!C117</f>
        <v>м2</v>
      </c>
      <c r="D118" s="3009">
        <f>'Смета Внутр'!D117</f>
        <v>0</v>
      </c>
      <c r="E118" s="3007"/>
      <c r="F118" s="3012">
        <f>'Смета Внутр'!H117</f>
        <v>0</v>
      </c>
    </row>
    <row r="119" spans="2:6">
      <c r="B119" s="3007" t="str">
        <f>'Смета Внутр'!B118</f>
        <v>разборка опалубки</v>
      </c>
      <c r="C119" s="3008" t="str">
        <f>'Смета Внутр'!C118</f>
        <v>м2</v>
      </c>
      <c r="D119" s="3009">
        <f>'Смета Внутр'!D118</f>
        <v>0</v>
      </c>
      <c r="E119" s="3007"/>
      <c r="F119" s="3012">
        <f>'Смета Внутр'!H118</f>
        <v>0</v>
      </c>
    </row>
    <row r="120" spans="2:6">
      <c r="B120" s="3007" t="str">
        <f>'Смета Внутр'!B119</f>
        <v>приемка бетона</v>
      </c>
      <c r="C120" s="3008" t="str">
        <f>'Смета Внутр'!C119</f>
        <v>м3</v>
      </c>
      <c r="D120" s="3009">
        <f>'Смета Внутр'!D119</f>
        <v>0</v>
      </c>
      <c r="E120" s="3007"/>
      <c r="F120" s="3012">
        <f>'Смета Внутр'!H119</f>
        <v>0</v>
      </c>
    </row>
    <row r="121" spans="2:6">
      <c r="B121" s="3007" t="str">
        <f>'Смета Внутр'!B120</f>
        <v>гидроизоляция стен</v>
      </c>
      <c r="C121" s="3008" t="str">
        <f>'Смета Внутр'!C120</f>
        <v>м2</v>
      </c>
      <c r="D121" s="3009">
        <f>'Смета Внутр'!D120</f>
        <v>0</v>
      </c>
      <c r="E121" s="3007"/>
      <c r="F121" s="3012">
        <f>'Смета Внутр'!H120</f>
        <v>0</v>
      </c>
    </row>
    <row r="122" spans="2:6">
      <c r="B122" s="3007" t="str">
        <f>'Смета Внутр'!B121</f>
        <v>утепление фундамента</v>
      </c>
      <c r="C122" s="3008" t="str">
        <f>'Смета Внутр'!C121</f>
        <v>м2</v>
      </c>
      <c r="D122" s="3009">
        <f>'Смета Внутр'!D121</f>
        <v>0</v>
      </c>
      <c r="E122" s="3007"/>
      <c r="F122" s="3012">
        <f>'Смета Внутр'!H121</f>
        <v>0</v>
      </c>
    </row>
    <row r="123" spans="2:6">
      <c r="B123" s="3311" t="str">
        <f>'Смета Внутр'!B122</f>
        <v>Итого работы</v>
      </c>
      <c r="C123" s="3311"/>
      <c r="D123" s="3311"/>
      <c r="E123" s="3311"/>
      <c r="F123" s="3014">
        <f>'Смета Внутр'!G122</f>
        <v>0</v>
      </c>
    </row>
    <row r="124" spans="2:6" ht="19">
      <c r="B124" s="3313" t="str">
        <f>'Смета Внутр'!B123</f>
        <v>Винтовые сваи для дома</v>
      </c>
      <c r="C124" s="3313"/>
      <c r="D124" s="3313"/>
      <c r="E124" s="3313"/>
      <c r="F124" s="3011">
        <f>'Смета Внутр'!H123</f>
        <v>0</v>
      </c>
    </row>
    <row r="125" spans="2:6">
      <c r="B125" s="3310" t="str">
        <f>'Смета Внутр'!B124</f>
        <v>Материалы</v>
      </c>
      <c r="C125" s="3310"/>
      <c r="D125" s="3310"/>
      <c r="E125" s="3310"/>
      <c r="F125" s="3011">
        <f>'Смета Внутр'!H124</f>
        <v>0</v>
      </c>
    </row>
    <row r="126" spans="2:6">
      <c r="B126" s="3007" t="str">
        <f>'Смета Внутр'!B125</f>
        <v>пробное забуривание</v>
      </c>
      <c r="C126" s="3008" t="str">
        <f>'Смета Внутр'!C125</f>
        <v>шт</v>
      </c>
      <c r="D126" s="3009">
        <f>'Смета Внутр'!D125</f>
        <v>1</v>
      </c>
      <c r="E126" s="3007"/>
      <c r="F126" s="3012">
        <f>'Смета Внутр'!H125</f>
        <v>0</v>
      </c>
    </row>
    <row r="127" spans="2:6">
      <c r="B127" s="3007" t="str">
        <f>'Смета Внутр'!B126</f>
        <v>108мм, 2,5м длина, 1 лопасть</v>
      </c>
      <c r="C127" s="3008" t="str">
        <f>'Смета Внутр'!C126</f>
        <v>шт</v>
      </c>
      <c r="D127" s="3009">
        <f>'Смета Внутр'!D126</f>
        <v>25</v>
      </c>
      <c r="E127" s="3007"/>
      <c r="F127" s="3012">
        <f>'Смета Внутр'!H126</f>
        <v>0</v>
      </c>
    </row>
    <row r="128" spans="2:6">
      <c r="B128" s="3007" t="str">
        <f>'Смета Внутр'!B127</f>
        <v>Оголовкок для свай 200*200</v>
      </c>
      <c r="C128" s="3008" t="str">
        <f>'Смета Внутр'!C127</f>
        <v>шт</v>
      </c>
      <c r="D128" s="3009">
        <f>'Смета Внутр'!D127</f>
        <v>25</v>
      </c>
      <c r="E128" s="3007"/>
      <c r="F128" s="3012">
        <f>'Смета Внутр'!H127</f>
        <v>0</v>
      </c>
    </row>
    <row r="129" spans="2:6">
      <c r="B129" s="3007" t="str">
        <f>'Смета Внутр'!B128</f>
        <v>обвязка металлом</v>
      </c>
      <c r="C129" s="3008" t="str">
        <f>'Смета Внутр'!C128</f>
        <v>м.п.</v>
      </c>
      <c r="D129" s="3009">
        <f>'Смета Внутр'!D128</f>
        <v>56</v>
      </c>
      <c r="E129" s="3007"/>
      <c r="F129" s="3012">
        <f>'Смета Внутр'!H128</f>
        <v>0</v>
      </c>
    </row>
    <row r="130" spans="2:6">
      <c r="B130" s="3007" t="str">
        <f>'Смета Внутр'!B129</f>
        <v>Раствор, м200</v>
      </c>
      <c r="C130" s="3008" t="str">
        <f>'Смета Внутр'!C129</f>
        <v>м3</v>
      </c>
      <c r="D130" s="3009">
        <f>'Смета Внутр'!D129</f>
        <v>1.1304000000000001</v>
      </c>
      <c r="E130" s="3007"/>
      <c r="F130" s="3012">
        <f>'Смета Внутр'!H129</f>
        <v>0</v>
      </c>
    </row>
    <row r="131" spans="2:6">
      <c r="B131" s="3007" t="str">
        <f>'Смета Внутр'!B130</f>
        <v>Электроды ок 47</v>
      </c>
      <c r="C131" s="3008" t="str">
        <f>'Смета Внутр'!C130</f>
        <v>шт</v>
      </c>
      <c r="D131" s="3009">
        <f>'Смета Внутр'!D130</f>
        <v>25</v>
      </c>
      <c r="E131" s="3007"/>
      <c r="F131" s="3012">
        <f>'Смета Внутр'!H130</f>
        <v>0</v>
      </c>
    </row>
    <row r="132" spans="2:6">
      <c r="B132" s="3311" t="str">
        <f>'Смета Внутр'!B131</f>
        <v>Итого материалы</v>
      </c>
      <c r="C132" s="3311"/>
      <c r="D132" s="3311"/>
      <c r="E132" s="3311"/>
      <c r="F132" s="3014">
        <f>'Смета Внутр'!G131</f>
        <v>0</v>
      </c>
    </row>
    <row r="133" spans="2:6">
      <c r="B133" s="3312" t="str">
        <f>'Смета Внутр'!B132</f>
        <v>Работы</v>
      </c>
      <c r="C133" s="3312"/>
      <c r="D133" s="3312"/>
      <c r="E133" s="3312"/>
      <c r="F133" s="3011">
        <f>'Смета Внутр'!H132</f>
        <v>0</v>
      </c>
    </row>
    <row r="134" spans="2:6">
      <c r="B134" s="3007" t="str">
        <f>'Смета Внутр'!B133</f>
        <v>разбивка осей</v>
      </c>
      <c r="C134" s="3008" t="str">
        <f>'Смета Внутр'!C133</f>
        <v>шт</v>
      </c>
      <c r="D134" s="3009">
        <f>'Смета Внутр'!D133</f>
        <v>1</v>
      </c>
      <c r="E134" s="3007"/>
      <c r="F134" s="3012">
        <f>'Смета Внутр'!H133</f>
        <v>0</v>
      </c>
    </row>
    <row r="135" spans="2:6">
      <c r="B135" s="3007" t="str">
        <f>'Смета Внутр'!B134</f>
        <v>монтаж свай</v>
      </c>
      <c r="C135" s="3008" t="str">
        <f>'Смета Внутр'!C134</f>
        <v>шт</v>
      </c>
      <c r="D135" s="3009">
        <f>'Смета Внутр'!D134</f>
        <v>25</v>
      </c>
      <c r="E135" s="3007"/>
      <c r="F135" s="3012">
        <f>'Смета Внутр'!H134</f>
        <v>0</v>
      </c>
    </row>
    <row r="136" spans="2:6">
      <c r="B136" s="3007" t="str">
        <f>'Смета Внутр'!B135</f>
        <v>монтаж оголовков</v>
      </c>
      <c r="C136" s="3008" t="str">
        <f>'Смета Внутр'!C135</f>
        <v>шт</v>
      </c>
      <c r="D136" s="3009">
        <f>'Смета Внутр'!D135</f>
        <v>25</v>
      </c>
      <c r="E136" s="3007"/>
      <c r="F136" s="3012">
        <f>'Смета Внутр'!H135</f>
        <v>0</v>
      </c>
    </row>
    <row r="137" spans="2:6">
      <c r="B137" s="3007" t="str">
        <f>'Смета Внутр'!B136</f>
        <v>обвязка металлом</v>
      </c>
      <c r="C137" s="3008" t="str">
        <f>'Смета Внутр'!C136</f>
        <v>м.п.</v>
      </c>
      <c r="D137" s="3009">
        <f>'Смета Внутр'!D136</f>
        <v>56</v>
      </c>
      <c r="E137" s="3007"/>
      <c r="F137" s="3012">
        <f>'Смета Внутр'!H136</f>
        <v>0</v>
      </c>
    </row>
    <row r="138" spans="2:6">
      <c r="B138" s="3007" t="str">
        <f>'Смета Внутр'!B137</f>
        <v>заливка бетоном</v>
      </c>
      <c r="C138" s="3008" t="str">
        <f>'Смета Внутр'!C137</f>
        <v>шт</v>
      </c>
      <c r="D138" s="3009">
        <f>'Смета Внутр'!D137</f>
        <v>25</v>
      </c>
      <c r="E138" s="3007"/>
      <c r="F138" s="3012">
        <f>'Смета Внутр'!H137</f>
        <v>0</v>
      </c>
    </row>
    <row r="139" spans="2:6">
      <c r="B139" s="3007" t="str">
        <f>'Смета Внутр'!B138</f>
        <v>Обрезка винтовых свай по невелиру</v>
      </c>
      <c r="C139" s="3008" t="str">
        <f>'Смета Внутр'!C138</f>
        <v>шт</v>
      </c>
      <c r="D139" s="3009">
        <f>'Смета Внутр'!D138</f>
        <v>25</v>
      </c>
      <c r="E139" s="3007"/>
      <c r="F139" s="3012">
        <f>'Смета Внутр'!H138</f>
        <v>0</v>
      </c>
    </row>
    <row r="140" spans="2:6">
      <c r="B140" s="3007" t="str">
        <f>'Смета Внутр'!B139</f>
        <v>Наварка оголовка</v>
      </c>
      <c r="C140" s="3008" t="str">
        <f>'Смета Внутр'!C139</f>
        <v>шт</v>
      </c>
      <c r="D140" s="3009">
        <f>'Смета Внутр'!D139</f>
        <v>25</v>
      </c>
      <c r="E140" s="3007"/>
      <c r="F140" s="3012">
        <f>'Смета Внутр'!H139</f>
        <v>0</v>
      </c>
    </row>
    <row r="141" spans="2:6">
      <c r="B141" s="3311" t="str">
        <f>'Смета Внутр'!B140</f>
        <v>Итого работы</v>
      </c>
      <c r="C141" s="3311"/>
      <c r="D141" s="3311"/>
      <c r="E141" s="3311"/>
      <c r="F141" s="3014">
        <f>'Смета Внутр'!G140</f>
        <v>0</v>
      </c>
    </row>
    <row r="142" spans="2:6" ht="19">
      <c r="B142" s="3313" t="str">
        <f>'Смета Внутр'!B141</f>
        <v>Винтовые сваи для террасы</v>
      </c>
      <c r="C142" s="3313"/>
      <c r="D142" s="3313"/>
      <c r="E142" s="3313"/>
      <c r="F142" s="3011">
        <f>'Смета Внутр'!H141</f>
        <v>0</v>
      </c>
    </row>
    <row r="143" spans="2:6">
      <c r="B143" s="3310" t="str">
        <f>'Смета Внутр'!B142</f>
        <v>Материалы</v>
      </c>
      <c r="C143" s="3310"/>
      <c r="D143" s="3310"/>
      <c r="E143" s="3310"/>
      <c r="F143" s="3011">
        <f>'Смета Внутр'!H142</f>
        <v>0</v>
      </c>
    </row>
    <row r="144" spans="2:6">
      <c r="B144" s="3007" t="str">
        <f>'Смета Внутр'!B143</f>
        <v>пробное забуривание</v>
      </c>
      <c r="C144" s="3008" t="str">
        <f>'Смета Внутр'!C143</f>
        <v>шт</v>
      </c>
      <c r="D144" s="3009">
        <f>'Смета Внутр'!D143</f>
        <v>1</v>
      </c>
      <c r="E144" s="3007"/>
      <c r="F144" s="3012">
        <f>'Смета Внутр'!H143</f>
        <v>0</v>
      </c>
    </row>
    <row r="145" spans="2:6">
      <c r="B145" s="3007" t="str">
        <f>'Смета Внутр'!B144</f>
        <v>76мм, 3,5м длина, 2 лопасть</v>
      </c>
      <c r="C145" s="3008" t="str">
        <f>'Смета Внутр'!C144</f>
        <v>шт</v>
      </c>
      <c r="D145" s="3009">
        <f>'Смета Внутр'!D144</f>
        <v>8</v>
      </c>
      <c r="E145" s="3007"/>
      <c r="F145" s="3012">
        <f>'Смета Внутр'!H144</f>
        <v>0</v>
      </c>
    </row>
    <row r="146" spans="2:6">
      <c r="B146" s="3007" t="str">
        <f>'Смета Внутр'!B145</f>
        <v>Оголовкок для свай 250*250</v>
      </c>
      <c r="C146" s="3008" t="str">
        <f>'Смета Внутр'!C145</f>
        <v>шт</v>
      </c>
      <c r="D146" s="3009">
        <f>'Смета Внутр'!D145</f>
        <v>8</v>
      </c>
      <c r="E146" s="3007"/>
      <c r="F146" s="3012">
        <f>'Смета Внутр'!H145</f>
        <v>0</v>
      </c>
    </row>
    <row r="147" spans="2:6">
      <c r="B147" s="3007" t="str">
        <f>'Смета Внутр'!B146</f>
        <v>обвязка металлом, 20/40/3000</v>
      </c>
      <c r="C147" s="3008" t="str">
        <f>'Смета Внутр'!C146</f>
        <v>м.п.</v>
      </c>
      <c r="D147" s="3009">
        <f>'Смета Внутр'!D146</f>
        <v>8</v>
      </c>
      <c r="E147" s="3007"/>
      <c r="F147" s="3012">
        <f>'Смета Внутр'!H146</f>
        <v>0</v>
      </c>
    </row>
    <row r="148" spans="2:6">
      <c r="B148" s="3007" t="str">
        <f>'Смета Внутр'!B147</f>
        <v>Раствор, м200</v>
      </c>
      <c r="C148" s="3008" t="str">
        <f>'Смета Внутр'!C147</f>
        <v>м3</v>
      </c>
      <c r="D148" s="3009">
        <f>'Смета Внутр'!D147</f>
        <v>0.36172799999999999</v>
      </c>
      <c r="E148" s="3007"/>
      <c r="F148" s="3012">
        <f>'Смета Внутр'!H147</f>
        <v>0</v>
      </c>
    </row>
    <row r="149" spans="2:6">
      <c r="B149" s="3007" t="str">
        <f>'Смета Внутр'!B148</f>
        <v>Электроды ок 47</v>
      </c>
      <c r="C149" s="3008" t="str">
        <f>'Смета Внутр'!C148</f>
        <v>шт</v>
      </c>
      <c r="D149" s="3009">
        <f>'Смета Внутр'!D148</f>
        <v>8</v>
      </c>
      <c r="E149" s="3007"/>
      <c r="F149" s="3012">
        <f>'Смета Внутр'!H148</f>
        <v>0</v>
      </c>
    </row>
    <row r="150" spans="2:6">
      <c r="B150" s="3311" t="str">
        <f>'Смета Внутр'!B149</f>
        <v>Итого материалы</v>
      </c>
      <c r="C150" s="3311"/>
      <c r="D150" s="3311"/>
      <c r="E150" s="3311"/>
      <c r="F150" s="3014">
        <f>'Смета Внутр'!G149</f>
        <v>0</v>
      </c>
    </row>
    <row r="151" spans="2:6">
      <c r="B151" s="3312" t="str">
        <f>'Смета Внутр'!B150</f>
        <v>Работы</v>
      </c>
      <c r="C151" s="3312"/>
      <c r="D151" s="3312"/>
      <c r="E151" s="3312"/>
      <c r="F151" s="3011">
        <f>'Смета Внутр'!H150</f>
        <v>0</v>
      </c>
    </row>
    <row r="152" spans="2:6">
      <c r="B152" s="3007" t="str">
        <f>'Смета Внутр'!B151</f>
        <v>разбивка осей</v>
      </c>
      <c r="C152" s="3008" t="str">
        <f>'Смета Внутр'!C151</f>
        <v>шт</v>
      </c>
      <c r="D152" s="3009">
        <f>'Смета Внутр'!D151</f>
        <v>1</v>
      </c>
      <c r="E152" s="3007"/>
      <c r="F152" s="3012">
        <f>'Смета Внутр'!H151</f>
        <v>0</v>
      </c>
    </row>
    <row r="153" spans="2:6">
      <c r="B153" s="3007" t="str">
        <f>'Смета Внутр'!B152</f>
        <v>монтаж свай гидравликой</v>
      </c>
      <c r="C153" s="3008" t="str">
        <f>'Смета Внутр'!C152</f>
        <v>шт</v>
      </c>
      <c r="D153" s="3009">
        <f>'Смета Внутр'!D152</f>
        <v>1</v>
      </c>
      <c r="E153" s="3007"/>
      <c r="F153" s="3012">
        <f>'Смета Внутр'!H152</f>
        <v>0</v>
      </c>
    </row>
    <row r="154" spans="2:6">
      <c r="B154" s="3007" t="str">
        <f>'Смета Внутр'!B153</f>
        <v>монтаж оголовков</v>
      </c>
      <c r="C154" s="3008" t="str">
        <f>'Смета Внутр'!C153</f>
        <v>шт</v>
      </c>
      <c r="D154" s="3009">
        <f>'Смета Внутр'!D153</f>
        <v>8</v>
      </c>
      <c r="E154" s="3007"/>
      <c r="F154" s="3012">
        <f>'Смета Внутр'!H153</f>
        <v>0</v>
      </c>
    </row>
    <row r="155" spans="2:6">
      <c r="B155" s="3007" t="str">
        <f>'Смета Внутр'!B154</f>
        <v>обвязка металлом</v>
      </c>
      <c r="C155" s="3008" t="str">
        <f>'Смета Внутр'!C154</f>
        <v>м.п.</v>
      </c>
      <c r="D155" s="3009">
        <f>'Смета Внутр'!D154</f>
        <v>8</v>
      </c>
      <c r="E155" s="3007"/>
      <c r="F155" s="3012">
        <f>'Смета Внутр'!H154</f>
        <v>0</v>
      </c>
    </row>
    <row r="156" spans="2:6">
      <c r="B156" s="3007" t="str">
        <f>'Смета Внутр'!B155</f>
        <v>заливка бетоном</v>
      </c>
      <c r="C156" s="3008" t="str">
        <f>'Смета Внутр'!C155</f>
        <v>шт</v>
      </c>
      <c r="D156" s="3009">
        <f>'Смета Внутр'!D155</f>
        <v>8</v>
      </c>
      <c r="E156" s="3007"/>
      <c r="F156" s="3012">
        <f>'Смета Внутр'!H155</f>
        <v>0</v>
      </c>
    </row>
    <row r="157" spans="2:6">
      <c r="B157" s="3007" t="str">
        <f>'Смета Внутр'!B156</f>
        <v>Обрезка винтовых свай по невелиру</v>
      </c>
      <c r="C157" s="3008" t="str">
        <f>'Смета Внутр'!C156</f>
        <v>шт</v>
      </c>
      <c r="D157" s="3009">
        <f>'Смета Внутр'!D156</f>
        <v>8</v>
      </c>
      <c r="E157" s="3007"/>
      <c r="F157" s="3012">
        <f>'Смета Внутр'!H156</f>
        <v>0</v>
      </c>
    </row>
    <row r="158" spans="2:6">
      <c r="B158" s="3007" t="str">
        <f>'Смета Внутр'!B157</f>
        <v>Наварка оголовка</v>
      </c>
      <c r="C158" s="3008" t="str">
        <f>'Смета Внутр'!C157</f>
        <v>шт</v>
      </c>
      <c r="D158" s="3009">
        <f>'Смета Внутр'!D157</f>
        <v>8</v>
      </c>
      <c r="E158" s="3007"/>
      <c r="F158" s="3012">
        <f>'Смета Внутр'!H157</f>
        <v>0</v>
      </c>
    </row>
    <row r="159" spans="2:6">
      <c r="B159" s="3311" t="str">
        <f>'Смета Внутр'!B158</f>
        <v>Итого работы</v>
      </c>
      <c r="C159" s="3311"/>
      <c r="D159" s="3311"/>
      <c r="E159" s="3311"/>
      <c r="F159" s="3014">
        <f>'Смета Внутр'!G158</f>
        <v>0</v>
      </c>
    </row>
    <row r="160" spans="2:6" ht="19">
      <c r="B160" s="3313" t="str">
        <f>'Смета Внутр'!B159</f>
        <v>Винтовые сваи для крыльца</v>
      </c>
      <c r="C160" s="3313"/>
      <c r="D160" s="3313"/>
      <c r="E160" s="3313"/>
      <c r="F160" s="3011">
        <f>'Смета Внутр'!H159</f>
        <v>0</v>
      </c>
    </row>
    <row r="161" spans="2:6">
      <c r="B161" s="3310" t="str">
        <f>'Смета Внутр'!B160</f>
        <v>Материалы</v>
      </c>
      <c r="C161" s="3310"/>
      <c r="D161" s="3310"/>
      <c r="E161" s="3310"/>
      <c r="F161" s="3011">
        <f>'Смета Внутр'!H160</f>
        <v>0</v>
      </c>
    </row>
    <row r="162" spans="2:6">
      <c r="B162" s="3007" t="str">
        <f>'Смета Внутр'!B161</f>
        <v>пробное забуривание</v>
      </c>
      <c r="C162" s="3008" t="str">
        <f>'Смета Внутр'!C161</f>
        <v>шт</v>
      </c>
      <c r="D162" s="3009">
        <f>'Смета Внутр'!D161</f>
        <v>1</v>
      </c>
      <c r="E162" s="3007"/>
      <c r="F162" s="3012">
        <f>'Смета Внутр'!H161</f>
        <v>0</v>
      </c>
    </row>
    <row r="163" spans="2:6">
      <c r="B163" s="3007" t="str">
        <f>'Смета Внутр'!B162</f>
        <v>89мм, 4,5м длина, 2 лопасть</v>
      </c>
      <c r="C163" s="3008" t="str">
        <f>'Смета Внутр'!C162</f>
        <v>шт</v>
      </c>
      <c r="D163" s="3009">
        <f>'Смета Внутр'!D162</f>
        <v>5</v>
      </c>
      <c r="E163" s="3007"/>
      <c r="F163" s="3012">
        <f>'Смета Внутр'!H162</f>
        <v>0</v>
      </c>
    </row>
    <row r="164" spans="2:6">
      <c r="B164" s="3007" t="str">
        <f>'Смета Внутр'!B163</f>
        <v>Оголовкок для свай 200*200</v>
      </c>
      <c r="C164" s="3008" t="str">
        <f>'Смета Внутр'!C163</f>
        <v>шт</v>
      </c>
      <c r="D164" s="3009">
        <f>'Смета Внутр'!D163</f>
        <v>5</v>
      </c>
      <c r="E164" s="3007"/>
      <c r="F164" s="3012">
        <f>'Смета Внутр'!H163</f>
        <v>0</v>
      </c>
    </row>
    <row r="165" spans="2:6">
      <c r="B165" s="3007" t="str">
        <f>'Смета Внутр'!B164</f>
        <v>обвязка металлом, 20/40/3000</v>
      </c>
      <c r="C165" s="3008" t="str">
        <f>'Смета Внутр'!C164</f>
        <v>м.п.</v>
      </c>
      <c r="D165" s="3009">
        <f>'Смета Внутр'!D164</f>
        <v>5</v>
      </c>
      <c r="E165" s="3007"/>
      <c r="F165" s="3012">
        <f>'Смета Внутр'!H164</f>
        <v>0</v>
      </c>
    </row>
    <row r="166" spans="2:6">
      <c r="B166" s="3007" t="str">
        <f>'Смета Внутр'!B165</f>
        <v>Раствор, м200</v>
      </c>
      <c r="C166" s="3008" t="str">
        <f>'Смета Внутр'!C165</f>
        <v>м3</v>
      </c>
      <c r="D166" s="3009">
        <f>'Смета Внутр'!D165</f>
        <v>0.22608</v>
      </c>
      <c r="E166" s="3007"/>
      <c r="F166" s="3012">
        <f>'Смета Внутр'!H165</f>
        <v>0</v>
      </c>
    </row>
    <row r="167" spans="2:6">
      <c r="B167" s="3007" t="str">
        <f>'Смета Внутр'!B166</f>
        <v>Электроды ок 47</v>
      </c>
      <c r="C167" s="3008" t="str">
        <f>'Смета Внутр'!C166</f>
        <v>шт</v>
      </c>
      <c r="D167" s="3009">
        <f>'Смета Внутр'!D166</f>
        <v>5</v>
      </c>
      <c r="E167" s="3007"/>
      <c r="F167" s="3012">
        <f>'Смета Внутр'!H166</f>
        <v>0</v>
      </c>
    </row>
    <row r="168" spans="2:6">
      <c r="B168" s="3311" t="str">
        <f>'Смета Внутр'!B167</f>
        <v>Итого материалы</v>
      </c>
      <c r="C168" s="3311"/>
      <c r="D168" s="3311"/>
      <c r="E168" s="3311"/>
      <c r="F168" s="3014">
        <f>'Смета Внутр'!G167</f>
        <v>0</v>
      </c>
    </row>
    <row r="169" spans="2:6">
      <c r="B169" s="3312" t="str">
        <f>'Смета Внутр'!B168</f>
        <v>Работы</v>
      </c>
      <c r="C169" s="3312"/>
      <c r="D169" s="3312"/>
      <c r="E169" s="3312"/>
      <c r="F169" s="3011">
        <f>'Смета Внутр'!H168</f>
        <v>0</v>
      </c>
    </row>
    <row r="170" spans="2:6">
      <c r="B170" s="3007" t="str">
        <f>'Смета Внутр'!B169</f>
        <v>разбивка осей</v>
      </c>
      <c r="C170" s="3008" t="str">
        <f>'Смета Внутр'!C169</f>
        <v>шт</v>
      </c>
      <c r="D170" s="3009">
        <f>'Смета Внутр'!D169</f>
        <v>1</v>
      </c>
      <c r="E170" s="3007"/>
      <c r="F170" s="3012">
        <f>'Смета Внутр'!H169</f>
        <v>0</v>
      </c>
    </row>
    <row r="171" spans="2:6">
      <c r="B171" s="3007" t="str">
        <f>'Смета Внутр'!B170</f>
        <v>монтаж свай гидравликой</v>
      </c>
      <c r="C171" s="3008" t="str">
        <f>'Смета Внутр'!C170</f>
        <v>шт</v>
      </c>
      <c r="D171" s="3009">
        <f>'Смета Внутр'!D170</f>
        <v>5</v>
      </c>
      <c r="E171" s="3007"/>
      <c r="F171" s="3012">
        <f>'Смета Внутр'!H170</f>
        <v>0</v>
      </c>
    </row>
    <row r="172" spans="2:6">
      <c r="B172" s="3007" t="str">
        <f>'Смета Внутр'!B171</f>
        <v>монтаж оголовков</v>
      </c>
      <c r="C172" s="3008" t="str">
        <f>'Смета Внутр'!C171</f>
        <v>шт</v>
      </c>
      <c r="D172" s="3009">
        <f>'Смета Внутр'!D171</f>
        <v>5</v>
      </c>
      <c r="E172" s="3007"/>
      <c r="F172" s="3012">
        <f>'Смета Внутр'!H171</f>
        <v>0</v>
      </c>
    </row>
    <row r="173" spans="2:6">
      <c r="B173" s="3007" t="str">
        <f>'Смета Внутр'!B172</f>
        <v>обвязка металлом</v>
      </c>
      <c r="C173" s="3008" t="str">
        <f>'Смета Внутр'!C172</f>
        <v>м.п.</v>
      </c>
      <c r="D173" s="3009">
        <f>'Смета Внутр'!D172</f>
        <v>5</v>
      </c>
      <c r="E173" s="3007"/>
      <c r="F173" s="3012">
        <f>'Смета Внутр'!H172</f>
        <v>0</v>
      </c>
    </row>
    <row r="174" spans="2:6">
      <c r="B174" s="3007" t="str">
        <f>'Смета Внутр'!B173</f>
        <v>заливка бетоном</v>
      </c>
      <c r="C174" s="3008" t="str">
        <f>'Смета Внутр'!C173</f>
        <v>шт</v>
      </c>
      <c r="D174" s="3009">
        <f>'Смета Внутр'!D173</f>
        <v>5</v>
      </c>
      <c r="E174" s="3007"/>
      <c r="F174" s="3012">
        <f>'Смета Внутр'!H173</f>
        <v>0</v>
      </c>
    </row>
    <row r="175" spans="2:6">
      <c r="B175" s="3007" t="str">
        <f>'Смета Внутр'!B174</f>
        <v>Обрезка винтовых свай по невелиру</v>
      </c>
      <c r="C175" s="3008" t="str">
        <f>'Смета Внутр'!C174</f>
        <v>шт</v>
      </c>
      <c r="D175" s="3009">
        <f>'Смета Внутр'!D174</f>
        <v>5</v>
      </c>
      <c r="E175" s="3007"/>
      <c r="F175" s="3012">
        <f>'Смета Внутр'!H174</f>
        <v>0</v>
      </c>
    </row>
    <row r="176" spans="2:6">
      <c r="B176" s="3007" t="str">
        <f>'Смета Внутр'!B175</f>
        <v>Наварка оголовка</v>
      </c>
      <c r="C176" s="3008" t="str">
        <f>'Смета Внутр'!C175</f>
        <v>шт</v>
      </c>
      <c r="D176" s="3009">
        <f>'Смета Внутр'!D175</f>
        <v>5</v>
      </c>
      <c r="E176" s="3007"/>
      <c r="F176" s="3012">
        <f>'Смета Внутр'!H175</f>
        <v>0</v>
      </c>
    </row>
    <row r="177" spans="2:6">
      <c r="B177" s="3311" t="str">
        <f>'Смета Внутр'!B176</f>
        <v>Итого работы</v>
      </c>
      <c r="C177" s="3311"/>
      <c r="D177" s="3311"/>
      <c r="E177" s="3311"/>
      <c r="F177" s="3014">
        <f>'Смета Внутр'!G176</f>
        <v>0</v>
      </c>
    </row>
    <row r="178" spans="2:6" ht="19">
      <c r="B178" s="3313" t="str">
        <f>'Смета Внутр'!B177</f>
        <v>Ленточный фундамент</v>
      </c>
      <c r="C178" s="3313"/>
      <c r="D178" s="3313"/>
      <c r="E178" s="3313"/>
      <c r="F178" s="3015">
        <f>'Смета Внутр'!H177</f>
        <v>0</v>
      </c>
    </row>
    <row r="179" spans="2:6">
      <c r="B179" s="3310" t="str">
        <f>'Смета Внутр'!B178</f>
        <v>Материалы</v>
      </c>
      <c r="C179" s="3310"/>
      <c r="D179" s="3310"/>
      <c r="E179" s="3310"/>
      <c r="F179" s="3015">
        <f>'Смета Внутр'!H178</f>
        <v>0</v>
      </c>
    </row>
    <row r="180" spans="2:6">
      <c r="B180" s="3007" t="str">
        <f>'Смета Внутр'!B179</f>
        <v>Сосна влаж,150*40мм</v>
      </c>
      <c r="C180" s="3008" t="str">
        <f>'Смета Внутр'!C179</f>
        <v>м3</v>
      </c>
      <c r="D180" s="3009">
        <f>'Смета Внутр'!D179</f>
        <v>3.843840000000001</v>
      </c>
      <c r="E180" s="3007"/>
      <c r="F180" s="3016">
        <f>'Смета Внутр'!H179</f>
        <v>0</v>
      </c>
    </row>
    <row r="181" spans="2:6">
      <c r="B181" s="3007" t="str">
        <f>'Смета Внутр'!B180</f>
        <v xml:space="preserve">Пленка гидроизоляционная </v>
      </c>
      <c r="C181" s="3008" t="str">
        <f>'Смета Внутр'!C180</f>
        <v>м2</v>
      </c>
      <c r="D181" s="3009">
        <f>'Смета Внутр'!D180</f>
        <v>96.096000000000018</v>
      </c>
      <c r="E181" s="3007"/>
      <c r="F181" s="3016">
        <f>'Смета Внутр'!H180</f>
        <v>0</v>
      </c>
    </row>
    <row r="182" spans="2:6">
      <c r="B182" s="3007" t="str">
        <f>'Смета Внутр'!B181</f>
        <v>Арматура стальная Ø 8</v>
      </c>
      <c r="C182" s="3008" t="str">
        <f>'Смета Внутр'!C181</f>
        <v>м.п</v>
      </c>
      <c r="D182" s="3009">
        <f>'Смета Внутр'!D181</f>
        <v>443.52000000000004</v>
      </c>
      <c r="E182" s="3007"/>
      <c r="F182" s="3016">
        <f>'Смета Внутр'!H181</f>
        <v>0</v>
      </c>
    </row>
    <row r="183" spans="2:6">
      <c r="B183" s="3007" t="str">
        <f>'Смета Внутр'!B182</f>
        <v>Арматура стальная Ø 6</v>
      </c>
      <c r="C183" s="3008" t="str">
        <f>'Смета Внутр'!C182</f>
        <v>м.п</v>
      </c>
      <c r="D183" s="3009">
        <f>'Смета Внутр'!D182</f>
        <v>304.92000000000007</v>
      </c>
      <c r="E183" s="3007"/>
      <c r="F183" s="3016">
        <f>'Смета Внутр'!H182</f>
        <v>0</v>
      </c>
    </row>
    <row r="184" spans="2:6">
      <c r="B184" s="3007" t="str">
        <f>'Смета Внутр'!B183</f>
        <v>Вязальная проволока</v>
      </c>
      <c r="C184" s="3008" t="str">
        <f>'Смета Внутр'!C183</f>
        <v>кг</v>
      </c>
      <c r="D184" s="3009">
        <f>'Смета Внутр'!D183</f>
        <v>16.465680000000003</v>
      </c>
      <c r="E184" s="3007"/>
      <c r="F184" s="3016">
        <f>'Смета Внутр'!H183</f>
        <v>0</v>
      </c>
    </row>
    <row r="185" spans="2:6">
      <c r="B185" s="3007" t="str">
        <f>'Смета Внутр'!B184</f>
        <v xml:space="preserve">Гвозди строительные 3,5 x 90            </v>
      </c>
      <c r="C185" s="3008" t="str">
        <f>'Смета Внутр'!C184</f>
        <v>кг</v>
      </c>
      <c r="D185" s="3009">
        <f>'Смета Внутр'!D184</f>
        <v>21.141120000000008</v>
      </c>
      <c r="E185" s="3007"/>
      <c r="F185" s="3016">
        <f>'Смета Внутр'!H184</f>
        <v>0</v>
      </c>
    </row>
    <row r="186" spans="2:6">
      <c r="B186" s="3007" t="str">
        <f>'Смета Внутр'!B185</f>
        <v>Гидроизол</v>
      </c>
      <c r="C186" s="3008" t="str">
        <f>'Смета Внутр'!C185</f>
        <v>м2</v>
      </c>
      <c r="D186" s="3009">
        <f>'Смета Внутр'!D185</f>
        <v>18.480000000000004</v>
      </c>
      <c r="E186" s="3007"/>
      <c r="F186" s="3016">
        <f>'Смета Внутр'!H185</f>
        <v>0</v>
      </c>
    </row>
    <row r="187" spans="2:6">
      <c r="B187" s="3007" t="str">
        <f>'Смета Внутр'!B186</f>
        <v>ПГС, машина 13м3</v>
      </c>
      <c r="C187" s="3008" t="str">
        <f>'Смета Внутр'!C186</f>
        <v>маш</v>
      </c>
      <c r="D187" s="3009">
        <f>'Смета Внутр'!D186</f>
        <v>0.6160000000000001</v>
      </c>
      <c r="E187" s="3007"/>
      <c r="F187" s="3016">
        <f>'Смета Внутр'!H186</f>
        <v>0</v>
      </c>
    </row>
    <row r="188" spans="2:6">
      <c r="B188" s="3007" t="str">
        <f>'Смета Внутр'!B187</f>
        <v>Бетон, м250</v>
      </c>
      <c r="C188" s="3008" t="str">
        <f>'Смета Внутр'!C187</f>
        <v>м3</v>
      </c>
      <c r="D188" s="3009">
        <f>'Смета Внутр'!D187</f>
        <v>11.088000000000001</v>
      </c>
      <c r="E188" s="3007"/>
      <c r="F188" s="3016">
        <f>'Смета Внутр'!H187</f>
        <v>0</v>
      </c>
    </row>
    <row r="189" spans="2:6">
      <c r="B189" s="3007" t="str">
        <f>'Смета Внутр'!B188</f>
        <v>Нет</v>
      </c>
      <c r="C189" s="3008" t="str">
        <f>'Смета Внутр'!C188</f>
        <v>м3</v>
      </c>
      <c r="D189" s="3009">
        <f>'Смета Внутр'!D188</f>
        <v>0</v>
      </c>
      <c r="E189" s="3007"/>
      <c r="F189" s="3012">
        <f>'Смета Внутр'!H188</f>
        <v>0</v>
      </c>
    </row>
    <row r="190" spans="2:6">
      <c r="B190" s="3007" t="str">
        <f>'Смета Внутр'!B189</f>
        <v>Грибок для крепления утеплителя</v>
      </c>
      <c r="C190" s="3008" t="str">
        <f>'Смета Внутр'!C189</f>
        <v>шт</v>
      </c>
      <c r="D190" s="3009">
        <f>'Смета Внутр'!D189</f>
        <v>0</v>
      </c>
      <c r="E190" s="3007"/>
      <c r="F190" s="3012">
        <f>'Смета Внутр'!H189</f>
        <v>0</v>
      </c>
    </row>
    <row r="191" spans="2:6">
      <c r="B191" s="3007" t="str">
        <f>'Смета Внутр'!B190</f>
        <v>Нет</v>
      </c>
      <c r="C191" s="3008" t="str">
        <f>'Смета Внутр'!C190</f>
        <v>м3</v>
      </c>
      <c r="D191" s="3009">
        <f>'Смета Внутр'!D190</f>
        <v>0</v>
      </c>
      <c r="E191" s="3007"/>
      <c r="F191" s="3012">
        <f>'Смета Внутр'!H190</f>
        <v>0</v>
      </c>
    </row>
    <row r="192" spans="2:6">
      <c r="B192" s="3007" t="str">
        <f>'Смета Внутр'!B191</f>
        <v>ПГС, машина 5м3</v>
      </c>
      <c r="C192" s="3008" t="str">
        <f>'Смета Внутр'!C191</f>
        <v>маш</v>
      </c>
      <c r="D192" s="3009">
        <f>'Смета Внутр'!D191</f>
        <v>0</v>
      </c>
      <c r="E192" s="3007"/>
      <c r="F192" s="3012">
        <f>'Смета Внутр'!H191</f>
        <v>0</v>
      </c>
    </row>
    <row r="193" spans="2:6">
      <c r="B193" s="3007" t="str">
        <f>'Смета Внутр'!B192</f>
        <v>Кладочная сетка, 100*100/150*150/200*200мм</v>
      </c>
      <c r="C193" s="3008" t="str">
        <f>'Смета Внутр'!C192</f>
        <v>м2</v>
      </c>
      <c r="D193" s="3009">
        <f>'Смета Внутр'!D192</f>
        <v>0</v>
      </c>
      <c r="E193" s="3007"/>
      <c r="F193" s="3012">
        <f>'Смета Внутр'!H192</f>
        <v>0</v>
      </c>
    </row>
    <row r="194" spans="2:6">
      <c r="B194" s="3007" t="str">
        <f>'Смета Внутр'!B193</f>
        <v>Бетон, м200</v>
      </c>
      <c r="C194" s="3008" t="str">
        <f>'Смета Внутр'!C193</f>
        <v>м3</v>
      </c>
      <c r="D194" s="3009">
        <f>'Смета Внутр'!D193</f>
        <v>0</v>
      </c>
      <c r="E194" s="3007"/>
      <c r="F194" s="3012">
        <f>'Смета Внутр'!H193</f>
        <v>0</v>
      </c>
    </row>
    <row r="195" spans="2:6">
      <c r="B195" s="3007" t="str">
        <f>'Смета Внутр'!B194</f>
        <v>Труба теплого пола 3</v>
      </c>
      <c r="C195" s="3008" t="str">
        <f>'Смета Внутр'!C194</f>
        <v>м.п</v>
      </c>
      <c r="D195" s="3009">
        <f>'Смета Внутр'!D194</f>
        <v>308</v>
      </c>
      <c r="E195" s="3007"/>
      <c r="F195" s="3012"/>
    </row>
    <row r="196" spans="2:6">
      <c r="B196" s="3007" t="str">
        <f>'Смета Внутр'!B195</f>
        <v>Коллектор 1</v>
      </c>
      <c r="C196" s="3008" t="str">
        <f>'Смета Внутр'!C195</f>
        <v>шт</v>
      </c>
      <c r="D196" s="3009">
        <f>'Смета Внутр'!D195</f>
        <v>1.1000000000000001</v>
      </c>
      <c r="E196" s="3007"/>
      <c r="F196" s="3012"/>
    </row>
    <row r="197" spans="2:6">
      <c r="B197" s="3311" t="str">
        <f>'Смета Внутр'!B196</f>
        <v>Итого материалы</v>
      </c>
      <c r="C197" s="3311"/>
      <c r="D197" s="3311"/>
      <c r="E197" s="3311"/>
      <c r="F197" s="3010">
        <f>'Смета Внутр'!G196</f>
        <v>0</v>
      </c>
    </row>
    <row r="198" spans="2:6">
      <c r="B198" s="3312" t="str">
        <f>'Смета Внутр'!B197</f>
        <v>Работы</v>
      </c>
      <c r="C198" s="3312"/>
      <c r="D198" s="3312"/>
      <c r="E198" s="3312"/>
      <c r="F198" s="3015">
        <f>'Смета Внутр'!H197</f>
        <v>0</v>
      </c>
    </row>
    <row r="199" spans="2:6">
      <c r="B199" s="3007" t="str">
        <f>'Смета Внутр'!B198</f>
        <v>разбивка осей</v>
      </c>
      <c r="C199" s="3008" t="str">
        <f>'Смета Внутр'!C198</f>
        <v>шт</v>
      </c>
      <c r="D199" s="3009">
        <f>'Смета Внутр'!D198</f>
        <v>1.05</v>
      </c>
      <c r="E199" s="3007"/>
      <c r="F199" s="3016">
        <f>'Смета Внутр'!H198</f>
        <v>0</v>
      </c>
    </row>
    <row r="200" spans="2:6">
      <c r="B200" s="3007" t="str">
        <f>'Смета Внутр'!B199</f>
        <v>сборка опалубки</v>
      </c>
      <c r="C200" s="3008" t="str">
        <f>'Смета Внутр'!C199</f>
        <v>м2</v>
      </c>
      <c r="D200" s="3009">
        <f>'Смета Внутр'!D199</f>
        <v>70.56</v>
      </c>
      <c r="E200" s="3007"/>
      <c r="F200" s="3016">
        <f>'Смета Внутр'!H199</f>
        <v>0</v>
      </c>
    </row>
    <row r="201" spans="2:6">
      <c r="B201" s="3007" t="str">
        <f>'Смета Внутр'!B200</f>
        <v>разборка опалубки</v>
      </c>
      <c r="C201" s="3008" t="str">
        <f>'Смета Внутр'!C200</f>
        <v>м2</v>
      </c>
      <c r="D201" s="3009">
        <f>'Смета Внутр'!D200</f>
        <v>74.088000000000008</v>
      </c>
      <c r="E201" s="3007"/>
      <c r="F201" s="3016">
        <f>'Смета Внутр'!H200</f>
        <v>0</v>
      </c>
    </row>
    <row r="202" spans="2:6">
      <c r="B202" s="3007" t="str">
        <f>'Смета Внутр'!B201</f>
        <v>настил пленки</v>
      </c>
      <c r="C202" s="3008" t="str">
        <f>'Смета Внутр'!C201</f>
        <v>м2</v>
      </c>
      <c r="D202" s="3009">
        <f>'Смета Внутр'!D201</f>
        <v>77.792400000000015</v>
      </c>
      <c r="E202" s="3007"/>
      <c r="F202" s="3016">
        <f>'Смета Внутр'!H201</f>
        <v>0</v>
      </c>
    </row>
    <row r="203" spans="2:6">
      <c r="B203" s="3007" t="str">
        <f>'Смета Внутр'!B202</f>
        <v>армирование</v>
      </c>
      <c r="C203" s="3008" t="str">
        <f>'Смета Внутр'!C202</f>
        <v>м.п</v>
      </c>
      <c r="D203" s="3009">
        <f>'Смета Внутр'!D202</f>
        <v>423.36</v>
      </c>
      <c r="E203" s="3007"/>
      <c r="F203" s="3016">
        <f>'Смета Внутр'!H202</f>
        <v>0</v>
      </c>
    </row>
    <row r="204" spans="2:6">
      <c r="B204" s="3007" t="str">
        <f>'Смета Внутр'!B203</f>
        <v>армирование</v>
      </c>
      <c r="C204" s="3008" t="str">
        <f>'Смета Внутр'!C203</f>
        <v>м.п.</v>
      </c>
      <c r="D204" s="3009">
        <f>'Смета Внутр'!D203</f>
        <v>194.04000000000005</v>
      </c>
      <c r="E204" s="3007"/>
      <c r="F204" s="3016">
        <f>'Смета Внутр'!H203</f>
        <v>0</v>
      </c>
    </row>
    <row r="205" spans="2:6">
      <c r="B205" s="3007" t="str">
        <f>'Смета Внутр'!B204</f>
        <v>настил гидроизола</v>
      </c>
      <c r="C205" s="3008" t="str">
        <f>'Смета Внутр'!C204</f>
        <v>м2</v>
      </c>
      <c r="D205" s="3009">
        <f>'Смета Внутр'!D204</f>
        <v>17.64</v>
      </c>
      <c r="E205" s="3007"/>
      <c r="F205" s="3016">
        <f>'Смета Внутр'!H204</f>
        <v>0</v>
      </c>
    </row>
    <row r="206" spans="2:6">
      <c r="B206" s="3007" t="str">
        <f>'Смета Внутр'!B205</f>
        <v>трамбовка</v>
      </c>
      <c r="C206" s="3008" t="str">
        <f>'Смета Внутр'!C205</f>
        <v>м2</v>
      </c>
      <c r="D206" s="3009">
        <f>'Смета Внутр'!D205</f>
        <v>18.522000000000002</v>
      </c>
      <c r="E206" s="3007"/>
      <c r="F206" s="3016">
        <f>'Смета Внутр'!H205</f>
        <v>0</v>
      </c>
    </row>
    <row r="207" spans="2:6">
      <c r="B207" s="3007" t="str">
        <f>'Смета Внутр'!B206</f>
        <v>приемка бетона</v>
      </c>
      <c r="C207" s="3008" t="str">
        <f>'Смета Внутр'!C206</f>
        <v>м3</v>
      </c>
      <c r="D207" s="3009">
        <f>'Смета Внутр'!D206</f>
        <v>10.584000000000001</v>
      </c>
      <c r="E207" s="3007"/>
      <c r="F207" s="3016">
        <f>'Смета Внутр'!H206</f>
        <v>0</v>
      </c>
    </row>
    <row r="208" spans="2:6">
      <c r="B208" s="3007" t="str">
        <f>'Смета Внутр'!B207</f>
        <v>утепление фундамента</v>
      </c>
      <c r="C208" s="3008" t="str">
        <f>'Смета Внутр'!C207</f>
        <v>м2</v>
      </c>
      <c r="D208" s="3009">
        <f>'Смета Внутр'!D207</f>
        <v>0</v>
      </c>
      <c r="E208" s="3007"/>
      <c r="F208" s="3012">
        <f>'Смета Внутр'!H207</f>
        <v>0</v>
      </c>
    </row>
    <row r="209" spans="2:6">
      <c r="B209" s="3007" t="str">
        <f>'Смета Внутр'!B208</f>
        <v>утепление отмостки</v>
      </c>
      <c r="C209" s="3008" t="str">
        <f>'Смета Внутр'!C208</f>
        <v>м2</v>
      </c>
      <c r="D209" s="3009">
        <f>'Смета Внутр'!D208</f>
        <v>0</v>
      </c>
      <c r="E209" s="3007"/>
      <c r="F209" s="3012">
        <f>'Смета Внутр'!H208</f>
        <v>0</v>
      </c>
    </row>
    <row r="210" spans="2:6">
      <c r="B210" s="3007" t="str">
        <f>'Смета Внутр'!B209</f>
        <v>трамбовка пгс</v>
      </c>
      <c r="C210" s="3008" t="str">
        <f>'Смета Внутр'!C209</f>
        <v>м2</v>
      </c>
      <c r="D210" s="3009">
        <f>'Смета Внутр'!D209</f>
        <v>0</v>
      </c>
      <c r="E210" s="3007"/>
      <c r="F210" s="3012">
        <f>'Смета Внутр'!H209</f>
        <v>0</v>
      </c>
    </row>
    <row r="211" spans="2:6">
      <c r="B211" s="3007" t="str">
        <f>'Смета Внутр'!B210</f>
        <v>кладка сетки</v>
      </c>
      <c r="C211" s="3008" t="str">
        <f>'Смета Внутр'!C210</f>
        <v>м2</v>
      </c>
      <c r="D211" s="3009">
        <f>'Смета Внутр'!D210</f>
        <v>0</v>
      </c>
      <c r="E211" s="3007"/>
      <c r="F211" s="3012">
        <f>'Смета Внутр'!H210</f>
        <v>0</v>
      </c>
    </row>
    <row r="212" spans="2:6">
      <c r="B212" s="3007" t="str">
        <f>'Смета Внутр'!B211</f>
        <v>приемка бетона</v>
      </c>
      <c r="C212" s="3008" t="str">
        <f>'Смета Внутр'!C211</f>
        <v>м3</v>
      </c>
      <c r="D212" s="3009">
        <f>'Смета Внутр'!D211</f>
        <v>0</v>
      </c>
      <c r="E212" s="3007"/>
      <c r="F212" s="3012">
        <f>'Смета Внутр'!H211</f>
        <v>0</v>
      </c>
    </row>
    <row r="213" spans="2:6">
      <c r="B213" s="3007" t="str">
        <f>'Смета Внутр'!B212</f>
        <v>укладка теп. Пола</v>
      </c>
      <c r="C213" s="3008" t="str">
        <f>'Смета Внутр'!C212</f>
        <v>м2</v>
      </c>
      <c r="D213" s="3009">
        <f>'Смета Внутр'!D212</f>
        <v>105</v>
      </c>
      <c r="E213" s="3007"/>
      <c r="F213" s="3012"/>
    </row>
    <row r="214" spans="2:6">
      <c r="B214" s="3311" t="str">
        <f>'Смета Внутр'!B213</f>
        <v>Итого работы</v>
      </c>
      <c r="C214" s="3311"/>
      <c r="D214" s="3311"/>
      <c r="E214" s="3311"/>
      <c r="F214" s="3010">
        <f>'Смета Внутр'!G213</f>
        <v>0</v>
      </c>
    </row>
    <row r="215" spans="2:6" ht="19">
      <c r="B215" s="3313" t="str">
        <f>'Смета Внутр'!B214</f>
        <v>Свайноростверковый фундамент</v>
      </c>
      <c r="C215" s="3313"/>
      <c r="D215" s="3313"/>
      <c r="E215" s="3313"/>
      <c r="F215" s="3011">
        <f>'Смета Внутр'!H214</f>
        <v>0</v>
      </c>
    </row>
    <row r="216" spans="2:6">
      <c r="B216" s="3310" t="str">
        <f>'Смета Внутр'!B215</f>
        <v>Материалы</v>
      </c>
      <c r="C216" s="3310"/>
      <c r="D216" s="3310"/>
      <c r="E216" s="3310"/>
      <c r="F216" s="3011">
        <f>'Смета Внутр'!H215</f>
        <v>0</v>
      </c>
    </row>
    <row r="217" spans="2:6">
      <c r="B217" s="3007" t="str">
        <f>'Смета Внутр'!B216</f>
        <v>Экскаватор погрузчик, бурение</v>
      </c>
      <c r="C217" s="3008" t="str">
        <f>'Смета Внутр'!C216</f>
        <v>шт</v>
      </c>
      <c r="D217" s="3009">
        <f>'Смета Внутр'!D216</f>
        <v>82.500000000000014</v>
      </c>
      <c r="E217" s="3007"/>
      <c r="F217" s="3012">
        <f>'Смета Внутр'!H216</f>
        <v>0</v>
      </c>
    </row>
    <row r="218" spans="2:6">
      <c r="B218" s="3007" t="str">
        <f>'Смета Внутр'!B217</f>
        <v>Бетон, м300</v>
      </c>
      <c r="C218" s="3008" t="str">
        <f>'Смета Внутр'!C217</f>
        <v>м3</v>
      </c>
      <c r="D218" s="3009">
        <f>'Смета Внутр'!D217</f>
        <v>5.8286249999999997</v>
      </c>
      <c r="E218" s="3007"/>
      <c r="F218" s="3012">
        <f>'Смета Внутр'!H217</f>
        <v>0</v>
      </c>
    </row>
    <row r="219" spans="2:6">
      <c r="B219" s="3007" t="str">
        <f>'Смета Внутр'!B218</f>
        <v>Арматурный скелет для свай</v>
      </c>
      <c r="C219" s="3008" t="str">
        <f>'Смета Внутр'!C218</f>
        <v>м.п.</v>
      </c>
      <c r="D219" s="3009">
        <f>'Смета Внутр'!D218</f>
        <v>272.25000000000006</v>
      </c>
      <c r="E219" s="3007"/>
      <c r="F219" s="3012">
        <f>'Смета Внутр'!H218</f>
        <v>0</v>
      </c>
    </row>
    <row r="220" spans="2:6">
      <c r="B220" s="3007" t="str">
        <f>'Смета Внутр'!B219</f>
        <v>Сосна влаж,150*40мм</v>
      </c>
      <c r="C220" s="3008" t="str">
        <f>'Смета Внутр'!C219</f>
        <v>м3</v>
      </c>
      <c r="D220" s="3009">
        <f>'Смета Внутр'!D219</f>
        <v>3.843840000000001</v>
      </c>
      <c r="E220" s="3007"/>
      <c r="F220" s="3012">
        <f>'Смета Внутр'!H219</f>
        <v>0</v>
      </c>
    </row>
    <row r="221" spans="2:6">
      <c r="B221" s="3007" t="str">
        <f>'Смета Внутр'!B220</f>
        <v xml:space="preserve">Пленка гидроизоляционная </v>
      </c>
      <c r="C221" s="3008" t="str">
        <f>'Смета Внутр'!C220</f>
        <v>м2</v>
      </c>
      <c r="D221" s="3009">
        <f>'Смета Внутр'!D220</f>
        <v>96.096000000000018</v>
      </c>
      <c r="E221" s="3007"/>
      <c r="F221" s="3012">
        <f>'Смета Внутр'!H220</f>
        <v>0</v>
      </c>
    </row>
    <row r="222" spans="2:6">
      <c r="B222" s="3007" t="str">
        <f>'Смета Внутр'!B221</f>
        <v>Арматура стальная Ø 8</v>
      </c>
      <c r="C222" s="3008" t="str">
        <f>'Смета Внутр'!C221</f>
        <v>м.п</v>
      </c>
      <c r="D222" s="3009">
        <f>'Смета Внутр'!D221</f>
        <v>443.52000000000004</v>
      </c>
      <c r="E222" s="3007"/>
      <c r="F222" s="3012">
        <f>'Смета Внутр'!H221</f>
        <v>0</v>
      </c>
    </row>
    <row r="223" spans="2:6">
      <c r="B223" s="3007" t="str">
        <f>'Смета Внутр'!B222</f>
        <v>Арматура стальная Ø 6</v>
      </c>
      <c r="C223" s="3008" t="str">
        <f>'Смета Внутр'!C222</f>
        <v>м.п</v>
      </c>
      <c r="D223" s="3009">
        <f>'Смета Внутр'!D222</f>
        <v>304.92000000000007</v>
      </c>
      <c r="E223" s="3007"/>
      <c r="F223" s="3012">
        <f>'Смета Внутр'!H222</f>
        <v>0</v>
      </c>
    </row>
    <row r="224" spans="2:6">
      <c r="B224" s="3007" t="str">
        <f>'Смета Внутр'!B223</f>
        <v>Вязальная проволока</v>
      </c>
      <c r="C224" s="3008" t="str">
        <f>'Смета Внутр'!C223</f>
        <v>кг</v>
      </c>
      <c r="D224" s="3009">
        <f>'Смета Внутр'!D223</f>
        <v>16.465680000000003</v>
      </c>
      <c r="E224" s="3007"/>
      <c r="F224" s="3012">
        <f>'Смета Внутр'!H223</f>
        <v>0</v>
      </c>
    </row>
    <row r="225" spans="2:6">
      <c r="B225" s="3007" t="str">
        <f>'Смета Внутр'!B224</f>
        <v xml:space="preserve">Гвозди строительные 3,5 x 90            </v>
      </c>
      <c r="C225" s="3008" t="str">
        <f>'Смета Внутр'!C224</f>
        <v>кг</v>
      </c>
      <c r="D225" s="3009">
        <f>'Смета Внутр'!D224</f>
        <v>21.141120000000008</v>
      </c>
      <c r="E225" s="3007"/>
      <c r="F225" s="3012">
        <f>'Смета Внутр'!H224</f>
        <v>0</v>
      </c>
    </row>
    <row r="226" spans="2:6">
      <c r="B226" s="3007" t="str">
        <f>'Смета Внутр'!B225</f>
        <v>Гидроизол</v>
      </c>
      <c r="C226" s="3008" t="str">
        <f>'Смета Внутр'!C225</f>
        <v>м2</v>
      </c>
      <c r="D226" s="3009">
        <f>'Смета Внутр'!D225</f>
        <v>18.480000000000004</v>
      </c>
      <c r="E226" s="3007"/>
      <c r="F226" s="3012">
        <f>'Смета Внутр'!H225</f>
        <v>0</v>
      </c>
    </row>
    <row r="227" spans="2:6">
      <c r="B227" s="3007" t="str">
        <f>'Смета Внутр'!B226</f>
        <v>ПГС, машина 13м3</v>
      </c>
      <c r="C227" s="3008" t="str">
        <f>'Смета Внутр'!C226</f>
        <v>маш</v>
      </c>
      <c r="D227" s="3009">
        <f>'Смета Внутр'!D226</f>
        <v>0.6160000000000001</v>
      </c>
      <c r="E227" s="3007"/>
      <c r="F227" s="3012">
        <f>'Смета Внутр'!H226</f>
        <v>0</v>
      </c>
    </row>
    <row r="228" spans="2:6">
      <c r="B228" s="3007" t="str">
        <f>'Смета Внутр'!B227</f>
        <v>Бетон, м250</v>
      </c>
      <c r="C228" s="3008" t="str">
        <f>'Смета Внутр'!C227</f>
        <v>м3</v>
      </c>
      <c r="D228" s="3009">
        <f>'Смета Внутр'!D227</f>
        <v>11.088000000000001</v>
      </c>
      <c r="E228" s="3007"/>
      <c r="F228" s="3012">
        <f>'Смета Внутр'!H227</f>
        <v>0</v>
      </c>
    </row>
    <row r="229" spans="2:6">
      <c r="B229" s="3007" t="str">
        <f>'Смета Внутр'!B228</f>
        <v>Нет</v>
      </c>
      <c r="C229" s="3008" t="str">
        <f>'Смета Внутр'!C228</f>
        <v>м3</v>
      </c>
      <c r="D229" s="3009">
        <f>'Смета Внутр'!D228</f>
        <v>0</v>
      </c>
      <c r="E229" s="3007"/>
      <c r="F229" s="3012">
        <f>'Смета Внутр'!H228</f>
        <v>0</v>
      </c>
    </row>
    <row r="230" spans="2:6">
      <c r="B230" s="3007" t="str">
        <f>'Смета Внутр'!B229</f>
        <v>Грибок для крепления утеплителя</v>
      </c>
      <c r="C230" s="3008" t="str">
        <f>'Смета Внутр'!C229</f>
        <v>шт</v>
      </c>
      <c r="D230" s="3009">
        <f>'Смета Внутр'!D229</f>
        <v>0</v>
      </c>
      <c r="E230" s="3007"/>
      <c r="F230" s="3012">
        <f>'Смета Внутр'!H229</f>
        <v>0</v>
      </c>
    </row>
    <row r="231" spans="2:6">
      <c r="B231" s="3007" t="str">
        <f>'Смета Внутр'!B230</f>
        <v>Нет</v>
      </c>
      <c r="C231" s="3008" t="str">
        <f>'Смета Внутр'!C230</f>
        <v>м3</v>
      </c>
      <c r="D231" s="3009">
        <f>'Смета Внутр'!D230</f>
        <v>0</v>
      </c>
      <c r="E231" s="3007"/>
      <c r="F231" s="3012">
        <f>'Смета Внутр'!H230</f>
        <v>0</v>
      </c>
    </row>
    <row r="232" spans="2:6">
      <c r="B232" s="3007" t="str">
        <f>'Смета Внутр'!B231</f>
        <v>ПГС, машина 5м3</v>
      </c>
      <c r="C232" s="3008" t="str">
        <f>'Смета Внутр'!C231</f>
        <v>маш</v>
      </c>
      <c r="D232" s="3009">
        <f>'Смета Внутр'!D231</f>
        <v>0</v>
      </c>
      <c r="E232" s="3007"/>
      <c r="F232" s="3012">
        <f>'Смета Внутр'!H231</f>
        <v>0</v>
      </c>
    </row>
    <row r="233" spans="2:6">
      <c r="B233" s="3007" t="str">
        <f>'Смета Внутр'!B232</f>
        <v>Кладочная сетка, 100*100/150*150/200*200мм</v>
      </c>
      <c r="C233" s="3008" t="str">
        <f>'Смета Внутр'!C232</f>
        <v>м2</v>
      </c>
      <c r="D233" s="3009">
        <f>'Смета Внутр'!D232</f>
        <v>0</v>
      </c>
      <c r="E233" s="3007"/>
      <c r="F233" s="3012">
        <f>'Смета Внутр'!H232</f>
        <v>0</v>
      </c>
    </row>
    <row r="234" spans="2:6">
      <c r="B234" s="3007" t="str">
        <f>'Смета Внутр'!B233</f>
        <v>Бетон, м200</v>
      </c>
      <c r="C234" s="3008" t="str">
        <f>'Смета Внутр'!C233</f>
        <v>м3</v>
      </c>
      <c r="D234" s="3009">
        <f>'Смета Внутр'!D233</f>
        <v>0</v>
      </c>
      <c r="E234" s="3007"/>
      <c r="F234" s="3012">
        <f>'Смета Внутр'!H233</f>
        <v>0</v>
      </c>
    </row>
    <row r="235" spans="2:6">
      <c r="B235" s="3007" t="str">
        <f>'Смета Внутр'!B234</f>
        <v>Труба теплого пола 3</v>
      </c>
      <c r="C235" s="3008" t="str">
        <f>'Смета Внутр'!C234</f>
        <v>м.п</v>
      </c>
      <c r="D235" s="3009">
        <f>'Смета Внутр'!D234</f>
        <v>308</v>
      </c>
      <c r="E235" s="3007"/>
      <c r="F235" s="3012"/>
    </row>
    <row r="236" spans="2:6">
      <c r="B236" s="3007" t="str">
        <f>'Смета Внутр'!B235</f>
        <v>Коллектор 1</v>
      </c>
      <c r="C236" s="3008" t="str">
        <f>'Смета Внутр'!C235</f>
        <v>шт</v>
      </c>
      <c r="D236" s="3009">
        <f>'Смета Внутр'!D235</f>
        <v>1.1000000000000001</v>
      </c>
      <c r="E236" s="3007"/>
      <c r="F236" s="3012"/>
    </row>
    <row r="237" spans="2:6">
      <c r="B237" s="3311" t="str">
        <f>'Смета Внутр'!B236</f>
        <v>Итого материалы</v>
      </c>
      <c r="C237" s="3311"/>
      <c r="D237" s="3311"/>
      <c r="E237" s="3311"/>
      <c r="F237" s="3014">
        <f>'Смета Внутр'!G236</f>
        <v>0</v>
      </c>
    </row>
    <row r="238" spans="2:6">
      <c r="B238" s="3312" t="str">
        <f>'Смета Внутр'!B237</f>
        <v>Работы</v>
      </c>
      <c r="C238" s="3312"/>
      <c r="D238" s="3312"/>
      <c r="E238" s="3312"/>
      <c r="F238" s="3011">
        <f>'Смета Внутр'!H237</f>
        <v>0</v>
      </c>
    </row>
    <row r="239" spans="2:6">
      <c r="B239" s="3007" t="str">
        <f>'Смета Внутр'!B238</f>
        <v>приемка бетона</v>
      </c>
      <c r="C239" s="3008" t="str">
        <f>'Смета Внутр'!C238</f>
        <v>м3</v>
      </c>
      <c r="D239" s="3009">
        <f>'Смета Внутр'!D238</f>
        <v>5.5636874999999995</v>
      </c>
      <c r="E239" s="3007"/>
      <c r="F239" s="3012">
        <f>'Смета Внутр'!H238</f>
        <v>0</v>
      </c>
    </row>
    <row r="240" spans="2:6">
      <c r="B240" s="3007" t="str">
        <f>'Смета Внутр'!B239</f>
        <v>армирование свай скелет из арматуры</v>
      </c>
      <c r="C240" s="3008" t="str">
        <f>'Смета Внутр'!C239</f>
        <v>м.п.</v>
      </c>
      <c r="D240" s="3009">
        <f>'Смета Внутр'!D239</f>
        <v>78.75</v>
      </c>
      <c r="E240" s="3007"/>
      <c r="F240" s="3012">
        <f>'Смета Внутр'!H239</f>
        <v>0</v>
      </c>
    </row>
    <row r="241" spans="2:6">
      <c r="B241" s="3007" t="str">
        <f>'Смета Внутр'!B240</f>
        <v>разбивка осей</v>
      </c>
      <c r="C241" s="3008" t="str">
        <f>'Смета Внутр'!C240</f>
        <v>шт</v>
      </c>
      <c r="D241" s="3009">
        <f>'Смета Внутр'!D240</f>
        <v>1.05</v>
      </c>
      <c r="E241" s="3007"/>
      <c r="F241" s="3012">
        <f>'Смета Внутр'!H240</f>
        <v>0</v>
      </c>
    </row>
    <row r="242" spans="2:6">
      <c r="B242" s="3007" t="str">
        <f>'Смета Внутр'!B241</f>
        <v>сборка опалубки</v>
      </c>
      <c r="C242" s="3008" t="str">
        <f>'Смета Внутр'!C241</f>
        <v>м2</v>
      </c>
      <c r="D242" s="3009">
        <f>'Смета Внутр'!D241</f>
        <v>70.56</v>
      </c>
      <c r="E242" s="3007"/>
      <c r="F242" s="3012">
        <f>'Смета Внутр'!H241</f>
        <v>0</v>
      </c>
    </row>
    <row r="243" spans="2:6">
      <c r="B243" s="3007" t="str">
        <f>'Смета Внутр'!B242</f>
        <v>разборка опалубки</v>
      </c>
      <c r="C243" s="3008" t="str">
        <f>'Смета Внутр'!C242</f>
        <v>м2</v>
      </c>
      <c r="D243" s="3009">
        <f>'Смета Внутр'!D242</f>
        <v>74.088000000000008</v>
      </c>
      <c r="E243" s="3007"/>
      <c r="F243" s="3012">
        <f>'Смета Внутр'!H242</f>
        <v>0</v>
      </c>
    </row>
    <row r="244" spans="2:6">
      <c r="B244" s="3007" t="str">
        <f>'Смета Внутр'!B243</f>
        <v>настил пленки</v>
      </c>
      <c r="C244" s="3008" t="str">
        <f>'Смета Внутр'!C243</f>
        <v>м2</v>
      </c>
      <c r="D244" s="3009">
        <f>'Смета Внутр'!D243</f>
        <v>77.792400000000015</v>
      </c>
      <c r="E244" s="3007"/>
      <c r="F244" s="3012">
        <f>'Смета Внутр'!H243</f>
        <v>0</v>
      </c>
    </row>
    <row r="245" spans="2:6">
      <c r="B245" s="3007" t="str">
        <f>'Смета Внутр'!B244</f>
        <v>армирование</v>
      </c>
      <c r="C245" s="3008" t="str">
        <f>'Смета Внутр'!C244</f>
        <v>м.п</v>
      </c>
      <c r="D245" s="3009">
        <f>'Смета Внутр'!D244</f>
        <v>423.36</v>
      </c>
      <c r="E245" s="3007"/>
      <c r="F245" s="3012">
        <f>'Смета Внутр'!H244</f>
        <v>0</v>
      </c>
    </row>
    <row r="246" spans="2:6">
      <c r="B246" s="3007" t="str">
        <f>'Смета Внутр'!B245</f>
        <v>армирование</v>
      </c>
      <c r="C246" s="3008" t="str">
        <f>'Смета Внутр'!C245</f>
        <v>м.п.</v>
      </c>
      <c r="D246" s="3009">
        <f>'Смета Внутр'!D245</f>
        <v>194.04000000000005</v>
      </c>
      <c r="E246" s="3007"/>
      <c r="F246" s="3012">
        <f>'Смета Внутр'!H245</f>
        <v>0</v>
      </c>
    </row>
    <row r="247" spans="2:6">
      <c r="B247" s="3007" t="str">
        <f>'Смета Внутр'!B246</f>
        <v>настил гидроизола</v>
      </c>
      <c r="C247" s="3008" t="str">
        <f>'Смета Внутр'!C246</f>
        <v>м2</v>
      </c>
      <c r="D247" s="3009">
        <f>'Смета Внутр'!D246</f>
        <v>17.64</v>
      </c>
      <c r="E247" s="3007"/>
      <c r="F247" s="3012">
        <f>'Смета Внутр'!H246</f>
        <v>0</v>
      </c>
    </row>
    <row r="248" spans="2:6">
      <c r="B248" s="3007" t="str">
        <f>'Смета Внутр'!B247</f>
        <v>трамбовка</v>
      </c>
      <c r="C248" s="3008" t="str">
        <f>'Смета Внутр'!C247</f>
        <v>м2</v>
      </c>
      <c r="D248" s="3009">
        <f>'Смета Внутр'!D247</f>
        <v>18.522000000000002</v>
      </c>
      <c r="E248" s="3007"/>
      <c r="F248" s="3012">
        <f>'Смета Внутр'!H247</f>
        <v>0</v>
      </c>
    </row>
    <row r="249" spans="2:6">
      <c r="B249" s="3007" t="str">
        <f>'Смета Внутр'!B248</f>
        <v>приемка бетона</v>
      </c>
      <c r="C249" s="3008" t="str">
        <f>'Смета Внутр'!C248</f>
        <v>м3</v>
      </c>
      <c r="D249" s="3009">
        <f>'Смета Внутр'!D248</f>
        <v>10.584000000000001</v>
      </c>
      <c r="E249" s="3007"/>
      <c r="F249" s="3012">
        <f>'Смета Внутр'!H248</f>
        <v>0</v>
      </c>
    </row>
    <row r="250" spans="2:6">
      <c r="B250" s="3007" t="str">
        <f>'Смета Внутр'!B249</f>
        <v>утепление фундамента</v>
      </c>
      <c r="C250" s="3008" t="str">
        <f>'Смета Внутр'!C249</f>
        <v>м2</v>
      </c>
      <c r="D250" s="3009">
        <f>'Смета Внутр'!D249</f>
        <v>0</v>
      </c>
      <c r="E250" s="3007"/>
      <c r="F250" s="3012">
        <f>'Смета Внутр'!H249</f>
        <v>0</v>
      </c>
    </row>
    <row r="251" spans="2:6">
      <c r="B251" s="3007" t="str">
        <f>'Смета Внутр'!B250</f>
        <v>утепление отмостки</v>
      </c>
      <c r="C251" s="3008" t="str">
        <f>'Смета Внутр'!C250</f>
        <v>м2</v>
      </c>
      <c r="D251" s="3009">
        <f>'Смета Внутр'!D250</f>
        <v>0</v>
      </c>
      <c r="E251" s="3007"/>
      <c r="F251" s="3012">
        <f>'Смета Внутр'!H250</f>
        <v>0</v>
      </c>
    </row>
    <row r="252" spans="2:6">
      <c r="B252" s="3007" t="str">
        <f>'Смета Внутр'!B251</f>
        <v>трамбовка пгс</v>
      </c>
      <c r="C252" s="3008" t="str">
        <f>'Смета Внутр'!C251</f>
        <v>м2</v>
      </c>
      <c r="D252" s="3009">
        <f>'Смета Внутр'!D251</f>
        <v>0</v>
      </c>
      <c r="E252" s="3007"/>
      <c r="F252" s="3012">
        <f>'Смета Внутр'!H251</f>
        <v>0</v>
      </c>
    </row>
    <row r="253" spans="2:6">
      <c r="B253" s="3007" t="str">
        <f>'Смета Внутр'!B252</f>
        <v>кладка сетки</v>
      </c>
      <c r="C253" s="3008" t="str">
        <f>'Смета Внутр'!C252</f>
        <v>м2</v>
      </c>
      <c r="D253" s="3009">
        <f>'Смета Внутр'!D252</f>
        <v>0</v>
      </c>
      <c r="E253" s="3007"/>
      <c r="F253" s="3012">
        <f>'Смета Внутр'!H252</f>
        <v>0</v>
      </c>
    </row>
    <row r="254" spans="2:6">
      <c r="B254" s="3007" t="str">
        <f>'Смета Внутр'!B253</f>
        <v>приемка бетона</v>
      </c>
      <c r="C254" s="3008" t="str">
        <f>'Смета Внутр'!C253</f>
        <v>м2</v>
      </c>
      <c r="D254" s="3009">
        <f>'Смета Внутр'!D253</f>
        <v>0</v>
      </c>
      <c r="E254" s="3007"/>
      <c r="F254" s="3012">
        <f>'Смета Внутр'!H253</f>
        <v>0</v>
      </c>
    </row>
    <row r="255" spans="2:6">
      <c r="B255" s="3007" t="str">
        <f>'Смета Внутр'!B254</f>
        <v>укладка теп. Пола</v>
      </c>
      <c r="C255" s="3008" t="str">
        <f>'Смета Внутр'!C254</f>
        <v>м2</v>
      </c>
      <c r="D255" s="3009">
        <f>'Смета Внутр'!D254</f>
        <v>105</v>
      </c>
      <c r="E255" s="3007"/>
      <c r="F255" s="3012"/>
    </row>
    <row r="256" spans="2:6">
      <c r="B256" s="3311" t="str">
        <f>'Смета Внутр'!B255</f>
        <v>Итого работы</v>
      </c>
      <c r="C256" s="3311"/>
      <c r="D256" s="3311"/>
      <c r="E256" s="3311"/>
      <c r="F256" s="3014">
        <f>'Смета Внутр'!G255</f>
        <v>0</v>
      </c>
    </row>
    <row r="257" spans="2:6" ht="19">
      <c r="B257" s="3313" t="str">
        <f>'Смета Внутр'!B256</f>
        <v>Плита УШП, технология Дороселл / Монолитная плита</v>
      </c>
      <c r="C257" s="3313"/>
      <c r="D257" s="3313"/>
      <c r="E257" s="3313"/>
      <c r="F257" s="3011">
        <f>'Смета Внутр'!H256</f>
        <v>0</v>
      </c>
    </row>
    <row r="258" spans="2:6">
      <c r="B258" s="3310" t="str">
        <f>'Смета Внутр'!B257</f>
        <v>Материалы</v>
      </c>
      <c r="C258" s="3310"/>
      <c r="D258" s="3310"/>
      <c r="E258" s="3310"/>
      <c r="F258" s="3011">
        <f>'Смета Внутр'!H257</f>
        <v>0</v>
      </c>
    </row>
    <row r="259" spans="2:6">
      <c r="B259" s="3007" t="str">
        <f>'Смета Внутр'!B258</f>
        <v>Скальник, 1 маш 13м3</v>
      </c>
      <c r="C259" s="3008" t="str">
        <f>'Смета Внутр'!C258</f>
        <v>маш</v>
      </c>
      <c r="D259" s="3009">
        <f>'Смета Внутр'!D258</f>
        <v>1.5384615384615385</v>
      </c>
      <c r="E259" s="3007"/>
      <c r="F259" s="3012">
        <f>'Смета Внутр'!H258</f>
        <v>0</v>
      </c>
    </row>
    <row r="260" spans="2:6">
      <c r="B260" s="3007" t="str">
        <f>'Смета Внутр'!B259</f>
        <v>ПГС, машина 13м3</v>
      </c>
      <c r="C260" s="3008" t="str">
        <f>'Смета Внутр'!C259</f>
        <v>маш</v>
      </c>
      <c r="D260" s="3009">
        <f>'Смета Внутр'!D259</f>
        <v>1.5384615384615385</v>
      </c>
      <c r="E260" s="3007"/>
      <c r="F260" s="3012">
        <f>'Смета Внутр'!H259</f>
        <v>0</v>
      </c>
    </row>
    <row r="261" spans="2:6">
      <c r="B261" s="3007" t="str">
        <f>'Смета Внутр'!B260</f>
        <v>Песок, машина 13м3</v>
      </c>
      <c r="C261" s="3008" t="str">
        <f>'Смета Внутр'!C260</f>
        <v>маш</v>
      </c>
      <c r="D261" s="3009">
        <f>'Смета Внутр'!D260</f>
        <v>0.76923076923076927</v>
      </c>
      <c r="E261" s="3007"/>
      <c r="F261" s="3012">
        <f>'Смета Внутр'!H260</f>
        <v>0</v>
      </c>
    </row>
    <row r="262" spans="2:6">
      <c r="B262" s="3007" t="str">
        <f>'Смета Внутр'!B261</f>
        <v>Сосна влаж,180*40мм</v>
      </c>
      <c r="C262" s="3008" t="str">
        <f>'Смета Внутр'!C261</f>
        <v>м3</v>
      </c>
      <c r="D262" s="3009">
        <f>'Смета Внутр'!D261</f>
        <v>0</v>
      </c>
      <c r="E262" s="3007"/>
      <c r="F262" s="3012">
        <f>'Смета Внутр'!H261</f>
        <v>0</v>
      </c>
    </row>
    <row r="263" spans="2:6">
      <c r="B263" s="3007" t="str">
        <f>'Смета Внутр'!B262</f>
        <v>Нет утеплителя</v>
      </c>
      <c r="C263" s="3008" t="str">
        <f>'Смета Внутр'!C262</f>
        <v>м3</v>
      </c>
      <c r="D263" s="3009">
        <f>'Смета Внутр'!D262</f>
        <v>0</v>
      </c>
      <c r="E263" s="3007"/>
      <c r="F263" s="3012">
        <f>'Смета Внутр'!H262</f>
        <v>0</v>
      </c>
    </row>
    <row r="264" spans="2:6">
      <c r="B264" s="3007" t="str">
        <f>'Смета Внутр'!B263</f>
        <v>Нет утеплителя</v>
      </c>
      <c r="C264" s="3008" t="str">
        <f>'Смета Внутр'!C263</f>
        <v>м3</v>
      </c>
      <c r="D264" s="3009">
        <f>'Смета Внутр'!D263</f>
        <v>0</v>
      </c>
      <c r="E264" s="3007"/>
      <c r="F264" s="3012">
        <f>'Смета Внутр'!H263</f>
        <v>0</v>
      </c>
    </row>
    <row r="265" spans="2:6">
      <c r="B265" s="3007" t="str">
        <f>'Смета Внутр'!B264</f>
        <v xml:space="preserve">Пленка гидроизоляционная </v>
      </c>
      <c r="C265" s="3008" t="str">
        <f>'Смета Внутр'!C264</f>
        <v>м2</v>
      </c>
      <c r="D265" s="3009">
        <f>'Смета Внутр'!D264</f>
        <v>130</v>
      </c>
      <c r="E265" s="3007"/>
      <c r="F265" s="3012">
        <f>'Смета Внутр'!H264</f>
        <v>0</v>
      </c>
    </row>
    <row r="266" spans="2:6">
      <c r="B266" s="3007" t="str">
        <f>'Смета Внутр'!B265</f>
        <v>Кладочная сетка, 100*100/150*150/200*200мм</v>
      </c>
      <c r="C266" s="3008" t="str">
        <f>'Смета Внутр'!C265</f>
        <v>м2</v>
      </c>
      <c r="D266" s="3009">
        <f>'Смета Внутр'!D265</f>
        <v>100</v>
      </c>
      <c r="E266" s="3007"/>
      <c r="F266" s="3012">
        <f>'Смета Внутр'!H265</f>
        <v>0</v>
      </c>
    </row>
    <row r="267" spans="2:6">
      <c r="B267" s="3007" t="str">
        <f>'Смета Внутр'!B266</f>
        <v>Стяжки пластиковые</v>
      </c>
      <c r="C267" s="3008" t="str">
        <f>'Смета Внутр'!C266</f>
        <v>шт</v>
      </c>
      <c r="D267" s="3009">
        <f>'Смета Внутр'!D266</f>
        <v>1140</v>
      </c>
      <c r="E267" s="3007"/>
      <c r="F267" s="3012">
        <f>'Смета Внутр'!H266</f>
        <v>0</v>
      </c>
    </row>
    <row r="268" spans="2:6">
      <c r="B268" s="3007" t="str">
        <f>'Смета Внутр'!B267</f>
        <v>Бетон, м350</v>
      </c>
      <c r="C268" s="3008" t="str">
        <f>'Смета Внутр'!C267</f>
        <v>м3</v>
      </c>
      <c r="D268" s="3009">
        <f>'Смета Внутр'!D267</f>
        <v>0</v>
      </c>
      <c r="E268" s="3007"/>
      <c r="F268" s="3012">
        <f>'Смета Внутр'!H267</f>
        <v>0</v>
      </c>
    </row>
    <row r="269" spans="2:6">
      <c r="B269" s="3007" t="str">
        <f>'Смета Внутр'!B268</f>
        <v>Бетон, м250</v>
      </c>
      <c r="C269" s="3008" t="str">
        <f>'Смета Внутр'!C268</f>
        <v>м3</v>
      </c>
      <c r="D269" s="3009">
        <f>'Смета Внутр'!D268</f>
        <v>0</v>
      </c>
      <c r="E269" s="3007"/>
      <c r="F269" s="3012">
        <f>'Смета Внутр'!H268</f>
        <v>0</v>
      </c>
    </row>
    <row r="270" spans="2:6">
      <c r="B270" s="3007" t="str">
        <f>'Смета Внутр'!B269</f>
        <v>Труба теплого пола 3</v>
      </c>
      <c r="C270" s="3008" t="str">
        <f>'Смета Внутр'!C269</f>
        <v>м.п</v>
      </c>
      <c r="D270" s="3009">
        <f>'Смета Внутр'!D269</f>
        <v>280</v>
      </c>
      <c r="E270" s="3007"/>
      <c r="F270" s="3012">
        <f>'Смета Внутр'!H269</f>
        <v>0</v>
      </c>
    </row>
    <row r="271" spans="2:6">
      <c r="B271" s="3007" t="str">
        <f>'Смета Внутр'!B270</f>
        <v>Коллектор 1</v>
      </c>
      <c r="C271" s="3008" t="str">
        <f>'Смета Внутр'!C270</f>
        <v>шт</v>
      </c>
      <c r="D271" s="3009">
        <f>'Смета Внутр'!D270</f>
        <v>1</v>
      </c>
      <c r="E271" s="3007"/>
      <c r="F271" s="3012">
        <f>'Смета Внутр'!H270</f>
        <v>0</v>
      </c>
    </row>
    <row r="272" spans="2:6">
      <c r="B272" s="3007" t="str">
        <f>'Смета Внутр'!B271</f>
        <v>Нет арматуры</v>
      </c>
      <c r="C272" s="3008" t="str">
        <f>'Смета Внутр'!C271</f>
        <v>м.п.</v>
      </c>
      <c r="D272" s="3009">
        <f>'Смета Внутр'!D271</f>
        <v>246.40000000000003</v>
      </c>
      <c r="E272" s="3007"/>
      <c r="F272" s="3012">
        <f>'Смета Внутр'!H271</f>
        <v>0</v>
      </c>
    </row>
    <row r="273" spans="2:6">
      <c r="B273" s="3007" t="str">
        <f>'Смета Внутр'!B272</f>
        <v>Нет арматуры</v>
      </c>
      <c r="C273" s="3008" t="str">
        <f>'Смета Внутр'!C272</f>
        <v>м.п.</v>
      </c>
      <c r="D273" s="3009">
        <f>'Смета Внутр'!D272</f>
        <v>1000</v>
      </c>
      <c r="E273" s="3007"/>
      <c r="F273" s="3012">
        <f>'Смета Внутр'!H272</f>
        <v>0</v>
      </c>
    </row>
    <row r="274" spans="2:6">
      <c r="B274" s="3007" t="str">
        <f>'Смета Внутр'!B273</f>
        <v>Нет арматуры</v>
      </c>
      <c r="C274" s="3008" t="str">
        <f>'Смета Внутр'!C273</f>
        <v>м.п.</v>
      </c>
      <c r="D274" s="3009">
        <f>'Смета Внутр'!D273</f>
        <v>0</v>
      </c>
      <c r="E274" s="3007"/>
      <c r="F274" s="3012">
        <f>'Смета Внутр'!H273</f>
        <v>0</v>
      </c>
    </row>
    <row r="275" spans="2:6">
      <c r="B275" s="3007" t="str">
        <f>'Смета Внутр'!B274</f>
        <v>Вязальная проволока</v>
      </c>
      <c r="C275" s="3008" t="str">
        <f>'Смета Внутр'!C274</f>
        <v>кг</v>
      </c>
      <c r="D275" s="3009">
        <f>'Смета Внутр'!D274</f>
        <v>24.928000000000001</v>
      </c>
      <c r="E275" s="3007"/>
      <c r="F275" s="3012">
        <f>'Смета Внутр'!H274</f>
        <v>0</v>
      </c>
    </row>
    <row r="276" spans="2:6">
      <c r="B276" s="3007" t="str">
        <f>'Смета Внутр'!B275</f>
        <v>Подставка под арматурный каркас</v>
      </c>
      <c r="C276" s="3008" t="str">
        <f>'Смета Внутр'!C275</f>
        <v>шт</v>
      </c>
      <c r="D276" s="3009">
        <f>'Смета Внутр'!D275</f>
        <v>300</v>
      </c>
      <c r="E276" s="3007"/>
      <c r="F276" s="3012">
        <f>'Смета Внутр'!H275</f>
        <v>0</v>
      </c>
    </row>
    <row r="277" spans="2:6">
      <c r="B277" s="3007" t="str">
        <f>'Смета Внутр'!B276</f>
        <v xml:space="preserve">Гвозди строительные 3,5 x 90            </v>
      </c>
      <c r="C277" s="3008" t="str">
        <f>'Смета Внутр'!C276</f>
        <v>кг</v>
      </c>
      <c r="D277" s="3009">
        <f>'Смета Внутр'!D276</f>
        <v>0</v>
      </c>
      <c r="E277" s="3007"/>
      <c r="F277" s="3012">
        <f>'Смета Внутр'!H276</f>
        <v>0</v>
      </c>
    </row>
    <row r="278" spans="2:6">
      <c r="B278" s="3007" t="str">
        <f>'Смета Внутр'!B277</f>
        <v>Геотекстиль</v>
      </c>
      <c r="C278" s="3008" t="str">
        <f>'Смета Внутр'!C277</f>
        <v>м2</v>
      </c>
      <c r="D278" s="3009">
        <f>'Смета Внутр'!D277</f>
        <v>114.99999999999999</v>
      </c>
      <c r="E278" s="3007"/>
      <c r="F278" s="3012">
        <f>'Смета Внутр'!H277</f>
        <v>0</v>
      </c>
    </row>
    <row r="279" spans="2:6">
      <c r="B279" s="3007" t="str">
        <f>'Смета Внутр'!B278</f>
        <v>Труба гофрированная одностенная d110</v>
      </c>
      <c r="C279" s="3008" t="str">
        <f>'Смета Внутр'!C278</f>
        <v>м.п.</v>
      </c>
      <c r="D279" s="3009">
        <f>'Смета Внутр'!D278</f>
        <v>61</v>
      </c>
      <c r="E279" s="3007"/>
      <c r="F279" s="3012">
        <f>'Смета Внутр'!H278</f>
        <v>0</v>
      </c>
    </row>
    <row r="280" spans="2:6">
      <c r="B280" s="3007" t="str">
        <f>'Смета Внутр'!B279</f>
        <v>Дренажный колодец D300</v>
      </c>
      <c r="C280" s="3008" t="str">
        <f>'Смета Внутр'!C279</f>
        <v>шт</v>
      </c>
      <c r="D280" s="3009">
        <f>'Смета Внутр'!D279</f>
        <v>0</v>
      </c>
      <c r="E280" s="3007"/>
      <c r="F280" s="3012">
        <f>'Смета Внутр'!H279</f>
        <v>0</v>
      </c>
    </row>
    <row r="281" spans="2:6">
      <c r="B281" s="3007" t="str">
        <f>'Смета Внутр'!B280</f>
        <v>Труба канализационная D110</v>
      </c>
      <c r="C281" s="3008" t="str">
        <f>'Смета Внутр'!C280</f>
        <v>шт</v>
      </c>
      <c r="D281" s="3009">
        <f>'Смета Внутр'!D280</f>
        <v>0</v>
      </c>
      <c r="E281" s="3007"/>
      <c r="F281" s="3012">
        <f>'Смета Внутр'!H280</f>
        <v>0</v>
      </c>
    </row>
    <row r="282" spans="2:6">
      <c r="B282" s="3311" t="str">
        <f>'Смета Внутр'!B281</f>
        <v>Итого материалы</v>
      </c>
      <c r="C282" s="3311"/>
      <c r="D282" s="3311"/>
      <c r="E282" s="3311"/>
      <c r="F282" s="3014">
        <f>'Смета Внутр'!G281</f>
        <v>0</v>
      </c>
    </row>
    <row r="283" spans="2:6">
      <c r="B283" s="3312" t="str">
        <f>'Смета Внутр'!B282</f>
        <v>Работы</v>
      </c>
      <c r="C283" s="3312"/>
      <c r="D283" s="3312"/>
      <c r="E283" s="3312"/>
      <c r="F283" s="3011">
        <f>'Смета Внутр'!H282</f>
        <v>0</v>
      </c>
    </row>
    <row r="284" spans="2:6">
      <c r="B284" s="3007" t="str">
        <f>'Смета Внутр'!B283</f>
        <v>разбивка осей фундамента</v>
      </c>
      <c r="C284" s="3008" t="str">
        <f>'Смета Внутр'!C283</f>
        <v>шт</v>
      </c>
      <c r="D284" s="3009">
        <f>'Смета Внутр'!D283</f>
        <v>1</v>
      </c>
      <c r="E284" s="3007"/>
      <c r="F284" s="3012">
        <f>'Смета Внутр'!H283</f>
        <v>0</v>
      </c>
    </row>
    <row r="285" spans="2:6">
      <c r="B285" s="3007" t="str">
        <f>'Смета Внутр'!B284</f>
        <v>трамбовка пгс</v>
      </c>
      <c r="C285" s="3008" t="str">
        <f>'Смета Внутр'!C284</f>
        <v>м2</v>
      </c>
      <c r="D285" s="3009">
        <f>'Смета Внутр'!D284</f>
        <v>100</v>
      </c>
      <c r="E285" s="3007"/>
      <c r="F285" s="3012">
        <f>'Смета Внутр'!H284</f>
        <v>0</v>
      </c>
    </row>
    <row r="286" spans="2:6">
      <c r="B286" s="3007" t="str">
        <f>'Смета Внутр'!B285</f>
        <v>трамбовка скальник</v>
      </c>
      <c r="C286" s="3008" t="str">
        <f>'Смета Внутр'!C285</f>
        <v>м2</v>
      </c>
      <c r="D286" s="3009">
        <f>'Смета Внутр'!D285</f>
        <v>100</v>
      </c>
      <c r="E286" s="3007"/>
      <c r="F286" s="3012">
        <f>'Смета Внутр'!H285</f>
        <v>0</v>
      </c>
    </row>
    <row r="287" spans="2:6">
      <c r="B287" s="3007" t="str">
        <f>'Смета Внутр'!B286</f>
        <v>трамбовка песок</v>
      </c>
      <c r="C287" s="3008" t="str">
        <f>'Смета Внутр'!C286</f>
        <v>м2</v>
      </c>
      <c r="D287" s="3009">
        <f>'Смета Внутр'!D286</f>
        <v>100</v>
      </c>
      <c r="E287" s="3007"/>
      <c r="F287" s="3012">
        <f>'Смета Внутр'!H286</f>
        <v>0</v>
      </c>
    </row>
    <row r="288" spans="2:6">
      <c r="B288" s="3007" t="str">
        <f>'Смета Внутр'!B287</f>
        <v>сборка/разборка опалубки</v>
      </c>
      <c r="C288" s="3008" t="str">
        <f>'Смета Внутр'!C287</f>
        <v>м2</v>
      </c>
      <c r="D288" s="3009">
        <f>'Смета Внутр'!D287</f>
        <v>0</v>
      </c>
      <c r="E288" s="3007"/>
      <c r="F288" s="3012">
        <f>'Смета Внутр'!H287</f>
        <v>0</v>
      </c>
    </row>
    <row r="289" spans="2:6">
      <c r="B289" s="3007" t="str">
        <f>'Смета Внутр'!B288</f>
        <v>укладка утеплителя под плиту</v>
      </c>
      <c r="C289" s="3008" t="str">
        <f>'Смета Внутр'!C288</f>
        <v>м2</v>
      </c>
      <c r="D289" s="3009">
        <f>'Смета Внутр'!D288</f>
        <v>100</v>
      </c>
      <c r="E289" s="3007"/>
      <c r="F289" s="3012">
        <f>'Смета Внутр'!H288</f>
        <v>0</v>
      </c>
    </row>
    <row r="290" spans="2:6">
      <c r="B290" s="3007" t="str">
        <f>'Смета Внутр'!B289</f>
        <v>укладка утеплителя под отмостка</v>
      </c>
      <c r="C290" s="3008" t="str">
        <f>'Смета Внутр'!C289</f>
        <v>м2</v>
      </c>
      <c r="D290" s="3009">
        <f>'Смета Внутр'!D289</f>
        <v>0</v>
      </c>
      <c r="E290" s="3007"/>
      <c r="F290" s="3012">
        <f>'Смета Внутр'!H289</f>
        <v>0</v>
      </c>
    </row>
    <row r="291" spans="2:6">
      <c r="B291" s="3007" t="str">
        <f>'Смета Внутр'!B290</f>
        <v>укладка пленки</v>
      </c>
      <c r="C291" s="3008" t="str">
        <f>'Смета Внутр'!C290</f>
        <v>м2</v>
      </c>
      <c r="D291" s="3009">
        <f>'Смета Внутр'!D290</f>
        <v>100</v>
      </c>
      <c r="E291" s="3007"/>
      <c r="F291" s="3012">
        <f>'Смета Внутр'!H290</f>
        <v>0</v>
      </c>
    </row>
    <row r="292" spans="2:6">
      <c r="B292" s="3007" t="str">
        <f>'Смета Внутр'!B291</f>
        <v>кладка сетки</v>
      </c>
      <c r="C292" s="3008" t="str">
        <f>'Смета Внутр'!C291</f>
        <v>м2</v>
      </c>
      <c r="D292" s="3009">
        <f>'Смета Внутр'!D291</f>
        <v>100</v>
      </c>
      <c r="E292" s="3007"/>
      <c r="F292" s="3012">
        <f>'Смета Внутр'!H291</f>
        <v>0</v>
      </c>
    </row>
    <row r="293" spans="2:6">
      <c r="B293" s="3007" t="str">
        <f>'Смета Внутр'!B292</f>
        <v>укладка теп. Пола</v>
      </c>
      <c r="C293" s="3008" t="str">
        <f>'Смета Внутр'!C292</f>
        <v>м2</v>
      </c>
      <c r="D293" s="3009">
        <f>'Смета Внутр'!D292</f>
        <v>100</v>
      </c>
      <c r="E293" s="3007"/>
      <c r="F293" s="3012">
        <f>'Смета Внутр'!H292</f>
        <v>0</v>
      </c>
    </row>
    <row r="294" spans="2:6">
      <c r="B294" s="3007" t="str">
        <f>'Смета Внутр'!B293</f>
        <v>Заливка бетоном перекрытия/плиты</v>
      </c>
      <c r="C294" s="3008" t="str">
        <f>'Смета Внутр'!C293</f>
        <v>м2</v>
      </c>
      <c r="D294" s="3009">
        <f>'Смета Внутр'!D293</f>
        <v>100</v>
      </c>
      <c r="E294" s="3007"/>
      <c r="F294" s="3012">
        <f>'Смета Внутр'!H293</f>
        <v>0</v>
      </c>
    </row>
    <row r="295" spans="2:6">
      <c r="B295" s="3007" t="str">
        <f>'Смета Внутр'!B294</f>
        <v>заливка бетоном отмостки</v>
      </c>
      <c r="C295" s="3008" t="str">
        <f>'Смета Внутр'!C294</f>
        <v>м2</v>
      </c>
      <c r="D295" s="3009">
        <f>'Смета Внутр'!D294</f>
        <v>0</v>
      </c>
      <c r="E295" s="3007"/>
      <c r="F295" s="3012">
        <f>'Смета Внутр'!H294</f>
        <v>0</v>
      </c>
    </row>
    <row r="296" spans="2:6">
      <c r="B296" s="3007" t="str">
        <f>'Смета Внутр'!B295</f>
        <v>армирование пол</v>
      </c>
      <c r="C296" s="3008" t="str">
        <f>'Смета Внутр'!C295</f>
        <v>м2</v>
      </c>
      <c r="D296" s="3009">
        <f>'Смета Внутр'!D295</f>
        <v>100</v>
      </c>
      <c r="E296" s="3007"/>
      <c r="F296" s="3012">
        <f>'Смета Внутр'!H295</f>
        <v>0</v>
      </c>
    </row>
    <row r="297" spans="2:6">
      <c r="B297" s="3007" t="str">
        <f>'Смета Внутр'!B296</f>
        <v>армирование отмостки</v>
      </c>
      <c r="C297" s="3008" t="str">
        <f>'Смета Внутр'!C296</f>
        <v>м2</v>
      </c>
      <c r="D297" s="3009">
        <f>'Смета Внутр'!D296</f>
        <v>0</v>
      </c>
      <c r="E297" s="3007"/>
      <c r="F297" s="3012">
        <f>'Смета Внутр'!H296</f>
        <v>0</v>
      </c>
    </row>
    <row r="298" spans="2:6">
      <c r="B298" s="3007" t="str">
        <f>'Смета Внутр'!B297</f>
        <v>монтаж канализации</v>
      </c>
      <c r="C298" s="3008" t="str">
        <f>'Смета Внутр'!C297</f>
        <v>м.п.</v>
      </c>
      <c r="D298" s="3009">
        <f>'Смета Внутр'!D297</f>
        <v>0</v>
      </c>
      <c r="E298" s="3007"/>
      <c r="F298" s="3012">
        <f>'Смета Внутр'!H297</f>
        <v>0</v>
      </c>
    </row>
    <row r="299" spans="2:6">
      <c r="B299" s="3007" t="str">
        <f>'Смета Внутр'!B298</f>
        <v>укладка геотекстиля</v>
      </c>
      <c r="C299" s="3008" t="str">
        <f>'Смета Внутр'!C298</f>
        <v>м2</v>
      </c>
      <c r="D299" s="3009">
        <f>'Смета Внутр'!D298</f>
        <v>100</v>
      </c>
      <c r="E299" s="3007"/>
      <c r="F299" s="3012">
        <f>'Смета Внутр'!H298</f>
        <v>0</v>
      </c>
    </row>
    <row r="300" spans="2:6">
      <c r="B300" s="3007" t="str">
        <f>'Смета Внутр'!B299</f>
        <v>укладка дренажа</v>
      </c>
      <c r="C300" s="3008" t="str">
        <f>'Смета Внутр'!C299</f>
        <v>м2</v>
      </c>
      <c r="D300" s="3009">
        <f>'Смета Внутр'!D299</f>
        <v>61</v>
      </c>
      <c r="E300" s="3007"/>
      <c r="F300" s="3012">
        <f>'Смета Внутр'!H299</f>
        <v>0</v>
      </c>
    </row>
    <row r="301" spans="2:6">
      <c r="B301" s="3007" t="str">
        <f>'Смета Внутр'!B300</f>
        <v>монтаж дренажного колодца</v>
      </c>
      <c r="C301" s="3008" t="str">
        <f>'Смета Внутр'!C300</f>
        <v>шт</v>
      </c>
      <c r="D301" s="3009">
        <f>'Смета Внутр'!D300</f>
        <v>0</v>
      </c>
      <c r="E301" s="3007"/>
      <c r="F301" s="3012">
        <f>'Смета Внутр'!H300</f>
        <v>0</v>
      </c>
    </row>
    <row r="302" spans="2:6">
      <c r="B302" s="3311" t="str">
        <f>'Смета Внутр'!B301</f>
        <v>Итого работы</v>
      </c>
      <c r="C302" s="3311"/>
      <c r="D302" s="3311"/>
      <c r="E302" s="3311"/>
      <c r="F302" s="3014">
        <f>'Смета Внутр'!G301</f>
        <v>0</v>
      </c>
    </row>
    <row r="303" spans="2:6" ht="19">
      <c r="B303" s="3313" t="str">
        <f>'Смета Внутр'!B302</f>
        <v>Сип-Панели</v>
      </c>
      <c r="C303" s="3313"/>
      <c r="D303" s="3313"/>
      <c r="E303" s="3313"/>
      <c r="F303" s="3011">
        <f>'Смета Внутр'!H302</f>
        <v>0</v>
      </c>
    </row>
    <row r="304" spans="2:6">
      <c r="B304" s="3310" t="str">
        <f>'Смета Внутр'!B303</f>
        <v>Материалы</v>
      </c>
      <c r="C304" s="3310"/>
      <c r="D304" s="3310"/>
      <c r="E304" s="3310"/>
      <c r="F304" s="3011">
        <f>'Смета Внутр'!H303</f>
        <v>0</v>
      </c>
    </row>
    <row r="305" spans="2:6">
      <c r="B305" s="3007" t="str">
        <f>'Смета Внутр'!B304</f>
        <v>Брус естественной влажности, 150*150мм</v>
      </c>
      <c r="C305" s="3008" t="str">
        <f>'Смета Внутр'!C304</f>
        <v>м3</v>
      </c>
      <c r="D305" s="3009">
        <f>'Смета Внутр'!D304</f>
        <v>1.26</v>
      </c>
      <c r="E305" s="3007"/>
      <c r="F305" s="3012">
        <f>'Смета Внутр'!H304</f>
        <v>0</v>
      </c>
    </row>
    <row r="306" spans="2:6">
      <c r="B306" s="3007" t="str">
        <f>'Смета Внутр'!B305</f>
        <v>обработка мастикой</v>
      </c>
      <c r="C306" s="3008" t="str">
        <f>'Смета Внутр'!C305</f>
        <v>л</v>
      </c>
      <c r="D306" s="3009">
        <f>'Смета Внутр'!D305</f>
        <v>8.82</v>
      </c>
      <c r="E306" s="3007"/>
      <c r="F306" s="3012">
        <f>'Смета Внутр'!H305</f>
        <v>0</v>
      </c>
    </row>
    <row r="307" spans="2:6">
      <c r="B307" s="3007" t="str">
        <f>'Смета Внутр'!B306</f>
        <v>Sip панель 2800*1250*174мм</v>
      </c>
      <c r="C307" s="3008" t="str">
        <f>'Смета Внутр'!C306</f>
        <v>м2</v>
      </c>
      <c r="D307" s="3009">
        <f>'Смета Внутр'!D306</f>
        <v>-1.7999999999999998</v>
      </c>
      <c r="E307" s="3007"/>
      <c r="F307" s="3012">
        <f>'Смета Внутр'!H306</f>
        <v>0</v>
      </c>
    </row>
    <row r="308" spans="2:6">
      <c r="B308" s="3007" t="str">
        <f>'Смета Внутр'!B307</f>
        <v>Sip панель 2800*1250*174мм</v>
      </c>
      <c r="C308" s="3008" t="str">
        <f>'Смета Внутр'!C307</f>
        <v>м2</v>
      </c>
      <c r="D308" s="3009">
        <f>'Смета Внутр'!D307</f>
        <v>0</v>
      </c>
      <c r="E308" s="3007"/>
      <c r="F308" s="3012">
        <f>'Смета Внутр'!H307</f>
        <v>0</v>
      </c>
    </row>
    <row r="309" spans="2:6">
      <c r="B309" s="3007" t="str">
        <f>'Смета Внутр'!B308</f>
        <v>Sip панель 2800*1250*124мм</v>
      </c>
      <c r="C309" s="3008" t="str">
        <f>'Смета Внутр'!C308</f>
        <v>м2</v>
      </c>
      <c r="D309" s="3009">
        <f>'Смета Внутр'!D308</f>
        <v>0</v>
      </c>
      <c r="E309" s="3007"/>
      <c r="F309" s="3012">
        <f>'Смета Внутр'!H308</f>
        <v>0</v>
      </c>
    </row>
    <row r="310" spans="2:6">
      <c r="B310" s="3007" t="str">
        <f>'Смета Внутр'!B309</f>
        <v xml:space="preserve">Болты анкерные с гайкой 12,0 х 280          </v>
      </c>
      <c r="C310" s="3008" t="str">
        <f>'Смета Внутр'!C309</f>
        <v>шт</v>
      </c>
      <c r="D310" s="3009">
        <f>'Смета Внутр'!D309</f>
        <v>112</v>
      </c>
      <c r="E310" s="3007"/>
      <c r="F310" s="3012">
        <f>'Смета Внутр'!H309</f>
        <v>0</v>
      </c>
    </row>
    <row r="311" spans="2:6">
      <c r="B311" s="3007" t="str">
        <f>'Смета Внутр'!B310</f>
        <v>обвязка наружние стены верх низ</v>
      </c>
      <c r="C311" s="3008" t="str">
        <f>'Смета Внутр'!C310</f>
        <v>м3</v>
      </c>
      <c r="D311" s="3009">
        <f>'Смета Внутр'!D310</f>
        <v>0.60000000000000009</v>
      </c>
      <c r="E311" s="3007"/>
      <c r="F311" s="3012">
        <f>'Смета Внутр'!H310</f>
        <v>0</v>
      </c>
    </row>
    <row r="312" spans="2:6">
      <c r="B312" s="3007" t="str">
        <f>'Смета Внутр'!B311</f>
        <v>обвязка несущие перегородки верх низ</v>
      </c>
      <c r="C312" s="3008" t="str">
        <f>'Смета Внутр'!C311</f>
        <v>м3</v>
      </c>
      <c r="D312" s="3009">
        <f>'Смета Внутр'!D311</f>
        <v>0.24</v>
      </c>
      <c r="E312" s="3007"/>
      <c r="F312" s="3012">
        <f>'Смета Внутр'!H311</f>
        <v>0</v>
      </c>
    </row>
    <row r="313" spans="2:6">
      <c r="B313" s="3007" t="str">
        <f>'Смета Внутр'!B312</f>
        <v>обвязка несущие перегородки верх низ</v>
      </c>
      <c r="C313" s="3008" t="str">
        <f>'Смета Внутр'!C312</f>
        <v>м3</v>
      </c>
      <c r="D313" s="3009">
        <f>'Смета Внутр'!D312</f>
        <v>0.11699999999999999</v>
      </c>
      <c r="E313" s="3007"/>
      <c r="F313" s="3012">
        <f>'Смета Внутр'!H312</f>
        <v>0</v>
      </c>
    </row>
    <row r="314" spans="2:6">
      <c r="B314" s="3007" t="str">
        <f>'Смета Внутр'!B313</f>
        <v>стойки наружние стены</v>
      </c>
      <c r="C314" s="3008" t="str">
        <f>'Смета Внутр'!C313</f>
        <v>м3</v>
      </c>
      <c r="D314" s="3009">
        <f>'Смета Внутр'!D313</f>
        <v>0</v>
      </c>
      <c r="E314" s="3007"/>
      <c r="F314" s="3012">
        <f>'Смета Внутр'!H313</f>
        <v>0</v>
      </c>
    </row>
    <row r="315" spans="2:6">
      <c r="B315" s="3007" t="str">
        <f>'Смета Внутр'!B314</f>
        <v>стойки перегородки несущие</v>
      </c>
      <c r="C315" s="3008" t="str">
        <f>'Смета Внутр'!C314</f>
        <v>м3</v>
      </c>
      <c r="D315" s="3009">
        <f>'Смета Внутр'!D314</f>
        <v>0</v>
      </c>
      <c r="E315" s="3007"/>
      <c r="F315" s="3012">
        <f>'Смета Внутр'!H314</f>
        <v>0</v>
      </c>
    </row>
    <row r="316" spans="2:6">
      <c r="B316" s="3007" t="str">
        <f>'Смета Внутр'!B315</f>
        <v>Стойки перегородки простые</v>
      </c>
      <c r="C316" s="3008" t="str">
        <f>'Смета Внутр'!C315</f>
        <v>м3</v>
      </c>
      <c r="D316" s="3009">
        <f>'Смета Внутр'!D315</f>
        <v>0</v>
      </c>
      <c r="E316" s="3007"/>
      <c r="F316" s="3012">
        <f>'Смета Внутр'!H315</f>
        <v>0</v>
      </c>
    </row>
    <row r="317" spans="2:6">
      <c r="B317" s="3007" t="str">
        <f>'Смета Внутр'!B316</f>
        <v>брус, обвязка кровли, сип панели</v>
      </c>
      <c r="C317" s="3008" t="str">
        <f>'Смета Внутр'!C316</f>
        <v>м3</v>
      </c>
      <c r="D317" s="3009">
        <f>'Смета Внутр'!D316</f>
        <v>-0.15000000000000002</v>
      </c>
      <c r="E317" s="3007"/>
      <c r="F317" s="3012">
        <f>'Смета Внутр'!H316</f>
        <v>0</v>
      </c>
    </row>
    <row r="318" spans="2:6">
      <c r="B318" s="3007" t="str">
        <f>'Смета Внутр'!B317</f>
        <v>торцевая доска, кровля, сип панели</v>
      </c>
      <c r="C318" s="3008" t="str">
        <f>'Смета Внутр'!C317</f>
        <v>м3</v>
      </c>
      <c r="D318" s="3009">
        <f>'Смета Внутр'!D317</f>
        <v>0.15000000000000002</v>
      </c>
      <c r="E318" s="3007"/>
      <c r="F318" s="3012">
        <f>'Смета Внутр'!H317</f>
        <v>0</v>
      </c>
    </row>
    <row r="319" spans="2:6">
      <c r="B319" s="3007" t="str">
        <f>'Смета Внутр'!B318</f>
        <v xml:space="preserve">Нет </v>
      </c>
      <c r="C319" s="3008" t="str">
        <f>'Смета Внутр'!C318</f>
        <v>м2</v>
      </c>
      <c r="D319" s="3009">
        <f>'Смета Внутр'!D318</f>
        <v>0</v>
      </c>
      <c r="E319" s="3007"/>
      <c r="F319" s="3012">
        <f>'Смета Внутр'!H318</f>
        <v>0</v>
      </c>
    </row>
    <row r="320" spans="2:6">
      <c r="B320" s="3007" t="str">
        <f>'Смета Внутр'!B319</f>
        <v>Пена монтажная, всесезонняя 800мл</v>
      </c>
      <c r="C320" s="3008" t="str">
        <f>'Смета Внутр'!C319</f>
        <v>шт</v>
      </c>
      <c r="D320" s="3009">
        <f>'Смета Внутр'!D319</f>
        <v>10</v>
      </c>
      <c r="E320" s="3007"/>
      <c r="F320" s="3012">
        <f>'Смета Внутр'!H319</f>
        <v>0</v>
      </c>
    </row>
    <row r="321" spans="2:6">
      <c r="B321" s="3007" t="str">
        <f>'Смета Внутр'!B320</f>
        <v xml:space="preserve">Саморезы 3,5 x 55            </v>
      </c>
      <c r="C321" s="3008" t="str">
        <f>'Смета Внутр'!C320</f>
        <v>кг</v>
      </c>
      <c r="D321" s="3009">
        <f>'Смета Внутр'!D320</f>
        <v>3.3333333333333335</v>
      </c>
      <c r="E321" s="3007"/>
      <c r="F321" s="3012">
        <f>'Смета Внутр'!H320</f>
        <v>0</v>
      </c>
    </row>
    <row r="322" spans="2:6">
      <c r="B322" s="3007" t="str">
        <f>'Смета Внутр'!B321</f>
        <v xml:space="preserve">Саморезы 4,2 x 90            </v>
      </c>
      <c r="C322" s="3008" t="str">
        <f>'Смета Внутр'!C321</f>
        <v>шт</v>
      </c>
      <c r="D322" s="3009">
        <f>'Смета Внутр'!D321</f>
        <v>3.3333333333333335</v>
      </c>
      <c r="E322" s="3007"/>
      <c r="F322" s="3012">
        <f>'Смета Внутр'!H321</f>
        <v>0</v>
      </c>
    </row>
    <row r="323" spans="2:6">
      <c r="B323" s="3311" t="str">
        <f>'Смета Внутр'!B322</f>
        <v>Итого материалы</v>
      </c>
      <c r="C323" s="3311"/>
      <c r="D323" s="3311"/>
      <c r="E323" s="3311"/>
      <c r="F323" s="3014">
        <f>'Смета Внутр'!G322</f>
        <v>0</v>
      </c>
    </row>
    <row r="324" spans="2:6">
      <c r="B324" s="3312" t="str">
        <f>'Смета Внутр'!B323</f>
        <v>Работы</v>
      </c>
      <c r="C324" s="3312"/>
      <c r="D324" s="3312"/>
      <c r="E324" s="3312"/>
      <c r="F324" s="3011">
        <f>'Смета Внутр'!H323</f>
        <v>0</v>
      </c>
    </row>
    <row r="325" spans="2:6">
      <c r="B325" s="3007" t="str">
        <f>'Смета Внутр'!B324</f>
        <v>монтаж обвязочного бруса</v>
      </c>
      <c r="C325" s="3008" t="str">
        <f>'Смета Внутр'!C324</f>
        <v>м.п.</v>
      </c>
      <c r="D325" s="3009">
        <f>'Смета Внутр'!D324</f>
        <v>56</v>
      </c>
      <c r="E325" s="3007"/>
      <c r="F325" s="3012">
        <f>'Смета Внутр'!H324</f>
        <v>0</v>
      </c>
    </row>
    <row r="326" spans="2:6">
      <c r="B326" s="3007" t="str">
        <f>'Смета Внутр'!B325</f>
        <v>обработка мастикой</v>
      </c>
      <c r="C326" s="3008" t="str">
        <f>'Смета Внутр'!C325</f>
        <v>м.п.</v>
      </c>
      <c r="D326" s="3009">
        <f>'Смета Внутр'!D325</f>
        <v>56</v>
      </c>
      <c r="E326" s="3007"/>
      <c r="F326" s="3012">
        <f>'Смета Внутр'!H325</f>
        <v>0</v>
      </c>
    </row>
    <row r="327" spans="2:6">
      <c r="B327" s="3007" t="str">
        <f>'Смета Внутр'!B326</f>
        <v>монтаж наружних стен сиппанели</v>
      </c>
      <c r="C327" s="3008" t="str">
        <f>'Смета Внутр'!C326</f>
        <v>м2</v>
      </c>
      <c r="D327" s="3009">
        <f>'Смета Внутр'!D326</f>
        <v>0</v>
      </c>
      <c r="E327" s="3007"/>
      <c r="F327" s="3012">
        <f>'Смета Внутр'!H326</f>
        <v>0</v>
      </c>
    </row>
    <row r="328" spans="2:6">
      <c r="B328" s="3007" t="str">
        <f>'Смета Внутр'!B327</f>
        <v>Монтаж несущих перегородок сип панели</v>
      </c>
      <c r="C328" s="3008" t="str">
        <f>'Смета Внутр'!C327</f>
        <v>м2</v>
      </c>
      <c r="D328" s="3009">
        <f>'Смета Внутр'!D327</f>
        <v>0</v>
      </c>
      <c r="E328" s="3007"/>
      <c r="F328" s="3012">
        <f>'Смета Внутр'!H327</f>
        <v>0</v>
      </c>
    </row>
    <row r="329" spans="2:6">
      <c r="B329" s="3007" t="str">
        <f>'Смета Внутр'!B328</f>
        <v>Монтаж перегородок сип панели</v>
      </c>
      <c r="C329" s="3008" t="str">
        <f>'Смета Внутр'!C328</f>
        <v>м2</v>
      </c>
      <c r="D329" s="3009">
        <f>'Смета Внутр'!D328</f>
        <v>0</v>
      </c>
      <c r="E329" s="3007"/>
      <c r="F329" s="3012">
        <f>'Смета Внутр'!H328</f>
        <v>0</v>
      </c>
    </row>
    <row r="330" spans="2:6">
      <c r="B330" s="3007" t="str">
        <f>'Смета Внутр'!B329</f>
        <v>монтаж покрытия кровли</v>
      </c>
      <c r="C330" s="3008" t="str">
        <f>'Смета Внутр'!C329</f>
        <v>м2</v>
      </c>
      <c r="D330" s="3009">
        <f>'Смета Внутр'!D329</f>
        <v>0</v>
      </c>
      <c r="E330" s="3007"/>
      <c r="F330" s="3012">
        <f>'Смета Внутр'!H329</f>
        <v>0</v>
      </c>
    </row>
    <row r="331" spans="2:6">
      <c r="B331" s="3311" t="str">
        <f>'Смета Внутр'!B330</f>
        <v>Итого работы</v>
      </c>
      <c r="C331" s="3311"/>
      <c r="D331" s="3311"/>
      <c r="E331" s="3311"/>
      <c r="F331" s="3014">
        <f>'Смета Внутр'!G330</f>
        <v>0</v>
      </c>
    </row>
    <row r="332" spans="2:6" ht="19">
      <c r="B332" s="3313" t="str">
        <f>'Смета Внутр'!B331</f>
        <v>Каркасный дом</v>
      </c>
      <c r="C332" s="3313"/>
      <c r="D332" s="3313"/>
      <c r="E332" s="3313"/>
      <c r="F332" s="3015">
        <f>'Смета Внутр'!H331</f>
        <v>0</v>
      </c>
    </row>
    <row r="333" spans="2:6">
      <c r="B333" s="3310" t="str">
        <f>'Смета Внутр'!B332</f>
        <v>Материалы</v>
      </c>
      <c r="C333" s="3310"/>
      <c r="D333" s="3310"/>
      <c r="E333" s="3310"/>
      <c r="F333" s="3015">
        <f>'Смета Внутр'!H332</f>
        <v>0</v>
      </c>
    </row>
    <row r="334" spans="2:6">
      <c r="B334" s="3007" t="str">
        <f>'Смета Внутр'!B333</f>
        <v>Брус естественной влажности, 150*150мм</v>
      </c>
      <c r="C334" s="3008" t="str">
        <f>'Смета Внутр'!C333</f>
        <v>м3</v>
      </c>
      <c r="D334" s="3009">
        <f>'Смета Внутр'!D333</f>
        <v>1.26</v>
      </c>
      <c r="E334" s="3007"/>
      <c r="F334" s="3016">
        <f>'Смета Внутр'!H333</f>
        <v>0</v>
      </c>
    </row>
    <row r="335" spans="2:6">
      <c r="B335" s="3007" t="str">
        <f>'Смета Внутр'!B334</f>
        <v xml:space="preserve">Болты анкерные с гайкой 12,0 х 280          </v>
      </c>
      <c r="C335" s="3008" t="str">
        <f>'Смета Внутр'!C334</f>
        <v>шт</v>
      </c>
      <c r="D335" s="3009">
        <f>'Смета Внутр'!D334</f>
        <v>56</v>
      </c>
      <c r="E335" s="3007"/>
      <c r="F335" s="3016">
        <f>'Смета Внутр'!H334</f>
        <v>0</v>
      </c>
    </row>
    <row r="336" spans="2:6">
      <c r="B336" s="3007" t="str">
        <f>'Смета Внутр'!B335</f>
        <v>ГПС 150х50-1,2</v>
      </c>
      <c r="C336" s="3008" t="str">
        <f>'Смета Внутр'!C335</f>
        <v>м3</v>
      </c>
      <c r="D336" s="3009">
        <f>'Смета Внутр'!D335</f>
        <v>0</v>
      </c>
      <c r="E336" s="3007"/>
      <c r="F336" s="3016">
        <f>'Смета Внутр'!H335</f>
        <v>0</v>
      </c>
    </row>
    <row r="337" spans="2:6">
      <c r="B337" s="3007" t="str">
        <f>'Смета Внутр'!B343</f>
        <v>ГПС 120х50-1,5</v>
      </c>
      <c r="C337" s="3008" t="str">
        <f>'Смета Внутр'!C343</f>
        <v>м3</v>
      </c>
      <c r="D337" s="3009">
        <f>'Смета Внутр'!D343</f>
        <v>0</v>
      </c>
      <c r="E337" s="3007"/>
      <c r="F337" s="3016">
        <f>'Смета Внутр'!H343</f>
        <v>0</v>
      </c>
    </row>
    <row r="338" spans="2:6">
      <c r="B338" s="3007" t="str">
        <f>'Смета Внутр'!B344</f>
        <v>ГПС 170х50-2,0</v>
      </c>
      <c r="C338" s="3008" t="str">
        <f>'Смета Внутр'!C344</f>
        <v>м3</v>
      </c>
      <c r="D338" s="3009">
        <f>'Смета Внутр'!D344</f>
        <v>0</v>
      </c>
      <c r="E338" s="3007"/>
      <c r="F338" s="3012">
        <f>'Смета Внутр'!H344</f>
        <v>0</v>
      </c>
    </row>
    <row r="339" spans="2:6">
      <c r="B339" s="3007" t="str">
        <f>'Смета Внутр'!B345</f>
        <v>Лист ГВЛВ 2500х1200х10 мм</v>
      </c>
      <c r="C339" s="3008" t="str">
        <f>'Смета Внутр'!C345</f>
        <v>м2</v>
      </c>
      <c r="D339" s="3009">
        <f>'Смета Внутр'!D345</f>
        <v>100</v>
      </c>
      <c r="E339" s="3007"/>
      <c r="F339" s="3016">
        <f>'Смета Внутр'!H345</f>
        <v>0</v>
      </c>
    </row>
    <row r="340" spans="2:6">
      <c r="B340" s="3007" t="str">
        <f>'Смета Внутр'!B346</f>
        <v>нет</v>
      </c>
      <c r="C340" s="3008" t="str">
        <f>'Смета Внутр'!C346</f>
        <v>м.п.</v>
      </c>
      <c r="D340" s="3009">
        <f>'Смета Внутр'!D346</f>
        <v>0</v>
      </c>
      <c r="E340" s="3007"/>
      <c r="F340" s="3016">
        <f>'Смета Внутр'!H346</f>
        <v>0</v>
      </c>
    </row>
    <row r="341" spans="2:6">
      <c r="B341" s="3007" t="str">
        <f>'Смета Внутр'!B347</f>
        <v>Нет</v>
      </c>
      <c r="C341" s="3008" t="str">
        <f>'Смета Внутр'!C347</f>
        <v>м3</v>
      </c>
      <c r="D341" s="3009">
        <f>'Смета Внутр'!D347</f>
        <v>0</v>
      </c>
      <c r="E341" s="3007"/>
      <c r="F341" s="3016">
        <f>'Смета Внутр'!H347</f>
        <v>0</v>
      </c>
    </row>
    <row r="342" spans="2:6">
      <c r="B342" s="3007" t="str">
        <f>'Смета Внутр'!B348</f>
        <v>Нет</v>
      </c>
      <c r="C342" s="3008" t="str">
        <f>'Смета Внутр'!C348</f>
        <v>м3</v>
      </c>
      <c r="D342" s="3009">
        <f>'Смета Внутр'!D348</f>
        <v>0</v>
      </c>
      <c r="E342" s="3007"/>
      <c r="F342" s="3016">
        <f>'Смета Внутр'!H348</f>
        <v>0</v>
      </c>
    </row>
    <row r="343" spans="2:6">
      <c r="B343" s="3007" t="str">
        <f>'Смета Внутр'!B349</f>
        <v>нет</v>
      </c>
      <c r="C343" s="3008" t="str">
        <f>'Смета Внутр'!C349</f>
        <v>м2</v>
      </c>
      <c r="D343" s="3009">
        <f>'Смета Внутр'!D349</f>
        <v>0</v>
      </c>
      <c r="E343" s="3007"/>
      <c r="F343" s="3012">
        <f>'Смета Внутр'!H349</f>
        <v>0</v>
      </c>
    </row>
    <row r="344" spans="2:6">
      <c r="B344" s="3007" t="str">
        <f>'Смета Внутр'!B350</f>
        <v>нет</v>
      </c>
      <c r="C344" s="3008" t="str">
        <f>'Смета Внутр'!C350</f>
        <v>м2</v>
      </c>
      <c r="D344" s="3009">
        <f>'Смета Внутр'!D350</f>
        <v>0</v>
      </c>
      <c r="E344" s="3007"/>
      <c r="F344" s="3012">
        <f>'Смета Внутр'!H350</f>
        <v>0</v>
      </c>
    </row>
    <row r="345" spans="2:6">
      <c r="B345" s="3007" t="str">
        <f>'Смета Внутр'!B351</f>
        <v>нет</v>
      </c>
      <c r="C345" s="3008" t="str">
        <f>'Смета Внутр'!C351</f>
        <v>м2</v>
      </c>
      <c r="D345" s="3009">
        <f>'Смета Внутр'!D351</f>
        <v>0</v>
      </c>
      <c r="E345" s="3007"/>
      <c r="F345" s="3012">
        <f>'Смета Внутр'!H351</f>
        <v>0</v>
      </c>
    </row>
    <row r="346" spans="2:6">
      <c r="B346" s="3007" t="str">
        <f>'Смета Внутр'!B352</f>
        <v xml:space="preserve">Саморезы 3,5 x 25            </v>
      </c>
      <c r="C346" s="3008" t="str">
        <f>'Смета Внутр'!C352</f>
        <v>шт</v>
      </c>
      <c r="D346" s="3009">
        <f>'Смета Внутр'!D352</f>
        <v>0</v>
      </c>
      <c r="E346" s="3007"/>
      <c r="F346" s="3012">
        <f>'Смета Внутр'!H352</f>
        <v>0</v>
      </c>
    </row>
    <row r="347" spans="2:6">
      <c r="B347" s="3007" t="str">
        <f>'Смета Внутр'!B353</f>
        <v xml:space="preserve">Гвозди ершоные 2,8 х 90            </v>
      </c>
      <c r="C347" s="3008" t="str">
        <f>'Смета Внутр'!C353</f>
        <v>кг</v>
      </c>
      <c r="D347" s="3009">
        <f>'Смета Внутр'!D353</f>
        <v>0</v>
      </c>
      <c r="E347" s="3007"/>
      <c r="F347" s="3016">
        <f>'Смета Внутр'!H353</f>
        <v>0</v>
      </c>
    </row>
    <row r="348" spans="2:6">
      <c r="B348" s="3007" t="str">
        <f>'Смета Внутр'!B354</f>
        <v xml:space="preserve">Гвозди ершоные 3,4 x 60            </v>
      </c>
      <c r="C348" s="3008" t="str">
        <f>'Смета Внутр'!C354</f>
        <v>кг</v>
      </c>
      <c r="D348" s="3009">
        <f>'Смета Внутр'!D354</f>
        <v>0</v>
      </c>
      <c r="E348" s="3007"/>
      <c r="F348" s="3016">
        <f>'Смета Внутр'!H354</f>
        <v>0</v>
      </c>
    </row>
    <row r="349" spans="2:6">
      <c r="B349" s="3007" t="str">
        <f>'Смета Внутр'!B355</f>
        <v>нет ветроизоляции</v>
      </c>
      <c r="C349" s="3008" t="str">
        <f>'Смета Внутр'!C355</f>
        <v>м2</v>
      </c>
      <c r="D349" s="3009">
        <f>'Смета Внутр'!D355</f>
        <v>0</v>
      </c>
      <c r="E349" s="3007"/>
      <c r="F349" s="3016">
        <f>'Смета Внутр'!H355</f>
        <v>0</v>
      </c>
    </row>
    <row r="350" spans="2:6">
      <c r="B350" s="3007" t="str">
        <f>'Смета Внутр'!B356</f>
        <v>нет пароизоляции</v>
      </c>
      <c r="C350" s="3008" t="str">
        <f>'Смета Внутр'!C356</f>
        <v>м2</v>
      </c>
      <c r="D350" s="3009">
        <f>'Смета Внутр'!D356</f>
        <v>0</v>
      </c>
      <c r="E350" s="3007"/>
      <c r="F350" s="3016">
        <f>'Смета Внутр'!H356</f>
        <v>0</v>
      </c>
    </row>
    <row r="351" spans="2:6">
      <c r="B351" s="3007" t="str">
        <f>'Смета Внутр'!B357</f>
        <v>Скобы для степлера, 1000шт/уп</v>
      </c>
      <c r="C351" s="3008" t="str">
        <f>'Смета Внутр'!C357</f>
        <v>уп</v>
      </c>
      <c r="D351" s="3009">
        <f>'Смета Внутр'!D357</f>
        <v>5</v>
      </c>
      <c r="E351" s="3007"/>
      <c r="F351" s="3016">
        <f>'Смета Внутр'!H357</f>
        <v>0</v>
      </c>
    </row>
    <row r="352" spans="2:6">
      <c r="B352" s="3311" t="str">
        <f>'Смета Внутр'!B358</f>
        <v>Итого материалы</v>
      </c>
      <c r="C352" s="3311"/>
      <c r="D352" s="3311"/>
      <c r="E352" s="3311"/>
      <c r="F352" s="3010">
        <f>'Смета Внутр'!G358</f>
        <v>0</v>
      </c>
    </row>
    <row r="353" spans="2:6">
      <c r="B353" s="3312" t="str">
        <f>'Смета Внутр'!B359</f>
        <v>Работы</v>
      </c>
      <c r="C353" s="3312"/>
      <c r="D353" s="3312"/>
      <c r="E353" s="3312"/>
      <c r="F353" s="3015">
        <f>'Смета Внутр'!H359</f>
        <v>0</v>
      </c>
    </row>
    <row r="354" spans="2:6">
      <c r="B354" s="3007" t="str">
        <f>'Смета Внутр'!B360</f>
        <v>монтаж обвязки</v>
      </c>
      <c r="C354" s="3008" t="str">
        <f>'Смета Внутр'!C360</f>
        <v>м.п.</v>
      </c>
      <c r="D354" s="3009">
        <f>'Смета Внутр'!D360</f>
        <v>0</v>
      </c>
      <c r="E354" s="3007"/>
      <c r="F354" s="3016">
        <f>'Смета Внутр'!H360</f>
        <v>0</v>
      </c>
    </row>
    <row r="355" spans="2:6">
      <c r="B355" s="3007" t="str">
        <f>'Смета Внутр'!B361</f>
        <v>монтаж стен каркаса</v>
      </c>
      <c r="C355" s="3008" t="str">
        <f>'Смета Внутр'!C361</f>
        <v>м2</v>
      </c>
      <c r="D355" s="3009">
        <f>'Смета Внутр'!D361</f>
        <v>0</v>
      </c>
      <c r="E355" s="3007"/>
      <c r="F355" s="3016">
        <f>'Смета Внутр'!H361</f>
        <v>0</v>
      </c>
    </row>
    <row r="356" spans="2:6">
      <c r="B356" s="3007" t="str">
        <f>'Смета Внутр'!B362</f>
        <v>Монтаж несущих перегородок</v>
      </c>
      <c r="C356" s="3008" t="str">
        <f>'Смета Внутр'!C362</f>
        <v>м2</v>
      </c>
      <c r="D356" s="3009">
        <f>'Смета Внутр'!D362</f>
        <v>0</v>
      </c>
      <c r="E356" s="3007"/>
      <c r="F356" s="3016">
        <f>'Смета Внутр'!H362</f>
        <v>0</v>
      </c>
    </row>
    <row r="357" spans="2:6">
      <c r="B357" s="3007" t="str">
        <f>'Смета Внутр'!B363</f>
        <v>Монтаж перегородок</v>
      </c>
      <c r="C357" s="3008" t="str">
        <f>'Смета Внутр'!C363</f>
        <v>м2</v>
      </c>
      <c r="D357" s="3009">
        <f>'Смета Внутр'!D363</f>
        <v>0</v>
      </c>
      <c r="E357" s="3007"/>
      <c r="F357" s="3012">
        <f>'Смета Внутр'!H363</f>
        <v>0</v>
      </c>
    </row>
    <row r="358" spans="2:6">
      <c r="B358" s="3007" t="str">
        <f>'Смета Внутр'!B364</f>
        <v>Монтаж вентиляционного зазора</v>
      </c>
      <c r="C358" s="3008" t="str">
        <f>'Смета Внутр'!C364</f>
        <v>м2</v>
      </c>
      <c r="D358" s="3009">
        <f>'Смета Внутр'!D364</f>
        <v>0</v>
      </c>
      <c r="E358" s="3007"/>
      <c r="F358" s="3016">
        <f>'Смета Внутр'!H364</f>
        <v>0</v>
      </c>
    </row>
    <row r="359" spans="2:6">
      <c r="B359" s="3007" t="str">
        <f>'Смета Внутр'!B365</f>
        <v>Монтаж технологического зазора</v>
      </c>
      <c r="C359" s="3008" t="str">
        <f>'Смета Внутр'!C365</f>
        <v>м2</v>
      </c>
      <c r="D359" s="3009">
        <f>'Смета Внутр'!D365</f>
        <v>0</v>
      </c>
      <c r="E359" s="3007"/>
      <c r="F359" s="3016">
        <f>'Смета Внутр'!H365</f>
        <v>0</v>
      </c>
    </row>
    <row r="360" spans="2:6">
      <c r="B360" s="3007" t="str">
        <f>'Смета Внутр'!B366</f>
        <v>монтаж ветроизоляции стен</v>
      </c>
      <c r="C360" s="3008" t="str">
        <f>'Смета Внутр'!C366</f>
        <v>м2</v>
      </c>
      <c r="D360" s="3009">
        <f>'Смета Внутр'!D366</f>
        <v>0</v>
      </c>
      <c r="E360" s="3007"/>
      <c r="F360" s="3016">
        <f>'Смета Внутр'!H366</f>
        <v>0</v>
      </c>
    </row>
    <row r="361" spans="2:6">
      <c r="B361" s="3007" t="str">
        <f>'Смета Внутр'!B367</f>
        <v>монтаж пароизоляции стен</v>
      </c>
      <c r="C361" s="3008" t="str">
        <f>'Смета Внутр'!C367</f>
        <v>м2</v>
      </c>
      <c r="D361" s="3009">
        <f>'Смета Внутр'!D367</f>
        <v>0</v>
      </c>
      <c r="E361" s="3007"/>
      <c r="F361" s="3016">
        <f>'Смета Внутр'!H367</f>
        <v>0</v>
      </c>
    </row>
    <row r="362" spans="2:6">
      <c r="B362" s="3007" t="str">
        <f>'Смета Внутр'!B368</f>
        <v>монтаж osb/фанера наруж стены</v>
      </c>
      <c r="C362" s="3008" t="str">
        <f>'Смета Внутр'!C368</f>
        <v>м2</v>
      </c>
      <c r="D362" s="3009">
        <f>'Смета Внутр'!D368</f>
        <v>0</v>
      </c>
      <c r="E362" s="3007"/>
      <c r="F362" s="3012">
        <f>'Смета Внутр'!H368</f>
        <v>0</v>
      </c>
    </row>
    <row r="363" spans="2:6">
      <c r="B363" s="3007" t="str">
        <f>'Смета Внутр'!B369</f>
        <v>монтаж osb/фанера потолок</v>
      </c>
      <c r="C363" s="3008" t="str">
        <f>'Смета Внутр'!C369</f>
        <v>м2</v>
      </c>
      <c r="D363" s="3009">
        <f>'Смета Внутр'!D369</f>
        <v>0</v>
      </c>
      <c r="E363" s="3007"/>
      <c r="F363" s="3012">
        <f>'Смета Внутр'!H369</f>
        <v>0</v>
      </c>
    </row>
    <row r="364" spans="2:6">
      <c r="B364" s="3007" t="str">
        <f>'Смета Внутр'!B370</f>
        <v>монтаж osb/фанера перегородки</v>
      </c>
      <c r="C364" s="3008" t="str">
        <f>'Смета Внутр'!C370</f>
        <v>м2</v>
      </c>
      <c r="D364" s="3009">
        <f>'Смета Внутр'!D370</f>
        <v>0</v>
      </c>
      <c r="E364" s="3007"/>
      <c r="F364" s="3012">
        <f>'Смета Внутр'!H370</f>
        <v>0</v>
      </c>
    </row>
    <row r="365" spans="2:6">
      <c r="B365" s="3007" t="str">
        <f>'Смета Внутр'!B371</f>
        <v>монтаж osb/фанера пол</v>
      </c>
      <c r="C365" s="3008" t="str">
        <f>'Смета Внутр'!C371</f>
        <v>м2</v>
      </c>
      <c r="D365" s="3009">
        <f>'Смета Внутр'!D371</f>
        <v>100</v>
      </c>
      <c r="E365" s="3007"/>
      <c r="F365" s="3016">
        <f>'Смета Внутр'!H371</f>
        <v>0</v>
      </c>
    </row>
    <row r="366" spans="2:6">
      <c r="B366" s="3007" t="str">
        <f>'Смета Внутр'!B372</f>
        <v>утепление наружних стен</v>
      </c>
      <c r="C366" s="3008" t="str">
        <f>'Смета Внутр'!C372</f>
        <v>м2</v>
      </c>
      <c r="D366" s="3009">
        <f>'Смета Внутр'!D372</f>
        <v>0</v>
      </c>
      <c r="E366" s="3007"/>
      <c r="F366" s="3016">
        <f>'Смета Внутр'!H372</f>
        <v>0</v>
      </c>
    </row>
    <row r="367" spans="2:6">
      <c r="B367" s="3007" t="str">
        <f>'Смета Внутр'!B373</f>
        <v>Утепление перегородок</v>
      </c>
      <c r="C367" s="3008" t="str">
        <f>'Смета Внутр'!C373</f>
        <v>м2</v>
      </c>
      <c r="D367" s="3009">
        <f>'Смета Внутр'!D373</f>
        <v>0</v>
      </c>
      <c r="E367" s="3007"/>
      <c r="F367" s="3016">
        <f>'Смета Внутр'!H373</f>
        <v>0</v>
      </c>
    </row>
    <row r="368" spans="2:6">
      <c r="B368" s="3311" t="str">
        <f>'Смета Внутр'!B374</f>
        <v>Итого работы</v>
      </c>
      <c r="C368" s="3311"/>
      <c r="D368" s="3311"/>
      <c r="E368" s="3311"/>
      <c r="F368" s="3010">
        <f>'Смета Внутр'!G374</f>
        <v>0</v>
      </c>
    </row>
    <row r="369" spans="2:6" ht="19">
      <c r="B369" s="3315" t="str">
        <f>'Смета Внутр'!B375</f>
        <v>Каркасный дом двутавровые балки</v>
      </c>
      <c r="C369" s="3315"/>
      <c r="D369" s="3315"/>
      <c r="E369" s="3315"/>
      <c r="F369" s="3017"/>
    </row>
    <row r="370" spans="2:6">
      <c r="B370" s="3316" t="str">
        <f>'Смета Внутр'!B376</f>
        <v>Материалы</v>
      </c>
      <c r="C370" s="3316"/>
      <c r="D370" s="3316"/>
      <c r="E370" s="3316"/>
      <c r="F370" s="3017"/>
    </row>
    <row r="371" spans="2:6">
      <c r="B371" s="3018" t="str">
        <f>'Смета Внутр'!B377</f>
        <v>Брус естественной влажности, 150*150мм</v>
      </c>
      <c r="C371" s="3013" t="str">
        <f>'Смета Внутр'!C377</f>
        <v>м3</v>
      </c>
      <c r="D371" s="3010">
        <f>'Смета Внутр'!D377</f>
        <v>1.26</v>
      </c>
      <c r="E371" s="3013"/>
      <c r="F371" s="3010"/>
    </row>
    <row r="372" spans="2:6">
      <c r="B372" s="3018" t="str">
        <f>'Смета Внутр'!B378</f>
        <v xml:space="preserve">Болты анкерные с гайкой 12,0 х 280          </v>
      </c>
      <c r="C372" s="3013" t="str">
        <f>'Смета Внутр'!C378</f>
        <v>шт</v>
      </c>
      <c r="D372" s="3010">
        <f>'Смета Внутр'!D378</f>
        <v>56</v>
      </c>
      <c r="E372" s="3013"/>
      <c r="F372" s="3010"/>
    </row>
    <row r="373" spans="2:6">
      <c r="B373" s="3018" t="str">
        <f>'Смета Внутр'!B379</f>
        <v>ГПС 150х50-1,2</v>
      </c>
      <c r="C373" s="3013" t="str">
        <f>'Смета Внутр'!C379</f>
        <v>м3</v>
      </c>
      <c r="D373" s="3010">
        <f>'Смета Внутр'!D379</f>
        <v>0</v>
      </c>
      <c r="E373" s="3013"/>
      <c r="F373" s="3010"/>
    </row>
    <row r="374" spans="2:6">
      <c r="B374" s="3018" t="str">
        <f>'Смета Внутр'!B380</f>
        <v>ГПН 152х35-1,2</v>
      </c>
      <c r="C374" s="3013" t="str">
        <f>'Смета Внутр'!C380</f>
        <v>мп.</v>
      </c>
      <c r="D374" s="3010">
        <f>'Смета Внутр'!D380</f>
        <v>0</v>
      </c>
      <c r="E374" s="3013"/>
      <c r="F374" s="3010"/>
    </row>
    <row r="375" spans="2:6">
      <c r="B375" s="3018" t="str">
        <f>'Смета Внутр'!B381</f>
        <v xml:space="preserve">Болты анкерные с гайкой 12,0 x 100          </v>
      </c>
      <c r="C375" s="3013" t="str">
        <f>'Смета Внутр'!C381</f>
        <v>шт.</v>
      </c>
      <c r="D375" s="3010">
        <f>'Смета Внутр'!D381</f>
        <v>0</v>
      </c>
      <c r="E375" s="3013"/>
      <c r="F375" s="3010"/>
    </row>
    <row r="376" spans="2:6">
      <c r="B376" s="3018" t="str">
        <f>'Смета Внутр'!B382</f>
        <v>Саморез 5,5 х 25</v>
      </c>
      <c r="C376" s="3013" t="str">
        <f>'Смета Внутр'!C382</f>
        <v>шт.</v>
      </c>
      <c r="D376" s="3010">
        <f>'Смета Внутр'!D382</f>
        <v>1644</v>
      </c>
      <c r="E376" s="3013"/>
      <c r="F376" s="3010"/>
    </row>
    <row r="377" spans="2:6">
      <c r="B377" s="3018" t="str">
        <f>'Смета Внутр'!B383</f>
        <v>ГПН 122х35-1,5</v>
      </c>
      <c r="C377" s="3013" t="str">
        <f>'Смета Внутр'!C383</f>
        <v>мп.</v>
      </c>
      <c r="D377" s="3010">
        <f>'Смета Внутр'!D383</f>
        <v>0</v>
      </c>
      <c r="E377" s="3013"/>
      <c r="F377" s="3010"/>
    </row>
    <row r="378" spans="2:6">
      <c r="B378" s="3018" t="str">
        <f>'Смета Внутр'!B384</f>
        <v xml:space="preserve">Болты анкерные с гайкой 12,0 x 100          </v>
      </c>
      <c r="C378" s="3013" t="str">
        <f>'Смета Внутр'!C384</f>
        <v>шт.</v>
      </c>
      <c r="D378" s="3010">
        <f>'Смета Внутр'!D384</f>
        <v>0</v>
      </c>
      <c r="E378" s="3013"/>
      <c r="F378" s="3010"/>
    </row>
    <row r="379" spans="2:6">
      <c r="B379" s="3018" t="str">
        <f>'Смета Внутр'!B385</f>
        <v>Саморез 5,5 х 25</v>
      </c>
      <c r="C379" s="3013" t="str">
        <f>'Смета Внутр'!C385</f>
        <v>шт.</v>
      </c>
      <c r="D379" s="3010">
        <f>'Смета Внутр'!D385</f>
        <v>12</v>
      </c>
      <c r="E379" s="3013"/>
      <c r="F379" s="3010"/>
    </row>
    <row r="380" spans="2:6">
      <c r="B380" s="3018" t="str">
        <f>'Смета Внутр'!B386</f>
        <v>ГПН 172х35-2,0</v>
      </c>
      <c r="C380" s="3013" t="str">
        <f>'Смета Внутр'!C386</f>
        <v>мп.</v>
      </c>
      <c r="D380" s="3010">
        <f>'Смета Внутр'!D386</f>
        <v>0</v>
      </c>
      <c r="E380" s="3013"/>
      <c r="F380" s="3010"/>
    </row>
    <row r="381" spans="2:6">
      <c r="B381" s="3018" t="str">
        <f>'Смета Внутр'!B387</f>
        <v xml:space="preserve">Болты анкерные с гайкой 12,0 x 100          </v>
      </c>
      <c r="C381" s="3013" t="str">
        <f>'Смета Внутр'!C387</f>
        <v>шт.</v>
      </c>
      <c r="D381" s="3010">
        <f>'Смета Внутр'!D387</f>
        <v>0</v>
      </c>
      <c r="E381" s="3013"/>
      <c r="F381" s="3010"/>
    </row>
    <row r="382" spans="2:6">
      <c r="B382" s="3018" t="str">
        <f>'Смета Внутр'!B388</f>
        <v>Саморез 5,5 х 25</v>
      </c>
      <c r="C382" s="3013" t="str">
        <f>'Смета Внутр'!C388</f>
        <v>шт.</v>
      </c>
      <c r="D382" s="3010">
        <f>'Смета Внутр'!D388</f>
        <v>0</v>
      </c>
      <c r="E382" s="3013"/>
      <c r="F382" s="3010"/>
    </row>
    <row r="383" spans="2:6">
      <c r="B383" s="3018" t="str">
        <f>'Смета Внутр'!B389</f>
        <v>ГПС 150х50-1,2</v>
      </c>
      <c r="C383" s="3013" t="str">
        <f>'Смета Внутр'!C389</f>
        <v>мп.</v>
      </c>
      <c r="D383" s="3010">
        <f>'Смета Внутр'!D389</f>
        <v>14</v>
      </c>
      <c r="E383" s="3013"/>
      <c r="F383" s="3010"/>
    </row>
    <row r="384" spans="2:6">
      <c r="B384" s="3018" t="str">
        <f>'Смета Внутр'!B390</f>
        <v>Саморез 5,5 х 25</v>
      </c>
      <c r="C384" s="3013" t="str">
        <f>'Смета Внутр'!C390</f>
        <v>шт.</v>
      </c>
      <c r="D384" s="3010">
        <f>'Смета Внутр'!D390</f>
        <v>81</v>
      </c>
      <c r="E384" s="3013"/>
      <c r="F384" s="3010"/>
    </row>
    <row r="385" spans="2:6">
      <c r="B385" s="3018" t="str">
        <f>'Смета Внутр'!B391</f>
        <v>L 50 x 50, 1,2мм</v>
      </c>
      <c r="C385" s="3013" t="str">
        <f>'Смета Внутр'!C391</f>
        <v>м.п.</v>
      </c>
      <c r="D385" s="3010">
        <f>'Смета Внутр'!D391</f>
        <v>8.1</v>
      </c>
      <c r="E385" s="3013"/>
      <c r="F385" s="3010"/>
    </row>
    <row r="386" spans="2:6">
      <c r="B386" s="3018" t="str">
        <f>'Смета Внутр'!B392</f>
        <v>ГПС 120х50-1,5</v>
      </c>
      <c r="C386" s="3013" t="str">
        <f>'Смета Внутр'!C392</f>
        <v>м.п.</v>
      </c>
      <c r="D386" s="3010">
        <f>'Смета Внутр'!D392</f>
        <v>7.8</v>
      </c>
      <c r="E386" s="3013"/>
      <c r="F386" s="3010"/>
    </row>
    <row r="387" spans="2:6">
      <c r="B387" s="3018" t="str">
        <f>'Смета Внутр'!B393</f>
        <v>Саморез 5,5 х 25</v>
      </c>
      <c r="C387" s="3013" t="str">
        <f>'Смета Внутр'!C393</f>
        <v>шт.</v>
      </c>
      <c r="D387" s="3010">
        <f>'Смета Внутр'!D393</f>
        <v>48</v>
      </c>
      <c r="E387" s="3013"/>
      <c r="F387" s="3010"/>
    </row>
    <row r="388" spans="2:6">
      <c r="B388" s="3018" t="str">
        <f>'Смета Внутр'!B394</f>
        <v>нет</v>
      </c>
      <c r="C388" s="3013" t="str">
        <f>'Смета Внутр'!C394</f>
        <v>м.п.</v>
      </c>
      <c r="D388" s="3010">
        <f>'Смета Внутр'!D394</f>
        <v>0</v>
      </c>
      <c r="E388" s="3013"/>
      <c r="F388" s="3010"/>
    </row>
    <row r="389" spans="2:6">
      <c r="B389" s="3018" t="str">
        <f>'Смета Внутр'!B395</f>
        <v>нет</v>
      </c>
      <c r="C389" s="3013" t="str">
        <f>'Смета Внутр'!C395</f>
        <v>м.п.</v>
      </c>
      <c r="D389" s="3010">
        <f>'Смета Внутр'!D395</f>
        <v>0</v>
      </c>
      <c r="E389" s="3013"/>
      <c r="F389" s="3010"/>
    </row>
    <row r="390" spans="2:6">
      <c r="B390" s="3018">
        <f>'Смета Внутр'!B396</f>
        <v>0</v>
      </c>
      <c r="C390" s="3013" t="str">
        <f>'Смета Внутр'!C396</f>
        <v>шт.</v>
      </c>
      <c r="D390" s="3010">
        <f>'Смета Внутр'!D396</f>
        <v>0</v>
      </c>
      <c r="E390" s="3013"/>
      <c r="F390" s="3010"/>
    </row>
    <row r="391" spans="2:6">
      <c r="B391" s="3018">
        <f>'Смета Внутр'!B397</f>
        <v>0</v>
      </c>
      <c r="C391" s="3013" t="str">
        <f>'Смета Внутр'!C397</f>
        <v>шт.</v>
      </c>
      <c r="D391" s="3010">
        <f>'Смета Внутр'!D397</f>
        <v>0</v>
      </c>
      <c r="E391" s="3013"/>
      <c r="F391" s="3010"/>
    </row>
    <row r="392" spans="2:6">
      <c r="B392" s="3018" t="str">
        <f>'Смета Внутр'!B398</f>
        <v>нет</v>
      </c>
      <c r="C392" s="3013" t="str">
        <f>'Смета Внутр'!C398</f>
        <v>м2</v>
      </c>
      <c r="D392" s="3010">
        <f>'Смета Внутр'!D398</f>
        <v>0</v>
      </c>
      <c r="E392" s="3013"/>
      <c r="F392" s="3010"/>
    </row>
    <row r="393" spans="2:6">
      <c r="B393" s="3018" t="str">
        <f>'Смета Внутр'!B399</f>
        <v xml:space="preserve">Саморезы 3,5 x 25            </v>
      </c>
      <c r="C393" s="3013" t="str">
        <f>'Смета Внутр'!C399</f>
        <v>шт.</v>
      </c>
      <c r="D393" s="3010">
        <f>'Смета Внутр'!D399</f>
        <v>0</v>
      </c>
      <c r="E393" s="3013"/>
      <c r="F393" s="3010"/>
    </row>
    <row r="394" spans="2:6">
      <c r="B394" s="3018" t="str">
        <f>'Смета Внутр'!B400</f>
        <v>нет</v>
      </c>
      <c r="C394" s="3013" t="str">
        <f>'Смета Внутр'!C400</f>
        <v>м.п.</v>
      </c>
      <c r="D394" s="3010">
        <f>'Смета Внутр'!D400</f>
        <v>0</v>
      </c>
      <c r="E394" s="3013"/>
      <c r="F394" s="3010"/>
    </row>
    <row r="395" spans="2:6">
      <c r="B395" s="3018">
        <f>'Смета Внутр'!B401</f>
        <v>0</v>
      </c>
      <c r="C395" s="3013" t="str">
        <f>'Смета Внутр'!C401</f>
        <v>шт.</v>
      </c>
      <c r="D395" s="3010">
        <f>'Смета Внутр'!D401</f>
        <v>0</v>
      </c>
      <c r="E395" s="3013"/>
      <c r="F395" s="3010"/>
    </row>
    <row r="396" spans="2:6">
      <c r="B396" s="3018" t="str">
        <f>'Смета Внутр'!B402</f>
        <v>нет</v>
      </c>
      <c r="C396" s="3013" t="str">
        <f>'Смета Внутр'!C402</f>
        <v>м2</v>
      </c>
      <c r="D396" s="3010">
        <f>'Смета Внутр'!D402</f>
        <v>0</v>
      </c>
      <c r="E396" s="3013"/>
      <c r="F396" s="3010"/>
    </row>
    <row r="397" spans="2:6">
      <c r="B397" s="3018" t="str">
        <f>'Смета Внутр'!B403</f>
        <v xml:space="preserve">Саморезы 3,5 x 45            </v>
      </c>
      <c r="C397" s="3013" t="str">
        <f>'Смета Внутр'!C403</f>
        <v>шт.</v>
      </c>
      <c r="D397" s="3010">
        <f>'Смета Внутр'!D403</f>
        <v>0</v>
      </c>
      <c r="E397" s="3013"/>
      <c r="F397" s="3010"/>
    </row>
    <row r="398" spans="2:6">
      <c r="B398" s="3018" t="str">
        <f>'Смета Внутр'!B404</f>
        <v>нет</v>
      </c>
      <c r="C398" s="3013" t="str">
        <f>'Смета Внутр'!C404</f>
        <v>м.п.</v>
      </c>
      <c r="D398" s="3010">
        <f>'Смета Внутр'!D404</f>
        <v>192</v>
      </c>
      <c r="E398" s="3013"/>
      <c r="F398" s="3010"/>
    </row>
    <row r="399" spans="2:6">
      <c r="B399" s="3018" t="str">
        <f>'Смета Внутр'!B405</f>
        <v>нет</v>
      </c>
      <c r="C399" s="3013" t="str">
        <f>'Смета Внутр'!C405</f>
        <v>м.п.</v>
      </c>
      <c r="D399" s="3010">
        <f>'Смета Внутр'!D405</f>
        <v>192</v>
      </c>
      <c r="E399" s="3013"/>
      <c r="F399" s="3010"/>
    </row>
    <row r="400" spans="2:6">
      <c r="B400" s="3018">
        <f>'Смета Внутр'!B406</f>
        <v>0</v>
      </c>
      <c r="C400" s="3013" t="str">
        <f>'Смета Внутр'!C406</f>
        <v>шт.</v>
      </c>
      <c r="D400" s="3010">
        <f>'Смета Внутр'!D406</f>
        <v>384</v>
      </c>
      <c r="E400" s="3013"/>
      <c r="F400" s="3010"/>
    </row>
    <row r="401" spans="2:6">
      <c r="B401" s="3018" t="str">
        <f>'Смета Внутр'!B407</f>
        <v>Кровельный саморез</v>
      </c>
      <c r="C401" s="3013" t="str">
        <f>'Смета Внутр'!C407</f>
        <v>шт.</v>
      </c>
      <c r="D401" s="3010">
        <f>'Смета Внутр'!D407</f>
        <v>0</v>
      </c>
      <c r="E401" s="3013"/>
      <c r="F401" s="3010"/>
    </row>
    <row r="402" spans="2:6">
      <c r="B402" s="3018" t="str">
        <f>'Смета Внутр'!B408</f>
        <v>нет</v>
      </c>
      <c r="C402" s="3013" t="str">
        <f>'Смета Внутр'!C408</f>
        <v>м.п.</v>
      </c>
      <c r="D402" s="3010">
        <f>'Смета Внутр'!D408</f>
        <v>192</v>
      </c>
      <c r="E402" s="3013"/>
      <c r="F402" s="3010"/>
    </row>
    <row r="403" spans="2:6">
      <c r="B403" s="3018" t="str">
        <f>'Смета Внутр'!B409</f>
        <v>нет</v>
      </c>
      <c r="C403" s="3013" t="str">
        <f>'Смета Внутр'!C409</f>
        <v>м.п.</v>
      </c>
      <c r="D403" s="3010">
        <f>'Смета Внутр'!D409</f>
        <v>110</v>
      </c>
      <c r="E403" s="3013"/>
      <c r="F403" s="3010"/>
    </row>
    <row r="404" spans="2:6">
      <c r="B404" s="3018">
        <f>'Смета Внутр'!B410</f>
        <v>0</v>
      </c>
      <c r="C404" s="3013" t="str">
        <f>'Смета Внутр'!C410</f>
        <v>шт.</v>
      </c>
      <c r="D404" s="3010">
        <f>'Смета Внутр'!D410</f>
        <v>384</v>
      </c>
      <c r="E404" s="3013"/>
      <c r="F404" s="3010"/>
    </row>
    <row r="405" spans="2:6">
      <c r="B405" s="3018" t="str">
        <f>'Смета Внутр'!B411</f>
        <v>Кровельный саморез</v>
      </c>
      <c r="C405" s="3013" t="str">
        <f>'Смета Внутр'!C411</f>
        <v>шт.</v>
      </c>
      <c r="D405" s="3010">
        <f>'Смета Внутр'!D411</f>
        <v>0</v>
      </c>
      <c r="E405" s="3013"/>
      <c r="F405" s="3010"/>
    </row>
    <row r="406" spans="2:6">
      <c r="B406" s="3018" t="str">
        <f>'Смета Внутр'!B412</f>
        <v xml:space="preserve">Саморезы 3,5 x 25            </v>
      </c>
      <c r="C406" s="3013" t="str">
        <f>'Смета Внутр'!C412</f>
        <v>шт.</v>
      </c>
      <c r="D406" s="3010">
        <f>'Смета Внутр'!D412</f>
        <v>0</v>
      </c>
      <c r="E406" s="3013"/>
      <c r="F406" s="3010"/>
    </row>
    <row r="407" spans="2:6">
      <c r="B407" s="3018" t="str">
        <f>'Смета Внутр'!B413</f>
        <v xml:space="preserve">Саморезы 3,5 x 25            </v>
      </c>
      <c r="C407" s="3013" t="str">
        <f>'Смета Внутр'!C413</f>
        <v>шт.</v>
      </c>
      <c r="D407" s="3010">
        <f>'Смета Внутр'!D413</f>
        <v>1200</v>
      </c>
      <c r="E407" s="3013"/>
      <c r="F407" s="3010"/>
    </row>
    <row r="408" spans="2:6">
      <c r="B408" s="3018" t="str">
        <f>'Смета Внутр'!B414</f>
        <v>ГПС 120х50-1,5</v>
      </c>
      <c r="C408" s="3013" t="str">
        <f>'Смета Внутр'!C414</f>
        <v>м3</v>
      </c>
      <c r="D408" s="3010">
        <f>'Смета Внутр'!D414</f>
        <v>0</v>
      </c>
      <c r="E408" s="3013"/>
      <c r="F408" s="3010"/>
    </row>
    <row r="409" spans="2:6">
      <c r="B409" s="3018" t="str">
        <f>'Смета Внутр'!B415</f>
        <v>ГПС 170х50-2,0</v>
      </c>
      <c r="C409" s="3013" t="str">
        <f>'Смета Внутр'!C415</f>
        <v>м3</v>
      </c>
      <c r="D409" s="3010">
        <f>'Смета Внутр'!D415</f>
        <v>0</v>
      </c>
      <c r="E409" s="3013"/>
      <c r="F409" s="3010"/>
    </row>
    <row r="410" spans="2:6">
      <c r="B410" s="3018" t="str">
        <f>'Смета Внутр'!B416</f>
        <v>Лист ГВЛВ 2500х1200х10 мм</v>
      </c>
      <c r="C410" s="3013" t="str">
        <f>'Смета Внутр'!C416</f>
        <v>м2</v>
      </c>
      <c r="D410" s="3010">
        <f>'Смета Внутр'!D416</f>
        <v>100</v>
      </c>
      <c r="E410" s="3013"/>
      <c r="F410" s="3010"/>
    </row>
    <row r="411" spans="2:6">
      <c r="B411" s="3018" t="str">
        <f>'Смета Внутр'!B417</f>
        <v>нет</v>
      </c>
      <c r="C411" s="3013" t="str">
        <f>'Смета Внутр'!C417</f>
        <v>м.п.</v>
      </c>
      <c r="D411" s="3010">
        <f>'Смета Внутр'!D417</f>
        <v>0</v>
      </c>
      <c r="E411" s="3013"/>
      <c r="F411" s="3010"/>
    </row>
    <row r="412" spans="2:6">
      <c r="B412" s="3018" t="str">
        <f>'Смета Внутр'!B418</f>
        <v>Нет</v>
      </c>
      <c r="C412" s="3013" t="str">
        <f>'Смета Внутр'!C418</f>
        <v>м3</v>
      </c>
      <c r="D412" s="3010">
        <f>'Смета Внутр'!D418</f>
        <v>0</v>
      </c>
      <c r="E412" s="3013"/>
      <c r="F412" s="3010"/>
    </row>
    <row r="413" spans="2:6">
      <c r="B413" s="3018" t="str">
        <f>'Смета Внутр'!B419</f>
        <v>Нет</v>
      </c>
      <c r="C413" s="3013" t="str">
        <f>'Смета Внутр'!C419</f>
        <v>м3</v>
      </c>
      <c r="D413" s="3010">
        <f>'Смета Внутр'!D419</f>
        <v>0</v>
      </c>
      <c r="E413" s="3013"/>
      <c r="F413" s="3010"/>
    </row>
    <row r="414" spans="2:6">
      <c r="B414" s="3018" t="str">
        <f>'Смета Внутр'!B420</f>
        <v>нет</v>
      </c>
      <c r="C414" s="3013" t="str">
        <f>'Смета Внутр'!C420</f>
        <v>м2</v>
      </c>
      <c r="D414" s="3010">
        <f>'Смета Внутр'!D420</f>
        <v>0</v>
      </c>
      <c r="E414" s="3013"/>
      <c r="F414" s="3010"/>
    </row>
    <row r="415" spans="2:6">
      <c r="B415" s="3018" t="str">
        <f>'Смета Внутр'!B421</f>
        <v>нет</v>
      </c>
      <c r="C415" s="3013" t="str">
        <f>'Смета Внутр'!C421</f>
        <v>м2</v>
      </c>
      <c r="D415" s="3010">
        <f>'Смета Внутр'!D421</f>
        <v>0</v>
      </c>
      <c r="E415" s="3013"/>
      <c r="F415" s="3010"/>
    </row>
    <row r="416" spans="2:6">
      <c r="B416" s="3018" t="str">
        <f>'Смета Внутр'!B422</f>
        <v>нет</v>
      </c>
      <c r="C416" s="3013" t="str">
        <f>'Смета Внутр'!C422</f>
        <v>м2</v>
      </c>
      <c r="D416" s="3010">
        <f>'Смета Внутр'!D422</f>
        <v>0</v>
      </c>
      <c r="E416" s="3013"/>
      <c r="F416" s="3010"/>
    </row>
    <row r="417" spans="2:6">
      <c r="B417" s="3018" t="str">
        <f>'Смета Внутр'!B423</f>
        <v xml:space="preserve">Саморезы 3,5 x 25            </v>
      </c>
      <c r="C417" s="3013" t="str">
        <f>'Смета Внутр'!C423</f>
        <v>шт</v>
      </c>
      <c r="D417" s="3010">
        <f>'Смета Внутр'!D423</f>
        <v>0</v>
      </c>
      <c r="E417" s="3013"/>
      <c r="F417" s="3010"/>
    </row>
    <row r="418" spans="2:6">
      <c r="B418" s="3018" t="str">
        <f>'Смета Внутр'!B424</f>
        <v xml:space="preserve">Гвозди ершоные 2,8 х 90            </v>
      </c>
      <c r="C418" s="3013" t="str">
        <f>'Смета Внутр'!C424</f>
        <v>кг</v>
      </c>
      <c r="D418" s="3010">
        <f>'Смета Внутр'!D424</f>
        <v>0</v>
      </c>
      <c r="E418" s="3013"/>
      <c r="F418" s="3010"/>
    </row>
    <row r="419" spans="2:6">
      <c r="B419" s="3018" t="str">
        <f>'Смета Внутр'!B425</f>
        <v xml:space="preserve">Гвозди ершоные 3,4 x 60            </v>
      </c>
      <c r="C419" s="3013" t="str">
        <f>'Смета Внутр'!C425</f>
        <v>кг</v>
      </c>
      <c r="D419" s="3010">
        <f>'Смета Внутр'!D425</f>
        <v>0</v>
      </c>
      <c r="E419" s="3013"/>
      <c r="F419" s="3010"/>
    </row>
    <row r="420" spans="2:6">
      <c r="B420" s="3018" t="str">
        <f>'Смета Внутр'!B426</f>
        <v>нет ветроизоляции</v>
      </c>
      <c r="C420" s="3013" t="str">
        <f>'Смета Внутр'!C426</f>
        <v>м2</v>
      </c>
      <c r="D420" s="3010">
        <f>'Смета Внутр'!D426</f>
        <v>0</v>
      </c>
      <c r="E420" s="3013"/>
      <c r="F420" s="3010"/>
    </row>
    <row r="421" spans="2:6">
      <c r="B421" s="3018" t="str">
        <f>'Смета Внутр'!B427</f>
        <v>нет пароизоляции</v>
      </c>
      <c r="C421" s="3013" t="str">
        <f>'Смета Внутр'!C427</f>
        <v>м2</v>
      </c>
      <c r="D421" s="3010">
        <f>'Смета Внутр'!D427</f>
        <v>0</v>
      </c>
      <c r="E421" s="3013"/>
      <c r="F421" s="3010"/>
    </row>
    <row r="422" spans="2:6">
      <c r="B422" s="3018" t="str">
        <f>'Смета Внутр'!B428</f>
        <v>Скобы для степлера, 1000шт/уп</v>
      </c>
      <c r="C422" s="3013" t="str">
        <f>'Смета Внутр'!C428</f>
        <v>уп</v>
      </c>
      <c r="D422" s="3010">
        <f>'Смета Внутр'!D428</f>
        <v>5</v>
      </c>
      <c r="E422" s="3013"/>
      <c r="F422" s="3010"/>
    </row>
    <row r="423" spans="2:6">
      <c r="B423" s="3311" t="str">
        <f>'Смета Внутр'!B429</f>
        <v>Итого материалы</v>
      </c>
      <c r="C423" s="3311"/>
      <c r="D423" s="3311"/>
      <c r="E423" s="3311"/>
      <c r="F423" s="3010">
        <f>'Смета Внутр'!G429</f>
        <v>0</v>
      </c>
    </row>
    <row r="424" spans="2:6">
      <c r="B424" s="3317" t="str">
        <f>'Смета Внутр'!B430</f>
        <v>Работы</v>
      </c>
      <c r="C424" s="3317"/>
      <c r="D424" s="3317"/>
      <c r="E424" s="3317"/>
      <c r="F424" s="3317"/>
    </row>
    <row r="425" spans="2:6">
      <c r="B425" s="3018" t="str">
        <f>'Смета Внутр'!B431</f>
        <v>монтаж обвязки</v>
      </c>
      <c r="C425" s="3013" t="str">
        <f>'Смета Внутр'!C431</f>
        <v>м.п.</v>
      </c>
      <c r="D425" s="3010">
        <f>'Смета Внутр'!D431</f>
        <v>0</v>
      </c>
      <c r="E425" s="3013"/>
      <c r="F425" s="3010"/>
    </row>
    <row r="426" spans="2:6">
      <c r="B426" s="3018" t="str">
        <f>'Смета Внутр'!B432</f>
        <v>монтаж стен каркаса</v>
      </c>
      <c r="C426" s="3013" t="str">
        <f>'Смета Внутр'!C432</f>
        <v>м2</v>
      </c>
      <c r="D426" s="3010">
        <f>'Смета Внутр'!D432</f>
        <v>0</v>
      </c>
      <c r="E426" s="3013"/>
      <c r="F426" s="3010"/>
    </row>
    <row r="427" spans="2:6">
      <c r="B427" s="3018" t="str">
        <f>'Смета Внутр'!B433</f>
        <v>Монтаж несущих перегородок</v>
      </c>
      <c r="C427" s="3013" t="str">
        <f>'Смета Внутр'!C433</f>
        <v>м2</v>
      </c>
      <c r="D427" s="3010">
        <f>'Смета Внутр'!D433</f>
        <v>0</v>
      </c>
      <c r="E427" s="3013"/>
      <c r="F427" s="3010"/>
    </row>
    <row r="428" spans="2:6">
      <c r="B428" s="3018" t="str">
        <f>'Смета Внутр'!B434</f>
        <v>Монтаж перегородок</v>
      </c>
      <c r="C428" s="3013" t="str">
        <f>'Смета Внутр'!C434</f>
        <v>м2</v>
      </c>
      <c r="D428" s="3010">
        <f>'Смета Внутр'!D434</f>
        <v>0</v>
      </c>
      <c r="E428" s="3013"/>
      <c r="F428" s="3010"/>
    </row>
    <row r="429" spans="2:6">
      <c r="B429" s="3018" t="str">
        <f>'Смета Внутр'!B435</f>
        <v>Монтаж вентиляционного зазора</v>
      </c>
      <c r="C429" s="3013" t="str">
        <f>'Смета Внутр'!C435</f>
        <v>м2</v>
      </c>
      <c r="D429" s="3010">
        <f>'Смета Внутр'!D435</f>
        <v>0</v>
      </c>
      <c r="E429" s="3013"/>
      <c r="F429" s="3010"/>
    </row>
    <row r="430" spans="2:6">
      <c r="B430" s="3018" t="str">
        <f>'Смета Внутр'!B436</f>
        <v>Монтаж технологического зазора</v>
      </c>
      <c r="C430" s="3013" t="str">
        <f>'Смета Внутр'!C436</f>
        <v>м2</v>
      </c>
      <c r="D430" s="3010">
        <f>'Смета Внутр'!D436</f>
        <v>0</v>
      </c>
      <c r="E430" s="3013"/>
      <c r="F430" s="3010"/>
    </row>
    <row r="431" spans="2:6">
      <c r="B431" s="3018" t="str">
        <f>'Смета Внутр'!B437</f>
        <v>монтаж ветроизоляции стен</v>
      </c>
      <c r="C431" s="3013" t="str">
        <f>'Смета Внутр'!C437</f>
        <v>м2</v>
      </c>
      <c r="D431" s="3010">
        <f>'Смета Внутр'!D437</f>
        <v>0</v>
      </c>
      <c r="E431" s="3013"/>
      <c r="F431" s="3010"/>
    </row>
    <row r="432" spans="2:6">
      <c r="B432" s="3018" t="str">
        <f>'Смета Внутр'!B438</f>
        <v>монтаж пароизоляции стен</v>
      </c>
      <c r="C432" s="3013" t="str">
        <f>'Смета Внутр'!C438</f>
        <v>м2</v>
      </c>
      <c r="D432" s="3010">
        <f>'Смета Внутр'!D438</f>
        <v>0</v>
      </c>
      <c r="E432" s="3013"/>
      <c r="F432" s="3010"/>
    </row>
    <row r="433" spans="2:6">
      <c r="B433" s="3018" t="str">
        <f>'Смета Внутр'!B439</f>
        <v>монтаж osb/фанера наруж стены</v>
      </c>
      <c r="C433" s="3013" t="str">
        <f>'Смета Внутр'!C439</f>
        <v>м2</v>
      </c>
      <c r="D433" s="3010">
        <f>'Смета Внутр'!D439</f>
        <v>0</v>
      </c>
      <c r="E433" s="3013"/>
      <c r="F433" s="3010"/>
    </row>
    <row r="434" spans="2:6">
      <c r="B434" s="3018" t="str">
        <f>'Смета Внутр'!B440</f>
        <v>монтаж osb/фанера потолок</v>
      </c>
      <c r="C434" s="3013" t="str">
        <f>'Смета Внутр'!C440</f>
        <v>м2</v>
      </c>
      <c r="D434" s="3010">
        <f>'Смета Внутр'!D440</f>
        <v>0</v>
      </c>
      <c r="E434" s="3013"/>
      <c r="F434" s="3010"/>
    </row>
    <row r="435" spans="2:6">
      <c r="B435" s="3018" t="str">
        <f>'Смета Внутр'!B441</f>
        <v>монтаж osb/фанера перегородки</v>
      </c>
      <c r="C435" s="3013" t="str">
        <f>'Смета Внутр'!C441</f>
        <v>м2</v>
      </c>
      <c r="D435" s="3010">
        <f>'Смета Внутр'!D441</f>
        <v>0</v>
      </c>
      <c r="E435" s="3013"/>
      <c r="F435" s="3010"/>
    </row>
    <row r="436" spans="2:6">
      <c r="B436" s="3018" t="str">
        <f>'Смета Внутр'!B442</f>
        <v>монтаж osb/фанера пол</v>
      </c>
      <c r="C436" s="3013" t="str">
        <f>'Смета Внутр'!C442</f>
        <v>м2</v>
      </c>
      <c r="D436" s="3010">
        <f>'Смета Внутр'!D442</f>
        <v>100</v>
      </c>
      <c r="E436" s="3013"/>
      <c r="F436" s="3010"/>
    </row>
    <row r="437" spans="2:6">
      <c r="B437" s="3018" t="str">
        <f>'Смета Внутр'!B443</f>
        <v>утепление наружних стен</v>
      </c>
      <c r="C437" s="3013" t="str">
        <f>'Смета Внутр'!C443</f>
        <v>м2</v>
      </c>
      <c r="D437" s="3010">
        <f>'Смета Внутр'!D443</f>
        <v>0</v>
      </c>
      <c r="E437" s="3013"/>
      <c r="F437" s="3010"/>
    </row>
    <row r="438" spans="2:6">
      <c r="B438" s="3018" t="str">
        <f>'Смета Внутр'!B444</f>
        <v>Утепление перегородок</v>
      </c>
      <c r="C438" s="3013" t="str">
        <f>'Смета Внутр'!C444</f>
        <v>м2</v>
      </c>
      <c r="D438" s="3010">
        <f>'Смета Внутр'!D444</f>
        <v>0</v>
      </c>
      <c r="E438" s="3013"/>
      <c r="F438" s="3010"/>
    </row>
    <row r="439" spans="2:6">
      <c r="B439" s="3018" t="str">
        <f>'Смета Внутр'!B445</f>
        <v>Монтаж горизонтальной обрешетки</v>
      </c>
      <c r="C439" s="3013" t="str">
        <f>'Смета Внутр'!C445</f>
        <v>м2</v>
      </c>
      <c r="D439" s="3010">
        <f>'Смета Внутр'!D445</f>
        <v>0</v>
      </c>
      <c r="E439" s="3013"/>
      <c r="F439" s="3010"/>
    </row>
    <row r="440" spans="2:6">
      <c r="B440" s="3018" t="str">
        <f>'Смета Внутр'!B446</f>
        <v>Монтаж вертикальной обрешетки</v>
      </c>
      <c r="C440" s="3013" t="str">
        <f>'Смета Внутр'!C446</f>
        <v>м2</v>
      </c>
      <c r="D440" s="3010">
        <f>'Смета Внутр'!D446</f>
        <v>0</v>
      </c>
      <c r="E440" s="3013"/>
      <c r="F440" s="3010"/>
    </row>
    <row r="441" spans="2:6">
      <c r="B441" s="3018" t="str">
        <f>'Смета Внутр'!B447</f>
        <v>Монтаж обрешетки потолок</v>
      </c>
      <c r="C441" s="3013" t="str">
        <f>'Смета Внутр'!C447</f>
        <v>м2</v>
      </c>
      <c r="D441" s="3010">
        <f>'Смета Внутр'!D447</f>
        <v>0</v>
      </c>
      <c r="E441" s="3013"/>
      <c r="F441" s="3010"/>
    </row>
    <row r="442" spans="2:6">
      <c r="B442" s="3018" t="str">
        <f>'Смета Внутр'!B448</f>
        <v>Монтаж профлист потолок</v>
      </c>
      <c r="C442" s="3013" t="str">
        <f>'Смета Внутр'!C448</f>
        <v>м2</v>
      </c>
      <c r="D442" s="3010">
        <f>'Смета Внутр'!D448</f>
        <v>0</v>
      </c>
      <c r="E442" s="3013"/>
      <c r="F442" s="3010"/>
    </row>
    <row r="443" spans="2:6">
      <c r="B443" s="3018" t="str">
        <f>'Смета Внутр'!B449</f>
        <v>Монтаж обрешетки пол</v>
      </c>
      <c r="C443" s="3013" t="str">
        <f>'Смета Внутр'!C449</f>
        <v>м2</v>
      </c>
      <c r="D443" s="3010">
        <f>'Смета Внутр'!D449</f>
        <v>0</v>
      </c>
      <c r="E443" s="3013"/>
      <c r="F443" s="3010"/>
    </row>
    <row r="444" spans="2:6">
      <c r="B444" s="3018" t="str">
        <f>'Смета Внутр'!B450</f>
        <v>Монтаж профлист пол</v>
      </c>
      <c r="C444" s="3013" t="str">
        <f>'Смета Внутр'!C450</f>
        <v>м2</v>
      </c>
      <c r="D444" s="3010">
        <f>'Смета Внутр'!D450</f>
        <v>0</v>
      </c>
      <c r="E444" s="3013"/>
      <c r="F444" s="3010"/>
    </row>
    <row r="445" spans="2:6">
      <c r="B445" s="3018" t="str">
        <f>'Смета Внутр'!B451</f>
        <v>монтаж osb/фанера пол</v>
      </c>
      <c r="C445" s="3013" t="str">
        <f>'Смета Внутр'!C451</f>
        <v>м2</v>
      </c>
      <c r="D445" s="3010">
        <f>'Смета Внутр'!D451</f>
        <v>100</v>
      </c>
      <c r="E445" s="3013"/>
      <c r="F445" s="3010"/>
    </row>
    <row r="446" spans="2:6">
      <c r="B446" s="3311" t="str">
        <f>'Смета Внутр'!B452</f>
        <v>Итого работы</v>
      </c>
      <c r="C446" s="3311"/>
      <c r="D446" s="3311"/>
      <c r="E446" s="3311"/>
      <c r="F446" s="3010">
        <f>'Смета Внутр'!G452</f>
        <v>0</v>
      </c>
    </row>
    <row r="447" spans="2:6">
      <c r="B447" s="3318" t="str">
        <f>'Смета Внутр'!B453</f>
        <v>Техника и дополнительные расходы</v>
      </c>
      <c r="C447" s="3318"/>
      <c r="D447" s="3318"/>
      <c r="E447" s="3318"/>
      <c r="F447" s="3318"/>
    </row>
    <row r="448" spans="2:6">
      <c r="B448" s="3018" t="str">
        <f>'Смета Внутр'!B454</f>
        <v>Командировочные расходы</v>
      </c>
      <c r="C448" s="3013">
        <f>'Смета Внутр'!C454</f>
        <v>0</v>
      </c>
      <c r="D448" s="3010">
        <f>'Смета Внутр'!D454</f>
        <v>1</v>
      </c>
      <c r="E448" s="3013"/>
      <c r="F448" s="3010"/>
    </row>
    <row r="449" spans="2:6">
      <c r="B449" s="3018" t="str">
        <f>'Смета Внутр'!B455</f>
        <v>расходные материалы каркасный дом</v>
      </c>
      <c r="C449" s="3013">
        <f>'Смета Внутр'!C455</f>
        <v>0</v>
      </c>
      <c r="D449" s="3010">
        <f>'Смета Внутр'!D455</f>
        <v>1</v>
      </c>
      <c r="E449" s="3013"/>
      <c r="F449" s="3010"/>
    </row>
    <row r="450" spans="2:6">
      <c r="B450" s="3018" t="str">
        <f>'Смета Внутр'!B456</f>
        <v>Нет техники</v>
      </c>
      <c r="C450" s="3013">
        <f>'Смета Внутр'!C456</f>
        <v>0</v>
      </c>
      <c r="D450" s="3010">
        <f>'Смета Внутр'!D456</f>
        <v>2</v>
      </c>
      <c r="E450" s="3013"/>
      <c r="F450" s="3010"/>
    </row>
    <row r="451" spans="2:6">
      <c r="B451" s="3311" t="str">
        <f>'Смета Внутр'!B457</f>
        <v>Итого</v>
      </c>
      <c r="C451" s="3311"/>
      <c r="D451" s="3311"/>
      <c r="E451" s="3311"/>
      <c r="F451" s="3010">
        <f>'Смета Внутр'!G457</f>
        <v>12000</v>
      </c>
    </row>
    <row r="452" spans="2:6" ht="19">
      <c r="B452" s="3319" t="str">
        <f>'Смета Внутр'!B458</f>
        <v>Каркасный дом ЛСТК</v>
      </c>
      <c r="C452" s="3319"/>
      <c r="D452" s="3319"/>
      <c r="E452" s="3319"/>
      <c r="F452" s="3319"/>
    </row>
    <row r="453" spans="2:6">
      <c r="B453" s="3320" t="str">
        <f>'Смета Внутр'!B459</f>
        <v>Материалы</v>
      </c>
      <c r="C453" s="3320"/>
      <c r="D453" s="3320"/>
      <c r="E453" s="3320"/>
      <c r="F453" s="3320"/>
    </row>
    <row r="454" spans="2:6">
      <c r="B454" s="3018" t="str">
        <f>'Смета Внутр'!B460</f>
        <v>Брус естественной влажности, 150*150мм</v>
      </c>
      <c r="C454" s="3018" t="str">
        <f>'Смета Внутр'!C460</f>
        <v>м3</v>
      </c>
      <c r="D454" s="3018">
        <f>'Смета Внутр'!D460</f>
        <v>1.26</v>
      </c>
      <c r="E454" s="3013"/>
      <c r="F454" s="3010"/>
    </row>
    <row r="455" spans="2:6">
      <c r="B455" s="3018" t="str">
        <f>'Смета Внутр'!B461</f>
        <v xml:space="preserve">Болты анкерные с гайкой 12,0 х 280          </v>
      </c>
      <c r="C455" s="3018" t="str">
        <f>'Смета Внутр'!C461</f>
        <v>шт</v>
      </c>
      <c r="D455" s="3018">
        <f>'Смета Внутр'!D461</f>
        <v>56</v>
      </c>
      <c r="E455" s="3013"/>
      <c r="F455" s="3010"/>
    </row>
    <row r="456" spans="2:6">
      <c r="B456" s="3018" t="str">
        <f>'Смета Внутр'!B462</f>
        <v>ГПС 150х50-1,2</v>
      </c>
      <c r="C456" s="3018" t="str">
        <f>'Смета Внутр'!C462</f>
        <v>м3</v>
      </c>
      <c r="D456" s="3018">
        <f>'Смета Внутр'!D462</f>
        <v>0</v>
      </c>
      <c r="E456" s="3013"/>
      <c r="F456" s="3010"/>
    </row>
    <row r="457" spans="2:6">
      <c r="B457" s="3018" t="str">
        <f>'Смета Внутр'!B463</f>
        <v>ГПН 152х35-1,2</v>
      </c>
      <c r="C457" s="3018" t="str">
        <f>'Смета Внутр'!C463</f>
        <v>мп.</v>
      </c>
      <c r="D457" s="3018">
        <f>'Смета Внутр'!D463</f>
        <v>0</v>
      </c>
      <c r="E457" s="3013"/>
      <c r="F457" s="3010"/>
    </row>
    <row r="458" spans="2:6">
      <c r="B458" s="3018" t="str">
        <f>'Смета Внутр'!B464</f>
        <v xml:space="preserve">Болты анкерные с гайкой 12,0 x 100          </v>
      </c>
      <c r="C458" s="3018" t="str">
        <f>'Смета Внутр'!C464</f>
        <v>шт.</v>
      </c>
      <c r="D458" s="3018">
        <f>'Смета Внутр'!D464</f>
        <v>0</v>
      </c>
      <c r="E458" s="3013"/>
      <c r="F458" s="3010"/>
    </row>
    <row r="459" spans="2:6">
      <c r="B459" s="3018" t="str">
        <f>'Смета Внутр'!B465</f>
        <v>Саморез 5,5 х 25</v>
      </c>
      <c r="C459" s="3018" t="str">
        <f>'Смета Внутр'!C465</f>
        <v>шт.</v>
      </c>
      <c r="D459" s="3018">
        <f>'Смета Внутр'!D465</f>
        <v>1644</v>
      </c>
      <c r="E459" s="3013"/>
      <c r="F459" s="3010"/>
    </row>
    <row r="460" spans="2:6">
      <c r="B460" s="3018" t="str">
        <f>'Смета Внутр'!B466</f>
        <v>ГПН 122х35-1,5</v>
      </c>
      <c r="C460" s="3018" t="str">
        <f>'Смета Внутр'!C466</f>
        <v>мп.</v>
      </c>
      <c r="D460" s="3018">
        <f>'Смета Внутр'!D466</f>
        <v>0</v>
      </c>
      <c r="E460" s="3013"/>
      <c r="F460" s="3010"/>
    </row>
    <row r="461" spans="2:6">
      <c r="B461" s="3018" t="str">
        <f>'Смета Внутр'!B467</f>
        <v xml:space="preserve">Болты анкерные с гайкой 12,0 x 100          </v>
      </c>
      <c r="C461" s="3018" t="str">
        <f>'Смета Внутр'!C467</f>
        <v>шт.</v>
      </c>
      <c r="D461" s="3018">
        <f>'Смета Внутр'!D467</f>
        <v>0</v>
      </c>
      <c r="E461" s="3013"/>
      <c r="F461" s="3010"/>
    </row>
    <row r="462" spans="2:6">
      <c r="B462" s="3018" t="str">
        <f>'Смета Внутр'!B468</f>
        <v>Саморез 5,5 х 25</v>
      </c>
      <c r="C462" s="3018" t="str">
        <f>'Смета Внутр'!C468</f>
        <v>шт.</v>
      </c>
      <c r="D462" s="3018">
        <f>'Смета Внутр'!D468</f>
        <v>12</v>
      </c>
      <c r="E462" s="3013"/>
      <c r="F462" s="3010"/>
    </row>
    <row r="463" spans="2:6">
      <c r="B463" s="3018" t="str">
        <f>'Смета Внутр'!B469</f>
        <v>ГПН 172х35-2,0</v>
      </c>
      <c r="C463" s="3018" t="str">
        <f>'Смета Внутр'!C469</f>
        <v>мп.</v>
      </c>
      <c r="D463" s="3018">
        <f>'Смета Внутр'!D469</f>
        <v>0</v>
      </c>
      <c r="E463" s="3013"/>
      <c r="F463" s="3010"/>
    </row>
    <row r="464" spans="2:6">
      <c r="B464" s="3018" t="str">
        <f>'Смета Внутр'!B470</f>
        <v xml:space="preserve">Болты анкерные с гайкой 12,0 x 100          </v>
      </c>
      <c r="C464" s="3018" t="str">
        <f>'Смета Внутр'!C470</f>
        <v>шт.</v>
      </c>
      <c r="D464" s="3018">
        <f>'Смета Внутр'!D470</f>
        <v>0</v>
      </c>
      <c r="E464" s="3013"/>
      <c r="F464" s="3010"/>
    </row>
    <row r="465" spans="2:6">
      <c r="B465" s="3018" t="str">
        <f>'Смета Внутр'!B471</f>
        <v>Саморез 5,5 х 25</v>
      </c>
      <c r="C465" s="3018" t="str">
        <f>'Смета Внутр'!C471</f>
        <v>шт.</v>
      </c>
      <c r="D465" s="3018">
        <f>'Смета Внутр'!D471</f>
        <v>0</v>
      </c>
      <c r="E465" s="3013"/>
      <c r="F465" s="3010"/>
    </row>
    <row r="466" spans="2:6">
      <c r="B466" s="3018" t="str">
        <f>'Смета Внутр'!B472</f>
        <v>ГПС 150х50-1,2</v>
      </c>
      <c r="C466" s="3018" t="str">
        <f>'Смета Внутр'!C472</f>
        <v>мп.</v>
      </c>
      <c r="D466" s="3018">
        <f>'Смета Внутр'!D472</f>
        <v>14</v>
      </c>
      <c r="E466" s="3013"/>
      <c r="F466" s="3010"/>
    </row>
    <row r="467" spans="2:6">
      <c r="B467" s="3018" t="str">
        <f>'Смета Внутр'!B473</f>
        <v>Саморез 5,5 х 25</v>
      </c>
      <c r="C467" s="3018" t="str">
        <f>'Смета Внутр'!C473</f>
        <v>шт.</v>
      </c>
      <c r="D467" s="3018">
        <f>'Смета Внутр'!D473</f>
        <v>81</v>
      </c>
      <c r="E467" s="3013"/>
      <c r="F467" s="3010"/>
    </row>
    <row r="468" spans="2:6">
      <c r="B468" s="3018" t="str">
        <f>'Смета Внутр'!B474</f>
        <v>L 50 x 50, 1,2мм</v>
      </c>
      <c r="C468" s="3018" t="str">
        <f>'Смета Внутр'!C474</f>
        <v>м.п.</v>
      </c>
      <c r="D468" s="3018">
        <f>'Смета Внутр'!D474</f>
        <v>8.1</v>
      </c>
      <c r="E468" s="3013"/>
      <c r="F468" s="3010"/>
    </row>
    <row r="469" spans="2:6">
      <c r="B469" s="3018" t="str">
        <f>'Смета Внутр'!B475</f>
        <v>ГПС 120х50-1,5</v>
      </c>
      <c r="C469" s="3018" t="str">
        <f>'Смета Внутр'!C475</f>
        <v>м.п.</v>
      </c>
      <c r="D469" s="3018">
        <f>'Смета Внутр'!D475</f>
        <v>7.8</v>
      </c>
      <c r="E469" s="3013"/>
      <c r="F469" s="3010"/>
    </row>
    <row r="470" spans="2:6">
      <c r="B470" s="3018" t="str">
        <f>'Смета Внутр'!B476</f>
        <v>Саморез 5,5 х 25</v>
      </c>
      <c r="C470" s="3018" t="str">
        <f>'Смета Внутр'!C476</f>
        <v>шт.</v>
      </c>
      <c r="D470" s="3018">
        <f>'Смета Внутр'!D476</f>
        <v>48</v>
      </c>
      <c r="E470" s="3013"/>
      <c r="F470" s="3010"/>
    </row>
    <row r="471" spans="2:6">
      <c r="B471" s="3018" t="str">
        <f>'Смета Внутр'!B477</f>
        <v>нет</v>
      </c>
      <c r="C471" s="3018" t="str">
        <f>'Смета Внутр'!C477</f>
        <v>м.п.</v>
      </c>
      <c r="D471" s="3018">
        <f>'Смета Внутр'!D477</f>
        <v>0</v>
      </c>
      <c r="E471" s="3013"/>
      <c r="F471" s="3010"/>
    </row>
    <row r="472" spans="2:6">
      <c r="B472" s="3018" t="str">
        <f>'Смета Внутр'!B478</f>
        <v>нет</v>
      </c>
      <c r="C472" s="3018" t="str">
        <f>'Смета Внутр'!C478</f>
        <v>м.п.</v>
      </c>
      <c r="D472" s="3018">
        <f>'Смета Внутр'!D478</f>
        <v>0</v>
      </c>
      <c r="E472" s="3013"/>
      <c r="F472" s="3010"/>
    </row>
    <row r="473" spans="2:6">
      <c r="B473" s="3018">
        <f>'Смета Внутр'!B479</f>
        <v>0</v>
      </c>
      <c r="C473" s="3018" t="str">
        <f>'Смета Внутр'!C479</f>
        <v>шт.</v>
      </c>
      <c r="D473" s="3018">
        <f>'Смета Внутр'!D479</f>
        <v>0</v>
      </c>
      <c r="E473" s="3013"/>
      <c r="F473" s="3010"/>
    </row>
    <row r="474" spans="2:6">
      <c r="B474" s="3018">
        <f>'Смета Внутр'!B480</f>
        <v>0</v>
      </c>
      <c r="C474" s="3018" t="str">
        <f>'Смета Внутр'!C480</f>
        <v>шт.</v>
      </c>
      <c r="D474" s="3018">
        <f>'Смета Внутр'!D480</f>
        <v>0</v>
      </c>
      <c r="E474" s="3013"/>
      <c r="F474" s="3010"/>
    </row>
    <row r="475" spans="2:6">
      <c r="B475" s="3018" t="str">
        <f>'Смета Внутр'!B481</f>
        <v>нет</v>
      </c>
      <c r="C475" s="3018" t="str">
        <f>'Смета Внутр'!C481</f>
        <v>м2</v>
      </c>
      <c r="D475" s="3018">
        <f>'Смета Внутр'!D481</f>
        <v>0</v>
      </c>
      <c r="E475" s="3013"/>
      <c r="F475" s="3010"/>
    </row>
    <row r="476" spans="2:6">
      <c r="B476" s="3018" t="str">
        <f>'Смета Внутр'!B482</f>
        <v xml:space="preserve">Саморезы 3,5 x 25            </v>
      </c>
      <c r="C476" s="3018" t="str">
        <f>'Смета Внутр'!C482</f>
        <v>шт.</v>
      </c>
      <c r="D476" s="3018">
        <f>'Смета Внутр'!D482</f>
        <v>0</v>
      </c>
      <c r="E476" s="3013"/>
      <c r="F476" s="3010"/>
    </row>
    <row r="477" spans="2:6">
      <c r="B477" s="3018" t="str">
        <f>'Смета Внутр'!B483</f>
        <v>нет</v>
      </c>
      <c r="C477" s="3018" t="str">
        <f>'Смета Внутр'!C483</f>
        <v>м.п.</v>
      </c>
      <c r="D477" s="3018">
        <f>'Смета Внутр'!D483</f>
        <v>0</v>
      </c>
      <c r="E477" s="3013"/>
      <c r="F477" s="3010"/>
    </row>
    <row r="478" spans="2:6">
      <c r="B478" s="3018">
        <f>'Смета Внутр'!B484</f>
        <v>0</v>
      </c>
      <c r="C478" s="3018" t="str">
        <f>'Смета Внутр'!C484</f>
        <v>шт.</v>
      </c>
      <c r="D478" s="3018">
        <f>'Смета Внутр'!D484</f>
        <v>0</v>
      </c>
      <c r="E478" s="3013"/>
      <c r="F478" s="3010"/>
    </row>
    <row r="479" spans="2:6">
      <c r="B479" s="3018" t="str">
        <f>'Смета Внутр'!B485</f>
        <v>нет</v>
      </c>
      <c r="C479" s="3018" t="str">
        <f>'Смета Внутр'!C485</f>
        <v>м2</v>
      </c>
      <c r="D479" s="3018">
        <f>'Смета Внутр'!D485</f>
        <v>0</v>
      </c>
      <c r="E479" s="3013"/>
      <c r="F479" s="3010"/>
    </row>
    <row r="480" spans="2:6">
      <c r="B480" s="3018" t="str">
        <f>'Смета Внутр'!B486</f>
        <v xml:space="preserve">Саморезы 3,5 x 45            </v>
      </c>
      <c r="C480" s="3018" t="str">
        <f>'Смета Внутр'!C486</f>
        <v>шт.</v>
      </c>
      <c r="D480" s="3018">
        <f>'Смета Внутр'!D486</f>
        <v>0</v>
      </c>
      <c r="E480" s="3013"/>
      <c r="F480" s="3010"/>
    </row>
    <row r="481" spans="2:6">
      <c r="B481" s="3018" t="str">
        <f>'Смета Внутр'!B487</f>
        <v>нет</v>
      </c>
      <c r="C481" s="3018" t="str">
        <f>'Смета Внутр'!C487</f>
        <v>м.п.</v>
      </c>
      <c r="D481" s="3018">
        <f>'Смета Внутр'!D487</f>
        <v>192</v>
      </c>
      <c r="E481" s="3013"/>
      <c r="F481" s="3010"/>
    </row>
    <row r="482" spans="2:6">
      <c r="B482" s="3018" t="str">
        <f>'Смета Внутр'!B488</f>
        <v>нет</v>
      </c>
      <c r="C482" s="3018" t="str">
        <f>'Смета Внутр'!C488</f>
        <v>м.п.</v>
      </c>
      <c r="D482" s="3018">
        <f>'Смета Внутр'!D488</f>
        <v>192</v>
      </c>
      <c r="E482" s="3013"/>
      <c r="F482" s="3010"/>
    </row>
    <row r="483" spans="2:6">
      <c r="B483" s="3018">
        <f>'Смета Внутр'!B489</f>
        <v>0</v>
      </c>
      <c r="C483" s="3018" t="str">
        <f>'Смета Внутр'!C489</f>
        <v>шт.</v>
      </c>
      <c r="D483" s="3018">
        <f>'Смета Внутр'!D489</f>
        <v>384</v>
      </c>
      <c r="E483" s="3013"/>
      <c r="F483" s="3010"/>
    </row>
    <row r="484" spans="2:6">
      <c r="B484" s="3018" t="str">
        <f>'Смета Внутр'!B490</f>
        <v>Кровельный саморез</v>
      </c>
      <c r="C484" s="3018" t="str">
        <f>'Смета Внутр'!C490</f>
        <v>шт.</v>
      </c>
      <c r="D484" s="3018">
        <f>'Смета Внутр'!D490</f>
        <v>0</v>
      </c>
      <c r="E484" s="3013"/>
      <c r="F484" s="3010"/>
    </row>
    <row r="485" spans="2:6">
      <c r="B485" s="3018" t="str">
        <f>'Смета Внутр'!B491</f>
        <v>нет</v>
      </c>
      <c r="C485" s="3018" t="str">
        <f>'Смета Внутр'!C491</f>
        <v>м.п.</v>
      </c>
      <c r="D485" s="3018">
        <f>'Смета Внутр'!D491</f>
        <v>192</v>
      </c>
      <c r="E485" s="3013"/>
      <c r="F485" s="3010"/>
    </row>
    <row r="486" spans="2:6">
      <c r="B486" s="3018" t="str">
        <f>'Смета Внутр'!B492</f>
        <v>нет</v>
      </c>
      <c r="C486" s="3018" t="str">
        <f>'Смета Внутр'!C492</f>
        <v>м.п.</v>
      </c>
      <c r="D486" s="3018">
        <f>'Смета Внутр'!D492</f>
        <v>110</v>
      </c>
      <c r="E486" s="3013"/>
      <c r="F486" s="3010"/>
    </row>
    <row r="487" spans="2:6">
      <c r="B487" s="3018">
        <f>'Смета Внутр'!B493</f>
        <v>0</v>
      </c>
      <c r="C487" s="3018" t="str">
        <f>'Смета Внутр'!C493</f>
        <v>шт.</v>
      </c>
      <c r="D487" s="3018">
        <f>'Смета Внутр'!D493</f>
        <v>384</v>
      </c>
      <c r="E487" s="3013"/>
      <c r="F487" s="3010"/>
    </row>
    <row r="488" spans="2:6">
      <c r="B488" s="3018" t="str">
        <f>'Смета Внутр'!B494</f>
        <v>Кровельный саморез</v>
      </c>
      <c r="C488" s="3018" t="str">
        <f>'Смета Внутр'!C494</f>
        <v>шт.</v>
      </c>
      <c r="D488" s="3018">
        <f>'Смета Внутр'!D494</f>
        <v>0</v>
      </c>
      <c r="E488" s="3013"/>
      <c r="F488" s="3010"/>
    </row>
    <row r="489" spans="2:6">
      <c r="B489" s="3018" t="str">
        <f>'Смета Внутр'!B495</f>
        <v xml:space="preserve">Саморезы 3,5 x 25            </v>
      </c>
      <c r="C489" s="3018" t="str">
        <f>'Смета Внутр'!C495</f>
        <v>шт.</v>
      </c>
      <c r="D489" s="3018">
        <f>'Смета Внутр'!D495</f>
        <v>0</v>
      </c>
      <c r="E489" s="3013"/>
      <c r="F489" s="3010"/>
    </row>
    <row r="490" spans="2:6">
      <c r="B490" s="3018" t="str">
        <f>'Смета Внутр'!B496</f>
        <v xml:space="preserve">Саморезы 3,5 x 25            </v>
      </c>
      <c r="C490" s="3018" t="str">
        <f>'Смета Внутр'!C496</f>
        <v>шт.</v>
      </c>
      <c r="D490" s="3018">
        <f>'Смета Внутр'!D496</f>
        <v>1200</v>
      </c>
      <c r="E490" s="3013"/>
      <c r="F490" s="3010"/>
    </row>
    <row r="491" spans="2:6">
      <c r="B491" s="3018" t="str">
        <f>'Смета Внутр'!B497</f>
        <v>ГПС 120х50-1,5</v>
      </c>
      <c r="C491" s="3018" t="str">
        <f>'Смета Внутр'!C497</f>
        <v>м3</v>
      </c>
      <c r="D491" s="3018">
        <f>'Смета Внутр'!D497</f>
        <v>0</v>
      </c>
      <c r="E491" s="3013"/>
      <c r="F491" s="3010"/>
    </row>
    <row r="492" spans="2:6">
      <c r="B492" s="3018" t="str">
        <f>'Смета Внутр'!B498</f>
        <v>ГПС 170х50-2,0</v>
      </c>
      <c r="C492" s="3018" t="str">
        <f>'Смета Внутр'!C498</f>
        <v>м3</v>
      </c>
      <c r="D492" s="3018">
        <f>'Смета Внутр'!D498</f>
        <v>0</v>
      </c>
      <c r="E492" s="3013"/>
      <c r="F492" s="3010"/>
    </row>
    <row r="493" spans="2:6">
      <c r="B493" s="3018" t="str">
        <f>'Смета Внутр'!B499</f>
        <v>Лист ГВЛВ 2500х1200х10 мм</v>
      </c>
      <c r="C493" s="3018" t="str">
        <f>'Смета Внутр'!C499</f>
        <v>м2</v>
      </c>
      <c r="D493" s="3018">
        <f>'Смета Внутр'!D499</f>
        <v>100</v>
      </c>
      <c r="E493" s="3013"/>
      <c r="F493" s="3010"/>
    </row>
    <row r="494" spans="2:6">
      <c r="B494" s="3018" t="str">
        <f>'Смета Внутр'!B500</f>
        <v>нет</v>
      </c>
      <c r="C494" s="3018" t="str">
        <f>'Смета Внутр'!C500</f>
        <v>м.п.</v>
      </c>
      <c r="D494" s="3018">
        <f>'Смета Внутр'!D500</f>
        <v>0</v>
      </c>
      <c r="E494" s="3013"/>
      <c r="F494" s="3010"/>
    </row>
    <row r="495" spans="2:6">
      <c r="B495" s="3018" t="str">
        <f>'Смета Внутр'!B501</f>
        <v>Нет</v>
      </c>
      <c r="C495" s="3018" t="str">
        <f>'Смета Внутр'!C501</f>
        <v>м3</v>
      </c>
      <c r="D495" s="3018">
        <f>'Смета Внутр'!D501</f>
        <v>0</v>
      </c>
      <c r="E495" s="3013"/>
      <c r="F495" s="3010"/>
    </row>
    <row r="496" spans="2:6">
      <c r="B496" s="3018" t="str">
        <f>'Смета Внутр'!B502</f>
        <v>Нет</v>
      </c>
      <c r="C496" s="3018" t="str">
        <f>'Смета Внутр'!C502</f>
        <v>м3</v>
      </c>
      <c r="D496" s="3018">
        <f>'Смета Внутр'!D502</f>
        <v>0</v>
      </c>
      <c r="E496" s="3013"/>
      <c r="F496" s="3010"/>
    </row>
    <row r="497" spans="2:9">
      <c r="B497" s="3018" t="str">
        <f>'Смета Внутр'!B503</f>
        <v>нет</v>
      </c>
      <c r="C497" s="3018" t="str">
        <f>'Смета Внутр'!C503</f>
        <v>м2</v>
      </c>
      <c r="D497" s="3018">
        <f>'Смета Внутр'!D503</f>
        <v>0</v>
      </c>
      <c r="E497" s="3013"/>
      <c r="F497" s="3010"/>
    </row>
    <row r="498" spans="2:9">
      <c r="B498" s="3018" t="str">
        <f>'Смета Внутр'!B504</f>
        <v>нет</v>
      </c>
      <c r="C498" s="3018" t="str">
        <f>'Смета Внутр'!C504</f>
        <v>м2</v>
      </c>
      <c r="D498" s="3018">
        <f>'Смета Внутр'!D504</f>
        <v>0</v>
      </c>
      <c r="E498" s="3013"/>
      <c r="F498" s="3010"/>
    </row>
    <row r="499" spans="2:9">
      <c r="B499" s="3018" t="str">
        <f>'Смета Внутр'!B505</f>
        <v>нет</v>
      </c>
      <c r="C499" s="3018" t="str">
        <f>'Смета Внутр'!C505</f>
        <v>м2</v>
      </c>
      <c r="D499" s="3018">
        <f>'Смета Внутр'!D505</f>
        <v>0</v>
      </c>
      <c r="E499" s="3013"/>
      <c r="F499" s="3010"/>
    </row>
    <row r="500" spans="2:9">
      <c r="B500" s="3018" t="str">
        <f>'Смета Внутр'!B506</f>
        <v xml:space="preserve">Саморезы 3,5 x 25            </v>
      </c>
      <c r="C500" s="3018" t="str">
        <f>'Смета Внутр'!C506</f>
        <v>шт</v>
      </c>
      <c r="D500" s="3018">
        <f>'Смета Внутр'!D506</f>
        <v>0</v>
      </c>
      <c r="E500" s="3013"/>
      <c r="F500" s="3010"/>
    </row>
    <row r="501" spans="2:9">
      <c r="B501" s="3018" t="str">
        <f>'Смета Внутр'!B507</f>
        <v xml:space="preserve">Гвозди ершоные 2,8 х 90            </v>
      </c>
      <c r="C501" s="3018" t="str">
        <f>'Смета Внутр'!C507</f>
        <v>кг</v>
      </c>
      <c r="D501" s="3018">
        <f>'Смета Внутр'!D507</f>
        <v>0</v>
      </c>
      <c r="E501" s="3013"/>
      <c r="F501" s="3010"/>
    </row>
    <row r="502" spans="2:9">
      <c r="B502" s="3018" t="str">
        <f>'Смета Внутр'!B508</f>
        <v xml:space="preserve">Гвозди ершоные 3,4 x 60            </v>
      </c>
      <c r="C502" s="3018" t="str">
        <f>'Смета Внутр'!C508</f>
        <v>кг</v>
      </c>
      <c r="D502" s="3018">
        <f>'Смета Внутр'!D508</f>
        <v>0</v>
      </c>
      <c r="E502" s="3013"/>
      <c r="F502" s="3010"/>
    </row>
    <row r="503" spans="2:9">
      <c r="B503" s="3018" t="str">
        <f>'Смета Внутр'!B509</f>
        <v>нет ветроизоляции</v>
      </c>
      <c r="C503" s="3018" t="str">
        <f>'Смета Внутр'!C509</f>
        <v>м2</v>
      </c>
      <c r="D503" s="3018">
        <f>'Смета Внутр'!D509</f>
        <v>0</v>
      </c>
      <c r="E503" s="3013"/>
      <c r="F503" s="3010"/>
    </row>
    <row r="504" spans="2:9">
      <c r="B504" s="3018" t="str">
        <f>'Смета Внутр'!B510</f>
        <v>нет пароизоляции</v>
      </c>
      <c r="C504" s="3018" t="str">
        <f>'Смета Внутр'!C510</f>
        <v>м2</v>
      </c>
      <c r="D504" s="3018">
        <f>'Смета Внутр'!D510</f>
        <v>0</v>
      </c>
      <c r="E504" s="3013"/>
      <c r="F504" s="3010"/>
    </row>
    <row r="505" spans="2:9">
      <c r="B505" s="3018" t="str">
        <f>'Смета Внутр'!B511</f>
        <v>Скобы для степлера, 1000шт/уп</v>
      </c>
      <c r="C505" s="3018" t="str">
        <f>'Смета Внутр'!C511</f>
        <v>уп</v>
      </c>
      <c r="D505" s="3018">
        <f>'Смета Внутр'!D511</f>
        <v>5</v>
      </c>
      <c r="E505" s="3013"/>
      <c r="F505" s="3010"/>
    </row>
    <row r="506" spans="2:9">
      <c r="B506" s="3311" t="str">
        <f>'Смета Внутр'!B512</f>
        <v>Итого материалы</v>
      </c>
      <c r="C506" s="3311"/>
      <c r="D506" s="3311"/>
      <c r="E506" s="3311"/>
      <c r="F506" s="2801">
        <f>'Смета Внутр'!G512</f>
        <v>36609.814014383184</v>
      </c>
      <c r="G506" s="3019"/>
      <c r="H506" s="3019"/>
      <c r="I506" s="3019"/>
    </row>
    <row r="507" spans="2:9">
      <c r="B507" s="3321" t="str">
        <f>'Смета Внутр'!B513</f>
        <v>Работы</v>
      </c>
      <c r="C507" s="3321"/>
      <c r="D507" s="3321"/>
      <c r="E507" s="3321"/>
      <c r="F507" s="3321"/>
    </row>
    <row r="508" spans="2:9">
      <c r="B508" s="3018" t="str">
        <f>'Смета Внутр'!B514</f>
        <v>монтаж обвязки</v>
      </c>
      <c r="C508" s="3018" t="str">
        <f>'Смета Внутр'!C514</f>
        <v>м.п.</v>
      </c>
      <c r="D508" s="3018">
        <f>'Смета Внутр'!D514</f>
        <v>0</v>
      </c>
      <c r="E508" s="3013"/>
      <c r="F508" s="3010"/>
    </row>
    <row r="509" spans="2:9">
      <c r="B509" s="3018" t="str">
        <f>'Смета Внутр'!B515</f>
        <v>монтаж стен каркаса</v>
      </c>
      <c r="C509" s="3018" t="str">
        <f>'Смета Внутр'!C515</f>
        <v>м2</v>
      </c>
      <c r="D509" s="3018">
        <f>'Смета Внутр'!D515</f>
        <v>0</v>
      </c>
      <c r="E509" s="3013"/>
      <c r="F509" s="3010"/>
    </row>
    <row r="510" spans="2:9">
      <c r="B510" s="3018" t="str">
        <f>'Смета Внутр'!B516</f>
        <v>Монтаж несущих перегородок</v>
      </c>
      <c r="C510" s="3018" t="str">
        <f>'Смета Внутр'!C516</f>
        <v>м2</v>
      </c>
      <c r="D510" s="3018">
        <f>'Смета Внутр'!D516</f>
        <v>0</v>
      </c>
      <c r="E510" s="3013"/>
      <c r="F510" s="3010"/>
    </row>
    <row r="511" spans="2:9">
      <c r="B511" s="3018" t="str">
        <f>'Смета Внутр'!B517</f>
        <v>Монтаж перегородок</v>
      </c>
      <c r="C511" s="3018" t="str">
        <f>'Смета Внутр'!C517</f>
        <v>м2</v>
      </c>
      <c r="D511" s="3018">
        <f>'Смета Внутр'!D517</f>
        <v>0</v>
      </c>
      <c r="E511" s="3013"/>
      <c r="F511" s="3010"/>
    </row>
    <row r="512" spans="2:9">
      <c r="B512" s="3018" t="str">
        <f>'Смета Внутр'!B518</f>
        <v>Монтаж вентиляционного зазора</v>
      </c>
      <c r="C512" s="3018" t="str">
        <f>'Смета Внутр'!C518</f>
        <v>м2</v>
      </c>
      <c r="D512" s="3018">
        <f>'Смета Внутр'!D518</f>
        <v>0</v>
      </c>
      <c r="E512" s="3013"/>
      <c r="F512" s="3010"/>
    </row>
    <row r="513" spans="2:6">
      <c r="B513" s="3018" t="str">
        <f>'Смета Внутр'!B519</f>
        <v>Монтаж технологического зазора</v>
      </c>
      <c r="C513" s="3018" t="str">
        <f>'Смета Внутр'!C519</f>
        <v>м2</v>
      </c>
      <c r="D513" s="3018">
        <f>'Смета Внутр'!D519</f>
        <v>0</v>
      </c>
      <c r="E513" s="3013"/>
      <c r="F513" s="3010"/>
    </row>
    <row r="514" spans="2:6">
      <c r="B514" s="3018" t="str">
        <f>'Смета Внутр'!B520</f>
        <v>монтаж ветроизоляции стен</v>
      </c>
      <c r="C514" s="3018" t="str">
        <f>'Смета Внутр'!C520</f>
        <v>м2</v>
      </c>
      <c r="D514" s="3018">
        <f>'Смета Внутр'!D520</f>
        <v>0</v>
      </c>
      <c r="E514" s="3013"/>
      <c r="F514" s="3010"/>
    </row>
    <row r="515" spans="2:6">
      <c r="B515" s="3018" t="str">
        <f>'Смета Внутр'!B521</f>
        <v>монтаж пароизоляции стен</v>
      </c>
      <c r="C515" s="3018" t="str">
        <f>'Смета Внутр'!C521</f>
        <v>м2</v>
      </c>
      <c r="D515" s="3018">
        <f>'Смета Внутр'!D521</f>
        <v>0</v>
      </c>
      <c r="E515" s="3013"/>
      <c r="F515" s="3010"/>
    </row>
    <row r="516" spans="2:6">
      <c r="B516" s="3018" t="str">
        <f>'Смета Внутр'!B522</f>
        <v>монтаж osb/фанера наруж стены</v>
      </c>
      <c r="C516" s="3018" t="str">
        <f>'Смета Внутр'!C522</f>
        <v>м2</v>
      </c>
      <c r="D516" s="3018">
        <f>'Смета Внутр'!D522</f>
        <v>0</v>
      </c>
      <c r="E516" s="3013"/>
      <c r="F516" s="3010"/>
    </row>
    <row r="517" spans="2:6">
      <c r="B517" s="3018" t="str">
        <f>'Смета Внутр'!B523</f>
        <v>монтаж osb/фанера потолок</v>
      </c>
      <c r="C517" s="3018" t="str">
        <f>'Смета Внутр'!C523</f>
        <v>м2</v>
      </c>
      <c r="D517" s="3018">
        <f>'Смета Внутр'!D523</f>
        <v>0</v>
      </c>
      <c r="E517" s="3013"/>
      <c r="F517" s="3010"/>
    </row>
    <row r="518" spans="2:6">
      <c r="B518" s="3018" t="str">
        <f>'Смета Внутр'!B524</f>
        <v>монтаж osb/фанера перегородки</v>
      </c>
      <c r="C518" s="3018" t="str">
        <f>'Смета Внутр'!C524</f>
        <v>м2</v>
      </c>
      <c r="D518" s="3018">
        <f>'Смета Внутр'!D524</f>
        <v>0</v>
      </c>
      <c r="E518" s="3013"/>
      <c r="F518" s="3010"/>
    </row>
    <row r="519" spans="2:6">
      <c r="B519" s="3018" t="str">
        <f>'Смета Внутр'!B525</f>
        <v>монтаж osb/фанера пол</v>
      </c>
      <c r="C519" s="3018" t="str">
        <f>'Смета Внутр'!C525</f>
        <v>м2</v>
      </c>
      <c r="D519" s="3018">
        <f>'Смета Внутр'!D525</f>
        <v>100</v>
      </c>
      <c r="E519" s="3013"/>
      <c r="F519" s="3010"/>
    </row>
    <row r="520" spans="2:6">
      <c r="B520" s="3018" t="str">
        <f>'Смета Внутр'!B526</f>
        <v>утепление наружних стен</v>
      </c>
      <c r="C520" s="3018" t="str">
        <f>'Смета Внутр'!C526</f>
        <v>м2</v>
      </c>
      <c r="D520" s="3018">
        <f>'Смета Внутр'!D526</f>
        <v>0</v>
      </c>
      <c r="E520" s="3013"/>
      <c r="F520" s="3010"/>
    </row>
    <row r="521" spans="2:6">
      <c r="B521" s="3018" t="str">
        <f>'Смета Внутр'!B527</f>
        <v>Утепление перегородок</v>
      </c>
      <c r="C521" s="3018" t="str">
        <f>'Смета Внутр'!C527</f>
        <v>м2</v>
      </c>
      <c r="D521" s="3018">
        <f>'Смета Внутр'!D527</f>
        <v>0</v>
      </c>
      <c r="E521" s="3013"/>
      <c r="F521" s="3010"/>
    </row>
    <row r="522" spans="2:6">
      <c r="B522" s="3018" t="str">
        <f>'Смета Внутр'!B528</f>
        <v>Монтаж горизонтальной обрешетки</v>
      </c>
      <c r="C522" s="3018" t="str">
        <f>'Смета Внутр'!C528</f>
        <v>м2</v>
      </c>
      <c r="D522" s="3018">
        <f>'Смета Внутр'!D528</f>
        <v>0</v>
      </c>
      <c r="E522" s="3013"/>
      <c r="F522" s="3010"/>
    </row>
    <row r="523" spans="2:6">
      <c r="B523" s="3018" t="str">
        <f>'Смета Внутр'!B529</f>
        <v>Монтаж вертикальной обрешетки</v>
      </c>
      <c r="C523" s="3018" t="str">
        <f>'Смета Внутр'!C529</f>
        <v>м2</v>
      </c>
      <c r="D523" s="3018">
        <f>'Смета Внутр'!D529</f>
        <v>0</v>
      </c>
      <c r="E523" s="3013"/>
      <c r="F523" s="3010"/>
    </row>
    <row r="524" spans="2:6">
      <c r="B524" s="3018" t="str">
        <f>'Смета Внутр'!B530</f>
        <v>Монтаж обрешетки потолок</v>
      </c>
      <c r="C524" s="3018" t="str">
        <f>'Смета Внутр'!C530</f>
        <v>м2</v>
      </c>
      <c r="D524" s="3018">
        <f>'Смета Внутр'!D530</f>
        <v>0</v>
      </c>
      <c r="E524" s="3013"/>
      <c r="F524" s="3010"/>
    </row>
    <row r="525" spans="2:6">
      <c r="B525" s="3018" t="str">
        <f>'Смета Внутр'!B531</f>
        <v>Монтаж профлист потолок</v>
      </c>
      <c r="C525" s="3018" t="str">
        <f>'Смета Внутр'!C531</f>
        <v>м2</v>
      </c>
      <c r="D525" s="3018">
        <f>'Смета Внутр'!D531</f>
        <v>0</v>
      </c>
      <c r="E525" s="3013"/>
      <c r="F525" s="3010"/>
    </row>
    <row r="526" spans="2:6">
      <c r="B526" s="3018" t="str">
        <f>'Смета Внутр'!B532</f>
        <v>Монтаж обрешетки пол</v>
      </c>
      <c r="C526" s="3018" t="str">
        <f>'Смета Внутр'!C532</f>
        <v>м2</v>
      </c>
      <c r="D526" s="3018">
        <f>'Смета Внутр'!D532</f>
        <v>0</v>
      </c>
      <c r="E526" s="3013"/>
      <c r="F526" s="3010"/>
    </row>
    <row r="527" spans="2:6">
      <c r="B527" s="3018" t="str">
        <f>'Смета Внутр'!B533</f>
        <v>Монтаж профлист пол</v>
      </c>
      <c r="C527" s="3018" t="str">
        <f>'Смета Внутр'!C533</f>
        <v>м2</v>
      </c>
      <c r="D527" s="3018">
        <f>'Смета Внутр'!D533</f>
        <v>0</v>
      </c>
      <c r="E527" s="3013"/>
      <c r="F527" s="3010"/>
    </row>
    <row r="528" spans="2:6">
      <c r="B528" s="3018" t="str">
        <f>'Смета Внутр'!B534</f>
        <v>монтаж osb/фанера пол</v>
      </c>
      <c r="C528" s="3018" t="str">
        <f>'Смета Внутр'!C534</f>
        <v>м2</v>
      </c>
      <c r="D528" s="3018">
        <f>'Смета Внутр'!D534</f>
        <v>100</v>
      </c>
      <c r="E528" s="3013"/>
      <c r="F528" s="3010"/>
    </row>
    <row r="529" spans="2:6">
      <c r="B529" s="3311" t="str">
        <f>'Смета Внутр'!B535</f>
        <v>Итого работы</v>
      </c>
      <c r="C529" s="3311"/>
      <c r="D529" s="3311"/>
      <c r="E529" s="3311"/>
      <c r="F529" s="3020">
        <f>'Смета Внутр'!G535</f>
        <v>0</v>
      </c>
    </row>
    <row r="530" spans="2:6">
      <c r="B530" s="3321" t="str">
        <f>'Смета Внутр'!B536</f>
        <v>Техника и дополнительные расходы</v>
      </c>
      <c r="C530" s="3321"/>
      <c r="D530" s="3321"/>
      <c r="E530" s="3321"/>
      <c r="F530" s="3321"/>
    </row>
    <row r="531" spans="2:6">
      <c r="B531" s="3018" t="str">
        <f>'Смета Внутр'!B537</f>
        <v>Командировочные расходы</v>
      </c>
      <c r="C531" s="3018">
        <f>'Смета Внутр'!C537</f>
        <v>0</v>
      </c>
      <c r="D531" s="3018">
        <f>'Смета Внутр'!D537</f>
        <v>1</v>
      </c>
      <c r="E531" s="3013"/>
      <c r="F531" s="3010"/>
    </row>
    <row r="532" spans="2:6">
      <c r="B532" s="3018" t="str">
        <f>'Смета Внутр'!B538</f>
        <v>расходные материалы каркасный дом</v>
      </c>
      <c r="C532" s="3018">
        <f>'Смета Внутр'!C538</f>
        <v>0</v>
      </c>
      <c r="D532" s="3018">
        <f>'Смета Внутр'!D538</f>
        <v>1</v>
      </c>
      <c r="E532" s="3013"/>
      <c r="F532" s="3010"/>
    </row>
    <row r="533" spans="2:6">
      <c r="B533" s="3018" t="str">
        <f>'Смета Внутр'!B539</f>
        <v>Нет техники</v>
      </c>
      <c r="C533" s="3018">
        <f>'Смета Внутр'!C539</f>
        <v>0</v>
      </c>
      <c r="D533" s="3018">
        <f>'Смета Внутр'!D539</f>
        <v>2</v>
      </c>
      <c r="E533" s="3013"/>
      <c r="F533" s="3010"/>
    </row>
    <row r="534" spans="2:6">
      <c r="B534" s="3311" t="str">
        <f>'Смета Внутр'!B540</f>
        <v>Итого</v>
      </c>
      <c r="C534" s="3311"/>
      <c r="D534" s="3311"/>
      <c r="E534" s="3311"/>
      <c r="F534" s="3020">
        <f>'Смета Внутр'!G540</f>
        <v>12000</v>
      </c>
    </row>
    <row r="535" spans="2:6" ht="19">
      <c r="B535" s="3313" t="str">
        <f>'Смета Внутр'!B541</f>
        <v>Дом из Газобетона</v>
      </c>
      <c r="C535" s="3313"/>
      <c r="D535" s="3313"/>
      <c r="E535" s="3313"/>
      <c r="F535" s="3011">
        <f>'Смета Внутр'!H541</f>
        <v>0</v>
      </c>
    </row>
    <row r="536" spans="2:6">
      <c r="B536" s="3310" t="str">
        <f>'Смета Внутр'!B542</f>
        <v>Материалы</v>
      </c>
      <c r="C536" s="3310"/>
      <c r="D536" s="3310"/>
      <c r="E536" s="3310"/>
      <c r="F536" s="3011">
        <f>'Смета Внутр'!H542</f>
        <v>0</v>
      </c>
    </row>
    <row r="537" spans="2:6">
      <c r="B537" s="3007" t="str">
        <f>'Смета Внутр'!B543</f>
        <v xml:space="preserve">Газоблок D400 200х100х390 </v>
      </c>
      <c r="C537" s="3008" t="str">
        <f>'Смета Внутр'!C543</f>
        <v>м3</v>
      </c>
      <c r="D537" s="3009">
        <f>'Смета Внутр'!D543</f>
        <v>-3.12</v>
      </c>
      <c r="E537" s="3007"/>
      <c r="F537" s="3012">
        <f>'Смета Внутр'!H543</f>
        <v>0</v>
      </c>
    </row>
    <row r="538" spans="2:6">
      <c r="B538" s="3007" t="str">
        <f>'Смета Внутр'!B544</f>
        <v xml:space="preserve">Газоблок D500 200х100х390 </v>
      </c>
      <c r="C538" s="3008" t="str">
        <f>'Смета Внутр'!C544</f>
        <v>м3</v>
      </c>
      <c r="D538" s="3009">
        <f>'Смета Внутр'!D544</f>
        <v>0</v>
      </c>
      <c r="E538" s="3007"/>
      <c r="F538" s="3012">
        <f>'Смета Внутр'!H544</f>
        <v>0</v>
      </c>
    </row>
    <row r="539" spans="2:6">
      <c r="B539" s="3007" t="str">
        <f>'Смета Внутр'!B545</f>
        <v xml:space="preserve">Газоблок D400 200х400х390 </v>
      </c>
      <c r="C539" s="3008" t="str">
        <f>'Смета Внутр'!C545</f>
        <v>м3</v>
      </c>
      <c r="D539" s="3009">
        <f>'Смета Внутр'!D545</f>
        <v>0</v>
      </c>
      <c r="E539" s="3007"/>
      <c r="F539" s="3012">
        <f>'Смета Внутр'!H545</f>
        <v>0</v>
      </c>
    </row>
    <row r="540" spans="2:6">
      <c r="B540" s="3007" t="str">
        <f>'Смета Внутр'!B546</f>
        <v xml:space="preserve">Газоблокпоясной  D400 200х100х390 </v>
      </c>
      <c r="C540" s="3008" t="str">
        <f>'Смета Внутр'!C546</f>
        <v>м3</v>
      </c>
      <c r="D540" s="3009">
        <f>'Смета Внутр'!D546</f>
        <v>3.0888</v>
      </c>
      <c r="E540" s="3007"/>
      <c r="F540" s="3012">
        <f>'Смета Внутр'!H546</f>
        <v>0</v>
      </c>
    </row>
    <row r="541" spans="2:6">
      <c r="B541" s="3007" t="str">
        <f>'Смета Внутр'!B547</f>
        <v>Поясной 200х100х600 угловой внешний</v>
      </c>
      <c r="C541" s="3008" t="str">
        <f>'Смета Внутр'!C547</f>
        <v>м3</v>
      </c>
      <c r="D541" s="3009">
        <f>'Смета Внутр'!D547</f>
        <v>3.1199999999999999E-2</v>
      </c>
      <c r="E541" s="3007"/>
      <c r="F541" s="3012">
        <f>'Смета Внутр'!H547</f>
        <v>0</v>
      </c>
    </row>
    <row r="542" spans="2:6">
      <c r="B542" s="3007" t="str">
        <f>'Смета Внутр'!B548</f>
        <v>Поясной 200х100х600 угловой внутренний</v>
      </c>
      <c r="C542" s="3008" t="str">
        <f>'Смета Внутр'!C548</f>
        <v>м3</v>
      </c>
      <c r="D542" s="3009">
        <f>'Смета Внутр'!D548</f>
        <v>0</v>
      </c>
      <c r="E542" s="3007"/>
      <c r="F542" s="3012">
        <f>'Смета Внутр'!H548</f>
        <v>0</v>
      </c>
    </row>
    <row r="543" spans="2:6">
      <c r="B543" s="3007" t="str">
        <f>'Смета Внутр'!B549</f>
        <v>200х100х600 угловой внешний</v>
      </c>
      <c r="C543" s="3008" t="str">
        <f>'Смета Внутр'!C549</f>
        <v>м3</v>
      </c>
      <c r="D543" s="3009">
        <f>'Смета Внутр'!D549</f>
        <v>0.72</v>
      </c>
      <c r="E543" s="3007"/>
      <c r="F543" s="3012">
        <f>'Смета Внутр'!H549</f>
        <v>0</v>
      </c>
    </row>
    <row r="544" spans="2:6">
      <c r="B544" s="3007" t="str">
        <f>'Смета Внутр'!B550</f>
        <v>200х100х600 угловой внутренний</v>
      </c>
      <c r="C544" s="3008" t="str">
        <f>'Смета Внутр'!C550</f>
        <v>м4</v>
      </c>
      <c r="D544" s="3009">
        <f>'Смета Внутр'!D550</f>
        <v>0</v>
      </c>
      <c r="E544" s="3007"/>
      <c r="F544" s="3012">
        <f>'Смета Внутр'!H550</f>
        <v>0</v>
      </c>
    </row>
    <row r="545" spans="2:6">
      <c r="B545" s="3007" t="str">
        <f>'Смета Внутр'!B551</f>
        <v>Клей монтажный ВК-100</v>
      </c>
      <c r="C545" s="3008" t="str">
        <f>'Смета Внутр'!C551</f>
        <v>меш</v>
      </c>
      <c r="D545" s="3009">
        <f>'Смета Внутр'!D551</f>
        <v>0</v>
      </c>
      <c r="E545" s="3007"/>
      <c r="F545" s="3012">
        <f>'Смета Внутр'!H551</f>
        <v>0</v>
      </c>
    </row>
    <row r="546" spans="2:6">
      <c r="B546" s="3007" t="e">
        <f>'Смета Внутр'!B552</f>
        <v>#N/A</v>
      </c>
      <c r="C546" s="3008" t="str">
        <f>'Смета Внутр'!C552</f>
        <v>меш</v>
      </c>
      <c r="D546" s="3009">
        <f>'Смета Внутр'!D552</f>
        <v>-2.2740721919999962</v>
      </c>
      <c r="E546" s="3007"/>
      <c r="F546" s="3012">
        <f>'Смета Внутр'!H552</f>
        <v>0</v>
      </c>
    </row>
    <row r="547" spans="2:6">
      <c r="B547" s="3007" t="e">
        <f>'Смета Внутр'!B553</f>
        <v>#N/A</v>
      </c>
      <c r="C547" s="3008" t="str">
        <f>'Смета Внутр'!C553</f>
        <v>м3</v>
      </c>
      <c r="D547" s="3009">
        <f>'Смета Внутр'!D553</f>
        <v>-0.54144575999999911</v>
      </c>
      <c r="E547" s="3007"/>
      <c r="F547" s="3012">
        <f>'Смета Внутр'!H553</f>
        <v>0</v>
      </c>
    </row>
    <row r="548" spans="2:6">
      <c r="B548" s="3007" t="str">
        <f>'Смета Внутр'!B554</f>
        <v>Доставка песка</v>
      </c>
      <c r="C548" s="3008" t="str">
        <f>'Смета Внутр'!C554</f>
        <v>маш</v>
      </c>
      <c r="D548" s="3009">
        <f>'Смета Внутр'!D554</f>
        <v>0</v>
      </c>
      <c r="E548" s="3007"/>
      <c r="F548" s="3012">
        <f>'Смета Внутр'!H554</f>
        <v>0</v>
      </c>
    </row>
    <row r="549" spans="2:6">
      <c r="B549" s="3007" t="e">
        <f>'Смета Внутр'!B555</f>
        <v>#N/A</v>
      </c>
      <c r="C549" s="3008" t="str">
        <f>'Смета Внутр'!C555</f>
        <v>м3</v>
      </c>
      <c r="D549" s="3009">
        <f>'Смета Внутр'!D555</f>
        <v>-0.54144575999999911</v>
      </c>
      <c r="E549" s="3007"/>
      <c r="F549" s="3012">
        <f>'Смета Внутр'!H555</f>
        <v>0</v>
      </c>
    </row>
    <row r="550" spans="2:6">
      <c r="B550" s="3007" t="str">
        <f>'Смета Внутр'!B556</f>
        <v>Арматура М6 каждый 3-й ряд, 2 нити</v>
      </c>
      <c r="C550" s="3008" t="str">
        <f>'Смета Внутр'!C556</f>
        <v>м.п.</v>
      </c>
      <c r="D550" s="3009">
        <f>'Смета Внутр'!D556</f>
        <v>480</v>
      </c>
      <c r="E550" s="3007"/>
      <c r="F550" s="3012">
        <f>'Смета Внутр'!H556</f>
        <v>0</v>
      </c>
    </row>
    <row r="551" spans="2:6">
      <c r="B551" s="3007" t="str">
        <f>'Смета Внутр'!B557</f>
        <v>Арматура М6 каждый 3-й ряд, 2 нити</v>
      </c>
      <c r="C551" s="3008" t="str">
        <f>'Смета Внутр'!C557</f>
        <v>м.п.</v>
      </c>
      <c r="D551" s="3009">
        <f>'Смета Внутр'!D557</f>
        <v>0</v>
      </c>
      <c r="E551" s="3007"/>
      <c r="F551" s="3012">
        <f>'Смета Внутр'!H557</f>
        <v>0</v>
      </c>
    </row>
    <row r="552" spans="2:6">
      <c r="B552" s="3007" t="str">
        <f>'Смета Внутр'!B558</f>
        <v>Перемычка оконная, 1-ый эт. Вариант 1</v>
      </c>
      <c r="C552" s="3008" t="str">
        <f>'Смета Внутр'!C558</f>
        <v>м.п.</v>
      </c>
      <c r="D552" s="3009">
        <f>'Смета Внутр'!D558</f>
        <v>1</v>
      </c>
      <c r="E552" s="3007"/>
      <c r="F552" s="3012">
        <f>'Смета Внутр'!H558</f>
        <v>0</v>
      </c>
    </row>
    <row r="553" spans="2:6">
      <c r="B553" s="3007" t="str">
        <f>'Смета Внутр'!B559</f>
        <v>Перемычка оконная, 1-ый эт. Вариант 2</v>
      </c>
      <c r="C553" s="3008" t="str">
        <f>'Смета Внутр'!C559</f>
        <v>м.п.</v>
      </c>
      <c r="D553" s="3009">
        <f>'Смета Внутр'!D559</f>
        <v>0</v>
      </c>
      <c r="E553" s="3007"/>
      <c r="F553" s="3012">
        <f>'Смета Внутр'!H559</f>
        <v>0</v>
      </c>
    </row>
    <row r="554" spans="2:6">
      <c r="B554" s="3007" t="str">
        <f>'Смета Внутр'!B560</f>
        <v>Перемычка оконная, 1-ый эт. Вариант 3</v>
      </c>
      <c r="C554" s="3008" t="str">
        <f>'Смета Внутр'!C560</f>
        <v>м.п.</v>
      </c>
      <c r="D554" s="3009">
        <f>'Смета Внутр'!D560</f>
        <v>0</v>
      </c>
      <c r="E554" s="3007"/>
      <c r="F554" s="3012">
        <f>'Смета Внутр'!H560</f>
        <v>0</v>
      </c>
    </row>
    <row r="555" spans="2:6">
      <c r="B555" s="3007" t="str">
        <f>'Смета Внутр'!B561</f>
        <v>Перемычка оконная, 1-ый эт. Вариант 4</v>
      </c>
      <c r="C555" s="3008" t="str">
        <f>'Смета Внутр'!C561</f>
        <v>м.п.</v>
      </c>
      <c r="D555" s="3009">
        <f>'Смета Внутр'!D561</f>
        <v>0</v>
      </c>
      <c r="E555" s="3007"/>
      <c r="F555" s="3012">
        <f>'Смета Внутр'!H561</f>
        <v>0</v>
      </c>
    </row>
    <row r="556" spans="2:6">
      <c r="B556" s="3007" t="str">
        <f>'Смета Внутр'!B562</f>
        <v>Перемычка оконная, 1-ый эт. Вариант 5</v>
      </c>
      <c r="C556" s="3008" t="str">
        <f>'Смета Внутр'!C562</f>
        <v>м.п.</v>
      </c>
      <c r="D556" s="3009">
        <f>'Смета Внутр'!D562</f>
        <v>0</v>
      </c>
      <c r="E556" s="3007"/>
      <c r="F556" s="3012">
        <f>'Смета Внутр'!H562</f>
        <v>0</v>
      </c>
    </row>
    <row r="557" spans="2:6">
      <c r="B557" s="3007" t="str">
        <f>'Смета Внутр'!B563</f>
        <v>Перемычка оконная, 2-ый эт. Вариант 6</v>
      </c>
      <c r="C557" s="3008" t="str">
        <f>'Смета Внутр'!C563</f>
        <v>м.п.</v>
      </c>
      <c r="D557" s="3009">
        <f>'Смета Внутр'!D563</f>
        <v>0</v>
      </c>
      <c r="E557" s="3007"/>
      <c r="F557" s="3012">
        <f>'Смета Внутр'!H563</f>
        <v>0</v>
      </c>
    </row>
    <row r="558" spans="2:6">
      <c r="B558" s="3007" t="str">
        <f>'Смета Внутр'!B564</f>
        <v>Перемычка оконная, 2-ый эт. Вариант 7</v>
      </c>
      <c r="C558" s="3008" t="str">
        <f>'Смета Внутр'!C564</f>
        <v>м.п.</v>
      </c>
      <c r="D558" s="3009">
        <f>'Смета Внутр'!D564</f>
        <v>0</v>
      </c>
      <c r="E558" s="3007"/>
      <c r="F558" s="3012">
        <f>'Смета Внутр'!H564</f>
        <v>0</v>
      </c>
    </row>
    <row r="559" spans="2:6">
      <c r="B559" s="3007" t="str">
        <f>'Смета Внутр'!B565</f>
        <v>Перемычка оконная, 2-ый эт. Вариант 8</v>
      </c>
      <c r="C559" s="3008" t="str">
        <f>'Смета Внутр'!C565</f>
        <v>м.п.</v>
      </c>
      <c r="D559" s="3009">
        <f>'Смета Внутр'!D565</f>
        <v>0</v>
      </c>
      <c r="E559" s="3007"/>
      <c r="F559" s="3012">
        <f>'Смета Внутр'!H565</f>
        <v>0</v>
      </c>
    </row>
    <row r="560" spans="2:6">
      <c r="B560" s="3007" t="str">
        <f>'Смета Внутр'!B566</f>
        <v>Перемычка оконная, 2-ый эт. Вариант 9</v>
      </c>
      <c r="C560" s="3008" t="str">
        <f>'Смета Внутр'!C566</f>
        <v>м.п.</v>
      </c>
      <c r="D560" s="3009">
        <f>'Смета Внутр'!D566</f>
        <v>0</v>
      </c>
      <c r="E560" s="3007"/>
      <c r="F560" s="3012">
        <f>'Смета Внутр'!H566</f>
        <v>0</v>
      </c>
    </row>
    <row r="561" spans="2:6">
      <c r="B561" s="3007" t="str">
        <f>'Смета Внутр'!B567</f>
        <v>Перемычка оконная, 2-ый эт. Вариант 10</v>
      </c>
      <c r="C561" s="3008" t="str">
        <f>'Смета Внутр'!C567</f>
        <v>м.п.</v>
      </c>
      <c r="D561" s="3009">
        <f>'Смета Внутр'!D567</f>
        <v>0</v>
      </c>
      <c r="E561" s="3007"/>
      <c r="F561" s="3012">
        <f>'Смета Внутр'!H567</f>
        <v>0</v>
      </c>
    </row>
    <row r="562" spans="2:6">
      <c r="B562" s="3007" t="str">
        <f>'Смета Внутр'!B568</f>
        <v>Перемычка дверная, 1-ый эт. Вариант 1</v>
      </c>
      <c r="C562" s="3008" t="str">
        <f>'Смета Внутр'!C568</f>
        <v>м.п.</v>
      </c>
      <c r="D562" s="3009">
        <f>'Смета Внутр'!D568</f>
        <v>0</v>
      </c>
      <c r="E562" s="3007"/>
      <c r="F562" s="3012">
        <f>'Смета Внутр'!H568</f>
        <v>0</v>
      </c>
    </row>
    <row r="563" spans="2:6">
      <c r="B563" s="3007" t="str">
        <f>'Смета Внутр'!B569</f>
        <v>Перемычка дверная, 2-ый эт. Вариант 2</v>
      </c>
      <c r="C563" s="3008" t="str">
        <f>'Смета Внутр'!C569</f>
        <v>м.п.</v>
      </c>
      <c r="D563" s="3009">
        <f>'Смета Внутр'!D569</f>
        <v>0</v>
      </c>
      <c r="E563" s="3007"/>
      <c r="F563" s="3012">
        <f>'Смета Внутр'!H569</f>
        <v>0</v>
      </c>
    </row>
    <row r="564" spans="2:6">
      <c r="B564" s="3007" t="str">
        <f>'Смета Внутр'!B570</f>
        <v>Перемычка оконная 1-ый эт, Вариант 11</v>
      </c>
      <c r="C564" s="3008" t="str">
        <f>'Смета Внутр'!C570</f>
        <v>м.п.</v>
      </c>
      <c r="D564" s="3009">
        <f>'Смета Внутр'!D570</f>
        <v>0</v>
      </c>
      <c r="E564" s="3007"/>
      <c r="F564" s="3012">
        <f>'Смета Внутр'!H570</f>
        <v>0</v>
      </c>
    </row>
    <row r="565" spans="2:6">
      <c r="B565" s="3007" t="str">
        <f>'Смета Внутр'!B571</f>
        <v>Перемычка оконная 1-ый эт, Вариант 12</v>
      </c>
      <c r="C565" s="3008" t="str">
        <f>'Смета Внутр'!C571</f>
        <v>м.п.</v>
      </c>
      <c r="D565" s="3009">
        <f>'Смета Внутр'!D571</f>
        <v>0</v>
      </c>
      <c r="E565" s="3007"/>
      <c r="F565" s="3012">
        <f>'Смета Внутр'!H571</f>
        <v>0</v>
      </c>
    </row>
    <row r="566" spans="2:6">
      <c r="B566" s="3007" t="str">
        <f>'Смета Внутр'!B572</f>
        <v>Перемычка дверная, 1-ый эт. Вариант 4</v>
      </c>
      <c r="C566" s="3008" t="str">
        <f>'Смета Внутр'!C572</f>
        <v>м.п.</v>
      </c>
      <c r="D566" s="3009">
        <f>'Смета Внутр'!D572</f>
        <v>0</v>
      </c>
      <c r="E566" s="3007"/>
      <c r="F566" s="3012">
        <f>'Смета Внутр'!H572</f>
        <v>0</v>
      </c>
    </row>
    <row r="567" spans="2:6">
      <c r="B567" s="3007" t="str">
        <f>'Смета Внутр'!B573</f>
        <v>Перемычка дверная, 1-ый эт. Вариант 5</v>
      </c>
      <c r="C567" s="3008" t="str">
        <f>'Смета Внутр'!C573</f>
        <v>м.п.</v>
      </c>
      <c r="D567" s="3009">
        <f>'Смета Внутр'!D573</f>
        <v>0</v>
      </c>
      <c r="E567" s="3007"/>
      <c r="F567" s="3012">
        <f>'Смета Внутр'!H573</f>
        <v>0</v>
      </c>
    </row>
    <row r="568" spans="2:6">
      <c r="B568" s="3007" t="str">
        <f>'Смета Внутр'!B574</f>
        <v>Перемычка дверная, 1-ый эт. Вариант 6</v>
      </c>
      <c r="C568" s="3008" t="str">
        <f>'Смета Внутр'!C574</f>
        <v>м.п.</v>
      </c>
      <c r="D568" s="3009">
        <f>'Смета Внутр'!D574</f>
        <v>0</v>
      </c>
      <c r="E568" s="3007"/>
      <c r="F568" s="3012">
        <f>'Смета Внутр'!H574</f>
        <v>0</v>
      </c>
    </row>
    <row r="569" spans="2:6">
      <c r="B569" s="3007" t="str">
        <f>'Смета Внутр'!B575</f>
        <v>Перемычка дверная, 2-ый эт. Вариант 7</v>
      </c>
      <c r="C569" s="3008" t="str">
        <f>'Смета Внутр'!C575</f>
        <v>м.п.</v>
      </c>
      <c r="D569" s="3009">
        <f>'Смета Внутр'!D575</f>
        <v>0</v>
      </c>
      <c r="E569" s="3007"/>
      <c r="F569" s="3012">
        <f>'Смета Внутр'!H575</f>
        <v>0</v>
      </c>
    </row>
    <row r="570" spans="2:6">
      <c r="B570" s="3007" t="str">
        <f>'Смета Внутр'!B576</f>
        <v>Перемычка дверная, 2-ый эт. Вариант 8</v>
      </c>
      <c r="C570" s="3008" t="str">
        <f>'Смета Внутр'!C576</f>
        <v>м.п.</v>
      </c>
      <c r="D570" s="3009">
        <f>'Смета Внутр'!D576</f>
        <v>0</v>
      </c>
      <c r="E570" s="3007"/>
      <c r="F570" s="3012">
        <f>'Смета Внутр'!H576</f>
        <v>0</v>
      </c>
    </row>
    <row r="571" spans="2:6">
      <c r="B571" s="3007" t="str">
        <f>'Смета Внутр'!B577</f>
        <v>Перемычка дверная, 2-ый эт. Вариант 9</v>
      </c>
      <c r="C571" s="3008" t="str">
        <f>'Смета Внутр'!C577</f>
        <v>м.п.</v>
      </c>
      <c r="D571" s="3009">
        <f>'Смета Внутр'!D577</f>
        <v>0</v>
      </c>
      <c r="E571" s="3007"/>
      <c r="F571" s="3012">
        <f>'Смета Внутр'!H577</f>
        <v>0</v>
      </c>
    </row>
    <row r="572" spans="2:6">
      <c r="B572" s="3007" t="str">
        <f>'Смета Внутр'!B578</f>
        <v>Перемычка проема, 1-ый эт. Вариант 10</v>
      </c>
      <c r="C572" s="3008" t="str">
        <f>'Смета Внутр'!C578</f>
        <v>м.п.</v>
      </c>
      <c r="D572" s="3009">
        <f>'Смета Внутр'!D578</f>
        <v>0</v>
      </c>
      <c r="E572" s="3007"/>
      <c r="F572" s="3012">
        <f>'Смета Внутр'!H578</f>
        <v>0</v>
      </c>
    </row>
    <row r="573" spans="2:6">
      <c r="B573" s="3007" t="str">
        <f>'Смета Внутр'!B579</f>
        <v>Перемычка проема, 1-ый эт. Вариант 11</v>
      </c>
      <c r="C573" s="3008" t="str">
        <f>'Смета Внутр'!C579</f>
        <v>м.п.</v>
      </c>
      <c r="D573" s="3009">
        <f>'Смета Внутр'!D579</f>
        <v>0</v>
      </c>
      <c r="E573" s="3007"/>
      <c r="F573" s="3012">
        <f>'Смета Внутр'!H579</f>
        <v>0</v>
      </c>
    </row>
    <row r="574" spans="2:6">
      <c r="B574" s="3007" t="str">
        <f>'Смета Внутр'!B580</f>
        <v>Перемычка проема, 2-ый эт. Вариант 12</v>
      </c>
      <c r="C574" s="3008" t="str">
        <f>'Смета Внутр'!C580</f>
        <v>м.п.</v>
      </c>
      <c r="D574" s="3009">
        <f>'Смета Внутр'!D580</f>
        <v>0</v>
      </c>
      <c r="E574" s="3007"/>
      <c r="F574" s="3012">
        <f>'Смета Внутр'!H580</f>
        <v>0</v>
      </c>
    </row>
    <row r="575" spans="2:6">
      <c r="B575" s="3007" t="str">
        <f>'Смета Внутр'!B581</f>
        <v>Перемычка проема, 2-ый эт. Вариант 13</v>
      </c>
      <c r="C575" s="3008" t="str">
        <f>'Смета Внутр'!C581</f>
        <v>м.п.</v>
      </c>
      <c r="D575" s="3009">
        <f>'Смета Внутр'!D581</f>
        <v>0</v>
      </c>
      <c r="E575" s="3007"/>
      <c r="F575" s="3012">
        <f>'Смета Внутр'!H581</f>
        <v>0</v>
      </c>
    </row>
    <row r="576" spans="2:6">
      <c r="B576" s="3007" t="str">
        <f>'Смета Внутр'!B582</f>
        <v>Перемычка дверная, 1-ый эт. Вариант 1</v>
      </c>
      <c r="C576" s="3008" t="str">
        <f>'Смета Внутр'!C582</f>
        <v>м.п.</v>
      </c>
      <c r="D576" s="3009">
        <f>'Смета Внутр'!D582</f>
        <v>0</v>
      </c>
      <c r="E576" s="3007"/>
      <c r="F576" s="3012">
        <f>'Смета Внутр'!H582</f>
        <v>0</v>
      </c>
    </row>
    <row r="577" spans="2:6">
      <c r="B577" s="3007" t="str">
        <f>'Смета Внутр'!B583</f>
        <v>Перемычка дверная, 1-ый эт. Вариант 2</v>
      </c>
      <c r="C577" s="3008" t="str">
        <f>'Смета Внутр'!C583</f>
        <v>м.п.</v>
      </c>
      <c r="D577" s="3009">
        <f>'Смета Внутр'!D583</f>
        <v>0</v>
      </c>
      <c r="E577" s="3007"/>
      <c r="F577" s="3012">
        <f>'Смета Внутр'!H583</f>
        <v>0</v>
      </c>
    </row>
    <row r="578" spans="2:6">
      <c r="B578" s="3007" t="str">
        <f>'Смета Внутр'!B584</f>
        <v>Перемычка дверная, 1-ый эт. Вариант 3</v>
      </c>
      <c r="C578" s="3008" t="str">
        <f>'Смета Внутр'!C584</f>
        <v>м.п.</v>
      </c>
      <c r="D578" s="3009">
        <f>'Смета Внутр'!D584</f>
        <v>0</v>
      </c>
      <c r="E578" s="3007"/>
      <c r="F578" s="3012">
        <f>'Смета Внутр'!H584</f>
        <v>0</v>
      </c>
    </row>
    <row r="579" spans="2:6">
      <c r="B579" s="3007" t="str">
        <f>'Смета Внутр'!B585</f>
        <v>Сосна влаж,200*40мм</v>
      </c>
      <c r="C579" s="3008" t="str">
        <f>'Смета Внутр'!C585</f>
        <v>м3</v>
      </c>
      <c r="D579" s="3009">
        <f>'Смета Внутр'!D585</f>
        <v>0.83200000000000007</v>
      </c>
      <c r="E579" s="3007"/>
      <c r="F579" s="3012">
        <f>'Смета Внутр'!H585</f>
        <v>0</v>
      </c>
    </row>
    <row r="580" spans="2:6">
      <c r="B580" s="3007" t="str">
        <f>'Смета Внутр'!B586</f>
        <v>Сейсмопояс Арматура М10 4 нити</v>
      </c>
      <c r="C580" s="3008" t="str">
        <f>'Смета Внутр'!C586</f>
        <v>м.п.</v>
      </c>
      <c r="D580" s="3009">
        <f>'Смета Внутр'!D586</f>
        <v>176</v>
      </c>
      <c r="E580" s="3007"/>
      <c r="F580" s="3012">
        <f>'Смета Внутр'!H586</f>
        <v>0</v>
      </c>
    </row>
    <row r="581" spans="2:6">
      <c r="B581" s="3007" t="str">
        <f>'Смета Внутр'!B587</f>
        <v>Хомут для сейсмопояса Арматура М6, шаг 400мм</v>
      </c>
      <c r="C581" s="3008" t="str">
        <f>'Смета Внутр'!C587</f>
        <v>м.п.</v>
      </c>
      <c r="D581" s="3009">
        <f>'Смета Внутр'!D587</f>
        <v>90</v>
      </c>
      <c r="E581" s="3007"/>
      <c r="F581" s="3012">
        <f>'Смета Внутр'!H587</f>
        <v>0</v>
      </c>
    </row>
    <row r="582" spans="2:6">
      <c r="B582" s="3007" t="str">
        <f>'Смета Внутр'!B588</f>
        <v>Бетон, м300</v>
      </c>
      <c r="C582" s="3008" t="str">
        <f>'Смета Внутр'!C588</f>
        <v>м3</v>
      </c>
      <c r="D582" s="3009">
        <f>'Смета Внутр'!D588</f>
        <v>1.6380000000000001</v>
      </c>
      <c r="E582" s="3007"/>
      <c r="F582" s="3012">
        <f>'Смета Внутр'!H588</f>
        <v>0</v>
      </c>
    </row>
    <row r="583" spans="2:6">
      <c r="B583" s="3007" t="str">
        <f>'Смета Внутр'!B589</f>
        <v>Нет</v>
      </c>
      <c r="C583" s="3008" t="str">
        <f>'Смета Внутр'!C589</f>
        <v>м3</v>
      </c>
      <c r="D583" s="3009">
        <f>'Смета Внутр'!D589</f>
        <v>0</v>
      </c>
      <c r="E583" s="3007"/>
      <c r="F583" s="3012">
        <f>'Смета Внутр'!H589</f>
        <v>0</v>
      </c>
    </row>
    <row r="584" spans="2:6">
      <c r="B584" s="3007" t="str">
        <f>'Смета Внутр'!B590</f>
        <v>Грибок для крепления утеплителя</v>
      </c>
      <c r="C584" s="3008" t="str">
        <f>'Смета Внутр'!C590</f>
        <v>шт</v>
      </c>
      <c r="D584" s="3009">
        <f>'Смета Внутр'!D590</f>
        <v>0</v>
      </c>
      <c r="E584" s="3007"/>
      <c r="F584" s="3012">
        <f>'Смета Внутр'!H590</f>
        <v>0</v>
      </c>
    </row>
    <row r="585" spans="2:6">
      <c r="B585" s="3007" t="str">
        <f>'Смета Внутр'!B591</f>
        <v>нет ветроизоляции</v>
      </c>
      <c r="C585" s="3008" t="str">
        <f>'Смета Внутр'!C591</f>
        <v>м2</v>
      </c>
      <c r="D585" s="3009">
        <f>'Смета Внутр'!D591</f>
        <v>0</v>
      </c>
      <c r="E585" s="3007"/>
      <c r="F585" s="3012">
        <f>'Смета Внутр'!H591</f>
        <v>0</v>
      </c>
    </row>
    <row r="586" spans="2:6">
      <c r="B586" s="3311" t="str">
        <f>'Смета Внутр'!B592</f>
        <v>Итого материалы</v>
      </c>
      <c r="C586" s="3311"/>
      <c r="D586" s="3311"/>
      <c r="E586" s="3311"/>
      <c r="F586" s="3014">
        <f>'Смета Внутр'!G592</f>
        <v>0</v>
      </c>
    </row>
    <row r="587" spans="2:6">
      <c r="B587" s="3312" t="str">
        <f>'Смета Внутр'!B593</f>
        <v>Работы</v>
      </c>
      <c r="C587" s="3312"/>
      <c r="D587" s="3312"/>
      <c r="E587" s="3312"/>
      <c r="F587" s="3011">
        <f>'Смета Внутр'!H593</f>
        <v>0</v>
      </c>
    </row>
    <row r="588" spans="2:6">
      <c r="B588" s="3007" t="str">
        <f>'Смета Внутр'!B594</f>
        <v>кладка газобетона несущие стены</v>
      </c>
      <c r="C588" s="3008" t="str">
        <f>'Смета Внутр'!C594</f>
        <v>м3</v>
      </c>
      <c r="D588" s="3009">
        <f>'Смета Внутр'!D594</f>
        <v>-3.12</v>
      </c>
      <c r="E588" s="3007"/>
      <c r="F588" s="3012">
        <f>'Смета Внутр'!H594</f>
        <v>0</v>
      </c>
    </row>
    <row r="589" spans="2:6">
      <c r="B589" s="3007" t="str">
        <f>'Смета Внутр'!B595</f>
        <v>кладка газобетона несущие перегородки</v>
      </c>
      <c r="C589" s="3008" t="str">
        <f>'Смета Внутр'!C595</f>
        <v>м3</v>
      </c>
      <c r="D589" s="3009">
        <f>'Смета Внутр'!D595</f>
        <v>0</v>
      </c>
      <c r="E589" s="3007"/>
      <c r="F589" s="3012">
        <f>'Смета Внутр'!H595</f>
        <v>0</v>
      </c>
    </row>
    <row r="590" spans="2:6">
      <c r="B590" s="3007" t="str">
        <f>'Смета Внутр'!B596</f>
        <v>кладка газобетона перегородки</v>
      </c>
      <c r="C590" s="3008" t="str">
        <f>'Смета Внутр'!C596</f>
        <v>м2</v>
      </c>
      <c r="D590" s="3009">
        <f>'Смета Внутр'!D596</f>
        <v>0</v>
      </c>
      <c r="E590" s="3007"/>
      <c r="F590" s="3012">
        <f>'Смета Внутр'!H596</f>
        <v>0</v>
      </c>
    </row>
    <row r="591" spans="2:6">
      <c r="B591" s="3007" t="str">
        <f>'Смета Внутр'!B597</f>
        <v>изготовление и монтаж перемычек для окон и дверей</v>
      </c>
      <c r="C591" s="3008" t="str">
        <f>'Смета Внутр'!C597</f>
        <v>м.п.</v>
      </c>
      <c r="D591" s="3009">
        <f>'Смета Внутр'!D597</f>
        <v>2.5199999999999996</v>
      </c>
      <c r="E591" s="3007"/>
      <c r="F591" s="3012">
        <f>'Смета Внутр'!H597</f>
        <v>0</v>
      </c>
    </row>
    <row r="592" spans="2:6">
      <c r="B592" s="3007" t="str">
        <f>'Смета Внутр'!B598</f>
        <v>Замешивание раствора</v>
      </c>
      <c r="C592" s="3008" t="str">
        <f>'Смета Внутр'!C598</f>
        <v>м3</v>
      </c>
      <c r="D592" s="3009">
        <f>'Смета Внутр'!D598</f>
        <v>-0.54144575999999911</v>
      </c>
      <c r="E592" s="3007"/>
      <c r="F592" s="3012">
        <f>'Смета Внутр'!H598</f>
        <v>0</v>
      </c>
    </row>
    <row r="593" spans="2:6">
      <c r="B593" s="3007" t="str">
        <f>'Смета Внутр'!B599</f>
        <v>Армирование стен наружних и перегородок</v>
      </c>
      <c r="C593" s="3008" t="str">
        <f>'Смета Внутр'!C599</f>
        <v>м.п.</v>
      </c>
      <c r="D593" s="3009">
        <f>'Смета Внутр'!D599</f>
        <v>240</v>
      </c>
      <c r="E593" s="3007"/>
      <c r="F593" s="3012">
        <f>'Смета Внутр'!H599</f>
        <v>0</v>
      </c>
    </row>
    <row r="594" spans="2:6">
      <c r="B594" s="3007" t="str">
        <f>'Смета Внутр'!B600</f>
        <v>Установка опалубки для сейсмопояса</v>
      </c>
      <c r="C594" s="3008" t="str">
        <f>'Смета Внутр'!C600</f>
        <v>м.п.</v>
      </c>
      <c r="D594" s="3009">
        <f>'Смета Внутр'!D600</f>
        <v>40</v>
      </c>
      <c r="E594" s="3007"/>
      <c r="F594" s="3012">
        <f>'Смета Внутр'!H600</f>
        <v>0</v>
      </c>
    </row>
    <row r="595" spans="2:6">
      <c r="B595" s="3007" t="str">
        <f>'Смета Внутр'!B601</f>
        <v>Армирование сейсмопояса</v>
      </c>
      <c r="C595" s="3008" t="str">
        <f>'Смета Внутр'!C601</f>
        <v>м.п.</v>
      </c>
      <c r="D595" s="3009">
        <f>'Смета Внутр'!D601</f>
        <v>40</v>
      </c>
      <c r="E595" s="3007"/>
      <c r="F595" s="3012">
        <f>'Смета Внутр'!H601</f>
        <v>0</v>
      </c>
    </row>
    <row r="596" spans="2:6">
      <c r="B596" s="3007" t="str">
        <f>'Смета Внутр'!B602</f>
        <v>Заливка бетоном сейсмопояса</v>
      </c>
      <c r="C596" s="3008" t="str">
        <f>'Смета Внутр'!C602</f>
        <v>м.п.</v>
      </c>
      <c r="D596" s="3009">
        <f>'Смета Внутр'!D602</f>
        <v>40</v>
      </c>
      <c r="E596" s="3007"/>
      <c r="F596" s="3012">
        <f>'Смета Внутр'!H602</f>
        <v>0</v>
      </c>
    </row>
    <row r="597" spans="2:6">
      <c r="B597" s="3007" t="str">
        <f>'Смета Внутр'!B603</f>
        <v>утепление стен снаружи дома</v>
      </c>
      <c r="C597" s="3008" t="str">
        <f>'Смета Внутр'!C603</f>
        <v>м2</v>
      </c>
      <c r="D597" s="3009">
        <f>'Смета Внутр'!D603</f>
        <v>0</v>
      </c>
      <c r="E597" s="3007"/>
      <c r="F597" s="3012">
        <f>'Смета Внутр'!H603</f>
        <v>0</v>
      </c>
    </row>
    <row r="598" spans="2:6">
      <c r="B598" s="3007" t="str">
        <f>'Смета Внутр'!B604</f>
        <v>монтаж ветроизоляции стен</v>
      </c>
      <c r="C598" s="3008" t="str">
        <f>'Смета Внутр'!C604</f>
        <v>м2</v>
      </c>
      <c r="D598" s="3009">
        <f>'Смета Внутр'!D604</f>
        <v>0</v>
      </c>
      <c r="E598" s="3007"/>
      <c r="F598" s="3012">
        <f>'Смета Внутр'!H604</f>
        <v>0</v>
      </c>
    </row>
    <row r="599" spans="2:6">
      <c r="B599" s="3311" t="str">
        <f>'Смета Внутр'!B605</f>
        <v>Итого работы</v>
      </c>
      <c r="C599" s="3311"/>
      <c r="D599" s="3311"/>
      <c r="E599" s="3311"/>
      <c r="F599" s="3014">
        <f>'Смета Внутр'!G605</f>
        <v>0</v>
      </c>
    </row>
    <row r="600" spans="2:6" ht="19">
      <c r="B600" s="3313" t="str">
        <f>'Смета Внутр'!B606</f>
        <v>Дом из Пенобетона</v>
      </c>
      <c r="C600" s="3313"/>
      <c r="D600" s="3313"/>
      <c r="E600" s="3313"/>
      <c r="F600" s="3011">
        <f>'Смета Внутр'!H606</f>
        <v>0</v>
      </c>
    </row>
    <row r="601" spans="2:6">
      <c r="B601" s="3310" t="str">
        <f>'Смета Внутр'!B607</f>
        <v>Материалы</v>
      </c>
      <c r="C601" s="3310"/>
      <c r="D601" s="3310"/>
      <c r="E601" s="3310"/>
      <c r="F601" s="3011">
        <f>'Смета Внутр'!H607</f>
        <v>0</v>
      </c>
    </row>
    <row r="602" spans="2:6">
      <c r="B602" s="3007" t="str">
        <f>'Смета Внутр'!B608</f>
        <v>Керамзитобетонный блок - 390х190х188</v>
      </c>
      <c r="C602" s="3008" t="str">
        <f>'Смета Внутр'!C608</f>
        <v>м3</v>
      </c>
      <c r="D602" s="3009">
        <f>'Смета Внутр'!D608</f>
        <v>0</v>
      </c>
      <c r="E602" s="3007"/>
      <c r="F602" s="3012">
        <f>'Смета Внутр'!H608</f>
        <v>0</v>
      </c>
    </row>
    <row r="603" spans="2:6">
      <c r="B603" s="3007" t="str">
        <f>'Смета Внутр'!B609</f>
        <v>Керамзитобетонный блок - 390х190х188</v>
      </c>
      <c r="C603" s="3008" t="str">
        <f>'Смета Внутр'!C609</f>
        <v>м3</v>
      </c>
      <c r="D603" s="3009">
        <f>'Смета Внутр'!D609</f>
        <v>0</v>
      </c>
      <c r="E603" s="3007"/>
      <c r="F603" s="3012">
        <f>'Смета Внутр'!H609</f>
        <v>0</v>
      </c>
    </row>
    <row r="604" spans="2:6">
      <c r="B604" s="3007" t="str">
        <f>'Смета Внутр'!B610</f>
        <v>Керамзитобетонный блок - 390х90х188</v>
      </c>
      <c r="C604" s="3008" t="str">
        <f>'Смета Внутр'!C610</f>
        <v>м3</v>
      </c>
      <c r="D604" s="3009">
        <f>'Смета Внутр'!D610</f>
        <v>0</v>
      </c>
      <c r="E604" s="3007"/>
      <c r="F604" s="3012">
        <f>'Смета Внутр'!H610</f>
        <v>0</v>
      </c>
    </row>
    <row r="605" spans="2:6">
      <c r="B605" s="3007" t="str">
        <f>'Смета Внутр'!B611</f>
        <v>Клей монтажный ВК-100</v>
      </c>
      <c r="C605" s="3008" t="str">
        <f>'Смета Внутр'!C611</f>
        <v>меш</v>
      </c>
      <c r="D605" s="3009">
        <f>'Смета Внутр'!D611</f>
        <v>0</v>
      </c>
      <c r="E605" s="3007"/>
      <c r="F605" s="3012">
        <f>'Смета Внутр'!H611</f>
        <v>0</v>
      </c>
    </row>
    <row r="606" spans="2:6">
      <c r="B606" s="3007" t="e">
        <f>'Смета Внутр'!B612</f>
        <v>#N/A</v>
      </c>
      <c r="C606" s="3008" t="str">
        <f>'Смета Внутр'!C612</f>
        <v>меш</v>
      </c>
      <c r="D606" s="3009">
        <f>'Смета Внутр'!D612</f>
        <v>0</v>
      </c>
      <c r="E606" s="3007"/>
      <c r="F606" s="3012">
        <f>'Смета Внутр'!H612</f>
        <v>0</v>
      </c>
    </row>
    <row r="607" spans="2:6">
      <c r="B607" s="3007" t="e">
        <f>'Смета Внутр'!B613</f>
        <v>#N/A</v>
      </c>
      <c r="C607" s="3008" t="str">
        <f>'Смета Внутр'!C613</f>
        <v>м3</v>
      </c>
      <c r="D607" s="3009">
        <f>'Смета Внутр'!D613</f>
        <v>0</v>
      </c>
      <c r="E607" s="3007"/>
      <c r="F607" s="3012">
        <f>'Смета Внутр'!H613</f>
        <v>0</v>
      </c>
    </row>
    <row r="608" spans="2:6">
      <c r="B608" s="3007" t="str">
        <f>'Смета Внутр'!B614</f>
        <v>Доставка песка</v>
      </c>
      <c r="C608" s="3008" t="str">
        <f>'Смета Внутр'!C614</f>
        <v>маш</v>
      </c>
      <c r="D608" s="3009">
        <f>'Смета Внутр'!D614</f>
        <v>0</v>
      </c>
      <c r="E608" s="3007"/>
      <c r="F608" s="3012">
        <f>'Смета Внутр'!H614</f>
        <v>0</v>
      </c>
    </row>
    <row r="609" spans="2:6">
      <c r="B609" s="3007" t="e">
        <f>'Смета Внутр'!B615</f>
        <v>#N/A</v>
      </c>
      <c r="C609" s="3008" t="str">
        <f>'Смета Внутр'!C615</f>
        <v>м3</v>
      </c>
      <c r="D609" s="3009">
        <f>'Смета Внутр'!D615</f>
        <v>0</v>
      </c>
      <c r="E609" s="3007"/>
      <c r="F609" s="3012">
        <f>'Смета Внутр'!H615</f>
        <v>0</v>
      </c>
    </row>
    <row r="610" spans="2:6">
      <c r="B610" s="3007" t="str">
        <f>'Смета Внутр'!B616</f>
        <v>Арматура М6 каждый 3-й ряд, 2 нити</v>
      </c>
      <c r="C610" s="3008" t="str">
        <f>'Смета Внутр'!C616</f>
        <v>м.п.</v>
      </c>
      <c r="D610" s="3009">
        <f>'Смета Внутр'!D616</f>
        <v>480</v>
      </c>
      <c r="E610" s="3007"/>
      <c r="F610" s="3012">
        <f>'Смета Внутр'!H616</f>
        <v>0</v>
      </c>
    </row>
    <row r="611" spans="2:6">
      <c r="B611" s="3007" t="str">
        <f>'Смета Внутр'!B617</f>
        <v>Арматура М6 каждый 3-й ряд, 2 нити</v>
      </c>
      <c r="C611" s="3008" t="str">
        <f>'Смета Внутр'!C617</f>
        <v>м.п.</v>
      </c>
      <c r="D611" s="3009">
        <f>'Смета Внутр'!D617</f>
        <v>0</v>
      </c>
      <c r="E611" s="3007"/>
      <c r="F611" s="3012">
        <f>'Смета Внутр'!H617</f>
        <v>0</v>
      </c>
    </row>
    <row r="612" spans="2:6">
      <c r="B612" s="3007" t="str">
        <f>'Смета Внутр'!B618</f>
        <v>Перемычка оконная, 1-ый эт. Вариант 1</v>
      </c>
      <c r="C612" s="3008" t="str">
        <f>'Смета Внутр'!C618</f>
        <v>м.п.</v>
      </c>
      <c r="D612" s="3009">
        <f>'Смета Внутр'!D618</f>
        <v>1</v>
      </c>
      <c r="E612" s="3007"/>
      <c r="F612" s="3012">
        <f>'Смета Внутр'!H618</f>
        <v>0</v>
      </c>
    </row>
    <row r="613" spans="2:6">
      <c r="B613" s="3007" t="str">
        <f>'Смета Внутр'!B619</f>
        <v>Перемычка оконная, 1-ый эт. Вариант 2</v>
      </c>
      <c r="C613" s="3008" t="str">
        <f>'Смета Внутр'!C619</f>
        <v>м.п.</v>
      </c>
      <c r="D613" s="3009">
        <f>'Смета Внутр'!D619</f>
        <v>0</v>
      </c>
      <c r="E613" s="3007"/>
      <c r="F613" s="3012">
        <f>'Смета Внутр'!H619</f>
        <v>0</v>
      </c>
    </row>
    <row r="614" spans="2:6">
      <c r="B614" s="3007" t="str">
        <f>'Смета Внутр'!B620</f>
        <v>Перемычка оконная, 1-ый эт. Вариант 3</v>
      </c>
      <c r="C614" s="3008" t="str">
        <f>'Смета Внутр'!C620</f>
        <v>м.п.</v>
      </c>
      <c r="D614" s="3009">
        <f>'Смета Внутр'!D620</f>
        <v>0</v>
      </c>
      <c r="E614" s="3007"/>
      <c r="F614" s="3012">
        <f>'Смета Внутр'!H620</f>
        <v>0</v>
      </c>
    </row>
    <row r="615" spans="2:6">
      <c r="B615" s="3007" t="str">
        <f>'Смета Внутр'!B621</f>
        <v>Перемычка оконная, 1-ый эт. Вариант 4</v>
      </c>
      <c r="C615" s="3008" t="str">
        <f>'Смета Внутр'!C621</f>
        <v>м.п.</v>
      </c>
      <c r="D615" s="3009">
        <f>'Смета Внутр'!D621</f>
        <v>0</v>
      </c>
      <c r="E615" s="3007"/>
      <c r="F615" s="3012">
        <f>'Смета Внутр'!H621</f>
        <v>0</v>
      </c>
    </row>
    <row r="616" spans="2:6">
      <c r="B616" s="3007" t="str">
        <f>'Смета Внутр'!B622</f>
        <v>Перемычка оконная, 1-ый эт. Вариант 5</v>
      </c>
      <c r="C616" s="3008" t="str">
        <f>'Смета Внутр'!C622</f>
        <v>м.п.</v>
      </c>
      <c r="D616" s="3009">
        <f>'Смета Внутр'!D622</f>
        <v>0</v>
      </c>
      <c r="E616" s="3007"/>
      <c r="F616" s="3012">
        <f>'Смета Внутр'!H622</f>
        <v>0</v>
      </c>
    </row>
    <row r="617" spans="2:6">
      <c r="B617" s="3007" t="str">
        <f>'Смета Внутр'!B623</f>
        <v>Перемычка оконная, 2-ый эт. Вариант 6</v>
      </c>
      <c r="C617" s="3008" t="str">
        <f>'Смета Внутр'!C623</f>
        <v>м.п.</v>
      </c>
      <c r="D617" s="3009">
        <f>'Смета Внутр'!D623</f>
        <v>0</v>
      </c>
      <c r="E617" s="3007"/>
      <c r="F617" s="3012">
        <f>'Смета Внутр'!H623</f>
        <v>0</v>
      </c>
    </row>
    <row r="618" spans="2:6">
      <c r="B618" s="3007" t="str">
        <f>'Смета Внутр'!B624</f>
        <v>Перемычка оконная, 2-ый эт. Вариант 7</v>
      </c>
      <c r="C618" s="3008" t="str">
        <f>'Смета Внутр'!C624</f>
        <v>м.п.</v>
      </c>
      <c r="D618" s="3009">
        <f>'Смета Внутр'!D624</f>
        <v>0</v>
      </c>
      <c r="E618" s="3007"/>
      <c r="F618" s="3012">
        <f>'Смета Внутр'!H624</f>
        <v>0</v>
      </c>
    </row>
    <row r="619" spans="2:6">
      <c r="B619" s="3007" t="str">
        <f>'Смета Внутр'!B625</f>
        <v>Перемычка оконная, 2-ый эт. Вариант 8</v>
      </c>
      <c r="C619" s="3008" t="str">
        <f>'Смета Внутр'!C625</f>
        <v>м.п.</v>
      </c>
      <c r="D619" s="3009">
        <f>'Смета Внутр'!D625</f>
        <v>0</v>
      </c>
      <c r="E619" s="3007"/>
      <c r="F619" s="3012">
        <f>'Смета Внутр'!H625</f>
        <v>0</v>
      </c>
    </row>
    <row r="620" spans="2:6">
      <c r="B620" s="3007" t="str">
        <f>'Смета Внутр'!B626</f>
        <v>Перемычка оконная, 2-ый эт. Вариант 9</v>
      </c>
      <c r="C620" s="3008" t="str">
        <f>'Смета Внутр'!C626</f>
        <v>м.п.</v>
      </c>
      <c r="D620" s="3009">
        <f>'Смета Внутр'!D626</f>
        <v>0</v>
      </c>
      <c r="E620" s="3007"/>
      <c r="F620" s="3012">
        <f>'Смета Внутр'!H626</f>
        <v>0</v>
      </c>
    </row>
    <row r="621" spans="2:6">
      <c r="B621" s="3007" t="str">
        <f>'Смета Внутр'!B627</f>
        <v>Перемычка оконная, 2-ый эт. Вариант 10</v>
      </c>
      <c r="C621" s="3008" t="str">
        <f>'Смета Внутр'!C627</f>
        <v>м.п.</v>
      </c>
      <c r="D621" s="3009">
        <f>'Смета Внутр'!D627</f>
        <v>0</v>
      </c>
      <c r="E621" s="3007"/>
      <c r="F621" s="3012">
        <f>'Смета Внутр'!H627</f>
        <v>0</v>
      </c>
    </row>
    <row r="622" spans="2:6">
      <c r="B622" s="3007" t="str">
        <f>'Смета Внутр'!B628</f>
        <v>Перемычка дверная, 1-ый эт. Вариант 1</v>
      </c>
      <c r="C622" s="3008" t="str">
        <f>'Смета Внутр'!C628</f>
        <v>м.п.</v>
      </c>
      <c r="D622" s="3009">
        <f>'Смета Внутр'!D628</f>
        <v>0</v>
      </c>
      <c r="E622" s="3007"/>
      <c r="F622" s="3012">
        <f>'Смета Внутр'!H628</f>
        <v>0</v>
      </c>
    </row>
    <row r="623" spans="2:6">
      <c r="B623" s="3007" t="str">
        <f>'Смета Внутр'!B629</f>
        <v>Перемычка дверная, 2-ый эт. Вариант 2</v>
      </c>
      <c r="C623" s="3008" t="str">
        <f>'Смета Внутр'!C629</f>
        <v>м.п.</v>
      </c>
      <c r="D623" s="3009">
        <f>'Смета Внутр'!D629</f>
        <v>0</v>
      </c>
      <c r="E623" s="3007"/>
      <c r="F623" s="3012">
        <f>'Смета Внутр'!H629</f>
        <v>0</v>
      </c>
    </row>
    <row r="624" spans="2:6">
      <c r="B624" s="3007" t="str">
        <f>'Смета Внутр'!B630</f>
        <v>Перемычка оконная 1-ый эт, Вариант 11</v>
      </c>
      <c r="C624" s="3008" t="str">
        <f>'Смета Внутр'!C630</f>
        <v>м.п.</v>
      </c>
      <c r="D624" s="3009">
        <f>'Смета Внутр'!D630</f>
        <v>0</v>
      </c>
      <c r="E624" s="3007"/>
      <c r="F624" s="3012">
        <f>'Смета Внутр'!H630</f>
        <v>0</v>
      </c>
    </row>
    <row r="625" spans="2:6">
      <c r="B625" s="3007" t="str">
        <f>'Смета Внутр'!B631</f>
        <v>Перемычка оконная 1-ый эт, Вариант 12</v>
      </c>
      <c r="C625" s="3008" t="str">
        <f>'Смета Внутр'!C631</f>
        <v>м.п.</v>
      </c>
      <c r="D625" s="3009">
        <f>'Смета Внутр'!D631</f>
        <v>0</v>
      </c>
      <c r="E625" s="3007"/>
      <c r="F625" s="3012">
        <f>'Смета Внутр'!H631</f>
        <v>0</v>
      </c>
    </row>
    <row r="626" spans="2:6">
      <c r="B626" s="3007" t="str">
        <f>'Смета Внутр'!B632</f>
        <v>Перемычка дверная, 1-ый эт. Вариант 4</v>
      </c>
      <c r="C626" s="3008" t="str">
        <f>'Смета Внутр'!C632</f>
        <v>м.п.</v>
      </c>
      <c r="D626" s="3009">
        <f>'Смета Внутр'!D632</f>
        <v>0</v>
      </c>
      <c r="E626" s="3007"/>
      <c r="F626" s="3012">
        <f>'Смета Внутр'!H632</f>
        <v>0</v>
      </c>
    </row>
    <row r="627" spans="2:6">
      <c r="B627" s="3007" t="str">
        <f>'Смета Внутр'!B633</f>
        <v>Перемычка дверная, 1-ый эт. Вариант 5</v>
      </c>
      <c r="C627" s="3008" t="str">
        <f>'Смета Внутр'!C633</f>
        <v>м.п.</v>
      </c>
      <c r="D627" s="3009">
        <f>'Смета Внутр'!D633</f>
        <v>0</v>
      </c>
      <c r="E627" s="3007"/>
      <c r="F627" s="3012">
        <f>'Смета Внутр'!H633</f>
        <v>0</v>
      </c>
    </row>
    <row r="628" spans="2:6">
      <c r="B628" s="3007" t="str">
        <f>'Смета Внутр'!B634</f>
        <v>Перемычка дверная, 1-ый эт. Вариант 6</v>
      </c>
      <c r="C628" s="3008" t="str">
        <f>'Смета Внутр'!C634</f>
        <v>м.п.</v>
      </c>
      <c r="D628" s="3009">
        <f>'Смета Внутр'!D634</f>
        <v>0</v>
      </c>
      <c r="E628" s="3007"/>
      <c r="F628" s="3012">
        <f>'Смета Внутр'!H634</f>
        <v>0</v>
      </c>
    </row>
    <row r="629" spans="2:6">
      <c r="B629" s="3007" t="str">
        <f>'Смета Внутр'!B635</f>
        <v>Перемычка дверная, 2-ый эт. Вариант 7</v>
      </c>
      <c r="C629" s="3008" t="str">
        <f>'Смета Внутр'!C635</f>
        <v>м.п.</v>
      </c>
      <c r="D629" s="3009">
        <f>'Смета Внутр'!D635</f>
        <v>0</v>
      </c>
      <c r="E629" s="3007"/>
      <c r="F629" s="3012">
        <f>'Смета Внутр'!H635</f>
        <v>0</v>
      </c>
    </row>
    <row r="630" spans="2:6">
      <c r="B630" s="3007" t="str">
        <f>'Смета Внутр'!B636</f>
        <v>Перемычка дверная, 2-ый эт. Вариант 8</v>
      </c>
      <c r="C630" s="3008" t="str">
        <f>'Смета Внутр'!C636</f>
        <v>м.п.</v>
      </c>
      <c r="D630" s="3009">
        <f>'Смета Внутр'!D636</f>
        <v>0</v>
      </c>
      <c r="E630" s="3007"/>
      <c r="F630" s="3012">
        <f>'Смета Внутр'!H636</f>
        <v>0</v>
      </c>
    </row>
    <row r="631" spans="2:6">
      <c r="B631" s="3007" t="str">
        <f>'Смета Внутр'!B637</f>
        <v>Перемычка дверная, 2-ый эт. Вариант 9</v>
      </c>
      <c r="C631" s="3008" t="str">
        <f>'Смета Внутр'!C637</f>
        <v>м.п.</v>
      </c>
      <c r="D631" s="3009">
        <f>'Смета Внутр'!D637</f>
        <v>0</v>
      </c>
      <c r="E631" s="3007"/>
      <c r="F631" s="3012">
        <f>'Смета Внутр'!H637</f>
        <v>0</v>
      </c>
    </row>
    <row r="632" spans="2:6">
      <c r="B632" s="3007" t="str">
        <f>'Смета Внутр'!B638</f>
        <v>Перемычка проема, 1-ый эт. Вариант 10</v>
      </c>
      <c r="C632" s="3008" t="str">
        <f>'Смета Внутр'!C638</f>
        <v>м.п.</v>
      </c>
      <c r="D632" s="3009">
        <f>'Смета Внутр'!D638</f>
        <v>0</v>
      </c>
      <c r="E632" s="3007"/>
      <c r="F632" s="3012">
        <f>'Смета Внутр'!H638</f>
        <v>0</v>
      </c>
    </row>
    <row r="633" spans="2:6">
      <c r="B633" s="3007" t="str">
        <f>'Смета Внутр'!B639</f>
        <v>Перемычка проема, 1-ый эт. Вариант 11</v>
      </c>
      <c r="C633" s="3008" t="str">
        <f>'Смета Внутр'!C639</f>
        <v>м.п.</v>
      </c>
      <c r="D633" s="3009">
        <f>'Смета Внутр'!D639</f>
        <v>0</v>
      </c>
      <c r="E633" s="3007"/>
      <c r="F633" s="3012">
        <f>'Смета Внутр'!H639</f>
        <v>0</v>
      </c>
    </row>
    <row r="634" spans="2:6">
      <c r="B634" s="3007" t="str">
        <f>'Смета Внутр'!B640</f>
        <v>Перемычка проема, 2-ый эт. Вариант 12</v>
      </c>
      <c r="C634" s="3008" t="str">
        <f>'Смета Внутр'!C640</f>
        <v>м.п.</v>
      </c>
      <c r="D634" s="3009">
        <f>'Смета Внутр'!D640</f>
        <v>0</v>
      </c>
      <c r="E634" s="3007"/>
      <c r="F634" s="3012">
        <f>'Смета Внутр'!H640</f>
        <v>0</v>
      </c>
    </row>
    <row r="635" spans="2:6">
      <c r="B635" s="3007" t="str">
        <f>'Смета Внутр'!B641</f>
        <v>Перемычка проема, 2-ый эт. Вариант 13</v>
      </c>
      <c r="C635" s="3008" t="str">
        <f>'Смета Внутр'!C641</f>
        <v>м.п.</v>
      </c>
      <c r="D635" s="3009">
        <f>'Смета Внутр'!D641</f>
        <v>0</v>
      </c>
      <c r="E635" s="3007"/>
      <c r="F635" s="3012">
        <f>'Смета Внутр'!H641</f>
        <v>0</v>
      </c>
    </row>
    <row r="636" spans="2:6">
      <c r="B636" s="3007" t="str">
        <f>'Смета Внутр'!B642</f>
        <v>Перемычка дверная, 1-ый эт. Вариант 1</v>
      </c>
      <c r="C636" s="3008" t="str">
        <f>'Смета Внутр'!C642</f>
        <v>м.п.</v>
      </c>
      <c r="D636" s="3009">
        <f>'Смета Внутр'!D642</f>
        <v>0</v>
      </c>
      <c r="E636" s="3007"/>
      <c r="F636" s="3012">
        <f>'Смета Внутр'!H642</f>
        <v>0</v>
      </c>
    </row>
    <row r="637" spans="2:6">
      <c r="B637" s="3007" t="str">
        <f>'Смета Внутр'!B643</f>
        <v>Перемычка дверная, 1-ый эт. Вариант 2</v>
      </c>
      <c r="C637" s="3008" t="str">
        <f>'Смета Внутр'!C643</f>
        <v>м.п.</v>
      </c>
      <c r="D637" s="3009">
        <f>'Смета Внутр'!D643</f>
        <v>0</v>
      </c>
      <c r="E637" s="3007"/>
      <c r="F637" s="3012">
        <f>'Смета Внутр'!H643</f>
        <v>0</v>
      </c>
    </row>
    <row r="638" spans="2:6">
      <c r="B638" s="3007" t="str">
        <f>'Смета Внутр'!B644</f>
        <v>Перемычка дверная, 1-ый эт. Вариант 3</v>
      </c>
      <c r="C638" s="3008" t="str">
        <f>'Смета Внутр'!C644</f>
        <v>м.п.</v>
      </c>
      <c r="D638" s="3009">
        <f>'Смета Внутр'!D644</f>
        <v>0</v>
      </c>
      <c r="E638" s="3007"/>
      <c r="F638" s="3012">
        <f>'Смета Внутр'!H644</f>
        <v>0</v>
      </c>
    </row>
    <row r="639" spans="2:6">
      <c r="B639" s="3007" t="str">
        <f>'Смета Внутр'!B645</f>
        <v>Сосна влаж,200*40мм</v>
      </c>
      <c r="C639" s="3008" t="str">
        <f>'Смета Внутр'!C645</f>
        <v>м3</v>
      </c>
      <c r="D639" s="3009">
        <f>'Смета Внутр'!D645</f>
        <v>0.83200000000000007</v>
      </c>
      <c r="E639" s="3007"/>
      <c r="F639" s="3012">
        <f>'Смета Внутр'!H645</f>
        <v>0</v>
      </c>
    </row>
    <row r="640" spans="2:6">
      <c r="B640" s="3007" t="str">
        <f>'Смета Внутр'!B646</f>
        <v>Сейсмопояс Арматура М10 4 нити</v>
      </c>
      <c r="C640" s="3008" t="str">
        <f>'Смета Внутр'!C646</f>
        <v>м.п.</v>
      </c>
      <c r="D640" s="3009">
        <f>'Смета Внутр'!D646</f>
        <v>176</v>
      </c>
      <c r="E640" s="3007"/>
      <c r="F640" s="3012">
        <f>'Смета Внутр'!H646</f>
        <v>0</v>
      </c>
    </row>
    <row r="641" spans="2:6">
      <c r="B641" s="3007" t="str">
        <f>'Смета Внутр'!B647</f>
        <v>Хомут для сейсмопояса Арматура М6, шаг 400мм</v>
      </c>
      <c r="C641" s="3008" t="str">
        <f>'Смета Внутр'!C647</f>
        <v>м.п.</v>
      </c>
      <c r="D641" s="3009">
        <f>'Смета Внутр'!D647</f>
        <v>90</v>
      </c>
      <c r="E641" s="3007"/>
      <c r="F641" s="3012">
        <f>'Смета Внутр'!H647</f>
        <v>0</v>
      </c>
    </row>
    <row r="642" spans="2:6">
      <c r="B642" s="3007" t="str">
        <f>'Смета Внутр'!B648</f>
        <v>Бетон, м300</v>
      </c>
      <c r="C642" s="3008" t="str">
        <f>'Смета Внутр'!C648</f>
        <v>м3</v>
      </c>
      <c r="D642" s="3009">
        <f>'Смета Внутр'!D648</f>
        <v>1.6380000000000001</v>
      </c>
      <c r="E642" s="3007"/>
      <c r="F642" s="3012">
        <f>'Смета Внутр'!H648</f>
        <v>0</v>
      </c>
    </row>
    <row r="643" spans="2:6">
      <c r="B643" s="3007" t="str">
        <f>'Смета Внутр'!B649</f>
        <v>Нет</v>
      </c>
      <c r="C643" s="3008" t="str">
        <f>'Смета Внутр'!C649</f>
        <v>м3</v>
      </c>
      <c r="D643" s="3009">
        <f>'Смета Внутр'!D649</f>
        <v>0</v>
      </c>
      <c r="E643" s="3007"/>
      <c r="F643" s="3012">
        <f>'Смета Внутр'!H649</f>
        <v>0</v>
      </c>
    </row>
    <row r="644" spans="2:6">
      <c r="B644" s="3007" t="str">
        <f>'Смета Внутр'!B650</f>
        <v>Грибок для крепления утеплителя</v>
      </c>
      <c r="C644" s="3008" t="str">
        <f>'Смета Внутр'!C650</f>
        <v>шт</v>
      </c>
      <c r="D644" s="3009">
        <f>'Смета Внутр'!D650</f>
        <v>0</v>
      </c>
      <c r="E644" s="3007"/>
      <c r="F644" s="3012">
        <f>'Смета Внутр'!H650</f>
        <v>0</v>
      </c>
    </row>
    <row r="645" spans="2:6">
      <c r="B645" s="3007" t="str">
        <f>'Смета Внутр'!B651</f>
        <v>нет ветроизоляции</v>
      </c>
      <c r="C645" s="3008" t="str">
        <f>'Смета Внутр'!C651</f>
        <v>м2</v>
      </c>
      <c r="D645" s="3009">
        <f>'Смета Внутр'!D651</f>
        <v>0</v>
      </c>
      <c r="E645" s="3007"/>
      <c r="F645" s="3012">
        <f>'Смета Внутр'!H651</f>
        <v>0</v>
      </c>
    </row>
    <row r="646" spans="2:6">
      <c r="B646" s="3311" t="str">
        <f>'Смета Внутр'!B652</f>
        <v>Итого материалы</v>
      </c>
      <c r="C646" s="3311"/>
      <c r="D646" s="3311"/>
      <c r="E646" s="3311"/>
      <c r="F646" s="3014">
        <f>'Смета Внутр'!G652</f>
        <v>0</v>
      </c>
    </row>
    <row r="647" spans="2:6">
      <c r="B647" s="3312" t="str">
        <f>'Смета Внутр'!B653</f>
        <v>Работы</v>
      </c>
      <c r="C647" s="3312"/>
      <c r="D647" s="3312"/>
      <c r="E647" s="3312"/>
      <c r="F647" s="3011">
        <f>'Смета Внутр'!H653</f>
        <v>0</v>
      </c>
    </row>
    <row r="648" spans="2:6">
      <c r="B648" s="3007" t="str">
        <f>'Смета Внутр'!B654</f>
        <v>кладка пенобетона несущие стены</v>
      </c>
      <c r="C648" s="3008" t="str">
        <f>'Смета Внутр'!C654</f>
        <v>м3</v>
      </c>
      <c r="D648" s="3009">
        <f>'Смета Внутр'!D654</f>
        <v>0</v>
      </c>
      <c r="E648" s="3007"/>
      <c r="F648" s="3012">
        <f>'Смета Внутр'!H654</f>
        <v>0</v>
      </c>
    </row>
    <row r="649" spans="2:6">
      <c r="B649" s="3007" t="str">
        <f>'Смета Внутр'!B655</f>
        <v>кладка пенобетона несущие перегородки</v>
      </c>
      <c r="C649" s="3008" t="str">
        <f>'Смета Внутр'!C655</f>
        <v>м3</v>
      </c>
      <c r="D649" s="3009">
        <f>'Смета Внутр'!D655</f>
        <v>0</v>
      </c>
      <c r="E649" s="3007"/>
      <c r="F649" s="3012">
        <f>'Смета Внутр'!H655</f>
        <v>0</v>
      </c>
    </row>
    <row r="650" spans="2:6">
      <c r="B650" s="3007" t="str">
        <f>'Смета Внутр'!B656</f>
        <v>кладка пенобетона перегородки</v>
      </c>
      <c r="C650" s="3008" t="str">
        <f>'Смета Внутр'!C656</f>
        <v>м2</v>
      </c>
      <c r="D650" s="3009">
        <f>'Смета Внутр'!D656</f>
        <v>0</v>
      </c>
      <c r="E650" s="3007"/>
      <c r="F650" s="3012">
        <f>'Смета Внутр'!H656</f>
        <v>0</v>
      </c>
    </row>
    <row r="651" spans="2:6">
      <c r="B651" s="3007" t="str">
        <f>'Смета Внутр'!B657</f>
        <v>изготовление и монтаж перемычек для окон и дверей</v>
      </c>
      <c r="C651" s="3008" t="str">
        <f>'Смета Внутр'!C657</f>
        <v>м.п.</v>
      </c>
      <c r="D651" s="3009">
        <f>'Смета Внутр'!D657</f>
        <v>2.5199999999999996</v>
      </c>
      <c r="E651" s="3007"/>
      <c r="F651" s="3012">
        <f>'Смета Внутр'!H657</f>
        <v>0</v>
      </c>
    </row>
    <row r="652" spans="2:6">
      <c r="B652" s="3007" t="str">
        <f>'Смета Внутр'!B658</f>
        <v>Замешивание раствора</v>
      </c>
      <c r="C652" s="3008" t="str">
        <f>'Смета Внутр'!C658</f>
        <v>м3</v>
      </c>
      <c r="D652" s="3009">
        <f>'Смета Внутр'!D658</f>
        <v>0</v>
      </c>
      <c r="E652" s="3007"/>
      <c r="F652" s="3012">
        <f>'Смета Внутр'!H658</f>
        <v>0</v>
      </c>
    </row>
    <row r="653" spans="2:6">
      <c r="B653" s="3007" t="str">
        <f>'Смета Внутр'!B659</f>
        <v>Армирование стен наружних и перегородок</v>
      </c>
      <c r="C653" s="3008" t="str">
        <f>'Смета Внутр'!C659</f>
        <v>м.п.</v>
      </c>
      <c r="D653" s="3009">
        <f>'Смета Внутр'!D659</f>
        <v>240</v>
      </c>
      <c r="E653" s="3007"/>
      <c r="F653" s="3012">
        <f>'Смета Внутр'!H659</f>
        <v>0</v>
      </c>
    </row>
    <row r="654" spans="2:6">
      <c r="B654" s="3007" t="str">
        <f>'Смета Внутр'!B660</f>
        <v>Установка опалубки для сейсмопояса</v>
      </c>
      <c r="C654" s="3008" t="str">
        <f>'Смета Внутр'!C660</f>
        <v>м.п.</v>
      </c>
      <c r="D654" s="3009">
        <f>'Смета Внутр'!D660</f>
        <v>40</v>
      </c>
      <c r="E654" s="3007"/>
      <c r="F654" s="3012">
        <f>'Смета Внутр'!H660</f>
        <v>0</v>
      </c>
    </row>
    <row r="655" spans="2:6">
      <c r="B655" s="3007" t="str">
        <f>'Смета Внутр'!B661</f>
        <v>Армирование сейсмопояса</v>
      </c>
      <c r="C655" s="3008" t="str">
        <f>'Смета Внутр'!C661</f>
        <v>м.п.</v>
      </c>
      <c r="D655" s="3009">
        <f>'Смета Внутр'!D661</f>
        <v>40</v>
      </c>
      <c r="E655" s="3007"/>
      <c r="F655" s="3012">
        <f>'Смета Внутр'!H661</f>
        <v>0</v>
      </c>
    </row>
    <row r="656" spans="2:6">
      <c r="B656" s="3007" t="str">
        <f>'Смета Внутр'!B662</f>
        <v>Заливка бетоном сейсмопояса</v>
      </c>
      <c r="C656" s="3008" t="str">
        <f>'Смета Внутр'!C662</f>
        <v>м.п.</v>
      </c>
      <c r="D656" s="3009">
        <f>'Смета Внутр'!D662</f>
        <v>40</v>
      </c>
      <c r="E656" s="3007"/>
      <c r="F656" s="3012">
        <f>'Смета Внутр'!H662</f>
        <v>0</v>
      </c>
    </row>
    <row r="657" spans="2:6">
      <c r="B657" s="3007" t="str">
        <f>'Смета Внутр'!B663</f>
        <v>утепление стен снаружи дома</v>
      </c>
      <c r="C657" s="3008" t="str">
        <f>'Смета Внутр'!C663</f>
        <v>м2</v>
      </c>
      <c r="D657" s="3009">
        <f>'Смета Внутр'!D663</f>
        <v>0</v>
      </c>
      <c r="E657" s="3007"/>
      <c r="F657" s="3012">
        <f>'Смета Внутр'!H663</f>
        <v>0</v>
      </c>
    </row>
    <row r="658" spans="2:6">
      <c r="B658" s="3007" t="str">
        <f>'Смета Внутр'!B664</f>
        <v>монтаж ветроизоляции стен</v>
      </c>
      <c r="C658" s="3008" t="str">
        <f>'Смета Внутр'!C664</f>
        <v>м2</v>
      </c>
      <c r="D658" s="3009">
        <f>'Смета Внутр'!D664</f>
        <v>0</v>
      </c>
      <c r="E658" s="3007"/>
      <c r="F658" s="3012">
        <f>'Смета Внутр'!H664</f>
        <v>0</v>
      </c>
    </row>
    <row r="659" spans="2:6">
      <c r="B659" s="3311" t="str">
        <f>'Смета Внутр'!B665</f>
        <v>Итого работы</v>
      </c>
      <c r="C659" s="3311"/>
      <c r="D659" s="3311"/>
      <c r="E659" s="3311"/>
      <c r="F659" s="3014">
        <f>'Смета Внутр'!G665</f>
        <v>0</v>
      </c>
    </row>
    <row r="660" spans="2:6" ht="19">
      <c r="B660" s="3313" t="str">
        <f>'Смета Внутр'!B666</f>
        <v>Кирпичный дом</v>
      </c>
      <c r="C660" s="3313"/>
      <c r="D660" s="3313"/>
      <c r="E660" s="3313"/>
      <c r="F660" s="3011">
        <f>'Смета Внутр'!H666</f>
        <v>1</v>
      </c>
    </row>
    <row r="661" spans="2:6">
      <c r="B661" s="3310" t="str">
        <f>'Смета Внутр'!B667</f>
        <v>Материалы</v>
      </c>
      <c r="C661" s="3310"/>
      <c r="D661" s="3310"/>
      <c r="E661" s="3310"/>
      <c r="F661" s="3011">
        <f>'Смета Внутр'!H667</f>
        <v>1</v>
      </c>
    </row>
    <row r="662" spans="2:6">
      <c r="B662" s="3007" t="str">
        <f>'Смета Внутр'!B668</f>
        <v>Керамоблок 510х250х219 мм -    14,3 НФ</v>
      </c>
      <c r="C662" s="3008" t="str">
        <f>'Смета Внутр'!C668</f>
        <v>м3</v>
      </c>
      <c r="D662" s="3009">
        <f>'Смета Внутр'!D668</f>
        <v>41.751600000000003</v>
      </c>
      <c r="E662" s="3007"/>
      <c r="F662" s="3012">
        <f>'Смета Внутр'!H668</f>
        <v>417516.00000000006</v>
      </c>
    </row>
    <row r="663" spans="2:6">
      <c r="B663" s="3007" t="str">
        <f>'Смета Внутр'!B669</f>
        <v>Керамоблок 510х250х219 мм -    14,3 НФ</v>
      </c>
      <c r="C663" s="3008" t="str">
        <f>'Смета Внутр'!C669</f>
        <v>м3</v>
      </c>
      <c r="D663" s="3009">
        <f>'Смета Внутр'!D669</f>
        <v>12.672000000000001</v>
      </c>
      <c r="E663" s="3007"/>
      <c r="F663" s="3012">
        <f>'Смета Внутр'!H669</f>
        <v>126720</v>
      </c>
    </row>
    <row r="664" spans="2:6">
      <c r="B664" s="3007" t="str">
        <f>'Смета Внутр'!B670</f>
        <v>Керамоблок 510х250х219 мм -    14,3 НФ</v>
      </c>
      <c r="C664" s="3008" t="str">
        <f>'Смета Внутр'!C670</f>
        <v>м3</v>
      </c>
      <c r="D664" s="3009">
        <f>'Смета Внутр'!D670</f>
        <v>4.1184000000000003</v>
      </c>
      <c r="E664" s="3007"/>
      <c r="F664" s="3012">
        <f>'Смета Внутр'!H670</f>
        <v>41184</v>
      </c>
    </row>
    <row r="665" spans="2:6">
      <c r="B665" s="3007" t="str">
        <f>'Смета Внутр'!B671</f>
        <v>Перемычка оконная, 1-ый эт. Вариант 1</v>
      </c>
      <c r="C665" s="3008" t="str">
        <f>'Смета Внутр'!C671</f>
        <v>м.п.</v>
      </c>
      <c r="D665" s="3009">
        <f>'Смета Внутр'!D671</f>
        <v>1</v>
      </c>
      <c r="E665" s="3007"/>
      <c r="F665" s="3012">
        <f>'Смета Внутр'!H671</f>
        <v>1000</v>
      </c>
    </row>
    <row r="666" spans="2:6">
      <c r="B666" s="3007" t="str">
        <f>'Смета Внутр'!B672</f>
        <v>Перемычка оконная, 1-ый эт. Вариант 2</v>
      </c>
      <c r="C666" s="3008" t="str">
        <f>'Смета Внутр'!C672</f>
        <v>м.п.</v>
      </c>
      <c r="D666" s="3009">
        <f>'Смета Внутр'!D672</f>
        <v>0</v>
      </c>
      <c r="E666" s="3007"/>
      <c r="F666" s="3012">
        <f>'Смета Внутр'!H672</f>
        <v>0</v>
      </c>
    </row>
    <row r="667" spans="2:6">
      <c r="B667" s="3007" t="str">
        <f>'Смета Внутр'!B673</f>
        <v>Перемычка оконная, 1-ый эт. Вариант 3</v>
      </c>
      <c r="C667" s="3008" t="str">
        <f>'Смета Внутр'!C673</f>
        <v>м.п.</v>
      </c>
      <c r="D667" s="3009">
        <f>'Смета Внутр'!D673</f>
        <v>0</v>
      </c>
      <c r="E667" s="3007"/>
      <c r="F667" s="3012">
        <f>'Смета Внутр'!H673</f>
        <v>0</v>
      </c>
    </row>
    <row r="668" spans="2:6">
      <c r="B668" s="3007" t="str">
        <f>'Смета Внутр'!B674</f>
        <v>Перемычка оконная, 1-ый эт. Вариант 4</v>
      </c>
      <c r="C668" s="3008" t="str">
        <f>'Смета Внутр'!C674</f>
        <v>м.п.</v>
      </c>
      <c r="D668" s="3009">
        <f>'Смета Внутр'!D674</f>
        <v>0</v>
      </c>
      <c r="E668" s="3007"/>
      <c r="F668" s="3012">
        <f>'Смета Внутр'!H674</f>
        <v>0</v>
      </c>
    </row>
    <row r="669" spans="2:6">
      <c r="B669" s="3007" t="str">
        <f>'Смета Внутр'!B675</f>
        <v>Перемычка оконная, 1-ый эт. Вариант 5</v>
      </c>
      <c r="C669" s="3008" t="str">
        <f>'Смета Внутр'!C675</f>
        <v>м.п.</v>
      </c>
      <c r="D669" s="3009">
        <f>'Смета Внутр'!D675</f>
        <v>0</v>
      </c>
      <c r="E669" s="3007"/>
      <c r="F669" s="3012">
        <f>'Смета Внутр'!H675</f>
        <v>0</v>
      </c>
    </row>
    <row r="670" spans="2:6">
      <c r="B670" s="3007" t="str">
        <f>'Смета Внутр'!B676</f>
        <v>Перемычка оконная, 2-ый эт. Вариант 6</v>
      </c>
      <c r="C670" s="3008" t="str">
        <f>'Смета Внутр'!C676</f>
        <v>м.п.</v>
      </c>
      <c r="D670" s="3009">
        <f>'Смета Внутр'!D676</f>
        <v>0</v>
      </c>
      <c r="E670" s="3007"/>
      <c r="F670" s="3012">
        <f>'Смета Внутр'!H676</f>
        <v>0</v>
      </c>
    </row>
    <row r="671" spans="2:6">
      <c r="B671" s="3007" t="str">
        <f>'Смета Внутр'!B677</f>
        <v>Перемычка оконная, 2-ый эт. Вариант 7</v>
      </c>
      <c r="C671" s="3008" t="str">
        <f>'Смета Внутр'!C677</f>
        <v>м.п.</v>
      </c>
      <c r="D671" s="3009">
        <f>'Смета Внутр'!D677</f>
        <v>0</v>
      </c>
      <c r="E671" s="3007"/>
      <c r="F671" s="3012">
        <f>'Смета Внутр'!H677</f>
        <v>0</v>
      </c>
    </row>
    <row r="672" spans="2:6">
      <c r="B672" s="3007" t="str">
        <f>'Смета Внутр'!B678</f>
        <v>Перемычка оконная, 2-ый эт. Вариант 8</v>
      </c>
      <c r="C672" s="3008" t="str">
        <f>'Смета Внутр'!C678</f>
        <v>м.п.</v>
      </c>
      <c r="D672" s="3009">
        <f>'Смета Внутр'!D678</f>
        <v>0</v>
      </c>
      <c r="E672" s="3007"/>
      <c r="F672" s="3012">
        <f>'Смета Внутр'!H678</f>
        <v>0</v>
      </c>
    </row>
    <row r="673" spans="2:6">
      <c r="B673" s="3007" t="str">
        <f>'Смета Внутр'!B679</f>
        <v>Перемычка оконная, 2-ый эт. Вариант 9</v>
      </c>
      <c r="C673" s="3008" t="str">
        <f>'Смета Внутр'!C679</f>
        <v>м.п.</v>
      </c>
      <c r="D673" s="3009">
        <f>'Смета Внутр'!D679</f>
        <v>0</v>
      </c>
      <c r="E673" s="3007"/>
      <c r="F673" s="3012">
        <f>'Смета Внутр'!H679</f>
        <v>0</v>
      </c>
    </row>
    <row r="674" spans="2:6">
      <c r="B674" s="3007" t="str">
        <f>'Смета Внутр'!B680</f>
        <v>Перемычка оконная, 2-ый эт. Вариант 10</v>
      </c>
      <c r="C674" s="3008" t="str">
        <f>'Смета Внутр'!C680</f>
        <v>м.п.</v>
      </c>
      <c r="D674" s="3009">
        <f>'Смета Внутр'!D680</f>
        <v>0</v>
      </c>
      <c r="E674" s="3007"/>
      <c r="F674" s="3012">
        <f>'Смета Внутр'!H680</f>
        <v>0</v>
      </c>
    </row>
    <row r="675" spans="2:6">
      <c r="B675" s="3007" t="str">
        <f>'Смета Внутр'!B681</f>
        <v>Перемычка дверная, 1-ый эт. Вариант 1</v>
      </c>
      <c r="C675" s="3008" t="str">
        <f>'Смета Внутр'!C681</f>
        <v>м.п.</v>
      </c>
      <c r="D675" s="3009">
        <f>'Смета Внутр'!D681</f>
        <v>0</v>
      </c>
      <c r="E675" s="3007"/>
      <c r="F675" s="3012">
        <f>'Смета Внутр'!H681</f>
        <v>0</v>
      </c>
    </row>
    <row r="676" spans="2:6">
      <c r="B676" s="3007" t="str">
        <f>'Смета Внутр'!B682</f>
        <v>Перемычка дверная, 2-ый эт. Вариант 2</v>
      </c>
      <c r="C676" s="3008" t="str">
        <f>'Смета Внутр'!C682</f>
        <v>м.п.</v>
      </c>
      <c r="D676" s="3009">
        <f>'Смета Внутр'!D682</f>
        <v>0</v>
      </c>
      <c r="E676" s="3007"/>
      <c r="F676" s="3012">
        <f>'Смета Внутр'!H682</f>
        <v>0</v>
      </c>
    </row>
    <row r="677" spans="2:6">
      <c r="B677" s="3007" t="str">
        <f>'Смета Внутр'!B683</f>
        <v>Перемычка оконная 1-ый эт, Вариант 11</v>
      </c>
      <c r="C677" s="3008" t="str">
        <f>'Смета Внутр'!C683</f>
        <v>м.п.</v>
      </c>
      <c r="D677" s="3009">
        <f>'Смета Внутр'!D683</f>
        <v>0</v>
      </c>
      <c r="E677" s="3007"/>
      <c r="F677" s="3012">
        <f>'Смета Внутр'!H683</f>
        <v>0</v>
      </c>
    </row>
    <row r="678" spans="2:6">
      <c r="B678" s="3007" t="str">
        <f>'Смета Внутр'!B684</f>
        <v>Перемычка оконная 1-ый эт, Вариант 12</v>
      </c>
      <c r="C678" s="3008" t="str">
        <f>'Смета Внутр'!C684</f>
        <v>м.п.</v>
      </c>
      <c r="D678" s="3009">
        <f>'Смета Внутр'!D684</f>
        <v>0</v>
      </c>
      <c r="E678" s="3007"/>
      <c r="F678" s="3012">
        <f>'Смета Внутр'!H684</f>
        <v>0</v>
      </c>
    </row>
    <row r="679" spans="2:6">
      <c r="B679" s="3007" t="str">
        <f>'Смета Внутр'!B685</f>
        <v>Перемычка дверная, 1-ый эт. Вариант 4</v>
      </c>
      <c r="C679" s="3008" t="str">
        <f>'Смета Внутр'!C685</f>
        <v>м.п.</v>
      </c>
      <c r="D679" s="3009">
        <f>'Смета Внутр'!D685</f>
        <v>0</v>
      </c>
      <c r="E679" s="3007"/>
      <c r="F679" s="3012">
        <f>'Смета Внутр'!H685</f>
        <v>0</v>
      </c>
    </row>
    <row r="680" spans="2:6">
      <c r="B680" s="3007" t="str">
        <f>'Смета Внутр'!B686</f>
        <v>Перемычка дверная, 1-ый эт. Вариант 5</v>
      </c>
      <c r="C680" s="3008" t="str">
        <f>'Смета Внутр'!C686</f>
        <v>м.п.</v>
      </c>
      <c r="D680" s="3009">
        <f>'Смета Внутр'!D686</f>
        <v>0</v>
      </c>
      <c r="E680" s="3007"/>
      <c r="F680" s="3012">
        <f>'Смета Внутр'!H686</f>
        <v>0</v>
      </c>
    </row>
    <row r="681" spans="2:6">
      <c r="B681" s="3007" t="str">
        <f>'Смета Внутр'!B687</f>
        <v>Перемычка дверная, 1-ый эт. Вариант 6</v>
      </c>
      <c r="C681" s="3008" t="str">
        <f>'Смета Внутр'!C687</f>
        <v>м.п.</v>
      </c>
      <c r="D681" s="3009">
        <f>'Смета Внутр'!D687</f>
        <v>0</v>
      </c>
      <c r="E681" s="3007"/>
      <c r="F681" s="3012">
        <f>'Смета Внутр'!H687</f>
        <v>0</v>
      </c>
    </row>
    <row r="682" spans="2:6">
      <c r="B682" s="3007" t="str">
        <f>'Смета Внутр'!B688</f>
        <v>Перемычка дверная, 2-ый эт. Вариант 7</v>
      </c>
      <c r="C682" s="3008" t="str">
        <f>'Смета Внутр'!C688</f>
        <v>м.п.</v>
      </c>
      <c r="D682" s="3009">
        <f>'Смета Внутр'!D688</f>
        <v>0</v>
      </c>
      <c r="E682" s="3007"/>
      <c r="F682" s="3012">
        <f>'Смета Внутр'!H688</f>
        <v>0</v>
      </c>
    </row>
    <row r="683" spans="2:6">
      <c r="B683" s="3007" t="str">
        <f>'Смета Внутр'!B689</f>
        <v>Перемычка дверная, 2-ый эт. Вариант 8</v>
      </c>
      <c r="C683" s="3008" t="str">
        <f>'Смета Внутр'!C689</f>
        <v>м.п.</v>
      </c>
      <c r="D683" s="3009">
        <f>'Смета Внутр'!D689</f>
        <v>0</v>
      </c>
      <c r="E683" s="3007"/>
      <c r="F683" s="3012">
        <f>'Смета Внутр'!H689</f>
        <v>0</v>
      </c>
    </row>
    <row r="684" spans="2:6">
      <c r="B684" s="3007" t="str">
        <f>'Смета Внутр'!B690</f>
        <v>Перемычка дверная, 2-ый эт. Вариант 9</v>
      </c>
      <c r="C684" s="3008" t="str">
        <f>'Смета Внутр'!C690</f>
        <v>м.п.</v>
      </c>
      <c r="D684" s="3009">
        <f>'Смета Внутр'!D690</f>
        <v>0</v>
      </c>
      <c r="E684" s="3007"/>
      <c r="F684" s="3012">
        <f>'Смета Внутр'!H690</f>
        <v>0</v>
      </c>
    </row>
    <row r="685" spans="2:6">
      <c r="B685" s="3007" t="str">
        <f>'Смета Внутр'!B691</f>
        <v>Перемычка проема, 1-ый эт. Вариант 10</v>
      </c>
      <c r="C685" s="3008" t="str">
        <f>'Смета Внутр'!C691</f>
        <v>м.п.</v>
      </c>
      <c r="D685" s="3009">
        <f>'Смета Внутр'!D691</f>
        <v>0</v>
      </c>
      <c r="E685" s="3007"/>
      <c r="F685" s="3012">
        <f>'Смета Внутр'!H691</f>
        <v>0</v>
      </c>
    </row>
    <row r="686" spans="2:6">
      <c r="B686" s="3007" t="str">
        <f>'Смета Внутр'!B692</f>
        <v>Перемычка проема, 1-ый эт. Вариант 11</v>
      </c>
      <c r="C686" s="3008" t="str">
        <f>'Смета Внутр'!C692</f>
        <v>м.п.</v>
      </c>
      <c r="D686" s="3009">
        <f>'Смета Внутр'!D692</f>
        <v>0</v>
      </c>
      <c r="E686" s="3007"/>
      <c r="F686" s="3012">
        <f>'Смета Внутр'!H692</f>
        <v>0</v>
      </c>
    </row>
    <row r="687" spans="2:6">
      <c r="B687" s="3007" t="str">
        <f>'Смета Внутр'!B693</f>
        <v>Перемычка проема, 2-ый эт. Вариант 12</v>
      </c>
      <c r="C687" s="3008" t="str">
        <f>'Смета Внутр'!C693</f>
        <v>м.п.</v>
      </c>
      <c r="D687" s="3009">
        <f>'Смета Внутр'!D693</f>
        <v>0</v>
      </c>
      <c r="E687" s="3007"/>
      <c r="F687" s="3012">
        <f>'Смета Внутр'!H693</f>
        <v>0</v>
      </c>
    </row>
    <row r="688" spans="2:6">
      <c r="B688" s="3007" t="str">
        <f>'Смета Внутр'!B694</f>
        <v>Перемычка проема, 2-ый эт. Вариант 13</v>
      </c>
      <c r="C688" s="3008" t="str">
        <f>'Смета Внутр'!C694</f>
        <v>м.п.</v>
      </c>
      <c r="D688" s="3009">
        <f>'Смета Внутр'!D694</f>
        <v>0</v>
      </c>
      <c r="E688" s="3007"/>
      <c r="F688" s="3012">
        <f>'Смета Внутр'!H694</f>
        <v>0</v>
      </c>
    </row>
    <row r="689" spans="2:6">
      <c r="B689" s="3007" t="str">
        <f>'Смета Внутр'!B695</f>
        <v>Перемычка дверная, 1-ый эт. Вариант 1</v>
      </c>
      <c r="C689" s="3008" t="str">
        <f>'Смета Внутр'!C695</f>
        <v>м.п.</v>
      </c>
      <c r="D689" s="3009">
        <f>'Смета Внутр'!D695</f>
        <v>0</v>
      </c>
      <c r="E689" s="3007"/>
      <c r="F689" s="3012">
        <f>'Смета Внутр'!H695</f>
        <v>0</v>
      </c>
    </row>
    <row r="690" spans="2:6">
      <c r="B690" s="3007" t="str">
        <f>'Смета Внутр'!B696</f>
        <v>Перемычка дверная, 1-ый эт. Вариант 2</v>
      </c>
      <c r="C690" s="3008" t="str">
        <f>'Смета Внутр'!C696</f>
        <v>м.п.</v>
      </c>
      <c r="D690" s="3009">
        <f>'Смета Внутр'!D696</f>
        <v>0</v>
      </c>
      <c r="E690" s="3007"/>
      <c r="F690" s="3012">
        <f>'Смета Внутр'!H696</f>
        <v>0</v>
      </c>
    </row>
    <row r="691" spans="2:6">
      <c r="B691" s="3007" t="str">
        <f>'Смета Внутр'!B697</f>
        <v>Перемычка дверная, 1-ый эт. Вариант 3</v>
      </c>
      <c r="C691" s="3008" t="str">
        <f>'Смета Внутр'!C697</f>
        <v>м.п.</v>
      </c>
      <c r="D691" s="3009">
        <f>'Смета Внутр'!D697</f>
        <v>0</v>
      </c>
      <c r="E691" s="3007"/>
      <c r="F691" s="3012">
        <f>'Смета Внутр'!H697</f>
        <v>0</v>
      </c>
    </row>
    <row r="692" spans="2:6">
      <c r="B692" s="3007" t="str">
        <f>'Смета Внутр'!B698</f>
        <v>Сосна влаж,200*40мм</v>
      </c>
      <c r="C692" s="3008" t="str">
        <f>'Смета Внутр'!C698</f>
        <v>м3</v>
      </c>
      <c r="D692" s="3009">
        <f>'Смета Внутр'!D698</f>
        <v>0.83200000000000007</v>
      </c>
      <c r="E692" s="3007"/>
      <c r="F692" s="3012">
        <f>'Смета Внутр'!H698</f>
        <v>5408.0000000000009</v>
      </c>
    </row>
    <row r="693" spans="2:6">
      <c r="B693" s="3007" t="str">
        <f>'Смета Внутр'!B699</f>
        <v>Сейсмопояс Арматура М10 4 нити</v>
      </c>
      <c r="C693" s="3008" t="str">
        <f>'Смета Внутр'!C699</f>
        <v>м.п.</v>
      </c>
      <c r="D693" s="3009">
        <f>'Смета Внутр'!D699</f>
        <v>176</v>
      </c>
      <c r="E693" s="3007"/>
      <c r="F693" s="3012">
        <f>'Смета Внутр'!H699</f>
        <v>3702.9872</v>
      </c>
    </row>
    <row r="694" spans="2:6">
      <c r="B694" s="3007" t="str">
        <f>'Смета Внутр'!B700</f>
        <v>Хомут для сейсмопояса Арматура М6, шаг 400мм</v>
      </c>
      <c r="C694" s="3008" t="str">
        <f>'Смета Внутр'!C700</f>
        <v>м.п.</v>
      </c>
      <c r="D694" s="3009">
        <f>'Смета Внутр'!D700</f>
        <v>90</v>
      </c>
      <c r="E694" s="3007"/>
      <c r="F694" s="3012">
        <f>'Смета Внутр'!H700</f>
        <v>0</v>
      </c>
    </row>
    <row r="695" spans="2:6">
      <c r="B695" s="3007" t="str">
        <f>'Смета Внутр'!B701</f>
        <v>Бетон, м300</v>
      </c>
      <c r="C695" s="3008" t="str">
        <f>'Смета Внутр'!C701</f>
        <v>м3</v>
      </c>
      <c r="D695" s="3009">
        <f>'Смета Внутр'!D701</f>
        <v>1.6380000000000001</v>
      </c>
      <c r="E695" s="3007"/>
      <c r="F695" s="3012">
        <f>'Смета Внутр'!H701</f>
        <v>4914</v>
      </c>
    </row>
    <row r="696" spans="2:6">
      <c r="B696" s="3007" t="str">
        <f>'Смета Внутр'!B702</f>
        <v>Нет</v>
      </c>
      <c r="C696" s="3008" t="str">
        <f>'Смета Внутр'!C702</f>
        <v>м3</v>
      </c>
      <c r="D696" s="3009">
        <f>'Смета Внутр'!D702</f>
        <v>0</v>
      </c>
      <c r="E696" s="3007"/>
      <c r="F696" s="3012">
        <f>'Смета Внутр'!H702</f>
        <v>0</v>
      </c>
    </row>
    <row r="697" spans="2:6">
      <c r="B697" s="3007" t="str">
        <f>'Смета Внутр'!B703</f>
        <v>Грибок для крепления утеплителя</v>
      </c>
      <c r="C697" s="3008" t="str">
        <f>'Смета Внутр'!C703</f>
        <v>шт</v>
      </c>
      <c r="D697" s="3009">
        <f>'Смета Внутр'!D703</f>
        <v>0</v>
      </c>
      <c r="E697" s="3007"/>
      <c r="F697" s="3012">
        <f>'Смета Внутр'!H703</f>
        <v>0</v>
      </c>
    </row>
    <row r="698" spans="2:6">
      <c r="B698" s="3007" t="str">
        <f>'Смета Внутр'!B704</f>
        <v>нет ветроизоляции</v>
      </c>
      <c r="C698" s="3008" t="str">
        <f>'Смета Внутр'!C704</f>
        <v>м2</v>
      </c>
      <c r="D698" s="3009">
        <f>'Смета Внутр'!D704</f>
        <v>0</v>
      </c>
      <c r="E698" s="3007"/>
      <c r="F698" s="3012">
        <f>'Смета Внутр'!H704</f>
        <v>0</v>
      </c>
    </row>
    <row r="699" spans="2:6">
      <c r="B699" s="3007" t="str">
        <f>'Смета Внутр'!B705</f>
        <v>Кладочная сетка, 100*100/150*150/200*200мм</v>
      </c>
      <c r="C699" s="3008" t="str">
        <f>'Смета Внутр'!C705</f>
        <v>м2</v>
      </c>
      <c r="D699" s="3009">
        <f>'Смета Внутр'!D705</f>
        <v>110.88000000000001</v>
      </c>
      <c r="E699" s="3007"/>
      <c r="F699" s="3012">
        <f>'Смета Внутр'!H705</f>
        <v>7761.6</v>
      </c>
    </row>
    <row r="700" spans="2:6">
      <c r="B700" s="3007" t="str">
        <f>'Смета Внутр'!B706</f>
        <v>Песок, машина 13м3</v>
      </c>
      <c r="C700" s="3008" t="str">
        <f>'Смета Внутр'!C706</f>
        <v>шт</v>
      </c>
      <c r="D700" s="3009">
        <f>'Смета Внутр'!D706</f>
        <v>1.1269335000000003</v>
      </c>
      <c r="E700" s="3007"/>
      <c r="F700" s="3012">
        <f>'Смета Внутр'!H706</f>
        <v>13523.202000000003</v>
      </c>
    </row>
    <row r="701" spans="2:6">
      <c r="B701" s="3007" t="str">
        <f>'Смета Внутр'!B707</f>
        <v>Цемент, мешок, 50кг</v>
      </c>
      <c r="C701" s="3008" t="str">
        <f>'Смета Внутр'!C707</f>
        <v>меш</v>
      </c>
      <c r="D701" s="3009">
        <f>'Смета Внутр'!D707</f>
        <v>34.773948000000004</v>
      </c>
      <c r="E701" s="3007"/>
      <c r="F701" s="3012">
        <f>'Смета Внутр'!H707</f>
        <v>8693.487000000001</v>
      </c>
    </row>
    <row r="702" spans="2:6">
      <c r="B702" s="3311" t="str">
        <f>'Смета Внутр'!B708</f>
        <v>Итого материалы, рублей</v>
      </c>
      <c r="C702" s="3311"/>
      <c r="D702" s="3311"/>
      <c r="E702" s="3311"/>
      <c r="F702" s="3014">
        <f>'Смета Внутр'!G708</f>
        <v>630423.27619999996</v>
      </c>
    </row>
    <row r="703" spans="2:6">
      <c r="B703" s="3312" t="str">
        <f>'Смета Внутр'!B709</f>
        <v>Работы</v>
      </c>
      <c r="C703" s="3312"/>
      <c r="D703" s="3312"/>
      <c r="E703" s="3312"/>
      <c r="F703" s="3021">
        <f>'Смета Внутр'!H709</f>
        <v>1</v>
      </c>
    </row>
    <row r="704" spans="2:6">
      <c r="B704" s="3007" t="str">
        <f>'Смета Внутр'!B710</f>
        <v>кладка кирпича</v>
      </c>
      <c r="C704" s="3008" t="str">
        <f>'Смета Внутр'!C710</f>
        <v>м3</v>
      </c>
      <c r="D704" s="3009">
        <f>'Смета Внутр'!D710</f>
        <v>58.542000000000009</v>
      </c>
      <c r="E704" s="3007"/>
      <c r="F704" s="3012">
        <f>'Смета Внутр'!H710</f>
        <v>204897.00000000003</v>
      </c>
    </row>
    <row r="705" spans="2:6">
      <c r="B705" s="3007" t="str">
        <f>'Смета Внутр'!B711</f>
        <v>кладка перегородок из кирпича</v>
      </c>
      <c r="C705" s="3008" t="str">
        <f>'Смета Внутр'!C711</f>
        <v>м2</v>
      </c>
      <c r="D705" s="3009">
        <f>'Смета Внутр'!D711</f>
        <v>23.4</v>
      </c>
      <c r="E705" s="3007"/>
      <c r="F705" s="3012">
        <f>'Смета Внутр'!H711</f>
        <v>12870</v>
      </c>
    </row>
    <row r="706" spans="2:6">
      <c r="B706" s="3007" t="str">
        <f>'Смета Внутр'!B712</f>
        <v>Армирование сейсмопояса</v>
      </c>
      <c r="C706" s="3008" t="str">
        <f>'Смета Внутр'!C712</f>
        <v>м2</v>
      </c>
      <c r="D706" s="3009">
        <f>'Смета Внутр'!D712</f>
        <v>55.440000000000005</v>
      </c>
      <c r="E706" s="3007"/>
      <c r="F706" s="3012">
        <f>'Смета Внутр'!H712</f>
        <v>27720.000000000004</v>
      </c>
    </row>
    <row r="707" spans="2:6">
      <c r="B707" s="3007" t="str">
        <f>'Смета Внутр'!B713</f>
        <v>Заливка бетоном сейсмопояса</v>
      </c>
      <c r="C707" s="3008" t="str">
        <f>'Смета Внутр'!C713</f>
        <v>м3</v>
      </c>
      <c r="D707" s="3009">
        <f>'Смета Внутр'!D713</f>
        <v>1.6380000000000001</v>
      </c>
      <c r="E707" s="3007"/>
      <c r="F707" s="3012">
        <f>'Смета Внутр'!H713</f>
        <v>1146.6000000000001</v>
      </c>
    </row>
    <row r="708" spans="2:6">
      <c r="B708" s="3007" t="str">
        <f>'Смета Внутр'!B714</f>
        <v>утепление стен снаружи дома</v>
      </c>
      <c r="C708" s="3008" t="str">
        <f>'Смета Внутр'!C714</f>
        <v>м2</v>
      </c>
      <c r="D708" s="3009">
        <f>'Смета Внутр'!D714</f>
        <v>0</v>
      </c>
      <c r="E708" s="3007"/>
      <c r="F708" s="3012">
        <f>'Смета Внутр'!H714</f>
        <v>0</v>
      </c>
    </row>
    <row r="709" spans="2:6">
      <c r="B709" s="3007" t="str">
        <f>'Смета Внутр'!B715</f>
        <v>монтаж ветроизоляции стен</v>
      </c>
      <c r="C709" s="3008" t="str">
        <f>'Смета Внутр'!C715</f>
        <v>м2</v>
      </c>
      <c r="D709" s="3009">
        <f>'Смета Внутр'!D715</f>
        <v>0</v>
      </c>
      <c r="E709" s="3007"/>
      <c r="F709" s="3012">
        <f>'Смета Внутр'!H715</f>
        <v>0</v>
      </c>
    </row>
    <row r="710" spans="2:6">
      <c r="B710" s="3007" t="str">
        <f>'Смета Внутр'!B716</f>
        <v>изготовление и монтаж перемычек для окон и дверей</v>
      </c>
      <c r="C710" s="3008" t="str">
        <f>'Смета Внутр'!C716</f>
        <v>м.п.</v>
      </c>
      <c r="D710" s="3009">
        <f>'Смета Внутр'!D716</f>
        <v>1</v>
      </c>
      <c r="E710" s="3007"/>
      <c r="F710" s="3012">
        <f>'Смета Внутр'!H716</f>
        <v>500</v>
      </c>
    </row>
    <row r="711" spans="2:6">
      <c r="B711" s="3311" t="str">
        <f>'Смета Внутр'!B717</f>
        <v>Итого работы, рублей</v>
      </c>
      <c r="C711" s="3311"/>
      <c r="D711" s="3311"/>
      <c r="E711" s="3311"/>
      <c r="F711" s="3014">
        <f>'Смета Внутр'!G717</f>
        <v>247133.60000000003</v>
      </c>
    </row>
    <row r="712" spans="2:6" ht="19">
      <c r="B712" s="3313" t="str">
        <f>'Смета Внутр'!B718</f>
        <v>Брусовой дом</v>
      </c>
      <c r="C712" s="3313"/>
      <c r="D712" s="3313"/>
      <c r="E712" s="3313"/>
      <c r="F712" s="3015">
        <f>'Смета Внутр'!H718</f>
        <v>0</v>
      </c>
    </row>
    <row r="713" spans="2:6">
      <c r="B713" s="3310" t="str">
        <f>'Смета Внутр'!B719</f>
        <v>Материалы</v>
      </c>
      <c r="C713" s="3310"/>
      <c r="D713" s="3310"/>
      <c r="E713" s="3310"/>
      <c r="F713" s="3015">
        <f>'Смета Внутр'!H719</f>
        <v>0</v>
      </c>
    </row>
    <row r="714" spans="2:6">
      <c r="B714" s="3007" t="str">
        <f>'Смета Внутр'!B720</f>
        <v>Листв. влаж, 200*200мм</v>
      </c>
      <c r="C714" s="3008" t="str">
        <f>'Смета Внутр'!C720</f>
        <v>м3</v>
      </c>
      <c r="D714" s="3009">
        <f>'Смета Внутр'!D720</f>
        <v>2.5520000000000005</v>
      </c>
      <c r="E714" s="3007"/>
      <c r="F714" s="3016">
        <f>'Смета Внутр'!H720</f>
        <v>0</v>
      </c>
    </row>
    <row r="715" spans="2:6">
      <c r="B715" s="3007" t="str">
        <f>'Смета Внутр'!B721</f>
        <v>Сосна влаж, 200*200мм</v>
      </c>
      <c r="C715" s="3008" t="str">
        <f>'Смета Внутр'!C721</f>
        <v>м3</v>
      </c>
      <c r="D715" s="3009">
        <f>'Смета Внутр'!D721</f>
        <v>22.950400000000016</v>
      </c>
      <c r="E715" s="3007"/>
      <c r="F715" s="3016">
        <f>'Смета Внутр'!H721</f>
        <v>0</v>
      </c>
    </row>
    <row r="716" spans="2:6">
      <c r="B716" s="3007" t="str">
        <f>'Смета Внутр'!B722</f>
        <v>Сосна влаж, 200*150мм</v>
      </c>
      <c r="C716" s="3008" t="str">
        <f>'Смета Внутр'!C722</f>
        <v>м3</v>
      </c>
      <c r="D716" s="3009">
        <f>'Смета Внутр'!D722</f>
        <v>0</v>
      </c>
      <c r="E716" s="3007"/>
      <c r="F716" s="3016">
        <f>'Смета Внутр'!H722</f>
        <v>0</v>
      </c>
    </row>
    <row r="717" spans="2:6">
      <c r="B717" s="3007" t="str">
        <f>'Смета Внутр'!B723</f>
        <v>Сосна влаж, 200*100мм</v>
      </c>
      <c r="C717" s="3008" t="str">
        <f>'Смета Внутр'!C723</f>
        <v>м2</v>
      </c>
      <c r="D717" s="3009">
        <f>'Смета Внутр'!D723</f>
        <v>0</v>
      </c>
      <c r="E717" s="3007"/>
      <c r="F717" s="3016">
        <f>'Смета Внутр'!H723</f>
        <v>0</v>
      </c>
    </row>
    <row r="718" spans="2:6">
      <c r="B718" s="3007" t="str">
        <f>'Смета Внутр'!B724</f>
        <v>Шкант</v>
      </c>
      <c r="C718" s="3008" t="str">
        <f>'Смета Внутр'!C724</f>
        <v>шт</v>
      </c>
      <c r="D718" s="3009">
        <f>'Смета Внутр'!D724</f>
        <v>562</v>
      </c>
      <c r="E718" s="3007"/>
      <c r="F718" s="3016">
        <f>'Смета Внутр'!H724</f>
        <v>0</v>
      </c>
    </row>
    <row r="719" spans="2:6">
      <c r="B719" s="3007" t="str">
        <f>'Смета Внутр'!B725</f>
        <v>Лен-джут 200х5х20000 мм</v>
      </c>
      <c r="C719" s="3008" t="str">
        <f>'Смета Внутр'!C725</f>
        <v>шт</v>
      </c>
      <c r="D719" s="3009">
        <f>'Смета Внутр'!D725</f>
        <v>0</v>
      </c>
      <c r="E719" s="3007"/>
      <c r="F719" s="3016">
        <f>'Смета Внутр'!H725</f>
        <v>0</v>
      </c>
    </row>
    <row r="720" spans="2:6">
      <c r="B720" s="3007" t="str">
        <f>'Смета Внутр'!B726</f>
        <v xml:space="preserve">Гвозди строительные 3,5 x 90            </v>
      </c>
      <c r="C720" s="3008" t="str">
        <f>'Смета Внутр'!C726</f>
        <v>шт</v>
      </c>
      <c r="D720" s="3009">
        <f>'Смета Внутр'!D726</f>
        <v>4.4000000000000004</v>
      </c>
      <c r="E720" s="3007"/>
      <c r="F720" s="3016">
        <f>'Смета Внутр'!H726</f>
        <v>0</v>
      </c>
    </row>
    <row r="721" spans="2:6">
      <c r="B721" s="3007" t="str">
        <f>'Смета Внутр'!B727</f>
        <v>нет</v>
      </c>
      <c r="C721" s="3008" t="str">
        <f>'Смета Внутр'!C727</f>
        <v>м3</v>
      </c>
      <c r="D721" s="3009">
        <f>'Смета Внутр'!D727</f>
        <v>0</v>
      </c>
      <c r="E721" s="3007"/>
      <c r="F721" s="3016">
        <f>'Смета Внутр'!H727</f>
        <v>0</v>
      </c>
    </row>
    <row r="722" spans="2:6">
      <c r="B722" s="3007" t="str">
        <f>'Смета Внутр'!B728</f>
        <v>Доска сухая, 100*50мм</v>
      </c>
      <c r="C722" s="3008" t="str">
        <f>'Смета Внутр'!C728</f>
        <v>м3</v>
      </c>
      <c r="D722" s="3009">
        <f>'Смета Внутр'!D728</f>
        <v>0</v>
      </c>
      <c r="E722" s="3007"/>
      <c r="F722" s="3016">
        <f>'Смета Внутр'!H728</f>
        <v>0</v>
      </c>
    </row>
    <row r="723" spans="2:6">
      <c r="B723" s="3007" t="str">
        <f>'Смета Внутр'!B729</f>
        <v>Доска сухая калиброванная, 100*45мм</v>
      </c>
      <c r="C723" s="3008" t="str">
        <f>'Смета Внутр'!C729</f>
        <v>м3</v>
      </c>
      <c r="D723" s="3009">
        <f>'Смета Внутр'!D729</f>
        <v>0</v>
      </c>
      <c r="E723" s="3007"/>
      <c r="F723" s="3016">
        <f>'Смета Внутр'!H729</f>
        <v>0</v>
      </c>
    </row>
    <row r="724" spans="2:6">
      <c r="B724" s="3007" t="str">
        <f>'Смета Внутр'!B730</f>
        <v>Сосна влаж, 50*50мм</v>
      </c>
      <c r="C724" s="3008" t="str">
        <f>'Смета Внутр'!C730</f>
        <v>м.п.</v>
      </c>
      <c r="D724" s="3009">
        <f>'Смета Внутр'!D730</f>
        <v>0</v>
      </c>
      <c r="E724" s="3007"/>
      <c r="F724" s="3016">
        <f>'Смета Внутр'!H730</f>
        <v>0</v>
      </c>
    </row>
    <row r="725" spans="2:6">
      <c r="B725" s="3007" t="str">
        <f>'Смета Внутр'!B731</f>
        <v>Бензин для пилы</v>
      </c>
      <c r="C725" s="3008" t="str">
        <f>'Смета Внутр'!C731</f>
        <v>л</v>
      </c>
      <c r="D725" s="3009">
        <f>'Смета Внутр'!D731</f>
        <v>4.6754400000000036</v>
      </c>
      <c r="E725" s="3007"/>
      <c r="F725" s="3016">
        <f>'Смета Внутр'!H731</f>
        <v>0</v>
      </c>
    </row>
    <row r="726" spans="2:6">
      <c r="B726" s="3007" t="str">
        <f>'Смета Внутр'!B732</f>
        <v>Масло для пилы</v>
      </c>
      <c r="C726" s="3008" t="str">
        <f>'Смета Внутр'!C732</f>
        <v>л</v>
      </c>
      <c r="D726" s="3009">
        <f>'Смета Внутр'!D732</f>
        <v>0.51429840000000049</v>
      </c>
      <c r="E726" s="3007"/>
      <c r="F726" s="3016">
        <f>'Смета Внутр'!H732</f>
        <v>0</v>
      </c>
    </row>
    <row r="727" spans="2:6">
      <c r="B727" s="3007" t="str">
        <f>'Смета Внутр'!B733</f>
        <v>Цепь для пилы</v>
      </c>
      <c r="C727" s="3008" t="str">
        <f>'Смета Внутр'!C733</f>
        <v>шт</v>
      </c>
      <c r="D727" s="3009">
        <f>'Смета Внутр'!D733</f>
        <v>2.2000000000000002</v>
      </c>
      <c r="E727" s="3007"/>
      <c r="F727" s="3016">
        <f>'Смета Внутр'!H733</f>
        <v>0</v>
      </c>
    </row>
    <row r="728" spans="2:6">
      <c r="B728" s="3007" t="str">
        <f>'Смета Внутр'!B734</f>
        <v>"Профилюкс" Антисептик АНТИПЛЕСЕНЬ</v>
      </c>
      <c r="C728" s="3008" t="str">
        <f>'Смета Внутр'!C734</f>
        <v>л</v>
      </c>
      <c r="D728" s="3009">
        <f>'Смета Внутр'!D734</f>
        <v>0</v>
      </c>
      <c r="E728" s="3007"/>
      <c r="F728" s="3016">
        <f>'Смета Внутр'!H734</f>
        <v>0</v>
      </c>
    </row>
    <row r="729" spans="2:6">
      <c r="B729" s="3007" t="str">
        <f>'Смета Внутр'!B735</f>
        <v>"Тонерол" Антисептик  бесцветный  1л</v>
      </c>
      <c r="C729" s="3008" t="str">
        <f>'Смета Внутр'!C735</f>
        <v>л</v>
      </c>
      <c r="D729" s="3009">
        <f>'Смета Внутр'!D735</f>
        <v>0</v>
      </c>
      <c r="E729" s="3007"/>
      <c r="F729" s="3012">
        <f>'Смета Внутр'!H735</f>
        <v>0</v>
      </c>
    </row>
    <row r="730" spans="2:6">
      <c r="B730" s="3007" t="str">
        <f>'Смета Внутр'!B736</f>
        <v>"Тонерол" Антисептик  махагон  1л</v>
      </c>
      <c r="C730" s="3008" t="str">
        <f>'Смета Внутр'!C736</f>
        <v>л</v>
      </c>
      <c r="D730" s="3009">
        <f>'Смета Внутр'!D736</f>
        <v>0</v>
      </c>
      <c r="E730" s="3007"/>
      <c r="F730" s="3012">
        <f>'Смета Внутр'!H736</f>
        <v>0</v>
      </c>
    </row>
    <row r="731" spans="2:6">
      <c r="B731" s="3007" t="str">
        <f>'Смета Внутр'!B737</f>
        <v>Нет наличника</v>
      </c>
      <c r="C731" s="3008" t="str">
        <f>'Смета Внутр'!C737</f>
        <v>м.п.</v>
      </c>
      <c r="D731" s="3009">
        <f>'Смета Внутр'!D737</f>
        <v>3.5700000000000007</v>
      </c>
      <c r="E731" s="3007"/>
      <c r="F731" s="3012">
        <f>'Смета Внутр'!H737</f>
        <v>0</v>
      </c>
    </row>
    <row r="732" spans="2:6">
      <c r="B732" s="3007" t="str">
        <f>'Смета Внутр'!B738</f>
        <v>Нет наличника</v>
      </c>
      <c r="C732" s="3008" t="str">
        <f>'Смета Внутр'!C738</f>
        <v>м.п.</v>
      </c>
      <c r="D732" s="3009">
        <f>'Смета Внутр'!D738</f>
        <v>3.5700000000000007</v>
      </c>
      <c r="E732" s="3007"/>
      <c r="F732" s="3012">
        <f>'Смета Внутр'!H738</f>
        <v>0</v>
      </c>
    </row>
    <row r="733" spans="2:6">
      <c r="B733" s="3007" t="str">
        <f>'Смета Внутр'!B739</f>
        <v>Бумага наждачная № 63 F(30)</v>
      </c>
      <c r="C733" s="3008" t="str">
        <f>'Смета Внутр'!C739</f>
        <v>м</v>
      </c>
      <c r="D733" s="3009">
        <f>'Смета Внутр'!D739</f>
        <v>5</v>
      </c>
      <c r="E733" s="3007"/>
      <c r="F733" s="3012">
        <f>'Смета Внутр'!H739</f>
        <v>0</v>
      </c>
    </row>
    <row r="734" spans="2:6">
      <c r="B734" s="3007" t="str">
        <f>'Смета Внутр'!B740</f>
        <v>Нет наждачной бумаги</v>
      </c>
      <c r="C734" s="3008" t="str">
        <f>'Смета Внутр'!C740</f>
        <v>м</v>
      </c>
      <c r="D734" s="3009">
        <f>'Смета Внутр'!D740</f>
        <v>0</v>
      </c>
      <c r="E734" s="3007"/>
      <c r="F734" s="3012">
        <f>'Смета Внутр'!H740</f>
        <v>0</v>
      </c>
    </row>
    <row r="735" spans="2:6">
      <c r="B735" s="3007" t="str">
        <f>'Смета Внутр'!B741</f>
        <v>Бумага наждачная № 63 F(30)</v>
      </c>
      <c r="C735" s="3008" t="str">
        <f>'Смета Внутр'!C741</f>
        <v>м</v>
      </c>
      <c r="D735" s="3009">
        <f>'Смета Внутр'!D741</f>
        <v>0</v>
      </c>
      <c r="E735" s="3007"/>
      <c r="F735" s="3012">
        <f>'Смета Внутр'!H741</f>
        <v>0</v>
      </c>
    </row>
    <row r="736" spans="2:6">
      <c r="B736" s="3007" t="str">
        <f>'Смета Внутр'!B742</f>
        <v>Бумага наждачная № 40</v>
      </c>
      <c r="C736" s="3008" t="str">
        <f>'Смета Внутр'!C742</f>
        <v>м</v>
      </c>
      <c r="D736" s="3009">
        <f>'Смета Внутр'!D742</f>
        <v>0</v>
      </c>
      <c r="E736" s="3007"/>
      <c r="F736" s="3012">
        <f>'Смета Внутр'!H742</f>
        <v>0</v>
      </c>
    </row>
    <row r="737" spans="2:6">
      <c r="B737" s="3311" t="str">
        <f>'Смета Внутр'!B743</f>
        <v>Итого материалы, рублей</v>
      </c>
      <c r="C737" s="3311"/>
      <c r="D737" s="3311"/>
      <c r="E737" s="3311"/>
      <c r="F737" s="3010">
        <f>'Смета Внутр'!G743</f>
        <v>0</v>
      </c>
    </row>
    <row r="738" spans="2:6">
      <c r="B738" s="3312" t="str">
        <f>'Смета Внутр'!B744</f>
        <v>Работы</v>
      </c>
      <c r="C738" s="3312"/>
      <c r="D738" s="3312"/>
      <c r="E738" s="3312"/>
      <c r="F738" s="3015">
        <f>'Смета Внутр'!H744</f>
        <v>0</v>
      </c>
    </row>
    <row r="739" spans="2:6">
      <c r="B739" s="3007" t="str">
        <f>'Смета Внутр'!B745</f>
        <v>кладка бруса</v>
      </c>
      <c r="C739" s="3008" t="str">
        <f>'Смета Внутр'!C745</f>
        <v>м3</v>
      </c>
      <c r="D739" s="3009">
        <f>'Смета Внутр'!D745</f>
        <v>25.502400000000016</v>
      </c>
      <c r="E739" s="3007"/>
      <c r="F739" s="3016">
        <f>'Смета Внутр'!H745</f>
        <v>0</v>
      </c>
    </row>
    <row r="740" spans="2:6">
      <c r="B740" s="3007" t="str">
        <f>'Смета Внутр'!B746</f>
        <v>окосячка проемов, м.п.</v>
      </c>
      <c r="C740" s="3008" t="str">
        <f>'Смета Внутр'!C746</f>
        <v>м.п.</v>
      </c>
      <c r="D740" s="3009">
        <f>'Смета Внутр'!D746</f>
        <v>0</v>
      </c>
      <c r="E740" s="3007"/>
      <c r="F740" s="3016">
        <f>'Смета Внутр'!H746</f>
        <v>0</v>
      </c>
    </row>
    <row r="741" spans="2:6">
      <c r="B741" s="3007" t="str">
        <f>'Смета Внутр'!B747</f>
        <v>обработка торцов на брусе</v>
      </c>
      <c r="C741" s="3008" t="str">
        <f>'Смета Внутр'!C747</f>
        <v>м.п.</v>
      </c>
      <c r="D741" s="3009">
        <f>'Смета Внутр'!D747</f>
        <v>14.400000000000002</v>
      </c>
      <c r="E741" s="3007"/>
      <c r="F741" s="3016">
        <f>'Смета Внутр'!H747</f>
        <v>0</v>
      </c>
    </row>
    <row r="742" spans="2:6">
      <c r="B742" s="3007" t="str">
        <f>'Смета Внутр'!B748</f>
        <v>Обаботка огнебиозащитой</v>
      </c>
      <c r="C742" s="3008" t="str">
        <f>'Смета Внутр'!C748</f>
        <v>м.п.</v>
      </c>
      <c r="D742" s="3009">
        <f>'Смета Внутр'!D748</f>
        <v>25.502400000000016</v>
      </c>
      <c r="E742" s="3007"/>
      <c r="F742" s="3016">
        <f>'Смета Внутр'!H748</f>
        <v>0</v>
      </c>
    </row>
    <row r="743" spans="2:6">
      <c r="B743" s="3007" t="str">
        <f>'Смета Внутр'!B749</f>
        <v>Пропитка стен внешних</v>
      </c>
      <c r="C743" s="3008" t="str">
        <f>'Смета Внутр'!C749</f>
        <v>м.п.</v>
      </c>
      <c r="D743" s="3009">
        <f>'Смета Внутр'!D749</f>
        <v>0</v>
      </c>
      <c r="E743" s="3007"/>
      <c r="F743" s="3012">
        <f>'Смета Внутр'!H749</f>
        <v>0</v>
      </c>
    </row>
    <row r="744" spans="2:6">
      <c r="B744" s="3007" t="str">
        <f>'Смета Внутр'!B750</f>
        <v>Пропитка внутенних стен</v>
      </c>
      <c r="C744" s="3008" t="str">
        <f>'Смета Внутр'!C750</f>
        <v>м.п.</v>
      </c>
      <c r="D744" s="3009">
        <f>'Смета Внутр'!D750</f>
        <v>0</v>
      </c>
      <c r="E744" s="3007"/>
      <c r="F744" s="3012">
        <f>'Смета Внутр'!H750</f>
        <v>0</v>
      </c>
    </row>
    <row r="745" spans="2:6">
      <c r="B745" s="3007" t="str">
        <f>'Смета Внутр'!B751</f>
        <v>Сверление стен для скрытой проводки</v>
      </c>
      <c r="C745" s="3008" t="str">
        <f>'Смета Внутр'!C751</f>
        <v>м.п.</v>
      </c>
      <c r="D745" s="3009">
        <f>'Смета Внутр'!D751</f>
        <v>180</v>
      </c>
      <c r="E745" s="3007"/>
      <c r="F745" s="3012">
        <f>'Смета Внутр'!H751</f>
        <v>0</v>
      </c>
    </row>
    <row r="746" spans="2:6">
      <c r="B746" s="3007" t="str">
        <f>'Смета Внутр'!B752</f>
        <v>Монтаж наличника</v>
      </c>
      <c r="C746" s="3008" t="str">
        <f>'Смета Внутр'!C752</f>
        <v>м.п.</v>
      </c>
      <c r="D746" s="3009">
        <f>'Смета Внутр'!D752</f>
        <v>0</v>
      </c>
      <c r="E746" s="3007"/>
      <c r="F746" s="3012">
        <f>'Смета Внутр'!H752</f>
        <v>0</v>
      </c>
    </row>
    <row r="747" spans="2:6">
      <c r="B747" s="3007" t="str">
        <f>'Смета Внутр'!B753</f>
        <v>Шлифовка стен дома</v>
      </c>
      <c r="C747" s="3008" t="str">
        <f>'Смета Внутр'!C753</f>
        <v>м.п.</v>
      </c>
      <c r="D747" s="3009">
        <f>'Смета Внутр'!D753</f>
        <v>0</v>
      </c>
      <c r="E747" s="3007"/>
      <c r="F747" s="3012">
        <f>'Смета Внутр'!H753</f>
        <v>0</v>
      </c>
    </row>
    <row r="748" spans="2:6">
      <c r="B748" s="3311" t="str">
        <f>'Смета Внутр'!B754</f>
        <v>Итого работы</v>
      </c>
      <c r="C748" s="3311"/>
      <c r="D748" s="3311"/>
      <c r="E748" s="3311"/>
      <c r="F748" s="3010">
        <f>'Смета Внутр'!G754</f>
        <v>0</v>
      </c>
    </row>
    <row r="749" spans="2:6" ht="19">
      <c r="B749" s="3313" t="str">
        <f>'Смета Внутр'!B755</f>
        <v>Дом из Дикого леса</v>
      </c>
      <c r="C749" s="3313"/>
      <c r="D749" s="3313"/>
      <c r="E749" s="3313"/>
      <c r="F749" s="3011">
        <f>'Смета Внутр'!H755</f>
        <v>0</v>
      </c>
    </row>
    <row r="750" spans="2:6">
      <c r="B750" s="3310" t="str">
        <f>'Смета Внутр'!B756</f>
        <v>Материалы</v>
      </c>
      <c r="C750" s="3310"/>
      <c r="D750" s="3310"/>
      <c r="E750" s="3310"/>
      <c r="F750" s="3011">
        <f>'Смета Внутр'!H756</f>
        <v>0</v>
      </c>
    </row>
    <row r="751" spans="2:6">
      <c r="B751" s="3007" t="str">
        <f>'Смета Внутр'!B757</f>
        <v>Оцилиндрованное бревно сосна 260мм</v>
      </c>
      <c r="C751" s="3008" t="str">
        <f>'Смета Внутр'!C757</f>
        <v>м3</v>
      </c>
      <c r="D751" s="3009">
        <f>'Смета Внутр'!D757</f>
        <v>3.7241718800000005</v>
      </c>
      <c r="E751" s="3007"/>
      <c r="F751" s="3012">
        <f>'Смета Внутр'!H757</f>
        <v>0</v>
      </c>
    </row>
    <row r="752" spans="2:6">
      <c r="B752" s="3007" t="str">
        <f>'Смета Внутр'!B758</f>
        <v>Оцилиндрованное бревно сосна 260мм</v>
      </c>
      <c r="C752" s="3008" t="str">
        <f>'Смета Внутр'!C758</f>
        <v>м3</v>
      </c>
      <c r="D752" s="3009">
        <f>'Смета Внутр'!D758</f>
        <v>24.294676120000009</v>
      </c>
      <c r="E752" s="3007"/>
      <c r="F752" s="3012">
        <f>'Смета Внутр'!H758</f>
        <v>0</v>
      </c>
    </row>
    <row r="753" spans="2:6">
      <c r="B753" s="3007" t="str">
        <f>'Смета Внутр'!B759</f>
        <v>Оцилиндрованное бревно сосна 200мм</v>
      </c>
      <c r="C753" s="3008" t="str">
        <f>'Смета Внутр'!C759</f>
        <v>м3</v>
      </c>
      <c r="D753" s="3009">
        <f>'Смета Внутр'!D759</f>
        <v>0</v>
      </c>
      <c r="E753" s="3007"/>
      <c r="F753" s="3012">
        <f>'Смета Внутр'!H759</f>
        <v>0</v>
      </c>
    </row>
    <row r="754" spans="2:6">
      <c r="B754" s="3007" t="str">
        <f>'Смета Внутр'!B760</f>
        <v>Оцилиндрованное бревно сосна 200мм</v>
      </c>
      <c r="C754" s="3008" t="str">
        <f>'Смета Внутр'!C760</f>
        <v>м2</v>
      </c>
      <c r="D754" s="3009">
        <f>'Смета Внутр'!D760</f>
        <v>0</v>
      </c>
      <c r="E754" s="3007"/>
      <c r="F754" s="3012">
        <f>'Смета Внутр'!H760</f>
        <v>0</v>
      </c>
    </row>
    <row r="755" spans="2:6">
      <c r="B755" s="3007" t="str">
        <f>'Смета Внутр'!B761</f>
        <v>Шкант</v>
      </c>
      <c r="C755" s="3008" t="str">
        <f>'Смета Внутр'!C761</f>
        <v>шт</v>
      </c>
      <c r="D755" s="3009">
        <f>'Смета Внутр'!D761</f>
        <v>7.5435360000000005</v>
      </c>
      <c r="E755" s="3007"/>
      <c r="F755" s="3012">
        <f>'Смета Внутр'!H761</f>
        <v>0</v>
      </c>
    </row>
    <row r="756" spans="2:6">
      <c r="B756" s="3007" t="str">
        <f>'Смета Внутр'!B762</f>
        <v>Лен-джут 200х5х20000 мм</v>
      </c>
      <c r="C756" s="3008" t="str">
        <f>'Смета Внутр'!C762</f>
        <v>шт</v>
      </c>
      <c r="D756" s="3009">
        <f>'Смета Внутр'!D762</f>
        <v>33</v>
      </c>
      <c r="E756" s="3007"/>
      <c r="F756" s="3012">
        <f>'Смета Внутр'!H762</f>
        <v>0</v>
      </c>
    </row>
    <row r="757" spans="2:6">
      <c r="B757" s="3007" t="str">
        <f>'Смета Внутр'!B763</f>
        <v xml:space="preserve">Гвозди ершоные 2,8 х 90            </v>
      </c>
      <c r="C757" s="3008" t="str">
        <f>'Смета Внутр'!C763</f>
        <v>шт</v>
      </c>
      <c r="D757" s="3009">
        <f>'Смета Внутр'!D763</f>
        <v>4.8400000000000007</v>
      </c>
      <c r="E757" s="3007"/>
      <c r="F757" s="3012">
        <f>'Смета Внутр'!H763</f>
        <v>0</v>
      </c>
    </row>
    <row r="758" spans="2:6">
      <c r="B758" s="3007" t="str">
        <f>'Смета Внутр'!B764</f>
        <v>нет</v>
      </c>
      <c r="C758" s="3008" t="str">
        <f>'Смета Внутр'!C764</f>
        <v>м3</v>
      </c>
      <c r="D758" s="3009">
        <f>'Смета Внутр'!D764</f>
        <v>0</v>
      </c>
      <c r="E758" s="3007"/>
      <c r="F758" s="3012">
        <f>'Смета Внутр'!H764</f>
        <v>0</v>
      </c>
    </row>
    <row r="759" spans="2:6">
      <c r="B759" s="3007" t="str">
        <f>'Смета Внутр'!B765</f>
        <v>Доска сухая, 100*50мм</v>
      </c>
      <c r="C759" s="3008" t="str">
        <f>'Смета Внутр'!C765</f>
        <v>м3</v>
      </c>
      <c r="D759" s="3009">
        <f>'Смета Внутр'!D765</f>
        <v>0</v>
      </c>
      <c r="E759" s="3007"/>
      <c r="F759" s="3012">
        <f>'Смета Внутр'!H765</f>
        <v>0</v>
      </c>
    </row>
    <row r="760" spans="2:6">
      <c r="B760" s="3007" t="str">
        <f>'Смета Внутр'!B766</f>
        <v>Доска сухая калиброванная, 100*45мм</v>
      </c>
      <c r="C760" s="3008" t="str">
        <f>'Смета Внутр'!C766</f>
        <v>м3</v>
      </c>
      <c r="D760" s="3009">
        <f>'Смета Внутр'!D766</f>
        <v>0</v>
      </c>
      <c r="E760" s="3007"/>
      <c r="F760" s="3012">
        <f>'Смета Внутр'!H766</f>
        <v>0</v>
      </c>
    </row>
    <row r="761" spans="2:6">
      <c r="B761" s="3007" t="str">
        <f>'Смета Внутр'!B767</f>
        <v>Сосна влаж, 50*50мм</v>
      </c>
      <c r="C761" s="3008" t="str">
        <f>'Смета Внутр'!C767</f>
        <v>м.п.</v>
      </c>
      <c r="D761" s="3009">
        <f>'Смета Внутр'!D767</f>
        <v>0</v>
      </c>
      <c r="E761" s="3007"/>
      <c r="F761" s="3012">
        <f>'Смета Внутр'!H767</f>
        <v>0</v>
      </c>
    </row>
    <row r="762" spans="2:6">
      <c r="B762" s="3007" t="str">
        <f>'Смета Внутр'!B768</f>
        <v>Бензин для пилы</v>
      </c>
      <c r="C762" s="3008" t="str">
        <f>'Смета Внутр'!C768</f>
        <v>л</v>
      </c>
      <c r="D762" s="3009">
        <f>'Смета Внутр'!D768</f>
        <v>5.6037696000000015</v>
      </c>
      <c r="E762" s="3007"/>
      <c r="F762" s="3012">
        <f>'Смета Внутр'!H768</f>
        <v>0</v>
      </c>
    </row>
    <row r="763" spans="2:6">
      <c r="B763" s="3007" t="str">
        <f>'Смета Внутр'!B769</f>
        <v>Масло для пилы</v>
      </c>
      <c r="C763" s="3008" t="str">
        <f>'Смета Внутр'!C769</f>
        <v>л</v>
      </c>
      <c r="D763" s="3009">
        <f>'Смета Внутр'!D769</f>
        <v>0.28018848000000007</v>
      </c>
      <c r="E763" s="3007"/>
      <c r="F763" s="3012">
        <f>'Смета Внутр'!H769</f>
        <v>0</v>
      </c>
    </row>
    <row r="764" spans="2:6">
      <c r="B764" s="3007" t="str">
        <f>'Смета Внутр'!B770</f>
        <v>Цепь для пилы</v>
      </c>
      <c r="C764" s="3008" t="str">
        <f>'Смета Внутр'!C770</f>
        <v>шт</v>
      </c>
      <c r="D764" s="3009">
        <f>'Смета Внутр'!D770</f>
        <v>3</v>
      </c>
      <c r="E764" s="3007"/>
      <c r="F764" s="3012">
        <f>'Смета Внутр'!H770</f>
        <v>0</v>
      </c>
    </row>
    <row r="765" spans="2:6">
      <c r="B765" s="3007" t="str">
        <f>'Смета Внутр'!B771</f>
        <v>"Профилюкс" Антисептик АНТИПЛЕСЕНЬ</v>
      </c>
      <c r="C765" s="3008" t="str">
        <f>'Смета Внутр'!C771</f>
        <v>л</v>
      </c>
      <c r="D765" s="3009">
        <f>'Смета Внутр'!D771</f>
        <v>39.187200000000018</v>
      </c>
      <c r="E765" s="3007"/>
      <c r="F765" s="3012">
        <f>'Смета Внутр'!H771</f>
        <v>0</v>
      </c>
    </row>
    <row r="766" spans="2:6">
      <c r="B766" s="3007" t="str">
        <f>'Смета Внутр'!B772</f>
        <v>"Тонерол" Антисептик  бесцветный  1л</v>
      </c>
      <c r="C766" s="3008" t="str">
        <f>'Смета Внутр'!C772</f>
        <v>л</v>
      </c>
      <c r="D766" s="3009">
        <f>'Смета Внутр'!D772</f>
        <v>23.512320000000006</v>
      </c>
      <c r="E766" s="3007"/>
      <c r="F766" s="3012">
        <f>'Смета Внутр'!H772</f>
        <v>0</v>
      </c>
    </row>
    <row r="767" spans="2:6">
      <c r="B767" s="3007" t="str">
        <f>'Смета Внутр'!B773</f>
        <v>"Тонерол" Антисептик  махагон  1л</v>
      </c>
      <c r="C767" s="3008" t="str">
        <f>'Смета Внутр'!C773</f>
        <v>л</v>
      </c>
      <c r="D767" s="3009">
        <f>'Смета Внутр'!D773</f>
        <v>23.512320000000006</v>
      </c>
      <c r="E767" s="3007"/>
      <c r="F767" s="3012">
        <f>'Смета Внутр'!H773</f>
        <v>0</v>
      </c>
    </row>
    <row r="768" spans="2:6">
      <c r="B768" s="3007" t="str">
        <f>'Смета Внутр'!B774</f>
        <v>Нет наличника</v>
      </c>
      <c r="C768" s="3008" t="str">
        <f>'Смета Внутр'!C774</f>
        <v>м.п.</v>
      </c>
      <c r="D768" s="3009">
        <f>'Смета Внутр'!D774</f>
        <v>3.5700000000000007</v>
      </c>
      <c r="E768" s="3007"/>
      <c r="F768" s="3012">
        <f>'Смета Внутр'!H774</f>
        <v>0</v>
      </c>
    </row>
    <row r="769" spans="2:6">
      <c r="B769" s="3007" t="str">
        <f>'Смета Внутр'!B775</f>
        <v>Нет наличника</v>
      </c>
      <c r="C769" s="3008" t="str">
        <f>'Смета Внутр'!C775</f>
        <v>м.п.</v>
      </c>
      <c r="D769" s="3009">
        <f>'Смета Внутр'!D775</f>
        <v>3.5700000000000007</v>
      </c>
      <c r="E769" s="3007"/>
      <c r="F769" s="3012">
        <f>'Смета Внутр'!H775</f>
        <v>0</v>
      </c>
    </row>
    <row r="770" spans="2:6">
      <c r="B770" s="3007" t="str">
        <f>'Смета Внутр'!B776</f>
        <v>Бумага наждачная № 63 F(30)</v>
      </c>
      <c r="C770" s="3008" t="str">
        <f>'Смета Внутр'!C776</f>
        <v>м</v>
      </c>
      <c r="D770" s="3009">
        <f>'Смета Внутр'!D776</f>
        <v>5</v>
      </c>
      <c r="E770" s="3007"/>
      <c r="F770" s="3012">
        <f>'Смета Внутр'!H776</f>
        <v>0</v>
      </c>
    </row>
    <row r="771" spans="2:6">
      <c r="B771" s="3007" t="str">
        <f>'Смета Внутр'!B777</f>
        <v>Нет наждачной бумаги</v>
      </c>
      <c r="C771" s="3008" t="str">
        <f>'Смета Внутр'!C777</f>
        <v>м</v>
      </c>
      <c r="D771" s="3009">
        <f>'Смета Внутр'!D777</f>
        <v>0</v>
      </c>
      <c r="E771" s="3007"/>
      <c r="F771" s="3012">
        <f>'Смета Внутр'!H777</f>
        <v>0</v>
      </c>
    </row>
    <row r="772" spans="2:6">
      <c r="B772" s="3007" t="str">
        <f>'Смета Внутр'!B778</f>
        <v>Бумага наждачная № 63 F(30)</v>
      </c>
      <c r="C772" s="3008" t="str">
        <f>'Смета Внутр'!C778</f>
        <v>м</v>
      </c>
      <c r="D772" s="3009">
        <f>'Смета Внутр'!D778</f>
        <v>0</v>
      </c>
      <c r="E772" s="3007"/>
      <c r="F772" s="3012">
        <f>'Смета Внутр'!H778</f>
        <v>0</v>
      </c>
    </row>
    <row r="773" spans="2:6">
      <c r="B773" s="3007" t="str">
        <f>'Смета Внутр'!B779</f>
        <v>Бумага наждачная № 40</v>
      </c>
      <c r="C773" s="3008" t="str">
        <f>'Смета Внутр'!C779</f>
        <v>м</v>
      </c>
      <c r="D773" s="3009">
        <f>'Смета Внутр'!D779</f>
        <v>0</v>
      </c>
      <c r="E773" s="3007"/>
      <c r="F773" s="3012">
        <f>'Смета Внутр'!H779</f>
        <v>0</v>
      </c>
    </row>
    <row r="774" spans="2:6">
      <c r="B774" s="3311" t="str">
        <f>'Смета Внутр'!B780</f>
        <v>Итого материалы</v>
      </c>
      <c r="C774" s="3311"/>
      <c r="D774" s="3311"/>
      <c r="E774" s="3311"/>
      <c r="F774" s="3014">
        <f>'Смета Внутр'!G780</f>
        <v>0</v>
      </c>
    </row>
    <row r="775" spans="2:6">
      <c r="B775" s="3312" t="str">
        <f>'Смета Внутр'!B781</f>
        <v>Работы</v>
      </c>
      <c r="C775" s="3312"/>
      <c r="D775" s="3312"/>
      <c r="E775" s="3312"/>
      <c r="F775" s="3011">
        <f>'Смета Внутр'!H781</f>
        <v>0</v>
      </c>
    </row>
    <row r="776" spans="2:6">
      <c r="B776" s="3007" t="str">
        <f>'Смета Внутр'!B782</f>
        <v>кладка Дикого леса</v>
      </c>
      <c r="C776" s="3008" t="str">
        <f>'Смета Внутр'!C782</f>
        <v>м3</v>
      </c>
      <c r="D776" s="3009">
        <f>'Смета Внутр'!D782</f>
        <v>28.018848000000009</v>
      </c>
      <c r="E776" s="3007"/>
      <c r="F776" s="3012">
        <f>'Смета Внутр'!H782</f>
        <v>0</v>
      </c>
    </row>
    <row r="777" spans="2:6">
      <c r="B777" s="3007" t="str">
        <f>'Смета Внутр'!B783</f>
        <v>окосячка проемов, м.п.</v>
      </c>
      <c r="C777" s="3008" t="str">
        <f>'Смета Внутр'!C783</f>
        <v>м.п.</v>
      </c>
      <c r="D777" s="3009">
        <f>'Смета Внутр'!D783</f>
        <v>0</v>
      </c>
      <c r="E777" s="3007"/>
      <c r="F777" s="3012">
        <f>'Смета Внутр'!H783</f>
        <v>0</v>
      </c>
    </row>
    <row r="778" spans="2:6">
      <c r="B778" s="3007" t="str">
        <f>'Смета Внутр'!B784</f>
        <v>обработка торцов на брусе</v>
      </c>
      <c r="C778" s="3008" t="str">
        <f>'Смета Внутр'!C784</f>
        <v>м.п.</v>
      </c>
      <c r="D778" s="3009">
        <f>'Смета Внутр'!D784</f>
        <v>14.400000000000002</v>
      </c>
      <c r="E778" s="3007"/>
      <c r="F778" s="3012">
        <f>'Смета Внутр'!H784</f>
        <v>0</v>
      </c>
    </row>
    <row r="779" spans="2:6">
      <c r="B779" s="3007" t="str">
        <f>'Смета Внутр'!B785</f>
        <v>Обаботка огнебиозащитой</v>
      </c>
      <c r="C779" s="3008" t="str">
        <f>'Смета Внутр'!C785</f>
        <v>м.п.</v>
      </c>
      <c r="D779" s="3009">
        <f>'Смета Внутр'!D785</f>
        <v>28.018848000000009</v>
      </c>
      <c r="E779" s="3007"/>
      <c r="F779" s="3012">
        <f>'Смета Внутр'!H785</f>
        <v>0</v>
      </c>
    </row>
    <row r="780" spans="2:6">
      <c r="B780" s="3007" t="str">
        <f>'Смета Внутр'!B786</f>
        <v>Пропитка стен внешних</v>
      </c>
      <c r="C780" s="3008" t="str">
        <f>'Смета Внутр'!C786</f>
        <v>м.п.</v>
      </c>
      <c r="D780" s="3009">
        <f>'Смета Внутр'!D786</f>
        <v>117.56160000000003</v>
      </c>
      <c r="E780" s="3007"/>
      <c r="F780" s="3012">
        <f>'Смета Внутр'!H786</f>
        <v>0</v>
      </c>
    </row>
    <row r="781" spans="2:6">
      <c r="B781" s="3007" t="str">
        <f>'Смета Внутр'!B787</f>
        <v>Пропитка внутенних стен</v>
      </c>
      <c r="C781" s="3008" t="str">
        <f>'Смета Внутр'!C787</f>
        <v>м.п.</v>
      </c>
      <c r="D781" s="3009">
        <f>'Смета Внутр'!D787</f>
        <v>117.56160000000003</v>
      </c>
      <c r="E781" s="3007"/>
      <c r="F781" s="3012">
        <f>'Смета Внутр'!H787</f>
        <v>0</v>
      </c>
    </row>
    <row r="782" spans="2:6">
      <c r="B782" s="3007" t="str">
        <f>'Смета Внутр'!B788</f>
        <v>Сверление стен для скрытой проводки</v>
      </c>
      <c r="C782" s="3008" t="str">
        <f>'Смета Внутр'!C788</f>
        <v>м.п.</v>
      </c>
      <c r="D782" s="3009">
        <f>'Смета Внутр'!D788</f>
        <v>180</v>
      </c>
      <c r="E782" s="3007"/>
      <c r="F782" s="3012">
        <f>'Смета Внутр'!H788</f>
        <v>0</v>
      </c>
    </row>
    <row r="783" spans="2:6">
      <c r="B783" s="3007" t="str">
        <f>'Смета Внутр'!B789</f>
        <v>Монтаж наличника</v>
      </c>
      <c r="C783" s="3008" t="str">
        <f>'Смета Внутр'!C789</f>
        <v>м.п.</v>
      </c>
      <c r="D783" s="3009">
        <f>'Смета Внутр'!D789</f>
        <v>0</v>
      </c>
      <c r="E783" s="3007"/>
      <c r="F783" s="3012">
        <f>'Смета Внутр'!H789</f>
        <v>0</v>
      </c>
    </row>
    <row r="784" spans="2:6">
      <c r="B784" s="3007" t="str">
        <f>'Смета Внутр'!B790</f>
        <v>Шлифовка стен дома</v>
      </c>
      <c r="C784" s="3008" t="str">
        <f>'Смета Внутр'!C790</f>
        <v>м.п.</v>
      </c>
      <c r="D784" s="3009">
        <f>'Смета Внутр'!D790</f>
        <v>121.44000000000004</v>
      </c>
      <c r="E784" s="3007"/>
      <c r="F784" s="3012">
        <f>'Смета Внутр'!H790</f>
        <v>0</v>
      </c>
    </row>
    <row r="785" spans="2:6">
      <c r="B785" s="3311" t="str">
        <f>'Смета Внутр'!B791</f>
        <v>Итого работы</v>
      </c>
      <c r="C785" s="3311"/>
      <c r="D785" s="3311"/>
      <c r="E785" s="3311"/>
      <c r="F785" s="3014">
        <f>'Смета Внутр'!G791</f>
        <v>0</v>
      </c>
    </row>
    <row r="786" spans="2:6" ht="19">
      <c r="B786" s="3313" t="str">
        <f>'Смета Внутр'!B792</f>
        <v>Дом из Оцилиндрованного бревна</v>
      </c>
      <c r="C786" s="3313"/>
      <c r="D786" s="3313"/>
      <c r="E786" s="3313"/>
      <c r="F786" s="3011">
        <f>'Смета Внутр'!H792</f>
        <v>0</v>
      </c>
    </row>
    <row r="787" spans="2:6">
      <c r="B787" s="3310" t="str">
        <f>'Смета Внутр'!B793</f>
        <v>Материалы</v>
      </c>
      <c r="C787" s="3310"/>
      <c r="D787" s="3310"/>
      <c r="E787" s="3310"/>
      <c r="F787" s="3011">
        <f>'Смета Внутр'!H793</f>
        <v>0</v>
      </c>
    </row>
    <row r="788" spans="2:6">
      <c r="B788" s="3007" t="str">
        <f>'Смета Внутр'!B794</f>
        <v>Оцилиндрованное бревно сосна 260мм</v>
      </c>
      <c r="C788" s="3008" t="str">
        <f>'Смета Внутр'!C794</f>
        <v>м3</v>
      </c>
      <c r="D788" s="3009">
        <f>'Смета Внутр'!D794</f>
        <v>3.7241718800000005</v>
      </c>
      <c r="E788" s="3007"/>
      <c r="F788" s="3012">
        <f>'Смета Внутр'!H794</f>
        <v>0</v>
      </c>
    </row>
    <row r="789" spans="2:6">
      <c r="B789" s="3007" t="str">
        <f>'Смета Внутр'!B795</f>
        <v>Оцилиндрованное бревно сосна 260мм</v>
      </c>
      <c r="C789" s="3008" t="str">
        <f>'Смета Внутр'!C795</f>
        <v>м3</v>
      </c>
      <c r="D789" s="3009">
        <f>'Смета Внутр'!D795</f>
        <v>24.294676120000009</v>
      </c>
      <c r="E789" s="3007"/>
      <c r="F789" s="3012">
        <f>'Смета Внутр'!H795</f>
        <v>0</v>
      </c>
    </row>
    <row r="790" spans="2:6">
      <c r="B790" s="3007" t="str">
        <f>'Смета Внутр'!B796</f>
        <v>Оцилиндрованное бревно сосна 200мм</v>
      </c>
      <c r="C790" s="3008" t="str">
        <f>'Смета Внутр'!C796</f>
        <v>м3</v>
      </c>
      <c r="D790" s="3009">
        <f>'Смета Внутр'!D796</f>
        <v>0</v>
      </c>
      <c r="E790" s="3007"/>
      <c r="F790" s="3012">
        <f>'Смета Внутр'!H796</f>
        <v>0</v>
      </c>
    </row>
    <row r="791" spans="2:6">
      <c r="B791" s="3007" t="str">
        <f>'Смета Внутр'!B797</f>
        <v>Оцилиндрованное бревно сосна 200мм</v>
      </c>
      <c r="C791" s="3008" t="str">
        <f>'Смета Внутр'!C797</f>
        <v>м2</v>
      </c>
      <c r="D791" s="3009">
        <f>'Смета Внутр'!D797</f>
        <v>0</v>
      </c>
      <c r="E791" s="3007"/>
      <c r="F791" s="3012">
        <f>'Смета Внутр'!H797</f>
        <v>0</v>
      </c>
    </row>
    <row r="792" spans="2:6">
      <c r="B792" s="3007" t="str">
        <f>'Смета Внутр'!B798</f>
        <v>Шкант</v>
      </c>
      <c r="C792" s="3008" t="str">
        <f>'Смета Внутр'!C798</f>
        <v>шт</v>
      </c>
      <c r="D792" s="3009">
        <f>'Смета Внутр'!D798</f>
        <v>617</v>
      </c>
      <c r="E792" s="3007"/>
      <c r="F792" s="3012">
        <f>'Смета Внутр'!H798</f>
        <v>0</v>
      </c>
    </row>
    <row r="793" spans="2:6">
      <c r="B793" s="3007" t="str">
        <f>'Смета Внутр'!B799</f>
        <v>Лен-джут 200х5х20000 мм</v>
      </c>
      <c r="C793" s="3008" t="str">
        <f>'Смета Внутр'!C799</f>
        <v>шт</v>
      </c>
      <c r="D793" s="3009">
        <f>'Смета Внутр'!D799</f>
        <v>33</v>
      </c>
      <c r="E793" s="3007"/>
      <c r="F793" s="3012">
        <f>'Смета Внутр'!H799</f>
        <v>0</v>
      </c>
    </row>
    <row r="794" spans="2:6">
      <c r="B794" s="3007" t="str">
        <f>'Смета Внутр'!B800</f>
        <v xml:space="preserve">Гвозди ершоные 2,8 х 90            </v>
      </c>
      <c r="C794" s="3008" t="str">
        <f>'Смета Внутр'!C800</f>
        <v>шт</v>
      </c>
      <c r="D794" s="3009">
        <f>'Смета Внутр'!D800</f>
        <v>4.8400000000000007</v>
      </c>
      <c r="E794" s="3007"/>
      <c r="F794" s="3012">
        <f>'Смета Внутр'!H800</f>
        <v>0</v>
      </c>
    </row>
    <row r="795" spans="2:6">
      <c r="B795" s="3007" t="str">
        <f>'Смета Внутр'!B801</f>
        <v>нет</v>
      </c>
      <c r="C795" s="3008" t="str">
        <f>'Смета Внутр'!C801</f>
        <v>м3</v>
      </c>
      <c r="D795" s="3009">
        <f>'Смета Внутр'!D801</f>
        <v>0</v>
      </c>
      <c r="E795" s="3007"/>
      <c r="F795" s="3012">
        <f>'Смета Внутр'!H801</f>
        <v>0</v>
      </c>
    </row>
    <row r="796" spans="2:6">
      <c r="B796" s="3007" t="str">
        <f>'Смета Внутр'!B802</f>
        <v>Доска сухая, 100*50мм</v>
      </c>
      <c r="C796" s="3008" t="str">
        <f>'Смета Внутр'!C802</f>
        <v>м3</v>
      </c>
      <c r="D796" s="3009">
        <f>'Смета Внутр'!D802</f>
        <v>0</v>
      </c>
      <c r="E796" s="3007"/>
      <c r="F796" s="3012">
        <f>'Смета Внутр'!H802</f>
        <v>0</v>
      </c>
    </row>
    <row r="797" spans="2:6">
      <c r="B797" s="3007" t="str">
        <f>'Смета Внутр'!B803</f>
        <v>Доска сухая калиброванная, 100*45мм</v>
      </c>
      <c r="C797" s="3008" t="str">
        <f>'Смета Внутр'!C803</f>
        <v>м3</v>
      </c>
      <c r="D797" s="3009">
        <f>'Смета Внутр'!D803</f>
        <v>0</v>
      </c>
      <c r="E797" s="3007"/>
      <c r="F797" s="3012">
        <f>'Смета Внутр'!H803</f>
        <v>0</v>
      </c>
    </row>
    <row r="798" spans="2:6">
      <c r="B798" s="3007" t="str">
        <f>'Смета Внутр'!B804</f>
        <v>Сосна влаж, 50*50мм</v>
      </c>
      <c r="C798" s="3008" t="str">
        <f>'Смета Внутр'!C804</f>
        <v>м.п.</v>
      </c>
      <c r="D798" s="3009">
        <f>'Смета Внутр'!D804</f>
        <v>0</v>
      </c>
      <c r="E798" s="3007"/>
      <c r="F798" s="3012">
        <f>'Смета Внутр'!H804</f>
        <v>0</v>
      </c>
    </row>
    <row r="799" spans="2:6">
      <c r="B799" s="3007" t="str">
        <f>'Смета Внутр'!B805</f>
        <v>Бензин для пилы</v>
      </c>
      <c r="C799" s="3008" t="str">
        <f>'Смета Внутр'!C805</f>
        <v>л</v>
      </c>
      <c r="D799" s="3009">
        <f>'Смета Внутр'!D805</f>
        <v>7.0047120000000023</v>
      </c>
      <c r="E799" s="3007"/>
      <c r="F799" s="3012">
        <f>'Смета Внутр'!H805</f>
        <v>0</v>
      </c>
    </row>
    <row r="800" spans="2:6">
      <c r="B800" s="3007" t="str">
        <f>'Смета Внутр'!B806</f>
        <v>Масло для пилы</v>
      </c>
      <c r="C800" s="3008" t="str">
        <f>'Смета Внутр'!C806</f>
        <v>л</v>
      </c>
      <c r="D800" s="3009">
        <f>'Смета Внутр'!D806</f>
        <v>0.35023560000000009</v>
      </c>
      <c r="E800" s="3007"/>
      <c r="F800" s="3012">
        <f>'Смета Внутр'!H806</f>
        <v>0</v>
      </c>
    </row>
    <row r="801" spans="2:6">
      <c r="B801" s="3007" t="str">
        <f>'Смета Внутр'!B807</f>
        <v>Цепь для пилы</v>
      </c>
      <c r="C801" s="3008" t="str">
        <f>'Смета Внутр'!C807</f>
        <v>шт</v>
      </c>
      <c r="D801" s="3009">
        <f>'Смета Внутр'!D807</f>
        <v>3</v>
      </c>
      <c r="E801" s="3007"/>
      <c r="F801" s="3012">
        <f>'Смета Внутр'!H807</f>
        <v>0</v>
      </c>
    </row>
    <row r="802" spans="2:6">
      <c r="B802" s="3007" t="str">
        <f>'Смета Внутр'!B808</f>
        <v>"Профилюкс" Антисептик АНТИПЛЕСЕНЬ</v>
      </c>
      <c r="C802" s="3008" t="str">
        <f>'Смета Внутр'!C808</f>
        <v>л</v>
      </c>
      <c r="D802" s="3009">
        <f>'Смета Внутр'!D808</f>
        <v>39.187200000000018</v>
      </c>
      <c r="E802" s="3007"/>
      <c r="F802" s="3012">
        <f>'Смета Внутр'!H808</f>
        <v>0</v>
      </c>
    </row>
    <row r="803" spans="2:6">
      <c r="B803" s="3007" t="str">
        <f>'Смета Внутр'!B809</f>
        <v>"Тонерол" Антисептик  бесцветный  1л</v>
      </c>
      <c r="C803" s="3008" t="str">
        <f>'Смета Внутр'!C809</f>
        <v>л</v>
      </c>
      <c r="D803" s="3009">
        <f>'Смета Внутр'!D809</f>
        <v>23.512320000000006</v>
      </c>
      <c r="E803" s="3007"/>
      <c r="F803" s="3012">
        <f>'Смета Внутр'!H809</f>
        <v>0</v>
      </c>
    </row>
    <row r="804" spans="2:6">
      <c r="B804" s="3007" t="str">
        <f>'Смета Внутр'!B810</f>
        <v>"Тонерол" Антисептик  махагон  1л</v>
      </c>
      <c r="C804" s="3008" t="str">
        <f>'Смета Внутр'!C810</f>
        <v>л</v>
      </c>
      <c r="D804" s="3009">
        <f>'Смета Внутр'!D810</f>
        <v>23.512320000000006</v>
      </c>
      <c r="E804" s="3007"/>
      <c r="F804" s="3012">
        <f>'Смета Внутр'!H810</f>
        <v>0</v>
      </c>
    </row>
    <row r="805" spans="2:6">
      <c r="B805" s="3007" t="str">
        <f>'Смета Внутр'!B811</f>
        <v>Нет наличника</v>
      </c>
      <c r="C805" s="3008" t="str">
        <f>'Смета Внутр'!C811</f>
        <v>м.п.</v>
      </c>
      <c r="D805" s="3009">
        <f>'Смета Внутр'!D811</f>
        <v>3.5700000000000007</v>
      </c>
      <c r="E805" s="3007"/>
      <c r="F805" s="3012">
        <f>'Смета Внутр'!H811</f>
        <v>0</v>
      </c>
    </row>
    <row r="806" spans="2:6">
      <c r="B806" s="3007" t="str">
        <f>'Смета Внутр'!B812</f>
        <v>Нет наличника</v>
      </c>
      <c r="C806" s="3008" t="str">
        <f>'Смета Внутр'!C812</f>
        <v>м.п.</v>
      </c>
      <c r="D806" s="3009">
        <f>'Смета Внутр'!D812</f>
        <v>3.5700000000000007</v>
      </c>
      <c r="E806" s="3007"/>
      <c r="F806" s="3012">
        <f>'Смета Внутр'!H812</f>
        <v>0</v>
      </c>
    </row>
    <row r="807" spans="2:6">
      <c r="B807" s="3007" t="str">
        <f>'Смета Внутр'!B813</f>
        <v>Бумага наждачная № 63 F(30)</v>
      </c>
      <c r="C807" s="3008" t="str">
        <f>'Смета Внутр'!C813</f>
        <v>м</v>
      </c>
      <c r="D807" s="3009">
        <f>'Смета Внутр'!D813</f>
        <v>5</v>
      </c>
      <c r="E807" s="3007"/>
      <c r="F807" s="3012">
        <f>'Смета Внутр'!H813</f>
        <v>0</v>
      </c>
    </row>
    <row r="808" spans="2:6">
      <c r="B808" s="3007" t="str">
        <f>'Смета Внутр'!B814</f>
        <v>Нет наждачной бумаги</v>
      </c>
      <c r="C808" s="3008" t="str">
        <f>'Смета Внутр'!C814</f>
        <v>м</v>
      </c>
      <c r="D808" s="3009">
        <f>'Смета Внутр'!D814</f>
        <v>0</v>
      </c>
      <c r="E808" s="3007"/>
      <c r="F808" s="3012">
        <f>'Смета Внутр'!H814</f>
        <v>0</v>
      </c>
    </row>
    <row r="809" spans="2:6">
      <c r="B809" s="3007" t="str">
        <f>'Смета Внутр'!B815</f>
        <v>Бумага наждачная № 63 F(30)</v>
      </c>
      <c r="C809" s="3008" t="str">
        <f>'Смета Внутр'!C815</f>
        <v>м</v>
      </c>
      <c r="D809" s="3009">
        <f>'Смета Внутр'!D815</f>
        <v>0</v>
      </c>
      <c r="E809" s="3007"/>
      <c r="F809" s="3012">
        <f>'Смета Внутр'!H815</f>
        <v>0</v>
      </c>
    </row>
    <row r="810" spans="2:6">
      <c r="B810" s="3007" t="str">
        <f>'Смета Внутр'!B816</f>
        <v>Бумага наждачная № 40</v>
      </c>
      <c r="C810" s="3008" t="str">
        <f>'Смета Внутр'!C816</f>
        <v>м</v>
      </c>
      <c r="D810" s="3009">
        <f>'Смета Внутр'!D816</f>
        <v>0</v>
      </c>
      <c r="E810" s="3007"/>
      <c r="F810" s="3012">
        <f>'Смета Внутр'!H816</f>
        <v>0</v>
      </c>
    </row>
    <row r="811" spans="2:6">
      <c r="B811" s="3311" t="str">
        <f>'Смета Внутр'!B817</f>
        <v>Итого материалы</v>
      </c>
      <c r="C811" s="3311"/>
      <c r="D811" s="3311"/>
      <c r="E811" s="3311"/>
      <c r="F811" s="3014">
        <f>'Смета Внутр'!G817</f>
        <v>0</v>
      </c>
    </row>
    <row r="812" spans="2:6">
      <c r="B812" s="3312" t="str">
        <f>'Смета Внутр'!B818</f>
        <v>Работы</v>
      </c>
      <c r="C812" s="3312"/>
      <c r="D812" s="3312"/>
      <c r="E812" s="3312"/>
      <c r="F812" s="3011">
        <f>'Смета Внутр'!H818</f>
        <v>0</v>
      </c>
    </row>
    <row r="813" spans="2:6">
      <c r="B813" s="3007" t="str">
        <f>'Смета Внутр'!B819</f>
        <v>кладка Оцилиндрованного вревна</v>
      </c>
      <c r="C813" s="3008" t="str">
        <f>'Смета Внутр'!C819</f>
        <v>м3</v>
      </c>
      <c r="D813" s="3009">
        <f>'Смета Внутр'!D819</f>
        <v>28.018848000000009</v>
      </c>
      <c r="E813" s="3007"/>
      <c r="F813" s="3012">
        <f>'Смета Внутр'!H819</f>
        <v>0</v>
      </c>
    </row>
    <row r="814" spans="2:6">
      <c r="B814" s="3007" t="str">
        <f>'Смета Внутр'!B820</f>
        <v>окосячка проемов, м.п.</v>
      </c>
      <c r="C814" s="3008" t="str">
        <f>'Смета Внутр'!C820</f>
        <v>м.п.</v>
      </c>
      <c r="D814" s="3009">
        <f>'Смета Внутр'!D820</f>
        <v>0</v>
      </c>
      <c r="E814" s="3007"/>
      <c r="F814" s="3012">
        <f>'Смета Внутр'!H820</f>
        <v>0</v>
      </c>
    </row>
    <row r="815" spans="2:6">
      <c r="B815" s="3007" t="str">
        <f>'Смета Внутр'!B821</f>
        <v>обработка торцов на брусе</v>
      </c>
      <c r="C815" s="3008" t="str">
        <f>'Смета Внутр'!C821</f>
        <v>м.п.</v>
      </c>
      <c r="D815" s="3009">
        <f>'Смета Внутр'!D821</f>
        <v>14.400000000000002</v>
      </c>
      <c r="E815" s="3007"/>
      <c r="F815" s="3012">
        <f>'Смета Внутр'!H821</f>
        <v>0</v>
      </c>
    </row>
    <row r="816" spans="2:6">
      <c r="B816" s="3007" t="str">
        <f>'Смета Внутр'!B822</f>
        <v>Обаботка огнебиозащитой</v>
      </c>
      <c r="C816" s="3008" t="str">
        <f>'Смета Внутр'!C822</f>
        <v>м.п.</v>
      </c>
      <c r="D816" s="3009">
        <f>'Смета Внутр'!D822</f>
        <v>28.018848000000009</v>
      </c>
      <c r="E816" s="3007"/>
      <c r="F816" s="3012">
        <f>'Смета Внутр'!H822</f>
        <v>0</v>
      </c>
    </row>
    <row r="817" spans="2:6">
      <c r="B817" s="3007" t="str">
        <f>'Смета Внутр'!B823</f>
        <v>Пропитка стен внешних</v>
      </c>
      <c r="C817" s="3008" t="str">
        <f>'Смета Внутр'!C823</f>
        <v>м.п.</v>
      </c>
      <c r="D817" s="3009">
        <f>'Смета Внутр'!D823</f>
        <v>117.56160000000003</v>
      </c>
      <c r="E817" s="3007"/>
      <c r="F817" s="3012">
        <f>'Смета Внутр'!H823</f>
        <v>0</v>
      </c>
    </row>
    <row r="818" spans="2:6">
      <c r="B818" s="3007" t="str">
        <f>'Смета Внутр'!B824</f>
        <v>Пропитка внутенних стен</v>
      </c>
      <c r="C818" s="3008" t="str">
        <f>'Смета Внутр'!C824</f>
        <v>м.п.</v>
      </c>
      <c r="D818" s="3009">
        <f>'Смета Внутр'!D824</f>
        <v>117.56160000000003</v>
      </c>
      <c r="E818" s="3007"/>
      <c r="F818" s="3012">
        <f>'Смета Внутр'!H824</f>
        <v>0</v>
      </c>
    </row>
    <row r="819" spans="2:6">
      <c r="B819" s="3007" t="str">
        <f>'Смета Внутр'!B825</f>
        <v>Сверление стен для скрытой проводки</v>
      </c>
      <c r="C819" s="3008" t="str">
        <f>'Смета Внутр'!C825</f>
        <v>м.п.</v>
      </c>
      <c r="D819" s="3009">
        <f>'Смета Внутр'!D825</f>
        <v>180</v>
      </c>
      <c r="E819" s="3007"/>
      <c r="F819" s="3012">
        <f>'Смета Внутр'!H825</f>
        <v>0</v>
      </c>
    </row>
    <row r="820" spans="2:6">
      <c r="B820" s="3007" t="str">
        <f>'Смета Внутр'!B826</f>
        <v>Монтаж наличника</v>
      </c>
      <c r="C820" s="3008" t="str">
        <f>'Смета Внутр'!C826</f>
        <v>м.п.</v>
      </c>
      <c r="D820" s="3009">
        <f>'Смета Внутр'!D826</f>
        <v>0</v>
      </c>
      <c r="E820" s="3007"/>
      <c r="F820" s="3012">
        <f>'Смета Внутр'!H826</f>
        <v>0</v>
      </c>
    </row>
    <row r="821" spans="2:6">
      <c r="B821" s="3007" t="str">
        <f>'Смета Внутр'!B827</f>
        <v>Шлифовка стен дома</v>
      </c>
      <c r="C821" s="3008" t="str">
        <f>'Смета Внутр'!C827</f>
        <v>м.п.</v>
      </c>
      <c r="D821" s="3009">
        <f>'Смета Внутр'!D827</f>
        <v>121.44000000000004</v>
      </c>
      <c r="E821" s="3007"/>
      <c r="F821" s="3012">
        <f>'Смета Внутр'!H827</f>
        <v>0</v>
      </c>
    </row>
    <row r="822" spans="2:6">
      <c r="B822" s="3311" t="str">
        <f>'Смета Внутр'!B828</f>
        <v>Итого работы</v>
      </c>
      <c r="C822" s="3311"/>
      <c r="D822" s="3311"/>
      <c r="E822" s="3311"/>
      <c r="F822" s="3014">
        <f>'Смета Внутр'!G828</f>
        <v>0</v>
      </c>
    </row>
    <row r="823" spans="2:6" ht="19">
      <c r="B823" s="3313" t="str">
        <f>'Смета Внутр'!B829</f>
        <v>Дом из Профилированного бруса</v>
      </c>
      <c r="C823" s="3313"/>
      <c r="D823" s="3313"/>
      <c r="E823" s="3313"/>
      <c r="F823" s="3011">
        <f>'Смета Внутр'!H829</f>
        <v>0</v>
      </c>
    </row>
    <row r="824" spans="2:6">
      <c r="B824" s="3310" t="str">
        <f>'Смета Внутр'!B830</f>
        <v>Материалы</v>
      </c>
      <c r="C824" s="3310"/>
      <c r="D824" s="3310"/>
      <c r="E824" s="3310"/>
      <c r="F824" s="3011">
        <f>'Смета Внутр'!H830</f>
        <v>0</v>
      </c>
    </row>
    <row r="825" spans="2:6">
      <c r="B825" s="3007" t="str">
        <f>'Смета Внутр'!B831</f>
        <v>Листв. влаж, 200*200мм</v>
      </c>
      <c r="C825" s="3008" t="str">
        <f>'Смета Внутр'!C831</f>
        <v>м3</v>
      </c>
      <c r="D825" s="3009">
        <f>'Смета Внутр'!D831</f>
        <v>2.5520000000000005</v>
      </c>
      <c r="E825" s="3007"/>
      <c r="F825" s="3012">
        <f>'Смета Внутр'!H831</f>
        <v>0</v>
      </c>
    </row>
    <row r="826" spans="2:6">
      <c r="B826" s="3007" t="str">
        <f>'Смета Внутр'!B832</f>
        <v>Сосна влаж, 200*200мм</v>
      </c>
      <c r="C826" s="3008" t="str">
        <f>'Смета Внутр'!C832</f>
        <v>м3</v>
      </c>
      <c r="D826" s="3009">
        <f>'Смета Внутр'!D832</f>
        <v>21.736000000000011</v>
      </c>
      <c r="E826" s="3007"/>
      <c r="F826" s="3012">
        <f>'Смета Внутр'!H832</f>
        <v>0</v>
      </c>
    </row>
    <row r="827" spans="2:6">
      <c r="B827" s="3007" t="str">
        <f>'Смета Внутр'!B833</f>
        <v>Сосна влаж, 200*150мм</v>
      </c>
      <c r="C827" s="3008" t="str">
        <f>'Смета Внутр'!C833</f>
        <v>м3</v>
      </c>
      <c r="D827" s="3009">
        <f>'Смета Внутр'!D833</f>
        <v>0</v>
      </c>
      <c r="E827" s="3007"/>
      <c r="F827" s="3012">
        <f>'Смета Внутр'!H833</f>
        <v>0</v>
      </c>
    </row>
    <row r="828" spans="2:6">
      <c r="B828" s="3007" t="str">
        <f>'Смета Внутр'!B834</f>
        <v>Сосна влаж, 200*100мм</v>
      </c>
      <c r="C828" s="3008" t="str">
        <f>'Смета Внутр'!C834</f>
        <v>м2</v>
      </c>
      <c r="D828" s="3009">
        <f>'Смета Внутр'!D834</f>
        <v>0</v>
      </c>
      <c r="E828" s="3007"/>
      <c r="F828" s="3012">
        <f>'Смета Внутр'!H834</f>
        <v>0</v>
      </c>
    </row>
    <row r="829" spans="2:6">
      <c r="B829" s="3007" t="str">
        <f>'Смета Внутр'!B835</f>
        <v>Шкант</v>
      </c>
      <c r="C829" s="3008" t="str">
        <f>'Смета Внутр'!C835</f>
        <v>шт</v>
      </c>
      <c r="D829" s="3009">
        <f>'Смета Внутр'!D835</f>
        <v>535</v>
      </c>
      <c r="E829" s="3007"/>
      <c r="F829" s="3012">
        <f>'Смета Внутр'!H835</f>
        <v>0</v>
      </c>
    </row>
    <row r="830" spans="2:6">
      <c r="B830" s="3007" t="str">
        <f>'Смета Внутр'!B836</f>
        <v>Лента уплотнения</v>
      </c>
      <c r="C830" s="3008" t="str">
        <f>'Смета Внутр'!C836</f>
        <v>шт</v>
      </c>
      <c r="D830" s="3009">
        <f>'Смета Внутр'!D836</f>
        <v>0</v>
      </c>
      <c r="E830" s="3007"/>
      <c r="F830" s="3012">
        <f>'Смета Внутр'!H836</f>
        <v>0</v>
      </c>
    </row>
    <row r="831" spans="2:6">
      <c r="B831" s="3007" t="str">
        <f>'Смета Внутр'!B837</f>
        <v xml:space="preserve">Гвозди строительные 3,5 x 90            </v>
      </c>
      <c r="C831" s="3008" t="str">
        <f>'Смета Внутр'!C837</f>
        <v>шт</v>
      </c>
      <c r="D831" s="3009">
        <f>'Смета Внутр'!D837</f>
        <v>4.4000000000000004</v>
      </c>
      <c r="E831" s="3007"/>
      <c r="F831" s="3012">
        <f>'Смета Внутр'!H837</f>
        <v>0</v>
      </c>
    </row>
    <row r="832" spans="2:6">
      <c r="B832" s="3007" t="str">
        <f>'Смета Внутр'!B838</f>
        <v>нет</v>
      </c>
      <c r="C832" s="3008" t="str">
        <f>'Смета Внутр'!C838</f>
        <v>м3</v>
      </c>
      <c r="D832" s="3009">
        <f>'Смета Внутр'!D838</f>
        <v>0</v>
      </c>
      <c r="E832" s="3007"/>
      <c r="F832" s="3012">
        <f>'Смета Внутр'!H838</f>
        <v>0</v>
      </c>
    </row>
    <row r="833" spans="2:6">
      <c r="B833" s="3007" t="str">
        <f>'Смета Внутр'!B839</f>
        <v>Доска сухая, 100*50мм</v>
      </c>
      <c r="C833" s="3008" t="str">
        <f>'Смета Внутр'!C839</f>
        <v>м3</v>
      </c>
      <c r="D833" s="3009">
        <f>'Смета Внутр'!D839</f>
        <v>0</v>
      </c>
      <c r="E833" s="3007"/>
      <c r="F833" s="3012">
        <f>'Смета Внутр'!H839</f>
        <v>0</v>
      </c>
    </row>
    <row r="834" spans="2:6">
      <c r="B834" s="3007" t="str">
        <f>'Смета Внутр'!B840</f>
        <v>Доска сухая калиброванная, 100*45мм</v>
      </c>
      <c r="C834" s="3008" t="str">
        <f>'Смета Внутр'!C840</f>
        <v>м3</v>
      </c>
      <c r="D834" s="3009">
        <f>'Смета Внутр'!D840</f>
        <v>0</v>
      </c>
      <c r="E834" s="3007"/>
      <c r="F834" s="3012">
        <f>'Смета Внутр'!H840</f>
        <v>0</v>
      </c>
    </row>
    <row r="835" spans="2:6">
      <c r="B835" s="3007" t="str">
        <f>'Смета Внутр'!B841</f>
        <v>Сосна влаж, 50*50мм</v>
      </c>
      <c r="C835" s="3008" t="str">
        <f>'Смета Внутр'!C841</f>
        <v>м.п.</v>
      </c>
      <c r="D835" s="3009">
        <f>'Смета Внутр'!D841</f>
        <v>0</v>
      </c>
      <c r="E835" s="3007"/>
      <c r="F835" s="3012">
        <f>'Смета Внутр'!H841</f>
        <v>0</v>
      </c>
    </row>
    <row r="836" spans="2:6">
      <c r="B836" s="3007" t="str">
        <f>'Смета Внутр'!B842</f>
        <v>Бензин для пилы</v>
      </c>
      <c r="C836" s="3008" t="str">
        <f>'Смета Внутр'!C842</f>
        <v>л</v>
      </c>
      <c r="D836" s="3009">
        <f>'Смета Внутр'!D842</f>
        <v>4.8576000000000024</v>
      </c>
      <c r="E836" s="3007"/>
      <c r="F836" s="3012">
        <f>'Смета Внутр'!H842</f>
        <v>0</v>
      </c>
    </row>
    <row r="837" spans="2:6">
      <c r="B837" s="3007" t="str">
        <f>'Смета Внутр'!B843</f>
        <v>Масло для пилы</v>
      </c>
      <c r="C837" s="3008" t="str">
        <f>'Смета Внутр'!C843</f>
        <v>л</v>
      </c>
      <c r="D837" s="3009">
        <f>'Смета Внутр'!D843</f>
        <v>0.24288000000000012</v>
      </c>
      <c r="E837" s="3007"/>
      <c r="F837" s="3012">
        <f>'Смета Внутр'!H843</f>
        <v>0</v>
      </c>
    </row>
    <row r="838" spans="2:6">
      <c r="B838" s="3007" t="str">
        <f>'Смета Внутр'!B844</f>
        <v>Цепь для пилы</v>
      </c>
      <c r="C838" s="3008" t="str">
        <f>'Смета Внутр'!C844</f>
        <v>шт</v>
      </c>
      <c r="D838" s="3009">
        <f>'Смета Внутр'!D844</f>
        <v>3</v>
      </c>
      <c r="E838" s="3007"/>
      <c r="F838" s="3012">
        <f>'Смета Внутр'!H844</f>
        <v>0</v>
      </c>
    </row>
    <row r="839" spans="2:6">
      <c r="B839" s="3007" t="str">
        <f>'Смета Внутр'!B845</f>
        <v>"Профилюкс" Антисептик АНТИПЛЕСЕНЬ</v>
      </c>
      <c r="C839" s="3008" t="str">
        <f>'Смета Внутр'!C845</f>
        <v>л</v>
      </c>
      <c r="D839" s="3009">
        <f>'Смета Внутр'!D845</f>
        <v>0</v>
      </c>
      <c r="E839" s="3007"/>
      <c r="F839" s="3012">
        <f>'Смета Внутр'!H845</f>
        <v>0</v>
      </c>
    </row>
    <row r="840" spans="2:6">
      <c r="B840" s="3007" t="str">
        <f>'Смета Внутр'!B846</f>
        <v>"Тонерол" Антисептик  бесцветный  1л</v>
      </c>
      <c r="C840" s="3008" t="str">
        <f>'Смета Внутр'!C846</f>
        <v>л</v>
      </c>
      <c r="D840" s="3009">
        <f>'Смета Внутр'!D846</f>
        <v>0</v>
      </c>
      <c r="E840" s="3007"/>
      <c r="F840" s="3012">
        <f>'Смета Внутр'!H846</f>
        <v>0</v>
      </c>
    </row>
    <row r="841" spans="2:6">
      <c r="B841" s="3007" t="str">
        <f>'Смета Внутр'!B847</f>
        <v>"Тонерол" Антисептик  махагон  1л</v>
      </c>
      <c r="C841" s="3008" t="str">
        <f>'Смета Внутр'!C847</f>
        <v>л</v>
      </c>
      <c r="D841" s="3009">
        <f>'Смета Внутр'!D847</f>
        <v>0</v>
      </c>
      <c r="E841" s="3007"/>
      <c r="F841" s="3012">
        <f>'Смета Внутр'!H847</f>
        <v>0</v>
      </c>
    </row>
    <row r="842" spans="2:6">
      <c r="B842" s="3007" t="str">
        <f>'Смета Внутр'!B848</f>
        <v>Нет наличника</v>
      </c>
      <c r="C842" s="3008" t="str">
        <f>'Смета Внутр'!C848</f>
        <v>м.п.</v>
      </c>
      <c r="D842" s="3009">
        <f>'Смета Внутр'!D848</f>
        <v>3.5700000000000007</v>
      </c>
      <c r="E842" s="3007"/>
      <c r="F842" s="3012">
        <f>'Смета Внутр'!H848</f>
        <v>0</v>
      </c>
    </row>
    <row r="843" spans="2:6">
      <c r="B843" s="3007" t="str">
        <f>'Смета Внутр'!B849</f>
        <v>Нет наличника</v>
      </c>
      <c r="C843" s="3008" t="str">
        <f>'Смета Внутр'!C849</f>
        <v>м.п.</v>
      </c>
      <c r="D843" s="3009">
        <f>'Смета Внутр'!D849</f>
        <v>3.5700000000000007</v>
      </c>
      <c r="E843" s="3007"/>
      <c r="F843" s="3012">
        <f>'Смета Внутр'!H849</f>
        <v>0</v>
      </c>
    </row>
    <row r="844" spans="2:6">
      <c r="B844" s="3007" t="str">
        <f>'Смета Внутр'!B850</f>
        <v>Бумага наждачная № 63 F(30)</v>
      </c>
      <c r="C844" s="3008" t="str">
        <f>'Смета Внутр'!C850</f>
        <v>м</v>
      </c>
      <c r="D844" s="3009">
        <f>'Смета Внутр'!D850</f>
        <v>5</v>
      </c>
      <c r="E844" s="3007"/>
      <c r="F844" s="3012">
        <f>'Смета Внутр'!H850</f>
        <v>0</v>
      </c>
    </row>
    <row r="845" spans="2:6">
      <c r="B845" s="3007" t="str">
        <f>'Смета Внутр'!B851</f>
        <v>Нет наждачной бумаги</v>
      </c>
      <c r="C845" s="3008" t="str">
        <f>'Смета Внутр'!C851</f>
        <v>м</v>
      </c>
      <c r="D845" s="3009">
        <f>'Смета Внутр'!D851</f>
        <v>0</v>
      </c>
      <c r="E845" s="3007"/>
      <c r="F845" s="3012">
        <f>'Смета Внутр'!H851</f>
        <v>0</v>
      </c>
    </row>
    <row r="846" spans="2:6">
      <c r="B846" s="3007" t="str">
        <f>'Смета Внутр'!B852</f>
        <v>Бумага наждачная № 63 F(30)</v>
      </c>
      <c r="C846" s="3008" t="str">
        <f>'Смета Внутр'!C852</f>
        <v>м</v>
      </c>
      <c r="D846" s="3009">
        <f>'Смета Внутр'!D852</f>
        <v>0</v>
      </c>
      <c r="E846" s="3007"/>
      <c r="F846" s="3012">
        <f>'Смета Внутр'!H852</f>
        <v>0</v>
      </c>
    </row>
    <row r="847" spans="2:6">
      <c r="B847" s="3007" t="str">
        <f>'Смета Внутр'!B853</f>
        <v>Бумага наждачная № 40</v>
      </c>
      <c r="C847" s="3008" t="str">
        <f>'Смета Внутр'!C853</f>
        <v>м</v>
      </c>
      <c r="D847" s="3009">
        <f>'Смета Внутр'!D853</f>
        <v>0</v>
      </c>
      <c r="E847" s="3007"/>
      <c r="F847" s="3012">
        <f>'Смета Внутр'!H853</f>
        <v>0</v>
      </c>
    </row>
    <row r="848" spans="2:6">
      <c r="B848" s="3311" t="str">
        <f>'Смета Внутр'!B854</f>
        <v>Итого материалы</v>
      </c>
      <c r="C848" s="3311"/>
      <c r="D848" s="3311"/>
      <c r="E848" s="3311"/>
      <c r="F848" s="3014">
        <f>'Смета Внутр'!G854</f>
        <v>0</v>
      </c>
    </row>
    <row r="849" spans="2:6">
      <c r="B849" s="3312" t="str">
        <f>'Смета Внутр'!B855</f>
        <v>Работы</v>
      </c>
      <c r="C849" s="3312"/>
      <c r="D849" s="3312"/>
      <c r="E849" s="3312"/>
      <c r="F849" s="3011">
        <f>'Смета Внутр'!H855</f>
        <v>0</v>
      </c>
    </row>
    <row r="850" spans="2:6">
      <c r="B850" s="3007" t="str">
        <f>'Смета Внутр'!B856</f>
        <v>кладка Профилированного бруса</v>
      </c>
      <c r="C850" s="3008" t="str">
        <f>'Смета Внутр'!C856</f>
        <v>м3</v>
      </c>
      <c r="D850" s="3009">
        <f>'Смета Внутр'!D856</f>
        <v>24.288000000000011</v>
      </c>
      <c r="E850" s="3007"/>
      <c r="F850" s="3012">
        <f>'Смета Внутр'!H856</f>
        <v>0</v>
      </c>
    </row>
    <row r="851" spans="2:6">
      <c r="B851" s="3007" t="str">
        <f>'Смета Внутр'!B857</f>
        <v>окосячка проемов, м.п.</v>
      </c>
      <c r="C851" s="3008" t="str">
        <f>'Смета Внутр'!C857</f>
        <v>м.п.</v>
      </c>
      <c r="D851" s="3009">
        <f>'Смета Внутр'!D857</f>
        <v>0</v>
      </c>
      <c r="E851" s="3007"/>
      <c r="F851" s="3012">
        <f>'Смета Внутр'!H857</f>
        <v>0</v>
      </c>
    </row>
    <row r="852" spans="2:6">
      <c r="B852" s="3007" t="str">
        <f>'Смета Внутр'!B858</f>
        <v>обработка торцов на брусе</v>
      </c>
      <c r="C852" s="3008" t="str">
        <f>'Смета Внутр'!C858</f>
        <v>м.п.</v>
      </c>
      <c r="D852" s="3009">
        <f>'Смета Внутр'!D858</f>
        <v>14.400000000000002</v>
      </c>
      <c r="E852" s="3007"/>
      <c r="F852" s="3012">
        <f>'Смета Внутр'!H858</f>
        <v>0</v>
      </c>
    </row>
    <row r="853" spans="2:6">
      <c r="B853" s="3007" t="str">
        <f>'Смета Внутр'!B859</f>
        <v>Обаботка огнебиозащитой</v>
      </c>
      <c r="C853" s="3008" t="str">
        <f>'Смета Внутр'!C859</f>
        <v>м.п.</v>
      </c>
      <c r="D853" s="3009">
        <f>'Смета Внутр'!D859</f>
        <v>24.288000000000011</v>
      </c>
      <c r="E853" s="3007"/>
      <c r="F853" s="3012">
        <f>'Смета Внутр'!H859</f>
        <v>0</v>
      </c>
    </row>
    <row r="854" spans="2:6">
      <c r="B854" s="3007" t="str">
        <f>'Смета Внутр'!B860</f>
        <v>Пропитка стен внешних</v>
      </c>
      <c r="C854" s="3008" t="str">
        <f>'Смета Внутр'!C860</f>
        <v>м.п.</v>
      </c>
      <c r="D854" s="3009">
        <f>'Смета Внутр'!D860</f>
        <v>0</v>
      </c>
      <c r="E854" s="3007"/>
      <c r="F854" s="3012">
        <f>'Смета Внутр'!H860</f>
        <v>0</v>
      </c>
    </row>
    <row r="855" spans="2:6">
      <c r="B855" s="3007" t="str">
        <f>'Смета Внутр'!B861</f>
        <v>Пропитка внутенних стен</v>
      </c>
      <c r="C855" s="3008" t="str">
        <f>'Смета Внутр'!C861</f>
        <v>м.п.</v>
      </c>
      <c r="D855" s="3009">
        <f>'Смета Внутр'!D861</f>
        <v>0</v>
      </c>
      <c r="E855" s="3007"/>
      <c r="F855" s="3012">
        <f>'Смета Внутр'!H861</f>
        <v>0</v>
      </c>
    </row>
    <row r="856" spans="2:6">
      <c r="B856" s="3007" t="str">
        <f>'Смета Внутр'!B862</f>
        <v>Сверление стен для скрытой проводки</v>
      </c>
      <c r="C856" s="3008" t="str">
        <f>'Смета Внутр'!C862</f>
        <v>м.п.</v>
      </c>
      <c r="D856" s="3009">
        <f>'Смета Внутр'!D862</f>
        <v>180</v>
      </c>
      <c r="E856" s="3007"/>
      <c r="F856" s="3012">
        <f>'Смета Внутр'!H862</f>
        <v>0</v>
      </c>
    </row>
    <row r="857" spans="2:6">
      <c r="B857" s="3007" t="str">
        <f>'Смета Внутр'!B863</f>
        <v>Монтаж наличника</v>
      </c>
      <c r="C857" s="3008" t="str">
        <f>'Смета Внутр'!C863</f>
        <v>м.п.</v>
      </c>
      <c r="D857" s="3009">
        <f>'Смета Внутр'!D863</f>
        <v>0</v>
      </c>
      <c r="E857" s="3007"/>
      <c r="F857" s="3012">
        <f>'Смета Внутр'!H863</f>
        <v>0</v>
      </c>
    </row>
    <row r="858" spans="2:6">
      <c r="B858" s="3007" t="str">
        <f>'Смета Внутр'!B864</f>
        <v>Шлифовка стен дома</v>
      </c>
      <c r="C858" s="3008" t="str">
        <f>'Смета Внутр'!C864</f>
        <v>м.п.</v>
      </c>
      <c r="D858" s="3009">
        <f>'Смета Внутр'!D864</f>
        <v>0</v>
      </c>
      <c r="E858" s="3007"/>
      <c r="F858" s="3012">
        <f>'Смета Внутр'!H864</f>
        <v>0</v>
      </c>
    </row>
    <row r="859" spans="2:6">
      <c r="B859" s="3311" t="str">
        <f>'Смета Внутр'!B865</f>
        <v>Итого работы</v>
      </c>
      <c r="C859" s="3311"/>
      <c r="D859" s="3311"/>
      <c r="E859" s="3311"/>
      <c r="F859" s="3014">
        <f>'Смета Внутр'!G865</f>
        <v>0</v>
      </c>
    </row>
    <row r="860" spans="2:6" ht="19">
      <c r="B860" s="3313" t="str">
        <f>'Смета Внутр'!B866</f>
        <v>Дом из Клееного бруса</v>
      </c>
      <c r="C860" s="3313"/>
      <c r="D860" s="3313"/>
      <c r="E860" s="3313"/>
      <c r="F860" s="3011">
        <f>'Смета Внутр'!H866</f>
        <v>0</v>
      </c>
    </row>
    <row r="861" spans="2:6">
      <c r="B861" s="3310" t="str">
        <f>'Смета Внутр'!B867</f>
        <v>Материалы</v>
      </c>
      <c r="C861" s="3310"/>
      <c r="D861" s="3310"/>
      <c r="E861" s="3310"/>
      <c r="F861" s="3011">
        <f>'Смета Внутр'!H867</f>
        <v>0</v>
      </c>
    </row>
    <row r="862" spans="2:6">
      <c r="B862" s="3007" t="str">
        <f>'Смета Внутр'!B868</f>
        <v>Листв. влаж, 200*200мм</v>
      </c>
      <c r="C862" s="3008" t="str">
        <f>'Смета Внутр'!C868</f>
        <v>м3</v>
      </c>
      <c r="D862" s="3009">
        <f>'Смета Внутр'!D868</f>
        <v>2.5520000000000005</v>
      </c>
      <c r="E862" s="3007"/>
      <c r="F862" s="3012">
        <f>'Смета Внутр'!H868</f>
        <v>0</v>
      </c>
    </row>
    <row r="863" spans="2:6">
      <c r="B863" s="3007" t="str">
        <f>'Смета Внутр'!B869</f>
        <v>Сосна влаж, 200*200мм</v>
      </c>
      <c r="C863" s="3008" t="str">
        <f>'Смета Внутр'!C869</f>
        <v>м3</v>
      </c>
      <c r="D863" s="3009">
        <f>'Смета Внутр'!D869</f>
        <v>21.736000000000011</v>
      </c>
      <c r="E863" s="3007"/>
      <c r="F863" s="3012">
        <f>'Смета Внутр'!H869</f>
        <v>0</v>
      </c>
    </row>
    <row r="864" spans="2:6">
      <c r="B864" s="3007" t="str">
        <f>'Смета Внутр'!B870</f>
        <v>Сосна влаж, 200*150мм</v>
      </c>
      <c r="C864" s="3008" t="str">
        <f>'Смета Внутр'!C870</f>
        <v>м3</v>
      </c>
      <c r="D864" s="3009">
        <f>'Смета Внутр'!D870</f>
        <v>0</v>
      </c>
      <c r="E864" s="3007"/>
      <c r="F864" s="3012">
        <f>'Смета Внутр'!H870</f>
        <v>0</v>
      </c>
    </row>
    <row r="865" spans="2:6">
      <c r="B865" s="3007" t="str">
        <f>'Смета Внутр'!B871</f>
        <v>Сосна влаж, 200*100мм</v>
      </c>
      <c r="C865" s="3008" t="str">
        <f>'Смета Внутр'!C871</f>
        <v>м2</v>
      </c>
      <c r="D865" s="3009">
        <f>'Смета Внутр'!D871</f>
        <v>0</v>
      </c>
      <c r="E865" s="3007"/>
      <c r="F865" s="3012">
        <f>'Смета Внутр'!H871</f>
        <v>0</v>
      </c>
    </row>
    <row r="866" spans="2:6">
      <c r="B866" s="3007" t="str">
        <f>'Смета Внутр'!B872</f>
        <v>Шкант</v>
      </c>
      <c r="C866" s="3008" t="str">
        <f>'Смета Внутр'!C872</f>
        <v>шт</v>
      </c>
      <c r="D866" s="3009">
        <f>'Смета Внутр'!D872</f>
        <v>535</v>
      </c>
      <c r="E866" s="3007"/>
      <c r="F866" s="3012">
        <f>'Смета Внутр'!H872</f>
        <v>0</v>
      </c>
    </row>
    <row r="867" spans="2:6">
      <c r="B867" s="3007" t="str">
        <f>'Смета Внутр'!B873</f>
        <v>Лента уплотнения</v>
      </c>
      <c r="C867" s="3008" t="str">
        <f>'Смета Внутр'!C873</f>
        <v>шт</v>
      </c>
      <c r="D867" s="3009">
        <f>'Смета Внутр'!D873</f>
        <v>0</v>
      </c>
      <c r="E867" s="3007"/>
      <c r="F867" s="3012">
        <f>'Смета Внутр'!H873</f>
        <v>0</v>
      </c>
    </row>
    <row r="868" spans="2:6">
      <c r="B868" s="3007" t="str">
        <f>'Смета Внутр'!B874</f>
        <v xml:space="preserve">Гвозди строительные 3,5 x 90            </v>
      </c>
      <c r="C868" s="3008" t="str">
        <f>'Смета Внутр'!C874</f>
        <v>шт</v>
      </c>
      <c r="D868" s="3009">
        <f>'Смета Внутр'!D874</f>
        <v>4.4000000000000004</v>
      </c>
      <c r="E868" s="3007"/>
      <c r="F868" s="3012">
        <f>'Смета Внутр'!H874</f>
        <v>0</v>
      </c>
    </row>
    <row r="869" spans="2:6">
      <c r="B869" s="3007" t="str">
        <f>'Смета Внутр'!B875</f>
        <v>нет</v>
      </c>
      <c r="C869" s="3008" t="str">
        <f>'Смета Внутр'!C875</f>
        <v>м3</v>
      </c>
      <c r="D869" s="3009">
        <f>'Смета Внутр'!D875</f>
        <v>0</v>
      </c>
      <c r="E869" s="3007"/>
      <c r="F869" s="3012">
        <f>'Смета Внутр'!H875</f>
        <v>0</v>
      </c>
    </row>
    <row r="870" spans="2:6">
      <c r="B870" s="3007" t="str">
        <f>'Смета Внутр'!B876</f>
        <v>Доска сухая, 100*50мм</v>
      </c>
      <c r="C870" s="3008" t="str">
        <f>'Смета Внутр'!C876</f>
        <v>м3</v>
      </c>
      <c r="D870" s="3009">
        <f>'Смета Внутр'!D876</f>
        <v>0</v>
      </c>
      <c r="E870" s="3007"/>
      <c r="F870" s="3012">
        <f>'Смета Внутр'!H876</f>
        <v>0</v>
      </c>
    </row>
    <row r="871" spans="2:6">
      <c r="B871" s="3007" t="str">
        <f>'Смета Внутр'!B877</f>
        <v>Доска сухая калиброванная, 100*45мм</v>
      </c>
      <c r="C871" s="3008" t="str">
        <f>'Смета Внутр'!C877</f>
        <v>м3</v>
      </c>
      <c r="D871" s="3009">
        <f>'Смета Внутр'!D877</f>
        <v>0</v>
      </c>
      <c r="E871" s="3007"/>
      <c r="F871" s="3012">
        <f>'Смета Внутр'!H877</f>
        <v>0</v>
      </c>
    </row>
    <row r="872" spans="2:6">
      <c r="B872" s="3007" t="str">
        <f>'Смета Внутр'!B878</f>
        <v>Сосна влаж, 50*50мм</v>
      </c>
      <c r="C872" s="3008" t="str">
        <f>'Смета Внутр'!C878</f>
        <v>м.п.</v>
      </c>
      <c r="D872" s="3009">
        <f>'Смета Внутр'!D878</f>
        <v>0</v>
      </c>
      <c r="E872" s="3007"/>
      <c r="F872" s="3012">
        <f>'Смета Внутр'!H878</f>
        <v>0</v>
      </c>
    </row>
    <row r="873" spans="2:6">
      <c r="B873" s="3007" t="str">
        <f>'Смета Внутр'!B879</f>
        <v>Бензин для пилы</v>
      </c>
      <c r="C873" s="3008" t="str">
        <f>'Смета Внутр'!C879</f>
        <v>л</v>
      </c>
      <c r="D873" s="3009">
        <f>'Смета Внутр'!D879</f>
        <v>4.8576000000000024</v>
      </c>
      <c r="E873" s="3007"/>
      <c r="F873" s="3012">
        <f>'Смета Внутр'!H879</f>
        <v>0</v>
      </c>
    </row>
    <row r="874" spans="2:6">
      <c r="B874" s="3007" t="str">
        <f>'Смета Внутр'!B880</f>
        <v>Масло для пилы</v>
      </c>
      <c r="C874" s="3008" t="str">
        <f>'Смета Внутр'!C880</f>
        <v>л</v>
      </c>
      <c r="D874" s="3009">
        <f>'Смета Внутр'!D880</f>
        <v>0.24288000000000012</v>
      </c>
      <c r="E874" s="3007"/>
      <c r="F874" s="3012">
        <f>'Смета Внутр'!H880</f>
        <v>0</v>
      </c>
    </row>
    <row r="875" spans="2:6">
      <c r="B875" s="3007" t="str">
        <f>'Смета Внутр'!B881</f>
        <v>Цепь для пилы</v>
      </c>
      <c r="C875" s="3008" t="str">
        <f>'Смета Внутр'!C881</f>
        <v>шт</v>
      </c>
      <c r="D875" s="3009">
        <f>'Смета Внутр'!D881</f>
        <v>3</v>
      </c>
      <c r="E875" s="3007"/>
      <c r="F875" s="3012">
        <f>'Смета Внутр'!H881</f>
        <v>0</v>
      </c>
    </row>
    <row r="876" spans="2:6">
      <c r="B876" s="3007" t="str">
        <f>'Смета Внутр'!B882</f>
        <v>"Профилюкс" Антисептик АНТИПЛЕСЕНЬ</v>
      </c>
      <c r="C876" s="3008" t="str">
        <f>'Смета Внутр'!C882</f>
        <v>л</v>
      </c>
      <c r="D876" s="3009">
        <f>'Смета Внутр'!D882</f>
        <v>0</v>
      </c>
      <c r="E876" s="3007"/>
      <c r="F876" s="3012">
        <f>'Смета Внутр'!H882</f>
        <v>0</v>
      </c>
    </row>
    <row r="877" spans="2:6">
      <c r="B877" s="3007" t="str">
        <f>'Смета Внутр'!B883</f>
        <v>"Тонерол" Антисептик  бесцветный  1л</v>
      </c>
      <c r="C877" s="3008" t="str">
        <f>'Смета Внутр'!C883</f>
        <v>л</v>
      </c>
      <c r="D877" s="3009">
        <f>'Смета Внутр'!D883</f>
        <v>0</v>
      </c>
      <c r="E877" s="3007"/>
      <c r="F877" s="3012">
        <f>'Смета Внутр'!H883</f>
        <v>0</v>
      </c>
    </row>
    <row r="878" spans="2:6">
      <c r="B878" s="3007" t="str">
        <f>'Смета Внутр'!B884</f>
        <v>"Тонерол" Антисептик  махагон  1л</v>
      </c>
      <c r="C878" s="3008" t="str">
        <f>'Смета Внутр'!C884</f>
        <v>л</v>
      </c>
      <c r="D878" s="3009">
        <f>'Смета Внутр'!D884</f>
        <v>0</v>
      </c>
      <c r="E878" s="3007"/>
      <c r="F878" s="3012">
        <f>'Смета Внутр'!H884</f>
        <v>0</v>
      </c>
    </row>
    <row r="879" spans="2:6">
      <c r="B879" s="3007" t="str">
        <f>'Смета Внутр'!B885</f>
        <v>Нет наличника</v>
      </c>
      <c r="C879" s="3008" t="str">
        <f>'Смета Внутр'!C885</f>
        <v>м.п.</v>
      </c>
      <c r="D879" s="3009">
        <f>'Смета Внутр'!D885</f>
        <v>3.5700000000000007</v>
      </c>
      <c r="E879" s="3007"/>
      <c r="F879" s="3012">
        <f>'Смета Внутр'!H885</f>
        <v>0</v>
      </c>
    </row>
    <row r="880" spans="2:6">
      <c r="B880" s="3007" t="str">
        <f>'Смета Внутр'!B886</f>
        <v>Нет наличника</v>
      </c>
      <c r="C880" s="3008" t="str">
        <f>'Смета Внутр'!C886</f>
        <v>м.п.</v>
      </c>
      <c r="D880" s="3009">
        <f>'Смета Внутр'!D886</f>
        <v>3.5700000000000007</v>
      </c>
      <c r="E880" s="3007"/>
      <c r="F880" s="3012">
        <f>'Смета Внутр'!H886</f>
        <v>0</v>
      </c>
    </row>
    <row r="881" spans="2:6">
      <c r="B881" s="3007" t="str">
        <f>'Смета Внутр'!B887</f>
        <v>Бумага наждачная № 63 F(30)</v>
      </c>
      <c r="C881" s="3008" t="str">
        <f>'Смета Внутр'!C887</f>
        <v>м</v>
      </c>
      <c r="D881" s="3009">
        <f>'Смета Внутр'!D887</f>
        <v>5</v>
      </c>
      <c r="E881" s="3007"/>
      <c r="F881" s="3012">
        <f>'Смета Внутр'!H887</f>
        <v>0</v>
      </c>
    </row>
    <row r="882" spans="2:6">
      <c r="B882" s="3007" t="str">
        <f>'Смета Внутр'!B888</f>
        <v>Нет наждачной бумаги</v>
      </c>
      <c r="C882" s="3008" t="str">
        <f>'Смета Внутр'!C888</f>
        <v>м</v>
      </c>
      <c r="D882" s="3009">
        <f>'Смета Внутр'!D888</f>
        <v>0</v>
      </c>
      <c r="E882" s="3007"/>
      <c r="F882" s="3012">
        <f>'Смета Внутр'!H888</f>
        <v>0</v>
      </c>
    </row>
    <row r="883" spans="2:6">
      <c r="B883" s="3007" t="str">
        <f>'Смета Внутр'!B889</f>
        <v>Бумага наждачная № 63 F(30)</v>
      </c>
      <c r="C883" s="3008" t="str">
        <f>'Смета Внутр'!C889</f>
        <v>м</v>
      </c>
      <c r="D883" s="3009">
        <f>'Смета Внутр'!D889</f>
        <v>0</v>
      </c>
      <c r="E883" s="3007"/>
      <c r="F883" s="3012">
        <f>'Смета Внутр'!H889</f>
        <v>0</v>
      </c>
    </row>
    <row r="884" spans="2:6">
      <c r="B884" s="3007" t="str">
        <f>'Смета Внутр'!B890</f>
        <v>Бумага наждачная № 40</v>
      </c>
      <c r="C884" s="3008" t="str">
        <f>'Смета Внутр'!C890</f>
        <v>м</v>
      </c>
      <c r="D884" s="3009">
        <f>'Смета Внутр'!D890</f>
        <v>0</v>
      </c>
      <c r="E884" s="3007"/>
      <c r="F884" s="3012">
        <f>'Смета Внутр'!H890</f>
        <v>0</v>
      </c>
    </row>
    <row r="885" spans="2:6">
      <c r="B885" s="3311" t="str">
        <f>'Смета Внутр'!B891</f>
        <v>Итого материалы</v>
      </c>
      <c r="C885" s="3311"/>
      <c r="D885" s="3311"/>
      <c r="E885" s="3311"/>
      <c r="F885" s="3014">
        <f>'Смета Внутр'!G891</f>
        <v>0</v>
      </c>
    </row>
    <row r="886" spans="2:6">
      <c r="B886" s="3312" t="str">
        <f>'Смета Внутр'!B892</f>
        <v>Работы</v>
      </c>
      <c r="C886" s="3312"/>
      <c r="D886" s="3312"/>
      <c r="E886" s="3312"/>
      <c r="F886" s="3011">
        <f>'Смета Внутр'!H892</f>
        <v>0</v>
      </c>
    </row>
    <row r="887" spans="2:6">
      <c r="B887" s="3007" t="str">
        <f>'Смета Внутр'!B893</f>
        <v>кладка бруса</v>
      </c>
      <c r="C887" s="3008" t="str">
        <f>'Смета Внутр'!C893</f>
        <v>м3</v>
      </c>
      <c r="D887" s="3009">
        <f>'Смета Внутр'!D893</f>
        <v>24.288000000000011</v>
      </c>
      <c r="E887" s="3007"/>
      <c r="F887" s="3012">
        <f>'Смета Внутр'!H893</f>
        <v>0</v>
      </c>
    </row>
    <row r="888" spans="2:6">
      <c r="B888" s="3007" t="str">
        <f>'Смета Внутр'!B894</f>
        <v>окосячка проемов, м.п.</v>
      </c>
      <c r="C888" s="3008" t="str">
        <f>'Смета Внутр'!C894</f>
        <v>м.п.</v>
      </c>
      <c r="D888" s="3009">
        <f>'Смета Внутр'!D894</f>
        <v>0</v>
      </c>
      <c r="E888" s="3007"/>
      <c r="F888" s="3012">
        <f>'Смета Внутр'!H894</f>
        <v>0</v>
      </c>
    </row>
    <row r="889" spans="2:6">
      <c r="B889" s="3007" t="str">
        <f>'Смета Внутр'!B895</f>
        <v>обработка торцов на брусе</v>
      </c>
      <c r="C889" s="3008" t="str">
        <f>'Смета Внутр'!C895</f>
        <v>м.п.</v>
      </c>
      <c r="D889" s="3009">
        <f>'Смета Внутр'!D895</f>
        <v>14.400000000000002</v>
      </c>
      <c r="E889" s="3007"/>
      <c r="F889" s="3012">
        <f>'Смета Внутр'!H895</f>
        <v>0</v>
      </c>
    </row>
    <row r="890" spans="2:6">
      <c r="B890" s="3007" t="str">
        <f>'Смета Внутр'!B896</f>
        <v>Обаботка огнебиозащитой</v>
      </c>
      <c r="C890" s="3008" t="str">
        <f>'Смета Внутр'!C896</f>
        <v>м.п.</v>
      </c>
      <c r="D890" s="3009">
        <f>'Смета Внутр'!D896</f>
        <v>24.288000000000011</v>
      </c>
      <c r="E890" s="3007"/>
      <c r="F890" s="3012">
        <f>'Смета Внутр'!H896</f>
        <v>0</v>
      </c>
    </row>
    <row r="891" spans="2:6">
      <c r="B891" s="3007" t="str">
        <f>'Смета Внутр'!B897</f>
        <v>Пропитка стен внешних</v>
      </c>
      <c r="C891" s="3008" t="str">
        <f>'Смета Внутр'!C897</f>
        <v>м.п.</v>
      </c>
      <c r="D891" s="3009">
        <f>'Смета Внутр'!D897</f>
        <v>0</v>
      </c>
      <c r="E891" s="3007"/>
      <c r="F891" s="3012">
        <f>'Смета Внутр'!H897</f>
        <v>0</v>
      </c>
    </row>
    <row r="892" spans="2:6">
      <c r="B892" s="3007" t="str">
        <f>'Смета Внутр'!B898</f>
        <v>Пропитка внутенних стен</v>
      </c>
      <c r="C892" s="3008" t="str">
        <f>'Смета Внутр'!C898</f>
        <v>м.п.</v>
      </c>
      <c r="D892" s="3009">
        <f>'Смета Внутр'!D898</f>
        <v>0</v>
      </c>
      <c r="E892" s="3007"/>
      <c r="F892" s="3012">
        <f>'Смета Внутр'!H898</f>
        <v>0</v>
      </c>
    </row>
    <row r="893" spans="2:6">
      <c r="B893" s="3007" t="str">
        <f>'Смета Внутр'!B899</f>
        <v>Сверление стен для скрытой проводки</v>
      </c>
      <c r="C893" s="3008" t="str">
        <f>'Смета Внутр'!C899</f>
        <v>м.п.</v>
      </c>
      <c r="D893" s="3009">
        <f>'Смета Внутр'!D899</f>
        <v>180</v>
      </c>
      <c r="E893" s="3007"/>
      <c r="F893" s="3012">
        <f>'Смета Внутр'!H899</f>
        <v>0</v>
      </c>
    </row>
    <row r="894" spans="2:6">
      <c r="B894" s="3007" t="str">
        <f>'Смета Внутр'!B900</f>
        <v>Монтаж наличника</v>
      </c>
      <c r="C894" s="3008" t="str">
        <f>'Смета Внутр'!C900</f>
        <v>м.п.</v>
      </c>
      <c r="D894" s="3009">
        <f>'Смета Внутр'!D900</f>
        <v>0</v>
      </c>
      <c r="E894" s="3007"/>
      <c r="F894" s="3012">
        <f>'Смета Внутр'!H900</f>
        <v>0</v>
      </c>
    </row>
    <row r="895" spans="2:6">
      <c r="B895" s="3007" t="str">
        <f>'Смета Внутр'!B901</f>
        <v>Шлифовка стен дома</v>
      </c>
      <c r="C895" s="3008" t="str">
        <f>'Смета Внутр'!C901</f>
        <v>м.п.</v>
      </c>
      <c r="D895" s="3009">
        <f>'Смета Внутр'!D901</f>
        <v>0</v>
      </c>
      <c r="E895" s="3007"/>
      <c r="F895" s="3012">
        <f>'Смета Внутр'!H901</f>
        <v>0</v>
      </c>
    </row>
    <row r="896" spans="2:6">
      <c r="B896" s="3311" t="str">
        <f>'Смета Внутр'!B902</f>
        <v>Итого работы</v>
      </c>
      <c r="C896" s="3311"/>
      <c r="D896" s="3311"/>
      <c r="E896" s="3311"/>
      <c r="F896" s="3014">
        <f>'Смета Внутр'!G902</f>
        <v>0</v>
      </c>
    </row>
    <row r="897" spans="2:6" ht="19">
      <c r="B897" s="3313" t="str">
        <f>'Смета Внутр'!B903</f>
        <v>Перекрытие 0-1-2 этажей</v>
      </c>
      <c r="C897" s="3313"/>
      <c r="D897" s="3313"/>
      <c r="E897" s="3313"/>
      <c r="F897" s="3015">
        <f>'Смета Внутр'!H903</f>
        <v>0</v>
      </c>
    </row>
    <row r="898" spans="2:6">
      <c r="B898" s="3310" t="str">
        <f>'Смета Внутр'!B904</f>
        <v>Материалы</v>
      </c>
      <c r="C898" s="3310"/>
      <c r="D898" s="3310"/>
      <c r="E898" s="3310"/>
      <c r="F898" s="3015">
        <f>'Смета Внутр'!H904</f>
        <v>0</v>
      </c>
    </row>
    <row r="899" spans="2:6">
      <c r="B899" s="3007" t="str">
        <f>'Смета Внутр'!B905</f>
        <v>Плиты перекрытия ЖБИ</v>
      </c>
      <c r="C899" s="3008" t="str">
        <f>'Смета Внутр'!C905</f>
        <v>м2</v>
      </c>
      <c r="D899" s="3009">
        <f>'Смета Внутр'!D905</f>
        <v>0</v>
      </c>
      <c r="E899" s="3007"/>
      <c r="F899" s="3012">
        <f>'Смета Внутр'!H905</f>
        <v>0</v>
      </c>
    </row>
    <row r="900" spans="2:6">
      <c r="B900" s="3007" t="str">
        <f>'Смета Внутр'!B906</f>
        <v>Раствор, м250</v>
      </c>
      <c r="C900" s="3008" t="str">
        <f>'Смета Внутр'!C906</f>
        <v>м3</v>
      </c>
      <c r="D900" s="3009">
        <f>'Смета Внутр'!D906</f>
        <v>0</v>
      </c>
      <c r="E900" s="3007"/>
      <c r="F900" s="3012">
        <f>'Смета Внутр'!H906</f>
        <v>0</v>
      </c>
    </row>
    <row r="901" spans="2:6">
      <c r="B901" s="3007" t="str">
        <f>'Смета Внутр'!B907</f>
        <v>Монолит, бетон, 300мм, 2 слоя</v>
      </c>
      <c r="C901" s="3008" t="str">
        <f>'Смета Внутр'!C907</f>
        <v>м2</v>
      </c>
      <c r="D901" s="3009">
        <f>'Смета Внутр'!D907</f>
        <v>0</v>
      </c>
      <c r="E901" s="3007"/>
      <c r="F901" s="3012">
        <f>'Смета Внутр'!H907</f>
        <v>0</v>
      </c>
    </row>
    <row r="902" spans="2:6">
      <c r="B902" s="3007" t="str">
        <f>'Смета Внутр'!B908</f>
        <v>Монолит, бетон, 300мм, 1 слой</v>
      </c>
      <c r="C902" s="3008" t="str">
        <f>'Смета Внутр'!C908</f>
        <v>м2</v>
      </c>
      <c r="D902" s="3009">
        <f>'Смета Внутр'!D908</f>
        <v>0</v>
      </c>
      <c r="E902" s="3007"/>
      <c r="F902" s="3012">
        <f>'Смета Внутр'!H908</f>
        <v>0</v>
      </c>
    </row>
    <row r="903" spans="2:6">
      <c r="B903" s="3007" t="str">
        <f>'Смета Внутр'!B909</f>
        <v>Монолит, бетон, 250мм, 2 слоя</v>
      </c>
      <c r="C903" s="3008" t="str">
        <f>'Смета Внутр'!C909</f>
        <v>м2</v>
      </c>
      <c r="D903" s="3009">
        <f>'Смета Внутр'!D909</f>
        <v>0</v>
      </c>
      <c r="E903" s="3007"/>
      <c r="F903" s="3012">
        <f>'Смета Внутр'!H909</f>
        <v>0</v>
      </c>
    </row>
    <row r="904" spans="2:6">
      <c r="B904" s="3007" t="str">
        <f>'Смета Внутр'!B910</f>
        <v>Монолит, бетон, 250мм, 1 слой</v>
      </c>
      <c r="C904" s="3008" t="str">
        <f>'Смета Внутр'!C910</f>
        <v>м2</v>
      </c>
      <c r="D904" s="3009">
        <f>'Смета Внутр'!D910</f>
        <v>0</v>
      </c>
      <c r="E904" s="3007"/>
      <c r="F904" s="3012">
        <f>'Смета Внутр'!H910</f>
        <v>0</v>
      </c>
    </row>
    <row r="905" spans="2:6">
      <c r="B905" s="3007" t="str">
        <f>'Смета Внутр'!B911</f>
        <v>Монолит, бетон, 200мм, 2 слоя</v>
      </c>
      <c r="C905" s="3008" t="str">
        <f>'Смета Внутр'!C911</f>
        <v>м2</v>
      </c>
      <c r="D905" s="3009">
        <f>'Смета Внутр'!D911</f>
        <v>0</v>
      </c>
      <c r="E905" s="3007"/>
      <c r="F905" s="3012">
        <f>'Смета Внутр'!H911</f>
        <v>0</v>
      </c>
    </row>
    <row r="906" spans="2:6">
      <c r="B906" s="3007" t="str">
        <f>'Смета Внутр'!B912</f>
        <v>Монолит, бетон, 200мм, 1 слой</v>
      </c>
      <c r="C906" s="3008" t="str">
        <f>'Смета Внутр'!C912</f>
        <v>м2</v>
      </c>
      <c r="D906" s="3009">
        <f>'Смета Внутр'!D912</f>
        <v>0</v>
      </c>
      <c r="E906" s="3007"/>
      <c r="F906" s="3012">
        <f>'Смета Внутр'!H912</f>
        <v>0</v>
      </c>
    </row>
    <row r="907" spans="2:6">
      <c r="B907" s="3007" t="str">
        <f>'Смета Внутр'!B913</f>
        <v>Монолит, бетон, 150мм, 2 слоя</v>
      </c>
      <c r="C907" s="3008" t="str">
        <f>'Смета Внутр'!C913</f>
        <v>м2</v>
      </c>
      <c r="D907" s="3009">
        <f>'Смета Внутр'!D913</f>
        <v>0</v>
      </c>
      <c r="E907" s="3007"/>
      <c r="F907" s="3012">
        <f>'Смета Внутр'!H913</f>
        <v>0</v>
      </c>
    </row>
    <row r="908" spans="2:6">
      <c r="B908" s="3007" t="str">
        <f>'Смета Внутр'!B914</f>
        <v>Монолит, бетон, 150мм, 1 слой</v>
      </c>
      <c r="C908" s="3008" t="str">
        <f>'Смета Внутр'!C914</f>
        <v>м2</v>
      </c>
      <c r="D908" s="3009">
        <f>'Смета Внутр'!D914</f>
        <v>0</v>
      </c>
      <c r="E908" s="3007"/>
      <c r="F908" s="3012">
        <f>'Смета Внутр'!H914</f>
        <v>0</v>
      </c>
    </row>
    <row r="909" spans="2:6">
      <c r="B909" s="3007" t="str">
        <f>'Смета Внутр'!B915</f>
        <v>доска для опалубки монолит перекрытий</v>
      </c>
      <c r="C909" s="3008" t="str">
        <f>'Смета Внутр'!C915</f>
        <v>м3</v>
      </c>
      <c r="D909" s="3009">
        <f>'Смета Внутр'!D915</f>
        <v>0</v>
      </c>
      <c r="E909" s="3007"/>
      <c r="F909" s="3012">
        <f>'Смета Внутр'!H915</f>
        <v>0</v>
      </c>
    </row>
    <row r="910" spans="2:6">
      <c r="B910" s="3007" t="str">
        <f>'Смета Внутр'!B916</f>
        <v>стойки под опалубку перекрытий</v>
      </c>
      <c r="C910" s="3008" t="str">
        <f>'Смета Внутр'!C916</f>
        <v>шт</v>
      </c>
      <c r="D910" s="3009">
        <f>'Смета Внутр'!D916</f>
        <v>0</v>
      </c>
      <c r="E910" s="3007"/>
      <c r="F910" s="3012">
        <f>'Смета Внутр'!H916</f>
        <v>0</v>
      </c>
    </row>
    <row r="911" spans="2:6">
      <c r="B911" s="3007" t="str">
        <f>'Смета Внутр'!B917</f>
        <v xml:space="preserve">Пленка гидроизоляционная </v>
      </c>
      <c r="C911" s="3008" t="str">
        <f>'Смета Внутр'!C917</f>
        <v>м2</v>
      </c>
      <c r="D911" s="3009">
        <f>'Смета Внутр'!D917</f>
        <v>0</v>
      </c>
      <c r="E911" s="3007"/>
      <c r="F911" s="3012">
        <f>'Смета Внутр'!H917</f>
        <v>0</v>
      </c>
    </row>
    <row r="912" spans="2:6">
      <c r="B912" s="3007" t="str">
        <f>'Смета Внутр'!B918</f>
        <v>Арматура М10</v>
      </c>
      <c r="C912" s="3008" t="str">
        <f>'Смета Внутр'!C918</f>
        <v>м.п.</v>
      </c>
      <c r="D912" s="3009">
        <f>'Смета Внутр'!D918</f>
        <v>0</v>
      </c>
      <c r="E912" s="3007"/>
      <c r="F912" s="3012">
        <f>'Смета Внутр'!H918</f>
        <v>0</v>
      </c>
    </row>
    <row r="913" spans="2:6">
      <c r="B913" s="3007" t="str">
        <f>'Смета Внутр'!B919</f>
        <v>Вязальная проволока</v>
      </c>
      <c r="C913" s="3008" t="str">
        <f>'Смета Внутр'!C919</f>
        <v>кг</v>
      </c>
      <c r="D913" s="3009">
        <f>'Смета Внутр'!D919</f>
        <v>0</v>
      </c>
      <c r="E913" s="3007"/>
      <c r="F913" s="3012">
        <f>'Смета Внутр'!H919</f>
        <v>0</v>
      </c>
    </row>
    <row r="914" spans="2:6">
      <c r="B914" s="3007" t="str">
        <f>'Смета Внутр'!B920</f>
        <v>Подставка под арматурный каркас</v>
      </c>
      <c r="C914" s="3008" t="str">
        <f>'Смета Внутр'!C920</f>
        <v>шт</v>
      </c>
      <c r="D914" s="3009">
        <f>'Смета Внутр'!D920</f>
        <v>0</v>
      </c>
      <c r="E914" s="3007"/>
      <c r="F914" s="3012">
        <f>'Смета Внутр'!H920</f>
        <v>0</v>
      </c>
    </row>
    <row r="915" spans="2:6">
      <c r="B915" s="3007" t="str">
        <f>'Смета Внутр'!B921</f>
        <v>бетон, м350</v>
      </c>
      <c r="C915" s="3008" t="str">
        <f>'Смета Внутр'!C921</f>
        <v>м3</v>
      </c>
      <c r="D915" s="3009">
        <f>'Смета Внутр'!D921</f>
        <v>0</v>
      </c>
      <c r="E915" s="3007"/>
      <c r="F915" s="3012">
        <f>'Смета Внутр'!H921</f>
        <v>0</v>
      </c>
    </row>
    <row r="916" spans="2:6">
      <c r="B916" s="3007" t="str">
        <f>'Смета Внутр'!B922</f>
        <v>Брус естественной влажности, 200*100мм</v>
      </c>
      <c r="C916" s="3008" t="str">
        <f>'Смета Внутр'!C922</f>
        <v>м3</v>
      </c>
      <c r="D916" s="3009">
        <f>'Смета Внутр'!D922</f>
        <v>0</v>
      </c>
      <c r="E916" s="3007"/>
      <c r="F916" s="3012">
        <f>'Смета Внутр'!H922</f>
        <v>0</v>
      </c>
    </row>
    <row r="917" spans="2:6">
      <c r="B917" s="3007" t="str">
        <f>'Смета Внутр'!B923</f>
        <v>Брус естественной влажности, 150*100мм</v>
      </c>
      <c r="C917" s="3008" t="str">
        <f>'Смета Внутр'!C923</f>
        <v>м3</v>
      </c>
      <c r="D917" s="3009">
        <f>'Смета Внутр'!D923</f>
        <v>0</v>
      </c>
      <c r="E917" s="3007"/>
      <c r="F917" s="3012">
        <f>'Смета Внутр'!H923</f>
        <v>0</v>
      </c>
    </row>
    <row r="918" spans="2:6">
      <c r="B918" s="3007" t="str">
        <f>'Смета Внутр'!B924</f>
        <v>Брус естественной влажности, 100*100мм</v>
      </c>
      <c r="C918" s="3008" t="str">
        <f>'Смета Внутр'!C924</f>
        <v>м3</v>
      </c>
      <c r="D918" s="3009">
        <f>'Смета Внутр'!D924</f>
        <v>0</v>
      </c>
      <c r="E918" s="3007"/>
      <c r="F918" s="3012">
        <f>'Смета Внутр'!H924</f>
        <v>0</v>
      </c>
    </row>
    <row r="919" spans="2:6">
      <c r="B919" s="3007" t="str">
        <f>'Смета Внутр'!B925</f>
        <v>Брус естественной влажности, 150*150мм</v>
      </c>
      <c r="C919" s="3008" t="str">
        <f>'Смета Внутр'!C925</f>
        <v>м3</v>
      </c>
      <c r="D919" s="3009">
        <f>'Смета Внутр'!D925</f>
        <v>0</v>
      </c>
      <c r="E919" s="3007"/>
      <c r="F919" s="3012">
        <f>'Смета Внутр'!H925</f>
        <v>0</v>
      </c>
    </row>
    <row r="920" spans="2:6">
      <c r="B920" s="3007" t="str">
        <f>'Смета Внутр'!B926</f>
        <v>Доска естественной влажности, 200*50мм</v>
      </c>
      <c r="C920" s="3008" t="str">
        <f>'Смета Внутр'!C926</f>
        <v>м3</v>
      </c>
      <c r="D920" s="3009">
        <f>'Смета Внутр'!D926</f>
        <v>0</v>
      </c>
      <c r="E920" s="3007"/>
      <c r="F920" s="3012">
        <f>'Смета Внутр'!H926</f>
        <v>0</v>
      </c>
    </row>
    <row r="921" spans="2:6">
      <c r="B921" s="3007" t="str">
        <f>'Смета Внутр'!B927</f>
        <v>Доска естественной влажности, 150*50мм</v>
      </c>
      <c r="C921" s="3008" t="str">
        <f>'Смета Внутр'!C927</f>
        <v>м3</v>
      </c>
      <c r="D921" s="3009">
        <f>'Смета Внутр'!D927</f>
        <v>0</v>
      </c>
      <c r="E921" s="3007"/>
      <c r="F921" s="3016">
        <f>'Смета Внутр'!H927</f>
        <v>0</v>
      </c>
    </row>
    <row r="922" spans="2:6">
      <c r="B922" s="3007" t="str">
        <f>'Смета Внутр'!B928</f>
        <v xml:space="preserve">Опора бруса          </v>
      </c>
      <c r="C922" s="3008" t="str">
        <f>'Смета Внутр'!C928</f>
        <v>шт</v>
      </c>
      <c r="D922" s="3009">
        <f>'Смета Внутр'!D928</f>
        <v>0</v>
      </c>
      <c r="E922" s="3007"/>
      <c r="F922" s="3016">
        <f>'Смета Внутр'!H928</f>
        <v>0</v>
      </c>
    </row>
    <row r="923" spans="2:6">
      <c r="B923" s="3007" t="str">
        <f>'Смета Внутр'!B929</f>
        <v xml:space="preserve">Болты анкерные с гайкой 8,0 x 60           </v>
      </c>
      <c r="C923" s="3008" t="str">
        <f>'Смета Внутр'!C929</f>
        <v>шт</v>
      </c>
      <c r="D923" s="3009">
        <f>'Смета Внутр'!D929</f>
        <v>0</v>
      </c>
      <c r="E923" s="3007"/>
      <c r="F923" s="3016">
        <f>'Смета Внутр'!H929</f>
        <v>0</v>
      </c>
    </row>
    <row r="924" spans="2:6">
      <c r="B924" s="3007" t="str">
        <f>'Смета Внутр'!B930</f>
        <v>Sip панель 2500*625*124мм</v>
      </c>
      <c r="C924" s="3008" t="str">
        <f>'Смета Внутр'!C930</f>
        <v>м2</v>
      </c>
      <c r="D924" s="3009">
        <f>'Смета Внутр'!D930</f>
        <v>0</v>
      </c>
      <c r="E924" s="3007"/>
      <c r="F924" s="3012">
        <f>'Смета Внутр'!H930</f>
        <v>0</v>
      </c>
    </row>
    <row r="925" spans="2:6">
      <c r="B925" s="3007" t="str">
        <f>'Смета Внутр'!B931</f>
        <v>Sip панель 2500*625*174мм</v>
      </c>
      <c r="C925" s="3008" t="str">
        <f>'Смета Внутр'!C931</f>
        <v>м2</v>
      </c>
      <c r="D925" s="3009">
        <f>'Смета Внутр'!D931</f>
        <v>0</v>
      </c>
      <c r="E925" s="3007"/>
      <c r="F925" s="3012">
        <f>'Смета Внутр'!H931</f>
        <v>0</v>
      </c>
    </row>
    <row r="926" spans="2:6">
      <c r="B926" s="3007" t="str">
        <f>'Смета Внутр'!B932</f>
        <v>Sip панель 2500*625*224мм</v>
      </c>
      <c r="C926" s="3008" t="str">
        <f>'Смета Внутр'!C932</f>
        <v>м2</v>
      </c>
      <c r="D926" s="3009">
        <f>'Смета Внутр'!D932</f>
        <v>0</v>
      </c>
      <c r="E926" s="3007"/>
      <c r="F926" s="3012">
        <f>'Смета Внутр'!H932</f>
        <v>0</v>
      </c>
    </row>
    <row r="927" spans="2:6">
      <c r="B927" s="3007" t="str">
        <f>'Смета Внутр'!B933</f>
        <v>Доска сухая, 100*50мм</v>
      </c>
      <c r="C927" s="3008" t="str">
        <f>'Смета Внутр'!C933</f>
        <v>м.п.</v>
      </c>
      <c r="D927" s="3009">
        <f>'Смета Внутр'!D933</f>
        <v>0</v>
      </c>
      <c r="E927" s="3007"/>
      <c r="F927" s="3012">
        <f>'Смета Внутр'!H933</f>
        <v>0</v>
      </c>
    </row>
    <row r="928" spans="2:6">
      <c r="B928" s="3007" t="str">
        <f>'Смета Внутр'!B934</f>
        <v>Доска сухая, 150*50мм</v>
      </c>
      <c r="C928" s="3008" t="str">
        <f>'Смета Внутр'!C934</f>
        <v>м.п.</v>
      </c>
      <c r="D928" s="3009">
        <f>'Смета Внутр'!D934</f>
        <v>0</v>
      </c>
      <c r="E928" s="3007"/>
      <c r="F928" s="3012">
        <f>'Смета Внутр'!H934</f>
        <v>0</v>
      </c>
    </row>
    <row r="929" spans="2:6">
      <c r="B929" s="3007" t="str">
        <f>'Смета Внутр'!B935</f>
        <v>Доска сухая, 200*50мм</v>
      </c>
      <c r="C929" s="3008" t="str">
        <f>'Смета Внутр'!C935</f>
        <v>м.п.</v>
      </c>
      <c r="D929" s="3009">
        <f>'Смета Внутр'!D935</f>
        <v>0</v>
      </c>
      <c r="E929" s="3007"/>
      <c r="F929" s="3012">
        <f>'Смета Внутр'!H935</f>
        <v>0</v>
      </c>
    </row>
    <row r="930" spans="2:6">
      <c r="B930" s="3007" t="str">
        <f>'Смета Внутр'!B936</f>
        <v>Пена монтажная, всесезонняя 800мл</v>
      </c>
      <c r="C930" s="3008" t="str">
        <f>'Смета Внутр'!C936</f>
        <v>шт</v>
      </c>
      <c r="D930" s="3009">
        <f>'Смета Внутр'!D936</f>
        <v>0</v>
      </c>
      <c r="E930" s="3007"/>
      <c r="F930" s="3012">
        <f>'Смета Внутр'!H936</f>
        <v>0</v>
      </c>
    </row>
    <row r="931" spans="2:6">
      <c r="B931" s="3007" t="str">
        <f>'Смета Внутр'!B937</f>
        <v xml:space="preserve">Гвозди строительные 3,5 x 90            </v>
      </c>
      <c r="C931" s="3008" t="str">
        <f>'Смета Внутр'!C937</f>
        <v>шт</v>
      </c>
      <c r="D931" s="3009">
        <f>'Смета Внутр'!D937</f>
        <v>0</v>
      </c>
      <c r="E931" s="3007"/>
      <c r="F931" s="3012">
        <f>'Смета Внутр'!H937</f>
        <v>0</v>
      </c>
    </row>
    <row r="932" spans="2:6">
      <c r="B932" s="3007" t="str">
        <f>'Смета Внутр'!B938</f>
        <v xml:space="preserve">Саморезы 3,5 x 45            </v>
      </c>
      <c r="C932" s="3008" t="str">
        <f>'Смета Внутр'!C938</f>
        <v>шт</v>
      </c>
      <c r="D932" s="3009">
        <f>'Смета Внутр'!D938</f>
        <v>0</v>
      </c>
      <c r="E932" s="3007"/>
      <c r="F932" s="3012">
        <f>'Смета Внутр'!H938</f>
        <v>0</v>
      </c>
    </row>
    <row r="933" spans="2:6">
      <c r="B933" s="3007" t="str">
        <f>'Смета Внутр'!B939</f>
        <v>Доска сухая, 200*50мм</v>
      </c>
      <c r="C933" s="3008" t="str">
        <f>'Смета Внутр'!C939</f>
        <v>м3</v>
      </c>
      <c r="D933" s="3009">
        <f>'Смета Внутр'!D939</f>
        <v>0</v>
      </c>
      <c r="E933" s="3007"/>
      <c r="F933" s="3012">
        <f>'Смета Внутр'!H939</f>
        <v>0</v>
      </c>
    </row>
    <row r="934" spans="2:6">
      <c r="B934" s="3007" t="str">
        <f>'Смета Внутр'!B940</f>
        <v>Доска сухая, 150*50мм</v>
      </c>
      <c r="C934" s="3008" t="str">
        <f>'Смета Внутр'!C940</f>
        <v>м3</v>
      </c>
      <c r="D934" s="3009">
        <f>'Смета Внутр'!D940</f>
        <v>0</v>
      </c>
      <c r="E934" s="3007"/>
      <c r="F934" s="3012">
        <f>'Смета Внутр'!H940</f>
        <v>0</v>
      </c>
    </row>
    <row r="935" spans="2:6">
      <c r="B935" s="3007" t="str">
        <f>'Смета Внутр'!B941</f>
        <v xml:space="preserve">Гвозди ершоные 2,8 х 90            </v>
      </c>
      <c r="C935" s="3008" t="str">
        <f>'Смета Внутр'!C941</f>
        <v>кг</v>
      </c>
      <c r="D935" s="3009">
        <f>'Смета Внутр'!D941</f>
        <v>0</v>
      </c>
      <c r="E935" s="3007"/>
      <c r="F935" s="3012">
        <f>'Смета Внутр'!H941</f>
        <v>0</v>
      </c>
    </row>
    <row r="936" spans="2:6">
      <c r="B936" s="3007" t="str">
        <f>'Смета Внутр'!B942</f>
        <v>Доска сухая калиброванная, 190*45мм</v>
      </c>
      <c r="C936" s="3008" t="str">
        <f>'Смета Внутр'!C942</f>
        <v>м3</v>
      </c>
      <c r="D936" s="3009">
        <f>'Смета Внутр'!D942</f>
        <v>0</v>
      </c>
      <c r="E936" s="3007"/>
      <c r="F936" s="3012">
        <f>'Смета Внутр'!H942</f>
        <v>0</v>
      </c>
    </row>
    <row r="937" spans="2:6">
      <c r="B937" s="3007" t="str">
        <f>'Смета Внутр'!B943</f>
        <v>Доска сухая калиброванная, 145*45мм</v>
      </c>
      <c r="C937" s="3008" t="str">
        <f>'Смета Внутр'!C943</f>
        <v>м3</v>
      </c>
      <c r="D937" s="3009">
        <f>'Смета Внутр'!D943</f>
        <v>0</v>
      </c>
      <c r="E937" s="3007"/>
      <c r="F937" s="3012">
        <f>'Смета Внутр'!H943</f>
        <v>0</v>
      </c>
    </row>
    <row r="938" spans="2:6">
      <c r="B938" s="3007" t="str">
        <f>'Смета Внутр'!B944</f>
        <v xml:space="preserve">Гвозди ершоные 2,8 х 90            </v>
      </c>
      <c r="C938" s="3008" t="str">
        <f>'Смета Внутр'!C944</f>
        <v>кг</v>
      </c>
      <c r="D938" s="3009">
        <f>'Смета Внутр'!D944</f>
        <v>0</v>
      </c>
      <c r="E938" s="3007"/>
      <c r="F938" s="3012">
        <f>'Смета Внутр'!H944</f>
        <v>0</v>
      </c>
    </row>
    <row r="939" spans="2:6">
      <c r="B939" s="3007" t="str">
        <f>'Смета Внутр'!B945</f>
        <v>Двутавровая деревянная балка, 400*65мм</v>
      </c>
      <c r="C939" s="3008" t="str">
        <f>'Смета Внутр'!C945</f>
        <v>м.п.</v>
      </c>
      <c r="D939" s="3009">
        <f>'Смета Внутр'!D945</f>
        <v>0</v>
      </c>
      <c r="E939" s="3007"/>
      <c r="F939" s="3012">
        <f>'Смета Внутр'!H945</f>
        <v>0</v>
      </c>
    </row>
    <row r="940" spans="2:6">
      <c r="B940" s="3007" t="str">
        <f>'Смета Внутр'!B946</f>
        <v>Двутавровая деревянная балка, 400*90мм</v>
      </c>
      <c r="C940" s="3008" t="str">
        <f>'Смета Внутр'!C946</f>
        <v>м.п.</v>
      </c>
      <c r="D940" s="3009">
        <f>'Смета Внутр'!D946</f>
        <v>0</v>
      </c>
      <c r="E940" s="3007"/>
      <c r="F940" s="3012">
        <f>'Смета Внутр'!H946</f>
        <v>0</v>
      </c>
    </row>
    <row r="941" spans="2:6">
      <c r="B941" s="3007" t="str">
        <f>'Смета Внутр'!B947</f>
        <v>Двутавровая деревянная балка, 350*65мм</v>
      </c>
      <c r="C941" s="3008" t="str">
        <f>'Смета Внутр'!C947</f>
        <v>м.п.</v>
      </c>
      <c r="D941" s="3009">
        <f>'Смета Внутр'!D947</f>
        <v>0</v>
      </c>
      <c r="E941" s="3007"/>
      <c r="F941" s="3012">
        <f>'Смета Внутр'!H947</f>
        <v>0</v>
      </c>
    </row>
    <row r="942" spans="2:6">
      <c r="B942" s="3007" t="str">
        <f>'Смета Внутр'!B948</f>
        <v>Двутавровая деревянная балка, 350*90мм</v>
      </c>
      <c r="C942" s="3008" t="str">
        <f>'Смета Внутр'!C948</f>
        <v>м.п.</v>
      </c>
      <c r="D942" s="3009">
        <f>'Смета Внутр'!D948</f>
        <v>0</v>
      </c>
      <c r="E942" s="3007"/>
      <c r="F942" s="3012">
        <f>'Смета Внутр'!H948</f>
        <v>0</v>
      </c>
    </row>
    <row r="943" spans="2:6">
      <c r="B943" s="3007" t="str">
        <f>'Смета Внутр'!B949</f>
        <v>Двутавровая деревянная балка, 300*65мм</v>
      </c>
      <c r="C943" s="3008" t="str">
        <f>'Смета Внутр'!C949</f>
        <v>м.п.</v>
      </c>
      <c r="D943" s="3009">
        <f>'Смета Внутр'!D949</f>
        <v>0</v>
      </c>
      <c r="E943" s="3007"/>
      <c r="F943" s="3012">
        <f>'Смета Внутр'!H949</f>
        <v>0</v>
      </c>
    </row>
    <row r="944" spans="2:6">
      <c r="B944" s="3007" t="str">
        <f>'Смета Внутр'!B950</f>
        <v>Двутавровая деревянная балка, 300*90мм</v>
      </c>
      <c r="C944" s="3008" t="str">
        <f>'Смета Внутр'!C950</f>
        <v>м.п.</v>
      </c>
      <c r="D944" s="3009">
        <f>'Смета Внутр'!D950</f>
        <v>0</v>
      </c>
      <c r="E944" s="3007"/>
      <c r="F944" s="3012">
        <f>'Смета Внутр'!H950</f>
        <v>0</v>
      </c>
    </row>
    <row r="945" spans="2:6">
      <c r="B945" s="3007" t="str">
        <f>'Смета Внутр'!B951</f>
        <v>Двутавровая деревянная балка, 240*65мм</v>
      </c>
      <c r="C945" s="3008" t="str">
        <f>'Смета Внутр'!C951</f>
        <v>м.п.</v>
      </c>
      <c r="D945" s="3009">
        <f>'Смета Внутр'!D951</f>
        <v>0</v>
      </c>
      <c r="E945" s="3007"/>
      <c r="F945" s="3012">
        <f>'Смета Внутр'!H951</f>
        <v>0</v>
      </c>
    </row>
    <row r="946" spans="2:6">
      <c r="B946" s="3007" t="str">
        <f>'Смета Внутр'!B952</f>
        <v>Двутавровая деревянная балка, 240*90мм</v>
      </c>
      <c r="C946" s="3008" t="str">
        <f>'Смета Внутр'!C952</f>
        <v>м.п.</v>
      </c>
      <c r="D946" s="3009">
        <f>'Смета Внутр'!D952</f>
        <v>0</v>
      </c>
      <c r="E946" s="3007"/>
      <c r="F946" s="3012">
        <f>'Смета Внутр'!H952</f>
        <v>0</v>
      </c>
    </row>
    <row r="947" spans="2:6">
      <c r="B947" s="3007" t="str">
        <f>'Смета Внутр'!B953</f>
        <v>Двутавровая деревянная балка, 200*65мм</v>
      </c>
      <c r="C947" s="3008" t="str">
        <f>'Смета Внутр'!C953</f>
        <v>м.п.</v>
      </c>
      <c r="D947" s="3009">
        <f>'Смета Внутр'!D953</f>
        <v>0</v>
      </c>
      <c r="E947" s="3007"/>
      <c r="F947" s="3012">
        <f>'Смета Внутр'!H953</f>
        <v>0</v>
      </c>
    </row>
    <row r="948" spans="2:6">
      <c r="B948" s="3007" t="str">
        <f>'Смета Внутр'!B954</f>
        <v>Двутавровая деревянная балка, 200*90мм</v>
      </c>
      <c r="C948" s="3008" t="str">
        <f>'Смета Внутр'!C954</f>
        <v>м.п.</v>
      </c>
      <c r="D948" s="3009">
        <f>'Смета Внутр'!D954</f>
        <v>0</v>
      </c>
      <c r="E948" s="3007"/>
      <c r="F948" s="3012">
        <f>'Смета Внутр'!H954</f>
        <v>0</v>
      </c>
    </row>
    <row r="949" spans="2:6">
      <c r="B949" s="3007" t="str">
        <f>'Смета Внутр'!B955</f>
        <v>Двутавровая деревянная балка, 150*65мм</v>
      </c>
      <c r="C949" s="3008" t="str">
        <f>'Смета Внутр'!C955</f>
        <v>м.п.</v>
      </c>
      <c r="D949" s="3009">
        <f>'Смета Внутр'!D955</f>
        <v>0</v>
      </c>
      <c r="E949" s="3007"/>
      <c r="F949" s="3012">
        <f>'Смета Внутр'!H955</f>
        <v>0</v>
      </c>
    </row>
    <row r="950" spans="2:6">
      <c r="B950" s="3007" t="str">
        <f>'Смета Внутр'!B956</f>
        <v>Двутавровая деревянная балка, 150*90мм</v>
      </c>
      <c r="C950" s="3008" t="str">
        <f>'Смета Внутр'!C956</f>
        <v>м.п.</v>
      </c>
      <c r="D950" s="3009">
        <f>'Смета Внутр'!D956</f>
        <v>0</v>
      </c>
      <c r="E950" s="3007"/>
      <c r="F950" s="3012">
        <f>'Смета Внутр'!H956</f>
        <v>0</v>
      </c>
    </row>
    <row r="951" spans="2:6">
      <c r="B951" s="3007" t="str">
        <f>'Смета Внутр'!B957</f>
        <v xml:space="preserve">Уголок усиленный 90х70х55х2,5        </v>
      </c>
      <c r="C951" s="3008" t="str">
        <f>'Смета Внутр'!C957</f>
        <v>шт</v>
      </c>
      <c r="D951" s="3009">
        <f>'Смета Внутр'!D957</f>
        <v>0</v>
      </c>
      <c r="E951" s="3007"/>
      <c r="F951" s="3012">
        <f>'Смета Внутр'!H957</f>
        <v>0</v>
      </c>
    </row>
    <row r="952" spans="2:6">
      <c r="B952" s="3007" t="str">
        <f>'Смета Внутр'!B958</f>
        <v xml:space="preserve">Саморезы 3,5 x 55            </v>
      </c>
      <c r="C952" s="3008" t="str">
        <f>'Смета Внутр'!C958</f>
        <v>шт</v>
      </c>
      <c r="D952" s="3009">
        <f>'Смета Внутр'!D958</f>
        <v>0</v>
      </c>
      <c r="E952" s="3007"/>
      <c r="F952" s="3012">
        <f>'Смета Внутр'!H958</f>
        <v>0</v>
      </c>
    </row>
    <row r="953" spans="2:6">
      <c r="B953" s="3007" t="str">
        <f>'Смета Внутр'!B959</f>
        <v>Нет</v>
      </c>
      <c r="C953" s="3008" t="str">
        <f>'Смета Внутр'!C959</f>
        <v>м3</v>
      </c>
      <c r="D953" s="3009">
        <f>'Смета Внутр'!D959</f>
        <v>0</v>
      </c>
      <c r="E953" s="3007"/>
      <c r="F953" s="3016">
        <f>'Смета Внутр'!H959</f>
        <v>0</v>
      </c>
    </row>
    <row r="954" spans="2:6">
      <c r="B954" s="3007" t="str">
        <f>'Смета Внутр'!B960</f>
        <v>нет ветроизоляции</v>
      </c>
      <c r="C954" s="3008" t="str">
        <f>'Смета Внутр'!C960</f>
        <v>м2</v>
      </c>
      <c r="D954" s="3009">
        <f>'Смета Внутр'!D960</f>
        <v>100</v>
      </c>
      <c r="E954" s="3007"/>
      <c r="F954" s="3016">
        <f>'Смета Внутр'!H960</f>
        <v>0</v>
      </c>
    </row>
    <row r="955" spans="2:6">
      <c r="B955" s="3007" t="str">
        <f>'Смета Внутр'!B961</f>
        <v>нет пароизоляции</v>
      </c>
      <c r="C955" s="3008" t="str">
        <f>'Смета Внутр'!C961</f>
        <v>м2</v>
      </c>
      <c r="D955" s="3009">
        <f>'Смета Внутр'!D961</f>
        <v>100</v>
      </c>
      <c r="E955" s="3007"/>
      <c r="F955" s="3016">
        <f>'Смета Внутр'!H961</f>
        <v>0</v>
      </c>
    </row>
    <row r="956" spans="2:6">
      <c r="B956" s="3007" t="str">
        <f>'Смета Внутр'!B962</f>
        <v>Плита перекрытия ЖБИ</v>
      </c>
      <c r="C956" s="3008" t="str">
        <f>'Смета Внутр'!C962</f>
        <v>м2</v>
      </c>
      <c r="D956" s="3009">
        <f>'Смета Внутр'!D962</f>
        <v>0</v>
      </c>
      <c r="E956" s="3007"/>
      <c r="F956" s="3012">
        <f>'Смета Внутр'!H962</f>
        <v>0</v>
      </c>
    </row>
    <row r="957" spans="2:6">
      <c r="B957" s="3007" t="str">
        <f>'Смета Внутр'!B963</f>
        <v>Раствор, м250</v>
      </c>
      <c r="C957" s="3008" t="str">
        <f>'Смета Внутр'!C963</f>
        <v>м3</v>
      </c>
      <c r="D957" s="3009">
        <f>'Смета Внутр'!D963</f>
        <v>0</v>
      </c>
      <c r="E957" s="3007"/>
      <c r="F957" s="3012">
        <f>'Смета Внутр'!H963</f>
        <v>0</v>
      </c>
    </row>
    <row r="958" spans="2:6">
      <c r="B958" s="3007" t="str">
        <f>'Смета Внутр'!B964</f>
        <v>Монолит, бетон, 300мм, 2 слоя</v>
      </c>
      <c r="C958" s="3008" t="str">
        <f>'Смета Внутр'!C964</f>
        <v>м2</v>
      </c>
      <c r="D958" s="3009">
        <f>'Смета Внутр'!D964</f>
        <v>0</v>
      </c>
      <c r="E958" s="3007"/>
      <c r="F958" s="3012">
        <f>'Смета Внутр'!H964</f>
        <v>0</v>
      </c>
    </row>
    <row r="959" spans="2:6">
      <c r="B959" s="3007" t="str">
        <f>'Смета Внутр'!B965</f>
        <v>Монолит, бетон, 300мм, 1 слой</v>
      </c>
      <c r="C959" s="3008" t="str">
        <f>'Смета Внутр'!C965</f>
        <v>м2</v>
      </c>
      <c r="D959" s="3009">
        <f>'Смета Внутр'!D965</f>
        <v>0</v>
      </c>
      <c r="E959" s="3007"/>
      <c r="F959" s="3012">
        <f>'Смета Внутр'!H965</f>
        <v>0</v>
      </c>
    </row>
    <row r="960" spans="2:6">
      <c r="B960" s="3007" t="str">
        <f>'Смета Внутр'!B966</f>
        <v>Монолит, бетон, 250мм, 2 слоя</v>
      </c>
      <c r="C960" s="3008" t="str">
        <f>'Смета Внутр'!C966</f>
        <v>м2</v>
      </c>
      <c r="D960" s="3009">
        <f>'Смета Внутр'!D966</f>
        <v>0</v>
      </c>
      <c r="E960" s="3007"/>
      <c r="F960" s="3012">
        <f>'Смета Внутр'!H966</f>
        <v>0</v>
      </c>
    </row>
    <row r="961" spans="2:6">
      <c r="B961" s="3007" t="str">
        <f>'Смета Внутр'!B967</f>
        <v>Монолит, бетон, 250мм, 1 слой</v>
      </c>
      <c r="C961" s="3008" t="str">
        <f>'Смета Внутр'!C967</f>
        <v>м2</v>
      </c>
      <c r="D961" s="3009">
        <f>'Смета Внутр'!D967</f>
        <v>0</v>
      </c>
      <c r="E961" s="3007"/>
      <c r="F961" s="3012">
        <f>'Смета Внутр'!H967</f>
        <v>0</v>
      </c>
    </row>
    <row r="962" spans="2:6">
      <c r="B962" s="3007" t="str">
        <f>'Смета Внутр'!B968</f>
        <v>Монолит, бетон, 200мм, 2 слоя</v>
      </c>
      <c r="C962" s="3008" t="str">
        <f>'Смета Внутр'!C968</f>
        <v>м2</v>
      </c>
      <c r="D962" s="3009">
        <f>'Смета Внутр'!D968</f>
        <v>0</v>
      </c>
      <c r="E962" s="3007"/>
      <c r="F962" s="3012">
        <f>'Смета Внутр'!H968</f>
        <v>0</v>
      </c>
    </row>
    <row r="963" spans="2:6">
      <c r="B963" s="3007" t="str">
        <f>'Смета Внутр'!B969</f>
        <v>Монолит, бетон, 200мм, 1 слой</v>
      </c>
      <c r="C963" s="3008" t="str">
        <f>'Смета Внутр'!C969</f>
        <v>м2</v>
      </c>
      <c r="D963" s="3009">
        <f>'Смета Внутр'!D969</f>
        <v>0</v>
      </c>
      <c r="E963" s="3007"/>
      <c r="F963" s="3012">
        <f>'Смета Внутр'!H969</f>
        <v>0</v>
      </c>
    </row>
    <row r="964" spans="2:6">
      <c r="B964" s="3007" t="str">
        <f>'Смета Внутр'!B970</f>
        <v>Монолит, бетон, 150мм, 2 слоя</v>
      </c>
      <c r="C964" s="3008" t="str">
        <f>'Смета Внутр'!C970</f>
        <v>м2</v>
      </c>
      <c r="D964" s="3009">
        <f>'Смета Внутр'!D970</f>
        <v>0</v>
      </c>
      <c r="E964" s="3007"/>
      <c r="F964" s="3012">
        <f>'Смета Внутр'!H970</f>
        <v>0</v>
      </c>
    </row>
    <row r="965" spans="2:6">
      <c r="B965" s="3007" t="str">
        <f>'Смета Внутр'!B971</f>
        <v>Монолит, бетон, 150мм, 1 слой</v>
      </c>
      <c r="C965" s="3008" t="str">
        <f>'Смета Внутр'!C971</f>
        <v>м2</v>
      </c>
      <c r="D965" s="3009">
        <f>'Смета Внутр'!D971</f>
        <v>0</v>
      </c>
      <c r="E965" s="3007"/>
      <c r="F965" s="3012">
        <f>'Смета Внутр'!H971</f>
        <v>0</v>
      </c>
    </row>
    <row r="966" spans="2:6">
      <c r="B966" s="3007" t="str">
        <f>'Смета Внутр'!B972</f>
        <v>доска для опалубки монолит перекрытий</v>
      </c>
      <c r="C966" s="3008" t="str">
        <f>'Смета Внутр'!C972</f>
        <v>м3</v>
      </c>
      <c r="D966" s="3009">
        <f>'Смета Внутр'!D972</f>
        <v>0</v>
      </c>
      <c r="E966" s="3007"/>
      <c r="F966" s="3012">
        <f>'Смета Внутр'!H972</f>
        <v>0</v>
      </c>
    </row>
    <row r="967" spans="2:6">
      <c r="B967" s="3007" t="str">
        <f>'Смета Внутр'!B973</f>
        <v>стойки под опалубку перекрытий</v>
      </c>
      <c r="C967" s="3008" t="str">
        <f>'Смета Внутр'!C973</f>
        <v>шт</v>
      </c>
      <c r="D967" s="3009">
        <f>'Смета Внутр'!D973</f>
        <v>0</v>
      </c>
      <c r="E967" s="3007"/>
      <c r="F967" s="3012">
        <f>'Смета Внутр'!H973</f>
        <v>0</v>
      </c>
    </row>
    <row r="968" spans="2:6">
      <c r="B968" s="3007" t="str">
        <f>'Смета Внутр'!B974</f>
        <v xml:space="preserve">Пленка гидроизоляционная </v>
      </c>
      <c r="C968" s="3008" t="str">
        <f>'Смета Внутр'!C974</f>
        <v>м2</v>
      </c>
      <c r="D968" s="3009">
        <f>'Смета Внутр'!D974</f>
        <v>0</v>
      </c>
      <c r="E968" s="3007"/>
      <c r="F968" s="3012">
        <f>'Смета Внутр'!H974</f>
        <v>0</v>
      </c>
    </row>
    <row r="969" spans="2:6">
      <c r="B969" s="3007" t="str">
        <f>'Смета Внутр'!B975</f>
        <v>Арматура М10</v>
      </c>
      <c r="C969" s="3008" t="str">
        <f>'Смета Внутр'!C975</f>
        <v>м.п.</v>
      </c>
      <c r="D969" s="3009">
        <f>'Смета Внутр'!D975</f>
        <v>0</v>
      </c>
      <c r="E969" s="3007"/>
      <c r="F969" s="3012">
        <f>'Смета Внутр'!H975</f>
        <v>0</v>
      </c>
    </row>
    <row r="970" spans="2:6">
      <c r="B970" s="3007" t="str">
        <f>'Смета Внутр'!B976</f>
        <v>Вязальная проволока</v>
      </c>
      <c r="C970" s="3008" t="str">
        <f>'Смета Внутр'!C976</f>
        <v>кг</v>
      </c>
      <c r="D970" s="3009">
        <f>'Смета Внутр'!D976</f>
        <v>0</v>
      </c>
      <c r="E970" s="3007"/>
      <c r="F970" s="3012">
        <f>'Смета Внутр'!H976</f>
        <v>0</v>
      </c>
    </row>
    <row r="971" spans="2:6">
      <c r="B971" s="3007" t="str">
        <f>'Смета Внутр'!B977</f>
        <v>Подставка под арматурный каркас</v>
      </c>
      <c r="C971" s="3008" t="str">
        <f>'Смета Внутр'!C977</f>
        <v>шт</v>
      </c>
      <c r="D971" s="3009">
        <f>'Смета Внутр'!D977</f>
        <v>0</v>
      </c>
      <c r="E971" s="3007"/>
      <c r="F971" s="3012">
        <f>'Смета Внутр'!H977</f>
        <v>0</v>
      </c>
    </row>
    <row r="972" spans="2:6">
      <c r="B972" s="3007" t="str">
        <f>'Смета Внутр'!B978</f>
        <v>бетон, м350</v>
      </c>
      <c r="C972" s="3008" t="str">
        <f>'Смета Внутр'!C978</f>
        <v>м3</v>
      </c>
      <c r="D972" s="3009">
        <f>'Смета Внутр'!D978</f>
        <v>0</v>
      </c>
      <c r="E972" s="3007"/>
      <c r="F972" s="3012">
        <f>'Смета Внутр'!H978</f>
        <v>0</v>
      </c>
    </row>
    <row r="973" spans="2:6">
      <c r="B973" s="3007" t="str">
        <f>'Смета Внутр'!B979</f>
        <v>Брус естественной влажности, 200*100мм</v>
      </c>
      <c r="C973" s="3008" t="str">
        <f>'Смета Внутр'!C979</f>
        <v>м3</v>
      </c>
      <c r="D973" s="3009">
        <f>'Смета Внутр'!D979</f>
        <v>0</v>
      </c>
      <c r="E973" s="3007"/>
      <c r="F973" s="3012">
        <f>'Смета Внутр'!H979</f>
        <v>0</v>
      </c>
    </row>
    <row r="974" spans="2:6">
      <c r="B974" s="3007" t="str">
        <f>'Смета Внутр'!B980</f>
        <v>Брус естественной влажности, 150*100мм</v>
      </c>
      <c r="C974" s="3008" t="str">
        <f>'Смета Внутр'!C980</f>
        <v>м3</v>
      </c>
      <c r="D974" s="3009">
        <f>'Смета Внутр'!D980</f>
        <v>0</v>
      </c>
      <c r="E974" s="3007"/>
      <c r="F974" s="3012">
        <f>'Смета Внутр'!H980</f>
        <v>0</v>
      </c>
    </row>
    <row r="975" spans="2:6">
      <c r="B975" s="3007" t="str">
        <f>'Смета Внутр'!B981</f>
        <v>Брус естественной влажности, 100*100мм</v>
      </c>
      <c r="C975" s="3008" t="str">
        <f>'Смета Внутр'!C981</f>
        <v>м3</v>
      </c>
      <c r="D975" s="3009">
        <f>'Смета Внутр'!D981</f>
        <v>0</v>
      </c>
      <c r="E975" s="3007"/>
      <c r="F975" s="3012">
        <f>'Смета Внутр'!H981</f>
        <v>0</v>
      </c>
    </row>
    <row r="976" spans="2:6">
      <c r="B976" s="3007" t="str">
        <f>'Смета Внутр'!B982</f>
        <v>Брус естественной влажности, 150*150мм</v>
      </c>
      <c r="C976" s="3008" t="str">
        <f>'Смета Внутр'!C982</f>
        <v>м3</v>
      </c>
      <c r="D976" s="3009">
        <f>'Смета Внутр'!D982</f>
        <v>0</v>
      </c>
      <c r="E976" s="3007"/>
      <c r="F976" s="3012">
        <f>'Смета Внутр'!H982</f>
        <v>0</v>
      </c>
    </row>
    <row r="977" spans="2:6">
      <c r="B977" s="3007" t="str">
        <f>'Смета Внутр'!B983</f>
        <v>Доска естественной влажности, 200*50мм</v>
      </c>
      <c r="C977" s="3008" t="str">
        <f>'Смета Внутр'!C983</f>
        <v>м3</v>
      </c>
      <c r="D977" s="3009">
        <f>'Смета Внутр'!D983</f>
        <v>0</v>
      </c>
      <c r="E977" s="3007"/>
      <c r="F977" s="3012">
        <f>'Смета Внутр'!H983</f>
        <v>0</v>
      </c>
    </row>
    <row r="978" spans="2:6">
      <c r="B978" s="3007" t="str">
        <f>'Смета Внутр'!B984</f>
        <v>Доска естественной влажности, 150*50мм</v>
      </c>
      <c r="C978" s="3008" t="str">
        <f>'Смета Внутр'!C984</f>
        <v>м3</v>
      </c>
      <c r="D978" s="3009">
        <f>'Смета Внутр'!D984</f>
        <v>0</v>
      </c>
      <c r="E978" s="3007"/>
      <c r="F978" s="3016">
        <f>'Смета Внутр'!H984</f>
        <v>0</v>
      </c>
    </row>
    <row r="979" spans="2:6">
      <c r="B979" s="3007" t="str">
        <f>'Смета Внутр'!B985</f>
        <v xml:space="preserve">Опора бруса          </v>
      </c>
      <c r="C979" s="3008" t="str">
        <f>'Смета Внутр'!C985</f>
        <v>шт</v>
      </c>
      <c r="D979" s="3009">
        <f>'Смета Внутр'!D985</f>
        <v>0</v>
      </c>
      <c r="E979" s="3007"/>
      <c r="F979" s="3016">
        <f>'Смета Внутр'!H985</f>
        <v>0</v>
      </c>
    </row>
    <row r="980" spans="2:6">
      <c r="B980" s="3007" t="str">
        <f>'Смета Внутр'!B986</f>
        <v xml:space="preserve">Болты анкерные с гайкой 8,0 x 60           </v>
      </c>
      <c r="C980" s="3008" t="str">
        <f>'Смета Внутр'!C986</f>
        <v>шт</v>
      </c>
      <c r="D980" s="3009">
        <f>'Смета Внутр'!D986</f>
        <v>0</v>
      </c>
      <c r="E980" s="3007"/>
      <c r="F980" s="3016">
        <f>'Смета Внутр'!H986</f>
        <v>0</v>
      </c>
    </row>
    <row r="981" spans="2:6">
      <c r="B981" s="3007" t="str">
        <f>'Смета Внутр'!B987</f>
        <v>Sip панель 2500*625*124мм</v>
      </c>
      <c r="C981" s="3008" t="str">
        <f>'Смета Внутр'!C987</f>
        <v>м2</v>
      </c>
      <c r="D981" s="3009">
        <f>'Смета Внутр'!D987</f>
        <v>0</v>
      </c>
      <c r="E981" s="3007"/>
      <c r="F981" s="3012">
        <f>'Смета Внутр'!H987</f>
        <v>0</v>
      </c>
    </row>
    <row r="982" spans="2:6">
      <c r="B982" s="3007" t="str">
        <f>'Смета Внутр'!B988</f>
        <v>Sip панель 2500*625*174мм</v>
      </c>
      <c r="C982" s="3008" t="str">
        <f>'Смета Внутр'!C988</f>
        <v>м2</v>
      </c>
      <c r="D982" s="3009">
        <f>'Смета Внутр'!D988</f>
        <v>0</v>
      </c>
      <c r="E982" s="3007"/>
      <c r="F982" s="3012">
        <f>'Смета Внутр'!H988</f>
        <v>0</v>
      </c>
    </row>
    <row r="983" spans="2:6">
      <c r="B983" s="3007" t="str">
        <f>'Смета Внутр'!B989</f>
        <v>Sip панель 2500*625*224мм</v>
      </c>
      <c r="C983" s="3008" t="str">
        <f>'Смета Внутр'!C989</f>
        <v>м2</v>
      </c>
      <c r="D983" s="3009">
        <f>'Смета Внутр'!D989</f>
        <v>0</v>
      </c>
      <c r="E983" s="3007"/>
      <c r="F983" s="3012">
        <f>'Смета Внутр'!H989</f>
        <v>0</v>
      </c>
    </row>
    <row r="984" spans="2:6">
      <c r="B984" s="3007" t="str">
        <f>'Смета Внутр'!B990</f>
        <v>Доска сухая, 100*50мм</v>
      </c>
      <c r="C984" s="3008" t="str">
        <f>'Смета Внутр'!C990</f>
        <v>м.п.</v>
      </c>
      <c r="D984" s="3009">
        <f>'Смета Внутр'!D990</f>
        <v>0</v>
      </c>
      <c r="E984" s="3007"/>
      <c r="F984" s="3012">
        <f>'Смета Внутр'!H990</f>
        <v>0</v>
      </c>
    </row>
    <row r="985" spans="2:6">
      <c r="B985" s="3007" t="str">
        <f>'Смета Внутр'!B991</f>
        <v>Доска сухая, 150*50мм</v>
      </c>
      <c r="C985" s="3008" t="str">
        <f>'Смета Внутр'!C991</f>
        <v>м.п.</v>
      </c>
      <c r="D985" s="3009">
        <f>'Смета Внутр'!D991</f>
        <v>0</v>
      </c>
      <c r="E985" s="3007"/>
      <c r="F985" s="3012">
        <f>'Смета Внутр'!H991</f>
        <v>0</v>
      </c>
    </row>
    <row r="986" spans="2:6">
      <c r="B986" s="3007" t="str">
        <f>'Смета Внутр'!B992</f>
        <v>Доска сухая, 200*50мм</v>
      </c>
      <c r="C986" s="3008" t="str">
        <f>'Смета Внутр'!C992</f>
        <v>м.п.</v>
      </c>
      <c r="D986" s="3009">
        <f>'Смета Внутр'!D992</f>
        <v>0</v>
      </c>
      <c r="E986" s="3007"/>
      <c r="F986" s="3012">
        <f>'Смета Внутр'!H992</f>
        <v>0</v>
      </c>
    </row>
    <row r="987" spans="2:6">
      <c r="B987" s="3007" t="str">
        <f>'Смета Внутр'!B993</f>
        <v>Пена монтажная, всесезонняя 800мл</v>
      </c>
      <c r="C987" s="3008" t="str">
        <f>'Смета Внутр'!C993</f>
        <v>шт</v>
      </c>
      <c r="D987" s="3009">
        <f>'Смета Внутр'!D993</f>
        <v>0</v>
      </c>
      <c r="E987" s="3007"/>
      <c r="F987" s="3012">
        <f>'Смета Внутр'!H993</f>
        <v>0</v>
      </c>
    </row>
    <row r="988" spans="2:6">
      <c r="B988" s="3007" t="str">
        <f>'Смета Внутр'!B994</f>
        <v xml:space="preserve">Гвозди строительные 3,5 x 90            </v>
      </c>
      <c r="C988" s="3008" t="str">
        <f>'Смета Внутр'!C994</f>
        <v>шт</v>
      </c>
      <c r="D988" s="3009">
        <f>'Смета Внутр'!D994</f>
        <v>0</v>
      </c>
      <c r="E988" s="3007"/>
      <c r="F988" s="3012">
        <f>'Смета Внутр'!H994</f>
        <v>0</v>
      </c>
    </row>
    <row r="989" spans="2:6">
      <c r="B989" s="3007" t="str">
        <f>'Смета Внутр'!B995</f>
        <v xml:space="preserve">Саморезы 3,5 x 45            </v>
      </c>
      <c r="C989" s="3008" t="str">
        <f>'Смета Внутр'!C995</f>
        <v>шт</v>
      </c>
      <c r="D989" s="3009">
        <f>'Смета Внутр'!D995</f>
        <v>0</v>
      </c>
      <c r="E989" s="3007"/>
      <c r="F989" s="3012">
        <f>'Смета Внутр'!H995</f>
        <v>0</v>
      </c>
    </row>
    <row r="990" spans="2:6">
      <c r="B990" s="3007" t="str">
        <f>'Смета Внутр'!B996</f>
        <v>Доска сухая, 200*50мм</v>
      </c>
      <c r="C990" s="3008" t="str">
        <f>'Смета Внутр'!C996</f>
        <v>м3</v>
      </c>
      <c r="D990" s="3009">
        <f>'Смета Внутр'!D996</f>
        <v>0</v>
      </c>
      <c r="E990" s="3007"/>
      <c r="F990" s="3012">
        <f>'Смета Внутр'!H996</f>
        <v>0</v>
      </c>
    </row>
    <row r="991" spans="2:6">
      <c r="B991" s="3007" t="str">
        <f>'Смета Внутр'!B997</f>
        <v>Доска сухая, 150*50мм</v>
      </c>
      <c r="C991" s="3008" t="str">
        <f>'Смета Внутр'!C997</f>
        <v>м3</v>
      </c>
      <c r="D991" s="3009">
        <f>'Смета Внутр'!D997</f>
        <v>0</v>
      </c>
      <c r="E991" s="3007"/>
      <c r="F991" s="3012">
        <f>'Смета Внутр'!H997</f>
        <v>0</v>
      </c>
    </row>
    <row r="992" spans="2:6">
      <c r="B992" s="3007" t="str">
        <f>'Смета Внутр'!B998</f>
        <v xml:space="preserve">Гвозди ершоные 2,8 х 90            </v>
      </c>
      <c r="C992" s="3008" t="str">
        <f>'Смета Внутр'!C998</f>
        <v>кг</v>
      </c>
      <c r="D992" s="3009">
        <f>'Смета Внутр'!D998</f>
        <v>0</v>
      </c>
      <c r="E992" s="3007"/>
      <c r="F992" s="3012">
        <f>'Смета Внутр'!H998</f>
        <v>0</v>
      </c>
    </row>
    <row r="993" spans="2:6">
      <c r="B993" s="3007" t="str">
        <f>'Смета Внутр'!B999</f>
        <v>Доска сухая калиброванная, 190*45мм</v>
      </c>
      <c r="C993" s="3008" t="str">
        <f>'Смета Внутр'!C999</f>
        <v>м3</v>
      </c>
      <c r="D993" s="3009">
        <f>'Смета Внутр'!D999</f>
        <v>0</v>
      </c>
      <c r="E993" s="3007"/>
      <c r="F993" s="3012">
        <f>'Смета Внутр'!H999</f>
        <v>0</v>
      </c>
    </row>
    <row r="994" spans="2:6">
      <c r="B994" s="3007" t="str">
        <f>'Смета Внутр'!B1000</f>
        <v>Доска сухая калиброванная, 145*45мм</v>
      </c>
      <c r="C994" s="3008" t="str">
        <f>'Смета Внутр'!C1000</f>
        <v>м3</v>
      </c>
      <c r="D994" s="3009">
        <f>'Смета Внутр'!D1000</f>
        <v>0</v>
      </c>
      <c r="E994" s="3007"/>
      <c r="F994" s="3012">
        <f>'Смета Внутр'!H1000</f>
        <v>0</v>
      </c>
    </row>
    <row r="995" spans="2:6">
      <c r="B995" s="3007" t="str">
        <f>'Смета Внутр'!B1001</f>
        <v xml:space="preserve">Гвозди ершоные 2,8 х 90            </v>
      </c>
      <c r="C995" s="3008" t="str">
        <f>'Смета Внутр'!C1001</f>
        <v>кг</v>
      </c>
      <c r="D995" s="3009">
        <f>'Смета Внутр'!D1001</f>
        <v>0</v>
      </c>
      <c r="E995" s="3007"/>
      <c r="F995" s="3012">
        <f>'Смета Внутр'!H1001</f>
        <v>0</v>
      </c>
    </row>
    <row r="996" spans="2:6">
      <c r="B996" s="3007" t="str">
        <f>'Смета Внутр'!B1002</f>
        <v>Двутавровая деревянная балка, 400*65мм</v>
      </c>
      <c r="C996" s="3008" t="str">
        <f>'Смета Внутр'!C1002</f>
        <v>м.п.</v>
      </c>
      <c r="D996" s="3009">
        <f>'Смета Внутр'!D1002</f>
        <v>0</v>
      </c>
      <c r="E996" s="3007"/>
      <c r="F996" s="3012">
        <f>'Смета Внутр'!H1002</f>
        <v>0</v>
      </c>
    </row>
    <row r="997" spans="2:6">
      <c r="B997" s="3007" t="str">
        <f>'Смета Внутр'!B1003</f>
        <v>Двутавровая деревянная балка, 400*90мм</v>
      </c>
      <c r="C997" s="3008" t="str">
        <f>'Смета Внутр'!C1003</f>
        <v>м.п.</v>
      </c>
      <c r="D997" s="3009">
        <f>'Смета Внутр'!D1003</f>
        <v>0</v>
      </c>
      <c r="E997" s="3007"/>
      <c r="F997" s="3012">
        <f>'Смета Внутр'!H1003</f>
        <v>0</v>
      </c>
    </row>
    <row r="998" spans="2:6">
      <c r="B998" s="3007" t="str">
        <f>'Смета Внутр'!B1004</f>
        <v>Двутавровая деревянная балка, 350*65мм</v>
      </c>
      <c r="C998" s="3008" t="str">
        <f>'Смета Внутр'!C1004</f>
        <v>м.п.</v>
      </c>
      <c r="D998" s="3009">
        <f>'Смета Внутр'!D1004</f>
        <v>0</v>
      </c>
      <c r="E998" s="3007"/>
      <c r="F998" s="3012">
        <f>'Смета Внутр'!H1004</f>
        <v>0</v>
      </c>
    </row>
    <row r="999" spans="2:6">
      <c r="B999" s="3007" t="str">
        <f>'Смета Внутр'!B1005</f>
        <v>Двутавровая деревянная балка, 350*90мм</v>
      </c>
      <c r="C999" s="3008" t="str">
        <f>'Смета Внутр'!C1005</f>
        <v>м.п.</v>
      </c>
      <c r="D999" s="3009">
        <f>'Смета Внутр'!D1005</f>
        <v>0</v>
      </c>
      <c r="E999" s="3007"/>
      <c r="F999" s="3012">
        <f>'Смета Внутр'!H1005</f>
        <v>0</v>
      </c>
    </row>
    <row r="1000" spans="2:6">
      <c r="B1000" s="3007" t="str">
        <f>'Смета Внутр'!B1006</f>
        <v>Двутавровая деревянная балка, 300*65мм</v>
      </c>
      <c r="C1000" s="3008" t="str">
        <f>'Смета Внутр'!C1006</f>
        <v>м.п.</v>
      </c>
      <c r="D1000" s="3009">
        <f>'Смета Внутр'!D1006</f>
        <v>0</v>
      </c>
      <c r="E1000" s="3007"/>
      <c r="F1000" s="3012">
        <f>'Смета Внутр'!H1006</f>
        <v>0</v>
      </c>
    </row>
    <row r="1001" spans="2:6">
      <c r="B1001" s="3007" t="str">
        <f>'Смета Внутр'!B1007</f>
        <v>Двутавровая деревянная балка, 300*90мм</v>
      </c>
      <c r="C1001" s="3008" t="str">
        <f>'Смета Внутр'!C1007</f>
        <v>м.п.</v>
      </c>
      <c r="D1001" s="3009">
        <f>'Смета Внутр'!D1007</f>
        <v>0</v>
      </c>
      <c r="E1001" s="3007"/>
      <c r="F1001" s="3012">
        <f>'Смета Внутр'!H1007</f>
        <v>0</v>
      </c>
    </row>
    <row r="1002" spans="2:6">
      <c r="B1002" s="3007" t="str">
        <f>'Смета Внутр'!B1008</f>
        <v>Двутавровая деревянная балка, 240*65мм</v>
      </c>
      <c r="C1002" s="3008" t="str">
        <f>'Смета Внутр'!C1008</f>
        <v>м.п.</v>
      </c>
      <c r="D1002" s="3009">
        <f>'Смета Внутр'!D1008</f>
        <v>0</v>
      </c>
      <c r="E1002" s="3007"/>
      <c r="F1002" s="3012">
        <f>'Смета Внутр'!H1008</f>
        <v>0</v>
      </c>
    </row>
    <row r="1003" spans="2:6">
      <c r="B1003" s="3007" t="str">
        <f>'Смета Внутр'!B1009</f>
        <v>Двутавровая деревянная балка, 240*90мм</v>
      </c>
      <c r="C1003" s="3008" t="str">
        <f>'Смета Внутр'!C1009</f>
        <v>м.п.</v>
      </c>
      <c r="D1003" s="3009">
        <f>'Смета Внутр'!D1009</f>
        <v>0</v>
      </c>
      <c r="E1003" s="3007"/>
      <c r="F1003" s="3012">
        <f>'Смета Внутр'!H1009</f>
        <v>0</v>
      </c>
    </row>
    <row r="1004" spans="2:6">
      <c r="B1004" s="3007" t="str">
        <f>'Смета Внутр'!B1010</f>
        <v>Двутавровая деревянная балка, 200*65мм</v>
      </c>
      <c r="C1004" s="3008" t="str">
        <f>'Смета Внутр'!C1010</f>
        <v>м.п.</v>
      </c>
      <c r="D1004" s="3009">
        <f>'Смета Внутр'!D1010</f>
        <v>0</v>
      </c>
      <c r="E1004" s="3007"/>
      <c r="F1004" s="3012">
        <f>'Смета Внутр'!H1010</f>
        <v>0</v>
      </c>
    </row>
    <row r="1005" spans="2:6">
      <c r="B1005" s="3007" t="str">
        <f>'Смета Внутр'!B1011</f>
        <v>Двутавровая деревянная балка, 200*90мм</v>
      </c>
      <c r="C1005" s="3008" t="str">
        <f>'Смета Внутр'!C1011</f>
        <v>м.п.</v>
      </c>
      <c r="D1005" s="3009">
        <f>'Смета Внутр'!D1011</f>
        <v>0</v>
      </c>
      <c r="E1005" s="3007"/>
      <c r="F1005" s="3012">
        <f>'Смета Внутр'!H1011</f>
        <v>0</v>
      </c>
    </row>
    <row r="1006" spans="2:6">
      <c r="B1006" s="3007" t="str">
        <f>'Смета Внутр'!B1012</f>
        <v>Двутавровая деревянная балка, 150*65мм</v>
      </c>
      <c r="C1006" s="3008" t="str">
        <f>'Смета Внутр'!C1012</f>
        <v>м.п.</v>
      </c>
      <c r="D1006" s="3009">
        <f>'Смета Внутр'!D1012</f>
        <v>0</v>
      </c>
      <c r="E1006" s="3007"/>
      <c r="F1006" s="3012">
        <f>'Смета Внутр'!H1012</f>
        <v>0</v>
      </c>
    </row>
    <row r="1007" spans="2:6">
      <c r="B1007" s="3007" t="str">
        <f>'Смета Внутр'!B1013</f>
        <v>Двутавровая деревянная балка, 150*90мм</v>
      </c>
      <c r="C1007" s="3008" t="str">
        <f>'Смета Внутр'!C1013</f>
        <v>м.п.</v>
      </c>
      <c r="D1007" s="3009">
        <f>'Смета Внутр'!D1013</f>
        <v>0</v>
      </c>
      <c r="E1007" s="3007"/>
      <c r="F1007" s="3012">
        <f>'Смета Внутр'!H1013</f>
        <v>0</v>
      </c>
    </row>
    <row r="1008" spans="2:6">
      <c r="B1008" s="3007" t="str">
        <f>'Смета Внутр'!B1014</f>
        <v xml:space="preserve">Уголок усиленный 90х70х55х2,5        </v>
      </c>
      <c r="C1008" s="3008" t="str">
        <f>'Смета Внутр'!C1014</f>
        <v>шт</v>
      </c>
      <c r="D1008" s="3009">
        <f>'Смета Внутр'!D1014</f>
        <v>0</v>
      </c>
      <c r="E1008" s="3007"/>
      <c r="F1008" s="3012">
        <f>'Смета Внутр'!H1014</f>
        <v>0</v>
      </c>
    </row>
    <row r="1009" spans="2:6">
      <c r="B1009" s="3007" t="str">
        <f>'Смета Внутр'!B1015</f>
        <v xml:space="preserve">Саморезы 3,5 x 55            </v>
      </c>
      <c r="C1009" s="3008" t="str">
        <f>'Смета Внутр'!C1015</f>
        <v>шт</v>
      </c>
      <c r="D1009" s="3009">
        <f>'Смета Внутр'!D1015</f>
        <v>0</v>
      </c>
      <c r="E1009" s="3007"/>
      <c r="F1009" s="3012">
        <f>'Смета Внутр'!H1015</f>
        <v>0</v>
      </c>
    </row>
    <row r="1010" spans="2:6">
      <c r="B1010" s="3007" t="str">
        <f>'Смета Внутр'!B1016</f>
        <v>Пенопласт ПСБ-С-35, 100мм</v>
      </c>
      <c r="C1010" s="3008" t="str">
        <f>'Смета Внутр'!C1016</f>
        <v>м3</v>
      </c>
      <c r="D1010" s="3009">
        <f>'Смета Внутр'!D1016</f>
        <v>10</v>
      </c>
      <c r="E1010" s="3007"/>
      <c r="F1010" s="3016">
        <f>'Смета Внутр'!H1016</f>
        <v>0</v>
      </c>
    </row>
    <row r="1011" spans="2:6">
      <c r="B1011" s="3007" t="str">
        <f>'Смета Внутр'!B1017</f>
        <v>нет ветроизоляции</v>
      </c>
      <c r="C1011" s="3008" t="str">
        <f>'Смета Внутр'!C1017</f>
        <v>м2</v>
      </c>
      <c r="D1011" s="3009">
        <f>'Смета Внутр'!D1017</f>
        <v>100</v>
      </c>
      <c r="E1011" s="3007"/>
      <c r="F1011" s="3016">
        <f>'Смета Внутр'!H1017</f>
        <v>0</v>
      </c>
    </row>
    <row r="1012" spans="2:6">
      <c r="B1012" s="3007" t="str">
        <f>'Смета Внутр'!B1018</f>
        <v>нет пароизоляции</v>
      </c>
      <c r="C1012" s="3008" t="str">
        <f>'Смета Внутр'!C1018</f>
        <v>м2</v>
      </c>
      <c r="D1012" s="3009">
        <f>'Смета Внутр'!D1018</f>
        <v>100</v>
      </c>
      <c r="E1012" s="3007"/>
      <c r="F1012" s="3016">
        <f>'Смета Внутр'!H1018</f>
        <v>0</v>
      </c>
    </row>
    <row r="1013" spans="2:6">
      <c r="B1013" s="3007" t="str">
        <f>'Смета Внутр'!B1019</f>
        <v>Плита перекрытия  ЖБИ</v>
      </c>
      <c r="C1013" s="3008" t="str">
        <f>'Смета Внутр'!C1019</f>
        <v>м2</v>
      </c>
      <c r="D1013" s="3009">
        <f>'Смета Внутр'!D1019</f>
        <v>0</v>
      </c>
      <c r="E1013" s="3007"/>
      <c r="F1013" s="3012">
        <f>'Смета Внутр'!H1019</f>
        <v>0</v>
      </c>
    </row>
    <row r="1014" spans="2:6">
      <c r="B1014" s="3007" t="str">
        <f>'Смета Внутр'!B1020</f>
        <v>Раствор, м250</v>
      </c>
      <c r="C1014" s="3008" t="str">
        <f>'Смета Внутр'!C1020</f>
        <v>м3</v>
      </c>
      <c r="D1014" s="3009">
        <f>'Смета Внутр'!D1020</f>
        <v>0</v>
      </c>
      <c r="E1014" s="3007"/>
      <c r="F1014" s="3012">
        <f>'Смета Внутр'!H1020</f>
        <v>0</v>
      </c>
    </row>
    <row r="1015" spans="2:6">
      <c r="B1015" s="3007" t="str">
        <f>'Смета Внутр'!B1021</f>
        <v>Монолит, бетон, 300мм, 2 слоя</v>
      </c>
      <c r="C1015" s="3008" t="str">
        <f>'Смета Внутр'!C1021</f>
        <v>м2</v>
      </c>
      <c r="D1015" s="3009">
        <f>'Смета Внутр'!D1021</f>
        <v>0</v>
      </c>
      <c r="E1015" s="3007"/>
      <c r="F1015" s="3012">
        <f>'Смета Внутр'!H1021</f>
        <v>0</v>
      </c>
    </row>
    <row r="1016" spans="2:6">
      <c r="B1016" s="3007" t="str">
        <f>'Смета Внутр'!B1022</f>
        <v>Монолит, бетон, 300мм, 1 слой</v>
      </c>
      <c r="C1016" s="3008" t="str">
        <f>'Смета Внутр'!C1022</f>
        <v>м2</v>
      </c>
      <c r="D1016" s="3009">
        <f>'Смета Внутр'!D1022</f>
        <v>0</v>
      </c>
      <c r="E1016" s="3007"/>
      <c r="F1016" s="3012">
        <f>'Смета Внутр'!H1022</f>
        <v>0</v>
      </c>
    </row>
    <row r="1017" spans="2:6">
      <c r="B1017" s="3007" t="str">
        <f>'Смета Внутр'!B1023</f>
        <v>Монолит, бетон, 250мм, 2 слоя</v>
      </c>
      <c r="C1017" s="3008" t="str">
        <f>'Смета Внутр'!C1023</f>
        <v>м2</v>
      </c>
      <c r="D1017" s="3009">
        <f>'Смета Внутр'!D1023</f>
        <v>0</v>
      </c>
      <c r="E1017" s="3007"/>
      <c r="F1017" s="3012">
        <f>'Смета Внутр'!H1023</f>
        <v>0</v>
      </c>
    </row>
    <row r="1018" spans="2:6">
      <c r="B1018" s="3007" t="str">
        <f>'Смета Внутр'!B1024</f>
        <v>Монолит, бетон, 250мм, 1 слой</v>
      </c>
      <c r="C1018" s="3008" t="str">
        <f>'Смета Внутр'!C1024</f>
        <v>м2</v>
      </c>
      <c r="D1018" s="3009">
        <f>'Смета Внутр'!D1024</f>
        <v>0</v>
      </c>
      <c r="E1018" s="3007"/>
      <c r="F1018" s="3012">
        <f>'Смета Внутр'!H1024</f>
        <v>0</v>
      </c>
    </row>
    <row r="1019" spans="2:6">
      <c r="B1019" s="3007" t="str">
        <f>'Смета Внутр'!B1025</f>
        <v>Монолит, бетон, 200мм, 2 слоя</v>
      </c>
      <c r="C1019" s="3008" t="str">
        <f>'Смета Внутр'!C1025</f>
        <v>м2</v>
      </c>
      <c r="D1019" s="3009">
        <f>'Смета Внутр'!D1025</f>
        <v>0</v>
      </c>
      <c r="E1019" s="3007"/>
      <c r="F1019" s="3012">
        <f>'Смета Внутр'!H1025</f>
        <v>0</v>
      </c>
    </row>
    <row r="1020" spans="2:6">
      <c r="B1020" s="3007" t="str">
        <f>'Смета Внутр'!B1026</f>
        <v>Монолит, бетон, 200мм, 1 слой</v>
      </c>
      <c r="C1020" s="3008" t="str">
        <f>'Смета Внутр'!C1026</f>
        <v>м2</v>
      </c>
      <c r="D1020" s="3009">
        <f>'Смета Внутр'!D1026</f>
        <v>0</v>
      </c>
      <c r="E1020" s="3007"/>
      <c r="F1020" s="3012">
        <f>'Смета Внутр'!H1026</f>
        <v>0</v>
      </c>
    </row>
    <row r="1021" spans="2:6">
      <c r="B1021" s="3007" t="str">
        <f>'Смета Внутр'!B1027</f>
        <v>Монолит, бетон, 150мм, 2 слоя</v>
      </c>
      <c r="C1021" s="3008" t="str">
        <f>'Смета Внутр'!C1027</f>
        <v>м2</v>
      </c>
      <c r="D1021" s="3009">
        <f>'Смета Внутр'!D1027</f>
        <v>0</v>
      </c>
      <c r="E1021" s="3007"/>
      <c r="F1021" s="3012">
        <f>'Смета Внутр'!H1027</f>
        <v>0</v>
      </c>
    </row>
    <row r="1022" spans="2:6">
      <c r="B1022" s="3007" t="str">
        <f>'Смета Внутр'!B1028</f>
        <v>Монолит, бетон, 150мм, 1 слой</v>
      </c>
      <c r="C1022" s="3008" t="str">
        <f>'Смета Внутр'!C1028</f>
        <v>м2</v>
      </c>
      <c r="D1022" s="3009">
        <f>'Смета Внутр'!D1028</f>
        <v>0</v>
      </c>
      <c r="E1022" s="3007"/>
      <c r="F1022" s="3012">
        <f>'Смета Внутр'!H1028</f>
        <v>0</v>
      </c>
    </row>
    <row r="1023" spans="2:6">
      <c r="B1023" s="3007" t="str">
        <f>'Смета Внутр'!B1029</f>
        <v>доска для опалубки монолит перекрытий</v>
      </c>
      <c r="C1023" s="3008" t="str">
        <f>'Смета Внутр'!C1029</f>
        <v>м3</v>
      </c>
      <c r="D1023" s="3009">
        <f>'Смета Внутр'!D1029</f>
        <v>0</v>
      </c>
      <c r="E1023" s="3007"/>
      <c r="F1023" s="3012">
        <f>'Смета Внутр'!H1029</f>
        <v>0</v>
      </c>
    </row>
    <row r="1024" spans="2:6">
      <c r="B1024" s="3007" t="str">
        <f>'Смета Внутр'!B1030</f>
        <v>стойки под опалубку перекрытий</v>
      </c>
      <c r="C1024" s="3008" t="str">
        <f>'Смета Внутр'!C1030</f>
        <v>шт</v>
      </c>
      <c r="D1024" s="3009">
        <f>'Смета Внутр'!D1030</f>
        <v>0</v>
      </c>
      <c r="E1024" s="3007"/>
      <c r="F1024" s="3012">
        <f>'Смета Внутр'!H1030</f>
        <v>0</v>
      </c>
    </row>
    <row r="1025" spans="2:6">
      <c r="B1025" s="3007" t="str">
        <f>'Смета Внутр'!B1031</f>
        <v xml:space="preserve">Пленка гидроизоляционная </v>
      </c>
      <c r="C1025" s="3008" t="str">
        <f>'Смета Внутр'!C1031</f>
        <v>м2</v>
      </c>
      <c r="D1025" s="3009">
        <f>'Смета Внутр'!D1031</f>
        <v>0</v>
      </c>
      <c r="E1025" s="3007"/>
      <c r="F1025" s="3012">
        <f>'Смета Внутр'!H1031</f>
        <v>0</v>
      </c>
    </row>
    <row r="1026" spans="2:6">
      <c r="B1026" s="3007" t="str">
        <f>'Смета Внутр'!B1032</f>
        <v>Арматура М12</v>
      </c>
      <c r="C1026" s="3008" t="str">
        <f>'Смета Внутр'!C1032</f>
        <v>м.п.</v>
      </c>
      <c r="D1026" s="3009">
        <f>'Смета Внутр'!D1032</f>
        <v>0</v>
      </c>
      <c r="E1026" s="3007"/>
      <c r="F1026" s="3012">
        <f>'Смета Внутр'!H1032</f>
        <v>0</v>
      </c>
    </row>
    <row r="1027" spans="2:6">
      <c r="B1027" s="3007" t="str">
        <f>'Смета Внутр'!B1033</f>
        <v>Вязальная проволока</v>
      </c>
      <c r="C1027" s="3008" t="str">
        <f>'Смета Внутр'!C1033</f>
        <v>кг</v>
      </c>
      <c r="D1027" s="3009">
        <f>'Смета Внутр'!D1033</f>
        <v>0</v>
      </c>
      <c r="E1027" s="3007"/>
      <c r="F1027" s="3012">
        <f>'Смета Внутр'!H1033</f>
        <v>0</v>
      </c>
    </row>
    <row r="1028" spans="2:6">
      <c r="B1028" s="3007" t="str">
        <f>'Смета Внутр'!B1034</f>
        <v>Подставка под арматурный каркас</v>
      </c>
      <c r="C1028" s="3008" t="str">
        <f>'Смета Внутр'!C1034</f>
        <v>шт</v>
      </c>
      <c r="D1028" s="3009">
        <f>'Смета Внутр'!D1034</f>
        <v>0</v>
      </c>
      <c r="E1028" s="3007"/>
      <c r="F1028" s="3012">
        <f>'Смета Внутр'!H1034</f>
        <v>0</v>
      </c>
    </row>
    <row r="1029" spans="2:6">
      <c r="B1029" s="3007" t="str">
        <f>'Смета Внутр'!B1035</f>
        <v>бетон, м350</v>
      </c>
      <c r="C1029" s="3008" t="str">
        <f>'Смета Внутр'!C1035</f>
        <v>м3</v>
      </c>
      <c r="D1029" s="3009">
        <f>'Смета Внутр'!D1035</f>
        <v>0</v>
      </c>
      <c r="E1029" s="3007"/>
      <c r="F1029" s="3012">
        <f>'Смета Внутр'!H1035</f>
        <v>0</v>
      </c>
    </row>
    <row r="1030" spans="2:6">
      <c r="B1030" s="3007" t="str">
        <f>'Смета Внутр'!B1036</f>
        <v>Брус естественной влажности, 200*100мм</v>
      </c>
      <c r="C1030" s="3008" t="str">
        <f>'Смета Внутр'!C1036</f>
        <v>м3</v>
      </c>
      <c r="D1030" s="3009">
        <f>'Смета Внутр'!D1036</f>
        <v>0</v>
      </c>
      <c r="E1030" s="3007"/>
      <c r="F1030" s="3012">
        <f>'Смета Внутр'!H1036</f>
        <v>0</v>
      </c>
    </row>
    <row r="1031" spans="2:6">
      <c r="B1031" s="3007" t="str">
        <f>'Смета Внутр'!B1037</f>
        <v>Брус естественной влажности, 150*100мм</v>
      </c>
      <c r="C1031" s="3008" t="str">
        <f>'Смета Внутр'!C1037</f>
        <v>м3</v>
      </c>
      <c r="D1031" s="3009">
        <f>'Смета Внутр'!D1037</f>
        <v>0</v>
      </c>
      <c r="E1031" s="3007"/>
      <c r="F1031" s="3012">
        <f>'Смета Внутр'!H1037</f>
        <v>0</v>
      </c>
    </row>
    <row r="1032" spans="2:6">
      <c r="B1032" s="3007" t="str">
        <f>'Смета Внутр'!B1038</f>
        <v>Брус естественной влажности, 100*100мм</v>
      </c>
      <c r="C1032" s="3008" t="str">
        <f>'Смета Внутр'!C1038</f>
        <v>м3</v>
      </c>
      <c r="D1032" s="3009">
        <f>'Смета Внутр'!D1038</f>
        <v>0</v>
      </c>
      <c r="E1032" s="3007"/>
      <c r="F1032" s="3012">
        <f>'Смета Внутр'!H1038</f>
        <v>0</v>
      </c>
    </row>
    <row r="1033" spans="2:6">
      <c r="B1033" s="3007" t="str">
        <f>'Смета Внутр'!B1039</f>
        <v>Брус естественной влажности, 150*150мм</v>
      </c>
      <c r="C1033" s="3008" t="str">
        <f>'Смета Внутр'!C1039</f>
        <v>м3</v>
      </c>
      <c r="D1033" s="3009">
        <f>'Смета Внутр'!D1039</f>
        <v>0</v>
      </c>
      <c r="E1033" s="3007"/>
      <c r="F1033" s="3012">
        <f>'Смета Внутр'!H1039</f>
        <v>0</v>
      </c>
    </row>
    <row r="1034" spans="2:6">
      <c r="B1034" s="3007" t="str">
        <f>'Смета Внутр'!B1040</f>
        <v>Доска естественной влажности, 200*50мм</v>
      </c>
      <c r="C1034" s="3008" t="str">
        <f>'Смета Внутр'!C1040</f>
        <v>м3</v>
      </c>
      <c r="D1034" s="3009">
        <f>'Смета Внутр'!D1040</f>
        <v>0</v>
      </c>
      <c r="E1034" s="3007"/>
      <c r="F1034" s="3012">
        <f>'Смета Внутр'!H1040</f>
        <v>0</v>
      </c>
    </row>
    <row r="1035" spans="2:6">
      <c r="B1035" s="3007" t="str">
        <f>'Смета Внутр'!B1041</f>
        <v>Доска естественной влажности, 150*50мм</v>
      </c>
      <c r="C1035" s="3008" t="str">
        <f>'Смета Внутр'!C1041</f>
        <v>м3</v>
      </c>
      <c r="D1035" s="3009">
        <f>'Смета Внутр'!D1041</f>
        <v>0</v>
      </c>
      <c r="E1035" s="3007"/>
      <c r="F1035" s="3016">
        <f>'Смета Внутр'!H1041</f>
        <v>0</v>
      </c>
    </row>
    <row r="1036" spans="2:6">
      <c r="B1036" s="3007" t="str">
        <f>'Смета Внутр'!B1042</f>
        <v xml:space="preserve">Опора бруса          </v>
      </c>
      <c r="C1036" s="3008" t="str">
        <f>'Смета Внутр'!C1042</f>
        <v>шт</v>
      </c>
      <c r="D1036" s="3009">
        <f>'Смета Внутр'!D1042</f>
        <v>0</v>
      </c>
      <c r="E1036" s="3007"/>
      <c r="F1036" s="3016">
        <f>'Смета Внутр'!H1042</f>
        <v>0</v>
      </c>
    </row>
    <row r="1037" spans="2:6">
      <c r="B1037" s="3007" t="str">
        <f>'Смета Внутр'!B1043</f>
        <v xml:space="preserve">Болты анкерные с гайкой 8,0 x 60           </v>
      </c>
      <c r="C1037" s="3008" t="str">
        <f>'Смета Внутр'!C1043</f>
        <v>шт</v>
      </c>
      <c r="D1037" s="3009">
        <f>'Смета Внутр'!D1043</f>
        <v>0</v>
      </c>
      <c r="E1037" s="3007"/>
      <c r="F1037" s="3016">
        <f>'Смета Внутр'!H1043</f>
        <v>0</v>
      </c>
    </row>
    <row r="1038" spans="2:6">
      <c r="B1038" s="3007" t="str">
        <f>'Смета Внутр'!B1044</f>
        <v>Нет перекрестного пола</v>
      </c>
      <c r="C1038" s="3008" t="str">
        <f>'Смета Внутр'!C1044</f>
        <v>м3</v>
      </c>
      <c r="D1038" s="3009">
        <f>'Смета Внутр'!D1044</f>
        <v>0</v>
      </c>
      <c r="E1038" s="3007"/>
      <c r="F1038" s="3012">
        <f>'Смета Внутр'!H1044</f>
        <v>0</v>
      </c>
    </row>
    <row r="1039" spans="2:6">
      <c r="B1039" s="3007" t="str">
        <f>'Смета Внутр'!B1045</f>
        <v xml:space="preserve">Гвозди строительные 3,5 x 90            </v>
      </c>
      <c r="C1039" s="3008" t="str">
        <f>'Смета Внутр'!C1045</f>
        <v>кг</v>
      </c>
      <c r="D1039" s="3009">
        <f>'Смета Внутр'!D1045</f>
        <v>0</v>
      </c>
      <c r="E1039" s="3007"/>
      <c r="F1039" s="3012">
        <f>'Смета Внутр'!H1045</f>
        <v>0</v>
      </c>
    </row>
    <row r="1040" spans="2:6">
      <c r="B1040" s="3007" t="str">
        <f>'Смета Внутр'!B1046</f>
        <v>Sip панель 2500*625*124мм</v>
      </c>
      <c r="C1040" s="3008" t="str">
        <f>'Смета Внутр'!C1046</f>
        <v>м2</v>
      </c>
      <c r="D1040" s="3009">
        <f>'Смета Внутр'!D1046</f>
        <v>0</v>
      </c>
      <c r="E1040" s="3007"/>
      <c r="F1040" s="3012">
        <f>'Смета Внутр'!H1046</f>
        <v>0</v>
      </c>
    </row>
    <row r="1041" spans="2:6">
      <c r="B1041" s="3007" t="str">
        <f>'Смета Внутр'!B1047</f>
        <v>Sip панель 2500*625*174мм</v>
      </c>
      <c r="C1041" s="3008" t="str">
        <f>'Смета Внутр'!C1047</f>
        <v>м2</v>
      </c>
      <c r="D1041" s="3009">
        <f>'Смета Внутр'!D1047</f>
        <v>0</v>
      </c>
      <c r="E1041" s="3007"/>
      <c r="F1041" s="3012">
        <f>'Смета Внутр'!H1047</f>
        <v>0</v>
      </c>
    </row>
    <row r="1042" spans="2:6">
      <c r="B1042" s="3007" t="str">
        <f>'Смета Внутр'!B1048</f>
        <v>Sip панель 2500*625*224мм</v>
      </c>
      <c r="C1042" s="3008" t="str">
        <f>'Смета Внутр'!C1048</f>
        <v>м2</v>
      </c>
      <c r="D1042" s="3009">
        <f>'Смета Внутр'!D1048</f>
        <v>0</v>
      </c>
      <c r="E1042" s="3007"/>
      <c r="F1042" s="3012">
        <f>'Смета Внутр'!H1048</f>
        <v>0</v>
      </c>
    </row>
    <row r="1043" spans="2:6">
      <c r="B1043" s="3007" t="str">
        <f>'Смета Внутр'!B1049</f>
        <v>Доска сухая, 100*50мм</v>
      </c>
      <c r="C1043" s="3008" t="str">
        <f>'Смета Внутр'!C1049</f>
        <v>м.п.</v>
      </c>
      <c r="D1043" s="3009">
        <f>'Смета Внутр'!D1049</f>
        <v>0</v>
      </c>
      <c r="E1043" s="3007"/>
      <c r="F1043" s="3012">
        <f>'Смета Внутр'!H1049</f>
        <v>0</v>
      </c>
    </row>
    <row r="1044" spans="2:6">
      <c r="B1044" s="3007" t="str">
        <f>'Смета Внутр'!B1050</f>
        <v>Доска сухая, 150*50мм</v>
      </c>
      <c r="C1044" s="3008" t="str">
        <f>'Смета Внутр'!C1050</f>
        <v>м.п.</v>
      </c>
      <c r="D1044" s="3009">
        <f>'Смета Внутр'!D1050</f>
        <v>0</v>
      </c>
      <c r="E1044" s="3007"/>
      <c r="F1044" s="3012">
        <f>'Смета Внутр'!H1050</f>
        <v>0</v>
      </c>
    </row>
    <row r="1045" spans="2:6">
      <c r="B1045" s="3007" t="str">
        <f>'Смета Внутр'!B1051</f>
        <v>Доска сухая, 200*50мм</v>
      </c>
      <c r="C1045" s="3008" t="str">
        <f>'Смета Внутр'!C1051</f>
        <v>м.п.</v>
      </c>
      <c r="D1045" s="3009">
        <f>'Смета Внутр'!D1051</f>
        <v>0</v>
      </c>
      <c r="E1045" s="3007"/>
      <c r="F1045" s="3012">
        <f>'Смета Внутр'!H1051</f>
        <v>0</v>
      </c>
    </row>
    <row r="1046" spans="2:6">
      <c r="B1046" s="3007" t="str">
        <f>'Смета Внутр'!B1052</f>
        <v>Пена монтажная, всесезонняя 800мл</v>
      </c>
      <c r="C1046" s="3008" t="str">
        <f>'Смета Внутр'!C1052</f>
        <v>шт</v>
      </c>
      <c r="D1046" s="3009">
        <f>'Смета Внутр'!D1052</f>
        <v>0</v>
      </c>
      <c r="E1046" s="3007"/>
      <c r="F1046" s="3012">
        <f>'Смета Внутр'!H1052</f>
        <v>0</v>
      </c>
    </row>
    <row r="1047" spans="2:6">
      <c r="B1047" s="3007" t="str">
        <f>'Смета Внутр'!B1053</f>
        <v xml:space="preserve">Гвозди строительные 3,5 x 90            </v>
      </c>
      <c r="C1047" s="3008" t="str">
        <f>'Смета Внутр'!C1053</f>
        <v>шт</v>
      </c>
      <c r="D1047" s="3009">
        <f>'Смета Внутр'!D1053</f>
        <v>0</v>
      </c>
      <c r="E1047" s="3007"/>
      <c r="F1047" s="3012">
        <f>'Смета Внутр'!H1053</f>
        <v>0</v>
      </c>
    </row>
    <row r="1048" spans="2:6">
      <c r="B1048" s="3007" t="str">
        <f>'Смета Внутр'!B1054</f>
        <v xml:space="preserve">Саморезы 3,5 x 45            </v>
      </c>
      <c r="C1048" s="3008" t="str">
        <f>'Смета Внутр'!C1054</f>
        <v>шт</v>
      </c>
      <c r="D1048" s="3009">
        <f>'Смета Внутр'!D1054</f>
        <v>0</v>
      </c>
      <c r="E1048" s="3007"/>
      <c r="F1048" s="3012">
        <f>'Смета Внутр'!H1054</f>
        <v>0</v>
      </c>
    </row>
    <row r="1049" spans="2:6">
      <c r="B1049" s="3007" t="str">
        <f>'Смета Внутр'!B1055</f>
        <v>Доска сухая, 200*50мм</v>
      </c>
      <c r="C1049" s="3008" t="str">
        <f>'Смета Внутр'!C1055</f>
        <v>м3</v>
      </c>
      <c r="D1049" s="3009">
        <f>'Смета Внутр'!D1055</f>
        <v>0</v>
      </c>
      <c r="E1049" s="3007"/>
      <c r="F1049" s="3012">
        <f>'Смета Внутр'!H1055</f>
        <v>0</v>
      </c>
    </row>
    <row r="1050" spans="2:6">
      <c r="B1050" s="3007" t="str">
        <f>'Смета Внутр'!B1056</f>
        <v>Доска сухая, 150*50мм</v>
      </c>
      <c r="C1050" s="3008" t="str">
        <f>'Смета Внутр'!C1056</f>
        <v>м3</v>
      </c>
      <c r="D1050" s="3009">
        <f>'Смета Внутр'!D1056</f>
        <v>0</v>
      </c>
      <c r="E1050" s="3007"/>
      <c r="F1050" s="3012">
        <f>'Смета Внутр'!H1056</f>
        <v>0</v>
      </c>
    </row>
    <row r="1051" spans="2:6">
      <c r="B1051" s="3007" t="str">
        <f>'Смета Внутр'!B1057</f>
        <v xml:space="preserve">Гвозди ершоные 2,8 х 90            </v>
      </c>
      <c r="C1051" s="3008" t="str">
        <f>'Смета Внутр'!C1057</f>
        <v>кг</v>
      </c>
      <c r="D1051" s="3009">
        <f>'Смета Внутр'!D1057</f>
        <v>0</v>
      </c>
      <c r="E1051" s="3007"/>
      <c r="F1051" s="3012">
        <f>'Смета Внутр'!H1057</f>
        <v>0</v>
      </c>
    </row>
    <row r="1052" spans="2:6">
      <c r="B1052" s="3007" t="str">
        <f>'Смета Внутр'!B1058</f>
        <v>Доска сухая калиброванная, 190*45мм</v>
      </c>
      <c r="C1052" s="3008" t="str">
        <f>'Смета Внутр'!C1058</f>
        <v>м3</v>
      </c>
      <c r="D1052" s="3009">
        <f>'Смета Внутр'!D1058</f>
        <v>0</v>
      </c>
      <c r="E1052" s="3007"/>
      <c r="F1052" s="3012">
        <f>'Смета Внутр'!H1058</f>
        <v>0</v>
      </c>
    </row>
    <row r="1053" spans="2:6">
      <c r="B1053" s="3007" t="str">
        <f>'Смета Внутр'!B1059</f>
        <v>Доска сухая калиброванная, 145*45мм</v>
      </c>
      <c r="C1053" s="3008" t="str">
        <f>'Смета Внутр'!C1059</f>
        <v>м3</v>
      </c>
      <c r="D1053" s="3009">
        <f>'Смета Внутр'!D1059</f>
        <v>0</v>
      </c>
      <c r="E1053" s="3007"/>
      <c r="F1053" s="3012">
        <f>'Смета Внутр'!H1059</f>
        <v>0</v>
      </c>
    </row>
    <row r="1054" spans="2:6">
      <c r="B1054" s="3007" t="str">
        <f>'Смета Внутр'!B1060</f>
        <v xml:space="preserve">Гвозди ершоные 2,8 х 90            </v>
      </c>
      <c r="C1054" s="3008" t="str">
        <f>'Смета Внутр'!C1060</f>
        <v>кг</v>
      </c>
      <c r="D1054" s="3009">
        <f>'Смета Внутр'!D1060</f>
        <v>0</v>
      </c>
      <c r="E1054" s="3007"/>
      <c r="F1054" s="3012">
        <f>'Смета Внутр'!H1060</f>
        <v>0</v>
      </c>
    </row>
    <row r="1055" spans="2:6">
      <c r="B1055" s="3007" t="str">
        <f>'Смета Внутр'!B1061</f>
        <v>Двутавровая деревянная балка, 400*65мм</v>
      </c>
      <c r="C1055" s="3008" t="str">
        <f>'Смета Внутр'!C1061</f>
        <v>м.п.</v>
      </c>
      <c r="D1055" s="3009">
        <f>'Смета Внутр'!D1061</f>
        <v>0</v>
      </c>
      <c r="E1055" s="3007"/>
      <c r="F1055" s="3012">
        <f>'Смета Внутр'!H1061</f>
        <v>0</v>
      </c>
    </row>
    <row r="1056" spans="2:6">
      <c r="B1056" s="3007" t="str">
        <f>'Смета Внутр'!B1062</f>
        <v>Двутавровая деревянная балка, 400*90мм</v>
      </c>
      <c r="C1056" s="3008" t="str">
        <f>'Смета Внутр'!C1062</f>
        <v>м.п.</v>
      </c>
      <c r="D1056" s="3009">
        <f>'Смета Внутр'!D1062</f>
        <v>0</v>
      </c>
      <c r="E1056" s="3007"/>
      <c r="F1056" s="3012">
        <f>'Смета Внутр'!H1062</f>
        <v>0</v>
      </c>
    </row>
    <row r="1057" spans="2:6">
      <c r="B1057" s="3007" t="str">
        <f>'Смета Внутр'!B1063</f>
        <v>Двутавровая деревянная балка, 350*65мм</v>
      </c>
      <c r="C1057" s="3008" t="str">
        <f>'Смета Внутр'!C1063</f>
        <v>м.п.</v>
      </c>
      <c r="D1057" s="3009">
        <f>'Смета Внутр'!D1063</f>
        <v>0</v>
      </c>
      <c r="E1057" s="3007"/>
      <c r="F1057" s="3012">
        <f>'Смета Внутр'!H1063</f>
        <v>0</v>
      </c>
    </row>
    <row r="1058" spans="2:6">
      <c r="B1058" s="3007" t="str">
        <f>'Смета Внутр'!B1064</f>
        <v>Двутавровая деревянная балка, 350*90мм</v>
      </c>
      <c r="C1058" s="3008" t="str">
        <f>'Смета Внутр'!C1064</f>
        <v>м.п.</v>
      </c>
      <c r="D1058" s="3009">
        <f>'Смета Внутр'!D1064</f>
        <v>0</v>
      </c>
      <c r="E1058" s="3007"/>
      <c r="F1058" s="3012">
        <f>'Смета Внутр'!H1064</f>
        <v>0</v>
      </c>
    </row>
    <row r="1059" spans="2:6">
      <c r="B1059" s="3007" t="str">
        <f>'Смета Внутр'!B1065</f>
        <v>Двутавровая деревянная балка, 300*65мм</v>
      </c>
      <c r="C1059" s="3008" t="str">
        <f>'Смета Внутр'!C1065</f>
        <v>м.п.</v>
      </c>
      <c r="D1059" s="3009">
        <f>'Смета Внутр'!D1065</f>
        <v>0</v>
      </c>
      <c r="E1059" s="3007"/>
      <c r="F1059" s="3012">
        <f>'Смета Внутр'!H1065</f>
        <v>0</v>
      </c>
    </row>
    <row r="1060" spans="2:6">
      <c r="B1060" s="3007" t="str">
        <f>'Смета Внутр'!B1066</f>
        <v>Двутавровая деревянная балка, 300*90мм</v>
      </c>
      <c r="C1060" s="3008" t="str">
        <f>'Смета Внутр'!C1066</f>
        <v>м.п.</v>
      </c>
      <c r="D1060" s="3009">
        <f>'Смета Внутр'!D1066</f>
        <v>0</v>
      </c>
      <c r="E1060" s="3007"/>
      <c r="F1060" s="3012">
        <f>'Смета Внутр'!H1066</f>
        <v>0</v>
      </c>
    </row>
    <row r="1061" spans="2:6">
      <c r="B1061" s="3007" t="str">
        <f>'Смета Внутр'!B1067</f>
        <v>Двутавровая деревянная балка, 240*65мм</v>
      </c>
      <c r="C1061" s="3008" t="str">
        <f>'Смета Внутр'!C1067</f>
        <v>м.п.</v>
      </c>
      <c r="D1061" s="3009">
        <f>'Смета Внутр'!D1067</f>
        <v>0</v>
      </c>
      <c r="E1061" s="3007"/>
      <c r="F1061" s="3012">
        <f>'Смета Внутр'!H1067</f>
        <v>0</v>
      </c>
    </row>
    <row r="1062" spans="2:6">
      <c r="B1062" s="3007" t="str">
        <f>'Смета Внутр'!B1068</f>
        <v>Двутавровая деревянная балка, 240*90мм</v>
      </c>
      <c r="C1062" s="3008" t="str">
        <f>'Смета Внутр'!C1068</f>
        <v>м.п.</v>
      </c>
      <c r="D1062" s="3009">
        <f>'Смета Внутр'!D1068</f>
        <v>0</v>
      </c>
      <c r="E1062" s="3007"/>
      <c r="F1062" s="3012">
        <f>'Смета Внутр'!H1068</f>
        <v>0</v>
      </c>
    </row>
    <row r="1063" spans="2:6">
      <c r="B1063" s="3007" t="str">
        <f>'Смета Внутр'!B1069</f>
        <v>Двутавровая деревянная балка, 200*65мм</v>
      </c>
      <c r="C1063" s="3008" t="str">
        <f>'Смета Внутр'!C1069</f>
        <v>м.п.</v>
      </c>
      <c r="D1063" s="3009">
        <f>'Смета Внутр'!D1069</f>
        <v>0</v>
      </c>
      <c r="E1063" s="3007"/>
      <c r="F1063" s="3012">
        <f>'Смета Внутр'!H1069</f>
        <v>0</v>
      </c>
    </row>
    <row r="1064" spans="2:6">
      <c r="B1064" s="3007" t="str">
        <f>'Смета Внутр'!B1070</f>
        <v>Двутавровая деревянная балка, 200*90мм</v>
      </c>
      <c r="C1064" s="3008" t="str">
        <f>'Смета Внутр'!C1070</f>
        <v>м.п.</v>
      </c>
      <c r="D1064" s="3009">
        <f>'Смета Внутр'!D1070</f>
        <v>0</v>
      </c>
      <c r="E1064" s="3007"/>
      <c r="F1064" s="3012">
        <f>'Смета Внутр'!H1070</f>
        <v>0</v>
      </c>
    </row>
    <row r="1065" spans="2:6">
      <c r="B1065" s="3007" t="str">
        <f>'Смета Внутр'!B1071</f>
        <v>Двутавровая деревянная балка, 150*65мм</v>
      </c>
      <c r="C1065" s="3008" t="str">
        <f>'Смета Внутр'!C1071</f>
        <v>м.п.</v>
      </c>
      <c r="D1065" s="3009">
        <f>'Смета Внутр'!D1071</f>
        <v>0</v>
      </c>
      <c r="E1065" s="3007"/>
      <c r="F1065" s="3012">
        <f>'Смета Внутр'!H1071</f>
        <v>0</v>
      </c>
    </row>
    <row r="1066" spans="2:6">
      <c r="B1066" s="3007" t="str">
        <f>'Смета Внутр'!B1072</f>
        <v>Двутавровая деревянная балка, 150*90мм</v>
      </c>
      <c r="C1066" s="3008" t="str">
        <f>'Смета Внутр'!C1072</f>
        <v>м.п.</v>
      </c>
      <c r="D1066" s="3009">
        <f>'Смета Внутр'!D1072</f>
        <v>0</v>
      </c>
      <c r="E1066" s="3007"/>
      <c r="F1066" s="3012">
        <f>'Смета Внутр'!H1072</f>
        <v>0</v>
      </c>
    </row>
    <row r="1067" spans="2:6">
      <c r="B1067" s="3007" t="str">
        <f>'Смета Внутр'!B1073</f>
        <v xml:space="preserve">Уголок усиленный 90х70х55х2,5        </v>
      </c>
      <c r="C1067" s="3008" t="str">
        <f>'Смета Внутр'!C1073</f>
        <v>шт</v>
      </c>
      <c r="D1067" s="3009">
        <f>'Смета Внутр'!D1073</f>
        <v>0</v>
      </c>
      <c r="E1067" s="3007"/>
      <c r="F1067" s="3012">
        <f>'Смета Внутр'!H1073</f>
        <v>0</v>
      </c>
    </row>
    <row r="1068" spans="2:6">
      <c r="B1068" s="3007" t="str">
        <f>'Смета Внутр'!B1074</f>
        <v xml:space="preserve">Саморезы 3,5 x 55            </v>
      </c>
      <c r="C1068" s="3008" t="str">
        <f>'Смета Внутр'!C1074</f>
        <v>шт</v>
      </c>
      <c r="D1068" s="3009">
        <f>'Смета Внутр'!D1074</f>
        <v>0</v>
      </c>
      <c r="E1068" s="3007"/>
      <c r="F1068" s="3012">
        <f>'Смета Внутр'!H1074</f>
        <v>0</v>
      </c>
    </row>
    <row r="1069" spans="2:6">
      <c r="B1069" s="3007" t="str">
        <f>'Смета Внутр'!B1075</f>
        <v>Плитный,28кг/м3, технониколь, 200мм</v>
      </c>
      <c r="C1069" s="3008" t="str">
        <f>'Смета Внутр'!C1075</f>
        <v>м3</v>
      </c>
      <c r="D1069" s="3009">
        <f>'Смета Внутр'!D1075</f>
        <v>0</v>
      </c>
      <c r="E1069" s="3007"/>
      <c r="F1069" s="3012">
        <f>'Смета Внутр'!H1075</f>
        <v>0</v>
      </c>
    </row>
    <row r="1070" spans="2:6">
      <c r="B1070" s="3007" t="str">
        <f>'Смета Внутр'!B1076</f>
        <v>Мембрана Folder Classic</v>
      </c>
      <c r="C1070" s="3008" t="str">
        <f>'Смета Внутр'!C1076</f>
        <v>м2</v>
      </c>
      <c r="D1070" s="3009">
        <f>'Смета Внутр'!D1076</f>
        <v>0</v>
      </c>
      <c r="E1070" s="3007"/>
      <c r="F1070" s="3012">
        <f>'Смета Внутр'!H1076</f>
        <v>0</v>
      </c>
    </row>
    <row r="1071" spans="2:6">
      <c r="B1071" s="3007" t="str">
        <f>'Смета Внутр'!B1077</f>
        <v>Пленка Delta-Reflex</v>
      </c>
      <c r="C1071" s="3008" t="str">
        <f>'Смета Внутр'!C1077</f>
        <v>м2</v>
      </c>
      <c r="D1071" s="3009">
        <f>'Смета Внутр'!D1077</f>
        <v>0</v>
      </c>
      <c r="E1071" s="3007"/>
      <c r="F1071" s="3012">
        <f>'Смета Внутр'!H1077</f>
        <v>0</v>
      </c>
    </row>
    <row r="1072" spans="2:6">
      <c r="B1072" s="3007" t="str">
        <f>'Смета Внутр'!B1078</f>
        <v>нет</v>
      </c>
      <c r="C1072" s="3008" t="str">
        <f>'Смета Внутр'!C1078</f>
        <v>м3</v>
      </c>
      <c r="D1072" s="3009">
        <f>'Смета Внутр'!D1078</f>
        <v>0</v>
      </c>
      <c r="E1072" s="3007"/>
      <c r="F1072" s="3016">
        <f>'Смета Внутр'!H1078</f>
        <v>0</v>
      </c>
    </row>
    <row r="1073" spans="2:6">
      <c r="B1073" s="3007" t="str">
        <f>'Смета Внутр'!B1079</f>
        <v>нет</v>
      </c>
      <c r="C1073" s="3008" t="str">
        <f>'Смета Внутр'!C1079</f>
        <v>м3</v>
      </c>
      <c r="D1073" s="3009">
        <f>'Смета Внутр'!D1079</f>
        <v>0</v>
      </c>
      <c r="E1073" s="3007"/>
      <c r="F1073" s="3016">
        <f>'Смета Внутр'!H1079</f>
        <v>0</v>
      </c>
    </row>
    <row r="1074" spans="2:6">
      <c r="B1074" s="3007" t="str">
        <f>'Смета Внутр'!B1080</f>
        <v>нет</v>
      </c>
      <c r="C1074" s="3008" t="str">
        <f>'Смета Внутр'!C1080</f>
        <v>м3</v>
      </c>
      <c r="D1074" s="3009">
        <f>'Смета Внутр'!D1080</f>
        <v>0</v>
      </c>
      <c r="E1074" s="3007"/>
      <c r="F1074" s="3016">
        <f>'Смета Внутр'!H1080</f>
        <v>0</v>
      </c>
    </row>
    <row r="1075" spans="2:6">
      <c r="B1075" s="3007" t="str">
        <f>'Смета Внутр'!B1081</f>
        <v>Доска сухая, калибр., 35*45мм</v>
      </c>
      <c r="C1075" s="3008" t="str">
        <f>'Смета Внутр'!C1081</f>
        <v>м3</v>
      </c>
      <c r="D1075" s="3009">
        <f>'Смета Внутр'!D1081</f>
        <v>0.49000000000000005</v>
      </c>
      <c r="E1075" s="3007"/>
      <c r="F1075" s="3016">
        <f>'Смета Внутр'!H1081</f>
        <v>0</v>
      </c>
    </row>
    <row r="1076" spans="2:6">
      <c r="B1076" s="3007" t="str">
        <f>'Смета Внутр'!B1082</f>
        <v>нет</v>
      </c>
      <c r="C1076" s="3008" t="str">
        <f>'Смета Внутр'!C1082</f>
        <v>м3</v>
      </c>
      <c r="D1076" s="3009">
        <f>'Смета Внутр'!D1082</f>
        <v>0</v>
      </c>
      <c r="E1076" s="3007"/>
      <c r="F1076" s="3012">
        <f>'Смета Внутр'!H1082</f>
        <v>0</v>
      </c>
    </row>
    <row r="1077" spans="2:6">
      <c r="B1077" s="3007" t="str">
        <f>'Смета Внутр'!B1083</f>
        <v>Сосна влаж, 50*50мм</v>
      </c>
      <c r="C1077" s="3008" t="str">
        <f>'Смета Внутр'!C1083</f>
        <v>м3</v>
      </c>
      <c r="D1077" s="3009">
        <f>'Смета Внутр'!D1083</f>
        <v>0</v>
      </c>
      <c r="E1077" s="3007"/>
      <c r="F1077" s="3012">
        <f>'Смета Внутр'!H1083</f>
        <v>0</v>
      </c>
    </row>
    <row r="1078" spans="2:6">
      <c r="B1078" s="3007" t="str">
        <f>'Смета Внутр'!B1084</f>
        <v xml:space="preserve">Гвозди ершоные 2,8 х 90            </v>
      </c>
      <c r="C1078" s="3008" t="str">
        <f>'Смета Внутр'!C1084</f>
        <v>кг</v>
      </c>
      <c r="D1078" s="3009">
        <f>'Смета Внутр'!D1084</f>
        <v>2.9400000000000004</v>
      </c>
      <c r="E1078" s="3007"/>
      <c r="F1078" s="3016">
        <f>'Смета Внутр'!H1084</f>
        <v>0</v>
      </c>
    </row>
    <row r="1079" spans="2:6">
      <c r="B1079" s="3007" t="str">
        <f>'Смета Внутр'!B1085</f>
        <v>ГПС 100х50-1,2</v>
      </c>
      <c r="C1079" s="3008" t="str">
        <f>'Смета Внутр'!C1085</f>
        <v>м.п.</v>
      </c>
      <c r="D1079" s="3009">
        <f>'Смета Внутр'!D1085</f>
        <v>0</v>
      </c>
      <c r="E1079" s="3007"/>
      <c r="F1079" s="3016"/>
    </row>
    <row r="1080" spans="2:6">
      <c r="B1080" s="3007" t="str">
        <f>'Смета Внутр'!B1086</f>
        <v>ГПС 100х50-1,5</v>
      </c>
      <c r="C1080" s="3008" t="str">
        <f>'Смета Внутр'!C1086</f>
        <v>м.п.</v>
      </c>
      <c r="D1080" s="3009">
        <f>'Смета Внутр'!D1086</f>
        <v>0</v>
      </c>
      <c r="E1080" s="3007"/>
      <c r="F1080" s="3016"/>
    </row>
    <row r="1081" spans="2:6">
      <c r="B1081" s="3007" t="str">
        <f>'Смета Внутр'!B1087</f>
        <v>ГПС 120х50-1,5</v>
      </c>
      <c r="C1081" s="3008" t="str">
        <f>'Смета Внутр'!C1087</f>
        <v>м.п.</v>
      </c>
      <c r="D1081" s="3009">
        <f>'Смета Внутр'!D1087</f>
        <v>0</v>
      </c>
      <c r="E1081" s="3007"/>
      <c r="F1081" s="3016"/>
    </row>
    <row r="1082" spans="2:6">
      <c r="B1082" s="3007" t="str">
        <f>'Смета Внутр'!B1088</f>
        <v>ГПС 120х50-2,0</v>
      </c>
      <c r="C1082" s="3008" t="str">
        <f>'Смета Внутр'!C1088</f>
        <v>м.п.</v>
      </c>
      <c r="D1082" s="3009">
        <f>'Смета Внутр'!D1088</f>
        <v>0</v>
      </c>
      <c r="E1082" s="3007"/>
      <c r="F1082" s="3016"/>
    </row>
    <row r="1083" spans="2:6">
      <c r="B1083" s="3007" t="str">
        <f>'Смета Внутр'!B1089</f>
        <v>ГПС 150х50-1,2</v>
      </c>
      <c r="C1083" s="3008" t="str">
        <f>'Смета Внутр'!C1089</f>
        <v>м.п.</v>
      </c>
      <c r="D1083" s="3009">
        <f>'Смета Внутр'!D1089</f>
        <v>0</v>
      </c>
      <c r="E1083" s="3007"/>
      <c r="F1083" s="3016"/>
    </row>
    <row r="1084" spans="2:6">
      <c r="B1084" s="3007" t="str">
        <f>'Смета Внутр'!B1090</f>
        <v>ГПС 150х50-1,5</v>
      </c>
      <c r="C1084" s="3008" t="str">
        <f>'Смета Внутр'!C1090</f>
        <v>м.п.</v>
      </c>
      <c r="D1084" s="3009">
        <f>'Смета Внутр'!D1090</f>
        <v>0</v>
      </c>
      <c r="E1084" s="3007"/>
      <c r="F1084" s="3016"/>
    </row>
    <row r="1085" spans="2:6">
      <c r="B1085" s="3007" t="str">
        <f>'Смета Внутр'!B1091</f>
        <v>ГПС 150х50-2,0</v>
      </c>
      <c r="C1085" s="3008" t="str">
        <f>'Смета Внутр'!C1091</f>
        <v>м.п.</v>
      </c>
      <c r="D1085" s="3009">
        <f>'Смета Внутр'!D1091</f>
        <v>0</v>
      </c>
      <c r="E1085" s="3007"/>
      <c r="F1085" s="3016"/>
    </row>
    <row r="1086" spans="2:6">
      <c r="B1086" s="3007" t="str">
        <f>'Смета Внутр'!B1092</f>
        <v>ГПС 170х50-1,2</v>
      </c>
      <c r="C1086" s="3008" t="str">
        <f>'Смета Внутр'!C1092</f>
        <v>м.п.</v>
      </c>
      <c r="D1086" s="3009">
        <f>'Смета Внутр'!D1092</f>
        <v>0</v>
      </c>
      <c r="E1086" s="3007"/>
      <c r="F1086" s="3016"/>
    </row>
    <row r="1087" spans="2:6">
      <c r="B1087" s="3007" t="str">
        <f>'Смета Внутр'!B1093</f>
        <v>ГПС 170х50-1,5</v>
      </c>
      <c r="C1087" s="3008" t="str">
        <f>'Смета Внутр'!C1093</f>
        <v>м.п.</v>
      </c>
      <c r="D1087" s="3009">
        <f>'Смета Внутр'!D1093</f>
        <v>0</v>
      </c>
      <c r="E1087" s="3007"/>
      <c r="F1087" s="3016"/>
    </row>
    <row r="1088" spans="2:6">
      <c r="B1088" s="3007" t="str">
        <f>'Смета Внутр'!B1094</f>
        <v>ГПС 170х50-2,0</v>
      </c>
      <c r="C1088" s="3008" t="str">
        <f>'Смета Внутр'!C1094</f>
        <v>м.п.</v>
      </c>
      <c r="D1088" s="3009">
        <f>'Смета Внутр'!D1094</f>
        <v>0</v>
      </c>
      <c r="E1088" s="3007"/>
      <c r="F1088" s="3016"/>
    </row>
    <row r="1089" spans="2:6">
      <c r="B1089" s="3007" t="str">
        <f>'Смета Внутр'!B1095</f>
        <v>ГПС 200х50-1,2</v>
      </c>
      <c r="C1089" s="3008" t="str">
        <f>'Смета Внутр'!C1095</f>
        <v>м.п.</v>
      </c>
      <c r="D1089" s="3009">
        <f>'Смета Внутр'!D1095</f>
        <v>0</v>
      </c>
      <c r="E1089" s="3007"/>
      <c r="F1089" s="3016"/>
    </row>
    <row r="1090" spans="2:6">
      <c r="B1090" s="3007" t="str">
        <f>'Смета Внутр'!B1096</f>
        <v>ГПС 200х50-1,5</v>
      </c>
      <c r="C1090" s="3008" t="str">
        <f>'Смета Внутр'!C1096</f>
        <v>м.п.</v>
      </c>
      <c r="D1090" s="3009">
        <f>'Смета Внутр'!D1096</f>
        <v>0</v>
      </c>
      <c r="E1090" s="3007"/>
      <c r="F1090" s="3016"/>
    </row>
    <row r="1091" spans="2:6">
      <c r="B1091" s="3007" t="str">
        <f>'Смета Внутр'!B1097</f>
        <v>ГПС 200х50-2,0</v>
      </c>
      <c r="C1091" s="3008" t="str">
        <f>'Смета Внутр'!C1097</f>
        <v>м.п.</v>
      </c>
      <c r="D1091" s="3009">
        <f>'Смета Внутр'!D1097</f>
        <v>0</v>
      </c>
      <c r="E1091" s="3007"/>
      <c r="F1091" s="3016"/>
    </row>
    <row r="1092" spans="2:6">
      <c r="B1092" s="3007" t="str">
        <f>'Смета Внутр'!B1098</f>
        <v>ГПС 250х50-1,2</v>
      </c>
      <c r="C1092" s="3008" t="str">
        <f>'Смета Внутр'!C1098</f>
        <v>м.п.</v>
      </c>
      <c r="D1092" s="3009">
        <f>'Смета Внутр'!D1098</f>
        <v>0</v>
      </c>
      <c r="E1092" s="3007"/>
      <c r="F1092" s="3016"/>
    </row>
    <row r="1093" spans="2:6">
      <c r="B1093" s="3007" t="str">
        <f>'Смета Внутр'!B1099</f>
        <v>ГПС 250х50-1,5</v>
      </c>
      <c r="C1093" s="3008" t="str">
        <f>'Смета Внутр'!C1099</f>
        <v>м.п.</v>
      </c>
      <c r="D1093" s="3009">
        <f>'Смета Внутр'!D1099</f>
        <v>0</v>
      </c>
      <c r="E1093" s="3007"/>
      <c r="F1093" s="3016"/>
    </row>
    <row r="1094" spans="2:6">
      <c r="B1094" s="3007" t="str">
        <f>'Смета Внутр'!B1100</f>
        <v>ГПС 250х50-2,0</v>
      </c>
      <c r="C1094" s="3008" t="str">
        <f>'Смета Внутр'!C1100</f>
        <v>м.п.</v>
      </c>
      <c r="D1094" s="3009">
        <f>'Смета Внутр'!D1100</f>
        <v>0</v>
      </c>
      <c r="E1094" s="3007"/>
      <c r="F1094" s="3016"/>
    </row>
    <row r="1095" spans="2:6">
      <c r="B1095" s="3007" t="str">
        <f>'Смета Внутр'!B1101</f>
        <v>ГПС 280х50-1,2</v>
      </c>
      <c r="C1095" s="3008" t="str">
        <f>'Смета Внутр'!C1101</f>
        <v>м.п.</v>
      </c>
      <c r="D1095" s="3009">
        <f>'Смета Внутр'!D1101</f>
        <v>0</v>
      </c>
      <c r="E1095" s="3007"/>
      <c r="F1095" s="3016"/>
    </row>
    <row r="1096" spans="2:6">
      <c r="B1096" s="3007" t="str">
        <f>'Смета Внутр'!B1102</f>
        <v>ГПС 280х50-1,5</v>
      </c>
      <c r="C1096" s="3008" t="str">
        <f>'Смета Внутр'!C1102</f>
        <v>м.п.</v>
      </c>
      <c r="D1096" s="3009">
        <f>'Смета Внутр'!D1102</f>
        <v>0</v>
      </c>
      <c r="E1096" s="3007"/>
      <c r="F1096" s="3016"/>
    </row>
    <row r="1097" spans="2:6">
      <c r="B1097" s="3007" t="str">
        <f>'Смета Внутр'!B1103</f>
        <v>ГПС 280х50-2,0</v>
      </c>
      <c r="C1097" s="3008" t="str">
        <f>'Смета Внутр'!C1103</f>
        <v>м.п.</v>
      </c>
      <c r="D1097" s="3009">
        <f>'Смета Внутр'!D1103</f>
        <v>0</v>
      </c>
      <c r="E1097" s="3007"/>
      <c r="F1097" s="3016"/>
    </row>
    <row r="1098" spans="2:6">
      <c r="B1098" s="3007" t="str">
        <f>'Смета Внутр'!B1104</f>
        <v>ГПН 102х35-1,2</v>
      </c>
      <c r="C1098" s="3008" t="str">
        <f>'Смета Внутр'!C1104</f>
        <v>м.п.</v>
      </c>
      <c r="D1098" s="3009">
        <f>'Смета Внутр'!D1104</f>
        <v>0</v>
      </c>
      <c r="E1098" s="3007"/>
      <c r="F1098" s="3016"/>
    </row>
    <row r="1099" spans="2:6">
      <c r="B1099" s="3007" t="str">
        <f>'Смета Внутр'!B1105</f>
        <v>ГПН 102х35-1,5</v>
      </c>
      <c r="C1099" s="3008" t="str">
        <f>'Смета Внутр'!C1105</f>
        <v>м.п.</v>
      </c>
      <c r="D1099" s="3009">
        <f>'Смета Внутр'!D1105</f>
        <v>0</v>
      </c>
      <c r="E1099" s="3007"/>
      <c r="F1099" s="3016"/>
    </row>
    <row r="1100" spans="2:6">
      <c r="B1100" s="3007" t="str">
        <f>'Смета Внутр'!B1106</f>
        <v>ГПН 102х35-2,0</v>
      </c>
      <c r="C1100" s="3008" t="str">
        <f>'Смета Внутр'!C1106</f>
        <v>м.п.</v>
      </c>
      <c r="D1100" s="3009">
        <f>'Смета Внутр'!D1106</f>
        <v>0</v>
      </c>
      <c r="E1100" s="3007"/>
      <c r="F1100" s="3016"/>
    </row>
    <row r="1101" spans="2:6">
      <c r="B1101" s="3007" t="str">
        <f>'Смета Внутр'!B1107</f>
        <v>ГПН 122х35-1,2</v>
      </c>
      <c r="C1101" s="3008" t="str">
        <f>'Смета Внутр'!C1107</f>
        <v>м.п.</v>
      </c>
      <c r="D1101" s="3009">
        <f>'Смета Внутр'!D1107</f>
        <v>0</v>
      </c>
      <c r="E1101" s="3007"/>
      <c r="F1101" s="3016"/>
    </row>
    <row r="1102" spans="2:6">
      <c r="B1102" s="3007" t="str">
        <f>'Смета Внутр'!B1108</f>
        <v>ГПН 122х35-1,5</v>
      </c>
      <c r="C1102" s="3008" t="str">
        <f>'Смета Внутр'!C1108</f>
        <v>м.п.</v>
      </c>
      <c r="D1102" s="3009">
        <f>'Смета Внутр'!D1108</f>
        <v>0</v>
      </c>
      <c r="E1102" s="3007"/>
      <c r="F1102" s="3016"/>
    </row>
    <row r="1103" spans="2:6">
      <c r="B1103" s="3007" t="str">
        <f>'Смета Внутр'!B1109</f>
        <v>ГПН 122х35-2,0</v>
      </c>
      <c r="C1103" s="3008" t="str">
        <f>'Смета Внутр'!C1109</f>
        <v>м.п.</v>
      </c>
      <c r="D1103" s="3009">
        <f>'Смета Внутр'!D1109</f>
        <v>0</v>
      </c>
      <c r="E1103" s="3007"/>
      <c r="F1103" s="3016"/>
    </row>
    <row r="1104" spans="2:6">
      <c r="B1104" s="3007" t="str">
        <f>'Смета Внутр'!B1110</f>
        <v>ГПН 152х35-1,2</v>
      </c>
      <c r="C1104" s="3008" t="str">
        <f>'Смета Внутр'!C1110</f>
        <v>м.п.</v>
      </c>
      <c r="D1104" s="3009">
        <f>'Смета Внутр'!D1110</f>
        <v>0</v>
      </c>
      <c r="E1104" s="3007"/>
      <c r="F1104" s="3016"/>
    </row>
    <row r="1105" spans="2:6">
      <c r="B1105" s="3007" t="str">
        <f>'Смета Внутр'!B1111</f>
        <v>ГПН 152х35-1,5</v>
      </c>
      <c r="C1105" s="3008" t="str">
        <f>'Смета Внутр'!C1111</f>
        <v>м.п.</v>
      </c>
      <c r="D1105" s="3009">
        <f>'Смета Внутр'!D1111</f>
        <v>0</v>
      </c>
      <c r="E1105" s="3007"/>
      <c r="F1105" s="3016"/>
    </row>
    <row r="1106" spans="2:6">
      <c r="B1106" s="3007" t="str">
        <f>'Смета Внутр'!B1112</f>
        <v>ГПН 152х35-2,0</v>
      </c>
      <c r="C1106" s="3008" t="str">
        <f>'Смета Внутр'!C1112</f>
        <v>м.п.</v>
      </c>
      <c r="D1106" s="3009">
        <f>'Смета Внутр'!D1112</f>
        <v>0</v>
      </c>
      <c r="E1106" s="3007"/>
      <c r="F1106" s="3016"/>
    </row>
    <row r="1107" spans="2:6">
      <c r="B1107" s="3007" t="str">
        <f>'Смета Внутр'!B1113</f>
        <v>ГПН 172х35-1,2</v>
      </c>
      <c r="C1107" s="3008" t="str">
        <f>'Смета Внутр'!C1113</f>
        <v>м.п.</v>
      </c>
      <c r="D1107" s="3009">
        <f>'Смета Внутр'!D1113</f>
        <v>0</v>
      </c>
      <c r="E1107" s="3007"/>
      <c r="F1107" s="3016"/>
    </row>
    <row r="1108" spans="2:6">
      <c r="B1108" s="3007" t="str">
        <f>'Смета Внутр'!B1114</f>
        <v>ГПН 172х35-1,5</v>
      </c>
      <c r="C1108" s="3008" t="str">
        <f>'Смета Внутр'!C1114</f>
        <v>м.п.</v>
      </c>
      <c r="D1108" s="3009">
        <f>'Смета Внутр'!D1114</f>
        <v>0</v>
      </c>
      <c r="E1108" s="3007"/>
      <c r="F1108" s="3016"/>
    </row>
    <row r="1109" spans="2:6">
      <c r="B1109" s="3007" t="str">
        <f>'Смета Внутр'!B1115</f>
        <v>ГПН 172х35-2,0</v>
      </c>
      <c r="C1109" s="3008" t="str">
        <f>'Смета Внутр'!C1115</f>
        <v>м.п.</v>
      </c>
      <c r="D1109" s="3009">
        <f>'Смета Внутр'!D1115</f>
        <v>0</v>
      </c>
      <c r="E1109" s="3007"/>
      <c r="F1109" s="3016"/>
    </row>
    <row r="1110" spans="2:6">
      <c r="B1110" s="3007" t="str">
        <f>'Смета Внутр'!B1116</f>
        <v>ГПН 202х35-1,2</v>
      </c>
      <c r="C1110" s="3008" t="str">
        <f>'Смета Внутр'!C1116</f>
        <v>м.п.</v>
      </c>
      <c r="D1110" s="3009">
        <f>'Смета Внутр'!D1116</f>
        <v>0</v>
      </c>
      <c r="E1110" s="3007"/>
      <c r="F1110" s="3016"/>
    </row>
    <row r="1111" spans="2:6">
      <c r="B1111" s="3007" t="str">
        <f>'Смета Внутр'!B1117</f>
        <v>ГПН 202х35-1,5</v>
      </c>
      <c r="C1111" s="3008" t="str">
        <f>'Смета Внутр'!C1117</f>
        <v>м.п.</v>
      </c>
      <c r="D1111" s="3009">
        <f>'Смета Внутр'!D1117</f>
        <v>0</v>
      </c>
      <c r="E1111" s="3007"/>
      <c r="F1111" s="3016"/>
    </row>
    <row r="1112" spans="2:6">
      <c r="B1112" s="3007" t="str">
        <f>'Смета Внутр'!B1118</f>
        <v>ГПН 202х35-2,0</v>
      </c>
      <c r="C1112" s="3008" t="str">
        <f>'Смета Внутр'!C1118</f>
        <v>м.п.</v>
      </c>
      <c r="D1112" s="3009">
        <f>'Смета Внутр'!D1118</f>
        <v>0</v>
      </c>
      <c r="E1112" s="3007"/>
      <c r="F1112" s="3016"/>
    </row>
    <row r="1113" spans="2:6">
      <c r="B1113" s="3007" t="str">
        <f>'Смета Внутр'!B1119</f>
        <v>ГПН 252х35-1,2</v>
      </c>
      <c r="C1113" s="3008" t="str">
        <f>'Смета Внутр'!C1119</f>
        <v>м.п.</v>
      </c>
      <c r="D1113" s="3009">
        <f>'Смета Внутр'!D1119</f>
        <v>0</v>
      </c>
      <c r="E1113" s="3007"/>
      <c r="F1113" s="3016"/>
    </row>
    <row r="1114" spans="2:6">
      <c r="B1114" s="3007" t="str">
        <f>'Смета Внутр'!B1120</f>
        <v>ГПН 252х35-1,5</v>
      </c>
      <c r="C1114" s="3008" t="str">
        <f>'Смета Внутр'!C1120</f>
        <v>м.п.</v>
      </c>
      <c r="D1114" s="3009">
        <f>'Смета Внутр'!D1120</f>
        <v>0</v>
      </c>
      <c r="E1114" s="3007"/>
      <c r="F1114" s="3016"/>
    </row>
    <row r="1115" spans="2:6">
      <c r="B1115" s="3007" t="str">
        <f>'Смета Внутр'!B1121</f>
        <v>ГПН 252х35-2,0</v>
      </c>
      <c r="C1115" s="3008" t="str">
        <f>'Смета Внутр'!C1121</f>
        <v>м.п.</v>
      </c>
      <c r="D1115" s="3009">
        <f>'Смета Внутр'!D1121</f>
        <v>0</v>
      </c>
      <c r="E1115" s="3007"/>
      <c r="F1115" s="3016"/>
    </row>
    <row r="1116" spans="2:6">
      <c r="B1116" s="3007" t="str">
        <f>'Смета Внутр'!B1122</f>
        <v>ГПН 282х35-1,2</v>
      </c>
      <c r="C1116" s="3008" t="str">
        <f>'Смета Внутр'!C1122</f>
        <v>м.п.</v>
      </c>
      <c r="D1116" s="3009">
        <f>'Смета Внутр'!D1122</f>
        <v>0</v>
      </c>
      <c r="E1116" s="3007"/>
      <c r="F1116" s="3016"/>
    </row>
    <row r="1117" spans="2:6">
      <c r="B1117" s="3007" t="str">
        <f>'Смета Внутр'!B1123</f>
        <v>Саморез 5,5 х 25</v>
      </c>
      <c r="C1117" s="3008">
        <f>'Смета Внутр'!C1123</f>
        <v>0</v>
      </c>
      <c r="D1117" s="3009">
        <f>'Смета Внутр'!D1123</f>
        <v>0</v>
      </c>
      <c r="E1117" s="3007"/>
      <c r="F1117" s="3016"/>
    </row>
    <row r="1118" spans="2:6">
      <c r="B1118" s="3007" t="str">
        <f>'Смета Внутр'!B1124</f>
        <v>ГПС 100х50-1,2</v>
      </c>
      <c r="C1118" s="3008" t="str">
        <f>'Смета Внутр'!C1124</f>
        <v>м.п.</v>
      </c>
      <c r="D1118" s="3009">
        <f>'Смета Внутр'!D1124</f>
        <v>0</v>
      </c>
      <c r="E1118" s="3007"/>
      <c r="F1118" s="3016"/>
    </row>
    <row r="1119" spans="2:6">
      <c r="B1119" s="3007" t="str">
        <f>'Смета Внутр'!B1125</f>
        <v>ГПС 100х50-1,5</v>
      </c>
      <c r="C1119" s="3008" t="str">
        <f>'Смета Внутр'!C1125</f>
        <v>м.п.</v>
      </c>
      <c r="D1119" s="3009">
        <f>'Смета Внутр'!D1125</f>
        <v>0</v>
      </c>
      <c r="E1119" s="3007"/>
      <c r="F1119" s="3016"/>
    </row>
    <row r="1120" spans="2:6">
      <c r="B1120" s="3007" t="str">
        <f>'Смета Внутр'!B1126</f>
        <v>ГПС 120х50-1,5</v>
      </c>
      <c r="C1120" s="3008" t="str">
        <f>'Смета Внутр'!C1126</f>
        <v>м.п.</v>
      </c>
      <c r="D1120" s="3009">
        <f>'Смета Внутр'!D1126</f>
        <v>0</v>
      </c>
      <c r="E1120" s="3007"/>
      <c r="F1120" s="3016"/>
    </row>
    <row r="1121" spans="2:6">
      <c r="B1121" s="3007" t="str">
        <f>'Смета Внутр'!B1127</f>
        <v>ГПС 120х50-2,0</v>
      </c>
      <c r="C1121" s="3008" t="str">
        <f>'Смета Внутр'!C1127</f>
        <v>м.п.</v>
      </c>
      <c r="D1121" s="3009">
        <f>'Смета Внутр'!D1127</f>
        <v>0</v>
      </c>
      <c r="E1121" s="3007"/>
      <c r="F1121" s="3016"/>
    </row>
    <row r="1122" spans="2:6">
      <c r="B1122" s="3007" t="str">
        <f>'Смета Внутр'!B1128</f>
        <v>ГПС 150х50-1,2</v>
      </c>
      <c r="C1122" s="3008" t="str">
        <f>'Смета Внутр'!C1128</f>
        <v>м.п.</v>
      </c>
      <c r="D1122" s="3009">
        <f>'Смета Внутр'!D1128</f>
        <v>0</v>
      </c>
      <c r="E1122" s="3007"/>
      <c r="F1122" s="3016"/>
    </row>
    <row r="1123" spans="2:6">
      <c r="B1123" s="3007" t="str">
        <f>'Смета Внутр'!B1129</f>
        <v>ГПС 150х50-1,5</v>
      </c>
      <c r="C1123" s="3008" t="str">
        <f>'Смета Внутр'!C1129</f>
        <v>м.п.</v>
      </c>
      <c r="D1123" s="3009">
        <f>'Смета Внутр'!D1129</f>
        <v>0</v>
      </c>
      <c r="E1123" s="3007"/>
      <c r="F1123" s="3016"/>
    </row>
    <row r="1124" spans="2:6">
      <c r="B1124" s="3007" t="str">
        <f>'Смета Внутр'!B1130</f>
        <v>ГПС 150х50-2,0</v>
      </c>
      <c r="C1124" s="3008" t="str">
        <f>'Смета Внутр'!C1130</f>
        <v>м.п.</v>
      </c>
      <c r="D1124" s="3009">
        <f>'Смета Внутр'!D1130</f>
        <v>0</v>
      </c>
      <c r="E1124" s="3007"/>
      <c r="F1124" s="3016"/>
    </row>
    <row r="1125" spans="2:6">
      <c r="B1125" s="3007" t="str">
        <f>'Смета Внутр'!B1131</f>
        <v>ГПС 170х50-1,2</v>
      </c>
      <c r="C1125" s="3008" t="str">
        <f>'Смета Внутр'!C1131</f>
        <v>м.п.</v>
      </c>
      <c r="D1125" s="3009">
        <f>'Смета Внутр'!D1131</f>
        <v>0</v>
      </c>
      <c r="E1125" s="3007"/>
      <c r="F1125" s="3016"/>
    </row>
    <row r="1126" spans="2:6">
      <c r="B1126" s="3007" t="str">
        <f>'Смета Внутр'!B1132</f>
        <v>ГПС 170х50-1,5</v>
      </c>
      <c r="C1126" s="3008" t="str">
        <f>'Смета Внутр'!C1132</f>
        <v>м.п.</v>
      </c>
      <c r="D1126" s="3009">
        <f>'Смета Внутр'!D1132</f>
        <v>0</v>
      </c>
      <c r="E1126" s="3007"/>
      <c r="F1126" s="3016"/>
    </row>
    <row r="1127" spans="2:6">
      <c r="B1127" s="3007" t="str">
        <f>'Смета Внутр'!B1133</f>
        <v>ГПС 170х50-2,0</v>
      </c>
      <c r="C1127" s="3008" t="str">
        <f>'Смета Внутр'!C1133</f>
        <v>м.п.</v>
      </c>
      <c r="D1127" s="3009">
        <f>'Смета Внутр'!D1133</f>
        <v>0</v>
      </c>
      <c r="E1127" s="3007"/>
      <c r="F1127" s="3016"/>
    </row>
    <row r="1128" spans="2:6">
      <c r="B1128" s="3007" t="str">
        <f>'Смета Внутр'!B1134</f>
        <v>ГПС 200х50-1,2</v>
      </c>
      <c r="C1128" s="3008" t="str">
        <f>'Смета Внутр'!C1134</f>
        <v>м.п.</v>
      </c>
      <c r="D1128" s="3009">
        <f>'Смета Внутр'!D1134</f>
        <v>0</v>
      </c>
      <c r="E1128" s="3007"/>
      <c r="F1128" s="3016"/>
    </row>
    <row r="1129" spans="2:6">
      <c r="B1129" s="3007" t="str">
        <f>'Смета Внутр'!B1135</f>
        <v>ГПС 200х50-1,5</v>
      </c>
      <c r="C1129" s="3008" t="str">
        <f>'Смета Внутр'!C1135</f>
        <v>м.п.</v>
      </c>
      <c r="D1129" s="3009">
        <f>'Смета Внутр'!D1135</f>
        <v>0</v>
      </c>
      <c r="E1129" s="3007"/>
      <c r="F1129" s="3016"/>
    </row>
    <row r="1130" spans="2:6">
      <c r="B1130" s="3007" t="str">
        <f>'Смета Внутр'!B1136</f>
        <v>ГПС 200х50-2,0</v>
      </c>
      <c r="C1130" s="3008" t="str">
        <f>'Смета Внутр'!C1136</f>
        <v>м.п.</v>
      </c>
      <c r="D1130" s="3009">
        <f>'Смета Внутр'!D1136</f>
        <v>0</v>
      </c>
      <c r="E1130" s="3007"/>
      <c r="F1130" s="3016"/>
    </row>
    <row r="1131" spans="2:6">
      <c r="B1131" s="3007" t="str">
        <f>'Смета Внутр'!B1137</f>
        <v>ГПС 250х50-1,2</v>
      </c>
      <c r="C1131" s="3008" t="str">
        <f>'Смета Внутр'!C1137</f>
        <v>м.п.</v>
      </c>
      <c r="D1131" s="3009">
        <f>'Смета Внутр'!D1137</f>
        <v>0</v>
      </c>
      <c r="E1131" s="3007"/>
      <c r="F1131" s="3016"/>
    </row>
    <row r="1132" spans="2:6">
      <c r="B1132" s="3007" t="str">
        <f>'Смета Внутр'!B1138</f>
        <v>ГПС 250х50-1,5</v>
      </c>
      <c r="C1132" s="3008" t="str">
        <f>'Смета Внутр'!C1138</f>
        <v>м.п.</v>
      </c>
      <c r="D1132" s="3009">
        <f>'Смета Внутр'!D1138</f>
        <v>0</v>
      </c>
      <c r="E1132" s="3007"/>
      <c r="F1132" s="3016"/>
    </row>
    <row r="1133" spans="2:6">
      <c r="B1133" s="3007" t="str">
        <f>'Смета Внутр'!B1139</f>
        <v>ГПС 250х50-2,0</v>
      </c>
      <c r="C1133" s="3008" t="str">
        <f>'Смета Внутр'!C1139</f>
        <v>м.п.</v>
      </c>
      <c r="D1133" s="3009">
        <f>'Смета Внутр'!D1139</f>
        <v>0</v>
      </c>
      <c r="E1133" s="3007"/>
      <c r="F1133" s="3016"/>
    </row>
    <row r="1134" spans="2:6">
      <c r="B1134" s="3007" t="str">
        <f>'Смета Внутр'!B1140</f>
        <v>ГПС 280х50-1,2</v>
      </c>
      <c r="C1134" s="3008" t="str">
        <f>'Смета Внутр'!C1140</f>
        <v>м.п.</v>
      </c>
      <c r="D1134" s="3009">
        <f>'Смета Внутр'!D1140</f>
        <v>0</v>
      </c>
      <c r="E1134" s="3007"/>
      <c r="F1134" s="3016"/>
    </row>
    <row r="1135" spans="2:6">
      <c r="B1135" s="3007" t="str">
        <f>'Смета Внутр'!B1141</f>
        <v>ГПС 280х50-1,5</v>
      </c>
      <c r="C1135" s="3008" t="str">
        <f>'Смета Внутр'!C1141</f>
        <v>м.п.</v>
      </c>
      <c r="D1135" s="3009">
        <f>'Смета Внутр'!D1141</f>
        <v>0</v>
      </c>
      <c r="E1135" s="3007"/>
      <c r="F1135" s="3016"/>
    </row>
    <row r="1136" spans="2:6">
      <c r="B1136" s="3007" t="str">
        <f>'Смета Внутр'!B1142</f>
        <v>ГПС 280х50-2,0</v>
      </c>
      <c r="C1136" s="3008" t="str">
        <f>'Смета Внутр'!C1142</f>
        <v>м.п.</v>
      </c>
      <c r="D1136" s="3009">
        <f>'Смета Внутр'!D1142</f>
        <v>0</v>
      </c>
      <c r="E1136" s="3007"/>
      <c r="F1136" s="3016"/>
    </row>
    <row r="1137" spans="2:6">
      <c r="B1137" s="3007" t="str">
        <f>'Смета Внутр'!B1143</f>
        <v>ГПН 102х35-1,2</v>
      </c>
      <c r="C1137" s="3008" t="str">
        <f>'Смета Внутр'!C1143</f>
        <v>м.п.</v>
      </c>
      <c r="D1137" s="3009">
        <f>'Смета Внутр'!D1143</f>
        <v>0</v>
      </c>
      <c r="E1137" s="3007"/>
      <c r="F1137" s="3016"/>
    </row>
    <row r="1138" spans="2:6">
      <c r="B1138" s="3007" t="str">
        <f>'Смета Внутр'!B1144</f>
        <v>ГПН 102х35-1,5</v>
      </c>
      <c r="C1138" s="3008" t="str">
        <f>'Смета Внутр'!C1144</f>
        <v>м.п.</v>
      </c>
      <c r="D1138" s="3009">
        <f>'Смета Внутр'!D1144</f>
        <v>0</v>
      </c>
      <c r="E1138" s="3007"/>
      <c r="F1138" s="3016"/>
    </row>
    <row r="1139" spans="2:6">
      <c r="B1139" s="3007" t="str">
        <f>'Смета Внутр'!B1145</f>
        <v>ГПН 102х35-2,0</v>
      </c>
      <c r="C1139" s="3008" t="str">
        <f>'Смета Внутр'!C1145</f>
        <v>м.п.</v>
      </c>
      <c r="D1139" s="3009">
        <f>'Смета Внутр'!D1145</f>
        <v>0</v>
      </c>
      <c r="E1139" s="3007"/>
      <c r="F1139" s="3016"/>
    </row>
    <row r="1140" spans="2:6">
      <c r="B1140" s="3007" t="str">
        <f>'Смета Внутр'!B1146</f>
        <v>ГПН 122х35-1,2</v>
      </c>
      <c r="C1140" s="3008" t="str">
        <f>'Смета Внутр'!C1146</f>
        <v>м.п.</v>
      </c>
      <c r="D1140" s="3009">
        <f>'Смета Внутр'!D1146</f>
        <v>0</v>
      </c>
      <c r="E1140" s="3007"/>
      <c r="F1140" s="3016"/>
    </row>
    <row r="1141" spans="2:6">
      <c r="B1141" s="3007" t="str">
        <f>'Смета Внутр'!B1147</f>
        <v>ГПН 122х35-1,5</v>
      </c>
      <c r="C1141" s="3008" t="str">
        <f>'Смета Внутр'!C1147</f>
        <v>м.п.</v>
      </c>
      <c r="D1141" s="3009">
        <f>'Смета Внутр'!D1147</f>
        <v>0</v>
      </c>
      <c r="E1141" s="3007"/>
      <c r="F1141" s="3016"/>
    </row>
    <row r="1142" spans="2:6">
      <c r="B1142" s="3007" t="str">
        <f>'Смета Внутр'!B1148</f>
        <v>ГПН 122х35-2,0</v>
      </c>
      <c r="C1142" s="3008" t="str">
        <f>'Смета Внутр'!C1148</f>
        <v>м.п.</v>
      </c>
      <c r="D1142" s="3009">
        <f>'Смета Внутр'!D1148</f>
        <v>0</v>
      </c>
      <c r="E1142" s="3007"/>
      <c r="F1142" s="3016"/>
    </row>
    <row r="1143" spans="2:6">
      <c r="B1143" s="3007" t="str">
        <f>'Смета Внутр'!B1149</f>
        <v>ГПН 152х35-1,2</v>
      </c>
      <c r="C1143" s="3008" t="str">
        <f>'Смета Внутр'!C1149</f>
        <v>м.п.</v>
      </c>
      <c r="D1143" s="3009">
        <f>'Смета Внутр'!D1149</f>
        <v>0</v>
      </c>
      <c r="E1143" s="3007"/>
      <c r="F1143" s="3016"/>
    </row>
    <row r="1144" spans="2:6">
      <c r="B1144" s="3007" t="str">
        <f>'Смета Внутр'!B1150</f>
        <v>ГПН 152х35-1,5</v>
      </c>
      <c r="C1144" s="3008" t="str">
        <f>'Смета Внутр'!C1150</f>
        <v>м.п.</v>
      </c>
      <c r="D1144" s="3009">
        <f>'Смета Внутр'!D1150</f>
        <v>0</v>
      </c>
      <c r="E1144" s="3007"/>
      <c r="F1144" s="3016"/>
    </row>
    <row r="1145" spans="2:6">
      <c r="B1145" s="3007" t="str">
        <f>'Смета Внутр'!B1151</f>
        <v>ГПН 152х35-2,0</v>
      </c>
      <c r="C1145" s="3008" t="str">
        <f>'Смета Внутр'!C1151</f>
        <v>м.п.</v>
      </c>
      <c r="D1145" s="3009">
        <f>'Смета Внутр'!D1151</f>
        <v>0</v>
      </c>
      <c r="E1145" s="3007"/>
      <c r="F1145" s="3016"/>
    </row>
    <row r="1146" spans="2:6">
      <c r="B1146" s="3007" t="str">
        <f>'Смета Внутр'!B1152</f>
        <v>ГПН 172х35-1,2</v>
      </c>
      <c r="C1146" s="3008" t="str">
        <f>'Смета Внутр'!C1152</f>
        <v>м.п.</v>
      </c>
      <c r="D1146" s="3009">
        <f>'Смета Внутр'!D1152</f>
        <v>0</v>
      </c>
      <c r="E1146" s="3007"/>
      <c r="F1146" s="3016"/>
    </row>
    <row r="1147" spans="2:6">
      <c r="B1147" s="3007" t="str">
        <f>'Смета Внутр'!B1153</f>
        <v>ГПН 172х35-1,5</v>
      </c>
      <c r="C1147" s="3008" t="str">
        <f>'Смета Внутр'!C1153</f>
        <v>м.п.</v>
      </c>
      <c r="D1147" s="3009">
        <f>'Смета Внутр'!D1153</f>
        <v>0</v>
      </c>
      <c r="E1147" s="3007"/>
      <c r="F1147" s="3016"/>
    </row>
    <row r="1148" spans="2:6">
      <c r="B1148" s="3007" t="str">
        <f>'Смета Внутр'!B1154</f>
        <v>ГПН 172х35-2,0</v>
      </c>
      <c r="C1148" s="3008" t="str">
        <f>'Смета Внутр'!C1154</f>
        <v>м.п.</v>
      </c>
      <c r="D1148" s="3009">
        <f>'Смета Внутр'!D1154</f>
        <v>0</v>
      </c>
      <c r="E1148" s="3007"/>
      <c r="F1148" s="3016"/>
    </row>
    <row r="1149" spans="2:6">
      <c r="B1149" s="3007" t="str">
        <f>'Смета Внутр'!B1155</f>
        <v>ГПН 202х35-1,2</v>
      </c>
      <c r="C1149" s="3008" t="str">
        <f>'Смета Внутр'!C1155</f>
        <v>м.п.</v>
      </c>
      <c r="D1149" s="3009">
        <f>'Смета Внутр'!D1155</f>
        <v>0</v>
      </c>
      <c r="E1149" s="3007"/>
      <c r="F1149" s="3016"/>
    </row>
    <row r="1150" spans="2:6">
      <c r="B1150" s="3007" t="str">
        <f>'Смета Внутр'!B1156</f>
        <v>ГПН 202х35-1,5</v>
      </c>
      <c r="C1150" s="3008" t="str">
        <f>'Смета Внутр'!C1156</f>
        <v>м.п.</v>
      </c>
      <c r="D1150" s="3009">
        <f>'Смета Внутр'!D1156</f>
        <v>0</v>
      </c>
      <c r="E1150" s="3007"/>
      <c r="F1150" s="3016"/>
    </row>
    <row r="1151" spans="2:6">
      <c r="B1151" s="3007" t="str">
        <f>'Смета Внутр'!B1157</f>
        <v>ГПН 202х35-2,0</v>
      </c>
      <c r="C1151" s="3008" t="str">
        <f>'Смета Внутр'!C1157</f>
        <v>м.п.</v>
      </c>
      <c r="D1151" s="3009">
        <f>'Смета Внутр'!D1157</f>
        <v>0</v>
      </c>
      <c r="E1151" s="3007"/>
      <c r="F1151" s="3016"/>
    </row>
    <row r="1152" spans="2:6">
      <c r="B1152" s="3007" t="str">
        <f>'Смета Внутр'!B1158</f>
        <v>ГПН 252х35-1,2</v>
      </c>
      <c r="C1152" s="3008" t="str">
        <f>'Смета Внутр'!C1158</f>
        <v>м.п.</v>
      </c>
      <c r="D1152" s="3009">
        <f>'Смета Внутр'!D1158</f>
        <v>0</v>
      </c>
      <c r="E1152" s="3007"/>
      <c r="F1152" s="3016"/>
    </row>
    <row r="1153" spans="2:6">
      <c r="B1153" s="3007" t="str">
        <f>'Смета Внутр'!B1159</f>
        <v>ГПН 252х35-1,5</v>
      </c>
      <c r="C1153" s="3008" t="str">
        <f>'Смета Внутр'!C1159</f>
        <v>м.п.</v>
      </c>
      <c r="D1153" s="3009">
        <f>'Смета Внутр'!D1159</f>
        <v>0</v>
      </c>
      <c r="E1153" s="3007"/>
      <c r="F1153" s="3016"/>
    </row>
    <row r="1154" spans="2:6">
      <c r="B1154" s="3007" t="str">
        <f>'Смета Внутр'!B1160</f>
        <v>ГПН 252х35-2,0</v>
      </c>
      <c r="C1154" s="3008" t="str">
        <f>'Смета Внутр'!C1160</f>
        <v>м.п.</v>
      </c>
      <c r="D1154" s="3009">
        <f>'Смета Внутр'!D1160</f>
        <v>0</v>
      </c>
      <c r="E1154" s="3007"/>
      <c r="F1154" s="3016"/>
    </row>
    <row r="1155" spans="2:6">
      <c r="B1155" s="3007" t="str">
        <f>'Смета Внутр'!B1161</f>
        <v>ГПН 282х35-1,2</v>
      </c>
      <c r="C1155" s="3008" t="str">
        <f>'Смета Внутр'!C1161</f>
        <v>м.п.</v>
      </c>
      <c r="D1155" s="3009">
        <f>'Смета Внутр'!D1161</f>
        <v>0</v>
      </c>
      <c r="E1155" s="3007"/>
      <c r="F1155" s="3016"/>
    </row>
    <row r="1156" spans="2:6">
      <c r="B1156" s="3007" t="str">
        <f>'Смета Внутр'!B1162</f>
        <v>Саморез 5,5 х 25</v>
      </c>
      <c r="C1156" s="3008">
        <f>'Смета Внутр'!C1162</f>
        <v>0</v>
      </c>
      <c r="D1156" s="3009">
        <f>'Смета Внутр'!D1162</f>
        <v>0</v>
      </c>
      <c r="E1156" s="3007"/>
      <c r="F1156" s="3016"/>
    </row>
    <row r="1157" spans="2:6">
      <c r="B1157" s="3007" t="str">
        <f>'Смета Внутр'!B1163</f>
        <v>ГПС 100х50-1,2</v>
      </c>
      <c r="C1157" s="3008" t="str">
        <f>'Смета Внутр'!C1163</f>
        <v>м.п.</v>
      </c>
      <c r="D1157" s="3009">
        <f>'Смета Внутр'!D1163</f>
        <v>0</v>
      </c>
      <c r="E1157" s="3007"/>
      <c r="F1157" s="3016"/>
    </row>
    <row r="1158" spans="2:6">
      <c r="B1158" s="3007" t="str">
        <f>'Смета Внутр'!B1164</f>
        <v>ГПС 100х50-1,5</v>
      </c>
      <c r="C1158" s="3008" t="str">
        <f>'Смета Внутр'!C1164</f>
        <v>м.п.</v>
      </c>
      <c r="D1158" s="3009">
        <f>'Смета Внутр'!D1164</f>
        <v>0</v>
      </c>
      <c r="E1158" s="3007"/>
      <c r="F1158" s="3016"/>
    </row>
    <row r="1159" spans="2:6">
      <c r="B1159" s="3007" t="str">
        <f>'Смета Внутр'!B1165</f>
        <v>ГПС 120х50-1,5</v>
      </c>
      <c r="C1159" s="3008" t="str">
        <f>'Смета Внутр'!C1165</f>
        <v>м.п.</v>
      </c>
      <c r="D1159" s="3009">
        <f>'Смета Внутр'!D1165</f>
        <v>0</v>
      </c>
      <c r="E1159" s="3007"/>
      <c r="F1159" s="3016"/>
    </row>
    <row r="1160" spans="2:6">
      <c r="B1160" s="3007" t="str">
        <f>'Смета Внутр'!B1166</f>
        <v>ГПС 120х50-2,0</v>
      </c>
      <c r="C1160" s="3008" t="str">
        <f>'Смета Внутр'!C1166</f>
        <v>м.п.</v>
      </c>
      <c r="D1160" s="3009">
        <f>'Смета Внутр'!D1166</f>
        <v>0</v>
      </c>
      <c r="E1160" s="3007"/>
      <c r="F1160" s="3016"/>
    </row>
    <row r="1161" spans="2:6">
      <c r="B1161" s="3007" t="str">
        <f>'Смета Внутр'!B1167</f>
        <v>ГПС 150х50-1,2</v>
      </c>
      <c r="C1161" s="3008" t="str">
        <f>'Смета Внутр'!C1167</f>
        <v>м.п.</v>
      </c>
      <c r="D1161" s="3009">
        <f>'Смета Внутр'!D1167</f>
        <v>0</v>
      </c>
      <c r="E1161" s="3007"/>
      <c r="F1161" s="3016"/>
    </row>
    <row r="1162" spans="2:6">
      <c r="B1162" s="3007" t="str">
        <f>'Смета Внутр'!B1168</f>
        <v>ГПС 150х50-1,5</v>
      </c>
      <c r="C1162" s="3008" t="str">
        <f>'Смета Внутр'!C1168</f>
        <v>м.п.</v>
      </c>
      <c r="D1162" s="3009">
        <f>'Смета Внутр'!D1168</f>
        <v>0</v>
      </c>
      <c r="E1162" s="3007"/>
      <c r="F1162" s="3016"/>
    </row>
    <row r="1163" spans="2:6">
      <c r="B1163" s="3007" t="str">
        <f>'Смета Внутр'!B1169</f>
        <v>ГПС 150х50-2,0</v>
      </c>
      <c r="C1163" s="3008" t="str">
        <f>'Смета Внутр'!C1169</f>
        <v>м.п.</v>
      </c>
      <c r="D1163" s="3009">
        <f>'Смета Внутр'!D1169</f>
        <v>0</v>
      </c>
      <c r="E1163" s="3007"/>
      <c r="F1163" s="3016"/>
    </row>
    <row r="1164" spans="2:6">
      <c r="B1164" s="3007" t="str">
        <f>'Смета Внутр'!B1170</f>
        <v>ГПС 170х50-1,2</v>
      </c>
      <c r="C1164" s="3008" t="str">
        <f>'Смета Внутр'!C1170</f>
        <v>м.п.</v>
      </c>
      <c r="D1164" s="3009">
        <f>'Смета Внутр'!D1170</f>
        <v>0</v>
      </c>
      <c r="E1164" s="3007"/>
      <c r="F1164" s="3016"/>
    </row>
    <row r="1165" spans="2:6">
      <c r="B1165" s="3007" t="str">
        <f>'Смета Внутр'!B1171</f>
        <v>ГПС 170х50-1,5</v>
      </c>
      <c r="C1165" s="3008" t="str">
        <f>'Смета Внутр'!C1171</f>
        <v>м.п.</v>
      </c>
      <c r="D1165" s="3009">
        <f>'Смета Внутр'!D1171</f>
        <v>0</v>
      </c>
      <c r="E1165" s="3007"/>
      <c r="F1165" s="3016"/>
    </row>
    <row r="1166" spans="2:6">
      <c r="B1166" s="3007" t="str">
        <f>'Смета Внутр'!B1172</f>
        <v>ГПС 170х50-2,0</v>
      </c>
      <c r="C1166" s="3008" t="str">
        <f>'Смета Внутр'!C1172</f>
        <v>м.п.</v>
      </c>
      <c r="D1166" s="3009">
        <f>'Смета Внутр'!D1172</f>
        <v>0</v>
      </c>
      <c r="E1166" s="3007"/>
      <c r="F1166" s="3016"/>
    </row>
    <row r="1167" spans="2:6">
      <c r="B1167" s="3007" t="str">
        <f>'Смета Внутр'!B1173</f>
        <v>ГПС 200х50-1,2</v>
      </c>
      <c r="C1167" s="3008" t="str">
        <f>'Смета Внутр'!C1173</f>
        <v>м.п.</v>
      </c>
      <c r="D1167" s="3009">
        <f>'Смета Внутр'!D1173</f>
        <v>0</v>
      </c>
      <c r="E1167" s="3007"/>
      <c r="F1167" s="3016"/>
    </row>
    <row r="1168" spans="2:6">
      <c r="B1168" s="3007" t="str">
        <f>'Смета Внутр'!B1174</f>
        <v>ГПС 200х50-1,5</v>
      </c>
      <c r="C1168" s="3008" t="str">
        <f>'Смета Внутр'!C1174</f>
        <v>м.п.</v>
      </c>
      <c r="D1168" s="3009">
        <f>'Смета Внутр'!D1174</f>
        <v>0</v>
      </c>
      <c r="E1168" s="3007"/>
      <c r="F1168" s="3016"/>
    </row>
    <row r="1169" spans="2:6">
      <c r="B1169" s="3007" t="str">
        <f>'Смета Внутр'!B1175</f>
        <v>ГПС 200х50-2,0</v>
      </c>
      <c r="C1169" s="3008" t="str">
        <f>'Смета Внутр'!C1175</f>
        <v>м.п.</v>
      </c>
      <c r="D1169" s="3009">
        <f>'Смета Внутр'!D1175</f>
        <v>0</v>
      </c>
      <c r="E1169" s="3007"/>
      <c r="F1169" s="3016"/>
    </row>
    <row r="1170" spans="2:6">
      <c r="B1170" s="3007" t="str">
        <f>'Смета Внутр'!B1176</f>
        <v>ГПС 250х50-1,2</v>
      </c>
      <c r="C1170" s="3008" t="str">
        <f>'Смета Внутр'!C1176</f>
        <v>м.п.</v>
      </c>
      <c r="D1170" s="3009">
        <f>'Смета Внутр'!D1176</f>
        <v>0</v>
      </c>
      <c r="E1170" s="3007"/>
      <c r="F1170" s="3016"/>
    </row>
    <row r="1171" spans="2:6">
      <c r="B1171" s="3007" t="str">
        <f>'Смета Внутр'!B1177</f>
        <v>ГПС 250х50-1,5</v>
      </c>
      <c r="C1171" s="3008" t="str">
        <f>'Смета Внутр'!C1177</f>
        <v>м.п.</v>
      </c>
      <c r="D1171" s="3009">
        <f>'Смета Внутр'!D1177</f>
        <v>0</v>
      </c>
      <c r="E1171" s="3007"/>
      <c r="F1171" s="3016"/>
    </row>
    <row r="1172" spans="2:6">
      <c r="B1172" s="3007" t="str">
        <f>'Смета Внутр'!B1178</f>
        <v>ГПС 250х50-2,0</v>
      </c>
      <c r="C1172" s="3008" t="str">
        <f>'Смета Внутр'!C1178</f>
        <v>м.п.</v>
      </c>
      <c r="D1172" s="3009">
        <f>'Смета Внутр'!D1178</f>
        <v>0</v>
      </c>
      <c r="E1172" s="3007"/>
      <c r="F1172" s="3016"/>
    </row>
    <row r="1173" spans="2:6">
      <c r="B1173" s="3007" t="str">
        <f>'Смета Внутр'!B1179</f>
        <v>ГПС 280х50-1,2</v>
      </c>
      <c r="C1173" s="3008" t="str">
        <f>'Смета Внутр'!C1179</f>
        <v>м.п.</v>
      </c>
      <c r="D1173" s="3009">
        <f>'Смета Внутр'!D1179</f>
        <v>0</v>
      </c>
      <c r="E1173" s="3007"/>
      <c r="F1173" s="3016"/>
    </row>
    <row r="1174" spans="2:6">
      <c r="B1174" s="3007" t="str">
        <f>'Смета Внутр'!B1180</f>
        <v>ГПС 280х50-1,5</v>
      </c>
      <c r="C1174" s="3008" t="str">
        <f>'Смета Внутр'!C1180</f>
        <v>м.п.</v>
      </c>
      <c r="D1174" s="3009">
        <f>'Смета Внутр'!D1180</f>
        <v>0</v>
      </c>
      <c r="E1174" s="3007"/>
      <c r="F1174" s="3016"/>
    </row>
    <row r="1175" spans="2:6">
      <c r="B1175" s="3007" t="str">
        <f>'Смета Внутр'!B1181</f>
        <v>ГПС 280х50-2,0</v>
      </c>
      <c r="C1175" s="3008" t="str">
        <f>'Смета Внутр'!C1181</f>
        <v>м.п.</v>
      </c>
      <c r="D1175" s="3009">
        <f>'Смета Внутр'!D1181</f>
        <v>0</v>
      </c>
      <c r="E1175" s="3007"/>
      <c r="F1175" s="3016"/>
    </row>
    <row r="1176" spans="2:6">
      <c r="B1176" s="3007" t="str">
        <f>'Смета Внутр'!B1182</f>
        <v>ГПН 102х35-1,2</v>
      </c>
      <c r="C1176" s="3008" t="str">
        <f>'Смета Внутр'!C1182</f>
        <v>м.п.</v>
      </c>
      <c r="D1176" s="3009">
        <f>'Смета Внутр'!D1182</f>
        <v>0</v>
      </c>
      <c r="E1176" s="3007"/>
      <c r="F1176" s="3016"/>
    </row>
    <row r="1177" spans="2:6">
      <c r="B1177" s="3007" t="str">
        <f>'Смета Внутр'!B1183</f>
        <v>ГПН 102х35-1,5</v>
      </c>
      <c r="C1177" s="3008" t="str">
        <f>'Смета Внутр'!C1183</f>
        <v>м.п.</v>
      </c>
      <c r="D1177" s="3009">
        <f>'Смета Внутр'!D1183</f>
        <v>0</v>
      </c>
      <c r="E1177" s="3007"/>
      <c r="F1177" s="3016"/>
    </row>
    <row r="1178" spans="2:6">
      <c r="B1178" s="3007" t="str">
        <f>'Смета Внутр'!B1184</f>
        <v>ГПН 102х35-2,0</v>
      </c>
      <c r="C1178" s="3008" t="str">
        <f>'Смета Внутр'!C1184</f>
        <v>м.п.</v>
      </c>
      <c r="D1178" s="3009">
        <f>'Смета Внутр'!D1184</f>
        <v>0</v>
      </c>
      <c r="E1178" s="3007"/>
      <c r="F1178" s="3016"/>
    </row>
    <row r="1179" spans="2:6">
      <c r="B1179" s="3007" t="str">
        <f>'Смета Внутр'!B1185</f>
        <v>ГПН 122х35-1,2</v>
      </c>
      <c r="C1179" s="3008" t="str">
        <f>'Смета Внутр'!C1185</f>
        <v>м.п.</v>
      </c>
      <c r="D1179" s="3009">
        <f>'Смета Внутр'!D1185</f>
        <v>0</v>
      </c>
      <c r="E1179" s="3007"/>
      <c r="F1179" s="3016"/>
    </row>
    <row r="1180" spans="2:6">
      <c r="B1180" s="3007" t="str">
        <f>'Смета Внутр'!B1186</f>
        <v>ГПН 122х35-1,5</v>
      </c>
      <c r="C1180" s="3008" t="str">
        <f>'Смета Внутр'!C1186</f>
        <v>м.п.</v>
      </c>
      <c r="D1180" s="3009">
        <f>'Смета Внутр'!D1186</f>
        <v>0</v>
      </c>
      <c r="E1180" s="3007"/>
      <c r="F1180" s="3016"/>
    </row>
    <row r="1181" spans="2:6">
      <c r="B1181" s="3007" t="str">
        <f>'Смета Внутр'!B1187</f>
        <v>ГПН 122х35-2,0</v>
      </c>
      <c r="C1181" s="3008" t="str">
        <f>'Смета Внутр'!C1187</f>
        <v>м.п.</v>
      </c>
      <c r="D1181" s="3009">
        <f>'Смета Внутр'!D1187</f>
        <v>0</v>
      </c>
      <c r="E1181" s="3007"/>
      <c r="F1181" s="3016"/>
    </row>
    <row r="1182" spans="2:6">
      <c r="B1182" s="3007" t="str">
        <f>'Смета Внутр'!B1188</f>
        <v>ГПН 152х35-1,2</v>
      </c>
      <c r="C1182" s="3008" t="str">
        <f>'Смета Внутр'!C1188</f>
        <v>м.п.</v>
      </c>
      <c r="D1182" s="3009">
        <f>'Смета Внутр'!D1188</f>
        <v>0</v>
      </c>
      <c r="E1182" s="3007"/>
      <c r="F1182" s="3016"/>
    </row>
    <row r="1183" spans="2:6">
      <c r="B1183" s="3007" t="str">
        <f>'Смета Внутр'!B1189</f>
        <v>ГПН 152х35-1,5</v>
      </c>
      <c r="C1183" s="3008" t="str">
        <f>'Смета Внутр'!C1189</f>
        <v>м.п.</v>
      </c>
      <c r="D1183" s="3009">
        <f>'Смета Внутр'!D1189</f>
        <v>0</v>
      </c>
      <c r="E1183" s="3007"/>
      <c r="F1183" s="3016"/>
    </row>
    <row r="1184" spans="2:6">
      <c r="B1184" s="3007" t="str">
        <f>'Смета Внутр'!B1190</f>
        <v>ГПН 152х35-2,0</v>
      </c>
      <c r="C1184" s="3008" t="str">
        <f>'Смета Внутр'!C1190</f>
        <v>м.п.</v>
      </c>
      <c r="D1184" s="3009">
        <f>'Смета Внутр'!D1190</f>
        <v>0</v>
      </c>
      <c r="E1184" s="3007"/>
      <c r="F1184" s="3016"/>
    </row>
    <row r="1185" spans="2:6">
      <c r="B1185" s="3007" t="str">
        <f>'Смета Внутр'!B1191</f>
        <v>ГПН 172х35-1,2</v>
      </c>
      <c r="C1185" s="3008" t="str">
        <f>'Смета Внутр'!C1191</f>
        <v>м.п.</v>
      </c>
      <c r="D1185" s="3009">
        <f>'Смета Внутр'!D1191</f>
        <v>0</v>
      </c>
      <c r="E1185" s="3007"/>
      <c r="F1185" s="3016"/>
    </row>
    <row r="1186" spans="2:6">
      <c r="B1186" s="3007" t="str">
        <f>'Смета Внутр'!B1192</f>
        <v>ГПН 172х35-1,5</v>
      </c>
      <c r="C1186" s="3008" t="str">
        <f>'Смета Внутр'!C1192</f>
        <v>м.п.</v>
      </c>
      <c r="D1186" s="3009">
        <f>'Смета Внутр'!D1192</f>
        <v>0</v>
      </c>
      <c r="E1186" s="3007"/>
      <c r="F1186" s="3016"/>
    </row>
    <row r="1187" spans="2:6">
      <c r="B1187" s="3007" t="str">
        <f>'Смета Внутр'!B1193</f>
        <v>ГПН 172х35-2,0</v>
      </c>
      <c r="C1187" s="3008" t="str">
        <f>'Смета Внутр'!C1193</f>
        <v>м.п.</v>
      </c>
      <c r="D1187" s="3009">
        <f>'Смета Внутр'!D1193</f>
        <v>0</v>
      </c>
      <c r="E1187" s="3007"/>
      <c r="F1187" s="3016"/>
    </row>
    <row r="1188" spans="2:6">
      <c r="B1188" s="3007" t="str">
        <f>'Смета Внутр'!B1194</f>
        <v>ГПН 202х35-1,2</v>
      </c>
      <c r="C1188" s="3008" t="str">
        <f>'Смета Внутр'!C1194</f>
        <v>м.п.</v>
      </c>
      <c r="D1188" s="3009">
        <f>'Смета Внутр'!D1194</f>
        <v>0</v>
      </c>
      <c r="E1188" s="3007"/>
      <c r="F1188" s="3016"/>
    </row>
    <row r="1189" spans="2:6">
      <c r="B1189" s="3007" t="str">
        <f>'Смета Внутр'!B1195</f>
        <v>ГПН 202х35-1,5</v>
      </c>
      <c r="C1189" s="3008" t="str">
        <f>'Смета Внутр'!C1195</f>
        <v>м.п.</v>
      </c>
      <c r="D1189" s="3009">
        <f>'Смета Внутр'!D1195</f>
        <v>0</v>
      </c>
      <c r="E1189" s="3007"/>
      <c r="F1189" s="3016"/>
    </row>
    <row r="1190" spans="2:6">
      <c r="B1190" s="3007" t="str">
        <f>'Смета Внутр'!B1196</f>
        <v>ГПН 202х35-2,0</v>
      </c>
      <c r="C1190" s="3008" t="str">
        <f>'Смета Внутр'!C1196</f>
        <v>м.п.</v>
      </c>
      <c r="D1190" s="3009">
        <f>'Смета Внутр'!D1196</f>
        <v>0</v>
      </c>
      <c r="E1190" s="3007"/>
      <c r="F1190" s="3016"/>
    </row>
    <row r="1191" spans="2:6">
      <c r="B1191" s="3007" t="str">
        <f>'Смета Внутр'!B1197</f>
        <v>ГПН 252х35-1,2</v>
      </c>
      <c r="C1191" s="3008" t="str">
        <f>'Смета Внутр'!C1197</f>
        <v>м.п.</v>
      </c>
      <c r="D1191" s="3009">
        <f>'Смета Внутр'!D1197</f>
        <v>0</v>
      </c>
      <c r="E1191" s="3007"/>
      <c r="F1191" s="3016"/>
    </row>
    <row r="1192" spans="2:6">
      <c r="B1192" s="3007" t="str">
        <f>'Смета Внутр'!B1198</f>
        <v>ГПН 252х35-1,5</v>
      </c>
      <c r="C1192" s="3008" t="str">
        <f>'Смета Внутр'!C1198</f>
        <v>м.п.</v>
      </c>
      <c r="D1192" s="3009">
        <f>'Смета Внутр'!D1198</f>
        <v>0</v>
      </c>
      <c r="E1192" s="3007"/>
      <c r="F1192" s="3016"/>
    </row>
    <row r="1193" spans="2:6">
      <c r="B1193" s="3007" t="str">
        <f>'Смета Внутр'!B1199</f>
        <v>ГПН 252х35-2,0</v>
      </c>
      <c r="C1193" s="3008" t="str">
        <f>'Смета Внутр'!C1199</f>
        <v>м.п.</v>
      </c>
      <c r="D1193" s="3009">
        <f>'Смета Внутр'!D1199</f>
        <v>0</v>
      </c>
      <c r="E1193" s="3007"/>
      <c r="F1193" s="3016"/>
    </row>
    <row r="1194" spans="2:6">
      <c r="B1194" s="3007" t="str">
        <f>'Смета Внутр'!B1200</f>
        <v>ГПН 282х35-1,2</v>
      </c>
      <c r="C1194" s="3008" t="str">
        <f>'Смета Внутр'!C1200</f>
        <v>м.п.</v>
      </c>
      <c r="D1194" s="3009">
        <f>'Смета Внутр'!D1200</f>
        <v>0</v>
      </c>
      <c r="E1194" s="3007"/>
      <c r="F1194" s="3016"/>
    </row>
    <row r="1195" spans="2:6">
      <c r="B1195" s="3007" t="str">
        <f>'Смета Внутр'!B1201</f>
        <v>Саморез 5,5 х 25</v>
      </c>
      <c r="C1195" s="3008">
        <f>'Смета Внутр'!C1201</f>
        <v>0</v>
      </c>
      <c r="D1195" s="3009">
        <f>'Смета Внутр'!D1201</f>
        <v>0</v>
      </c>
      <c r="E1195" s="3007"/>
      <c r="F1195" s="3016"/>
    </row>
    <row r="1196" spans="2:6">
      <c r="B1196" s="3311" t="str">
        <f>'Смета Внутр'!B1202</f>
        <v>Итого материалы</v>
      </c>
      <c r="C1196" s="3311"/>
      <c r="D1196" s="3311"/>
      <c r="E1196" s="3311"/>
      <c r="F1196" s="3010">
        <f>'Смета Внутр'!G1202</f>
        <v>0</v>
      </c>
    </row>
    <row r="1197" spans="2:6">
      <c r="B1197" s="3312" t="str">
        <f>'Смета Внутр'!B1203</f>
        <v>Работы</v>
      </c>
      <c r="C1197" s="3312"/>
      <c r="D1197" s="3312"/>
      <c r="E1197" s="3312"/>
      <c r="F1197" s="3011">
        <f>'Смета Внутр'!H1203</f>
        <v>0</v>
      </c>
    </row>
    <row r="1198" spans="2:6">
      <c r="B1198" s="3007" t="str">
        <f>'Смета Внутр'!B1204</f>
        <v>Монтаж плит ЖБИ</v>
      </c>
      <c r="C1198" s="3008" t="str">
        <f>'Смета Внутр'!C1204</f>
        <v>м2</v>
      </c>
      <c r="D1198" s="3009">
        <f>'Смета Внутр'!D1204</f>
        <v>0</v>
      </c>
      <c r="E1198" s="3007"/>
      <c r="F1198" s="3012">
        <f>'Смета Внутр'!H1204</f>
        <v>0</v>
      </c>
    </row>
    <row r="1199" spans="2:6">
      <c r="B1199" s="3007" t="str">
        <f>'Смета Внутр'!B1205</f>
        <v>Монтаж опалубки</v>
      </c>
      <c r="C1199" s="3008" t="str">
        <f>'Смета Внутр'!C1205</f>
        <v>м2</v>
      </c>
      <c r="D1199" s="3009">
        <f>'Смета Внутр'!D1205</f>
        <v>0</v>
      </c>
      <c r="E1199" s="3007"/>
      <c r="F1199" s="3012">
        <f>'Смета Внутр'!H1205</f>
        <v>0</v>
      </c>
    </row>
    <row r="1200" spans="2:6">
      <c r="B1200" s="3007" t="str">
        <f>'Смета Внутр'!B1206</f>
        <v>Укладка пленки гидроизоляционной</v>
      </c>
      <c r="C1200" s="3008" t="str">
        <f>'Смета Внутр'!C1206</f>
        <v>м2</v>
      </c>
      <c r="D1200" s="3009">
        <f>'Смета Внутр'!D1206</f>
        <v>0</v>
      </c>
      <c r="E1200" s="3007"/>
      <c r="F1200" s="3012">
        <f>'Смета Внутр'!H1206</f>
        <v>0</v>
      </c>
    </row>
    <row r="1201" spans="2:6">
      <c r="B1201" s="3007" t="str">
        <f>'Смета Внутр'!B1207</f>
        <v>Армирование перекрытия/плиты</v>
      </c>
      <c r="C1201" s="3008" t="str">
        <f>'Смета Внутр'!C1207</f>
        <v>м2</v>
      </c>
      <c r="D1201" s="3009">
        <f>'Смета Внутр'!D1207</f>
        <v>0</v>
      </c>
      <c r="E1201" s="3007"/>
      <c r="F1201" s="3012">
        <f>'Смета Внутр'!H1207</f>
        <v>0</v>
      </c>
    </row>
    <row r="1202" spans="2:6">
      <c r="B1202" s="3007" t="str">
        <f>'Смета Внутр'!B1208</f>
        <v>Заливка бетоном перекрытия/плиты</v>
      </c>
      <c r="C1202" s="3008" t="str">
        <f>'Смета Внутр'!C1208</f>
        <v>м2</v>
      </c>
      <c r="D1202" s="3009">
        <f>'Смета Внутр'!D1208</f>
        <v>0</v>
      </c>
      <c r="E1202" s="3007"/>
      <c r="F1202" s="3012">
        <f>'Смета Внутр'!H1208</f>
        <v>0</v>
      </c>
    </row>
    <row r="1203" spans="2:6">
      <c r="B1203" s="3007" t="str">
        <f>'Смета Внутр'!B1209</f>
        <v>Монтаж перекрытий из бруса</v>
      </c>
      <c r="C1203" s="3008" t="str">
        <f>'Смета Внутр'!C1209</f>
        <v>м2</v>
      </c>
      <c r="D1203" s="3009">
        <f>'Смета Внутр'!D1209</f>
        <v>0</v>
      </c>
      <c r="E1203" s="3007"/>
      <c r="F1203" s="3016">
        <f>'Смета Внутр'!H1209</f>
        <v>0</v>
      </c>
    </row>
    <row r="1204" spans="2:6">
      <c r="B1204" s="3007" t="str">
        <f>'Смета Внутр'!B1210</f>
        <v>Монтаж перекрытий Сип-панели</v>
      </c>
      <c r="C1204" s="3008" t="str">
        <f>'Смета Внутр'!C1210</f>
        <v>м2</v>
      </c>
      <c r="D1204" s="3009">
        <f>'Смета Внутр'!D1210</f>
        <v>0</v>
      </c>
      <c r="E1204" s="3007"/>
      <c r="F1204" s="3012">
        <f>'Смета Внутр'!H1210</f>
        <v>0</v>
      </c>
    </row>
    <row r="1205" spans="2:6">
      <c r="B1205" s="3007" t="str">
        <f>'Смета Внутр'!B1211</f>
        <v>Монтаж перекрытий из сухой доски</v>
      </c>
      <c r="C1205" s="3008" t="str">
        <f>'Смета Внутр'!C1211</f>
        <v>м2</v>
      </c>
      <c r="D1205" s="3009">
        <f>'Смета Внутр'!D1211</f>
        <v>0</v>
      </c>
      <c r="E1205" s="3007"/>
      <c r="F1205" s="3012">
        <f>'Смета Внутр'!H1211</f>
        <v>0</v>
      </c>
    </row>
    <row r="1206" spans="2:6">
      <c r="B1206" s="3007" t="str">
        <f>'Смета Внутр'!B1212</f>
        <v>Монтаж перекрытий из двутавровой балки</v>
      </c>
      <c r="C1206" s="3008" t="str">
        <f>'Смета Внутр'!C1212</f>
        <v>м2</v>
      </c>
      <c r="D1206" s="3009">
        <f>'Смета Внутр'!D1212</f>
        <v>0</v>
      </c>
      <c r="E1206" s="3007"/>
      <c r="F1206" s="3012">
        <f>'Смета Внутр'!H1212</f>
        <v>0</v>
      </c>
    </row>
    <row r="1207" spans="2:6">
      <c r="B1207" s="3007" t="str">
        <f>'Смета Внутр'!B1213</f>
        <v>Монтаж перекрестного пола</v>
      </c>
      <c r="C1207" s="3008" t="str">
        <f>'Смета Внутр'!C1213</f>
        <v>м2</v>
      </c>
      <c r="D1207" s="3009">
        <f>'Смета Внутр'!D1213</f>
        <v>0</v>
      </c>
      <c r="E1207" s="3007"/>
      <c r="F1207" s="3012">
        <f>'Смета Внутр'!H1213</f>
        <v>0</v>
      </c>
    </row>
    <row r="1208" spans="2:6">
      <c r="B1208" s="3007" t="str">
        <f>'Смета Внутр'!B1214</f>
        <v>Монтаж утеплителя перекрытия</v>
      </c>
      <c r="C1208" s="3008" t="str">
        <f>'Смета Внутр'!C1214</f>
        <v>м2</v>
      </c>
      <c r="D1208" s="3009">
        <f>'Смета Внутр'!D1214</f>
        <v>100</v>
      </c>
      <c r="E1208" s="3007"/>
      <c r="F1208" s="3016">
        <f>'Смета Внутр'!H1214</f>
        <v>0</v>
      </c>
    </row>
    <row r="1209" spans="2:6">
      <c r="B1209" s="3007" t="str">
        <f>'Смета Внутр'!B1215</f>
        <v>Монтаж ветроизоляции перекрытий</v>
      </c>
      <c r="C1209" s="3008" t="str">
        <f>'Смета Внутр'!C1215</f>
        <v>м2</v>
      </c>
      <c r="D1209" s="3009">
        <f>'Смета Внутр'!D1215</f>
        <v>0</v>
      </c>
      <c r="E1209" s="3007"/>
      <c r="F1209" s="3016">
        <f>'Смета Внутр'!H1215</f>
        <v>0</v>
      </c>
    </row>
    <row r="1210" spans="2:6">
      <c r="B1210" s="3007" t="str">
        <f>'Смета Внутр'!B1216</f>
        <v>Монтаж пароизоляции перекрытий</v>
      </c>
      <c r="C1210" s="3008" t="str">
        <f>'Смета Внутр'!C1216</f>
        <v>м2</v>
      </c>
      <c r="D1210" s="3009">
        <f>'Смета Внутр'!D1216</f>
        <v>0</v>
      </c>
      <c r="E1210" s="3007"/>
      <c r="F1210" s="3016">
        <f>'Смета Внутр'!H1216</f>
        <v>0</v>
      </c>
    </row>
    <row r="1211" spans="2:6">
      <c r="B1211" s="3007" t="str">
        <f>'Смета Внутр'!B1217</f>
        <v>Монтаж плит ЖБИ</v>
      </c>
      <c r="C1211" s="3008" t="str">
        <f>'Смета Внутр'!C1217</f>
        <v>м2</v>
      </c>
      <c r="D1211" s="3009">
        <f>'Смета Внутр'!D1217</f>
        <v>0</v>
      </c>
      <c r="E1211" s="3007"/>
      <c r="F1211" s="3012">
        <f>'Смета Внутр'!H1217</f>
        <v>0</v>
      </c>
    </row>
    <row r="1212" spans="2:6">
      <c r="B1212" s="3007" t="str">
        <f>'Смета Внутр'!B1218</f>
        <v>Монтаж опалубки</v>
      </c>
      <c r="C1212" s="3008" t="str">
        <f>'Смета Внутр'!C1218</f>
        <v>м2</v>
      </c>
      <c r="D1212" s="3009">
        <f>'Смета Внутр'!D1218</f>
        <v>0</v>
      </c>
      <c r="E1212" s="3007"/>
      <c r="F1212" s="3012">
        <f>'Смета Внутр'!H1218</f>
        <v>0</v>
      </c>
    </row>
    <row r="1213" spans="2:6">
      <c r="B1213" s="3007" t="str">
        <f>'Смета Внутр'!B1219</f>
        <v>Укладка пленки гидроизоляционной</v>
      </c>
      <c r="C1213" s="3008" t="str">
        <f>'Смета Внутр'!C1219</f>
        <v>м2</v>
      </c>
      <c r="D1213" s="3009">
        <f>'Смета Внутр'!D1219</f>
        <v>0</v>
      </c>
      <c r="E1213" s="3007"/>
      <c r="F1213" s="3012">
        <f>'Смета Внутр'!H1219</f>
        <v>0</v>
      </c>
    </row>
    <row r="1214" spans="2:6">
      <c r="B1214" s="3007" t="str">
        <f>'Смета Внутр'!B1220</f>
        <v>Армирование перекрытия/плиты</v>
      </c>
      <c r="C1214" s="3008" t="str">
        <f>'Смета Внутр'!C1220</f>
        <v>м2</v>
      </c>
      <c r="D1214" s="3009">
        <f>'Смета Внутр'!D1220</f>
        <v>0</v>
      </c>
      <c r="E1214" s="3007"/>
      <c r="F1214" s="3012">
        <f>'Смета Внутр'!H1220</f>
        <v>0</v>
      </c>
    </row>
    <row r="1215" spans="2:6">
      <c r="B1215" s="3007" t="str">
        <f>'Смета Внутр'!B1221</f>
        <v>Заливка бетоном перекрытия/плиты</v>
      </c>
      <c r="C1215" s="3008" t="str">
        <f>'Смета Внутр'!C1221</f>
        <v>м2</v>
      </c>
      <c r="D1215" s="3009">
        <f>'Смета Внутр'!D1221</f>
        <v>0</v>
      </c>
      <c r="E1215" s="3007"/>
      <c r="F1215" s="3012">
        <f>'Смета Внутр'!H1221</f>
        <v>0</v>
      </c>
    </row>
    <row r="1216" spans="2:6">
      <c r="B1216" s="3007" t="str">
        <f>'Смета Внутр'!B1222</f>
        <v>Монтаж перекрытий из бруса</v>
      </c>
      <c r="C1216" s="3008" t="str">
        <f>'Смета Внутр'!C1222</f>
        <v>м2</v>
      </c>
      <c r="D1216" s="3009">
        <f>'Смета Внутр'!D1222</f>
        <v>0</v>
      </c>
      <c r="E1216" s="3007"/>
      <c r="F1216" s="3016">
        <f>'Смета Внутр'!H1222</f>
        <v>0</v>
      </c>
    </row>
    <row r="1217" spans="2:6">
      <c r="B1217" s="3007" t="str">
        <f>'Смета Внутр'!B1223</f>
        <v>Монтаж перекрытий Сип-панели</v>
      </c>
      <c r="C1217" s="3008" t="str">
        <f>'Смета Внутр'!C1223</f>
        <v>м2</v>
      </c>
      <c r="D1217" s="3009">
        <f>'Смета Внутр'!D1223</f>
        <v>0</v>
      </c>
      <c r="E1217" s="3007"/>
      <c r="F1217" s="3012">
        <f>'Смета Внутр'!H1223</f>
        <v>0</v>
      </c>
    </row>
    <row r="1218" spans="2:6">
      <c r="B1218" s="3007" t="str">
        <f>'Смета Внутр'!B1224</f>
        <v>Монтаж перекрытий из сухой доски</v>
      </c>
      <c r="C1218" s="3008" t="str">
        <f>'Смета Внутр'!C1224</f>
        <v>м2</v>
      </c>
      <c r="D1218" s="3009">
        <f>'Смета Внутр'!D1224</f>
        <v>0</v>
      </c>
      <c r="E1218" s="3007"/>
      <c r="F1218" s="3012">
        <f>'Смета Внутр'!H1224</f>
        <v>0</v>
      </c>
    </row>
    <row r="1219" spans="2:6">
      <c r="B1219" s="3007" t="str">
        <f>'Смета Внутр'!B1225</f>
        <v>Монтаж перекрытий из двутавровой балки</v>
      </c>
      <c r="C1219" s="3008" t="str">
        <f>'Смета Внутр'!C1225</f>
        <v>м2</v>
      </c>
      <c r="D1219" s="3009">
        <f>'Смета Внутр'!D1225</f>
        <v>0</v>
      </c>
      <c r="E1219" s="3007"/>
      <c r="F1219" s="3012">
        <f>'Смета Внутр'!H1225</f>
        <v>0</v>
      </c>
    </row>
    <row r="1220" spans="2:6">
      <c r="B1220" s="3007" t="str">
        <f>'Смета Внутр'!B1226</f>
        <v>Монтаж утеплителя перекрытия</v>
      </c>
      <c r="C1220" s="3008" t="str">
        <f>'Смета Внутр'!C1226</f>
        <v>м2</v>
      </c>
      <c r="D1220" s="3009">
        <f>'Смета Внутр'!D1226</f>
        <v>100</v>
      </c>
      <c r="E1220" s="3007"/>
      <c r="F1220" s="3016">
        <f>'Смета Внутр'!H1226</f>
        <v>0</v>
      </c>
    </row>
    <row r="1221" spans="2:6">
      <c r="B1221" s="3007" t="str">
        <f>'Смета Внутр'!B1227</f>
        <v>Монтаж ветроизоляции перекрытий</v>
      </c>
      <c r="C1221" s="3008" t="str">
        <f>'Смета Внутр'!C1227</f>
        <v>м2</v>
      </c>
      <c r="D1221" s="3009">
        <f>'Смета Внутр'!D1227</f>
        <v>0</v>
      </c>
      <c r="E1221" s="3007"/>
      <c r="F1221" s="3016">
        <f>'Смета Внутр'!H1227</f>
        <v>0</v>
      </c>
    </row>
    <row r="1222" spans="2:6">
      <c r="B1222" s="3007" t="str">
        <f>'Смета Внутр'!B1228</f>
        <v>Монтаж пароизоляции перекрытий</v>
      </c>
      <c r="C1222" s="3008" t="str">
        <f>'Смета Внутр'!C1228</f>
        <v>м2</v>
      </c>
      <c r="D1222" s="3009">
        <f>'Смета Внутр'!D1228</f>
        <v>0</v>
      </c>
      <c r="E1222" s="3007"/>
      <c r="F1222" s="3016">
        <f>'Смета Внутр'!H1228</f>
        <v>0</v>
      </c>
    </row>
    <row r="1223" spans="2:6">
      <c r="B1223" s="3007" t="str">
        <f>'Смета Внутр'!B1229</f>
        <v>Монтаж плит ЖБИ</v>
      </c>
      <c r="C1223" s="3008" t="str">
        <f>'Смета Внутр'!C1229</f>
        <v>м2</v>
      </c>
      <c r="D1223" s="3009">
        <f>'Смета Внутр'!D1229</f>
        <v>0</v>
      </c>
      <c r="E1223" s="3007"/>
      <c r="F1223" s="3012">
        <f>'Смета Внутр'!H1229</f>
        <v>0</v>
      </c>
    </row>
    <row r="1224" spans="2:6">
      <c r="B1224" s="3007" t="str">
        <f>'Смета Внутр'!B1230</f>
        <v>Монтаж опалубки</v>
      </c>
      <c r="C1224" s="3008" t="str">
        <f>'Смета Внутр'!C1230</f>
        <v>м2</v>
      </c>
      <c r="D1224" s="3009">
        <f>'Смета Внутр'!D1230</f>
        <v>0</v>
      </c>
      <c r="E1224" s="3007"/>
      <c r="F1224" s="3012">
        <f>'Смета Внутр'!H1230</f>
        <v>0</v>
      </c>
    </row>
    <row r="1225" spans="2:6">
      <c r="B1225" s="3007" t="str">
        <f>'Смета Внутр'!B1231</f>
        <v>Укладка пленки гидроизоляционной</v>
      </c>
      <c r="C1225" s="3008" t="str">
        <f>'Смета Внутр'!C1231</f>
        <v>м2</v>
      </c>
      <c r="D1225" s="3009">
        <f>'Смета Внутр'!D1231</f>
        <v>0</v>
      </c>
      <c r="E1225" s="3007"/>
      <c r="F1225" s="3012">
        <f>'Смета Внутр'!H1231</f>
        <v>0</v>
      </c>
    </row>
    <row r="1226" spans="2:6">
      <c r="B1226" s="3007" t="str">
        <f>'Смета Внутр'!B1232</f>
        <v>Армирование перекрытия/плиты</v>
      </c>
      <c r="C1226" s="3008" t="str">
        <f>'Смета Внутр'!C1232</f>
        <v>м2</v>
      </c>
      <c r="D1226" s="3009">
        <f>'Смета Внутр'!D1232</f>
        <v>0</v>
      </c>
      <c r="E1226" s="3007"/>
      <c r="F1226" s="3012">
        <f>'Смета Внутр'!H1232</f>
        <v>0</v>
      </c>
    </row>
    <row r="1227" spans="2:6">
      <c r="B1227" s="3007" t="str">
        <f>'Смета Внутр'!B1233</f>
        <v>Заливка бетоном перекрытия/плиты</v>
      </c>
      <c r="C1227" s="3008" t="str">
        <f>'Смета Внутр'!C1233</f>
        <v>м2</v>
      </c>
      <c r="D1227" s="3009">
        <f>'Смета Внутр'!D1233</f>
        <v>0</v>
      </c>
      <c r="E1227" s="3007"/>
      <c r="F1227" s="3012">
        <f>'Смета Внутр'!H1233</f>
        <v>0</v>
      </c>
    </row>
    <row r="1228" spans="2:6">
      <c r="B1228" s="3007" t="str">
        <f>'Смета Внутр'!B1234</f>
        <v>Монтаж перекрытий из бруса</v>
      </c>
      <c r="C1228" s="3008" t="str">
        <f>'Смета Внутр'!C1234</f>
        <v>м2</v>
      </c>
      <c r="D1228" s="3009">
        <f>'Смета Внутр'!D1234</f>
        <v>0</v>
      </c>
      <c r="E1228" s="3007"/>
      <c r="F1228" s="3016">
        <f>'Смета Внутр'!H1234</f>
        <v>0</v>
      </c>
    </row>
    <row r="1229" spans="2:6">
      <c r="B1229" s="3007" t="str">
        <f>'Смета Внутр'!B1235</f>
        <v>Монтаж перекрытий Сип-панели</v>
      </c>
      <c r="C1229" s="3008" t="str">
        <f>'Смета Внутр'!C1235</f>
        <v>м2</v>
      </c>
      <c r="D1229" s="3009">
        <f>'Смета Внутр'!D1235</f>
        <v>0</v>
      </c>
      <c r="E1229" s="3007"/>
      <c r="F1229" s="3012">
        <f>'Смета Внутр'!H1235</f>
        <v>0</v>
      </c>
    </row>
    <row r="1230" spans="2:6">
      <c r="B1230" s="3007" t="str">
        <f>'Смета Внутр'!B1236</f>
        <v>Монтаж перекрытий из сухой доски</v>
      </c>
      <c r="C1230" s="3008" t="str">
        <f>'Смета Внутр'!C1236</f>
        <v>м2</v>
      </c>
      <c r="D1230" s="3009">
        <f>'Смета Внутр'!D1236</f>
        <v>0</v>
      </c>
      <c r="E1230" s="3007"/>
      <c r="F1230" s="3012">
        <f>'Смета Внутр'!H1236</f>
        <v>0</v>
      </c>
    </row>
    <row r="1231" spans="2:6">
      <c r="B1231" s="3007" t="str">
        <f>'Смета Внутр'!B1237</f>
        <v>Монтаж перекрытий из двутавровой балки</v>
      </c>
      <c r="C1231" s="3008" t="str">
        <f>'Смета Внутр'!C1237</f>
        <v>м2</v>
      </c>
      <c r="D1231" s="3009">
        <f>'Смета Внутр'!D1237</f>
        <v>0</v>
      </c>
      <c r="E1231" s="3007"/>
      <c r="F1231" s="3012">
        <f>'Смета Внутр'!H1237</f>
        <v>0</v>
      </c>
    </row>
    <row r="1232" spans="2:6">
      <c r="B1232" s="3007" t="str">
        <f>'Смета Внутр'!B1238</f>
        <v>Монтаж утеплителя перекрытия</v>
      </c>
      <c r="C1232" s="3008" t="str">
        <f>'Смета Внутр'!C1238</f>
        <v>м2</v>
      </c>
      <c r="D1232" s="3009">
        <f>'Смета Внутр'!D1238</f>
        <v>0</v>
      </c>
      <c r="E1232" s="3007"/>
      <c r="F1232" s="3012">
        <f>'Смета Внутр'!H1238</f>
        <v>0</v>
      </c>
    </row>
    <row r="1233" spans="2:6">
      <c r="B1233" s="3007" t="str">
        <f>'Смета Внутр'!B1239</f>
        <v>Монтаж ветроизоляции перекрытий</v>
      </c>
      <c r="C1233" s="3008" t="str">
        <f>'Смета Внутр'!C1239</f>
        <v>м2</v>
      </c>
      <c r="D1233" s="3009">
        <f>'Смета Внутр'!D1239</f>
        <v>0</v>
      </c>
      <c r="E1233" s="3007"/>
      <c r="F1233" s="3012">
        <f>'Смета Внутр'!H1239</f>
        <v>0</v>
      </c>
    </row>
    <row r="1234" spans="2:6">
      <c r="B1234" s="3007" t="str">
        <f>'Смета Внутр'!B1240</f>
        <v>Монтаж пароизоляции перекрытий</v>
      </c>
      <c r="C1234" s="3008" t="str">
        <f>'Смета Внутр'!C1240</f>
        <v>м2</v>
      </c>
      <c r="D1234" s="3009">
        <f>'Смета Внутр'!D1240</f>
        <v>0</v>
      </c>
      <c r="E1234" s="3007"/>
      <c r="F1234" s="3012">
        <f>'Смета Внутр'!H1240</f>
        <v>0</v>
      </c>
    </row>
    <row r="1235" spans="2:6">
      <c r="B1235" s="3007" t="str">
        <f>'Смета Внутр'!B1241</f>
        <v>Монтаж перекрестного пола</v>
      </c>
      <c r="C1235" s="3008" t="str">
        <f>'Смета Внутр'!C1241</f>
        <v>м2</v>
      </c>
      <c r="D1235" s="3009">
        <f>'Смета Внутр'!D1241</f>
        <v>0</v>
      </c>
      <c r="E1235" s="3007"/>
      <c r="F1235" s="3012">
        <f>'Смета Внутр'!H1241</f>
        <v>0</v>
      </c>
    </row>
    <row r="1236" spans="2:6">
      <c r="B1236" s="3007" t="str">
        <f>'Смета Внутр'!B1242</f>
        <v>Монтаж чернового пола 0 этажа</v>
      </c>
      <c r="C1236" s="3008" t="str">
        <f>'Смета Внутр'!C1242</f>
        <v>м2</v>
      </c>
      <c r="D1236" s="3009">
        <f>'Смета Внутр'!D1242</f>
        <v>0</v>
      </c>
      <c r="E1236" s="3007"/>
      <c r="F1236" s="3016">
        <f>'Смета Внутр'!H1242</f>
        <v>0</v>
      </c>
    </row>
    <row r="1237" spans="2:6">
      <c r="B1237" s="3007" t="str">
        <f>'Смета Внутр'!B1243</f>
        <v>Монтаж чернового пола 1 этажа</v>
      </c>
      <c r="C1237" s="3008" t="str">
        <f>'Смета Внутр'!C1243</f>
        <v>м2</v>
      </c>
      <c r="D1237" s="3009">
        <f>'Смета Внутр'!D1243</f>
        <v>0</v>
      </c>
      <c r="E1237" s="3007"/>
      <c r="F1237" s="3016">
        <f>'Смета Внутр'!H1243</f>
        <v>0</v>
      </c>
    </row>
    <row r="1238" spans="2:6">
      <c r="B1238" s="3007" t="str">
        <f>'Смета Внутр'!B1244</f>
        <v>Монтаж чернового пола 2 этажа</v>
      </c>
      <c r="C1238" s="3008" t="str">
        <f>'Смета Внутр'!C1244</f>
        <v>м2</v>
      </c>
      <c r="D1238" s="3009">
        <f>'Смета Внутр'!D1244</f>
        <v>0</v>
      </c>
      <c r="E1238" s="3007"/>
      <c r="F1238" s="3012">
        <f>'Смета Внутр'!H1244</f>
        <v>0</v>
      </c>
    </row>
    <row r="1239" spans="2:6">
      <c r="B1239" s="3007" t="str">
        <f>'Смета Внутр'!B1245</f>
        <v>Монтаж перекрытий ЛСТК</v>
      </c>
      <c r="C1239" s="3008">
        <f>'Смета Внутр'!C1245</f>
        <v>0</v>
      </c>
      <c r="D1239" s="3009">
        <f>'Смета Внутр'!D1245</f>
        <v>0</v>
      </c>
      <c r="E1239" s="3007"/>
      <c r="F1239" s="3012"/>
    </row>
    <row r="1240" spans="2:6">
      <c r="B1240" s="3007" t="str">
        <f>'Смета Внутр'!B1246</f>
        <v>Монтаж перекрытий ЛСТК</v>
      </c>
      <c r="C1240" s="3008">
        <f>'Смета Внутр'!C1246</f>
        <v>0</v>
      </c>
      <c r="D1240" s="3009">
        <f>'Смета Внутр'!D1246</f>
        <v>0</v>
      </c>
      <c r="E1240" s="3007"/>
      <c r="F1240" s="3012"/>
    </row>
    <row r="1241" spans="2:6">
      <c r="B1241" s="3007" t="str">
        <f>'Смета Внутр'!B1247</f>
        <v>Монтаж перекрытий ЛСТК</v>
      </c>
      <c r="C1241" s="3008">
        <f>'Смета Внутр'!C1247</f>
        <v>0</v>
      </c>
      <c r="D1241" s="3009">
        <f>'Смета Внутр'!D1247</f>
        <v>0</v>
      </c>
      <c r="E1241" s="3007"/>
      <c r="F1241" s="3012"/>
    </row>
    <row r="1242" spans="2:6">
      <c r="B1242" s="3311" t="str">
        <f>'Смета Внутр'!B1248</f>
        <v>Итого работы</v>
      </c>
      <c r="C1242" s="3311"/>
      <c r="D1242" s="3311"/>
      <c r="E1242" s="3311"/>
      <c r="F1242" s="3010">
        <f>'Смета Внутр'!G1248</f>
        <v>0</v>
      </c>
    </row>
    <row r="1243" spans="2:6" ht="19">
      <c r="B1243" s="3313" t="str">
        <f>'Смета Внутр'!B1249</f>
        <v>Веранда/терасса деревянная</v>
      </c>
      <c r="C1243" s="3313"/>
      <c r="D1243" s="3313"/>
      <c r="E1243" s="3313"/>
      <c r="F1243" s="3011">
        <f>'Смета Внутр'!H1249</f>
        <v>0</v>
      </c>
    </row>
    <row r="1244" spans="2:6">
      <c r="B1244" s="3310" t="str">
        <f>'Смета Внутр'!B1250</f>
        <v>Материалы</v>
      </c>
      <c r="C1244" s="3310"/>
      <c r="D1244" s="3310"/>
      <c r="E1244" s="3310"/>
      <c r="F1244" s="3011">
        <f>'Смета Внутр'!H1250</f>
        <v>0</v>
      </c>
    </row>
    <row r="1245" spans="2:6">
      <c r="B1245" s="3007" t="str">
        <f>'Смета Внутр'!B1251</f>
        <v>Листв. влаж, 200*200мм</v>
      </c>
      <c r="C1245" s="3008" t="str">
        <f>'Смета Внутр'!C1251</f>
        <v>м3</v>
      </c>
      <c r="D1245" s="3009">
        <f>'Смета Внутр'!D1251</f>
        <v>0</v>
      </c>
      <c r="E1245" s="3007"/>
      <c r="F1245" s="3012">
        <f>'Смета Внутр'!H1251</f>
        <v>0</v>
      </c>
    </row>
    <row r="1246" spans="2:6">
      <c r="B1246" s="3007" t="str">
        <f>'Смета Внутр'!B1252</f>
        <v>Листв. влаж, 200*150мм</v>
      </c>
      <c r="C1246" s="3008" t="str">
        <f>'Смета Внутр'!C1252</f>
        <v>м3</v>
      </c>
      <c r="D1246" s="3009">
        <f>'Смета Внутр'!D1252</f>
        <v>0.54</v>
      </c>
      <c r="E1246" s="3007"/>
      <c r="F1246" s="3012">
        <f>'Смета Внутр'!H1252</f>
        <v>0</v>
      </c>
    </row>
    <row r="1247" spans="2:6">
      <c r="B1247" s="3007" t="str">
        <f>'Смета Внутр'!B1253</f>
        <v>Рубероид</v>
      </c>
      <c r="C1247" s="3008" t="str">
        <f>'Смета Внутр'!C1253</f>
        <v>м.п.</v>
      </c>
      <c r="D1247" s="3009">
        <f>'Смета Внутр'!D1253</f>
        <v>0</v>
      </c>
      <c r="E1247" s="3007"/>
      <c r="F1247" s="3012">
        <f>'Смета Внутр'!H1253</f>
        <v>0</v>
      </c>
    </row>
    <row r="1248" spans="2:6">
      <c r="B1248" s="3007" t="str">
        <f>'Смета Внутр'!B1254</f>
        <v>Листв. влаж, 200*150мм</v>
      </c>
      <c r="C1248" s="3008" t="str">
        <f>'Смета Внутр'!C1254</f>
        <v>м3</v>
      </c>
      <c r="D1248" s="3009">
        <f>'Смета Внутр'!D1254</f>
        <v>0</v>
      </c>
      <c r="E1248" s="3007"/>
      <c r="F1248" s="3012">
        <f>'Смета Внутр'!H1254</f>
        <v>0</v>
      </c>
    </row>
    <row r="1249" spans="2:6">
      <c r="B1249" s="3007" t="str">
        <f>'Смета Внутр'!B1255</f>
        <v>Проф.брус вл. 200*150мм</v>
      </c>
      <c r="C1249" s="3008" t="str">
        <f>'Смета Внутр'!C1255</f>
        <v>м3</v>
      </c>
      <c r="D1249" s="3009">
        <f>'Смета Внутр'!D1255</f>
        <v>0.52649999999999997</v>
      </c>
      <c r="E1249" s="3007"/>
      <c r="F1249" s="3012">
        <f>'Смета Внутр'!H1255</f>
        <v>0</v>
      </c>
    </row>
    <row r="1250" spans="2:6">
      <c r="B1250" s="3007" t="str">
        <f>'Смета Внутр'!B1256</f>
        <v>Брус клееный проф 2 ламель кедр Шир. 240 выс. 140</v>
      </c>
      <c r="C1250" s="3008" t="str">
        <f>'Смета Внутр'!C1256</f>
        <v>м3</v>
      </c>
      <c r="D1250" s="3009">
        <f>'Смета Внутр'!D1256</f>
        <v>0.30240000000000006</v>
      </c>
      <c r="E1250" s="3007"/>
      <c r="F1250" s="3012">
        <f>'Смета Внутр'!H1256</f>
        <v>0</v>
      </c>
    </row>
    <row r="1251" spans="2:6">
      <c r="B1251" s="3007" t="str">
        <f>'Смета Внутр'!B1257</f>
        <v>Брус клееный проф 1 ламель кедр Шир. 240 выс. 140</v>
      </c>
      <c r="C1251" s="3008" t="str">
        <f>'Смета Внутр'!C1257</f>
        <v>м3</v>
      </c>
      <c r="D1251" s="3009">
        <f>'Смета Внутр'!D1257</f>
        <v>1.0080000000000002</v>
      </c>
      <c r="E1251" s="3007"/>
      <c r="F1251" s="3012">
        <f>'Смета Внутр'!H1257</f>
        <v>0</v>
      </c>
    </row>
    <row r="1252" spans="2:6">
      <c r="B1252" s="3007" t="str">
        <f>'Смета Внутр'!B1258</f>
        <v>Проф.брус вл. 200*180мм</v>
      </c>
      <c r="C1252" s="3008" t="str">
        <f>'Смета Внутр'!C1258</f>
        <v>м3</v>
      </c>
      <c r="D1252" s="3009">
        <f>'Смета Внутр'!D1258</f>
        <v>0.504</v>
      </c>
      <c r="E1252" s="3007"/>
      <c r="F1252" s="3012">
        <f>'Смета Внутр'!H1258</f>
        <v>0</v>
      </c>
    </row>
    <row r="1253" spans="2:6">
      <c r="B1253" s="3007" t="str">
        <f>'Смета Внутр'!B1259</f>
        <v>Нет накладки</v>
      </c>
      <c r="C1253" s="3008" t="str">
        <f>'Смета Внутр'!C1259</f>
        <v>м.п.</v>
      </c>
      <c r="D1253" s="3009">
        <f>'Смета Внутр'!D1259</f>
        <v>9</v>
      </c>
      <c r="E1253" s="3007"/>
      <c r="F1253" s="3012">
        <f>'Смета Внутр'!H1259</f>
        <v>0</v>
      </c>
    </row>
    <row r="1254" spans="2:6">
      <c r="B1254" s="3007" t="str">
        <f>'Смета Внутр'!B1260</f>
        <v>Гидрокомпенсатор</v>
      </c>
      <c r="C1254" s="3008" t="str">
        <f>'Смета Внутр'!C1260</f>
        <v>шт</v>
      </c>
      <c r="D1254" s="3009">
        <f>'Смета Внутр'!D1260</f>
        <v>9</v>
      </c>
      <c r="E1254" s="3007"/>
      <c r="F1254" s="3012">
        <f>'Смета Внутр'!H1260</f>
        <v>0</v>
      </c>
    </row>
    <row r="1255" spans="2:6">
      <c r="B1255" s="3007" t="str">
        <f>'Смета Внутр'!B1261</f>
        <v xml:space="preserve">Уголок усиленный 90х70х55х2,5        </v>
      </c>
      <c r="C1255" s="3008" t="str">
        <f>'Смета Внутр'!C1261</f>
        <v>шт</v>
      </c>
      <c r="D1255" s="3009">
        <f>'Смета Внутр'!D1261</f>
        <v>0</v>
      </c>
      <c r="E1255" s="3007"/>
      <c r="F1255" s="3012">
        <f>'Смета Внутр'!H1261</f>
        <v>0</v>
      </c>
    </row>
    <row r="1256" spans="2:6">
      <c r="B1256" s="3007" t="str">
        <f>'Смета Внутр'!B1262</f>
        <v>Нет уголков</v>
      </c>
      <c r="C1256" s="3008" t="str">
        <f>'Смета Внутр'!C1262</f>
        <v>шт</v>
      </c>
      <c r="D1256" s="3009">
        <f>'Смета Внутр'!D1262</f>
        <v>0</v>
      </c>
      <c r="E1256" s="3007"/>
      <c r="F1256" s="3012">
        <f>'Смета Внутр'!H1262</f>
        <v>0</v>
      </c>
    </row>
    <row r="1257" spans="2:6">
      <c r="B1257" s="3007" t="str">
        <f>'Смета Внутр'!B1263</f>
        <v xml:space="preserve">Пластина соеденительная 100х240х2           </v>
      </c>
      <c r="C1257" s="3008" t="str">
        <f>'Смета Внутр'!C1263</f>
        <v>шт</v>
      </c>
      <c r="D1257" s="3009">
        <f>'Смета Внутр'!D1263</f>
        <v>0</v>
      </c>
      <c r="E1257" s="3007"/>
      <c r="F1257" s="3012">
        <f>'Смета Внутр'!H1263</f>
        <v>0</v>
      </c>
    </row>
    <row r="1258" spans="2:6">
      <c r="B1258" s="3007" t="str">
        <f>'Смета Внутр'!B1264</f>
        <v>Нет пластин</v>
      </c>
      <c r="C1258" s="3008" t="str">
        <f>'Смета Внутр'!C1264</f>
        <v>шт</v>
      </c>
      <c r="D1258" s="3009">
        <f>'Смета Внутр'!D1264</f>
        <v>0</v>
      </c>
      <c r="E1258" s="3007"/>
      <c r="F1258" s="3012">
        <f>'Смета Внутр'!H1264</f>
        <v>0</v>
      </c>
    </row>
    <row r="1259" spans="2:6">
      <c r="B1259" s="3007" t="str">
        <f>'Смета Внутр'!B1265</f>
        <v xml:space="preserve">Болты анкерные с гайкой 12,0 x 100          </v>
      </c>
      <c r="C1259" s="3008" t="str">
        <f>'Смета Внутр'!C1265</f>
        <v>шт</v>
      </c>
      <c r="D1259" s="3009">
        <f>'Смета Внутр'!D1265</f>
        <v>0</v>
      </c>
      <c r="E1259" s="3007"/>
      <c r="F1259" s="3012">
        <f>'Смета Внутр'!H1265</f>
        <v>0</v>
      </c>
    </row>
    <row r="1260" spans="2:6">
      <c r="B1260" s="3007" t="str">
        <f>'Смета Внутр'!B1266</f>
        <v>Нет анкерных болтов</v>
      </c>
      <c r="C1260" s="3008" t="str">
        <f>'Смета Внутр'!C1266</f>
        <v>шт</v>
      </c>
      <c r="D1260" s="3009">
        <f>'Смета Внутр'!D1266</f>
        <v>0</v>
      </c>
      <c r="E1260" s="3007"/>
      <c r="F1260" s="3012">
        <f>'Смета Внутр'!H1266</f>
        <v>0</v>
      </c>
    </row>
    <row r="1261" spans="2:6">
      <c r="B1261" s="3007" t="str">
        <f>'Смета Внутр'!B1267</f>
        <v xml:space="preserve">Саморезы 3,5 x 45            </v>
      </c>
      <c r="C1261" s="3008" t="str">
        <f>'Смета Внутр'!C1267</f>
        <v>кг</v>
      </c>
      <c r="D1261" s="3009">
        <f>'Смета Внутр'!D1267</f>
        <v>0</v>
      </c>
      <c r="E1261" s="3007"/>
      <c r="F1261" s="3012">
        <f>'Смета Внутр'!H1267</f>
        <v>0</v>
      </c>
    </row>
    <row r="1262" spans="2:6">
      <c r="B1262" s="3007" t="str">
        <f>'Смета Внутр'!B1268</f>
        <v>Нет саморезов</v>
      </c>
      <c r="C1262" s="3008" t="str">
        <f>'Смета Внутр'!C1268</f>
        <v>кг</v>
      </c>
      <c r="D1262" s="3009">
        <f>'Смета Внутр'!D1268</f>
        <v>0</v>
      </c>
      <c r="E1262" s="3007"/>
      <c r="F1262" s="3012">
        <f>'Смета Внутр'!H1268</f>
        <v>0</v>
      </c>
    </row>
    <row r="1263" spans="2:6">
      <c r="B1263" s="3007" t="str">
        <f>'Смета Внутр'!B1269</f>
        <v xml:space="preserve">Гвозди строительные 2,5 x 60            </v>
      </c>
      <c r="C1263" s="3008" t="str">
        <f>'Смета Внутр'!C1269</f>
        <v>кг</v>
      </c>
      <c r="D1263" s="3009">
        <f>'Смета Внутр'!D1269</f>
        <v>0</v>
      </c>
      <c r="E1263" s="3007"/>
      <c r="F1263" s="3012">
        <f>'Смета Внутр'!H1269</f>
        <v>0</v>
      </c>
    </row>
    <row r="1264" spans="2:6">
      <c r="B1264" s="3007" t="str">
        <f>'Смета Внутр'!B1270</f>
        <v xml:space="preserve">Гвозди ершоные 3,4 x 60            </v>
      </c>
      <c r="C1264" s="3008" t="str">
        <f>'Смета Внутр'!C1270</f>
        <v>кг</v>
      </c>
      <c r="D1264" s="3009">
        <f>'Смета Внутр'!D1270</f>
        <v>0</v>
      </c>
      <c r="E1264" s="3007"/>
      <c r="F1264" s="3012">
        <f>'Смета Внутр'!H1270</f>
        <v>0</v>
      </c>
    </row>
    <row r="1265" spans="2:6">
      <c r="B1265" s="3007" t="str">
        <f>'Смета Внутр'!B1271</f>
        <v>Гидроизоляция жидкая резина 1</v>
      </c>
      <c r="C1265" s="3008" t="str">
        <f>'Смета Внутр'!C1271</f>
        <v>кг</v>
      </c>
      <c r="D1265" s="3009">
        <f>'Смета Внутр'!D1271</f>
        <v>0</v>
      </c>
      <c r="E1265" s="3007"/>
      <c r="F1265" s="3012">
        <f>'Смета Внутр'!H1271</f>
        <v>0</v>
      </c>
    </row>
    <row r="1266" spans="2:6">
      <c r="B1266" s="3007" t="str">
        <f>'Смета Внутр'!B1272</f>
        <v>Kronospan - OSB-3, 22мм</v>
      </c>
      <c r="C1266" s="3008" t="str">
        <f>'Смета Внутр'!C1272</f>
        <v>м2</v>
      </c>
      <c r="D1266" s="3009">
        <f>'Смета Внутр'!D1272</f>
        <v>0</v>
      </c>
      <c r="E1266" s="3007"/>
      <c r="F1266" s="3012">
        <f>'Смета Внутр'!H1272</f>
        <v>0</v>
      </c>
    </row>
    <row r="1267" spans="2:6">
      <c r="B1267" s="3007" t="str">
        <f>'Смета Внутр'!B1273</f>
        <v>Проф.брус вл. 200*150мм</v>
      </c>
      <c r="C1267" s="3008" t="str">
        <f>'Смета Внутр'!C1273</f>
        <v>м3</v>
      </c>
      <c r="D1267" s="3009">
        <f>'Смета Внутр'!D1273</f>
        <v>0.09</v>
      </c>
      <c r="E1267" s="3007"/>
      <c r="F1267" s="3012">
        <f>'Смета Внутр'!H1273</f>
        <v>0</v>
      </c>
    </row>
    <row r="1268" spans="2:6">
      <c r="B1268" s="3007" t="str">
        <f>'Смета Внутр'!B1274</f>
        <v>Брус клееный проф 2 ламель кедр Шир. 240 выс. 140</v>
      </c>
      <c r="C1268" s="3008" t="str">
        <f>'Смета Внутр'!C1274</f>
        <v>м3</v>
      </c>
      <c r="D1268" s="3009">
        <f>'Смета Внутр'!D1274</f>
        <v>0.12096000000000003</v>
      </c>
      <c r="E1268" s="3007"/>
      <c r="F1268" s="3012">
        <f>'Смета Внутр'!H1274</f>
        <v>0</v>
      </c>
    </row>
    <row r="1269" spans="2:6">
      <c r="B1269" s="3007" t="str">
        <f>'Смета Внутр'!B1275</f>
        <v>Брус клееный проф 1 ламель кедр Шир. 240 выс. 140</v>
      </c>
      <c r="C1269" s="3008" t="str">
        <f>'Смета Внутр'!C1275</f>
        <v>м3</v>
      </c>
      <c r="D1269" s="3009">
        <f>'Смета Внутр'!D1275</f>
        <v>0.43680000000000008</v>
      </c>
      <c r="E1269" s="3007"/>
      <c r="F1269" s="3012">
        <f>'Смета Внутр'!H1275</f>
        <v>0</v>
      </c>
    </row>
    <row r="1270" spans="2:6">
      <c r="B1270" s="3007" t="str">
        <f>'Смета Внутр'!B1276</f>
        <v>Клееная накладка на перила шир 240мм</v>
      </c>
      <c r="C1270" s="3008" t="str">
        <f>'Смета Внутр'!C1276</f>
        <v>м.п.</v>
      </c>
      <c r="D1270" s="3009">
        <f>'Смета Внутр'!D1276</f>
        <v>3.6</v>
      </c>
      <c r="E1270" s="3007"/>
      <c r="F1270" s="3012">
        <f>'Смета Внутр'!H1276</f>
        <v>0</v>
      </c>
    </row>
    <row r="1271" spans="2:6">
      <c r="B1271" s="3311" t="str">
        <f>'Смета Внутр'!B1277</f>
        <v>Итого материалы</v>
      </c>
      <c r="C1271" s="3311"/>
      <c r="D1271" s="3311"/>
      <c r="E1271" s="3311"/>
      <c r="F1271" s="3014">
        <f>'Смета Внутр'!G1277</f>
        <v>0</v>
      </c>
    </row>
    <row r="1272" spans="2:6">
      <c r="B1272" s="3312" t="str">
        <f>'Смета Внутр'!B1278</f>
        <v>Работы</v>
      </c>
      <c r="C1272" s="3312"/>
      <c r="D1272" s="3312"/>
      <c r="E1272" s="3312"/>
      <c r="F1272" s="3011">
        <f>'Смета Внутр'!H1278</f>
        <v>0</v>
      </c>
    </row>
    <row r="1273" spans="2:6">
      <c r="B1273" s="3007" t="str">
        <f>'Смета Внутр'!B1279</f>
        <v>монтаж веранды</v>
      </c>
      <c r="C1273" s="3008" t="str">
        <f>'Смета Внутр'!C1279</f>
        <v>м2</v>
      </c>
      <c r="D1273" s="3009">
        <f>'Смета Внутр'!D1279</f>
        <v>9</v>
      </c>
      <c r="E1273" s="3007"/>
      <c r="F1273" s="3012">
        <f>'Смета Внутр'!H1279</f>
        <v>0</v>
      </c>
    </row>
    <row r="1274" spans="2:6">
      <c r="B1274" s="3007" t="str">
        <f>'Смета Внутр'!B1280</f>
        <v>монтаж лаги, перекрытия</v>
      </c>
      <c r="C1274" s="3008" t="str">
        <f>'Смета Внутр'!C1280</f>
        <v>м2</v>
      </c>
      <c r="D1274" s="3009">
        <f>'Смета Внутр'!D1280</f>
        <v>9</v>
      </c>
      <c r="E1274" s="3007"/>
      <c r="F1274" s="3012">
        <f>'Смета Внутр'!H1280</f>
        <v>0</v>
      </c>
    </row>
    <row r="1275" spans="2:6">
      <c r="B1275" s="3007" t="str">
        <f>'Смета Внутр'!B1281</f>
        <v>Монтаж накладки на перила</v>
      </c>
      <c r="C1275" s="3008" t="str">
        <f>'Смета Внутр'!C1281</f>
        <v>м.п.</v>
      </c>
      <c r="D1275" s="3009">
        <f>'Смета Внутр'!D1281</f>
        <v>9</v>
      </c>
      <c r="E1275" s="3007"/>
      <c r="F1275" s="3012">
        <f>'Смета Внутр'!H1281</f>
        <v>0</v>
      </c>
    </row>
    <row r="1276" spans="2:6">
      <c r="B1276" s="3007" t="str">
        <f>'Смета Внутр'!B1282</f>
        <v>Монтаж перил</v>
      </c>
      <c r="C1276" s="3008" t="str">
        <f>'Смета Внутр'!C1282</f>
        <v>м.п.</v>
      </c>
      <c r="D1276" s="3009">
        <f>'Смета Внутр'!D1282</f>
        <v>9</v>
      </c>
      <c r="E1276" s="3007"/>
      <c r="F1276" s="3012">
        <f>'Смета Внутр'!H1282</f>
        <v>0</v>
      </c>
    </row>
    <row r="1277" spans="2:6">
      <c r="B1277" s="3007" t="str">
        <f>'Смета Внутр'!B1283</f>
        <v>Гидроизоляция рулонная</v>
      </c>
      <c r="C1277" s="3008" t="str">
        <f>'Смета Внутр'!C1283</f>
        <v>м2</v>
      </c>
      <c r="D1277" s="3009">
        <f>'Смета Внутр'!D1283</f>
        <v>0</v>
      </c>
      <c r="E1277" s="3007"/>
      <c r="F1277" s="3012">
        <f>'Смета Внутр'!H1283</f>
        <v>0</v>
      </c>
    </row>
    <row r="1278" spans="2:6">
      <c r="B1278" s="3007" t="str">
        <f>'Смета Внутр'!B1284</f>
        <v>монтаж OSB пол</v>
      </c>
      <c r="C1278" s="3008" t="str">
        <f>'Смета Внутр'!C1284</f>
        <v>м2</v>
      </c>
      <c r="D1278" s="3009">
        <f>'Смета Внутр'!D1284</f>
        <v>0</v>
      </c>
      <c r="E1278" s="3007"/>
      <c r="F1278" s="3012">
        <f>'Смета Внутр'!H1284</f>
        <v>0</v>
      </c>
    </row>
    <row r="1279" spans="2:6">
      <c r="B1279" s="3007" t="str">
        <f>'Смета Внутр'!B1285</f>
        <v>Монтаж перил</v>
      </c>
      <c r="C1279" s="3008" t="str">
        <f>'Смета Внутр'!C1285</f>
        <v>м.п.</v>
      </c>
      <c r="D1279" s="3009">
        <f>'Смета Внутр'!D1285</f>
        <v>3.6</v>
      </c>
      <c r="E1279" s="3007"/>
      <c r="F1279" s="3012">
        <f>'Смета Внутр'!H1285</f>
        <v>0</v>
      </c>
    </row>
    <row r="1280" spans="2:6">
      <c r="B1280" s="3007" t="str">
        <f>'Смета Внутр'!B1286</f>
        <v>Монтаж накладки на перила</v>
      </c>
      <c r="C1280" s="3008" t="str">
        <f>'Смета Внутр'!C1286</f>
        <v>м.п.</v>
      </c>
      <c r="D1280" s="3009">
        <f>'Смета Внутр'!D1286</f>
        <v>3.6</v>
      </c>
      <c r="E1280" s="3007"/>
      <c r="F1280" s="3012">
        <f>'Смета Внутр'!H1286</f>
        <v>0</v>
      </c>
    </row>
    <row r="1281" spans="2:6">
      <c r="B1281" s="3007" t="str">
        <f>'Смета Внутр'!B1287</f>
        <v>монтаж веранды/крыльцо</v>
      </c>
      <c r="C1281" s="3008" t="str">
        <f>'Смета Внутр'!C1287</f>
        <v>м2</v>
      </c>
      <c r="D1281" s="3009">
        <f>'Смета Внутр'!D1287</f>
        <v>0</v>
      </c>
      <c r="E1281" s="3007"/>
      <c r="F1281" s="3012">
        <f>'Смета Внутр'!H1287</f>
        <v>0</v>
      </c>
    </row>
    <row r="1282" spans="2:6">
      <c r="B1282" s="3311" t="str">
        <f>'Смета Внутр'!B1288</f>
        <v>Итого работы</v>
      </c>
      <c r="C1282" s="3311"/>
      <c r="D1282" s="3311"/>
      <c r="E1282" s="3311"/>
      <c r="F1282" s="3014">
        <f>'Смета Внутр'!G1288</f>
        <v>0</v>
      </c>
    </row>
    <row r="1283" spans="2:6" ht="19">
      <c r="B1283" s="3313" t="str">
        <f>'Смета Внутр'!B1289</f>
        <v>Крыльцо</v>
      </c>
      <c r="C1283" s="3313"/>
      <c r="D1283" s="3313"/>
      <c r="E1283" s="3313"/>
      <c r="F1283" s="3015">
        <f>'Смета Внутр'!H1289</f>
        <v>0</v>
      </c>
    </row>
    <row r="1284" spans="2:6">
      <c r="B1284" s="3310" t="str">
        <f>'Смета Внутр'!B1290</f>
        <v>Материалы</v>
      </c>
      <c r="C1284" s="3310"/>
      <c r="D1284" s="3310"/>
      <c r="E1284" s="3310"/>
      <c r="F1284" s="3015">
        <f>'Смета Внутр'!H1290</f>
        <v>0</v>
      </c>
    </row>
    <row r="1285" spans="2:6">
      <c r="B1285" s="3007" t="str">
        <f>'Смета Внутр'!B1291</f>
        <v>Листв. влаж, 150*150мм</v>
      </c>
      <c r="C1285" s="3008" t="str">
        <f>'Смета Внутр'!C1291</f>
        <v>м3</v>
      </c>
      <c r="D1285" s="3009">
        <f>'Смета Внутр'!D1291</f>
        <v>8.4000000000000019E-2</v>
      </c>
      <c r="E1285" s="3007"/>
      <c r="F1285" s="3016">
        <f>'Смета Внутр'!H1291</f>
        <v>0</v>
      </c>
    </row>
    <row r="1286" spans="2:6">
      <c r="B1286" s="3007" t="str">
        <f>'Смета Внутр'!B1292</f>
        <v>Листв. влаж, 150*100мм</v>
      </c>
      <c r="C1286" s="3008" t="str">
        <f>'Смета Внутр'!C1292</f>
        <v>м3</v>
      </c>
      <c r="D1286" s="3009">
        <f>'Смета Внутр'!D1292</f>
        <v>0.09</v>
      </c>
      <c r="E1286" s="3007"/>
      <c r="F1286" s="3016">
        <f>'Смета Внутр'!H1292</f>
        <v>0</v>
      </c>
    </row>
    <row r="1287" spans="2:6">
      <c r="B1287" s="3007" t="str">
        <f>'Смета Внутр'!B1293</f>
        <v>Сосна влаж, 150*100мм</v>
      </c>
      <c r="C1287" s="3008" t="str">
        <f>'Смета Внутр'!C1293</f>
        <v>м3</v>
      </c>
      <c r="D1287" s="3009">
        <f>'Смета Внутр'!D1293</f>
        <v>7.4999999999999997E-2</v>
      </c>
      <c r="E1287" s="3007"/>
      <c r="F1287" s="3016">
        <f>'Смета Внутр'!H1293</f>
        <v>0</v>
      </c>
    </row>
    <row r="1288" spans="2:6">
      <c r="B1288" s="3007" t="str">
        <f>'Смета Внутр'!B1294</f>
        <v>Нет</v>
      </c>
      <c r="C1288" s="3008" t="str">
        <f>'Смета Внутр'!C1294</f>
        <v>м3</v>
      </c>
      <c r="D1288" s="3009">
        <f>'Смета Внутр'!D1294</f>
        <v>11.5</v>
      </c>
      <c r="E1288" s="3007"/>
      <c r="F1288" s="3016">
        <f>'Смета Внутр'!H1294</f>
        <v>0</v>
      </c>
    </row>
    <row r="1289" spans="2:6">
      <c r="B1289" s="3007" t="str">
        <f>'Смета Внутр'!B1295</f>
        <v>Брус клееный проф 2 ламель кедр Шир. 240 выс. 140</v>
      </c>
      <c r="C1289" s="3008" t="str">
        <f>'Смета Внутр'!C1295</f>
        <v>м3</v>
      </c>
      <c r="D1289" s="3009">
        <f>'Смета Внутр'!D1295</f>
        <v>0.16800000000000004</v>
      </c>
      <c r="E1289" s="3007"/>
      <c r="F1289" s="3016">
        <f>'Смета Внутр'!H1295</f>
        <v>0</v>
      </c>
    </row>
    <row r="1290" spans="2:6">
      <c r="B1290" s="3007" t="str">
        <f>'Смета Внутр'!B1296</f>
        <v>Брус клееный проф 1 ламель кедр Шир. 240 выс. 140</v>
      </c>
      <c r="C1290" s="3008" t="str">
        <f>'Смета Внутр'!C1296</f>
        <v>м3</v>
      </c>
      <c r="D1290" s="3009">
        <f>'Смета Внутр'!D1296</f>
        <v>0.33600000000000008</v>
      </c>
      <c r="E1290" s="3007"/>
      <c r="F1290" s="3016">
        <f>'Смета Внутр'!H1296</f>
        <v>0</v>
      </c>
    </row>
    <row r="1291" spans="2:6">
      <c r="B1291" s="3007" t="str">
        <f>'Смета Внутр'!B1297</f>
        <v>Нет накладки</v>
      </c>
      <c r="C1291" s="3008" t="str">
        <f>'Смета Внутр'!C1297</f>
        <v>м.п.</v>
      </c>
      <c r="D1291" s="3009">
        <f>'Смета Внутр'!D1297</f>
        <v>5</v>
      </c>
      <c r="E1291" s="3007"/>
      <c r="F1291" s="3016">
        <f>'Смета Внутр'!H1297</f>
        <v>0</v>
      </c>
    </row>
    <row r="1292" spans="2:6">
      <c r="B1292" s="3007" t="str">
        <f>'Смета Внутр'!B1298</f>
        <v>Листв. влаж, 200*200мм</v>
      </c>
      <c r="C1292" s="3008" t="str">
        <f>'Смета Внутр'!C1298</f>
        <v>м3</v>
      </c>
      <c r="D1292" s="3009">
        <f>'Смета Внутр'!D1298</f>
        <v>0.32000000000000006</v>
      </c>
      <c r="E1292" s="3007"/>
      <c r="F1292" s="3016">
        <f>'Смета Внутр'!H1298</f>
        <v>0</v>
      </c>
    </row>
    <row r="1293" spans="2:6">
      <c r="B1293" s="3007" t="str">
        <f>'Смета Внутр'!B1299</f>
        <v xml:space="preserve">Уголок усиленный 90х70х55х2,5        </v>
      </c>
      <c r="C1293" s="3008" t="str">
        <f>'Смета Внутр'!C1299</f>
        <v>шт</v>
      </c>
      <c r="D1293" s="3009">
        <f>'Смета Внутр'!D1299</f>
        <v>6</v>
      </c>
      <c r="E1293" s="3007"/>
      <c r="F1293" s="3016">
        <f>'Смета Внутр'!H1299</f>
        <v>0</v>
      </c>
    </row>
    <row r="1294" spans="2:6">
      <c r="B1294" s="3007" t="str">
        <f>'Смета Внутр'!B1300</f>
        <v>Нет уголков</v>
      </c>
      <c r="C1294" s="3008" t="str">
        <f>'Смета Внутр'!C1300</f>
        <v>шт</v>
      </c>
      <c r="D1294" s="3009">
        <f>'Смета Внутр'!D1300</f>
        <v>0</v>
      </c>
      <c r="E1294" s="3007"/>
      <c r="F1294" s="3012">
        <f>'Смета Внутр'!H1300</f>
        <v>0</v>
      </c>
    </row>
    <row r="1295" spans="2:6">
      <c r="B1295" s="3007" t="str">
        <f>'Смета Внутр'!B1301</f>
        <v xml:space="preserve">Пластина соеденительная 100х240х2           </v>
      </c>
      <c r="C1295" s="3008" t="str">
        <f>'Смета Внутр'!C1301</f>
        <v>шт</v>
      </c>
      <c r="D1295" s="3009">
        <f>'Смета Внутр'!D1301</f>
        <v>2</v>
      </c>
      <c r="E1295" s="3007"/>
      <c r="F1295" s="3016">
        <f>'Смета Внутр'!H1301</f>
        <v>0</v>
      </c>
    </row>
    <row r="1296" spans="2:6">
      <c r="B1296" s="3007" t="str">
        <f>'Смета Внутр'!B1302</f>
        <v>Нет пластин</v>
      </c>
      <c r="C1296" s="3008" t="str">
        <f>'Смета Внутр'!C1302</f>
        <v>шт</v>
      </c>
      <c r="D1296" s="3009">
        <f>'Смета Внутр'!D1302</f>
        <v>0</v>
      </c>
      <c r="E1296" s="3007"/>
      <c r="F1296" s="3012">
        <f>'Смета Внутр'!H1302</f>
        <v>0</v>
      </c>
    </row>
    <row r="1297" spans="2:6">
      <c r="B1297" s="3007" t="str">
        <f>'Смета Внутр'!B1303</f>
        <v xml:space="preserve">Болты анкерные с гайкой 12,0 x 100          </v>
      </c>
      <c r="C1297" s="3008" t="str">
        <f>'Смета Внутр'!C1303</f>
        <v>шт</v>
      </c>
      <c r="D1297" s="3009">
        <f>'Смета Внутр'!D1303</f>
        <v>6</v>
      </c>
      <c r="E1297" s="3007"/>
      <c r="F1297" s="3016">
        <f>'Смета Внутр'!H1303</f>
        <v>0</v>
      </c>
    </row>
    <row r="1298" spans="2:6">
      <c r="B1298" s="3007" t="str">
        <f>'Смета Внутр'!B1304</f>
        <v>Нет анкерных болтов</v>
      </c>
      <c r="C1298" s="3008" t="str">
        <f>'Смета Внутр'!C1304</f>
        <v>шт</v>
      </c>
      <c r="D1298" s="3009">
        <f>'Смета Внутр'!D1304</f>
        <v>0</v>
      </c>
      <c r="E1298" s="3007"/>
      <c r="F1298" s="3012">
        <f>'Смета Внутр'!H1304</f>
        <v>0</v>
      </c>
    </row>
    <row r="1299" spans="2:6">
      <c r="B1299" s="3007" t="str">
        <f>'Смета Внутр'!B1305</f>
        <v xml:space="preserve">Саморезы 3,5 x 45            </v>
      </c>
      <c r="C1299" s="3008" t="str">
        <f>'Смета Внутр'!C1305</f>
        <v>кг</v>
      </c>
      <c r="D1299" s="3009">
        <f>'Смета Внутр'!D1305</f>
        <v>0</v>
      </c>
      <c r="E1299" s="3007"/>
      <c r="F1299" s="3012">
        <f>'Смета Внутр'!H1305</f>
        <v>0</v>
      </c>
    </row>
    <row r="1300" spans="2:6">
      <c r="B1300" s="3007" t="str">
        <f>'Смета Внутр'!B1306</f>
        <v>Нет саморезов</v>
      </c>
      <c r="C1300" s="3008" t="str">
        <f>'Смета Внутр'!C1306</f>
        <v>кг</v>
      </c>
      <c r="D1300" s="3009">
        <f>'Смета Внутр'!D1306</f>
        <v>0</v>
      </c>
      <c r="E1300" s="3007"/>
      <c r="F1300" s="3012">
        <f>'Смета Внутр'!H1306</f>
        <v>0</v>
      </c>
    </row>
    <row r="1301" spans="2:6">
      <c r="B1301" s="3007" t="str">
        <f>'Смета Внутр'!B1307</f>
        <v xml:space="preserve">Гвозди строительные 2,5 x 60            </v>
      </c>
      <c r="C1301" s="3008" t="str">
        <f>'Смета Внутр'!C1307</f>
        <v>кг</v>
      </c>
      <c r="D1301" s="3009">
        <f>'Смета Внутр'!D1307</f>
        <v>1</v>
      </c>
      <c r="E1301" s="3007"/>
      <c r="F1301" s="3016">
        <f>'Смета Внутр'!H1307</f>
        <v>0</v>
      </c>
    </row>
    <row r="1302" spans="2:6">
      <c r="B1302" s="3007" t="str">
        <f>'Смета Внутр'!B1308</f>
        <v xml:space="preserve">Гвозди ершоные 3,4 x 60            </v>
      </c>
      <c r="C1302" s="3008" t="str">
        <f>'Смета Внутр'!C1308</f>
        <v>кг</v>
      </c>
      <c r="D1302" s="3009">
        <f>'Смета Внутр'!D1308</f>
        <v>1</v>
      </c>
      <c r="E1302" s="3007"/>
      <c r="F1302" s="3016">
        <f>'Смета Внутр'!H1308</f>
        <v>0</v>
      </c>
    </row>
    <row r="1303" spans="2:6">
      <c r="B1303" s="3311" t="str">
        <f>'Смета Внутр'!B1309</f>
        <v>Итого материалы</v>
      </c>
      <c r="C1303" s="3311"/>
      <c r="D1303" s="3311"/>
      <c r="E1303" s="3311"/>
      <c r="F1303" s="3010">
        <f>'Смета Внутр'!G1309</f>
        <v>0</v>
      </c>
    </row>
    <row r="1304" spans="2:6">
      <c r="B1304" s="3312" t="str">
        <f>'Смета Внутр'!B1310</f>
        <v>Работы</v>
      </c>
      <c r="C1304" s="3312"/>
      <c r="D1304" s="3312"/>
      <c r="E1304" s="3312"/>
      <c r="F1304" s="3015">
        <f>'Смета Внутр'!H1310</f>
        <v>0</v>
      </c>
    </row>
    <row r="1305" spans="2:6">
      <c r="B1305" s="3007" t="str">
        <f>'Смета Внутр'!B1311</f>
        <v>монтаж веранды/крыльцо</v>
      </c>
      <c r="C1305" s="3008" t="str">
        <f>'Смета Внутр'!C1311</f>
        <v>м2</v>
      </c>
      <c r="D1305" s="3009">
        <f>'Смета Внутр'!D1311</f>
        <v>3</v>
      </c>
      <c r="E1305" s="3007"/>
      <c r="F1305" s="3016">
        <f>'Смета Внутр'!H1311</f>
        <v>0</v>
      </c>
    </row>
    <row r="1306" spans="2:6">
      <c r="B1306" s="3311" t="str">
        <f>'Смета Внутр'!B1312</f>
        <v>Итого, работы</v>
      </c>
      <c r="C1306" s="3311"/>
      <c r="D1306" s="3311"/>
      <c r="E1306" s="3311"/>
      <c r="F1306" s="3010">
        <f>'Смета Внутр'!G1312</f>
        <v>0</v>
      </c>
    </row>
    <row r="1307" spans="2:6" ht="19">
      <c r="B1307" s="3313" t="str">
        <f>'Смета Внутр'!B1313</f>
        <v>Балкон</v>
      </c>
      <c r="C1307" s="3313"/>
      <c r="D1307" s="3313"/>
      <c r="E1307" s="3313"/>
      <c r="F1307" s="3011">
        <f>'Смета Внутр'!H1313</f>
        <v>0</v>
      </c>
    </row>
    <row r="1308" spans="2:6">
      <c r="B1308" s="3310" t="str">
        <f>'Смета Внутр'!B1314</f>
        <v>Материалы</v>
      </c>
      <c r="C1308" s="3310"/>
      <c r="D1308" s="3310"/>
      <c r="E1308" s="3310"/>
      <c r="F1308" s="3011">
        <f>'Смета Внутр'!H1314</f>
        <v>0</v>
      </c>
    </row>
    <row r="1309" spans="2:6">
      <c r="B1309" s="3007" t="str">
        <f>'Смета Внутр'!B1315</f>
        <v>Оцилиндрованное бревно сосна 260мм</v>
      </c>
      <c r="C1309" s="3008" t="str">
        <f>'Смета Внутр'!C1315</f>
        <v>м3</v>
      </c>
      <c r="D1309" s="3009">
        <f>'Смета Внутр'!D1315</f>
        <v>1.1700000000000002</v>
      </c>
      <c r="E1309" s="3007"/>
      <c r="F1309" s="3012">
        <f>'Смета Внутр'!H1315</f>
        <v>0</v>
      </c>
    </row>
    <row r="1310" spans="2:6">
      <c r="B1310" s="3007" t="str">
        <f>'Смета Внутр'!B1316</f>
        <v>Доска естественной влажности, 200*50мм</v>
      </c>
      <c r="C1310" s="3008" t="str">
        <f>'Смета Внутр'!C1316</f>
        <v>м3</v>
      </c>
      <c r="D1310" s="3009">
        <f>'Смета Внутр'!D1316</f>
        <v>9.0000000000000024E-2</v>
      </c>
      <c r="E1310" s="3007"/>
      <c r="F1310" s="3012">
        <f>'Смета Внутр'!H1316</f>
        <v>0</v>
      </c>
    </row>
    <row r="1311" spans="2:6">
      <c r="B1311" s="3007" t="str">
        <f>'Смета Внутр'!B1317</f>
        <v>Бензин для пилы</v>
      </c>
      <c r="C1311" s="3008" t="str">
        <f>'Смета Внутр'!C1317</f>
        <v>л</v>
      </c>
      <c r="D1311" s="3009">
        <f>'Смета Внутр'!D1317</f>
        <v>0.63000000000000012</v>
      </c>
      <c r="E1311" s="3007"/>
      <c r="F1311" s="3012">
        <f>'Смета Внутр'!H1317</f>
        <v>0</v>
      </c>
    </row>
    <row r="1312" spans="2:6">
      <c r="B1312" s="3007" t="str">
        <f>'Смета Внутр'!B1318</f>
        <v>Масло для пилы</v>
      </c>
      <c r="C1312" s="3008" t="str">
        <f>'Смета Внутр'!C1318</f>
        <v>л</v>
      </c>
      <c r="D1312" s="3009">
        <f>'Смета Внутр'!D1318</f>
        <v>5.2500000000000012E-2</v>
      </c>
      <c r="E1312" s="3007"/>
      <c r="F1312" s="3012">
        <f>'Смета Внутр'!H1318</f>
        <v>0</v>
      </c>
    </row>
    <row r="1313" spans="2:6">
      <c r="B1313" s="3007" t="str">
        <f>'Смета Внутр'!B1319</f>
        <v>Цепь для пилы</v>
      </c>
      <c r="C1313" s="3008" t="str">
        <f>'Смета Внутр'!C1319</f>
        <v>л</v>
      </c>
      <c r="D1313" s="3009">
        <f>'Смета Внутр'!D1319</f>
        <v>1</v>
      </c>
      <c r="E1313" s="3007"/>
      <c r="F1313" s="3012">
        <f>'Смета Внутр'!H1319</f>
        <v>0</v>
      </c>
    </row>
    <row r="1314" spans="2:6">
      <c r="B1314" s="3007" t="str">
        <f>'Смета Внутр'!B1320</f>
        <v>Гидроизоляция жидкая резина 1</v>
      </c>
      <c r="C1314" s="3008" t="str">
        <f>'Смета Внутр'!C1320</f>
        <v>кг</v>
      </c>
      <c r="D1314" s="3009">
        <f>'Смета Внутр'!D1320</f>
        <v>0</v>
      </c>
      <c r="E1314" s="3007"/>
      <c r="F1314" s="3012">
        <f>'Смета Внутр'!H1320</f>
        <v>0</v>
      </c>
    </row>
    <row r="1315" spans="2:6">
      <c r="B1315" s="3007" t="str">
        <f>'Смета Внутр'!B1321</f>
        <v>Kronospan - OSB-3, 22мм</v>
      </c>
      <c r="C1315" s="3008" t="str">
        <f>'Смета Внутр'!C1321</f>
        <v>м2</v>
      </c>
      <c r="D1315" s="3009">
        <f>'Смета Внутр'!D1321</f>
        <v>0</v>
      </c>
      <c r="E1315" s="3007"/>
      <c r="F1315" s="3012">
        <f>'Смета Внутр'!H1321</f>
        <v>0</v>
      </c>
    </row>
    <row r="1316" spans="2:6">
      <c r="B1316" s="3007" t="str">
        <f>'Смета Внутр'!B1322</f>
        <v>Проф.брус вл. 200*150мм</v>
      </c>
      <c r="C1316" s="3008" t="str">
        <f>'Смета Внутр'!C1322</f>
        <v>м3</v>
      </c>
      <c r="D1316" s="3009">
        <f>'Смета Внутр'!D1322</f>
        <v>0</v>
      </c>
      <c r="E1316" s="3007"/>
      <c r="F1316" s="3012">
        <f>'Смета Внутр'!H1322</f>
        <v>0</v>
      </c>
    </row>
    <row r="1317" spans="2:6">
      <c r="B1317" s="3007" t="str">
        <f>'Смета Внутр'!B1323</f>
        <v>Брус клееный проф 2 ламель кедр Шир. 240 выс. 140</v>
      </c>
      <c r="C1317" s="3008" t="str">
        <f>'Смета Внутр'!C1323</f>
        <v>м3</v>
      </c>
      <c r="D1317" s="3009">
        <f>'Смета Внутр'!D1323</f>
        <v>0</v>
      </c>
      <c r="E1317" s="3007"/>
      <c r="F1317" s="3012">
        <f>'Смета Внутр'!H1323</f>
        <v>0</v>
      </c>
    </row>
    <row r="1318" spans="2:6">
      <c r="B1318" s="3007" t="str">
        <f>'Смета Внутр'!B1324</f>
        <v>Брус клееный проф 1 ламель кедр Шир. 240 выс. 140</v>
      </c>
      <c r="C1318" s="3008" t="str">
        <f>'Смета Внутр'!C1324</f>
        <v>м3</v>
      </c>
      <c r="D1318" s="3009">
        <f>'Смета Внутр'!D1324</f>
        <v>0</v>
      </c>
      <c r="E1318" s="3007"/>
      <c r="F1318" s="3012">
        <f>'Смета Внутр'!H1324</f>
        <v>0</v>
      </c>
    </row>
    <row r="1319" spans="2:6">
      <c r="B1319" s="3007" t="str">
        <f>'Смета Внутр'!B1325</f>
        <v>Клееная накладка на перила шир 240мм</v>
      </c>
      <c r="C1319" s="3008" t="str">
        <f>'Смета Внутр'!C1325</f>
        <v>м.п.</v>
      </c>
      <c r="D1319" s="3009">
        <f>'Смета Внутр'!D1325</f>
        <v>0</v>
      </c>
      <c r="E1319" s="3007"/>
      <c r="F1319" s="3012">
        <f>'Смета Внутр'!H1325</f>
        <v>0</v>
      </c>
    </row>
    <row r="1320" spans="2:6">
      <c r="B1320" s="3311" t="str">
        <f>'Смета Внутр'!B1326</f>
        <v>Итого материалы</v>
      </c>
      <c r="C1320" s="3311"/>
      <c r="D1320" s="3311"/>
      <c r="E1320" s="3311"/>
      <c r="F1320" s="3014">
        <f>'Смета Внутр'!G1326</f>
        <v>0</v>
      </c>
    </row>
    <row r="1321" spans="2:6">
      <c r="B1321" s="3312" t="str">
        <f>'Смета Внутр'!B1327</f>
        <v>Работы</v>
      </c>
      <c r="C1321" s="3312"/>
      <c r="D1321" s="3312"/>
      <c r="E1321" s="3312"/>
      <c r="F1321" s="3011">
        <f>'Смета Внутр'!H1327</f>
        <v>0</v>
      </c>
    </row>
    <row r="1322" spans="2:6">
      <c r="B1322" s="3007" t="str">
        <f>'Смета Внутр'!B1328</f>
        <v>кладка бруса</v>
      </c>
      <c r="C1322" s="3008" t="str">
        <f>'Смета Внутр'!C1328</f>
        <v>м3</v>
      </c>
      <c r="D1322" s="3009">
        <f>'Смета Внутр'!D1328</f>
        <v>1.1700000000000002</v>
      </c>
      <c r="E1322" s="3007"/>
      <c r="F1322" s="3012">
        <f>'Смета Внутр'!H1328</f>
        <v>0</v>
      </c>
    </row>
    <row r="1323" spans="2:6">
      <c r="B1323" s="3007" t="str">
        <f>'Смета Внутр'!B1329</f>
        <v>Монтаж перекрытий из бруса</v>
      </c>
      <c r="C1323" s="3008" t="str">
        <f>'Смета Внутр'!C1329</f>
        <v>м2</v>
      </c>
      <c r="D1323" s="3009">
        <f>'Смета Внутр'!D1329</f>
        <v>3</v>
      </c>
      <c r="E1323" s="3007"/>
      <c r="F1323" s="3012">
        <f>'Смета Внутр'!H1329</f>
        <v>0</v>
      </c>
    </row>
    <row r="1324" spans="2:6">
      <c r="B1324" s="3007" t="str">
        <f>'Смета Внутр'!B1330</f>
        <v>Гидроизоляция рулонная</v>
      </c>
      <c r="C1324" s="3008" t="str">
        <f>'Смета Внутр'!C1330</f>
        <v>м2</v>
      </c>
      <c r="D1324" s="3009">
        <f>'Смета Внутр'!D1330</f>
        <v>0</v>
      </c>
      <c r="E1324" s="3007"/>
      <c r="F1324" s="3012">
        <f>'Смета Внутр'!H1330</f>
        <v>0</v>
      </c>
    </row>
    <row r="1325" spans="2:6">
      <c r="B1325" s="3007" t="str">
        <f>'Смета Внутр'!B1331</f>
        <v>монтаж OSB пол</v>
      </c>
      <c r="C1325" s="3008" t="str">
        <f>'Смета Внутр'!C1331</f>
        <v>м2</v>
      </c>
      <c r="D1325" s="3009">
        <f>'Смета Внутр'!D1331</f>
        <v>0</v>
      </c>
      <c r="E1325" s="3007"/>
      <c r="F1325" s="3012">
        <f>'Смета Внутр'!H1331</f>
        <v>0</v>
      </c>
    </row>
    <row r="1326" spans="2:6">
      <c r="B1326" s="3007" t="str">
        <f>'Смета Внутр'!B1332</f>
        <v>Монтаж перил</v>
      </c>
      <c r="C1326" s="3008" t="str">
        <f>'Смета Внутр'!C1332</f>
        <v>м.п.</v>
      </c>
      <c r="D1326" s="3009">
        <f>'Смета Внутр'!D1332</f>
        <v>0</v>
      </c>
      <c r="E1326" s="3007"/>
      <c r="F1326" s="3012">
        <f>'Смета Внутр'!H1332</f>
        <v>0</v>
      </c>
    </row>
    <row r="1327" spans="2:6">
      <c r="B1327" s="3007" t="str">
        <f>'Смета Внутр'!B1333</f>
        <v>Монтаж накладки на перила</v>
      </c>
      <c r="C1327" s="3008" t="str">
        <f>'Смета Внутр'!C1333</f>
        <v>м.п.</v>
      </c>
      <c r="D1327" s="3009">
        <f>'Смета Внутр'!D1333</f>
        <v>0</v>
      </c>
      <c r="E1327" s="3007"/>
      <c r="F1327" s="3012">
        <f>'Смета Внутр'!H1333</f>
        <v>0</v>
      </c>
    </row>
    <row r="1328" spans="2:6">
      <c r="B1328" s="3311" t="str">
        <f>'Смета Внутр'!B1334</f>
        <v>Итого работы</v>
      </c>
      <c r="C1328" s="3311"/>
      <c r="D1328" s="3311"/>
      <c r="E1328" s="3311"/>
      <c r="F1328" s="3014">
        <f>'Смета Внутр'!G1334</f>
        <v>0</v>
      </c>
    </row>
    <row r="1329" spans="2:6" ht="19">
      <c r="B1329" s="3313" t="str">
        <f>'Смета Внутр'!B1335</f>
        <v>Кровля односкатная</v>
      </c>
      <c r="C1329" s="3313"/>
      <c r="D1329" s="3313"/>
      <c r="E1329" s="3313"/>
      <c r="F1329" s="3011">
        <f>'Смета Внутр'!H1335</f>
        <v>0</v>
      </c>
    </row>
    <row r="1330" spans="2:6">
      <c r="B1330" s="3310" t="str">
        <f>'Смета Внутр'!B1336</f>
        <v>Материалы</v>
      </c>
      <c r="C1330" s="3310"/>
      <c r="D1330" s="3310"/>
      <c r="E1330" s="3310"/>
      <c r="F1330" s="3011">
        <f>'Смета Внутр'!H1336</f>
        <v>0</v>
      </c>
    </row>
    <row r="1331" spans="2:6">
      <c r="B1331" s="3007" t="str">
        <f>'Смета Внутр'!B1337</f>
        <v>нет</v>
      </c>
      <c r="C1331" s="3008" t="str">
        <f>'Смета Внутр'!C1337</f>
        <v>м3</v>
      </c>
      <c r="D1331" s="3009">
        <f>'Смета Внутр'!D1337</f>
        <v>0</v>
      </c>
      <c r="E1331" s="3007"/>
      <c r="F1331" s="3012">
        <f>'Смета Внутр'!H1337</f>
        <v>0</v>
      </c>
    </row>
    <row r="1332" spans="2:6">
      <c r="B1332" s="3007" t="str">
        <f>'Смета Внутр'!B1338</f>
        <v xml:space="preserve">Болты анкерные с гайкой 12,0 х 280          </v>
      </c>
      <c r="C1332" s="3008" t="str">
        <f>'Смета Внутр'!C1338</f>
        <v>шт</v>
      </c>
      <c r="D1332" s="3009">
        <f>'Смета Внутр'!D1338</f>
        <v>48.284271247461902</v>
      </c>
      <c r="E1332" s="3007"/>
      <c r="F1332" s="3012">
        <f>'Смета Внутр'!H1338</f>
        <v>0</v>
      </c>
    </row>
    <row r="1333" spans="2:6">
      <c r="B1333" s="3007" t="str">
        <f>'Смета Внутр'!B1339</f>
        <v>Доска сухая, 200*50мм</v>
      </c>
      <c r="C1333" s="3008" t="str">
        <f>'Смета Внутр'!C1339</f>
        <v>м3</v>
      </c>
      <c r="D1333" s="3009">
        <f>'Смета Внутр'!D1339</f>
        <v>7.2454148991380123</v>
      </c>
      <c r="E1333" s="3007"/>
      <c r="F1333" s="3012">
        <f>'Смета Внутр'!H1339</f>
        <v>0</v>
      </c>
    </row>
    <row r="1334" spans="2:6">
      <c r="B1334" s="3007" t="str">
        <f>'Смета Внутр'!B1340</f>
        <v xml:space="preserve">бугель, доска </v>
      </c>
      <c r="C1334" s="3008" t="str">
        <f>'Смета Внутр'!C1340</f>
        <v>м3</v>
      </c>
      <c r="D1334" s="3009">
        <f>'Смета Внутр'!D1340</f>
        <v>2.600000000000001</v>
      </c>
      <c r="E1334" s="3007"/>
      <c r="F1334" s="3012">
        <f>'Смета Внутр'!H1340</f>
        <v>0</v>
      </c>
    </row>
    <row r="1335" spans="2:6">
      <c r="B1335" s="3007" t="str">
        <f>'Смета Внутр'!B1341</f>
        <v>стойка под конек</v>
      </c>
      <c r="C1335" s="3008" t="str">
        <f>'Смета Внутр'!C1341</f>
        <v>м3</v>
      </c>
      <c r="D1335" s="3009">
        <f>'Смета Внутр'!D1341</f>
        <v>1.3000000000000005</v>
      </c>
      <c r="E1335" s="3007"/>
      <c r="F1335" s="3012">
        <f>'Смета Внутр'!H1341</f>
        <v>0</v>
      </c>
    </row>
    <row r="1336" spans="2:6">
      <c r="B1336" s="3007" t="str">
        <f>'Смета Внутр'!B1342</f>
        <v>Сосна влаж,100*25мм</v>
      </c>
      <c r="C1336" s="3008" t="str">
        <f>'Смета Внутр'!C1342</f>
        <v>м3</v>
      </c>
      <c r="D1336" s="3009">
        <f>'Смета Внутр'!D1342</f>
        <v>1.2058969414096354</v>
      </c>
      <c r="E1336" s="3007"/>
      <c r="F1336" s="3012">
        <f>'Смета Внутр'!H1342</f>
        <v>0</v>
      </c>
    </row>
    <row r="1337" spans="2:6">
      <c r="B1337" s="3007" t="str">
        <f>'Смета Внутр'!B1343</f>
        <v>Сосна влаж, 50*50мм</v>
      </c>
      <c r="C1337" s="3008" t="str">
        <f>'Смета Внутр'!C1343</f>
        <v>м3</v>
      </c>
      <c r="D1337" s="3009">
        <f>'Смета Внутр'!D1343</f>
        <v>1.004914117841363</v>
      </c>
      <c r="E1337" s="3007"/>
      <c r="F1337" s="3012">
        <f>'Смета Внутр'!H1343</f>
        <v>0</v>
      </c>
    </row>
    <row r="1338" spans="2:6">
      <c r="B1338" s="3007" t="str">
        <f>'Смета Внутр'!B1344</f>
        <v>Нет</v>
      </c>
      <c r="C1338" s="3008" t="str">
        <f>'Смета Внутр'!C1344</f>
        <v>м3</v>
      </c>
      <c r="D1338" s="3009">
        <f>'Смета Внутр'!D1344</f>
        <v>0</v>
      </c>
      <c r="E1338" s="3007"/>
      <c r="F1338" s="3012">
        <f>'Смета Внутр'!H1344</f>
        <v>0</v>
      </c>
    </row>
    <row r="1339" spans="2:6">
      <c r="B1339" s="3007" t="str">
        <f>'Смета Внутр'!B1345</f>
        <v>Гидрокомпенсатор</v>
      </c>
      <c r="C1339" s="3008" t="str">
        <f>'Смета Внутр'!C1345</f>
        <v>шт</v>
      </c>
      <c r="D1339" s="3009">
        <f>'Смета Внутр'!D1345</f>
        <v>0</v>
      </c>
      <c r="E1339" s="3007"/>
      <c r="F1339" s="3012">
        <f>'Смета Внутр'!H1345</f>
        <v>0</v>
      </c>
    </row>
    <row r="1340" spans="2:6">
      <c r="B1340" s="3007" t="str">
        <f>'Смета Внутр'!B1346</f>
        <v>Мембрана MD90</v>
      </c>
      <c r="C1340" s="3008" t="str">
        <f>'Смета Внутр'!C1346</f>
        <v>м2</v>
      </c>
      <c r="D1340" s="3009">
        <f>'Смета Внутр'!D1346</f>
        <v>192.94351062554165</v>
      </c>
      <c r="E1340" s="3007"/>
      <c r="F1340" s="3012">
        <f>'Смета Внутр'!H1346</f>
        <v>0</v>
      </c>
    </row>
    <row r="1341" spans="2:6">
      <c r="B1341" s="3007" t="str">
        <f>'Смета Внутр'!B1347</f>
        <v>Мембрана Tyvek AirGuard Reflective</v>
      </c>
      <c r="C1341" s="3008" t="str">
        <f>'Смета Внутр'!C1347</f>
        <v>м2</v>
      </c>
      <c r="D1341" s="3009">
        <f>'Смета Внутр'!D1347</f>
        <v>139.75424859373686</v>
      </c>
      <c r="E1341" s="3007"/>
      <c r="F1341" s="3012">
        <f>'Смета Внутр'!H1347</f>
        <v>0</v>
      </c>
    </row>
    <row r="1342" spans="2:6">
      <c r="B1342" s="3007" t="str">
        <f>'Смета Внутр'!B1348</f>
        <v>Плитный,28кг/м3, технониколь, 200мм</v>
      </c>
      <c r="C1342" s="3008" t="str">
        <f>'Смета Внутр'!C1348</f>
        <v>м3</v>
      </c>
      <c r="D1342" s="3009">
        <f>'Смета Внутр'!D1348</f>
        <v>22.360679774997898</v>
      </c>
      <c r="E1342" s="3007"/>
      <c r="F1342" s="3012">
        <f>'Смета Внутр'!H1348</f>
        <v>0</v>
      </c>
    </row>
    <row r="1343" spans="2:6">
      <c r="B1343" s="3007" t="str">
        <f>'Смета Внутр'!B1349</f>
        <v>Металлочерепица</v>
      </c>
      <c r="C1343" s="3008" t="str">
        <f>'Смета Внутр'!C1349</f>
        <v>м2</v>
      </c>
      <c r="D1343" s="3009">
        <f>'Смета Внутр'!D1349</f>
        <v>192.94351062554165</v>
      </c>
      <c r="E1343" s="3007"/>
      <c r="F1343" s="3012">
        <f>'Смета Внутр'!H1349</f>
        <v>0</v>
      </c>
    </row>
    <row r="1344" spans="2:6">
      <c r="B1344" s="3007" t="str">
        <f>'Смета Внутр'!B1350</f>
        <v>Карнизная планка</v>
      </c>
      <c r="C1344" s="3008" t="str">
        <f>'Смета Внутр'!C1350</f>
        <v>м.п.</v>
      </c>
      <c r="D1344" s="3009">
        <f>'Смета Внутр'!D1350</f>
        <v>14.278000000000004</v>
      </c>
      <c r="E1344" s="3007"/>
      <c r="F1344" s="3012">
        <f>'Смета Внутр'!H1350</f>
        <v>0</v>
      </c>
    </row>
    <row r="1345" spans="2:6">
      <c r="B1345" s="3007" t="str">
        <f>'Смета Внутр'!B1351</f>
        <v>Торцевая планка</v>
      </c>
      <c r="C1345" s="3008" t="str">
        <f>'Смета Внутр'!C1351</f>
        <v>м.п.</v>
      </c>
      <c r="D1345" s="3009">
        <f>'Смета Внутр'!D1351</f>
        <v>41.838455040691507</v>
      </c>
      <c r="E1345" s="3007"/>
      <c r="F1345" s="3012">
        <f>'Смета Внутр'!H1351</f>
        <v>0</v>
      </c>
    </row>
    <row r="1346" spans="2:6">
      <c r="B1346" s="3007" t="str">
        <f>'Смета Внутр'!B1352</f>
        <v>Конек</v>
      </c>
      <c r="C1346" s="3008" t="str">
        <f>'Смета Внутр'!C1352</f>
        <v>м.п.</v>
      </c>
      <c r="D1346" s="3009">
        <f>'Смета Внутр'!D1352</f>
        <v>12.980000000000002</v>
      </c>
      <c r="E1346" s="3007"/>
      <c r="F1346" s="3012">
        <f>'Смета Внутр'!H1352</f>
        <v>0</v>
      </c>
    </row>
    <row r="1347" spans="2:6">
      <c r="B1347" s="3007" t="str">
        <f>'Смета Внутр'!B1353</f>
        <v>ондулин</v>
      </c>
      <c r="C1347" s="3008" t="str">
        <f>'Смета Внутр'!C1353</f>
        <v>м2</v>
      </c>
      <c r="D1347" s="3009">
        <f>'Смета Внутр'!D1353</f>
        <v>0</v>
      </c>
      <c r="E1347" s="3007"/>
      <c r="F1347" s="3012">
        <f>'Смета Внутр'!H1353</f>
        <v>0</v>
      </c>
    </row>
    <row r="1348" spans="2:6">
      <c r="B1348" s="3007" t="str">
        <f>'Смета Внутр'!B1354</f>
        <v>Карнизная планка</v>
      </c>
      <c r="C1348" s="3008" t="str">
        <f>'Смета Внутр'!C1354</f>
        <v>м.п.</v>
      </c>
      <c r="D1348" s="3009">
        <f>'Смета Внутр'!D1354</f>
        <v>0</v>
      </c>
      <c r="E1348" s="3007"/>
      <c r="F1348" s="3012">
        <f>'Смета Внутр'!H1354</f>
        <v>0</v>
      </c>
    </row>
    <row r="1349" spans="2:6">
      <c r="B1349" s="3007" t="str">
        <f>'Смета Внутр'!B1355</f>
        <v>Торцевая планка</v>
      </c>
      <c r="C1349" s="3008" t="str">
        <f>'Смета Внутр'!C1355</f>
        <v>м.п.</v>
      </c>
      <c r="D1349" s="3009">
        <f>'Смета Внутр'!D1355</f>
        <v>0</v>
      </c>
      <c r="E1349" s="3007"/>
      <c r="F1349" s="3012">
        <f>'Смета Внутр'!H1355</f>
        <v>0</v>
      </c>
    </row>
    <row r="1350" spans="2:6">
      <c r="B1350" s="3007" t="str">
        <f>'Смета Внутр'!B1356</f>
        <v>Конек</v>
      </c>
      <c r="C1350" s="3008" t="str">
        <f>'Смета Внутр'!C1356</f>
        <v>м.п</v>
      </c>
      <c r="D1350" s="3009">
        <f>'Смета Внутр'!D1356</f>
        <v>0</v>
      </c>
      <c r="E1350" s="3007"/>
      <c r="F1350" s="3012">
        <f>'Смета Внутр'!H1356</f>
        <v>0</v>
      </c>
    </row>
    <row r="1351" spans="2:6">
      <c r="B1351" s="3007" t="str">
        <f>'Смета Внутр'!B1357</f>
        <v>Ендова нижняя</v>
      </c>
      <c r="C1351" s="3008" t="str">
        <f>'Смета Внутр'!C1357</f>
        <v>м.п.</v>
      </c>
      <c r="D1351" s="3009">
        <f>'Смета Внутр'!D1357</f>
        <v>0</v>
      </c>
      <c r="E1351" s="3007"/>
      <c r="F1351" s="3012">
        <f>'Смета Внутр'!H1357</f>
        <v>0</v>
      </c>
    </row>
    <row r="1352" spans="2:6">
      <c r="B1352" s="3007" t="str">
        <f>'Смета Внутр'!B1358</f>
        <v>Ендова верхняя</v>
      </c>
      <c r="C1352" s="3008" t="str">
        <f>'Смета Внутр'!C1358</f>
        <v>м.п.</v>
      </c>
      <c r="D1352" s="3009">
        <f>'Смета Внутр'!D1358</f>
        <v>0</v>
      </c>
      <c r="E1352" s="3007"/>
      <c r="F1352" s="3012">
        <f>'Смета Внутр'!H1358</f>
        <v>0</v>
      </c>
    </row>
    <row r="1353" spans="2:6">
      <c r="B1353" s="3007" t="str">
        <f>'Смета Внутр'!B1359</f>
        <v>Планка примыкания</v>
      </c>
      <c r="C1353" s="3008" t="str">
        <f>'Смета Внутр'!C1359</f>
        <v>м.п.</v>
      </c>
      <c r="D1353" s="3009">
        <f>'Смета Внутр'!D1359</f>
        <v>0</v>
      </c>
      <c r="E1353" s="3007"/>
      <c r="F1353" s="3012">
        <f>'Смета Внутр'!H1359</f>
        <v>0</v>
      </c>
    </row>
    <row r="1354" spans="2:6">
      <c r="B1354" s="3007" t="str">
        <f>'Смета Внутр'!B1360</f>
        <v>Крепеж для ондулина</v>
      </c>
      <c r="C1354" s="3008" t="str">
        <f>'Смета Внутр'!C1360</f>
        <v>шт</v>
      </c>
      <c r="D1354" s="3009">
        <f>'Смета Внутр'!D1360</f>
        <v>0</v>
      </c>
      <c r="E1354" s="3007"/>
      <c r="F1354" s="3012">
        <f>'Смета Внутр'!H1360</f>
        <v>0</v>
      </c>
    </row>
    <row r="1355" spans="2:6">
      <c r="B1355" s="3007" t="str">
        <f>'Смета Внутр'!B1361</f>
        <v>нет</v>
      </c>
      <c r="C1355" s="3008" t="str">
        <f>'Смета Внутр'!C1361</f>
        <v>м2</v>
      </c>
      <c r="D1355" s="3009">
        <f>'Смета Внутр'!D1361</f>
        <v>197.23772248655607</v>
      </c>
      <c r="E1355" s="3007"/>
      <c r="F1355" s="3012">
        <f>'Смета Внутр'!H1361</f>
        <v>0</v>
      </c>
    </row>
    <row r="1356" spans="2:6">
      <c r="B1356" s="3007" t="str">
        <f>'Смета Внутр'!B1362</f>
        <v>Рядовая черепица</v>
      </c>
      <c r="C1356" s="3008" t="str">
        <f>'Смета Внутр'!C1362</f>
        <v>м2</v>
      </c>
      <c r="D1356" s="3009">
        <f>'Смета Внутр'!D1362</f>
        <v>0</v>
      </c>
      <c r="E1356" s="3007"/>
      <c r="F1356" s="3012">
        <f>'Смета Внутр'!H1362</f>
        <v>0</v>
      </c>
    </row>
    <row r="1357" spans="2:6">
      <c r="B1357" s="3007" t="str">
        <f>'Смета Внутр'!B1363</f>
        <v>Металл оцинк защита (карниз)</v>
      </c>
      <c r="C1357" s="3008" t="str">
        <f>'Смета Внутр'!C1363</f>
        <v>м.п.</v>
      </c>
      <c r="D1357" s="3009">
        <f>'Смета Внутр'!D1363</f>
        <v>0</v>
      </c>
      <c r="E1357" s="3007"/>
      <c r="F1357" s="3012">
        <f>'Смета Внутр'!H1363</f>
        <v>0</v>
      </c>
    </row>
    <row r="1358" spans="2:6">
      <c r="B1358" s="3007" t="str">
        <f>'Смета Внутр'!B1364</f>
        <v>Подкладочный ковер</v>
      </c>
      <c r="C1358" s="3008" t="str">
        <f>'Смета Внутр'!C1364</f>
        <v>м.п.</v>
      </c>
      <c r="D1358" s="3009">
        <f>'Смета Внутр'!D1364</f>
        <v>0</v>
      </c>
      <c r="E1358" s="3007"/>
      <c r="F1358" s="3012">
        <f>'Смета Внутр'!H1364</f>
        <v>0</v>
      </c>
    </row>
    <row r="1359" spans="2:6">
      <c r="B1359" s="3007" t="str">
        <f>'Смета Внутр'!B1365</f>
        <v>Карнизная самоклеющаяся черепица</v>
      </c>
      <c r="C1359" s="3008" t="str">
        <f>'Смета Внутр'!C1365</f>
        <v>м.п.</v>
      </c>
      <c r="D1359" s="3009">
        <f>'Смета Внутр'!D1365</f>
        <v>0</v>
      </c>
      <c r="E1359" s="3007"/>
      <c r="F1359" s="3012">
        <f>'Смета Внутр'!H1365</f>
        <v>0</v>
      </c>
    </row>
    <row r="1360" spans="2:6">
      <c r="B1360" s="3007" t="str">
        <f>'Смета Внутр'!B1366</f>
        <v>Спец ковер ендова нижняя</v>
      </c>
      <c r="C1360" s="3008" t="str">
        <f>'Смета Внутр'!C1366</f>
        <v>м.п.</v>
      </c>
      <c r="D1360" s="3009">
        <f>'Смета Внутр'!D1366</f>
        <v>0</v>
      </c>
      <c r="E1360" s="3007"/>
      <c r="F1360" s="3012">
        <f>'Смета Внутр'!H1366</f>
        <v>0</v>
      </c>
    </row>
    <row r="1361" spans="2:6">
      <c r="B1361" s="3007" t="str">
        <f>'Смета Внутр'!B1367</f>
        <v>Коньковой элемент</v>
      </c>
      <c r="C1361" s="3008" t="str">
        <f>'Смета Внутр'!C1367</f>
        <v>м.п.</v>
      </c>
      <c r="D1361" s="3009">
        <f>'Смета Внутр'!D1367</f>
        <v>0</v>
      </c>
      <c r="E1361" s="3007"/>
      <c r="F1361" s="3012">
        <f>'Смета Внутр'!H1367</f>
        <v>0</v>
      </c>
    </row>
    <row r="1362" spans="2:6">
      <c r="B1362" s="3007" t="str">
        <f>'Смета Внутр'!B1368</f>
        <v>Планка премыкания</v>
      </c>
      <c r="C1362" s="3008" t="str">
        <f>'Смета Внутр'!C1368</f>
        <v>м.п.</v>
      </c>
      <c r="D1362" s="3009">
        <f>'Смета Внутр'!D1368</f>
        <v>0</v>
      </c>
      <c r="E1362" s="3007"/>
      <c r="F1362" s="3012">
        <f>'Смета Внутр'!H1368</f>
        <v>0</v>
      </c>
    </row>
    <row r="1363" spans="2:6">
      <c r="B1363" s="3007" t="str">
        <f>'Смета Внутр'!B1369</f>
        <v>Гвозди для крепления подкладочного ковра</v>
      </c>
      <c r="C1363" s="3008" t="str">
        <f>'Смета Внутр'!C1369</f>
        <v>шт</v>
      </c>
      <c r="D1363" s="3009">
        <f>'Смета Внутр'!D1369</f>
        <v>0</v>
      </c>
      <c r="E1363" s="3007"/>
      <c r="F1363" s="3012">
        <f>'Смета Внутр'!H1369</f>
        <v>0</v>
      </c>
    </row>
    <row r="1364" spans="2:6">
      <c r="B1364" s="3007" t="str">
        <f>'Смета Внутр'!B1370</f>
        <v>Гвозди для крепления черепицы</v>
      </c>
      <c r="C1364" s="3008" t="str">
        <f>'Смета Внутр'!C1370</f>
        <v>шт</v>
      </c>
      <c r="D1364" s="3009">
        <f>'Смета Внутр'!D1370</f>
        <v>0</v>
      </c>
      <c r="E1364" s="3007"/>
      <c r="F1364" s="3012">
        <f>'Смета Внутр'!H1370</f>
        <v>0</v>
      </c>
    </row>
    <row r="1365" spans="2:6">
      <c r="B1365" s="3007" t="str">
        <f>'Смета Внутр'!B1371</f>
        <v>Клей для монтажа черепицы</v>
      </c>
      <c r="C1365" s="3008" t="str">
        <f>'Смета Внутр'!C1371</f>
        <v>кг</v>
      </c>
      <c r="D1365" s="3009">
        <f>'Смета Внутр'!D1371</f>
        <v>0</v>
      </c>
      <c r="E1365" s="3007"/>
      <c r="F1365" s="3012">
        <f>'Смета Внутр'!H1371</f>
        <v>0</v>
      </c>
    </row>
    <row r="1366" spans="2:6">
      <c r="B1366" s="3007" t="str">
        <f>'Смета Внутр'!B1372</f>
        <v>желоб</v>
      </c>
      <c r="C1366" s="3008" t="str">
        <f>'Смета Внутр'!C1372</f>
        <v>м.п</v>
      </c>
      <c r="D1366" s="3009">
        <f>'Смета Внутр'!D1372</f>
        <v>11.8</v>
      </c>
      <c r="E1366" s="3007"/>
      <c r="F1366" s="3012">
        <f>'Смета Внутр'!H1372</f>
        <v>0</v>
      </c>
    </row>
    <row r="1367" spans="2:6">
      <c r="B1367" s="3007" t="str">
        <f>'Смета Внутр'!B1373</f>
        <v>отвод</v>
      </c>
      <c r="C1367" s="3008" t="str">
        <f>'Смета Внутр'!C1373</f>
        <v>шт</v>
      </c>
      <c r="D1367" s="3009">
        <f>'Смета Внутр'!D1373</f>
        <v>2</v>
      </c>
      <c r="E1367" s="3007"/>
      <c r="F1367" s="3012">
        <f>'Смета Внутр'!H1373</f>
        <v>0</v>
      </c>
    </row>
    <row r="1368" spans="2:6">
      <c r="B1368" s="3007" t="str">
        <f>'Смета Внутр'!B1374</f>
        <v>труба водосточная</v>
      </c>
      <c r="C1368" s="3008" t="str">
        <f>'Смета Внутр'!C1374</f>
        <v>м.п.</v>
      </c>
      <c r="D1368" s="3009">
        <f>'Смета Внутр'!D1374</f>
        <v>8.4</v>
      </c>
      <c r="E1368" s="3007"/>
      <c r="F1368" s="3012">
        <f>'Смета Внутр'!H1374</f>
        <v>0</v>
      </c>
    </row>
    <row r="1369" spans="2:6">
      <c r="B1369" s="3007" t="str">
        <f>'Смета Внутр'!B1375</f>
        <v>заглушка для желоба</v>
      </c>
      <c r="C1369" s="3008" t="str">
        <f>'Смета Внутр'!C1375</f>
        <v>шт</v>
      </c>
      <c r="D1369" s="3009">
        <f>'Смета Внутр'!D1375</f>
        <v>2</v>
      </c>
      <c r="E1369" s="3007"/>
      <c r="F1369" s="3012">
        <f>'Смета Внутр'!H1375</f>
        <v>0</v>
      </c>
    </row>
    <row r="1370" spans="2:6">
      <c r="B1370" s="3007" t="str">
        <f>'Смета Внутр'!B1376</f>
        <v>соеденитель для желоба</v>
      </c>
      <c r="C1370" s="3008" t="str">
        <f>'Смета Внутр'!C1376</f>
        <v>шт</v>
      </c>
      <c r="D1370" s="3009">
        <f>'Смета Внутр'!D1376</f>
        <v>7</v>
      </c>
      <c r="E1370" s="3007"/>
      <c r="F1370" s="3012">
        <f>'Смета Внутр'!H1376</f>
        <v>0</v>
      </c>
    </row>
    <row r="1371" spans="2:6">
      <c r="B1371" s="3007" t="str">
        <f>'Смета Внутр'!B1377</f>
        <v>кронштейн для желоба</v>
      </c>
      <c r="C1371" s="3008" t="str">
        <f>'Смета Внутр'!C1377</f>
        <v>шт</v>
      </c>
      <c r="D1371" s="3009">
        <f>'Смета Внутр'!D1377</f>
        <v>33.5</v>
      </c>
      <c r="E1371" s="3007"/>
      <c r="F1371" s="3012">
        <f>'Смета Внутр'!H1377</f>
        <v>0</v>
      </c>
    </row>
    <row r="1372" spans="2:6">
      <c r="B1372" s="3007" t="str">
        <f>'Смета Внутр'!B1378</f>
        <v>переход из желоба в трубу</v>
      </c>
      <c r="C1372" s="3008" t="str">
        <f>'Смета Внутр'!C1378</f>
        <v>шт</v>
      </c>
      <c r="D1372" s="3009">
        <f>'Смета Внутр'!D1378</f>
        <v>2</v>
      </c>
      <c r="E1372" s="3007"/>
      <c r="F1372" s="3012">
        <f>'Смета Внутр'!H1378</f>
        <v>0</v>
      </c>
    </row>
    <row r="1373" spans="2:6">
      <c r="B1373" s="3007" t="str">
        <f>'Смета Внутр'!B1379</f>
        <v>лента дельта мульти бэнд</v>
      </c>
      <c r="C1373" s="3008" t="str">
        <f>'Смета Внутр'!C1379</f>
        <v>шт</v>
      </c>
      <c r="D1373" s="3009">
        <f>'Смета Внутр'!D1379</f>
        <v>3</v>
      </c>
      <c r="E1373" s="3007"/>
      <c r="F1373" s="3012">
        <f>'Смета Внутр'!H1379</f>
        <v>0</v>
      </c>
    </row>
    <row r="1374" spans="2:6">
      <c r="B1374" s="3007" t="str">
        <f>'Смета Внутр'!B1380</f>
        <v>лента дельта sb-60</v>
      </c>
      <c r="C1374" s="3008" t="str">
        <f>'Смета Внутр'!C1380</f>
        <v>шт</v>
      </c>
      <c r="D1374" s="3009">
        <f>'Смета Внутр'!D1380</f>
        <v>10</v>
      </c>
      <c r="E1374" s="3007"/>
      <c r="F1374" s="3012">
        <f>'Смета Внутр'!H1380</f>
        <v>0</v>
      </c>
    </row>
    <row r="1375" spans="2:6">
      <c r="B1375" s="3007" t="str">
        <f>'Смета Внутр'!B1381</f>
        <v>проходка кровельная, канализационная</v>
      </c>
      <c r="C1375" s="3008" t="str">
        <f>'Смета Внутр'!C1381</f>
        <v>шт</v>
      </c>
      <c r="D1375" s="3009">
        <f>'Смета Внутр'!D1381</f>
        <v>0</v>
      </c>
      <c r="E1375" s="3007"/>
      <c r="F1375" s="3012">
        <f>'Смета Внутр'!H1381</f>
        <v>0</v>
      </c>
    </row>
    <row r="1376" spans="2:6">
      <c r="B1376" s="3007" t="str">
        <f>'Смета Внутр'!B1382</f>
        <v>проходка кровельная, вентиляционная</v>
      </c>
      <c r="C1376" s="3008" t="str">
        <f>'Смета Внутр'!C1382</f>
        <v>шт</v>
      </c>
      <c r="D1376" s="3009">
        <f>'Смета Внутр'!D1382</f>
        <v>0</v>
      </c>
      <c r="E1376" s="3007"/>
      <c r="F1376" s="3012">
        <f>'Смета Внутр'!H1382</f>
        <v>0</v>
      </c>
    </row>
    <row r="1377" spans="2:6">
      <c r="B1377" s="3007" t="str">
        <f>'Смета Внутр'!B1383</f>
        <v>проодка кровельная, труба котел</v>
      </c>
      <c r="C1377" s="3008" t="str">
        <f>'Смета Внутр'!C1383</f>
        <v>шт</v>
      </c>
      <c r="D1377" s="3009">
        <f>'Смета Внутр'!D1383</f>
        <v>0</v>
      </c>
      <c r="E1377" s="3007"/>
      <c r="F1377" s="3012">
        <f>'Смета Внутр'!H1383</f>
        <v>0</v>
      </c>
    </row>
    <row r="1378" spans="2:6">
      <c r="B1378" s="3007" t="str">
        <f>'Смета Внутр'!B1384</f>
        <v>Кровельный саморез</v>
      </c>
      <c r="C1378" s="3008" t="str">
        <f>'Смета Внутр'!C1384</f>
        <v>шт</v>
      </c>
      <c r="D1378" s="3009">
        <f>'Смета Внутр'!D1384</f>
        <v>2315.3221275064998</v>
      </c>
      <c r="E1378" s="3007"/>
      <c r="F1378" s="3012">
        <f>'Смета Внутр'!H1384</f>
        <v>0</v>
      </c>
    </row>
    <row r="1379" spans="2:6">
      <c r="B1379" s="3007" t="str">
        <f>'Смета Внутр'!B1385</f>
        <v xml:space="preserve">Гвозди ершоные 3,4 x 60            </v>
      </c>
      <c r="C1379" s="3008" t="str">
        <f>'Смета Внутр'!C1385</f>
        <v>кг</v>
      </c>
      <c r="D1379" s="3009">
        <f>'Смета Внутр'!D1385</f>
        <v>16.078625885461804</v>
      </c>
      <c r="E1379" s="3007"/>
      <c r="F1379" s="3012">
        <f>'Смета Внутр'!H1385</f>
        <v>0</v>
      </c>
    </row>
    <row r="1380" spans="2:6">
      <c r="B1380" s="3007" t="str">
        <f>'Смета Внутр'!B1386</f>
        <v xml:space="preserve">Гвозди ершоные 2,8 х 90            </v>
      </c>
      <c r="C1380" s="3008" t="str">
        <f>'Смета Внутр'!C1386</f>
        <v>кг</v>
      </c>
      <c r="D1380" s="3009">
        <f>'Смета Внутр'!D1386</f>
        <v>36.450987050938132</v>
      </c>
      <c r="E1380" s="3007"/>
      <c r="F1380" s="3012">
        <f>'Смета Внутр'!H1386</f>
        <v>0</v>
      </c>
    </row>
    <row r="1381" spans="2:6">
      <c r="B1381" s="3007" t="str">
        <f>'Смета Внутр'!B1387</f>
        <v xml:space="preserve">Пластина соеденительная 100х240х2           </v>
      </c>
      <c r="C1381" s="3008" t="str">
        <f>'Смета Внутр'!C1387</f>
        <v>шт</v>
      </c>
      <c r="D1381" s="3009">
        <f>'Смета Внутр'!D1387</f>
        <v>0</v>
      </c>
      <c r="E1381" s="3007"/>
      <c r="F1381" s="3012">
        <f>'Смета Внутр'!H1387</f>
        <v>0</v>
      </c>
    </row>
    <row r="1382" spans="2:6">
      <c r="B1382" s="3007" t="str">
        <f>'Смета Внутр'!B1388</f>
        <v xml:space="preserve">Уголок усиленный 90х70х55х2,5        </v>
      </c>
      <c r="C1382" s="3008" t="str">
        <f>'Смета Внутр'!C1388</f>
        <v>шт</v>
      </c>
      <c r="D1382" s="3009">
        <f>'Смета Внутр'!D1388</f>
        <v>65</v>
      </c>
      <c r="E1382" s="3007"/>
      <c r="F1382" s="3012">
        <f>'Смета Внутр'!H1388</f>
        <v>0</v>
      </c>
    </row>
    <row r="1383" spans="2:6">
      <c r="B1383" s="3311" t="str">
        <f>'Смета Внутр'!B1389</f>
        <v>Итого материалы</v>
      </c>
      <c r="C1383" s="3311"/>
      <c r="D1383" s="3311"/>
      <c r="E1383" s="3311"/>
      <c r="F1383" s="3014">
        <f>'Смета Внутр'!G1389</f>
        <v>0</v>
      </c>
    </row>
    <row r="1384" spans="2:6">
      <c r="B1384" s="3312" t="str">
        <f>'Смета Внутр'!B1390</f>
        <v>Работы</v>
      </c>
      <c r="C1384" s="3312"/>
      <c r="D1384" s="3312"/>
      <c r="E1384" s="3312"/>
      <c r="F1384" s="3011">
        <f>'Смета Внутр'!H1390</f>
        <v>0</v>
      </c>
    </row>
    <row r="1385" spans="2:6">
      <c r="B1385" s="3007" t="str">
        <f>'Смета Внутр'!B1391</f>
        <v>монтаж мауэрлата</v>
      </c>
      <c r="C1385" s="3008" t="str">
        <f>'Смета Внутр'!C1391</f>
        <v>м.п.</v>
      </c>
      <c r="D1385" s="3009">
        <f>'Смета Внутр'!D1391</f>
        <v>42.360679774997898</v>
      </c>
      <c r="E1385" s="3007"/>
      <c r="F1385" s="3012">
        <f>'Смета Внутр'!H1391</f>
        <v>0</v>
      </c>
    </row>
    <row r="1386" spans="2:6">
      <c r="B1386" s="3007" t="str">
        <f>'Смета Внутр'!B1392</f>
        <v>монтаж стропил</v>
      </c>
      <c r="C1386" s="3008" t="str">
        <f>'Смета Внутр'!C1392</f>
        <v>м2</v>
      </c>
      <c r="D1386" s="3009">
        <f>'Смета Внутр'!D1392</f>
        <v>160.78625885461804</v>
      </c>
      <c r="E1386" s="3007"/>
      <c r="F1386" s="3012">
        <f>'Смета Внутр'!H1392</f>
        <v>0</v>
      </c>
    </row>
    <row r="1387" spans="2:6">
      <c r="B1387" s="3007" t="str">
        <f>'Смета Внутр'!B1393</f>
        <v>обрешетка</v>
      </c>
      <c r="C1387" s="3008" t="str">
        <f>'Смета Внутр'!C1393</f>
        <v>м2</v>
      </c>
      <c r="D1387" s="3009">
        <f>'Смета Внутр'!D1393</f>
        <v>160.78625885461804</v>
      </c>
      <c r="E1387" s="3007"/>
      <c r="F1387" s="3012">
        <f>'Смета Внутр'!H1393</f>
        <v>0</v>
      </c>
    </row>
    <row r="1388" spans="2:6">
      <c r="B1388" s="3007" t="str">
        <f>'Смета Внутр'!B1394</f>
        <v>контробеш</v>
      </c>
      <c r="C1388" s="3008" t="str">
        <f>'Смета Внутр'!C1394</f>
        <v>м2</v>
      </c>
      <c r="D1388" s="3009">
        <f>'Смета Внутр'!D1394</f>
        <v>160.78625885461804</v>
      </c>
      <c r="E1388" s="3007"/>
      <c r="F1388" s="3012">
        <f>'Смета Внутр'!H1394</f>
        <v>0</v>
      </c>
    </row>
    <row r="1389" spans="2:6">
      <c r="B1389" s="3007" t="str">
        <f>'Смета Внутр'!B1395</f>
        <v>Монтаж металлочерепицы</v>
      </c>
      <c r="C1389" s="3008" t="str">
        <f>'Смета Внутр'!C1395</f>
        <v>м2</v>
      </c>
      <c r="D1389" s="3009">
        <f>'Смета Внутр'!D1395</f>
        <v>160.78625885461804</v>
      </c>
      <c r="E1389" s="3007"/>
      <c r="F1389" s="3012">
        <f>'Смета Внутр'!H1395</f>
        <v>0</v>
      </c>
    </row>
    <row r="1390" spans="2:6">
      <c r="B1390" s="3007" t="str">
        <f>'Смета Внутр'!B1396</f>
        <v>Монтаж ондулина</v>
      </c>
      <c r="C1390" s="3008" t="str">
        <f>'Смета Внутр'!C1396</f>
        <v>м2</v>
      </c>
      <c r="D1390" s="3009">
        <f>'Смета Внутр'!D1396</f>
        <v>0</v>
      </c>
      <c r="E1390" s="3007"/>
      <c r="F1390" s="3012">
        <f>'Смета Внутр'!H1396</f>
        <v>0</v>
      </c>
    </row>
    <row r="1391" spans="2:6">
      <c r="B1391" s="3007" t="str">
        <f>'Смета Внутр'!B1397</f>
        <v>мембрана</v>
      </c>
      <c r="C1391" s="3008" t="str">
        <f>'Смета Внутр'!C1397</f>
        <v>м2</v>
      </c>
      <c r="D1391" s="3009">
        <f>'Смета Внутр'!D1397</f>
        <v>160.78625885461804</v>
      </c>
      <c r="E1391" s="3007"/>
      <c r="F1391" s="3012">
        <f>'Смета Внутр'!H1397</f>
        <v>0</v>
      </c>
    </row>
    <row r="1392" spans="2:6">
      <c r="B1392" s="3007" t="str">
        <f>'Смета Внутр'!B1398</f>
        <v>пароизоляц</v>
      </c>
      <c r="C1392" s="3008" t="str">
        <f>'Смета Внутр'!C1398</f>
        <v>м2</v>
      </c>
      <c r="D1392" s="3009">
        <f>'Смета Внутр'!D1398</f>
        <v>160.78625885461804</v>
      </c>
      <c r="E1392" s="3007"/>
      <c r="F1392" s="3012">
        <f>'Смета Внутр'!H1398</f>
        <v>0</v>
      </c>
    </row>
    <row r="1393" spans="2:6">
      <c r="B1393" s="3007" t="str">
        <f>'Смета Внутр'!B1399</f>
        <v>утеплитель</v>
      </c>
      <c r="C1393" s="3008" t="str">
        <f>'Смета Внутр'!C1399</f>
        <v>м2</v>
      </c>
      <c r="D1393" s="3009">
        <f>'Смета Внутр'!D1399</f>
        <v>111.80339887498948</v>
      </c>
      <c r="E1393" s="3007"/>
      <c r="F1393" s="3012">
        <f>'Смета Внутр'!H1399</f>
        <v>0</v>
      </c>
    </row>
    <row r="1394" spans="2:6">
      <c r="B1394" s="3007" t="str">
        <f>'Смета Внутр'!B1400</f>
        <v>карнизная планка</v>
      </c>
      <c r="C1394" s="3008" t="str">
        <f>'Смета Внутр'!C1400</f>
        <v>м2</v>
      </c>
      <c r="D1394" s="3009">
        <f>'Смета Внутр'!D1400</f>
        <v>14.278000000000004</v>
      </c>
      <c r="E1394" s="3007"/>
      <c r="F1394" s="3012">
        <f>'Смета Внутр'!H1400</f>
        <v>0</v>
      </c>
    </row>
    <row r="1395" spans="2:6">
      <c r="B1395" s="3007" t="str">
        <f>'Смета Внутр'!B1401</f>
        <v>торцевая планка</v>
      </c>
      <c r="C1395" s="3008" t="str">
        <f>'Смета Внутр'!C1401</f>
        <v>м2</v>
      </c>
      <c r="D1395" s="3009">
        <f>'Смета Внутр'!D1401</f>
        <v>41.838455040691507</v>
      </c>
      <c r="E1395" s="3007"/>
      <c r="F1395" s="3012">
        <f>'Смета Внутр'!H1401</f>
        <v>0</v>
      </c>
    </row>
    <row r="1396" spans="2:6">
      <c r="B1396" s="3007" t="str">
        <f>'Смета Внутр'!B1402</f>
        <v>конек</v>
      </c>
      <c r="C1396" s="3008" t="str">
        <f>'Смета Внутр'!C1402</f>
        <v>м.п.</v>
      </c>
      <c r="D1396" s="3009">
        <f>'Смета Внутр'!D1402</f>
        <v>12.980000000000002</v>
      </c>
      <c r="E1396" s="3007"/>
      <c r="F1396" s="3012">
        <f>'Смета Внутр'!H1402</f>
        <v>0</v>
      </c>
    </row>
    <row r="1397" spans="2:6">
      <c r="B1397" s="3007" t="str">
        <f>'Смета Внутр'!B1403</f>
        <v>желоб водосточный</v>
      </c>
      <c r="C1397" s="3008" t="str">
        <f>'Смета Внутр'!C1403</f>
        <v>м.п.</v>
      </c>
      <c r="D1397" s="3009">
        <f>'Смета Внутр'!D1403</f>
        <v>11.8</v>
      </c>
      <c r="E1397" s="3007"/>
      <c r="F1397" s="3012">
        <f>'Смета Внутр'!H1403</f>
        <v>0</v>
      </c>
    </row>
    <row r="1398" spans="2:6">
      <c r="B1398" s="3007" t="str">
        <f>'Смета Внутр'!B1404</f>
        <v>труба водосточная</v>
      </c>
      <c r="C1398" s="3008" t="str">
        <f>'Смета Внутр'!C1404</f>
        <v>м.п.</v>
      </c>
      <c r="D1398" s="3009">
        <f>'Смета Внутр'!D1404</f>
        <v>8.4</v>
      </c>
      <c r="E1398" s="3007"/>
      <c r="F1398" s="3012">
        <f>'Смета Внутр'!H1404</f>
        <v>0</v>
      </c>
    </row>
    <row r="1399" spans="2:6">
      <c r="B1399" s="3007" t="str">
        <f>'Смета Внутр'!B1405</f>
        <v>Монтаж фанеры/osb</v>
      </c>
      <c r="C1399" s="3008" t="str">
        <f>'Смета Внутр'!C1405</f>
        <v>м2</v>
      </c>
      <c r="D1399" s="3009">
        <f>'Смета Внутр'!D1405</f>
        <v>0</v>
      </c>
      <c r="E1399" s="3007"/>
      <c r="F1399" s="3012">
        <f>'Смета Внутр'!H1405</f>
        <v>0</v>
      </c>
    </row>
    <row r="1400" spans="2:6">
      <c r="B1400" s="3007" t="str">
        <f>'Смета Внутр'!B1406</f>
        <v>монтаж подкладочного ковра</v>
      </c>
      <c r="C1400" s="3008" t="str">
        <f>'Смета Внутр'!C1406</f>
        <v>м2</v>
      </c>
      <c r="D1400" s="3009">
        <f>'Смета Внутр'!D1406</f>
        <v>0</v>
      </c>
      <c r="E1400" s="3007"/>
      <c r="F1400" s="3012">
        <f>'Смета Внутр'!H1406</f>
        <v>0</v>
      </c>
    </row>
    <row r="1401" spans="2:6">
      <c r="B1401" s="3007" t="str">
        <f>'Смета Внутр'!B1407</f>
        <v>Монтаж мягкой кровли</v>
      </c>
      <c r="C1401" s="3008" t="str">
        <f>'Смета Внутр'!C1407</f>
        <v>м2</v>
      </c>
      <c r="D1401" s="3009">
        <f>'Смета Внутр'!D1407</f>
        <v>0</v>
      </c>
      <c r="E1401" s="3007"/>
      <c r="F1401" s="3012">
        <f>'Смета Внутр'!H1407</f>
        <v>0</v>
      </c>
    </row>
    <row r="1402" spans="2:6">
      <c r="B1402" s="3311" t="str">
        <f>'Смета Внутр'!B1408</f>
        <v>Итого работы</v>
      </c>
      <c r="C1402" s="3311"/>
      <c r="D1402" s="3311"/>
      <c r="E1402" s="3311"/>
      <c r="F1402" s="3014">
        <f>'Смета Внутр'!G1408</f>
        <v>0</v>
      </c>
    </row>
    <row r="1403" spans="2:6" ht="19">
      <c r="B1403" s="3313" t="str">
        <f>'Смета Внутр'!B1409</f>
        <v>Кровля двускатная</v>
      </c>
      <c r="C1403" s="3313"/>
      <c r="D1403" s="3313"/>
      <c r="E1403" s="3313"/>
      <c r="F1403" s="3015">
        <f>'Смета Внутр'!H1409</f>
        <v>0</v>
      </c>
    </row>
    <row r="1404" spans="2:6">
      <c r="B1404" s="3310" t="str">
        <f>'Смета Внутр'!B1410</f>
        <v>Материалы</v>
      </c>
      <c r="C1404" s="3310"/>
      <c r="D1404" s="3310"/>
      <c r="E1404" s="3310"/>
      <c r="F1404" s="3015">
        <f>'Смета Внутр'!H1410</f>
        <v>0</v>
      </c>
    </row>
    <row r="1405" spans="2:6">
      <c r="B1405" s="3007" t="str">
        <f>'Смета Внутр'!B1411</f>
        <v>нет</v>
      </c>
      <c r="C1405" s="3008" t="str">
        <f>'Смета Внутр'!C1411</f>
        <v>м3</v>
      </c>
      <c r="D1405" s="3009">
        <f>'Смета Внутр'!D1411</f>
        <v>0</v>
      </c>
      <c r="E1405" s="3007"/>
      <c r="F1405" s="3016">
        <f>'Смета Внутр'!H1411</f>
        <v>0</v>
      </c>
    </row>
    <row r="1406" spans="2:6">
      <c r="B1406" s="3007" t="str">
        <f>'Смета Внутр'!B1412</f>
        <v xml:space="preserve">Болты анкерные с гайкой 12,0 х 280          </v>
      </c>
      <c r="C1406" s="3008" t="str">
        <f>'Смета Внутр'!C1412</f>
        <v>шт</v>
      </c>
      <c r="D1406" s="3009">
        <f>'Смета Внутр'!D1412</f>
        <v>48.284271247461902</v>
      </c>
      <c r="E1406" s="3007"/>
      <c r="F1406" s="3016">
        <f>'Смета Внутр'!H1412</f>
        <v>0</v>
      </c>
    </row>
    <row r="1407" spans="2:6">
      <c r="B1407" s="3007" t="str">
        <f>'Смета Внутр'!B1413</f>
        <v>Доска сухая, 200*50мм</v>
      </c>
      <c r="C1407" s="3008" t="str">
        <f>'Смета Внутр'!C1413</f>
        <v>м3</v>
      </c>
      <c r="D1407" s="3009">
        <f>'Смета Внутр'!D1413</f>
        <v>2.9535780917534957</v>
      </c>
      <c r="E1407" s="3007"/>
      <c r="F1407" s="3016">
        <f>'Смета Внутр'!H1413</f>
        <v>0</v>
      </c>
    </row>
    <row r="1408" spans="2:6">
      <c r="B1408" s="3007" t="str">
        <f>'Смета Внутр'!B1414</f>
        <v xml:space="preserve">бугель, доска </v>
      </c>
      <c r="C1408" s="3008" t="str">
        <f>'Смета Внутр'!C1414</f>
        <v>м3</v>
      </c>
      <c r="D1408" s="3009">
        <f>'Смета Внутр'!D1414</f>
        <v>0.79300000000000026</v>
      </c>
      <c r="E1408" s="3007"/>
      <c r="F1408" s="3016">
        <f>'Смета Внутр'!H1414</f>
        <v>0</v>
      </c>
    </row>
    <row r="1409" spans="2:6">
      <c r="B1409" s="3007" t="str">
        <f>'Смета Внутр'!B1415</f>
        <v>стойка под конек</v>
      </c>
      <c r="C1409" s="3008" t="str">
        <f>'Смета Внутр'!C1415</f>
        <v>м3</v>
      </c>
      <c r="D1409" s="3009">
        <f>'Смета Внутр'!D1415</f>
        <v>0</v>
      </c>
      <c r="E1409" s="3007"/>
      <c r="F1409" s="3016">
        <f>'Смета Внутр'!H1415</f>
        <v>0</v>
      </c>
    </row>
    <row r="1410" spans="2:6">
      <c r="B1410" s="3007" t="str">
        <f>'Смета Внутр'!B1416</f>
        <v>Сосна влаж,100*25мм</v>
      </c>
      <c r="C1410" s="3008" t="str">
        <f>'Смета Внутр'!C1416</f>
        <v>м3</v>
      </c>
      <c r="D1410" s="3009">
        <f>'Смета Внутр'!D1416</f>
        <v>1.7930702044232372</v>
      </c>
      <c r="E1410" s="3007"/>
      <c r="F1410" s="3016">
        <f>'Смета Внутр'!H1416</f>
        <v>0</v>
      </c>
    </row>
    <row r="1411" spans="2:6">
      <c r="B1411" s="3007" t="str">
        <f>'Смета Внутр'!B1417</f>
        <v>Доска сухая, калибр., 35*45мм</v>
      </c>
      <c r="C1411" s="3008" t="str">
        <f>'Смета Внутр'!C1417</f>
        <v>шт</v>
      </c>
      <c r="D1411" s="3009">
        <f>'Смета Внутр'!D1417</f>
        <v>0.38502060639519076</v>
      </c>
      <c r="E1411" s="3007"/>
      <c r="F1411" s="3016">
        <f>'Смета Внутр'!H1417</f>
        <v>0</v>
      </c>
    </row>
    <row r="1412" spans="2:6">
      <c r="B1412" s="3007" t="str">
        <f>'Смета Внутр'!B1418</f>
        <v>Сосна влаж, 150*150мм</v>
      </c>
      <c r="C1412" s="3008" t="str">
        <f>'Смета Внутр'!C1418</f>
        <v>м.п.</v>
      </c>
      <c r="D1412" s="3009">
        <f>'Смета Внутр'!D1418</f>
        <v>0</v>
      </c>
      <c r="E1412" s="3007"/>
      <c r="F1412" s="3012">
        <f>'Смета Внутр'!H1418</f>
        <v>0</v>
      </c>
    </row>
    <row r="1413" spans="2:6">
      <c r="B1413" s="3007" t="str">
        <f>'Смета Внутр'!B1419</f>
        <v>Гидрокомпенсатор</v>
      </c>
      <c r="C1413" s="3008" t="str">
        <f>'Смета Внутр'!C1419</f>
        <v>шт.</v>
      </c>
      <c r="D1413" s="3009">
        <f>'Смета Внутр'!D1419</f>
        <v>0</v>
      </c>
      <c r="E1413" s="3007"/>
      <c r="F1413" s="3012">
        <f>'Смета Внутр'!H1419</f>
        <v>0</v>
      </c>
    </row>
    <row r="1414" spans="2:6">
      <c r="B1414" s="3007" t="str">
        <f>'Смета Внутр'!B1420</f>
        <v>Пленка Д110 Стандарт</v>
      </c>
      <c r="C1414" s="3008" t="str">
        <f>'Смета Внутр'!C1420</f>
        <v>м2</v>
      </c>
      <c r="D1414" s="3009">
        <f>'Смета Внутр'!D1420</f>
        <v>215.1684245307884</v>
      </c>
      <c r="E1414" s="3007"/>
      <c r="F1414" s="3012">
        <f>'Смета Внутр'!H1420</f>
        <v>0</v>
      </c>
    </row>
    <row r="1415" spans="2:6">
      <c r="B1415" s="3007" t="str">
        <f>'Смета Внутр'!B1421</f>
        <v>Мембрана Tyvek AirGuard SD5</v>
      </c>
      <c r="C1415" s="3008" t="str">
        <f>'Смета Внутр'!C1421</f>
        <v>м2</v>
      </c>
      <c r="D1415" s="3009">
        <f>'Смета Внутр'!D1421</f>
        <v>197.23772248655607</v>
      </c>
      <c r="E1415" s="3007"/>
      <c r="F1415" s="3012">
        <f>'Смета Внутр'!H1421</f>
        <v>0</v>
      </c>
    </row>
    <row r="1416" spans="2:6">
      <c r="B1416" s="3007" t="str">
        <f>'Смета Внутр'!B1422</f>
        <v>Плитный,28кг/м3, технониколь, 200мм</v>
      </c>
      <c r="C1416" s="3008" t="str">
        <f>'Смета Внутр'!C1422</f>
        <v>м3</v>
      </c>
      <c r="D1416" s="3009">
        <f>'Смета Внутр'!D1422</f>
        <v>28.915003524538566</v>
      </c>
      <c r="E1416" s="3007"/>
      <c r="F1416" s="3016">
        <f>'Смета Внутр'!H1422</f>
        <v>0</v>
      </c>
    </row>
    <row r="1417" spans="2:6">
      <c r="B1417" s="3007" t="str">
        <f>'Смета Внутр'!B1423</f>
        <v>Металлочерепица</v>
      </c>
      <c r="C1417" s="3008" t="str">
        <f>'Смета Внутр'!C1423</f>
        <v>м2</v>
      </c>
      <c r="D1417" s="3009">
        <f>'Смета Внутр'!D1423</f>
        <v>0</v>
      </c>
      <c r="E1417" s="3007"/>
      <c r="F1417" s="3016">
        <f>'Смета Внутр'!H1423</f>
        <v>0</v>
      </c>
    </row>
    <row r="1418" spans="2:6">
      <c r="B1418" s="3007" t="str">
        <f>'Смета Внутр'!B1424</f>
        <v>Карнизная планка</v>
      </c>
      <c r="C1418" s="3008" t="str">
        <f>'Смета Внутр'!C1424</f>
        <v>м.п.</v>
      </c>
      <c r="D1418" s="3009">
        <f>'Смета Внутр'!D1424</f>
        <v>0</v>
      </c>
      <c r="E1418" s="3007"/>
      <c r="F1418" s="3016">
        <f>'Смета Внутр'!H1424</f>
        <v>0</v>
      </c>
    </row>
    <row r="1419" spans="2:6">
      <c r="B1419" s="3007" t="str">
        <f>'Смета Внутр'!B1425</f>
        <v>Торцевая планка</v>
      </c>
      <c r="C1419" s="3008" t="str">
        <f>'Смета Внутр'!C1425</f>
        <v>м.п.</v>
      </c>
      <c r="D1419" s="3009">
        <f>'Смета Внутр'!D1425</f>
        <v>0</v>
      </c>
      <c r="E1419" s="3007"/>
      <c r="F1419" s="3016">
        <f>'Смета Внутр'!H1425</f>
        <v>0</v>
      </c>
    </row>
    <row r="1420" spans="2:6">
      <c r="B1420" s="3007" t="str">
        <f>'Смета Внутр'!B1426</f>
        <v>Конек</v>
      </c>
      <c r="C1420" s="3008" t="str">
        <f>'Смета Внутр'!C1426</f>
        <v>м.п.</v>
      </c>
      <c r="D1420" s="3009">
        <f>'Смета Внутр'!D1426</f>
        <v>0</v>
      </c>
      <c r="E1420" s="3007"/>
      <c r="F1420" s="3016">
        <f>'Смета Внутр'!H1426</f>
        <v>0</v>
      </c>
    </row>
    <row r="1421" spans="2:6">
      <c r="B1421" s="3007" t="str">
        <f>'Смета Внутр'!B1427</f>
        <v>ондулин</v>
      </c>
      <c r="C1421" s="3008" t="str">
        <f>'Смета Внутр'!C1427</f>
        <v>м2</v>
      </c>
      <c r="D1421" s="3009">
        <f>'Смета Внутр'!D1427</f>
        <v>0</v>
      </c>
      <c r="E1421" s="3007"/>
      <c r="F1421" s="3012">
        <f>'Смета Внутр'!H1427</f>
        <v>0</v>
      </c>
    </row>
    <row r="1422" spans="2:6">
      <c r="B1422" s="3007" t="str">
        <f>'Смета Внутр'!B1428</f>
        <v>Карнизная планка</v>
      </c>
      <c r="C1422" s="3008" t="str">
        <f>'Смета Внутр'!C1428</f>
        <v>м.п.</v>
      </c>
      <c r="D1422" s="3009">
        <f>'Смета Внутр'!D1428</f>
        <v>0</v>
      </c>
      <c r="E1422" s="3007"/>
      <c r="F1422" s="3012">
        <f>'Смета Внутр'!H1428</f>
        <v>0</v>
      </c>
    </row>
    <row r="1423" spans="2:6">
      <c r="B1423" s="3007" t="str">
        <f>'Смета Внутр'!B1429</f>
        <v>Торцевая планка</v>
      </c>
      <c r="C1423" s="3008" t="str">
        <f>'Смета Внутр'!C1429</f>
        <v>м.п.</v>
      </c>
      <c r="D1423" s="3009">
        <f>'Смета Внутр'!D1429</f>
        <v>0</v>
      </c>
      <c r="E1423" s="3007"/>
      <c r="F1423" s="3012">
        <f>'Смета Внутр'!H1429</f>
        <v>0</v>
      </c>
    </row>
    <row r="1424" spans="2:6">
      <c r="B1424" s="3007" t="str">
        <f>'Смета Внутр'!B1430</f>
        <v>Конек</v>
      </c>
      <c r="C1424" s="3008" t="str">
        <f>'Смета Внутр'!C1430</f>
        <v>м.п</v>
      </c>
      <c r="D1424" s="3009">
        <f>'Смета Внутр'!D1430</f>
        <v>0</v>
      </c>
      <c r="E1424" s="3007"/>
      <c r="F1424" s="3012">
        <f>'Смета Внутр'!H1430</f>
        <v>0</v>
      </c>
    </row>
    <row r="1425" spans="2:6">
      <c r="B1425" s="3007" t="str">
        <f>'Смета Внутр'!B1431</f>
        <v>Ендова нижняя</v>
      </c>
      <c r="C1425" s="3008" t="str">
        <f>'Смета Внутр'!C1431</f>
        <v>м.п.</v>
      </c>
      <c r="D1425" s="3009">
        <f>'Смета Внутр'!D1431</f>
        <v>0</v>
      </c>
      <c r="E1425" s="3007"/>
      <c r="F1425" s="3012">
        <f>'Смета Внутр'!H1431</f>
        <v>0</v>
      </c>
    </row>
    <row r="1426" spans="2:6">
      <c r="B1426" s="3007" t="str">
        <f>'Смета Внутр'!B1432</f>
        <v>Ендова верхняя</v>
      </c>
      <c r="C1426" s="3008" t="str">
        <f>'Смета Внутр'!C1432</f>
        <v>м.п.</v>
      </c>
      <c r="D1426" s="3009">
        <f>'Смета Внутр'!D1432</f>
        <v>0</v>
      </c>
      <c r="E1426" s="3007"/>
      <c r="F1426" s="3012">
        <f>'Смета Внутр'!H1432</f>
        <v>0</v>
      </c>
    </row>
    <row r="1427" spans="2:6">
      <c r="B1427" s="3007" t="str">
        <f>'Смета Внутр'!B1433</f>
        <v>Планка примыкания</v>
      </c>
      <c r="C1427" s="3008" t="str">
        <f>'Смета Внутр'!C1433</f>
        <v>м.п.</v>
      </c>
      <c r="D1427" s="3009">
        <f>'Смета Внутр'!D1433</f>
        <v>0</v>
      </c>
      <c r="E1427" s="3007"/>
      <c r="F1427" s="3012">
        <f>'Смета Внутр'!H1433</f>
        <v>0</v>
      </c>
    </row>
    <row r="1428" spans="2:6">
      <c r="B1428" s="3007" t="str">
        <f>'Смета Внутр'!B1434</f>
        <v>Крепеж для ондулина</v>
      </c>
      <c r="C1428" s="3008" t="str">
        <f>'Смета Внутр'!C1434</f>
        <v>шт</v>
      </c>
      <c r="D1428" s="3009">
        <f>'Смета Внутр'!D1434</f>
        <v>0</v>
      </c>
      <c r="E1428" s="3007"/>
      <c r="F1428" s="3012">
        <f>'Смета Внутр'!H1434</f>
        <v>0</v>
      </c>
    </row>
    <row r="1429" spans="2:6">
      <c r="B1429" s="3007" t="str">
        <f>'Смета Внутр'!B1435</f>
        <v>Kronospan - OSB-3, 9мм</v>
      </c>
      <c r="C1429" s="3008" t="str">
        <f>'Смета Внутр'!C1435</f>
        <v>м2</v>
      </c>
      <c r="D1429" s="3009">
        <f>'Смета Внутр'!D1435</f>
        <v>197.23772248655607</v>
      </c>
      <c r="E1429" s="3007"/>
      <c r="F1429" s="3012">
        <f>'Смета Внутр'!H1435</f>
        <v>0</v>
      </c>
    </row>
    <row r="1430" spans="2:6">
      <c r="B1430" s="3007" t="str">
        <f>'Смета Внутр'!B1436</f>
        <v>Рядовая черепица</v>
      </c>
      <c r="C1430" s="3008" t="str">
        <f>'Смета Внутр'!C1436</f>
        <v>м2</v>
      </c>
      <c r="D1430" s="3009">
        <f>'Смета Внутр'!D1436</f>
        <v>174.66702044232369</v>
      </c>
      <c r="E1430" s="3007"/>
      <c r="F1430" s="3012">
        <f>'Смета Внутр'!H1436</f>
        <v>0</v>
      </c>
    </row>
    <row r="1431" spans="2:6">
      <c r="B1431" s="3007" t="str">
        <f>'Смета Внутр'!B1437</f>
        <v>Металл оцинк защита (карниз)</v>
      </c>
      <c r="C1431" s="3008" t="str">
        <f>'Смета Внутр'!C1437</f>
        <v>м.п.</v>
      </c>
      <c r="D1431" s="3009">
        <f>'Смета Внутр'!D1437</f>
        <v>54.115003524538565</v>
      </c>
      <c r="E1431" s="3007"/>
      <c r="F1431" s="3012">
        <f>'Смета Внутр'!H1437</f>
        <v>0</v>
      </c>
    </row>
    <row r="1432" spans="2:6">
      <c r="B1432" s="3007" t="str">
        <f>'Смета Внутр'!B1438</f>
        <v>Подкладочный ковер</v>
      </c>
      <c r="C1432" s="3008" t="str">
        <f>'Смета Внутр'!C1438</f>
        <v>м.п.</v>
      </c>
      <c r="D1432" s="3009">
        <f>'Смета Внутр'!D1438</f>
        <v>179.30702044232368</v>
      </c>
      <c r="E1432" s="3007"/>
      <c r="F1432" s="3012">
        <f>'Смета Внутр'!H1438</f>
        <v>0</v>
      </c>
    </row>
    <row r="1433" spans="2:6">
      <c r="B1433" s="3007" t="str">
        <f>'Смета Внутр'!B1439</f>
        <v>Карнизная самоклеющаяся черепица</v>
      </c>
      <c r="C1433" s="3008" t="str">
        <f>'Смета Внутр'!C1439</f>
        <v>м.п.</v>
      </c>
      <c r="D1433" s="3009">
        <f>'Смета Внутр'!D1439</f>
        <v>23.200000000000003</v>
      </c>
      <c r="E1433" s="3007"/>
      <c r="F1433" s="3012">
        <f>'Смета Внутр'!H1439</f>
        <v>0</v>
      </c>
    </row>
    <row r="1434" spans="2:6">
      <c r="B1434" s="3007" t="str">
        <f>'Смета Внутр'!B1440</f>
        <v>Спец ковер ендова нижняя</v>
      </c>
      <c r="C1434" s="3008" t="str">
        <f>'Смета Внутр'!C1440</f>
        <v>м.п.</v>
      </c>
      <c r="D1434" s="3009">
        <f>'Смета Внутр'!D1440</f>
        <v>0</v>
      </c>
      <c r="E1434" s="3007"/>
      <c r="F1434" s="3012">
        <f>'Смета Внутр'!H1440</f>
        <v>0</v>
      </c>
    </row>
    <row r="1435" spans="2:6">
      <c r="B1435" s="3007" t="str">
        <f>'Смета Внутр'!B1441</f>
        <v>Коньковой элемент</v>
      </c>
      <c r="C1435" s="3008" t="str">
        <f>'Смета Внутр'!C1441</f>
        <v>м.п.</v>
      </c>
      <c r="D1435" s="3009">
        <f>'Смета Внутр'!D1441</f>
        <v>12.180000000000001</v>
      </c>
      <c r="E1435" s="3007"/>
      <c r="F1435" s="3012">
        <f>'Смета Внутр'!H1441</f>
        <v>0</v>
      </c>
    </row>
    <row r="1436" spans="2:6">
      <c r="B1436" s="3007" t="str">
        <f>'Смета Внутр'!B1442</f>
        <v>Планка премыкания</v>
      </c>
      <c r="C1436" s="3008" t="str">
        <f>'Смета Внутр'!C1442</f>
        <v>м.п.</v>
      </c>
      <c r="D1436" s="3009">
        <f>'Смета Внутр'!D1442</f>
        <v>0</v>
      </c>
      <c r="E1436" s="3007"/>
      <c r="F1436" s="3012">
        <f>'Смета Внутр'!H1442</f>
        <v>0</v>
      </c>
    </row>
    <row r="1437" spans="2:6">
      <c r="B1437" s="3007" t="str">
        <f>'Смета Внутр'!B1443</f>
        <v>Гвозди для крепления подкладочного ковра</v>
      </c>
      <c r="C1437" s="3008" t="str">
        <f>'Смета Внутр'!C1443</f>
        <v>шт</v>
      </c>
      <c r="D1437" s="3009">
        <f>'Смета Внутр'!D1443</f>
        <v>1793.0702044232366</v>
      </c>
      <c r="E1437" s="3007"/>
      <c r="F1437" s="3012">
        <f>'Смета Внутр'!H1443</f>
        <v>0</v>
      </c>
    </row>
    <row r="1438" spans="2:6">
      <c r="B1438" s="3007" t="str">
        <f>'Смета Внутр'!B1444</f>
        <v>Гвозди для крепления черепицы</v>
      </c>
      <c r="C1438" s="3008" t="str">
        <f>'Смета Внутр'!C1444</f>
        <v>шт</v>
      </c>
      <c r="D1438" s="3009">
        <f>'Смета Внутр'!D1444</f>
        <v>8733.351022116185</v>
      </c>
      <c r="E1438" s="3007"/>
      <c r="F1438" s="3012">
        <f>'Смета Внутр'!H1444</f>
        <v>0</v>
      </c>
    </row>
    <row r="1439" spans="2:6">
      <c r="B1439" s="3007" t="str">
        <f>'Смета Внутр'!B1445</f>
        <v>Клей для монтажа черепицы</v>
      </c>
      <c r="C1439" s="3008" t="str">
        <f>'Смета Внутр'!C1445</f>
        <v>кг</v>
      </c>
      <c r="D1439" s="3009">
        <f>'Смета Внутр'!D1445</f>
        <v>179.30702044232368</v>
      </c>
      <c r="E1439" s="3007"/>
      <c r="F1439" s="3012">
        <f>'Смета Внутр'!H1445</f>
        <v>0</v>
      </c>
    </row>
    <row r="1440" spans="2:6">
      <c r="B1440" s="3007" t="str">
        <f>'Смета Внутр'!B1446</f>
        <v>желоб</v>
      </c>
      <c r="C1440" s="3008" t="str">
        <f>'Смета Внутр'!C1446</f>
        <v>м.п</v>
      </c>
      <c r="D1440" s="3009">
        <f>'Смета Внутр'!D1446</f>
        <v>23.200000000000003</v>
      </c>
      <c r="E1440" s="3007"/>
      <c r="F1440" s="3016">
        <f>'Смета Внутр'!H1446</f>
        <v>0</v>
      </c>
    </row>
    <row r="1441" spans="2:6">
      <c r="B1441" s="3007" t="str">
        <f>'Смета Внутр'!B1447</f>
        <v>отвод</v>
      </c>
      <c r="C1441" s="3008" t="str">
        <f>'Смета Внутр'!C1447</f>
        <v>шт</v>
      </c>
      <c r="D1441" s="3009">
        <f>'Смета Внутр'!D1447</f>
        <v>4</v>
      </c>
      <c r="E1441" s="3007"/>
      <c r="F1441" s="3016">
        <f>'Смета Внутр'!H1447</f>
        <v>0</v>
      </c>
    </row>
    <row r="1442" spans="2:6">
      <c r="B1442" s="3007" t="str">
        <f>'Смета Внутр'!B1448</f>
        <v>труба водосточная</v>
      </c>
      <c r="C1442" s="3008" t="str">
        <f>'Смета Внутр'!C1448</f>
        <v>м.п.</v>
      </c>
      <c r="D1442" s="3009">
        <f>'Смета Внутр'!D1448</f>
        <v>8</v>
      </c>
      <c r="E1442" s="3007"/>
      <c r="F1442" s="3016">
        <f>'Смета Внутр'!H1448</f>
        <v>0</v>
      </c>
    </row>
    <row r="1443" spans="2:6">
      <c r="B1443" s="3007" t="str">
        <f>'Смета Внутр'!B1449</f>
        <v>заглушка для желоба</v>
      </c>
      <c r="C1443" s="3008" t="str">
        <f>'Смета Внутр'!C1449</f>
        <v>шт</v>
      </c>
      <c r="D1443" s="3009">
        <f>'Смета Внутр'!D1449</f>
        <v>4</v>
      </c>
      <c r="E1443" s="3007"/>
      <c r="F1443" s="3016">
        <f>'Смета Внутр'!H1449</f>
        <v>0</v>
      </c>
    </row>
    <row r="1444" spans="2:6">
      <c r="B1444" s="3007" t="str">
        <f>'Смета Внутр'!B1450</f>
        <v>соеденитель для желоба</v>
      </c>
      <c r="C1444" s="3008" t="str">
        <f>'Смета Внутр'!C1450</f>
        <v>шт</v>
      </c>
      <c r="D1444" s="3009">
        <f>'Смета Внутр'!D1450</f>
        <v>11.600000000000001</v>
      </c>
      <c r="E1444" s="3007"/>
      <c r="F1444" s="3016">
        <f>'Смета Внутр'!H1450</f>
        <v>0</v>
      </c>
    </row>
    <row r="1445" spans="2:6">
      <c r="B1445" s="3007" t="str">
        <f>'Смета Внутр'!B1451</f>
        <v>кронштейн для желоба</v>
      </c>
      <c r="C1445" s="3008" t="str">
        <f>'Смета Внутр'!C1451</f>
        <v>шт</v>
      </c>
      <c r="D1445" s="3009">
        <f>'Смета Внутр'!D1451</f>
        <v>46.400000000000006</v>
      </c>
      <c r="E1445" s="3007"/>
      <c r="F1445" s="3016">
        <f>'Смета Внутр'!H1451</f>
        <v>0</v>
      </c>
    </row>
    <row r="1446" spans="2:6">
      <c r="B1446" s="3007" t="str">
        <f>'Смета Внутр'!B1452</f>
        <v>переход из желоба в трубу</v>
      </c>
      <c r="C1446" s="3008" t="str">
        <f>'Смета Внутр'!C1452</f>
        <v>шт</v>
      </c>
      <c r="D1446" s="3009">
        <f>'Смета Внутр'!D1452</f>
        <v>2</v>
      </c>
      <c r="E1446" s="3007"/>
      <c r="F1446" s="3016">
        <f>'Смета Внутр'!H1452</f>
        <v>0</v>
      </c>
    </row>
    <row r="1447" spans="2:6">
      <c r="B1447" s="3007" t="str">
        <f>'Смета Внутр'!B1453</f>
        <v>лента дельта мульти бэнд</v>
      </c>
      <c r="C1447" s="3008" t="str">
        <f>'Смета Внутр'!C1453</f>
        <v>шт</v>
      </c>
      <c r="D1447" s="3009">
        <f>'Смета Внутр'!D1453</f>
        <v>15</v>
      </c>
      <c r="E1447" s="3007"/>
      <c r="F1447" s="3016">
        <f>'Смета Внутр'!H1453</f>
        <v>0</v>
      </c>
    </row>
    <row r="1448" spans="2:6">
      <c r="B1448" s="3007" t="str">
        <f>'Смета Внутр'!B1454</f>
        <v>лента дельта sb-60</v>
      </c>
      <c r="C1448" s="3008" t="str">
        <f>'Смета Внутр'!C1454</f>
        <v>шт</v>
      </c>
      <c r="D1448" s="3009">
        <f>'Смета Внутр'!D1454</f>
        <v>8</v>
      </c>
      <c r="E1448" s="3007"/>
      <c r="F1448" s="3016">
        <f>'Смета Внутр'!H1454</f>
        <v>0</v>
      </c>
    </row>
    <row r="1449" spans="2:6">
      <c r="B1449" s="3007" t="str">
        <f>'Смета Внутр'!B1455</f>
        <v>проходка кровельная, канализационная</v>
      </c>
      <c r="C1449" s="3008" t="str">
        <f>'Смета Внутр'!C1455</f>
        <v>шт</v>
      </c>
      <c r="D1449" s="3009">
        <f>'Смета Внутр'!D1455</f>
        <v>0</v>
      </c>
      <c r="E1449" s="3007"/>
      <c r="F1449" s="3012">
        <f>'Смета Внутр'!H1455</f>
        <v>0</v>
      </c>
    </row>
    <row r="1450" spans="2:6">
      <c r="B1450" s="3007" t="str">
        <f>'Смета Внутр'!B1456</f>
        <v>проходка кровельная, вентиляционная</v>
      </c>
      <c r="C1450" s="3008" t="str">
        <f>'Смета Внутр'!C1456</f>
        <v>шт</v>
      </c>
      <c r="D1450" s="3009">
        <f>'Смета Внутр'!D1456</f>
        <v>0</v>
      </c>
      <c r="E1450" s="3007"/>
      <c r="F1450" s="3012">
        <f>'Смета Внутр'!H1456</f>
        <v>0</v>
      </c>
    </row>
    <row r="1451" spans="2:6">
      <c r="B1451" s="3007" t="str">
        <f>'Смета Внутр'!B1457</f>
        <v>проодка кровельная, труба котел</v>
      </c>
      <c r="C1451" s="3008" t="str">
        <f>'Смета Внутр'!C1457</f>
        <v>шт</v>
      </c>
      <c r="D1451" s="3009">
        <f>'Смета Внутр'!D1457</f>
        <v>0</v>
      </c>
      <c r="E1451" s="3007"/>
      <c r="F1451" s="3012">
        <f>'Смета Внутр'!H1457</f>
        <v>0</v>
      </c>
    </row>
    <row r="1452" spans="2:6">
      <c r="B1452" s="3007" t="str">
        <f>'Смета Внутр'!B1458</f>
        <v>Кровельный саморез</v>
      </c>
      <c r="C1452" s="3008" t="str">
        <f>'Смета Внутр'!C1458</f>
        <v>шт</v>
      </c>
      <c r="D1452" s="3009">
        <f>'Смета Внутр'!D1458</f>
        <v>0</v>
      </c>
      <c r="E1452" s="3007"/>
      <c r="F1452" s="3016">
        <f>'Смета Внутр'!H1458</f>
        <v>0</v>
      </c>
    </row>
    <row r="1453" spans="2:6">
      <c r="B1453" s="3007" t="str">
        <f>'Смета Внутр'!B1459</f>
        <v xml:space="preserve">Гвозди ершоные 3,4 x 60            </v>
      </c>
      <c r="C1453" s="3008" t="str">
        <f>'Смета Внутр'!C1459</f>
        <v>кг</v>
      </c>
      <c r="D1453" s="3009">
        <f>'Смета Внутр'!D1459</f>
        <v>5.7753090959278612</v>
      </c>
      <c r="E1453" s="3007"/>
      <c r="F1453" s="3016">
        <f>'Смета Внутр'!H1459</f>
        <v>0</v>
      </c>
    </row>
    <row r="1454" spans="2:6">
      <c r="B1454" s="3007" t="str">
        <f>'Смета Внутр'!B1460</f>
        <v xml:space="preserve">Гвозди ершоные 2,8 х 90            </v>
      </c>
      <c r="C1454" s="3008" t="str">
        <f>'Смета Внутр'!C1460</f>
        <v>кг</v>
      </c>
      <c r="D1454" s="3009">
        <f>'Смета Внутр'!D1460</f>
        <v>37.465780917534957</v>
      </c>
      <c r="E1454" s="3007"/>
      <c r="F1454" s="3016">
        <f>'Смета Внутр'!H1460</f>
        <v>0</v>
      </c>
    </row>
    <row r="1455" spans="2:6">
      <c r="B1455" s="3007" t="str">
        <f>'Смета Внутр'!B1461</f>
        <v xml:space="preserve">Пластина соеденительная 100х240х2           </v>
      </c>
      <c r="C1455" s="3008" t="str">
        <f>'Смета Внутр'!C1461</f>
        <v>шт</v>
      </c>
      <c r="D1455" s="3009">
        <f>'Смета Внутр'!D1461</f>
        <v>40.666666666666671</v>
      </c>
      <c r="E1455" s="3007"/>
      <c r="F1455" s="3016">
        <f>'Смета Внутр'!H1461</f>
        <v>0</v>
      </c>
    </row>
    <row r="1456" spans="2:6">
      <c r="B1456" s="3007" t="str">
        <f>'Смета Внутр'!B1462</f>
        <v xml:space="preserve">Уголок усиленный 90х70х55х2,5        </v>
      </c>
      <c r="C1456" s="3008" t="str">
        <f>'Смета Внутр'!C1462</f>
        <v>шт</v>
      </c>
      <c r="D1456" s="3009">
        <f>'Смета Внутр'!D1462</f>
        <v>40.666666666666671</v>
      </c>
      <c r="E1456" s="3007"/>
      <c r="F1456" s="3016">
        <f>'Смета Внутр'!H1462</f>
        <v>0</v>
      </c>
    </row>
    <row r="1457" spans="2:6">
      <c r="B1457" s="3311" t="str">
        <f>'Смета Внутр'!B1463</f>
        <v>Итого материалы</v>
      </c>
      <c r="C1457" s="3311"/>
      <c r="D1457" s="3311"/>
      <c r="E1457" s="3311"/>
      <c r="F1457" s="3010">
        <f>'Смета Внутр'!G1463</f>
        <v>0</v>
      </c>
    </row>
    <row r="1458" spans="2:6">
      <c r="B1458" s="3312" t="str">
        <f>'Смета Внутр'!B1464</f>
        <v>Работы</v>
      </c>
      <c r="C1458" s="3312"/>
      <c r="D1458" s="3312"/>
      <c r="E1458" s="3312"/>
      <c r="F1458" s="3015">
        <f>'Смета Внутр'!H1464</f>
        <v>0</v>
      </c>
    </row>
    <row r="1459" spans="2:6">
      <c r="B1459" s="3007" t="str">
        <f>'Смета Внутр'!B1465</f>
        <v>монтаж мауэрлата</v>
      </c>
      <c r="C1459" s="3008" t="str">
        <f>'Смета Внутр'!C1465</f>
        <v>м.п.</v>
      </c>
      <c r="D1459" s="3009">
        <f>'Смета Внутр'!D1465</f>
        <v>48.284271247461902</v>
      </c>
      <c r="E1459" s="3007"/>
      <c r="F1459" s="3016">
        <f>'Смета Внутр'!H1465</f>
        <v>0</v>
      </c>
    </row>
    <row r="1460" spans="2:6">
      <c r="B1460" s="3007" t="str">
        <f>'Смета Внутр'!B1466</f>
        <v>монтаж стропил</v>
      </c>
      <c r="C1460" s="3008" t="str">
        <f>'Смета Внутр'!C1466</f>
        <v>м2</v>
      </c>
      <c r="D1460" s="3009">
        <f>'Смета Внутр'!D1466</f>
        <v>179.30702044232368</v>
      </c>
      <c r="E1460" s="3007"/>
      <c r="F1460" s="3016">
        <f>'Смета Внутр'!H1466</f>
        <v>0</v>
      </c>
    </row>
    <row r="1461" spans="2:6">
      <c r="B1461" s="3007" t="str">
        <f>'Смета Внутр'!B1467</f>
        <v>обрешетка</v>
      </c>
      <c r="C1461" s="3008" t="str">
        <f>'Смета Внутр'!C1467</f>
        <v>м2</v>
      </c>
      <c r="D1461" s="3009">
        <f>'Смета Внутр'!D1467</f>
        <v>179.30702044232368</v>
      </c>
      <c r="E1461" s="3007"/>
      <c r="F1461" s="3016">
        <f>'Смета Внутр'!H1467</f>
        <v>0</v>
      </c>
    </row>
    <row r="1462" spans="2:6">
      <c r="B1462" s="3007" t="str">
        <f>'Смета Внутр'!B1468</f>
        <v>контробеш</v>
      </c>
      <c r="C1462" s="3008" t="str">
        <f>'Смета Внутр'!C1468</f>
        <v>м2</v>
      </c>
      <c r="D1462" s="3009">
        <f>'Смета Внутр'!D1468</f>
        <v>179.30702044232368</v>
      </c>
      <c r="E1462" s="3007"/>
      <c r="F1462" s="3016">
        <f>'Смета Внутр'!H1468</f>
        <v>0</v>
      </c>
    </row>
    <row r="1463" spans="2:6">
      <c r="B1463" s="3007" t="str">
        <f>'Смета Внутр'!B1469</f>
        <v>Монтаж металлочерепицы</v>
      </c>
      <c r="C1463" s="3008" t="str">
        <f>'Смета Внутр'!C1469</f>
        <v>м2</v>
      </c>
      <c r="D1463" s="3009">
        <f>'Смета Внутр'!D1469</f>
        <v>0</v>
      </c>
      <c r="E1463" s="3007"/>
      <c r="F1463" s="3016">
        <f>'Смета Внутр'!H1469</f>
        <v>0</v>
      </c>
    </row>
    <row r="1464" spans="2:6">
      <c r="B1464" s="3007" t="str">
        <f>'Смета Внутр'!B1470</f>
        <v>Монтаж ондулина</v>
      </c>
      <c r="C1464" s="3008" t="str">
        <f>'Смета Внутр'!C1470</f>
        <v>м2</v>
      </c>
      <c r="D1464" s="3009">
        <f>'Смета Внутр'!D1470</f>
        <v>0</v>
      </c>
      <c r="E1464" s="3007"/>
      <c r="F1464" s="3012">
        <f>'Смета Внутр'!H1470</f>
        <v>0</v>
      </c>
    </row>
    <row r="1465" spans="2:6">
      <c r="B1465" s="3007" t="str">
        <f>'Смета Внутр'!B1471</f>
        <v>мембрана</v>
      </c>
      <c r="C1465" s="3008" t="str">
        <f>'Смета Внутр'!C1471</f>
        <v>м2</v>
      </c>
      <c r="D1465" s="3009">
        <f>'Смета Внутр'!D1471</f>
        <v>179.30702044232368</v>
      </c>
      <c r="E1465" s="3007"/>
      <c r="F1465" s="3012">
        <f>'Смета Внутр'!H1471</f>
        <v>0</v>
      </c>
    </row>
    <row r="1466" spans="2:6">
      <c r="B1466" s="3007" t="str">
        <f>'Смета Внутр'!B1472</f>
        <v>пароизоляц</v>
      </c>
      <c r="C1466" s="3008" t="str">
        <f>'Смета Внутр'!C1472</f>
        <v>м2</v>
      </c>
      <c r="D1466" s="3009">
        <f>'Смета Внутр'!D1472</f>
        <v>0</v>
      </c>
      <c r="E1466" s="3007"/>
      <c r="F1466" s="3012">
        <f>'Смета Внутр'!H1472</f>
        <v>0</v>
      </c>
    </row>
    <row r="1467" spans="2:6">
      <c r="B1467" s="3007" t="str">
        <f>'Смета Внутр'!B1473</f>
        <v>утеплитель</v>
      </c>
      <c r="C1467" s="3008" t="str">
        <f>'Смета Внутр'!C1473</f>
        <v>м2</v>
      </c>
      <c r="D1467" s="3009">
        <f>'Смета Внутр'!D1473</f>
        <v>179.30702044232368</v>
      </c>
      <c r="E1467" s="3007"/>
      <c r="F1467" s="3016">
        <f>'Смета Внутр'!H1473</f>
        <v>0</v>
      </c>
    </row>
    <row r="1468" spans="2:6">
      <c r="B1468" s="3007" t="str">
        <f>'Смета Внутр'!B1474</f>
        <v>карнизная планка</v>
      </c>
      <c r="C1468" s="3008" t="str">
        <f>'Смета Внутр'!C1474</f>
        <v>м.п.</v>
      </c>
      <c r="D1468" s="3009">
        <f>'Смета Внутр'!D1474</f>
        <v>0</v>
      </c>
      <c r="E1468" s="3007"/>
      <c r="F1468" s="3016">
        <f>'Смета Внутр'!H1474</f>
        <v>0</v>
      </c>
    </row>
    <row r="1469" spans="2:6">
      <c r="B1469" s="3007" t="str">
        <f>'Смета Внутр'!B1475</f>
        <v>торцевая планка</v>
      </c>
      <c r="C1469" s="3008" t="str">
        <f>'Смета Внутр'!C1475</f>
        <v>м.п.</v>
      </c>
      <c r="D1469" s="3009">
        <f>'Смета Внутр'!D1475</f>
        <v>0</v>
      </c>
      <c r="E1469" s="3007"/>
      <c r="F1469" s="3016">
        <f>'Смета Внутр'!H1475</f>
        <v>0</v>
      </c>
    </row>
    <row r="1470" spans="2:6">
      <c r="B1470" s="3007" t="str">
        <f>'Смета Внутр'!B1476</f>
        <v>конек</v>
      </c>
      <c r="C1470" s="3008" t="str">
        <f>'Смета Внутр'!C1476</f>
        <v>м.п.</v>
      </c>
      <c r="D1470" s="3009">
        <f>'Смета Внутр'!D1476</f>
        <v>11.600000000000001</v>
      </c>
      <c r="E1470" s="3007"/>
      <c r="F1470" s="3016">
        <f>'Смета Внутр'!H1476</f>
        <v>0</v>
      </c>
    </row>
    <row r="1471" spans="2:6">
      <c r="B1471" s="3007" t="str">
        <f>'Смета Внутр'!B1477</f>
        <v>желоб водосточный</v>
      </c>
      <c r="C1471" s="3008" t="str">
        <f>'Смета Внутр'!C1477</f>
        <v>м.п.</v>
      </c>
      <c r="D1471" s="3009">
        <f>'Смета Внутр'!D1477</f>
        <v>23.200000000000003</v>
      </c>
      <c r="E1471" s="3007"/>
      <c r="F1471" s="3016">
        <f>'Смета Внутр'!H1477</f>
        <v>0</v>
      </c>
    </row>
    <row r="1472" spans="2:6">
      <c r="B1472" s="3007" t="str">
        <f>'Смета Внутр'!B1478</f>
        <v>труба водосточная</v>
      </c>
      <c r="C1472" s="3008" t="str">
        <f>'Смета Внутр'!C1478</f>
        <v>м.п.</v>
      </c>
      <c r="D1472" s="3009">
        <f>'Смета Внутр'!D1478</f>
        <v>8</v>
      </c>
      <c r="E1472" s="3007"/>
      <c r="F1472" s="3016">
        <f>'Смета Внутр'!H1478</f>
        <v>0</v>
      </c>
    </row>
    <row r="1473" spans="2:6">
      <c r="B1473" s="3007" t="str">
        <f>'Смета Внутр'!B1479</f>
        <v>Монтаж фанеры/osb</v>
      </c>
      <c r="C1473" s="3008" t="str">
        <f>'Смета Внутр'!C1479</f>
        <v>м2</v>
      </c>
      <c r="D1473" s="3009">
        <f>'Смета Внутр'!D1479</f>
        <v>179.30702044232368</v>
      </c>
      <c r="E1473" s="3007"/>
      <c r="F1473" s="3012">
        <f>'Смета Внутр'!H1479</f>
        <v>0</v>
      </c>
    </row>
    <row r="1474" spans="2:6">
      <c r="B1474" s="3007" t="str">
        <f>'Смета Внутр'!B1480</f>
        <v>монтаж подкладочного ковра</v>
      </c>
      <c r="C1474" s="3008" t="str">
        <f>'Смета Внутр'!C1480</f>
        <v>м2</v>
      </c>
      <c r="D1474" s="3009">
        <f>'Смета Внутр'!D1480</f>
        <v>0</v>
      </c>
      <c r="E1474" s="3007"/>
      <c r="F1474" s="3012">
        <f>'Смета Внутр'!H1480</f>
        <v>0</v>
      </c>
    </row>
    <row r="1475" spans="2:6">
      <c r="B1475" s="3007" t="str">
        <f>'Смета Внутр'!B1481</f>
        <v>Монтаж мягкой кровли</v>
      </c>
      <c r="C1475" s="3008" t="str">
        <f>'Смета Внутр'!C1481</f>
        <v>м2</v>
      </c>
      <c r="D1475" s="3009">
        <f>'Смета Внутр'!D1481</f>
        <v>0</v>
      </c>
      <c r="E1475" s="3007"/>
      <c r="F1475" s="3012">
        <f>'Смета Внутр'!H1481</f>
        <v>0</v>
      </c>
    </row>
    <row r="1476" spans="2:6">
      <c r="B1476" s="3311" t="str">
        <f>'Смета Внутр'!B1482</f>
        <v>Итого работы</v>
      </c>
      <c r="C1476" s="3311"/>
      <c r="D1476" s="3311"/>
      <c r="E1476" s="3311"/>
      <c r="F1476" s="3010">
        <f>'Смета Внутр'!G1482</f>
        <v>0</v>
      </c>
    </row>
    <row r="1477" spans="2:6" ht="19">
      <c r="B1477" s="3313" t="str">
        <f>'Смета Внутр'!B1483</f>
        <v>Кровля четырехскатная</v>
      </c>
      <c r="C1477" s="3313"/>
      <c r="D1477" s="3313"/>
      <c r="E1477" s="3313"/>
      <c r="F1477" s="3011">
        <f>'Смета Внутр'!H1483</f>
        <v>0</v>
      </c>
    </row>
    <row r="1478" spans="2:6">
      <c r="B1478" s="3310" t="str">
        <f>'Смета Внутр'!B1484</f>
        <v>Материалы</v>
      </c>
      <c r="C1478" s="3310"/>
      <c r="D1478" s="3310"/>
      <c r="E1478" s="3310"/>
      <c r="F1478" s="3011">
        <f>'Смета Внутр'!H1484</f>
        <v>0</v>
      </c>
    </row>
    <row r="1479" spans="2:6">
      <c r="B1479" s="3007" t="str">
        <f>'Смета Внутр'!B1485</f>
        <v>нет</v>
      </c>
      <c r="C1479" s="3008" t="str">
        <f>'Смета Внутр'!C1485</f>
        <v>м3</v>
      </c>
      <c r="D1479" s="3009">
        <f>'Смета Внутр'!D1485</f>
        <v>0</v>
      </c>
      <c r="E1479" s="3007"/>
      <c r="F1479" s="3012">
        <f>'Смета Внутр'!H1485</f>
        <v>0</v>
      </c>
    </row>
    <row r="1480" spans="2:6">
      <c r="B1480" s="3007" t="str">
        <f>'Смета Внутр'!B1486</f>
        <v xml:space="preserve">Болты анкерные с гайкой 12,0 х 280          </v>
      </c>
      <c r="C1480" s="3008" t="str">
        <f>'Смета Внутр'!C1486</f>
        <v>шт</v>
      </c>
      <c r="D1480" s="3009">
        <f>'Смета Внутр'!D1486</f>
        <v>44</v>
      </c>
      <c r="E1480" s="3007"/>
      <c r="F1480" s="3012">
        <f>'Смета Внутр'!H1486</f>
        <v>0</v>
      </c>
    </row>
    <row r="1481" spans="2:6">
      <c r="B1481" s="3007" t="str">
        <f>'Смета Внутр'!B1487</f>
        <v>Доска сухая, 200*50мм</v>
      </c>
      <c r="C1481" s="3008" t="str">
        <f>'Смета Внутр'!C1487</f>
        <v>м3</v>
      </c>
      <c r="D1481" s="3009">
        <f>'Смета Внутр'!D1487</f>
        <v>4.1662398767195423</v>
      </c>
      <c r="E1481" s="3007"/>
      <c r="F1481" s="3012">
        <f>'Смета Внутр'!H1487</f>
        <v>0</v>
      </c>
    </row>
    <row r="1482" spans="2:6">
      <c r="B1482" s="3007" t="str">
        <f>'Смета Внутр'!B1488</f>
        <v xml:space="preserve">бугель, доска </v>
      </c>
      <c r="C1482" s="3008" t="str">
        <f>'Смета Внутр'!C1488</f>
        <v>м3</v>
      </c>
      <c r="D1482" s="3009">
        <f>'Смета Внутр'!D1488</f>
        <v>0.28000000000000003</v>
      </c>
      <c r="E1482" s="3007"/>
      <c r="F1482" s="3012">
        <f>'Смета Внутр'!H1488</f>
        <v>0</v>
      </c>
    </row>
    <row r="1483" spans="2:6">
      <c r="B1483" s="3007" t="str">
        <f>'Смета Внутр'!B1489</f>
        <v>стойка под конек</v>
      </c>
      <c r="C1483" s="3008" t="str">
        <f>'Смета Внутр'!C1489</f>
        <v>м3</v>
      </c>
      <c r="D1483" s="3009">
        <f>'Смета Внутр'!D1489</f>
        <v>0.17500000000000004</v>
      </c>
      <c r="E1483" s="3007"/>
      <c r="F1483" s="3012">
        <f>'Смета Внутр'!H1489</f>
        <v>0</v>
      </c>
    </row>
    <row r="1484" spans="2:6">
      <c r="B1484" s="3007" t="str">
        <f>'Смета Внутр'!B1490</f>
        <v>Сосна влаж,180*25мм</v>
      </c>
      <c r="C1484" s="3008" t="str">
        <f>'Смета Внутр'!C1490</f>
        <v>м3</v>
      </c>
      <c r="D1484" s="3009">
        <f>'Смета Внутр'!D1490</f>
        <v>3.6188679795129262</v>
      </c>
      <c r="E1484" s="3007"/>
      <c r="F1484" s="3012">
        <f>'Смета Внутр'!H1490</f>
        <v>0</v>
      </c>
    </row>
    <row r="1485" spans="2:6">
      <c r="B1485" s="3007" t="str">
        <f>'Смета Внутр'!B1491</f>
        <v>Сосна влаж, 50*50мм</v>
      </c>
      <c r="C1485" s="3008" t="str">
        <f>'Смета Внутр'!C1491</f>
        <v>м3</v>
      </c>
      <c r="D1485" s="3009">
        <f>'Смета Внутр'!D1491</f>
        <v>2.0104822108405154</v>
      </c>
      <c r="E1485" s="3007"/>
      <c r="F1485" s="3012">
        <f>'Смета Внутр'!H1491</f>
        <v>0</v>
      </c>
    </row>
    <row r="1486" spans="2:6">
      <c r="B1486" s="3007" t="str">
        <f>'Смета Внутр'!B1492</f>
        <v>Мембрана MD90</v>
      </c>
      <c r="C1486" s="3008" t="str">
        <f>'Смета Внутр'!C1492</f>
        <v>м2</v>
      </c>
      <c r="D1486" s="3009">
        <f>'Смета Внутр'!D1492</f>
        <v>268.0642947787353</v>
      </c>
      <c r="E1486" s="3007"/>
      <c r="F1486" s="3012">
        <f>'Смета Внутр'!H1492</f>
        <v>0</v>
      </c>
    </row>
    <row r="1487" spans="2:6">
      <c r="B1487" s="3007" t="str">
        <f>'Смета Внутр'!B1493</f>
        <v>Мембрана Tyvek AirGuard Reflective</v>
      </c>
      <c r="C1487" s="3008" t="str">
        <f>'Смета Внутр'!C1493</f>
        <v>м2</v>
      </c>
      <c r="D1487" s="3009">
        <f>'Смета Внутр'!D1493</f>
        <v>268.0642947787353</v>
      </c>
      <c r="E1487" s="3007"/>
      <c r="F1487" s="3012">
        <f>'Смета Внутр'!H1493</f>
        <v>0</v>
      </c>
    </row>
    <row r="1488" spans="2:6">
      <c r="B1488" s="3007" t="str">
        <f>'Смета Внутр'!B1494</f>
        <v>Плитный,28кг/м3, технониколь, 200мм</v>
      </c>
      <c r="C1488" s="3008" t="str">
        <f>'Смета Внутр'!C1494</f>
        <v>м3</v>
      </c>
      <c r="D1488" s="3009">
        <f>'Смета Внутр'!D1494</f>
        <v>38.29489925410504</v>
      </c>
      <c r="E1488" s="3007"/>
      <c r="F1488" s="3012">
        <f>'Смета Внутр'!H1494</f>
        <v>0</v>
      </c>
    </row>
    <row r="1489" spans="2:6">
      <c r="B1489" s="3007" t="str">
        <f>'Смета Внутр'!B1495</f>
        <v>металлочерепица</v>
      </c>
      <c r="C1489" s="3008" t="str">
        <f>'Смета Внутр'!C1495</f>
        <v>м2</v>
      </c>
      <c r="D1489" s="3009">
        <f>'Смета Внутр'!D1495</f>
        <v>268.0642947787353</v>
      </c>
      <c r="E1489" s="3007"/>
      <c r="F1489" s="3012">
        <f>'Смета Внутр'!H1495</f>
        <v>0</v>
      </c>
    </row>
    <row r="1490" spans="2:6">
      <c r="B1490" s="3007" t="str">
        <f>'Смета Внутр'!B1496</f>
        <v>Конек</v>
      </c>
      <c r="C1490" s="3008" t="str">
        <f>'Смета Внутр'!C1496</f>
        <v>м.п.</v>
      </c>
      <c r="D1490" s="3009">
        <f>'Смета Внутр'!D1496</f>
        <v>39.350000802913002</v>
      </c>
      <c r="E1490" s="3007"/>
      <c r="F1490" s="3012">
        <f>'Смета Внутр'!H1496</f>
        <v>0</v>
      </c>
    </row>
    <row r="1491" spans="2:6">
      <c r="B1491" s="3007" t="str">
        <f>'Смета Внутр'!B1497</f>
        <v>Карнизная планка</v>
      </c>
      <c r="C1491" s="3008" t="str">
        <f>'Смета Внутр'!C1497</f>
        <v>м.п.</v>
      </c>
      <c r="D1491" s="3009">
        <f>'Смета Внутр'!D1497</f>
        <v>88</v>
      </c>
      <c r="E1491" s="3007"/>
      <c r="F1491" s="3012">
        <f>'Смета Внутр'!H1497</f>
        <v>0</v>
      </c>
    </row>
    <row r="1492" spans="2:6">
      <c r="B1492" s="3007" t="str">
        <f>'Смета Внутр'!B1498</f>
        <v>ондулин</v>
      </c>
      <c r="C1492" s="3008" t="str">
        <f>'Смета Внутр'!C1498</f>
        <v>м2</v>
      </c>
      <c r="D1492" s="3009">
        <f>'Смета Внутр'!D1498</f>
        <v>0</v>
      </c>
      <c r="E1492" s="3007"/>
      <c r="F1492" s="3012">
        <f>'Смета Внутр'!H1498</f>
        <v>0</v>
      </c>
    </row>
    <row r="1493" spans="2:6">
      <c r="B1493" s="3007" t="str">
        <f>'Смета Внутр'!B1499</f>
        <v>Карнизная планка</v>
      </c>
      <c r="C1493" s="3008" t="str">
        <f>'Смета Внутр'!C1499</f>
        <v>м.п.</v>
      </c>
      <c r="D1493" s="3009">
        <f>'Смета Внутр'!D1499</f>
        <v>0</v>
      </c>
      <c r="E1493" s="3007"/>
      <c r="F1493" s="3012">
        <f>'Смета Внутр'!H1499</f>
        <v>0</v>
      </c>
    </row>
    <row r="1494" spans="2:6">
      <c r="B1494" s="3007" t="str">
        <f>'Смета Внутр'!B1500</f>
        <v>Конек</v>
      </c>
      <c r="C1494" s="3008" t="str">
        <f>'Смета Внутр'!C1500</f>
        <v>м.п.</v>
      </c>
      <c r="D1494" s="3009">
        <f>'Смета Внутр'!D1500</f>
        <v>0</v>
      </c>
      <c r="E1494" s="3007"/>
      <c r="F1494" s="3012">
        <f>'Смета Внутр'!H1500</f>
        <v>0</v>
      </c>
    </row>
    <row r="1495" spans="2:6">
      <c r="B1495" s="3007" t="str">
        <f>'Смета Внутр'!B1501</f>
        <v>Крепеж для ондулина</v>
      </c>
      <c r="C1495" s="3008" t="str">
        <f>'Смета Внутр'!C1501</f>
        <v>шт</v>
      </c>
      <c r="D1495" s="3009">
        <f>'Смета Внутр'!D1501</f>
        <v>0</v>
      </c>
      <c r="E1495" s="3007"/>
      <c r="F1495" s="3012">
        <f>'Смета Внутр'!H1501</f>
        <v>0</v>
      </c>
    </row>
    <row r="1496" spans="2:6">
      <c r="B1496" s="3007" t="str">
        <f>'Смета Внутр'!B1502</f>
        <v>нет</v>
      </c>
      <c r="C1496" s="3008" t="str">
        <f>'Смета Внутр'!C1502</f>
        <v>м2</v>
      </c>
      <c r="D1496" s="3009">
        <f>'Смета Внутр'!D1502</f>
        <v>268.0642947787353</v>
      </c>
      <c r="E1496" s="3007"/>
      <c r="F1496" s="3012">
        <f>'Смета Внутр'!H1502</f>
        <v>0</v>
      </c>
    </row>
    <row r="1497" spans="2:6">
      <c r="B1497" s="3007" t="str">
        <f>'Смета Внутр'!B1503</f>
        <v>Рядовая черепица</v>
      </c>
      <c r="C1497" s="3008" t="str">
        <f>'Смета Внутр'!C1503</f>
        <v>м.п.</v>
      </c>
      <c r="D1497" s="3009">
        <f>'Смета Внутр'!D1503</f>
        <v>0</v>
      </c>
      <c r="E1497" s="3007"/>
      <c r="F1497" s="3012">
        <f>'Смета Внутр'!H1503</f>
        <v>0</v>
      </c>
    </row>
    <row r="1498" spans="2:6">
      <c r="B1498" s="3007" t="str">
        <f>'Смета Внутр'!B1504</f>
        <v>Металл оцинк защита (карниз)</v>
      </c>
      <c r="C1498" s="3008" t="str">
        <f>'Смета Внутр'!C1504</f>
        <v>м.п.</v>
      </c>
      <c r="D1498" s="3009">
        <f>'Смета Внутр'!D1504</f>
        <v>0</v>
      </c>
      <c r="E1498" s="3007"/>
      <c r="F1498" s="3012">
        <f>'Смета Внутр'!H1504</f>
        <v>0</v>
      </c>
    </row>
    <row r="1499" spans="2:6">
      <c r="B1499" s="3007" t="str">
        <f>'Смета Внутр'!B1505</f>
        <v>Подкладочный ковер</v>
      </c>
      <c r="C1499" s="3008" t="str">
        <f>'Смета Внутр'!C1505</f>
        <v>м2</v>
      </c>
      <c r="D1499" s="3009">
        <f>'Смета Внутр'!D1505</f>
        <v>0</v>
      </c>
      <c r="E1499" s="3007"/>
      <c r="F1499" s="3012">
        <f>'Смета Внутр'!H1505</f>
        <v>0</v>
      </c>
    </row>
    <row r="1500" spans="2:6">
      <c r="B1500" s="3007" t="str">
        <f>'Смета Внутр'!B1506</f>
        <v>Карнизная самоклеющаяся черепица</v>
      </c>
      <c r="C1500" s="3008" t="str">
        <f>'Смета Внутр'!C1506</f>
        <v>м2</v>
      </c>
      <c r="D1500" s="3009">
        <f>'Смета Внутр'!D1506</f>
        <v>0</v>
      </c>
      <c r="E1500" s="3007"/>
      <c r="F1500" s="3012">
        <f>'Смета Внутр'!H1506</f>
        <v>0</v>
      </c>
    </row>
    <row r="1501" spans="2:6">
      <c r="B1501" s="3007" t="str">
        <f>'Смета Внутр'!B1507</f>
        <v>Спец ковер ендова нижняя</v>
      </c>
      <c r="C1501" s="3008" t="str">
        <f>'Смета Внутр'!C1507</f>
        <v>м.п</v>
      </c>
      <c r="D1501" s="3009">
        <f>'Смета Внутр'!D1507</f>
        <v>0</v>
      </c>
      <c r="E1501" s="3007"/>
      <c r="F1501" s="3012">
        <f>'Смета Внутр'!H1507</f>
        <v>0</v>
      </c>
    </row>
    <row r="1502" spans="2:6">
      <c r="B1502" s="3007" t="str">
        <f>'Смета Внутр'!B1508</f>
        <v>Коньковой элемент</v>
      </c>
      <c r="C1502" s="3008" t="str">
        <f>'Смета Внутр'!C1508</f>
        <v>м.п</v>
      </c>
      <c r="D1502" s="3009">
        <f>'Смета Внутр'!D1508</f>
        <v>0</v>
      </c>
      <c r="E1502" s="3007"/>
      <c r="F1502" s="3012">
        <f>'Смета Внутр'!H1508</f>
        <v>0</v>
      </c>
    </row>
    <row r="1503" spans="2:6">
      <c r="B1503" s="3007" t="str">
        <f>'Смета Внутр'!B1509</f>
        <v>Планка премыкания</v>
      </c>
      <c r="C1503" s="3008" t="str">
        <f>'Смета Внутр'!C1509</f>
        <v>м.п.</v>
      </c>
      <c r="D1503" s="3009">
        <f>'Смета Внутр'!D1509</f>
        <v>0</v>
      </c>
      <c r="E1503" s="3007"/>
      <c r="F1503" s="3012">
        <f>'Смета Внутр'!H1509</f>
        <v>0</v>
      </c>
    </row>
    <row r="1504" spans="2:6">
      <c r="B1504" s="3007" t="str">
        <f>'Смета Внутр'!B1510</f>
        <v>Гвозди для крепления подкладочного ковра</v>
      </c>
      <c r="C1504" s="3008" t="str">
        <f>'Смета Внутр'!C1510</f>
        <v>шт</v>
      </c>
      <c r="D1504" s="3009">
        <f>'Смета Внутр'!D1510</f>
        <v>0</v>
      </c>
      <c r="E1504" s="3007"/>
      <c r="F1504" s="3012">
        <f>'Смета Внутр'!H1510</f>
        <v>0</v>
      </c>
    </row>
    <row r="1505" spans="2:6">
      <c r="B1505" s="3007" t="str">
        <f>'Смета Внутр'!B1511</f>
        <v>Гвозди для крепления черепицы</v>
      </c>
      <c r="C1505" s="3008" t="str">
        <f>'Смета Внутр'!C1511</f>
        <v>шт</v>
      </c>
      <c r="D1505" s="3009">
        <f>'Смета Внутр'!D1511</f>
        <v>0</v>
      </c>
      <c r="E1505" s="3007"/>
      <c r="F1505" s="3012">
        <f>'Смета Внутр'!H1511</f>
        <v>0</v>
      </c>
    </row>
    <row r="1506" spans="2:6">
      <c r="B1506" s="3007" t="str">
        <f>'Смета Внутр'!B1512</f>
        <v>Клей для монтажа черепицы</v>
      </c>
      <c r="C1506" s="3008" t="str">
        <f>'Смета Внутр'!C1512</f>
        <v>кг</v>
      </c>
      <c r="D1506" s="3009">
        <f>'Смета Внутр'!D1512</f>
        <v>0</v>
      </c>
      <c r="E1506" s="3007"/>
      <c r="F1506" s="3012">
        <f>'Смета Внутр'!H1512</f>
        <v>0</v>
      </c>
    </row>
    <row r="1507" spans="2:6">
      <c r="B1507" s="3007" t="str">
        <f>'Смета Внутр'!B1513</f>
        <v>желоб</v>
      </c>
      <c r="C1507" s="3008" t="str">
        <f>'Смета Внутр'!C1513</f>
        <v>м.п</v>
      </c>
      <c r="D1507" s="3009">
        <f>'Смета Внутр'!D1513</f>
        <v>42</v>
      </c>
      <c r="E1507" s="3007"/>
      <c r="F1507" s="3012">
        <f>'Смета Внутр'!H1513</f>
        <v>0</v>
      </c>
    </row>
    <row r="1508" spans="2:6">
      <c r="B1508" s="3007" t="str">
        <f>'Смета Внутр'!B1514</f>
        <v>отвод</v>
      </c>
      <c r="C1508" s="3008" t="str">
        <f>'Смета Внутр'!C1514</f>
        <v>шт</v>
      </c>
      <c r="D1508" s="3009">
        <f>'Смета Внутр'!D1514</f>
        <v>4</v>
      </c>
      <c r="E1508" s="3007"/>
      <c r="F1508" s="3012">
        <f>'Смета Внутр'!H1514</f>
        <v>0</v>
      </c>
    </row>
    <row r="1509" spans="2:6">
      <c r="B1509" s="3007" t="str">
        <f>'Смета Внутр'!B1515</f>
        <v>труба водосточная</v>
      </c>
      <c r="C1509" s="3008" t="str">
        <f>'Смета Внутр'!C1515</f>
        <v>м.п.</v>
      </c>
      <c r="D1509" s="3009">
        <f>'Смета Внутр'!D1515</f>
        <v>6.6000000000000005</v>
      </c>
      <c r="E1509" s="3007"/>
      <c r="F1509" s="3012">
        <f>'Смета Внутр'!H1515</f>
        <v>0</v>
      </c>
    </row>
    <row r="1510" spans="2:6">
      <c r="B1510" s="3007" t="str">
        <f>'Смета Внутр'!B1516</f>
        <v>заглушка для желоба</v>
      </c>
      <c r="C1510" s="3008" t="str">
        <f>'Смета Внутр'!C1516</f>
        <v>шт</v>
      </c>
      <c r="D1510" s="3009">
        <f>'Смета Внутр'!D1516</f>
        <v>4</v>
      </c>
      <c r="E1510" s="3007"/>
      <c r="F1510" s="3012">
        <f>'Смета Внутр'!H1516</f>
        <v>0</v>
      </c>
    </row>
    <row r="1511" spans="2:6">
      <c r="B1511" s="3007" t="str">
        <f>'Смета Внутр'!B1517</f>
        <v>соеденитель для желоба</v>
      </c>
      <c r="C1511" s="3008" t="str">
        <f>'Смета Внутр'!C1517</f>
        <v>шт</v>
      </c>
      <c r="D1511" s="3009">
        <f>'Смета Внутр'!D1517</f>
        <v>15</v>
      </c>
      <c r="E1511" s="3007"/>
      <c r="F1511" s="3012">
        <f>'Смета Внутр'!H1517</f>
        <v>0</v>
      </c>
    </row>
    <row r="1512" spans="2:6">
      <c r="B1512" s="3007" t="str">
        <f>'Смета Внутр'!B1518</f>
        <v>кронштейн для желоба</v>
      </c>
      <c r="C1512" s="3008" t="str">
        <f>'Смета Внутр'!C1518</f>
        <v>шт</v>
      </c>
      <c r="D1512" s="3009">
        <f>'Смета Внутр'!D1518</f>
        <v>140</v>
      </c>
      <c r="E1512" s="3007"/>
      <c r="F1512" s="3012">
        <f>'Смета Внутр'!H1518</f>
        <v>0</v>
      </c>
    </row>
    <row r="1513" spans="2:6">
      <c r="B1513" s="3007" t="str">
        <f>'Смета Внутр'!B1519</f>
        <v>переход из желоба в трубу</v>
      </c>
      <c r="C1513" s="3008" t="str">
        <f>'Смета Внутр'!C1519</f>
        <v>шт</v>
      </c>
      <c r="D1513" s="3009">
        <f>'Смета Внутр'!D1519</f>
        <v>2</v>
      </c>
      <c r="E1513" s="3007"/>
      <c r="F1513" s="3012">
        <f>'Смета Внутр'!H1519</f>
        <v>0</v>
      </c>
    </row>
    <row r="1514" spans="2:6">
      <c r="B1514" s="3007" t="str">
        <f>'Смета Внутр'!B1520</f>
        <v>лента дельта мульти бэнд</v>
      </c>
      <c r="C1514" s="3008" t="str">
        <f>'Смета Внутр'!C1520</f>
        <v>шт</v>
      </c>
      <c r="D1514" s="3009">
        <f>'Смета Внутр'!D1520</f>
        <v>1</v>
      </c>
      <c r="E1514" s="3007"/>
      <c r="F1514" s="3012">
        <f>'Смета Внутр'!H1520</f>
        <v>0</v>
      </c>
    </row>
    <row r="1515" spans="2:6">
      <c r="B1515" s="3007" t="str">
        <f>'Смета Внутр'!B1521</f>
        <v>лента дельта sb-60</v>
      </c>
      <c r="C1515" s="3008" t="str">
        <f>'Смета Внутр'!C1521</f>
        <v>шт</v>
      </c>
      <c r="D1515" s="3009">
        <f>'Смета Внутр'!D1521</f>
        <v>12.764966418035014</v>
      </c>
      <c r="E1515" s="3007"/>
      <c r="F1515" s="3012">
        <f>'Смета Внутр'!H1521</f>
        <v>0</v>
      </c>
    </row>
    <row r="1516" spans="2:6">
      <c r="B1516" s="3007" t="str">
        <f>'Смета Внутр'!B1522</f>
        <v>проходка кровельная, канализационная</v>
      </c>
      <c r="C1516" s="3008" t="str">
        <f>'Смета Внутр'!C1522</f>
        <v>шт</v>
      </c>
      <c r="D1516" s="3009">
        <f>'Смета Внутр'!D1522</f>
        <v>0</v>
      </c>
      <c r="E1516" s="3007"/>
      <c r="F1516" s="3012">
        <f>'Смета Внутр'!H1522</f>
        <v>0</v>
      </c>
    </row>
    <row r="1517" spans="2:6">
      <c r="B1517" s="3007" t="str">
        <f>'Смета Внутр'!B1523</f>
        <v>проходка кровельная, вентиляционная</v>
      </c>
      <c r="C1517" s="3008" t="str">
        <f>'Смета Внутр'!C1523</f>
        <v>шт</v>
      </c>
      <c r="D1517" s="3009">
        <f>'Смета Внутр'!D1523</f>
        <v>0</v>
      </c>
      <c r="E1517" s="3007"/>
      <c r="F1517" s="3012">
        <f>'Смета Внутр'!H1523</f>
        <v>0</v>
      </c>
    </row>
    <row r="1518" spans="2:6">
      <c r="B1518" s="3007" t="str">
        <f>'Смета Внутр'!B1524</f>
        <v>проодка кровельная, труба котел</v>
      </c>
      <c r="C1518" s="3008" t="str">
        <f>'Смета Внутр'!C1524</f>
        <v>шт</v>
      </c>
      <c r="D1518" s="3009">
        <f>'Смета Внутр'!D1524</f>
        <v>0</v>
      </c>
      <c r="E1518" s="3007"/>
      <c r="F1518" s="3012">
        <f>'Смета Внутр'!H1524</f>
        <v>0</v>
      </c>
    </row>
    <row r="1519" spans="2:6">
      <c r="B1519" s="3007" t="str">
        <f>'Смета Внутр'!B1525</f>
        <v>Кровельный саморез</v>
      </c>
      <c r="C1519" s="3008" t="str">
        <f>'Смета Внутр'!C1525</f>
        <v>шт</v>
      </c>
      <c r="D1519" s="3009">
        <f>'Смета Внутр'!D1525</f>
        <v>2297.6939552463027</v>
      </c>
      <c r="E1519" s="3007"/>
      <c r="F1519" s="3012">
        <f>'Смета Внутр'!H1525</f>
        <v>0</v>
      </c>
    </row>
    <row r="1520" spans="2:6">
      <c r="B1520" s="3007" t="str">
        <f>'Смета Внутр'!B1526</f>
        <v xml:space="preserve">Гвозди ершоные 3,4 x 60            </v>
      </c>
      <c r="C1520" s="3008" t="str">
        <f>'Смета Внутр'!C1526</f>
        <v>кг</v>
      </c>
      <c r="D1520" s="3009">
        <f>'Смета Внутр'!D1526</f>
        <v>36.188679795129261</v>
      </c>
      <c r="E1520" s="3007"/>
      <c r="F1520" s="3012">
        <f>'Смета Внутр'!H1526</f>
        <v>0</v>
      </c>
    </row>
    <row r="1521" spans="2:6">
      <c r="B1521" s="3007" t="str">
        <f>'Смета Внутр'!B1527</f>
        <v xml:space="preserve">Гвозди строительные 3,5 x 90            </v>
      </c>
      <c r="C1521" s="3008" t="str">
        <f>'Смета Внутр'!C1527</f>
        <v>кг</v>
      </c>
      <c r="D1521" s="3009">
        <f>'Смета Внутр'!D1527</f>
        <v>27.727439260317254</v>
      </c>
      <c r="E1521" s="3007"/>
      <c r="F1521" s="3012">
        <f>'Смета Внутр'!H1527</f>
        <v>0</v>
      </c>
    </row>
    <row r="1522" spans="2:6">
      <c r="B1522" s="3007" t="str">
        <f>'Смета Внутр'!B1528</f>
        <v xml:space="preserve">Пластина соеденительная 100х240х2           </v>
      </c>
      <c r="C1522" s="3008" t="str">
        <f>'Смета Внутр'!C1528</f>
        <v>шт</v>
      </c>
      <c r="D1522" s="3009">
        <f>'Смета Внутр'!D1528</f>
        <v>27.353499467217887</v>
      </c>
      <c r="E1522" s="3007"/>
      <c r="F1522" s="3012">
        <f>'Смета Внутр'!H1528</f>
        <v>0</v>
      </c>
    </row>
    <row r="1523" spans="2:6">
      <c r="B1523" s="3007" t="str">
        <f>'Смета Внутр'!B1529</f>
        <v xml:space="preserve">Уголок усиленный 90х70х55х2,5        </v>
      </c>
      <c r="C1523" s="3008" t="str">
        <f>'Смета Внутр'!C1529</f>
        <v>шт</v>
      </c>
      <c r="D1523" s="3009">
        <f>'Смета Внутр'!D1529</f>
        <v>382.94899254105042</v>
      </c>
      <c r="E1523" s="3007"/>
      <c r="F1523" s="3012">
        <f>'Смета Внутр'!H1529</f>
        <v>0</v>
      </c>
    </row>
    <row r="1524" spans="2:6">
      <c r="B1524" s="3311" t="str">
        <f>'Смета Внутр'!B1530</f>
        <v>Итого материалы</v>
      </c>
      <c r="C1524" s="3311"/>
      <c r="D1524" s="3311"/>
      <c r="E1524" s="3311"/>
      <c r="F1524" s="3014">
        <f>'Смета Внутр'!G1530</f>
        <v>0</v>
      </c>
    </row>
    <row r="1525" spans="2:6">
      <c r="B1525" s="3312" t="str">
        <f>'Смета Внутр'!B1531</f>
        <v>Работы</v>
      </c>
      <c r="C1525" s="3312"/>
      <c r="D1525" s="3312"/>
      <c r="E1525" s="3312"/>
      <c r="F1525" s="3011">
        <f>'Смета Внутр'!H1531</f>
        <v>0</v>
      </c>
    </row>
    <row r="1526" spans="2:6">
      <c r="B1526" s="3007" t="str">
        <f>'Смета Внутр'!B1532</f>
        <v>монтаж мауэрлат</v>
      </c>
      <c r="C1526" s="3008" t="str">
        <f>'Смета Внутр'!C1532</f>
        <v>м.п.</v>
      </c>
      <c r="D1526" s="3009">
        <f>'Смета Внутр'!D1532</f>
        <v>40</v>
      </c>
      <c r="E1526" s="3007"/>
      <c r="F1526" s="3012">
        <f>'Смета Внутр'!H1532</f>
        <v>0</v>
      </c>
    </row>
    <row r="1527" spans="2:6">
      <c r="B1527" s="3007" t="str">
        <f>'Смета Внутр'!B1533</f>
        <v>монтаж стропил</v>
      </c>
      <c r="C1527" s="3008" t="str">
        <f>'Смета Внутр'!C1533</f>
        <v>м2</v>
      </c>
      <c r="D1527" s="3009">
        <f>'Смета Внутр'!D1533</f>
        <v>191.47449627052521</v>
      </c>
      <c r="E1527" s="3007"/>
      <c r="F1527" s="3012">
        <f>'Смета Внутр'!H1533</f>
        <v>0</v>
      </c>
    </row>
    <row r="1528" spans="2:6">
      <c r="B1528" s="3007" t="str">
        <f>'Смета Внутр'!B1534</f>
        <v>обрешетка</v>
      </c>
      <c r="C1528" s="3008" t="str">
        <f>'Смета Внутр'!C1534</f>
        <v>м2</v>
      </c>
      <c r="D1528" s="3009">
        <f>'Смета Внутр'!D1534</f>
        <v>191.47449627052521</v>
      </c>
      <c r="E1528" s="3007"/>
      <c r="F1528" s="3012">
        <f>'Смета Внутр'!H1534</f>
        <v>0</v>
      </c>
    </row>
    <row r="1529" spans="2:6">
      <c r="B1529" s="3007" t="str">
        <f>'Смета Внутр'!B1535</f>
        <v>контробеш</v>
      </c>
      <c r="C1529" s="3008" t="str">
        <f>'Смета Внутр'!C1535</f>
        <v>м2</v>
      </c>
      <c r="D1529" s="3009">
        <f>'Смета Внутр'!D1535</f>
        <v>191.47449627052521</v>
      </c>
      <c r="E1529" s="3007"/>
      <c r="F1529" s="3012">
        <f>'Смета Внутр'!H1535</f>
        <v>0</v>
      </c>
    </row>
    <row r="1530" spans="2:6">
      <c r="B1530" s="3007" t="str">
        <f>'Смета Внутр'!B1536</f>
        <v>мембрана</v>
      </c>
      <c r="C1530" s="3008" t="str">
        <f>'Смета Внутр'!C1536</f>
        <v>м2</v>
      </c>
      <c r="D1530" s="3009">
        <f>'Смета Внутр'!D1536</f>
        <v>191.47449627052521</v>
      </c>
      <c r="E1530" s="3007"/>
      <c r="F1530" s="3012">
        <f>'Смета Внутр'!H1536</f>
        <v>0</v>
      </c>
    </row>
    <row r="1531" spans="2:6">
      <c r="B1531" s="3007" t="str">
        <f>'Смета Внутр'!B1537</f>
        <v>пароизоляц</v>
      </c>
      <c r="C1531" s="3008" t="str">
        <f>'Смета Внутр'!C1537</f>
        <v>м2</v>
      </c>
      <c r="D1531" s="3009">
        <f>'Смета Внутр'!D1537</f>
        <v>191.47449627052521</v>
      </c>
      <c r="E1531" s="3007"/>
      <c r="F1531" s="3012">
        <f>'Смета Внутр'!H1537</f>
        <v>0</v>
      </c>
    </row>
    <row r="1532" spans="2:6">
      <c r="B1532" s="3007" t="str">
        <f>'Смета Внутр'!B1538</f>
        <v>утеплитель</v>
      </c>
      <c r="C1532" s="3008" t="str">
        <f>'Смета Внутр'!C1538</f>
        <v>м2</v>
      </c>
      <c r="D1532" s="3009">
        <f>'Смета Внутр'!D1538</f>
        <v>191.47449627052521</v>
      </c>
      <c r="E1532" s="3007"/>
      <c r="F1532" s="3012">
        <f>'Смета Внутр'!H1538</f>
        <v>0</v>
      </c>
    </row>
    <row r="1533" spans="2:6">
      <c r="B1533" s="3007" t="str">
        <f>'Смета Внутр'!B1539</f>
        <v>Монтаж металлочерепицы</v>
      </c>
      <c r="C1533" s="3008" t="str">
        <f>'Смета Внутр'!C1539</f>
        <v>м2</v>
      </c>
      <c r="D1533" s="3009">
        <f>'Смета Внутр'!D1539</f>
        <v>174.06772388229564</v>
      </c>
      <c r="E1533" s="3007"/>
      <c r="F1533" s="3012">
        <f>'Смета Внутр'!H1539</f>
        <v>0</v>
      </c>
    </row>
    <row r="1534" spans="2:6">
      <c r="B1534" s="3007" t="str">
        <f>'Смета Внутр'!B1540</f>
        <v>Монтаж ондулина</v>
      </c>
      <c r="C1534" s="3008" t="str">
        <f>'Смета Внутр'!C1540</f>
        <v>м2</v>
      </c>
      <c r="D1534" s="3009">
        <f>'Смета Внутр'!D1540</f>
        <v>0</v>
      </c>
      <c r="E1534" s="3007"/>
      <c r="F1534" s="3012">
        <f>'Смета Внутр'!H1540</f>
        <v>0</v>
      </c>
    </row>
    <row r="1535" spans="2:6">
      <c r="B1535" s="3007" t="str">
        <f>'Смета Внутр'!B1541</f>
        <v>капельник планка</v>
      </c>
      <c r="C1535" s="3008" t="str">
        <f>'Смета Внутр'!C1541</f>
        <v>м.п.</v>
      </c>
      <c r="D1535" s="3009">
        <f>'Смета Внутр'!D1541</f>
        <v>88</v>
      </c>
      <c r="E1535" s="3007"/>
      <c r="F1535" s="3012">
        <f>'Смета Внутр'!H1541</f>
        <v>0</v>
      </c>
    </row>
    <row r="1536" spans="2:6">
      <c r="B1536" s="3007" t="str">
        <f>'Смета Внутр'!B1542</f>
        <v>желоб водосточный</v>
      </c>
      <c r="C1536" s="3008" t="str">
        <f>'Смета Внутр'!C1542</f>
        <v>м.п.</v>
      </c>
      <c r="D1536" s="3009">
        <f>'Смета Внутр'!D1542</f>
        <v>42</v>
      </c>
      <c r="E1536" s="3007"/>
      <c r="F1536" s="3012">
        <f>'Смета Внутр'!H1542</f>
        <v>0</v>
      </c>
    </row>
    <row r="1537" spans="2:6">
      <c r="B1537" s="3007" t="str">
        <f>'Смета Внутр'!B1543</f>
        <v>труба водосточная</v>
      </c>
      <c r="C1537" s="3008" t="str">
        <f>'Смета Внутр'!C1543</f>
        <v>м.п.</v>
      </c>
      <c r="D1537" s="3009">
        <f>'Смета Внутр'!D1543</f>
        <v>6.6000000000000005</v>
      </c>
      <c r="E1537" s="3007"/>
      <c r="F1537" s="3012">
        <f>'Смета Внутр'!H1543</f>
        <v>0</v>
      </c>
    </row>
    <row r="1538" spans="2:6">
      <c r="B1538" s="3007" t="str">
        <f>'Смета Внутр'!B1544</f>
        <v>конек</v>
      </c>
      <c r="C1538" s="3008" t="str">
        <f>'Смета Внутр'!C1544</f>
        <v>м.п.</v>
      </c>
      <c r="D1538" s="3009">
        <f>'Смета Внутр'!D1544</f>
        <v>39.350000802913002</v>
      </c>
      <c r="E1538" s="3007"/>
      <c r="F1538" s="3012">
        <f>'Смета Внутр'!H1544</f>
        <v>0</v>
      </c>
    </row>
    <row r="1539" spans="2:6">
      <c r="B1539" s="3007" t="str">
        <f>'Смета Внутр'!B1545</f>
        <v>Монтаж фанеры/osb</v>
      </c>
      <c r="C1539" s="3008" t="str">
        <f>'Смета Внутр'!C1545</f>
        <v>м2</v>
      </c>
      <c r="D1539" s="3009">
        <f>'Смета Внутр'!D1545</f>
        <v>0</v>
      </c>
      <c r="E1539" s="3007"/>
      <c r="F1539" s="3012">
        <f>'Смета Внутр'!H1545</f>
        <v>0</v>
      </c>
    </row>
    <row r="1540" spans="2:6">
      <c r="B1540" s="3007" t="str">
        <f>'Смета Внутр'!B1546</f>
        <v>монтаж подкладочного ковра</v>
      </c>
      <c r="C1540" s="3008" t="str">
        <f>'Смета Внутр'!C1546</f>
        <v>м2</v>
      </c>
      <c r="D1540" s="3009">
        <f>'Смета Внутр'!D1546</f>
        <v>0</v>
      </c>
      <c r="E1540" s="3007"/>
      <c r="F1540" s="3012">
        <f>'Смета Внутр'!H1546</f>
        <v>0</v>
      </c>
    </row>
    <row r="1541" spans="2:6">
      <c r="B1541" s="3007" t="str">
        <f>'Смета Внутр'!B1547</f>
        <v>Монтаж мягкой кровли</v>
      </c>
      <c r="C1541" s="3008" t="str">
        <f>'Смета Внутр'!C1547</f>
        <v>м2</v>
      </c>
      <c r="D1541" s="3009">
        <f>'Смета Внутр'!D1547</f>
        <v>0</v>
      </c>
      <c r="E1541" s="3007"/>
      <c r="F1541" s="3012">
        <f>'Смета Внутр'!H1547</f>
        <v>0</v>
      </c>
    </row>
    <row r="1542" spans="2:6">
      <c r="B1542" s="3311" t="str">
        <f>'Смета Внутр'!B1548</f>
        <v>Итого работы</v>
      </c>
      <c r="C1542" s="3311"/>
      <c r="D1542" s="3311"/>
      <c r="E1542" s="3311"/>
      <c r="F1542" s="3014">
        <f>'Смета Внутр'!G1548</f>
        <v>0</v>
      </c>
    </row>
    <row r="1543" spans="2:6" ht="19">
      <c r="B1543" s="3313" t="str">
        <f>'Смета Внутр'!B1549</f>
        <v>Кровля Вальмовая ломаная</v>
      </c>
      <c r="C1543" s="3313"/>
      <c r="D1543" s="3313"/>
      <c r="E1543" s="3313"/>
      <c r="F1543" s="3011">
        <f>'Смета Внутр'!H1549</f>
        <v>0</v>
      </c>
    </row>
    <row r="1544" spans="2:6">
      <c r="B1544" s="3310" t="str">
        <f>'Смета Внутр'!B1550</f>
        <v>Материалы</v>
      </c>
      <c r="C1544" s="3310"/>
      <c r="D1544" s="3310"/>
      <c r="E1544" s="3310"/>
      <c r="F1544" s="3011">
        <f>'Смета Внутр'!H1550</f>
        <v>0</v>
      </c>
    </row>
    <row r="1545" spans="2:6">
      <c r="B1545" s="3007" t="str">
        <f>'Смета Внутр'!B1551</f>
        <v>нет</v>
      </c>
      <c r="C1545" s="3008" t="str">
        <f>'Смета Внутр'!C1551</f>
        <v>м3</v>
      </c>
      <c r="D1545" s="3009">
        <f>'Смета Внутр'!D1551</f>
        <v>0</v>
      </c>
      <c r="E1545" s="3007"/>
      <c r="F1545" s="3012">
        <f>'Смета Внутр'!H1551</f>
        <v>0</v>
      </c>
    </row>
    <row r="1546" spans="2:6">
      <c r="B1546" s="3007" t="str">
        <f>'Смета Внутр'!B1552</f>
        <v xml:space="preserve">Болты анкерные с гайкой 12,0 х 280          </v>
      </c>
      <c r="C1546" s="3008" t="str">
        <f>'Смета Внутр'!C1552</f>
        <v>шт</v>
      </c>
      <c r="D1546" s="3009">
        <f>'Смета Внутр'!D1552</f>
        <v>139.09265127310908</v>
      </c>
      <c r="E1546" s="3007"/>
      <c r="F1546" s="3012">
        <f>'Смета Внутр'!H1552</f>
        <v>0</v>
      </c>
    </row>
    <row r="1547" spans="2:6">
      <c r="B1547" s="3007" t="str">
        <f>'Смета Внутр'!B1553</f>
        <v>Доска сырая, 150*50мм</v>
      </c>
      <c r="C1547" s="3008" t="str">
        <f>'Смета Внутр'!C1553</f>
        <v>м3</v>
      </c>
      <c r="D1547" s="3009">
        <f>'Смета Внутр'!D1553</f>
        <v>4.6833157486435848</v>
      </c>
      <c r="E1547" s="3007"/>
      <c r="F1547" s="3012">
        <f>'Смета Внутр'!H1553</f>
        <v>0</v>
      </c>
    </row>
    <row r="1548" spans="2:6">
      <c r="B1548" s="3007" t="str">
        <f>'Смета Внутр'!B1554</f>
        <v xml:space="preserve">бугель, доска </v>
      </c>
      <c r="C1548" s="3008" t="str">
        <f>'Смета Внутр'!C1554</f>
        <v>м3</v>
      </c>
      <c r="D1548" s="3009">
        <f>'Смета Внутр'!D1554</f>
        <v>0.495</v>
      </c>
      <c r="E1548" s="3007"/>
      <c r="F1548" s="3012">
        <f>'Смета Внутр'!H1554</f>
        <v>0</v>
      </c>
    </row>
    <row r="1549" spans="2:6">
      <c r="B1549" s="3007" t="str">
        <f>'Смета Внутр'!B1555</f>
        <v>стойка под конек</v>
      </c>
      <c r="C1549" s="3008" t="str">
        <f>'Смета Внутр'!C1555</f>
        <v>м3</v>
      </c>
      <c r="D1549" s="3009">
        <f>'Смета Внутр'!D1555</f>
        <v>0.15</v>
      </c>
      <c r="E1549" s="3007"/>
      <c r="F1549" s="3012">
        <f>'Смета Внутр'!H1555</f>
        <v>0</v>
      </c>
    </row>
    <row r="1550" spans="2:6">
      <c r="B1550" s="3007" t="str">
        <f>'Смета Внутр'!B1556</f>
        <v>Сосна влаж,100*25мм</v>
      </c>
      <c r="C1550" s="3008" t="str">
        <f>'Смета Внутр'!C1556</f>
        <v>м3</v>
      </c>
      <c r="D1550" s="3009">
        <f>'Смета Внутр'!D1556</f>
        <v>2.3188937286671267</v>
      </c>
      <c r="E1550" s="3007"/>
      <c r="F1550" s="3012">
        <f>'Смета Внутр'!H1556</f>
        <v>0</v>
      </c>
    </row>
    <row r="1551" spans="2:6">
      <c r="B1551" s="3007" t="str">
        <f>'Смета Внутр'!B1557</f>
        <v>Доска сухая, калибр., 35*45мм</v>
      </c>
      <c r="C1551" s="3008" t="str">
        <f>'Смета Внутр'!C1557</f>
        <v>м3</v>
      </c>
      <c r="D1551" s="3009">
        <f>'Смета Внутр'!D1557</f>
        <v>0.87404455926683999</v>
      </c>
      <c r="E1551" s="3007"/>
      <c r="F1551" s="3012">
        <f>'Смета Внутр'!H1557</f>
        <v>0</v>
      </c>
    </row>
    <row r="1552" spans="2:6">
      <c r="B1552" s="3007" t="str">
        <f>'Смета Внутр'!B1558</f>
        <v>Мембраны  Tyvek Housewrap</v>
      </c>
      <c r="C1552" s="3008" t="str">
        <f>'Смета Внутр'!C1558</f>
        <v>м2</v>
      </c>
      <c r="D1552" s="3009">
        <f>'Смета Внутр'!D1558</f>
        <v>332.9693559111771</v>
      </c>
      <c r="E1552" s="3007"/>
      <c r="F1552" s="3012">
        <f>'Смета Внутр'!H1558</f>
        <v>0</v>
      </c>
    </row>
    <row r="1553" spans="2:6">
      <c r="B1553" s="3007" t="str">
        <f>'Смета Внутр'!B1559</f>
        <v>Мембрана Tyvek AirGuard Reflective</v>
      </c>
      <c r="C1553" s="3008" t="str">
        <f>'Смета Внутр'!C1559</f>
        <v>м2</v>
      </c>
      <c r="D1553" s="3009">
        <f>'Смета Внутр'!D1559</f>
        <v>332.9693559111771</v>
      </c>
      <c r="E1553" s="3007"/>
      <c r="F1553" s="3012">
        <f>'Смета Внутр'!H1559</f>
        <v>0</v>
      </c>
    </row>
    <row r="1554" spans="2:6">
      <c r="B1554" s="3007" t="str">
        <f>'Смета Внутр'!B1560</f>
        <v>Плитный,28кг/м3, технониколь, 50мм</v>
      </c>
      <c r="C1554" s="3008" t="str">
        <f>'Смета Внутр'!C1560</f>
        <v>м3</v>
      </c>
      <c r="D1554" s="3009">
        <f>'Смета Внутр'!D1560</f>
        <v>11.89176271111347</v>
      </c>
      <c r="E1554" s="3007"/>
      <c r="F1554" s="3012">
        <f>'Смета Внутр'!H1560</f>
        <v>0</v>
      </c>
    </row>
    <row r="1555" spans="2:6">
      <c r="B1555" s="3007" t="str">
        <f>'Смета Внутр'!B1561</f>
        <v>металлочерепица</v>
      </c>
      <c r="C1555" s="3008" t="str">
        <f>'Смета Внутр'!C1561</f>
        <v>м2</v>
      </c>
      <c r="D1555" s="3009">
        <f>'Смета Внутр'!D1561</f>
        <v>332.9693559111771</v>
      </c>
      <c r="E1555" s="3007"/>
      <c r="F1555" s="3012">
        <f>'Смета Внутр'!H1561</f>
        <v>0</v>
      </c>
    </row>
    <row r="1556" spans="2:6">
      <c r="B1556" s="3007" t="str">
        <f>'Смета Внутр'!B1562</f>
        <v>Карнизная планка</v>
      </c>
      <c r="C1556" s="3008" t="str">
        <f>'Смета Внутр'!C1562</f>
        <v>м.п.</v>
      </c>
      <c r="D1556" s="3009">
        <f>'Смета Внутр'!D1562</f>
        <v>62</v>
      </c>
      <c r="E1556" s="3007"/>
      <c r="F1556" s="3012">
        <f>'Смета Внутр'!H1562</f>
        <v>0</v>
      </c>
    </row>
    <row r="1557" spans="2:6">
      <c r="B1557" s="3007" t="str">
        <f>'Смета Внутр'!B1563</f>
        <v>Торцевая планка</v>
      </c>
      <c r="C1557" s="3008" t="str">
        <f>'Смета Внутр'!C1563</f>
        <v>м.п.</v>
      </c>
      <c r="D1557" s="3009">
        <f>'Смета Внутр'!D1563</f>
        <v>26.90724809414742</v>
      </c>
      <c r="E1557" s="3007"/>
      <c r="F1557" s="3012">
        <f>'Смета Внутр'!H1563</f>
        <v>0</v>
      </c>
    </row>
    <row r="1558" spans="2:6">
      <c r="B1558" s="3007" t="str">
        <f>'Смета Внутр'!B1564</f>
        <v>Конек</v>
      </c>
      <c r="C1558" s="3008" t="str">
        <f>'Смета Внутр'!C1564</f>
        <v>м.п.</v>
      </c>
      <c r="D1558" s="3009">
        <f>'Смета Внутр'!D1564</f>
        <v>39.778728788181674</v>
      </c>
      <c r="E1558" s="3007"/>
      <c r="F1558" s="3012">
        <f>'Смета Внутр'!H1564</f>
        <v>0</v>
      </c>
    </row>
    <row r="1559" spans="2:6">
      <c r="B1559" s="3007" t="str">
        <f>'Смета Внутр'!B1565</f>
        <v>ондулин</v>
      </c>
      <c r="C1559" s="3008" t="str">
        <f>'Смета Внутр'!C1565</f>
        <v>м2</v>
      </c>
      <c r="D1559" s="3009">
        <f>'Смета Внутр'!D1565</f>
        <v>0</v>
      </c>
      <c r="E1559" s="3007"/>
      <c r="F1559" s="3012">
        <f>'Смета Внутр'!H1565</f>
        <v>0</v>
      </c>
    </row>
    <row r="1560" spans="2:6">
      <c r="B1560" s="3007" t="str">
        <f>'Смета Внутр'!B1566</f>
        <v>Карнизная планка</v>
      </c>
      <c r="C1560" s="3008" t="str">
        <f>'Смета Внутр'!C1566</f>
        <v>м.п.</v>
      </c>
      <c r="D1560" s="3009">
        <f>'Смета Внутр'!D1566</f>
        <v>0</v>
      </c>
      <c r="E1560" s="3007"/>
      <c r="F1560" s="3012">
        <f>'Смета Внутр'!H1566</f>
        <v>0</v>
      </c>
    </row>
    <row r="1561" spans="2:6">
      <c r="B1561" s="3007" t="str">
        <f>'Смета Внутр'!B1567</f>
        <v>Торцевая планка</v>
      </c>
      <c r="C1561" s="3008" t="str">
        <f>'Смета Внутр'!C1567</f>
        <v>м.п.</v>
      </c>
      <c r="D1561" s="3009">
        <f>'Смета Внутр'!D1567</f>
        <v>0</v>
      </c>
      <c r="E1561" s="3007"/>
      <c r="F1561" s="3012">
        <f>'Смета Внутр'!H1567</f>
        <v>0</v>
      </c>
    </row>
    <row r="1562" spans="2:6">
      <c r="B1562" s="3007" t="str">
        <f>'Смета Внутр'!B1568</f>
        <v>Конек</v>
      </c>
      <c r="C1562" s="3008" t="str">
        <f>'Смета Внутр'!C1568</f>
        <v>м.п.</v>
      </c>
      <c r="D1562" s="3009">
        <f>'Смета Внутр'!D1568</f>
        <v>0</v>
      </c>
      <c r="E1562" s="3007"/>
      <c r="F1562" s="3012">
        <f>'Смета Внутр'!H1568</f>
        <v>0</v>
      </c>
    </row>
    <row r="1563" spans="2:6">
      <c r="B1563" s="3007" t="str">
        <f>'Смета Внутр'!B1569</f>
        <v>Ендова нижняя</v>
      </c>
      <c r="C1563" s="3008" t="str">
        <f>'Смета Внутр'!C1569</f>
        <v>м.п.</v>
      </c>
      <c r="D1563" s="3009">
        <f>'Смета Внутр'!D1569</f>
        <v>0</v>
      </c>
      <c r="E1563" s="3007"/>
      <c r="F1563" s="3012">
        <f>'Смета Внутр'!H1569</f>
        <v>0</v>
      </c>
    </row>
    <row r="1564" spans="2:6">
      <c r="B1564" s="3007" t="str">
        <f>'Смета Внутр'!B1570</f>
        <v>Ендова верхняя</v>
      </c>
      <c r="C1564" s="3008" t="str">
        <f>'Смета Внутр'!C1570</f>
        <v>м.п.</v>
      </c>
      <c r="D1564" s="3009">
        <f>'Смета Внутр'!D1570</f>
        <v>0</v>
      </c>
      <c r="E1564" s="3007"/>
      <c r="F1564" s="3012">
        <f>'Смета Внутр'!H1570</f>
        <v>0</v>
      </c>
    </row>
    <row r="1565" spans="2:6">
      <c r="B1565" s="3007" t="str">
        <f>'Смета Внутр'!B1571</f>
        <v>Планка примыкания</v>
      </c>
      <c r="C1565" s="3008" t="str">
        <f>'Смета Внутр'!C1571</f>
        <v>м.п.</v>
      </c>
      <c r="D1565" s="3009">
        <f>'Смета Внутр'!D1571</f>
        <v>0</v>
      </c>
      <c r="E1565" s="3007"/>
      <c r="F1565" s="3012">
        <f>'Смета Внутр'!H1571</f>
        <v>0</v>
      </c>
    </row>
    <row r="1566" spans="2:6">
      <c r="B1566" s="3007" t="str">
        <f>'Смета Внутр'!B1572</f>
        <v>Крепеж для ондулина</v>
      </c>
      <c r="C1566" s="3008" t="str">
        <f>'Смета Внутр'!C1572</f>
        <v>шт</v>
      </c>
      <c r="D1566" s="3009">
        <f>'Смета Внутр'!D1572</f>
        <v>0</v>
      </c>
      <c r="E1566" s="3007"/>
      <c r="F1566" s="3012">
        <f>'Смета Внутр'!H1572</f>
        <v>0</v>
      </c>
    </row>
    <row r="1567" spans="2:6">
      <c r="B1567" s="3007" t="str">
        <f>'Смета Внутр'!B1573</f>
        <v>нет</v>
      </c>
      <c r="C1567" s="3008" t="str">
        <f>'Смета Внутр'!C1573</f>
        <v>м2</v>
      </c>
      <c r="D1567" s="3009">
        <f>'Смета Внутр'!D1573</f>
        <v>273.51054235560974</v>
      </c>
      <c r="E1567" s="3007"/>
      <c r="F1567" s="3012">
        <f>'Смета Внутр'!H1573</f>
        <v>0</v>
      </c>
    </row>
    <row r="1568" spans="2:6">
      <c r="B1568" s="3007" t="str">
        <f>'Смета Внутр'!B1574</f>
        <v>Рядовая черепица</v>
      </c>
      <c r="C1568" s="3008" t="str">
        <f>'Смета Внутр'!C1574</f>
        <v>м2</v>
      </c>
      <c r="D1568" s="3009">
        <f>'Смета Внутр'!D1574</f>
        <v>0</v>
      </c>
      <c r="E1568" s="3007"/>
      <c r="F1568" s="3012">
        <f>'Смета Внутр'!H1574</f>
        <v>0</v>
      </c>
    </row>
    <row r="1569" spans="2:6">
      <c r="B1569" s="3007" t="str">
        <f>'Смета Внутр'!B1575</f>
        <v>Металл оцинк защита (карниз)</v>
      </c>
      <c r="C1569" s="3008" t="str">
        <f>'Смета Внутр'!C1575</f>
        <v>м.п.</v>
      </c>
      <c r="D1569" s="3009">
        <f>'Смета Внутр'!D1575</f>
        <v>0</v>
      </c>
      <c r="E1569" s="3007"/>
      <c r="F1569" s="3012">
        <f>'Смета Внутр'!H1575</f>
        <v>0</v>
      </c>
    </row>
    <row r="1570" spans="2:6">
      <c r="B1570" s="3007" t="str">
        <f>'Смета Внутр'!B1576</f>
        <v>Подкладочный ковер</v>
      </c>
      <c r="C1570" s="3008" t="str">
        <f>'Смета Внутр'!C1576</f>
        <v>м.п.</v>
      </c>
      <c r="D1570" s="3009">
        <f>'Смета Внутр'!D1576</f>
        <v>0</v>
      </c>
      <c r="E1570" s="3007"/>
      <c r="F1570" s="3012">
        <f>'Смета Внутр'!H1576</f>
        <v>0</v>
      </c>
    </row>
    <row r="1571" spans="2:6">
      <c r="B1571" s="3007" t="str">
        <f>'Смета Внутр'!B1577</f>
        <v>Карнизная самоклеющаяся черепица</v>
      </c>
      <c r="C1571" s="3008" t="str">
        <f>'Смета Внутр'!C1577</f>
        <v>м.п.</v>
      </c>
      <c r="D1571" s="3009">
        <f>'Смета Внутр'!D1577</f>
        <v>0</v>
      </c>
      <c r="E1571" s="3007"/>
      <c r="F1571" s="3012">
        <f>'Смета Внутр'!H1577</f>
        <v>0</v>
      </c>
    </row>
    <row r="1572" spans="2:6">
      <c r="B1572" s="3007" t="str">
        <f>'Смета Внутр'!B1578</f>
        <v>Спец ковер ендова нижняя</v>
      </c>
      <c r="C1572" s="3008" t="str">
        <f>'Смета Внутр'!C1578</f>
        <v>м.п.</v>
      </c>
      <c r="D1572" s="3009">
        <f>'Смета Внутр'!D1578</f>
        <v>0</v>
      </c>
      <c r="E1572" s="3007"/>
      <c r="F1572" s="3012">
        <f>'Смета Внутр'!H1578</f>
        <v>0</v>
      </c>
    </row>
    <row r="1573" spans="2:6">
      <c r="B1573" s="3007" t="str">
        <f>'Смета Внутр'!B1579</f>
        <v>Коньковой элемент</v>
      </c>
      <c r="C1573" s="3008" t="str">
        <f>'Смета Внутр'!C1579</f>
        <v>м.п.</v>
      </c>
      <c r="D1573" s="3009">
        <f>'Смета Внутр'!D1579</f>
        <v>0</v>
      </c>
      <c r="E1573" s="3007"/>
      <c r="F1573" s="3012">
        <f>'Смета Внутр'!H1579</f>
        <v>0</v>
      </c>
    </row>
    <row r="1574" spans="2:6">
      <c r="B1574" s="3007" t="str">
        <f>'Смета Внутр'!B1580</f>
        <v>Планка премыкания</v>
      </c>
      <c r="C1574" s="3008" t="str">
        <f>'Смета Внутр'!C1580</f>
        <v>м.п.</v>
      </c>
      <c r="D1574" s="3009">
        <f>'Смета Внутр'!D1580</f>
        <v>0</v>
      </c>
      <c r="E1574" s="3007"/>
      <c r="F1574" s="3012">
        <f>'Смета Внутр'!H1580</f>
        <v>0</v>
      </c>
    </row>
    <row r="1575" spans="2:6">
      <c r="B1575" s="3007" t="str">
        <f>'Смета Внутр'!B1581</f>
        <v>Гвозди для крепления подкладочного ковра</v>
      </c>
      <c r="C1575" s="3008" t="str">
        <f>'Смета Внутр'!C1581</f>
        <v>шт</v>
      </c>
      <c r="D1575" s="3009">
        <f>'Смета Внутр'!D1581</f>
        <v>0</v>
      </c>
      <c r="E1575" s="3007"/>
      <c r="F1575" s="3012">
        <f>'Смета Внутр'!H1581</f>
        <v>0</v>
      </c>
    </row>
    <row r="1576" spans="2:6">
      <c r="B1576" s="3007" t="str">
        <f>'Смета Внутр'!B1582</f>
        <v>Гвозди для крепления черепицы</v>
      </c>
      <c r="C1576" s="3008" t="str">
        <f>'Смета Внутр'!C1582</f>
        <v>шт</v>
      </c>
      <c r="D1576" s="3009">
        <f>'Смета Внутр'!D1582</f>
        <v>0</v>
      </c>
      <c r="E1576" s="3007"/>
      <c r="F1576" s="3012">
        <f>'Смета Внутр'!H1582</f>
        <v>0</v>
      </c>
    </row>
    <row r="1577" spans="2:6">
      <c r="B1577" s="3007" t="str">
        <f>'Смета Внутр'!B1583</f>
        <v>Клей для монтажа черепицы</v>
      </c>
      <c r="C1577" s="3008" t="str">
        <f>'Смета Внутр'!C1583</f>
        <v>кг</v>
      </c>
      <c r="D1577" s="3009">
        <f>'Смета Внутр'!D1583</f>
        <v>0</v>
      </c>
      <c r="E1577" s="3007"/>
      <c r="F1577" s="3012">
        <f>'Смета Внутр'!H1583</f>
        <v>0</v>
      </c>
    </row>
    <row r="1578" spans="2:6">
      <c r="B1578" s="3007" t="str">
        <f>'Смета Внутр'!B1584</f>
        <v>желоб</v>
      </c>
      <c r="C1578" s="3008" t="str">
        <f>'Смета Внутр'!C1584</f>
        <v>м.п</v>
      </c>
      <c r="D1578" s="3009">
        <f>'Смета Внутр'!D1584</f>
        <v>51.666666666666671</v>
      </c>
      <c r="E1578" s="3007"/>
      <c r="F1578" s="3012">
        <f>'Смета Внутр'!H1584</f>
        <v>0</v>
      </c>
    </row>
    <row r="1579" spans="2:6">
      <c r="B1579" s="3007" t="str">
        <f>'Смета Внутр'!B1585</f>
        <v>отвод</v>
      </c>
      <c r="C1579" s="3008" t="str">
        <f>'Смета Внутр'!C1585</f>
        <v>шт</v>
      </c>
      <c r="D1579" s="3009">
        <f>'Смета Внутр'!D1585</f>
        <v>4</v>
      </c>
      <c r="E1579" s="3007"/>
      <c r="F1579" s="3012">
        <f>'Смета Внутр'!H1585</f>
        <v>0</v>
      </c>
    </row>
    <row r="1580" spans="2:6">
      <c r="B1580" s="3007" t="str">
        <f>'Смета Внутр'!B1586</f>
        <v>труба водосточная</v>
      </c>
      <c r="C1580" s="3008" t="str">
        <f>'Смета Внутр'!C1586</f>
        <v>м.п.</v>
      </c>
      <c r="D1580" s="3009">
        <f>'Смета Внутр'!D1586</f>
        <v>62</v>
      </c>
      <c r="E1580" s="3007"/>
      <c r="F1580" s="3012">
        <f>'Смета Внутр'!H1586</f>
        <v>0</v>
      </c>
    </row>
    <row r="1581" spans="2:6">
      <c r="B1581" s="3007" t="str">
        <f>'Смета Внутр'!B1587</f>
        <v>заглушка для желоба</v>
      </c>
      <c r="C1581" s="3008" t="str">
        <f>'Смета Внутр'!C1587</f>
        <v>шт</v>
      </c>
      <c r="D1581" s="3009">
        <f>'Смета Внутр'!D1587</f>
        <v>4</v>
      </c>
      <c r="E1581" s="3007"/>
      <c r="F1581" s="3012">
        <f>'Смета Внутр'!H1587</f>
        <v>0</v>
      </c>
    </row>
    <row r="1582" spans="2:6">
      <c r="B1582" s="3007" t="str">
        <f>'Смета Внутр'!B1588</f>
        <v>соеденитель для желоба</v>
      </c>
      <c r="C1582" s="3008" t="str">
        <f>'Смета Внутр'!C1588</f>
        <v>шт</v>
      </c>
      <c r="D1582" s="3009">
        <f>'Смета Внутр'!D1588</f>
        <v>18.222222222222225</v>
      </c>
      <c r="E1582" s="3007"/>
      <c r="F1582" s="3012">
        <f>'Смета Внутр'!H1588</f>
        <v>0</v>
      </c>
    </row>
    <row r="1583" spans="2:6">
      <c r="B1583" s="3007" t="str">
        <f>'Смета Внутр'!B1589</f>
        <v>кронштейн для желоба</v>
      </c>
      <c r="C1583" s="3008" t="str">
        <f>'Смета Внутр'!C1589</f>
        <v>шт</v>
      </c>
      <c r="D1583" s="3009">
        <f>'Смета Внутр'!D1589</f>
        <v>129.16666666666666</v>
      </c>
      <c r="E1583" s="3007"/>
      <c r="F1583" s="3012">
        <f>'Смета Внутр'!H1589</f>
        <v>0</v>
      </c>
    </row>
    <row r="1584" spans="2:6">
      <c r="B1584" s="3007" t="str">
        <f>'Смета Внутр'!B1590</f>
        <v>переход из желоба в трубу</v>
      </c>
      <c r="C1584" s="3008" t="str">
        <f>'Смета Внутр'!C1590</f>
        <v>шт</v>
      </c>
      <c r="D1584" s="3009">
        <f>'Смета Внутр'!D1590</f>
        <v>4</v>
      </c>
      <c r="E1584" s="3007"/>
      <c r="F1584" s="3012">
        <f>'Смета Внутр'!H1590</f>
        <v>0</v>
      </c>
    </row>
    <row r="1585" spans="2:6">
      <c r="B1585" s="3007" t="str">
        <f>'Смета Внутр'!B1591</f>
        <v>лента дельта мульти бэнд</v>
      </c>
      <c r="C1585" s="3008" t="str">
        <f>'Смета Внутр'!C1591</f>
        <v>шт</v>
      </c>
      <c r="D1585" s="3009">
        <f>'Смета Внутр'!D1591</f>
        <v>1</v>
      </c>
      <c r="E1585" s="3007"/>
      <c r="F1585" s="3012">
        <f>'Смета Внутр'!H1591</f>
        <v>0</v>
      </c>
    </row>
    <row r="1586" spans="2:6">
      <c r="B1586" s="3007" t="str">
        <f>'Смета Внутр'!B1592</f>
        <v>лента дельта sb-60</v>
      </c>
      <c r="C1586" s="3008" t="str">
        <f>'Смета Внутр'!C1592</f>
        <v>шт</v>
      </c>
      <c r="D1586" s="3009">
        <f>'Смета Внутр'!D1592</f>
        <v>15.855683614817959</v>
      </c>
      <c r="E1586" s="3007"/>
      <c r="F1586" s="3012">
        <f>'Смета Внутр'!H1592</f>
        <v>0</v>
      </c>
    </row>
    <row r="1587" spans="2:6">
      <c r="B1587" s="3007" t="str">
        <f>'Смета Внутр'!B1593</f>
        <v>проходка кровельная, канализационная</v>
      </c>
      <c r="C1587" s="3008" t="str">
        <f>'Смета Внутр'!C1593</f>
        <v>шт</v>
      </c>
      <c r="D1587" s="3009">
        <f>'Смета Внутр'!D1593</f>
        <v>0</v>
      </c>
      <c r="E1587" s="3007"/>
      <c r="F1587" s="3012">
        <f>'Смета Внутр'!H1593</f>
        <v>0</v>
      </c>
    </row>
    <row r="1588" spans="2:6">
      <c r="B1588" s="3007" t="str">
        <f>'Смета Внутр'!B1594</f>
        <v>проходка кровельная, вентиляционная</v>
      </c>
      <c r="C1588" s="3008" t="str">
        <f>'Смета Внутр'!C1594</f>
        <v>шт</v>
      </c>
      <c r="D1588" s="3009">
        <f>'Смета Внутр'!D1594</f>
        <v>0</v>
      </c>
      <c r="E1588" s="3007"/>
      <c r="F1588" s="3012">
        <f>'Смета Внутр'!H1594</f>
        <v>0</v>
      </c>
    </row>
    <row r="1589" spans="2:6">
      <c r="B1589" s="3007" t="str">
        <f>'Смета Внутр'!B1595</f>
        <v>проодка кровельная, труба котел</v>
      </c>
      <c r="C1589" s="3008" t="str">
        <f>'Смета Внутр'!C1595</f>
        <v>шт</v>
      </c>
      <c r="D1589" s="3009">
        <f>'Смета Внутр'!D1595</f>
        <v>0</v>
      </c>
      <c r="E1589" s="3007"/>
      <c r="F1589" s="3012">
        <f>'Смета Внутр'!H1595</f>
        <v>0</v>
      </c>
    </row>
    <row r="1590" spans="2:6">
      <c r="B1590" s="3007" t="str">
        <f>'Смета Внутр'!B1596</f>
        <v>Кровельный саморез</v>
      </c>
      <c r="C1590" s="3008" t="str">
        <f>'Смета Внутр'!C1596</f>
        <v>шт</v>
      </c>
      <c r="D1590" s="3009">
        <f>'Смета Внутр'!D1596</f>
        <v>2854.0230506672324</v>
      </c>
      <c r="E1590" s="3007"/>
      <c r="F1590" s="3012">
        <f>'Смета Внутр'!H1596</f>
        <v>0</v>
      </c>
    </row>
    <row r="1591" spans="2:6">
      <c r="B1591" s="3007" t="str">
        <f>'Смета Внутр'!B1597</f>
        <v xml:space="preserve">Гвозди ершоные 3,4 x 60            </v>
      </c>
      <c r="C1591" s="3008" t="str">
        <f>'Смета Внутр'!C1597</f>
        <v>кг</v>
      </c>
      <c r="D1591" s="3009">
        <f>'Смета Внутр'!D1597</f>
        <v>23.188937286671269</v>
      </c>
      <c r="E1591" s="3007"/>
      <c r="F1591" s="3012">
        <f>'Смета Внутр'!H1597</f>
        <v>0</v>
      </c>
    </row>
    <row r="1592" spans="2:6">
      <c r="B1592" s="3007" t="str">
        <f>'Смета Внутр'!B1598</f>
        <v xml:space="preserve">Гвозди ершоные 2,8 х 90            </v>
      </c>
      <c r="C1592" s="3008" t="str">
        <f>'Смета Внутр'!C1598</f>
        <v>кг</v>
      </c>
      <c r="D1592" s="3009">
        <f>'Смета Внутр'!D1598</f>
        <v>31.96989449186151</v>
      </c>
      <c r="E1592" s="3007"/>
      <c r="F1592" s="3012">
        <f>'Смета Внутр'!H1598</f>
        <v>0</v>
      </c>
    </row>
    <row r="1593" spans="2:6">
      <c r="B1593" s="3007" t="str">
        <f>'Смета Внутр'!B1599</f>
        <v xml:space="preserve">Пластина соеденительная 100х240х2           </v>
      </c>
      <c r="C1593" s="3008" t="str">
        <f>'Смета Внутр'!C1599</f>
        <v>шт</v>
      </c>
      <c r="D1593" s="3009">
        <f>'Смета Внутр'!D1599</f>
        <v>33.976464888895627</v>
      </c>
      <c r="E1593" s="3007"/>
      <c r="F1593" s="3012">
        <f>'Смета Внутр'!H1599</f>
        <v>0</v>
      </c>
    </row>
    <row r="1594" spans="2:6">
      <c r="B1594" s="3007" t="str">
        <f>'Смета Внутр'!B1600</f>
        <v xml:space="preserve">Уголок усиленный 90х70х55х2,5        </v>
      </c>
      <c r="C1594" s="3008" t="str">
        <f>'Смета Внутр'!C1600</f>
        <v>шт</v>
      </c>
      <c r="D1594" s="3009">
        <f>'Смета Внутр'!D1600</f>
        <v>475.67050844453877</v>
      </c>
      <c r="E1594" s="3007"/>
      <c r="F1594" s="3012">
        <f>'Смета Внутр'!H1600</f>
        <v>0</v>
      </c>
    </row>
    <row r="1595" spans="2:6">
      <c r="B1595" s="3311" t="str">
        <f>'Смета Внутр'!B1601</f>
        <v>Итого материалы</v>
      </c>
      <c r="C1595" s="3311"/>
      <c r="D1595" s="3311"/>
      <c r="E1595" s="3311"/>
      <c r="F1595" s="3014">
        <f>'Смета Внутр'!G1601</f>
        <v>0</v>
      </c>
    </row>
    <row r="1596" spans="2:6">
      <c r="B1596" s="3312" t="str">
        <f>'Смета Внутр'!B1602</f>
        <v>Работы</v>
      </c>
      <c r="C1596" s="3312"/>
      <c r="D1596" s="3312"/>
      <c r="E1596" s="3312"/>
      <c r="F1596" s="3011">
        <f>'Смета Внутр'!H1602</f>
        <v>0</v>
      </c>
    </row>
    <row r="1597" spans="2:6">
      <c r="B1597" s="3007" t="str">
        <f>'Смета Внутр'!B1603</f>
        <v>монтаж мауэрлат</v>
      </c>
      <c r="C1597" s="3008" t="str">
        <f>'Смета Внутр'!C1603</f>
        <v>м.п.</v>
      </c>
      <c r="D1597" s="3009">
        <f>'Смета Внутр'!D1603</f>
        <v>139.09265127310908</v>
      </c>
      <c r="E1597" s="3007"/>
      <c r="F1597" s="3012">
        <f>'Смета Внутр'!H1603</f>
        <v>0</v>
      </c>
    </row>
    <row r="1598" spans="2:6">
      <c r="B1598" s="3007" t="str">
        <f>'Смета Внутр'!B1604</f>
        <v>монтаж стропил</v>
      </c>
      <c r="C1598" s="3008" t="str">
        <f>'Смета Внутр'!C1604</f>
        <v>м2</v>
      </c>
      <c r="D1598" s="3009">
        <f>'Смета Внутр'!D1604</f>
        <v>237.83525422226938</v>
      </c>
      <c r="E1598" s="3007"/>
      <c r="F1598" s="3012">
        <f>'Смета Внутр'!H1604</f>
        <v>0</v>
      </c>
    </row>
    <row r="1599" spans="2:6">
      <c r="B1599" s="3007" t="str">
        <f>'Смета Внутр'!B1605</f>
        <v>обрешетка</v>
      </c>
      <c r="C1599" s="3008" t="str">
        <f>'Смета Внутр'!C1605</f>
        <v>м2</v>
      </c>
      <c r="D1599" s="3009">
        <f>'Смета Внутр'!D1605</f>
        <v>237.83525422226938</v>
      </c>
      <c r="E1599" s="3007"/>
      <c r="F1599" s="3012">
        <f>'Смета Внутр'!H1605</f>
        <v>0</v>
      </c>
    </row>
    <row r="1600" spans="2:6">
      <c r="B1600" s="3007" t="str">
        <f>'Смета Внутр'!B1606</f>
        <v>контробеш</v>
      </c>
      <c r="C1600" s="3008" t="str">
        <f>'Смета Внутр'!C1606</f>
        <v>м2</v>
      </c>
      <c r="D1600" s="3009">
        <f>'Смета Внутр'!D1606</f>
        <v>237.83525422226938</v>
      </c>
      <c r="E1600" s="3007"/>
      <c r="F1600" s="3012">
        <f>'Смета Внутр'!H1606</f>
        <v>0</v>
      </c>
    </row>
    <row r="1601" spans="2:6">
      <c r="B1601" s="3007" t="str">
        <f>'Смета Внутр'!B1607</f>
        <v>мембрана</v>
      </c>
      <c r="C1601" s="3008" t="str">
        <f>'Смета Внутр'!C1607</f>
        <v>м2</v>
      </c>
      <c r="D1601" s="3009">
        <f>'Смета Внутр'!D1607</f>
        <v>237.83525422226938</v>
      </c>
      <c r="E1601" s="3007"/>
      <c r="F1601" s="3012">
        <f>'Смета Внутр'!H1607</f>
        <v>0</v>
      </c>
    </row>
    <row r="1602" spans="2:6">
      <c r="B1602" s="3007" t="str">
        <f>'Смета Внутр'!B1608</f>
        <v>пароизоляц</v>
      </c>
      <c r="C1602" s="3008" t="str">
        <f>'Смета Внутр'!C1608</f>
        <v>м2</v>
      </c>
      <c r="D1602" s="3009">
        <f>'Смета Внутр'!D1608</f>
        <v>237.83525422226938</v>
      </c>
      <c r="E1602" s="3007"/>
      <c r="F1602" s="3012">
        <f>'Смета Внутр'!H1608</f>
        <v>0</v>
      </c>
    </row>
    <row r="1603" spans="2:6">
      <c r="B1603" s="3007" t="str">
        <f>'Смета Внутр'!B1609</f>
        <v>утеплитель</v>
      </c>
      <c r="C1603" s="3008" t="str">
        <f>'Смета Внутр'!C1609</f>
        <v>м2</v>
      </c>
      <c r="D1603" s="3009">
        <f>'Смета Внутр'!D1609</f>
        <v>237.83525422226938</v>
      </c>
      <c r="E1603" s="3007"/>
      <c r="F1603" s="3012">
        <f>'Смета Внутр'!H1609</f>
        <v>0</v>
      </c>
    </row>
    <row r="1604" spans="2:6">
      <c r="B1604" s="3007" t="str">
        <f>'Смета Внутр'!B1610</f>
        <v>Монтаж металлочерепицы</v>
      </c>
      <c r="C1604" s="3008" t="str">
        <f>'Смета Внутр'!C1610</f>
        <v>м2</v>
      </c>
      <c r="D1604" s="3009">
        <f>'Смета Внутр'!D1610</f>
        <v>237.83525422226938</v>
      </c>
      <c r="E1604" s="3007"/>
      <c r="F1604" s="3012">
        <f>'Смета Внутр'!H1610</f>
        <v>0</v>
      </c>
    </row>
    <row r="1605" spans="2:6">
      <c r="B1605" s="3007" t="str">
        <f>'Смета Внутр'!B1611</f>
        <v>ендова верхняя планка</v>
      </c>
      <c r="C1605" s="3008" t="str">
        <f>'Смета Внутр'!C1611</f>
        <v>м.п.</v>
      </c>
      <c r="D1605" s="3009">
        <f>'Смета Внутр'!D1611</f>
        <v>0</v>
      </c>
      <c r="E1605" s="3007"/>
      <c r="F1605" s="3012">
        <f>'Смета Внутр'!H1611</f>
        <v>0</v>
      </c>
    </row>
    <row r="1606" spans="2:6">
      <c r="B1606" s="3007" t="str">
        <f>'Смета Внутр'!B1612</f>
        <v>капельник планка</v>
      </c>
      <c r="C1606" s="3008" t="str">
        <f>'Смета Внутр'!C1612</f>
        <v>м.п.</v>
      </c>
      <c r="D1606" s="3009">
        <f>'Смета Внутр'!D1612</f>
        <v>62</v>
      </c>
      <c r="E1606" s="3007"/>
      <c r="F1606" s="3012">
        <f>'Смета Внутр'!H1612</f>
        <v>0</v>
      </c>
    </row>
    <row r="1607" spans="2:6">
      <c r="B1607" s="3007" t="str">
        <f>'Смета Внутр'!B1613</f>
        <v>желоб водосточный</v>
      </c>
      <c r="C1607" s="3008" t="str">
        <f>'Смета Внутр'!C1613</f>
        <v>м.п.</v>
      </c>
      <c r="D1607" s="3009">
        <f>'Смета Внутр'!D1613</f>
        <v>51.666666666666671</v>
      </c>
      <c r="E1607" s="3007"/>
      <c r="F1607" s="3012">
        <f>'Смета Внутр'!H1613</f>
        <v>0</v>
      </c>
    </row>
    <row r="1608" spans="2:6">
      <c r="B1608" s="3007" t="str">
        <f>'Смета Внутр'!B1614</f>
        <v>труба водосточная</v>
      </c>
      <c r="C1608" s="3008" t="str">
        <f>'Смета Внутр'!C1614</f>
        <v>м.п.</v>
      </c>
      <c r="D1608" s="3009">
        <f>'Смета Внутр'!D1614</f>
        <v>62</v>
      </c>
      <c r="E1608" s="3007"/>
      <c r="F1608" s="3012">
        <f>'Смета Внутр'!H1614</f>
        <v>0</v>
      </c>
    </row>
    <row r="1609" spans="2:6">
      <c r="B1609" s="3007" t="str">
        <f>'Смета Внутр'!B1615</f>
        <v>карнизная планка</v>
      </c>
      <c r="C1609" s="3008" t="str">
        <f>'Смета Внутр'!C1615</f>
        <v>м.п.</v>
      </c>
      <c r="D1609" s="3009">
        <f>'Смета Внутр'!D1615</f>
        <v>26.90724809414742</v>
      </c>
      <c r="E1609" s="3007"/>
      <c r="F1609" s="3012">
        <f>'Смета Внутр'!H1615</f>
        <v>0</v>
      </c>
    </row>
    <row r="1610" spans="2:6">
      <c r="B1610" s="3007" t="str">
        <f>'Смета Внутр'!B1616</f>
        <v>конек</v>
      </c>
      <c r="C1610" s="3008" t="str">
        <f>'Смета Внутр'!C1616</f>
        <v>м.п.</v>
      </c>
      <c r="D1610" s="3009">
        <f>'Смета Внутр'!D1616</f>
        <v>6</v>
      </c>
      <c r="E1610" s="3007"/>
      <c r="F1610" s="3012">
        <f>'Смета Внутр'!H1616</f>
        <v>0</v>
      </c>
    </row>
    <row r="1611" spans="2:6">
      <c r="B1611" s="3007" t="str">
        <f>'Смета Внутр'!B1617</f>
        <v>Монтаж ондулина</v>
      </c>
      <c r="C1611" s="3008" t="str">
        <f>'Смета Внутр'!C1617</f>
        <v>м2</v>
      </c>
      <c r="D1611" s="3009">
        <f>'Смета Внутр'!D1617</f>
        <v>0</v>
      </c>
      <c r="E1611" s="3007"/>
      <c r="F1611" s="3012">
        <f>'Смета Внутр'!H1617</f>
        <v>0</v>
      </c>
    </row>
    <row r="1612" spans="2:6">
      <c r="B1612" s="3007" t="str">
        <f>'Смета Внутр'!B1618</f>
        <v>Монтаж фанеры/osb</v>
      </c>
      <c r="C1612" s="3008" t="str">
        <f>'Смета Внутр'!C1618</f>
        <v>м2</v>
      </c>
      <c r="D1612" s="3009">
        <f>'Смета Внутр'!D1618</f>
        <v>0</v>
      </c>
      <c r="E1612" s="3007"/>
      <c r="F1612" s="3012">
        <f>'Смета Внутр'!H1618</f>
        <v>0</v>
      </c>
    </row>
    <row r="1613" spans="2:6">
      <c r="B1613" s="3007" t="str">
        <f>'Смета Внутр'!B1619</f>
        <v>монтаж подкладочного ковра</v>
      </c>
      <c r="C1613" s="3008" t="str">
        <f>'Смета Внутр'!C1619</f>
        <v>м2</v>
      </c>
      <c r="D1613" s="3009">
        <f>'Смета Внутр'!D1619</f>
        <v>0</v>
      </c>
      <c r="E1613" s="3007"/>
      <c r="F1613" s="3012">
        <f>'Смета Внутр'!H1619</f>
        <v>0</v>
      </c>
    </row>
    <row r="1614" spans="2:6">
      <c r="B1614" s="3007" t="str">
        <f>'Смета Внутр'!B1620</f>
        <v>Монтаж мягкой кровли</v>
      </c>
      <c r="C1614" s="3008" t="str">
        <f>'Смета Внутр'!C1620</f>
        <v>м2</v>
      </c>
      <c r="D1614" s="3009">
        <f>'Смета Внутр'!D1620</f>
        <v>0</v>
      </c>
      <c r="E1614" s="3007"/>
      <c r="F1614" s="3012">
        <f>'Смета Внутр'!H1620</f>
        <v>0</v>
      </c>
    </row>
    <row r="1615" spans="2:6">
      <c r="B1615" s="3311" t="str">
        <f>'Смета Внутр'!B1621</f>
        <v>Итого работы</v>
      </c>
      <c r="C1615" s="3311"/>
      <c r="D1615" s="3311"/>
      <c r="E1615" s="3311"/>
      <c r="F1615" s="3014">
        <f>'Смета Внутр'!G1621</f>
        <v>0</v>
      </c>
    </row>
    <row r="1616" spans="2:6" ht="19">
      <c r="B1616" s="3313" t="str">
        <f>'Смета Внутр'!B1622</f>
        <v>Элементы на кровле</v>
      </c>
      <c r="C1616" s="3313"/>
      <c r="D1616" s="3313"/>
      <c r="E1616" s="3313"/>
      <c r="F1616" s="3011">
        <f>'Смета Внутр'!H1622</f>
        <v>0</v>
      </c>
    </row>
    <row r="1617" spans="2:6">
      <c r="B1617" s="3310" t="str">
        <f>'Смета Внутр'!B1623</f>
        <v>Материалы</v>
      </c>
      <c r="C1617" s="3310"/>
      <c r="D1617" s="3310"/>
      <c r="E1617" s="3310"/>
      <c r="F1617" s="3011">
        <f>'Смета Внутр'!H1623</f>
        <v>0</v>
      </c>
    </row>
    <row r="1618" spans="2:6">
      <c r="B1618" s="3007" t="str">
        <f>'Смета Внутр'!B1624</f>
        <v>Доска сухая, 200*50мм</v>
      </c>
      <c r="C1618" s="3008" t="str">
        <f>'Смета Внутр'!C1624</f>
        <v>м3</v>
      </c>
      <c r="D1618" s="3009">
        <f>'Смета Внутр'!D1624</f>
        <v>1.2233714629099153</v>
      </c>
      <c r="E1618" s="3007"/>
      <c r="F1618" s="3012">
        <f>'Смета Внутр'!H1624</f>
        <v>0</v>
      </c>
    </row>
    <row r="1619" spans="2:6">
      <c r="B1619" s="3007" t="str">
        <f>'Смета Внутр'!B1625</f>
        <v xml:space="preserve">бугель, доска </v>
      </c>
      <c r="C1619" s="3008" t="str">
        <f>'Смета Внутр'!C1625</f>
        <v>м3</v>
      </c>
      <c r="D1619" s="3009">
        <f>'Смета Внутр'!D1625</f>
        <v>0.2970000000000001</v>
      </c>
      <c r="E1619" s="3007"/>
      <c r="F1619" s="3012">
        <f>'Смета Внутр'!H1625</f>
        <v>0</v>
      </c>
    </row>
    <row r="1620" spans="2:6">
      <c r="B1620" s="3007" t="str">
        <f>'Смета Внутр'!B1626</f>
        <v>стойка под конек</v>
      </c>
      <c r="C1620" s="3008" t="str">
        <f>'Смета Внутр'!C1626</f>
        <v>м3</v>
      </c>
      <c r="D1620" s="3009">
        <f>'Смета Внутр'!D1626</f>
        <v>0.42177087639996641</v>
      </c>
      <c r="E1620" s="3007"/>
      <c r="F1620" s="3012">
        <f>'Смета Внутр'!H1626</f>
        <v>0</v>
      </c>
    </row>
    <row r="1621" spans="2:6">
      <c r="B1621" s="3007" t="str">
        <f>'Смета Внутр'!B1627</f>
        <v>Сосна влаж,100*25мм</v>
      </c>
      <c r="C1621" s="3008" t="str">
        <f>'Смета Внутр'!C1627</f>
        <v>м3</v>
      </c>
      <c r="D1621" s="3009">
        <f>'Смета Внутр'!D1627</f>
        <v>0.50612505167995969</v>
      </c>
      <c r="E1621" s="3007"/>
      <c r="F1621" s="3012">
        <f>'Смета Внутр'!H1627</f>
        <v>0</v>
      </c>
    </row>
    <row r="1622" spans="2:6">
      <c r="B1622" s="3007" t="str">
        <f>'Смета Внутр'!B1628</f>
        <v>Доска сухая, калибр., 35*45мм</v>
      </c>
      <c r="C1622" s="3008" t="str">
        <f>'Смета Внутр'!C1628</f>
        <v>шт</v>
      </c>
      <c r="D1622" s="3009">
        <f>'Смета Внутр'!D1628</f>
        <v>0.11625059780774073</v>
      </c>
      <c r="E1622" s="3007"/>
      <c r="F1622" s="3012">
        <f>'Смета Внутр'!H1628</f>
        <v>0</v>
      </c>
    </row>
    <row r="1623" spans="2:6">
      <c r="B1623" s="3007" t="str">
        <f>'Смета Внутр'!B1629</f>
        <v>нет ветроизоляции</v>
      </c>
      <c r="C1623" s="3008" t="str">
        <f>'Смета Внутр'!C1629</f>
        <v>м2</v>
      </c>
      <c r="D1623" s="3009">
        <f>'Смета Внутр'!D1629</f>
        <v>24.04093995479808</v>
      </c>
      <c r="E1623" s="3007"/>
      <c r="F1623" s="3012">
        <f>'Смета Внутр'!H1629</f>
        <v>0</v>
      </c>
    </row>
    <row r="1624" spans="2:6">
      <c r="B1624" s="3007" t="str">
        <f>'Смета Внутр'!B1630</f>
        <v>нет пароизоляции</v>
      </c>
      <c r="C1624" s="3008" t="str">
        <f>'Смета Внутр'!C1630</f>
        <v>м2</v>
      </c>
      <c r="D1624" s="3009">
        <f>'Смета Внутр'!D1630</f>
        <v>22.037528291898244</v>
      </c>
      <c r="E1624" s="3007"/>
      <c r="F1624" s="3012">
        <f>'Смета Внутр'!H1630</f>
        <v>0</v>
      </c>
    </row>
    <row r="1625" spans="2:6">
      <c r="B1625" s="3007" t="str">
        <f>'Смета Внутр'!B1631</f>
        <v>Плитный,28кг/м3, технониколь, 100мм</v>
      </c>
      <c r="C1625" s="3008" t="str">
        <f>'Смета Внутр'!C1631</f>
        <v>м3</v>
      </c>
      <c r="D1625" s="3009">
        <f>'Смета Внутр'!D1631</f>
        <v>2.0034116628998402</v>
      </c>
      <c r="E1625" s="3007"/>
      <c r="F1625" s="3012">
        <f>'Смета Внутр'!H1631</f>
        <v>0</v>
      </c>
    </row>
    <row r="1626" spans="2:6">
      <c r="B1626" s="3007" t="str">
        <f>'Смета Внутр'!B1632</f>
        <v>Металлочерепица</v>
      </c>
      <c r="C1626" s="3008" t="str">
        <f>'Смета Внутр'!C1632</f>
        <v>м2</v>
      </c>
      <c r="D1626" s="3009">
        <f>'Смета Внутр'!D1632</f>
        <v>28.04776328059776</v>
      </c>
      <c r="E1626" s="3007"/>
      <c r="F1626" s="3012">
        <f>'Смета Внутр'!H1632</f>
        <v>0</v>
      </c>
    </row>
    <row r="1627" spans="2:6">
      <c r="B1627" s="3007" t="str">
        <f>'Смета Внутр'!B1633</f>
        <v>Карнизная планка</v>
      </c>
      <c r="C1627" s="3008" t="str">
        <f>'Смета Внутр'!C1633</f>
        <v>м.п.</v>
      </c>
      <c r="D1627" s="3009">
        <f>'Смета Внутр'!D1633</f>
        <v>4</v>
      </c>
      <c r="E1627" s="3007"/>
      <c r="F1627" s="3012">
        <f>'Смета Внутр'!H1633</f>
        <v>0</v>
      </c>
    </row>
    <row r="1628" spans="2:6">
      <c r="B1628" s="3007" t="str">
        <f>'Смета Внутр'!B1634</f>
        <v>Торцевая планка</v>
      </c>
      <c r="C1628" s="3008" t="str">
        <f>'Смета Внутр'!C1634</f>
        <v>м.п.</v>
      </c>
      <c r="D1628" s="3009">
        <f>'Смета Внутр'!D1634</f>
        <v>10.544271909999159</v>
      </c>
      <c r="E1628" s="3007"/>
      <c r="F1628" s="3012">
        <f>'Смета Внутр'!H1634</f>
        <v>0</v>
      </c>
    </row>
    <row r="1629" spans="2:6">
      <c r="B1629" s="3007" t="str">
        <f>'Смета Внутр'!B1635</f>
        <v>Конек</v>
      </c>
      <c r="C1629" s="3008" t="str">
        <f>'Смета Внутр'!C1635</f>
        <v>м.п.</v>
      </c>
      <c r="D1629" s="3009">
        <f>'Смета Внутр'!D1635</f>
        <v>4.8</v>
      </c>
      <c r="E1629" s="3007"/>
      <c r="F1629" s="3012">
        <f>'Смета Внутр'!H1635</f>
        <v>0</v>
      </c>
    </row>
    <row r="1630" spans="2:6">
      <c r="B1630" s="3007" t="str">
        <f>'Смета Внутр'!B1636</f>
        <v>Ендова нижняя</v>
      </c>
      <c r="C1630" s="3008" t="str">
        <f>'Смета Внутр'!C1636</f>
        <v>м.п.</v>
      </c>
      <c r="D1630" s="3009">
        <f>'Смета Внутр'!D1636</f>
        <v>12.142616803324158</v>
      </c>
      <c r="E1630" s="3007"/>
      <c r="F1630" s="3012">
        <f>'Смета Внутр'!H1636</f>
        <v>0</v>
      </c>
    </row>
    <row r="1631" spans="2:6">
      <c r="B1631" s="3007" t="str">
        <f>'Смета Внутр'!B1637</f>
        <v>Ендова верхняя</v>
      </c>
      <c r="C1631" s="3008" t="str">
        <f>'Смета Внутр'!C1637</f>
        <v>м.п.</v>
      </c>
      <c r="D1631" s="3009">
        <f>'Смета Внутр'!D1637</f>
        <v>12.142616803324158</v>
      </c>
      <c r="E1631" s="3007"/>
      <c r="F1631" s="3012">
        <f>'Смета Внутр'!H1637</f>
        <v>0</v>
      </c>
    </row>
    <row r="1632" spans="2:6">
      <c r="B1632" s="3007" t="str">
        <f>'Смета Внутр'!B1638</f>
        <v>ондулин</v>
      </c>
      <c r="C1632" s="3008" t="str">
        <f>'Смета Внутр'!C1638</f>
        <v>м2</v>
      </c>
      <c r="D1632" s="3009">
        <f>'Смета Внутр'!D1638</f>
        <v>0</v>
      </c>
      <c r="E1632" s="3007"/>
      <c r="F1632" s="3012">
        <f>'Смета Внутр'!H1638</f>
        <v>0</v>
      </c>
    </row>
    <row r="1633" spans="2:6">
      <c r="B1633" s="3007" t="str">
        <f>'Смета Внутр'!B1639</f>
        <v>Карнизная планка</v>
      </c>
      <c r="C1633" s="3008" t="str">
        <f>'Смета Внутр'!C1639</f>
        <v>м.п.</v>
      </c>
      <c r="D1633" s="3009">
        <f>'Смета Внутр'!D1639</f>
        <v>0</v>
      </c>
      <c r="E1633" s="3007"/>
      <c r="F1633" s="3012">
        <f>'Смета Внутр'!H1639</f>
        <v>0</v>
      </c>
    </row>
    <row r="1634" spans="2:6">
      <c r="B1634" s="3007" t="str">
        <f>'Смета Внутр'!B1640</f>
        <v>Торцевая планка</v>
      </c>
      <c r="C1634" s="3008" t="str">
        <f>'Смета Внутр'!C1640</f>
        <v>м.п.</v>
      </c>
      <c r="D1634" s="3009">
        <f>'Смета Внутр'!D1640</f>
        <v>0</v>
      </c>
      <c r="E1634" s="3007"/>
      <c r="F1634" s="3012">
        <f>'Смета Внутр'!H1640</f>
        <v>0</v>
      </c>
    </row>
    <row r="1635" spans="2:6">
      <c r="B1635" s="3007" t="str">
        <f>'Смета Внутр'!B1641</f>
        <v>Конек</v>
      </c>
      <c r="C1635" s="3008" t="str">
        <f>'Смета Внутр'!C1641</f>
        <v>м.п.</v>
      </c>
      <c r="D1635" s="3009">
        <f>'Смета Внутр'!D1641</f>
        <v>0</v>
      </c>
      <c r="E1635" s="3007"/>
      <c r="F1635" s="3012">
        <f>'Смета Внутр'!H1641</f>
        <v>0</v>
      </c>
    </row>
    <row r="1636" spans="2:6">
      <c r="B1636" s="3007" t="str">
        <f>'Смета Внутр'!B1642</f>
        <v>Ендова нижняя</v>
      </c>
      <c r="C1636" s="3008" t="str">
        <f>'Смета Внутр'!C1642</f>
        <v>м.п.</v>
      </c>
      <c r="D1636" s="3009">
        <f>'Смета Внутр'!D1642</f>
        <v>0</v>
      </c>
      <c r="E1636" s="3007"/>
      <c r="F1636" s="3012">
        <f>'Смета Внутр'!H1642</f>
        <v>0</v>
      </c>
    </row>
    <row r="1637" spans="2:6">
      <c r="B1637" s="3007" t="str">
        <f>'Смета Внутр'!B1643</f>
        <v>Ендова верхняя</v>
      </c>
      <c r="C1637" s="3008" t="str">
        <f>'Смета Внутр'!C1643</f>
        <v>м.п.</v>
      </c>
      <c r="D1637" s="3009">
        <f>'Смета Внутр'!D1643</f>
        <v>0</v>
      </c>
      <c r="E1637" s="3007"/>
      <c r="F1637" s="3012">
        <f>'Смета Внутр'!H1643</f>
        <v>0</v>
      </c>
    </row>
    <row r="1638" spans="2:6">
      <c r="B1638" s="3007" t="str">
        <f>'Смета Внутр'!B1644</f>
        <v>Планка примыкания</v>
      </c>
      <c r="C1638" s="3008" t="str">
        <f>'Смета Внутр'!C1644</f>
        <v>м.п.</v>
      </c>
      <c r="D1638" s="3009">
        <f>'Смета Внутр'!D1644</f>
        <v>0</v>
      </c>
      <c r="E1638" s="3007"/>
      <c r="F1638" s="3012">
        <f>'Смета Внутр'!H1644</f>
        <v>0</v>
      </c>
    </row>
    <row r="1639" spans="2:6">
      <c r="B1639" s="3007" t="str">
        <f>'Смета Внутр'!B1645</f>
        <v>Крепеж для ондулина</v>
      </c>
      <c r="C1639" s="3008" t="str">
        <f>'Смета Внутр'!C1645</f>
        <v>шт</v>
      </c>
      <c r="D1639" s="3009">
        <f>'Смета Внутр'!D1645</f>
        <v>0</v>
      </c>
      <c r="E1639" s="3007"/>
      <c r="F1639" s="3012">
        <f>'Смета Внутр'!H1645</f>
        <v>0</v>
      </c>
    </row>
    <row r="1640" spans="2:6">
      <c r="B1640" s="3007" t="str">
        <f>'Смета Внутр'!B1646</f>
        <v xml:space="preserve">Фанера Березовая марка ФК - влагостойкая,  18 мм </v>
      </c>
      <c r="C1640" s="3008" t="str">
        <f>'Смета Внутр'!C1646</f>
        <v>м2</v>
      </c>
      <c r="D1640" s="3009">
        <f>'Смета Внутр'!D1646</f>
        <v>22.037528291898244</v>
      </c>
      <c r="E1640" s="3007"/>
      <c r="F1640" s="3012">
        <f>'Смета Внутр'!H1646</f>
        <v>0</v>
      </c>
    </row>
    <row r="1641" spans="2:6">
      <c r="B1641" s="3007" t="str">
        <f>'Смета Внутр'!B1647</f>
        <v>Рядовая черепица</v>
      </c>
      <c r="C1641" s="3008" t="str">
        <f>'Смета Внутр'!C1647</f>
        <v>м2</v>
      </c>
      <c r="D1641" s="3009">
        <f>'Смета Внутр'!D1647</f>
        <v>0</v>
      </c>
      <c r="E1641" s="3007"/>
      <c r="F1641" s="3012">
        <f>'Смета Внутр'!H1647</f>
        <v>0</v>
      </c>
    </row>
    <row r="1642" spans="2:6">
      <c r="B1642" s="3007" t="str">
        <f>'Смета Внутр'!B1648</f>
        <v>Металл оцинк защита (карниз)</v>
      </c>
      <c r="C1642" s="3008" t="str">
        <f>'Смета Внутр'!C1648</f>
        <v>м.п.</v>
      </c>
      <c r="D1642" s="3009">
        <f>'Смета Внутр'!D1648</f>
        <v>0</v>
      </c>
      <c r="E1642" s="3007"/>
      <c r="F1642" s="3012">
        <f>'Смета Внутр'!H1648</f>
        <v>0</v>
      </c>
    </row>
    <row r="1643" spans="2:6">
      <c r="B1643" s="3007" t="str">
        <f>'Смета Внутр'!B1649</f>
        <v>Подкладочный ковер</v>
      </c>
      <c r="C1643" s="3008" t="str">
        <f>'Смета Внутр'!C1649</f>
        <v>м.п.</v>
      </c>
      <c r="D1643" s="3009">
        <f>'Смета Внутр'!D1649</f>
        <v>0</v>
      </c>
      <c r="E1643" s="3007"/>
      <c r="F1643" s="3012">
        <f>'Смета Внутр'!H1649</f>
        <v>0</v>
      </c>
    </row>
    <row r="1644" spans="2:6">
      <c r="B1644" s="3007" t="str">
        <f>'Смета Внутр'!B1650</f>
        <v>Карнизная самоклеющаяся черепица</v>
      </c>
      <c r="C1644" s="3008" t="str">
        <f>'Смета Внутр'!C1650</f>
        <v>м.п.</v>
      </c>
      <c r="D1644" s="3009">
        <f>'Смета Внутр'!D1650</f>
        <v>0</v>
      </c>
      <c r="E1644" s="3007"/>
      <c r="F1644" s="3012">
        <f>'Смета Внутр'!H1650</f>
        <v>0</v>
      </c>
    </row>
    <row r="1645" spans="2:6">
      <c r="B1645" s="3007" t="str">
        <f>'Смета Внутр'!B1651</f>
        <v>Спец ковер ендова нижняя</v>
      </c>
      <c r="C1645" s="3008" t="str">
        <f>'Смета Внутр'!C1651</f>
        <v>м.п.</v>
      </c>
      <c r="D1645" s="3009">
        <f>'Смета Внутр'!D1651</f>
        <v>0</v>
      </c>
      <c r="E1645" s="3007"/>
      <c r="F1645" s="3012">
        <f>'Смета Внутр'!H1651</f>
        <v>0</v>
      </c>
    </row>
    <row r="1646" spans="2:6">
      <c r="B1646" s="3007" t="str">
        <f>'Смета Внутр'!B1652</f>
        <v>Коньковой элемент</v>
      </c>
      <c r="C1646" s="3008" t="str">
        <f>'Смета Внутр'!C1652</f>
        <v>м.п.</v>
      </c>
      <c r="D1646" s="3009">
        <f>'Смета Внутр'!D1652</f>
        <v>0</v>
      </c>
      <c r="E1646" s="3007"/>
      <c r="F1646" s="3012">
        <f>'Смета Внутр'!H1652</f>
        <v>0</v>
      </c>
    </row>
    <row r="1647" spans="2:6">
      <c r="B1647" s="3007" t="str">
        <f>'Смета Внутр'!B1653</f>
        <v>Планка премыкания</v>
      </c>
      <c r="C1647" s="3008" t="str">
        <f>'Смета Внутр'!C1653</f>
        <v>м.п.</v>
      </c>
      <c r="D1647" s="3009">
        <f>'Смета Внутр'!D1653</f>
        <v>0</v>
      </c>
      <c r="E1647" s="3007"/>
      <c r="F1647" s="3012">
        <f>'Смета Внутр'!H1653</f>
        <v>0</v>
      </c>
    </row>
    <row r="1648" spans="2:6">
      <c r="B1648" s="3007" t="str">
        <f>'Смета Внутр'!B1654</f>
        <v>Гвозди для крепления подкладочного ковра</v>
      </c>
      <c r="C1648" s="3008" t="str">
        <f>'Смета Внутр'!C1654</f>
        <v>шт</v>
      </c>
      <c r="D1648" s="3009">
        <f>'Смета Внутр'!D1654</f>
        <v>0</v>
      </c>
      <c r="E1648" s="3007"/>
      <c r="F1648" s="3012">
        <f>'Смета Внутр'!H1654</f>
        <v>0</v>
      </c>
    </row>
    <row r="1649" spans="2:6">
      <c r="B1649" s="3007" t="str">
        <f>'Смета Внутр'!B1655</f>
        <v>Гвозди для крепления черепицы</v>
      </c>
      <c r="C1649" s="3008" t="str">
        <f>'Смета Внутр'!C1655</f>
        <v>шт</v>
      </c>
      <c r="D1649" s="3009">
        <f>'Смета Внутр'!D1655</f>
        <v>0</v>
      </c>
      <c r="E1649" s="3007"/>
      <c r="F1649" s="3012">
        <f>'Смета Внутр'!H1655</f>
        <v>0</v>
      </c>
    </row>
    <row r="1650" spans="2:6">
      <c r="B1650" s="3007" t="str">
        <f>'Смета Внутр'!B1656</f>
        <v>Клей для монтажа черепицы</v>
      </c>
      <c r="C1650" s="3008" t="str">
        <f>'Смета Внутр'!C1656</f>
        <v>кг</v>
      </c>
      <c r="D1650" s="3009">
        <f>'Смета Внутр'!D1656</f>
        <v>0</v>
      </c>
      <c r="E1650" s="3007"/>
      <c r="F1650" s="3012">
        <f>'Смета Внутр'!H1656</f>
        <v>0</v>
      </c>
    </row>
    <row r="1651" spans="2:6">
      <c r="B1651" s="3007" t="str">
        <f>'Смета Внутр'!B1657</f>
        <v>лента дельта мульти бэнд</v>
      </c>
      <c r="C1651" s="3008" t="str">
        <f>'Смета Внутр'!C1657</f>
        <v>шт</v>
      </c>
      <c r="D1651" s="3009">
        <f>'Смета Внутр'!D1657</f>
        <v>1.6695097190832</v>
      </c>
      <c r="E1651" s="3007"/>
      <c r="F1651" s="3012">
        <f>'Смета Внутр'!H1657</f>
        <v>0</v>
      </c>
    </row>
    <row r="1652" spans="2:6">
      <c r="B1652" s="3007" t="str">
        <f>'Смета Внутр'!B1658</f>
        <v>лента дельта sb-60</v>
      </c>
      <c r="C1652" s="3008" t="str">
        <f>'Смета Внутр'!C1658</f>
        <v>шт</v>
      </c>
      <c r="D1652" s="3009">
        <f>'Смета Внутр'!D1658</f>
        <v>0.80136466515993598</v>
      </c>
      <c r="E1652" s="3007"/>
      <c r="F1652" s="3012">
        <f>'Смета Внутр'!H1658</f>
        <v>0</v>
      </c>
    </row>
    <row r="1653" spans="2:6">
      <c r="B1653" s="3007" t="str">
        <f>'Смета Внутр'!B1659</f>
        <v>Кровельный саморез</v>
      </c>
      <c r="C1653" s="3008" t="str">
        <f>'Смета Внутр'!C1659</f>
        <v>шт</v>
      </c>
      <c r="D1653" s="3009">
        <f>'Смета Внутр'!D1659</f>
        <v>240.4093995479808</v>
      </c>
      <c r="E1653" s="3007"/>
      <c r="F1653" s="3012">
        <f>'Смета Внутр'!H1659</f>
        <v>0</v>
      </c>
    </row>
    <row r="1654" spans="2:6">
      <c r="B1654" s="3007" t="str">
        <f>'Смета Внутр'!B1660</f>
        <v xml:space="preserve">Гвозди ершоные 3,4 x 60            </v>
      </c>
      <c r="C1654" s="3008" t="str">
        <f>'Смета Внутр'!C1660</f>
        <v>кг</v>
      </c>
      <c r="D1654" s="3009">
        <f>'Смета Внутр'!D1660</f>
        <v>7.5918757751993953</v>
      </c>
      <c r="E1654" s="3007"/>
      <c r="F1654" s="3012">
        <f>'Смета Внутр'!H1660</f>
        <v>0</v>
      </c>
    </row>
    <row r="1655" spans="2:6">
      <c r="B1655" s="3007" t="str">
        <f>'Смета Внутр'!B1661</f>
        <v xml:space="preserve">Гвозди ершоные 2,8 х 90            </v>
      </c>
      <c r="C1655" s="3008" t="str">
        <f>'Смета Внутр'!C1661</f>
        <v>кг</v>
      </c>
      <c r="D1655" s="3009">
        <f>'Смета Внутр'!D1661</f>
        <v>19.421423393098816</v>
      </c>
      <c r="E1655" s="3007"/>
      <c r="F1655" s="3012">
        <f>'Смета Внутр'!H1661</f>
        <v>0</v>
      </c>
    </row>
    <row r="1656" spans="2:6">
      <c r="B1656" s="3007" t="str">
        <f>'Смета Внутр'!B1662</f>
        <v xml:space="preserve">Пластина соеденительная 100х240х2           </v>
      </c>
      <c r="C1656" s="3008" t="str">
        <f>'Смета Внутр'!C1662</f>
        <v>шт</v>
      </c>
      <c r="D1656" s="3009">
        <f>'Смета Внутр'!D1662</f>
        <v>18</v>
      </c>
      <c r="E1656" s="3007"/>
      <c r="F1656" s="3012">
        <f>'Смета Внутр'!H1662</f>
        <v>0</v>
      </c>
    </row>
    <row r="1657" spans="2:6">
      <c r="B1657" s="3007" t="str">
        <f>'Смета Внутр'!B1663</f>
        <v xml:space="preserve">Уголок усиленный 90х70х55х2,5        </v>
      </c>
      <c r="C1657" s="3008" t="str">
        <f>'Смета Внутр'!C1663</f>
        <v>шт</v>
      </c>
      <c r="D1657" s="3009">
        <f>'Смета Внутр'!D1663</f>
        <v>18</v>
      </c>
      <c r="E1657" s="3007"/>
      <c r="F1657" s="3012">
        <f>'Смета Внутр'!H1663</f>
        <v>0</v>
      </c>
    </row>
    <row r="1658" spans="2:6">
      <c r="B1658" s="3311" t="str">
        <f>'Смета Внутр'!B1664</f>
        <v>Итого материалы</v>
      </c>
      <c r="C1658" s="3311"/>
      <c r="D1658" s="3311"/>
      <c r="E1658" s="3311"/>
      <c r="F1658" s="3014">
        <f>'Смета Внутр'!G1664</f>
        <v>0</v>
      </c>
    </row>
    <row r="1659" spans="2:6">
      <c r="B1659" s="3312" t="str">
        <f>'Смета Внутр'!B1665</f>
        <v>Работы</v>
      </c>
      <c r="C1659" s="3312"/>
      <c r="D1659" s="3312"/>
      <c r="E1659" s="3312"/>
      <c r="F1659" s="3011">
        <f>'Смета Внутр'!H1665</f>
        <v>0</v>
      </c>
    </row>
    <row r="1660" spans="2:6">
      <c r="B1660" s="3007" t="str">
        <f>'Смета Внутр'!B1666</f>
        <v>монтаж стропил</v>
      </c>
      <c r="C1660" s="3008" t="str">
        <f>'Смета Внутр'!C1666</f>
        <v>м2</v>
      </c>
      <c r="D1660" s="3009">
        <f>'Смета Внутр'!D1666</f>
        <v>20.034116628998401</v>
      </c>
      <c r="E1660" s="3007"/>
      <c r="F1660" s="3012">
        <f>'Смета Внутр'!H1666</f>
        <v>0</v>
      </c>
    </row>
    <row r="1661" spans="2:6">
      <c r="B1661" s="3007" t="str">
        <f>'Смета Внутр'!B1667</f>
        <v>обрешетка</v>
      </c>
      <c r="C1661" s="3008" t="str">
        <f>'Смета Внутр'!C1667</f>
        <v>м2</v>
      </c>
      <c r="D1661" s="3009">
        <f>'Смета Внутр'!D1667</f>
        <v>20.034116628998401</v>
      </c>
      <c r="E1661" s="3007"/>
      <c r="F1661" s="3012">
        <f>'Смета Внутр'!H1667</f>
        <v>0</v>
      </c>
    </row>
    <row r="1662" spans="2:6">
      <c r="B1662" s="3007" t="str">
        <f>'Смета Внутр'!B1668</f>
        <v>контробеш</v>
      </c>
      <c r="C1662" s="3008" t="str">
        <f>'Смета Внутр'!C1668</f>
        <v>м2</v>
      </c>
      <c r="D1662" s="3009">
        <f>'Смета Внутр'!D1668</f>
        <v>20.034116628998401</v>
      </c>
      <c r="E1662" s="3007"/>
      <c r="F1662" s="3012">
        <f>'Смета Внутр'!H1668</f>
        <v>0</v>
      </c>
    </row>
    <row r="1663" spans="2:6">
      <c r="B1663" s="3007" t="str">
        <f>'Смета Внутр'!B1669</f>
        <v>мембрана</v>
      </c>
      <c r="C1663" s="3008" t="str">
        <f>'Смета Внутр'!C1669</f>
        <v>м2</v>
      </c>
      <c r="D1663" s="3009">
        <f>'Смета Внутр'!D1669</f>
        <v>0</v>
      </c>
      <c r="E1663" s="3007"/>
      <c r="F1663" s="3012">
        <f>'Смета Внутр'!H1669</f>
        <v>0</v>
      </c>
    </row>
    <row r="1664" spans="2:6">
      <c r="B1664" s="3007" t="str">
        <f>'Смета Внутр'!B1670</f>
        <v>пароизоляц</v>
      </c>
      <c r="C1664" s="3008" t="str">
        <f>'Смета Внутр'!C1670</f>
        <v>м2</v>
      </c>
      <c r="D1664" s="3009">
        <f>'Смета Внутр'!D1670</f>
        <v>0</v>
      </c>
      <c r="E1664" s="3007"/>
      <c r="F1664" s="3012">
        <f>'Смета Внутр'!H1670</f>
        <v>0</v>
      </c>
    </row>
    <row r="1665" spans="2:6">
      <c r="B1665" s="3007" t="str">
        <f>'Смета Внутр'!B1671</f>
        <v>утеплитель</v>
      </c>
      <c r="C1665" s="3008" t="str">
        <f>'Смета Внутр'!C1671</f>
        <v>м2</v>
      </c>
      <c r="D1665" s="3009">
        <f>'Смета Внутр'!D1671</f>
        <v>20.034116628998401</v>
      </c>
      <c r="E1665" s="3007"/>
      <c r="F1665" s="3012">
        <f>'Смета Внутр'!H1671</f>
        <v>0</v>
      </c>
    </row>
    <row r="1666" spans="2:6">
      <c r="B1666" s="3007" t="str">
        <f>'Смета Внутр'!B1672</f>
        <v>Монтаж металлочерепицы</v>
      </c>
      <c r="C1666" s="3008" t="str">
        <f>'Смета Внутр'!C1672</f>
        <v>м2</v>
      </c>
      <c r="D1666" s="3009">
        <f>'Смета Внутр'!D1672</f>
        <v>20.034116628998401</v>
      </c>
      <c r="E1666" s="3007"/>
      <c r="F1666" s="3012">
        <f>'Смета Внутр'!H1672</f>
        <v>0</v>
      </c>
    </row>
    <row r="1667" spans="2:6">
      <c r="B1667" s="3007" t="str">
        <f>'Смета Внутр'!B1673</f>
        <v>карнизная планка</v>
      </c>
      <c r="C1667" s="3008" t="str">
        <f>'Смета Внутр'!C1673</f>
        <v>м.п.</v>
      </c>
      <c r="D1667" s="3009">
        <f>'Смета Внутр'!D1673</f>
        <v>4</v>
      </c>
      <c r="E1667" s="3007"/>
      <c r="F1667" s="3012">
        <f>'Смета Внутр'!H1673</f>
        <v>0</v>
      </c>
    </row>
    <row r="1668" spans="2:6">
      <c r="B1668" s="3007" t="str">
        <f>'Смета Внутр'!B1674</f>
        <v>торцевая планка</v>
      </c>
      <c r="C1668" s="3008" t="str">
        <f>'Смета Внутр'!C1674</f>
        <v>м.п.</v>
      </c>
      <c r="D1668" s="3009">
        <f>'Смета Внутр'!D1674</f>
        <v>10.544271909999159</v>
      </c>
      <c r="E1668" s="3007"/>
      <c r="F1668" s="3012">
        <f>'Смета Внутр'!H1674</f>
        <v>0</v>
      </c>
    </row>
    <row r="1669" spans="2:6">
      <c r="B1669" s="3007" t="str">
        <f>'Смета Внутр'!B1675</f>
        <v>Монтаж ондулина</v>
      </c>
      <c r="C1669" s="3008" t="str">
        <f>'Смета Внутр'!C1675</f>
        <v>м2</v>
      </c>
      <c r="D1669" s="3009">
        <f>'Смета Внутр'!D1675</f>
        <v>0</v>
      </c>
      <c r="E1669" s="3007"/>
      <c r="F1669" s="3012">
        <f>'Смета Внутр'!H1675</f>
        <v>0</v>
      </c>
    </row>
    <row r="1670" spans="2:6">
      <c r="B1670" s="3007" t="str">
        <f>'Смета Внутр'!B1676</f>
        <v>Монтаж фанеры/osb</v>
      </c>
      <c r="C1670" s="3008" t="str">
        <f>'Смета Внутр'!C1676</f>
        <v>м2</v>
      </c>
      <c r="D1670" s="3009">
        <f>'Смета Внутр'!D1676</f>
        <v>20.034116628998401</v>
      </c>
      <c r="E1670" s="3007"/>
      <c r="F1670" s="3012">
        <f>'Смета Внутр'!H1676</f>
        <v>0</v>
      </c>
    </row>
    <row r="1671" spans="2:6">
      <c r="B1671" s="3007" t="str">
        <f>'Смета Внутр'!B1677</f>
        <v>монтаж подкладочного ковра</v>
      </c>
      <c r="C1671" s="3008" t="str">
        <f>'Смета Внутр'!C1677</f>
        <v>м2</v>
      </c>
      <c r="D1671" s="3009">
        <f>'Смета Внутр'!D1677</f>
        <v>0</v>
      </c>
      <c r="E1671" s="3007"/>
      <c r="F1671" s="3012">
        <f>'Смета Внутр'!H1677</f>
        <v>0</v>
      </c>
    </row>
    <row r="1672" spans="2:6">
      <c r="B1672" s="3007" t="str">
        <f>'Смета Внутр'!B1678</f>
        <v>Монтаж мягкой кровли</v>
      </c>
      <c r="C1672" s="3008" t="str">
        <f>'Смета Внутр'!C1678</f>
        <v>м2</v>
      </c>
      <c r="D1672" s="3009">
        <f>'Смета Внутр'!D1678</f>
        <v>0</v>
      </c>
      <c r="E1672" s="3007"/>
      <c r="F1672" s="3012">
        <f>'Смета Внутр'!H1678</f>
        <v>0</v>
      </c>
    </row>
    <row r="1673" spans="2:6">
      <c r="B1673" s="3311" t="str">
        <f>'Смета Внутр'!B1679</f>
        <v>Итого работы</v>
      </c>
      <c r="C1673" s="3311"/>
      <c r="D1673" s="3311"/>
      <c r="E1673" s="3311"/>
      <c r="F1673" s="3014">
        <f>'Смета Внутр'!G1679</f>
        <v>0</v>
      </c>
    </row>
    <row r="1674" spans="2:6" ht="19">
      <c r="B1674" s="3313" t="str">
        <f>'Смета Внутр'!B1680</f>
        <v>Кровля на пристройке</v>
      </c>
      <c r="C1674" s="3313"/>
      <c r="D1674" s="3313"/>
      <c r="E1674" s="3313"/>
      <c r="F1674" s="3011">
        <f>'Смета Внутр'!H1680</f>
        <v>0</v>
      </c>
    </row>
    <row r="1675" spans="2:6">
      <c r="B1675" s="3310" t="str">
        <f>'Смета Внутр'!B1681</f>
        <v>Материалы</v>
      </c>
      <c r="C1675" s="3310"/>
      <c r="D1675" s="3310"/>
      <c r="E1675" s="3310"/>
      <c r="F1675" s="3011">
        <f>'Смета Внутр'!H1681</f>
        <v>0</v>
      </c>
    </row>
    <row r="1676" spans="2:6">
      <c r="B1676" s="3007" t="str">
        <f>'Смета Внутр'!B1682</f>
        <v>Доска сухая калиброванная, 190*45мм</v>
      </c>
      <c r="C1676" s="3008" t="str">
        <f>'Смета Внутр'!C1682</f>
        <v>м3</v>
      </c>
      <c r="D1676" s="3009">
        <f>'Смета Внутр'!D1682</f>
        <v>0</v>
      </c>
      <c r="E1676" s="3007"/>
      <c r="F1676" s="3012">
        <f>'Смета Внутр'!H1682</f>
        <v>0</v>
      </c>
    </row>
    <row r="1677" spans="2:6">
      <c r="B1677" s="3007" t="str">
        <f>'Смета Внутр'!B1683</f>
        <v xml:space="preserve">Болты анкерные с гайкой 12,0 х 280          </v>
      </c>
      <c r="C1677" s="3008" t="str">
        <f>'Смета Внутр'!C1683</f>
        <v>шт</v>
      </c>
      <c r="D1677" s="3009">
        <f>'Смета Внутр'!D1683</f>
        <v>0</v>
      </c>
      <c r="E1677" s="3007"/>
      <c r="F1677" s="3012">
        <f>'Смета Внутр'!H1683</f>
        <v>0</v>
      </c>
    </row>
    <row r="1678" spans="2:6">
      <c r="B1678" s="3007" t="str">
        <f>'Смета Внутр'!B1684</f>
        <v>Доска сухая, 200*50мм</v>
      </c>
      <c r="C1678" s="3008" t="str">
        <f>'Смета Внутр'!C1684</f>
        <v>м3</v>
      </c>
      <c r="D1678" s="3009">
        <f>'Смета Внутр'!D1684</f>
        <v>0</v>
      </c>
      <c r="E1678" s="3007"/>
      <c r="F1678" s="3012">
        <f>'Смета Внутр'!H1684</f>
        <v>0</v>
      </c>
    </row>
    <row r="1679" spans="2:6">
      <c r="B1679" s="3007" t="str">
        <f>'Смета Внутр'!B1685</f>
        <v xml:space="preserve">бугель, доска </v>
      </c>
      <c r="C1679" s="3008" t="str">
        <f>'Смета Внутр'!C1685</f>
        <v>м3</v>
      </c>
      <c r="D1679" s="3009">
        <f>'Смета Внутр'!D1685</f>
        <v>0</v>
      </c>
      <c r="E1679" s="3007"/>
      <c r="F1679" s="3012">
        <f>'Смета Внутр'!H1685</f>
        <v>0</v>
      </c>
    </row>
    <row r="1680" spans="2:6">
      <c r="B1680" s="3007" t="str">
        <f>'Смета Внутр'!B1686</f>
        <v>Сосна влаж,100*25мм</v>
      </c>
      <c r="C1680" s="3008" t="str">
        <f>'Смета Внутр'!C1686</f>
        <v>м3</v>
      </c>
      <c r="D1680" s="3009">
        <f>'Смета Внутр'!D1686</f>
        <v>0</v>
      </c>
      <c r="E1680" s="3007"/>
      <c r="F1680" s="3012">
        <f>'Смета Внутр'!H1686</f>
        <v>0</v>
      </c>
    </row>
    <row r="1681" spans="2:6">
      <c r="B1681" s="3007" t="str">
        <f>'Смета Внутр'!B1687</f>
        <v>Доска сухая, калибр., 35*45мм</v>
      </c>
      <c r="C1681" s="3008" t="str">
        <f>'Смета Внутр'!C1687</f>
        <v>шт</v>
      </c>
      <c r="D1681" s="3009">
        <f>'Смета Внутр'!D1687</f>
        <v>0</v>
      </c>
      <c r="E1681" s="3007"/>
      <c r="F1681" s="3012">
        <f>'Смета Внутр'!H1687</f>
        <v>0</v>
      </c>
    </row>
    <row r="1682" spans="2:6">
      <c r="B1682" s="3007" t="str">
        <f>'Смета Внутр'!B1688</f>
        <v>Мембраны Tyvek Soft</v>
      </c>
      <c r="C1682" s="3008" t="str">
        <f>'Смета Внутр'!C1688</f>
        <v>м2</v>
      </c>
      <c r="D1682" s="3009">
        <f>'Смета Внутр'!D1688</f>
        <v>0</v>
      </c>
      <c r="E1682" s="3007"/>
      <c r="F1682" s="3012">
        <f>'Смета Внутр'!H1688</f>
        <v>0</v>
      </c>
    </row>
    <row r="1683" spans="2:6">
      <c r="B1683" s="3007" t="str">
        <f>'Смета Внутр'!B1689</f>
        <v>Пленка Delta-Reflex</v>
      </c>
      <c r="C1683" s="3008" t="str">
        <f>'Смета Внутр'!C1689</f>
        <v>м2</v>
      </c>
      <c r="D1683" s="3009">
        <f>'Смета Внутр'!D1689</f>
        <v>0</v>
      </c>
      <c r="E1683" s="3007"/>
      <c r="F1683" s="3012">
        <f>'Смета Внутр'!H1689</f>
        <v>0</v>
      </c>
    </row>
    <row r="1684" spans="2:6">
      <c r="B1684" s="3007" t="str">
        <f>'Смета Внутр'!B1690</f>
        <v>Плитный,28кг/м3, технониколь, 200мм</v>
      </c>
      <c r="C1684" s="3008" t="str">
        <f>'Смета Внутр'!C1690</f>
        <v>м3</v>
      </c>
      <c r="D1684" s="3009">
        <f>'Смета Внутр'!D1690</f>
        <v>0</v>
      </c>
      <c r="E1684" s="3007"/>
      <c r="F1684" s="3012">
        <f>'Смета Внутр'!H1690</f>
        <v>0</v>
      </c>
    </row>
    <row r="1685" spans="2:6">
      <c r="B1685" s="3007" t="str">
        <f>'Смета Внутр'!B1691</f>
        <v>металлочерепица</v>
      </c>
      <c r="C1685" s="3008" t="str">
        <f>'Смета Внутр'!C1691</f>
        <v>м2</v>
      </c>
      <c r="D1685" s="3009">
        <f>'Смета Внутр'!D1691</f>
        <v>0</v>
      </c>
      <c r="E1685" s="3007"/>
      <c r="F1685" s="3012">
        <f>'Смета Внутр'!H1691</f>
        <v>0</v>
      </c>
    </row>
    <row r="1686" spans="2:6">
      <c r="B1686" s="3007" t="str">
        <f>'Смета Внутр'!B1692</f>
        <v>Карнизная планка</v>
      </c>
      <c r="C1686" s="3008" t="str">
        <f>'Смета Внутр'!C1692</f>
        <v>м.п.</v>
      </c>
      <c r="D1686" s="3009">
        <f>'Смета Внутр'!D1692</f>
        <v>0</v>
      </c>
      <c r="E1686" s="3007"/>
      <c r="F1686" s="3012">
        <f>'Смета Внутр'!H1692</f>
        <v>0</v>
      </c>
    </row>
    <row r="1687" spans="2:6">
      <c r="B1687" s="3007" t="str">
        <f>'Смета Внутр'!B1693</f>
        <v>Торцевая планка</v>
      </c>
      <c r="C1687" s="3008" t="str">
        <f>'Смета Внутр'!C1693</f>
        <v>м.п.</v>
      </c>
      <c r="D1687" s="3009">
        <f>'Смета Внутр'!D1693</f>
        <v>0</v>
      </c>
      <c r="E1687" s="3007"/>
      <c r="F1687" s="3012">
        <f>'Смета Внутр'!H1693</f>
        <v>0</v>
      </c>
    </row>
    <row r="1688" spans="2:6">
      <c r="B1688" s="3007" t="str">
        <f>'Смета Внутр'!B1694</f>
        <v>Конек</v>
      </c>
      <c r="C1688" s="3008" t="str">
        <f>'Смета Внутр'!C1694</f>
        <v>м.п.</v>
      </c>
      <c r="D1688" s="3009">
        <f>'Смета Внутр'!D1694</f>
        <v>0</v>
      </c>
      <c r="E1688" s="3007"/>
      <c r="F1688" s="3012">
        <f>'Смета Внутр'!H1694</f>
        <v>0</v>
      </c>
    </row>
    <row r="1689" spans="2:6">
      <c r="B1689" s="3007" t="str">
        <f>'Смета Внутр'!B1695</f>
        <v>Ендова нижняя</v>
      </c>
      <c r="C1689" s="3008" t="str">
        <f>'Смета Внутр'!C1695</f>
        <v>м.п</v>
      </c>
      <c r="D1689" s="3009">
        <f>'Смета Внутр'!D1695</f>
        <v>0</v>
      </c>
      <c r="E1689" s="3007"/>
      <c r="F1689" s="3012">
        <f>'Смета Внутр'!H1695</f>
        <v>0</v>
      </c>
    </row>
    <row r="1690" spans="2:6">
      <c r="B1690" s="3007" t="str">
        <f>'Смета Внутр'!B1696</f>
        <v>Планка примыкания</v>
      </c>
      <c r="C1690" s="3008" t="str">
        <f>'Смета Внутр'!C1696</f>
        <v>м.п.</v>
      </c>
      <c r="D1690" s="3009">
        <f>'Смета Внутр'!D1696</f>
        <v>0</v>
      </c>
      <c r="E1690" s="3007"/>
      <c r="F1690" s="3012">
        <f>'Смета Внутр'!H1696</f>
        <v>0</v>
      </c>
    </row>
    <row r="1691" spans="2:6">
      <c r="B1691" s="3007" t="str">
        <f>'Смета Внутр'!B1697</f>
        <v>ондулин</v>
      </c>
      <c r="C1691" s="3008" t="str">
        <f>'Смета Внутр'!C1697</f>
        <v>м2</v>
      </c>
      <c r="D1691" s="3009">
        <f>'Смета Внутр'!D1697</f>
        <v>0</v>
      </c>
      <c r="E1691" s="3007"/>
      <c r="F1691" s="3012">
        <f>'Смета Внутр'!H1697</f>
        <v>0</v>
      </c>
    </row>
    <row r="1692" spans="2:6">
      <c r="B1692" s="3007" t="str">
        <f>'Смета Внутр'!B1698</f>
        <v>Карнизная планка</v>
      </c>
      <c r="C1692" s="3008" t="str">
        <f>'Смета Внутр'!C1698</f>
        <v>м.п.</v>
      </c>
      <c r="D1692" s="3009">
        <f>'Смета Внутр'!D1698</f>
        <v>0</v>
      </c>
      <c r="E1692" s="3007"/>
      <c r="F1692" s="3012">
        <f>'Смета Внутр'!H1698</f>
        <v>0</v>
      </c>
    </row>
    <row r="1693" spans="2:6">
      <c r="B1693" s="3007" t="str">
        <f>'Смета Внутр'!B1699</f>
        <v>Торцевая планка</v>
      </c>
      <c r="C1693" s="3008" t="str">
        <f>'Смета Внутр'!C1699</f>
        <v>м.п.</v>
      </c>
      <c r="D1693" s="3009">
        <f>'Смета Внутр'!D1699</f>
        <v>0</v>
      </c>
      <c r="E1693" s="3007"/>
      <c r="F1693" s="3012">
        <f>'Смета Внутр'!H1699</f>
        <v>0</v>
      </c>
    </row>
    <row r="1694" spans="2:6">
      <c r="B1694" s="3007" t="str">
        <f>'Смета Внутр'!B1700</f>
        <v>Конек</v>
      </c>
      <c r="C1694" s="3008" t="str">
        <f>'Смета Внутр'!C1700</f>
        <v>м.п.</v>
      </c>
      <c r="D1694" s="3009">
        <f>'Смета Внутр'!D1700</f>
        <v>0</v>
      </c>
      <c r="E1694" s="3007"/>
      <c r="F1694" s="3012">
        <f>'Смета Внутр'!H1700</f>
        <v>0</v>
      </c>
    </row>
    <row r="1695" spans="2:6">
      <c r="B1695" s="3007" t="str">
        <f>'Смета Внутр'!B1701</f>
        <v>Ендова нижняя</v>
      </c>
      <c r="C1695" s="3008" t="str">
        <f>'Смета Внутр'!C1701</f>
        <v>м.п.</v>
      </c>
      <c r="D1695" s="3009">
        <f>'Смета Внутр'!D1701</f>
        <v>0</v>
      </c>
      <c r="E1695" s="3007"/>
      <c r="F1695" s="3012">
        <f>'Смета Внутр'!H1701</f>
        <v>0</v>
      </c>
    </row>
    <row r="1696" spans="2:6">
      <c r="B1696" s="3007" t="str">
        <f>'Смета Внутр'!B1702</f>
        <v>Ендова верхняя</v>
      </c>
      <c r="C1696" s="3008" t="str">
        <f>'Смета Внутр'!C1702</f>
        <v>м.п.</v>
      </c>
      <c r="D1696" s="3009">
        <f>'Смета Внутр'!D1702</f>
        <v>0</v>
      </c>
      <c r="E1696" s="3007"/>
      <c r="F1696" s="3012">
        <f>'Смета Внутр'!H1702</f>
        <v>0</v>
      </c>
    </row>
    <row r="1697" spans="2:6">
      <c r="B1697" s="3007" t="str">
        <f>'Смета Внутр'!B1703</f>
        <v>Планка примыкания</v>
      </c>
      <c r="C1697" s="3008" t="str">
        <f>'Смета Внутр'!C1703</f>
        <v>м.п.</v>
      </c>
      <c r="D1697" s="3009">
        <f>'Смета Внутр'!D1703</f>
        <v>0</v>
      </c>
      <c r="E1697" s="3007"/>
      <c r="F1697" s="3012">
        <f>'Смета Внутр'!H1703</f>
        <v>0</v>
      </c>
    </row>
    <row r="1698" spans="2:6">
      <c r="B1698" s="3007" t="str">
        <f>'Смета Внутр'!B1704</f>
        <v>Крепеж для ондулина</v>
      </c>
      <c r="C1698" s="3008" t="str">
        <f>'Смета Внутр'!C1704</f>
        <v>шт</v>
      </c>
      <c r="D1698" s="3009">
        <f>'Смета Внутр'!D1704</f>
        <v>0</v>
      </c>
      <c r="E1698" s="3007"/>
      <c r="F1698" s="3012">
        <f>'Смета Внутр'!H1704</f>
        <v>0</v>
      </c>
    </row>
    <row r="1699" spans="2:6">
      <c r="B1699" s="3007" t="str">
        <f>'Смета Внутр'!B1705</f>
        <v>нет</v>
      </c>
      <c r="C1699" s="3008" t="str">
        <f>'Смета Внутр'!C1705</f>
        <v>м2</v>
      </c>
      <c r="D1699" s="3009">
        <f>'Смета Внутр'!D1705</f>
        <v>0</v>
      </c>
      <c r="E1699" s="3007"/>
      <c r="F1699" s="3012">
        <f>'Смета Внутр'!H1705</f>
        <v>0</v>
      </c>
    </row>
    <row r="1700" spans="2:6">
      <c r="B1700" s="3007" t="str">
        <f>'Смета Внутр'!B1706</f>
        <v>Рядовая черепица</v>
      </c>
      <c r="C1700" s="3008" t="str">
        <f>'Смета Внутр'!C1706</f>
        <v>м2</v>
      </c>
      <c r="D1700" s="3009">
        <f>'Смета Внутр'!D1706</f>
        <v>0</v>
      </c>
      <c r="E1700" s="3007"/>
      <c r="F1700" s="3012">
        <f>'Смета Внутр'!H1706</f>
        <v>0</v>
      </c>
    </row>
    <row r="1701" spans="2:6">
      <c r="B1701" s="3007" t="str">
        <f>'Смета Внутр'!B1707</f>
        <v>Металл оцинк защита (карниз)</v>
      </c>
      <c r="C1701" s="3008" t="str">
        <f>'Смета Внутр'!C1707</f>
        <v>м.п.</v>
      </c>
      <c r="D1701" s="3009">
        <f>'Смета Внутр'!D1707</f>
        <v>0</v>
      </c>
      <c r="E1701" s="3007"/>
      <c r="F1701" s="3012">
        <f>'Смета Внутр'!H1707</f>
        <v>0</v>
      </c>
    </row>
    <row r="1702" spans="2:6">
      <c r="B1702" s="3007" t="str">
        <f>'Смета Внутр'!B1708</f>
        <v>Подкладочный ковер</v>
      </c>
      <c r="C1702" s="3008" t="str">
        <f>'Смета Внутр'!C1708</f>
        <v>м.п.</v>
      </c>
      <c r="D1702" s="3009">
        <f>'Смета Внутр'!D1708</f>
        <v>0</v>
      </c>
      <c r="E1702" s="3007"/>
      <c r="F1702" s="3012">
        <f>'Смета Внутр'!H1708</f>
        <v>0</v>
      </c>
    </row>
    <row r="1703" spans="2:6">
      <c r="B1703" s="3007" t="str">
        <f>'Смета Внутр'!B1709</f>
        <v>Карнизная самоклеющаяся черепица</v>
      </c>
      <c r="C1703" s="3008" t="str">
        <f>'Смета Внутр'!C1709</f>
        <v>м.п.</v>
      </c>
      <c r="D1703" s="3009">
        <f>'Смета Внутр'!D1709</f>
        <v>0</v>
      </c>
      <c r="E1703" s="3007"/>
      <c r="F1703" s="3012">
        <f>'Смета Внутр'!H1709</f>
        <v>0</v>
      </c>
    </row>
    <row r="1704" spans="2:6">
      <c r="B1704" s="3007" t="str">
        <f>'Смета Внутр'!B1710</f>
        <v>Спец ковер ендова нижняя</v>
      </c>
      <c r="C1704" s="3008" t="str">
        <f>'Смета Внутр'!C1710</f>
        <v>м.п.</v>
      </c>
      <c r="D1704" s="3009">
        <f>'Смета Внутр'!D1710</f>
        <v>0</v>
      </c>
      <c r="E1704" s="3007"/>
      <c r="F1704" s="3012">
        <f>'Смета Внутр'!H1710</f>
        <v>0</v>
      </c>
    </row>
    <row r="1705" spans="2:6">
      <c r="B1705" s="3007" t="str">
        <f>'Смета Внутр'!B1711</f>
        <v>Коньковой элемент</v>
      </c>
      <c r="C1705" s="3008" t="str">
        <f>'Смета Внутр'!C1711</f>
        <v>м.п.</v>
      </c>
      <c r="D1705" s="3009">
        <f>'Смета Внутр'!D1711</f>
        <v>0</v>
      </c>
      <c r="E1705" s="3007"/>
      <c r="F1705" s="3012">
        <f>'Смета Внутр'!H1711</f>
        <v>0</v>
      </c>
    </row>
    <row r="1706" spans="2:6">
      <c r="B1706" s="3007" t="str">
        <f>'Смета Внутр'!B1712</f>
        <v>Планка премыкания</v>
      </c>
      <c r="C1706" s="3008" t="str">
        <f>'Смета Внутр'!C1712</f>
        <v>м.п.</v>
      </c>
      <c r="D1706" s="3009">
        <f>'Смета Внутр'!D1712</f>
        <v>0</v>
      </c>
      <c r="E1706" s="3007"/>
      <c r="F1706" s="3012">
        <f>'Смета Внутр'!H1712</f>
        <v>0</v>
      </c>
    </row>
    <row r="1707" spans="2:6">
      <c r="B1707" s="3007" t="str">
        <f>'Смета Внутр'!B1713</f>
        <v>Гвозди для крепления подкладочного ковра</v>
      </c>
      <c r="C1707" s="3008" t="str">
        <f>'Смета Внутр'!C1713</f>
        <v>шт</v>
      </c>
      <c r="D1707" s="3009">
        <f>'Смета Внутр'!D1713</f>
        <v>0</v>
      </c>
      <c r="E1707" s="3007"/>
      <c r="F1707" s="3012">
        <f>'Смета Внутр'!H1713</f>
        <v>0</v>
      </c>
    </row>
    <row r="1708" spans="2:6">
      <c r="B1708" s="3007" t="str">
        <f>'Смета Внутр'!B1714</f>
        <v>Гвозди для крепления черепицы</v>
      </c>
      <c r="C1708" s="3008" t="str">
        <f>'Смета Внутр'!C1714</f>
        <v>шт</v>
      </c>
      <c r="D1708" s="3009">
        <f>'Смета Внутр'!D1714</f>
        <v>0</v>
      </c>
      <c r="E1708" s="3007"/>
      <c r="F1708" s="3012">
        <f>'Смета Внутр'!H1714</f>
        <v>0</v>
      </c>
    </row>
    <row r="1709" spans="2:6">
      <c r="B1709" s="3007" t="str">
        <f>'Смета Внутр'!B1715</f>
        <v>Клей для монтажа черепицы</v>
      </c>
      <c r="C1709" s="3008" t="str">
        <f>'Смета Внутр'!C1715</f>
        <v>кг</v>
      </c>
      <c r="D1709" s="3009">
        <f>'Смета Внутр'!D1715</f>
        <v>0</v>
      </c>
      <c r="E1709" s="3007"/>
      <c r="F1709" s="3012">
        <f>'Смета Внутр'!H1715</f>
        <v>0</v>
      </c>
    </row>
    <row r="1710" spans="2:6">
      <c r="B1710" s="3007" t="str">
        <f>'Смета Внутр'!B1716</f>
        <v>желоб</v>
      </c>
      <c r="C1710" s="3008" t="str">
        <f>'Смета Внутр'!C1716</f>
        <v>м.п</v>
      </c>
      <c r="D1710" s="3009">
        <f>'Смета Внутр'!D1716</f>
        <v>0</v>
      </c>
      <c r="E1710" s="3007"/>
      <c r="F1710" s="3012">
        <f>'Смета Внутр'!H1716</f>
        <v>0</v>
      </c>
    </row>
    <row r="1711" spans="2:6">
      <c r="B1711" s="3007" t="str">
        <f>'Смета Внутр'!B1717</f>
        <v>отвод</v>
      </c>
      <c r="C1711" s="3008" t="str">
        <f>'Смета Внутр'!C1717</f>
        <v>шт</v>
      </c>
      <c r="D1711" s="3009">
        <f>'Смета Внутр'!D1717</f>
        <v>0</v>
      </c>
      <c r="E1711" s="3007"/>
      <c r="F1711" s="3012">
        <f>'Смета Внутр'!H1717</f>
        <v>0</v>
      </c>
    </row>
    <row r="1712" spans="2:6">
      <c r="B1712" s="3007" t="str">
        <f>'Смета Внутр'!B1718</f>
        <v>труба водосточная</v>
      </c>
      <c r="C1712" s="3008" t="str">
        <f>'Смета Внутр'!C1718</f>
        <v>м.п.</v>
      </c>
      <c r="D1712" s="3009">
        <f>'Смета Внутр'!D1718</f>
        <v>0</v>
      </c>
      <c r="E1712" s="3007"/>
      <c r="F1712" s="3012">
        <f>'Смета Внутр'!H1718</f>
        <v>0</v>
      </c>
    </row>
    <row r="1713" spans="2:6">
      <c r="B1713" s="3007" t="str">
        <f>'Смета Внутр'!B1719</f>
        <v>заглушка для желоба</v>
      </c>
      <c r="C1713" s="3008" t="str">
        <f>'Смета Внутр'!C1719</f>
        <v>шт</v>
      </c>
      <c r="D1713" s="3009">
        <f>'Смета Внутр'!D1719</f>
        <v>0</v>
      </c>
      <c r="E1713" s="3007"/>
      <c r="F1713" s="3012">
        <f>'Смета Внутр'!H1719</f>
        <v>0</v>
      </c>
    </row>
    <row r="1714" spans="2:6">
      <c r="B1714" s="3007" t="str">
        <f>'Смета Внутр'!B1720</f>
        <v>соеденитель для желоба</v>
      </c>
      <c r="C1714" s="3008" t="str">
        <f>'Смета Внутр'!C1720</f>
        <v>шт</v>
      </c>
      <c r="D1714" s="3009">
        <f>'Смета Внутр'!D1720</f>
        <v>2</v>
      </c>
      <c r="E1714" s="3007"/>
      <c r="F1714" s="3012">
        <f>'Смета Внутр'!H1720</f>
        <v>0</v>
      </c>
    </row>
    <row r="1715" spans="2:6">
      <c r="B1715" s="3007" t="str">
        <f>'Смета Внутр'!B1721</f>
        <v>кронштейн для желоба</v>
      </c>
      <c r="C1715" s="3008" t="str">
        <f>'Смета Внутр'!C1721</f>
        <v>шт</v>
      </c>
      <c r="D1715" s="3009">
        <f>'Смета Внутр'!D1721</f>
        <v>0</v>
      </c>
      <c r="E1715" s="3007"/>
      <c r="F1715" s="3012">
        <f>'Смета Внутр'!H1721</f>
        <v>0</v>
      </c>
    </row>
    <row r="1716" spans="2:6">
      <c r="B1716" s="3007" t="str">
        <f>'Смета Внутр'!B1722</f>
        <v>переход из желоба в трубу</v>
      </c>
      <c r="C1716" s="3008" t="str">
        <f>'Смета Внутр'!C1722</f>
        <v>шт</v>
      </c>
      <c r="D1716" s="3009">
        <f>'Смета Внутр'!D1722</f>
        <v>0</v>
      </c>
      <c r="E1716" s="3007"/>
      <c r="F1716" s="3012">
        <f>'Смета Внутр'!H1722</f>
        <v>0</v>
      </c>
    </row>
    <row r="1717" spans="2:6">
      <c r="B1717" s="3007" t="str">
        <f>'Смета Внутр'!B1723</f>
        <v>лента дельта мульти бэнд</v>
      </c>
      <c r="C1717" s="3008" t="str">
        <f>'Смета Внутр'!C1723</f>
        <v>шт</v>
      </c>
      <c r="D1717" s="3009">
        <f>'Смета Внутр'!D1723</f>
        <v>0</v>
      </c>
      <c r="E1717" s="3007"/>
      <c r="F1717" s="3012">
        <f>'Смета Внутр'!H1723</f>
        <v>0</v>
      </c>
    </row>
    <row r="1718" spans="2:6">
      <c r="B1718" s="3007" t="str">
        <f>'Смета Внутр'!B1724</f>
        <v>лента дельта sb-60</v>
      </c>
      <c r="C1718" s="3008" t="str">
        <f>'Смета Внутр'!C1724</f>
        <v>шт</v>
      </c>
      <c r="D1718" s="3009">
        <f>'Смета Внутр'!D1724</f>
        <v>0</v>
      </c>
      <c r="E1718" s="3007"/>
      <c r="F1718" s="3012">
        <f>'Смета Внутр'!H1724</f>
        <v>0</v>
      </c>
    </row>
    <row r="1719" spans="2:6">
      <c r="B1719" s="3007" t="str">
        <f>'Смета Внутр'!B1725</f>
        <v>Кровельный саморез</v>
      </c>
      <c r="C1719" s="3008" t="str">
        <f>'Смета Внутр'!C1725</f>
        <v>шт</v>
      </c>
      <c r="D1719" s="3009">
        <f>'Смета Внутр'!D1725</f>
        <v>0</v>
      </c>
      <c r="E1719" s="3007"/>
      <c r="F1719" s="3012">
        <f>'Смета Внутр'!H1725</f>
        <v>0</v>
      </c>
    </row>
    <row r="1720" spans="2:6">
      <c r="B1720" s="3007" t="str">
        <f>'Смета Внутр'!B1726</f>
        <v xml:space="preserve">Гвозди ершоные 3,4 x 60            </v>
      </c>
      <c r="C1720" s="3008" t="str">
        <f>'Смета Внутр'!C1726</f>
        <v>кг</v>
      </c>
      <c r="D1720" s="3009">
        <f>'Смета Внутр'!D1726</f>
        <v>0</v>
      </c>
      <c r="E1720" s="3007"/>
      <c r="F1720" s="3012">
        <f>'Смета Внутр'!H1726</f>
        <v>0</v>
      </c>
    </row>
    <row r="1721" spans="2:6">
      <c r="B1721" s="3007" t="str">
        <f>'Смета Внутр'!B1727</f>
        <v xml:space="preserve">Гвозди ершоные 2,8 х 90            </v>
      </c>
      <c r="C1721" s="3008" t="str">
        <f>'Смета Внутр'!C1727</f>
        <v>кг</v>
      </c>
      <c r="D1721" s="3009">
        <f>'Смета Внутр'!D1727</f>
        <v>0</v>
      </c>
      <c r="E1721" s="3007"/>
      <c r="F1721" s="3012">
        <f>'Смета Внутр'!H1727</f>
        <v>0</v>
      </c>
    </row>
    <row r="1722" spans="2:6">
      <c r="B1722" s="3007" t="str">
        <f>'Смета Внутр'!B1728</f>
        <v xml:space="preserve">Уголок усиленный 90х70х55х2,5        </v>
      </c>
      <c r="C1722" s="3008" t="str">
        <f>'Смета Внутр'!C1728</f>
        <v>шт</v>
      </c>
      <c r="D1722" s="3009">
        <f>'Смета Внутр'!D1728</f>
        <v>0</v>
      </c>
      <c r="E1722" s="3007"/>
      <c r="F1722" s="3012">
        <f>'Смета Внутр'!H1728</f>
        <v>0</v>
      </c>
    </row>
    <row r="1723" spans="2:6">
      <c r="B1723" s="3311" t="str">
        <f>'Смета Внутр'!B1729</f>
        <v>Итого материалы</v>
      </c>
      <c r="C1723" s="3311"/>
      <c r="D1723" s="3311"/>
      <c r="E1723" s="3311"/>
      <c r="F1723" s="3014">
        <f>'Смета Внутр'!G1729</f>
        <v>0</v>
      </c>
    </row>
    <row r="1724" spans="2:6">
      <c r="B1724" s="3312" t="str">
        <f>'Смета Внутр'!B1730</f>
        <v>Работы</v>
      </c>
      <c r="C1724" s="3312"/>
      <c r="D1724" s="3312"/>
      <c r="E1724" s="3312"/>
      <c r="F1724" s="3011">
        <f>'Смета Внутр'!H1730</f>
        <v>0</v>
      </c>
    </row>
    <row r="1725" spans="2:6">
      <c r="B1725" s="3007" t="str">
        <f>'Смета Внутр'!B1731</f>
        <v>монтаж мауэрлат</v>
      </c>
      <c r="C1725" s="3008" t="str">
        <f>'Смета Внутр'!C1731</f>
        <v>м.п.</v>
      </c>
      <c r="D1725" s="3009">
        <f>'Смета Внутр'!D1731</f>
        <v>0</v>
      </c>
      <c r="E1725" s="3007"/>
      <c r="F1725" s="3012">
        <f>'Смета Внутр'!H1731</f>
        <v>0</v>
      </c>
    </row>
    <row r="1726" spans="2:6">
      <c r="B1726" s="3007" t="str">
        <f>'Смета Внутр'!B1732</f>
        <v>монтаж стропил</v>
      </c>
      <c r="C1726" s="3008" t="str">
        <f>'Смета Внутр'!C1732</f>
        <v>м2</v>
      </c>
      <c r="D1726" s="3009">
        <f>'Смета Внутр'!D1732</f>
        <v>0</v>
      </c>
      <c r="E1726" s="3007"/>
      <c r="F1726" s="3012">
        <f>'Смета Внутр'!H1732</f>
        <v>0</v>
      </c>
    </row>
    <row r="1727" spans="2:6">
      <c r="B1727" s="3007" t="str">
        <f>'Смета Внутр'!B1733</f>
        <v>обрешетка</v>
      </c>
      <c r="C1727" s="3008" t="str">
        <f>'Смета Внутр'!C1733</f>
        <v>м2</v>
      </c>
      <c r="D1727" s="3009">
        <f>'Смета Внутр'!D1733</f>
        <v>0</v>
      </c>
      <c r="E1727" s="3007"/>
      <c r="F1727" s="3012">
        <f>'Смета Внутр'!H1733</f>
        <v>0</v>
      </c>
    </row>
    <row r="1728" spans="2:6">
      <c r="B1728" s="3007" t="str">
        <f>'Смета Внутр'!B1734</f>
        <v>контробеш</v>
      </c>
      <c r="C1728" s="3008" t="str">
        <f>'Смета Внутр'!C1734</f>
        <v>м2</v>
      </c>
      <c r="D1728" s="3009">
        <f>'Смета Внутр'!D1734</f>
        <v>0</v>
      </c>
      <c r="E1728" s="3007"/>
      <c r="F1728" s="3012">
        <f>'Смета Внутр'!H1734</f>
        <v>0</v>
      </c>
    </row>
    <row r="1729" spans="2:6">
      <c r="B1729" s="3007" t="str">
        <f>'Смета Внутр'!B1735</f>
        <v>мембрана</v>
      </c>
      <c r="C1729" s="3008" t="str">
        <f>'Смета Внутр'!C1735</f>
        <v>м2</v>
      </c>
      <c r="D1729" s="3009">
        <f>'Смета Внутр'!D1735</f>
        <v>0</v>
      </c>
      <c r="E1729" s="3007"/>
      <c r="F1729" s="3012">
        <f>'Смета Внутр'!H1735</f>
        <v>0</v>
      </c>
    </row>
    <row r="1730" spans="2:6">
      <c r="B1730" s="3007" t="str">
        <f>'Смета Внутр'!B1736</f>
        <v>пароизоляц</v>
      </c>
      <c r="C1730" s="3008" t="str">
        <f>'Смета Внутр'!C1736</f>
        <v>м2</v>
      </c>
      <c r="D1730" s="3009">
        <f>'Смета Внутр'!D1736</f>
        <v>0</v>
      </c>
      <c r="E1730" s="3007"/>
      <c r="F1730" s="3012">
        <f>'Смета Внутр'!H1736</f>
        <v>0</v>
      </c>
    </row>
    <row r="1731" spans="2:6">
      <c r="B1731" s="3007" t="str">
        <f>'Смета Внутр'!B1737</f>
        <v>утеплитель</v>
      </c>
      <c r="C1731" s="3008" t="str">
        <f>'Смета Внутр'!C1737</f>
        <v>м2</v>
      </c>
      <c r="D1731" s="3009">
        <f>'Смета Внутр'!D1737</f>
        <v>0</v>
      </c>
      <c r="E1731" s="3007"/>
      <c r="F1731" s="3012">
        <f>'Смета Внутр'!H1737</f>
        <v>0</v>
      </c>
    </row>
    <row r="1732" spans="2:6">
      <c r="B1732" s="3007" t="str">
        <f>'Смета Внутр'!B1738</f>
        <v>Монтаж металлочерепицы</v>
      </c>
      <c r="C1732" s="3008" t="str">
        <f>'Смета Внутр'!C1738</f>
        <v>м2</v>
      </c>
      <c r="D1732" s="3009">
        <f>'Смета Внутр'!D1738</f>
        <v>0</v>
      </c>
      <c r="E1732" s="3007"/>
      <c r="F1732" s="3012">
        <f>'Смета Внутр'!H1738</f>
        <v>0</v>
      </c>
    </row>
    <row r="1733" spans="2:6">
      <c r="B1733" s="3007" t="str">
        <f>'Смета Внутр'!B1739</f>
        <v>карнизная планка</v>
      </c>
      <c r="C1733" s="3008" t="str">
        <f>'Смета Внутр'!C1739</f>
        <v>м2</v>
      </c>
      <c r="D1733" s="3009">
        <f>'Смета Внутр'!D1739</f>
        <v>0</v>
      </c>
      <c r="E1733" s="3007"/>
      <c r="F1733" s="3012">
        <f>'Смета Внутр'!H1739</f>
        <v>0</v>
      </c>
    </row>
    <row r="1734" spans="2:6">
      <c r="B1734" s="3007" t="str">
        <f>'Смета Внутр'!B1740</f>
        <v>торцевая планка</v>
      </c>
      <c r="C1734" s="3008" t="str">
        <f>'Смета Внутр'!C1740</f>
        <v>м2</v>
      </c>
      <c r="D1734" s="3009">
        <f>'Смета Внутр'!D1740</f>
        <v>0</v>
      </c>
      <c r="E1734" s="3007"/>
      <c r="F1734" s="3012">
        <f>'Смета Внутр'!H1740</f>
        <v>0</v>
      </c>
    </row>
    <row r="1735" spans="2:6">
      <c r="B1735" s="3007" t="str">
        <f>'Смета Внутр'!B1741</f>
        <v>желоб водосточный</v>
      </c>
      <c r="C1735" s="3008" t="str">
        <f>'Смета Внутр'!C1741</f>
        <v>м.п.</v>
      </c>
      <c r="D1735" s="3009">
        <f>'Смета Внутр'!D1741</f>
        <v>0</v>
      </c>
      <c r="E1735" s="3007"/>
      <c r="F1735" s="3012">
        <f>'Смета Внутр'!H1741</f>
        <v>0</v>
      </c>
    </row>
    <row r="1736" spans="2:6">
      <c r="B1736" s="3007" t="str">
        <f>'Смета Внутр'!B1742</f>
        <v>труба водосточная</v>
      </c>
      <c r="C1736" s="3008" t="str">
        <f>'Смета Внутр'!C1742</f>
        <v>м.п.</v>
      </c>
      <c r="D1736" s="3009">
        <f>'Смета Внутр'!D1742</f>
        <v>0</v>
      </c>
      <c r="E1736" s="3007"/>
      <c r="F1736" s="3012">
        <f>'Смета Внутр'!H1742</f>
        <v>0</v>
      </c>
    </row>
    <row r="1737" spans="2:6">
      <c r="B1737" s="3007" t="str">
        <f>'Смета Внутр'!B1743</f>
        <v>ендова внутр/наружн</v>
      </c>
      <c r="C1737" s="3008" t="str">
        <f>'Смета Внутр'!C1743</f>
        <v>м.п.</v>
      </c>
      <c r="D1737" s="3009">
        <f>'Смета Внутр'!D1743</f>
        <v>0</v>
      </c>
      <c r="E1737" s="3007"/>
      <c r="F1737" s="3012">
        <f>'Смета Внутр'!H1743</f>
        <v>0</v>
      </c>
    </row>
    <row r="1738" spans="2:6">
      <c r="B1738" s="3007" t="str">
        <f>'Смета Внутр'!B1744</f>
        <v>Монтаж ондулина</v>
      </c>
      <c r="C1738" s="3008" t="str">
        <f>'Смета Внутр'!C1744</f>
        <v>м2</v>
      </c>
      <c r="D1738" s="3009">
        <f>'Смета Внутр'!D1744</f>
        <v>0</v>
      </c>
      <c r="E1738" s="3007"/>
      <c r="F1738" s="3012">
        <f>'Смета Внутр'!H1744</f>
        <v>0</v>
      </c>
    </row>
    <row r="1739" spans="2:6">
      <c r="B1739" s="3007" t="str">
        <f>'Смета Внутр'!B1745</f>
        <v>Монтаж фанеры/osb</v>
      </c>
      <c r="C1739" s="3008" t="str">
        <f>'Смета Внутр'!C1745</f>
        <v>м2</v>
      </c>
      <c r="D1739" s="3009">
        <f>'Смета Внутр'!D1745</f>
        <v>0</v>
      </c>
      <c r="E1739" s="3007"/>
      <c r="F1739" s="3012">
        <f>'Смета Внутр'!H1745</f>
        <v>0</v>
      </c>
    </row>
    <row r="1740" spans="2:6">
      <c r="B1740" s="3007" t="str">
        <f>'Смета Внутр'!B1746</f>
        <v>монтаж подкладочного ковра</v>
      </c>
      <c r="C1740" s="3008" t="str">
        <f>'Смета Внутр'!C1746</f>
        <v>м2</v>
      </c>
      <c r="D1740" s="3009">
        <f>'Смета Внутр'!D1746</f>
        <v>0</v>
      </c>
      <c r="E1740" s="3007"/>
      <c r="F1740" s="3012">
        <f>'Смета Внутр'!H1746</f>
        <v>0</v>
      </c>
    </row>
    <row r="1741" spans="2:6">
      <c r="B1741" s="3007" t="str">
        <f>'Смета Внутр'!B1747</f>
        <v>Монтаж мягкой кровли</v>
      </c>
      <c r="C1741" s="3008" t="str">
        <f>'Смета Внутр'!C1747</f>
        <v>м2</v>
      </c>
      <c r="D1741" s="3009">
        <f>'Смета Внутр'!D1747</f>
        <v>0</v>
      </c>
      <c r="E1741" s="3007"/>
      <c r="F1741" s="3012">
        <f>'Смета Внутр'!H1747</f>
        <v>0</v>
      </c>
    </row>
    <row r="1742" spans="2:6">
      <c r="B1742" s="3311" t="str">
        <f>'Смета Внутр'!B1748</f>
        <v>Итого работы</v>
      </c>
      <c r="C1742" s="3311"/>
      <c r="D1742" s="3311"/>
      <c r="E1742" s="3311"/>
      <c r="F1742" s="3014">
        <f>'Смета Внутр'!G1748</f>
        <v>0</v>
      </c>
    </row>
    <row r="1743" spans="2:6" ht="19">
      <c r="B1743" s="3313" t="str">
        <f>'Смета Внутр'!B1749</f>
        <v>Кровля на Эркере</v>
      </c>
      <c r="C1743" s="3313"/>
      <c r="D1743" s="3313"/>
      <c r="E1743" s="3313"/>
      <c r="F1743" s="3011">
        <f>'Смета Внутр'!H1749</f>
        <v>0</v>
      </c>
    </row>
    <row r="1744" spans="2:6">
      <c r="B1744" s="3310" t="str">
        <f>'Смета Внутр'!B1750</f>
        <v>Материалы</v>
      </c>
      <c r="C1744" s="3310"/>
      <c r="D1744" s="3310"/>
      <c r="E1744" s="3310"/>
      <c r="F1744" s="3011">
        <f>'Смета Внутр'!H1750</f>
        <v>0</v>
      </c>
    </row>
    <row r="1745" spans="2:6">
      <c r="B1745" s="3007" t="str">
        <f>'Смета Внутр'!B1751</f>
        <v>Брус естественной влажности, 100*100мм</v>
      </c>
      <c r="C1745" s="3008" t="str">
        <f>'Смета Внутр'!C1751</f>
        <v>м3</v>
      </c>
      <c r="D1745" s="3009">
        <f>'Смета Внутр'!D1751</f>
        <v>0</v>
      </c>
      <c r="E1745" s="3007"/>
      <c r="F1745" s="3012">
        <f>'Смета Внутр'!H1751</f>
        <v>0</v>
      </c>
    </row>
    <row r="1746" spans="2:6">
      <c r="B1746" s="3007" t="str">
        <f>'Смета Внутр'!B1752</f>
        <v xml:space="preserve">Болты анкерные с гайкой 12,0 х 280          </v>
      </c>
      <c r="C1746" s="3008" t="str">
        <f>'Смета Внутр'!C1752</f>
        <v>шт</v>
      </c>
      <c r="D1746" s="3009">
        <f>'Смета Внутр'!D1752</f>
        <v>0</v>
      </c>
      <c r="E1746" s="3007"/>
      <c r="F1746" s="3012">
        <f>'Смета Внутр'!H1752</f>
        <v>0</v>
      </c>
    </row>
    <row r="1747" spans="2:6">
      <c r="B1747" s="3007" t="str">
        <f>'Смета Внутр'!B1753</f>
        <v>Доска сухая, 200*50мм</v>
      </c>
      <c r="C1747" s="3008" t="str">
        <f>'Смета Внутр'!C1753</f>
        <v>м3</v>
      </c>
      <c r="D1747" s="3009">
        <f>'Смета Внутр'!D1753</f>
        <v>0</v>
      </c>
      <c r="E1747" s="3007"/>
      <c r="F1747" s="3012">
        <f>'Смета Внутр'!H1753</f>
        <v>0</v>
      </c>
    </row>
    <row r="1748" spans="2:6">
      <c r="B1748" s="3007" t="str">
        <f>'Смета Внутр'!B1754</f>
        <v>Сосна влаж,100*25мм</v>
      </c>
      <c r="C1748" s="3008" t="str">
        <f>'Смета Внутр'!C1754</f>
        <v>м3</v>
      </c>
      <c r="D1748" s="3009">
        <f>'Смета Внутр'!D1754</f>
        <v>0</v>
      </c>
      <c r="E1748" s="3007"/>
      <c r="F1748" s="3012">
        <f>'Смета Внутр'!H1754</f>
        <v>0</v>
      </c>
    </row>
    <row r="1749" spans="2:6">
      <c r="B1749" s="3007" t="str">
        <f>'Смета Внутр'!B1755</f>
        <v>Доска сухая, калибр., 35*45мм</v>
      </c>
      <c r="C1749" s="3008" t="str">
        <f>'Смета Внутр'!C1755</f>
        <v>шт</v>
      </c>
      <c r="D1749" s="3009">
        <f>'Смета Внутр'!D1755</f>
        <v>0</v>
      </c>
      <c r="E1749" s="3007"/>
      <c r="F1749" s="3012">
        <f>'Смета Внутр'!H1755</f>
        <v>0</v>
      </c>
    </row>
    <row r="1750" spans="2:6">
      <c r="B1750" s="3007" t="str">
        <f>'Смета Внутр'!B1756</f>
        <v>нет ветроизоляции</v>
      </c>
      <c r="C1750" s="3008" t="str">
        <f>'Смета Внутр'!C1756</f>
        <v>м2</v>
      </c>
      <c r="D1750" s="3009">
        <f>'Смета Внутр'!D1756</f>
        <v>0</v>
      </c>
      <c r="E1750" s="3007"/>
      <c r="F1750" s="3012">
        <f>'Смета Внутр'!H1756</f>
        <v>0</v>
      </c>
    </row>
    <row r="1751" spans="2:6">
      <c r="B1751" s="3007" t="str">
        <f>'Смета Внутр'!B1757</f>
        <v>нет пароизоляции</v>
      </c>
      <c r="C1751" s="3008" t="str">
        <f>'Смета Внутр'!C1757</f>
        <v>м2</v>
      </c>
      <c r="D1751" s="3009">
        <f>'Смета Внутр'!D1757</f>
        <v>0</v>
      </c>
      <c r="E1751" s="3007"/>
      <c r="F1751" s="3012">
        <f>'Смета Внутр'!H1757</f>
        <v>0</v>
      </c>
    </row>
    <row r="1752" spans="2:6">
      <c r="B1752" s="3007" t="str">
        <f>'Смета Внутр'!B1758</f>
        <v>Плитный,28кг/м3, технониколь, 100мм</v>
      </c>
      <c r="C1752" s="3008" t="str">
        <f>'Смета Внутр'!C1758</f>
        <v>м3</v>
      </c>
      <c r="D1752" s="3009">
        <f>'Смета Внутр'!D1758</f>
        <v>1.1256598192648954</v>
      </c>
      <c r="E1752" s="3007"/>
      <c r="F1752" s="3012">
        <f>'Смета Внутр'!H1758</f>
        <v>0</v>
      </c>
    </row>
    <row r="1753" spans="2:6">
      <c r="B1753" s="3007" t="str">
        <f>'Смета Внутр'!B1759</f>
        <v>металлочерепица</v>
      </c>
      <c r="C1753" s="3008" t="str">
        <f>'Смета Внутр'!C1759</f>
        <v>м2</v>
      </c>
      <c r="D1753" s="3009">
        <f>'Смета Внутр'!D1759</f>
        <v>0</v>
      </c>
      <c r="E1753" s="3007"/>
      <c r="F1753" s="3012">
        <f>'Смета Внутр'!H1759</f>
        <v>0</v>
      </c>
    </row>
    <row r="1754" spans="2:6">
      <c r="B1754" s="3007" t="str">
        <f>'Смета Внутр'!B1760</f>
        <v>Карнизная планка</v>
      </c>
      <c r="C1754" s="3008" t="str">
        <f>'Смета Внутр'!C1760</f>
        <v>м.п.</v>
      </c>
      <c r="D1754" s="3009">
        <f>'Смета Внутр'!D1760</f>
        <v>0</v>
      </c>
      <c r="E1754" s="3007"/>
      <c r="F1754" s="3012">
        <f>'Смета Внутр'!H1760</f>
        <v>0</v>
      </c>
    </row>
    <row r="1755" spans="2:6">
      <c r="B1755" s="3007" t="str">
        <f>'Смета Внутр'!B1761</f>
        <v>Конек</v>
      </c>
      <c r="C1755" s="3008" t="str">
        <f>'Смета Внутр'!C1761</f>
        <v>м.п.</v>
      </c>
      <c r="D1755" s="3009">
        <f>'Смета Внутр'!D1761</f>
        <v>0</v>
      </c>
      <c r="E1755" s="3007"/>
      <c r="F1755" s="3012">
        <f>'Смета Внутр'!H1761</f>
        <v>0</v>
      </c>
    </row>
    <row r="1756" spans="2:6">
      <c r="B1756" s="3007" t="str">
        <f>'Смета Внутр'!B1762</f>
        <v>Ендова нижняя</v>
      </c>
      <c r="C1756" s="3008" t="str">
        <f>'Смета Внутр'!C1762</f>
        <v>м.п</v>
      </c>
      <c r="D1756" s="3009">
        <f>'Смета Внутр'!D1762</f>
        <v>0</v>
      </c>
      <c r="E1756" s="3007"/>
      <c r="F1756" s="3012">
        <f>'Смета Внутр'!H1762</f>
        <v>0</v>
      </c>
    </row>
    <row r="1757" spans="2:6">
      <c r="B1757" s="3007" t="str">
        <f>'Смета Внутр'!B1763</f>
        <v>Планка примыкания</v>
      </c>
      <c r="C1757" s="3008" t="str">
        <f>'Смета Внутр'!C1763</f>
        <v>м.п</v>
      </c>
      <c r="D1757" s="3009">
        <f>'Смета Внутр'!D1763</f>
        <v>0</v>
      </c>
      <c r="E1757" s="3007"/>
      <c r="F1757" s="3012">
        <f>'Смета Внутр'!H1763</f>
        <v>0</v>
      </c>
    </row>
    <row r="1758" spans="2:6">
      <c r="B1758" s="3007" t="str">
        <f>'Смета Внутр'!B1764</f>
        <v>ондулин</v>
      </c>
      <c r="C1758" s="3008" t="str">
        <f>'Смета Внутр'!C1764</f>
        <v>м2</v>
      </c>
      <c r="D1758" s="3009">
        <f>'Смета Внутр'!D1764</f>
        <v>0</v>
      </c>
      <c r="E1758" s="3007"/>
      <c r="F1758" s="3012">
        <f>'Смета Внутр'!H1764</f>
        <v>0</v>
      </c>
    </row>
    <row r="1759" spans="2:6">
      <c r="B1759" s="3007" t="str">
        <f>'Смета Внутр'!B1765</f>
        <v>Карнизная планка</v>
      </c>
      <c r="C1759" s="3008" t="str">
        <f>'Смета Внутр'!C1765</f>
        <v>м.п.</v>
      </c>
      <c r="D1759" s="3009">
        <f>'Смета Внутр'!D1765</f>
        <v>0</v>
      </c>
      <c r="E1759" s="3007"/>
      <c r="F1759" s="3012">
        <f>'Смета Внутр'!H1765</f>
        <v>0</v>
      </c>
    </row>
    <row r="1760" spans="2:6">
      <c r="B1760" s="3007" t="str">
        <f>'Смета Внутр'!B1766</f>
        <v>Торцевая планка</v>
      </c>
      <c r="C1760" s="3008" t="str">
        <f>'Смета Внутр'!C1766</f>
        <v>м.п.</v>
      </c>
      <c r="D1760" s="3009">
        <f>'Смета Внутр'!D1766</f>
        <v>0</v>
      </c>
      <c r="E1760" s="3007"/>
      <c r="F1760" s="3012">
        <f>'Смета Внутр'!H1766</f>
        <v>0</v>
      </c>
    </row>
    <row r="1761" spans="2:6">
      <c r="B1761" s="3007" t="str">
        <f>'Смета Внутр'!B1767</f>
        <v>Конек</v>
      </c>
      <c r="C1761" s="3008" t="str">
        <f>'Смета Внутр'!C1767</f>
        <v>м.п.</v>
      </c>
      <c r="D1761" s="3009">
        <f>'Смета Внутр'!D1767</f>
        <v>0</v>
      </c>
      <c r="E1761" s="3007"/>
      <c r="F1761" s="3012">
        <f>'Смета Внутр'!H1767</f>
        <v>0</v>
      </c>
    </row>
    <row r="1762" spans="2:6">
      <c r="B1762" s="3007" t="str">
        <f>'Смета Внутр'!B1768</f>
        <v>Ендова нижняя</v>
      </c>
      <c r="C1762" s="3008" t="str">
        <f>'Смета Внутр'!C1768</f>
        <v>м.п.</v>
      </c>
      <c r="D1762" s="3009">
        <f>'Смета Внутр'!D1768</f>
        <v>0</v>
      </c>
      <c r="E1762" s="3007"/>
      <c r="F1762" s="3012">
        <f>'Смета Внутр'!H1768</f>
        <v>0</v>
      </c>
    </row>
    <row r="1763" spans="2:6">
      <c r="B1763" s="3007" t="str">
        <f>'Смета Внутр'!B1769</f>
        <v>Ендова верхняя</v>
      </c>
      <c r="C1763" s="3008" t="str">
        <f>'Смета Внутр'!C1769</f>
        <v>м.п.</v>
      </c>
      <c r="D1763" s="3009">
        <f>'Смета Внутр'!D1769</f>
        <v>0</v>
      </c>
      <c r="E1763" s="3007"/>
      <c r="F1763" s="3012">
        <f>'Смета Внутр'!H1769</f>
        <v>0</v>
      </c>
    </row>
    <row r="1764" spans="2:6">
      <c r="B1764" s="3007" t="str">
        <f>'Смета Внутр'!B1770</f>
        <v>Планка примыкания</v>
      </c>
      <c r="C1764" s="3008" t="str">
        <f>'Смета Внутр'!C1770</f>
        <v>м.п.</v>
      </c>
      <c r="D1764" s="3009">
        <f>'Смета Внутр'!D1770</f>
        <v>0</v>
      </c>
      <c r="E1764" s="3007"/>
      <c r="F1764" s="3012">
        <f>'Смета Внутр'!H1770</f>
        <v>0</v>
      </c>
    </row>
    <row r="1765" spans="2:6">
      <c r="B1765" s="3007" t="str">
        <f>'Смета Внутр'!B1771</f>
        <v>Крепеж для ондулина</v>
      </c>
      <c r="C1765" s="3008" t="str">
        <f>'Смета Внутр'!C1771</f>
        <v>шт</v>
      </c>
      <c r="D1765" s="3009">
        <f>'Смета Внутр'!D1771</f>
        <v>0</v>
      </c>
      <c r="E1765" s="3007"/>
      <c r="F1765" s="3012">
        <f>'Смета Внутр'!H1771</f>
        <v>0</v>
      </c>
    </row>
    <row r="1766" spans="2:6">
      <c r="B1766" s="3007" t="str">
        <f>'Смета Внутр'!B1772</f>
        <v>нет</v>
      </c>
      <c r="C1766" s="3008" t="str">
        <f>'Смета Внутр'!C1772</f>
        <v>м2</v>
      </c>
      <c r="D1766" s="3009">
        <f>'Смета Внутр'!D1772</f>
        <v>0</v>
      </c>
      <c r="E1766" s="3007"/>
      <c r="F1766" s="3012">
        <f>'Смета Внутр'!H1772</f>
        <v>0</v>
      </c>
    </row>
    <row r="1767" spans="2:6">
      <c r="B1767" s="3007" t="str">
        <f>'Смета Внутр'!B1773</f>
        <v>Рядовая черепица</v>
      </c>
      <c r="C1767" s="3008" t="str">
        <f>'Смета Внутр'!C1773</f>
        <v>м2</v>
      </c>
      <c r="D1767" s="3009">
        <f>'Смета Внутр'!D1773</f>
        <v>0</v>
      </c>
      <c r="E1767" s="3007"/>
      <c r="F1767" s="3012">
        <f>'Смета Внутр'!H1773</f>
        <v>0</v>
      </c>
    </row>
    <row r="1768" spans="2:6">
      <c r="B1768" s="3007" t="str">
        <f>'Смета Внутр'!B1774</f>
        <v>Металл оцинк защита (карниз)</v>
      </c>
      <c r="C1768" s="3008" t="str">
        <f>'Смета Внутр'!C1774</f>
        <v>м.п.</v>
      </c>
      <c r="D1768" s="3009">
        <f>'Смета Внутр'!D1774</f>
        <v>0</v>
      </c>
      <c r="E1768" s="3007"/>
      <c r="F1768" s="3012">
        <f>'Смета Внутр'!H1774</f>
        <v>0</v>
      </c>
    </row>
    <row r="1769" spans="2:6">
      <c r="B1769" s="3007" t="str">
        <f>'Смета Внутр'!B1775</f>
        <v>Подкладочный ковер</v>
      </c>
      <c r="C1769" s="3008" t="str">
        <f>'Смета Внутр'!C1775</f>
        <v>м.п.</v>
      </c>
      <c r="D1769" s="3009">
        <f>'Смета Внутр'!D1775</f>
        <v>0</v>
      </c>
      <c r="E1769" s="3007"/>
      <c r="F1769" s="3012">
        <f>'Смета Внутр'!H1775</f>
        <v>0</v>
      </c>
    </row>
    <row r="1770" spans="2:6">
      <c r="B1770" s="3007" t="str">
        <f>'Смета Внутр'!B1776</f>
        <v>Карнизная самоклеющаяся черепица</v>
      </c>
      <c r="C1770" s="3008" t="str">
        <f>'Смета Внутр'!C1776</f>
        <v>м.п.</v>
      </c>
      <c r="D1770" s="3009">
        <f>'Смета Внутр'!D1776</f>
        <v>0</v>
      </c>
      <c r="E1770" s="3007"/>
      <c r="F1770" s="3012">
        <f>'Смета Внутр'!H1776</f>
        <v>0</v>
      </c>
    </row>
    <row r="1771" spans="2:6">
      <c r="B1771" s="3007" t="str">
        <f>'Смета Внутр'!B1777</f>
        <v>Спец ковер ендова нижняя</v>
      </c>
      <c r="C1771" s="3008" t="str">
        <f>'Смета Внутр'!C1777</f>
        <v>м.п.</v>
      </c>
      <c r="D1771" s="3009">
        <f>'Смета Внутр'!D1777</f>
        <v>0</v>
      </c>
      <c r="E1771" s="3007"/>
      <c r="F1771" s="3012">
        <f>'Смета Внутр'!H1777</f>
        <v>0</v>
      </c>
    </row>
    <row r="1772" spans="2:6">
      <c r="B1772" s="3007" t="str">
        <f>'Смета Внутр'!B1778</f>
        <v>Коньковой элемент</v>
      </c>
      <c r="C1772" s="3008" t="str">
        <f>'Смета Внутр'!C1778</f>
        <v>м.п.</v>
      </c>
      <c r="D1772" s="3009">
        <f>'Смета Внутр'!D1778</f>
        <v>0</v>
      </c>
      <c r="E1772" s="3007"/>
      <c r="F1772" s="3012">
        <f>'Смета Внутр'!H1778</f>
        <v>0</v>
      </c>
    </row>
    <row r="1773" spans="2:6">
      <c r="B1773" s="3007" t="str">
        <f>'Смета Внутр'!B1779</f>
        <v>Планка премыкания</v>
      </c>
      <c r="C1773" s="3008" t="str">
        <f>'Смета Внутр'!C1779</f>
        <v>м.п.</v>
      </c>
      <c r="D1773" s="3009">
        <f>'Смета Внутр'!D1779</f>
        <v>0</v>
      </c>
      <c r="E1773" s="3007"/>
      <c r="F1773" s="3012">
        <f>'Смета Внутр'!H1779</f>
        <v>0</v>
      </c>
    </row>
    <row r="1774" spans="2:6">
      <c r="B1774" s="3007" t="str">
        <f>'Смета Внутр'!B1780</f>
        <v>Гвозди для крепления подкладочного ковра</v>
      </c>
      <c r="C1774" s="3008" t="str">
        <f>'Смета Внутр'!C1780</f>
        <v>шт</v>
      </c>
      <c r="D1774" s="3009">
        <f>'Смета Внутр'!D1780</f>
        <v>0</v>
      </c>
      <c r="E1774" s="3007"/>
      <c r="F1774" s="3012">
        <f>'Смета Внутр'!H1780</f>
        <v>0</v>
      </c>
    </row>
    <row r="1775" spans="2:6">
      <c r="B1775" s="3007" t="str">
        <f>'Смета Внутр'!B1781</f>
        <v>Гвозди для крепления черепицы</v>
      </c>
      <c r="C1775" s="3008" t="str">
        <f>'Смета Внутр'!C1781</f>
        <v>шт</v>
      </c>
      <c r="D1775" s="3009">
        <f>'Смета Внутр'!D1781</f>
        <v>0</v>
      </c>
      <c r="E1775" s="3007"/>
      <c r="F1775" s="3012">
        <f>'Смета Внутр'!H1781</f>
        <v>0</v>
      </c>
    </row>
    <row r="1776" spans="2:6">
      <c r="B1776" s="3007" t="str">
        <f>'Смета Внутр'!B1782</f>
        <v>Клей для монтажа черепицы</v>
      </c>
      <c r="C1776" s="3008" t="str">
        <f>'Смета Внутр'!C1782</f>
        <v>кг</v>
      </c>
      <c r="D1776" s="3009">
        <f>'Смета Внутр'!D1782</f>
        <v>0</v>
      </c>
      <c r="E1776" s="3007"/>
      <c r="F1776" s="3012">
        <f>'Смета Внутр'!H1782</f>
        <v>0</v>
      </c>
    </row>
    <row r="1777" spans="2:6">
      <c r="B1777" s="3007" t="str">
        <f>'Смета Внутр'!B1783</f>
        <v>желоб</v>
      </c>
      <c r="C1777" s="3008" t="str">
        <f>'Смета Внутр'!C1783</f>
        <v>м.п</v>
      </c>
      <c r="D1777" s="3009">
        <f>'Смета Внутр'!D1783</f>
        <v>0</v>
      </c>
      <c r="E1777" s="3007"/>
      <c r="F1777" s="3012">
        <f>'Смета Внутр'!H1783</f>
        <v>0</v>
      </c>
    </row>
    <row r="1778" spans="2:6">
      <c r="B1778" s="3007" t="str">
        <f>'Смета Внутр'!B1784</f>
        <v>отвод</v>
      </c>
      <c r="C1778" s="3008" t="str">
        <f>'Смета Внутр'!C1784</f>
        <v>шт</v>
      </c>
      <c r="D1778" s="3009">
        <f>'Смета Внутр'!D1784</f>
        <v>4</v>
      </c>
      <c r="E1778" s="3007"/>
      <c r="F1778" s="3012">
        <f>'Смета Внутр'!H1784</f>
        <v>0</v>
      </c>
    </row>
    <row r="1779" spans="2:6">
      <c r="B1779" s="3007" t="str">
        <f>'Смета Внутр'!B1785</f>
        <v>труба водосточная</v>
      </c>
      <c r="C1779" s="3008" t="str">
        <f>'Смета Внутр'!C1785</f>
        <v>м.п.</v>
      </c>
      <c r="D1779" s="3009">
        <f>'Смета Внутр'!D1785</f>
        <v>0</v>
      </c>
      <c r="E1779" s="3007"/>
      <c r="F1779" s="3012">
        <f>'Смета Внутр'!H1785</f>
        <v>0</v>
      </c>
    </row>
    <row r="1780" spans="2:6">
      <c r="B1780" s="3007" t="str">
        <f>'Смета Внутр'!B1786</f>
        <v>заглушка для желоба</v>
      </c>
      <c r="C1780" s="3008" t="str">
        <f>'Смета Внутр'!C1786</f>
        <v>шт</v>
      </c>
      <c r="D1780" s="3009">
        <f>'Смета Внутр'!D1786</f>
        <v>0</v>
      </c>
      <c r="E1780" s="3007"/>
      <c r="F1780" s="3012">
        <f>'Смета Внутр'!H1786</f>
        <v>0</v>
      </c>
    </row>
    <row r="1781" spans="2:6">
      <c r="B1781" s="3007" t="str">
        <f>'Смета Внутр'!B1787</f>
        <v>соеденитель для желоба</v>
      </c>
      <c r="C1781" s="3008" t="str">
        <f>'Смета Внутр'!C1787</f>
        <v>шт</v>
      </c>
      <c r="D1781" s="3009">
        <f>'Смета Внутр'!D1787</f>
        <v>0</v>
      </c>
      <c r="E1781" s="3007"/>
      <c r="F1781" s="3012">
        <f>'Смета Внутр'!H1787</f>
        <v>0</v>
      </c>
    </row>
    <row r="1782" spans="2:6">
      <c r="B1782" s="3007" t="str">
        <f>'Смета Внутр'!B1788</f>
        <v>кронштейн для желоба</v>
      </c>
      <c r="C1782" s="3008" t="str">
        <f>'Смета Внутр'!C1788</f>
        <v>шт</v>
      </c>
      <c r="D1782" s="3009">
        <f>'Смета Внутр'!D1788</f>
        <v>0</v>
      </c>
      <c r="E1782" s="3007"/>
      <c r="F1782" s="3012">
        <f>'Смета Внутр'!H1788</f>
        <v>0</v>
      </c>
    </row>
    <row r="1783" spans="2:6">
      <c r="B1783" s="3007" t="str">
        <f>'Смета Внутр'!B1789</f>
        <v>переход из желоба в трубу</v>
      </c>
      <c r="C1783" s="3008" t="str">
        <f>'Смета Внутр'!C1789</f>
        <v>шт</v>
      </c>
      <c r="D1783" s="3009">
        <f>'Смета Внутр'!D1789</f>
        <v>2</v>
      </c>
      <c r="E1783" s="3007"/>
      <c r="F1783" s="3012">
        <f>'Смета Внутр'!H1789</f>
        <v>0</v>
      </c>
    </row>
    <row r="1784" spans="2:6">
      <c r="B1784" s="3007" t="str">
        <f>'Смета Внутр'!B1790</f>
        <v>лента дельта мульти бэнд</v>
      </c>
      <c r="C1784" s="3008" t="str">
        <f>'Смета Внутр'!C1790</f>
        <v>шт</v>
      </c>
      <c r="D1784" s="3009">
        <f>'Смета Внутр'!D1790</f>
        <v>0</v>
      </c>
      <c r="E1784" s="3007"/>
      <c r="F1784" s="3012">
        <f>'Смета Внутр'!H1790</f>
        <v>0</v>
      </c>
    </row>
    <row r="1785" spans="2:6">
      <c r="B1785" s="3007" t="str">
        <f>'Смета Внутр'!B1791</f>
        <v>лента дельта sb-60</v>
      </c>
      <c r="C1785" s="3008" t="str">
        <f>'Смета Внутр'!C1791</f>
        <v>шт</v>
      </c>
      <c r="D1785" s="3009">
        <f>'Смета Внутр'!D1791</f>
        <v>0</v>
      </c>
      <c r="E1785" s="3007"/>
      <c r="F1785" s="3012">
        <f>'Смета Внутр'!H1791</f>
        <v>0</v>
      </c>
    </row>
    <row r="1786" spans="2:6">
      <c r="B1786" s="3007" t="str">
        <f>'Смета Внутр'!B1792</f>
        <v>Кровельный саморез</v>
      </c>
      <c r="C1786" s="3008" t="str">
        <f>'Смета Внутр'!C1792</f>
        <v>шт</v>
      </c>
      <c r="D1786" s="3009">
        <f>'Смета Внутр'!D1792</f>
        <v>0</v>
      </c>
      <c r="E1786" s="3007"/>
      <c r="F1786" s="3012">
        <f>'Смета Внутр'!H1792</f>
        <v>0</v>
      </c>
    </row>
    <row r="1787" spans="2:6">
      <c r="B1787" s="3007" t="str">
        <f>'Смета Внутр'!B1793</f>
        <v xml:space="preserve">Гвозди ершоные 3,4 x 60            </v>
      </c>
      <c r="C1787" s="3008" t="str">
        <f>'Смета Внутр'!C1793</f>
        <v>кг</v>
      </c>
      <c r="D1787" s="3009">
        <f>'Смета Внутр'!D1793</f>
        <v>0</v>
      </c>
      <c r="E1787" s="3007"/>
      <c r="F1787" s="3012">
        <f>'Смета Внутр'!H1793</f>
        <v>0</v>
      </c>
    </row>
    <row r="1788" spans="2:6">
      <c r="B1788" s="3007" t="str">
        <f>'Смета Внутр'!B1794</f>
        <v xml:space="preserve">Гвозди ершоные 2,8 х 90            </v>
      </c>
      <c r="C1788" s="3008" t="str">
        <f>'Смета Внутр'!C1794</f>
        <v>кг</v>
      </c>
      <c r="D1788" s="3009">
        <f>'Смета Внутр'!D1794</f>
        <v>0</v>
      </c>
      <c r="E1788" s="3007"/>
      <c r="F1788" s="3012">
        <f>'Смета Внутр'!H1794</f>
        <v>0</v>
      </c>
    </row>
    <row r="1789" spans="2:6">
      <c r="B1789" s="3007" t="str">
        <f>'Смета Внутр'!B1795</f>
        <v xml:space="preserve">Пластина соеденительная 100х240х2           </v>
      </c>
      <c r="C1789" s="3008" t="str">
        <f>'Смета Внутр'!C1795</f>
        <v>шт</v>
      </c>
      <c r="D1789" s="3009">
        <f>'Смета Внутр'!D1795</f>
        <v>2.2999999999999998</v>
      </c>
      <c r="E1789" s="3007"/>
      <c r="F1789" s="3012">
        <f>'Смета Внутр'!H1795</f>
        <v>0</v>
      </c>
    </row>
    <row r="1790" spans="2:6">
      <c r="B1790" s="3007" t="str">
        <f>'Смета Внутр'!B1796</f>
        <v xml:space="preserve">Уголок усиленный 90х70х55х2,5        </v>
      </c>
      <c r="C1790" s="3008" t="str">
        <f>'Смета Внутр'!C1796</f>
        <v>шт</v>
      </c>
      <c r="D1790" s="3009">
        <f>'Смета Внутр'!D1796</f>
        <v>3.4499999999999997</v>
      </c>
      <c r="E1790" s="3007"/>
      <c r="F1790" s="3012">
        <f>'Смета Внутр'!H1796</f>
        <v>0</v>
      </c>
    </row>
    <row r="1791" spans="2:6">
      <c r="B1791" s="3311" t="str">
        <f>'Смета Внутр'!B1797</f>
        <v>Итого материалы</v>
      </c>
      <c r="C1791" s="3311"/>
      <c r="D1791" s="3311"/>
      <c r="E1791" s="3311"/>
      <c r="F1791" s="3014">
        <f>'Смета Внутр'!G1797</f>
        <v>0</v>
      </c>
    </row>
    <row r="1792" spans="2:6">
      <c r="B1792" s="3312" t="str">
        <f>'Смета Внутр'!B1798</f>
        <v>Работы</v>
      </c>
      <c r="C1792" s="3312"/>
      <c r="D1792" s="3312"/>
      <c r="E1792" s="3312"/>
      <c r="F1792" s="3011">
        <f>'Смета Внутр'!H1798</f>
        <v>0</v>
      </c>
    </row>
    <row r="1793" spans="2:6">
      <c r="B1793" s="3007" t="str">
        <f>'Смета Внутр'!B1799</f>
        <v>монтаж мауэрлат</v>
      </c>
      <c r="C1793" s="3008" t="str">
        <f>'Смета Внутр'!C1799</f>
        <v>м.п.</v>
      </c>
      <c r="D1793" s="3009">
        <f>'Смета Внутр'!D1799</f>
        <v>0</v>
      </c>
      <c r="E1793" s="3007"/>
      <c r="F1793" s="3012">
        <f>'Смета Внутр'!H1799</f>
        <v>0</v>
      </c>
    </row>
    <row r="1794" spans="2:6">
      <c r="B1794" s="3007" t="str">
        <f>'Смета Внутр'!B1800</f>
        <v>монтаж стропил</v>
      </c>
      <c r="C1794" s="3008" t="str">
        <f>'Смета Внутр'!C1800</f>
        <v>м2</v>
      </c>
      <c r="D1794" s="3009">
        <f>'Смета Внутр'!D1800</f>
        <v>0</v>
      </c>
      <c r="E1794" s="3007"/>
      <c r="F1794" s="3012">
        <f>'Смета Внутр'!H1800</f>
        <v>0</v>
      </c>
    </row>
    <row r="1795" spans="2:6">
      <c r="B1795" s="3007" t="str">
        <f>'Смета Внутр'!B1801</f>
        <v>обрешетка</v>
      </c>
      <c r="C1795" s="3008" t="str">
        <f>'Смета Внутр'!C1801</f>
        <v>м2</v>
      </c>
      <c r="D1795" s="3009">
        <f>'Смета Внутр'!D1801</f>
        <v>0</v>
      </c>
      <c r="E1795" s="3007"/>
      <c r="F1795" s="3012">
        <f>'Смета Внутр'!H1801</f>
        <v>0</v>
      </c>
    </row>
    <row r="1796" spans="2:6">
      <c r="B1796" s="3007" t="str">
        <f>'Смета Внутр'!B1802</f>
        <v>контробеш</v>
      </c>
      <c r="C1796" s="3008" t="str">
        <f>'Смета Внутр'!C1802</f>
        <v>м2</v>
      </c>
      <c r="D1796" s="3009">
        <f>'Смета Внутр'!D1802</f>
        <v>0</v>
      </c>
      <c r="E1796" s="3007"/>
      <c r="F1796" s="3012">
        <f>'Смета Внутр'!H1802</f>
        <v>0</v>
      </c>
    </row>
    <row r="1797" spans="2:6">
      <c r="B1797" s="3007" t="str">
        <f>'Смета Внутр'!B1803</f>
        <v>мембрана</v>
      </c>
      <c r="C1797" s="3008" t="str">
        <f>'Смета Внутр'!C1803</f>
        <v>м2</v>
      </c>
      <c r="D1797" s="3009">
        <f>'Смета Внутр'!D1803</f>
        <v>0</v>
      </c>
      <c r="E1797" s="3007"/>
      <c r="F1797" s="3012">
        <f>'Смета Внутр'!H1803</f>
        <v>0</v>
      </c>
    </row>
    <row r="1798" spans="2:6">
      <c r="B1798" s="3007" t="str">
        <f>'Смета Внутр'!B1804</f>
        <v>пароизоляц</v>
      </c>
      <c r="C1798" s="3008" t="str">
        <f>'Смета Внутр'!C1804</f>
        <v>м2</v>
      </c>
      <c r="D1798" s="3009">
        <f>'Смета Внутр'!D1804</f>
        <v>0</v>
      </c>
      <c r="E1798" s="3007"/>
      <c r="F1798" s="3012">
        <f>'Смета Внутр'!H1804</f>
        <v>0</v>
      </c>
    </row>
    <row r="1799" spans="2:6">
      <c r="B1799" s="3007" t="str">
        <f>'Смета Внутр'!B1805</f>
        <v>утеплитель</v>
      </c>
      <c r="C1799" s="3008" t="str">
        <f>'Смета Внутр'!C1805</f>
        <v>м2</v>
      </c>
      <c r="D1799" s="3009">
        <f>'Смета Внутр'!D1805</f>
        <v>0</v>
      </c>
      <c r="E1799" s="3007"/>
      <c r="F1799" s="3012">
        <f>'Смета Внутр'!H1805</f>
        <v>0</v>
      </c>
    </row>
    <row r="1800" spans="2:6">
      <c r="B1800" s="3007" t="str">
        <f>'Смета Внутр'!B1806</f>
        <v>Монтаж металлочерепицы</v>
      </c>
      <c r="C1800" s="3008" t="str">
        <f>'Смета Внутр'!C1806</f>
        <v>м2</v>
      </c>
      <c r="D1800" s="3009">
        <f>'Смета Внутр'!D1806</f>
        <v>0</v>
      </c>
      <c r="E1800" s="3007"/>
      <c r="F1800" s="3012">
        <f>'Смета Внутр'!H1806</f>
        <v>0</v>
      </c>
    </row>
    <row r="1801" spans="2:6">
      <c r="B1801" s="3007" t="str">
        <f>'Смета Внутр'!B1807</f>
        <v>карнизная планка</v>
      </c>
      <c r="C1801" s="3008" t="str">
        <f>'Смета Внутр'!C1807</f>
        <v>м2</v>
      </c>
      <c r="D1801" s="3009">
        <f>'Смета Внутр'!D1807</f>
        <v>0</v>
      </c>
      <c r="E1801" s="3007"/>
      <c r="F1801" s="3012">
        <f>'Смета Внутр'!H1807</f>
        <v>0</v>
      </c>
    </row>
    <row r="1802" spans="2:6">
      <c r="B1802" s="3007" t="str">
        <f>'Смета Внутр'!B1808</f>
        <v>желоб водосточный</v>
      </c>
      <c r="C1802" s="3008" t="str">
        <f>'Смета Внутр'!C1808</f>
        <v>м.п.</v>
      </c>
      <c r="D1802" s="3009">
        <f>'Смета Внутр'!D1808</f>
        <v>0</v>
      </c>
      <c r="E1802" s="3007"/>
      <c r="F1802" s="3012">
        <f>'Смета Внутр'!H1808</f>
        <v>0</v>
      </c>
    </row>
    <row r="1803" spans="2:6">
      <c r="B1803" s="3007" t="str">
        <f>'Смета Внутр'!B1809</f>
        <v>труба водосточная</v>
      </c>
      <c r="C1803" s="3008" t="str">
        <f>'Смета Внутр'!C1809</f>
        <v>м.п.</v>
      </c>
      <c r="D1803" s="3009">
        <f>'Смета Внутр'!D1809</f>
        <v>0</v>
      </c>
      <c r="E1803" s="3007"/>
      <c r="F1803" s="3012">
        <f>'Смета Внутр'!H1809</f>
        <v>0</v>
      </c>
    </row>
    <row r="1804" spans="2:6">
      <c r="B1804" s="3007" t="str">
        <f>'Смета Внутр'!B1810</f>
        <v>ендова внутр/наружн</v>
      </c>
      <c r="C1804" s="3008" t="str">
        <f>'Смета Внутр'!C1810</f>
        <v>м.п.</v>
      </c>
      <c r="D1804" s="3009">
        <f>'Смета Внутр'!D1810</f>
        <v>0</v>
      </c>
      <c r="E1804" s="3007"/>
      <c r="F1804" s="3012">
        <f>'Смета Внутр'!H1810</f>
        <v>0</v>
      </c>
    </row>
    <row r="1805" spans="2:6">
      <c r="B1805" s="3007" t="str">
        <f>'Смета Внутр'!B1811</f>
        <v>Монтаж фанеры/osb</v>
      </c>
      <c r="C1805" s="3008" t="str">
        <f>'Смета Внутр'!C1811</f>
        <v>м2</v>
      </c>
      <c r="D1805" s="3009">
        <f>'Смета Внутр'!D1811</f>
        <v>0</v>
      </c>
      <c r="E1805" s="3007"/>
      <c r="F1805" s="3012">
        <f>'Смета Внутр'!H1811</f>
        <v>0</v>
      </c>
    </row>
    <row r="1806" spans="2:6">
      <c r="B1806" s="3007" t="str">
        <f>'Смета Внутр'!B1812</f>
        <v>монтаж подкладочного ковра</v>
      </c>
      <c r="C1806" s="3008" t="str">
        <f>'Смета Внутр'!C1812</f>
        <v>м2</v>
      </c>
      <c r="D1806" s="3009">
        <f>'Смета Внутр'!D1812</f>
        <v>0</v>
      </c>
      <c r="E1806" s="3007"/>
      <c r="F1806" s="3012">
        <f>'Смета Внутр'!H1812</f>
        <v>0</v>
      </c>
    </row>
    <row r="1807" spans="2:6">
      <c r="B1807" s="3007" t="str">
        <f>'Смета Внутр'!B1813</f>
        <v>Монтаж мягкой кровли</v>
      </c>
      <c r="C1807" s="3008" t="str">
        <f>'Смета Внутр'!C1813</f>
        <v>м2</v>
      </c>
      <c r="D1807" s="3009">
        <f>'Смета Внутр'!D1813</f>
        <v>0</v>
      </c>
      <c r="E1807" s="3007"/>
      <c r="F1807" s="3012">
        <f>'Смета Внутр'!H1813</f>
        <v>0</v>
      </c>
    </row>
    <row r="1808" spans="2:6">
      <c r="B1808" s="3311" t="str">
        <f>'Смета Внутр'!B1814</f>
        <v>Итого работы</v>
      </c>
      <c r="C1808" s="3311"/>
      <c r="D1808" s="3311"/>
      <c r="E1808" s="3311"/>
      <c r="F1808" s="3014">
        <f>'Смета Внутр'!G1814</f>
        <v>0</v>
      </c>
    </row>
    <row r="1809" spans="2:6" ht="19">
      <c r="B1809" s="3313" t="str">
        <f>'Смета Внутр'!B1815</f>
        <v>Кровля на террасу/веранду</v>
      </c>
      <c r="C1809" s="3313"/>
      <c r="D1809" s="3313"/>
      <c r="E1809" s="3313"/>
      <c r="F1809" s="3011">
        <f>'Смета Внутр'!H1815</f>
        <v>0</v>
      </c>
    </row>
    <row r="1810" spans="2:6">
      <c r="B1810" s="3310" t="str">
        <f>'Смета Внутр'!B1816</f>
        <v>Материалы</v>
      </c>
      <c r="C1810" s="3310"/>
      <c r="D1810" s="3310"/>
      <c r="E1810" s="3310"/>
      <c r="F1810" s="3011">
        <f>'Смета Внутр'!H1816</f>
        <v>0</v>
      </c>
    </row>
    <row r="1811" spans="2:6">
      <c r="B1811" s="3007" t="str">
        <f>'Смета Внутр'!B1817</f>
        <v>Доска сухая, 200*50мм</v>
      </c>
      <c r="C1811" s="3008" t="str">
        <f>'Смета Внутр'!C1817</f>
        <v>м3</v>
      </c>
      <c r="D1811" s="3009">
        <f>'Смета Внутр'!D1817</f>
        <v>0</v>
      </c>
      <c r="E1811" s="3007"/>
      <c r="F1811" s="3012">
        <f>'Смета Внутр'!H1817</f>
        <v>0</v>
      </c>
    </row>
    <row r="1812" spans="2:6">
      <c r="B1812" s="3007" t="str">
        <f>'Смета Внутр'!B1818</f>
        <v>Сосна влаж,100*25мм</v>
      </c>
      <c r="C1812" s="3008" t="str">
        <f>'Смета Внутр'!C1818</f>
        <v>м3</v>
      </c>
      <c r="D1812" s="3009">
        <f>'Смета Внутр'!D1818</f>
        <v>0</v>
      </c>
      <c r="E1812" s="3007"/>
      <c r="F1812" s="3012">
        <f>'Смета Внутр'!H1818</f>
        <v>0</v>
      </c>
    </row>
    <row r="1813" spans="2:6">
      <c r="B1813" s="3007" t="str">
        <f>'Смета Внутр'!B1819</f>
        <v>Доска сухая, калибр., 35*45мм</v>
      </c>
      <c r="C1813" s="3008" t="str">
        <f>'Смета Внутр'!C1819</f>
        <v>шт</v>
      </c>
      <c r="D1813" s="3009">
        <f>'Смета Внутр'!D1819</f>
        <v>0</v>
      </c>
      <c r="E1813" s="3007"/>
      <c r="F1813" s="3012">
        <f>'Смета Внутр'!H1819</f>
        <v>0</v>
      </c>
    </row>
    <row r="1814" spans="2:6">
      <c r="B1814" s="3007" t="str">
        <f>'Смета Внутр'!B1820</f>
        <v>нет ветроизоляции</v>
      </c>
      <c r="C1814" s="3008" t="str">
        <f>'Смета Внутр'!C1820</f>
        <v>м2</v>
      </c>
      <c r="D1814" s="3009">
        <f>'Смета Внутр'!D1820</f>
        <v>0</v>
      </c>
      <c r="E1814" s="3007"/>
      <c r="F1814" s="3012">
        <f>'Смета Внутр'!H1820</f>
        <v>0</v>
      </c>
    </row>
    <row r="1815" spans="2:6">
      <c r="B1815" s="3007" t="str">
        <f>'Смета Внутр'!B1821</f>
        <v>металлочерепица</v>
      </c>
      <c r="C1815" s="3008" t="str">
        <f>'Смета Внутр'!C1821</f>
        <v>м2</v>
      </c>
      <c r="D1815" s="3009">
        <f>'Смета Внутр'!D1821</f>
        <v>0</v>
      </c>
      <c r="E1815" s="3007"/>
      <c r="F1815" s="3012">
        <f>'Смета Внутр'!H1821</f>
        <v>0</v>
      </c>
    </row>
    <row r="1816" spans="2:6">
      <c r="B1816" s="3007" t="str">
        <f>'Смета Внутр'!B1822</f>
        <v>карнизная планка</v>
      </c>
      <c r="C1816" s="3008" t="str">
        <f>'Смета Внутр'!C1822</f>
        <v>м.п.</v>
      </c>
      <c r="D1816" s="3009">
        <f>'Смета Внутр'!D1822</f>
        <v>0</v>
      </c>
      <c r="E1816" s="3007"/>
      <c r="F1816" s="3012">
        <f>'Смета Внутр'!H1822</f>
        <v>0</v>
      </c>
    </row>
    <row r="1817" spans="2:6">
      <c r="B1817" s="3007" t="str">
        <f>'Смета Внутр'!B1823</f>
        <v>торцевая планка</v>
      </c>
      <c r="C1817" s="3008" t="str">
        <f>'Смета Внутр'!C1823</f>
        <v>м.п.</v>
      </c>
      <c r="D1817" s="3009">
        <f>'Смета Внутр'!D1823</f>
        <v>0</v>
      </c>
      <c r="E1817" s="3007"/>
      <c r="F1817" s="3012">
        <f>'Смета Внутр'!H1823</f>
        <v>0</v>
      </c>
    </row>
    <row r="1818" spans="2:6">
      <c r="B1818" s="3007" t="str">
        <f>'Смета Внутр'!B1824</f>
        <v>конек</v>
      </c>
      <c r="C1818" s="3008" t="str">
        <f>'Смета Внутр'!C1824</f>
        <v>м.п.</v>
      </c>
      <c r="D1818" s="3009">
        <f>'Смета Внутр'!D1824</f>
        <v>0</v>
      </c>
      <c r="E1818" s="3007"/>
      <c r="F1818" s="3012">
        <f>'Смета Внутр'!H1824</f>
        <v>0</v>
      </c>
    </row>
    <row r="1819" spans="2:6">
      <c r="B1819" s="3007" t="str">
        <f>'Смета Внутр'!B1825</f>
        <v>ондулин</v>
      </c>
      <c r="C1819" s="3008" t="str">
        <f>'Смета Внутр'!C1825</f>
        <v>м2</v>
      </c>
      <c r="D1819" s="3009">
        <f>'Смета Внутр'!D1825</f>
        <v>0</v>
      </c>
      <c r="E1819" s="3007"/>
      <c r="F1819" s="3012">
        <f>'Смета Внутр'!H1825</f>
        <v>0</v>
      </c>
    </row>
    <row r="1820" spans="2:6">
      <c r="B1820" s="3007" t="str">
        <f>'Смета Внутр'!B1826</f>
        <v>Карнизная планка</v>
      </c>
      <c r="C1820" s="3008" t="str">
        <f>'Смета Внутр'!C1826</f>
        <v>м.п.</v>
      </c>
      <c r="D1820" s="3009">
        <f>'Смета Внутр'!D1826</f>
        <v>0</v>
      </c>
      <c r="E1820" s="3007"/>
      <c r="F1820" s="3012">
        <f>'Смета Внутр'!H1826</f>
        <v>0</v>
      </c>
    </row>
    <row r="1821" spans="2:6">
      <c r="B1821" s="3007" t="str">
        <f>'Смета Внутр'!B1827</f>
        <v>Торцевая планка</v>
      </c>
      <c r="C1821" s="3008" t="str">
        <f>'Смета Внутр'!C1827</f>
        <v>м.п.</v>
      </c>
      <c r="D1821" s="3009">
        <f>'Смета Внутр'!D1827</f>
        <v>0</v>
      </c>
      <c r="E1821" s="3007"/>
      <c r="F1821" s="3012">
        <f>'Смета Внутр'!H1827</f>
        <v>0</v>
      </c>
    </row>
    <row r="1822" spans="2:6">
      <c r="B1822" s="3007" t="str">
        <f>'Смета Внутр'!B1828</f>
        <v>Конек</v>
      </c>
      <c r="C1822" s="3008" t="str">
        <f>'Смета Внутр'!C1828</f>
        <v>м.п.</v>
      </c>
      <c r="D1822" s="3009">
        <f>'Смета Внутр'!D1828</f>
        <v>0</v>
      </c>
      <c r="E1822" s="3007"/>
      <c r="F1822" s="3012">
        <f>'Смета Внутр'!H1828</f>
        <v>0</v>
      </c>
    </row>
    <row r="1823" spans="2:6">
      <c r="B1823" s="3007" t="str">
        <f>'Смета Внутр'!B1829</f>
        <v>Ендова нижняя</v>
      </c>
      <c r="C1823" s="3008" t="str">
        <f>'Смета Внутр'!C1829</f>
        <v>м.п.</v>
      </c>
      <c r="D1823" s="3009">
        <f>'Смета Внутр'!D1829</f>
        <v>0</v>
      </c>
      <c r="E1823" s="3007"/>
      <c r="F1823" s="3012">
        <f>'Смета Внутр'!H1829</f>
        <v>0</v>
      </c>
    </row>
    <row r="1824" spans="2:6">
      <c r="B1824" s="3007" t="str">
        <f>'Смета Внутр'!B1830</f>
        <v>Ендова верхняя</v>
      </c>
      <c r="C1824" s="3008" t="str">
        <f>'Смета Внутр'!C1830</f>
        <v>м.п.</v>
      </c>
      <c r="D1824" s="3009">
        <f>'Смета Внутр'!D1830</f>
        <v>0</v>
      </c>
      <c r="E1824" s="3007"/>
      <c r="F1824" s="3012">
        <f>'Смета Внутр'!H1830</f>
        <v>0</v>
      </c>
    </row>
    <row r="1825" spans="2:6">
      <c r="B1825" s="3007" t="str">
        <f>'Смета Внутр'!B1831</f>
        <v>Планка примыкания</v>
      </c>
      <c r="C1825" s="3008" t="str">
        <f>'Смета Внутр'!C1831</f>
        <v>м.п.</v>
      </c>
      <c r="D1825" s="3009">
        <f>'Смета Внутр'!D1831</f>
        <v>0</v>
      </c>
      <c r="E1825" s="3007"/>
      <c r="F1825" s="3012">
        <f>'Смета Внутр'!H1831</f>
        <v>0</v>
      </c>
    </row>
    <row r="1826" spans="2:6">
      <c r="B1826" s="3007" t="str">
        <f>'Смета Внутр'!B1832</f>
        <v>Крепеж для ондулина</v>
      </c>
      <c r="C1826" s="3008" t="str">
        <f>'Смета Внутр'!C1832</f>
        <v>шт</v>
      </c>
      <c r="D1826" s="3009">
        <f>'Смета Внутр'!D1832</f>
        <v>0</v>
      </c>
      <c r="E1826" s="3007"/>
      <c r="F1826" s="3012">
        <f>'Смета Внутр'!H1832</f>
        <v>0</v>
      </c>
    </row>
    <row r="1827" spans="2:6">
      <c r="B1827" s="3007" t="str">
        <f>'Смета Внутр'!B1833</f>
        <v>нет</v>
      </c>
      <c r="C1827" s="3008" t="str">
        <f>'Смета Внутр'!C1833</f>
        <v>м2</v>
      </c>
      <c r="D1827" s="3009">
        <f>'Смета Внутр'!D1833</f>
        <v>21.412047449975443</v>
      </c>
      <c r="E1827" s="3007"/>
      <c r="F1827" s="3012">
        <f>'Смета Внутр'!H1833</f>
        <v>0</v>
      </c>
    </row>
    <row r="1828" spans="2:6">
      <c r="B1828" s="3007" t="str">
        <f>'Смета Внутр'!B1834</f>
        <v>Рядовая черепица</v>
      </c>
      <c r="C1828" s="3008" t="str">
        <f>'Смета Внутр'!C1834</f>
        <v>м2</v>
      </c>
      <c r="D1828" s="3009">
        <f>'Смета Внутр'!D1834</f>
        <v>0</v>
      </c>
      <c r="E1828" s="3007"/>
      <c r="F1828" s="3012">
        <f>'Смета Внутр'!H1834</f>
        <v>0</v>
      </c>
    </row>
    <row r="1829" spans="2:6">
      <c r="B1829" s="3007" t="str">
        <f>'Смета Внутр'!B1835</f>
        <v>Металл оцинк защита (карниз)</v>
      </c>
      <c r="C1829" s="3008" t="str">
        <f>'Смета Внутр'!C1835</f>
        <v>м.п.</v>
      </c>
      <c r="D1829" s="3009">
        <f>'Смета Внутр'!D1835</f>
        <v>0</v>
      </c>
      <c r="E1829" s="3007"/>
      <c r="F1829" s="3012">
        <f>'Смета Внутр'!H1835</f>
        <v>0</v>
      </c>
    </row>
    <row r="1830" spans="2:6">
      <c r="B1830" s="3007" t="str">
        <f>'Смета Внутр'!B1836</f>
        <v>Подкладочный ковер</v>
      </c>
      <c r="C1830" s="3008" t="str">
        <f>'Смета Внутр'!C1836</f>
        <v>м.п.</v>
      </c>
      <c r="D1830" s="3009">
        <f>'Смета Внутр'!D1836</f>
        <v>0</v>
      </c>
      <c r="E1830" s="3007"/>
      <c r="F1830" s="3012">
        <f>'Смета Внутр'!H1836</f>
        <v>0</v>
      </c>
    </row>
    <row r="1831" spans="2:6">
      <c r="B1831" s="3007" t="str">
        <f>'Смета Внутр'!B1837</f>
        <v>Карнизная самоклеющаяся черепица</v>
      </c>
      <c r="C1831" s="3008" t="str">
        <f>'Смета Внутр'!C1837</f>
        <v>м.п.</v>
      </c>
      <c r="D1831" s="3009">
        <f>'Смета Внутр'!D1837</f>
        <v>0</v>
      </c>
      <c r="E1831" s="3007"/>
      <c r="F1831" s="3012">
        <f>'Смета Внутр'!H1837</f>
        <v>0</v>
      </c>
    </row>
    <row r="1832" spans="2:6">
      <c r="B1832" s="3007" t="str">
        <f>'Смета Внутр'!B1838</f>
        <v>Спец ковер ендова нижняя</v>
      </c>
      <c r="C1832" s="3008" t="str">
        <f>'Смета Внутр'!C1838</f>
        <v>м.п.</v>
      </c>
      <c r="D1832" s="3009">
        <f>'Смета Внутр'!D1838</f>
        <v>0</v>
      </c>
      <c r="E1832" s="3007"/>
      <c r="F1832" s="3012">
        <f>'Смета Внутр'!H1838</f>
        <v>0</v>
      </c>
    </row>
    <row r="1833" spans="2:6">
      <c r="B1833" s="3007" t="str">
        <f>'Смета Внутр'!B1839</f>
        <v>Коньковой элемент</v>
      </c>
      <c r="C1833" s="3008" t="str">
        <f>'Смета Внутр'!C1839</f>
        <v>м.п.</v>
      </c>
      <c r="D1833" s="3009">
        <f>'Смета Внутр'!D1839</f>
        <v>0</v>
      </c>
      <c r="E1833" s="3007"/>
      <c r="F1833" s="3012">
        <f>'Смета Внутр'!H1839</f>
        <v>0</v>
      </c>
    </row>
    <row r="1834" spans="2:6">
      <c r="B1834" s="3007" t="str">
        <f>'Смета Внутр'!B1840</f>
        <v>Планка премыкания</v>
      </c>
      <c r="C1834" s="3008" t="str">
        <f>'Смета Внутр'!C1840</f>
        <v>м.п.</v>
      </c>
      <c r="D1834" s="3009">
        <f>'Смета Внутр'!D1840</f>
        <v>0</v>
      </c>
      <c r="E1834" s="3007"/>
      <c r="F1834" s="3012">
        <f>'Смета Внутр'!H1840</f>
        <v>0</v>
      </c>
    </row>
    <row r="1835" spans="2:6">
      <c r="B1835" s="3007" t="str">
        <f>'Смета Внутр'!B1841</f>
        <v>Гвозди для крепления подкладочного ковра</v>
      </c>
      <c r="C1835" s="3008" t="str">
        <f>'Смета Внутр'!C1841</f>
        <v>шт</v>
      </c>
      <c r="D1835" s="3009">
        <f>'Смета Внутр'!D1841</f>
        <v>0</v>
      </c>
      <c r="E1835" s="3007"/>
      <c r="F1835" s="3012">
        <f>'Смета Внутр'!H1841</f>
        <v>0</v>
      </c>
    </row>
    <row r="1836" spans="2:6">
      <c r="B1836" s="3007" t="str">
        <f>'Смета Внутр'!B1842</f>
        <v>Гвозди для крепления черепицы</v>
      </c>
      <c r="C1836" s="3008" t="str">
        <f>'Смета Внутр'!C1842</f>
        <v>шт</v>
      </c>
      <c r="D1836" s="3009">
        <f>'Смета Внутр'!D1842</f>
        <v>0</v>
      </c>
      <c r="E1836" s="3007"/>
      <c r="F1836" s="3012">
        <f>'Смета Внутр'!H1842</f>
        <v>0</v>
      </c>
    </row>
    <row r="1837" spans="2:6">
      <c r="B1837" s="3007" t="str">
        <f>'Смета Внутр'!B1843</f>
        <v>Клей для монтажа черепицы</v>
      </c>
      <c r="C1837" s="3008" t="str">
        <f>'Смета Внутр'!C1843</f>
        <v>кг</v>
      </c>
      <c r="D1837" s="3009">
        <f>'Смета Внутр'!D1843</f>
        <v>0</v>
      </c>
      <c r="E1837" s="3007"/>
      <c r="F1837" s="3012">
        <f>'Смета Внутр'!H1843</f>
        <v>0</v>
      </c>
    </row>
    <row r="1838" spans="2:6">
      <c r="B1838" s="3007" t="str">
        <f>'Смета Внутр'!B1844</f>
        <v>желоб</v>
      </c>
      <c r="C1838" s="3008" t="str">
        <f>'Смета Внутр'!C1844</f>
        <v>м.п</v>
      </c>
      <c r="D1838" s="3009">
        <f>'Смета Внутр'!D1844</f>
        <v>7.6</v>
      </c>
      <c r="E1838" s="3007"/>
      <c r="F1838" s="3012">
        <f>'Смета Внутр'!H1844</f>
        <v>0</v>
      </c>
    </row>
    <row r="1839" spans="2:6">
      <c r="B1839" s="3007" t="str">
        <f>'Смета Внутр'!B1845</f>
        <v>отвод</v>
      </c>
      <c r="C1839" s="3008" t="str">
        <f>'Смета Внутр'!C1845</f>
        <v>шт</v>
      </c>
      <c r="D1839" s="3009">
        <f>'Смета Внутр'!D1845</f>
        <v>0</v>
      </c>
      <c r="E1839" s="3007"/>
      <c r="F1839" s="3012">
        <f>'Смета Внутр'!H1845</f>
        <v>0</v>
      </c>
    </row>
    <row r="1840" spans="2:6">
      <c r="B1840" s="3007" t="str">
        <f>'Смета Внутр'!B1846</f>
        <v>труба водосточная</v>
      </c>
      <c r="C1840" s="3008" t="str">
        <f>'Смета Внутр'!C1846</f>
        <v>м.п.</v>
      </c>
      <c r="D1840" s="3009">
        <f>'Смета Внутр'!D1846</f>
        <v>3.7</v>
      </c>
      <c r="E1840" s="3007"/>
      <c r="F1840" s="3012">
        <f>'Смета Внутр'!H1846</f>
        <v>0</v>
      </c>
    </row>
    <row r="1841" spans="2:6">
      <c r="B1841" s="3007" t="str">
        <f>'Смета Внутр'!B1847</f>
        <v>заглушка для желоба</v>
      </c>
      <c r="C1841" s="3008" t="str">
        <f>'Смета Внутр'!C1847</f>
        <v>шт</v>
      </c>
      <c r="D1841" s="3009">
        <f>'Смета Внутр'!D1847</f>
        <v>0</v>
      </c>
      <c r="E1841" s="3007"/>
      <c r="F1841" s="3012">
        <f>'Смета Внутр'!H1847</f>
        <v>0</v>
      </c>
    </row>
    <row r="1842" spans="2:6">
      <c r="B1842" s="3007" t="str">
        <f>'Смета Внутр'!B1848</f>
        <v>соеденитель для желоба</v>
      </c>
      <c r="C1842" s="3008" t="str">
        <f>'Смета Внутр'!C1848</f>
        <v>шт</v>
      </c>
      <c r="D1842" s="3009">
        <f>'Смета Внутр'!D1848</f>
        <v>0</v>
      </c>
      <c r="E1842" s="3007"/>
      <c r="F1842" s="3012">
        <f>'Смета Внутр'!H1848</f>
        <v>0</v>
      </c>
    </row>
    <row r="1843" spans="2:6">
      <c r="B1843" s="3007" t="str">
        <f>'Смета Внутр'!B1849</f>
        <v>кронштейн для желоба</v>
      </c>
      <c r="C1843" s="3008" t="str">
        <f>'Смета Внутр'!C1849</f>
        <v>шт</v>
      </c>
      <c r="D1843" s="3009">
        <f>'Смета Внутр'!D1849</f>
        <v>0</v>
      </c>
      <c r="E1843" s="3007"/>
      <c r="F1843" s="3012">
        <f>'Смета Внутр'!H1849</f>
        <v>0</v>
      </c>
    </row>
    <row r="1844" spans="2:6">
      <c r="B1844" s="3007" t="str">
        <f>'Смета Внутр'!B1850</f>
        <v>переход из желоба в трубу</v>
      </c>
      <c r="C1844" s="3008" t="str">
        <f>'Смета Внутр'!C1850</f>
        <v>шт</v>
      </c>
      <c r="D1844" s="3009">
        <f>'Смета Внутр'!D1850</f>
        <v>0</v>
      </c>
      <c r="E1844" s="3007"/>
      <c r="F1844" s="3012">
        <f>'Смета Внутр'!H1850</f>
        <v>0</v>
      </c>
    </row>
    <row r="1845" spans="2:6">
      <c r="B1845" s="3007" t="str">
        <f>'Смета Внутр'!B1851</f>
        <v>лента дельта мульти бэнд</v>
      </c>
      <c r="C1845" s="3008" t="str">
        <f>'Смета Внутр'!C1851</f>
        <v>шт</v>
      </c>
      <c r="D1845" s="3009">
        <f>'Смета Внутр'!D1851</f>
        <v>0</v>
      </c>
      <c r="E1845" s="3007"/>
      <c r="F1845" s="3012">
        <f>'Смета Внутр'!H1851</f>
        <v>0</v>
      </c>
    </row>
    <row r="1846" spans="2:6">
      <c r="B1846" s="3007" t="str">
        <f>'Смета Внутр'!B1852</f>
        <v>лента дельта sb-60</v>
      </c>
      <c r="C1846" s="3008" t="str">
        <f>'Смета Внутр'!C1852</f>
        <v>шт</v>
      </c>
      <c r="D1846" s="3009">
        <f>'Смета Внутр'!D1852</f>
        <v>0</v>
      </c>
      <c r="E1846" s="3007"/>
      <c r="F1846" s="3012">
        <f>'Смета Внутр'!H1852</f>
        <v>0</v>
      </c>
    </row>
    <row r="1847" spans="2:6">
      <c r="B1847" s="3007" t="str">
        <f>'Смета Внутр'!B1853</f>
        <v>Кровельный саморез</v>
      </c>
      <c r="C1847" s="3008" t="str">
        <f>'Смета Внутр'!C1853</f>
        <v>шт</v>
      </c>
      <c r="D1847" s="3009">
        <f>'Смета Внутр'!D1853</f>
        <v>0</v>
      </c>
      <c r="E1847" s="3007"/>
      <c r="F1847" s="3012">
        <f>'Смета Внутр'!H1853</f>
        <v>0</v>
      </c>
    </row>
    <row r="1848" spans="2:6">
      <c r="B1848" s="3007" t="str">
        <f>'Смета Внутр'!B1854</f>
        <v xml:space="preserve">Гвозди ершоные 3,4 x 60            </v>
      </c>
      <c r="C1848" s="3008" t="str">
        <f>'Смета Внутр'!C1854</f>
        <v>кг</v>
      </c>
      <c r="D1848" s="3009">
        <f>'Смета Внутр'!D1854</f>
        <v>0</v>
      </c>
      <c r="E1848" s="3007"/>
      <c r="F1848" s="3012">
        <f>'Смета Внутр'!H1854</f>
        <v>0</v>
      </c>
    </row>
    <row r="1849" spans="2:6">
      <c r="B1849" s="3007" t="str">
        <f>'Смета Внутр'!B1855</f>
        <v xml:space="preserve">Гвозди ершоные 2,8 х 90            </v>
      </c>
      <c r="C1849" s="3008" t="str">
        <f>'Смета Внутр'!C1855</f>
        <v>шт</v>
      </c>
      <c r="D1849" s="3009">
        <f>'Смета Внутр'!D1855</f>
        <v>0</v>
      </c>
      <c r="E1849" s="3007"/>
      <c r="F1849" s="3012">
        <f>'Смета Внутр'!H1855</f>
        <v>0</v>
      </c>
    </row>
    <row r="1850" spans="2:6">
      <c r="B1850" s="3007" t="str">
        <f>'Смета Внутр'!B1856</f>
        <v xml:space="preserve">Пластина соеденительная 100х240х2           </v>
      </c>
      <c r="C1850" s="3008" t="str">
        <f>'Смета Внутр'!C1856</f>
        <v>шт</v>
      </c>
      <c r="D1850" s="3009">
        <f>'Смета Внутр'!D1856</f>
        <v>0</v>
      </c>
      <c r="E1850" s="3007"/>
      <c r="F1850" s="3012">
        <f>'Смета Внутр'!H1856</f>
        <v>0</v>
      </c>
    </row>
    <row r="1851" spans="2:6">
      <c r="B1851" s="3007" t="str">
        <f>'Смета Внутр'!B1857</f>
        <v xml:space="preserve">Уголок усиленный 90х70х55х2,5        </v>
      </c>
      <c r="C1851" s="3008" t="str">
        <f>'Смета Внутр'!C1857</f>
        <v>шт</v>
      </c>
      <c r="D1851" s="3009">
        <f>'Смета Внутр'!D1857</f>
        <v>0</v>
      </c>
      <c r="E1851" s="3007"/>
      <c r="F1851" s="3012">
        <f>'Смета Внутр'!H1857</f>
        <v>0</v>
      </c>
    </row>
    <row r="1852" spans="2:6">
      <c r="B1852" s="3311" t="str">
        <f>'Смета Внутр'!B1858</f>
        <v>Итого материалы</v>
      </c>
      <c r="C1852" s="3311"/>
      <c r="D1852" s="3311"/>
      <c r="E1852" s="3311"/>
      <c r="F1852" s="3014">
        <f>'Смета Внутр'!G1858</f>
        <v>0</v>
      </c>
    </row>
    <row r="1853" spans="2:6">
      <c r="B1853" s="3312" t="str">
        <f>'Смета Внутр'!B1859</f>
        <v>Работы</v>
      </c>
      <c r="C1853" s="3312"/>
      <c r="D1853" s="3312"/>
      <c r="E1853" s="3312"/>
      <c r="F1853" s="3011">
        <f>'Смета Внутр'!H1859</f>
        <v>0</v>
      </c>
    </row>
    <row r="1854" spans="2:6">
      <c r="B1854" s="3007" t="str">
        <f>'Смета Внутр'!B1860</f>
        <v>монтаж стропил</v>
      </c>
      <c r="C1854" s="3008" t="str">
        <f>'Смета Внутр'!C1860</f>
        <v>м2</v>
      </c>
      <c r="D1854" s="3009">
        <f>'Смета Внутр'!D1860</f>
        <v>0</v>
      </c>
      <c r="E1854" s="3007"/>
      <c r="F1854" s="3012">
        <f>'Смета Внутр'!H1860</f>
        <v>0</v>
      </c>
    </row>
    <row r="1855" spans="2:6">
      <c r="B1855" s="3007" t="str">
        <f>'Смета Внутр'!B1861</f>
        <v>обрешетка</v>
      </c>
      <c r="C1855" s="3008" t="str">
        <f>'Смета Внутр'!C1861</f>
        <v>м2</v>
      </c>
      <c r="D1855" s="3009">
        <f>'Смета Внутр'!D1861</f>
        <v>0</v>
      </c>
      <c r="E1855" s="3007"/>
      <c r="F1855" s="3012">
        <f>'Смета Внутр'!H1861</f>
        <v>0</v>
      </c>
    </row>
    <row r="1856" spans="2:6">
      <c r="B1856" s="3007" t="str">
        <f>'Смета Внутр'!B1862</f>
        <v>контробеш</v>
      </c>
      <c r="C1856" s="3008" t="str">
        <f>'Смета Внутр'!C1862</f>
        <v>м2</v>
      </c>
      <c r="D1856" s="3009">
        <f>'Смета Внутр'!D1862</f>
        <v>0</v>
      </c>
      <c r="E1856" s="3007"/>
      <c r="F1856" s="3012">
        <f>'Смета Внутр'!H1862</f>
        <v>0</v>
      </c>
    </row>
    <row r="1857" spans="2:6">
      <c r="B1857" s="3007" t="str">
        <f>'Смета Внутр'!B1863</f>
        <v>мембрана</v>
      </c>
      <c r="C1857" s="3008" t="str">
        <f>'Смета Внутр'!C1863</f>
        <v>м2</v>
      </c>
      <c r="D1857" s="3009">
        <f>'Смета Внутр'!D1863</f>
        <v>0</v>
      </c>
      <c r="E1857" s="3007"/>
      <c r="F1857" s="3012">
        <f>'Смета Внутр'!H1863</f>
        <v>0</v>
      </c>
    </row>
    <row r="1858" spans="2:6">
      <c r="B1858" s="3007" t="str">
        <f>'Смета Внутр'!B1864</f>
        <v>Монтаж металлочерепицы</v>
      </c>
      <c r="C1858" s="3008" t="str">
        <f>'Смета Внутр'!C1864</f>
        <v>м2</v>
      </c>
      <c r="D1858" s="3009">
        <f>'Смета Внутр'!D1864</f>
        <v>0</v>
      </c>
      <c r="E1858" s="3007"/>
      <c r="F1858" s="3012">
        <f>'Смета Внутр'!H1864</f>
        <v>0</v>
      </c>
    </row>
    <row r="1859" spans="2:6">
      <c r="B1859" s="3007" t="str">
        <f>'Смета Внутр'!B1865</f>
        <v>карнизная планка</v>
      </c>
      <c r="C1859" s="3008" t="str">
        <f>'Смета Внутр'!C1865</f>
        <v>м2</v>
      </c>
      <c r="D1859" s="3009">
        <f>'Смета Внутр'!D1865</f>
        <v>0</v>
      </c>
      <c r="E1859" s="3007"/>
      <c r="F1859" s="3012">
        <f>'Смета Внутр'!H1865</f>
        <v>0</v>
      </c>
    </row>
    <row r="1860" spans="2:6">
      <c r="B1860" s="3007" t="str">
        <f>'Смета Внутр'!B1866</f>
        <v>торцевая планка</v>
      </c>
      <c r="C1860" s="3008" t="str">
        <f>'Смета Внутр'!C1866</f>
        <v>м2</v>
      </c>
      <c r="D1860" s="3009">
        <f>'Смета Внутр'!D1866</f>
        <v>0</v>
      </c>
      <c r="E1860" s="3007"/>
      <c r="F1860" s="3012">
        <f>'Смета Внутр'!H1866</f>
        <v>0</v>
      </c>
    </row>
    <row r="1861" spans="2:6">
      <c r="B1861" s="3007" t="str">
        <f>'Смета Внутр'!B1867</f>
        <v>желоб водосточный</v>
      </c>
      <c r="C1861" s="3008" t="str">
        <f>'Смета Внутр'!C1867</f>
        <v>м.п.</v>
      </c>
      <c r="D1861" s="3009">
        <f>'Смета Внутр'!D1867</f>
        <v>0</v>
      </c>
      <c r="E1861" s="3007"/>
      <c r="F1861" s="3012">
        <f>'Смета Внутр'!H1867</f>
        <v>0</v>
      </c>
    </row>
    <row r="1862" spans="2:6">
      <c r="B1862" s="3007" t="str">
        <f>'Смета Внутр'!B1868</f>
        <v>труба водосточная</v>
      </c>
      <c r="C1862" s="3008" t="str">
        <f>'Смета Внутр'!C1868</f>
        <v>м.п.</v>
      </c>
      <c r="D1862" s="3009">
        <f>'Смета Внутр'!D1868</f>
        <v>0</v>
      </c>
      <c r="E1862" s="3007"/>
      <c r="F1862" s="3012">
        <f>'Смета Внутр'!H1868</f>
        <v>0</v>
      </c>
    </row>
    <row r="1863" spans="2:6">
      <c r="B1863" s="3007" t="str">
        <f>'Смета Внутр'!B1869</f>
        <v>Монтаж ондулина</v>
      </c>
      <c r="C1863" s="3008" t="str">
        <f>'Смета Внутр'!C1869</f>
        <v>м2</v>
      </c>
      <c r="D1863" s="3009">
        <f>'Смета Внутр'!D1869</f>
        <v>0</v>
      </c>
      <c r="E1863" s="3007"/>
      <c r="F1863" s="3012">
        <f>'Смета Внутр'!H1869</f>
        <v>0</v>
      </c>
    </row>
    <row r="1864" spans="2:6">
      <c r="B1864" s="3007" t="str">
        <f>'Смета Внутр'!B1870</f>
        <v>Монтаж фанеры/osb</v>
      </c>
      <c r="C1864" s="3008" t="str">
        <f>'Смета Внутр'!C1870</f>
        <v>м2</v>
      </c>
      <c r="D1864" s="3009">
        <f>'Смета Внутр'!D1870</f>
        <v>0</v>
      </c>
      <c r="E1864" s="3007"/>
      <c r="F1864" s="3012">
        <f>'Смета Внутр'!H1870</f>
        <v>0</v>
      </c>
    </row>
    <row r="1865" spans="2:6">
      <c r="B1865" s="3007" t="str">
        <f>'Смета Внутр'!B1871</f>
        <v>монтаж подкладочного ковра</v>
      </c>
      <c r="C1865" s="3008" t="str">
        <f>'Смета Внутр'!C1871</f>
        <v>м2</v>
      </c>
      <c r="D1865" s="3009">
        <f>'Смета Внутр'!D1871</f>
        <v>0</v>
      </c>
      <c r="E1865" s="3007"/>
      <c r="F1865" s="3012">
        <f>'Смета Внутр'!H1871</f>
        <v>0</v>
      </c>
    </row>
    <row r="1866" spans="2:6">
      <c r="B1866" s="3007" t="str">
        <f>'Смета Внутр'!B1872</f>
        <v>Монтаж мягкой кровли</v>
      </c>
      <c r="C1866" s="3008" t="str">
        <f>'Смета Внутр'!C1872</f>
        <v>м2</v>
      </c>
      <c r="D1866" s="3009">
        <f>'Смета Внутр'!D1872</f>
        <v>0</v>
      </c>
      <c r="E1866" s="3007"/>
      <c r="F1866" s="3012">
        <f>'Смета Внутр'!H1872</f>
        <v>0</v>
      </c>
    </row>
    <row r="1867" spans="2:6">
      <c r="B1867" s="3311" t="str">
        <f>'Смета Внутр'!B1873</f>
        <v>Итого работы</v>
      </c>
      <c r="C1867" s="3311"/>
      <c r="D1867" s="3311"/>
      <c r="E1867" s="3311"/>
      <c r="F1867" s="3014">
        <f>'Смета Внутр'!G1873</f>
        <v>0</v>
      </c>
    </row>
    <row r="1868" spans="2:6" ht="19">
      <c r="B1868" s="3313" t="str">
        <f>'Смета Внутр'!B1874</f>
        <v>Кровля на крыльцо</v>
      </c>
      <c r="C1868" s="3313"/>
      <c r="D1868" s="3313"/>
      <c r="E1868" s="3313"/>
      <c r="F1868" s="3015">
        <f>'Смета Внутр'!H1874</f>
        <v>0</v>
      </c>
    </row>
    <row r="1869" spans="2:6">
      <c r="B1869" s="3310" t="str">
        <f>'Смета Внутр'!B1875</f>
        <v>Материалы</v>
      </c>
      <c r="C1869" s="3310"/>
      <c r="D1869" s="3310"/>
      <c r="E1869" s="3310"/>
      <c r="F1869" s="3015">
        <f>'Смета Внутр'!H1875</f>
        <v>0</v>
      </c>
    </row>
    <row r="1870" spans="2:6">
      <c r="B1870" s="3007" t="str">
        <f>'Смета Внутр'!B1876</f>
        <v>Доска сухая, 150*50мм</v>
      </c>
      <c r="C1870" s="3008" t="str">
        <f>'Смета Внутр'!C1876</f>
        <v>м3</v>
      </c>
      <c r="D1870" s="3009">
        <f>'Смета Внутр'!D1876</f>
        <v>0.15829097259833563</v>
      </c>
      <c r="E1870" s="3007"/>
      <c r="F1870" s="3016">
        <f>'Смета Внутр'!H1876</f>
        <v>0</v>
      </c>
    </row>
    <row r="1871" spans="2:6">
      <c r="B1871" s="3007" t="str">
        <f>'Смета Внутр'!B1877</f>
        <v>Сосна влаж,100*25мм</v>
      </c>
      <c r="C1871" s="3008" t="str">
        <f>'Смета Внутр'!C1877</f>
        <v>м3</v>
      </c>
      <c r="D1871" s="3009">
        <f>'Смета Внутр'!D1877</f>
        <v>4.6188683504841059E-2</v>
      </c>
      <c r="E1871" s="3007"/>
      <c r="F1871" s="3016">
        <f>'Смета Внутр'!H1877</f>
        <v>0</v>
      </c>
    </row>
    <row r="1872" spans="2:6">
      <c r="B1872" s="3007" t="str">
        <f>'Смета Внутр'!B1878</f>
        <v>нет</v>
      </c>
      <c r="C1872" s="3008" t="str">
        <f>'Смета Внутр'!C1878</f>
        <v>м2</v>
      </c>
      <c r="D1872" s="3009">
        <f>'Смета Внутр'!D1878</f>
        <v>0</v>
      </c>
      <c r="E1872" s="3007"/>
      <c r="F1872" s="3016">
        <f>'Смета Внутр'!H1878</f>
        <v>0</v>
      </c>
    </row>
    <row r="1873" spans="2:6">
      <c r="B1873" s="3007" t="str">
        <f>'Смета Внутр'!B1879</f>
        <v>нет</v>
      </c>
      <c r="C1873" s="3008" t="str">
        <f>'Смета Внутр'!C1879</f>
        <v>м2</v>
      </c>
      <c r="D1873" s="3009">
        <f>'Смета Внутр'!D1879</f>
        <v>7.390189360774567</v>
      </c>
      <c r="E1873" s="3007"/>
      <c r="F1873" s="3012">
        <f>'Смета Внутр'!H1879</f>
        <v>0</v>
      </c>
    </row>
    <row r="1874" spans="2:6">
      <c r="B1874" s="3007" t="str">
        <f>'Смета Внутр'!B1880</f>
        <v>Мембраны Tyvek Solid</v>
      </c>
      <c r="C1874" s="3008" t="str">
        <f>'Смета Внутр'!C1880</f>
        <v>м2</v>
      </c>
      <c r="D1874" s="3009">
        <f>'Смета Внутр'!D1880</f>
        <v>7.390189360774567</v>
      </c>
      <c r="E1874" s="3007"/>
      <c r="F1874" s="3016">
        <f>'Смета Внутр'!H1880</f>
        <v>0</v>
      </c>
    </row>
    <row r="1875" spans="2:6">
      <c r="B1875" s="3007" t="str">
        <f>'Смета Внутр'!B1881</f>
        <v>металлочерепица</v>
      </c>
      <c r="C1875" s="3008" t="str">
        <f>'Смета Внутр'!C1881</f>
        <v>м2</v>
      </c>
      <c r="D1875" s="3009">
        <f>'Смета Внутр'!D1881</f>
        <v>7.390189360774567</v>
      </c>
      <c r="E1875" s="3007"/>
      <c r="F1875" s="3016">
        <f>'Смета Внутр'!H1881</f>
        <v>0</v>
      </c>
    </row>
    <row r="1876" spans="2:6">
      <c r="B1876" s="3007" t="str">
        <f>'Смета Внутр'!B1882</f>
        <v>карнизная планка</v>
      </c>
      <c r="C1876" s="3008" t="str">
        <f>'Смета Внутр'!C1882</f>
        <v>м.п.</v>
      </c>
      <c r="D1876" s="3009">
        <f>'Смета Внутр'!D1882</f>
        <v>4.18</v>
      </c>
      <c r="E1876" s="3007"/>
      <c r="F1876" s="3016">
        <f>'Смета Внутр'!H1882</f>
        <v>0</v>
      </c>
    </row>
    <row r="1877" spans="2:6">
      <c r="B1877" s="3007" t="str">
        <f>'Смета Внутр'!B1883</f>
        <v>торцевая планка</v>
      </c>
      <c r="C1877" s="3008" t="str">
        <f>'Смета Внутр'!C1883</f>
        <v>м.п.</v>
      </c>
      <c r="D1877" s="3009">
        <f>'Смета Внутр'!D1883</f>
        <v>3.5654422354614148</v>
      </c>
      <c r="E1877" s="3007"/>
      <c r="F1877" s="3016">
        <f>'Смета Внутр'!H1883</f>
        <v>0</v>
      </c>
    </row>
    <row r="1878" spans="2:6">
      <c r="B1878" s="3007" t="str">
        <f>'Смета Внутр'!B1884</f>
        <v>конек</v>
      </c>
      <c r="C1878" s="3008" t="str">
        <f>'Смета Внутр'!C1884</f>
        <v>м.п.</v>
      </c>
      <c r="D1878" s="3009">
        <f>'Смета Внутр'!D1884</f>
        <v>0</v>
      </c>
      <c r="E1878" s="3007"/>
      <c r="F1878" s="3016">
        <f>'Смета Внутр'!H1884</f>
        <v>0</v>
      </c>
    </row>
    <row r="1879" spans="2:6">
      <c r="B1879" s="3007" t="str">
        <f>'Смета Внутр'!B1885</f>
        <v>ондулин</v>
      </c>
      <c r="C1879" s="3008" t="str">
        <f>'Смета Внутр'!C1885</f>
        <v>м2</v>
      </c>
      <c r="D1879" s="3009">
        <f>'Смета Внутр'!D1885</f>
        <v>0</v>
      </c>
      <c r="E1879" s="3007"/>
      <c r="F1879" s="3012">
        <f>'Смета Внутр'!H1885</f>
        <v>0</v>
      </c>
    </row>
    <row r="1880" spans="2:6">
      <c r="B1880" s="3007" t="str">
        <f>'Смета Внутр'!B1886</f>
        <v>Карнизная планка</v>
      </c>
      <c r="C1880" s="3008" t="str">
        <f>'Смета Внутр'!C1886</f>
        <v>м.п.</v>
      </c>
      <c r="D1880" s="3009">
        <f>'Смета Внутр'!D1886</f>
        <v>0</v>
      </c>
      <c r="E1880" s="3007"/>
      <c r="F1880" s="3012">
        <f>'Смета Внутр'!H1886</f>
        <v>0</v>
      </c>
    </row>
    <row r="1881" spans="2:6">
      <c r="B1881" s="3007" t="str">
        <f>'Смета Внутр'!B1887</f>
        <v>Торцевая планка</v>
      </c>
      <c r="C1881" s="3008" t="str">
        <f>'Смета Внутр'!C1887</f>
        <v>м.п.</v>
      </c>
      <c r="D1881" s="3009">
        <f>'Смета Внутр'!D1887</f>
        <v>0</v>
      </c>
      <c r="E1881" s="3007"/>
      <c r="F1881" s="3012">
        <f>'Смета Внутр'!H1887</f>
        <v>0</v>
      </c>
    </row>
    <row r="1882" spans="2:6">
      <c r="B1882" s="3007" t="str">
        <f>'Смета Внутр'!B1888</f>
        <v>Конек</v>
      </c>
      <c r="C1882" s="3008" t="str">
        <f>'Смета Внутр'!C1888</f>
        <v>м.п.</v>
      </c>
      <c r="D1882" s="3009">
        <f>'Смета Внутр'!D1888</f>
        <v>0</v>
      </c>
      <c r="E1882" s="3007"/>
      <c r="F1882" s="3012">
        <f>'Смета Внутр'!H1888</f>
        <v>0</v>
      </c>
    </row>
    <row r="1883" spans="2:6">
      <c r="B1883" s="3007" t="str">
        <f>'Смета Внутр'!B1889</f>
        <v>Ендова нижняя</v>
      </c>
      <c r="C1883" s="3008" t="str">
        <f>'Смета Внутр'!C1889</f>
        <v>м.п.</v>
      </c>
      <c r="D1883" s="3009">
        <f>'Смета Внутр'!D1889</f>
        <v>0</v>
      </c>
      <c r="E1883" s="3007"/>
      <c r="F1883" s="3012">
        <f>'Смета Внутр'!H1889</f>
        <v>0</v>
      </c>
    </row>
    <row r="1884" spans="2:6">
      <c r="B1884" s="3007" t="str">
        <f>'Смета Внутр'!B1890</f>
        <v>Ендова верхняя</v>
      </c>
      <c r="C1884" s="3008" t="str">
        <f>'Смета Внутр'!C1890</f>
        <v>м.п.</v>
      </c>
      <c r="D1884" s="3009">
        <f>'Смета Внутр'!D1890</f>
        <v>0</v>
      </c>
      <c r="E1884" s="3007"/>
      <c r="F1884" s="3012">
        <f>'Смета Внутр'!H1890</f>
        <v>0</v>
      </c>
    </row>
    <row r="1885" spans="2:6">
      <c r="B1885" s="3007" t="str">
        <f>'Смета Внутр'!B1891</f>
        <v>Планка примыкания</v>
      </c>
      <c r="C1885" s="3008" t="str">
        <f>'Смета Внутр'!C1891</f>
        <v>м.п.</v>
      </c>
      <c r="D1885" s="3009">
        <f>'Смета Внутр'!D1891</f>
        <v>0</v>
      </c>
      <c r="E1885" s="3007"/>
      <c r="F1885" s="3012">
        <f>'Смета Внутр'!H1891</f>
        <v>0</v>
      </c>
    </row>
    <row r="1886" spans="2:6">
      <c r="B1886" s="3007" t="str">
        <f>'Смета Внутр'!B1892</f>
        <v>Крепеж для ондулина</v>
      </c>
      <c r="C1886" s="3008" t="str">
        <f>'Смета Внутр'!C1892</f>
        <v>шт</v>
      </c>
      <c r="D1886" s="3009">
        <f>'Смета Внутр'!D1892</f>
        <v>0</v>
      </c>
      <c r="E1886" s="3007"/>
      <c r="F1886" s="3012">
        <f>'Смета Внутр'!H1892</f>
        <v>0</v>
      </c>
    </row>
    <row r="1887" spans="2:6">
      <c r="B1887" s="3007" t="str">
        <f>'Смета Внутр'!B1893</f>
        <v>Рядовая черепица</v>
      </c>
      <c r="C1887" s="3008" t="str">
        <f>'Смета Внутр'!C1893</f>
        <v>м2</v>
      </c>
      <c r="D1887" s="3009">
        <f>'Смета Внутр'!D1893</f>
        <v>0</v>
      </c>
      <c r="E1887" s="3007"/>
      <c r="F1887" s="3012">
        <f>'Смета Внутр'!H1893</f>
        <v>0</v>
      </c>
    </row>
    <row r="1888" spans="2:6">
      <c r="B1888" s="3007" t="str">
        <f>'Смета Внутр'!B1894</f>
        <v>Металл оцинк защита (карниз)</v>
      </c>
      <c r="C1888" s="3008" t="str">
        <f>'Смета Внутр'!C1894</f>
        <v>м.п.</v>
      </c>
      <c r="D1888" s="3009">
        <f>'Смета Внутр'!D1894</f>
        <v>0</v>
      </c>
      <c r="E1888" s="3007"/>
      <c r="F1888" s="3012">
        <f>'Смета Внутр'!H1894</f>
        <v>0</v>
      </c>
    </row>
    <row r="1889" spans="2:6">
      <c r="B1889" s="3007" t="str">
        <f>'Смета Внутр'!B1895</f>
        <v>Подкладочный ковер</v>
      </c>
      <c r="C1889" s="3008" t="str">
        <f>'Смета Внутр'!C1895</f>
        <v>м.п.</v>
      </c>
      <c r="D1889" s="3009">
        <f>'Смета Внутр'!D1895</f>
        <v>0</v>
      </c>
      <c r="E1889" s="3007"/>
      <c r="F1889" s="3012">
        <f>'Смета Внутр'!H1895</f>
        <v>0</v>
      </c>
    </row>
    <row r="1890" spans="2:6">
      <c r="B1890" s="3007" t="str">
        <f>'Смета Внутр'!B1896</f>
        <v>Карнизная самоклеющаяся черепица</v>
      </c>
      <c r="C1890" s="3008" t="str">
        <f>'Смета Внутр'!C1896</f>
        <v>м.п.</v>
      </c>
      <c r="D1890" s="3009">
        <f>'Смета Внутр'!D1896</f>
        <v>0</v>
      </c>
      <c r="E1890" s="3007"/>
      <c r="F1890" s="3012">
        <f>'Смета Внутр'!H1896</f>
        <v>0</v>
      </c>
    </row>
    <row r="1891" spans="2:6">
      <c r="B1891" s="3007" t="str">
        <f>'Смета Внутр'!B1897</f>
        <v>Спец ковер ендова нижняя</v>
      </c>
      <c r="C1891" s="3008" t="str">
        <f>'Смета Внутр'!C1897</f>
        <v>м.п.</v>
      </c>
      <c r="D1891" s="3009">
        <f>'Смета Внутр'!D1897</f>
        <v>0</v>
      </c>
      <c r="E1891" s="3007"/>
      <c r="F1891" s="3012">
        <f>'Смета Внутр'!H1897</f>
        <v>0</v>
      </c>
    </row>
    <row r="1892" spans="2:6">
      <c r="B1892" s="3007" t="str">
        <f>'Смета Внутр'!B1898</f>
        <v>Коньковой элемент</v>
      </c>
      <c r="C1892" s="3008" t="str">
        <f>'Смета Внутр'!C1898</f>
        <v>м.п.</v>
      </c>
      <c r="D1892" s="3009">
        <f>'Смета Внутр'!D1898</f>
        <v>0</v>
      </c>
      <c r="E1892" s="3007"/>
      <c r="F1892" s="3012">
        <f>'Смета Внутр'!H1898</f>
        <v>0</v>
      </c>
    </row>
    <row r="1893" spans="2:6">
      <c r="B1893" s="3007" t="str">
        <f>'Смета Внутр'!B1899</f>
        <v>Планка премыкания</v>
      </c>
      <c r="C1893" s="3008" t="str">
        <f>'Смета Внутр'!C1899</f>
        <v>м.п.</v>
      </c>
      <c r="D1893" s="3009">
        <f>'Смета Внутр'!D1899</f>
        <v>0</v>
      </c>
      <c r="E1893" s="3007"/>
      <c r="F1893" s="3012">
        <f>'Смета Внутр'!H1899</f>
        <v>0</v>
      </c>
    </row>
    <row r="1894" spans="2:6">
      <c r="B1894" s="3007" t="str">
        <f>'Смета Внутр'!B1900</f>
        <v>Гвозди для крепления подкладочного ковра</v>
      </c>
      <c r="C1894" s="3008" t="str">
        <f>'Смета Внутр'!C1900</f>
        <v>шт</v>
      </c>
      <c r="D1894" s="3009">
        <f>'Смета Внутр'!D1900</f>
        <v>0</v>
      </c>
      <c r="E1894" s="3007"/>
      <c r="F1894" s="3012">
        <f>'Смета Внутр'!H1900</f>
        <v>0</v>
      </c>
    </row>
    <row r="1895" spans="2:6">
      <c r="B1895" s="3007" t="str">
        <f>'Смета Внутр'!B1901</f>
        <v>Гвозди для крепления черепицы</v>
      </c>
      <c r="C1895" s="3008" t="str">
        <f>'Смета Внутр'!C1901</f>
        <v>шт</v>
      </c>
      <c r="D1895" s="3009">
        <f>'Смета Внутр'!D1901</f>
        <v>0</v>
      </c>
      <c r="E1895" s="3007"/>
      <c r="F1895" s="3012">
        <f>'Смета Внутр'!H1901</f>
        <v>0</v>
      </c>
    </row>
    <row r="1896" spans="2:6">
      <c r="B1896" s="3007" t="str">
        <f>'Смета Внутр'!B1902</f>
        <v>Клей для монтажа черепицы</v>
      </c>
      <c r="C1896" s="3008" t="str">
        <f>'Смета Внутр'!C1902</f>
        <v>кг</v>
      </c>
      <c r="D1896" s="3009">
        <f>'Смета Внутр'!D1902</f>
        <v>0</v>
      </c>
      <c r="E1896" s="3007"/>
      <c r="F1896" s="3012">
        <f>'Смета Внутр'!H1902</f>
        <v>0</v>
      </c>
    </row>
    <row r="1897" spans="2:6">
      <c r="B1897" s="3007" t="str">
        <f>'Смета Внутр'!B1903</f>
        <v>желоб</v>
      </c>
      <c r="C1897" s="3008" t="str">
        <f>'Смета Внутр'!C1903</f>
        <v>м.п</v>
      </c>
      <c r="D1897" s="3009">
        <f>'Смета Внутр'!D1903</f>
        <v>4.18</v>
      </c>
      <c r="E1897" s="3007"/>
      <c r="F1897" s="3016">
        <f>'Смета Внутр'!H1903</f>
        <v>0</v>
      </c>
    </row>
    <row r="1898" spans="2:6">
      <c r="B1898" s="3007" t="str">
        <f>'Смета Внутр'!B1904</f>
        <v>отвод</v>
      </c>
      <c r="C1898" s="3008" t="str">
        <f>'Смета Внутр'!C1904</f>
        <v>шт</v>
      </c>
      <c r="D1898" s="3009">
        <f>'Смета Внутр'!D1904</f>
        <v>2</v>
      </c>
      <c r="E1898" s="3007"/>
      <c r="F1898" s="3016">
        <f>'Смета Внутр'!H1904</f>
        <v>0</v>
      </c>
    </row>
    <row r="1899" spans="2:6">
      <c r="B1899" s="3007" t="str">
        <f>'Смета Внутр'!B1905</f>
        <v>труба водосточная</v>
      </c>
      <c r="C1899" s="3008" t="str">
        <f>'Смета Внутр'!C1905</f>
        <v>м.п.</v>
      </c>
      <c r="D1899" s="3009">
        <f>'Смета Внутр'!D1905</f>
        <v>0</v>
      </c>
      <c r="E1899" s="3007"/>
      <c r="F1899" s="3016">
        <f>'Смета Внутр'!H1905</f>
        <v>0</v>
      </c>
    </row>
    <row r="1900" spans="2:6">
      <c r="B1900" s="3007" t="str">
        <f>'Смета Внутр'!B1906</f>
        <v>заглушка для желоба</v>
      </c>
      <c r="C1900" s="3008" t="str">
        <f>'Смета Внутр'!C1906</f>
        <v>шт</v>
      </c>
      <c r="D1900" s="3009">
        <f>'Смета Внутр'!D1906</f>
        <v>2</v>
      </c>
      <c r="E1900" s="3007"/>
      <c r="F1900" s="3016">
        <f>'Смета Внутр'!H1906</f>
        <v>0</v>
      </c>
    </row>
    <row r="1901" spans="2:6">
      <c r="B1901" s="3007" t="str">
        <f>'Смета Внутр'!B1907</f>
        <v>соеденитель для желоба</v>
      </c>
      <c r="C1901" s="3008" t="str">
        <f>'Смета Внутр'!C1907</f>
        <v>шт</v>
      </c>
      <c r="D1901" s="3009">
        <f>'Смета Внутр'!D1907</f>
        <v>2</v>
      </c>
      <c r="E1901" s="3007"/>
      <c r="F1901" s="3016">
        <f>'Смета Внутр'!H1907</f>
        <v>0</v>
      </c>
    </row>
    <row r="1902" spans="2:6">
      <c r="B1902" s="3007" t="str">
        <f>'Смета Внутр'!B1908</f>
        <v>кронштейн для желоба</v>
      </c>
      <c r="C1902" s="3008" t="str">
        <f>'Смета Внутр'!C1908</f>
        <v>шт</v>
      </c>
      <c r="D1902" s="3009">
        <f>'Смета Внутр'!D1908</f>
        <v>10.45</v>
      </c>
      <c r="E1902" s="3007"/>
      <c r="F1902" s="3016">
        <f>'Смета Внутр'!H1908</f>
        <v>0</v>
      </c>
    </row>
    <row r="1903" spans="2:6">
      <c r="B1903" s="3007" t="str">
        <f>'Смета Внутр'!B1909</f>
        <v>переход из желоба в трубу</v>
      </c>
      <c r="C1903" s="3008" t="str">
        <f>'Смета Внутр'!C1909</f>
        <v>шт</v>
      </c>
      <c r="D1903" s="3009">
        <f>'Смета Внутр'!D1909</f>
        <v>2</v>
      </c>
      <c r="E1903" s="3007"/>
      <c r="F1903" s="3016">
        <f>'Смета Внутр'!H1909</f>
        <v>0</v>
      </c>
    </row>
    <row r="1904" spans="2:6">
      <c r="B1904" s="3007" t="str">
        <f>'Смета Внутр'!B1910</f>
        <v>лента дельта мульти бэнд</v>
      </c>
      <c r="C1904" s="3008" t="str">
        <f>'Смета Внутр'!C1910</f>
        <v>шт</v>
      </c>
      <c r="D1904" s="3009">
        <f>'Смета Внутр'!D1910</f>
        <v>0.17595688954225161</v>
      </c>
      <c r="E1904" s="3007"/>
      <c r="F1904" s="3016">
        <f>'Смета Внутр'!H1910</f>
        <v>0</v>
      </c>
    </row>
    <row r="1905" spans="2:6">
      <c r="B1905" s="3007" t="str">
        <f>'Смета Внутр'!B1911</f>
        <v>лента дельта sb-60</v>
      </c>
      <c r="C1905" s="3008" t="str">
        <f>'Смета Внутр'!C1911</f>
        <v>шт</v>
      </c>
      <c r="D1905" s="3009">
        <f>'Смета Внутр'!D1911</f>
        <v>0.13685535853286238</v>
      </c>
      <c r="E1905" s="3007"/>
      <c r="F1905" s="3016">
        <f>'Смета Внутр'!H1911</f>
        <v>0</v>
      </c>
    </row>
    <row r="1906" spans="2:6">
      <c r="B1906" s="3007" t="str">
        <f>'Смета Внутр'!B1912</f>
        <v>Кровельный саморез</v>
      </c>
      <c r="C1906" s="3008" t="str">
        <f>'Смета Внутр'!C1912</f>
        <v>шт</v>
      </c>
      <c r="D1906" s="3009">
        <f>'Смета Внутр'!D1912</f>
        <v>73.901893607745677</v>
      </c>
      <c r="E1906" s="3007"/>
      <c r="F1906" s="3016">
        <f>'Смета Внутр'!H1912</f>
        <v>0</v>
      </c>
    </row>
    <row r="1907" spans="2:6">
      <c r="B1907" s="3311" t="str">
        <f>'Смета Внутр'!B1913</f>
        <v>Итого материалы</v>
      </c>
      <c r="C1907" s="3311"/>
      <c r="D1907" s="3311"/>
      <c r="E1907" s="3311"/>
      <c r="F1907" s="3010">
        <f>'Смета Внутр'!G1913</f>
        <v>0</v>
      </c>
    </row>
    <row r="1908" spans="2:6">
      <c r="B1908" s="3312" t="str">
        <f>'Смета Внутр'!B1914</f>
        <v>Работы</v>
      </c>
      <c r="C1908" s="3312"/>
      <c r="D1908" s="3312"/>
      <c r="E1908" s="3312"/>
      <c r="F1908" s="3015">
        <f>'Смета Внутр'!H1914</f>
        <v>0</v>
      </c>
    </row>
    <row r="1909" spans="2:6">
      <c r="B1909" s="3007" t="str">
        <f>'Смета Внутр'!B1915</f>
        <v>монтаж стропил</v>
      </c>
      <c r="C1909" s="3008" t="str">
        <f>'Смета Внутр'!C1915</f>
        <v>м2</v>
      </c>
      <c r="D1909" s="3009">
        <f>'Смета Внутр'!D1915</f>
        <v>6.1584911339788064</v>
      </c>
      <c r="E1909" s="3007"/>
      <c r="F1909" s="3016">
        <f>'Смета Внутр'!H1915</f>
        <v>0</v>
      </c>
    </row>
    <row r="1910" spans="2:6">
      <c r="B1910" s="3007" t="str">
        <f>'Смета Внутр'!B1916</f>
        <v>обрешетка</v>
      </c>
      <c r="C1910" s="3008" t="str">
        <f>'Смета Внутр'!C1916</f>
        <v>м2</v>
      </c>
      <c r="D1910" s="3009">
        <f>'Смета Внутр'!D1916</f>
        <v>6.1584911339788064</v>
      </c>
      <c r="E1910" s="3007"/>
      <c r="F1910" s="3016">
        <f>'Смета Внутр'!H1916</f>
        <v>0</v>
      </c>
    </row>
    <row r="1911" spans="2:6">
      <c r="B1911" s="3007" t="str">
        <f>'Смета Внутр'!B1917</f>
        <v>контробеш</v>
      </c>
      <c r="C1911" s="3008" t="str">
        <f>'Смета Внутр'!C1917</f>
        <v>м2</v>
      </c>
      <c r="D1911" s="3009">
        <f>'Смета Внутр'!D1917</f>
        <v>0</v>
      </c>
      <c r="E1911" s="3007"/>
      <c r="F1911" s="3016">
        <f>'Смета Внутр'!H1917</f>
        <v>0</v>
      </c>
    </row>
    <row r="1912" spans="2:6">
      <c r="B1912" s="3007" t="str">
        <f>'Смета Внутр'!B1918</f>
        <v>мембрана</v>
      </c>
      <c r="C1912" s="3008" t="str">
        <f>'Смета Внутр'!C1918</f>
        <v>м2</v>
      </c>
      <c r="D1912" s="3009">
        <f>'Смета Внутр'!D1918</f>
        <v>6.1584911339788064</v>
      </c>
      <c r="E1912" s="3007"/>
      <c r="F1912" s="3016">
        <f>'Смета Внутр'!H1918</f>
        <v>0</v>
      </c>
    </row>
    <row r="1913" spans="2:6">
      <c r="B1913" s="3007" t="str">
        <f>'Смета Внутр'!B1919</f>
        <v>Монтаж металлочерепицы</v>
      </c>
      <c r="C1913" s="3008" t="str">
        <f>'Смета Внутр'!C1919</f>
        <v>м2</v>
      </c>
      <c r="D1913" s="3009">
        <f>'Смета Внутр'!D1919</f>
        <v>6.1584911339788064</v>
      </c>
      <c r="E1913" s="3007"/>
      <c r="F1913" s="3016">
        <f>'Смета Внутр'!H1919</f>
        <v>0</v>
      </c>
    </row>
    <row r="1914" spans="2:6">
      <c r="B1914" s="3007" t="str">
        <f>'Смета Внутр'!B1920</f>
        <v>карнизная планка</v>
      </c>
      <c r="C1914" s="3008" t="str">
        <f>'Смета Внутр'!C1920</f>
        <v>м2</v>
      </c>
      <c r="D1914" s="3009">
        <f>'Смета Внутр'!D1920</f>
        <v>4.18</v>
      </c>
      <c r="E1914" s="3007"/>
      <c r="F1914" s="3016">
        <f>'Смета Внутр'!H1920</f>
        <v>0</v>
      </c>
    </row>
    <row r="1915" spans="2:6">
      <c r="B1915" s="3007" t="str">
        <f>'Смета Внутр'!B1921</f>
        <v>торцевая планка</v>
      </c>
      <c r="C1915" s="3008" t="str">
        <f>'Смета Внутр'!C1921</f>
        <v>м2</v>
      </c>
      <c r="D1915" s="3009">
        <f>'Смета Внутр'!D1921</f>
        <v>3.5654422354614148</v>
      </c>
      <c r="E1915" s="3007"/>
      <c r="F1915" s="3016">
        <f>'Смета Внутр'!H1921</f>
        <v>0</v>
      </c>
    </row>
    <row r="1916" spans="2:6">
      <c r="B1916" s="3007" t="str">
        <f>'Смета Внутр'!B1922</f>
        <v>желоб водосточный</v>
      </c>
      <c r="C1916" s="3008" t="str">
        <f>'Смета Внутр'!C1922</f>
        <v>м.п.</v>
      </c>
      <c r="D1916" s="3009">
        <f>'Смета Внутр'!D1922</f>
        <v>4.18</v>
      </c>
      <c r="E1916" s="3007"/>
      <c r="F1916" s="3016">
        <f>'Смета Внутр'!H1922</f>
        <v>0</v>
      </c>
    </row>
    <row r="1917" spans="2:6">
      <c r="B1917" s="3007" t="str">
        <f>'Смета Внутр'!B1923</f>
        <v>труба водосточная</v>
      </c>
      <c r="C1917" s="3008" t="str">
        <f>'Смета Внутр'!C1923</f>
        <v>м.п.</v>
      </c>
      <c r="D1917" s="3009">
        <f>'Смета Внутр'!D1923</f>
        <v>0</v>
      </c>
      <c r="E1917" s="3007"/>
      <c r="F1917" s="3016">
        <f>'Смета Внутр'!H1923</f>
        <v>0</v>
      </c>
    </row>
    <row r="1918" spans="2:6">
      <c r="B1918" s="3007" t="str">
        <f>'Смета Внутр'!B1924</f>
        <v>Монтаж ондулина</v>
      </c>
      <c r="C1918" s="3008" t="str">
        <f>'Смета Внутр'!C1924</f>
        <v>м2</v>
      </c>
      <c r="D1918" s="3009">
        <f>'Смета Внутр'!D1924</f>
        <v>0</v>
      </c>
      <c r="E1918" s="3007"/>
      <c r="F1918" s="3012">
        <f>'Смета Внутр'!H1924</f>
        <v>0</v>
      </c>
    </row>
    <row r="1919" spans="2:6">
      <c r="B1919" s="3007" t="str">
        <f>'Смета Внутр'!B1925</f>
        <v>Монтаж фанеры/osb</v>
      </c>
      <c r="C1919" s="3008" t="str">
        <f>'Смета Внутр'!C1925</f>
        <v>м2</v>
      </c>
      <c r="D1919" s="3009">
        <f>'Смета Внутр'!D1925</f>
        <v>0</v>
      </c>
      <c r="E1919" s="3007"/>
      <c r="F1919" s="3012">
        <f>'Смета Внутр'!H1925</f>
        <v>0</v>
      </c>
    </row>
    <row r="1920" spans="2:6">
      <c r="B1920" s="3007" t="str">
        <f>'Смета Внутр'!B1926</f>
        <v>монтаж подкладочного ковра</v>
      </c>
      <c r="C1920" s="3008" t="str">
        <f>'Смета Внутр'!C1926</f>
        <v>м2</v>
      </c>
      <c r="D1920" s="3009">
        <f>'Смета Внутр'!D1926</f>
        <v>0</v>
      </c>
      <c r="E1920" s="3007"/>
      <c r="F1920" s="3012">
        <f>'Смета Внутр'!H1926</f>
        <v>0</v>
      </c>
    </row>
    <row r="1921" spans="2:6">
      <c r="B1921" s="3007" t="str">
        <f>'Смета Внутр'!B1927</f>
        <v>Монтаж мягкой кровли</v>
      </c>
      <c r="C1921" s="3008" t="str">
        <f>'Смета Внутр'!C1927</f>
        <v>м2</v>
      </c>
      <c r="D1921" s="3009">
        <f>'Смета Внутр'!D1927</f>
        <v>0</v>
      </c>
      <c r="E1921" s="3007"/>
      <c r="F1921" s="3012">
        <f>'Смета Внутр'!H1927</f>
        <v>0</v>
      </c>
    </row>
    <row r="1922" spans="2:6">
      <c r="B1922" s="3007" t="str">
        <f>'Смета Внутр'!B1928</f>
        <v>Монтаж планки примыкания</v>
      </c>
      <c r="C1922" s="3008" t="str">
        <f>'Смета Внутр'!C1928</f>
        <v>м.п.</v>
      </c>
      <c r="D1922" s="3009">
        <f>'Смета Внутр'!D1928</f>
        <v>0</v>
      </c>
      <c r="E1922" s="3007"/>
      <c r="F1922" s="3012">
        <f>'Смета Внутр'!H1928</f>
        <v>0</v>
      </c>
    </row>
    <row r="1923" spans="2:6">
      <c r="B1923" s="3311" t="str">
        <f>'Смета Внутр'!B1929</f>
        <v>Итого работы</v>
      </c>
      <c r="C1923" s="3311"/>
      <c r="D1923" s="3311"/>
      <c r="E1923" s="3311"/>
      <c r="F1923" s="3010">
        <f>'Смета Внутр'!G1929</f>
        <v>0</v>
      </c>
    </row>
    <row r="1924" spans="2:6" ht="19">
      <c r="B1924" s="3313" t="str">
        <f>'Смета Внутр'!B1930</f>
        <v>Окна и двери</v>
      </c>
      <c r="C1924" s="3313"/>
      <c r="D1924" s="3313"/>
      <c r="E1924" s="3313"/>
      <c r="F1924" s="3011">
        <f>'Смета Внутр'!H1930</f>
        <v>0</v>
      </c>
    </row>
    <row r="1925" spans="2:6">
      <c r="B1925" s="3310" t="str">
        <f>'Смета Внутр'!B1931</f>
        <v>Материалы</v>
      </c>
      <c r="C1925" s="3310"/>
      <c r="D1925" s="3310"/>
      <c r="E1925" s="3310"/>
      <c r="F1925" s="3011">
        <f>'Смета Внутр'!H1931</f>
        <v>0</v>
      </c>
    </row>
    <row r="1926" spans="2:6">
      <c r="B1926" s="3007" t="str">
        <f>'Смета Внутр'!B1932</f>
        <v xml:space="preserve">окна   </v>
      </c>
      <c r="C1926" s="3008" t="str">
        <f>'Смета Внутр'!C1932</f>
        <v>м2</v>
      </c>
      <c r="D1926" s="3009">
        <f>'Смета Внутр'!D1932</f>
        <v>1.2</v>
      </c>
      <c r="E1926" s="3007"/>
      <c r="F1926" s="3012">
        <f>'Смета Внутр'!H1932</f>
        <v>0</v>
      </c>
    </row>
    <row r="1927" spans="2:6">
      <c r="B1927" s="3007" t="str">
        <f>'Смета Внутр'!B1933</f>
        <v>подоконник</v>
      </c>
      <c r="C1927" s="3008" t="str">
        <f>'Смета Внутр'!C1933</f>
        <v>м.п.</v>
      </c>
      <c r="D1927" s="3009">
        <f>'Смета Внутр'!D1933</f>
        <v>1</v>
      </c>
      <c r="E1927" s="3007"/>
      <c r="F1927" s="3012">
        <f>'Смета Внутр'!H1933</f>
        <v>0</v>
      </c>
    </row>
    <row r="1928" spans="2:6">
      <c r="B1928" s="3007" t="str">
        <f>'Смета Внутр'!B1934</f>
        <v>направляющие для откосов внутр</v>
      </c>
      <c r="C1928" s="3008" t="str">
        <f>'Смета Внутр'!C1934</f>
        <v>шт</v>
      </c>
      <c r="D1928" s="3009">
        <f>'Смета Внутр'!D1934</f>
        <v>3.4000000000000004</v>
      </c>
      <c r="E1928" s="3007"/>
      <c r="F1928" s="3012">
        <f>'Смета Внутр'!H1934</f>
        <v>0</v>
      </c>
    </row>
    <row r="1929" spans="2:6">
      <c r="B1929" s="3007" t="str">
        <f>'Смета Внутр'!B1935</f>
        <v>откосы внутр</v>
      </c>
      <c r="C1929" s="3008" t="str">
        <f>'Смета Внутр'!C1935</f>
        <v>шт</v>
      </c>
      <c r="D1929" s="3009">
        <f>'Смета Внутр'!D1935</f>
        <v>3.4000000000000004</v>
      </c>
      <c r="E1929" s="3007"/>
      <c r="F1929" s="3012">
        <f>'Смета Внутр'!H1935</f>
        <v>0</v>
      </c>
    </row>
    <row r="1930" spans="2:6">
      <c r="B1930" s="3007" t="str">
        <f>'Смета Внутр'!B1936</f>
        <v>уголок для откосов внутр</v>
      </c>
      <c r="C1930" s="3008" t="str">
        <f>'Смета Внутр'!C1936</f>
        <v>шт</v>
      </c>
      <c r="D1930" s="3009">
        <f>'Смета Внутр'!D1936</f>
        <v>3.4000000000000004</v>
      </c>
      <c r="E1930" s="3007"/>
      <c r="F1930" s="3012">
        <f>'Смета Внутр'!H1936</f>
        <v>0</v>
      </c>
    </row>
    <row r="1931" spans="2:6">
      <c r="B1931" s="3007" t="str">
        <f>'Смета Внутр'!B1937</f>
        <v>отлив</v>
      </c>
      <c r="C1931" s="3008" t="str">
        <f>'Смета Внутр'!C1937</f>
        <v>шт</v>
      </c>
      <c r="D1931" s="3009">
        <f>'Смета Внутр'!D1937</f>
        <v>0</v>
      </c>
      <c r="E1931" s="3007"/>
      <c r="F1931" s="3012">
        <f>'Смета Внутр'!H1937</f>
        <v>0</v>
      </c>
    </row>
    <row r="1932" spans="2:6">
      <c r="B1932" s="3007" t="str">
        <f>'Смета Внутр'!B1938</f>
        <v>откосы нар</v>
      </c>
      <c r="C1932" s="3008" t="str">
        <f>'Смета Внутр'!C1938</f>
        <v>шт</v>
      </c>
      <c r="D1932" s="3009">
        <f>'Смета Внутр'!D1938</f>
        <v>0</v>
      </c>
      <c r="E1932" s="3007"/>
      <c r="F1932" s="3012">
        <f>'Смета Внутр'!H1938</f>
        <v>0</v>
      </c>
    </row>
    <row r="1933" spans="2:6">
      <c r="B1933" s="3007" t="str">
        <f>'Смета Внутр'!B1939</f>
        <v>направляющие для откосов нар</v>
      </c>
      <c r="C1933" s="3008" t="str">
        <f>'Смета Внутр'!C1939</f>
        <v>шт</v>
      </c>
      <c r="D1933" s="3009">
        <f>'Смета Внутр'!D1939</f>
        <v>0</v>
      </c>
      <c r="E1933" s="3007"/>
      <c r="F1933" s="3012">
        <f>'Смета Внутр'!H1939</f>
        <v>0</v>
      </c>
    </row>
    <row r="1934" spans="2:6">
      <c r="B1934" s="3007" t="str">
        <f>'Смета Внутр'!B1940</f>
        <v>уголок для откосов нар</v>
      </c>
      <c r="C1934" s="3008" t="str">
        <f>'Смета Внутр'!C1940</f>
        <v>шт</v>
      </c>
      <c r="D1934" s="3009">
        <f>'Смета Внутр'!D1940</f>
        <v>0</v>
      </c>
      <c r="E1934" s="3007"/>
      <c r="F1934" s="3012">
        <f>'Смета Внутр'!H1940</f>
        <v>0</v>
      </c>
    </row>
    <row r="1935" spans="2:6">
      <c r="B1935" s="3007" t="str">
        <f>'Смета Внутр'!B1941</f>
        <v>ветроизоляция окон</v>
      </c>
      <c r="C1935" s="3008" t="str">
        <f>'Смета Внутр'!C1941</f>
        <v>м.п.</v>
      </c>
      <c r="D1935" s="3009">
        <f>'Смета Внутр'!D1941</f>
        <v>0</v>
      </c>
      <c r="E1935" s="3007"/>
      <c r="F1935" s="3012">
        <f>'Смета Внутр'!H1941</f>
        <v>0</v>
      </c>
    </row>
    <row r="1936" spans="2:6">
      <c r="B1936" s="3007" t="str">
        <f>'Смета Внутр'!B1942</f>
        <v>пароизоляция окон</v>
      </c>
      <c r="C1936" s="3008" t="str">
        <f>'Смета Внутр'!C1942</f>
        <v>шт</v>
      </c>
      <c r="D1936" s="3009">
        <f>'Смета Внутр'!D1942</f>
        <v>3.4000000000000004</v>
      </c>
      <c r="E1936" s="3007"/>
      <c r="F1936" s="3012">
        <f>'Смета Внутр'!H1942</f>
        <v>0</v>
      </c>
    </row>
    <row r="1937" spans="2:6">
      <c r="B1937" s="3007" t="str">
        <f>'Смета Внутр'!B1943</f>
        <v>крепления</v>
      </c>
      <c r="C1937" s="3008" t="str">
        <f>'Смета Внутр'!C1943</f>
        <v>шт</v>
      </c>
      <c r="D1937" s="3009">
        <f>'Смета Внутр'!D1943</f>
        <v>8</v>
      </c>
      <c r="E1937" s="3007"/>
      <c r="F1937" s="3012">
        <f>'Смета Внутр'!H1943</f>
        <v>0</v>
      </c>
    </row>
    <row r="1938" spans="2:6">
      <c r="B1938" s="3007" t="str">
        <f>'Смета Внутр'!B1944</f>
        <v>Пена монтажная, всесезонняя 800мл</v>
      </c>
      <c r="C1938" s="3008" t="str">
        <f>'Смета Внутр'!C1944</f>
        <v>шт</v>
      </c>
      <c r="D1938" s="3009">
        <f>'Смета Внутр'!D1944</f>
        <v>1</v>
      </c>
      <c r="E1938" s="3007"/>
      <c r="F1938" s="3012">
        <f>'Смета Внутр'!H1944</f>
        <v>0</v>
      </c>
    </row>
    <row r="1939" spans="2:6">
      <c r="B1939" s="3007" t="str">
        <f>'Смета Внутр'!B1945</f>
        <v>Французские окна</v>
      </c>
      <c r="C1939" s="3008" t="str">
        <f>'Смета Внутр'!C1945</f>
        <v>м2</v>
      </c>
      <c r="D1939" s="3009">
        <f>'Смета Внутр'!D1945</f>
        <v>0</v>
      </c>
      <c r="E1939" s="3007"/>
      <c r="F1939" s="3012">
        <f>'Смета Внутр'!H1945</f>
        <v>0</v>
      </c>
    </row>
    <row r="1940" spans="2:6">
      <c r="B1940" s="3007" t="str">
        <f>'Смета Внутр'!B1946</f>
        <v>анкерный болт для крепления окно фр</v>
      </c>
      <c r="C1940" s="3008" t="str">
        <f>'Смета Внутр'!C1946</f>
        <v>шт</v>
      </c>
      <c r="D1940" s="3009">
        <f>'Смета Внутр'!D1946</f>
        <v>0</v>
      </c>
      <c r="E1940" s="3007"/>
      <c r="F1940" s="3012">
        <f>'Смета Внутр'!H1946</f>
        <v>0</v>
      </c>
    </row>
    <row r="1941" spans="2:6">
      <c r="B1941" s="3007" t="str">
        <f>'Смета Внутр'!B1947</f>
        <v>Пена монтажная, всесезонняя 800мл</v>
      </c>
      <c r="C1941" s="3008" t="str">
        <f>'Смета Внутр'!C1947</f>
        <v>шт</v>
      </c>
      <c r="D1941" s="3009">
        <f>'Смета Внутр'!D1947</f>
        <v>0</v>
      </c>
      <c r="E1941" s="3007"/>
      <c r="F1941" s="3012">
        <f>'Смета Внутр'!H1947</f>
        <v>0</v>
      </c>
    </row>
    <row r="1942" spans="2:6">
      <c r="B1942" s="3007" t="str">
        <f>'Смета Внутр'!B1948</f>
        <v>пластины для крепления</v>
      </c>
      <c r="C1942" s="3008" t="str">
        <f>'Смета Внутр'!C1948</f>
        <v>шт</v>
      </c>
      <c r="D1942" s="3009">
        <f>'Смета Внутр'!D1948</f>
        <v>0</v>
      </c>
      <c r="E1942" s="3007"/>
      <c r="F1942" s="3012">
        <f>'Смета Внутр'!H1948</f>
        <v>0</v>
      </c>
    </row>
    <row r="1943" spans="2:6">
      <c r="B1943" s="3007" t="str">
        <f>'Смета Внутр'!B1949</f>
        <v>Двери входные</v>
      </c>
      <c r="C1943" s="3008" t="str">
        <f>'Смета Внутр'!C1949</f>
        <v>шт</v>
      </c>
      <c r="D1943" s="3009">
        <f>'Смета Внутр'!D1949</f>
        <v>0</v>
      </c>
      <c r="E1943" s="3007"/>
      <c r="F1943" s="3012">
        <f>'Смета Внутр'!H1949</f>
        <v>0</v>
      </c>
    </row>
    <row r="1944" spans="2:6">
      <c r="B1944" s="3007" t="str">
        <f>'Смета Внутр'!B1950</f>
        <v>Анкер болт, 12*200</v>
      </c>
      <c r="C1944" s="3008" t="str">
        <f>'Смета Внутр'!C1950</f>
        <v>шт</v>
      </c>
      <c r="D1944" s="3009">
        <f>'Смета Внутр'!D1950</f>
        <v>0</v>
      </c>
      <c r="E1944" s="3007"/>
      <c r="F1944" s="3012">
        <f>'Смета Внутр'!H1950</f>
        <v>0</v>
      </c>
    </row>
    <row r="1945" spans="2:6">
      <c r="B1945" s="3007" t="str">
        <f>'Смета Внутр'!B1951</f>
        <v>Пена монтажная</v>
      </c>
      <c r="C1945" s="3008" t="str">
        <f>'Смета Внутр'!C1951</f>
        <v>шт</v>
      </c>
      <c r="D1945" s="3009">
        <f>'Смета Внутр'!D1951</f>
        <v>0</v>
      </c>
      <c r="E1945" s="3007"/>
      <c r="F1945" s="3012">
        <f>'Смета Внутр'!H1951</f>
        <v>0</v>
      </c>
    </row>
    <row r="1946" spans="2:6">
      <c r="B1946" s="3311" t="str">
        <f>'Смета Внутр'!B1952</f>
        <v>Итого материалы</v>
      </c>
      <c r="C1946" s="3311"/>
      <c r="D1946" s="3311"/>
      <c r="E1946" s="3311"/>
      <c r="F1946" s="3014">
        <f>'Смета Внутр'!G1952</f>
        <v>0</v>
      </c>
    </row>
    <row r="1947" spans="2:6">
      <c r="B1947" s="3312" t="str">
        <f>'Смета Внутр'!B1953</f>
        <v>Работы</v>
      </c>
      <c r="C1947" s="3312"/>
      <c r="D1947" s="3312"/>
      <c r="E1947" s="3312"/>
      <c r="F1947" s="3011">
        <f>'Смета Внутр'!H1953</f>
        <v>0</v>
      </c>
    </row>
    <row r="1948" spans="2:6">
      <c r="B1948" s="3007" t="str">
        <f>'Смета Внутр'!B1954</f>
        <v>монтаж окон</v>
      </c>
      <c r="C1948" s="3008" t="str">
        <f>'Смета Внутр'!C1954</f>
        <v>шт</v>
      </c>
      <c r="D1948" s="3009">
        <f>'Смета Внутр'!D1954</f>
        <v>1</v>
      </c>
      <c r="E1948" s="3007"/>
      <c r="F1948" s="3012">
        <f>'Смета Внутр'!H1954</f>
        <v>0</v>
      </c>
    </row>
    <row r="1949" spans="2:6">
      <c r="B1949" s="3007" t="str">
        <f>'Смета Внутр'!B1955</f>
        <v>монтаж подоконника</v>
      </c>
      <c r="C1949" s="3008" t="str">
        <f>'Смета Внутр'!C1955</f>
        <v>шт</v>
      </c>
      <c r="D1949" s="3009">
        <f>'Смета Внутр'!D1955</f>
        <v>1</v>
      </c>
      <c r="E1949" s="3007"/>
      <c r="F1949" s="3012">
        <f>'Смета Внутр'!H1955</f>
        <v>0</v>
      </c>
    </row>
    <row r="1950" spans="2:6">
      <c r="B1950" s="3007" t="str">
        <f>'Смета Внутр'!B1956</f>
        <v>монтаж откосов вн</v>
      </c>
      <c r="C1950" s="3008" t="str">
        <f>'Смета Внутр'!C1956</f>
        <v>шт</v>
      </c>
      <c r="D1950" s="3009">
        <f>'Смета Внутр'!D1956</f>
        <v>3.4000000000000004</v>
      </c>
      <c r="E1950" s="3007"/>
      <c r="F1950" s="3012">
        <f>'Смета Внутр'!H1956</f>
        <v>0</v>
      </c>
    </row>
    <row r="1951" spans="2:6">
      <c r="B1951" s="3007" t="str">
        <f>'Смета Внутр'!B1957</f>
        <v>монтаж направл вн</v>
      </c>
      <c r="C1951" s="3008" t="str">
        <f>'Смета Внутр'!C1957</f>
        <v>шт</v>
      </c>
      <c r="D1951" s="3009">
        <f>'Смета Внутр'!D1957</f>
        <v>3.4000000000000004</v>
      </c>
      <c r="E1951" s="3007"/>
      <c r="F1951" s="3012">
        <f>'Смета Внутр'!H1957</f>
        <v>0</v>
      </c>
    </row>
    <row r="1952" spans="2:6">
      <c r="B1952" s="3007" t="str">
        <f>'Смета Внутр'!B1958</f>
        <v>монтаж уголков вн</v>
      </c>
      <c r="C1952" s="3008" t="str">
        <f>'Смета Внутр'!C1958</f>
        <v>шт</v>
      </c>
      <c r="D1952" s="3009">
        <f>'Смета Внутр'!D1958</f>
        <v>3.4000000000000004</v>
      </c>
      <c r="E1952" s="3007"/>
      <c r="F1952" s="3012">
        <f>'Смета Внутр'!H1958</f>
        <v>0</v>
      </c>
    </row>
    <row r="1953" spans="2:6">
      <c r="B1953" s="3007" t="str">
        <f>'Смета Внутр'!B1959</f>
        <v>монтаж отлива</v>
      </c>
      <c r="C1953" s="3008" t="str">
        <f>'Смета Внутр'!C1959</f>
        <v>шт</v>
      </c>
      <c r="D1953" s="3009">
        <f>'Смета Внутр'!D1959</f>
        <v>0</v>
      </c>
      <c r="E1953" s="3007"/>
      <c r="F1953" s="3012">
        <f>'Смета Внутр'!H1959</f>
        <v>0</v>
      </c>
    </row>
    <row r="1954" spans="2:6">
      <c r="B1954" s="3007" t="str">
        <f>'Смета Внутр'!B1960</f>
        <v>монтаж откосов</v>
      </c>
      <c r="C1954" s="3008" t="str">
        <f>'Смета Внутр'!C1960</f>
        <v>шт</v>
      </c>
      <c r="D1954" s="3009">
        <f>'Смета Внутр'!D1960</f>
        <v>0</v>
      </c>
      <c r="E1954" s="3007"/>
      <c r="F1954" s="3012">
        <f>'Смета Внутр'!H1960</f>
        <v>0</v>
      </c>
    </row>
    <row r="1955" spans="2:6">
      <c r="B1955" s="3007" t="str">
        <f>'Смета Внутр'!B1961</f>
        <v>монтаж направляющ</v>
      </c>
      <c r="C1955" s="3008" t="str">
        <f>'Смета Внутр'!C1961</f>
        <v>шт</v>
      </c>
      <c r="D1955" s="3009">
        <f>'Смета Внутр'!D1961</f>
        <v>0</v>
      </c>
      <c r="E1955" s="3007"/>
      <c r="F1955" s="3012">
        <f>'Смета Внутр'!H1961</f>
        <v>0</v>
      </c>
    </row>
    <row r="1956" spans="2:6">
      <c r="B1956" s="3007" t="str">
        <f>'Смета Внутр'!B1962</f>
        <v>монтаж уголков</v>
      </c>
      <c r="C1956" s="3008" t="str">
        <f>'Смета Внутр'!C1962</f>
        <v>шт</v>
      </c>
      <c r="D1956" s="3009">
        <f>'Смета Внутр'!D1962</f>
        <v>0</v>
      </c>
      <c r="E1956" s="3007"/>
      <c r="F1956" s="3012">
        <f>'Смета Внутр'!H1962</f>
        <v>0</v>
      </c>
    </row>
    <row r="1957" spans="2:6">
      <c r="B1957" s="3007" t="str">
        <f>'Смета Внутр'!B1963</f>
        <v>монтаж ветроизоляции</v>
      </c>
      <c r="C1957" s="3008" t="str">
        <f>'Смета Внутр'!C1963</f>
        <v>м.п.</v>
      </c>
      <c r="D1957" s="3009">
        <f>'Смета Внутр'!D1963</f>
        <v>0</v>
      </c>
      <c r="E1957" s="3007"/>
      <c r="F1957" s="3012">
        <f>'Смета Внутр'!H1963</f>
        <v>0</v>
      </c>
    </row>
    <row r="1958" spans="2:6">
      <c r="B1958" s="3007" t="str">
        <f>'Смета Внутр'!B1964</f>
        <v>монтаж пароизоляции</v>
      </c>
      <c r="C1958" s="3008" t="str">
        <f>'Смета Внутр'!C1964</f>
        <v>м.п.</v>
      </c>
      <c r="D1958" s="3009">
        <f>'Смета Внутр'!D1964</f>
        <v>3.4000000000000004</v>
      </c>
      <c r="E1958" s="3007"/>
      <c r="F1958" s="3012">
        <f>'Смета Внутр'!H1964</f>
        <v>0</v>
      </c>
    </row>
    <row r="1959" spans="2:6">
      <c r="B1959" s="3007" t="str">
        <f>'Смета Внутр'!B1965</f>
        <v>Двери входные</v>
      </c>
      <c r="C1959" s="3008" t="str">
        <f>'Смета Внутр'!C1965</f>
        <v>шт</v>
      </c>
      <c r="D1959" s="3009">
        <f>'Смета Внутр'!D1965</f>
        <v>0</v>
      </c>
      <c r="E1959" s="3007"/>
      <c r="F1959" s="3012">
        <f>'Смета Внутр'!H1965</f>
        <v>0</v>
      </c>
    </row>
    <row r="1960" spans="2:6">
      <c r="B1960" s="3007" t="str">
        <f>'Смета Внутр'!B1966</f>
        <v>монтаж франццзских окон</v>
      </c>
      <c r="C1960" s="3008" t="str">
        <f>'Смета Внутр'!C1966</f>
        <v>шт</v>
      </c>
      <c r="D1960" s="3009">
        <f>'Смета Внутр'!D1966</f>
        <v>0</v>
      </c>
      <c r="E1960" s="3007"/>
      <c r="F1960" s="3012">
        <f>'Смета Внутр'!H1966</f>
        <v>0</v>
      </c>
    </row>
    <row r="1961" spans="2:6">
      <c r="B1961" s="3311" t="str">
        <f>'Смета Внутр'!B1967</f>
        <v>Итого работы</v>
      </c>
      <c r="C1961" s="3311"/>
      <c r="D1961" s="3311"/>
      <c r="E1961" s="3311"/>
      <c r="F1961" s="3014">
        <f>'Смета Внутр'!G1967</f>
        <v>0</v>
      </c>
    </row>
    <row r="1962" spans="2:6" ht="21">
      <c r="B1962" s="3322" t="str">
        <f>'Смета Внутр'!B1968</f>
        <v>Лестница деревянная</v>
      </c>
      <c r="C1962" s="3322"/>
      <c r="D1962" s="3322"/>
      <c r="E1962" s="3322"/>
      <c r="F1962" s="3011">
        <f>'Смета Внутр'!H1968</f>
        <v>0</v>
      </c>
    </row>
    <row r="1963" spans="2:6">
      <c r="B1963" s="3310" t="str">
        <f>'Смета Внутр'!B1969</f>
        <v>Материалы</v>
      </c>
      <c r="C1963" s="3310"/>
      <c r="D1963" s="3310"/>
      <c r="E1963" s="3310"/>
      <c r="F1963" s="3011">
        <f>'Смета Внутр'!H1969</f>
        <v>0</v>
      </c>
    </row>
    <row r="1964" spans="2:6">
      <c r="B1964" s="3007" t="str">
        <f>'Смета Внутр'!B1970</f>
        <v>ступени хвоя</v>
      </c>
      <c r="C1964" s="3008" t="str">
        <f>'Смета Внутр'!C1970</f>
        <v>шт</v>
      </c>
      <c r="D1964" s="3009">
        <f>'Смета Внутр'!D1970</f>
        <v>18</v>
      </c>
      <c r="E1964" s="3007"/>
      <c r="F1964" s="3012">
        <f>'Смета Внутр'!H1970</f>
        <v>0</v>
      </c>
    </row>
    <row r="1965" spans="2:6">
      <c r="B1965" s="3007" t="str">
        <f>'Смета Внутр'!B1971</f>
        <v>площадка хвоя</v>
      </c>
      <c r="C1965" s="3008" t="str">
        <f>'Смета Внутр'!C1971</f>
        <v>шт</v>
      </c>
      <c r="D1965" s="3009">
        <f>'Смета Внутр'!D1971</f>
        <v>1</v>
      </c>
      <c r="E1965" s="3007"/>
      <c r="F1965" s="3012">
        <f>'Смета Внутр'!H1971</f>
        <v>0</v>
      </c>
    </row>
    <row r="1966" spans="2:6">
      <c r="B1966" s="3007" t="str">
        <f>'Смета Внутр'!B1972</f>
        <v>столб под площадку, 2м</v>
      </c>
      <c r="C1966" s="3008" t="str">
        <f>'Смета Внутр'!C1972</f>
        <v>шт</v>
      </c>
      <c r="D1966" s="3009">
        <f>'Смета Внутр'!D1972</f>
        <v>4</v>
      </c>
      <c r="E1966" s="3007"/>
      <c r="F1966" s="3012">
        <f>'Смета Внутр'!H1972</f>
        <v>0</v>
      </c>
    </row>
    <row r="1967" spans="2:6">
      <c r="B1967" s="3007" t="str">
        <f>'Смета Внутр'!B1973</f>
        <v>столб обвязка перил 1 и 2 этажа</v>
      </c>
      <c r="C1967" s="3008" t="str">
        <f>'Смета Внутр'!C1973</f>
        <v>шт</v>
      </c>
      <c r="D1967" s="3009">
        <f>'Смета Внутр'!D1973</f>
        <v>1</v>
      </c>
      <c r="E1967" s="3007"/>
      <c r="F1967" s="3012">
        <f>'Смета Внутр'!H1973</f>
        <v>0</v>
      </c>
    </row>
    <row r="1968" spans="2:6">
      <c r="B1968" s="3007" t="str">
        <f>'Смета Внутр'!B1974</f>
        <v>балясина 80*80, первая</v>
      </c>
      <c r="C1968" s="3008" t="str">
        <f>'Смета Внутр'!C1974</f>
        <v>шт</v>
      </c>
      <c r="D1968" s="3009">
        <f>'Смета Внутр'!D1974</f>
        <v>2</v>
      </c>
      <c r="E1968" s="3007"/>
      <c r="F1968" s="3012">
        <f>'Смета Внутр'!H1974</f>
        <v>0</v>
      </c>
    </row>
    <row r="1969" spans="2:6">
      <c r="B1969" s="3007" t="str">
        <f>'Смета Внутр'!B1975</f>
        <v>тетева, 3м.п.</v>
      </c>
      <c r="C1969" s="3008" t="str">
        <f>'Смета Внутр'!C1975</f>
        <v>шт</v>
      </c>
      <c r="D1969" s="3009">
        <f>'Смета Внутр'!D1975</f>
        <v>4</v>
      </c>
      <c r="E1969" s="3007"/>
      <c r="F1969" s="3012">
        <f>'Смета Внутр'!H1975</f>
        <v>0</v>
      </c>
    </row>
    <row r="1970" spans="2:6">
      <c r="B1970" s="3007" t="str">
        <f>'Смета Внутр'!B1976</f>
        <v>крепления для ступеней, болт</v>
      </c>
      <c r="C1970" s="3008" t="str">
        <f>'Смета Внутр'!C1976</f>
        <v>шт</v>
      </c>
      <c r="D1970" s="3009">
        <f>'Смета Внутр'!D1976</f>
        <v>108</v>
      </c>
      <c r="E1970" s="3007"/>
      <c r="F1970" s="3012">
        <f>'Смета Внутр'!H1976</f>
        <v>0</v>
      </c>
    </row>
    <row r="1971" spans="2:6">
      <c r="B1971" s="3007" t="str">
        <f>'Смета Внутр'!B1977</f>
        <v>крепления для площадки</v>
      </c>
      <c r="C1971" s="3008" t="str">
        <f>'Смета Внутр'!C1977</f>
        <v>шт</v>
      </c>
      <c r="D1971" s="3009">
        <f>'Смета Внутр'!D1977</f>
        <v>8</v>
      </c>
      <c r="E1971" s="3007"/>
      <c r="F1971" s="3012">
        <f>'Смета Внутр'!H1977</f>
        <v>0</v>
      </c>
    </row>
    <row r="1972" spans="2:6">
      <c r="B1972" s="3007" t="str">
        <f>'Смета Внутр'!B1978</f>
        <v>поручни</v>
      </c>
      <c r="C1972" s="3008" t="str">
        <f>'Смета Внутр'!C1978</f>
        <v>шт</v>
      </c>
      <c r="D1972" s="3009">
        <f>'Смета Внутр'!D1978</f>
        <v>4</v>
      </c>
      <c r="E1972" s="3007"/>
      <c r="F1972" s="3012">
        <f>'Смета Внутр'!H1978</f>
        <v>0</v>
      </c>
    </row>
    <row r="1973" spans="2:6">
      <c r="B1973" s="3007" t="str">
        <f>'Смета Внутр'!B1979</f>
        <v>балясины</v>
      </c>
      <c r="C1973" s="3008" t="str">
        <f>'Смета Внутр'!C1979</f>
        <v>шт</v>
      </c>
      <c r="D1973" s="3009">
        <f>'Смета Внутр'!D1979</f>
        <v>25</v>
      </c>
      <c r="E1973" s="3007"/>
      <c r="F1973" s="3012">
        <f>'Смета Внутр'!H1979</f>
        <v>0</v>
      </c>
    </row>
    <row r="1974" spans="2:6">
      <c r="B1974" s="3311" t="str">
        <f>'Смета Внутр'!B1980</f>
        <v>Итого материалы</v>
      </c>
      <c r="C1974" s="3311"/>
      <c r="D1974" s="3311"/>
      <c r="E1974" s="3311"/>
      <c r="F1974" s="3014">
        <f>'Смета Внутр'!G1980</f>
        <v>0</v>
      </c>
    </row>
    <row r="1975" spans="2:6">
      <c r="B1975" s="3312" t="str">
        <f>'Смета Внутр'!B1981</f>
        <v>Работы</v>
      </c>
      <c r="C1975" s="3312"/>
      <c r="D1975" s="3312"/>
      <c r="E1975" s="3312"/>
      <c r="F1975" s="3011">
        <f>'Смета Внутр'!H1981</f>
        <v>0</v>
      </c>
    </row>
    <row r="1976" spans="2:6">
      <c r="B1976" s="3007" t="str">
        <f>'Смета Внутр'!B1982</f>
        <v>сборка лестницы</v>
      </c>
      <c r="C1976" s="3008" t="str">
        <f>'Смета Внутр'!C1982</f>
        <v>шт</v>
      </c>
      <c r="D1976" s="3009">
        <f>'Смета Внутр'!D1982</f>
        <v>1</v>
      </c>
      <c r="E1976" s="3007"/>
      <c r="F1976" s="3012">
        <f>'Смета Внутр'!H1982</f>
        <v>0</v>
      </c>
    </row>
    <row r="1977" spans="2:6">
      <c r="B1977" s="3311" t="str">
        <f>'Смета Внутр'!B1983</f>
        <v>Итого работы</v>
      </c>
      <c r="C1977" s="3311"/>
      <c r="D1977" s="3311"/>
      <c r="E1977" s="3311"/>
      <c r="F1977" s="3014">
        <f>'Смета Внутр'!G1983</f>
        <v>0</v>
      </c>
    </row>
    <row r="1978" spans="2:6" ht="19">
      <c r="B1978" s="3319" t="str">
        <f>'Смета Внутр'!B1984</f>
        <v>Лестница бетонная</v>
      </c>
      <c r="C1978" s="3319"/>
      <c r="D1978" s="3319"/>
      <c r="E1978" s="3319"/>
      <c r="F1978" s="3319"/>
    </row>
    <row r="1979" spans="2:6">
      <c r="B1979" s="3320" t="str">
        <f>'Смета Внутр'!B1985</f>
        <v>Материалы</v>
      </c>
      <c r="C1979" s="3320"/>
      <c r="D1979" s="3320"/>
      <c r="E1979" s="3320"/>
      <c r="F1979" s="3320"/>
    </row>
    <row r="1980" spans="2:6">
      <c r="B1980" s="3022" t="str">
        <f>'Смета Внутр'!B1986</f>
        <v>Арматура А1 8 мм</v>
      </c>
      <c r="C1980" s="3022" t="str">
        <f>'Смета Внутр'!C1986</f>
        <v>м.п.</v>
      </c>
      <c r="D1980" s="3023">
        <f>'Смета Внутр'!D1986</f>
        <v>52</v>
      </c>
      <c r="E1980" s="3024"/>
      <c r="F1980" s="3014"/>
    </row>
    <row r="1981" spans="2:6">
      <c r="B1981" s="3022" t="str">
        <f>'Смета Внутр'!B1987</f>
        <v>Доска 50/150</v>
      </c>
      <c r="C1981" s="3022" t="str">
        <f>'Смета Внутр'!C1987</f>
        <v>м.п.</v>
      </c>
      <c r="D1981" s="3023">
        <f>'Смета Внутр'!D1987</f>
        <v>10</v>
      </c>
      <c r="E1981" s="3013"/>
      <c r="F1981" s="3014"/>
    </row>
    <row r="1982" spans="2:6">
      <c r="B1982" s="3022" t="str">
        <f>'Смета Внутр'!B1988</f>
        <v>OSB-3 КНР (для наружных работ), 12мм</v>
      </c>
      <c r="C1982" s="3022" t="str">
        <f>'Смета Внутр'!C1988</f>
        <v>м2</v>
      </c>
      <c r="D1982" s="3023">
        <f>'Смета Внутр'!D1988</f>
        <v>7</v>
      </c>
      <c r="E1982" s="3013"/>
      <c r="F1982" s="3014"/>
    </row>
    <row r="1983" spans="2:6">
      <c r="B1983" s="3022" t="str">
        <f>'Смета Внутр'!B1989</f>
        <v>Бетон, м350</v>
      </c>
      <c r="C1983" s="3022" t="str">
        <f>'Смета Внутр'!C1989</f>
        <v>м3</v>
      </c>
      <c r="D1983" s="3023">
        <f>'Смета Внутр'!D1989</f>
        <v>0.42399999999999999</v>
      </c>
      <c r="E1983" s="3013"/>
      <c r="F1983" s="3014"/>
    </row>
    <row r="1984" spans="2:6">
      <c r="B1984" s="3022" t="str">
        <f>'Смета Внутр'!B1990</f>
        <v xml:space="preserve">Саморезы 3,5 x 55            </v>
      </c>
      <c r="C1984" s="3022" t="str">
        <f>'Смета Внутр'!C1990</f>
        <v>кг</v>
      </c>
      <c r="D1984" s="3023">
        <f>'Смета Внутр'!D1990</f>
        <v>1</v>
      </c>
      <c r="E1984" s="3013"/>
      <c r="F1984" s="3014"/>
    </row>
    <row r="1985" spans="2:9">
      <c r="B1985" s="3022" t="str">
        <f>'Смета Внутр'!B1991</f>
        <v>Нет техники</v>
      </c>
      <c r="C1985" s="3022" t="str">
        <f>'Смета Внутр'!C1991</f>
        <v>час</v>
      </c>
      <c r="D1985" s="3023">
        <f>'Смета Внутр'!D1991</f>
        <v>0</v>
      </c>
      <c r="E1985" s="3013"/>
      <c r="F1985" s="3014"/>
    </row>
    <row r="1986" spans="2:9">
      <c r="B1986" s="3022" t="str">
        <f>'Смета Внутр'!B1992</f>
        <v>Манипулятор 5т</v>
      </c>
      <c r="C1986" s="3022" t="str">
        <f>'Смета Внутр'!C1992</f>
        <v>шт.</v>
      </c>
      <c r="D1986" s="3023">
        <f>'Смета Внутр'!D1992</f>
        <v>3</v>
      </c>
      <c r="E1986" s="3013"/>
      <c r="F1986" s="3014"/>
    </row>
    <row r="1987" spans="2:9">
      <c r="B1987" s="3022" t="str">
        <f>'Смета Внутр'!B1993</f>
        <v>Доп. Расходы</v>
      </c>
      <c r="C1987" s="3022" t="str">
        <f>'Смета Внутр'!C1993</f>
        <v>руб.</v>
      </c>
      <c r="D1987" s="3023">
        <f>'Смета Внутр'!D1993</f>
        <v>1</v>
      </c>
      <c r="E1987" s="3013"/>
      <c r="F1987" s="3014"/>
    </row>
    <row r="1988" spans="2:9">
      <c r="B1988" s="3323" t="str">
        <f>'Смета Внутр'!B1994</f>
        <v>Итого материалы</v>
      </c>
      <c r="C1988" s="3323"/>
      <c r="D1988" s="3323"/>
      <c r="E1988" s="3323"/>
      <c r="F1988" s="2801">
        <f>'Смета Внутр'!G1994</f>
        <v>14391.596000000001</v>
      </c>
      <c r="G1988" s="3019"/>
      <c r="H1988" s="3019"/>
      <c r="I1988" s="3019"/>
    </row>
    <row r="1989" spans="2:9">
      <c r="B1989" s="3320" t="str">
        <f>'Смета Внутр'!B1995</f>
        <v>Работы</v>
      </c>
      <c r="C1989" s="3320"/>
      <c r="D1989" s="3320"/>
      <c r="E1989" s="3320"/>
      <c r="F1989" s="3320"/>
      <c r="G1989" s="3025"/>
      <c r="H1989" s="3025"/>
      <c r="I1989" s="3025"/>
    </row>
    <row r="1990" spans="2:9">
      <c r="B1990" s="3024" t="str">
        <f>'Смета Внутр'!B1996</f>
        <v>Монтаж лестницы</v>
      </c>
      <c r="C1990" s="3024" t="str">
        <f>'Смета Внутр'!C1996</f>
        <v>руб.</v>
      </c>
      <c r="D1990" s="3008">
        <f>'Смета Внутр'!D1996</f>
        <v>1</v>
      </c>
      <c r="E1990" s="3024"/>
      <c r="F1990" s="3024"/>
    </row>
    <row r="1991" spans="2:9">
      <c r="B1991" s="3311" t="str">
        <f>'Смета Внутр'!B1997</f>
        <v>Итого работы</v>
      </c>
      <c r="C1991" s="3311"/>
      <c r="D1991" s="3311"/>
      <c r="E1991" s="3311"/>
      <c r="F1991" s="2801">
        <f>'Смета Внутр'!G1997</f>
        <v>50000</v>
      </c>
      <c r="G1991" s="3019"/>
      <c r="H1991" s="3019"/>
      <c r="I1991" s="3019"/>
    </row>
    <row r="1992" spans="2:9" ht="19">
      <c r="B1992" s="3324" t="str">
        <f>'Смета Внутр'!B1998</f>
        <v>Лестница готовая</v>
      </c>
      <c r="C1992" s="3324"/>
      <c r="D1992" s="3324"/>
      <c r="E1992" s="3324"/>
      <c r="F1992" s="3324"/>
    </row>
    <row r="1993" spans="2:9">
      <c r="B1993" s="3320" t="str">
        <f>'Смета Внутр'!B1999</f>
        <v>Материалы</v>
      </c>
      <c r="C1993" s="3320"/>
      <c r="D1993" s="3320"/>
      <c r="E1993" s="3320"/>
      <c r="F1993" s="3320"/>
    </row>
    <row r="1994" spans="2:9">
      <c r="B1994" s="3024" t="str">
        <f>'Смета Внутр'!B2000</f>
        <v>Бетонная лестница 2</v>
      </c>
      <c r="C1994" s="3024" t="str">
        <f>'Смета Внутр'!C2000</f>
        <v>шт.</v>
      </c>
      <c r="D1994" s="3024">
        <f>'Смета Внутр'!D2000</f>
        <v>1</v>
      </c>
      <c r="E1994" s="3013"/>
      <c r="F1994" s="3014"/>
    </row>
    <row r="1995" spans="2:9">
      <c r="B1995" s="3024" t="str">
        <f>'Смета Внутр'!B2001</f>
        <v xml:space="preserve">Нет </v>
      </c>
      <c r="C1995" s="3024" t="str">
        <f>'Смета Внутр'!C2001</f>
        <v>шт.</v>
      </c>
      <c r="D1995" s="3024">
        <f>'Смета Внутр'!D2001</f>
        <v>2</v>
      </c>
      <c r="E1995" s="3013"/>
      <c r="F1995" s="3014"/>
    </row>
    <row r="1996" spans="2:9">
      <c r="B1996" s="3024" t="str">
        <f>'Смета Внутр'!B2002</f>
        <v>Доп. Расходы</v>
      </c>
      <c r="C1996" s="3024" t="str">
        <f>'Смета Внутр'!C2002</f>
        <v>руб.</v>
      </c>
      <c r="D1996" s="3024">
        <f>'Смета Внутр'!D2002</f>
        <v>1</v>
      </c>
      <c r="E1996" s="3013"/>
      <c r="F1996" s="3014"/>
    </row>
    <row r="1997" spans="2:9">
      <c r="B1997" s="3024" t="str">
        <f>'Смета Внутр'!B2003</f>
        <v>Нет техники</v>
      </c>
      <c r="C1997" s="3024" t="str">
        <f>'Смета Внутр'!C2003</f>
        <v>час</v>
      </c>
      <c r="D1997" s="3024">
        <f>'Смета Внутр'!D2003</f>
        <v>0</v>
      </c>
      <c r="E1997" s="3013"/>
      <c r="F1997" s="3014"/>
    </row>
    <row r="1998" spans="2:9">
      <c r="B1998" s="3024" t="str">
        <f>'Смета Внутр'!B2004</f>
        <v>Нет техники</v>
      </c>
      <c r="C1998" s="3024" t="str">
        <f>'Смета Внутр'!C2004</f>
        <v>шт.</v>
      </c>
      <c r="D1998" s="3024">
        <f>'Смета Внутр'!D2004</f>
        <v>3</v>
      </c>
      <c r="E1998" s="3013"/>
      <c r="F1998" s="3014"/>
    </row>
    <row r="1999" spans="2:9">
      <c r="B1999" s="3311" t="str">
        <f>'Смета Внутр'!B2005</f>
        <v>Итого материалы</v>
      </c>
      <c r="C1999" s="3311"/>
      <c r="D1999" s="3311"/>
      <c r="E1999" s="3311"/>
      <c r="F1999" s="2801">
        <f>'Смета Внутр'!G2005</f>
        <v>32000</v>
      </c>
    </row>
    <row r="2000" spans="2:9">
      <c r="B2000" s="3320" t="str">
        <f>'Смета Внутр'!B2006</f>
        <v>Работы</v>
      </c>
      <c r="C2000" s="3320"/>
      <c r="D2000" s="3320"/>
      <c r="E2000" s="3320"/>
      <c r="F2000" s="3320"/>
    </row>
    <row r="2001" spans="2:6">
      <c r="B2001" s="3024" t="str">
        <f>'Смета Внутр'!B2007</f>
        <v>Монтаж готовой бетонной лестницы 2</v>
      </c>
      <c r="C2001" s="3024" t="str">
        <f>'Смета Внутр'!C2007</f>
        <v>руб.</v>
      </c>
      <c r="D2001" s="3024">
        <f>'Смета Внутр'!D2007</f>
        <v>1</v>
      </c>
      <c r="E2001" s="3013"/>
      <c r="F2001" s="3014"/>
    </row>
    <row r="2002" spans="2:6">
      <c r="B2002" s="3325" t="str">
        <f>'Смета Внутр'!B2008</f>
        <v>Итого работы</v>
      </c>
      <c r="C2002" s="3325"/>
      <c r="D2002" s="3325"/>
      <c r="E2002" s="3325"/>
      <c r="F2002" s="3014">
        <f>'Смета Внутр'!G2008</f>
        <v>10000</v>
      </c>
    </row>
    <row r="2003" spans="2:6" ht="19">
      <c r="B2003" s="3313" t="str">
        <f>'Смета Внутр'!B2009</f>
        <v>Мансардные окна</v>
      </c>
      <c r="C2003" s="3313"/>
      <c r="D2003" s="3313"/>
      <c r="E2003" s="3313"/>
      <c r="F2003" s="3011">
        <f>'Смета Внутр'!H2009</f>
        <v>0</v>
      </c>
    </row>
    <row r="2004" spans="2:6">
      <c r="B2004" s="3310" t="str">
        <f>'Смета Внутр'!B2010</f>
        <v>Материалы</v>
      </c>
      <c r="C2004" s="3310"/>
      <c r="D2004" s="3310"/>
      <c r="E2004" s="3310"/>
      <c r="F2004" s="3011">
        <f>'Смета Внутр'!H2010</f>
        <v>0</v>
      </c>
    </row>
    <row r="2005" spans="2:6">
      <c r="B2005" s="3007" t="str">
        <f>'Смета Внутр'!B2011</f>
        <v>MR10 78X160</v>
      </c>
      <c r="C2005" s="3008" t="str">
        <f>'Смета Внутр'!C2011</f>
        <v>шт</v>
      </c>
      <c r="D2005" s="3009">
        <f>'Смета Внутр'!D2011</f>
        <v>1</v>
      </c>
      <c r="E2005" s="3007"/>
      <c r="F2005" s="3012">
        <f>'Смета Внутр'!H2011</f>
        <v>0</v>
      </c>
    </row>
    <row r="2006" spans="2:6">
      <c r="B2006" s="3007" t="str">
        <f>'Смета Внутр'!B2012</f>
        <v>MR08 78X140</v>
      </c>
      <c r="C2006" s="3008" t="str">
        <f>'Смета Внутр'!C2012</f>
        <v>шт</v>
      </c>
      <c r="D2006" s="3009">
        <f>'Смета Внутр'!D2012</f>
        <v>2</v>
      </c>
      <c r="E2006" s="3007"/>
      <c r="F2006" s="3012">
        <f>'Смета Внутр'!H2012</f>
        <v>0</v>
      </c>
    </row>
    <row r="2007" spans="2:6">
      <c r="B2007" s="3007" t="str">
        <f>'Смета Внутр'!B2013</f>
        <v>MR10 78X160</v>
      </c>
      <c r="C2007" s="3008" t="str">
        <f>'Смета Внутр'!C2013</f>
        <v>шт</v>
      </c>
      <c r="D2007" s="3009">
        <f>'Смета Внутр'!D2013</f>
        <v>5</v>
      </c>
      <c r="E2007" s="3007"/>
      <c r="F2007" s="3012">
        <f>'Смета Внутр'!H2013</f>
        <v>0</v>
      </c>
    </row>
    <row r="2008" spans="2:6">
      <c r="B2008" s="3007" t="str">
        <f>'Смета Внутр'!B2014</f>
        <v>MR04 78X98</v>
      </c>
      <c r="C2008" s="3008" t="str">
        <f>'Смета Внутр'!C2014</f>
        <v>шт</v>
      </c>
      <c r="D2008" s="3009">
        <f>'Смета Внутр'!D2014</f>
        <v>0</v>
      </c>
      <c r="E2008" s="3007"/>
      <c r="F2008" s="3012">
        <f>'Смета Внутр'!H2014</f>
        <v>0</v>
      </c>
    </row>
    <row r="2009" spans="2:6">
      <c r="B2009" s="3311" t="str">
        <f>'Смета Внутр'!B2015</f>
        <v>Итого материалы</v>
      </c>
      <c r="C2009" s="3311"/>
      <c r="D2009" s="3311"/>
      <c r="E2009" s="3311"/>
      <c r="F2009" s="3014">
        <f>'Смета Внутр'!G2015</f>
        <v>0</v>
      </c>
    </row>
    <row r="2010" spans="2:6">
      <c r="B2010" s="3312" t="str">
        <f>'Смета Внутр'!B2016</f>
        <v>Работы</v>
      </c>
      <c r="C2010" s="3312"/>
      <c r="D2010" s="3312"/>
      <c r="E2010" s="3312"/>
      <c r="F2010" s="3011">
        <f>'Смета Внутр'!H2016</f>
        <v>0</v>
      </c>
    </row>
    <row r="2011" spans="2:6">
      <c r="B2011" s="3007" t="str">
        <f>'Смета Внутр'!B2017</f>
        <v>MR10 78X160</v>
      </c>
      <c r="C2011" s="3008" t="str">
        <f>'Смета Внутр'!C2017</f>
        <v>шт</v>
      </c>
      <c r="D2011" s="3009">
        <f>'Смета Внутр'!D2017</f>
        <v>1</v>
      </c>
      <c r="E2011" s="3007"/>
      <c r="F2011" s="3012">
        <f>'Смета Внутр'!H2017</f>
        <v>0</v>
      </c>
    </row>
    <row r="2012" spans="2:6">
      <c r="B2012" s="3007" t="str">
        <f>'Смета Внутр'!B2018</f>
        <v>MR08 78X140</v>
      </c>
      <c r="C2012" s="3008" t="str">
        <f>'Смета Внутр'!C2018</f>
        <v>шт</v>
      </c>
      <c r="D2012" s="3009">
        <f>'Смета Внутр'!D2018</f>
        <v>2</v>
      </c>
      <c r="E2012" s="3007"/>
      <c r="F2012" s="3012">
        <f>'Смета Внутр'!H2018</f>
        <v>0</v>
      </c>
    </row>
    <row r="2013" spans="2:6">
      <c r="B2013" s="3007" t="str">
        <f>'Смета Внутр'!B2019</f>
        <v>MR10 78X160</v>
      </c>
      <c r="C2013" s="3008" t="str">
        <f>'Смета Внутр'!C2019</f>
        <v>шт</v>
      </c>
      <c r="D2013" s="3009">
        <f>'Смета Внутр'!D2019</f>
        <v>5</v>
      </c>
      <c r="E2013" s="3007"/>
      <c r="F2013" s="3012">
        <f>'Смета Внутр'!H2019</f>
        <v>0</v>
      </c>
    </row>
    <row r="2014" spans="2:6">
      <c r="B2014" s="3007" t="str">
        <f>'Смета Внутр'!B2020</f>
        <v>MR04 78X98</v>
      </c>
      <c r="C2014" s="3008" t="str">
        <f>'Смета Внутр'!C2020</f>
        <v>шт</v>
      </c>
      <c r="D2014" s="3009">
        <f>'Смета Внутр'!D2020</f>
        <v>0</v>
      </c>
      <c r="E2014" s="3007"/>
      <c r="F2014" s="3012">
        <f>'Смета Внутр'!H2020</f>
        <v>0</v>
      </c>
    </row>
    <row r="2015" spans="2:6">
      <c r="B2015" s="3311" t="str">
        <f>'Смета Внутр'!B2021</f>
        <v>Итого работы</v>
      </c>
      <c r="C2015" s="3311"/>
      <c r="D2015" s="3311"/>
      <c r="E2015" s="3311"/>
      <c r="F2015" s="3014">
        <f>'Смета Внутр'!G2021</f>
        <v>0</v>
      </c>
    </row>
    <row r="2016" spans="2:6" ht="19">
      <c r="B2016" s="3313" t="str">
        <f>'Смета Внутр'!B2022</f>
        <v>Отделка внешняя</v>
      </c>
      <c r="C2016" s="3313"/>
      <c r="D2016" s="3313"/>
      <c r="E2016" s="3313"/>
      <c r="F2016" s="3011">
        <f>'Смета Внутр'!H2022</f>
        <v>0</v>
      </c>
    </row>
    <row r="2017" spans="2:6">
      <c r="B2017" s="3310" t="str">
        <f>'Смета Внутр'!B2023</f>
        <v>Материалы</v>
      </c>
      <c r="C2017" s="3310"/>
      <c r="D2017" s="3310"/>
      <c r="E2017" s="3310"/>
      <c r="F2017" s="3011">
        <f>'Смета Внутр'!H2023</f>
        <v>0</v>
      </c>
    </row>
    <row r="2018" spans="2:6">
      <c r="B2018" s="3326" t="str">
        <f>'Смета Внутр'!B2024</f>
        <v>дом, стены</v>
      </c>
      <c r="C2018" s="3326"/>
      <c r="D2018" s="3326"/>
      <c r="E2018" s="3326"/>
      <c r="F2018" s="3012">
        <f>'Смета Внутр'!H2024</f>
        <v>0</v>
      </c>
    </row>
    <row r="2019" spans="2:6">
      <c r="B2019" s="3007" t="str">
        <f>'Смета Внутр'!B2025</f>
        <v>Г-образный профиль 40*40, 9мм</v>
      </c>
      <c r="C2019" s="3008" t="str">
        <f>'Смета Внутр'!C2025</f>
        <v>м.п.</v>
      </c>
      <c r="D2019" s="3009">
        <f>'Смета Внутр'!D2025</f>
        <v>243.53999999999996</v>
      </c>
      <c r="E2019" s="3007"/>
      <c r="F2019" s="3012">
        <f>'Смета Внутр'!H2025</f>
        <v>0</v>
      </c>
    </row>
    <row r="2020" spans="2:6">
      <c r="B2020" s="3007" t="str">
        <f>'Смета Внутр'!B2026</f>
        <v>Фасадный кронштейн КК 90</v>
      </c>
      <c r="C2020" s="3008" t="str">
        <f>'Смета Внутр'!C2026</f>
        <v>шт</v>
      </c>
      <c r="D2020" s="3009">
        <f>'Смета Внутр'!D2026</f>
        <v>584.49599999999987</v>
      </c>
      <c r="E2020" s="3007"/>
      <c r="F2020" s="3012">
        <f>'Смета Внутр'!H2026</f>
        <v>0</v>
      </c>
    </row>
    <row r="2021" spans="2:6">
      <c r="B2021" s="3007" t="str">
        <f>'Смета Внутр'!B2027</f>
        <v xml:space="preserve">Саморезы 3,5 x 45            </v>
      </c>
      <c r="C2021" s="3008" t="str">
        <f>'Смета Внутр'!C2027</f>
        <v>шт</v>
      </c>
      <c r="D2021" s="3009">
        <f>'Смета Внутр'!D2027</f>
        <v>1168.9919999999997</v>
      </c>
      <c r="E2021" s="3007"/>
      <c r="F2021" s="3012">
        <f>'Смета Внутр'!H2027</f>
        <v>0</v>
      </c>
    </row>
    <row r="2022" spans="2:6">
      <c r="B2022" s="3007" t="str">
        <f>'Смета Внутр'!B2028</f>
        <v xml:space="preserve">Болты анкерные с гайкой 10,0 х 97           </v>
      </c>
      <c r="C2022" s="3008" t="str">
        <f>'Смета Внутр'!C2028</f>
        <v>шт</v>
      </c>
      <c r="D2022" s="3009">
        <f>'Смета Внутр'!D2028</f>
        <v>1168.9919999999997</v>
      </c>
      <c r="E2022" s="3007"/>
      <c r="F2022" s="3012">
        <f>'Смета Внутр'!H2028</f>
        <v>0</v>
      </c>
    </row>
    <row r="2023" spans="2:6">
      <c r="B2023" s="3007" t="str">
        <f>'Смета Внутр'!B2029</f>
        <v>0,7НФ/150/75 Аренберг</v>
      </c>
      <c r="C2023" s="3008" t="str">
        <f>'Смета Внутр'!C2029</f>
        <v>м2</v>
      </c>
      <c r="D2023" s="3009">
        <f>'Смета Внутр'!D2029</f>
        <v>95.04</v>
      </c>
      <c r="E2023" s="3007"/>
      <c r="F2023" s="3012">
        <f>'Смета Внутр'!H2029</f>
        <v>0</v>
      </c>
    </row>
    <row r="2024" spans="2:6">
      <c r="B2024" s="3007" t="str">
        <f>'Смета Внутр'!B2030</f>
        <v>Цемент, мешок, 50кг</v>
      </c>
      <c r="C2024" s="3008" t="str">
        <f>'Смета Внутр'!C2030</f>
        <v>меш</v>
      </c>
      <c r="D2024" s="3009">
        <f>'Смета Внутр'!D2030</f>
        <v>532.22400000000005</v>
      </c>
      <c r="E2024" s="3007"/>
      <c r="F2024" s="3012">
        <f>'Смета Внутр'!H2030</f>
        <v>0</v>
      </c>
    </row>
    <row r="2025" spans="2:6">
      <c r="B2025" s="3007" t="str">
        <f>'Смета Внутр'!B2031</f>
        <v>Песок, м3</v>
      </c>
      <c r="C2025" s="3008" t="str">
        <f>'Смета Внутр'!C2031</f>
        <v>м3</v>
      </c>
      <c r="D2025" s="3009">
        <f>'Смета Внутр'!D2031</f>
        <v>38.016000000000005</v>
      </c>
      <c r="E2025" s="3007"/>
      <c r="F2025" s="3012">
        <f>'Смета Внутр'!H2031</f>
        <v>0</v>
      </c>
    </row>
    <row r="2026" spans="2:6">
      <c r="B2026" s="3007" t="str">
        <f>'Смета Внутр'!B2032</f>
        <v>Кладочная сетка, 100*100/150*150/200*200мм</v>
      </c>
      <c r="C2026" s="3008" t="str">
        <f>'Смета Внутр'!C2032</f>
        <v>м2</v>
      </c>
      <c r="D2026" s="3009">
        <f>'Смета Внутр'!D2032</f>
        <v>19.8</v>
      </c>
      <c r="E2026" s="3007"/>
      <c r="F2026" s="3012">
        <f>'Смета Внутр'!H2032</f>
        <v>0</v>
      </c>
    </row>
    <row r="2027" spans="2:6">
      <c r="B2027" s="3007" t="str">
        <f>'Смета Внутр'!B2033</f>
        <v>сайдинг виниловый</v>
      </c>
      <c r="C2027" s="3008" t="str">
        <f>'Смета Внутр'!C2033</f>
        <v>м2</v>
      </c>
      <c r="D2027" s="3009">
        <f>'Смета Внутр'!D2033</f>
        <v>0</v>
      </c>
      <c r="E2027" s="3007"/>
      <c r="F2027" s="3012">
        <f>'Смета Внутр'!H2033</f>
        <v>0</v>
      </c>
    </row>
    <row r="2028" spans="2:6">
      <c r="B2028" s="3007" t="str">
        <f>'Смета Внутр'!B2034</f>
        <v>доборные элементы для винил сайдинга</v>
      </c>
      <c r="C2028" s="3008" t="str">
        <f>'Смета Внутр'!C2034</f>
        <v>шт</v>
      </c>
      <c r="D2028" s="3009">
        <f>'Смета Внутр'!D2034</f>
        <v>0</v>
      </c>
      <c r="E2028" s="3007"/>
      <c r="F2028" s="3012">
        <f>'Смета Внутр'!H2034</f>
        <v>0</v>
      </c>
    </row>
    <row r="2029" spans="2:6">
      <c r="B2029" s="3007" t="str">
        <f>'Смета Внутр'!B2035</f>
        <v>сайдинг металлический</v>
      </c>
      <c r="C2029" s="3008" t="str">
        <f>'Смета Внутр'!C2035</f>
        <v>м2</v>
      </c>
      <c r="D2029" s="3009">
        <f>'Смета Внутр'!D2035</f>
        <v>0</v>
      </c>
      <c r="E2029" s="3007"/>
      <c r="F2029" s="3012">
        <f>'Смета Внутр'!H2035</f>
        <v>0</v>
      </c>
    </row>
    <row r="2030" spans="2:6">
      <c r="B2030" s="3007" t="str">
        <f>'Смета Внутр'!B2036</f>
        <v>доборные элементы для метал сайдинга</v>
      </c>
      <c r="C2030" s="3008" t="str">
        <f>'Смета Внутр'!C2036</f>
        <v>шт</v>
      </c>
      <c r="D2030" s="3009">
        <f>'Смета Внутр'!D2036</f>
        <v>0</v>
      </c>
      <c r="E2030" s="3007"/>
      <c r="F2030" s="3012">
        <f>'Смета Внутр'!H2036</f>
        <v>0</v>
      </c>
    </row>
    <row r="2031" spans="2:6">
      <c r="B2031" s="3007">
        <f>'Смета Внутр'!B2037</f>
        <v>0</v>
      </c>
      <c r="C2031" s="3008" t="str">
        <f>'Смета Внутр'!C2037</f>
        <v>м2</v>
      </c>
      <c r="D2031" s="3009">
        <f>'Смета Внутр'!D2037</f>
        <v>0</v>
      </c>
      <c r="E2031" s="3007"/>
      <c r="F2031" s="3012">
        <f>'Смета Внутр'!H2037</f>
        <v>0</v>
      </c>
    </row>
    <row r="2032" spans="2:6">
      <c r="B2032" s="3007" t="str">
        <f>'Смета Внутр'!B2038</f>
        <v>крепления для планкена, змейка</v>
      </c>
      <c r="C2032" s="3008" t="str">
        <f>'Смета Внутр'!C2038</f>
        <v>шт</v>
      </c>
      <c r="D2032" s="3009">
        <f>'Смета Внутр'!D2038</f>
        <v>0</v>
      </c>
      <c r="E2032" s="3007"/>
      <c r="F2032" s="3012">
        <f>'Смета Внутр'!H2038</f>
        <v>0</v>
      </c>
    </row>
    <row r="2033" spans="2:6">
      <c r="B2033" s="3007">
        <f>'Смета Внутр'!B2039</f>
        <v>0</v>
      </c>
      <c r="C2033" s="3008" t="str">
        <f>'Смета Внутр'!C2039</f>
        <v>м2</v>
      </c>
      <c r="D2033" s="3009">
        <f>'Смета Внутр'!D2039</f>
        <v>0</v>
      </c>
      <c r="E2033" s="3007"/>
      <c r="F2033" s="3012">
        <f>'Смета Внутр'!H2039</f>
        <v>0</v>
      </c>
    </row>
    <row r="2034" spans="2:6">
      <c r="B2034" s="3007">
        <f>'Смета Внутр'!B2040</f>
        <v>0</v>
      </c>
      <c r="C2034" s="3008" t="str">
        <f>'Смета Внутр'!C2040</f>
        <v>м2</v>
      </c>
      <c r="D2034" s="3009">
        <f>'Смета Внутр'!D2040</f>
        <v>0</v>
      </c>
      <c r="E2034" s="3007"/>
      <c r="F2034" s="3012">
        <f>'Смета Внутр'!H2040</f>
        <v>0</v>
      </c>
    </row>
    <row r="2035" spans="2:6">
      <c r="B2035" s="3007" t="str">
        <f>'Смета Внутр'!B2041</f>
        <v xml:space="preserve">клей для камня </v>
      </c>
      <c r="C2035" s="3008" t="str">
        <f>'Смета Внутр'!C2041</f>
        <v>меш</v>
      </c>
      <c r="D2035" s="3009">
        <f>'Смета Внутр'!D2041</f>
        <v>0</v>
      </c>
      <c r="E2035" s="3007"/>
      <c r="F2035" s="3012">
        <f>'Смета Внутр'!H2041</f>
        <v>0</v>
      </c>
    </row>
    <row r="2036" spans="2:6">
      <c r="B2036" s="3007" t="str">
        <f>'Смета Внутр'!B2042</f>
        <v>Грунт  1</v>
      </c>
      <c r="C2036" s="3008" t="str">
        <f>'Смета Внутр'!C2042</f>
        <v>л</v>
      </c>
      <c r="D2036" s="3009">
        <f>'Смета Внутр'!D2042</f>
        <v>95.04</v>
      </c>
      <c r="E2036" s="3007"/>
      <c r="F2036" s="3012">
        <f>'Смета Внутр'!H2042</f>
        <v>0</v>
      </c>
    </row>
    <row r="2037" spans="2:6">
      <c r="B2037" s="3007" t="str">
        <f>'Смета Внутр'!B2043</f>
        <v>"Тонерол" Антисептик  бесцветный  1л</v>
      </c>
      <c r="C2037" s="3008" t="str">
        <f>'Смета Внутр'!C2043</f>
        <v>л</v>
      </c>
      <c r="D2037" s="3009">
        <f>'Смета Внутр'!D2043</f>
        <v>0</v>
      </c>
      <c r="E2037" s="3007"/>
      <c r="F2037" s="3012">
        <f>'Смета Внутр'!H2043</f>
        <v>0</v>
      </c>
    </row>
    <row r="2038" spans="2:6">
      <c r="B2038" s="3007" t="str">
        <f>'Смета Внутр'!B2044</f>
        <v>Лак для поверхностей 1</v>
      </c>
      <c r="C2038" s="3008" t="str">
        <f>'Смета Внутр'!C2044</f>
        <v>л</v>
      </c>
      <c r="D2038" s="3009">
        <f>'Смета Внутр'!D2044</f>
        <v>0</v>
      </c>
      <c r="E2038" s="3007"/>
      <c r="F2038" s="3012">
        <f>'Смета Внутр'!H2044</f>
        <v>0</v>
      </c>
    </row>
    <row r="2039" spans="2:6">
      <c r="B2039" s="3007" t="str">
        <f>'Смета Внутр'!B2045</f>
        <v>Плитный,28кг/м3, технониколь, 100мм</v>
      </c>
      <c r="C2039" s="3008" t="str">
        <f>'Смета Внутр'!C2045</f>
        <v>м3</v>
      </c>
      <c r="D2039" s="3009">
        <f>'Смета Внутр'!D2045</f>
        <v>11.88</v>
      </c>
      <c r="E2039" s="3007"/>
      <c r="F2039" s="3012">
        <f>'Смета Внутр'!H2045</f>
        <v>0</v>
      </c>
    </row>
    <row r="2040" spans="2:6">
      <c r="B2040" s="3007">
        <f>'Смета Внутр'!B2046</f>
        <v>0</v>
      </c>
      <c r="C2040" s="3008" t="str">
        <f>'Смета Внутр'!C2046</f>
        <v>меш</v>
      </c>
      <c r="D2040" s="3009">
        <f>'Смета Внутр'!D2046</f>
        <v>0</v>
      </c>
      <c r="E2040" s="3007"/>
      <c r="F2040" s="3012">
        <f>'Смета Внутр'!H2046</f>
        <v>0</v>
      </c>
    </row>
    <row r="2041" spans="2:6">
      <c r="B2041" s="3007" t="str">
        <f>'Смета Внутр'!B2047</f>
        <v>Сетка штукатурная ПВС 40 Оцинкованная рулон</v>
      </c>
      <c r="C2041" s="3008" t="str">
        <f>'Смета Внутр'!C2047</f>
        <v>м2</v>
      </c>
      <c r="D2041" s="3009">
        <f>'Смета Внутр'!D2047</f>
        <v>0</v>
      </c>
      <c r="E2041" s="3007"/>
      <c r="F2041" s="3012">
        <f>'Смета Внутр'!H2047</f>
        <v>0</v>
      </c>
    </row>
    <row r="2042" spans="2:6">
      <c r="B2042" s="3007" t="str">
        <f>'Смета Внутр'!B2048</f>
        <v>Штукатурка для наружних работ</v>
      </c>
      <c r="C2042" s="3008" t="str">
        <f>'Смета Внутр'!C2048</f>
        <v>м2</v>
      </c>
      <c r="D2042" s="3009">
        <f>'Смета Внутр'!D2048</f>
        <v>0</v>
      </c>
      <c r="E2042" s="3007"/>
      <c r="F2042" s="3012">
        <f>'Смета Внутр'!H2048</f>
        <v>0</v>
      </c>
    </row>
    <row r="2043" spans="2:6">
      <c r="B2043" s="3326" t="str">
        <f>'Смета Внутр'!B2049</f>
        <v>цоколь</v>
      </c>
      <c r="C2043" s="3326"/>
      <c r="D2043" s="3326"/>
      <c r="E2043" s="3326"/>
      <c r="F2043" s="3012">
        <f>'Смета Внутр'!H2049</f>
        <v>0</v>
      </c>
    </row>
    <row r="2044" spans="2:6">
      <c r="B2044" s="3007" t="str">
        <f>'Смета Внутр'!B2050</f>
        <v>отлив металлический</v>
      </c>
      <c r="C2044" s="3008" t="str">
        <f>'Смета Внутр'!C2050</f>
        <v>м.п.</v>
      </c>
      <c r="D2044" s="3009">
        <f>'Смета Внутр'!D2050</f>
        <v>56</v>
      </c>
      <c r="E2044" s="3007"/>
      <c r="F2044" s="3012">
        <f>'Смета Внутр'!H2050</f>
        <v>0</v>
      </c>
    </row>
    <row r="2045" spans="2:6">
      <c r="B2045" s="3007" t="str">
        <f>'Смета Внутр'!B2051</f>
        <v>сайдинг металлический</v>
      </c>
      <c r="C2045" s="3008" t="str">
        <f>'Смета Внутр'!C2051</f>
        <v>м2</v>
      </c>
      <c r="D2045" s="3009">
        <f>'Смета Внутр'!D2051</f>
        <v>0</v>
      </c>
      <c r="E2045" s="3007"/>
      <c r="F2045" s="3012">
        <f>'Смета Внутр'!H2051</f>
        <v>0</v>
      </c>
    </row>
    <row r="2046" spans="2:6">
      <c r="B2046" s="3007" t="str">
        <f>'Смета Внутр'!B2052</f>
        <v>камень природный</v>
      </c>
      <c r="C2046" s="3008" t="str">
        <f>'Смета Внутр'!C2052</f>
        <v>м2</v>
      </c>
      <c r="D2046" s="3009">
        <f>'Смета Внутр'!D2052</f>
        <v>22.400000000000002</v>
      </c>
      <c r="E2046" s="3007"/>
      <c r="F2046" s="3012">
        <f>'Смета Внутр'!H2052</f>
        <v>0</v>
      </c>
    </row>
    <row r="2047" spans="2:6">
      <c r="B2047" s="3007" t="str">
        <f>'Смета Внутр'!B2053</f>
        <v>камень искуственный</v>
      </c>
      <c r="C2047" s="3008" t="str">
        <f>'Смета Внутр'!C2053</f>
        <v>м2</v>
      </c>
      <c r="D2047" s="3009">
        <f>'Смета Внутр'!D2053</f>
        <v>0</v>
      </c>
      <c r="E2047" s="3007"/>
      <c r="F2047" s="3012">
        <f>'Смета Внутр'!H2053</f>
        <v>0</v>
      </c>
    </row>
    <row r="2048" spans="2:6">
      <c r="B2048" s="3007" t="str">
        <f>'Смета Внутр'!B2054</f>
        <v xml:space="preserve">клей для камня </v>
      </c>
      <c r="C2048" s="3008" t="str">
        <f>'Смета Внутр'!C2054</f>
        <v>меш</v>
      </c>
      <c r="D2048" s="3009">
        <f>'Смета Внутр'!D2054</f>
        <v>7.4666666666666677</v>
      </c>
      <c r="E2048" s="3007"/>
      <c r="F2048" s="3012">
        <f>'Смета Внутр'!H2054</f>
        <v>0</v>
      </c>
    </row>
    <row r="2049" spans="2:6">
      <c r="B2049" s="3007" t="str">
        <f>'Смета Внутр'!B2055</f>
        <v>Грунт  1</v>
      </c>
      <c r="C2049" s="3008" t="str">
        <f>'Смета Внутр'!C2055</f>
        <v>л</v>
      </c>
      <c r="D2049" s="3009">
        <f>'Смета Внутр'!D2055</f>
        <v>0</v>
      </c>
      <c r="E2049" s="3007"/>
      <c r="F2049" s="3012">
        <f>'Смета Внутр'!H2055</f>
        <v>0</v>
      </c>
    </row>
    <row r="2050" spans="2:6">
      <c r="B2050" s="3007" t="str">
        <f>'Смета Внутр'!B2056</f>
        <v>нет</v>
      </c>
      <c r="C2050" s="3008" t="str">
        <f>'Смета Внутр'!C2056</f>
        <v>м.п.</v>
      </c>
      <c r="D2050" s="3009">
        <f>'Смета Внутр'!D2056</f>
        <v>45.280000000000008</v>
      </c>
      <c r="E2050" s="3007"/>
      <c r="F2050" s="3012">
        <f>'Смета Внутр'!H2056</f>
        <v>0</v>
      </c>
    </row>
    <row r="2051" spans="2:6">
      <c r="B2051" s="3007" t="str">
        <f>'Смета Внутр'!B2057</f>
        <v>Фасадный кронштейн КК 120</v>
      </c>
      <c r="C2051" s="3008" t="str">
        <f>'Смета Внутр'!C2057</f>
        <v>шт</v>
      </c>
      <c r="D2051" s="3009">
        <f>'Смета Внутр'!D2057</f>
        <v>168</v>
      </c>
      <c r="E2051" s="3007"/>
      <c r="F2051" s="3012">
        <f>'Смета Внутр'!H2057</f>
        <v>0</v>
      </c>
    </row>
    <row r="2052" spans="2:6">
      <c r="B2052" s="3007" t="str">
        <f>'Смета Внутр'!B2058</f>
        <v xml:space="preserve">Болты анкерные с гайкой 10,0 х 97           </v>
      </c>
      <c r="C2052" s="3008" t="str">
        <f>'Смета Внутр'!C2058</f>
        <v>шт</v>
      </c>
      <c r="D2052" s="3009">
        <f>'Смета Внутр'!D2058</f>
        <v>336</v>
      </c>
      <c r="E2052" s="3007"/>
      <c r="F2052" s="3012">
        <f>'Смета Внутр'!H2058</f>
        <v>0</v>
      </c>
    </row>
    <row r="2053" spans="2:6">
      <c r="B2053" s="3007" t="str">
        <f>'Смета Внутр'!B2059</f>
        <v xml:space="preserve">Саморезы 3,5 x 45            </v>
      </c>
      <c r="C2053" s="3008" t="str">
        <f>'Смета Внутр'!C2059</f>
        <v>шт</v>
      </c>
      <c r="D2053" s="3009">
        <f>'Смета Внутр'!D2059</f>
        <v>336</v>
      </c>
      <c r="E2053" s="3007"/>
      <c r="F2053" s="3012">
        <f>'Смета Внутр'!H2059</f>
        <v>0</v>
      </c>
    </row>
    <row r="2054" spans="2:6">
      <c r="B2054" s="3007" t="str">
        <f>'Смета Внутр'!B2060</f>
        <v>Плоский шифер 8 мм</v>
      </c>
      <c r="C2054" s="3008" t="str">
        <f>'Смета Внутр'!C2060</f>
        <v>м2</v>
      </c>
      <c r="D2054" s="3009">
        <f>'Смета Внутр'!D2060</f>
        <v>0</v>
      </c>
      <c r="E2054" s="3007"/>
      <c r="F2054" s="3012">
        <f>'Смета Внутр'!H2060</f>
        <v>0</v>
      </c>
    </row>
    <row r="2055" spans="2:6">
      <c r="B2055" s="3326" t="str">
        <f>'Смета Внутр'!B2061</f>
        <v>кровля, подшивка свесов</v>
      </c>
      <c r="C2055" s="3326"/>
      <c r="D2055" s="3326"/>
      <c r="E2055" s="3326"/>
      <c r="F2055" s="3012">
        <f>'Смета Внутр'!H2061</f>
        <v>0</v>
      </c>
    </row>
    <row r="2056" spans="2:6">
      <c r="B2056" s="3007" t="str">
        <f>'Смета Внутр'!B2062</f>
        <v>планкен</v>
      </c>
      <c r="C2056" s="3008" t="str">
        <f>'Смета Внутр'!C2062</f>
        <v>м2</v>
      </c>
      <c r="D2056" s="3009">
        <f>'Смета Внутр'!D2062</f>
        <v>0</v>
      </c>
      <c r="E2056" s="3007"/>
      <c r="F2056" s="3012">
        <f>'Смета Внутр'!H2062</f>
        <v>0</v>
      </c>
    </row>
    <row r="2057" spans="2:6">
      <c r="B2057" s="3007" t="str">
        <f>'Смета Внутр'!B2063</f>
        <v>Доска сухая, калибр., 35*45мм</v>
      </c>
      <c r="C2057" s="3008" t="str">
        <f>'Смета Внутр'!C2063</f>
        <v>м.п.</v>
      </c>
      <c r="D2057" s="3009">
        <f>'Смета Внутр'!D2063</f>
        <v>112</v>
      </c>
      <c r="E2057" s="3007"/>
      <c r="F2057" s="3012">
        <f>'Смета Внутр'!H2063</f>
        <v>0</v>
      </c>
    </row>
    <row r="2058" spans="2:6">
      <c r="B2058" s="3007" t="str">
        <f>'Смета Внутр'!B2064</f>
        <v>сайдинг</v>
      </c>
      <c r="C2058" s="3008" t="str">
        <f>'Смета Внутр'!C2064</f>
        <v>м2</v>
      </c>
      <c r="D2058" s="3009">
        <f>'Смета Внутр'!D2064</f>
        <v>0</v>
      </c>
      <c r="E2058" s="3007"/>
      <c r="F2058" s="3012">
        <f>'Смета Внутр'!H2064</f>
        <v>0</v>
      </c>
    </row>
    <row r="2059" spans="2:6">
      <c r="B2059" s="3007" t="str">
        <f>'Смета Внутр'!B2065</f>
        <v>торцевая планка винил</v>
      </c>
      <c r="C2059" s="3008" t="str">
        <f>'Смета Внутр'!C2065</f>
        <v>м.п.</v>
      </c>
      <c r="D2059" s="3009">
        <f>'Смета Внутр'!D2065</f>
        <v>0</v>
      </c>
      <c r="E2059" s="3007"/>
      <c r="F2059" s="3012">
        <f>'Смета Внутр'!H2065</f>
        <v>0</v>
      </c>
    </row>
    <row r="2060" spans="2:6">
      <c r="B2060" s="3007" t="str">
        <f>'Смета Внутр'!B2066</f>
        <v>стартовый профиль для сайдинга</v>
      </c>
      <c r="C2060" s="3008" t="str">
        <f>'Смета Внутр'!C2066</f>
        <v>м.п.</v>
      </c>
      <c r="D2060" s="3009">
        <f>'Смета Внутр'!D2066</f>
        <v>0</v>
      </c>
      <c r="E2060" s="3007"/>
      <c r="F2060" s="3012">
        <f>'Смета Внутр'!H2066</f>
        <v>0</v>
      </c>
    </row>
    <row r="2061" spans="2:6">
      <c r="B2061" s="3007" t="str">
        <f>'Смета Внутр'!B2067</f>
        <v xml:space="preserve">Саморезы 3,5 x 45            </v>
      </c>
      <c r="C2061" s="3008" t="str">
        <f>'Смета Внутр'!C2067</f>
        <v>шт</v>
      </c>
      <c r="D2061" s="3009">
        <f>'Смета Внутр'!D2067</f>
        <v>336</v>
      </c>
      <c r="E2061" s="3007"/>
      <c r="F2061" s="3012">
        <f>'Смета Внутр'!H2067</f>
        <v>0</v>
      </c>
    </row>
    <row r="2062" spans="2:6">
      <c r="B2062" s="3007" t="str">
        <f>'Смета Внутр'!B2068</f>
        <v xml:space="preserve">Саморезы 4,2 х 75            </v>
      </c>
      <c r="C2062" s="3008" t="str">
        <f>'Смета Внутр'!C2068</f>
        <v>шт</v>
      </c>
      <c r="D2062" s="3009">
        <f>'Смета Внутр'!D2068</f>
        <v>0</v>
      </c>
      <c r="E2062" s="3007"/>
      <c r="F2062" s="3012">
        <f>'Смета Внутр'!H2068</f>
        <v>0</v>
      </c>
    </row>
    <row r="2063" spans="2:6">
      <c r="B2063" s="3311" t="str">
        <f>'Смета Внутр'!B2069</f>
        <v>Итого материалы</v>
      </c>
      <c r="C2063" s="3311"/>
      <c r="D2063" s="3311"/>
      <c r="E2063" s="3311"/>
      <c r="F2063" s="3014">
        <f>'Смета Внутр'!G2069</f>
        <v>0</v>
      </c>
    </row>
    <row r="2064" spans="2:6">
      <c r="B2064" s="3312" t="str">
        <f>'Смета Внутр'!B2070</f>
        <v>Работы</v>
      </c>
      <c r="C2064" s="3312"/>
      <c r="D2064" s="3312"/>
      <c r="E2064" s="3312"/>
      <c r="F2064" s="3011">
        <f>'Смета Внутр'!H2070</f>
        <v>0</v>
      </c>
    </row>
    <row r="2065" spans="2:6">
      <c r="B2065" s="3326" t="str">
        <f>'Смета Внутр'!B2071</f>
        <v>стены</v>
      </c>
      <c r="C2065" s="3326"/>
      <c r="D2065" s="3326"/>
      <c r="E2065" s="3326"/>
      <c r="F2065" s="3012">
        <f>'Смета Внутр'!H2071</f>
        <v>0</v>
      </c>
    </row>
    <row r="2066" spans="2:6">
      <c r="B2066" s="3007" t="str">
        <f>'Смета Внутр'!B2072</f>
        <v>кладка кирпича облицов</v>
      </c>
      <c r="C2066" s="3008" t="str">
        <f>'Смета Внутр'!C2072</f>
        <v>м2</v>
      </c>
      <c r="D2066" s="3009">
        <f>'Смета Внутр'!D2072</f>
        <v>118.8</v>
      </c>
      <c r="E2066" s="3007"/>
      <c r="F2066" s="3012">
        <f>'Смета Внутр'!H2072</f>
        <v>0</v>
      </c>
    </row>
    <row r="2067" spans="2:6">
      <c r="B2067" s="3007" t="str">
        <f>'Смета Внутр'!B2073</f>
        <v>монтаж подсистемы</v>
      </c>
      <c r="C2067" s="3008" t="str">
        <f>'Смета Внутр'!C2073</f>
        <v>м2</v>
      </c>
      <c r="D2067" s="3009">
        <f>'Смета Внутр'!D2073</f>
        <v>118.8</v>
      </c>
      <c r="E2067" s="3007"/>
      <c r="F2067" s="3012">
        <f>'Смета Внутр'!H2073</f>
        <v>0</v>
      </c>
    </row>
    <row r="2068" spans="2:6">
      <c r="B2068" s="3007" t="str">
        <f>'Смета Внутр'!B2074</f>
        <v>сайдинг виниловый</v>
      </c>
      <c r="C2068" s="3008" t="str">
        <f>'Смета Внутр'!C2074</f>
        <v>м2</v>
      </c>
      <c r="D2068" s="3009">
        <f>'Смета Внутр'!D2074</f>
        <v>0</v>
      </c>
      <c r="E2068" s="3007"/>
      <c r="F2068" s="3012">
        <f>'Смета Внутр'!H2074</f>
        <v>0</v>
      </c>
    </row>
    <row r="2069" spans="2:6">
      <c r="B2069" s="3007" t="str">
        <f>'Смета Внутр'!B2075</f>
        <v>сайдинг металл</v>
      </c>
      <c r="C2069" s="3008" t="str">
        <f>'Смета Внутр'!C2075</f>
        <v>м2</v>
      </c>
      <c r="D2069" s="3009">
        <f>'Смета Внутр'!D2075</f>
        <v>0</v>
      </c>
      <c r="E2069" s="3007"/>
      <c r="F2069" s="3012">
        <f>'Смета Внутр'!H2075</f>
        <v>0</v>
      </c>
    </row>
    <row r="2070" spans="2:6">
      <c r="B2070" s="3007" t="str">
        <f>'Смета Внутр'!B2076</f>
        <v>планкен</v>
      </c>
      <c r="C2070" s="3008" t="str">
        <f>'Смета Внутр'!C2076</f>
        <v>м2</v>
      </c>
      <c r="D2070" s="3009">
        <f>'Смета Внутр'!D2076</f>
        <v>0</v>
      </c>
      <c r="E2070" s="3007"/>
      <c r="F2070" s="3012">
        <f>'Смета Внутр'!H2076</f>
        <v>0</v>
      </c>
    </row>
    <row r="2071" spans="2:6">
      <c r="B2071" s="3007" t="str">
        <f>'Смета Внутр'!B2077</f>
        <v>камень</v>
      </c>
      <c r="C2071" s="3008" t="str">
        <f>'Смета Внутр'!C2077</f>
        <v>м2</v>
      </c>
      <c r="D2071" s="3009">
        <f>'Смета Внутр'!D2077</f>
        <v>0</v>
      </c>
      <c r="E2071" s="3007"/>
      <c r="F2071" s="3012">
        <f>'Смета Внутр'!H2077</f>
        <v>0</v>
      </c>
    </row>
    <row r="2072" spans="2:6">
      <c r="B2072" s="3007" t="str">
        <f>'Смета Внутр'!B2078</f>
        <v>окрашивание поверхности</v>
      </c>
      <c r="C2072" s="3008" t="str">
        <f>'Смета Внутр'!C2078</f>
        <v>м2</v>
      </c>
      <c r="D2072" s="3009">
        <f>'Смета Внутр'!D2078</f>
        <v>0</v>
      </c>
      <c r="E2072" s="3007"/>
      <c r="F2072" s="3012">
        <f>'Смета Внутр'!H2078</f>
        <v>0</v>
      </c>
    </row>
    <row r="2073" spans="2:6">
      <c r="B2073" s="3007" t="str">
        <f>'Смета Внутр'!B2079</f>
        <v>лакирование пов-ти</v>
      </c>
      <c r="C2073" s="3008" t="str">
        <f>'Смета Внутр'!C2079</f>
        <v>м2</v>
      </c>
      <c r="D2073" s="3009">
        <f>'Смета Внутр'!D2079</f>
        <v>0</v>
      </c>
      <c r="E2073" s="3007"/>
      <c r="F2073" s="3012">
        <f>'Смета Внутр'!H2079</f>
        <v>0</v>
      </c>
    </row>
    <row r="2074" spans="2:6">
      <c r="B2074" s="3007" t="str">
        <f>'Смета Внутр'!B2080</f>
        <v>монтаж плоский шифер</v>
      </c>
      <c r="C2074" s="3008" t="str">
        <f>'Смета Внутр'!C2080</f>
        <v>м2</v>
      </c>
      <c r="D2074" s="3009">
        <f>'Смета Внутр'!D2080</f>
        <v>0</v>
      </c>
      <c r="E2074" s="3007"/>
      <c r="F2074" s="3012">
        <f>'Смета Внутр'!H2080</f>
        <v>0</v>
      </c>
    </row>
    <row r="2075" spans="2:6">
      <c r="B2075" s="3007" t="str">
        <f>'Смета Внутр'!B2081</f>
        <v>имитация бруса</v>
      </c>
      <c r="C2075" s="3008" t="str">
        <f>'Смета Внутр'!C2081</f>
        <v>м2</v>
      </c>
      <c r="D2075" s="3009">
        <f>'Смета Внутр'!D2081</f>
        <v>0</v>
      </c>
      <c r="E2075" s="3007"/>
      <c r="F2075" s="3012">
        <f>'Смета Внутр'!H2081</f>
        <v>0</v>
      </c>
    </row>
    <row r="2076" spans="2:6">
      <c r="B2076" s="3007" t="str">
        <f>'Смета Внутр'!B2082</f>
        <v>Утепление наружних стен</v>
      </c>
      <c r="C2076" s="3008" t="str">
        <f>'Смета Внутр'!C2082</f>
        <v>м2</v>
      </c>
      <c r="D2076" s="3009">
        <f>'Смета Внутр'!D2082</f>
        <v>118.8</v>
      </c>
      <c r="E2076" s="3007"/>
      <c r="F2076" s="3012">
        <f>'Смета Внутр'!H2082</f>
        <v>0</v>
      </c>
    </row>
    <row r="2077" spans="2:6">
      <c r="B2077" s="3007" t="str">
        <f>'Смета Внутр'!B2083</f>
        <v>Оштукатуривание поверхности, подготовка</v>
      </c>
      <c r="C2077" s="3008" t="str">
        <f>'Смета Внутр'!C2083</f>
        <v>м2</v>
      </c>
      <c r="D2077" s="3009">
        <f>'Смета Внутр'!D2083</f>
        <v>0</v>
      </c>
      <c r="E2077" s="3007"/>
      <c r="F2077" s="3012">
        <f>'Смета Внутр'!H2083</f>
        <v>0</v>
      </c>
    </row>
    <row r="2078" spans="2:6">
      <c r="B2078" s="3007" t="str">
        <f>'Смета Внутр'!B2084</f>
        <v>Наклейка сетки</v>
      </c>
      <c r="C2078" s="3008" t="str">
        <f>'Смета Внутр'!C2084</f>
        <v>м2</v>
      </c>
      <c r="D2078" s="3009">
        <f>'Смета Внутр'!D2084</f>
        <v>0</v>
      </c>
      <c r="E2078" s="3007"/>
      <c r="F2078" s="3012">
        <f>'Смета Внутр'!H2084</f>
        <v>0</v>
      </c>
    </row>
    <row r="2079" spans="2:6">
      <c r="B2079" s="3007" t="str">
        <f>'Смета Внутр'!B2085</f>
        <v>Нанесение декоративной штукатурки</v>
      </c>
      <c r="C2079" s="3008" t="str">
        <f>'Смета Внутр'!C2085</f>
        <v>м2</v>
      </c>
      <c r="D2079" s="3009">
        <f>'Смета Внутр'!D2085</f>
        <v>0</v>
      </c>
      <c r="E2079" s="3007"/>
      <c r="F2079" s="3012">
        <f>'Смета Внутр'!H2085</f>
        <v>0</v>
      </c>
    </row>
    <row r="2080" spans="2:6">
      <c r="B2080" s="3326" t="str">
        <f>'Смета Внутр'!B2086</f>
        <v>цоколь</v>
      </c>
      <c r="C2080" s="3326"/>
      <c r="D2080" s="3326"/>
      <c r="E2080" s="3326"/>
      <c r="F2080" s="3012">
        <f>'Смета Внутр'!H2086</f>
        <v>0</v>
      </c>
    </row>
    <row r="2081" spans="2:6">
      <c r="B2081" s="3007" t="str">
        <f>'Смета Внутр'!B2087</f>
        <v>монтаж подсистемы</v>
      </c>
      <c r="C2081" s="3008" t="str">
        <f>'Смета Внутр'!C2087</f>
        <v>м2</v>
      </c>
      <c r="D2081" s="3009">
        <f>'Смета Внутр'!D2087</f>
        <v>0</v>
      </c>
      <c r="E2081" s="3007"/>
      <c r="F2081" s="3012">
        <f>'Смета Внутр'!H2087</f>
        <v>0</v>
      </c>
    </row>
    <row r="2082" spans="2:6">
      <c r="B2082" s="3007" t="str">
        <f>'Смета Внутр'!B2088</f>
        <v>монтаж отлив</v>
      </c>
      <c r="C2082" s="3008" t="str">
        <f>'Смета Внутр'!C2088</f>
        <v>м.п.</v>
      </c>
      <c r="D2082" s="3009">
        <f>'Смета Внутр'!D2088</f>
        <v>56</v>
      </c>
      <c r="E2082" s="3007"/>
      <c r="F2082" s="3012">
        <f>'Смета Внутр'!H2088</f>
        <v>0</v>
      </c>
    </row>
    <row r="2083" spans="2:6">
      <c r="B2083" s="3007" t="str">
        <f>'Смета Внутр'!B2089</f>
        <v>монтаж плоский шифер</v>
      </c>
      <c r="C2083" s="3008" t="str">
        <f>'Смета Внутр'!C2089</f>
        <v>м2</v>
      </c>
      <c r="D2083" s="3009">
        <f>'Смета Внутр'!D2089</f>
        <v>22.400000000000002</v>
      </c>
      <c r="E2083" s="3007"/>
      <c r="F2083" s="3012">
        <f>'Смета Внутр'!H2089</f>
        <v>0</v>
      </c>
    </row>
    <row r="2084" spans="2:6">
      <c r="B2084" s="3007" t="str">
        <f>'Смета Внутр'!B2090</f>
        <v>сайдинг металл сайдинг</v>
      </c>
      <c r="C2084" s="3008" t="str">
        <f>'Смета Внутр'!C2090</f>
        <v>м2</v>
      </c>
      <c r="D2084" s="3009">
        <f>'Смета Внутр'!D2090</f>
        <v>0</v>
      </c>
      <c r="E2084" s="3007"/>
      <c r="F2084" s="3012">
        <f>'Смета Внутр'!H2090</f>
        <v>0</v>
      </c>
    </row>
    <row r="2085" spans="2:6">
      <c r="B2085" s="3007" t="str">
        <f>'Смета Внутр'!B2091</f>
        <v>монтаж камень природ</v>
      </c>
      <c r="C2085" s="3008" t="str">
        <f>'Смета Внутр'!C2091</f>
        <v>м2</v>
      </c>
      <c r="D2085" s="3009">
        <f>'Смета Внутр'!D2091</f>
        <v>22.400000000000002</v>
      </c>
      <c r="E2085" s="3007"/>
      <c r="F2085" s="3012">
        <f>'Смета Внутр'!H2091</f>
        <v>0</v>
      </c>
    </row>
    <row r="2086" spans="2:6">
      <c r="B2086" s="3007" t="str">
        <f>'Смета Внутр'!B2092</f>
        <v>монтаж камень искуст-ый</v>
      </c>
      <c r="C2086" s="3008" t="str">
        <f>'Смета Внутр'!C2092</f>
        <v>м2</v>
      </c>
      <c r="D2086" s="3009">
        <f>'Смета Внутр'!D2092</f>
        <v>0</v>
      </c>
      <c r="E2086" s="3007"/>
      <c r="F2086" s="3012">
        <f>'Смета Внутр'!H2092</f>
        <v>0</v>
      </c>
    </row>
    <row r="2087" spans="2:6">
      <c r="B2087" s="3326" t="str">
        <f>'Смета Внутр'!B2093</f>
        <v>карнизы</v>
      </c>
      <c r="C2087" s="3326"/>
      <c r="D2087" s="3326"/>
      <c r="E2087" s="3326"/>
      <c r="F2087" s="3012">
        <f>'Смета Внутр'!H2093</f>
        <v>0</v>
      </c>
    </row>
    <row r="2088" spans="2:6">
      <c r="B2088" s="3007" t="str">
        <f>'Смета Внутр'!B2094</f>
        <v>планкен</v>
      </c>
      <c r="C2088" s="3008" t="str">
        <f>'Смета Внутр'!C2094</f>
        <v>м2</v>
      </c>
      <c r="D2088" s="3009">
        <f>'Смета Внутр'!D2094</f>
        <v>0</v>
      </c>
      <c r="E2088" s="3007"/>
      <c r="F2088" s="3012">
        <f>'Смета Внутр'!H2094</f>
        <v>0</v>
      </c>
    </row>
    <row r="2089" spans="2:6">
      <c r="B2089" s="3007" t="str">
        <f>'Смета Внутр'!B2095</f>
        <v>сайдинг</v>
      </c>
      <c r="C2089" s="3008" t="str">
        <f>'Смета Внутр'!C2095</f>
        <v>м2</v>
      </c>
      <c r="D2089" s="3009">
        <f>'Смета Внутр'!D2095</f>
        <v>0</v>
      </c>
      <c r="E2089" s="3007"/>
      <c r="F2089" s="3012">
        <f>'Смета Внутр'!H2095</f>
        <v>0</v>
      </c>
    </row>
    <row r="2090" spans="2:6">
      <c r="B2090" s="3007" t="str">
        <f>'Смета Внутр'!B2096</f>
        <v>монтаж леса стрительные</v>
      </c>
      <c r="C2090" s="3008" t="str">
        <f>'Смета Внутр'!C2096</f>
        <v>м2</v>
      </c>
      <c r="D2090" s="3009">
        <f>'Смета Внутр'!D2096</f>
        <v>118.8</v>
      </c>
      <c r="E2090" s="3007"/>
      <c r="F2090" s="3012">
        <f>'Смета Внутр'!H2096</f>
        <v>0</v>
      </c>
    </row>
    <row r="2091" spans="2:6">
      <c r="B2091" s="3311" t="str">
        <f>'Смета Внутр'!B2097</f>
        <v>Итого работы</v>
      </c>
      <c r="C2091" s="3311"/>
      <c r="D2091" s="3311"/>
      <c r="E2091" s="3311"/>
      <c r="F2091" s="3014">
        <f>'Смета Внутр'!G2097</f>
        <v>0</v>
      </c>
    </row>
    <row r="2092" spans="2:6" ht="19">
      <c r="B2092" s="3313" t="str">
        <f>'Смета Внутр'!B2098</f>
        <v>Чистовая отделка</v>
      </c>
      <c r="C2092" s="3313"/>
      <c r="D2092" s="3313"/>
      <c r="E2092" s="3313"/>
      <c r="F2092" s="3015">
        <f>'Смета Внутр'!H2098</f>
        <v>0</v>
      </c>
    </row>
    <row r="2093" spans="2:6">
      <c r="B2093" s="3310" t="str">
        <f>'Смета Внутр'!B2099</f>
        <v>Материалы</v>
      </c>
      <c r="C2093" s="3310"/>
      <c r="D2093" s="3310"/>
      <c r="E2093" s="3310"/>
      <c r="F2093" s="3015">
        <f>'Смета Внутр'!H2099</f>
        <v>0</v>
      </c>
    </row>
    <row r="2094" spans="2:6">
      <c r="B2094" s="3326" t="str">
        <f>'Смета Внутр'!B2100</f>
        <v>Стены</v>
      </c>
      <c r="C2094" s="3326"/>
      <c r="D2094" s="3326"/>
      <c r="E2094" s="3326"/>
      <c r="F2094" s="3016">
        <f>'Смета Внутр'!H2100</f>
        <v>0</v>
      </c>
    </row>
    <row r="2095" spans="2:6">
      <c r="B2095" s="3007" t="str">
        <f>'Смета Внутр'!B2101</f>
        <v>ГКЛ, 12мм</v>
      </c>
      <c r="C2095" s="3008" t="str">
        <f>'Смета Внутр'!C2101</f>
        <v>м2</v>
      </c>
      <c r="D2095" s="3009">
        <f>'Смета Внутр'!D2101</f>
        <v>0</v>
      </c>
      <c r="E2095" s="3007"/>
      <c r="F2095" s="3012">
        <f>'Смета Внутр'!H2101</f>
        <v>0</v>
      </c>
    </row>
    <row r="2096" spans="2:6">
      <c r="B2096" s="3007" t="str">
        <f>'Смета Внутр'!B2102</f>
        <v>профиль 60/27/3000</v>
      </c>
      <c r="C2096" s="3008" t="str">
        <f>'Смета Внутр'!C2102</f>
        <v>шт</v>
      </c>
      <c r="D2096" s="3009">
        <f>'Смета Внутр'!D2102</f>
        <v>0</v>
      </c>
      <c r="E2096" s="3007"/>
      <c r="F2096" s="3012">
        <f>'Смета Внутр'!H2102</f>
        <v>0</v>
      </c>
    </row>
    <row r="2097" spans="2:6">
      <c r="B2097" s="3007" t="str">
        <f>'Смета Внутр'!B2103</f>
        <v>профиль 27/28/3000</v>
      </c>
      <c r="C2097" s="3008" t="str">
        <f>'Смета Внутр'!C2103</f>
        <v>шт</v>
      </c>
      <c r="D2097" s="3009">
        <f>'Смета Внутр'!D2103</f>
        <v>0</v>
      </c>
      <c r="E2097" s="3007"/>
      <c r="F2097" s="3012">
        <f>'Смета Внутр'!H2103</f>
        <v>0</v>
      </c>
    </row>
    <row r="2098" spans="2:6">
      <c r="B2098" s="3007" t="str">
        <f>'Смета Внутр'!B2104</f>
        <v>подвес прямой</v>
      </c>
      <c r="C2098" s="3008" t="str">
        <f>'Смета Внутр'!C2104</f>
        <v>шт</v>
      </c>
      <c r="D2098" s="3009">
        <f>'Смета Внутр'!D2104</f>
        <v>0</v>
      </c>
      <c r="E2098" s="3007"/>
      <c r="F2098" s="3012">
        <f>'Смета Внутр'!H2104</f>
        <v>0</v>
      </c>
    </row>
    <row r="2099" spans="2:6">
      <c r="B2099" s="3007" t="str">
        <f>'Смета Внутр'!B2105</f>
        <v>саморез металл/металл, 13мм</v>
      </c>
      <c r="C2099" s="3008" t="str">
        <f>'Смета Внутр'!C2105</f>
        <v>шт</v>
      </c>
      <c r="D2099" s="3009">
        <f>'Смета Внутр'!D2105</f>
        <v>0</v>
      </c>
      <c r="E2099" s="3007"/>
      <c r="F2099" s="3012">
        <f>'Смета Внутр'!H2105</f>
        <v>0</v>
      </c>
    </row>
    <row r="2100" spans="2:6">
      <c r="B2100" s="3007" t="str">
        <f>'Смета Внутр'!B2106</f>
        <v>саморез гкл/металл, 25мм</v>
      </c>
      <c r="C2100" s="3008" t="str">
        <f>'Смета Внутр'!C2106</f>
        <v>шт</v>
      </c>
      <c r="D2100" s="3009">
        <f>'Смета Внутр'!D2106</f>
        <v>0</v>
      </c>
      <c r="E2100" s="3007"/>
      <c r="F2100" s="3012">
        <f>'Смета Внутр'!H2106</f>
        <v>0</v>
      </c>
    </row>
    <row r="2101" spans="2:6">
      <c r="B2101" s="3007" t="str">
        <f>'Смета Внутр'!B2107</f>
        <v>грунтовка, 10л</v>
      </c>
      <c r="C2101" s="3008" t="str">
        <f>'Смета Внутр'!C2107</f>
        <v>шт</v>
      </c>
      <c r="D2101" s="3009">
        <f>'Смета Внутр'!D2107</f>
        <v>0</v>
      </c>
      <c r="E2101" s="3007"/>
      <c r="F2101" s="3012">
        <f>'Смета Внутр'!H2107</f>
        <v>0</v>
      </c>
    </row>
    <row r="2102" spans="2:6">
      <c r="B2102" s="3007" t="str">
        <f>'Смета Внутр'!B2108</f>
        <v>шпаклевка для швов, 25кг</v>
      </c>
      <c r="C2102" s="3008" t="str">
        <f>'Смета Внутр'!C2108</f>
        <v>шт</v>
      </c>
      <c r="D2102" s="3009">
        <f>'Смета Внутр'!D2108</f>
        <v>0</v>
      </c>
      <c r="E2102" s="3007"/>
      <c r="F2102" s="3012">
        <f>'Смета Внутр'!H2108</f>
        <v>0</v>
      </c>
    </row>
    <row r="2103" spans="2:6">
      <c r="B2103" s="3007" t="str">
        <f>'Смета Внутр'!B2109</f>
        <v>шпаклевка финишная, 25кг</v>
      </c>
      <c r="C2103" s="3008" t="str">
        <f>'Смета Внутр'!C2109</f>
        <v>шт</v>
      </c>
      <c r="D2103" s="3009">
        <f>'Смета Внутр'!D2109</f>
        <v>0</v>
      </c>
      <c r="E2103" s="3007"/>
      <c r="F2103" s="3012">
        <f>'Смета Внутр'!H2109</f>
        <v>0</v>
      </c>
    </row>
    <row r="2104" spans="2:6">
      <c r="B2104" s="3007" t="str">
        <f>'Смета Внутр'!B2110</f>
        <v>серпянка для швов, 50м.п.</v>
      </c>
      <c r="C2104" s="3008" t="str">
        <f>'Смета Внутр'!C2110</f>
        <v>шт</v>
      </c>
      <c r="D2104" s="3009">
        <f>'Смета Внутр'!D2110</f>
        <v>0</v>
      </c>
      <c r="E2104" s="3007"/>
      <c r="F2104" s="3012">
        <f>'Смета Внутр'!H2110</f>
        <v>0</v>
      </c>
    </row>
    <row r="2105" spans="2:6">
      <c r="B2105" s="3007" t="str">
        <f>'Смета Внутр'!B2111</f>
        <v>обои</v>
      </c>
      <c r="C2105" s="3008" t="str">
        <f>'Смета Внутр'!C2111</f>
        <v>м2</v>
      </c>
      <c r="D2105" s="3009">
        <f>'Смета Внутр'!D2111</f>
        <v>0</v>
      </c>
      <c r="E2105" s="3007"/>
      <c r="F2105" s="3012">
        <f>'Смета Внутр'!H2111</f>
        <v>0</v>
      </c>
    </row>
    <row r="2106" spans="2:6">
      <c r="B2106" s="3007" t="str">
        <f>'Смета Внутр'!B2112</f>
        <v>клей обойный</v>
      </c>
      <c r="C2106" s="3008" t="str">
        <f>'Смета Внутр'!C2112</f>
        <v>шт</v>
      </c>
      <c r="D2106" s="3009">
        <f>'Смета Внутр'!D2112</f>
        <v>0</v>
      </c>
      <c r="E2106" s="3007"/>
      <c r="F2106" s="3012">
        <f>'Смета Внутр'!H2112</f>
        <v>0</v>
      </c>
    </row>
    <row r="2107" spans="2:6">
      <c r="B2107" s="3007" t="str">
        <f>'Смета Внутр'!B2113</f>
        <v>краска для стен, 10л</v>
      </c>
      <c r="C2107" s="3008" t="str">
        <f>'Смета Внутр'!C2113</f>
        <v>шт</v>
      </c>
      <c r="D2107" s="3009">
        <f>'Смета Внутр'!D2113</f>
        <v>0</v>
      </c>
      <c r="E2107" s="3007"/>
      <c r="F2107" s="3012">
        <f>'Смета Внутр'!H2113</f>
        <v>0</v>
      </c>
    </row>
    <row r="2108" spans="2:6">
      <c r="B2108" s="3007" t="str">
        <f>'Смета Внутр'!B2114</f>
        <v>имитация бруса</v>
      </c>
      <c r="C2108" s="3008" t="str">
        <f>'Смета Внутр'!C2114</f>
        <v>м2</v>
      </c>
      <c r="D2108" s="3009">
        <f>'Смета Внутр'!D2114</f>
        <v>0</v>
      </c>
      <c r="E2108" s="3007"/>
      <c r="F2108" s="3012">
        <f>'Смета Внутр'!H2114</f>
        <v>0</v>
      </c>
    </row>
    <row r="2109" spans="2:6">
      <c r="B2109" s="3007" t="str">
        <f>'Смета Внутр'!B2115</f>
        <v>блокхаус</v>
      </c>
      <c r="C2109" s="3008" t="str">
        <f>'Смета Внутр'!C2115</f>
        <v>м2</v>
      </c>
      <c r="D2109" s="3009">
        <f>'Смета Внутр'!D2115</f>
        <v>0</v>
      </c>
      <c r="E2109" s="3007"/>
      <c r="F2109" s="3012">
        <f>'Смета Внутр'!H2115</f>
        <v>0</v>
      </c>
    </row>
    <row r="2110" spans="2:6">
      <c r="B2110" s="3007" t="str">
        <f>'Смета Внутр'!B2116</f>
        <v>вагонка</v>
      </c>
      <c r="C2110" s="3008" t="str">
        <f>'Смета Внутр'!C2116</f>
        <v>м2</v>
      </c>
      <c r="D2110" s="3009">
        <f>'Смета Внутр'!D2116</f>
        <v>0</v>
      </c>
      <c r="E2110" s="3007"/>
      <c r="F2110" s="3016">
        <f>'Смета Внутр'!H2116</f>
        <v>0</v>
      </c>
    </row>
    <row r="2111" spans="2:6">
      <c r="B2111" s="3007" t="str">
        <f>'Смета Внутр'!B2117</f>
        <v>подсистема, брусок</v>
      </c>
      <c r="C2111" s="3008" t="str">
        <f>'Смета Внутр'!C2117</f>
        <v>м.п.</v>
      </c>
      <c r="D2111" s="3009">
        <f>'Смета Внутр'!D2117</f>
        <v>0</v>
      </c>
      <c r="E2111" s="3007"/>
      <c r="F2111" s="3012">
        <f>'Смета Внутр'!H2117</f>
        <v>0</v>
      </c>
    </row>
    <row r="2112" spans="2:6">
      <c r="B2112" s="3007" t="str">
        <f>'Смета Внутр'!B2118</f>
        <v>уголок крепежный</v>
      </c>
      <c r="C2112" s="3008" t="str">
        <f>'Смета Внутр'!C2118</f>
        <v>шт</v>
      </c>
      <c r="D2112" s="3009">
        <f>'Смета Внутр'!D2118</f>
        <v>0</v>
      </c>
      <c r="E2112" s="3007"/>
      <c r="F2112" s="3012">
        <f>'Смета Внутр'!H2118</f>
        <v>0</v>
      </c>
    </row>
    <row r="2113" spans="2:6">
      <c r="B2113" s="3007" t="str">
        <f>'Смета Внутр'!B2119</f>
        <v>гвозди/саморезы для крепления подсистемы</v>
      </c>
      <c r="C2113" s="3008" t="str">
        <f>'Смета Внутр'!C2119</f>
        <v>шт</v>
      </c>
      <c r="D2113" s="3009">
        <f>'Смета Внутр'!D2119</f>
        <v>0</v>
      </c>
      <c r="E2113" s="3007"/>
      <c r="F2113" s="3012">
        <f>'Смета Внутр'!H2119</f>
        <v>0</v>
      </c>
    </row>
    <row r="2114" spans="2:6">
      <c r="B2114" s="3007" t="str">
        <f>'Смета Внутр'!B2120</f>
        <v>гвозди/саморезы для крепления</v>
      </c>
      <c r="C2114" s="3008" t="str">
        <f>'Смета Внутр'!C2120</f>
        <v>шт</v>
      </c>
      <c r="D2114" s="3009">
        <f>'Смета Внутр'!D2120</f>
        <v>0</v>
      </c>
      <c r="E2114" s="3007"/>
      <c r="F2114" s="3016">
        <f>'Смета Внутр'!H2120</f>
        <v>0</v>
      </c>
    </row>
    <row r="2115" spans="2:6">
      <c r="B2115" s="3007" t="str">
        <f>'Смета Внутр'!B2121</f>
        <v>Монтаж евровагонка</v>
      </c>
      <c r="C2115" s="3008" t="str">
        <f>'Смета Внутр'!C2121</f>
        <v>м2</v>
      </c>
      <c r="D2115" s="3009">
        <f>'Смета Внутр'!D2121</f>
        <v>0</v>
      </c>
      <c r="E2115" s="3007"/>
      <c r="F2115" s="3012">
        <f>'Смета Внутр'!H2121</f>
        <v>0</v>
      </c>
    </row>
    <row r="2116" spans="2:6">
      <c r="B2116" s="3007" t="str">
        <f>'Смета Внутр'!B2122</f>
        <v>Монтаж вагонка штиль</v>
      </c>
      <c r="C2116" s="3008" t="str">
        <f>'Смета Внутр'!C2122</f>
        <v>м2</v>
      </c>
      <c r="D2116" s="3009">
        <f>'Смета Внутр'!D2122</f>
        <v>0</v>
      </c>
      <c r="E2116" s="3007"/>
      <c r="F2116" s="3012">
        <f>'Смета Внутр'!H2122</f>
        <v>0</v>
      </c>
    </row>
    <row r="2117" spans="2:6">
      <c r="B2117" s="3007" t="str">
        <f>'Смета Внутр'!B2123</f>
        <v>Монтаж софт лайн</v>
      </c>
      <c r="C2117" s="3008" t="str">
        <f>'Смета Внутр'!C2123</f>
        <v>м2</v>
      </c>
      <c r="D2117" s="3009">
        <f>'Смета Внутр'!D2123</f>
        <v>0</v>
      </c>
      <c r="E2117" s="3007"/>
      <c r="F2117" s="3012">
        <f>'Смета Внутр'!H2123</f>
        <v>0</v>
      </c>
    </row>
    <row r="2118" spans="2:6">
      <c r="B2118" s="3007" t="str">
        <f>'Смета Внутр'!B2124</f>
        <v>Монтаж блокхаус</v>
      </c>
      <c r="C2118" s="3008" t="str">
        <f>'Смета Внутр'!C2124</f>
        <v>м2</v>
      </c>
      <c r="D2118" s="3009">
        <f>'Смета Внутр'!D2124</f>
        <v>0</v>
      </c>
      <c r="E2118" s="3007"/>
      <c r="F2118" s="3012">
        <f>'Смета Внутр'!H2124</f>
        <v>0</v>
      </c>
    </row>
    <row r="2119" spans="2:6">
      <c r="B2119" s="3326" t="str">
        <f>'Смета Внутр'!B2125</f>
        <v>Потолок</v>
      </c>
      <c r="C2119" s="3326"/>
      <c r="D2119" s="3326"/>
      <c r="E2119" s="3326"/>
      <c r="F2119" s="3016">
        <f>'Смета Внутр'!H2125</f>
        <v>0</v>
      </c>
    </row>
    <row r="2120" spans="2:6">
      <c r="B2120" s="3007" t="str">
        <f>'Смета Внутр'!B2126</f>
        <v>ГКЛ, 9мм</v>
      </c>
      <c r="C2120" s="3008" t="str">
        <f>'Смета Внутр'!C2126</f>
        <v>м2</v>
      </c>
      <c r="D2120" s="3009">
        <f>'Смета Внутр'!D2126</f>
        <v>0</v>
      </c>
      <c r="E2120" s="3007"/>
      <c r="F2120" s="3012">
        <f>'Смета Внутр'!H2126</f>
        <v>0</v>
      </c>
    </row>
    <row r="2121" spans="2:6">
      <c r="B2121" s="3007" t="str">
        <f>'Смета Внутр'!B2127</f>
        <v>профиль 60/27/3000</v>
      </c>
      <c r="C2121" s="3008" t="str">
        <f>'Смета Внутр'!C2127</f>
        <v>шт</v>
      </c>
      <c r="D2121" s="3009">
        <f>'Смета Внутр'!D2127</f>
        <v>0</v>
      </c>
      <c r="E2121" s="3007"/>
      <c r="F2121" s="3012">
        <f>'Смета Внутр'!H2127</f>
        <v>0</v>
      </c>
    </row>
    <row r="2122" spans="2:6">
      <c r="B2122" s="3007" t="str">
        <f>'Смета Внутр'!B2128</f>
        <v>профиль 27/28/3000</v>
      </c>
      <c r="C2122" s="3008" t="str">
        <f>'Смета Внутр'!C2128</f>
        <v>шт</v>
      </c>
      <c r="D2122" s="3009">
        <f>'Смета Внутр'!D2128</f>
        <v>0</v>
      </c>
      <c r="E2122" s="3007"/>
      <c r="F2122" s="3012">
        <f>'Смета Внутр'!H2128</f>
        <v>0</v>
      </c>
    </row>
    <row r="2123" spans="2:6">
      <c r="B2123" s="3007" t="str">
        <f>'Смета Внутр'!B2129</f>
        <v>подвес прямой</v>
      </c>
      <c r="C2123" s="3008" t="str">
        <f>'Смета Внутр'!C2129</f>
        <v>шт</v>
      </c>
      <c r="D2123" s="3009">
        <f>'Смета Внутр'!D2129</f>
        <v>0</v>
      </c>
      <c r="E2123" s="3007"/>
      <c r="F2123" s="3012">
        <f>'Смета Внутр'!H2129</f>
        <v>0</v>
      </c>
    </row>
    <row r="2124" spans="2:6">
      <c r="B2124" s="3007" t="str">
        <f>'Смета Внутр'!B2130</f>
        <v>саморез металл/металл, 13мм</v>
      </c>
      <c r="C2124" s="3008" t="str">
        <f>'Смета Внутр'!C2130</f>
        <v>шт</v>
      </c>
      <c r="D2124" s="3009">
        <f>'Смета Внутр'!D2130</f>
        <v>0</v>
      </c>
      <c r="E2124" s="3007"/>
      <c r="F2124" s="3012">
        <f>'Смета Внутр'!H2130</f>
        <v>0</v>
      </c>
    </row>
    <row r="2125" spans="2:6">
      <c r="B2125" s="3007" t="str">
        <f>'Смета Внутр'!B2131</f>
        <v>саморез гкл/металл, 25мм</v>
      </c>
      <c r="C2125" s="3008" t="str">
        <f>'Смета Внутр'!C2131</f>
        <v>шт</v>
      </c>
      <c r="D2125" s="3009">
        <f>'Смета Внутр'!D2131</f>
        <v>0</v>
      </c>
      <c r="E2125" s="3007"/>
      <c r="F2125" s="3012">
        <f>'Смета Внутр'!H2131</f>
        <v>0</v>
      </c>
    </row>
    <row r="2126" spans="2:6">
      <c r="B2126" s="3007" t="str">
        <f>'Смета Внутр'!B2132</f>
        <v>грунтовка, 10л</v>
      </c>
      <c r="C2126" s="3008" t="str">
        <f>'Смета Внутр'!C2132</f>
        <v>шт</v>
      </c>
      <c r="D2126" s="3009">
        <f>'Смета Внутр'!D2132</f>
        <v>0</v>
      </c>
      <c r="E2126" s="3007"/>
      <c r="F2126" s="3012">
        <f>'Смета Внутр'!H2132</f>
        <v>0</v>
      </c>
    </row>
    <row r="2127" spans="2:6">
      <c r="B2127" s="3007" t="str">
        <f>'Смета Внутр'!B2133</f>
        <v>шпаклевка для швов, 25кг</v>
      </c>
      <c r="C2127" s="3008" t="str">
        <f>'Смета Внутр'!C2133</f>
        <v>шт</v>
      </c>
      <c r="D2127" s="3009">
        <f>'Смета Внутр'!D2133</f>
        <v>0</v>
      </c>
      <c r="E2127" s="3007"/>
      <c r="F2127" s="3012">
        <f>'Смета Внутр'!H2133</f>
        <v>0</v>
      </c>
    </row>
    <row r="2128" spans="2:6">
      <c r="B2128" s="3007" t="str">
        <f>'Смета Внутр'!B2134</f>
        <v>шпаклевка финишная, 25кг</v>
      </c>
      <c r="C2128" s="3008" t="str">
        <f>'Смета Внутр'!C2134</f>
        <v>шт</v>
      </c>
      <c r="D2128" s="3009">
        <f>'Смета Внутр'!D2134</f>
        <v>0</v>
      </c>
      <c r="E2128" s="3007"/>
      <c r="F2128" s="3012">
        <f>'Смета Внутр'!H2134</f>
        <v>0</v>
      </c>
    </row>
    <row r="2129" spans="2:6">
      <c r="B2129" s="3007" t="str">
        <f>'Смета Внутр'!B2135</f>
        <v>серпянка для швов, 50м.п.</v>
      </c>
      <c r="C2129" s="3008" t="str">
        <f>'Смета Внутр'!C2135</f>
        <v>шт</v>
      </c>
      <c r="D2129" s="3009">
        <f>'Смета Внутр'!D2135</f>
        <v>0</v>
      </c>
      <c r="E2129" s="3007"/>
      <c r="F2129" s="3012">
        <f>'Смета Внутр'!H2135</f>
        <v>0</v>
      </c>
    </row>
    <row r="2130" spans="2:6">
      <c r="B2130" s="3007" t="str">
        <f>'Смета Внутр'!B2136</f>
        <v>краска для потолков, 10л</v>
      </c>
      <c r="C2130" s="3008" t="str">
        <f>'Смета Внутр'!C2136</f>
        <v>шт</v>
      </c>
      <c r="D2130" s="3009">
        <f>'Смета Внутр'!D2136</f>
        <v>0</v>
      </c>
      <c r="E2130" s="3007"/>
      <c r="F2130" s="3012">
        <f>'Смета Внутр'!H2136</f>
        <v>0</v>
      </c>
    </row>
    <row r="2131" spans="2:6">
      <c r="B2131" s="3007" t="str">
        <f>'Смета Внутр'!B2137</f>
        <v>багет 1мп</v>
      </c>
      <c r="C2131" s="3008" t="str">
        <f>'Смета Внутр'!C2137</f>
        <v>м.п.</v>
      </c>
      <c r="D2131" s="3009">
        <f>'Смета Внутр'!D2137</f>
        <v>0</v>
      </c>
      <c r="E2131" s="3007"/>
      <c r="F2131" s="3012">
        <f>'Смета Внутр'!H2137</f>
        <v>0</v>
      </c>
    </row>
    <row r="2132" spans="2:6">
      <c r="B2132" s="3007" t="str">
        <f>'Смета Внутр'!B2138</f>
        <v>шпаклевка для багета, 5 кг</v>
      </c>
      <c r="C2132" s="3008" t="str">
        <f>'Смета Внутр'!C2138</f>
        <v>шт</v>
      </c>
      <c r="D2132" s="3009">
        <f>'Смета Внутр'!D2138</f>
        <v>0</v>
      </c>
      <c r="E2132" s="3007"/>
      <c r="F2132" s="3012">
        <f>'Смета Внутр'!H2138</f>
        <v>0</v>
      </c>
    </row>
    <row r="2133" spans="2:6">
      <c r="B2133" s="3007" t="str">
        <f>'Смета Внутр'!B2139</f>
        <v>краска для багета, 5 л</v>
      </c>
      <c r="C2133" s="3008" t="str">
        <f>'Смета Внутр'!C2139</f>
        <v>шт</v>
      </c>
      <c r="D2133" s="3009">
        <f>'Смета Внутр'!D2139</f>
        <v>0</v>
      </c>
      <c r="E2133" s="3007"/>
      <c r="F2133" s="3012">
        <f>'Смета Внутр'!H2139</f>
        <v>0</v>
      </c>
    </row>
    <row r="2134" spans="2:6">
      <c r="B2134" s="3007" t="str">
        <f>'Смета Внутр'!B2140</f>
        <v>наждачная бумага финишная</v>
      </c>
      <c r="C2134" s="3008" t="str">
        <f>'Смета Внутр'!C2140</f>
        <v>м2</v>
      </c>
      <c r="D2134" s="3009">
        <f>'Смета Внутр'!D2140</f>
        <v>0</v>
      </c>
      <c r="E2134" s="3007"/>
      <c r="F2134" s="3012">
        <f>'Смета Внутр'!H2140</f>
        <v>0</v>
      </c>
    </row>
    <row r="2135" spans="2:6">
      <c r="B2135" s="3007" t="str">
        <f>'Смета Внутр'!B2141</f>
        <v>натяжной потолок</v>
      </c>
      <c r="C2135" s="3008" t="str">
        <f>'Смета Внутр'!C2141</f>
        <v>м2</v>
      </c>
      <c r="D2135" s="3009">
        <f>'Смета Внутр'!D2141</f>
        <v>0</v>
      </c>
      <c r="E2135" s="3007"/>
      <c r="F2135" s="3012">
        <f>'Смета Внутр'!H2141</f>
        <v>0</v>
      </c>
    </row>
    <row r="2136" spans="2:6">
      <c r="B2136" s="3007" t="str">
        <f>'Смета Внутр'!B2142</f>
        <v>имитация бруса</v>
      </c>
      <c r="C2136" s="3008" t="str">
        <f>'Смета Внутр'!C2142</f>
        <v>м2</v>
      </c>
      <c r="D2136" s="3009">
        <f>'Смета Внутр'!D2142</f>
        <v>0</v>
      </c>
      <c r="E2136" s="3007"/>
      <c r="F2136" s="3012">
        <f>'Смета Внутр'!H2142</f>
        <v>0</v>
      </c>
    </row>
    <row r="2137" spans="2:6">
      <c r="B2137" s="3007" t="str">
        <f>'Смета Внутр'!B2143</f>
        <v>блокхаус</v>
      </c>
      <c r="C2137" s="3008" t="str">
        <f>'Смета Внутр'!C2143</f>
        <v>м2</v>
      </c>
      <c r="D2137" s="3009">
        <f>'Смета Внутр'!D2143</f>
        <v>0</v>
      </c>
      <c r="E2137" s="3007"/>
      <c r="F2137" s="3012">
        <f>'Смета Внутр'!H2143</f>
        <v>0</v>
      </c>
    </row>
    <row r="2138" spans="2:6">
      <c r="B2138" s="3007" t="str">
        <f>'Смета Внутр'!B2144</f>
        <v>вагонка</v>
      </c>
      <c r="C2138" s="3008" t="str">
        <f>'Смета Внутр'!C2144</f>
        <v>м2</v>
      </c>
      <c r="D2138" s="3009">
        <f>'Смета Внутр'!D2144</f>
        <v>0</v>
      </c>
      <c r="E2138" s="3007"/>
      <c r="F2138" s="3016">
        <f>'Смета Внутр'!H2144</f>
        <v>0</v>
      </c>
    </row>
    <row r="2139" spans="2:6">
      <c r="B2139" s="3007" t="str">
        <f>'Смета Внутр'!B2145</f>
        <v>подсистема, брусок</v>
      </c>
      <c r="C2139" s="3008" t="str">
        <f>'Смета Внутр'!C2145</f>
        <v>м.п.</v>
      </c>
      <c r="D2139" s="3009">
        <f>'Смета Внутр'!D2145</f>
        <v>0</v>
      </c>
      <c r="E2139" s="3007"/>
      <c r="F2139" s="3012">
        <f>'Смета Внутр'!H2145</f>
        <v>0</v>
      </c>
    </row>
    <row r="2140" spans="2:6">
      <c r="B2140" s="3007" t="str">
        <f>'Смета Внутр'!B2146</f>
        <v>уголок крепежный</v>
      </c>
      <c r="C2140" s="3008" t="str">
        <f>'Смета Внутр'!C2146</f>
        <v>шт</v>
      </c>
      <c r="D2140" s="3009">
        <f>'Смета Внутр'!D2146</f>
        <v>0</v>
      </c>
      <c r="E2140" s="3007"/>
      <c r="F2140" s="3012">
        <f>'Смета Внутр'!H2146</f>
        <v>0</v>
      </c>
    </row>
    <row r="2141" spans="2:6">
      <c r="B2141" s="3007" t="str">
        <f>'Смета Внутр'!B2147</f>
        <v>гвозди/саморезы для крепления подсистемы</v>
      </c>
      <c r="C2141" s="3008" t="str">
        <f>'Смета Внутр'!C2147</f>
        <v>шт</v>
      </c>
      <c r="D2141" s="3009">
        <f>'Смета Внутр'!D2147</f>
        <v>0</v>
      </c>
      <c r="E2141" s="3007"/>
      <c r="F2141" s="3012">
        <f>'Смета Внутр'!H2147</f>
        <v>0</v>
      </c>
    </row>
    <row r="2142" spans="2:6">
      <c r="B2142" s="3007" t="str">
        <f>'Смета Внутр'!B2148</f>
        <v>гвозди/саморезы для крепления</v>
      </c>
      <c r="C2142" s="3008" t="str">
        <f>'Смета Внутр'!C2148</f>
        <v>шт</v>
      </c>
      <c r="D2142" s="3009">
        <f>'Смета Внутр'!D2148</f>
        <v>0</v>
      </c>
      <c r="E2142" s="3007"/>
      <c r="F2142" s="3016">
        <f>'Смета Внутр'!H2148</f>
        <v>0</v>
      </c>
    </row>
    <row r="2143" spans="2:6">
      <c r="B2143" s="3326" t="str">
        <f>'Смета Внутр'!B2149</f>
        <v>Пол</v>
      </c>
      <c r="C2143" s="3326"/>
      <c r="D2143" s="3326"/>
      <c r="E2143" s="3326"/>
      <c r="F2143" s="3012">
        <f>'Смета Внутр'!H2149</f>
        <v>0</v>
      </c>
    </row>
    <row r="2144" spans="2:6">
      <c r="B2144" s="3007" t="str">
        <f>'Смета Внутр'!B2150</f>
        <v>подложка под покрытие</v>
      </c>
      <c r="C2144" s="3008" t="str">
        <f>'Смета Внутр'!C2150</f>
        <v>м2</v>
      </c>
      <c r="D2144" s="3009">
        <f>'Смета Внутр'!D2150</f>
        <v>0</v>
      </c>
      <c r="E2144" s="3007"/>
      <c r="F2144" s="3012">
        <f>'Смета Внутр'!H2150</f>
        <v>0</v>
      </c>
    </row>
    <row r="2145" spans="2:6">
      <c r="B2145" s="3007" t="str">
        <f>'Смета Внутр'!B2151</f>
        <v>линолеум</v>
      </c>
      <c r="C2145" s="3008" t="str">
        <f>'Смета Внутр'!C2151</f>
        <v>м2</v>
      </c>
      <c r="D2145" s="3009">
        <f>'Смета Внутр'!D2151</f>
        <v>0</v>
      </c>
      <c r="E2145" s="3007"/>
      <c r="F2145" s="3012">
        <f>'Смета Внутр'!H2151</f>
        <v>0</v>
      </c>
    </row>
    <row r="2146" spans="2:6">
      <c r="B2146" s="3007" t="str">
        <f>'Смета Внутр'!B2152</f>
        <v>ламинат</v>
      </c>
      <c r="C2146" s="3008" t="str">
        <f>'Смета Внутр'!C2152</f>
        <v>м2</v>
      </c>
      <c r="D2146" s="3009">
        <f>'Смета Внутр'!D2152</f>
        <v>94</v>
      </c>
      <c r="E2146" s="3007"/>
      <c r="F2146" s="3012">
        <f>'Смета Внутр'!H2152</f>
        <v>0</v>
      </c>
    </row>
    <row r="2147" spans="2:6">
      <c r="B2147" s="3007" t="str">
        <f>'Смета Внутр'!B2153</f>
        <v>уголки, расходные материалы</v>
      </c>
      <c r="C2147" s="3008" t="str">
        <f>'Смета Внутр'!C2153</f>
        <v>шт</v>
      </c>
      <c r="D2147" s="3009">
        <f>'Смета Внутр'!D2153</f>
        <v>0</v>
      </c>
      <c r="E2147" s="3007"/>
      <c r="F2147" s="3012">
        <f>'Смета Внутр'!H2153</f>
        <v>0</v>
      </c>
    </row>
    <row r="2148" spans="2:6">
      <c r="B2148" s="3007" t="str">
        <f>'Смета Внутр'!B2154</f>
        <v>плинтус</v>
      </c>
      <c r="C2148" s="3008" t="str">
        <f>'Смета Внутр'!C2154</f>
        <v>м.п.</v>
      </c>
      <c r="D2148" s="3009">
        <f>'Смета Внутр'!D2154</f>
        <v>0</v>
      </c>
      <c r="E2148" s="3007"/>
      <c r="F2148" s="3012">
        <f>'Смета Внутр'!H2154</f>
        <v>0</v>
      </c>
    </row>
    <row r="2149" spans="2:6">
      <c r="B2149" s="3007" t="str">
        <f>'Смета Внутр'!B2155</f>
        <v>кафель</v>
      </c>
      <c r="C2149" s="3008" t="str">
        <f>'Смета Внутр'!C2155</f>
        <v>м2</v>
      </c>
      <c r="D2149" s="3009">
        <f>'Смета Внутр'!D2155</f>
        <v>0</v>
      </c>
      <c r="E2149" s="3007"/>
      <c r="F2149" s="3012">
        <f>'Смета Внутр'!H2155</f>
        <v>0</v>
      </c>
    </row>
    <row r="2150" spans="2:6">
      <c r="B2150" s="3007" t="str">
        <f>'Смета Внутр'!B2156</f>
        <v>клей для кафеля, 25кг</v>
      </c>
      <c r="C2150" s="3008" t="str">
        <f>'Смета Внутр'!C2156</f>
        <v>шт</v>
      </c>
      <c r="D2150" s="3009">
        <f>'Смета Внутр'!D2156</f>
        <v>0</v>
      </c>
      <c r="E2150" s="3007"/>
      <c r="F2150" s="3012">
        <f>'Смета Внутр'!H2156</f>
        <v>0</v>
      </c>
    </row>
    <row r="2151" spans="2:6">
      <c r="B2151" s="3007" t="str">
        <f>'Смета Внутр'!B2157</f>
        <v>грунтовка, 10л</v>
      </c>
      <c r="C2151" s="3008" t="str">
        <f>'Смета Внутр'!C2157</f>
        <v>шт</v>
      </c>
      <c r="D2151" s="3009">
        <f>'Смета Внутр'!D2157</f>
        <v>0</v>
      </c>
      <c r="E2151" s="3007"/>
      <c r="F2151" s="3012">
        <f>'Смета Внутр'!H2157</f>
        <v>0</v>
      </c>
    </row>
    <row r="2152" spans="2:6">
      <c r="B2152" s="3007" t="str">
        <f>'Смета Внутр'!B2158</f>
        <v>крестики, 100шт</v>
      </c>
      <c r="C2152" s="3008" t="str">
        <f>'Смета Внутр'!C2158</f>
        <v>шт</v>
      </c>
      <c r="D2152" s="3009">
        <f>'Смета Внутр'!D2158</f>
        <v>0</v>
      </c>
      <c r="E2152" s="3007"/>
      <c r="F2152" s="3012">
        <f>'Смета Внутр'!H2158</f>
        <v>0</v>
      </c>
    </row>
    <row r="2153" spans="2:6">
      <c r="B2153" s="3007" t="str">
        <f>'Смета Внутр'!B2159</f>
        <v>затирка для швов</v>
      </c>
      <c r="C2153" s="3008" t="str">
        <f>'Смета Внутр'!C2159</f>
        <v>шт</v>
      </c>
      <c r="D2153" s="3009">
        <f>'Смета Внутр'!D2159</f>
        <v>0</v>
      </c>
      <c r="E2153" s="3007"/>
      <c r="F2153" s="3012">
        <f>'Смета Внутр'!H2159</f>
        <v>0</v>
      </c>
    </row>
    <row r="2154" spans="2:6">
      <c r="B2154" s="3326" t="str">
        <f>'Смета Внутр'!B2160</f>
        <v>санузел/ванная</v>
      </c>
      <c r="C2154" s="3326"/>
      <c r="D2154" s="3326"/>
      <c r="E2154" s="3326"/>
      <c r="F2154" s="3012">
        <f>'Смета Внутр'!H2160</f>
        <v>0</v>
      </c>
    </row>
    <row r="2155" spans="2:6">
      <c r="B2155" s="3007" t="str">
        <f>'Смета Внутр'!B2161</f>
        <v>кафель стены</v>
      </c>
      <c r="C2155" s="3008" t="str">
        <f>'Смета Внутр'!C2161</f>
        <v>м2</v>
      </c>
      <c r="D2155" s="3009">
        <f>'Смета Внутр'!D2161</f>
        <v>0</v>
      </c>
      <c r="E2155" s="3007"/>
      <c r="F2155" s="3012">
        <f>'Смета Внутр'!H2161</f>
        <v>0</v>
      </c>
    </row>
    <row r="2156" spans="2:6">
      <c r="B2156" s="3007" t="str">
        <f>'Смета Внутр'!B2162</f>
        <v>кафель потолок</v>
      </c>
      <c r="C2156" s="3008" t="str">
        <f>'Смета Внутр'!C2162</f>
        <v>м2</v>
      </c>
      <c r="D2156" s="3009">
        <f>'Смета Внутр'!D2162</f>
        <v>0</v>
      </c>
      <c r="E2156" s="3007"/>
      <c r="F2156" s="3012">
        <f>'Смета Внутр'!H2162</f>
        <v>0</v>
      </c>
    </row>
    <row r="2157" spans="2:6">
      <c r="B2157" s="3007" t="str">
        <f>'Смета Внутр'!B2163</f>
        <v>кафель пол</v>
      </c>
      <c r="C2157" s="3008" t="str">
        <f>'Смета Внутр'!C2163</f>
        <v>м2</v>
      </c>
      <c r="D2157" s="3009">
        <f>'Смета Внутр'!D2163</f>
        <v>0</v>
      </c>
      <c r="E2157" s="3007"/>
      <c r="F2157" s="3012">
        <f>'Смета Внутр'!H2163</f>
        <v>0</v>
      </c>
    </row>
    <row r="2158" spans="2:6">
      <c r="B2158" s="3007" t="str">
        <f>'Смета Внутр'!B2164</f>
        <v>клей для кафеля, 25кг</v>
      </c>
      <c r="C2158" s="3008" t="str">
        <f>'Смета Внутр'!C2164</f>
        <v>шт</v>
      </c>
      <c r="D2158" s="3009">
        <f>'Смета Внутр'!D2164</f>
        <v>0</v>
      </c>
      <c r="E2158" s="3007"/>
      <c r="F2158" s="3012">
        <f>'Смета Внутр'!H2164</f>
        <v>0</v>
      </c>
    </row>
    <row r="2159" spans="2:6">
      <c r="B2159" s="3007" t="str">
        <f>'Смета Внутр'!B2165</f>
        <v>грунтовка, 10л</v>
      </c>
      <c r="C2159" s="3008" t="str">
        <f>'Смета Внутр'!C2165</f>
        <v>шт</v>
      </c>
      <c r="D2159" s="3009">
        <f>'Смета Внутр'!D2165</f>
        <v>0</v>
      </c>
      <c r="E2159" s="3007"/>
      <c r="F2159" s="3012">
        <f>'Смета Внутр'!H2165</f>
        <v>0</v>
      </c>
    </row>
    <row r="2160" spans="2:6">
      <c r="B2160" s="3007" t="str">
        <f>'Смета Внутр'!B2166</f>
        <v>крестики, 100 шт</v>
      </c>
      <c r="C2160" s="3008" t="str">
        <f>'Смета Внутр'!C2166</f>
        <v>шт</v>
      </c>
      <c r="D2160" s="3009">
        <f>'Смета Внутр'!D2166</f>
        <v>0</v>
      </c>
      <c r="E2160" s="3007"/>
      <c r="F2160" s="3012">
        <f>'Смета Внутр'!H2166</f>
        <v>0</v>
      </c>
    </row>
    <row r="2161" spans="2:6">
      <c r="B2161" s="3007" t="str">
        <f>'Смета Внутр'!B2167</f>
        <v>затирка для швов</v>
      </c>
      <c r="C2161" s="3008" t="str">
        <f>'Смета Внутр'!C2167</f>
        <v>шт</v>
      </c>
      <c r="D2161" s="3009">
        <f>'Смета Внутр'!D2167</f>
        <v>0</v>
      </c>
      <c r="E2161" s="3007"/>
      <c r="F2161" s="3012">
        <f>'Смета Внутр'!H2167</f>
        <v>0</v>
      </c>
    </row>
    <row r="2162" spans="2:6">
      <c r="B2162" s="3007" t="str">
        <f>'Смета Внутр'!B2168</f>
        <v>стеновые панели пластик стены</v>
      </c>
      <c r="C2162" s="3008" t="str">
        <f>'Смета Внутр'!C2168</f>
        <v>м2</v>
      </c>
      <c r="D2162" s="3009">
        <f>'Смета Внутр'!D2168</f>
        <v>0</v>
      </c>
      <c r="E2162" s="3007"/>
      <c r="F2162" s="3012">
        <f>'Смета Внутр'!H2168</f>
        <v>0</v>
      </c>
    </row>
    <row r="2163" spans="2:6">
      <c r="B2163" s="3007" t="str">
        <f>'Смета Внутр'!B2169</f>
        <v>стеновые панели пластик потолок</v>
      </c>
      <c r="C2163" s="3008" t="str">
        <f>'Смета Внутр'!C2169</f>
        <v>м2</v>
      </c>
      <c r="D2163" s="3009">
        <f>'Смета Внутр'!D2169</f>
        <v>0</v>
      </c>
      <c r="E2163" s="3007"/>
      <c r="F2163" s="3012">
        <f>'Смета Внутр'!H2169</f>
        <v>0</v>
      </c>
    </row>
    <row r="2164" spans="2:6">
      <c r="B2164" s="3007" t="str">
        <f>'Смета Внутр'!B2170</f>
        <v>скобы для крепления панелей, 1000шт/уп</v>
      </c>
      <c r="C2164" s="3008" t="str">
        <f>'Смета Внутр'!C2170</f>
        <v>шт</v>
      </c>
      <c r="D2164" s="3009">
        <f>'Смета Внутр'!D2170</f>
        <v>0</v>
      </c>
      <c r="E2164" s="3007"/>
      <c r="F2164" s="3012">
        <f>'Смета Внутр'!H2170</f>
        <v>0</v>
      </c>
    </row>
    <row r="2165" spans="2:6">
      <c r="B2165" s="3007" t="str">
        <f>'Смета Внутр'!B2171</f>
        <v>натяжной потолок</v>
      </c>
      <c r="C2165" s="3008" t="str">
        <f>'Смета Внутр'!C2171</f>
        <v>м2</v>
      </c>
      <c r="D2165" s="3009">
        <f>'Смета Внутр'!D2171</f>
        <v>0</v>
      </c>
      <c r="E2165" s="3007"/>
      <c r="F2165" s="3012">
        <f>'Смета Внутр'!H2171</f>
        <v>0</v>
      </c>
    </row>
    <row r="2166" spans="2:6">
      <c r="B2166" s="3326" t="str">
        <f>'Смета Внутр'!B2172</f>
        <v xml:space="preserve">Двери межкомнатные </v>
      </c>
      <c r="C2166" s="3326"/>
      <c r="D2166" s="3326"/>
      <c r="E2166" s="3326"/>
      <c r="F2166" s="3012">
        <f>'Смета Внутр'!H2172</f>
        <v>0</v>
      </c>
    </row>
    <row r="2167" spans="2:6">
      <c r="B2167" s="3007" t="str">
        <f>'Смета Внутр'!B2173</f>
        <v xml:space="preserve">двери межкомнатные </v>
      </c>
      <c r="C2167" s="3008" t="str">
        <f>'Смета Внутр'!C2173</f>
        <v>шт</v>
      </c>
      <c r="D2167" s="3009">
        <f>'Смета Внутр'!D2173</f>
        <v>0</v>
      </c>
      <c r="E2167" s="3007"/>
      <c r="F2167" s="3012">
        <f>'Смета Внутр'!H2173</f>
        <v>0</v>
      </c>
    </row>
    <row r="2168" spans="2:6">
      <c r="B2168" s="3007" t="str">
        <f>'Смета Внутр'!B2174</f>
        <v>пена монтажная для дверей</v>
      </c>
      <c r="C2168" s="3008" t="str">
        <f>'Смета Внутр'!C2174</f>
        <v>шт</v>
      </c>
      <c r="D2168" s="3009">
        <f>'Смета Внутр'!D2174</f>
        <v>0</v>
      </c>
      <c r="E2168" s="3007"/>
      <c r="F2168" s="3012">
        <f>'Смета Внутр'!H2174</f>
        <v>0</v>
      </c>
    </row>
    <row r="2169" spans="2:6">
      <c r="B2169" s="3007" t="str">
        <f>'Смета Внутр'!B2175</f>
        <v xml:space="preserve">порожки металлические </v>
      </c>
      <c r="C2169" s="3008" t="str">
        <f>'Смета Внутр'!C2175</f>
        <v>шт</v>
      </c>
      <c r="D2169" s="3009">
        <f>'Смета Внутр'!D2175</f>
        <v>0</v>
      </c>
      <c r="E2169" s="3007"/>
      <c r="F2169" s="3012">
        <f>'Смета Внутр'!H2175</f>
        <v>0</v>
      </c>
    </row>
    <row r="2170" spans="2:6">
      <c r="B2170" s="3007" t="str">
        <f>'Смета Внутр'!B2176</f>
        <v>отбойник для дверей</v>
      </c>
      <c r="C2170" s="3008" t="str">
        <f>'Смета Внутр'!C2176</f>
        <v>шт</v>
      </c>
      <c r="D2170" s="3009">
        <f>'Смета Внутр'!D2176</f>
        <v>0</v>
      </c>
      <c r="E2170" s="3007"/>
      <c r="F2170" s="3012">
        <f>'Смета Внутр'!H2176</f>
        <v>0</v>
      </c>
    </row>
    <row r="2171" spans="2:6">
      <c r="B2171" s="3007" t="str">
        <f>'Смета Внутр'!B2177</f>
        <v>коробка для дверей</v>
      </c>
      <c r="C2171" s="3008" t="str">
        <f>'Смета Внутр'!C2177</f>
        <v>шт</v>
      </c>
      <c r="D2171" s="3009">
        <f>'Смета Внутр'!D2177</f>
        <v>0</v>
      </c>
      <c r="E2171" s="3007"/>
      <c r="F2171" s="3012">
        <f>'Смета Внутр'!H2177</f>
        <v>0</v>
      </c>
    </row>
    <row r="2172" spans="2:6">
      <c r="B2172" s="3007" t="str">
        <f>'Смета Внутр'!B2178</f>
        <v>наличник на дверь, комплект</v>
      </c>
      <c r="C2172" s="3008" t="str">
        <f>'Смета Внутр'!C2178</f>
        <v>шт</v>
      </c>
      <c r="D2172" s="3009">
        <f>'Смета Внутр'!D2178</f>
        <v>0</v>
      </c>
      <c r="E2172" s="3007"/>
      <c r="F2172" s="3012">
        <f>'Смета Внутр'!H2178</f>
        <v>0</v>
      </c>
    </row>
    <row r="2173" spans="2:6">
      <c r="B2173" s="3311" t="str">
        <f>'Смета Внутр'!B2179</f>
        <v>Итого материалы</v>
      </c>
      <c r="C2173" s="3311"/>
      <c r="D2173" s="3311"/>
      <c r="E2173" s="3311"/>
      <c r="F2173" s="3010">
        <f>'Смета Внутр'!G2179</f>
        <v>0</v>
      </c>
    </row>
    <row r="2174" spans="2:6">
      <c r="B2174" s="3312" t="str">
        <f>'Смета Внутр'!B2180</f>
        <v>Работы</v>
      </c>
      <c r="C2174" s="3312"/>
      <c r="D2174" s="3312"/>
      <c r="E2174" s="3312"/>
      <c r="F2174" s="3015">
        <f>'Смета Внутр'!H2180</f>
        <v>0</v>
      </c>
    </row>
    <row r="2175" spans="2:6">
      <c r="B2175" s="3326" t="str">
        <f>'Смета Внутр'!B2181</f>
        <v>стены</v>
      </c>
      <c r="C2175" s="3326"/>
      <c r="D2175" s="3326"/>
      <c r="E2175" s="3326"/>
      <c r="F2175" s="3016">
        <f>'Смета Внутр'!H2181</f>
        <v>0</v>
      </c>
    </row>
    <row r="2176" spans="2:6">
      <c r="B2176" s="3007" t="str">
        <f>'Смета Внутр'!B2182</f>
        <v>монтаж гкл стены</v>
      </c>
      <c r="C2176" s="3008" t="str">
        <f>'Смета Внутр'!C2182</f>
        <v>м2</v>
      </c>
      <c r="D2176" s="3009">
        <f>'Смета Внутр'!D2182</f>
        <v>0</v>
      </c>
      <c r="E2176" s="3007"/>
      <c r="F2176" s="3012">
        <f>'Смета Внутр'!H2182</f>
        <v>0</v>
      </c>
    </row>
    <row r="2177" spans="2:6">
      <c r="B2177" s="3007" t="str">
        <f>'Смета Внутр'!B2183</f>
        <v>монтаж подсистемы</v>
      </c>
      <c r="C2177" s="3008" t="str">
        <f>'Смета Внутр'!C2183</f>
        <v>м2</v>
      </c>
      <c r="D2177" s="3009">
        <f>'Смета Внутр'!D2183</f>
        <v>0</v>
      </c>
      <c r="E2177" s="3007"/>
      <c r="F2177" s="3012">
        <f>'Смета Внутр'!H2183</f>
        <v>0</v>
      </c>
    </row>
    <row r="2178" spans="2:6">
      <c r="B2178" s="3007" t="str">
        <f>'Смета Внутр'!B2184</f>
        <v>шпаклевка швов стены</v>
      </c>
      <c r="C2178" s="3008" t="str">
        <f>'Смета Внутр'!C2184</f>
        <v>м2</v>
      </c>
      <c r="D2178" s="3009">
        <f>'Смета Внутр'!D2184</f>
        <v>0</v>
      </c>
      <c r="E2178" s="3007"/>
      <c r="F2178" s="3012">
        <f>'Смета Внутр'!H2184</f>
        <v>0</v>
      </c>
    </row>
    <row r="2179" spans="2:6">
      <c r="B2179" s="3007" t="str">
        <f>'Смета Внутр'!B2185</f>
        <v>шпаклевка финишная стены</v>
      </c>
      <c r="C2179" s="3008" t="str">
        <f>'Смета Внутр'!C2185</f>
        <v>м2</v>
      </c>
      <c r="D2179" s="3009">
        <f>'Смета Внутр'!D2185</f>
        <v>0</v>
      </c>
      <c r="E2179" s="3007"/>
      <c r="F2179" s="3012">
        <f>'Смета Внутр'!H2185</f>
        <v>0</v>
      </c>
    </row>
    <row r="2180" spans="2:6">
      <c r="B2180" s="3007" t="str">
        <f>'Смета Внутр'!B2186</f>
        <v>оклейка обои</v>
      </c>
      <c r="C2180" s="3008" t="str">
        <f>'Смета Внутр'!C2186</f>
        <v>м2</v>
      </c>
      <c r="D2180" s="3009">
        <f>'Смета Внутр'!D2186</f>
        <v>0</v>
      </c>
      <c r="E2180" s="3007"/>
      <c r="F2180" s="3012">
        <f>'Смета Внутр'!H2186</f>
        <v>0</v>
      </c>
    </row>
    <row r="2181" spans="2:6">
      <c r="B2181" s="3007" t="str">
        <f>'Смета Внутр'!B2187</f>
        <v>покраска стен</v>
      </c>
      <c r="C2181" s="3008" t="str">
        <f>'Смета Внутр'!C2187</f>
        <v>м2</v>
      </c>
      <c r="D2181" s="3009">
        <f>'Смета Внутр'!D2187</f>
        <v>0</v>
      </c>
      <c r="E2181" s="3007"/>
      <c r="F2181" s="3012">
        <f>'Смета Внутр'!H2187</f>
        <v>0</v>
      </c>
    </row>
    <row r="2182" spans="2:6">
      <c r="B2182" s="3007" t="str">
        <f>'Смета Внутр'!B2188</f>
        <v>имитация бруса</v>
      </c>
      <c r="C2182" s="3008" t="str">
        <f>'Смета Внутр'!C2188</f>
        <v>м2</v>
      </c>
      <c r="D2182" s="3009">
        <f>'Смета Внутр'!D2188</f>
        <v>0</v>
      </c>
      <c r="E2182" s="3007"/>
      <c r="F2182" s="3012">
        <f>'Смета Внутр'!H2188</f>
        <v>0</v>
      </c>
    </row>
    <row r="2183" spans="2:6">
      <c r="B2183" s="3007" t="str">
        <f>'Смета Внутр'!B2189</f>
        <v>блокхаус</v>
      </c>
      <c r="C2183" s="3008" t="str">
        <f>'Смета Внутр'!C2189</f>
        <v>м2</v>
      </c>
      <c r="D2183" s="3009">
        <f>'Смета Внутр'!D2189</f>
        <v>0</v>
      </c>
      <c r="E2183" s="3007"/>
      <c r="F2183" s="3012">
        <f>'Смета Внутр'!H2189</f>
        <v>0</v>
      </c>
    </row>
    <row r="2184" spans="2:6">
      <c r="B2184" s="3007" t="str">
        <f>'Смета Внутр'!B2190</f>
        <v>вагонка</v>
      </c>
      <c r="C2184" s="3008" t="str">
        <f>'Смета Внутр'!C2190</f>
        <v>м2</v>
      </c>
      <c r="D2184" s="3009">
        <f>'Смета Внутр'!D2190</f>
        <v>0</v>
      </c>
      <c r="E2184" s="3007"/>
      <c r="F2184" s="3016">
        <f>'Смета Внутр'!H2190</f>
        <v>0</v>
      </c>
    </row>
    <row r="2185" spans="2:6">
      <c r="B2185" s="3007" t="str">
        <f>'Смета Внутр'!B2191</f>
        <v>подсистема, брусок</v>
      </c>
      <c r="C2185" s="3008" t="str">
        <f>'Смета Внутр'!C2191</f>
        <v>м2</v>
      </c>
      <c r="D2185" s="3009">
        <f>'Смета Внутр'!D2191</f>
        <v>0</v>
      </c>
      <c r="E2185" s="3007"/>
      <c r="F2185" s="3012">
        <f>'Смета Внутр'!H2191</f>
        <v>0</v>
      </c>
    </row>
    <row r="2186" spans="2:6">
      <c r="B2186" s="3326" t="str">
        <f>'Смета Внутр'!B2192</f>
        <v>потолок</v>
      </c>
      <c r="C2186" s="3326"/>
      <c r="D2186" s="3326"/>
      <c r="E2186" s="3326"/>
      <c r="F2186" s="3016">
        <f>'Смета Внутр'!H2192</f>
        <v>0</v>
      </c>
    </row>
    <row r="2187" spans="2:6">
      <c r="B2187" s="3007" t="str">
        <f>'Смета Внутр'!B2193</f>
        <v>монтаж гкл потолок</v>
      </c>
      <c r="C2187" s="3008" t="str">
        <f>'Смета Внутр'!C2193</f>
        <v>м2</v>
      </c>
      <c r="D2187" s="3009">
        <f>'Смета Внутр'!D2193</f>
        <v>0</v>
      </c>
      <c r="E2187" s="3007"/>
      <c r="F2187" s="3012">
        <f>'Смета Внутр'!H2193</f>
        <v>0</v>
      </c>
    </row>
    <row r="2188" spans="2:6">
      <c r="B2188" s="3007" t="str">
        <f>'Смета Внутр'!B2194</f>
        <v>монтаж подсистемы</v>
      </c>
      <c r="C2188" s="3008" t="str">
        <f>'Смета Внутр'!C2194</f>
        <v>м2</v>
      </c>
      <c r="D2188" s="3009">
        <f>'Смета Внутр'!D2194</f>
        <v>0</v>
      </c>
      <c r="E2188" s="3007"/>
      <c r="F2188" s="3012">
        <f>'Смета Внутр'!H2194</f>
        <v>0</v>
      </c>
    </row>
    <row r="2189" spans="2:6">
      <c r="B2189" s="3007" t="str">
        <f>'Смета Внутр'!B2195</f>
        <v>шпаклевка швов потолок</v>
      </c>
      <c r="C2189" s="3008" t="str">
        <f>'Смета Внутр'!C2195</f>
        <v>м2</v>
      </c>
      <c r="D2189" s="3009">
        <f>'Смета Внутр'!D2195</f>
        <v>0</v>
      </c>
      <c r="E2189" s="3007"/>
      <c r="F2189" s="3012">
        <f>'Смета Внутр'!H2195</f>
        <v>0</v>
      </c>
    </row>
    <row r="2190" spans="2:6">
      <c r="B2190" s="3007" t="str">
        <f>'Смета Внутр'!B2196</f>
        <v>шпаклевка финишная пот</v>
      </c>
      <c r="C2190" s="3008" t="str">
        <f>'Смета Внутр'!C2196</f>
        <v>м2</v>
      </c>
      <c r="D2190" s="3009">
        <f>'Смета Внутр'!D2196</f>
        <v>0</v>
      </c>
      <c r="E2190" s="3007"/>
      <c r="F2190" s="3012">
        <f>'Смета Внутр'!H2196</f>
        <v>0</v>
      </c>
    </row>
    <row r="2191" spans="2:6">
      <c r="B2191" s="3007" t="str">
        <f>'Смета Внутр'!B2197</f>
        <v>окраска потолка</v>
      </c>
      <c r="C2191" s="3008" t="str">
        <f>'Смета Внутр'!C2197</f>
        <v>м2</v>
      </c>
      <c r="D2191" s="3009">
        <f>'Смета Внутр'!D2197</f>
        <v>0</v>
      </c>
      <c r="E2191" s="3007"/>
      <c r="F2191" s="3012">
        <f>'Смета Внутр'!H2197</f>
        <v>0</v>
      </c>
    </row>
    <row r="2192" spans="2:6">
      <c r="B2192" s="3007" t="str">
        <f>'Смета Внутр'!B2198</f>
        <v>натяжной потолок</v>
      </c>
      <c r="C2192" s="3008" t="str">
        <f>'Смета Внутр'!C2198</f>
        <v>м2</v>
      </c>
      <c r="D2192" s="3009">
        <f>'Смета Внутр'!D2198</f>
        <v>0</v>
      </c>
      <c r="E2192" s="3007"/>
      <c r="F2192" s="3012">
        <f>'Смета Внутр'!H2198</f>
        <v>0</v>
      </c>
    </row>
    <row r="2193" spans="2:6">
      <c r="B2193" s="3007" t="str">
        <f>'Смета Внутр'!B2199</f>
        <v>багем монтаж</v>
      </c>
      <c r="C2193" s="3008" t="str">
        <f>'Смета Внутр'!C2199</f>
        <v>м.п.</v>
      </c>
      <c r="D2193" s="3009">
        <f>'Смета Внутр'!D2199</f>
        <v>0</v>
      </c>
      <c r="E2193" s="3007"/>
      <c r="F2193" s="3012">
        <f>'Смета Внутр'!H2199</f>
        <v>0</v>
      </c>
    </row>
    <row r="2194" spans="2:6">
      <c r="B2194" s="3007" t="str">
        <f>'Смета Внутр'!B2200</f>
        <v>багет шпаклевка</v>
      </c>
      <c r="C2194" s="3008" t="str">
        <f>'Смета Внутр'!C2200</f>
        <v>м.п.</v>
      </c>
      <c r="D2194" s="3009">
        <f>'Смета Внутр'!D2200</f>
        <v>0</v>
      </c>
      <c r="E2194" s="3007"/>
      <c r="F2194" s="3012">
        <f>'Смета Внутр'!H2200</f>
        <v>0</v>
      </c>
    </row>
    <row r="2195" spans="2:6">
      <c r="B2195" s="3007" t="str">
        <f>'Смета Внутр'!B2201</f>
        <v>багет покраска</v>
      </c>
      <c r="C2195" s="3008" t="str">
        <f>'Смета Внутр'!C2201</f>
        <v>м.п.</v>
      </c>
      <c r="D2195" s="3009">
        <f>'Смета Внутр'!D2201</f>
        <v>0</v>
      </c>
      <c r="E2195" s="3007"/>
      <c r="F2195" s="3012">
        <f>'Смета Внутр'!H2201</f>
        <v>0</v>
      </c>
    </row>
    <row r="2196" spans="2:6">
      <c r="B2196" s="3007" t="str">
        <f>'Смета Внутр'!B2202</f>
        <v>имитация бруса</v>
      </c>
      <c r="C2196" s="3008" t="str">
        <f>'Смета Внутр'!C2202</f>
        <v>м2</v>
      </c>
      <c r="D2196" s="3009">
        <f>'Смета Внутр'!D2202</f>
        <v>0</v>
      </c>
      <c r="E2196" s="3007"/>
      <c r="F2196" s="3012">
        <f>'Смета Внутр'!H2202</f>
        <v>0</v>
      </c>
    </row>
    <row r="2197" spans="2:6">
      <c r="B2197" s="3007" t="str">
        <f>'Смета Внутр'!B2203</f>
        <v>блокхаус</v>
      </c>
      <c r="C2197" s="3008" t="str">
        <f>'Смета Внутр'!C2203</f>
        <v>м2</v>
      </c>
      <c r="D2197" s="3009">
        <f>'Смета Внутр'!D2203</f>
        <v>0</v>
      </c>
      <c r="E2197" s="3007"/>
      <c r="F2197" s="3012">
        <f>'Смета Внутр'!H2203</f>
        <v>0</v>
      </c>
    </row>
    <row r="2198" spans="2:6">
      <c r="B2198" s="3007" t="str">
        <f>'Смета Внутр'!B2204</f>
        <v>вагонка</v>
      </c>
      <c r="C2198" s="3008" t="str">
        <f>'Смета Внутр'!C2204</f>
        <v>м2</v>
      </c>
      <c r="D2198" s="3009">
        <f>'Смета Внутр'!D2204</f>
        <v>0</v>
      </c>
      <c r="E2198" s="3007"/>
      <c r="F2198" s="3016">
        <f>'Смета Внутр'!H2204</f>
        <v>0</v>
      </c>
    </row>
    <row r="2199" spans="2:6">
      <c r="B2199" s="3007" t="str">
        <f>'Смета Внутр'!B2205</f>
        <v>подсистема, брусок</v>
      </c>
      <c r="C2199" s="3008" t="str">
        <f>'Смета Внутр'!C2205</f>
        <v>м2</v>
      </c>
      <c r="D2199" s="3009">
        <f>'Смета Внутр'!D2205</f>
        <v>0</v>
      </c>
      <c r="E2199" s="3007"/>
      <c r="F2199" s="3012">
        <f>'Смета Внутр'!H2205</f>
        <v>0</v>
      </c>
    </row>
    <row r="2200" spans="2:6">
      <c r="B2200" s="3326" t="str">
        <f>'Смета Внутр'!B2206</f>
        <v>пол</v>
      </c>
      <c r="C2200" s="3326"/>
      <c r="D2200" s="3326"/>
      <c r="E2200" s="3326"/>
      <c r="F2200" s="3012">
        <f>'Смета Внутр'!H2206</f>
        <v>0</v>
      </c>
    </row>
    <row r="2201" spans="2:6">
      <c r="B2201" s="3007" t="str">
        <f>'Смета Внутр'!B2207</f>
        <v>подложка</v>
      </c>
      <c r="C2201" s="3008" t="str">
        <f>'Смета Внутр'!C2207</f>
        <v>м2</v>
      </c>
      <c r="D2201" s="3009">
        <f>'Смета Внутр'!D2207</f>
        <v>94</v>
      </c>
      <c r="E2201" s="3007"/>
      <c r="F2201" s="3012">
        <f>'Смета Внутр'!H2207</f>
        <v>0</v>
      </c>
    </row>
    <row r="2202" spans="2:6">
      <c r="B2202" s="3007" t="str">
        <f>'Смета Внутр'!B2208</f>
        <v>линолеум</v>
      </c>
      <c r="C2202" s="3008" t="str">
        <f>'Смета Внутр'!C2208</f>
        <v>м2</v>
      </c>
      <c r="D2202" s="3009">
        <f>'Смета Внутр'!D2208</f>
        <v>0</v>
      </c>
      <c r="E2202" s="3007"/>
      <c r="F2202" s="3012">
        <f>'Смета Внутр'!H2208</f>
        <v>0</v>
      </c>
    </row>
    <row r="2203" spans="2:6">
      <c r="B2203" s="3007" t="str">
        <f>'Смета Внутр'!B2209</f>
        <v>ламинат</v>
      </c>
      <c r="C2203" s="3008" t="str">
        <f>'Смета Внутр'!C2209</f>
        <v>м2</v>
      </c>
      <c r="D2203" s="3009">
        <f>'Смета Внутр'!D2209</f>
        <v>94</v>
      </c>
      <c r="E2203" s="3007"/>
      <c r="F2203" s="3012">
        <f>'Смета Внутр'!H2209</f>
        <v>0</v>
      </c>
    </row>
    <row r="2204" spans="2:6">
      <c r="B2204" s="3007" t="str">
        <f>'Смета Внутр'!B2210</f>
        <v>плинтус</v>
      </c>
      <c r="C2204" s="3008" t="str">
        <f>'Смета Внутр'!C2210</f>
        <v>м.п.</v>
      </c>
      <c r="D2204" s="3009">
        <f>'Смета Внутр'!D2210</f>
        <v>0</v>
      </c>
      <c r="E2204" s="3007"/>
      <c r="F2204" s="3012">
        <f>'Смета Внутр'!H2210</f>
        <v>0</v>
      </c>
    </row>
    <row r="2205" spans="2:6">
      <c r="B2205" s="3007" t="str">
        <f>'Смета Внутр'!B2211</f>
        <v>кафель</v>
      </c>
      <c r="C2205" s="3008" t="str">
        <f>'Смета Внутр'!C2211</f>
        <v>м2</v>
      </c>
      <c r="D2205" s="3009">
        <f>'Смета Внутр'!D2211</f>
        <v>0</v>
      </c>
      <c r="E2205" s="3007"/>
      <c r="F2205" s="3012">
        <f>'Смета Внутр'!H2211</f>
        <v>0</v>
      </c>
    </row>
    <row r="2206" spans="2:6">
      <c r="B2206" s="3326" t="str">
        <f>'Смета Внутр'!B2212</f>
        <v>санузел/ванная</v>
      </c>
      <c r="C2206" s="3326"/>
      <c r="D2206" s="3326"/>
      <c r="E2206" s="3326"/>
      <c r="F2206" s="3012">
        <f>'Смета Внутр'!H2212</f>
        <v>0</v>
      </c>
    </row>
    <row r="2207" spans="2:6">
      <c r="B2207" s="3007" t="str">
        <f>'Смета Внутр'!B2213</f>
        <v>кафель стены</v>
      </c>
      <c r="C2207" s="3008" t="str">
        <f>'Смета Внутр'!C2213</f>
        <v>м2</v>
      </c>
      <c r="D2207" s="3009">
        <f>'Смета Внутр'!D2213</f>
        <v>0</v>
      </c>
      <c r="E2207" s="3007"/>
      <c r="F2207" s="3012">
        <f>'Смета Внутр'!H2213</f>
        <v>0</v>
      </c>
    </row>
    <row r="2208" spans="2:6">
      <c r="B2208" s="3007" t="str">
        <f>'Смета Внутр'!B2214</f>
        <v>кафель потолок</v>
      </c>
      <c r="C2208" s="3008" t="str">
        <f>'Смета Внутр'!C2214</f>
        <v>м2</v>
      </c>
      <c r="D2208" s="3009">
        <f>'Смета Внутр'!D2214</f>
        <v>0</v>
      </c>
      <c r="E2208" s="3007"/>
      <c r="F2208" s="3012">
        <f>'Смета Внутр'!H2214</f>
        <v>0</v>
      </c>
    </row>
    <row r="2209" spans="2:6">
      <c r="B2209" s="3007" t="str">
        <f>'Смета Внутр'!B2215</f>
        <v>кафель пол</v>
      </c>
      <c r="C2209" s="3008" t="str">
        <f>'Смета Внутр'!C2215</f>
        <v>м2</v>
      </c>
      <c r="D2209" s="3009">
        <f>'Смета Внутр'!D2215</f>
        <v>0</v>
      </c>
      <c r="E2209" s="3007"/>
      <c r="F2209" s="3012">
        <f>'Смета Внутр'!H2215</f>
        <v>0</v>
      </c>
    </row>
    <row r="2210" spans="2:6">
      <c r="B2210" s="3007" t="str">
        <f>'Смета Внутр'!B2216</f>
        <v>панели пластик стены</v>
      </c>
      <c r="C2210" s="3008" t="str">
        <f>'Смета Внутр'!C2216</f>
        <v>м2</v>
      </c>
      <c r="D2210" s="3009">
        <f>'Смета Внутр'!D2216</f>
        <v>0</v>
      </c>
      <c r="E2210" s="3007"/>
      <c r="F2210" s="3012">
        <f>'Смета Внутр'!H2216</f>
        <v>0</v>
      </c>
    </row>
    <row r="2211" spans="2:6">
      <c r="B2211" s="3007" t="str">
        <f>'Смета Внутр'!B2217</f>
        <v>панели пластик потолок</v>
      </c>
      <c r="C2211" s="3008" t="str">
        <f>'Смета Внутр'!C2217</f>
        <v>м2</v>
      </c>
      <c r="D2211" s="3009">
        <f>'Смета Внутр'!D2217</f>
        <v>0</v>
      </c>
      <c r="E2211" s="3007"/>
      <c r="F2211" s="3012">
        <f>'Смета Внутр'!H2217</f>
        <v>0</v>
      </c>
    </row>
    <row r="2212" spans="2:6">
      <c r="B2212" s="3007" t="str">
        <f>'Смета Внутр'!B2218</f>
        <v>натяжной потолок</v>
      </c>
      <c r="C2212" s="3008" t="str">
        <f>'Смета Внутр'!C2218</f>
        <v>м2</v>
      </c>
      <c r="D2212" s="3009">
        <f>'Смета Внутр'!D2218</f>
        <v>0</v>
      </c>
      <c r="E2212" s="3007"/>
      <c r="F2212" s="3012">
        <f>'Смета Внутр'!H2218</f>
        <v>0</v>
      </c>
    </row>
    <row r="2213" spans="2:6" ht="19">
      <c r="B2213" s="3327" t="str">
        <f>'Смета Внутр'!B2219</f>
        <v xml:space="preserve">Двери межкомнатные </v>
      </c>
      <c r="C2213" s="3327"/>
      <c r="D2213" s="3327"/>
      <c r="E2213" s="3327"/>
      <c r="F2213" s="3012">
        <f>'Смета Внутр'!H2219</f>
        <v>0</v>
      </c>
    </row>
    <row r="2214" spans="2:6">
      <c r="B2214" s="3007" t="str">
        <f>'Смета Внутр'!B2220</f>
        <v>устанвка дверей</v>
      </c>
      <c r="C2214" s="3008" t="str">
        <f>'Смета Внутр'!C2220</f>
        <v>шт</v>
      </c>
      <c r="D2214" s="3009">
        <f>'Смета Внутр'!D2220</f>
        <v>0</v>
      </c>
      <c r="E2214" s="3007"/>
      <c r="F2214" s="3012">
        <f>'Смета Внутр'!H2220</f>
        <v>0</v>
      </c>
    </row>
    <row r="2215" spans="2:6">
      <c r="B2215" s="3007" t="str">
        <f>'Смета Внутр'!B2221</f>
        <v>монтаж коробки</v>
      </c>
      <c r="C2215" s="3008" t="str">
        <f>'Смета Внутр'!C2221</f>
        <v>шт</v>
      </c>
      <c r="D2215" s="3009">
        <f>'Смета Внутр'!D2221</f>
        <v>0</v>
      </c>
      <c r="E2215" s="3007"/>
      <c r="F2215" s="3012">
        <f>'Смета Внутр'!H2221</f>
        <v>0</v>
      </c>
    </row>
    <row r="2216" spans="2:6">
      <c r="B2216" s="3007" t="str">
        <f>'Смета Внутр'!B2222</f>
        <v>монтаж наличников</v>
      </c>
      <c r="C2216" s="3008" t="str">
        <f>'Смета Внутр'!C2222</f>
        <v>шт</v>
      </c>
      <c r="D2216" s="3009">
        <f>'Смета Внутр'!D2222</f>
        <v>0</v>
      </c>
      <c r="E2216" s="3007"/>
      <c r="F2216" s="3012">
        <f>'Смета Внутр'!H2222</f>
        <v>0</v>
      </c>
    </row>
    <row r="2217" spans="2:6">
      <c r="B2217" s="3007" t="str">
        <f>'Смета Внутр'!B2223</f>
        <v>монтаж порожков</v>
      </c>
      <c r="C2217" s="3008" t="str">
        <f>'Смета Внутр'!C2223</f>
        <v>шт</v>
      </c>
      <c r="D2217" s="3009">
        <f>'Смета Внутр'!D2223</f>
        <v>0</v>
      </c>
      <c r="E2217" s="3007"/>
      <c r="F2217" s="3012">
        <f>'Смета Внутр'!H2223</f>
        <v>0</v>
      </c>
    </row>
    <row r="2218" spans="2:6">
      <c r="B2218" s="3007" t="str">
        <f>'Смета Внутр'!B2224</f>
        <v>монтаж отбойников</v>
      </c>
      <c r="C2218" s="3008" t="str">
        <f>'Смета Внутр'!C2224</f>
        <v>шт</v>
      </c>
      <c r="D2218" s="3009">
        <f>'Смета Внутр'!D2224</f>
        <v>0</v>
      </c>
      <c r="E2218" s="3007"/>
      <c r="F2218" s="3012">
        <f>'Смета Внутр'!H2224</f>
        <v>0</v>
      </c>
    </row>
    <row r="2219" spans="2:6">
      <c r="B2219" s="3311" t="str">
        <f>'Смета Внутр'!B2225</f>
        <v>Итого работы</v>
      </c>
      <c r="C2219" s="3311"/>
      <c r="D2219" s="3311"/>
      <c r="E2219" s="3311"/>
      <c r="F2219" s="3010">
        <f>'Смета Внутр'!G2225</f>
        <v>0</v>
      </c>
    </row>
    <row r="2220" spans="2:6" ht="19">
      <c r="B2220" s="3313" t="str">
        <f>'Смета Внутр'!B2226</f>
        <v>Электрика</v>
      </c>
      <c r="C2220" s="3313"/>
      <c r="D2220" s="3313"/>
      <c r="E2220" s="3313"/>
      <c r="F2220" s="3011">
        <f>'Смета Внутр'!H2226</f>
        <v>0</v>
      </c>
    </row>
    <row r="2221" spans="2:6">
      <c r="B2221" s="3310" t="str">
        <f>'Смета Внутр'!B2227</f>
        <v>Материалы</v>
      </c>
      <c r="C2221" s="3310"/>
      <c r="D2221" s="3310"/>
      <c r="E2221" s="3310"/>
      <c r="F2221" s="3011">
        <f>'Смета Внутр'!H2227</f>
        <v>0</v>
      </c>
    </row>
    <row r="2222" spans="2:6">
      <c r="B2222" s="3007" t="str">
        <f>'Смета Внутр'!B2228</f>
        <v>Кабель ВВГнг(А)-LS 3х2,5 0,66</v>
      </c>
      <c r="C2222" s="3008" t="str">
        <f>'Смета Внутр'!C2228</f>
        <v>м.п.</v>
      </c>
      <c r="D2222" s="3009">
        <f>'Смета Внутр'!D2228</f>
        <v>111.4</v>
      </c>
      <c r="E2222" s="3007"/>
      <c r="F2222" s="3012">
        <f>'Смета Внутр'!H2228</f>
        <v>0</v>
      </c>
    </row>
    <row r="2223" spans="2:6">
      <c r="B2223" s="3007" t="str">
        <f>'Смета Внутр'!B2229</f>
        <v>Труба ПВХ гофрировонная гибкая 20</v>
      </c>
      <c r="C2223" s="3008" t="str">
        <f>'Смета Внутр'!C2229</f>
        <v>м.п.</v>
      </c>
      <c r="D2223" s="3009">
        <f>'Смета Внутр'!D2229</f>
        <v>122.54000000000002</v>
      </c>
      <c r="E2223" s="3007"/>
      <c r="F2223" s="3012">
        <f>'Смета Внутр'!H2229</f>
        <v>0</v>
      </c>
    </row>
    <row r="2224" spans="2:6">
      <c r="B2224" s="3007" t="str">
        <f>'Смета Внутр'!B2230</f>
        <v>Кабель ВВГнг(А)-LS 3х1,5 0,66</v>
      </c>
      <c r="C2224" s="3008" t="str">
        <f>'Смета Внутр'!C2230</f>
        <v>м.п.</v>
      </c>
      <c r="D2224" s="3009">
        <f>'Смета Внутр'!D2230</f>
        <v>186.8</v>
      </c>
      <c r="E2224" s="3007"/>
      <c r="F2224" s="3012">
        <f>'Смета Внутр'!H2230</f>
        <v>0</v>
      </c>
    </row>
    <row r="2225" spans="2:6">
      <c r="B2225" s="3007" t="str">
        <f>'Смета Внутр'!B2231</f>
        <v>Труба ПВХ гофрировонная гибкая 25</v>
      </c>
      <c r="C2225" s="3008" t="str">
        <f>'Смета Внутр'!C2231</f>
        <v>м.п.</v>
      </c>
      <c r="D2225" s="3009">
        <f>'Смета Внутр'!D2231</f>
        <v>205.48000000000002</v>
      </c>
      <c r="E2225" s="3007"/>
      <c r="F2225" s="3012">
        <f>'Смета Внутр'!H2231</f>
        <v>0</v>
      </c>
    </row>
    <row r="2226" spans="2:6">
      <c r="B2226" s="3007" t="str">
        <f>'Смета Внутр'!B2232</f>
        <v>Кабель ВВГнг(А)-LS 3х4 0,66</v>
      </c>
      <c r="C2226" s="3008" t="str">
        <f>'Смета Внутр'!C2232</f>
        <v>м.п.</v>
      </c>
      <c r="D2226" s="3009">
        <f>'Смета Внутр'!D2232</f>
        <v>75</v>
      </c>
      <c r="E2226" s="3007"/>
      <c r="F2226" s="3012">
        <f>'Смета Внутр'!H2232</f>
        <v>0</v>
      </c>
    </row>
    <row r="2227" spans="2:6">
      <c r="B2227" s="3007" t="str">
        <f>'Смета Внутр'!B2233</f>
        <v>Труба ПВХ гофрировонная гибкая 32</v>
      </c>
      <c r="C2227" s="3008" t="str">
        <f>'Смета Внутр'!C2233</f>
        <v>м.п.</v>
      </c>
      <c r="D2227" s="3009">
        <f>'Смета Внутр'!D2233</f>
        <v>82.5</v>
      </c>
      <c r="E2227" s="3007"/>
      <c r="F2227" s="3012">
        <f>'Смета Внутр'!H2233</f>
        <v>0</v>
      </c>
    </row>
    <row r="2228" spans="2:6">
      <c r="B2228" s="3007" t="str">
        <f>'Смета Внутр'!B2234</f>
        <v>крепления для гофры</v>
      </c>
      <c r="C2228" s="3008" t="str">
        <f>'Смета Внутр'!C2234</f>
        <v>шт</v>
      </c>
      <c r="D2228" s="3009">
        <f>'Смета Внутр'!D2234</f>
        <v>400</v>
      </c>
      <c r="E2228" s="3007"/>
      <c r="F2228" s="3012">
        <f>'Смета Внутр'!H2234</f>
        <v>0</v>
      </c>
    </row>
    <row r="2229" spans="2:6">
      <c r="B2229" s="3007" t="str">
        <f>'Смета Внутр'!B2235</f>
        <v>саморез для крепления гофры</v>
      </c>
      <c r="C2229" s="3008" t="str">
        <f>'Смета Внутр'!C2235</f>
        <v>шт</v>
      </c>
      <c r="D2229" s="3009">
        <f>'Смета Внутр'!D2235</f>
        <v>800</v>
      </c>
      <c r="E2229" s="3007"/>
      <c r="F2229" s="3012">
        <f>'Смета Внутр'!H2235</f>
        <v>0</v>
      </c>
    </row>
    <row r="2230" spans="2:6">
      <c r="B2230" s="3007" t="str">
        <f>'Смета Внутр'!B2236</f>
        <v>Коробка распределения</v>
      </c>
      <c r="C2230" s="3008" t="str">
        <f>'Смета Внутр'!C2236</f>
        <v>шт</v>
      </c>
      <c r="D2230" s="3009">
        <f>'Смета Внутр'!D2236</f>
        <v>6</v>
      </c>
      <c r="E2230" s="3007"/>
      <c r="F2230" s="3012">
        <f>'Смета Внутр'!H2236</f>
        <v>0</v>
      </c>
    </row>
    <row r="2231" spans="2:6">
      <c r="B2231" s="3007" t="str">
        <f>'Смета Внутр'!B2237</f>
        <v>Вага</v>
      </c>
      <c r="C2231" s="3008" t="str">
        <f>'Смета Внутр'!C2237</f>
        <v>шт</v>
      </c>
      <c r="D2231" s="3009">
        <f>'Смета Внутр'!D2237</f>
        <v>480</v>
      </c>
      <c r="E2231" s="3007"/>
      <c r="F2231" s="3012">
        <f>'Смета Внутр'!H2237</f>
        <v>0</v>
      </c>
    </row>
    <row r="2232" spans="2:6">
      <c r="B2232" s="3007" t="str">
        <f>'Смета Внутр'!B2238</f>
        <v>Щиток электрический</v>
      </c>
      <c r="C2232" s="3008" t="str">
        <f>'Смета Внутр'!C2238</f>
        <v>шт</v>
      </c>
      <c r="D2232" s="3009">
        <f>'Смета Внутр'!D2238</f>
        <v>1</v>
      </c>
      <c r="E2232" s="3007"/>
      <c r="F2232" s="3012">
        <f>'Смета Внутр'!H2238</f>
        <v>0</v>
      </c>
    </row>
    <row r="2233" spans="2:6">
      <c r="B2233" s="3007" t="str">
        <f>'Смета Внутр'!B2239</f>
        <v>автомат, 3 полюса, 32амп</v>
      </c>
      <c r="C2233" s="3008" t="str">
        <f>'Смета Внутр'!C2239</f>
        <v>шт</v>
      </c>
      <c r="D2233" s="3009">
        <f>'Смета Внутр'!D2239</f>
        <v>2</v>
      </c>
      <c r="E2233" s="3007"/>
      <c r="F2233" s="3012">
        <f>'Смета Внутр'!H2239</f>
        <v>0</v>
      </c>
    </row>
    <row r="2234" spans="2:6">
      <c r="B2234" s="3007" t="str">
        <f>'Смета Внутр'!B2240</f>
        <v>автомат, 1 полюс, 16амп</v>
      </c>
      <c r="C2234" s="3008" t="str">
        <f>'Смета Внутр'!C2240</f>
        <v>шт</v>
      </c>
      <c r="D2234" s="3009">
        <f>'Смета Внутр'!D2240</f>
        <v>20</v>
      </c>
      <c r="E2234" s="3007"/>
      <c r="F2234" s="3012">
        <f>'Смета Внутр'!H2240</f>
        <v>0</v>
      </c>
    </row>
    <row r="2235" spans="2:6">
      <c r="B2235" s="3007" t="str">
        <f>'Смета Внутр'!B2241</f>
        <v>автомат, 1 полюс, 25 амп</v>
      </c>
      <c r="C2235" s="3008" t="str">
        <f>'Смета Внутр'!C2241</f>
        <v>шт</v>
      </c>
      <c r="D2235" s="3009">
        <f>'Смета Внутр'!D2241</f>
        <v>2</v>
      </c>
      <c r="E2235" s="3007"/>
      <c r="F2235" s="3012">
        <f>'Смета Внутр'!H2241</f>
        <v>0</v>
      </c>
    </row>
    <row r="2236" spans="2:6">
      <c r="B2236" s="3007" t="str">
        <f>'Смета Внутр'!B2242</f>
        <v>Коробка электрическая</v>
      </c>
      <c r="C2236" s="3008" t="str">
        <f>'Смета Внутр'!C2242</f>
        <v>шт</v>
      </c>
      <c r="D2236" s="3009">
        <f>'Смета Внутр'!D2242</f>
        <v>60</v>
      </c>
      <c r="E2236" s="3007"/>
      <c r="F2236" s="3012">
        <f>'Смета Внутр'!H2242</f>
        <v>0</v>
      </c>
    </row>
    <row r="2237" spans="2:6">
      <c r="B2237" s="3007" t="str">
        <f>'Смета Внутр'!B2243</f>
        <v>Розетка 2</v>
      </c>
      <c r="C2237" s="3008" t="str">
        <f>'Смета Внутр'!C2243</f>
        <v>шт</v>
      </c>
      <c r="D2237" s="3009">
        <f>'Смета Внутр'!D2243</f>
        <v>40</v>
      </c>
      <c r="E2237" s="3007"/>
      <c r="F2237" s="3012">
        <f>'Смета Внутр'!H2243</f>
        <v>0</v>
      </c>
    </row>
    <row r="2238" spans="2:6">
      <c r="B2238" s="3007" t="str">
        <f>'Смета Внутр'!B2244</f>
        <v>Выключатель 3</v>
      </c>
      <c r="C2238" s="3008" t="str">
        <f>'Смета Внутр'!C2244</f>
        <v>шт</v>
      </c>
      <c r="D2238" s="3009">
        <f>'Смета Внутр'!D2244</f>
        <v>20</v>
      </c>
      <c r="E2238" s="3007"/>
      <c r="F2238" s="3012">
        <f>'Смета Внутр'!H2244</f>
        <v>0</v>
      </c>
    </row>
    <row r="2239" spans="2:6">
      <c r="B2239" s="3311" t="str">
        <f>'Смета Внутр'!B2245</f>
        <v>Итого материалы</v>
      </c>
      <c r="C2239" s="3311"/>
      <c r="D2239" s="3311"/>
      <c r="E2239" s="3311"/>
      <c r="F2239" s="3014">
        <f>'Смета Внутр'!G2245</f>
        <v>0</v>
      </c>
    </row>
    <row r="2240" spans="2:6">
      <c r="B2240" s="3312" t="str">
        <f>'Смета Внутр'!B2246</f>
        <v>Работы</v>
      </c>
      <c r="C2240" s="3312"/>
      <c r="D2240" s="3312"/>
      <c r="E2240" s="3312"/>
      <c r="F2240" s="3011">
        <f>'Смета Внутр'!H2246</f>
        <v>0</v>
      </c>
    </row>
    <row r="2241" spans="2:6">
      <c r="B2241" s="3007" t="str">
        <f>'Смета Внутр'!B2247</f>
        <v>монтаж кабеля</v>
      </c>
      <c r="C2241" s="3008" t="str">
        <f>'Смета Внутр'!C2247</f>
        <v>м.п.</v>
      </c>
      <c r="D2241" s="3009">
        <f>'Смета Внутр'!D2247</f>
        <v>373.20000000000005</v>
      </c>
      <c r="E2241" s="3007"/>
      <c r="F2241" s="3012">
        <f>'Смета Внутр'!H2247</f>
        <v>0</v>
      </c>
    </row>
    <row r="2242" spans="2:6">
      <c r="B2242" s="3007" t="str">
        <f>'Смета Внутр'!B2248</f>
        <v>монтаж гофры</v>
      </c>
      <c r="C2242" s="3008" t="str">
        <f>'Смета Внутр'!C2248</f>
        <v>м.п.</v>
      </c>
      <c r="D2242" s="3009">
        <f>'Смета Внутр'!D2248</f>
        <v>373.20000000000005</v>
      </c>
      <c r="E2242" s="3007"/>
      <c r="F2242" s="3012">
        <f>'Смета Внутр'!H2248</f>
        <v>0</v>
      </c>
    </row>
    <row r="2243" spans="2:6">
      <c r="B2243" s="3007" t="str">
        <f>'Смета Внутр'!B2249</f>
        <v>монтаж коробок распр</v>
      </c>
      <c r="C2243" s="3008" t="str">
        <f>'Смета Внутр'!C2249</f>
        <v>шт.</v>
      </c>
      <c r="D2243" s="3009">
        <f>'Смета Внутр'!D2249</f>
        <v>6</v>
      </c>
      <c r="E2243" s="3007"/>
      <c r="F2243" s="3012">
        <f>'Смета Внутр'!H2249</f>
        <v>0</v>
      </c>
    </row>
    <row r="2244" spans="2:6">
      <c r="B2244" s="3007" t="str">
        <f>'Смета Внутр'!B2250</f>
        <v>монтаж коробок роз</v>
      </c>
      <c r="C2244" s="3008" t="str">
        <f>'Смета Внутр'!C2250</f>
        <v>шт.</v>
      </c>
      <c r="D2244" s="3009">
        <f>'Смета Внутр'!D2250</f>
        <v>40</v>
      </c>
      <c r="E2244" s="3007"/>
      <c r="F2244" s="3012">
        <f>'Смета Внутр'!H2250</f>
        <v>0</v>
      </c>
    </row>
    <row r="2245" spans="2:6">
      <c r="B2245" s="3007" t="str">
        <f>'Смета Внутр'!B2251</f>
        <v>монтаж коробок выкл</v>
      </c>
      <c r="C2245" s="3008" t="str">
        <f>'Смета Внутр'!C2251</f>
        <v>шт.</v>
      </c>
      <c r="D2245" s="3009">
        <f>'Смета Внутр'!D2251</f>
        <v>20</v>
      </c>
      <c r="E2245" s="3007"/>
      <c r="F2245" s="3012">
        <f>'Смета Внутр'!H2251</f>
        <v>0</v>
      </c>
    </row>
    <row r="2246" spans="2:6">
      <c r="B2246" s="3007" t="str">
        <f>'Смета Внутр'!B2252</f>
        <v>монтаж щитка</v>
      </c>
      <c r="C2246" s="3008" t="str">
        <f>'Смета Внутр'!C2252</f>
        <v>шт.</v>
      </c>
      <c r="D2246" s="3009">
        <f>'Смета Внутр'!D2252</f>
        <v>1</v>
      </c>
      <c r="E2246" s="3007"/>
      <c r="F2246" s="3012">
        <f>'Смета Внутр'!H2252</f>
        <v>0</v>
      </c>
    </row>
    <row r="2247" spans="2:6">
      <c r="B2247" s="3007" t="str">
        <f>'Смета Внутр'!B2253</f>
        <v>установка розеток</v>
      </c>
      <c r="C2247" s="3008" t="str">
        <f>'Смета Внутр'!C2253</f>
        <v>шт.</v>
      </c>
      <c r="D2247" s="3009">
        <f>'Смета Внутр'!D2253</f>
        <v>40</v>
      </c>
      <c r="E2247" s="3007"/>
      <c r="F2247" s="3012">
        <f>'Смета Внутр'!H2253</f>
        <v>0</v>
      </c>
    </row>
    <row r="2248" spans="2:6">
      <c r="B2248" s="3007" t="str">
        <f>'Смета Внутр'!B2254</f>
        <v>установка выключателей</v>
      </c>
      <c r="C2248" s="3008" t="str">
        <f>'Смета Внутр'!C2254</f>
        <v>шт.</v>
      </c>
      <c r="D2248" s="3009">
        <f>'Смета Внутр'!D2254</f>
        <v>20</v>
      </c>
      <c r="E2248" s="3007"/>
      <c r="F2248" s="3012">
        <f>'Смета Внутр'!H2254</f>
        <v>0</v>
      </c>
    </row>
    <row r="2249" spans="2:6">
      <c r="B2249" s="3311" t="str">
        <f>'Смета Внутр'!B2255</f>
        <v>Итого работы</v>
      </c>
      <c r="C2249" s="3311"/>
      <c r="D2249" s="3311"/>
      <c r="E2249" s="3311"/>
      <c r="F2249" s="3014">
        <f>'Смета Внутр'!G2255</f>
        <v>0</v>
      </c>
    </row>
    <row r="2250" spans="2:6" ht="19">
      <c r="B2250" s="3313" t="str">
        <f>'Смета Внутр'!B2256</f>
        <v>Отопление радиаторное, холодное и горячее водоснабжение</v>
      </c>
      <c r="C2250" s="3313"/>
      <c r="D2250" s="3313"/>
      <c r="E2250" s="3313"/>
      <c r="F2250" s="3011">
        <f>'Смета Внутр'!H2256</f>
        <v>0</v>
      </c>
    </row>
    <row r="2251" spans="2:6">
      <c r="B2251" s="3310" t="str">
        <f>'Смета Внутр'!B2257</f>
        <v>Материалы</v>
      </c>
      <c r="C2251" s="3310"/>
      <c r="D2251" s="3310"/>
      <c r="E2251" s="3310"/>
      <c r="F2251" s="3011">
        <f>'Смета Внутр'!H2257</f>
        <v>0</v>
      </c>
    </row>
    <row r="2252" spans="2:6">
      <c r="B2252" s="3007" t="str">
        <f>'Смета Внутр'!B2258</f>
        <v>труба диам 25/32 отопление</v>
      </c>
      <c r="C2252" s="3008" t="str">
        <f>'Смета Внутр'!C2258</f>
        <v>м.п.</v>
      </c>
      <c r="D2252" s="3009">
        <f>'Смета Внутр'!D2258</f>
        <v>150.80000000000001</v>
      </c>
      <c r="E2252" s="3007"/>
      <c r="F2252" s="3012">
        <f>'Смета Внутр'!H2258</f>
        <v>0</v>
      </c>
    </row>
    <row r="2253" spans="2:6">
      <c r="B2253" s="3007" t="str">
        <f>'Смета Внутр'!B2259</f>
        <v>соеденители для трубы</v>
      </c>
      <c r="C2253" s="3008" t="str">
        <f>'Смета Внутр'!C2259</f>
        <v>шт</v>
      </c>
      <c r="D2253" s="3009">
        <f>'Смета Внутр'!D2259</f>
        <v>50.266666666666673</v>
      </c>
      <c r="E2253" s="3007"/>
      <c r="F2253" s="3012">
        <f>'Смета Внутр'!H2259</f>
        <v>0</v>
      </c>
    </row>
    <row r="2254" spans="2:6">
      <c r="B2254" s="3007" t="str">
        <f>'Смета Внутр'!B2260</f>
        <v>уголок 90 град</v>
      </c>
      <c r="C2254" s="3008" t="str">
        <f>'Смета Внутр'!C2260</f>
        <v>шт</v>
      </c>
      <c r="D2254" s="3009">
        <f>'Смета Внутр'!D2260</f>
        <v>60.320000000000007</v>
      </c>
      <c r="E2254" s="3007"/>
      <c r="F2254" s="3012">
        <f>'Смета Внутр'!H2260</f>
        <v>0</v>
      </c>
    </row>
    <row r="2255" spans="2:6">
      <c r="B2255" s="3007" t="str">
        <f>'Смета Внутр'!B2261</f>
        <v>радиаторы, 1 секция</v>
      </c>
      <c r="C2255" s="3008" t="str">
        <f>'Смета Внутр'!C2261</f>
        <v>шт</v>
      </c>
      <c r="D2255" s="3009">
        <f>'Смета Внутр'!D2261</f>
        <v>50</v>
      </c>
      <c r="E2255" s="3007"/>
      <c r="F2255" s="3012">
        <f>'Смета Внутр'!H2261</f>
        <v>0</v>
      </c>
    </row>
    <row r="2256" spans="2:6">
      <c r="B2256" s="3007" t="str">
        <f>'Смета Внутр'!B2262</f>
        <v>комплектующие для радиаторов</v>
      </c>
      <c r="C2256" s="3008" t="str">
        <f>'Смета Внутр'!C2262</f>
        <v>шт</v>
      </c>
      <c r="D2256" s="3009">
        <f>'Смета Внутр'!D2262</f>
        <v>50</v>
      </c>
      <c r="E2256" s="3007"/>
      <c r="F2256" s="3012">
        <f>'Смета Внутр'!H2262</f>
        <v>0</v>
      </c>
    </row>
    <row r="2257" spans="2:6">
      <c r="B2257" s="3007" t="str">
        <f>'Смета Внутр'!B2263</f>
        <v>кран американка ду 25/32 для радиаторов</v>
      </c>
      <c r="C2257" s="3008" t="str">
        <f>'Смета Внутр'!C2263</f>
        <v>шт</v>
      </c>
      <c r="D2257" s="3009">
        <f>'Смета Внутр'!D2263</f>
        <v>100</v>
      </c>
      <c r="E2257" s="3007"/>
      <c r="F2257" s="3012">
        <f>'Смета Внутр'!H2263</f>
        <v>0</v>
      </c>
    </row>
    <row r="2258" spans="2:6">
      <c r="B2258" s="3007" t="str">
        <f>'Смета Внутр'!B2264</f>
        <v>кран гайка/резьба ду 25/32</v>
      </c>
      <c r="C2258" s="3008" t="str">
        <f>'Смета Внутр'!C2264</f>
        <v>шт</v>
      </c>
      <c r="D2258" s="3009">
        <f>'Смета Внутр'!D2264</f>
        <v>100</v>
      </c>
      <c r="E2258" s="3007"/>
      <c r="F2258" s="3012">
        <f>'Смета Внутр'!H2264</f>
        <v>0</v>
      </c>
    </row>
    <row r="2259" spans="2:6">
      <c r="B2259" s="3007" t="str">
        <f>'Смета Внутр'!B2265</f>
        <v>труба диам 20 вода</v>
      </c>
      <c r="C2259" s="3008" t="str">
        <f>'Смета Внутр'!C2265</f>
        <v>м.п.</v>
      </c>
      <c r="D2259" s="3009">
        <f>'Смета Внутр'!D2265</f>
        <v>30</v>
      </c>
      <c r="E2259" s="3007"/>
      <c r="F2259" s="3012">
        <f>'Смета Внутр'!H2265</f>
        <v>0</v>
      </c>
    </row>
    <row r="2260" spans="2:6">
      <c r="B2260" s="3007" t="str">
        <f>'Смета Внутр'!B2266</f>
        <v>комплектующие для хол и гор водоснаб</v>
      </c>
      <c r="C2260" s="3008" t="str">
        <f>'Смета Внутр'!C2266</f>
        <v>шт</v>
      </c>
      <c r="D2260" s="3009">
        <f>'Смета Внутр'!D2266</f>
        <v>1</v>
      </c>
      <c r="E2260" s="3007"/>
      <c r="F2260" s="3012">
        <f>'Смета Внутр'!H2266</f>
        <v>0</v>
      </c>
    </row>
    <row r="2261" spans="2:6">
      <c r="B2261" s="3007" t="str">
        <f>'Смета Внутр'!B2267</f>
        <v>соеденители для трубы</v>
      </c>
      <c r="C2261" s="3008" t="str">
        <f>'Смета Внутр'!C2267</f>
        <v>шт</v>
      </c>
      <c r="D2261" s="3009">
        <f>'Смета Внутр'!D2267</f>
        <v>10</v>
      </c>
      <c r="E2261" s="3007"/>
      <c r="F2261" s="3012">
        <f>'Смета Внутр'!H2267</f>
        <v>0</v>
      </c>
    </row>
    <row r="2262" spans="2:6">
      <c r="B2262" s="3007" t="str">
        <f>'Смета Внутр'!B2268</f>
        <v>уголок 90 град</v>
      </c>
      <c r="C2262" s="3008" t="str">
        <f>'Смета Внутр'!C2268</f>
        <v>шт</v>
      </c>
      <c r="D2262" s="3009">
        <f>'Смета Внутр'!D2268</f>
        <v>15</v>
      </c>
      <c r="E2262" s="3007"/>
      <c r="F2262" s="3012">
        <f>'Смета Внутр'!H2268</f>
        <v>0</v>
      </c>
    </row>
    <row r="2263" spans="2:6">
      <c r="B2263" s="3311" t="str">
        <f>'Смета Внутр'!B2269</f>
        <v>Итого материалы</v>
      </c>
      <c r="C2263" s="3311"/>
      <c r="D2263" s="3311"/>
      <c r="E2263" s="3311"/>
      <c r="F2263" s="3014">
        <f>'Смета Внутр'!G2269</f>
        <v>0</v>
      </c>
    </row>
    <row r="2264" spans="2:6">
      <c r="B2264" s="3312" t="str">
        <f>'Смета Внутр'!B2270</f>
        <v>Работы</v>
      </c>
      <c r="C2264" s="3312"/>
      <c r="D2264" s="3312"/>
      <c r="E2264" s="3312"/>
      <c r="F2264" s="3011">
        <f>'Смета Внутр'!H2270</f>
        <v>0</v>
      </c>
    </row>
    <row r="2265" spans="2:6">
      <c r="B2265" s="3007" t="str">
        <f>'Смета Внутр'!B2271</f>
        <v>монтаж трубы</v>
      </c>
      <c r="C2265" s="3008" t="str">
        <f>'Смета Внутр'!C2271</f>
        <v>м.п.</v>
      </c>
      <c r="D2265" s="3009">
        <f>'Смета Внутр'!D2271</f>
        <v>180.8</v>
      </c>
      <c r="E2265" s="3007"/>
      <c r="F2265" s="3012">
        <f>'Смета Внутр'!H2271</f>
        <v>0</v>
      </c>
    </row>
    <row r="2266" spans="2:6">
      <c r="B2266" s="3007" t="str">
        <f>'Смета Внутр'!B2272</f>
        <v>установка радиаторов</v>
      </c>
      <c r="C2266" s="3008" t="str">
        <f>'Смета Внутр'!C2272</f>
        <v>шт</v>
      </c>
      <c r="D2266" s="3009">
        <f>'Смета Внутр'!D2272</f>
        <v>5</v>
      </c>
      <c r="E2266" s="3007"/>
      <c r="F2266" s="3012">
        <f>'Смета Внутр'!H2272</f>
        <v>0</v>
      </c>
    </row>
    <row r="2267" spans="2:6">
      <c r="B2267" s="3007" t="str">
        <f>'Смета Внутр'!B2273</f>
        <v>монтаж трубы</v>
      </c>
      <c r="C2267" s="3008" t="str">
        <f>'Смета Внутр'!C2273</f>
        <v>м.п.</v>
      </c>
      <c r="D2267" s="3009">
        <f>'Смета Внутр'!D2273</f>
        <v>30</v>
      </c>
      <c r="E2267" s="3007"/>
      <c r="F2267" s="3012">
        <f>'Смета Внутр'!H2273</f>
        <v>0</v>
      </c>
    </row>
    <row r="2268" spans="2:6">
      <c r="B2268" s="3311" t="str">
        <f>'Смета Внутр'!B2274</f>
        <v>Итого работы</v>
      </c>
      <c r="C2268" s="3311"/>
      <c r="D2268" s="3311"/>
      <c r="E2268" s="3311"/>
      <c r="F2268" s="3014">
        <f>'Смета Внутр'!G2274</f>
        <v>0</v>
      </c>
    </row>
    <row r="2269" spans="2:6" ht="19">
      <c r="B2269" s="3313" t="str">
        <f>'Смета Внутр'!B2275</f>
        <v>Скважина</v>
      </c>
      <c r="C2269" s="3313"/>
      <c r="D2269" s="3313"/>
      <c r="E2269" s="3313"/>
      <c r="F2269" s="3011">
        <f>'Смета Внутр'!H2275</f>
        <v>0</v>
      </c>
    </row>
    <row r="2270" spans="2:6">
      <c r="B2270" s="3310" t="str">
        <f>'Смета Внутр'!B2276</f>
        <v>Материалы</v>
      </c>
      <c r="C2270" s="3310"/>
      <c r="D2270" s="3310"/>
      <c r="E2270" s="3310"/>
      <c r="F2270" s="3011">
        <f>'Смета Внутр'!H2276</f>
        <v>0</v>
      </c>
    </row>
    <row r="2271" spans="2:6">
      <c r="B2271" s="3007" t="str">
        <f>'Смета Внутр'!B2277</f>
        <v>насос малыш</v>
      </c>
      <c r="C2271" s="3008" t="str">
        <f>'Смета Внутр'!C2277</f>
        <v>шт</v>
      </c>
      <c r="D2271" s="3009">
        <f>'Смета Внутр'!D2277</f>
        <v>1</v>
      </c>
      <c r="E2271" s="3007"/>
      <c r="F2271" s="3012">
        <f>'Смета Внутр'!H2277</f>
        <v>0</v>
      </c>
    </row>
    <row r="2272" spans="2:6">
      <c r="B2272" s="3007" t="str">
        <f>'Смета Внутр'!B2278</f>
        <v>шланг для насоса</v>
      </c>
      <c r="C2272" s="3008" t="str">
        <f>'Смета Внутр'!C2278</f>
        <v>м.п.</v>
      </c>
      <c r="D2272" s="3009">
        <f>'Смета Внутр'!D2278</f>
        <v>72</v>
      </c>
      <c r="E2272" s="3007"/>
      <c r="F2272" s="3012">
        <f>'Смета Внутр'!H2278</f>
        <v>0</v>
      </c>
    </row>
    <row r="2273" spans="2:6">
      <c r="B2273" s="3007" t="str">
        <f>'Смета Внутр'!B2279</f>
        <v>тросик для насоса</v>
      </c>
      <c r="C2273" s="3008" t="str">
        <f>'Смета Внутр'!C2279</f>
        <v>м.п.</v>
      </c>
      <c r="D2273" s="3009">
        <f>'Смета Внутр'!D2279</f>
        <v>72</v>
      </c>
      <c r="E2273" s="3007"/>
      <c r="F2273" s="3012">
        <f>'Смета Внутр'!H2279</f>
        <v>0</v>
      </c>
    </row>
    <row r="2274" spans="2:6">
      <c r="B2274" s="3007" t="str">
        <f>'Смета Внутр'!B2280</f>
        <v>изолента</v>
      </c>
      <c r="C2274" s="3008" t="str">
        <f>'Смета Внутр'!C2280</f>
        <v>рул</v>
      </c>
      <c r="D2274" s="3009">
        <f>'Смета Внутр'!D2280</f>
        <v>1</v>
      </c>
      <c r="E2274" s="3007"/>
      <c r="F2274" s="3012">
        <f>'Смета Внутр'!H2280</f>
        <v>0</v>
      </c>
    </row>
    <row r="2275" spans="2:6">
      <c r="B2275" s="3007" t="str">
        <f>'Смета Внутр'!B2281</f>
        <v>гидроаккумулятор, 80л</v>
      </c>
      <c r="C2275" s="3008" t="str">
        <f>'Смета Внутр'!C2281</f>
        <v>шт</v>
      </c>
      <c r="D2275" s="3009">
        <f>'Смета Внутр'!D2281</f>
        <v>1</v>
      </c>
      <c r="E2275" s="3007"/>
      <c r="F2275" s="3012">
        <f>'Смета Внутр'!H2281</f>
        <v>0</v>
      </c>
    </row>
    <row r="2276" spans="2:6">
      <c r="B2276" s="3007" t="str">
        <f>'Смета Внутр'!B2282</f>
        <v>автоматика</v>
      </c>
      <c r="C2276" s="3008" t="str">
        <f>'Смета Внутр'!C2282</f>
        <v>шт</v>
      </c>
      <c r="D2276" s="3009">
        <f>'Смета Внутр'!D2282</f>
        <v>1</v>
      </c>
      <c r="E2276" s="3007"/>
      <c r="F2276" s="3012">
        <f>'Смета Внутр'!H2282</f>
        <v>0</v>
      </c>
    </row>
    <row r="2277" spans="2:6">
      <c r="B2277" s="3007" t="str">
        <f>'Смета Внутр'!B2283</f>
        <v>пнд труба</v>
      </c>
      <c r="C2277" s="3008" t="str">
        <f>'Смета Внутр'!C2283</f>
        <v>м.п.</v>
      </c>
      <c r="D2277" s="3009">
        <f>'Смета Внутр'!D2283</f>
        <v>72</v>
      </c>
      <c r="E2277" s="3007"/>
      <c r="F2277" s="3012">
        <f>'Смета Внутр'!H2283</f>
        <v>0</v>
      </c>
    </row>
    <row r="2278" spans="2:6">
      <c r="B2278" s="3007" t="str">
        <f>'Смета Внутр'!B2284</f>
        <v>скорлупа утепления двойная</v>
      </c>
      <c r="C2278" s="3008" t="str">
        <f>'Смета Внутр'!C2284</f>
        <v>м.п.</v>
      </c>
      <c r="D2278" s="3009">
        <f>'Смета Внутр'!D2284</f>
        <v>10</v>
      </c>
      <c r="E2278" s="3007"/>
      <c r="F2278" s="3012">
        <f>'Смета Внутр'!H2284</f>
        <v>0</v>
      </c>
    </row>
    <row r="2279" spans="2:6">
      <c r="B2279" s="3007" t="str">
        <f>'Смета Внутр'!B2285</f>
        <v>скважинный адаптер</v>
      </c>
      <c r="C2279" s="3008" t="str">
        <f>'Смета Внутр'!C2285</f>
        <v>шт</v>
      </c>
      <c r="D2279" s="3009">
        <f>'Смета Внутр'!D2285</f>
        <v>1</v>
      </c>
      <c r="E2279" s="3007"/>
      <c r="F2279" s="3012">
        <f>'Смета Внутр'!H2285</f>
        <v>0</v>
      </c>
    </row>
    <row r="2280" spans="2:6">
      <c r="B2280" s="3311" t="str">
        <f>'Смета Внутр'!B2286</f>
        <v>Итого материалы</v>
      </c>
      <c r="C2280" s="3311"/>
      <c r="D2280" s="3311"/>
      <c r="E2280" s="3311"/>
      <c r="F2280" s="3014">
        <f>'Смета Внутр'!G2286</f>
        <v>0</v>
      </c>
    </row>
    <row r="2281" spans="2:6">
      <c r="B2281" s="3312" t="str">
        <f>'Смета Внутр'!B2287</f>
        <v>Работы</v>
      </c>
      <c r="C2281" s="3312"/>
      <c r="D2281" s="3312"/>
      <c r="E2281" s="3312"/>
      <c r="F2281" s="3011">
        <f>'Смета Внутр'!H2287</f>
        <v>0</v>
      </c>
    </row>
    <row r="2282" spans="2:6">
      <c r="B2282" s="3007" t="str">
        <f>'Смета Внутр'!B2288</f>
        <v xml:space="preserve">контроль за земляными </v>
      </c>
      <c r="C2282" s="3008" t="str">
        <f>'Смета Внутр'!C2288</f>
        <v>шт</v>
      </c>
      <c r="D2282" s="3009">
        <f>'Смета Внутр'!D2288</f>
        <v>1</v>
      </c>
      <c r="E2282" s="3007"/>
      <c r="F2282" s="3012">
        <f>'Смета Внутр'!H2288</f>
        <v>0</v>
      </c>
    </row>
    <row r="2283" spans="2:6">
      <c r="B2283" s="3007" t="str">
        <f>'Смета Внутр'!B2289</f>
        <v>контроль за бурением</v>
      </c>
      <c r="C2283" s="3008" t="str">
        <f>'Смета Внутр'!C2289</f>
        <v>шт</v>
      </c>
      <c r="D2283" s="3009">
        <f>'Смета Внутр'!D2289</f>
        <v>1</v>
      </c>
      <c r="E2283" s="3007"/>
      <c r="F2283" s="3012">
        <f>'Смета Внутр'!H2289</f>
        <v>0</v>
      </c>
    </row>
    <row r="2284" spans="2:6">
      <c r="B2284" s="3007" t="str">
        <f>'Смета Внутр'!B2290</f>
        <v>установка скваж адап</v>
      </c>
      <c r="C2284" s="3008" t="str">
        <f>'Смета Внутр'!C2290</f>
        <v>шт</v>
      </c>
      <c r="D2284" s="3009">
        <f>'Смета Внутр'!D2290</f>
        <v>1</v>
      </c>
      <c r="E2284" s="3007"/>
      <c r="F2284" s="3012">
        <f>'Смета Внутр'!H2290</f>
        <v>0</v>
      </c>
    </row>
    <row r="2285" spans="2:6">
      <c r="B2285" s="3007" t="str">
        <f>'Смета Внутр'!B2291</f>
        <v>установка гидроаккум</v>
      </c>
      <c r="C2285" s="3008" t="str">
        <f>'Смета Внутр'!C2291</f>
        <v>шт</v>
      </c>
      <c r="D2285" s="3009">
        <f>'Смета Внутр'!D2291</f>
        <v>1</v>
      </c>
      <c r="E2285" s="3007"/>
      <c r="F2285" s="3012">
        <f>'Смета Внутр'!H2291</f>
        <v>0</v>
      </c>
    </row>
    <row r="2286" spans="2:6">
      <c r="B2286" s="3007" t="str">
        <f>'Смета Внутр'!B2292</f>
        <v>монтаж автоматики</v>
      </c>
      <c r="C2286" s="3008" t="str">
        <f>'Смета Внутр'!C2292</f>
        <v>шт</v>
      </c>
      <c r="D2286" s="3009">
        <f>'Смета Внутр'!D2292</f>
        <v>1</v>
      </c>
      <c r="E2286" s="3007"/>
      <c r="F2286" s="3012">
        <f>'Смета Внутр'!H2292</f>
        <v>0</v>
      </c>
    </row>
    <row r="2287" spans="2:6">
      <c r="B2287" s="3007" t="str">
        <f>'Смета Внутр'!B2293</f>
        <v>прокладка пнд с утепл</v>
      </c>
      <c r="C2287" s="3008" t="str">
        <f>'Смета Внутр'!C2293</f>
        <v>м.п.</v>
      </c>
      <c r="D2287" s="3009">
        <f>'Смета Внутр'!D2293</f>
        <v>10</v>
      </c>
      <c r="E2287" s="3007"/>
      <c r="F2287" s="3012">
        <f>'Смета Внутр'!H2293</f>
        <v>0</v>
      </c>
    </row>
    <row r="2288" spans="2:6">
      <c r="B2288" s="3311" t="str">
        <f>'Смета Внутр'!B2294</f>
        <v>Итого работы</v>
      </c>
      <c r="C2288" s="3311"/>
      <c r="D2288" s="3311"/>
      <c r="E2288" s="3311"/>
      <c r="F2288" s="3014">
        <f>'Смета Внутр'!G2294</f>
        <v>0</v>
      </c>
    </row>
    <row r="2289" spans="2:6" ht="19">
      <c r="B2289" s="3313" t="str">
        <f>'Смета Внутр'!B2295</f>
        <v>Септик с утепленной канализацией</v>
      </c>
      <c r="C2289" s="3313"/>
      <c r="D2289" s="3313"/>
      <c r="E2289" s="3313"/>
      <c r="F2289" s="3011">
        <f>'Смета Внутр'!H2295</f>
        <v>0</v>
      </c>
    </row>
    <row r="2290" spans="2:6">
      <c r="B2290" s="3310" t="str">
        <f>'Смета Внутр'!B2296</f>
        <v>Материалы</v>
      </c>
      <c r="C2290" s="3310"/>
      <c r="D2290" s="3310"/>
      <c r="E2290" s="3310"/>
      <c r="F2290" s="3011">
        <f>'Смета Внутр'!H2296</f>
        <v>0</v>
      </c>
    </row>
    <row r="2291" spans="2:6">
      <c r="B2291" s="3007" t="str">
        <f>'Смета Внутр'!B2297</f>
        <v>дно бетонное, диаметр 1,5м.п.</v>
      </c>
      <c r="C2291" s="3008" t="str">
        <f>'Смета Внутр'!C2297</f>
        <v>шт</v>
      </c>
      <c r="D2291" s="3009">
        <f>'Смета Внутр'!D2297</f>
        <v>1</v>
      </c>
      <c r="E2291" s="3007"/>
      <c r="F2291" s="3012">
        <f>'Смета Внутр'!H2297</f>
        <v>0</v>
      </c>
    </row>
    <row r="2292" spans="2:6">
      <c r="B2292" s="3007" t="str">
        <f>'Смета Внутр'!B2298</f>
        <v>кольцо бетонное, диаметр 1,5м.п.</v>
      </c>
      <c r="C2292" s="3008" t="str">
        <f>'Смета Внутр'!C2298</f>
        <v>шт</v>
      </c>
      <c r="D2292" s="3009">
        <f>'Смета Внутр'!D2298</f>
        <v>3</v>
      </c>
      <c r="E2292" s="3007"/>
      <c r="F2292" s="3012">
        <f>'Смета Внутр'!H2298</f>
        <v>0</v>
      </c>
    </row>
    <row r="2293" spans="2:6">
      <c r="B2293" s="3007" t="str">
        <f>'Смета Внутр'!B2299</f>
        <v>крышка бетонная, диаметр 1,5м.п.</v>
      </c>
      <c r="C2293" s="3008" t="str">
        <f>'Смета Внутр'!C2299</f>
        <v>шт</v>
      </c>
      <c r="D2293" s="3009">
        <f>'Смета Внутр'!D2299</f>
        <v>1</v>
      </c>
      <c r="E2293" s="3007"/>
      <c r="F2293" s="3012">
        <f>'Смета Внутр'!H2299</f>
        <v>0</v>
      </c>
    </row>
    <row r="2294" spans="2:6">
      <c r="B2294" s="3007" t="str">
        <f>'Смета Внутр'!B2300</f>
        <v>Нет люка для крышки</v>
      </c>
      <c r="C2294" s="3008" t="str">
        <f>'Смета Внутр'!C2300</f>
        <v>шт</v>
      </c>
      <c r="D2294" s="3009">
        <f>'Смета Внутр'!D2300</f>
        <v>0</v>
      </c>
      <c r="E2294" s="3007"/>
      <c r="F2294" s="3012">
        <f>'Смета Внутр'!H2300</f>
        <v>0</v>
      </c>
    </row>
    <row r="2295" spans="2:6">
      <c r="B2295" s="3007" t="str">
        <f>'Смета Внутр'!B2301</f>
        <v>Горловина для септика бетонная</v>
      </c>
      <c r="C2295" s="3008" t="str">
        <f>'Смета Внутр'!C2301</f>
        <v>шт</v>
      </c>
      <c r="D2295" s="3009">
        <f>'Смета Внутр'!D2301</f>
        <v>1</v>
      </c>
      <c r="E2295" s="3007"/>
      <c r="F2295" s="3012">
        <f>'Смета Внутр'!H2301</f>
        <v>0</v>
      </c>
    </row>
    <row r="2296" spans="2:6">
      <c r="B2296" s="3007" t="str">
        <f>'Смета Внутр'!B2302</f>
        <v>Труба канализационная D110</v>
      </c>
      <c r="C2296" s="3008" t="str">
        <f>'Смета Внутр'!C2302</f>
        <v>м.п.</v>
      </c>
      <c r="D2296" s="3009">
        <f>'Смета Внутр'!D2302</f>
        <v>10</v>
      </c>
      <c r="E2296" s="3007"/>
      <c r="F2296" s="3012">
        <f>'Смета Внутр'!H2302</f>
        <v>0</v>
      </c>
    </row>
    <row r="2297" spans="2:6">
      <c r="B2297" s="3007" t="str">
        <f>'Смета Внутр'!B2303</f>
        <v>утепление для канализационной трубы</v>
      </c>
      <c r="C2297" s="3008" t="str">
        <f>'Смета Внутр'!C2303</f>
        <v>м.п.</v>
      </c>
      <c r="D2297" s="3009">
        <f>'Смета Внутр'!D2303</f>
        <v>8</v>
      </c>
      <c r="E2297" s="3007"/>
      <c r="F2297" s="3012">
        <f>'Смета Внутр'!H2303</f>
        <v>0</v>
      </c>
    </row>
    <row r="2298" spans="2:6">
      <c r="B2298" s="3007" t="str">
        <f>'Смета Внутр'!B2304</f>
        <v>раствор для бетонирования</v>
      </c>
      <c r="C2298" s="3008" t="str">
        <f>'Смета Внутр'!C2304</f>
        <v>шт</v>
      </c>
      <c r="D2298" s="3009">
        <f>'Смета Внутр'!D2304</f>
        <v>3</v>
      </c>
      <c r="E2298" s="3007"/>
      <c r="F2298" s="3012">
        <f>'Смета Внутр'!H2304</f>
        <v>0</v>
      </c>
    </row>
    <row r="2299" spans="2:6">
      <c r="B2299" s="3007" t="str">
        <f>'Смета Внутр'!B2305</f>
        <v>скотч для скорлупы утепления</v>
      </c>
      <c r="C2299" s="3008" t="str">
        <f>'Смета Внутр'!C2305</f>
        <v>шт</v>
      </c>
      <c r="D2299" s="3009">
        <f>'Смета Внутр'!D2305</f>
        <v>3</v>
      </c>
      <c r="E2299" s="3007"/>
      <c r="F2299" s="3012">
        <f>'Смета Внутр'!H2305</f>
        <v>0</v>
      </c>
    </row>
    <row r="2300" spans="2:6">
      <c r="B2300" s="3007" t="str">
        <f>'Смета Внутр'!B2306</f>
        <v>дно бетонное, диаметр 2м.п.</v>
      </c>
      <c r="C2300" s="3008" t="str">
        <f>'Смета Внутр'!C2306</f>
        <v>шт</v>
      </c>
      <c r="D2300" s="3009">
        <f>'Смета Внутр'!D2306</f>
        <v>1</v>
      </c>
      <c r="E2300" s="3007"/>
      <c r="F2300" s="3012">
        <f>'Смета Внутр'!H2306</f>
        <v>0</v>
      </c>
    </row>
    <row r="2301" spans="2:6">
      <c r="B2301" s="3007" t="str">
        <f>'Смета Внутр'!B2307</f>
        <v>кольцо бетонное, диаметр 2м.п.</v>
      </c>
      <c r="C2301" s="3008" t="str">
        <f>'Смета Внутр'!C2307</f>
        <v>шт</v>
      </c>
      <c r="D2301" s="3009">
        <f>'Смета Внутр'!D2307</f>
        <v>3</v>
      </c>
      <c r="E2301" s="3007"/>
      <c r="F2301" s="3012">
        <f>'Смета Внутр'!H2307</f>
        <v>0</v>
      </c>
    </row>
    <row r="2302" spans="2:6">
      <c r="B2302" s="3007" t="str">
        <f>'Смета Внутр'!B2308</f>
        <v>крышка бетонная, диаметр 2м.п.</v>
      </c>
      <c r="C2302" s="3008" t="str">
        <f>'Смета Внутр'!C2308</f>
        <v>шт</v>
      </c>
      <c r="D2302" s="3009">
        <f>'Смета Внутр'!D2308</f>
        <v>1</v>
      </c>
      <c r="E2302" s="3007"/>
      <c r="F2302" s="3012">
        <f>'Смета Внутр'!H2308</f>
        <v>0</v>
      </c>
    </row>
    <row r="2303" spans="2:6">
      <c r="B2303" s="3007" t="str">
        <f>'Смета Внутр'!B2309</f>
        <v>Нет люка для крышки</v>
      </c>
      <c r="C2303" s="3008" t="str">
        <f>'Смета Внутр'!C2309</f>
        <v>шт</v>
      </c>
      <c r="D2303" s="3009">
        <f>'Смета Внутр'!D2309</f>
        <v>0</v>
      </c>
      <c r="E2303" s="3007"/>
      <c r="F2303" s="3012">
        <f>'Смета Внутр'!H2309</f>
        <v>0</v>
      </c>
    </row>
    <row r="2304" spans="2:6">
      <c r="B2304" s="3311" t="str">
        <f>'Смета Внутр'!B2310</f>
        <v>Итого материалы</v>
      </c>
      <c r="C2304" s="3311"/>
      <c r="D2304" s="3311"/>
      <c r="E2304" s="3311"/>
      <c r="F2304" s="3014">
        <f>'Смета Внутр'!G2310</f>
        <v>0</v>
      </c>
    </row>
    <row r="2305" spans="2:6">
      <c r="B2305" s="3312" t="str">
        <f>'Смета Внутр'!B2311</f>
        <v>Работы</v>
      </c>
      <c r="C2305" s="3312"/>
      <c r="D2305" s="3312"/>
      <c r="E2305" s="3312"/>
      <c r="F2305" s="3011">
        <f>'Смета Внутр'!H2311</f>
        <v>0</v>
      </c>
    </row>
    <row r="2306" spans="2:6">
      <c r="B2306" s="3007" t="str">
        <f>'Смета Внутр'!B2312</f>
        <v>монтаж дна</v>
      </c>
      <c r="C2306" s="3008" t="str">
        <f>'Смета Внутр'!C2312</f>
        <v>шт</v>
      </c>
      <c r="D2306" s="3009">
        <f>'Смета Внутр'!D2312</f>
        <v>2</v>
      </c>
      <c r="E2306" s="3007"/>
      <c r="F2306" s="3012">
        <f>'Смета Внутр'!H2312</f>
        <v>0</v>
      </c>
    </row>
    <row r="2307" spans="2:6">
      <c r="B2307" s="3007" t="str">
        <f>'Смета Внутр'!B2313</f>
        <v>монтаж колец</v>
      </c>
      <c r="C2307" s="3008" t="str">
        <f>'Смета Внутр'!C2313</f>
        <v>шт</v>
      </c>
      <c r="D2307" s="3009">
        <f>'Смета Внутр'!D2313</f>
        <v>6</v>
      </c>
      <c r="E2307" s="3007"/>
      <c r="F2307" s="3012">
        <f>'Смета Внутр'!H2313</f>
        <v>0</v>
      </c>
    </row>
    <row r="2308" spans="2:6">
      <c r="B2308" s="3007" t="str">
        <f>'Смета Внутр'!B2314</f>
        <v>монтаж крышки</v>
      </c>
      <c r="C2308" s="3008" t="str">
        <f>'Смета Внутр'!C2314</f>
        <v>шт</v>
      </c>
      <c r="D2308" s="3009">
        <f>'Смета Внутр'!D2314</f>
        <v>2</v>
      </c>
      <c r="E2308" s="3007"/>
      <c r="F2308" s="3012">
        <f>'Смета Внутр'!H2314</f>
        <v>0</v>
      </c>
    </row>
    <row r="2309" spans="2:6">
      <c r="B2309" s="3007" t="str">
        <f>'Смета Внутр'!B2315</f>
        <v>монтаж люка</v>
      </c>
      <c r="C2309" s="3008" t="str">
        <f>'Смета Внутр'!C2315</f>
        <v>шт</v>
      </c>
      <c r="D2309" s="3009">
        <f>'Смета Внутр'!D2315</f>
        <v>0</v>
      </c>
      <c r="E2309" s="3007"/>
      <c r="F2309" s="3012">
        <f>'Смета Внутр'!H2315</f>
        <v>0</v>
      </c>
    </row>
    <row r="2310" spans="2:6">
      <c r="B2310" s="3007" t="str">
        <f>'Смета Внутр'!B2316</f>
        <v>монтаж горловины</v>
      </c>
      <c r="C2310" s="3008" t="str">
        <f>'Смета Внутр'!C2316</f>
        <v>м.п.</v>
      </c>
      <c r="D2310" s="3009">
        <f>'Смета Внутр'!D2316</f>
        <v>1</v>
      </c>
      <c r="E2310" s="3007"/>
      <c r="F2310" s="3012">
        <f>'Смета Внутр'!H2316</f>
        <v>0</v>
      </c>
    </row>
    <row r="2311" spans="2:6">
      <c r="B2311" s="3007" t="str">
        <f>'Смета Внутр'!B2317</f>
        <v>м/ж ут-ной канал</v>
      </c>
      <c r="C2311" s="3008" t="str">
        <f>'Смета Внутр'!C2317</f>
        <v>шт</v>
      </c>
      <c r="D2311" s="3009">
        <f>'Смета Внутр'!D2317</f>
        <v>10</v>
      </c>
      <c r="E2311" s="3007"/>
      <c r="F2311" s="3012">
        <f>'Смета Внутр'!H2317</f>
        <v>0</v>
      </c>
    </row>
    <row r="2312" spans="2:6">
      <c r="B2312" s="3007" t="str">
        <f>'Смета Внутр'!B2318</f>
        <v>бетонирование</v>
      </c>
      <c r="C2312" s="3008" t="str">
        <f>'Смета Внутр'!C2318</f>
        <v>шт</v>
      </c>
      <c r="D2312" s="3009">
        <f>'Смета Внутр'!D2318</f>
        <v>1</v>
      </c>
      <c r="E2312" s="3007"/>
      <c r="F2312" s="3012">
        <f>'Смета Внутр'!H2318</f>
        <v>0</v>
      </c>
    </row>
    <row r="2313" spans="2:6">
      <c r="B2313" s="3311" t="str">
        <f>'Смета Внутр'!B2319</f>
        <v>Итого работы</v>
      </c>
      <c r="C2313" s="3311"/>
      <c r="D2313" s="3311"/>
      <c r="E2313" s="3311"/>
      <c r="F2313" s="3014">
        <f>'Смета Внутр'!G2319</f>
        <v>0</v>
      </c>
    </row>
    <row r="2314" spans="2:6" ht="19">
      <c r="B2314" s="3313" t="str">
        <f>'Смета Внутр'!B2320</f>
        <v>Котельная</v>
      </c>
      <c r="C2314" s="3313"/>
      <c r="D2314" s="3313"/>
      <c r="E2314" s="3313"/>
      <c r="F2314" s="3011">
        <f>'Смета Внутр'!H2320</f>
        <v>0</v>
      </c>
    </row>
    <row r="2315" spans="2:6">
      <c r="B2315" s="3310" t="str">
        <f>'Смета Внутр'!B2321</f>
        <v>Материалы</v>
      </c>
      <c r="C2315" s="3310"/>
      <c r="D2315" s="3310"/>
      <c r="E2315" s="3310"/>
      <c r="F2315" s="3011">
        <f>'Смета Внутр'!H2321</f>
        <v>0</v>
      </c>
    </row>
    <row r="2316" spans="2:6">
      <c r="B2316" s="3007" t="str">
        <f>'Смета Внутр'!B2322</f>
        <v>котел</v>
      </c>
      <c r="C2316" s="3008" t="str">
        <f>'Смета Внутр'!C2322</f>
        <v>шт</v>
      </c>
      <c r="D2316" s="3009">
        <f>'Смета Внутр'!D2322</f>
        <v>1</v>
      </c>
      <c r="E2316" s="3007"/>
      <c r="F2316" s="3012">
        <f>'Смета Внутр'!H2322</f>
        <v>0</v>
      </c>
    </row>
    <row r="2317" spans="2:6">
      <c r="B2317" s="3007" t="str">
        <f>'Смета Внутр'!B2323</f>
        <v>бойлер</v>
      </c>
      <c r="C2317" s="3008" t="str">
        <f>'Смета Внутр'!C2323</f>
        <v>шт</v>
      </c>
      <c r="D2317" s="3009">
        <f>'Смета Внутр'!D2323</f>
        <v>1</v>
      </c>
      <c r="E2317" s="3007"/>
      <c r="F2317" s="3012">
        <f>'Смета Внутр'!H2323</f>
        <v>0</v>
      </c>
    </row>
    <row r="2318" spans="2:6">
      <c r="B2318" s="3007" t="str">
        <f>'Смета Внутр'!B2324</f>
        <v>гребенка</v>
      </c>
      <c r="C2318" s="3008" t="str">
        <f>'Смета Внутр'!C2324</f>
        <v>шт</v>
      </c>
      <c r="D2318" s="3009">
        <f>'Смета Внутр'!D2324</f>
        <v>1</v>
      </c>
      <c r="E2318" s="3007"/>
      <c r="F2318" s="3012">
        <f>'Смета Внутр'!H2324</f>
        <v>0</v>
      </c>
    </row>
    <row r="2319" spans="2:6">
      <c r="B2319" s="3007" t="str">
        <f>'Смета Внутр'!B2325</f>
        <v>насос на отопление</v>
      </c>
      <c r="C2319" s="3008" t="str">
        <f>'Смета Внутр'!C2325</f>
        <v>шт</v>
      </c>
      <c r="D2319" s="3009">
        <f>'Смета Внутр'!D2325</f>
        <v>1</v>
      </c>
      <c r="E2319" s="3007"/>
      <c r="F2319" s="3012">
        <f>'Смета Внутр'!H2325</f>
        <v>0</v>
      </c>
    </row>
    <row r="2320" spans="2:6">
      <c r="B2320" s="3007" t="str">
        <f>'Смета Внутр'!B2326</f>
        <v>насос на горячее водоснабжение</v>
      </c>
      <c r="C2320" s="3008" t="str">
        <f>'Смета Внутр'!C2326</f>
        <v>шт</v>
      </c>
      <c r="D2320" s="3009">
        <f>'Смета Внутр'!D2326</f>
        <v>1</v>
      </c>
      <c r="E2320" s="3007"/>
      <c r="F2320" s="3012">
        <f>'Смета Внутр'!H2326</f>
        <v>0</v>
      </c>
    </row>
    <row r="2321" spans="2:6">
      <c r="B2321" s="3007" t="str">
        <f>'Смета Внутр'!B2327</f>
        <v>датчик давления</v>
      </c>
      <c r="C2321" s="3008" t="str">
        <f>'Смета Внутр'!C2327</f>
        <v>шт</v>
      </c>
      <c r="D2321" s="3009">
        <f>'Смета Внутр'!D2327</f>
        <v>2</v>
      </c>
      <c r="E2321" s="3007"/>
      <c r="F2321" s="3012">
        <f>'Смета Внутр'!H2327</f>
        <v>0</v>
      </c>
    </row>
    <row r="2322" spans="2:6">
      <c r="B2322" s="3007" t="str">
        <f>'Смета Внутр'!B2328</f>
        <v>сбросной клапан</v>
      </c>
      <c r="C2322" s="3008" t="str">
        <f>'Смета Внутр'!C2328</f>
        <v>шт</v>
      </c>
      <c r="D2322" s="3009">
        <f>'Смета Внутр'!D2328</f>
        <v>1</v>
      </c>
      <c r="E2322" s="3007"/>
      <c r="F2322" s="3012">
        <f>'Смета Внутр'!H2328</f>
        <v>0</v>
      </c>
    </row>
    <row r="2323" spans="2:6">
      <c r="B2323" s="3007" t="str">
        <f>'Смета Внутр'!B2329</f>
        <v>труба, черная ду 32</v>
      </c>
      <c r="C2323" s="3008" t="str">
        <f>'Смета Внутр'!C2329</f>
        <v>м.п.</v>
      </c>
      <c r="D2323" s="3009">
        <f>'Смета Внутр'!D2329</f>
        <v>20</v>
      </c>
      <c r="E2323" s="3007"/>
      <c r="F2323" s="3012">
        <f>'Смета Внутр'!H2329</f>
        <v>0</v>
      </c>
    </row>
    <row r="2324" spans="2:6">
      <c r="B2324" s="3007" t="str">
        <f>'Смета Внутр'!B2330</f>
        <v>угол ду 32</v>
      </c>
      <c r="C2324" s="3008" t="str">
        <f>'Смета Внутр'!C2330</f>
        <v>шт</v>
      </c>
      <c r="D2324" s="3009">
        <f>'Смета Внутр'!D2330</f>
        <v>10</v>
      </c>
      <c r="E2324" s="3007"/>
      <c r="F2324" s="3012">
        <f>'Смета Внутр'!H2330</f>
        <v>0</v>
      </c>
    </row>
    <row r="2325" spans="2:6">
      <c r="B2325" s="3007" t="str">
        <f>'Смета Внутр'!B2331</f>
        <v>бочонок ду 32</v>
      </c>
      <c r="C2325" s="3008" t="str">
        <f>'Смета Внутр'!C2331</f>
        <v>шт</v>
      </c>
      <c r="D2325" s="3009">
        <f>'Смета Внутр'!D2331</f>
        <v>10</v>
      </c>
      <c r="E2325" s="3007"/>
      <c r="F2325" s="3012">
        <f>'Смета Внутр'!H2331</f>
        <v>0</v>
      </c>
    </row>
    <row r="2326" spans="2:6">
      <c r="B2326" s="3007" t="str">
        <f>'Смета Внутр'!B2332</f>
        <v>резьба ду 32</v>
      </c>
      <c r="C2326" s="3008" t="str">
        <f>'Смета Внутр'!C2332</f>
        <v>шт</v>
      </c>
      <c r="D2326" s="3009">
        <f>'Смета Внутр'!D2332</f>
        <v>10</v>
      </c>
      <c r="E2326" s="3007"/>
      <c r="F2326" s="3012">
        <f>'Смета Внутр'!H2332</f>
        <v>0</v>
      </c>
    </row>
    <row r="2327" spans="2:6">
      <c r="B2327" s="3007" t="str">
        <f>'Смета Внутр'!B2333</f>
        <v>переод с ду 32на 20</v>
      </c>
      <c r="C2327" s="3008" t="str">
        <f>'Смета Внутр'!C2333</f>
        <v>шт</v>
      </c>
      <c r="D2327" s="3009">
        <f>'Смета Внутр'!D2333</f>
        <v>5</v>
      </c>
      <c r="E2327" s="3007"/>
      <c r="F2327" s="3012">
        <f>'Смета Внутр'!H2333</f>
        <v>0</v>
      </c>
    </row>
    <row r="2328" spans="2:6">
      <c r="B2328" s="3007" t="str">
        <f>'Смета Внутр'!B2334</f>
        <v>электроды, пачка</v>
      </c>
      <c r="C2328" s="3008" t="str">
        <f>'Смета Внутр'!C2334</f>
        <v>шт</v>
      </c>
      <c r="D2328" s="3009">
        <f>'Смета Внутр'!D2334</f>
        <v>1</v>
      </c>
      <c r="E2328" s="3007"/>
      <c r="F2328" s="3012">
        <f>'Смета Внутр'!H2334</f>
        <v>0</v>
      </c>
    </row>
    <row r="2329" spans="2:6">
      <c r="B2329" s="3007" t="str">
        <f>'Смета Внутр'!B2335</f>
        <v>лен</v>
      </c>
      <c r="C2329" s="3008" t="str">
        <f>'Смета Внутр'!C2335</f>
        <v>рулон</v>
      </c>
      <c r="D2329" s="3009">
        <f>'Смета Внутр'!D2335</f>
        <v>1</v>
      </c>
      <c r="E2329" s="3007"/>
      <c r="F2329" s="3012">
        <f>'Смета Внутр'!H2335</f>
        <v>0</v>
      </c>
    </row>
    <row r="2330" spans="2:6">
      <c r="B2330" s="3311" t="str">
        <f>'Смета Внутр'!B2336</f>
        <v>Итого материалы</v>
      </c>
      <c r="C2330" s="3311"/>
      <c r="D2330" s="3311"/>
      <c r="E2330" s="3311"/>
      <c r="F2330" s="3014">
        <f>'Смета Внутр'!G2336</f>
        <v>0</v>
      </c>
    </row>
    <row r="2331" spans="2:6">
      <c r="B2331" s="3312" t="str">
        <f>'Смета Внутр'!B2337</f>
        <v>Работы</v>
      </c>
      <c r="C2331" s="3312"/>
      <c r="D2331" s="3312"/>
      <c r="E2331" s="3312"/>
      <c r="F2331" s="3011">
        <f>'Смета Внутр'!H2337</f>
        <v>0</v>
      </c>
    </row>
    <row r="2332" spans="2:6">
      <c r="B2332" s="3007" t="str">
        <f>'Смета Внутр'!B2338</f>
        <v>котел установка</v>
      </c>
      <c r="C2332" s="3008" t="str">
        <f>'Смета Внутр'!C2338</f>
        <v>шт</v>
      </c>
      <c r="D2332" s="3009">
        <f>'Смета Внутр'!D2338</f>
        <v>1</v>
      </c>
      <c r="E2332" s="3007"/>
      <c r="F2332" s="3012">
        <f>'Смета Внутр'!H2338</f>
        <v>0</v>
      </c>
    </row>
    <row r="2333" spans="2:6">
      <c r="B2333" s="3007" t="str">
        <f>'Смета Внутр'!B2339</f>
        <v>бойлер установка</v>
      </c>
      <c r="C2333" s="3008" t="str">
        <f>'Смета Внутр'!C2339</f>
        <v>шт</v>
      </c>
      <c r="D2333" s="3009">
        <f>'Смета Внутр'!D2339</f>
        <v>1</v>
      </c>
      <c r="E2333" s="3007"/>
      <c r="F2333" s="3012">
        <f>'Смета Внутр'!H2339</f>
        <v>0</v>
      </c>
    </row>
    <row r="2334" spans="2:6">
      <c r="B2334" s="3007" t="str">
        <f>'Смета Внутр'!B2340</f>
        <v>гребенка установка</v>
      </c>
      <c r="C2334" s="3008" t="str">
        <f>'Смета Внутр'!C2340</f>
        <v>шт</v>
      </c>
      <c r="D2334" s="3009">
        <f>'Смета Внутр'!D2340</f>
        <v>1</v>
      </c>
      <c r="E2334" s="3007"/>
      <c r="F2334" s="3012">
        <f>'Смета Внутр'!H2340</f>
        <v>0</v>
      </c>
    </row>
    <row r="2335" spans="2:6">
      <c r="B2335" s="3007" t="str">
        <f>'Смета Внутр'!B2341</f>
        <v>насос установка на отопл</v>
      </c>
      <c r="C2335" s="3008" t="str">
        <f>'Смета Внутр'!C2341</f>
        <v>шт</v>
      </c>
      <c r="D2335" s="3009">
        <f>'Смета Внутр'!D2341</f>
        <v>1</v>
      </c>
      <c r="E2335" s="3007"/>
      <c r="F2335" s="3012">
        <f>'Смета Внутр'!H2341</f>
        <v>0</v>
      </c>
    </row>
    <row r="2336" spans="2:6">
      <c r="B2336" s="3007" t="str">
        <f>'Смета Внутр'!B2342</f>
        <v>насос установка на гвс</v>
      </c>
      <c r="C2336" s="3008" t="str">
        <f>'Смета Внутр'!C2342</f>
        <v>шт</v>
      </c>
      <c r="D2336" s="3009">
        <f>'Смета Внутр'!D2342</f>
        <v>1</v>
      </c>
      <c r="E2336" s="3007"/>
      <c r="F2336" s="3012">
        <f>'Смета Внутр'!H2342</f>
        <v>0</v>
      </c>
    </row>
    <row r="2337" spans="2:6">
      <c r="B2337" s="3007" t="str">
        <f>'Смета Внутр'!B2343</f>
        <v>монтаж сбросного клапана</v>
      </c>
      <c r="C2337" s="3008" t="str">
        <f>'Смета Внутр'!C2343</f>
        <v>шт</v>
      </c>
      <c r="D2337" s="3009">
        <f>'Смета Внутр'!D2343</f>
        <v>1</v>
      </c>
      <c r="E2337" s="3007"/>
      <c r="F2337" s="3012">
        <f>'Смета Внутр'!H2343</f>
        <v>0</v>
      </c>
    </row>
    <row r="2338" spans="2:6">
      <c r="B2338" s="3007" t="str">
        <f>'Смета Внутр'!B2344</f>
        <v>монтаж датчика</v>
      </c>
      <c r="C2338" s="3008" t="str">
        <f>'Смета Внутр'!C2344</f>
        <v>шт</v>
      </c>
      <c r="D2338" s="3009">
        <f>'Смета Внутр'!D2344</f>
        <v>2</v>
      </c>
      <c r="E2338" s="3007"/>
      <c r="F2338" s="3012">
        <f>'Смета Внутр'!H2344</f>
        <v>0</v>
      </c>
    </row>
    <row r="2339" spans="2:6">
      <c r="B2339" s="3007" t="str">
        <f>'Смета Внутр'!B2345</f>
        <v>труба обвязка</v>
      </c>
      <c r="C2339" s="3008" t="str">
        <f>'Смета Внутр'!C2345</f>
        <v>м.п.</v>
      </c>
      <c r="D2339" s="3009">
        <f>'Смета Внутр'!D2345</f>
        <v>20</v>
      </c>
      <c r="E2339" s="3007"/>
      <c r="F2339" s="3012">
        <f>'Смета Внутр'!H2345</f>
        <v>0</v>
      </c>
    </row>
    <row r="2340" spans="2:6">
      <c r="B2340" s="3311" t="str">
        <f>'Смета Внутр'!B2346</f>
        <v>Итого работы</v>
      </c>
      <c r="C2340" s="3311"/>
      <c r="D2340" s="3311"/>
      <c r="E2340" s="3311"/>
      <c r="F2340" s="3014">
        <f>'Смета Внутр'!G2346</f>
        <v>0</v>
      </c>
    </row>
    <row r="2341" spans="2:6" ht="19">
      <c r="B2341" s="3328" t="str">
        <f>'Смета Внутр'!B2347</f>
        <v>Транспорт</v>
      </c>
      <c r="C2341" s="3328"/>
      <c r="D2341" s="3328"/>
      <c r="E2341" s="3328"/>
      <c r="F2341" s="3011">
        <f>'Смета Внутр'!H2347</f>
        <v>0</v>
      </c>
    </row>
    <row r="2342" spans="2:6">
      <c r="B2342" s="3311" t="str">
        <f>'Смета Внутр'!B2441</f>
        <v>Итого, рублей</v>
      </c>
      <c r="C2342" s="3311"/>
      <c r="D2342" s="3311"/>
      <c r="E2342" s="3311"/>
      <c r="F2342" s="3014">
        <f>'Смета Внутр'!G2441</f>
        <v>0</v>
      </c>
    </row>
    <row r="2343" spans="2:6" ht="19">
      <c r="B2343" s="3328" t="str">
        <f>'Смета Внутр'!B2442</f>
        <v>Расходные материалы</v>
      </c>
      <c r="C2343" s="3328"/>
      <c r="D2343" s="3328"/>
      <c r="E2343" s="3328"/>
      <c r="F2343" s="3015">
        <f>F2344</f>
        <v>15000</v>
      </c>
    </row>
    <row r="2344" spans="2:6">
      <c r="B2344" s="3311" t="str">
        <f>'Смета Внутр'!B2482</f>
        <v>Итого, рублей</v>
      </c>
      <c r="C2344" s="3311"/>
      <c r="D2344" s="3311"/>
      <c r="E2344" s="3311"/>
      <c r="F2344" s="3010">
        <f>'Смета Внутр'!G2482</f>
        <v>15000</v>
      </c>
    </row>
    <row r="2345" spans="2:6" ht="19">
      <c r="B2345" s="3328" t="str">
        <f>'Смета Внутр'!B2483</f>
        <v>Командировочные расходы</v>
      </c>
      <c r="C2345" s="3328"/>
      <c r="D2345" s="3328"/>
      <c r="E2345" s="3328"/>
      <c r="F2345" s="3011">
        <f>'Смета Внутр'!H2483</f>
        <v>0</v>
      </c>
    </row>
    <row r="2346" spans="2:6">
      <c r="B2346" s="3311" t="str">
        <f>'Смета Внутр'!B2496</f>
        <v>Итого, рублей</v>
      </c>
      <c r="C2346" s="3311"/>
      <c r="D2346" s="3311"/>
      <c r="E2346" s="3311"/>
      <c r="F2346" s="3014">
        <f>'Смета Внутр'!G2496</f>
        <v>0</v>
      </c>
    </row>
    <row r="2348" spans="2:6">
      <c r="B2348" s="3307" t="str">
        <f>'Смета Внутр'!B2498</f>
        <v>Всего материалов, рублей</v>
      </c>
      <c r="C2348" s="3307"/>
      <c r="D2348" s="3307"/>
      <c r="E2348" s="3307"/>
      <c r="F2348" s="3006">
        <f>'Смета Внутр'!G2498</f>
        <v>728424.68621438311</v>
      </c>
    </row>
    <row r="2349" spans="2:6">
      <c r="B2349" s="3307" t="str">
        <f>'Смета Внутр'!B2499</f>
        <v>Всего работы, рублей</v>
      </c>
      <c r="C2349" s="3307"/>
      <c r="D2349" s="3307"/>
      <c r="E2349" s="3307"/>
      <c r="F2349" s="3006">
        <f>'Смета Внутр'!G2499</f>
        <v>307133.60000000003</v>
      </c>
    </row>
    <row r="2350" spans="2:6">
      <c r="B2350" s="3307" t="str">
        <f>'Смета Внутр'!E2500</f>
        <v>Всего транспортные расходы, рублей</v>
      </c>
      <c r="C2350" s="3307"/>
      <c r="D2350" s="3307"/>
      <c r="E2350" s="3307"/>
      <c r="F2350" s="3006">
        <f>'Смета Внутр'!G2500</f>
        <v>0</v>
      </c>
    </row>
    <row r="2351" spans="2:6">
      <c r="B2351" s="3307" t="s">
        <v>4676</v>
      </c>
      <c r="C2351" s="3307"/>
      <c r="D2351" s="3307"/>
      <c r="E2351" s="3307"/>
      <c r="F2351" s="3006">
        <f>'Смета Внутр'!G2501</f>
        <v>15000</v>
      </c>
    </row>
    <row r="2352" spans="2:6">
      <c r="B2352" s="3307" t="str">
        <f>'Смета Внутр'!B2502</f>
        <v>Всего, командировочные расходы, рублей</v>
      </c>
      <c r="C2352" s="3307"/>
      <c r="D2352" s="3307"/>
      <c r="E2352" s="3307"/>
      <c r="F2352" s="3006">
        <f>'Смета Внутр'!G2502</f>
        <v>0</v>
      </c>
    </row>
    <row r="2353" spans="2:6">
      <c r="B2353" s="3307" t="str">
        <f>'Смета Внутр'!B2503</f>
        <v>Всего работ и материалов, рублей</v>
      </c>
      <c r="C2353" s="3307"/>
      <c r="D2353" s="3307"/>
      <c r="E2353" s="3307"/>
      <c r="F2353" s="3006">
        <f>'Смета Внутр'!G2503</f>
        <v>1050558.2862143831</v>
      </c>
    </row>
    <row r="2354" spans="2:6">
      <c r="B2354" s="3002" t="str">
        <f>'Смета Внутр'!B2504</f>
        <v>Составил: Инженер             _________________</v>
      </c>
    </row>
    <row r="2355" spans="2:6">
      <c r="B2355" s="3002" t="str">
        <f>'Смета Внутр'!B2505</f>
        <v>С перечнем работ и материалов, ознакомлен, с итоговой стоимостью согласен.</v>
      </c>
    </row>
    <row r="2356" spans="2:6">
      <c r="B2356" s="3002" t="str">
        <f>'Смета Внутр'!B2506</f>
        <v>Подпись Заказчика              _________________</v>
      </c>
    </row>
    <row r="2357" spans="2:6">
      <c r="B2357" s="3002" t="str">
        <f>'Смета Внутр'!B2507</f>
        <v>Подпись Подрядчика          _________________</v>
      </c>
    </row>
  </sheetData>
  <autoFilter ref="F12:F2346" xr:uid="{00000000-0009-0000-0000-00000D000000}"/>
  <mergeCells count="274">
    <mergeCell ref="B2350:E2350"/>
    <mergeCell ref="B2351:E2351"/>
    <mergeCell ref="B2352:E2352"/>
    <mergeCell ref="B2353:E2353"/>
    <mergeCell ref="B2340:E2340"/>
    <mergeCell ref="B2341:E2341"/>
    <mergeCell ref="B2342:E2342"/>
    <mergeCell ref="B2343:E2343"/>
    <mergeCell ref="B2344:E2344"/>
    <mergeCell ref="B2345:E2345"/>
    <mergeCell ref="B2346:E2346"/>
    <mergeCell ref="B2348:E2348"/>
    <mergeCell ref="B2349:E2349"/>
    <mergeCell ref="B2289:E2289"/>
    <mergeCell ref="B2290:E2290"/>
    <mergeCell ref="B2304:E2304"/>
    <mergeCell ref="B2305:E2305"/>
    <mergeCell ref="B2313:E2313"/>
    <mergeCell ref="B2314:E2314"/>
    <mergeCell ref="B2315:E2315"/>
    <mergeCell ref="B2330:E2330"/>
    <mergeCell ref="B2331:E2331"/>
    <mergeCell ref="B2251:E2251"/>
    <mergeCell ref="B2263:E2263"/>
    <mergeCell ref="B2264:E2264"/>
    <mergeCell ref="B2268:E2268"/>
    <mergeCell ref="B2269:E2269"/>
    <mergeCell ref="B2270:E2270"/>
    <mergeCell ref="B2280:E2280"/>
    <mergeCell ref="B2281:E2281"/>
    <mergeCell ref="B2288:E2288"/>
    <mergeCell ref="B2206:E2206"/>
    <mergeCell ref="B2213:E2213"/>
    <mergeCell ref="B2219:E2219"/>
    <mergeCell ref="B2220:E2220"/>
    <mergeCell ref="B2221:E2221"/>
    <mergeCell ref="B2239:E2239"/>
    <mergeCell ref="B2240:E2240"/>
    <mergeCell ref="B2249:E2249"/>
    <mergeCell ref="B2250:E2250"/>
    <mergeCell ref="B2119:E2119"/>
    <mergeCell ref="B2143:E2143"/>
    <mergeCell ref="B2154:E2154"/>
    <mergeCell ref="B2166:E2166"/>
    <mergeCell ref="B2173:E2173"/>
    <mergeCell ref="B2174:E2174"/>
    <mergeCell ref="B2175:E2175"/>
    <mergeCell ref="B2186:E2186"/>
    <mergeCell ref="B2200:E2200"/>
    <mergeCell ref="B2063:E2063"/>
    <mergeCell ref="B2064:E2064"/>
    <mergeCell ref="B2065:E2065"/>
    <mergeCell ref="B2080:E2080"/>
    <mergeCell ref="B2087:E2087"/>
    <mergeCell ref="B2091:E2091"/>
    <mergeCell ref="B2092:E2092"/>
    <mergeCell ref="B2093:E2093"/>
    <mergeCell ref="B2094:E2094"/>
    <mergeCell ref="B2004:E2004"/>
    <mergeCell ref="B2009:E2009"/>
    <mergeCell ref="B2010:E2010"/>
    <mergeCell ref="B2015:E2015"/>
    <mergeCell ref="B2016:E2016"/>
    <mergeCell ref="B2017:E2017"/>
    <mergeCell ref="B2018:E2018"/>
    <mergeCell ref="B2043:E2043"/>
    <mergeCell ref="B2055:E2055"/>
    <mergeCell ref="B1988:E1988"/>
    <mergeCell ref="B1989:F1989"/>
    <mergeCell ref="B1991:E1991"/>
    <mergeCell ref="B1992:F1992"/>
    <mergeCell ref="B1993:F1993"/>
    <mergeCell ref="B1999:E1999"/>
    <mergeCell ref="B2000:F2000"/>
    <mergeCell ref="B2002:E2002"/>
    <mergeCell ref="B2003:E2003"/>
    <mergeCell ref="B1947:E1947"/>
    <mergeCell ref="B1961:E1961"/>
    <mergeCell ref="B1962:E1962"/>
    <mergeCell ref="B1963:E1963"/>
    <mergeCell ref="B1974:E1974"/>
    <mergeCell ref="B1975:E1975"/>
    <mergeCell ref="B1977:E1977"/>
    <mergeCell ref="B1978:F1978"/>
    <mergeCell ref="B1979:F1979"/>
    <mergeCell ref="B1867:E1867"/>
    <mergeCell ref="B1868:E1868"/>
    <mergeCell ref="B1869:E1869"/>
    <mergeCell ref="B1907:E1907"/>
    <mergeCell ref="B1908:E1908"/>
    <mergeCell ref="B1923:E1923"/>
    <mergeCell ref="B1924:E1924"/>
    <mergeCell ref="B1925:E1925"/>
    <mergeCell ref="B1946:E1946"/>
    <mergeCell ref="B1743:E1743"/>
    <mergeCell ref="B1744:E1744"/>
    <mergeCell ref="B1791:E1791"/>
    <mergeCell ref="B1792:E1792"/>
    <mergeCell ref="B1808:E1808"/>
    <mergeCell ref="B1809:E1809"/>
    <mergeCell ref="B1810:E1810"/>
    <mergeCell ref="B1852:E1852"/>
    <mergeCell ref="B1853:E1853"/>
    <mergeCell ref="B1617:E1617"/>
    <mergeCell ref="B1658:E1658"/>
    <mergeCell ref="B1659:E1659"/>
    <mergeCell ref="B1673:E1673"/>
    <mergeCell ref="B1674:E1674"/>
    <mergeCell ref="B1675:E1675"/>
    <mergeCell ref="B1723:E1723"/>
    <mergeCell ref="B1724:E1724"/>
    <mergeCell ref="B1742:E1742"/>
    <mergeCell ref="B1524:E1524"/>
    <mergeCell ref="B1525:E1525"/>
    <mergeCell ref="B1542:E1542"/>
    <mergeCell ref="B1543:E1543"/>
    <mergeCell ref="B1544:E1544"/>
    <mergeCell ref="B1595:E1595"/>
    <mergeCell ref="B1596:E1596"/>
    <mergeCell ref="B1615:E1615"/>
    <mergeCell ref="B1616:E1616"/>
    <mergeCell ref="B1384:E1384"/>
    <mergeCell ref="B1402:E1402"/>
    <mergeCell ref="B1403:E1403"/>
    <mergeCell ref="B1404:E1404"/>
    <mergeCell ref="B1457:E1457"/>
    <mergeCell ref="B1458:E1458"/>
    <mergeCell ref="B1476:E1476"/>
    <mergeCell ref="B1477:E1477"/>
    <mergeCell ref="B1478:E1478"/>
    <mergeCell ref="B1306:E1306"/>
    <mergeCell ref="B1307:E1307"/>
    <mergeCell ref="B1308:E1308"/>
    <mergeCell ref="B1320:E1320"/>
    <mergeCell ref="B1321:E1321"/>
    <mergeCell ref="B1328:E1328"/>
    <mergeCell ref="B1329:E1329"/>
    <mergeCell ref="B1330:E1330"/>
    <mergeCell ref="B1383:E1383"/>
    <mergeCell ref="B1243:E1243"/>
    <mergeCell ref="B1244:E1244"/>
    <mergeCell ref="B1271:E1271"/>
    <mergeCell ref="B1272:E1272"/>
    <mergeCell ref="B1282:E1282"/>
    <mergeCell ref="B1283:E1283"/>
    <mergeCell ref="B1284:E1284"/>
    <mergeCell ref="B1303:E1303"/>
    <mergeCell ref="B1304:E1304"/>
    <mergeCell ref="B861:E861"/>
    <mergeCell ref="B885:E885"/>
    <mergeCell ref="B886:E886"/>
    <mergeCell ref="B896:E896"/>
    <mergeCell ref="B897:E897"/>
    <mergeCell ref="B898:E898"/>
    <mergeCell ref="B1196:E1196"/>
    <mergeCell ref="B1197:E1197"/>
    <mergeCell ref="B1242:E1242"/>
    <mergeCell ref="B811:E811"/>
    <mergeCell ref="B812:E812"/>
    <mergeCell ref="B822:E822"/>
    <mergeCell ref="B823:E823"/>
    <mergeCell ref="B824:E824"/>
    <mergeCell ref="B848:E848"/>
    <mergeCell ref="B849:E849"/>
    <mergeCell ref="B859:E859"/>
    <mergeCell ref="B860:E860"/>
    <mergeCell ref="B738:E738"/>
    <mergeCell ref="B748:E748"/>
    <mergeCell ref="B749:E749"/>
    <mergeCell ref="B750:E750"/>
    <mergeCell ref="B774:E774"/>
    <mergeCell ref="B775:E775"/>
    <mergeCell ref="B785:E785"/>
    <mergeCell ref="B786:E786"/>
    <mergeCell ref="B787:E787"/>
    <mergeCell ref="B659:E659"/>
    <mergeCell ref="B660:E660"/>
    <mergeCell ref="B661:E661"/>
    <mergeCell ref="B702:E702"/>
    <mergeCell ref="B703:E703"/>
    <mergeCell ref="B711:E711"/>
    <mergeCell ref="B712:E712"/>
    <mergeCell ref="B713:E713"/>
    <mergeCell ref="B737:E737"/>
    <mergeCell ref="B535:E535"/>
    <mergeCell ref="B536:E536"/>
    <mergeCell ref="B586:E586"/>
    <mergeCell ref="B587:E587"/>
    <mergeCell ref="B599:E599"/>
    <mergeCell ref="B600:E600"/>
    <mergeCell ref="B601:E601"/>
    <mergeCell ref="B646:E646"/>
    <mergeCell ref="B647:E647"/>
    <mergeCell ref="B447:F447"/>
    <mergeCell ref="B451:E451"/>
    <mergeCell ref="B452:F452"/>
    <mergeCell ref="B453:F453"/>
    <mergeCell ref="B506:E506"/>
    <mergeCell ref="B507:F507"/>
    <mergeCell ref="B529:E529"/>
    <mergeCell ref="B530:F530"/>
    <mergeCell ref="B534:E534"/>
    <mergeCell ref="B333:E333"/>
    <mergeCell ref="B352:E352"/>
    <mergeCell ref="B353:E353"/>
    <mergeCell ref="B368:E368"/>
    <mergeCell ref="B369:E369"/>
    <mergeCell ref="B370:E370"/>
    <mergeCell ref="B423:E423"/>
    <mergeCell ref="B424:F424"/>
    <mergeCell ref="B446:E446"/>
    <mergeCell ref="B282:E282"/>
    <mergeCell ref="B283:E283"/>
    <mergeCell ref="B302:E302"/>
    <mergeCell ref="B303:E303"/>
    <mergeCell ref="B304:E304"/>
    <mergeCell ref="B323:E323"/>
    <mergeCell ref="B324:E324"/>
    <mergeCell ref="B331:E331"/>
    <mergeCell ref="B332:E332"/>
    <mergeCell ref="B198:E198"/>
    <mergeCell ref="B214:E214"/>
    <mergeCell ref="B215:E215"/>
    <mergeCell ref="B216:E216"/>
    <mergeCell ref="B237:E237"/>
    <mergeCell ref="B238:E238"/>
    <mergeCell ref="B256:E256"/>
    <mergeCell ref="B257:E257"/>
    <mergeCell ref="B258:E258"/>
    <mergeCell ref="B159:E159"/>
    <mergeCell ref="B160:E160"/>
    <mergeCell ref="B161:E161"/>
    <mergeCell ref="B168:E168"/>
    <mergeCell ref="B169:E169"/>
    <mergeCell ref="B177:E177"/>
    <mergeCell ref="B178:E178"/>
    <mergeCell ref="B179:E179"/>
    <mergeCell ref="B197:E197"/>
    <mergeCell ref="B124:E124"/>
    <mergeCell ref="B125:E125"/>
    <mergeCell ref="B132:E132"/>
    <mergeCell ref="B133:E133"/>
    <mergeCell ref="B141:E141"/>
    <mergeCell ref="B142:E142"/>
    <mergeCell ref="B143:E143"/>
    <mergeCell ref="B150:E150"/>
    <mergeCell ref="B151:E151"/>
    <mergeCell ref="B73:E73"/>
    <mergeCell ref="B88:E88"/>
    <mergeCell ref="B89:E89"/>
    <mergeCell ref="B99:E99"/>
    <mergeCell ref="B100:E100"/>
    <mergeCell ref="B101:E101"/>
    <mergeCell ref="B113:E113"/>
    <mergeCell ref="B114:E114"/>
    <mergeCell ref="B123:E123"/>
    <mergeCell ref="B24:E24"/>
    <mergeCell ref="B25:E25"/>
    <mergeCell ref="B34:E34"/>
    <mergeCell ref="B35:E35"/>
    <mergeCell ref="B36:E36"/>
    <mergeCell ref="B55:E55"/>
    <mergeCell ref="B56:E56"/>
    <mergeCell ref="B71:E71"/>
    <mergeCell ref="B72:E72"/>
    <mergeCell ref="C3:E3"/>
    <mergeCell ref="C4:E4"/>
    <mergeCell ref="C5:E5"/>
    <mergeCell ref="C6:E6"/>
    <mergeCell ref="C7:E7"/>
    <mergeCell ref="B9:F9"/>
    <mergeCell ref="B10:F10"/>
    <mergeCell ref="B13:E13"/>
    <mergeCell ref="B14:E14"/>
  </mergeCells>
  <pageMargins left="0.7" right="0.7" top="0.75" bottom="0.75" header="0.51180555555555496" footer="0.51180555555555496"/>
  <pageSetup paperSize="9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MJ2499"/>
  <sheetViews>
    <sheetView zoomScale="60" zoomScaleNormal="60" workbookViewId="0">
      <selection activeCell="K2496" sqref="K2496"/>
    </sheetView>
  </sheetViews>
  <sheetFormatPr baseColWidth="10" defaultColWidth="9.1640625" defaultRowHeight="15"/>
  <cols>
    <col min="1" max="1" width="2.6640625" style="3002" customWidth="1"/>
    <col min="2" max="2" width="48.5" style="3002" customWidth="1"/>
    <col min="3" max="3" width="9.1640625" style="3002"/>
    <col min="4" max="4" width="11.1640625" style="3026" customWidth="1"/>
    <col min="5" max="6" width="9.1640625" hidden="1"/>
    <col min="7" max="7" width="14.6640625" style="3002" customWidth="1"/>
    <col min="8" max="9" width="11.5" hidden="1" customWidth="1"/>
    <col min="10" max="10" width="13.5" style="3026" customWidth="1"/>
    <col min="11" max="1024" width="9.1640625" style="3002"/>
  </cols>
  <sheetData>
    <row r="1" spans="2:10">
      <c r="B1" s="3002" t="str">
        <f>'Смета Внутр'!B1</f>
        <v xml:space="preserve">Приложение №3 </v>
      </c>
      <c r="E1">
        <f>'Смета Внутр'!E1</f>
        <v>0</v>
      </c>
      <c r="F1">
        <f>'Смета Внутр'!F1</f>
        <v>0</v>
      </c>
      <c r="H1">
        <f>'Смета Внутр'!G1</f>
        <v>0</v>
      </c>
      <c r="I1">
        <f>'Смета Внутр'!H1</f>
        <v>0</v>
      </c>
    </row>
    <row r="2" spans="2:10">
      <c r="B2" s="3002" t="str">
        <f>'Смета Внутр'!B2</f>
        <v>от "22"07. 2017г.</v>
      </c>
      <c r="D2" s="3026" t="str">
        <f>'Смета Внутр'!D2</f>
        <v>Длина дома, м.п.</v>
      </c>
      <c r="E2">
        <f>'Смета Внутр'!E2</f>
        <v>0</v>
      </c>
      <c r="F2">
        <f>'Смета Внутр'!F2</f>
        <v>0</v>
      </c>
      <c r="H2">
        <f>'Смета Внутр'!G2</f>
        <v>0</v>
      </c>
      <c r="J2" s="3026">
        <f>'Смета Внутр'!H2</f>
        <v>10</v>
      </c>
    </row>
    <row r="3" spans="2:10">
      <c r="D3" s="3026" t="str">
        <f>'Смета Внутр'!D3</f>
        <v>Ширина дома, м.п.</v>
      </c>
      <c r="E3">
        <f>'Смета Внутр'!E3</f>
        <v>0</v>
      </c>
      <c r="F3">
        <f>'Смета Внутр'!F3</f>
        <v>0</v>
      </c>
      <c r="H3">
        <f>'Смета Внутр'!G3</f>
        <v>0</v>
      </c>
      <c r="J3" s="3026">
        <f>'Смета Внутр'!H3</f>
        <v>10</v>
      </c>
    </row>
    <row r="4" spans="2:10">
      <c r="D4" s="3026" t="str">
        <f>'Смета Внутр'!D4</f>
        <v>Этажность дома</v>
      </c>
      <c r="E4">
        <f>'Смета Внутр'!E4</f>
        <v>0</v>
      </c>
      <c r="F4">
        <f>'Смета Внутр'!F4</f>
        <v>0</v>
      </c>
      <c r="H4">
        <f>'Смета Внутр'!G4</f>
        <v>0</v>
      </c>
      <c r="J4" s="3026">
        <f>'Смета Внутр'!H4</f>
        <v>1</v>
      </c>
    </row>
    <row r="5" spans="2:10">
      <c r="D5" s="3026" t="str">
        <f>'Смета Внутр'!D5</f>
        <v>S строения общая, м2</v>
      </c>
      <c r="E5">
        <f>'Смета Внутр'!E5</f>
        <v>0</v>
      </c>
      <c r="F5">
        <f>'Смета Внутр'!F5</f>
        <v>0</v>
      </c>
      <c r="H5">
        <f>'Смета Внутр'!G5</f>
        <v>0</v>
      </c>
      <c r="J5" s="3026">
        <f>'Смета Внутр'!H5</f>
        <v>100</v>
      </c>
    </row>
    <row r="6" spans="2:10">
      <c r="D6" s="3026" t="str">
        <f>'Смета Внутр'!D6</f>
        <v>S строения чистая, м2</v>
      </c>
      <c r="E6">
        <f>'Смета Внутр'!E6</f>
        <v>0</v>
      </c>
      <c r="F6">
        <f>'Смета Внутр'!F6</f>
        <v>0</v>
      </c>
      <c r="H6">
        <f>'Смета Внутр'!G6</f>
        <v>0</v>
      </c>
      <c r="J6" s="3026">
        <f>'Смета Внутр'!H6</f>
        <v>100</v>
      </c>
    </row>
    <row r="7" spans="2:10">
      <c r="E7">
        <f>'Смета Внутр'!E7</f>
        <v>0</v>
      </c>
      <c r="F7">
        <f>'Смета Внутр'!F7</f>
        <v>0</v>
      </c>
      <c r="H7">
        <f>'Смета Внутр'!G7</f>
        <v>0</v>
      </c>
      <c r="I7">
        <f>'Смета Внутр'!H7</f>
        <v>0</v>
      </c>
    </row>
    <row r="8" spans="2:10">
      <c r="B8" s="3308" t="str">
        <f>'Смета Внутр'!B8</f>
        <v>СМЕТНЫЙ РАСЧЕТ №4</v>
      </c>
      <c r="C8" s="3308"/>
      <c r="D8" s="3308"/>
      <c r="E8" s="3308"/>
      <c r="F8" s="3308"/>
      <c r="G8" s="3308"/>
      <c r="H8" s="3308"/>
      <c r="I8" s="3308"/>
      <c r="J8" s="3308"/>
    </row>
    <row r="9" spans="2:10">
      <c r="B9" s="3308" t="str">
        <f>'Смета Внутр'!B9</f>
        <v>К договору №12 от "22"07. 2017г.</v>
      </c>
      <c r="C9" s="3308"/>
      <c r="D9" s="3308"/>
      <c r="E9" s="3308"/>
      <c r="F9" s="3308"/>
      <c r="G9" s="3308"/>
      <c r="H9" s="3308"/>
      <c r="I9" s="3308"/>
      <c r="J9" s="3308"/>
    </row>
    <row r="11" spans="2:10">
      <c r="B11" s="3007" t="str">
        <f>'Смета Внутр'!B11</f>
        <v>Наименование работ и затрат</v>
      </c>
      <c r="C11" s="3007" t="str">
        <f>'Смета Внутр'!C11</f>
        <v>ед. изм.</v>
      </c>
      <c r="D11" s="3014" t="str">
        <f>'Смета Внутр'!D11</f>
        <v>кол-во</v>
      </c>
      <c r="E11" s="1042" t="str">
        <f>'Смета Внутр'!E11</f>
        <v>Цена ед.изм.</v>
      </c>
      <c r="F11" s="1042" t="str">
        <f>'Смета Внутр'!F11</f>
        <v>Цена с накруткой</v>
      </c>
      <c r="G11" s="3007" t="s">
        <v>4632</v>
      </c>
      <c r="H11" s="1042" t="str">
        <f>'Смета Внутр'!G11</f>
        <v>Общая цена</v>
      </c>
      <c r="I11" s="1042" t="str">
        <f>'Смета Внутр'!H11</f>
        <v>Цена по прайсу</v>
      </c>
      <c r="J11" s="3014" t="str">
        <f>'Смета Внутр'!G11</f>
        <v>Общая цена</v>
      </c>
    </row>
    <row r="12" spans="2:10" ht="19">
      <c r="B12" s="3313" t="str">
        <f>'Смета Внутр'!B12</f>
        <v>Фундамент ленточный, под стены цоколя</v>
      </c>
      <c r="C12" s="3313"/>
      <c r="D12" s="3313"/>
      <c r="E12">
        <f>'Смета Внутр'!E12</f>
        <v>0</v>
      </c>
      <c r="F12">
        <f>'Смета Внутр'!F12</f>
        <v>0</v>
      </c>
      <c r="H12">
        <f>'Смета Внутр'!G12</f>
        <v>0</v>
      </c>
      <c r="I12">
        <f>'Смета Внутр'!H12</f>
        <v>0</v>
      </c>
      <c r="J12" s="3011">
        <f>'Смета Внутр'!I12</f>
        <v>0</v>
      </c>
    </row>
    <row r="13" spans="2:10">
      <c r="B13" s="3002" t="str">
        <f>'Смета Внутр'!B13</f>
        <v>Материалы</v>
      </c>
      <c r="E13">
        <f>'Смета Внутр'!E13</f>
        <v>0</v>
      </c>
      <c r="F13">
        <f>'Смета Внутр'!F13</f>
        <v>0</v>
      </c>
      <c r="H13">
        <f>'Смета Внутр'!G13</f>
        <v>0</v>
      </c>
      <c r="I13">
        <f>'Смета Внутр'!H13</f>
        <v>0</v>
      </c>
      <c r="J13" s="3011">
        <f>'Смета Внутр'!I13</f>
        <v>0</v>
      </c>
    </row>
    <row r="14" spans="2:10">
      <c r="B14" s="3007" t="str">
        <f>'Смета Внутр'!B14</f>
        <v>Сосна влаж,150*40мм</v>
      </c>
      <c r="C14" s="3007" t="str">
        <f>'Смета Внутр'!C14</f>
        <v>м3</v>
      </c>
      <c r="D14" s="3014">
        <f>'Смета Внутр'!D14</f>
        <v>0</v>
      </c>
      <c r="E14" s="1042">
        <f>'Смета Внутр'!E14</f>
        <v>6500</v>
      </c>
      <c r="F14" s="1042">
        <f>'Смета Внутр'!F14</f>
        <v>8000</v>
      </c>
      <c r="G14" s="3007">
        <f t="shared" ref="G14:G22" si="0">IF(E14&gt;F14,E14,F14)</f>
        <v>8000</v>
      </c>
      <c r="H14" s="1042">
        <f>'Смета Внутр'!G14</f>
        <v>0</v>
      </c>
      <c r="I14" s="1042">
        <f>'Смета Внутр'!H14</f>
        <v>0</v>
      </c>
      <c r="J14" s="3014">
        <f>'Смета Внутр'!I14</f>
        <v>0</v>
      </c>
    </row>
    <row r="15" spans="2:10">
      <c r="B15" s="3007" t="str">
        <f>'Смета Внутр'!B15</f>
        <v xml:space="preserve">Пленка гидроизоляционная </v>
      </c>
      <c r="C15" s="3007" t="str">
        <f>'Смета Внутр'!C15</f>
        <v>м2</v>
      </c>
      <c r="D15" s="3014">
        <f>'Смета Внутр'!D15</f>
        <v>0</v>
      </c>
      <c r="E15" s="1042">
        <f>'Смета Внутр'!E15</f>
        <v>15</v>
      </c>
      <c r="F15" s="1042">
        <f>'Смета Внутр'!F15</f>
        <v>0</v>
      </c>
      <c r="G15" s="3007">
        <f t="shared" si="0"/>
        <v>15</v>
      </c>
      <c r="H15" s="1042">
        <f>'Смета Внутр'!G15</f>
        <v>0</v>
      </c>
      <c r="I15" s="1042">
        <f>'Смета Внутр'!H15</f>
        <v>0</v>
      </c>
      <c r="J15" s="3014">
        <f>'Смета Внутр'!I15</f>
        <v>0</v>
      </c>
    </row>
    <row r="16" spans="2:10">
      <c r="B16" s="3007" t="str">
        <f>'Смета Внутр'!B16</f>
        <v>Гидроизол</v>
      </c>
      <c r="C16" s="3007" t="str">
        <f>'Смета Внутр'!C16</f>
        <v>м2</v>
      </c>
      <c r="D16" s="3014">
        <f>'Смета Внутр'!D16</f>
        <v>0</v>
      </c>
      <c r="E16" s="1042">
        <f>'Смета Внутр'!E16</f>
        <v>70</v>
      </c>
      <c r="F16" s="1042">
        <f>'Смета Внутр'!F16</f>
        <v>0</v>
      </c>
      <c r="G16" s="3007">
        <f t="shared" si="0"/>
        <v>70</v>
      </c>
      <c r="H16" s="1042">
        <f>'Смета Внутр'!G16</f>
        <v>0</v>
      </c>
      <c r="I16" s="1042">
        <f>'Смета Внутр'!H16</f>
        <v>0</v>
      </c>
      <c r="J16" s="3014">
        <f>'Смета Внутр'!I16</f>
        <v>0</v>
      </c>
    </row>
    <row r="17" spans="2:10">
      <c r="B17" s="3007" t="str">
        <f>'Смета Внутр'!B17</f>
        <v>Арматура стальная Ø 12</v>
      </c>
      <c r="C17" s="3007" t="str">
        <f>'Смета Внутр'!C17</f>
        <v>м.п</v>
      </c>
      <c r="D17" s="3014">
        <f>'Смета Внутр'!D17</f>
        <v>0</v>
      </c>
      <c r="E17" s="1042">
        <f>'Смета Внутр'!E17</f>
        <v>29.215199999999999</v>
      </c>
      <c r="F17" s="1042">
        <f>'Смета Внутр'!F17</f>
        <v>0</v>
      </c>
      <c r="G17" s="3007">
        <f t="shared" si="0"/>
        <v>29.215199999999999</v>
      </c>
      <c r="H17" s="1042">
        <f>'Смета Внутр'!G17</f>
        <v>0</v>
      </c>
      <c r="I17" s="1042">
        <f>'Смета Внутр'!H17</f>
        <v>0</v>
      </c>
      <c r="J17" s="3014">
        <f>'Смета Внутр'!I17</f>
        <v>0</v>
      </c>
    </row>
    <row r="18" spans="2:10">
      <c r="B18" s="1042" t="str">
        <f>'Смета Внутр'!B18</f>
        <v>Нет арматуры</v>
      </c>
      <c r="C18" s="1042" t="str">
        <f>'Смета Внутр'!C18</f>
        <v>м.п</v>
      </c>
      <c r="D18" s="1058">
        <f>'Смета Внутр'!D18</f>
        <v>0</v>
      </c>
      <c r="E18" s="1042">
        <f>'Смета Внутр'!E18</f>
        <v>0</v>
      </c>
      <c r="F18" s="1042">
        <f>'Смета Внутр'!F18</f>
        <v>0</v>
      </c>
      <c r="G18" s="1042">
        <f t="shared" si="0"/>
        <v>0</v>
      </c>
      <c r="H18" s="1042">
        <f>'Смета Внутр'!G18</f>
        <v>0</v>
      </c>
      <c r="I18" s="1042">
        <f>'Смета Внутр'!H18</f>
        <v>0</v>
      </c>
      <c r="J18" s="1058">
        <f>'Смета Внутр'!I18</f>
        <v>0</v>
      </c>
    </row>
    <row r="19" spans="2:10">
      <c r="B19" s="3007" t="str">
        <f>'Смета Внутр'!B19</f>
        <v>Вязальная проволока</v>
      </c>
      <c r="C19" s="3007" t="str">
        <f>'Смета Внутр'!C19</f>
        <v>кг</v>
      </c>
      <c r="D19" s="3014">
        <f>'Смета Внутр'!D19</f>
        <v>0</v>
      </c>
      <c r="E19" s="1042">
        <f>'Смета Внутр'!E19</f>
        <v>80</v>
      </c>
      <c r="F19" s="1042">
        <f>'Смета Внутр'!F19</f>
        <v>0</v>
      </c>
      <c r="G19" s="3007">
        <f t="shared" si="0"/>
        <v>80</v>
      </c>
      <c r="H19" s="1042">
        <f>'Смета Внутр'!G19</f>
        <v>0</v>
      </c>
      <c r="I19" s="1042">
        <f>'Смета Внутр'!H19</f>
        <v>0</v>
      </c>
      <c r="J19" s="3014">
        <f>'Смета Внутр'!I19</f>
        <v>0</v>
      </c>
    </row>
    <row r="20" spans="2:10">
      <c r="B20" s="3007" t="str">
        <f>'Смета Внутр'!B20</f>
        <v xml:space="preserve">Гвозди строительные 3,5 x 90            </v>
      </c>
      <c r="C20" s="3007" t="str">
        <f>'Смета Внутр'!C20</f>
        <v>кг</v>
      </c>
      <c r="D20" s="3014">
        <f>'Смета Внутр'!D20</f>
        <v>0</v>
      </c>
      <c r="E20" s="1042">
        <f>'Смета Внутр'!E20</f>
        <v>70</v>
      </c>
      <c r="F20" s="1042">
        <f>'Смета Внутр'!F20</f>
        <v>0</v>
      </c>
      <c r="G20" s="3007">
        <f t="shared" si="0"/>
        <v>70</v>
      </c>
      <c r="H20" s="1042">
        <f>'Смета Внутр'!G20</f>
        <v>0</v>
      </c>
      <c r="I20" s="1042">
        <f>'Смета Внутр'!H20</f>
        <v>0</v>
      </c>
      <c r="J20" s="3014">
        <f>'Смета Внутр'!I20</f>
        <v>0</v>
      </c>
    </row>
    <row r="21" spans="2:10">
      <c r="B21" s="3007" t="str">
        <f>'Смета Внутр'!B21</f>
        <v>ПГС, машина 13м3</v>
      </c>
      <c r="C21" s="3007" t="str">
        <f>'Смета Внутр'!C21</f>
        <v>маш</v>
      </c>
      <c r="D21" s="3014">
        <f>'Смета Внутр'!D21</f>
        <v>0</v>
      </c>
      <c r="E21" s="1042">
        <f>'Смета Внутр'!E21</f>
        <v>10000</v>
      </c>
      <c r="F21" s="1042">
        <f>'Смета Внутр'!F21</f>
        <v>0</v>
      </c>
      <c r="G21" s="3007">
        <f t="shared" si="0"/>
        <v>10000</v>
      </c>
      <c r="H21" s="1042">
        <f>'Смета Внутр'!G21</f>
        <v>0</v>
      </c>
      <c r="I21" s="1042">
        <f>'Смета Внутр'!H21</f>
        <v>0</v>
      </c>
      <c r="J21" s="3014">
        <f>'Смета Внутр'!I21</f>
        <v>0</v>
      </c>
    </row>
    <row r="22" spans="2:10">
      <c r="B22" s="3007" t="str">
        <f>'Смета Внутр'!B22</f>
        <v>Бетон, м200</v>
      </c>
      <c r="C22" s="3007" t="str">
        <f>'Смета Внутр'!C22</f>
        <v>м3</v>
      </c>
      <c r="D22" s="3014">
        <f>'Смета Внутр'!D22</f>
        <v>0</v>
      </c>
      <c r="E22" s="1042">
        <f>'Смета Внутр'!E22</f>
        <v>2500</v>
      </c>
      <c r="F22" s="1042">
        <f>'Смета Внутр'!F22</f>
        <v>0</v>
      </c>
      <c r="G22" s="3007">
        <f t="shared" si="0"/>
        <v>2500</v>
      </c>
      <c r="H22" s="1042">
        <f>'Смета Внутр'!G22</f>
        <v>0</v>
      </c>
      <c r="I22" s="1042">
        <f>'Смета Внутр'!H22</f>
        <v>0</v>
      </c>
      <c r="J22" s="3014">
        <f>'Смета Внутр'!I22</f>
        <v>0</v>
      </c>
    </row>
    <row r="23" spans="2:10">
      <c r="B23" s="3311" t="str">
        <f>'Смета Внутр'!B23</f>
        <v>Итого материалы</v>
      </c>
      <c r="C23" s="3311"/>
      <c r="D23" s="3311"/>
      <c r="E23" s="3311"/>
      <c r="F23" s="3311"/>
      <c r="G23" s="3311"/>
      <c r="H23" s="1042">
        <f>'Смета Внутр'!G23</f>
        <v>0</v>
      </c>
      <c r="I23" s="1042">
        <f>'Смета Внутр'!H23</f>
        <v>0</v>
      </c>
      <c r="J23" s="3014">
        <f>'Смета Внутр'!I23</f>
        <v>0</v>
      </c>
    </row>
    <row r="24" spans="2:10">
      <c r="B24" s="3002" t="str">
        <f>'Смета Внутр'!B24</f>
        <v>Работы</v>
      </c>
      <c r="H24">
        <f>'Смета Внутр'!G24</f>
        <v>0</v>
      </c>
      <c r="I24">
        <f>'Смета Внутр'!H24</f>
        <v>0</v>
      </c>
      <c r="J24" s="3011">
        <f>'Смета Внутр'!I24</f>
        <v>0</v>
      </c>
    </row>
    <row r="25" spans="2:10">
      <c r="B25" s="3007" t="str">
        <f>'Смета Внутр'!B25</f>
        <v>сборка опалубки</v>
      </c>
      <c r="C25" s="3007" t="str">
        <f>'Смета Внутр'!C25</f>
        <v>м2</v>
      </c>
      <c r="D25" s="3014">
        <f>'Смета Внутр'!D25</f>
        <v>0</v>
      </c>
      <c r="E25" s="1042">
        <f>'Смета Внутр'!E25</f>
        <v>300</v>
      </c>
      <c r="F25" s="1042">
        <f>'Смета Внутр'!F25</f>
        <v>0</v>
      </c>
      <c r="G25" s="3007">
        <f t="shared" ref="G25:G32" si="1">IF(E25&gt;F25,E25,F25)</f>
        <v>300</v>
      </c>
      <c r="H25" s="1042">
        <f>'Смета Внутр'!G25</f>
        <v>0</v>
      </c>
      <c r="I25" s="1042">
        <f>'Смета Внутр'!H25</f>
        <v>0</v>
      </c>
      <c r="J25" s="3014">
        <f>'Смета Внутр'!I25</f>
        <v>0</v>
      </c>
    </row>
    <row r="26" spans="2:10">
      <c r="B26" s="3007" t="str">
        <f>'Смета Внутр'!B26</f>
        <v>разборка опалубки</v>
      </c>
      <c r="C26" s="3007" t="str">
        <f>'Смета Внутр'!C26</f>
        <v>м2</v>
      </c>
      <c r="D26" s="3014">
        <f>'Смета Внутр'!D26</f>
        <v>0</v>
      </c>
      <c r="E26" s="1042">
        <f>'Смета Внутр'!E26</f>
        <v>100</v>
      </c>
      <c r="F26" s="1042">
        <f>'Смета Внутр'!F26</f>
        <v>0</v>
      </c>
      <c r="G26" s="3007">
        <f t="shared" si="1"/>
        <v>100</v>
      </c>
      <c r="H26" s="1042">
        <f>'Смета Внутр'!G26</f>
        <v>0</v>
      </c>
      <c r="I26" s="1042">
        <f>'Смета Внутр'!H26</f>
        <v>0</v>
      </c>
      <c r="J26" s="3014">
        <f>'Смета Внутр'!I26</f>
        <v>0</v>
      </c>
    </row>
    <row r="27" spans="2:10">
      <c r="B27" s="3007" t="str">
        <f>'Смета Внутр'!B27</f>
        <v>трамбовка</v>
      </c>
      <c r="C27" s="3007" t="str">
        <f>'Смета Внутр'!C27</f>
        <v>м2</v>
      </c>
      <c r="D27" s="3014">
        <f>'Смета Внутр'!D27</f>
        <v>0</v>
      </c>
      <c r="E27" s="1042">
        <f>'Смета Внутр'!E27</f>
        <v>600</v>
      </c>
      <c r="F27" s="1042">
        <f>'Смета Внутр'!F27</f>
        <v>0</v>
      </c>
      <c r="G27" s="3007">
        <f t="shared" si="1"/>
        <v>600</v>
      </c>
      <c r="H27" s="1042">
        <f>'Смета Внутр'!G27</f>
        <v>0</v>
      </c>
      <c r="I27" s="1042">
        <f>'Смета Внутр'!H27</f>
        <v>0</v>
      </c>
      <c r="J27" s="3014">
        <f>'Смета Внутр'!I27</f>
        <v>0</v>
      </c>
    </row>
    <row r="28" spans="2:10">
      <c r="B28" s="3007" t="str">
        <f>'Смета Внутр'!B28</f>
        <v>настил пленки</v>
      </c>
      <c r="C28" s="3007" t="str">
        <f>'Смета Внутр'!C28</f>
        <v>м2</v>
      </c>
      <c r="D28" s="3014">
        <f>'Смета Внутр'!D28</f>
        <v>0</v>
      </c>
      <c r="E28" s="1042">
        <f>'Смета Внутр'!E28</f>
        <v>10</v>
      </c>
      <c r="F28" s="1042">
        <f>'Смета Внутр'!F28</f>
        <v>0</v>
      </c>
      <c r="G28" s="3007">
        <f t="shared" si="1"/>
        <v>10</v>
      </c>
      <c r="H28" s="1042">
        <f>'Смета Внутр'!G28</f>
        <v>0</v>
      </c>
      <c r="I28" s="1042">
        <f>'Смета Внутр'!H28</f>
        <v>0</v>
      </c>
      <c r="J28" s="3014">
        <f>'Смета Внутр'!I28</f>
        <v>0</v>
      </c>
    </row>
    <row r="29" spans="2:10">
      <c r="B29" s="3007" t="str">
        <f>'Смета Внутр'!B29</f>
        <v>армирование</v>
      </c>
      <c r="C29" s="3007" t="str">
        <f>'Смета Внутр'!C29</f>
        <v>м.п</v>
      </c>
      <c r="D29" s="3014">
        <f>'Смета Внутр'!D29</f>
        <v>0</v>
      </c>
      <c r="E29" s="1042">
        <f>'Смета Внутр'!E29</f>
        <v>30</v>
      </c>
      <c r="F29" s="1042">
        <f>'Смета Внутр'!F29</f>
        <v>0</v>
      </c>
      <c r="G29" s="3007">
        <f t="shared" si="1"/>
        <v>30</v>
      </c>
      <c r="H29" s="1042">
        <f>'Смета Внутр'!G29</f>
        <v>0</v>
      </c>
      <c r="I29" s="1042">
        <f>'Смета Внутр'!H29</f>
        <v>0</v>
      </c>
      <c r="J29" s="3014">
        <f>'Смета Внутр'!I29</f>
        <v>0</v>
      </c>
    </row>
    <row r="30" spans="2:10">
      <c r="B30" s="3007" t="str">
        <f>'Смета Внутр'!B30</f>
        <v>армирование</v>
      </c>
      <c r="C30" s="3007" t="str">
        <f>'Смета Внутр'!C30</f>
        <v>м.п.</v>
      </c>
      <c r="D30" s="3014">
        <f>'Смета Внутр'!D30</f>
        <v>0</v>
      </c>
      <c r="E30" s="1042">
        <f>'Смета Внутр'!E30</f>
        <v>30</v>
      </c>
      <c r="F30" s="1042">
        <f>'Смета Внутр'!F30</f>
        <v>0</v>
      </c>
      <c r="G30" s="3007">
        <f t="shared" si="1"/>
        <v>30</v>
      </c>
      <c r="H30" s="1042">
        <f>'Смета Внутр'!G30</f>
        <v>0</v>
      </c>
      <c r="I30" s="1042">
        <f>'Смета Внутр'!H30</f>
        <v>0</v>
      </c>
      <c r="J30" s="3014">
        <f>'Смета Внутр'!I30</f>
        <v>0</v>
      </c>
    </row>
    <row r="31" spans="2:10">
      <c r="B31" s="3007" t="str">
        <f>'Смета Внутр'!B31</f>
        <v>настил гидроизола</v>
      </c>
      <c r="C31" s="3007" t="str">
        <f>'Смета Внутр'!C31</f>
        <v>м2</v>
      </c>
      <c r="D31" s="3014">
        <f>'Смета Внутр'!D31</f>
        <v>0</v>
      </c>
      <c r="E31" s="1042">
        <f>'Смета Внутр'!E31</f>
        <v>100</v>
      </c>
      <c r="F31" s="1042">
        <f>'Смета Внутр'!F31</f>
        <v>0</v>
      </c>
      <c r="G31" s="3007">
        <f t="shared" si="1"/>
        <v>100</v>
      </c>
      <c r="H31" s="1042">
        <f>'Смета Внутр'!G31</f>
        <v>0</v>
      </c>
      <c r="I31" s="1042">
        <f>'Смета Внутр'!H31</f>
        <v>0</v>
      </c>
      <c r="J31" s="3014">
        <f>'Смета Внутр'!I31</f>
        <v>0</v>
      </c>
    </row>
    <row r="32" spans="2:10">
      <c r="B32" s="3007" t="str">
        <f>'Смета Внутр'!B32</f>
        <v>приемка бетона</v>
      </c>
      <c r="C32" s="3007" t="str">
        <f>'Смета Внутр'!C32</f>
        <v>м3</v>
      </c>
      <c r="D32" s="3014">
        <f>'Смета Внутр'!D32</f>
        <v>0</v>
      </c>
      <c r="E32" s="1042">
        <f>'Смета Внутр'!E32</f>
        <v>1200</v>
      </c>
      <c r="F32" s="1042">
        <f>'Смета Внутр'!F32</f>
        <v>0</v>
      </c>
      <c r="G32" s="3007">
        <f t="shared" si="1"/>
        <v>1200</v>
      </c>
      <c r="H32" s="1042">
        <f>'Смета Внутр'!G32</f>
        <v>0</v>
      </c>
      <c r="I32" s="1042">
        <f>'Смета Внутр'!H32</f>
        <v>0</v>
      </c>
      <c r="J32" s="3014">
        <f>'Смета Внутр'!I32</f>
        <v>0</v>
      </c>
    </row>
    <row r="33" spans="2:10">
      <c r="B33" s="3311" t="str">
        <f>'Смета Внутр'!B33</f>
        <v>Итого работы</v>
      </c>
      <c r="C33" s="3311"/>
      <c r="D33" s="3311"/>
      <c r="E33" s="3311"/>
      <c r="F33" s="3311"/>
      <c r="G33" s="3311"/>
      <c r="H33" s="1042">
        <f>'Смета Внутр'!G33</f>
        <v>0</v>
      </c>
      <c r="I33" s="1042">
        <f>'Смета Внутр'!H33</f>
        <v>0</v>
      </c>
      <c r="J33" s="3014">
        <f>'Смета Внутр'!I33</f>
        <v>0</v>
      </c>
    </row>
    <row r="34" spans="2:10" ht="19">
      <c r="B34" s="3313" t="str">
        <f>'Смета Внутр'!B34</f>
        <v>Стяжка в цокольном этаже</v>
      </c>
      <c r="C34" s="3313"/>
      <c r="D34" s="3313"/>
      <c r="H34">
        <f>'Смета Внутр'!G34</f>
        <v>0</v>
      </c>
      <c r="I34">
        <f>'Смета Внутр'!H34</f>
        <v>0</v>
      </c>
      <c r="J34" s="3011">
        <f>'Смета Внутр'!I34</f>
        <v>0</v>
      </c>
    </row>
    <row r="35" spans="2:10">
      <c r="B35" s="3002" t="str">
        <f>'Смета Внутр'!B35</f>
        <v>Материалы</v>
      </c>
      <c r="H35">
        <f>'Смета Внутр'!G35</f>
        <v>0</v>
      </c>
      <c r="I35">
        <f>'Смета Внутр'!H35</f>
        <v>0</v>
      </c>
      <c r="J35" s="3011">
        <f>'Смета Внутр'!I35</f>
        <v>0</v>
      </c>
    </row>
    <row r="36" spans="2:10">
      <c r="B36" s="1042" t="str">
        <f>'Смета Внутр'!B36</f>
        <v>Скальник, 1 маш 13м3</v>
      </c>
      <c r="C36" s="1042" t="str">
        <f>'Смета Внутр'!C36</f>
        <v>маш</v>
      </c>
      <c r="D36" s="1058">
        <f>'Смета Внутр'!D36</f>
        <v>0</v>
      </c>
      <c r="E36" s="1042">
        <f>'Смета Внутр'!E36</f>
        <v>15000</v>
      </c>
      <c r="F36" s="1042">
        <f>'Смета Внутр'!F36</f>
        <v>0</v>
      </c>
      <c r="G36" s="1042">
        <f t="shared" ref="G36:G53" si="2">IF(E36&gt;F36,E36,F36)</f>
        <v>15000</v>
      </c>
      <c r="H36" s="1042">
        <f>'Смета Внутр'!G36</f>
        <v>0</v>
      </c>
      <c r="I36" s="1042">
        <f>'Смета Внутр'!H36</f>
        <v>0</v>
      </c>
      <c r="J36" s="1058">
        <f>'Смета Внутр'!I36</f>
        <v>0</v>
      </c>
    </row>
    <row r="37" spans="2:10">
      <c r="B37" s="1042" t="str">
        <f>'Смета Внутр'!B37</f>
        <v>ПГС, машина 13м3</v>
      </c>
      <c r="C37" s="1042" t="str">
        <f>'Смета Внутр'!C37</f>
        <v>маш</v>
      </c>
      <c r="D37" s="1058">
        <f>'Смета Внутр'!D37</f>
        <v>0</v>
      </c>
      <c r="E37" s="1042">
        <f>'Смета Внутр'!E37</f>
        <v>10000</v>
      </c>
      <c r="F37" s="1042">
        <f>'Смета Внутр'!F37</f>
        <v>0</v>
      </c>
      <c r="G37" s="1042">
        <f t="shared" si="2"/>
        <v>10000</v>
      </c>
      <c r="H37" s="1042">
        <f>'Смета Внутр'!G37</f>
        <v>0</v>
      </c>
      <c r="I37" s="1042">
        <f>'Смета Внутр'!H37</f>
        <v>0</v>
      </c>
      <c r="J37" s="1058">
        <f>'Смета Внутр'!I37</f>
        <v>0</v>
      </c>
    </row>
    <row r="38" spans="2:10">
      <c r="B38" s="3007" t="str">
        <f>'Смета Внутр'!B38</f>
        <v>Песок, машина 13м3</v>
      </c>
      <c r="C38" s="3007" t="str">
        <f>'Смета Внутр'!C38</f>
        <v>маш</v>
      </c>
      <c r="D38" s="3014">
        <f>'Смета Внутр'!D38</f>
        <v>0</v>
      </c>
      <c r="E38" s="1042">
        <f>'Смета Внутр'!E38</f>
        <v>12000</v>
      </c>
      <c r="F38" s="1042">
        <f>'Смета Внутр'!F38</f>
        <v>0</v>
      </c>
      <c r="G38" s="3007">
        <f t="shared" si="2"/>
        <v>12000</v>
      </c>
      <c r="H38" s="1042">
        <f>'Смета Внутр'!G38</f>
        <v>0</v>
      </c>
      <c r="I38" s="1042">
        <f>'Смета Внутр'!H38</f>
        <v>0</v>
      </c>
      <c r="J38" s="3014">
        <f>'Смета Внутр'!I38</f>
        <v>0</v>
      </c>
    </row>
    <row r="39" spans="2:10">
      <c r="B39" s="3007" t="str">
        <f>'Смета Внутр'!B39</f>
        <v>Геотекстиль</v>
      </c>
      <c r="C39" s="3007" t="str">
        <f>'Смета Внутр'!C39</f>
        <v>м2</v>
      </c>
      <c r="D39" s="3014">
        <f>'Смета Внутр'!D39</f>
        <v>0</v>
      </c>
      <c r="E39" s="1042">
        <f>'Смета Внутр'!E39</f>
        <v>100</v>
      </c>
      <c r="F39" s="1042">
        <f>'Смета Внутр'!F39</f>
        <v>0</v>
      </c>
      <c r="G39" s="3007">
        <f t="shared" si="2"/>
        <v>100</v>
      </c>
      <c r="H39" s="1042">
        <f>'Смета Внутр'!G39</f>
        <v>0</v>
      </c>
      <c r="I39" s="1042">
        <f>'Смета Внутр'!H39</f>
        <v>0</v>
      </c>
      <c r="J39" s="3014">
        <f>'Смета Внутр'!I39</f>
        <v>0</v>
      </c>
    </row>
    <row r="40" spans="2:10">
      <c r="B40" s="3007" t="str">
        <f>'Смета Внутр'!B40</f>
        <v>Плитный,28кг/м3, технониколь, 100мм</v>
      </c>
      <c r="C40" s="3007" t="str">
        <f>'Смета Внутр'!C40</f>
        <v>м3</v>
      </c>
      <c r="D40" s="3014">
        <f>'Смета Внутр'!D40</f>
        <v>0</v>
      </c>
      <c r="E40" s="1042">
        <f>'Смета Внутр'!E40</f>
        <v>1700</v>
      </c>
      <c r="F40" s="1042">
        <f>'Смета Внутр'!F40</f>
        <v>0</v>
      </c>
      <c r="G40" s="3007">
        <f t="shared" si="2"/>
        <v>1700</v>
      </c>
      <c r="H40" s="1042">
        <f>'Смета Внутр'!G40</f>
        <v>0</v>
      </c>
      <c r="I40" s="1042">
        <f>'Смета Внутр'!H40</f>
        <v>0</v>
      </c>
      <c r="J40" s="3014">
        <f>'Смета Внутр'!I40</f>
        <v>0</v>
      </c>
    </row>
    <row r="41" spans="2:10">
      <c r="B41" s="3007" t="str">
        <f>'Смета Внутр'!B41</f>
        <v xml:space="preserve">Пленка гидроизоляционная </v>
      </c>
      <c r="C41" s="3007" t="str">
        <f>'Смета Внутр'!C41</f>
        <v>м2</v>
      </c>
      <c r="D41" s="3014">
        <f>'Смета Внутр'!D41</f>
        <v>0</v>
      </c>
      <c r="E41" s="1042">
        <f>'Смета Внутр'!E41</f>
        <v>15</v>
      </c>
      <c r="F41" s="1042">
        <f>'Смета Внутр'!F41</f>
        <v>0</v>
      </c>
      <c r="G41" s="3007">
        <f t="shared" si="2"/>
        <v>15</v>
      </c>
      <c r="H41" s="1042">
        <f>'Смета Внутр'!G41</f>
        <v>0</v>
      </c>
      <c r="I41" s="1042">
        <f>'Смета Внутр'!H41</f>
        <v>0</v>
      </c>
      <c r="J41" s="3014">
        <f>'Смета Внутр'!I41</f>
        <v>0</v>
      </c>
    </row>
    <row r="42" spans="2:10">
      <c r="B42" s="3007" t="str">
        <f>'Смета Внутр'!B42</f>
        <v>Кладочная сетка, 100*100/150*150/200*200мм</v>
      </c>
      <c r="C42" s="3007" t="str">
        <f>'Смета Внутр'!C42</f>
        <v>м2</v>
      </c>
      <c r="D42" s="3014">
        <f>'Смета Внутр'!D42</f>
        <v>0</v>
      </c>
      <c r="E42" s="1042">
        <f>'Смета Внутр'!E42</f>
        <v>70</v>
      </c>
      <c r="F42" s="1042">
        <f>'Смета Внутр'!F42</f>
        <v>0</v>
      </c>
      <c r="G42" s="3007">
        <f t="shared" si="2"/>
        <v>70</v>
      </c>
      <c r="H42" s="1042">
        <f>'Смета Внутр'!G42</f>
        <v>0</v>
      </c>
      <c r="I42" s="1042">
        <f>'Смета Внутр'!H42</f>
        <v>0</v>
      </c>
      <c r="J42" s="3014">
        <f>'Смета Внутр'!I42</f>
        <v>0</v>
      </c>
    </row>
    <row r="43" spans="2:10">
      <c r="B43" s="3007" t="str">
        <f>'Смета Внутр'!B43</f>
        <v>Стяжки пластиковые</v>
      </c>
      <c r="C43" s="3007" t="str">
        <f>'Смета Внутр'!C43</f>
        <v>шт</v>
      </c>
      <c r="D43" s="3014">
        <f>'Смета Внутр'!D43</f>
        <v>0</v>
      </c>
      <c r="E43" s="1042">
        <f>'Смета Внутр'!E43</f>
        <v>2</v>
      </c>
      <c r="F43" s="1042">
        <f>'Смета Внутр'!F43</f>
        <v>0</v>
      </c>
      <c r="G43" s="3007">
        <f t="shared" si="2"/>
        <v>2</v>
      </c>
      <c r="H43" s="1042">
        <f>'Смета Внутр'!G43</f>
        <v>0</v>
      </c>
      <c r="I43" s="1042">
        <f>'Смета Внутр'!H43</f>
        <v>0</v>
      </c>
      <c r="J43" s="3014">
        <f>'Смета Внутр'!I43</f>
        <v>0</v>
      </c>
    </row>
    <row r="44" spans="2:10">
      <c r="B44" s="3007" t="str">
        <f>'Смета Внутр'!B44</f>
        <v>Стяжки пластиковые</v>
      </c>
      <c r="C44" s="3007" t="str">
        <f>'Смета Внутр'!C44</f>
        <v>шт</v>
      </c>
      <c r="D44" s="3014">
        <f>'Смета Внутр'!D44</f>
        <v>0</v>
      </c>
      <c r="E44" s="1042">
        <f>'Смета Внутр'!E44</f>
        <v>2</v>
      </c>
      <c r="F44" s="1042">
        <f>'Смета Внутр'!F44</f>
        <v>0</v>
      </c>
      <c r="G44" s="3007">
        <f t="shared" si="2"/>
        <v>2</v>
      </c>
      <c r="H44" s="1042">
        <f>'Смета Внутр'!G44</f>
        <v>0</v>
      </c>
      <c r="I44" s="1042">
        <f>'Смета Внутр'!H44</f>
        <v>0</v>
      </c>
      <c r="J44" s="3014">
        <f>'Смета Внутр'!I44</f>
        <v>0</v>
      </c>
    </row>
    <row r="45" spans="2:10">
      <c r="B45" s="3007" t="str">
        <f>'Смета Внутр'!B45</f>
        <v>Труба теплого пола 3</v>
      </c>
      <c r="C45" s="3007" t="str">
        <f>'Смета Внутр'!C45</f>
        <v>м.п</v>
      </c>
      <c r="D45" s="3014">
        <f>'Смета Внутр'!D45</f>
        <v>0</v>
      </c>
      <c r="E45" s="1042">
        <f>'Смета Внутр'!E45</f>
        <v>60</v>
      </c>
      <c r="F45" s="1042">
        <f>'Смета Внутр'!F45</f>
        <v>0</v>
      </c>
      <c r="G45" s="3007">
        <f t="shared" si="2"/>
        <v>60</v>
      </c>
      <c r="H45" s="1042">
        <f>'Смета Внутр'!G45</f>
        <v>0</v>
      </c>
      <c r="I45" s="1042">
        <f>'Смета Внутр'!H45</f>
        <v>0</v>
      </c>
      <c r="J45" s="3014">
        <f>'Смета Внутр'!I45</f>
        <v>0</v>
      </c>
    </row>
    <row r="46" spans="2:10">
      <c r="B46" s="1042" t="str">
        <f>'Смета Внутр'!B46</f>
        <v>Коллектор 6</v>
      </c>
      <c r="C46" s="1042" t="str">
        <f>'Смета Внутр'!C46</f>
        <v>шт</v>
      </c>
      <c r="D46" s="1058">
        <f>'Смета Внутр'!D46</f>
        <v>0</v>
      </c>
      <c r="E46" s="1042">
        <f>'Смета Внутр'!E46</f>
        <v>15000</v>
      </c>
      <c r="F46" s="1042">
        <f>'Смета Внутр'!F46</f>
        <v>0</v>
      </c>
      <c r="G46" s="1042">
        <f t="shared" si="2"/>
        <v>15000</v>
      </c>
      <c r="H46" s="1042">
        <f>'Смета Внутр'!G46</f>
        <v>0</v>
      </c>
      <c r="I46" s="1042">
        <f>'Смета Внутр'!H46</f>
        <v>0</v>
      </c>
      <c r="J46" s="1058">
        <f>'Смета Внутр'!I46</f>
        <v>0</v>
      </c>
    </row>
    <row r="47" spans="2:10">
      <c r="B47" s="3007" t="str">
        <f>'Смета Внутр'!B47</f>
        <v>Арматура стальная Ø 10 </v>
      </c>
      <c r="C47" s="3007" t="str">
        <f>'Смета Внутр'!C47</f>
        <v>м.п.</v>
      </c>
      <c r="D47" s="3014">
        <f>'Смета Внутр'!D47</f>
        <v>0</v>
      </c>
      <c r="E47" s="1042">
        <f>'Смета Внутр'!E47</f>
        <v>21.0397</v>
      </c>
      <c r="F47" s="1042">
        <f>'Смета Внутр'!F47</f>
        <v>0</v>
      </c>
      <c r="G47" s="3007">
        <f t="shared" si="2"/>
        <v>21.0397</v>
      </c>
      <c r="H47" s="1042">
        <f>'Смета Внутр'!G47</f>
        <v>0</v>
      </c>
      <c r="I47" s="1042">
        <f>'Смета Внутр'!H47</f>
        <v>0</v>
      </c>
      <c r="J47" s="3014">
        <f>'Смета Внутр'!I47</f>
        <v>0</v>
      </c>
    </row>
    <row r="48" spans="2:10">
      <c r="B48" s="3007" t="str">
        <f>'Смета Внутр'!B48</f>
        <v>Вязальная проволока</v>
      </c>
      <c r="C48" s="3007" t="str">
        <f>'Смета Внутр'!C48</f>
        <v>кг</v>
      </c>
      <c r="D48" s="3014">
        <f>'Смета Внутр'!D48</f>
        <v>0</v>
      </c>
      <c r="E48" s="1042">
        <f>'Смета Внутр'!E48</f>
        <v>80</v>
      </c>
      <c r="F48" s="1042">
        <f>'Смета Внутр'!F48</f>
        <v>0</v>
      </c>
      <c r="G48" s="3007">
        <f t="shared" si="2"/>
        <v>80</v>
      </c>
      <c r="H48" s="1042">
        <f>'Смета Внутр'!G48</f>
        <v>0</v>
      </c>
      <c r="I48" s="1042">
        <f>'Смета Внутр'!H48</f>
        <v>0</v>
      </c>
      <c r="J48" s="3014">
        <f>'Смета Внутр'!I48</f>
        <v>0</v>
      </c>
    </row>
    <row r="49" spans="2:10">
      <c r="B49" s="3007" t="str">
        <f>'Смета Внутр'!B49</f>
        <v>Подставка под арматурный каркас</v>
      </c>
      <c r="C49" s="3007" t="str">
        <f>'Смета Внутр'!C49</f>
        <v>шт</v>
      </c>
      <c r="D49" s="3014">
        <f>'Смета Внутр'!D49</f>
        <v>0</v>
      </c>
      <c r="E49" s="1042">
        <f>'Смета Внутр'!E49</f>
        <v>5</v>
      </c>
      <c r="F49" s="1042">
        <f>'Смета Внутр'!F49</f>
        <v>0</v>
      </c>
      <c r="G49" s="3007">
        <f t="shared" si="2"/>
        <v>5</v>
      </c>
      <c r="H49" s="1042">
        <f>'Смета Внутр'!G49</f>
        <v>0</v>
      </c>
      <c r="I49" s="1042">
        <f>'Смета Внутр'!H49</f>
        <v>0</v>
      </c>
      <c r="J49" s="3014">
        <f>'Смета Внутр'!I49</f>
        <v>0</v>
      </c>
    </row>
    <row r="50" spans="2:10">
      <c r="B50" s="3007" t="str">
        <f>'Смета Внутр'!B50</f>
        <v>труба дренажная d90 с перфорацией, в фильтре</v>
      </c>
      <c r="C50" s="3007" t="str">
        <f>'Смета Внутр'!C50</f>
        <v>шт</v>
      </c>
      <c r="D50" s="3014">
        <f>'Смета Внутр'!D50</f>
        <v>0</v>
      </c>
      <c r="E50" s="1042">
        <f>'Смета Внутр'!E50</f>
        <v>95</v>
      </c>
      <c r="F50" s="1042">
        <f>'Смета Внутр'!F50</f>
        <v>0</v>
      </c>
      <c r="G50" s="3007">
        <f t="shared" si="2"/>
        <v>95</v>
      </c>
      <c r="H50" s="1042">
        <f>'Смета Внутр'!G50</f>
        <v>0</v>
      </c>
      <c r="I50" s="1042">
        <f>'Смета Внутр'!H50</f>
        <v>0</v>
      </c>
      <c r="J50" s="3014">
        <f>'Смета Внутр'!I50</f>
        <v>0</v>
      </c>
    </row>
    <row r="51" spans="2:10">
      <c r="B51" s="3007" t="str">
        <f>'Смета Внутр'!B51</f>
        <v>Дренажный колодец D400</v>
      </c>
      <c r="C51" s="3007" t="str">
        <f>'Смета Внутр'!C51</f>
        <v>шт</v>
      </c>
      <c r="D51" s="3014">
        <f>'Смета Внутр'!D51</f>
        <v>0</v>
      </c>
      <c r="E51" s="1042">
        <f>'Смета Внутр'!E51</f>
        <v>2500</v>
      </c>
      <c r="F51" s="1042">
        <f>'Смета Внутр'!F51</f>
        <v>0</v>
      </c>
      <c r="G51" s="3007">
        <f t="shared" si="2"/>
        <v>2500</v>
      </c>
      <c r="H51" s="1042">
        <f>'Смета Внутр'!G51</f>
        <v>0</v>
      </c>
      <c r="I51" s="1042">
        <f>'Смета Внутр'!H51</f>
        <v>0</v>
      </c>
      <c r="J51" s="3014">
        <f>'Смета Внутр'!I51</f>
        <v>0</v>
      </c>
    </row>
    <row r="52" spans="2:10">
      <c r="B52" s="3007" t="str">
        <f>'Смета Внутр'!B52</f>
        <v>Демпферная лента</v>
      </c>
      <c r="C52" s="3007" t="str">
        <f>'Смета Внутр'!C52</f>
        <v>м.п.</v>
      </c>
      <c r="D52" s="3014">
        <f>'Смета Внутр'!D52</f>
        <v>0</v>
      </c>
      <c r="E52" s="1042">
        <f>'Смета Внутр'!E52</f>
        <v>50</v>
      </c>
      <c r="F52" s="1042">
        <f>'Смета Внутр'!F52</f>
        <v>0</v>
      </c>
      <c r="G52" s="3007">
        <f t="shared" si="2"/>
        <v>50</v>
      </c>
      <c r="H52" s="1042">
        <f>'Смета Внутр'!G52</f>
        <v>0</v>
      </c>
      <c r="I52" s="1042">
        <f>'Смета Внутр'!H52</f>
        <v>0</v>
      </c>
      <c r="J52" s="3014">
        <f>'Смета Внутр'!I52</f>
        <v>0</v>
      </c>
    </row>
    <row r="53" spans="2:10">
      <c r="B53" s="3007" t="str">
        <f>'Смета Внутр'!B53</f>
        <v>Бетон, м350</v>
      </c>
      <c r="C53" s="3007" t="str">
        <f>'Смета Внутр'!C53</f>
        <v>м3</v>
      </c>
      <c r="D53" s="3014">
        <f>'Смета Внутр'!D53</f>
        <v>0</v>
      </c>
      <c r="E53" s="1042">
        <f>'Смета Внутр'!E53</f>
        <v>3500</v>
      </c>
      <c r="F53" s="1042">
        <f>'Смета Внутр'!F53</f>
        <v>0</v>
      </c>
      <c r="G53" s="3007">
        <f t="shared" si="2"/>
        <v>3500</v>
      </c>
      <c r="H53" s="1042">
        <f>'Смета Внутр'!G53</f>
        <v>0</v>
      </c>
      <c r="I53" s="1042">
        <f>'Смета Внутр'!H53</f>
        <v>0</v>
      </c>
      <c r="J53" s="3014">
        <f>'Смета Внутр'!I53</f>
        <v>0</v>
      </c>
    </row>
    <row r="54" spans="2:10">
      <c r="B54" s="3311" t="str">
        <f>'Смета Внутр'!B54</f>
        <v>Итого материалы</v>
      </c>
      <c r="C54" s="3311"/>
      <c r="D54" s="3311"/>
      <c r="E54" s="3311"/>
      <c r="F54" s="3311"/>
      <c r="G54" s="3311"/>
      <c r="H54" s="1042">
        <f>'Смета Внутр'!G54</f>
        <v>0</v>
      </c>
      <c r="I54" s="1042">
        <f>'Смета Внутр'!H54</f>
        <v>0</v>
      </c>
      <c r="J54" s="3014">
        <f>'Смета Внутр'!I54</f>
        <v>0</v>
      </c>
    </row>
    <row r="55" spans="2:10" ht="15" customHeight="1">
      <c r="B55" s="3002" t="str">
        <f>'Смета Внутр'!B55</f>
        <v>Работы</v>
      </c>
      <c r="H55">
        <f>'Смета Внутр'!G55</f>
        <v>0</v>
      </c>
      <c r="I55">
        <f>'Смета Внутр'!H55</f>
        <v>0</v>
      </c>
      <c r="J55" s="3011">
        <f>'Смета Внутр'!I55</f>
        <v>0</v>
      </c>
    </row>
    <row r="56" spans="2:10" ht="15" customHeight="1">
      <c r="B56" s="3007" t="str">
        <f>'Смета Внутр'!B56</f>
        <v>трамбовка скальник</v>
      </c>
      <c r="C56" s="3007" t="str">
        <f>'Смета Внутр'!C56</f>
        <v>м2</v>
      </c>
      <c r="D56" s="3014">
        <f>'Смета Внутр'!D56</f>
        <v>0</v>
      </c>
      <c r="E56" s="1042">
        <f>'Смета Внутр'!E56</f>
        <v>400</v>
      </c>
      <c r="F56" s="1042">
        <f>'Смета Внутр'!F56</f>
        <v>0</v>
      </c>
      <c r="G56" s="3007">
        <f t="shared" ref="G56:G69" si="3">IF(E56&gt;F56,E56,F56)</f>
        <v>400</v>
      </c>
      <c r="H56" s="1042">
        <f>'Смета Внутр'!G56</f>
        <v>0</v>
      </c>
      <c r="I56" s="1042">
        <f>'Смета Внутр'!H56</f>
        <v>0</v>
      </c>
      <c r="J56" s="3014">
        <f>'Смета Внутр'!I56</f>
        <v>0</v>
      </c>
    </row>
    <row r="57" spans="2:10" ht="15" customHeight="1">
      <c r="B57" s="3007" t="str">
        <f>'Смета Внутр'!B57</f>
        <v>трамбовка пгс</v>
      </c>
      <c r="C57" s="3007" t="str">
        <f>'Смета Внутр'!C57</f>
        <v>м2</v>
      </c>
      <c r="D57" s="3014">
        <f>'Смета Внутр'!D57</f>
        <v>0</v>
      </c>
      <c r="E57" s="1042">
        <f>'Смета Внутр'!E57</f>
        <v>600</v>
      </c>
      <c r="F57" s="1042">
        <f>'Смета Внутр'!F57</f>
        <v>0</v>
      </c>
      <c r="G57" s="3007">
        <f t="shared" si="3"/>
        <v>600</v>
      </c>
      <c r="H57" s="1042">
        <f>'Смета Внутр'!G57</f>
        <v>0</v>
      </c>
      <c r="I57" s="1042">
        <f>'Смета Внутр'!H57</f>
        <v>0</v>
      </c>
      <c r="J57" s="3014">
        <f>'Смета Внутр'!I57</f>
        <v>0</v>
      </c>
    </row>
    <row r="58" spans="2:10" ht="15" customHeight="1">
      <c r="B58" s="3007" t="str">
        <f>'Смета Внутр'!B58</f>
        <v>трамбовка песок</v>
      </c>
      <c r="C58" s="3007" t="str">
        <f>'Смета Внутр'!C58</f>
        <v>м2</v>
      </c>
      <c r="D58" s="3014">
        <f>'Смета Внутр'!D58</f>
        <v>0</v>
      </c>
      <c r="E58" s="1042">
        <f>'Смета Внутр'!E58</f>
        <v>350</v>
      </c>
      <c r="F58" s="1042">
        <f>'Смета Внутр'!F58</f>
        <v>0</v>
      </c>
      <c r="G58" s="3007">
        <f t="shared" si="3"/>
        <v>350</v>
      </c>
      <c r="H58" s="1042">
        <f>'Смета Внутр'!G58</f>
        <v>0</v>
      </c>
      <c r="I58" s="1042">
        <f>'Смета Внутр'!H58</f>
        <v>0</v>
      </c>
      <c r="J58" s="3014">
        <f>'Смета Внутр'!I58</f>
        <v>0</v>
      </c>
    </row>
    <row r="59" spans="2:10" ht="15" customHeight="1">
      <c r="B59" s="3007" t="str">
        <f>'Смета Внутр'!B59</f>
        <v>укладка геотекстиля</v>
      </c>
      <c r="C59" s="3007" t="str">
        <f>'Смета Внутр'!C59</f>
        <v>м2</v>
      </c>
      <c r="D59" s="3014">
        <f>'Смета Внутр'!D59</f>
        <v>0</v>
      </c>
      <c r="E59" s="1042">
        <f>'Смета Внутр'!E59</f>
        <v>200</v>
      </c>
      <c r="F59" s="1042">
        <f>'Смета Внутр'!F59</f>
        <v>0</v>
      </c>
      <c r="G59" s="3007">
        <f t="shared" si="3"/>
        <v>200</v>
      </c>
      <c r="H59" s="1042">
        <f>'Смета Внутр'!G59</f>
        <v>0</v>
      </c>
      <c r="I59" s="1042">
        <f>'Смета Внутр'!H59</f>
        <v>0</v>
      </c>
      <c r="J59" s="3014">
        <f>'Смета Внутр'!I59</f>
        <v>0</v>
      </c>
    </row>
    <row r="60" spans="2:10" ht="15" customHeight="1">
      <c r="B60" s="3007" t="str">
        <f>'Смета Внутр'!B60</f>
        <v>укладка карбона</v>
      </c>
      <c r="C60" s="3007" t="str">
        <f>'Смета Внутр'!C60</f>
        <v>м2</v>
      </c>
      <c r="D60" s="3014">
        <f>'Смета Внутр'!D60</f>
        <v>0</v>
      </c>
      <c r="E60" s="1042">
        <f>'Смета Внутр'!E60</f>
        <v>200</v>
      </c>
      <c r="F60" s="1042">
        <f>'Смета Внутр'!F60</f>
        <v>0</v>
      </c>
      <c r="G60" s="3007">
        <f t="shared" si="3"/>
        <v>200</v>
      </c>
      <c r="H60" s="1042">
        <f>'Смета Внутр'!G60</f>
        <v>0</v>
      </c>
      <c r="I60" s="1042">
        <f>'Смета Внутр'!H60</f>
        <v>0</v>
      </c>
      <c r="J60" s="3014">
        <f>'Смета Внутр'!I60</f>
        <v>0</v>
      </c>
    </row>
    <row r="61" spans="2:10" ht="15" customHeight="1">
      <c r="B61" s="3007" t="str">
        <f>'Смета Внутр'!B61</f>
        <v>укладка пленки</v>
      </c>
      <c r="C61" s="3007" t="str">
        <f>'Смета Внутр'!C61</f>
        <v>м2</v>
      </c>
      <c r="D61" s="3014">
        <f>'Смета Внутр'!D61</f>
        <v>0</v>
      </c>
      <c r="E61" s="1042">
        <f>'Смета Внутр'!E61</f>
        <v>10</v>
      </c>
      <c r="F61" s="1042">
        <f>'Смета Внутр'!F61</f>
        <v>0</v>
      </c>
      <c r="G61" s="3007">
        <f t="shared" si="3"/>
        <v>10</v>
      </c>
      <c r="H61" s="1042">
        <f>'Смета Внутр'!G61</f>
        <v>0</v>
      </c>
      <c r="I61" s="1042">
        <f>'Смета Внутр'!H61</f>
        <v>0</v>
      </c>
      <c r="J61" s="3014">
        <f>'Смета Внутр'!I61</f>
        <v>0</v>
      </c>
    </row>
    <row r="62" spans="2:10" ht="15" customHeight="1">
      <c r="B62" s="3007" t="str">
        <f>'Смета Внутр'!B62</f>
        <v>укладка сетки</v>
      </c>
      <c r="C62" s="3007" t="str">
        <f>'Смета Внутр'!C62</f>
        <v>м2</v>
      </c>
      <c r="D62" s="3014">
        <f>'Смета Внутр'!D62</f>
        <v>0</v>
      </c>
      <c r="E62" s="1042">
        <f>'Смета Внутр'!E62</f>
        <v>100</v>
      </c>
      <c r="F62" s="1042">
        <f>'Смета Внутр'!F62</f>
        <v>0</v>
      </c>
      <c r="G62" s="3007">
        <f t="shared" si="3"/>
        <v>100</v>
      </c>
      <c r="H62" s="1042">
        <f>'Смета Внутр'!G62</f>
        <v>0</v>
      </c>
      <c r="I62" s="1042">
        <f>'Смета Внутр'!H62</f>
        <v>0</v>
      </c>
      <c r="J62" s="3014">
        <f>'Смета Внутр'!I62</f>
        <v>0</v>
      </c>
    </row>
    <row r="63" spans="2:10" ht="15" customHeight="1">
      <c r="B63" s="3007" t="str">
        <f>'Смета Внутр'!B63</f>
        <v>укладка теп. Пола</v>
      </c>
      <c r="C63" s="3007" t="str">
        <f>'Смета Внутр'!C63</f>
        <v>м2</v>
      </c>
      <c r="D63" s="3014">
        <f>'Смета Внутр'!D63</f>
        <v>0</v>
      </c>
      <c r="E63" s="1042">
        <f>'Смета Внутр'!E63</f>
        <v>600</v>
      </c>
      <c r="F63" s="1042">
        <f>'Смета Внутр'!F63</f>
        <v>0</v>
      </c>
      <c r="G63" s="3007">
        <f t="shared" si="3"/>
        <v>600</v>
      </c>
      <c r="H63" s="1042">
        <f>'Смета Внутр'!G63</f>
        <v>0</v>
      </c>
      <c r="I63" s="1042">
        <f>'Смета Внутр'!H63</f>
        <v>0</v>
      </c>
      <c r="J63" s="3014">
        <f>'Смета Внутр'!I63</f>
        <v>0</v>
      </c>
    </row>
    <row r="64" spans="2:10" ht="15" customHeight="1">
      <c r="B64" s="1042" t="str">
        <f>'Смета Внутр'!B64</f>
        <v>монтаж коллектора</v>
      </c>
      <c r="C64" s="1042" t="str">
        <f>'Смета Внутр'!C64</f>
        <v>шт</v>
      </c>
      <c r="D64" s="1058">
        <f>'Смета Внутр'!D64</f>
        <v>0</v>
      </c>
      <c r="E64" s="1042">
        <f>'Смета Внутр'!E64</f>
        <v>1000</v>
      </c>
      <c r="F64" s="1042">
        <f>'Смета Внутр'!F64</f>
        <v>0</v>
      </c>
      <c r="G64" s="1042">
        <f t="shared" si="3"/>
        <v>1000</v>
      </c>
      <c r="H64" s="1042">
        <f>'Смета Внутр'!G64</f>
        <v>0</v>
      </c>
      <c r="I64" s="1042">
        <f>'Смета Внутр'!H64</f>
        <v>0</v>
      </c>
      <c r="J64" s="1058">
        <f>'Смета Внутр'!I64</f>
        <v>0</v>
      </c>
    </row>
    <row r="65" spans="2:10" ht="15" customHeight="1">
      <c r="B65" s="3007" t="str">
        <f>'Смета Внутр'!B65</f>
        <v xml:space="preserve">армирование </v>
      </c>
      <c r="C65" s="3007" t="str">
        <f>'Смета Внутр'!C65</f>
        <v>м2</v>
      </c>
      <c r="D65" s="3014">
        <f>'Смета Внутр'!D65</f>
        <v>0</v>
      </c>
      <c r="E65" s="1042">
        <f>'Смета Внутр'!E65</f>
        <v>300</v>
      </c>
      <c r="F65" s="1042">
        <f>'Смета Внутр'!F65</f>
        <v>0</v>
      </c>
      <c r="G65" s="3007">
        <f t="shared" si="3"/>
        <v>300</v>
      </c>
      <c r="H65" s="1042">
        <f>'Смета Внутр'!G65</f>
        <v>0</v>
      </c>
      <c r="I65" s="1042">
        <f>'Смета Внутр'!H65</f>
        <v>0</v>
      </c>
      <c r="J65" s="3014">
        <f>'Смета Внутр'!I65</f>
        <v>0</v>
      </c>
    </row>
    <row r="66" spans="2:10" ht="15" customHeight="1">
      <c r="B66" s="3007" t="str">
        <f>'Смета Внутр'!B66</f>
        <v>монтаж дренажн труб</v>
      </c>
      <c r="C66" s="3007" t="str">
        <f>'Смета Внутр'!C66</f>
        <v>м.п.</v>
      </c>
      <c r="D66" s="3014">
        <f>'Смета Внутр'!D66</f>
        <v>0</v>
      </c>
      <c r="E66" s="1042">
        <f>'Смета Внутр'!E66</f>
        <v>200</v>
      </c>
      <c r="F66" s="1042">
        <f>'Смета Внутр'!F66</f>
        <v>0</v>
      </c>
      <c r="G66" s="3007">
        <f t="shared" si="3"/>
        <v>200</v>
      </c>
      <c r="H66" s="1042">
        <f>'Смета Внутр'!G66</f>
        <v>0</v>
      </c>
      <c r="I66" s="1042">
        <f>'Смета Внутр'!H66</f>
        <v>0</v>
      </c>
      <c r="J66" s="3014">
        <f>'Смета Внутр'!I66</f>
        <v>0</v>
      </c>
    </row>
    <row r="67" spans="2:10" ht="15" customHeight="1">
      <c r="B67" s="3007" t="str">
        <f>'Смета Внутр'!B67</f>
        <v>монтаж дренаж колодец</v>
      </c>
      <c r="C67" s="3007" t="str">
        <f>'Смета Внутр'!C67</f>
        <v>шт</v>
      </c>
      <c r="D67" s="3014">
        <f>'Смета Внутр'!D67</f>
        <v>0</v>
      </c>
      <c r="E67" s="1042">
        <f>'Смета Внутр'!E67</f>
        <v>300</v>
      </c>
      <c r="F67" s="1042">
        <f>'Смета Внутр'!F67</f>
        <v>0</v>
      </c>
      <c r="G67" s="3007">
        <f t="shared" si="3"/>
        <v>300</v>
      </c>
      <c r="H67" s="1042">
        <f>'Смета Внутр'!G67</f>
        <v>0</v>
      </c>
      <c r="I67" s="1042">
        <f>'Смета Внутр'!H67</f>
        <v>0</v>
      </c>
      <c r="J67" s="3014">
        <f>'Смета Внутр'!I67</f>
        <v>0</v>
      </c>
    </row>
    <row r="68" spans="2:10" ht="15" customHeight="1">
      <c r="B68" s="3007" t="str">
        <f>'Смета Внутр'!B68</f>
        <v>приемка бетона на пол</v>
      </c>
      <c r="C68" s="3007" t="str">
        <f>'Смета Внутр'!C68</f>
        <v>м2</v>
      </c>
      <c r="D68" s="3014">
        <f>'Смета Внутр'!D68</f>
        <v>0</v>
      </c>
      <c r="E68" s="1042">
        <f>'Смета Внутр'!E68</f>
        <v>350</v>
      </c>
      <c r="F68" s="1042">
        <f>'Смета Внутр'!F68</f>
        <v>0</v>
      </c>
      <c r="G68" s="3007">
        <f t="shared" si="3"/>
        <v>350</v>
      </c>
      <c r="H68" s="1042">
        <f>'Смета Внутр'!G68</f>
        <v>0</v>
      </c>
      <c r="I68" s="1042">
        <f>'Смета Внутр'!H68</f>
        <v>0</v>
      </c>
      <c r="J68" s="3014">
        <f>'Смета Внутр'!I68</f>
        <v>0</v>
      </c>
    </row>
    <row r="69" spans="2:10" ht="15" customHeight="1">
      <c r="B69" s="3007" t="str">
        <f>'Смета Внутр'!B69</f>
        <v>демпферная лента</v>
      </c>
      <c r="C69" s="3007" t="str">
        <f>'Смета Внутр'!C69</f>
        <v>м.п.</v>
      </c>
      <c r="D69" s="3014">
        <f>'Смета Внутр'!D69</f>
        <v>0</v>
      </c>
      <c r="E69" s="1042">
        <f>'Смета Внутр'!E69</f>
        <v>100</v>
      </c>
      <c r="F69" s="1042">
        <f>'Смета Внутр'!F69</f>
        <v>0</v>
      </c>
      <c r="G69" s="3007">
        <f t="shared" si="3"/>
        <v>100</v>
      </c>
      <c r="H69" s="1042">
        <f>'Смета Внутр'!G69</f>
        <v>0</v>
      </c>
      <c r="I69" s="1042">
        <f>'Смета Внутр'!H69</f>
        <v>0</v>
      </c>
      <c r="J69" s="3014">
        <f>'Смета Внутр'!I69</f>
        <v>0</v>
      </c>
    </row>
    <row r="70" spans="2:10" ht="15" customHeight="1">
      <c r="B70" s="3311" t="str">
        <f>'Смета Внутр'!B70</f>
        <v>Итого работы</v>
      </c>
      <c r="C70" s="3311"/>
      <c r="D70" s="3311"/>
      <c r="E70" s="3311"/>
      <c r="F70" s="3311"/>
      <c r="G70" s="3311"/>
      <c r="H70" s="1042">
        <f>'Смета Внутр'!G70</f>
        <v>0</v>
      </c>
      <c r="I70" s="1042">
        <f>'Смета Внутр'!H70</f>
        <v>0</v>
      </c>
      <c r="J70" s="3014">
        <f>'Смета Внутр'!I70</f>
        <v>0</v>
      </c>
    </row>
    <row r="71" spans="2:10" ht="15" customHeight="1">
      <c r="B71" s="3313" t="str">
        <f>'Смета Внутр'!B71</f>
        <v>Цокольный этаж из блоков ФБС</v>
      </c>
      <c r="C71" s="3313"/>
      <c r="D71" s="3313"/>
      <c r="H71">
        <f>'Смета Внутр'!G71</f>
        <v>0</v>
      </c>
      <c r="I71">
        <f>'Смета Внутр'!H71</f>
        <v>0</v>
      </c>
      <c r="J71" s="3011">
        <f>'Смета Внутр'!I71</f>
        <v>0</v>
      </c>
    </row>
    <row r="72" spans="2:10" ht="15" customHeight="1">
      <c r="B72" s="3002" t="str">
        <f>'Смета Внутр'!B72</f>
        <v>Материалы</v>
      </c>
      <c r="H72">
        <f>'Смета Внутр'!G72</f>
        <v>0</v>
      </c>
      <c r="I72">
        <f>'Смета Внутр'!H72</f>
        <v>0</v>
      </c>
      <c r="J72" s="3011">
        <f>'Смета Внутр'!I72</f>
        <v>0</v>
      </c>
    </row>
    <row r="73" spans="2:10" ht="15" customHeight="1">
      <c r="B73" s="3007" t="str">
        <f>'Смета Внутр'!B73</f>
        <v xml:space="preserve">Праймер для обработки </v>
      </c>
      <c r="C73" s="3007" t="str">
        <f>'Смета Внутр'!C73</f>
        <v>л</v>
      </c>
      <c r="D73" s="3014">
        <f>'Смета Внутр'!D73</f>
        <v>0</v>
      </c>
      <c r="E73" s="1042">
        <f>'Смета Внутр'!E73</f>
        <v>100</v>
      </c>
      <c r="F73" s="1042">
        <f>'Смета Внутр'!F73</f>
        <v>0</v>
      </c>
      <c r="G73" s="3007">
        <f t="shared" ref="G73:G86" si="4">IF(E73&gt;F73,E73,F73)</f>
        <v>100</v>
      </c>
      <c r="H73" s="1042">
        <f>'Смета Внутр'!G73</f>
        <v>0</v>
      </c>
      <c r="I73" s="1042">
        <f>'Смета Внутр'!H73</f>
        <v>0</v>
      </c>
      <c r="J73" s="3014">
        <f>'Смета Внутр'!I73</f>
        <v>0</v>
      </c>
    </row>
    <row r="74" spans="2:10" ht="15" customHeight="1">
      <c r="B74" s="3007" t="str">
        <f>'Смета Внутр'!B74</f>
        <v>Гидроизол</v>
      </c>
      <c r="C74" s="3007" t="str">
        <f>'Смета Внутр'!C74</f>
        <v>м2</v>
      </c>
      <c r="D74" s="3014">
        <f>'Смета Внутр'!D74</f>
        <v>0</v>
      </c>
      <c r="E74" s="1042">
        <f>'Смета Внутр'!E74</f>
        <v>70</v>
      </c>
      <c r="F74" s="1042">
        <f>'Смета Внутр'!F74</f>
        <v>0</v>
      </c>
      <c r="G74" s="3007">
        <f t="shared" si="4"/>
        <v>70</v>
      </c>
      <c r="H74" s="1042">
        <f>'Смета Внутр'!G74</f>
        <v>0</v>
      </c>
      <c r="I74" s="1042">
        <f>'Смета Внутр'!H74</f>
        <v>0</v>
      </c>
      <c r="J74" s="3014">
        <f>'Смета Внутр'!I74</f>
        <v>0</v>
      </c>
    </row>
    <row r="75" spans="2:10" ht="15" customHeight="1">
      <c r="B75" s="3007" t="str">
        <f>'Смета Внутр'!B75</f>
        <v>Мастика битумная</v>
      </c>
      <c r="C75" s="3007" t="str">
        <f>'Смета Внутр'!C75</f>
        <v>кг</v>
      </c>
      <c r="D75" s="3014">
        <f>'Смета Внутр'!D75</f>
        <v>0</v>
      </c>
      <c r="E75" s="1042">
        <f>'Смета Внутр'!E75</f>
        <v>100</v>
      </c>
      <c r="F75" s="1042">
        <f>'Смета Внутр'!F75</f>
        <v>0</v>
      </c>
      <c r="G75" s="3007">
        <f t="shared" si="4"/>
        <v>100</v>
      </c>
      <c r="H75" s="1042">
        <f>'Смета Внутр'!G75</f>
        <v>0</v>
      </c>
      <c r="I75" s="1042">
        <f>'Смета Внутр'!H75</f>
        <v>0</v>
      </c>
      <c r="J75" s="3014">
        <f>'Смета Внутр'!I75</f>
        <v>0</v>
      </c>
    </row>
    <row r="76" spans="2:10" ht="15" customHeight="1">
      <c r="B76" s="3007" t="str">
        <f>'Смета Внутр'!B76</f>
        <v>Блоки ФБС</v>
      </c>
      <c r="C76" s="3007" t="str">
        <f>'Смета Внутр'!C76</f>
        <v>м3</v>
      </c>
      <c r="D76" s="3014">
        <f>'Смета Внутр'!D76</f>
        <v>0</v>
      </c>
      <c r="E76" s="1042">
        <f>'Смета Внутр'!E76</f>
        <v>1200</v>
      </c>
      <c r="F76" s="1042">
        <f>'Смета Внутр'!F76</f>
        <v>0</v>
      </c>
      <c r="G76" s="3007">
        <f t="shared" si="4"/>
        <v>1200</v>
      </c>
      <c r="H76" s="1042">
        <f>'Смета Внутр'!G76</f>
        <v>0</v>
      </c>
      <c r="I76" s="1042">
        <f>'Смета Внутр'!H76</f>
        <v>0</v>
      </c>
      <c r="J76" s="3014">
        <f>'Смета Внутр'!I76</f>
        <v>0</v>
      </c>
    </row>
    <row r="77" spans="2:10" ht="15" customHeight="1">
      <c r="B77" s="3007" t="str">
        <f>'Смета Внутр'!B77</f>
        <v>Кладочная сетка, 100*100/150*150/200*200мм</v>
      </c>
      <c r="C77" s="3007" t="str">
        <f>'Смета Внутр'!C77</f>
        <v>м2</v>
      </c>
      <c r="D77" s="3014">
        <f>'Смета Внутр'!D77</f>
        <v>0</v>
      </c>
      <c r="E77" s="1042">
        <f>'Смета Внутр'!E77</f>
        <v>70</v>
      </c>
      <c r="F77" s="1042">
        <f>'Смета Внутр'!F77</f>
        <v>0</v>
      </c>
      <c r="G77" s="3007">
        <f t="shared" si="4"/>
        <v>70</v>
      </c>
      <c r="H77" s="1042">
        <f>'Смета Внутр'!G77</f>
        <v>0</v>
      </c>
      <c r="I77" s="1042">
        <f>'Смета Внутр'!H77</f>
        <v>0</v>
      </c>
      <c r="J77" s="3014">
        <f>'Смета Внутр'!I77</f>
        <v>0</v>
      </c>
    </row>
    <row r="78" spans="2:10" ht="15" customHeight="1">
      <c r="B78" s="3007" t="str">
        <f>'Смета Внутр'!B78</f>
        <v>Вязальная проволока</v>
      </c>
      <c r="C78" s="3007" t="str">
        <f>'Смета Внутр'!C78</f>
        <v>кг</v>
      </c>
      <c r="D78" s="3014">
        <f>'Смета Внутр'!D78</f>
        <v>0</v>
      </c>
      <c r="E78" s="1042">
        <f>'Смета Внутр'!E78</f>
        <v>80</v>
      </c>
      <c r="F78" s="1042">
        <f>'Смета Внутр'!F78</f>
        <v>0</v>
      </c>
      <c r="G78" s="3007">
        <f t="shared" si="4"/>
        <v>80</v>
      </c>
      <c r="H78" s="1042">
        <f>'Смета Внутр'!G78</f>
        <v>0</v>
      </c>
      <c r="I78" s="1042">
        <f>'Смета Внутр'!H78</f>
        <v>0</v>
      </c>
      <c r="J78" s="3014">
        <f>'Смета Внутр'!I78</f>
        <v>0</v>
      </c>
    </row>
    <row r="79" spans="2:10" ht="15" customHeight="1">
      <c r="B79" s="3007" t="str">
        <f>'Смета Внутр'!B79</f>
        <v>Раствор, м250</v>
      </c>
      <c r="C79" s="3007" t="str">
        <f>'Смета Внутр'!C79</f>
        <v>м3</v>
      </c>
      <c r="D79" s="3014">
        <f>'Смета Внутр'!D79</f>
        <v>0</v>
      </c>
      <c r="E79" s="1042">
        <f>'Смета Внутр'!E79</f>
        <v>2500</v>
      </c>
      <c r="F79" s="1042">
        <f>'Смета Внутр'!F79</f>
        <v>0</v>
      </c>
      <c r="G79" s="3007">
        <f t="shared" si="4"/>
        <v>2500</v>
      </c>
      <c r="H79" s="1042">
        <f>'Смета Внутр'!G79</f>
        <v>0</v>
      </c>
      <c r="I79" s="1042">
        <f>'Смета Внутр'!H79</f>
        <v>0</v>
      </c>
      <c r="J79" s="3014">
        <f>'Смета Внутр'!I79</f>
        <v>0</v>
      </c>
    </row>
    <row r="80" spans="2:10" ht="15" customHeight="1">
      <c r="B80" s="3007" t="str">
        <f>'Смета Внутр'!B80</f>
        <v>Сосна влаж,150*40мм</v>
      </c>
      <c r="C80" s="3007" t="str">
        <f>'Смета Внутр'!C80</f>
        <v>м3</v>
      </c>
      <c r="D80" s="3014">
        <f>'Смета Внутр'!D80</f>
        <v>0</v>
      </c>
      <c r="E80" s="1042">
        <f>'Смета Внутр'!E80</f>
        <v>6500</v>
      </c>
      <c r="F80" s="1042">
        <f>'Смета Внутр'!F80</f>
        <v>0</v>
      </c>
      <c r="G80" s="3007">
        <f t="shared" si="4"/>
        <v>6500</v>
      </c>
      <c r="H80" s="1042">
        <f>'Смета Внутр'!G80</f>
        <v>0</v>
      </c>
      <c r="I80" s="1042">
        <f>'Смета Внутр'!H80</f>
        <v>0</v>
      </c>
      <c r="J80" s="3014">
        <f>'Смета Внутр'!I80</f>
        <v>0</v>
      </c>
    </row>
    <row r="81" spans="2:10" ht="15" customHeight="1">
      <c r="B81" s="3007" t="str">
        <f>'Смета Внутр'!B81</f>
        <v>Арматура стальная Ø 10 </v>
      </c>
      <c r="C81" s="3007" t="str">
        <f>'Смета Внутр'!C81</f>
        <v>м.п.</v>
      </c>
      <c r="D81" s="3014">
        <f>'Смета Внутр'!D81</f>
        <v>0</v>
      </c>
      <c r="E81" s="1042">
        <f>'Смета Внутр'!E81</f>
        <v>21.0397</v>
      </c>
      <c r="F81" s="1042">
        <f>'Смета Внутр'!F81</f>
        <v>0</v>
      </c>
      <c r="G81" s="3007">
        <f t="shared" si="4"/>
        <v>21.0397</v>
      </c>
      <c r="H81" s="1042">
        <f>'Смета Внутр'!G81</f>
        <v>0</v>
      </c>
      <c r="I81" s="1042">
        <f>'Смета Внутр'!H81</f>
        <v>0</v>
      </c>
      <c r="J81" s="3014">
        <f>'Смета Внутр'!I81</f>
        <v>0</v>
      </c>
    </row>
    <row r="82" spans="2:10" ht="15" customHeight="1">
      <c r="B82" s="1042" t="str">
        <f>'Смета Внутр'!B82</f>
        <v>Нет арматуры</v>
      </c>
      <c r="C82" s="1042" t="str">
        <f>'Смета Внутр'!C82</f>
        <v>м.п.</v>
      </c>
      <c r="D82" s="1058">
        <f>'Смета Внутр'!D82</f>
        <v>0</v>
      </c>
      <c r="E82" s="1042">
        <f>'Смета Внутр'!E82</f>
        <v>0</v>
      </c>
      <c r="F82" s="1042">
        <f>'Смета Внутр'!F82</f>
        <v>0</v>
      </c>
      <c r="G82" s="1042">
        <f t="shared" si="4"/>
        <v>0</v>
      </c>
      <c r="H82" s="1042">
        <f>'Смета Внутр'!G82</f>
        <v>0</v>
      </c>
      <c r="I82" s="1042">
        <f>'Смета Внутр'!H82</f>
        <v>0</v>
      </c>
      <c r="J82" s="1058">
        <f>'Смета Внутр'!I82</f>
        <v>0</v>
      </c>
    </row>
    <row r="83" spans="2:10" ht="15" customHeight="1">
      <c r="B83" s="3007" t="str">
        <f>'Смета Внутр'!B83</f>
        <v>Бетон, м300</v>
      </c>
      <c r="C83" s="3007" t="str">
        <f>'Смета Внутр'!C83</f>
        <v>м3</v>
      </c>
      <c r="D83" s="3014">
        <f>'Смета Внутр'!D83</f>
        <v>0</v>
      </c>
      <c r="E83" s="1042">
        <f>'Смета Внутр'!E83</f>
        <v>3000</v>
      </c>
      <c r="F83" s="1042">
        <f>'Смета Внутр'!F83</f>
        <v>0</v>
      </c>
      <c r="G83" s="3007">
        <f t="shared" si="4"/>
        <v>3000</v>
      </c>
      <c r="H83" s="1042">
        <f>'Смета Внутр'!G83</f>
        <v>0</v>
      </c>
      <c r="I83" s="1042">
        <f>'Смета Внутр'!H83</f>
        <v>0</v>
      </c>
      <c r="J83" s="3014">
        <f>'Смета Внутр'!I83</f>
        <v>0</v>
      </c>
    </row>
    <row r="84" spans="2:10" ht="15" customHeight="1">
      <c r="B84" s="3007" t="str">
        <f>'Смета Внутр'!B84</f>
        <v xml:space="preserve">Праймер для обработки </v>
      </c>
      <c r="C84" s="3007" t="str">
        <f>'Смета Внутр'!C84</f>
        <v>л</v>
      </c>
      <c r="D84" s="3014">
        <f>'Смета Внутр'!D84</f>
        <v>0</v>
      </c>
      <c r="E84" s="1042">
        <f>'Смета Внутр'!E84</f>
        <v>100</v>
      </c>
      <c r="F84" s="1042">
        <f>'Смета Внутр'!F84</f>
        <v>0</v>
      </c>
      <c r="G84" s="3007">
        <f t="shared" si="4"/>
        <v>100</v>
      </c>
      <c r="H84" s="1042">
        <f>'Смета Внутр'!G84</f>
        <v>0</v>
      </c>
      <c r="I84" s="1042">
        <f>'Смета Внутр'!H84</f>
        <v>0</v>
      </c>
      <c r="J84" s="3014">
        <f>'Смета Внутр'!I84</f>
        <v>0</v>
      </c>
    </row>
    <row r="85" spans="2:10" ht="15" customHeight="1">
      <c r="B85" s="3007" t="str">
        <f>'Смета Внутр'!B85</f>
        <v>Плитный,28кг/м3, технониколь, 100мм</v>
      </c>
      <c r="C85" s="3007" t="str">
        <f>'Смета Внутр'!C85</f>
        <v>м3</v>
      </c>
      <c r="D85" s="3014">
        <f>'Смета Внутр'!D85</f>
        <v>0</v>
      </c>
      <c r="E85" s="1042">
        <f>'Смета Внутр'!E85</f>
        <v>1700</v>
      </c>
      <c r="F85" s="1042">
        <f>'Смета Внутр'!F85</f>
        <v>0</v>
      </c>
      <c r="G85" s="3007">
        <f t="shared" si="4"/>
        <v>1700</v>
      </c>
      <c r="H85" s="1042">
        <f>'Смета Внутр'!G85</f>
        <v>0</v>
      </c>
      <c r="I85" s="1042">
        <f>'Смета Внутр'!H85</f>
        <v>0</v>
      </c>
      <c r="J85" s="3014">
        <f>'Смета Внутр'!I85</f>
        <v>0</v>
      </c>
    </row>
    <row r="86" spans="2:10" ht="15" customHeight="1">
      <c r="B86" s="3007" t="str">
        <f>'Смета Внутр'!B86</f>
        <v>Грибок для крепления утеплителя</v>
      </c>
      <c r="C86" s="3007" t="str">
        <f>'Смета Внутр'!C86</f>
        <v>шт</v>
      </c>
      <c r="D86" s="3014">
        <f>'Смета Внутр'!D86</f>
        <v>0</v>
      </c>
      <c r="E86" s="1042">
        <f>'Смета Внутр'!E86</f>
        <v>15</v>
      </c>
      <c r="F86" s="1042">
        <f>'Смета Внутр'!F86</f>
        <v>0</v>
      </c>
      <c r="G86" s="3007">
        <f t="shared" si="4"/>
        <v>15</v>
      </c>
      <c r="H86" s="1042">
        <f>'Смета Внутр'!G86</f>
        <v>0</v>
      </c>
      <c r="I86" s="1042">
        <f>'Смета Внутр'!H86</f>
        <v>0</v>
      </c>
      <c r="J86" s="3014">
        <f>'Смета Внутр'!I86</f>
        <v>0</v>
      </c>
    </row>
    <row r="87" spans="2:10">
      <c r="B87" s="3311" t="str">
        <f>'Смета Внутр'!B87</f>
        <v>Итого материалы</v>
      </c>
      <c r="C87" s="3311"/>
      <c r="D87" s="3311"/>
      <c r="E87" s="3311"/>
      <c r="F87" s="3311"/>
      <c r="G87" s="3311"/>
      <c r="H87" s="1042">
        <f>'Смета Внутр'!G87</f>
        <v>0</v>
      </c>
      <c r="I87" s="1042">
        <f>'Смета Внутр'!H87</f>
        <v>0</v>
      </c>
      <c r="J87" s="3014">
        <f>'Смета Внутр'!I87</f>
        <v>0</v>
      </c>
    </row>
    <row r="88" spans="2:10" ht="15" customHeight="1">
      <c r="B88" s="3002" t="str">
        <f>'Смета Внутр'!B88</f>
        <v>Работы</v>
      </c>
      <c r="H88">
        <f>'Смета Внутр'!G88</f>
        <v>0</v>
      </c>
      <c r="I88">
        <f>'Смета Внутр'!H88</f>
        <v>0</v>
      </c>
      <c r="J88" s="3011">
        <f>'Смета Внутр'!I88</f>
        <v>0</v>
      </c>
    </row>
    <row r="89" spans="2:10" ht="15" customHeight="1">
      <c r="B89" s="3007" t="str">
        <f>'Смета Внутр'!B89</f>
        <v>обработка праймер</v>
      </c>
      <c r="C89" s="3007" t="str">
        <f>'Смета Внутр'!C89</f>
        <v>м2</v>
      </c>
      <c r="D89" s="3014">
        <f>'Смета Внутр'!D89</f>
        <v>0</v>
      </c>
      <c r="E89" s="1042">
        <f>'Смета Внутр'!E89</f>
        <v>200</v>
      </c>
      <c r="F89" s="1042">
        <f>'Смета Внутр'!F89</f>
        <v>0</v>
      </c>
      <c r="G89" s="3007">
        <f t="shared" ref="G89:G97" si="5">IF(E89&gt;F89,E89,F89)</f>
        <v>200</v>
      </c>
      <c r="H89" s="1042">
        <f>'Смета Внутр'!G89</f>
        <v>0</v>
      </c>
      <c r="I89" s="1042">
        <f>'Смета Внутр'!H89</f>
        <v>0</v>
      </c>
      <c r="J89" s="3014">
        <f>'Смета Внутр'!I89</f>
        <v>0</v>
      </c>
    </row>
    <row r="90" spans="2:10" ht="15" customHeight="1">
      <c r="B90" s="3007" t="str">
        <f>'Смета Внутр'!B90</f>
        <v>настил гидроизола</v>
      </c>
      <c r="C90" s="3007" t="str">
        <f>'Смета Внутр'!C90</f>
        <v>м2</v>
      </c>
      <c r="D90" s="3014">
        <f>'Смета Внутр'!D90</f>
        <v>0</v>
      </c>
      <c r="E90" s="1042">
        <f>'Смета Внутр'!E90</f>
        <v>100</v>
      </c>
      <c r="F90" s="1042">
        <f>'Смета Внутр'!F90</f>
        <v>0</v>
      </c>
      <c r="G90" s="3007">
        <f t="shared" si="5"/>
        <v>100</v>
      </c>
      <c r="H90" s="1042">
        <f>'Смета Внутр'!G90</f>
        <v>0</v>
      </c>
      <c r="I90" s="1042">
        <f>'Смета Внутр'!H90</f>
        <v>0</v>
      </c>
      <c r="J90" s="3014">
        <f>'Смета Внутр'!I90</f>
        <v>0</v>
      </c>
    </row>
    <row r="91" spans="2:10" ht="15" customHeight="1">
      <c r="B91" s="3007" t="str">
        <f>'Смета Внутр'!B91</f>
        <v>Кладка блоков ФБС</v>
      </c>
      <c r="C91" s="3007" t="str">
        <f>'Смета Внутр'!C91</f>
        <v>м3</v>
      </c>
      <c r="D91" s="3014">
        <f>'Смета Внутр'!D91</f>
        <v>0</v>
      </c>
      <c r="E91" s="1042">
        <f>'Смета Внутр'!E91</f>
        <v>1000</v>
      </c>
      <c r="F91" s="1042">
        <f>'Смета Внутр'!F91</f>
        <v>0</v>
      </c>
      <c r="G91" s="3007">
        <f t="shared" si="5"/>
        <v>1000</v>
      </c>
      <c r="H91" s="1042">
        <f>'Смета Внутр'!G91</f>
        <v>0</v>
      </c>
      <c r="I91" s="1042">
        <f>'Смета Внутр'!H91</f>
        <v>0</v>
      </c>
      <c r="J91" s="3014">
        <f>'Смета Внутр'!I91</f>
        <v>0</v>
      </c>
    </row>
    <row r="92" spans="2:10" ht="15" customHeight="1">
      <c r="B92" s="3007" t="str">
        <f>'Смета Внутр'!B92</f>
        <v>укладка сетки</v>
      </c>
      <c r="C92" s="3007" t="str">
        <f>'Смета Внутр'!C92</f>
        <v>м2</v>
      </c>
      <c r="D92" s="3014">
        <f>'Смета Внутр'!D92</f>
        <v>0</v>
      </c>
      <c r="E92" s="1042">
        <f>'Смета Внутр'!E92</f>
        <v>100</v>
      </c>
      <c r="F92" s="1042">
        <f>'Смета Внутр'!F92</f>
        <v>0</v>
      </c>
      <c r="G92" s="3007">
        <f t="shared" si="5"/>
        <v>100</v>
      </c>
      <c r="H92" s="1042">
        <f>'Смета Внутр'!G92</f>
        <v>0</v>
      </c>
      <c r="I92" s="1042">
        <f>'Смета Внутр'!H92</f>
        <v>0</v>
      </c>
      <c r="J92" s="3014">
        <f>'Смета Внутр'!I92</f>
        <v>0</v>
      </c>
    </row>
    <row r="93" spans="2:10" ht="15" customHeight="1">
      <c r="B93" s="3007" t="str">
        <f>'Смета Внутр'!B93</f>
        <v>гидроизоляция стен</v>
      </c>
      <c r="C93" s="3007" t="str">
        <f>'Смета Внутр'!C93</f>
        <v>м2</v>
      </c>
      <c r="D93" s="3014">
        <f>'Смета Внутр'!D93</f>
        <v>0</v>
      </c>
      <c r="E93" s="1042">
        <f>'Смета Внутр'!E93</f>
        <v>200</v>
      </c>
      <c r="F93" s="1042">
        <f>'Смета Внутр'!F93</f>
        <v>0</v>
      </c>
      <c r="G93" s="3007">
        <f t="shared" si="5"/>
        <v>200</v>
      </c>
      <c r="H93" s="1042">
        <f>'Смета Внутр'!G93</f>
        <v>0</v>
      </c>
      <c r="I93" s="1042">
        <f>'Смета Внутр'!H93</f>
        <v>0</v>
      </c>
      <c r="J93" s="3014">
        <f>'Смета Внутр'!I93</f>
        <v>0</v>
      </c>
    </row>
    <row r="94" spans="2:10" ht="15" customHeight="1">
      <c r="B94" s="3007" t="str">
        <f>'Смета Внутр'!B94</f>
        <v>Монтаж утеплителя стен наружних</v>
      </c>
      <c r="C94" s="3007" t="str">
        <f>'Смета Внутр'!C94</f>
        <v>м2</v>
      </c>
      <c r="D94" s="3014">
        <f>'Смета Внутр'!D94</f>
        <v>0</v>
      </c>
      <c r="E94" s="1042">
        <f>'Смета Внутр'!E94</f>
        <v>200</v>
      </c>
      <c r="F94" s="1042">
        <f>'Смета Внутр'!F94</f>
        <v>0</v>
      </c>
      <c r="G94" s="3007">
        <f t="shared" si="5"/>
        <v>200</v>
      </c>
      <c r="H94" s="1042">
        <f>'Смета Внутр'!G94</f>
        <v>0</v>
      </c>
      <c r="I94" s="1042">
        <f>'Смета Внутр'!H94</f>
        <v>0</v>
      </c>
      <c r="J94" s="3014">
        <f>'Смета Внутр'!I94</f>
        <v>0</v>
      </c>
    </row>
    <row r="95" spans="2:10" ht="15" customHeight="1">
      <c r="B95" s="3007" t="str">
        <f>'Смета Внутр'!B95</f>
        <v>сборка опалубки</v>
      </c>
      <c r="C95" s="3007" t="str">
        <f>'Смета Внутр'!C95</f>
        <v>м2</v>
      </c>
      <c r="D95" s="3014">
        <f>'Смета Внутр'!D95</f>
        <v>0</v>
      </c>
      <c r="E95" s="1042">
        <f>'Смета Внутр'!E95</f>
        <v>300</v>
      </c>
      <c r="F95" s="1042">
        <f>'Смета Внутр'!F95</f>
        <v>0</v>
      </c>
      <c r="G95" s="3007">
        <f t="shared" si="5"/>
        <v>300</v>
      </c>
      <c r="H95" s="1042">
        <f>'Смета Внутр'!G95</f>
        <v>0</v>
      </c>
      <c r="I95" s="1042">
        <f>'Смета Внутр'!H95</f>
        <v>0</v>
      </c>
      <c r="J95" s="3014">
        <f>'Смета Внутр'!I95</f>
        <v>0</v>
      </c>
    </row>
    <row r="96" spans="2:10" ht="15" customHeight="1">
      <c r="B96" s="3007" t="str">
        <f>'Смета Внутр'!B96</f>
        <v>разборка опалубки</v>
      </c>
      <c r="C96" s="3007" t="str">
        <f>'Смета Внутр'!C96</f>
        <v>м2</v>
      </c>
      <c r="D96" s="3014">
        <f>'Смета Внутр'!D96</f>
        <v>0</v>
      </c>
      <c r="E96" s="1042">
        <f>'Смета Внутр'!E96</f>
        <v>100</v>
      </c>
      <c r="F96" s="1042">
        <f>'Смета Внутр'!F96</f>
        <v>0</v>
      </c>
      <c r="G96" s="3007">
        <f t="shared" si="5"/>
        <v>100</v>
      </c>
      <c r="H96" s="1042">
        <f>'Смета Внутр'!G96</f>
        <v>0</v>
      </c>
      <c r="I96" s="1042">
        <f>'Смета Внутр'!H96</f>
        <v>0</v>
      </c>
      <c r="J96" s="3014">
        <f>'Смета Внутр'!I96</f>
        <v>0</v>
      </c>
    </row>
    <row r="97" spans="2:10" ht="15" customHeight="1">
      <c r="B97" s="3007" t="str">
        <f>'Смета Внутр'!B97</f>
        <v>приемка бетона</v>
      </c>
      <c r="C97" s="3007" t="str">
        <f>'Смета Внутр'!C97</f>
        <v>м3</v>
      </c>
      <c r="D97" s="3014">
        <f>'Смета Внутр'!D97</f>
        <v>0</v>
      </c>
      <c r="E97" s="1042">
        <f>'Смета Внутр'!E97</f>
        <v>350</v>
      </c>
      <c r="F97" s="1042">
        <f>'Смета Внутр'!F97</f>
        <v>0</v>
      </c>
      <c r="G97" s="3007">
        <f t="shared" si="5"/>
        <v>350</v>
      </c>
      <c r="H97" s="1042">
        <f>'Смета Внутр'!G97</f>
        <v>0</v>
      </c>
      <c r="I97" s="1042">
        <f>'Смета Внутр'!H97</f>
        <v>0</v>
      </c>
      <c r="J97" s="3014">
        <f>'Смета Внутр'!I97</f>
        <v>0</v>
      </c>
    </row>
    <row r="98" spans="2:10" ht="15" customHeight="1">
      <c r="B98" s="3311" t="str">
        <f>'Смета Внутр'!B98</f>
        <v>Итого работы</v>
      </c>
      <c r="C98" s="3311"/>
      <c r="D98" s="3311"/>
      <c r="E98" s="3311"/>
      <c r="F98" s="3311"/>
      <c r="G98" s="3311"/>
      <c r="H98" s="1042">
        <f>'Смета Внутр'!G98</f>
        <v>0</v>
      </c>
      <c r="I98" s="1042">
        <f>'Смета Внутр'!H98</f>
        <v>0</v>
      </c>
      <c r="J98" s="3014">
        <f>'Смета Внутр'!I98</f>
        <v>0</v>
      </c>
    </row>
    <row r="99" spans="2:10" ht="15" customHeight="1">
      <c r="B99" s="3329" t="str">
        <f>'Смета Внутр'!B99</f>
        <v>Цокольный этаж из Монолит (бетон)</v>
      </c>
      <c r="C99" s="3329"/>
      <c r="D99" s="3329"/>
      <c r="H99">
        <f>'Смета Внутр'!G99</f>
        <v>0</v>
      </c>
      <c r="I99">
        <f>'Смета Внутр'!H99</f>
        <v>0</v>
      </c>
      <c r="J99" s="3027">
        <f>'Смета Внутр'!I99</f>
        <v>0</v>
      </c>
    </row>
    <row r="100" spans="2:10" ht="15" customHeight="1">
      <c r="B100" s="3002" t="str">
        <f>'Смета Внутр'!B100</f>
        <v>Материалы</v>
      </c>
      <c r="D100" s="1167"/>
      <c r="H100">
        <f>'Смета Внутр'!G100</f>
        <v>0</v>
      </c>
      <c r="I100">
        <f>'Смета Внутр'!H100</f>
        <v>0</v>
      </c>
      <c r="J100" s="3027">
        <f>'Смета Внутр'!I100</f>
        <v>0</v>
      </c>
    </row>
    <row r="101" spans="2:10" ht="15" customHeight="1">
      <c r="B101" s="1042" t="str">
        <f>'Смета Внутр'!B101</f>
        <v xml:space="preserve">Праймер для обработки </v>
      </c>
      <c r="C101" s="1042" t="str">
        <f>'Смета Внутр'!C101</f>
        <v>л</v>
      </c>
      <c r="D101" s="1058">
        <f>'Смета Внутр'!D101</f>
        <v>0</v>
      </c>
      <c r="E101" s="1042">
        <f>'Смета Внутр'!E101</f>
        <v>100</v>
      </c>
      <c r="F101" s="1042">
        <f>'Смета Внутр'!F101</f>
        <v>0</v>
      </c>
      <c r="G101" s="1042">
        <f t="shared" ref="G101:G111" si="6">IF(E101&gt;F101,E101,F101)</f>
        <v>100</v>
      </c>
      <c r="H101" s="1042">
        <f>'Смета Внутр'!G101</f>
        <v>0</v>
      </c>
      <c r="I101" s="1042">
        <f>'Смета Внутр'!H101</f>
        <v>0</v>
      </c>
      <c r="J101" s="1058">
        <f>'Смета Внутр'!I101</f>
        <v>0</v>
      </c>
    </row>
    <row r="102" spans="2:10" ht="15" customHeight="1">
      <c r="B102" s="1042" t="str">
        <f>'Смета Внутр'!B102</f>
        <v>Гидроизол</v>
      </c>
      <c r="C102" s="1042" t="str">
        <f>'Смета Внутр'!C102</f>
        <v>м2</v>
      </c>
      <c r="D102" s="1058">
        <f>'Смета Внутр'!D102</f>
        <v>0</v>
      </c>
      <c r="E102" s="1042">
        <f>'Смета Внутр'!E102</f>
        <v>70</v>
      </c>
      <c r="F102" s="1042">
        <f>'Смета Внутр'!F102</f>
        <v>0</v>
      </c>
      <c r="G102" s="1042">
        <f t="shared" si="6"/>
        <v>70</v>
      </c>
      <c r="H102" s="1042">
        <f>'Смета Внутр'!G102</f>
        <v>0</v>
      </c>
      <c r="I102" s="1042">
        <f>'Смета Внутр'!H102</f>
        <v>0</v>
      </c>
      <c r="J102" s="1058">
        <f>'Смета Внутр'!I102</f>
        <v>0</v>
      </c>
    </row>
    <row r="103" spans="2:10" ht="15" customHeight="1">
      <c r="B103" s="1042" t="str">
        <f>'Смета Внутр'!B103</f>
        <v>Мастика битумная</v>
      </c>
      <c r="C103" s="1042" t="str">
        <f>'Смета Внутр'!C103</f>
        <v>кг</v>
      </c>
      <c r="D103" s="1058">
        <f>'Смета Внутр'!D103</f>
        <v>0</v>
      </c>
      <c r="E103" s="1042">
        <f>'Смета Внутр'!E103</f>
        <v>100</v>
      </c>
      <c r="F103" s="1042">
        <f>'Смета Внутр'!F103</f>
        <v>0</v>
      </c>
      <c r="G103" s="1042">
        <f t="shared" si="6"/>
        <v>100</v>
      </c>
      <c r="H103" s="1042">
        <f>'Смета Внутр'!G103</f>
        <v>0</v>
      </c>
      <c r="I103" s="1042">
        <f>'Смета Внутр'!H103</f>
        <v>0</v>
      </c>
      <c r="J103" s="1058">
        <f>'Смета Внутр'!I103</f>
        <v>0</v>
      </c>
    </row>
    <row r="104" spans="2:10" ht="15" customHeight="1">
      <c r="B104" s="1042" t="str">
        <f>'Смета Внутр'!B104</f>
        <v>Сосна влаж,150*40мм</v>
      </c>
      <c r="C104" s="1042" t="str">
        <f>'Смета Внутр'!C104</f>
        <v>м3</v>
      </c>
      <c r="D104" s="1058">
        <f>'Смета Внутр'!D104</f>
        <v>0</v>
      </c>
      <c r="E104" s="1042">
        <f>'Смета Внутр'!E104</f>
        <v>6500</v>
      </c>
      <c r="F104" s="1042">
        <f>'Смета Внутр'!F104</f>
        <v>0</v>
      </c>
      <c r="G104" s="1042">
        <f t="shared" si="6"/>
        <v>6500</v>
      </c>
      <c r="H104" s="1042">
        <f>'Смета Внутр'!G104</f>
        <v>0</v>
      </c>
      <c r="I104" s="1042">
        <f>'Смета Внутр'!H104</f>
        <v>0</v>
      </c>
      <c r="J104" s="1058">
        <f>'Смета Внутр'!I104</f>
        <v>0</v>
      </c>
    </row>
    <row r="105" spans="2:10" ht="15" customHeight="1">
      <c r="B105" s="1042" t="str">
        <f>'Смета Внутр'!B105</f>
        <v>Крепления для опалубки</v>
      </c>
      <c r="C105" s="1042" t="str">
        <f>'Смета Внутр'!C105</f>
        <v>шт</v>
      </c>
      <c r="D105" s="1058">
        <f>'Смета Внутр'!D105</f>
        <v>0</v>
      </c>
      <c r="E105" s="1042">
        <f>'Смета Внутр'!E105</f>
        <v>20</v>
      </c>
      <c r="F105" s="1042">
        <f>'Смета Внутр'!F105</f>
        <v>0</v>
      </c>
      <c r="G105" s="1042">
        <f t="shared" si="6"/>
        <v>20</v>
      </c>
      <c r="H105" s="1042">
        <f>'Смета Внутр'!G105</f>
        <v>0</v>
      </c>
      <c r="I105" s="1042">
        <f>'Смета Внутр'!H105</f>
        <v>0</v>
      </c>
      <c r="J105" s="1058">
        <f>'Смета Внутр'!I105</f>
        <v>0</v>
      </c>
    </row>
    <row r="106" spans="2:10" ht="15" customHeight="1">
      <c r="B106" s="1042" t="str">
        <f>'Смета Внутр'!B106</f>
        <v>Арматура стальная Ø 12</v>
      </c>
      <c r="C106" s="1042" t="str">
        <f>'Смета Внутр'!C106</f>
        <v>м.п.</v>
      </c>
      <c r="D106" s="1058">
        <f>'Смета Внутр'!D106</f>
        <v>0</v>
      </c>
      <c r="E106" s="1042">
        <f>'Смета Внутр'!E106</f>
        <v>29.215199999999999</v>
      </c>
      <c r="F106" s="1042">
        <f>'Смета Внутр'!F106</f>
        <v>0</v>
      </c>
      <c r="G106" s="1042">
        <f t="shared" si="6"/>
        <v>29.215199999999999</v>
      </c>
      <c r="H106" s="1042">
        <f>'Смета Внутр'!G106</f>
        <v>0</v>
      </c>
      <c r="I106" s="1042">
        <f>'Смета Внутр'!H106</f>
        <v>0</v>
      </c>
      <c r="J106" s="1058">
        <f>'Смета Внутр'!I106</f>
        <v>0</v>
      </c>
    </row>
    <row r="107" spans="2:10" ht="15" customHeight="1">
      <c r="B107" s="1042" t="str">
        <f>'Смета Внутр'!B107</f>
        <v>Вязальная проволока</v>
      </c>
      <c r="C107" s="1042" t="str">
        <f>'Смета Внутр'!C107</f>
        <v>кг</v>
      </c>
      <c r="D107" s="1058">
        <f>'Смета Внутр'!D107</f>
        <v>0</v>
      </c>
      <c r="E107" s="1042">
        <f>'Смета Внутр'!E107</f>
        <v>80</v>
      </c>
      <c r="F107" s="1042">
        <f>'Смета Внутр'!F107</f>
        <v>0</v>
      </c>
      <c r="G107" s="1042">
        <f t="shared" si="6"/>
        <v>80</v>
      </c>
      <c r="H107" s="1042">
        <f>'Смета Внутр'!G107</f>
        <v>0</v>
      </c>
      <c r="I107" s="1042">
        <f>'Смета Внутр'!H107</f>
        <v>0</v>
      </c>
      <c r="J107" s="1058">
        <f>'Смета Внутр'!I107</f>
        <v>0</v>
      </c>
    </row>
    <row r="108" spans="2:10" ht="15" customHeight="1">
      <c r="B108" s="1042" t="str">
        <f>'Смета Внутр'!B108</f>
        <v>Бетон, м300</v>
      </c>
      <c r="C108" s="1042" t="str">
        <f>'Смета Внутр'!C108</f>
        <v>м3</v>
      </c>
      <c r="D108" s="1058">
        <f>'Смета Внутр'!D108</f>
        <v>0</v>
      </c>
      <c r="E108" s="1042">
        <f>'Смета Внутр'!E108</f>
        <v>3000</v>
      </c>
      <c r="F108" s="1042">
        <f>'Смета Внутр'!F108</f>
        <v>0</v>
      </c>
      <c r="G108" s="1042">
        <f t="shared" si="6"/>
        <v>3000</v>
      </c>
      <c r="H108" s="1042">
        <f>'Смета Внутр'!G108</f>
        <v>0</v>
      </c>
      <c r="I108" s="1042">
        <f>'Смета Внутр'!H108</f>
        <v>0</v>
      </c>
      <c r="J108" s="1058">
        <f>'Смета Внутр'!I108</f>
        <v>0</v>
      </c>
    </row>
    <row r="109" spans="2:10" ht="15" customHeight="1">
      <c r="B109" s="1042" t="str">
        <f>'Смета Внутр'!B109</f>
        <v xml:space="preserve">Праймер для обработки </v>
      </c>
      <c r="C109" s="1042" t="str">
        <f>'Смета Внутр'!C109</f>
        <v>кг</v>
      </c>
      <c r="D109" s="1058">
        <f>'Смета Внутр'!D109</f>
        <v>0</v>
      </c>
      <c r="E109" s="1042">
        <f>'Смета Внутр'!E109</f>
        <v>100</v>
      </c>
      <c r="F109" s="1042">
        <f>'Смета Внутр'!F109</f>
        <v>0</v>
      </c>
      <c r="G109" s="1042">
        <f t="shared" si="6"/>
        <v>100</v>
      </c>
      <c r="H109" s="1042">
        <f>'Смета Внутр'!G109</f>
        <v>0</v>
      </c>
      <c r="I109" s="1042">
        <f>'Смета Внутр'!H109</f>
        <v>0</v>
      </c>
      <c r="J109" s="1058">
        <f>'Смета Внутр'!I109</f>
        <v>0</v>
      </c>
    </row>
    <row r="110" spans="2:10" ht="15" customHeight="1">
      <c r="B110" s="1042" t="str">
        <f>'Смета Внутр'!B110</f>
        <v>Плитный,28кг/м3, технониколь, 100мм</v>
      </c>
      <c r="C110" s="1042" t="str">
        <f>'Смета Внутр'!C110</f>
        <v>м3</v>
      </c>
      <c r="D110" s="1058">
        <f>'Смета Внутр'!D110</f>
        <v>0</v>
      </c>
      <c r="E110" s="1042">
        <f>'Смета Внутр'!E110</f>
        <v>1700</v>
      </c>
      <c r="F110" s="1042">
        <f>'Смета Внутр'!F110</f>
        <v>0</v>
      </c>
      <c r="G110" s="1042">
        <f t="shared" si="6"/>
        <v>1700</v>
      </c>
      <c r="H110" s="1042">
        <f>'Смета Внутр'!G110</f>
        <v>0</v>
      </c>
      <c r="I110" s="1042">
        <f>'Смета Внутр'!H110</f>
        <v>0</v>
      </c>
      <c r="J110" s="1058">
        <f>'Смета Внутр'!I110</f>
        <v>0</v>
      </c>
    </row>
    <row r="111" spans="2:10" ht="15" customHeight="1">
      <c r="B111" s="1042" t="str">
        <f>'Смета Внутр'!B111</f>
        <v>Грибок для крепления утеплителя</v>
      </c>
      <c r="C111" s="1042" t="str">
        <f>'Смета Внутр'!C111</f>
        <v>шт</v>
      </c>
      <c r="D111" s="1058">
        <f>'Смета Внутр'!D111</f>
        <v>0</v>
      </c>
      <c r="E111" s="1042">
        <f>'Смета Внутр'!E111</f>
        <v>15</v>
      </c>
      <c r="F111" s="1042">
        <f>'Смета Внутр'!F111</f>
        <v>0</v>
      </c>
      <c r="G111" s="1042">
        <f t="shared" si="6"/>
        <v>15</v>
      </c>
      <c r="H111" s="1042">
        <f>'Смета Внутр'!G111</f>
        <v>0</v>
      </c>
      <c r="I111" s="1042">
        <f>'Смета Внутр'!H111</f>
        <v>0</v>
      </c>
      <c r="J111" s="1058">
        <f>'Смета Внутр'!I111</f>
        <v>0</v>
      </c>
    </row>
    <row r="112" spans="2:10">
      <c r="B112" s="3330" t="str">
        <f>'Смета Внутр'!B112</f>
        <v>Итого материалы</v>
      </c>
      <c r="C112" s="3330"/>
      <c r="D112" s="3330"/>
      <c r="E112" s="3330"/>
      <c r="F112" s="3330"/>
      <c r="G112" s="3330"/>
      <c r="H112" s="1042">
        <f>'Смета Внутр'!G112</f>
        <v>0</v>
      </c>
      <c r="I112" s="1042">
        <f>'Смета Внутр'!H112</f>
        <v>0</v>
      </c>
      <c r="J112" s="1058">
        <f>'Смета Внутр'!I112</f>
        <v>0</v>
      </c>
    </row>
    <row r="113" spans="2:10" ht="15" customHeight="1">
      <c r="B113" s="3002" t="str">
        <f>'Смета Внутр'!B113</f>
        <v>Работы</v>
      </c>
      <c r="D113" s="1167"/>
      <c r="H113">
        <f>'Смета Внутр'!G113</f>
        <v>0</v>
      </c>
      <c r="I113">
        <f>'Смета Внутр'!H113</f>
        <v>0</v>
      </c>
      <c r="J113" s="3027">
        <f>'Смета Внутр'!I113</f>
        <v>0</v>
      </c>
    </row>
    <row r="114" spans="2:10" ht="15" customHeight="1">
      <c r="B114" s="1042" t="str">
        <f>'Смета Внутр'!B114</f>
        <v>обработка праймер</v>
      </c>
      <c r="C114" s="1042" t="str">
        <f>'Смета Внутр'!C114</f>
        <v>м2</v>
      </c>
      <c r="D114" s="1058">
        <f>'Смета Внутр'!D114</f>
        <v>0</v>
      </c>
      <c r="E114" s="1042">
        <f>'Смета Внутр'!E114</f>
        <v>200</v>
      </c>
      <c r="F114" s="1042">
        <f>'Смета Внутр'!F114</f>
        <v>0</v>
      </c>
      <c r="G114" s="1042">
        <f t="shared" ref="G114:G121" si="7">IF(E114&gt;F114,E114,F114)</f>
        <v>200</v>
      </c>
      <c r="H114" s="1042">
        <f>'Смета Внутр'!G114</f>
        <v>0</v>
      </c>
      <c r="I114" s="1042">
        <f>'Смета Внутр'!H114</f>
        <v>0</v>
      </c>
      <c r="J114" s="1058">
        <f>'Смета Внутр'!I114</f>
        <v>0</v>
      </c>
    </row>
    <row r="115" spans="2:10" ht="15" customHeight="1">
      <c r="B115" s="1042" t="str">
        <f>'Смета Внутр'!B115</f>
        <v>настил гидроизола</v>
      </c>
      <c r="C115" s="1042" t="str">
        <f>'Смета Внутр'!C115</f>
        <v>м2</v>
      </c>
      <c r="D115" s="1058">
        <f>'Смета Внутр'!D115</f>
        <v>0</v>
      </c>
      <c r="E115" s="1042">
        <f>'Смета Внутр'!E115</f>
        <v>100</v>
      </c>
      <c r="F115" s="1042">
        <f>'Смета Внутр'!F115</f>
        <v>0</v>
      </c>
      <c r="G115" s="1042">
        <f t="shared" si="7"/>
        <v>100</v>
      </c>
      <c r="H115" s="1042">
        <f>'Смета Внутр'!G115</f>
        <v>0</v>
      </c>
      <c r="I115" s="1042">
        <f>'Смета Внутр'!H115</f>
        <v>0</v>
      </c>
      <c r="J115" s="1058">
        <f>'Смета Внутр'!I115</f>
        <v>0</v>
      </c>
    </row>
    <row r="116" spans="2:10" ht="15" customHeight="1">
      <c r="B116" s="1042" t="str">
        <f>'Смета Внутр'!B116</f>
        <v>вязка арматуры</v>
      </c>
      <c r="C116" s="1042" t="str">
        <f>'Смета Внутр'!C116</f>
        <v>м.п.</v>
      </c>
      <c r="D116" s="1058">
        <f>'Смета Внутр'!D116</f>
        <v>0</v>
      </c>
      <c r="E116" s="1042">
        <f>'Смета Внутр'!E116</f>
        <v>300</v>
      </c>
      <c r="F116" s="1042">
        <f>'Смета Внутр'!F116</f>
        <v>0</v>
      </c>
      <c r="G116" s="1042">
        <f t="shared" si="7"/>
        <v>300</v>
      </c>
      <c r="H116" s="1042">
        <f>'Смета Внутр'!G116</f>
        <v>0</v>
      </c>
      <c r="I116" s="1042">
        <f>'Смета Внутр'!H116</f>
        <v>0</v>
      </c>
      <c r="J116" s="1058">
        <f>'Смета Внутр'!I116</f>
        <v>0</v>
      </c>
    </row>
    <row r="117" spans="2:10" ht="15" customHeight="1">
      <c r="B117" s="1042" t="str">
        <f>'Смета Внутр'!B117</f>
        <v>сборка опалубки</v>
      </c>
      <c r="C117" s="1042" t="str">
        <f>'Смета Внутр'!C117</f>
        <v>м2</v>
      </c>
      <c r="D117" s="1058">
        <f>'Смета Внутр'!D117</f>
        <v>0</v>
      </c>
      <c r="E117" s="1042">
        <f>'Смета Внутр'!E117</f>
        <v>300</v>
      </c>
      <c r="F117" s="1042">
        <f>'Смета Внутр'!F117</f>
        <v>0</v>
      </c>
      <c r="G117" s="1042">
        <f t="shared" si="7"/>
        <v>300</v>
      </c>
      <c r="H117" s="1042">
        <f>'Смета Внутр'!G117</f>
        <v>0</v>
      </c>
      <c r="I117" s="1042">
        <f>'Смета Внутр'!H117</f>
        <v>0</v>
      </c>
      <c r="J117" s="1058">
        <f>'Смета Внутр'!I117</f>
        <v>0</v>
      </c>
    </row>
    <row r="118" spans="2:10" ht="15" customHeight="1">
      <c r="B118" s="1042" t="str">
        <f>'Смета Внутр'!B118</f>
        <v>разборка опалубки</v>
      </c>
      <c r="C118" s="1042" t="str">
        <f>'Смета Внутр'!C118</f>
        <v>м2</v>
      </c>
      <c r="D118" s="1058">
        <f>'Смета Внутр'!D118</f>
        <v>0</v>
      </c>
      <c r="E118" s="1042">
        <f>'Смета Внутр'!E118</f>
        <v>100</v>
      </c>
      <c r="F118" s="1042">
        <f>'Смета Внутр'!F118</f>
        <v>0</v>
      </c>
      <c r="G118" s="1042">
        <f t="shared" si="7"/>
        <v>100</v>
      </c>
      <c r="H118" s="1042">
        <f>'Смета Внутр'!G118</f>
        <v>0</v>
      </c>
      <c r="I118" s="1042">
        <f>'Смета Внутр'!H118</f>
        <v>0</v>
      </c>
      <c r="J118" s="1058">
        <f>'Смета Внутр'!I118</f>
        <v>0</v>
      </c>
    </row>
    <row r="119" spans="2:10" ht="15" customHeight="1">
      <c r="B119" s="1042" t="str">
        <f>'Смета Внутр'!B119</f>
        <v>приемка бетона</v>
      </c>
      <c r="C119" s="1042" t="str">
        <f>'Смета Внутр'!C119</f>
        <v>м3</v>
      </c>
      <c r="D119" s="1058">
        <f>'Смета Внутр'!D119</f>
        <v>0</v>
      </c>
      <c r="E119" s="1042">
        <f>'Смета Внутр'!E119</f>
        <v>1200</v>
      </c>
      <c r="F119" s="1042">
        <f>'Смета Внутр'!F119</f>
        <v>0</v>
      </c>
      <c r="G119" s="1042">
        <f t="shared" si="7"/>
        <v>1200</v>
      </c>
      <c r="H119" s="1042">
        <f>'Смета Внутр'!G119</f>
        <v>0</v>
      </c>
      <c r="I119" s="1042">
        <f>'Смета Внутр'!H119</f>
        <v>0</v>
      </c>
      <c r="J119" s="1058">
        <f>'Смета Внутр'!I119</f>
        <v>0</v>
      </c>
    </row>
    <row r="120" spans="2:10" ht="15" customHeight="1">
      <c r="B120" s="1042" t="str">
        <f>'Смета Внутр'!B120</f>
        <v>гидроизоляция стен</v>
      </c>
      <c r="C120" s="1042" t="str">
        <f>'Смета Внутр'!C120</f>
        <v>м2</v>
      </c>
      <c r="D120" s="1058">
        <f>'Смета Внутр'!D120</f>
        <v>0</v>
      </c>
      <c r="E120" s="1042">
        <f>'Смета Внутр'!E120</f>
        <v>200</v>
      </c>
      <c r="F120" s="1042">
        <f>'Смета Внутр'!F120</f>
        <v>0</v>
      </c>
      <c r="G120" s="1042">
        <f t="shared" si="7"/>
        <v>200</v>
      </c>
      <c r="H120" s="1042">
        <f>'Смета Внутр'!G120</f>
        <v>0</v>
      </c>
      <c r="I120" s="1042">
        <f>'Смета Внутр'!H120</f>
        <v>0</v>
      </c>
      <c r="J120" s="1058">
        <f>'Смета Внутр'!I120</f>
        <v>0</v>
      </c>
    </row>
    <row r="121" spans="2:10" ht="15" customHeight="1">
      <c r="B121" s="1042" t="str">
        <f>'Смета Внутр'!B121</f>
        <v>утепление фундамента</v>
      </c>
      <c r="C121" s="1042" t="str">
        <f>'Смета Внутр'!C121</f>
        <v>м2</v>
      </c>
      <c r="D121" s="1058">
        <f>'Смета Внутр'!D121</f>
        <v>0</v>
      </c>
      <c r="E121" s="1042">
        <f>'Смета Внутр'!E121</f>
        <v>200</v>
      </c>
      <c r="F121" s="1042">
        <f>'Смета Внутр'!F121</f>
        <v>0</v>
      </c>
      <c r="G121" s="1042">
        <f t="shared" si="7"/>
        <v>200</v>
      </c>
      <c r="H121" s="1042">
        <f>'Смета Внутр'!G121</f>
        <v>0</v>
      </c>
      <c r="I121" s="1042">
        <f>'Смета Внутр'!H121</f>
        <v>0</v>
      </c>
      <c r="J121" s="1058">
        <f>'Смета Внутр'!I121</f>
        <v>0</v>
      </c>
    </row>
    <row r="122" spans="2:10" ht="15" customHeight="1">
      <c r="B122" s="3330" t="str">
        <f>'Смета Внутр'!B122</f>
        <v>Итого работы</v>
      </c>
      <c r="C122" s="3330"/>
      <c r="D122" s="3330"/>
      <c r="E122" s="3330"/>
      <c r="F122" s="3330"/>
      <c r="G122" s="3330"/>
      <c r="H122" s="1042">
        <f>'Смета Внутр'!G122</f>
        <v>0</v>
      </c>
      <c r="I122" s="1042">
        <f>'Смета Внутр'!H122</f>
        <v>0</v>
      </c>
      <c r="J122" s="1058">
        <f>'Смета Внутр'!I122</f>
        <v>0</v>
      </c>
    </row>
    <row r="123" spans="2:10" ht="15" customHeight="1">
      <c r="B123" s="3329" t="str">
        <f>'Смета Внутр'!B123</f>
        <v>Винтовые сваи для дома</v>
      </c>
      <c r="C123" s="3329"/>
      <c r="D123" s="3329"/>
      <c r="H123">
        <f>'Смета Внутр'!G123</f>
        <v>0</v>
      </c>
      <c r="I123">
        <f>'Смета Внутр'!H123</f>
        <v>0</v>
      </c>
      <c r="J123" s="3027">
        <f>'Смета Внутр'!I123</f>
        <v>0</v>
      </c>
    </row>
    <row r="124" spans="2:10" ht="15" customHeight="1">
      <c r="B124" s="3002" t="str">
        <f>'Смета Внутр'!B124</f>
        <v>Материалы</v>
      </c>
      <c r="D124" s="1167"/>
      <c r="H124">
        <f>'Смета Внутр'!G124</f>
        <v>0</v>
      </c>
      <c r="I124">
        <f>'Смета Внутр'!H124</f>
        <v>0</v>
      </c>
      <c r="J124" s="3027">
        <f>'Смета Внутр'!I124</f>
        <v>0</v>
      </c>
    </row>
    <row r="125" spans="2:10" ht="15" customHeight="1">
      <c r="B125" s="1042" t="str">
        <f>'Смета Внутр'!B125</f>
        <v>пробное забуривание</v>
      </c>
      <c r="C125" s="1042" t="str">
        <f>'Смета Внутр'!C125</f>
        <v>шт</v>
      </c>
      <c r="D125" s="1058">
        <f>'Смета Внутр'!D125</f>
        <v>1</v>
      </c>
      <c r="E125" s="1042">
        <f>'Смета Внутр'!E125</f>
        <v>5000</v>
      </c>
      <c r="F125" s="1042">
        <f>'Смета Внутр'!F125</f>
        <v>0</v>
      </c>
      <c r="G125" s="1042">
        <f t="shared" ref="G125:G130" si="8">IF(E125&gt;F125,E125,F125)</f>
        <v>5000</v>
      </c>
      <c r="H125" s="1042">
        <f>'Смета Внутр'!G125</f>
        <v>5000</v>
      </c>
      <c r="I125" s="1042">
        <f>'Смета Внутр'!H125</f>
        <v>0</v>
      </c>
      <c r="J125" s="1058">
        <f>'Смета Внутр'!I125</f>
        <v>0</v>
      </c>
    </row>
    <row r="126" spans="2:10" ht="15" customHeight="1">
      <c r="B126" s="1042" t="str">
        <f>'Смета Внутр'!B126</f>
        <v>108мм, 2,5м длина, 1 лопасть</v>
      </c>
      <c r="C126" s="1042" t="str">
        <f>'Смета Внутр'!C126</f>
        <v>шт</v>
      </c>
      <c r="D126" s="1058">
        <f>'Смета Внутр'!D126</f>
        <v>25</v>
      </c>
      <c r="E126" s="1042">
        <f>'Смета Внутр'!E126</f>
        <v>1950</v>
      </c>
      <c r="F126" s="1042">
        <f>'Смета Внутр'!F126</f>
        <v>0</v>
      </c>
      <c r="G126" s="1042">
        <f t="shared" si="8"/>
        <v>1950</v>
      </c>
      <c r="H126" s="1042">
        <f>'Смета Внутр'!G126</f>
        <v>48750</v>
      </c>
      <c r="I126" s="1042">
        <f>'Смета Внутр'!H126</f>
        <v>0</v>
      </c>
      <c r="J126" s="1058">
        <f>'Смета Внутр'!I126</f>
        <v>0</v>
      </c>
    </row>
    <row r="127" spans="2:10" ht="15" customHeight="1">
      <c r="B127" s="1042" t="str">
        <f>'Смета Внутр'!B127</f>
        <v>Оголовкок для свай 200*200</v>
      </c>
      <c r="C127" s="1042" t="str">
        <f>'Смета Внутр'!C127</f>
        <v>шт</v>
      </c>
      <c r="D127" s="1058">
        <f>'Смета Внутр'!D127</f>
        <v>25</v>
      </c>
      <c r="E127" s="1042">
        <f>'Смета Внутр'!E127</f>
        <v>250</v>
      </c>
      <c r="F127" s="1042">
        <f>'Смета Внутр'!F127</f>
        <v>0</v>
      </c>
      <c r="G127" s="1042">
        <f t="shared" si="8"/>
        <v>250</v>
      </c>
      <c r="H127" s="1042">
        <f>'Смета Внутр'!G127</f>
        <v>6250</v>
      </c>
      <c r="I127" s="1042">
        <f>'Смета Внутр'!H127</f>
        <v>0</v>
      </c>
      <c r="J127" s="1058">
        <f>'Смета Внутр'!I127</f>
        <v>0</v>
      </c>
    </row>
    <row r="128" spans="2:10" ht="15" customHeight="1">
      <c r="B128" s="1042" t="str">
        <f>'Смета Внутр'!B128</f>
        <v>обвязка металлом</v>
      </c>
      <c r="C128" s="1042" t="str">
        <f>'Смета Внутр'!C128</f>
        <v>м.п.</v>
      </c>
      <c r="D128" s="1058">
        <f>'Смета Внутр'!D128</f>
        <v>56</v>
      </c>
      <c r="E128" s="1042">
        <f>'Смета Внутр'!E128</f>
        <v>100</v>
      </c>
      <c r="F128" s="1042">
        <f>'Смета Внутр'!F128</f>
        <v>0</v>
      </c>
      <c r="G128" s="1042">
        <f t="shared" si="8"/>
        <v>100</v>
      </c>
      <c r="H128" s="1042">
        <f>'Смета Внутр'!G128</f>
        <v>5600</v>
      </c>
      <c r="I128" s="1042">
        <f>'Смета Внутр'!H128</f>
        <v>0</v>
      </c>
      <c r="J128" s="1058">
        <f>'Смета Внутр'!I128</f>
        <v>0</v>
      </c>
    </row>
    <row r="129" spans="2:10" ht="15" customHeight="1">
      <c r="B129" s="1042" t="str">
        <f>'Смета Внутр'!B129</f>
        <v>Раствор, м200</v>
      </c>
      <c r="C129" s="1042" t="str">
        <f>'Смета Внутр'!C129</f>
        <v>м3</v>
      </c>
      <c r="D129" s="1058">
        <f>'Смета Внутр'!D129</f>
        <v>1.1304000000000001</v>
      </c>
      <c r="E129" s="1042">
        <f>'Смета Внутр'!E129</f>
        <v>2100</v>
      </c>
      <c r="F129" s="1042">
        <f>'Смета Внутр'!F129</f>
        <v>0</v>
      </c>
      <c r="G129" s="1042">
        <f t="shared" si="8"/>
        <v>2100</v>
      </c>
      <c r="H129" s="1042">
        <f>'Смета Внутр'!G129</f>
        <v>2373.84</v>
      </c>
      <c r="I129" s="1042">
        <f>'Смета Внутр'!H129</f>
        <v>0</v>
      </c>
      <c r="J129" s="1058">
        <f>'Смета Внутр'!I129</f>
        <v>0</v>
      </c>
    </row>
    <row r="130" spans="2:10" ht="15" customHeight="1">
      <c r="B130" s="1042" t="str">
        <f>'Смета Внутр'!B130</f>
        <v>Электроды ок 47</v>
      </c>
      <c r="C130" s="1042" t="str">
        <f>'Смета Внутр'!C130</f>
        <v>шт</v>
      </c>
      <c r="D130" s="1058">
        <f>'Смета Внутр'!D130</f>
        <v>25</v>
      </c>
      <c r="E130" s="1042">
        <f>'Смета Внутр'!E130</f>
        <v>10</v>
      </c>
      <c r="F130" s="1042">
        <f>'Смета Внутр'!F130</f>
        <v>0</v>
      </c>
      <c r="G130" s="1042">
        <f t="shared" si="8"/>
        <v>10</v>
      </c>
      <c r="H130" s="1042">
        <f>'Смета Внутр'!G130</f>
        <v>250</v>
      </c>
      <c r="I130" s="1042">
        <f>'Смета Внутр'!H130</f>
        <v>0</v>
      </c>
      <c r="J130" s="1058">
        <f>'Смета Внутр'!I130</f>
        <v>0</v>
      </c>
    </row>
    <row r="131" spans="2:10">
      <c r="B131" s="3330" t="str">
        <f>'Смета Внутр'!B131</f>
        <v>Итого материалы</v>
      </c>
      <c r="C131" s="3330"/>
      <c r="D131" s="3330"/>
      <c r="E131" s="3330"/>
      <c r="F131" s="3330"/>
      <c r="G131" s="3330"/>
      <c r="H131" s="1042">
        <f>'Смета Внутр'!G131</f>
        <v>0</v>
      </c>
      <c r="I131" s="1042">
        <f>'Смета Внутр'!H131</f>
        <v>0</v>
      </c>
      <c r="J131" s="1058">
        <f>'Смета Внутр'!I131</f>
        <v>0</v>
      </c>
    </row>
    <row r="132" spans="2:10" ht="15" customHeight="1">
      <c r="B132" s="3002" t="str">
        <f>'Смета Внутр'!B132</f>
        <v>Работы</v>
      </c>
      <c r="D132" s="1167"/>
      <c r="H132">
        <f>'Смета Внутр'!G132</f>
        <v>0</v>
      </c>
      <c r="I132">
        <f>'Смета Внутр'!H132</f>
        <v>0</v>
      </c>
      <c r="J132" s="3027">
        <f>'Смета Внутр'!I132</f>
        <v>0</v>
      </c>
    </row>
    <row r="133" spans="2:10" ht="15" customHeight="1">
      <c r="B133" s="1042" t="str">
        <f>'Смета Внутр'!B133</f>
        <v>разбивка осей</v>
      </c>
      <c r="C133" s="1042" t="str">
        <f>'Смета Внутр'!C133</f>
        <v>шт</v>
      </c>
      <c r="D133" s="1058">
        <f>'Смета Внутр'!D133</f>
        <v>1</v>
      </c>
      <c r="E133" s="1042">
        <f>'Смета Внутр'!E133</f>
        <v>7000</v>
      </c>
      <c r="F133" s="1042">
        <f>'Смета Внутр'!F133</f>
        <v>0</v>
      </c>
      <c r="G133" s="1042">
        <f t="shared" ref="G133:G139" si="9">IF(E133&gt;F133,E133,F133)</f>
        <v>7000</v>
      </c>
      <c r="H133" s="1042">
        <f>'Смета Внутр'!G133</f>
        <v>7000</v>
      </c>
      <c r="I133" s="1042">
        <f>'Смета Внутр'!H133</f>
        <v>0</v>
      </c>
      <c r="J133" s="1058">
        <f>'Смета Внутр'!I133</f>
        <v>0</v>
      </c>
    </row>
    <row r="134" spans="2:10" ht="15" customHeight="1">
      <c r="B134" s="1042" t="str">
        <f>'Смета Внутр'!B134</f>
        <v>монтаж свай</v>
      </c>
      <c r="C134" s="1042" t="str">
        <f>'Смета Внутр'!C134</f>
        <v>шт</v>
      </c>
      <c r="D134" s="1058">
        <f>'Смета Внутр'!D134</f>
        <v>25</v>
      </c>
      <c r="E134" s="1042">
        <f>'Смета Внутр'!E134</f>
        <v>1000</v>
      </c>
      <c r="F134" s="1042">
        <f>'Смета Внутр'!F134</f>
        <v>0</v>
      </c>
      <c r="G134" s="1042">
        <f t="shared" si="9"/>
        <v>1000</v>
      </c>
      <c r="H134" s="1042">
        <f>'Смета Внутр'!G134</f>
        <v>25000</v>
      </c>
      <c r="I134" s="1042">
        <f>'Смета Внутр'!H134</f>
        <v>0</v>
      </c>
      <c r="J134" s="1058">
        <f>'Смета Внутр'!I134</f>
        <v>0</v>
      </c>
    </row>
    <row r="135" spans="2:10" ht="15" customHeight="1">
      <c r="B135" s="1042" t="str">
        <f>'Смета Внутр'!B135</f>
        <v>монтаж оголовков</v>
      </c>
      <c r="C135" s="1042" t="str">
        <f>'Смета Внутр'!C135</f>
        <v>шт</v>
      </c>
      <c r="D135" s="1058">
        <f>'Смета Внутр'!D135</f>
        <v>25</v>
      </c>
      <c r="E135" s="1042">
        <f>'Смета Внутр'!E135</f>
        <v>100</v>
      </c>
      <c r="F135" s="1042">
        <f>'Смета Внутр'!F135</f>
        <v>0</v>
      </c>
      <c r="G135" s="1042">
        <f t="shared" si="9"/>
        <v>100</v>
      </c>
      <c r="H135" s="1042">
        <f>'Смета Внутр'!G135</f>
        <v>2500</v>
      </c>
      <c r="I135" s="1042">
        <f>'Смета Внутр'!H135</f>
        <v>0</v>
      </c>
      <c r="J135" s="1058">
        <f>'Смета Внутр'!I135</f>
        <v>0</v>
      </c>
    </row>
    <row r="136" spans="2:10" ht="15" customHeight="1">
      <c r="B136" s="1042" t="str">
        <f>'Смета Внутр'!B136</f>
        <v>обвязка металлом</v>
      </c>
      <c r="C136" s="1042" t="str">
        <f>'Смета Внутр'!C136</f>
        <v>м.п.</v>
      </c>
      <c r="D136" s="1058">
        <f>'Смета Внутр'!D136</f>
        <v>56</v>
      </c>
      <c r="E136" s="1042">
        <f>'Смета Внутр'!E136</f>
        <v>100</v>
      </c>
      <c r="F136" s="1042">
        <f>'Смета Внутр'!F136</f>
        <v>0</v>
      </c>
      <c r="G136" s="1042">
        <f t="shared" si="9"/>
        <v>100</v>
      </c>
      <c r="H136" s="1042">
        <f>'Смета Внутр'!G136</f>
        <v>5600</v>
      </c>
      <c r="I136" s="1042">
        <f>'Смета Внутр'!H136</f>
        <v>0</v>
      </c>
      <c r="J136" s="1058">
        <f>'Смета Внутр'!I136</f>
        <v>0</v>
      </c>
    </row>
    <row r="137" spans="2:10" ht="15" customHeight="1">
      <c r="B137" s="1042" t="str">
        <f>'Смета Внутр'!B137</f>
        <v>заливка бетоном</v>
      </c>
      <c r="C137" s="1042" t="str">
        <f>'Смета Внутр'!C137</f>
        <v>шт</v>
      </c>
      <c r="D137" s="1058">
        <f>'Смета Внутр'!D137</f>
        <v>25</v>
      </c>
      <c r="E137" s="1042">
        <f>'Смета Внутр'!E137</f>
        <v>200</v>
      </c>
      <c r="F137" s="1042">
        <f>'Смета Внутр'!F137</f>
        <v>0</v>
      </c>
      <c r="G137" s="1042">
        <f t="shared" si="9"/>
        <v>200</v>
      </c>
      <c r="H137" s="1042">
        <f>'Смета Внутр'!G137</f>
        <v>5000</v>
      </c>
      <c r="I137" s="1042">
        <f>'Смета Внутр'!H137</f>
        <v>0</v>
      </c>
      <c r="J137" s="1058">
        <f>'Смета Внутр'!I137</f>
        <v>0</v>
      </c>
    </row>
    <row r="138" spans="2:10" ht="15" customHeight="1">
      <c r="B138" s="1042" t="str">
        <f>'Смета Внутр'!B138</f>
        <v>Обрезка винтовых свай по невелиру</v>
      </c>
      <c r="C138" s="1042" t="str">
        <f>'Смета Внутр'!C138</f>
        <v>шт</v>
      </c>
      <c r="D138" s="1058">
        <f>'Смета Внутр'!D138</f>
        <v>25</v>
      </c>
      <c r="E138" s="1042">
        <f>'Смета Внутр'!E138</f>
        <v>200</v>
      </c>
      <c r="F138" s="1042">
        <f>'Смета Внутр'!F138</f>
        <v>0</v>
      </c>
      <c r="G138" s="1042">
        <f t="shared" si="9"/>
        <v>200</v>
      </c>
      <c r="H138" s="1042">
        <f>'Смета Внутр'!G138</f>
        <v>5000</v>
      </c>
      <c r="I138" s="1042">
        <f>'Смета Внутр'!H138</f>
        <v>0</v>
      </c>
      <c r="J138" s="1058">
        <f>'Смета Внутр'!I138</f>
        <v>0</v>
      </c>
    </row>
    <row r="139" spans="2:10" ht="15" customHeight="1">
      <c r="B139" s="1042" t="str">
        <f>'Смета Внутр'!B139</f>
        <v>Наварка оголовка</v>
      </c>
      <c r="C139" s="1042" t="str">
        <f>'Смета Внутр'!C139</f>
        <v>шт</v>
      </c>
      <c r="D139" s="1058">
        <f>'Смета Внутр'!D139</f>
        <v>25</v>
      </c>
      <c r="E139" s="1042">
        <f>'Смета Внутр'!E139</f>
        <v>250</v>
      </c>
      <c r="F139" s="1042">
        <f>'Смета Внутр'!F139</f>
        <v>0</v>
      </c>
      <c r="G139" s="1042">
        <f t="shared" si="9"/>
        <v>250</v>
      </c>
      <c r="H139" s="1042">
        <f>'Смета Внутр'!G139</f>
        <v>6250</v>
      </c>
      <c r="I139" s="1042">
        <f>'Смета Внутр'!H139</f>
        <v>0</v>
      </c>
      <c r="J139" s="1058">
        <f>'Смета Внутр'!I139</f>
        <v>0</v>
      </c>
    </row>
    <row r="140" spans="2:10" ht="15" customHeight="1">
      <c r="B140" s="3330" t="str">
        <f>'Смета Внутр'!B140</f>
        <v>Итого работы</v>
      </c>
      <c r="C140" s="3330"/>
      <c r="D140" s="3330"/>
      <c r="E140" s="3330"/>
      <c r="F140" s="3330"/>
      <c r="G140" s="3330"/>
      <c r="H140" s="1042">
        <f>'Смета Внутр'!G140</f>
        <v>0</v>
      </c>
      <c r="I140" s="1042">
        <f>'Смета Внутр'!H140</f>
        <v>0</v>
      </c>
      <c r="J140" s="1058">
        <f>'Смета Внутр'!I140</f>
        <v>0</v>
      </c>
    </row>
    <row r="141" spans="2:10" ht="15" customHeight="1">
      <c r="B141" s="3329" t="str">
        <f>'Смета Внутр'!B141</f>
        <v>Винтовые сваи для террасы</v>
      </c>
      <c r="C141" s="3329"/>
      <c r="D141" s="3329"/>
      <c r="H141">
        <f>'Смета Внутр'!G141</f>
        <v>0</v>
      </c>
      <c r="I141">
        <f>'Смета Внутр'!H141</f>
        <v>0</v>
      </c>
      <c r="J141" s="3027">
        <f>'Смета Внутр'!I141</f>
        <v>0</v>
      </c>
    </row>
    <row r="142" spans="2:10" ht="15" customHeight="1">
      <c r="B142" s="3002" t="str">
        <f>'Смета Внутр'!B142</f>
        <v>Материалы</v>
      </c>
      <c r="D142" s="1167"/>
      <c r="H142">
        <f>'Смета Внутр'!G142</f>
        <v>0</v>
      </c>
      <c r="I142">
        <f>'Смета Внутр'!H142</f>
        <v>0</v>
      </c>
      <c r="J142" s="3027">
        <f>'Смета Внутр'!I142</f>
        <v>0</v>
      </c>
    </row>
    <row r="143" spans="2:10" ht="15" customHeight="1">
      <c r="B143" s="1042" t="str">
        <f>'Смета Внутр'!B143</f>
        <v>пробное забуривание</v>
      </c>
      <c r="C143" s="1042" t="str">
        <f>'Смета Внутр'!C143</f>
        <v>шт</v>
      </c>
      <c r="D143" s="1058">
        <f>'Смета Внутр'!D143</f>
        <v>1</v>
      </c>
      <c r="E143" s="1042">
        <f>'Смета Внутр'!E143</f>
        <v>5000</v>
      </c>
      <c r="F143" s="1042">
        <f>'Смета Внутр'!F143</f>
        <v>0</v>
      </c>
      <c r="G143" s="1042">
        <f t="shared" ref="G143:G148" si="10">IF(E143&gt;F143,E143,F143)</f>
        <v>5000</v>
      </c>
      <c r="H143" s="1042">
        <f>'Смета Внутр'!G143</f>
        <v>5000</v>
      </c>
      <c r="I143" s="1042">
        <f>'Смета Внутр'!H143</f>
        <v>0</v>
      </c>
      <c r="J143" s="1058">
        <f>'Смета Внутр'!I143</f>
        <v>0</v>
      </c>
    </row>
    <row r="144" spans="2:10" ht="15" customHeight="1">
      <c r="B144" s="1042" t="str">
        <f>'Смета Внутр'!B144</f>
        <v>76мм, 3,5м длина, 2 лопасть</v>
      </c>
      <c r="C144" s="1042" t="str">
        <f>'Смета Внутр'!C144</f>
        <v>шт</v>
      </c>
      <c r="D144" s="1058">
        <f>'Смета Внутр'!D144</f>
        <v>8</v>
      </c>
      <c r="E144" s="1042">
        <f>'Смета Внутр'!E144</f>
        <v>2130</v>
      </c>
      <c r="F144" s="1042">
        <f>'Смета Внутр'!F144</f>
        <v>0</v>
      </c>
      <c r="G144" s="1042">
        <f t="shared" si="10"/>
        <v>2130</v>
      </c>
      <c r="H144" s="1042">
        <f>'Смета Внутр'!G144</f>
        <v>17040</v>
      </c>
      <c r="I144" s="1042">
        <f>'Смета Внутр'!H144</f>
        <v>0</v>
      </c>
      <c r="J144" s="1058">
        <f>'Смета Внутр'!I144</f>
        <v>0</v>
      </c>
    </row>
    <row r="145" spans="2:10" ht="15" customHeight="1">
      <c r="B145" s="1042" t="str">
        <f>'Смета Внутр'!B145</f>
        <v>Оголовкок для свай 250*250</v>
      </c>
      <c r="C145" s="1042" t="str">
        <f>'Смета Внутр'!C145</f>
        <v>шт</v>
      </c>
      <c r="D145" s="1058">
        <f>'Смета Внутр'!D145</f>
        <v>8</v>
      </c>
      <c r="E145" s="1042">
        <f>'Смета Внутр'!E145</f>
        <v>300</v>
      </c>
      <c r="F145" s="1042">
        <f>'Смета Внутр'!F145</f>
        <v>0</v>
      </c>
      <c r="G145" s="1042">
        <f t="shared" si="10"/>
        <v>300</v>
      </c>
      <c r="H145" s="1042">
        <f>'Смета Внутр'!G145</f>
        <v>2400</v>
      </c>
      <c r="I145" s="1042">
        <f>'Смета Внутр'!H145</f>
        <v>0</v>
      </c>
      <c r="J145" s="1058">
        <f>'Смета Внутр'!I145</f>
        <v>0</v>
      </c>
    </row>
    <row r="146" spans="2:10" ht="15" customHeight="1">
      <c r="B146" s="1042" t="str">
        <f>'Смета Внутр'!B146</f>
        <v>обвязка металлом, 20/40/3000</v>
      </c>
      <c r="C146" s="1042" t="str">
        <f>'Смета Внутр'!C146</f>
        <v>м.п.</v>
      </c>
      <c r="D146" s="1058">
        <f>'Смета Внутр'!D146</f>
        <v>8</v>
      </c>
      <c r="E146" s="1042">
        <f>'Смета Внутр'!E146</f>
        <v>100</v>
      </c>
      <c r="F146" s="1042">
        <f>'Смета Внутр'!F146</f>
        <v>0</v>
      </c>
      <c r="G146" s="1042">
        <f t="shared" si="10"/>
        <v>100</v>
      </c>
      <c r="H146" s="1042">
        <f>'Смета Внутр'!G146</f>
        <v>800</v>
      </c>
      <c r="I146" s="1042">
        <f>'Смета Внутр'!H146</f>
        <v>0</v>
      </c>
      <c r="J146" s="1058">
        <f>'Смета Внутр'!I146</f>
        <v>0</v>
      </c>
    </row>
    <row r="147" spans="2:10" ht="15" customHeight="1">
      <c r="B147" s="1042" t="str">
        <f>'Смета Внутр'!B147</f>
        <v>Раствор, м200</v>
      </c>
      <c r="C147" s="1042" t="str">
        <f>'Смета Внутр'!C147</f>
        <v>м3</v>
      </c>
      <c r="D147" s="1058">
        <f>'Смета Внутр'!D147</f>
        <v>0.36172799999999999</v>
      </c>
      <c r="E147" s="1042">
        <f>'Смета Внутр'!E147</f>
        <v>2100</v>
      </c>
      <c r="F147" s="1042">
        <f>'Смета Внутр'!F147</f>
        <v>0</v>
      </c>
      <c r="G147" s="1042">
        <f t="shared" si="10"/>
        <v>2100</v>
      </c>
      <c r="H147" s="1042">
        <f>'Смета Внутр'!G147</f>
        <v>759.62879999999996</v>
      </c>
      <c r="I147" s="1042">
        <f>'Смета Внутр'!H147</f>
        <v>0</v>
      </c>
      <c r="J147" s="1058">
        <f>'Смета Внутр'!I147</f>
        <v>0</v>
      </c>
    </row>
    <row r="148" spans="2:10" ht="15" customHeight="1">
      <c r="B148" s="1042" t="str">
        <f>'Смета Внутр'!B148</f>
        <v>Электроды ок 47</v>
      </c>
      <c r="C148" s="1042" t="str">
        <f>'Смета Внутр'!C148</f>
        <v>шт</v>
      </c>
      <c r="D148" s="1058">
        <f>'Смета Внутр'!D148</f>
        <v>8</v>
      </c>
      <c r="E148" s="1042">
        <f>'Смета Внутр'!E148</f>
        <v>10</v>
      </c>
      <c r="F148" s="1042">
        <f>'Смета Внутр'!F148</f>
        <v>0</v>
      </c>
      <c r="G148" s="1042">
        <f t="shared" si="10"/>
        <v>10</v>
      </c>
      <c r="H148" s="1042">
        <f>'Смета Внутр'!G148</f>
        <v>80</v>
      </c>
      <c r="I148" s="1042">
        <f>'Смета Внутр'!H148</f>
        <v>0</v>
      </c>
      <c r="J148" s="1058">
        <f>'Смета Внутр'!I148</f>
        <v>0</v>
      </c>
    </row>
    <row r="149" spans="2:10">
      <c r="B149" s="3330" t="str">
        <f>'Смета Внутр'!B149</f>
        <v>Итого материалы</v>
      </c>
      <c r="C149" s="3330"/>
      <c r="D149" s="3330"/>
      <c r="E149" s="3330"/>
      <c r="F149" s="3330"/>
      <c r="G149" s="3330"/>
      <c r="H149" s="1042">
        <f>'Смета Внутр'!G149</f>
        <v>0</v>
      </c>
      <c r="I149" s="1042">
        <f>'Смета Внутр'!H149</f>
        <v>0</v>
      </c>
      <c r="J149" s="1058">
        <f>'Смета Внутр'!I149</f>
        <v>0</v>
      </c>
    </row>
    <row r="150" spans="2:10" ht="15" customHeight="1">
      <c r="B150" s="3002" t="str">
        <f>'Смета Внутр'!B150</f>
        <v>Работы</v>
      </c>
      <c r="D150" s="1167"/>
      <c r="H150">
        <f>'Смета Внутр'!G150</f>
        <v>0</v>
      </c>
      <c r="I150">
        <f>'Смета Внутр'!H150</f>
        <v>0</v>
      </c>
      <c r="J150" s="3027">
        <f>'Смета Внутр'!I150</f>
        <v>0</v>
      </c>
    </row>
    <row r="151" spans="2:10" ht="15" customHeight="1">
      <c r="B151" s="1042" t="str">
        <f>'Смета Внутр'!B151</f>
        <v>разбивка осей</v>
      </c>
      <c r="C151" s="1042" t="str">
        <f>'Смета Внутр'!C151</f>
        <v>шт</v>
      </c>
      <c r="D151" s="1058">
        <f>'Смета Внутр'!D151</f>
        <v>1</v>
      </c>
      <c r="E151" s="1042">
        <f>'Смета Внутр'!E151</f>
        <v>7000</v>
      </c>
      <c r="F151" s="1042">
        <f>'Смета Внутр'!F151</f>
        <v>0</v>
      </c>
      <c r="G151" s="1042">
        <f t="shared" ref="G151:G157" si="11">IF(E151&gt;F151,E151,F151)</f>
        <v>7000</v>
      </c>
      <c r="H151" s="1042">
        <f>'Смета Внутр'!G151</f>
        <v>7000</v>
      </c>
      <c r="I151" s="1042">
        <f>'Смета Внутр'!H151</f>
        <v>0</v>
      </c>
      <c r="J151" s="1058">
        <f>'Смета Внутр'!I151</f>
        <v>0</v>
      </c>
    </row>
    <row r="152" spans="2:10" ht="15" customHeight="1">
      <c r="B152" s="1042" t="str">
        <f>'Смета Внутр'!B152</f>
        <v>монтаж свай гидравликой</v>
      </c>
      <c r="C152" s="1042" t="str">
        <f>'Смета Внутр'!C152</f>
        <v>шт</v>
      </c>
      <c r="D152" s="1058">
        <f>'Смета Внутр'!D152</f>
        <v>1</v>
      </c>
      <c r="E152" s="1042">
        <f>'Смета Внутр'!E152</f>
        <v>1000</v>
      </c>
      <c r="F152" s="1042">
        <f>'Смета Внутр'!F152</f>
        <v>0</v>
      </c>
      <c r="G152" s="1042">
        <f t="shared" si="11"/>
        <v>1000</v>
      </c>
      <c r="H152" s="1042">
        <f>'Смета Внутр'!G152</f>
        <v>1000</v>
      </c>
      <c r="I152" s="1042">
        <f>'Смета Внутр'!H152</f>
        <v>0</v>
      </c>
      <c r="J152" s="1058">
        <f>'Смета Внутр'!I152</f>
        <v>0</v>
      </c>
    </row>
    <row r="153" spans="2:10" ht="15" customHeight="1">
      <c r="B153" s="1042" t="str">
        <f>'Смета Внутр'!B153</f>
        <v>монтаж оголовков</v>
      </c>
      <c r="C153" s="1042" t="str">
        <f>'Смета Внутр'!C153</f>
        <v>шт</v>
      </c>
      <c r="D153" s="1058">
        <f>'Смета Внутр'!D153</f>
        <v>8</v>
      </c>
      <c r="E153" s="1042">
        <f>'Смета Внутр'!E153</f>
        <v>100</v>
      </c>
      <c r="F153" s="1042">
        <f>'Смета Внутр'!F153</f>
        <v>0</v>
      </c>
      <c r="G153" s="1042">
        <f t="shared" si="11"/>
        <v>100</v>
      </c>
      <c r="H153" s="1042">
        <f>'Смета Внутр'!G153</f>
        <v>800</v>
      </c>
      <c r="I153" s="1042">
        <f>'Смета Внутр'!H153</f>
        <v>0</v>
      </c>
      <c r="J153" s="1058">
        <f>'Смета Внутр'!I153</f>
        <v>0</v>
      </c>
    </row>
    <row r="154" spans="2:10" ht="15" customHeight="1">
      <c r="B154" s="1042" t="str">
        <f>'Смета Внутр'!B154</f>
        <v>обвязка металлом</v>
      </c>
      <c r="C154" s="1042" t="str">
        <f>'Смета Внутр'!C154</f>
        <v>м.п.</v>
      </c>
      <c r="D154" s="1058">
        <f>'Смета Внутр'!D154</f>
        <v>8</v>
      </c>
      <c r="E154" s="1042">
        <f>'Смета Внутр'!E154</f>
        <v>100</v>
      </c>
      <c r="F154" s="1042">
        <f>'Смета Внутр'!F154</f>
        <v>0</v>
      </c>
      <c r="G154" s="1042">
        <f t="shared" si="11"/>
        <v>100</v>
      </c>
      <c r="H154" s="1042">
        <f>'Смета Внутр'!G154</f>
        <v>800</v>
      </c>
      <c r="I154" s="1042">
        <f>'Смета Внутр'!H154</f>
        <v>0</v>
      </c>
      <c r="J154" s="1058">
        <f>'Смета Внутр'!I154</f>
        <v>0</v>
      </c>
    </row>
    <row r="155" spans="2:10" ht="15" customHeight="1">
      <c r="B155" s="1042" t="str">
        <f>'Смета Внутр'!B155</f>
        <v>заливка бетоном</v>
      </c>
      <c r="C155" s="1042" t="str">
        <f>'Смета Внутр'!C155</f>
        <v>шт</v>
      </c>
      <c r="D155" s="1058">
        <f>'Смета Внутр'!D155</f>
        <v>8</v>
      </c>
      <c r="E155" s="1042">
        <f>'Смета Внутр'!E155</f>
        <v>200</v>
      </c>
      <c r="F155" s="1042">
        <f>'Смета Внутр'!F155</f>
        <v>0</v>
      </c>
      <c r="G155" s="1042">
        <f t="shared" si="11"/>
        <v>200</v>
      </c>
      <c r="H155" s="1042">
        <f>'Смета Внутр'!G155</f>
        <v>1600</v>
      </c>
      <c r="I155" s="1042">
        <f>'Смета Внутр'!H155</f>
        <v>0</v>
      </c>
      <c r="J155" s="1058">
        <f>'Смета Внутр'!I155</f>
        <v>0</v>
      </c>
    </row>
    <row r="156" spans="2:10" ht="15" customHeight="1">
      <c r="B156" s="1042" t="str">
        <f>'Смета Внутр'!B156</f>
        <v>Обрезка винтовых свай по невелиру</v>
      </c>
      <c r="C156" s="1042" t="str">
        <f>'Смета Внутр'!C156</f>
        <v>шт</v>
      </c>
      <c r="D156" s="1058">
        <f>'Смета Внутр'!D156</f>
        <v>8</v>
      </c>
      <c r="E156" s="1042">
        <f>'Смета Внутр'!E156</f>
        <v>200</v>
      </c>
      <c r="F156" s="1042">
        <f>'Смета Внутр'!F156</f>
        <v>0</v>
      </c>
      <c r="G156" s="1042">
        <f t="shared" si="11"/>
        <v>200</v>
      </c>
      <c r="H156" s="1042">
        <f>'Смета Внутр'!G156</f>
        <v>1600</v>
      </c>
      <c r="I156" s="1042">
        <f>'Смета Внутр'!H156</f>
        <v>0</v>
      </c>
      <c r="J156" s="1058">
        <f>'Смета Внутр'!I156</f>
        <v>0</v>
      </c>
    </row>
    <row r="157" spans="2:10" ht="15" customHeight="1">
      <c r="B157" s="1042" t="str">
        <f>'Смета Внутр'!B157</f>
        <v>Наварка оголовка</v>
      </c>
      <c r="C157" s="1042" t="str">
        <f>'Смета Внутр'!C157</f>
        <v>шт</v>
      </c>
      <c r="D157" s="1058">
        <f>'Смета Внутр'!D157</f>
        <v>8</v>
      </c>
      <c r="E157" s="1042">
        <f>'Смета Внутр'!E157</f>
        <v>250</v>
      </c>
      <c r="F157" s="1042">
        <f>'Смета Внутр'!F157</f>
        <v>0</v>
      </c>
      <c r="G157" s="1042">
        <f t="shared" si="11"/>
        <v>250</v>
      </c>
      <c r="H157" s="1042">
        <f>'Смета Внутр'!G157</f>
        <v>2000</v>
      </c>
      <c r="I157" s="1042">
        <f>'Смета Внутр'!H157</f>
        <v>0</v>
      </c>
      <c r="J157" s="1058">
        <f>'Смета Внутр'!I157</f>
        <v>0</v>
      </c>
    </row>
    <row r="158" spans="2:10" ht="15" customHeight="1">
      <c r="B158" s="3330" t="str">
        <f>'Смета Внутр'!B158</f>
        <v>Итого работы</v>
      </c>
      <c r="C158" s="3330"/>
      <c r="D158" s="3330"/>
      <c r="E158" s="3330"/>
      <c r="F158" s="3330"/>
      <c r="G158" s="3330"/>
      <c r="H158" s="1042">
        <f>'Смета Внутр'!G158</f>
        <v>0</v>
      </c>
      <c r="I158" s="1042">
        <f>'Смета Внутр'!H158</f>
        <v>0</v>
      </c>
      <c r="J158" s="1058">
        <f>'Смета Внутр'!I158</f>
        <v>0</v>
      </c>
    </row>
    <row r="159" spans="2:10" ht="15" customHeight="1">
      <c r="B159" s="3313" t="str">
        <f>'Смета Внутр'!B159</f>
        <v>Винтовые сваи для крыльца</v>
      </c>
      <c r="C159" s="3313"/>
      <c r="D159" s="3313"/>
      <c r="H159">
        <f>'Смета Внутр'!G159</f>
        <v>0</v>
      </c>
      <c r="I159">
        <f>'Смета Внутр'!H159</f>
        <v>0</v>
      </c>
      <c r="J159" s="3011">
        <f>'Смета Внутр'!I159</f>
        <v>0</v>
      </c>
    </row>
    <row r="160" spans="2:10" ht="15" customHeight="1">
      <c r="B160" s="3002" t="str">
        <f>'Смета Внутр'!B160</f>
        <v>Материалы</v>
      </c>
      <c r="H160">
        <f>'Смета Внутр'!G160</f>
        <v>0</v>
      </c>
      <c r="I160">
        <f>'Смета Внутр'!H160</f>
        <v>0</v>
      </c>
      <c r="J160" s="3011">
        <f>'Смета Внутр'!I160</f>
        <v>0</v>
      </c>
    </row>
    <row r="161" spans="2:10" ht="15" customHeight="1">
      <c r="B161" s="3007" t="str">
        <f>'Смета Внутр'!B161</f>
        <v>пробное забуривание</v>
      </c>
      <c r="C161" s="3007" t="str">
        <f>'Смета Внутр'!C161</f>
        <v>шт</v>
      </c>
      <c r="D161" s="3014">
        <f>'Смета Внутр'!D161</f>
        <v>1</v>
      </c>
      <c r="E161" s="1042">
        <f>'Смета Внутр'!E161</f>
        <v>5000</v>
      </c>
      <c r="F161" s="1042">
        <f>'Смета Внутр'!F161</f>
        <v>0</v>
      </c>
      <c r="G161" s="3007">
        <f t="shared" ref="G161:G166" si="12">IF(E161&gt;F161,E161,F161)</f>
        <v>5000</v>
      </c>
      <c r="H161" s="1042">
        <f>'Смета Внутр'!G161</f>
        <v>5000</v>
      </c>
      <c r="I161" s="1042">
        <f>'Смета Внутр'!H161</f>
        <v>0</v>
      </c>
      <c r="J161" s="3014">
        <f>'Смета Внутр'!I161</f>
        <v>0</v>
      </c>
    </row>
    <row r="162" spans="2:10" ht="15" customHeight="1">
      <c r="B162" s="3007" t="str">
        <f>'Смета Внутр'!B162</f>
        <v>89мм, 4,5м длина, 2 лопасть</v>
      </c>
      <c r="C162" s="3007" t="str">
        <f>'Смета Внутр'!C162</f>
        <v>шт</v>
      </c>
      <c r="D162" s="3014">
        <f>'Смета Внутр'!D162</f>
        <v>5</v>
      </c>
      <c r="E162" s="1042">
        <f>'Смета Внутр'!E162</f>
        <v>2760</v>
      </c>
      <c r="F162" s="1042">
        <f>'Смета Внутр'!F162</f>
        <v>0</v>
      </c>
      <c r="G162" s="3007">
        <f t="shared" si="12"/>
        <v>2760</v>
      </c>
      <c r="H162" s="1042">
        <f>'Смета Внутр'!G162</f>
        <v>13800</v>
      </c>
      <c r="I162" s="1042">
        <f>'Смета Внутр'!H162</f>
        <v>0</v>
      </c>
      <c r="J162" s="3014">
        <f>'Смета Внутр'!I162</f>
        <v>0</v>
      </c>
    </row>
    <row r="163" spans="2:10" ht="15" customHeight="1">
      <c r="B163" s="3007" t="str">
        <f>'Смета Внутр'!B163</f>
        <v>Оголовкок для свай 200*200</v>
      </c>
      <c r="C163" s="3007" t="str">
        <f>'Смета Внутр'!C163</f>
        <v>шт</v>
      </c>
      <c r="D163" s="3014">
        <f>'Смета Внутр'!D163</f>
        <v>5</v>
      </c>
      <c r="E163" s="1042">
        <f>'Смета Внутр'!E163</f>
        <v>250</v>
      </c>
      <c r="F163" s="1042">
        <f>'Смета Внутр'!F163</f>
        <v>0</v>
      </c>
      <c r="G163" s="3007">
        <f t="shared" si="12"/>
        <v>250</v>
      </c>
      <c r="H163" s="1042">
        <f>'Смета Внутр'!G163</f>
        <v>1250</v>
      </c>
      <c r="I163" s="1042">
        <f>'Смета Внутр'!H163</f>
        <v>0</v>
      </c>
      <c r="J163" s="3014">
        <f>'Смета Внутр'!I163</f>
        <v>0</v>
      </c>
    </row>
    <row r="164" spans="2:10" ht="15" customHeight="1">
      <c r="B164" s="3007" t="str">
        <f>'Смета Внутр'!B164</f>
        <v>обвязка металлом, 20/40/3000</v>
      </c>
      <c r="C164" s="3007" t="str">
        <f>'Смета Внутр'!C164</f>
        <v>м.п.</v>
      </c>
      <c r="D164" s="3014">
        <f>'Смета Внутр'!D164</f>
        <v>5</v>
      </c>
      <c r="E164" s="1042">
        <f>'Смета Внутр'!E164</f>
        <v>100</v>
      </c>
      <c r="F164" s="1042">
        <f>'Смета Внутр'!F164</f>
        <v>0</v>
      </c>
      <c r="G164" s="3007">
        <f t="shared" si="12"/>
        <v>100</v>
      </c>
      <c r="H164" s="1042">
        <f>'Смета Внутр'!G164</f>
        <v>500</v>
      </c>
      <c r="I164" s="1042">
        <f>'Смета Внутр'!H164</f>
        <v>0</v>
      </c>
      <c r="J164" s="3014">
        <f>'Смета Внутр'!I164</f>
        <v>0</v>
      </c>
    </row>
    <row r="165" spans="2:10" ht="15" customHeight="1">
      <c r="B165" s="3007" t="str">
        <f>'Смета Внутр'!B165</f>
        <v>Раствор, м200</v>
      </c>
      <c r="C165" s="3007" t="str">
        <f>'Смета Внутр'!C165</f>
        <v>м3</v>
      </c>
      <c r="D165" s="3014">
        <f>'Смета Внутр'!D165</f>
        <v>0.22608</v>
      </c>
      <c r="E165" s="1042">
        <f>'Смета Внутр'!E165</f>
        <v>2100</v>
      </c>
      <c r="F165" s="1042">
        <f>'Смета Внутр'!F165</f>
        <v>0</v>
      </c>
      <c r="G165" s="3007">
        <f t="shared" si="12"/>
        <v>2100</v>
      </c>
      <c r="H165" s="1042">
        <f>'Смета Внутр'!G165</f>
        <v>474.76800000000003</v>
      </c>
      <c r="I165" s="1042">
        <f>'Смета Внутр'!H165</f>
        <v>0</v>
      </c>
      <c r="J165" s="3014">
        <f>'Смета Внутр'!I165</f>
        <v>0</v>
      </c>
    </row>
    <row r="166" spans="2:10" ht="15" customHeight="1">
      <c r="B166" s="3007" t="str">
        <f>'Смета Внутр'!B166</f>
        <v>Электроды ок 47</v>
      </c>
      <c r="C166" s="3007" t="str">
        <f>'Смета Внутр'!C166</f>
        <v>шт</v>
      </c>
      <c r="D166" s="3014">
        <f>'Смета Внутр'!D166</f>
        <v>5</v>
      </c>
      <c r="E166" s="1042">
        <f>'Смета Внутр'!E166</f>
        <v>10</v>
      </c>
      <c r="F166" s="1042">
        <f>'Смета Внутр'!F166</f>
        <v>0</v>
      </c>
      <c r="G166" s="3007">
        <f t="shared" si="12"/>
        <v>10</v>
      </c>
      <c r="H166" s="1042">
        <f>'Смета Внутр'!G166</f>
        <v>50</v>
      </c>
      <c r="I166" s="1042">
        <f>'Смета Внутр'!H166</f>
        <v>0</v>
      </c>
      <c r="J166" s="3014">
        <f>'Смета Внутр'!I166</f>
        <v>0</v>
      </c>
    </row>
    <row r="167" spans="2:10">
      <c r="B167" s="3311" t="str">
        <f>'Смета Внутр'!B167</f>
        <v>Итого материалы</v>
      </c>
      <c r="C167" s="3311"/>
      <c r="D167" s="3311"/>
      <c r="E167" s="3311"/>
      <c r="F167" s="3311"/>
      <c r="G167" s="3311"/>
      <c r="H167" s="1042">
        <f>'Смета Внутр'!G167</f>
        <v>0</v>
      </c>
      <c r="I167" s="1042">
        <f>'Смета Внутр'!H167</f>
        <v>0</v>
      </c>
      <c r="J167" s="3014">
        <f>'Смета Внутр'!I167</f>
        <v>0</v>
      </c>
    </row>
    <row r="168" spans="2:10" ht="15" customHeight="1">
      <c r="B168" s="3002" t="str">
        <f>'Смета Внутр'!B168</f>
        <v>Работы</v>
      </c>
      <c r="H168">
        <f>'Смета Внутр'!G168</f>
        <v>0</v>
      </c>
      <c r="I168">
        <f>'Смета Внутр'!H168</f>
        <v>0</v>
      </c>
      <c r="J168" s="3011">
        <f>'Смета Внутр'!I168</f>
        <v>0</v>
      </c>
    </row>
    <row r="169" spans="2:10" ht="15" customHeight="1">
      <c r="B169" s="3007" t="str">
        <f>'Смета Внутр'!B169</f>
        <v>разбивка осей</v>
      </c>
      <c r="C169" s="3007" t="str">
        <f>'Смета Внутр'!C169</f>
        <v>шт</v>
      </c>
      <c r="D169" s="3014">
        <f>'Смета Внутр'!D169</f>
        <v>1</v>
      </c>
      <c r="E169" s="1042">
        <f>'Смета Внутр'!E169</f>
        <v>7000</v>
      </c>
      <c r="F169" s="1042">
        <f>'Смета Внутр'!F169</f>
        <v>0</v>
      </c>
      <c r="G169" s="3007">
        <f t="shared" ref="G169:G175" si="13">IF(E169&gt;F169,E169,F169)</f>
        <v>7000</v>
      </c>
      <c r="H169" s="1042">
        <f>'Смета Внутр'!G169</f>
        <v>7000</v>
      </c>
      <c r="I169" s="1042">
        <f>'Смета Внутр'!H169</f>
        <v>0</v>
      </c>
      <c r="J169" s="3014">
        <f>'Смета Внутр'!I169</f>
        <v>0</v>
      </c>
    </row>
    <row r="170" spans="2:10" ht="15" customHeight="1">
      <c r="B170" s="3007" t="str">
        <f>'Смета Внутр'!B170</f>
        <v>монтаж свай гидравликой</v>
      </c>
      <c r="C170" s="3007" t="str">
        <f>'Смета Внутр'!C170</f>
        <v>шт</v>
      </c>
      <c r="D170" s="3014">
        <f>'Смета Внутр'!D170</f>
        <v>5</v>
      </c>
      <c r="E170" s="1042">
        <f>'Смета Внутр'!E170</f>
        <v>1000</v>
      </c>
      <c r="F170" s="1042">
        <f>'Смета Внутр'!F170</f>
        <v>0</v>
      </c>
      <c r="G170" s="3007">
        <f t="shared" si="13"/>
        <v>1000</v>
      </c>
      <c r="H170" s="1042">
        <f>'Смета Внутр'!G170</f>
        <v>5000</v>
      </c>
      <c r="I170" s="1042">
        <f>'Смета Внутр'!H170</f>
        <v>0</v>
      </c>
      <c r="J170" s="3014">
        <f>'Смета Внутр'!I170</f>
        <v>0</v>
      </c>
    </row>
    <row r="171" spans="2:10" ht="15" customHeight="1">
      <c r="B171" s="3007" t="str">
        <f>'Смета Внутр'!B171</f>
        <v>монтаж оголовков</v>
      </c>
      <c r="C171" s="3007" t="str">
        <f>'Смета Внутр'!C171</f>
        <v>шт</v>
      </c>
      <c r="D171" s="3014">
        <f>'Смета Внутр'!D171</f>
        <v>5</v>
      </c>
      <c r="E171" s="1042">
        <f>'Смета Внутр'!E171</f>
        <v>100</v>
      </c>
      <c r="F171" s="1042">
        <f>'Смета Внутр'!F171</f>
        <v>0</v>
      </c>
      <c r="G171" s="3007">
        <f t="shared" si="13"/>
        <v>100</v>
      </c>
      <c r="H171" s="1042">
        <f>'Смета Внутр'!G171</f>
        <v>500</v>
      </c>
      <c r="I171" s="1042">
        <f>'Смета Внутр'!H171</f>
        <v>0</v>
      </c>
      <c r="J171" s="3014">
        <f>'Смета Внутр'!I171</f>
        <v>0</v>
      </c>
    </row>
    <row r="172" spans="2:10" ht="15" customHeight="1">
      <c r="B172" s="3007" t="str">
        <f>'Смета Внутр'!B172</f>
        <v>обвязка металлом</v>
      </c>
      <c r="C172" s="3007" t="str">
        <f>'Смета Внутр'!C172</f>
        <v>м.п.</v>
      </c>
      <c r="D172" s="3014">
        <f>'Смета Внутр'!D172</f>
        <v>5</v>
      </c>
      <c r="E172" s="1042">
        <f>'Смета Внутр'!E172</f>
        <v>100</v>
      </c>
      <c r="F172" s="1042">
        <f>'Смета Внутр'!F172</f>
        <v>0</v>
      </c>
      <c r="G172" s="3007">
        <f t="shared" si="13"/>
        <v>100</v>
      </c>
      <c r="H172" s="1042">
        <f>'Смета Внутр'!G172</f>
        <v>500</v>
      </c>
      <c r="I172" s="1042">
        <f>'Смета Внутр'!H172</f>
        <v>0</v>
      </c>
      <c r="J172" s="3014">
        <f>'Смета Внутр'!I172</f>
        <v>0</v>
      </c>
    </row>
    <row r="173" spans="2:10" ht="15" customHeight="1">
      <c r="B173" s="3007" t="str">
        <f>'Смета Внутр'!B173</f>
        <v>заливка бетоном</v>
      </c>
      <c r="C173" s="3007" t="str">
        <f>'Смета Внутр'!C173</f>
        <v>шт</v>
      </c>
      <c r="D173" s="3014">
        <f>'Смета Внутр'!D173</f>
        <v>5</v>
      </c>
      <c r="E173" s="1042">
        <f>'Смета Внутр'!E173</f>
        <v>200</v>
      </c>
      <c r="F173" s="1042">
        <f>'Смета Внутр'!F173</f>
        <v>0</v>
      </c>
      <c r="G173" s="3007">
        <f t="shared" si="13"/>
        <v>200</v>
      </c>
      <c r="H173" s="1042">
        <f>'Смета Внутр'!G173</f>
        <v>1000</v>
      </c>
      <c r="I173" s="1042">
        <f>'Смета Внутр'!H173</f>
        <v>0</v>
      </c>
      <c r="J173" s="3014">
        <f>'Смета Внутр'!I173</f>
        <v>0</v>
      </c>
    </row>
    <row r="174" spans="2:10" ht="15" customHeight="1">
      <c r="B174" s="3007" t="str">
        <f>'Смета Внутр'!B174</f>
        <v>Обрезка винтовых свай по невелиру</v>
      </c>
      <c r="C174" s="3007" t="str">
        <f>'Смета Внутр'!C174</f>
        <v>шт</v>
      </c>
      <c r="D174" s="3014">
        <f>'Смета Внутр'!D174</f>
        <v>5</v>
      </c>
      <c r="E174" s="1042">
        <f>'Смета Внутр'!E174</f>
        <v>200</v>
      </c>
      <c r="F174" s="1042">
        <f>'Смета Внутр'!F174</f>
        <v>0</v>
      </c>
      <c r="G174" s="3007">
        <f t="shared" si="13"/>
        <v>200</v>
      </c>
      <c r="H174" s="1042">
        <f>'Смета Внутр'!G174</f>
        <v>1000</v>
      </c>
      <c r="I174" s="1042">
        <f>'Смета Внутр'!H174</f>
        <v>0</v>
      </c>
      <c r="J174" s="3014">
        <f>'Смета Внутр'!I174</f>
        <v>0</v>
      </c>
    </row>
    <row r="175" spans="2:10" ht="15" customHeight="1">
      <c r="B175" s="3007" t="str">
        <f>'Смета Внутр'!B175</f>
        <v>Наварка оголовка</v>
      </c>
      <c r="C175" s="3007" t="str">
        <f>'Смета Внутр'!C175</f>
        <v>шт</v>
      </c>
      <c r="D175" s="3014">
        <f>'Смета Внутр'!D175</f>
        <v>5</v>
      </c>
      <c r="E175" s="1042">
        <f>'Смета Внутр'!E175</f>
        <v>250</v>
      </c>
      <c r="F175" s="1042">
        <f>'Смета Внутр'!F175</f>
        <v>0</v>
      </c>
      <c r="G175" s="3007">
        <f t="shared" si="13"/>
        <v>250</v>
      </c>
      <c r="H175" s="1042">
        <f>'Смета Внутр'!G175</f>
        <v>1250</v>
      </c>
      <c r="I175" s="1042">
        <f>'Смета Внутр'!H175</f>
        <v>0</v>
      </c>
      <c r="J175" s="3014">
        <f>'Смета Внутр'!I175</f>
        <v>0</v>
      </c>
    </row>
    <row r="176" spans="2:10" ht="15" customHeight="1">
      <c r="B176" s="3311" t="str">
        <f>'Смета Внутр'!B176</f>
        <v>Итого работы</v>
      </c>
      <c r="C176" s="3311"/>
      <c r="D176" s="3311"/>
      <c r="E176" s="3311"/>
      <c r="F176" s="3311"/>
      <c r="G176" s="3311"/>
      <c r="H176" s="1042">
        <f>'Смета Внутр'!G176</f>
        <v>0</v>
      </c>
      <c r="I176" s="1042">
        <f>'Смета Внутр'!H176</f>
        <v>0</v>
      </c>
      <c r="J176" s="3014">
        <f>'Смета Внутр'!I176</f>
        <v>0</v>
      </c>
    </row>
    <row r="177" spans="2:10" ht="15" customHeight="1">
      <c r="B177" s="3313" t="str">
        <f>'Смета Внутр'!B177</f>
        <v>Ленточный фундамент</v>
      </c>
      <c r="C177" s="3313"/>
      <c r="D177" s="3313"/>
      <c r="H177">
        <f>'Смета Внутр'!G177</f>
        <v>0</v>
      </c>
      <c r="I177">
        <f>'Смета Внутр'!H177</f>
        <v>0</v>
      </c>
      <c r="J177" s="3011">
        <f>'Смета Внутр'!I177</f>
        <v>0</v>
      </c>
    </row>
    <row r="178" spans="2:10" ht="15" customHeight="1">
      <c r="B178" s="3002" t="str">
        <f>'Смета Внутр'!B178</f>
        <v>Материалы</v>
      </c>
      <c r="H178">
        <f>'Смета Внутр'!G178</f>
        <v>0</v>
      </c>
      <c r="I178">
        <f>'Смета Внутр'!H178</f>
        <v>0</v>
      </c>
      <c r="J178" s="3011">
        <f>'Смета Внутр'!I178</f>
        <v>0</v>
      </c>
    </row>
    <row r="179" spans="2:10" ht="15" customHeight="1">
      <c r="B179" s="3007" t="str">
        <f>'Смета Внутр'!B179</f>
        <v>Сосна влаж,150*40мм</v>
      </c>
      <c r="C179" s="3007" t="str">
        <f>'Смета Внутр'!C179</f>
        <v>м3</v>
      </c>
      <c r="D179" s="3014">
        <f>'Смета Внутр'!D179</f>
        <v>3.843840000000001</v>
      </c>
      <c r="E179" s="1042">
        <f>'Смета Внутр'!E179</f>
        <v>6500</v>
      </c>
      <c r="F179" s="1042">
        <f>'Смета Внутр'!F179</f>
        <v>0</v>
      </c>
      <c r="G179" s="3007">
        <f t="shared" ref="G179:G195" si="14">IF(E179&gt;F179,E179,F179)</f>
        <v>6500</v>
      </c>
      <c r="H179" s="1042">
        <f>'Смета Внутр'!G179</f>
        <v>24984.960000000006</v>
      </c>
      <c r="I179" s="1042">
        <f>'Смета Внутр'!H179</f>
        <v>0</v>
      </c>
      <c r="J179" s="3014">
        <f>'Смета Внутр'!I179</f>
        <v>0</v>
      </c>
    </row>
    <row r="180" spans="2:10" ht="15" customHeight="1">
      <c r="B180" s="3007" t="str">
        <f>'Смета Внутр'!B180</f>
        <v xml:space="preserve">Пленка гидроизоляционная </v>
      </c>
      <c r="C180" s="3007" t="str">
        <f>'Смета Внутр'!C180</f>
        <v>м2</v>
      </c>
      <c r="D180" s="3014">
        <f>'Смета Внутр'!D180</f>
        <v>96.096000000000018</v>
      </c>
      <c r="E180" s="1042">
        <f>'Смета Внутр'!E180</f>
        <v>15</v>
      </c>
      <c r="F180" s="1042">
        <f>'Смета Внутр'!F180</f>
        <v>0</v>
      </c>
      <c r="G180" s="3007">
        <f t="shared" si="14"/>
        <v>15</v>
      </c>
      <c r="H180" s="1042">
        <f>'Смета Внутр'!G180</f>
        <v>1441.4400000000003</v>
      </c>
      <c r="I180" s="1042">
        <f>'Смета Внутр'!H180</f>
        <v>0</v>
      </c>
      <c r="J180" s="3014">
        <f>'Смета Внутр'!I180</f>
        <v>0</v>
      </c>
    </row>
    <row r="181" spans="2:10" ht="15" customHeight="1">
      <c r="B181" s="3007" t="str">
        <f>'Смета Внутр'!B181</f>
        <v>Арматура стальная Ø 8</v>
      </c>
      <c r="C181" s="3007" t="str">
        <f>'Смета Внутр'!C181</f>
        <v>м.п</v>
      </c>
      <c r="D181" s="3014">
        <f>'Смета Внутр'!D181</f>
        <v>443.52000000000004</v>
      </c>
      <c r="E181" s="1042">
        <f>'Смета Внутр'!E181</f>
        <v>16.037000000000003</v>
      </c>
      <c r="F181" s="1042">
        <f>'Смета Внутр'!F181</f>
        <v>0</v>
      </c>
      <c r="G181" s="3007">
        <f t="shared" si="14"/>
        <v>16.037000000000003</v>
      </c>
      <c r="H181" s="1042">
        <f>'Смета Внутр'!G181</f>
        <v>7112.7302400000017</v>
      </c>
      <c r="I181" s="1042">
        <f>'Смета Внутр'!H181</f>
        <v>0</v>
      </c>
      <c r="J181" s="3014">
        <f>'Смета Внутр'!I181</f>
        <v>0</v>
      </c>
    </row>
    <row r="182" spans="2:10" ht="15" customHeight="1">
      <c r="B182" s="3007" t="str">
        <f>'Смета Внутр'!B182</f>
        <v>Арматура стальная Ø 6</v>
      </c>
      <c r="C182" s="3007" t="str">
        <f>'Смета Внутр'!C182</f>
        <v>м.п</v>
      </c>
      <c r="D182" s="3014">
        <f>'Смета Внутр'!D182</f>
        <v>304.92000000000007</v>
      </c>
      <c r="E182" s="1042">
        <f>'Смета Внутр'!E182</f>
        <v>9.0131999999999994</v>
      </c>
      <c r="F182" s="1042">
        <f>'Смета Внутр'!F182</f>
        <v>0</v>
      </c>
      <c r="G182" s="3007">
        <f t="shared" si="14"/>
        <v>9.0131999999999994</v>
      </c>
      <c r="H182" s="1042">
        <f>'Смета Внутр'!G182</f>
        <v>2748.3049440000004</v>
      </c>
      <c r="I182" s="1042">
        <f>'Смета Внутр'!H182</f>
        <v>0</v>
      </c>
      <c r="J182" s="3014">
        <f>'Смета Внутр'!I182</f>
        <v>0</v>
      </c>
    </row>
    <row r="183" spans="2:10" ht="15" customHeight="1">
      <c r="B183" s="3007" t="str">
        <f>'Смета Внутр'!B183</f>
        <v>Вязальная проволока</v>
      </c>
      <c r="C183" s="3007" t="str">
        <f>'Смета Внутр'!C183</f>
        <v>кг</v>
      </c>
      <c r="D183" s="3014">
        <f>'Смета Внутр'!D183</f>
        <v>16.465680000000003</v>
      </c>
      <c r="E183" s="1042">
        <f>'Смета Внутр'!E183</f>
        <v>80</v>
      </c>
      <c r="F183" s="1042">
        <f>'Смета Внутр'!F183</f>
        <v>0</v>
      </c>
      <c r="G183" s="3007">
        <f t="shared" si="14"/>
        <v>80</v>
      </c>
      <c r="H183" s="1042">
        <f>'Смета Внутр'!G183</f>
        <v>1317.2544000000003</v>
      </c>
      <c r="I183" s="1042">
        <f>'Смета Внутр'!H183</f>
        <v>0</v>
      </c>
      <c r="J183" s="3014">
        <f>'Смета Внутр'!I183</f>
        <v>0</v>
      </c>
    </row>
    <row r="184" spans="2:10" ht="15" customHeight="1">
      <c r="B184" s="3007" t="str">
        <f>'Смета Внутр'!B184</f>
        <v xml:space="preserve">Гвозди строительные 3,5 x 90            </v>
      </c>
      <c r="C184" s="3007" t="str">
        <f>'Смета Внутр'!C184</f>
        <v>кг</v>
      </c>
      <c r="D184" s="3014">
        <f>'Смета Внутр'!D184</f>
        <v>21.141120000000008</v>
      </c>
      <c r="E184" s="1042">
        <f>'Смета Внутр'!E184</f>
        <v>70</v>
      </c>
      <c r="F184" s="1042">
        <f>'Смета Внутр'!F184</f>
        <v>0</v>
      </c>
      <c r="G184" s="3007">
        <f t="shared" si="14"/>
        <v>70</v>
      </c>
      <c r="H184" s="1042">
        <f>'Смета Внутр'!G184</f>
        <v>1479.8784000000005</v>
      </c>
      <c r="I184" s="1042">
        <f>'Смета Внутр'!H184</f>
        <v>0</v>
      </c>
      <c r="J184" s="3014">
        <f>'Смета Внутр'!I184</f>
        <v>0</v>
      </c>
    </row>
    <row r="185" spans="2:10" ht="15" customHeight="1">
      <c r="B185" s="3007" t="str">
        <f>'Смета Внутр'!B185</f>
        <v>Гидроизол</v>
      </c>
      <c r="C185" s="3007" t="str">
        <f>'Смета Внутр'!C185</f>
        <v>м2</v>
      </c>
      <c r="D185" s="3014">
        <f>'Смета Внутр'!D185</f>
        <v>18.480000000000004</v>
      </c>
      <c r="E185" s="1042">
        <f>'Смета Внутр'!E185</f>
        <v>70</v>
      </c>
      <c r="F185" s="1042">
        <f>'Смета Внутр'!F185</f>
        <v>0</v>
      </c>
      <c r="G185" s="3007">
        <f t="shared" si="14"/>
        <v>70</v>
      </c>
      <c r="H185" s="1042">
        <f>'Смета Внутр'!G185</f>
        <v>1293.6000000000004</v>
      </c>
      <c r="I185" s="1042">
        <f>'Смета Внутр'!H185</f>
        <v>0</v>
      </c>
      <c r="J185" s="3014">
        <f>'Смета Внутр'!I185</f>
        <v>0</v>
      </c>
    </row>
    <row r="186" spans="2:10" ht="15" customHeight="1">
      <c r="B186" s="3007" t="str">
        <f>'Смета Внутр'!B186</f>
        <v>ПГС, машина 13м3</v>
      </c>
      <c r="C186" s="3007" t="str">
        <f>'Смета Внутр'!C186</f>
        <v>маш</v>
      </c>
      <c r="D186" s="3014">
        <f>'Смета Внутр'!D186</f>
        <v>0.6160000000000001</v>
      </c>
      <c r="E186" s="1042">
        <f>'Смета Внутр'!E186</f>
        <v>10000</v>
      </c>
      <c r="F186" s="1042">
        <f>'Смета Внутр'!F186</f>
        <v>0</v>
      </c>
      <c r="G186" s="3007">
        <f t="shared" si="14"/>
        <v>10000</v>
      </c>
      <c r="H186" s="1042">
        <f>'Смета Внутр'!G186</f>
        <v>6160.0000000000009</v>
      </c>
      <c r="I186" s="1042">
        <f>'Смета Внутр'!H186</f>
        <v>0</v>
      </c>
      <c r="J186" s="3014">
        <f>'Смета Внутр'!I186</f>
        <v>0</v>
      </c>
    </row>
    <row r="187" spans="2:10" ht="15" customHeight="1">
      <c r="B187" s="3007" t="str">
        <f>'Смета Внутр'!B187</f>
        <v>Бетон, м250</v>
      </c>
      <c r="C187" s="3007" t="str">
        <f>'Смета Внутр'!C187</f>
        <v>м3</v>
      </c>
      <c r="D187" s="3014">
        <f>'Смета Внутр'!D187</f>
        <v>11.088000000000001</v>
      </c>
      <c r="E187" s="1042">
        <f>'Смета Внутр'!E187</f>
        <v>2750</v>
      </c>
      <c r="F187" s="1042">
        <f>'Смета Внутр'!F187</f>
        <v>0</v>
      </c>
      <c r="G187" s="3007">
        <f t="shared" si="14"/>
        <v>2750</v>
      </c>
      <c r="H187" s="1042">
        <f>'Смета Внутр'!G187</f>
        <v>30492.000000000004</v>
      </c>
      <c r="I187" s="1042">
        <f>'Смета Внутр'!H187</f>
        <v>0</v>
      </c>
      <c r="J187" s="3014">
        <f>'Смета Внутр'!I187</f>
        <v>0</v>
      </c>
    </row>
    <row r="188" spans="2:10" ht="15" customHeight="1">
      <c r="B188" s="1042" t="str">
        <f>'Смета Внутр'!B188</f>
        <v>Нет</v>
      </c>
      <c r="C188" s="1042" t="str">
        <f>'Смета Внутр'!C188</f>
        <v>м3</v>
      </c>
      <c r="D188" s="1058">
        <f>'Смета Внутр'!D188</f>
        <v>0</v>
      </c>
      <c r="E188" s="1042">
        <f>'Смета Внутр'!E188</f>
        <v>0</v>
      </c>
      <c r="F188" s="1042">
        <f>'Смета Внутр'!F188</f>
        <v>0</v>
      </c>
      <c r="G188" s="1042">
        <f t="shared" si="14"/>
        <v>0</v>
      </c>
      <c r="H188" s="1042">
        <f>'Смета Внутр'!G188</f>
        <v>0</v>
      </c>
      <c r="I188" s="1042">
        <f>'Смета Внутр'!H188</f>
        <v>0</v>
      </c>
      <c r="J188" s="1058">
        <f>'Смета Внутр'!I188</f>
        <v>0</v>
      </c>
    </row>
    <row r="189" spans="2:10" ht="15" customHeight="1">
      <c r="B189" s="1042" t="str">
        <f>'Смета Внутр'!B189</f>
        <v>Грибок для крепления утеплителя</v>
      </c>
      <c r="C189" s="1042" t="str">
        <f>'Смета Внутр'!C189</f>
        <v>шт</v>
      </c>
      <c r="D189" s="1058">
        <f>'Смета Внутр'!D189</f>
        <v>0</v>
      </c>
      <c r="E189" s="1042">
        <f>'Смета Внутр'!E189</f>
        <v>15</v>
      </c>
      <c r="F189" s="1042">
        <f>'Смета Внутр'!F189</f>
        <v>0</v>
      </c>
      <c r="G189" s="1042">
        <f t="shared" si="14"/>
        <v>15</v>
      </c>
      <c r="H189" s="1042">
        <f>'Смета Внутр'!G189</f>
        <v>0</v>
      </c>
      <c r="I189" s="1042">
        <f>'Смета Внутр'!H189</f>
        <v>0</v>
      </c>
      <c r="J189" s="1058">
        <f>'Смета Внутр'!I189</f>
        <v>0</v>
      </c>
    </row>
    <row r="190" spans="2:10" ht="15" customHeight="1">
      <c r="B190" s="1042" t="str">
        <f>'Смета Внутр'!B190</f>
        <v>Нет</v>
      </c>
      <c r="C190" s="1042" t="str">
        <f>'Смета Внутр'!C190</f>
        <v>м3</v>
      </c>
      <c r="D190" s="1058">
        <f>'Смета Внутр'!D190</f>
        <v>0</v>
      </c>
      <c r="E190" s="1042">
        <f>'Смета Внутр'!E190</f>
        <v>0</v>
      </c>
      <c r="F190" s="1042">
        <f>'Смета Внутр'!F190</f>
        <v>0</v>
      </c>
      <c r="G190" s="1042">
        <f t="shared" si="14"/>
        <v>0</v>
      </c>
      <c r="H190" s="1042">
        <f>'Смета Внутр'!G190</f>
        <v>0</v>
      </c>
      <c r="I190" s="1042">
        <f>'Смета Внутр'!H190</f>
        <v>0</v>
      </c>
      <c r="J190" s="1058">
        <f>'Смета Внутр'!I190</f>
        <v>0</v>
      </c>
    </row>
    <row r="191" spans="2:10" ht="15" customHeight="1">
      <c r="B191" s="1042" t="str">
        <f>'Смета Внутр'!B191</f>
        <v>ПГС, машина 5м3</v>
      </c>
      <c r="C191" s="1042" t="str">
        <f>'Смета Внутр'!C191</f>
        <v>маш</v>
      </c>
      <c r="D191" s="1058">
        <f>'Смета Внутр'!D191</f>
        <v>0</v>
      </c>
      <c r="E191" s="1042">
        <f>'Смета Внутр'!E191</f>
        <v>6000</v>
      </c>
      <c r="F191" s="1042">
        <f>'Смета Внутр'!F191</f>
        <v>0</v>
      </c>
      <c r="G191" s="1042">
        <f t="shared" si="14"/>
        <v>6000</v>
      </c>
      <c r="H191" s="1042">
        <f>'Смета Внутр'!G191</f>
        <v>0</v>
      </c>
      <c r="I191" s="1042">
        <f>'Смета Внутр'!H191</f>
        <v>0</v>
      </c>
      <c r="J191" s="1058">
        <f>'Смета Внутр'!I191</f>
        <v>0</v>
      </c>
    </row>
    <row r="192" spans="2:10" ht="15" customHeight="1">
      <c r="B192" s="1042" t="str">
        <f>'Смета Внутр'!B192</f>
        <v>Кладочная сетка, 100*100/150*150/200*200мм</v>
      </c>
      <c r="C192" s="1042" t="str">
        <f>'Смета Внутр'!C192</f>
        <v>м2</v>
      </c>
      <c r="D192" s="1058">
        <f>'Смета Внутр'!D192</f>
        <v>0</v>
      </c>
      <c r="E192" s="1042">
        <f>'Смета Внутр'!E192</f>
        <v>70</v>
      </c>
      <c r="F192" s="1042">
        <f>'Смета Внутр'!F192</f>
        <v>0</v>
      </c>
      <c r="G192" s="1042">
        <f t="shared" si="14"/>
        <v>70</v>
      </c>
      <c r="H192" s="1042">
        <f>'Смета Внутр'!G192</f>
        <v>0</v>
      </c>
      <c r="I192" s="1042">
        <f>'Смета Внутр'!H192</f>
        <v>0</v>
      </c>
      <c r="J192" s="1058">
        <f>'Смета Внутр'!I192</f>
        <v>0</v>
      </c>
    </row>
    <row r="193" spans="2:10" ht="15" customHeight="1">
      <c r="B193" s="1042" t="str">
        <f>'Смета Внутр'!B193</f>
        <v>Бетон, м200</v>
      </c>
      <c r="C193" s="1042" t="str">
        <f>'Смета Внутр'!C193</f>
        <v>м3</v>
      </c>
      <c r="D193" s="1058">
        <f>'Смета Внутр'!D193</f>
        <v>0</v>
      </c>
      <c r="E193" s="1042">
        <f>'Смета Внутр'!E193</f>
        <v>2500</v>
      </c>
      <c r="F193" s="1042">
        <f>'Смета Внутр'!F193</f>
        <v>0</v>
      </c>
      <c r="G193" s="1042">
        <f t="shared" si="14"/>
        <v>2500</v>
      </c>
      <c r="H193" s="1042">
        <f>'Смета Внутр'!G193</f>
        <v>0</v>
      </c>
      <c r="I193" s="1042">
        <f>'Смета Внутр'!H193</f>
        <v>0</v>
      </c>
      <c r="J193" s="1058">
        <f>'Смета Внутр'!I193</f>
        <v>0</v>
      </c>
    </row>
    <row r="194" spans="2:10" ht="15" customHeight="1">
      <c r="B194" s="1042" t="str">
        <f>'Смета Внутр'!B194</f>
        <v>Труба теплого пола 3</v>
      </c>
      <c r="C194" s="1042" t="str">
        <f>'Смета Внутр'!C194</f>
        <v>м.п</v>
      </c>
      <c r="D194" s="1058">
        <f>'Смета Внутр'!D194</f>
        <v>308</v>
      </c>
      <c r="E194" s="1042"/>
      <c r="F194" s="1042"/>
      <c r="G194" s="1042">
        <f t="shared" si="14"/>
        <v>0</v>
      </c>
      <c r="H194" s="1042"/>
      <c r="I194" s="1042"/>
      <c r="J194" s="1058">
        <f>'Смета Внутр'!I194</f>
        <v>0</v>
      </c>
    </row>
    <row r="195" spans="2:10" ht="15" customHeight="1">
      <c r="B195" s="1042" t="str">
        <f>'Смета Внутр'!B195</f>
        <v>Коллектор 1</v>
      </c>
      <c r="C195" s="1042" t="str">
        <f>'Смета Внутр'!C195</f>
        <v>шт</v>
      </c>
      <c r="D195" s="1058">
        <f>'Смета Внутр'!D195</f>
        <v>1.1000000000000001</v>
      </c>
      <c r="E195" s="1042"/>
      <c r="F195" s="1042"/>
      <c r="G195" s="1042">
        <f t="shared" si="14"/>
        <v>0</v>
      </c>
      <c r="H195" s="1042"/>
      <c r="I195" s="1042"/>
      <c r="J195" s="1058">
        <f>'Смета Внутр'!I195</f>
        <v>0</v>
      </c>
    </row>
    <row r="196" spans="2:10">
      <c r="B196" s="3311" t="str">
        <f>'Смета Внутр'!B196</f>
        <v>Итого материалы</v>
      </c>
      <c r="C196" s="3311"/>
      <c r="D196" s="3311"/>
      <c r="E196" s="3311"/>
      <c r="F196" s="3311"/>
      <c r="G196" s="3311"/>
      <c r="H196" s="1042">
        <f>'Смета Внутр'!G196</f>
        <v>0</v>
      </c>
      <c r="I196" s="1042">
        <f>'Смета Внутр'!H196</f>
        <v>0</v>
      </c>
      <c r="J196" s="3014">
        <f>'Смета Внутр'!I196</f>
        <v>0</v>
      </c>
    </row>
    <row r="197" spans="2:10" ht="15" customHeight="1">
      <c r="B197" s="3002" t="str">
        <f>'Смета Внутр'!B197</f>
        <v>Работы</v>
      </c>
      <c r="H197">
        <f>'Смета Внутр'!G197</f>
        <v>0</v>
      </c>
      <c r="I197">
        <f>'Смета Внутр'!H197</f>
        <v>0</v>
      </c>
      <c r="J197" s="3011">
        <f>'Смета Внутр'!I197</f>
        <v>0</v>
      </c>
    </row>
    <row r="198" spans="2:10" ht="15" customHeight="1">
      <c r="B198" s="3007" t="str">
        <f>'Смета Внутр'!B198</f>
        <v>разбивка осей</v>
      </c>
      <c r="C198" s="3007" t="str">
        <f>'Смета Внутр'!C198</f>
        <v>шт</v>
      </c>
      <c r="D198" s="3014">
        <f>'Смета Внутр'!D198</f>
        <v>1.05</v>
      </c>
      <c r="E198" s="1042">
        <f>'Смета Внутр'!E198</f>
        <v>7000</v>
      </c>
      <c r="F198" s="1042">
        <f>'Смета Внутр'!F198</f>
        <v>0</v>
      </c>
      <c r="G198" s="3007">
        <f t="shared" ref="G198:G212" si="15">IF(E198&gt;F198,E198,F198)</f>
        <v>7000</v>
      </c>
      <c r="H198" s="1042">
        <f>'Смета Внутр'!G198</f>
        <v>7350</v>
      </c>
      <c r="I198" s="1042">
        <f>'Смета Внутр'!H198</f>
        <v>0</v>
      </c>
      <c r="J198" s="3014">
        <f>'Смета Внутр'!I198</f>
        <v>0</v>
      </c>
    </row>
    <row r="199" spans="2:10" ht="15" customHeight="1">
      <c r="B199" s="3007" t="str">
        <f>'Смета Внутр'!B199</f>
        <v>сборка опалубки</v>
      </c>
      <c r="C199" s="3007" t="str">
        <f>'Смета Внутр'!C199</f>
        <v>м2</v>
      </c>
      <c r="D199" s="3014">
        <f>'Смета Внутр'!D199</f>
        <v>70.56</v>
      </c>
      <c r="E199" s="1042">
        <f>'Смета Внутр'!E199</f>
        <v>300</v>
      </c>
      <c r="F199" s="1042">
        <f>'Смета Внутр'!F199</f>
        <v>0</v>
      </c>
      <c r="G199" s="3007">
        <f t="shared" si="15"/>
        <v>300</v>
      </c>
      <c r="H199" s="1042">
        <f>'Смета Внутр'!G199</f>
        <v>21168</v>
      </c>
      <c r="I199" s="1042">
        <f>'Смета Внутр'!H199</f>
        <v>0</v>
      </c>
      <c r="J199" s="3014">
        <f>'Смета Внутр'!I199</f>
        <v>0</v>
      </c>
    </row>
    <row r="200" spans="2:10" ht="15" customHeight="1">
      <c r="B200" s="3007" t="str">
        <f>'Смета Внутр'!B200</f>
        <v>разборка опалубки</v>
      </c>
      <c r="C200" s="3007" t="str">
        <f>'Смета Внутр'!C200</f>
        <v>м2</v>
      </c>
      <c r="D200" s="3014">
        <f>'Смета Внутр'!D200</f>
        <v>74.088000000000008</v>
      </c>
      <c r="E200" s="1042">
        <f>'Смета Внутр'!E200</f>
        <v>100</v>
      </c>
      <c r="F200" s="1042">
        <f>'Смета Внутр'!F200</f>
        <v>0</v>
      </c>
      <c r="G200" s="3007">
        <f t="shared" si="15"/>
        <v>100</v>
      </c>
      <c r="H200" s="1042">
        <f>'Смета Внутр'!G200</f>
        <v>7408.8000000000011</v>
      </c>
      <c r="I200" s="1042">
        <f>'Смета Внутр'!H200</f>
        <v>0</v>
      </c>
      <c r="J200" s="3014">
        <f>'Смета Внутр'!I200</f>
        <v>0</v>
      </c>
    </row>
    <row r="201" spans="2:10" ht="15" customHeight="1">
      <c r="B201" s="3007" t="str">
        <f>'Смета Внутр'!B201</f>
        <v>настил пленки</v>
      </c>
      <c r="C201" s="3007" t="str">
        <f>'Смета Внутр'!C201</f>
        <v>м2</v>
      </c>
      <c r="D201" s="3014">
        <f>'Смета Внутр'!D201</f>
        <v>77.792400000000015</v>
      </c>
      <c r="E201" s="1042">
        <f>'Смета Внутр'!E201</f>
        <v>10</v>
      </c>
      <c r="F201" s="1042">
        <f>'Смета Внутр'!F201</f>
        <v>0</v>
      </c>
      <c r="G201" s="3007">
        <f t="shared" si="15"/>
        <v>10</v>
      </c>
      <c r="H201" s="1042">
        <f>'Смета Внутр'!G201</f>
        <v>777.92400000000021</v>
      </c>
      <c r="I201" s="1042">
        <f>'Смета Внутр'!H201</f>
        <v>0</v>
      </c>
      <c r="J201" s="3014">
        <f>'Смета Внутр'!I201</f>
        <v>0</v>
      </c>
    </row>
    <row r="202" spans="2:10" ht="15" customHeight="1">
      <c r="B202" s="3007" t="str">
        <f>'Смета Внутр'!B202</f>
        <v>армирование</v>
      </c>
      <c r="C202" s="3007" t="str">
        <f>'Смета Внутр'!C202</f>
        <v>м.п</v>
      </c>
      <c r="D202" s="3014">
        <f>'Смета Внутр'!D202</f>
        <v>423.36</v>
      </c>
      <c r="E202" s="1042">
        <f>'Смета Внутр'!E202</f>
        <v>30</v>
      </c>
      <c r="F202" s="1042">
        <f>'Смета Внутр'!F202</f>
        <v>0</v>
      </c>
      <c r="G202" s="3007">
        <f t="shared" si="15"/>
        <v>30</v>
      </c>
      <c r="H202" s="1042">
        <f>'Смета Внутр'!G202</f>
        <v>12700.800000000001</v>
      </c>
      <c r="I202" s="1042">
        <f>'Смета Внутр'!H202</f>
        <v>0</v>
      </c>
      <c r="J202" s="3014">
        <f>'Смета Внутр'!I202</f>
        <v>0</v>
      </c>
    </row>
    <row r="203" spans="2:10" ht="15" customHeight="1">
      <c r="B203" s="3007" t="str">
        <f>'Смета Внутр'!B203</f>
        <v>армирование</v>
      </c>
      <c r="C203" s="3007" t="str">
        <f>'Смета Внутр'!C203</f>
        <v>м.п.</v>
      </c>
      <c r="D203" s="3014">
        <f>'Смета Внутр'!D203</f>
        <v>194.04000000000005</v>
      </c>
      <c r="E203" s="1042">
        <f>'Смета Внутр'!E203</f>
        <v>500</v>
      </c>
      <c r="F203" s="1042">
        <f>'Смета Внутр'!F203</f>
        <v>0</v>
      </c>
      <c r="G203" s="3007">
        <f t="shared" si="15"/>
        <v>500</v>
      </c>
      <c r="H203" s="1042">
        <f>'Смета Внутр'!G203</f>
        <v>97020.000000000029</v>
      </c>
      <c r="I203" s="1042">
        <f>'Смета Внутр'!H203</f>
        <v>0</v>
      </c>
      <c r="J203" s="3014">
        <f>'Смета Внутр'!I203</f>
        <v>0</v>
      </c>
    </row>
    <row r="204" spans="2:10" ht="15" customHeight="1">
      <c r="B204" s="3007" t="str">
        <f>'Смета Внутр'!B204</f>
        <v>настил гидроизола</v>
      </c>
      <c r="C204" s="3007" t="str">
        <f>'Смета Внутр'!C204</f>
        <v>м2</v>
      </c>
      <c r="D204" s="3014">
        <f>'Смета Внутр'!D204</f>
        <v>17.64</v>
      </c>
      <c r="E204" s="1042">
        <f>'Смета Внутр'!E204</f>
        <v>100</v>
      </c>
      <c r="F204" s="1042">
        <f>'Смета Внутр'!F204</f>
        <v>0</v>
      </c>
      <c r="G204" s="3007">
        <f t="shared" si="15"/>
        <v>100</v>
      </c>
      <c r="H204" s="1042">
        <f>'Смета Внутр'!G204</f>
        <v>1764</v>
      </c>
      <c r="I204" s="1042">
        <f>'Смета Внутр'!H204</f>
        <v>0</v>
      </c>
      <c r="J204" s="3014">
        <f>'Смета Внутр'!I204</f>
        <v>0</v>
      </c>
    </row>
    <row r="205" spans="2:10" ht="15" customHeight="1">
      <c r="B205" s="3007" t="str">
        <f>'Смета Внутр'!B205</f>
        <v>трамбовка</v>
      </c>
      <c r="C205" s="3007" t="str">
        <f>'Смета Внутр'!C205</f>
        <v>м2</v>
      </c>
      <c r="D205" s="3014">
        <f>'Смета Внутр'!D205</f>
        <v>18.522000000000002</v>
      </c>
      <c r="E205" s="1042">
        <f>'Смета Внутр'!E205</f>
        <v>350</v>
      </c>
      <c r="F205" s="1042">
        <f>'Смета Внутр'!F205</f>
        <v>0</v>
      </c>
      <c r="G205" s="3007">
        <f t="shared" si="15"/>
        <v>350</v>
      </c>
      <c r="H205" s="1042">
        <f>'Смета Внутр'!G205</f>
        <v>6482.7000000000007</v>
      </c>
      <c r="I205" s="1042">
        <f>'Смета Внутр'!H205</f>
        <v>0</v>
      </c>
      <c r="J205" s="3014">
        <f>'Смета Внутр'!I205</f>
        <v>0</v>
      </c>
    </row>
    <row r="206" spans="2:10" ht="15" customHeight="1">
      <c r="B206" s="3007" t="str">
        <f>'Смета Внутр'!B206</f>
        <v>приемка бетона</v>
      </c>
      <c r="C206" s="3007" t="str">
        <f>'Смета Внутр'!C206</f>
        <v>м3</v>
      </c>
      <c r="D206" s="3014">
        <f>'Смета Внутр'!D206</f>
        <v>10.584000000000001</v>
      </c>
      <c r="E206" s="1042">
        <f>'Смета Внутр'!E206</f>
        <v>1200</v>
      </c>
      <c r="F206" s="1042">
        <f>'Смета Внутр'!F206</f>
        <v>0</v>
      </c>
      <c r="G206" s="3007">
        <f t="shared" si="15"/>
        <v>1200</v>
      </c>
      <c r="H206" s="1042">
        <f>'Смета Внутр'!G206</f>
        <v>12700.800000000001</v>
      </c>
      <c r="I206" s="1042">
        <f>'Смета Внутр'!H206</f>
        <v>0</v>
      </c>
      <c r="J206" s="3014">
        <f>'Смета Внутр'!I206</f>
        <v>0</v>
      </c>
    </row>
    <row r="207" spans="2:10" ht="15" customHeight="1">
      <c r="B207" s="1042" t="str">
        <f>'Смета Внутр'!B207</f>
        <v>утепление фундамента</v>
      </c>
      <c r="C207" s="1042" t="str">
        <f>'Смета Внутр'!C207</f>
        <v>м2</v>
      </c>
      <c r="D207" s="1058">
        <f>'Смета Внутр'!D207</f>
        <v>0</v>
      </c>
      <c r="E207" s="1042">
        <f>'Смета Внутр'!E207</f>
        <v>200</v>
      </c>
      <c r="F207" s="1042">
        <f>'Смета Внутр'!F207</f>
        <v>0</v>
      </c>
      <c r="G207" s="1042">
        <f t="shared" si="15"/>
        <v>200</v>
      </c>
      <c r="H207" s="1042">
        <f>'Смета Внутр'!G207</f>
        <v>0</v>
      </c>
      <c r="I207" s="1042">
        <f>'Смета Внутр'!H207</f>
        <v>0</v>
      </c>
      <c r="J207" s="1058">
        <f>'Смета Внутр'!I207</f>
        <v>0</v>
      </c>
    </row>
    <row r="208" spans="2:10" ht="15" customHeight="1">
      <c r="B208" s="1042" t="str">
        <f>'Смета Внутр'!B208</f>
        <v>утепление отмостки</v>
      </c>
      <c r="C208" s="1042" t="str">
        <f>'Смета Внутр'!C208</f>
        <v>м2</v>
      </c>
      <c r="D208" s="1058">
        <f>'Смета Внутр'!D208</f>
        <v>0</v>
      </c>
      <c r="E208" s="1042">
        <f>'Смета Внутр'!E208</f>
        <v>200</v>
      </c>
      <c r="F208" s="1042">
        <f>'Смета Внутр'!F208</f>
        <v>0</v>
      </c>
      <c r="G208" s="1042">
        <f t="shared" si="15"/>
        <v>200</v>
      </c>
      <c r="H208" s="1042">
        <f>'Смета Внутр'!G208</f>
        <v>0</v>
      </c>
      <c r="I208" s="1042">
        <f>'Смета Внутр'!H208</f>
        <v>0</v>
      </c>
      <c r="J208" s="1058">
        <f>'Смета Внутр'!I208</f>
        <v>0</v>
      </c>
    </row>
    <row r="209" spans="2:10" ht="15" customHeight="1">
      <c r="B209" s="1042" t="str">
        <f>'Смета Внутр'!B209</f>
        <v>трамбовка пгс</v>
      </c>
      <c r="C209" s="1042" t="str">
        <f>'Смета Внутр'!C209</f>
        <v>м2</v>
      </c>
      <c r="D209" s="1058">
        <f>'Смета Внутр'!D209</f>
        <v>0</v>
      </c>
      <c r="E209" s="1042">
        <f>'Смета Внутр'!E209</f>
        <v>600</v>
      </c>
      <c r="F209" s="1042">
        <f>'Смета Внутр'!F209</f>
        <v>0</v>
      </c>
      <c r="G209" s="1042">
        <f t="shared" si="15"/>
        <v>600</v>
      </c>
      <c r="H209" s="1042">
        <f>'Смета Внутр'!G209</f>
        <v>0</v>
      </c>
      <c r="I209" s="1042">
        <f>'Смета Внутр'!H209</f>
        <v>0</v>
      </c>
      <c r="J209" s="1058">
        <f>'Смета Внутр'!I209</f>
        <v>0</v>
      </c>
    </row>
    <row r="210" spans="2:10" ht="15" customHeight="1">
      <c r="B210" s="1042" t="str">
        <f>'Смета Внутр'!B210</f>
        <v>кладка сетки</v>
      </c>
      <c r="C210" s="1042" t="str">
        <f>'Смета Внутр'!C210</f>
        <v>м2</v>
      </c>
      <c r="D210" s="1058">
        <f>'Смета Внутр'!D210</f>
        <v>0</v>
      </c>
      <c r="E210" s="1042">
        <f>'Смета Внутр'!E210</f>
        <v>100</v>
      </c>
      <c r="F210" s="1042">
        <f>'Смета Внутр'!F210</f>
        <v>0</v>
      </c>
      <c r="G210" s="1042">
        <f t="shared" si="15"/>
        <v>100</v>
      </c>
      <c r="H210" s="1042">
        <f>'Смета Внутр'!G210</f>
        <v>0</v>
      </c>
      <c r="I210" s="1042">
        <f>'Смета Внутр'!H210</f>
        <v>0</v>
      </c>
      <c r="J210" s="1058">
        <f>'Смета Внутр'!I210</f>
        <v>0</v>
      </c>
    </row>
    <row r="211" spans="2:10" ht="15" customHeight="1">
      <c r="B211" s="1042" t="str">
        <f>'Смета Внутр'!B211</f>
        <v>приемка бетона</v>
      </c>
      <c r="C211" s="1042" t="str">
        <f>'Смета Внутр'!C211</f>
        <v>м3</v>
      </c>
      <c r="D211" s="1058">
        <f>'Смета Внутр'!D211</f>
        <v>0</v>
      </c>
      <c r="E211" s="1042">
        <f>'Смета Внутр'!E211</f>
        <v>1200</v>
      </c>
      <c r="F211" s="1042">
        <f>'Смета Внутр'!F211</f>
        <v>0</v>
      </c>
      <c r="G211" s="1042">
        <f t="shared" si="15"/>
        <v>1200</v>
      </c>
      <c r="H211" s="1042">
        <f>'Смета Внутр'!G211</f>
        <v>0</v>
      </c>
      <c r="I211" s="1042">
        <f>'Смета Внутр'!H211</f>
        <v>0</v>
      </c>
      <c r="J211" s="1058">
        <f>'Смета Внутр'!I211</f>
        <v>0</v>
      </c>
    </row>
    <row r="212" spans="2:10" ht="15" customHeight="1">
      <c r="B212" s="1042" t="str">
        <f>'Смета Внутр'!B212</f>
        <v>укладка теп. Пола</v>
      </c>
      <c r="C212" s="1042" t="str">
        <f>'Смета Внутр'!C212</f>
        <v>м2</v>
      </c>
      <c r="D212" s="1058">
        <f>'Смета Внутр'!D212</f>
        <v>105</v>
      </c>
      <c r="E212" s="1042"/>
      <c r="F212" s="1042"/>
      <c r="G212" s="1042">
        <f t="shared" si="15"/>
        <v>0</v>
      </c>
      <c r="H212" s="1042"/>
      <c r="I212" s="1042"/>
      <c r="J212" s="1058">
        <f>'Смета Внутр'!I212</f>
        <v>0</v>
      </c>
    </row>
    <row r="213" spans="2:10" ht="15" customHeight="1">
      <c r="B213" s="3311" t="str">
        <f>'Смета Внутр'!B213</f>
        <v>Итого работы</v>
      </c>
      <c r="C213" s="3311"/>
      <c r="D213" s="3311"/>
      <c r="E213" s="3311"/>
      <c r="F213" s="3311"/>
      <c r="G213" s="3311"/>
      <c r="H213" s="1042">
        <f>'Смета Внутр'!G213</f>
        <v>0</v>
      </c>
      <c r="I213" s="1042">
        <f>'Смета Внутр'!H213</f>
        <v>0</v>
      </c>
      <c r="J213" s="3014">
        <f>'Смета Внутр'!I213</f>
        <v>0</v>
      </c>
    </row>
    <row r="214" spans="2:10" ht="15" customHeight="1">
      <c r="B214" s="3329" t="str">
        <f>'Смета Внутр'!B214</f>
        <v>Свайноростверковый фундамент</v>
      </c>
      <c r="C214" s="3329"/>
      <c r="D214" s="3329"/>
      <c r="H214">
        <f>'Смета Внутр'!G214</f>
        <v>0</v>
      </c>
      <c r="I214">
        <f>'Смета Внутр'!H214</f>
        <v>0</v>
      </c>
      <c r="J214" s="3027">
        <f>'Смета Внутр'!I214</f>
        <v>0</v>
      </c>
    </row>
    <row r="215" spans="2:10" ht="15" customHeight="1">
      <c r="B215" s="3002" t="str">
        <f>'Смета Внутр'!B215</f>
        <v>Материалы</v>
      </c>
      <c r="D215" s="1167"/>
      <c r="H215">
        <f>'Смета Внутр'!G215</f>
        <v>0</v>
      </c>
      <c r="I215">
        <f>'Смета Внутр'!H215</f>
        <v>0</v>
      </c>
      <c r="J215" s="3027">
        <f>'Смета Внутр'!I215</f>
        <v>0</v>
      </c>
    </row>
    <row r="216" spans="2:10" ht="15" customHeight="1">
      <c r="B216" s="1042" t="str">
        <f>'Смета Внутр'!B216</f>
        <v>Экскаватор погрузчик, бурение</v>
      </c>
      <c r="C216" s="1042" t="str">
        <f>'Смета Внутр'!C216</f>
        <v>шт</v>
      </c>
      <c r="D216" s="1058">
        <f>'Смета Внутр'!D216</f>
        <v>82.500000000000014</v>
      </c>
      <c r="E216" s="1042">
        <f>'Смета Внутр'!E216</f>
        <v>300</v>
      </c>
      <c r="F216" s="1042">
        <f>'Смета Внутр'!F216</f>
        <v>0</v>
      </c>
      <c r="G216" s="1042">
        <f t="shared" ref="G216:G235" si="16">IF(E216&gt;F216,E216,F216)</f>
        <v>300</v>
      </c>
      <c r="H216" s="1042">
        <f>'Смета Внутр'!G216</f>
        <v>24750.000000000004</v>
      </c>
      <c r="I216" s="1042">
        <f>'Смета Внутр'!H216</f>
        <v>0</v>
      </c>
      <c r="J216" s="1058">
        <f>'Смета Внутр'!I216</f>
        <v>0</v>
      </c>
    </row>
    <row r="217" spans="2:10" ht="15" customHeight="1">
      <c r="B217" s="1042" t="str">
        <f>'Смета Внутр'!B217</f>
        <v>Бетон, м300</v>
      </c>
      <c r="C217" s="1042" t="str">
        <f>'Смета Внутр'!C217</f>
        <v>м3</v>
      </c>
      <c r="D217" s="1058">
        <f>'Смета Внутр'!D217</f>
        <v>5.8286249999999997</v>
      </c>
      <c r="E217" s="1042">
        <f>'Смета Внутр'!E217</f>
        <v>3000</v>
      </c>
      <c r="F217" s="1042">
        <f>'Смета Внутр'!F217</f>
        <v>0</v>
      </c>
      <c r="G217" s="1042">
        <f t="shared" si="16"/>
        <v>3000</v>
      </c>
      <c r="H217" s="1042">
        <f>'Смета Внутр'!G217</f>
        <v>17485.875</v>
      </c>
      <c r="I217" s="1042">
        <f>'Смета Внутр'!H217</f>
        <v>0</v>
      </c>
      <c r="J217" s="1058">
        <f>'Смета Внутр'!I217</f>
        <v>0</v>
      </c>
    </row>
    <row r="218" spans="2:10" ht="15" customHeight="1">
      <c r="B218" s="1042" t="str">
        <f>'Смета Внутр'!B218</f>
        <v>Арматурный скелет для свай</v>
      </c>
      <c r="C218" s="1042" t="str">
        <f>'Смета Внутр'!C218</f>
        <v>м.п.</v>
      </c>
      <c r="D218" s="1058">
        <f>'Смета Внутр'!D218</f>
        <v>272.25000000000006</v>
      </c>
      <c r="E218" s="1042">
        <f>'Смета Внутр'!E218</f>
        <v>500</v>
      </c>
      <c r="F218" s="1042">
        <f>'Смета Внутр'!F218</f>
        <v>0</v>
      </c>
      <c r="G218" s="1042">
        <f t="shared" si="16"/>
        <v>500</v>
      </c>
      <c r="H218" s="1042">
        <f>'Смета Внутр'!G218</f>
        <v>136125.00000000003</v>
      </c>
      <c r="I218" s="1042">
        <f>'Смета Внутр'!H218</f>
        <v>0</v>
      </c>
      <c r="J218" s="1058">
        <f>'Смета Внутр'!I218</f>
        <v>0</v>
      </c>
    </row>
    <row r="219" spans="2:10" ht="15" customHeight="1">
      <c r="B219" s="1042" t="str">
        <f>'Смета Внутр'!B219</f>
        <v>Сосна влаж,150*40мм</v>
      </c>
      <c r="C219" s="1042" t="str">
        <f>'Смета Внутр'!C219</f>
        <v>м3</v>
      </c>
      <c r="D219" s="1058">
        <f>'Смета Внутр'!D219</f>
        <v>3.843840000000001</v>
      </c>
      <c r="E219" s="1042">
        <f>'Смета Внутр'!E219</f>
        <v>6500</v>
      </c>
      <c r="F219" s="1042">
        <f>'Смета Внутр'!F219</f>
        <v>0</v>
      </c>
      <c r="G219" s="1042">
        <f t="shared" si="16"/>
        <v>6500</v>
      </c>
      <c r="H219" s="1042">
        <f>'Смета Внутр'!G219</f>
        <v>24984.960000000006</v>
      </c>
      <c r="I219" s="1042">
        <f>'Смета Внутр'!H219</f>
        <v>0</v>
      </c>
      <c r="J219" s="1058">
        <f>'Смета Внутр'!I219</f>
        <v>0</v>
      </c>
    </row>
    <row r="220" spans="2:10" ht="15" customHeight="1">
      <c r="B220" s="1042" t="str">
        <f>'Смета Внутр'!B220</f>
        <v xml:space="preserve">Пленка гидроизоляционная </v>
      </c>
      <c r="C220" s="1042" t="str">
        <f>'Смета Внутр'!C220</f>
        <v>м2</v>
      </c>
      <c r="D220" s="1058">
        <f>'Смета Внутр'!D220</f>
        <v>96.096000000000018</v>
      </c>
      <c r="E220" s="1042">
        <f>'Смета Внутр'!E220</f>
        <v>15</v>
      </c>
      <c r="F220" s="1042">
        <f>'Смета Внутр'!F220</f>
        <v>0</v>
      </c>
      <c r="G220" s="1042">
        <f t="shared" si="16"/>
        <v>15</v>
      </c>
      <c r="H220" s="1042">
        <f>'Смета Внутр'!G220</f>
        <v>1441.4400000000003</v>
      </c>
      <c r="I220" s="1042">
        <f>'Смета Внутр'!H220</f>
        <v>0</v>
      </c>
      <c r="J220" s="1058">
        <f>'Смета Внутр'!I220</f>
        <v>0</v>
      </c>
    </row>
    <row r="221" spans="2:10" ht="15" customHeight="1">
      <c r="B221" s="1042" t="str">
        <f>'Смета Внутр'!B221</f>
        <v>Арматура стальная Ø 8</v>
      </c>
      <c r="C221" s="1042" t="str">
        <f>'Смета Внутр'!C221</f>
        <v>м.п</v>
      </c>
      <c r="D221" s="1058">
        <f>'Смета Внутр'!D221</f>
        <v>443.52000000000004</v>
      </c>
      <c r="E221" s="1042">
        <f>'Смета Внутр'!E221</f>
        <v>16.037000000000003</v>
      </c>
      <c r="F221" s="1042">
        <f>'Смета Внутр'!F221</f>
        <v>0</v>
      </c>
      <c r="G221" s="1042">
        <f t="shared" si="16"/>
        <v>16.037000000000003</v>
      </c>
      <c r="H221" s="1042">
        <f>'Смета Внутр'!G221</f>
        <v>7112.7302400000017</v>
      </c>
      <c r="I221" s="1042">
        <f>'Смета Внутр'!H221</f>
        <v>0</v>
      </c>
      <c r="J221" s="1058">
        <f>'Смета Внутр'!I221</f>
        <v>0</v>
      </c>
    </row>
    <row r="222" spans="2:10" ht="15" customHeight="1">
      <c r="B222" s="1042" t="str">
        <f>'Смета Внутр'!B222</f>
        <v>Арматура стальная Ø 6</v>
      </c>
      <c r="C222" s="1042" t="str">
        <f>'Смета Внутр'!C222</f>
        <v>м.п</v>
      </c>
      <c r="D222" s="1058">
        <f>'Смета Внутр'!D222</f>
        <v>304.92000000000007</v>
      </c>
      <c r="E222" s="1042">
        <f>'Смета Внутр'!E222</f>
        <v>9.0131999999999994</v>
      </c>
      <c r="F222" s="1042">
        <f>'Смета Внутр'!F222</f>
        <v>0</v>
      </c>
      <c r="G222" s="1042">
        <f t="shared" si="16"/>
        <v>9.0131999999999994</v>
      </c>
      <c r="H222" s="1042">
        <f>'Смета Внутр'!G222</f>
        <v>2748.3049440000004</v>
      </c>
      <c r="I222" s="1042">
        <f>'Смета Внутр'!H222</f>
        <v>0</v>
      </c>
      <c r="J222" s="1058">
        <f>'Смета Внутр'!I222</f>
        <v>0</v>
      </c>
    </row>
    <row r="223" spans="2:10" ht="15" customHeight="1">
      <c r="B223" s="1042" t="str">
        <f>'Смета Внутр'!B223</f>
        <v>Вязальная проволока</v>
      </c>
      <c r="C223" s="1042" t="str">
        <f>'Смета Внутр'!C223</f>
        <v>кг</v>
      </c>
      <c r="D223" s="1058">
        <f>'Смета Внутр'!D223</f>
        <v>16.465680000000003</v>
      </c>
      <c r="E223" s="1042">
        <f>'Смета Внутр'!E223</f>
        <v>80</v>
      </c>
      <c r="F223" s="1042">
        <f>'Смета Внутр'!F223</f>
        <v>0</v>
      </c>
      <c r="G223" s="1042">
        <f t="shared" si="16"/>
        <v>80</v>
      </c>
      <c r="H223" s="1042">
        <f>'Смета Внутр'!G223</f>
        <v>1317.2544000000003</v>
      </c>
      <c r="I223" s="1042">
        <f>'Смета Внутр'!H223</f>
        <v>0</v>
      </c>
      <c r="J223" s="1058">
        <f>'Смета Внутр'!I223</f>
        <v>0</v>
      </c>
    </row>
    <row r="224" spans="2:10" ht="15" customHeight="1">
      <c r="B224" s="1042" t="str">
        <f>'Смета Внутр'!B224</f>
        <v xml:space="preserve">Гвозди строительные 3,5 x 90            </v>
      </c>
      <c r="C224" s="1042" t="str">
        <f>'Смета Внутр'!C224</f>
        <v>кг</v>
      </c>
      <c r="D224" s="1058">
        <f>'Смета Внутр'!D224</f>
        <v>21.141120000000008</v>
      </c>
      <c r="E224" s="1042">
        <f>'Смета Внутр'!E224</f>
        <v>70</v>
      </c>
      <c r="F224" s="1042">
        <f>'Смета Внутр'!F224</f>
        <v>0</v>
      </c>
      <c r="G224" s="1042">
        <f t="shared" si="16"/>
        <v>70</v>
      </c>
      <c r="H224" s="1042">
        <f>'Смета Внутр'!G224</f>
        <v>1479.8784000000005</v>
      </c>
      <c r="I224" s="1042">
        <f>'Смета Внутр'!H224</f>
        <v>0</v>
      </c>
      <c r="J224" s="1058">
        <f>'Смета Внутр'!I224</f>
        <v>0</v>
      </c>
    </row>
    <row r="225" spans="2:10" ht="15" customHeight="1">
      <c r="B225" s="1042" t="str">
        <f>'Смета Внутр'!B225</f>
        <v>Гидроизол</v>
      </c>
      <c r="C225" s="1042" t="str">
        <f>'Смета Внутр'!C225</f>
        <v>м2</v>
      </c>
      <c r="D225" s="1058">
        <f>'Смета Внутр'!D225</f>
        <v>18.480000000000004</v>
      </c>
      <c r="E225" s="1042">
        <f>'Смета Внутр'!E225</f>
        <v>70</v>
      </c>
      <c r="F225" s="1042">
        <f>'Смета Внутр'!F225</f>
        <v>0</v>
      </c>
      <c r="G225" s="1042">
        <f t="shared" si="16"/>
        <v>70</v>
      </c>
      <c r="H225" s="1042">
        <f>'Смета Внутр'!G225</f>
        <v>1293.6000000000004</v>
      </c>
      <c r="I225" s="1042">
        <f>'Смета Внутр'!H225</f>
        <v>0</v>
      </c>
      <c r="J225" s="1058">
        <f>'Смета Внутр'!I225</f>
        <v>0</v>
      </c>
    </row>
    <row r="226" spans="2:10" ht="15" customHeight="1">
      <c r="B226" s="1042" t="str">
        <f>'Смета Внутр'!B226</f>
        <v>ПГС, машина 13м3</v>
      </c>
      <c r="C226" s="1042" t="str">
        <f>'Смета Внутр'!C226</f>
        <v>маш</v>
      </c>
      <c r="D226" s="1058">
        <f>'Смета Внутр'!D226</f>
        <v>0.6160000000000001</v>
      </c>
      <c r="E226" s="1042">
        <f>'Смета Внутр'!E226</f>
        <v>10000</v>
      </c>
      <c r="F226" s="1042">
        <f>'Смета Внутр'!F226</f>
        <v>0</v>
      </c>
      <c r="G226" s="1042">
        <f t="shared" si="16"/>
        <v>10000</v>
      </c>
      <c r="H226" s="1042">
        <f>'Смета Внутр'!G226</f>
        <v>6160.0000000000009</v>
      </c>
      <c r="I226" s="1042">
        <f>'Смета Внутр'!H226</f>
        <v>0</v>
      </c>
      <c r="J226" s="1058">
        <f>'Смета Внутр'!I226</f>
        <v>0</v>
      </c>
    </row>
    <row r="227" spans="2:10" ht="15" customHeight="1">
      <c r="B227" s="1042" t="str">
        <f>'Смета Внутр'!B227</f>
        <v>Бетон, м250</v>
      </c>
      <c r="C227" s="1042" t="str">
        <f>'Смета Внутр'!C227</f>
        <v>м3</v>
      </c>
      <c r="D227" s="1058">
        <f>'Смета Внутр'!D227</f>
        <v>11.088000000000001</v>
      </c>
      <c r="E227" s="1042">
        <f>'Смета Внутр'!E227</f>
        <v>2750</v>
      </c>
      <c r="F227" s="1042">
        <f>'Смета Внутр'!F227</f>
        <v>0</v>
      </c>
      <c r="G227" s="1042">
        <f t="shared" si="16"/>
        <v>2750</v>
      </c>
      <c r="H227" s="1042">
        <f>'Смета Внутр'!G227</f>
        <v>30492.000000000004</v>
      </c>
      <c r="I227" s="1042">
        <f>'Смета Внутр'!H227</f>
        <v>0</v>
      </c>
      <c r="J227" s="1058">
        <f>'Смета Внутр'!I227</f>
        <v>0</v>
      </c>
    </row>
    <row r="228" spans="2:10" ht="15" customHeight="1">
      <c r="B228" s="1042" t="str">
        <f>'Смета Внутр'!B228</f>
        <v>Нет</v>
      </c>
      <c r="C228" s="1042" t="str">
        <f>'Смета Внутр'!C228</f>
        <v>м3</v>
      </c>
      <c r="D228" s="1058">
        <f>'Смета Внутр'!D228</f>
        <v>0</v>
      </c>
      <c r="E228" s="1042">
        <f>'Смета Внутр'!E228</f>
        <v>0</v>
      </c>
      <c r="F228" s="1042">
        <f>'Смета Внутр'!F228</f>
        <v>0</v>
      </c>
      <c r="G228" s="1042">
        <f t="shared" si="16"/>
        <v>0</v>
      </c>
      <c r="H228" s="1042">
        <f>'Смета Внутр'!G228</f>
        <v>0</v>
      </c>
      <c r="I228" s="1042">
        <f>'Смета Внутр'!H228</f>
        <v>0</v>
      </c>
      <c r="J228" s="1058">
        <f>'Смета Внутр'!I228</f>
        <v>0</v>
      </c>
    </row>
    <row r="229" spans="2:10" ht="15" customHeight="1">
      <c r="B229" s="1042" t="str">
        <f>'Смета Внутр'!B229</f>
        <v>Грибок для крепления утеплителя</v>
      </c>
      <c r="C229" s="1042" t="str">
        <f>'Смета Внутр'!C229</f>
        <v>шт</v>
      </c>
      <c r="D229" s="1058">
        <f>'Смета Внутр'!D229</f>
        <v>0</v>
      </c>
      <c r="E229" s="1042">
        <f>'Смета Внутр'!E229</f>
        <v>15</v>
      </c>
      <c r="F229" s="1042">
        <f>'Смета Внутр'!F229</f>
        <v>0</v>
      </c>
      <c r="G229" s="1042">
        <f t="shared" si="16"/>
        <v>15</v>
      </c>
      <c r="H229" s="1042">
        <f>'Смета Внутр'!G229</f>
        <v>0</v>
      </c>
      <c r="I229" s="1042">
        <f>'Смета Внутр'!H229</f>
        <v>0</v>
      </c>
      <c r="J229" s="1058">
        <f>'Смета Внутр'!I229</f>
        <v>0</v>
      </c>
    </row>
    <row r="230" spans="2:10" ht="15" customHeight="1">
      <c r="B230" s="1042" t="str">
        <f>'Смета Внутр'!B230</f>
        <v>Нет</v>
      </c>
      <c r="C230" s="1042" t="str">
        <f>'Смета Внутр'!C230</f>
        <v>м3</v>
      </c>
      <c r="D230" s="1058">
        <f>'Смета Внутр'!D230</f>
        <v>0</v>
      </c>
      <c r="E230" s="1042">
        <f>'Смета Внутр'!E230</f>
        <v>0</v>
      </c>
      <c r="F230" s="1042">
        <f>'Смета Внутр'!F230</f>
        <v>0</v>
      </c>
      <c r="G230" s="1042">
        <f t="shared" si="16"/>
        <v>0</v>
      </c>
      <c r="H230" s="1042">
        <f>'Смета Внутр'!G230</f>
        <v>0</v>
      </c>
      <c r="I230" s="1042">
        <f>'Смета Внутр'!H230</f>
        <v>0</v>
      </c>
      <c r="J230" s="1058">
        <f>'Смета Внутр'!I230</f>
        <v>0</v>
      </c>
    </row>
    <row r="231" spans="2:10" ht="15" customHeight="1">
      <c r="B231" s="1042" t="str">
        <f>'Смета Внутр'!B231</f>
        <v>ПГС, машина 5м3</v>
      </c>
      <c r="C231" s="1042" t="str">
        <f>'Смета Внутр'!C231</f>
        <v>маш</v>
      </c>
      <c r="D231" s="1058">
        <f>'Смета Внутр'!D231</f>
        <v>0</v>
      </c>
      <c r="E231" s="1042">
        <f>'Смета Внутр'!E231</f>
        <v>6000</v>
      </c>
      <c r="F231" s="1042">
        <f>'Смета Внутр'!F231</f>
        <v>0</v>
      </c>
      <c r="G231" s="1042">
        <f t="shared" si="16"/>
        <v>6000</v>
      </c>
      <c r="H231" s="1042">
        <f>'Смета Внутр'!G231</f>
        <v>0</v>
      </c>
      <c r="I231" s="1042">
        <f>'Смета Внутр'!H231</f>
        <v>0</v>
      </c>
      <c r="J231" s="1058">
        <f>'Смета Внутр'!I231</f>
        <v>0</v>
      </c>
    </row>
    <row r="232" spans="2:10" ht="15" customHeight="1">
      <c r="B232" s="1042" t="str">
        <f>'Смета Внутр'!B232</f>
        <v>Кладочная сетка, 100*100/150*150/200*200мм</v>
      </c>
      <c r="C232" s="1042" t="str">
        <f>'Смета Внутр'!C232</f>
        <v>м2</v>
      </c>
      <c r="D232" s="1058">
        <f>'Смета Внутр'!D232</f>
        <v>0</v>
      </c>
      <c r="E232" s="1042">
        <f>'Смета Внутр'!E232</f>
        <v>70</v>
      </c>
      <c r="F232" s="1042">
        <f>'Смета Внутр'!F232</f>
        <v>0</v>
      </c>
      <c r="G232" s="1042">
        <f t="shared" si="16"/>
        <v>70</v>
      </c>
      <c r="H232" s="1042">
        <f>'Смета Внутр'!G232</f>
        <v>0</v>
      </c>
      <c r="I232" s="1042">
        <f>'Смета Внутр'!H232</f>
        <v>0</v>
      </c>
      <c r="J232" s="1058">
        <f>'Смета Внутр'!I232</f>
        <v>0</v>
      </c>
    </row>
    <row r="233" spans="2:10" ht="15" customHeight="1">
      <c r="B233" s="1042" t="str">
        <f>'Смета Внутр'!B233</f>
        <v>Бетон, м200</v>
      </c>
      <c r="C233" s="1042" t="str">
        <f>'Смета Внутр'!C233</f>
        <v>м3</v>
      </c>
      <c r="D233" s="1058">
        <f>'Смета Внутр'!D233</f>
        <v>0</v>
      </c>
      <c r="E233" s="1042">
        <f>'Смета Внутр'!E233</f>
        <v>2500</v>
      </c>
      <c r="F233" s="1042">
        <f>'Смета Внутр'!F233</f>
        <v>0</v>
      </c>
      <c r="G233" s="1042">
        <f t="shared" si="16"/>
        <v>2500</v>
      </c>
      <c r="H233" s="1042">
        <f>'Смета Внутр'!G233</f>
        <v>0</v>
      </c>
      <c r="I233" s="1042">
        <f>'Смета Внутр'!H233</f>
        <v>0</v>
      </c>
      <c r="J233" s="1058">
        <f>'Смета Внутр'!I233</f>
        <v>0</v>
      </c>
    </row>
    <row r="234" spans="2:10" ht="15" customHeight="1">
      <c r="B234" s="1042" t="str">
        <f>'Смета Внутр'!B234</f>
        <v>Труба теплого пола 3</v>
      </c>
      <c r="C234" s="1042" t="str">
        <f>'Смета Внутр'!C234</f>
        <v>м.п</v>
      </c>
      <c r="D234" s="1058">
        <f>'Смета Внутр'!D234</f>
        <v>308</v>
      </c>
      <c r="E234" s="1042"/>
      <c r="F234" s="1042"/>
      <c r="G234" s="1042">
        <f t="shared" si="16"/>
        <v>0</v>
      </c>
      <c r="H234" s="1042"/>
      <c r="I234" s="1042"/>
      <c r="J234" s="1058">
        <f>'Смета Внутр'!I234</f>
        <v>0</v>
      </c>
    </row>
    <row r="235" spans="2:10" ht="15" customHeight="1">
      <c r="B235" s="1042" t="str">
        <f>'Смета Внутр'!B235</f>
        <v>Коллектор 1</v>
      </c>
      <c r="C235" s="1042" t="str">
        <f>'Смета Внутр'!C235</f>
        <v>шт</v>
      </c>
      <c r="D235" s="1058">
        <f>'Смета Внутр'!D235</f>
        <v>1.1000000000000001</v>
      </c>
      <c r="E235" s="1042"/>
      <c r="F235" s="1042"/>
      <c r="G235" s="1042">
        <f t="shared" si="16"/>
        <v>0</v>
      </c>
      <c r="H235" s="1042"/>
      <c r="I235" s="1042"/>
      <c r="J235" s="1058">
        <f>'Смета Внутр'!I235</f>
        <v>0</v>
      </c>
    </row>
    <row r="236" spans="2:10">
      <c r="B236" s="3330" t="str">
        <f>'Смета Внутр'!B236</f>
        <v>Итого материалы</v>
      </c>
      <c r="C236" s="3330"/>
      <c r="D236" s="3330"/>
      <c r="E236" s="3330"/>
      <c r="F236" s="3330"/>
      <c r="G236" s="3330"/>
      <c r="H236" s="1042">
        <f>'Смета Внутр'!G236</f>
        <v>0</v>
      </c>
      <c r="I236" s="1042">
        <f>'Смета Внутр'!H236</f>
        <v>0</v>
      </c>
      <c r="J236" s="1058">
        <f>'Смета Внутр'!I236</f>
        <v>0</v>
      </c>
    </row>
    <row r="237" spans="2:10" ht="15" customHeight="1">
      <c r="B237" s="3002" t="str">
        <f>'Смета Внутр'!B237</f>
        <v>Работы</v>
      </c>
      <c r="D237" s="1167"/>
      <c r="H237">
        <f>'Смета Внутр'!G237</f>
        <v>0</v>
      </c>
      <c r="I237">
        <f>'Смета Внутр'!H237</f>
        <v>0</v>
      </c>
      <c r="J237" s="3027">
        <f>'Смета Внутр'!I237</f>
        <v>0</v>
      </c>
    </row>
    <row r="238" spans="2:10" ht="15" customHeight="1">
      <c r="B238" s="1042" t="str">
        <f>'Смета Внутр'!B238</f>
        <v>приемка бетона</v>
      </c>
      <c r="C238" s="1042" t="str">
        <f>'Смета Внутр'!C238</f>
        <v>м3</v>
      </c>
      <c r="D238" s="1058">
        <f>'Смета Внутр'!D238</f>
        <v>5.5636874999999995</v>
      </c>
      <c r="E238" s="1042">
        <f>'Смета Внутр'!E238</f>
        <v>1200</v>
      </c>
      <c r="F238" s="1042">
        <f>'Смета Внутр'!F238</f>
        <v>0</v>
      </c>
      <c r="G238" s="1042">
        <f t="shared" ref="G238:G254" si="17">IF(E238&gt;F238,E238,F238)</f>
        <v>1200</v>
      </c>
      <c r="H238" s="1042">
        <f>'Смета Внутр'!G238</f>
        <v>6676.4249999999993</v>
      </c>
      <c r="I238" s="1042">
        <f>'Смета Внутр'!H238</f>
        <v>0</v>
      </c>
      <c r="J238" s="1058">
        <f>'Смета Внутр'!I238</f>
        <v>0</v>
      </c>
    </row>
    <row r="239" spans="2:10" ht="15" customHeight="1">
      <c r="B239" s="1042" t="str">
        <f>'Смета Внутр'!B239</f>
        <v>армирование свай скелет из арматуры</v>
      </c>
      <c r="C239" s="1042" t="str">
        <f>'Смета Внутр'!C239</f>
        <v>м.п.</v>
      </c>
      <c r="D239" s="1058">
        <f>'Смета Внутр'!D239</f>
        <v>78.75</v>
      </c>
      <c r="E239" s="1042">
        <f>'Смета Внутр'!E239</f>
        <v>500</v>
      </c>
      <c r="F239" s="1042">
        <f>'Смета Внутр'!F239</f>
        <v>0</v>
      </c>
      <c r="G239" s="1042">
        <f t="shared" si="17"/>
        <v>500</v>
      </c>
      <c r="H239" s="1042">
        <f>'Смета Внутр'!G239</f>
        <v>39375</v>
      </c>
      <c r="I239" s="1042">
        <f>'Смета Внутр'!H239</f>
        <v>0</v>
      </c>
      <c r="J239" s="1058">
        <f>'Смета Внутр'!I239</f>
        <v>0</v>
      </c>
    </row>
    <row r="240" spans="2:10" ht="15" customHeight="1">
      <c r="B240" s="1042" t="str">
        <f>'Смета Внутр'!B240</f>
        <v>разбивка осей</v>
      </c>
      <c r="C240" s="1042" t="str">
        <f>'Смета Внутр'!C240</f>
        <v>шт</v>
      </c>
      <c r="D240" s="1058">
        <f>'Смета Внутр'!D240</f>
        <v>1.05</v>
      </c>
      <c r="E240" s="1042">
        <f>'Смета Внутр'!E240</f>
        <v>7000</v>
      </c>
      <c r="F240" s="1042">
        <f>'Смета Внутр'!F240</f>
        <v>0</v>
      </c>
      <c r="G240" s="1042">
        <f t="shared" si="17"/>
        <v>7000</v>
      </c>
      <c r="H240" s="1042">
        <f>'Смета Внутр'!G240</f>
        <v>7350</v>
      </c>
      <c r="I240" s="1042">
        <f>'Смета Внутр'!H240</f>
        <v>0</v>
      </c>
      <c r="J240" s="1058">
        <f>'Смета Внутр'!I240</f>
        <v>0</v>
      </c>
    </row>
    <row r="241" spans="2:10" ht="15" customHeight="1">
      <c r="B241" s="1042" t="str">
        <f>'Смета Внутр'!B241</f>
        <v>сборка опалубки</v>
      </c>
      <c r="C241" s="1042" t="str">
        <f>'Смета Внутр'!C241</f>
        <v>м2</v>
      </c>
      <c r="D241" s="1058">
        <f>'Смета Внутр'!D241</f>
        <v>70.56</v>
      </c>
      <c r="E241" s="1042">
        <f>'Смета Внутр'!E241</f>
        <v>300</v>
      </c>
      <c r="F241" s="1042">
        <f>'Смета Внутр'!F241</f>
        <v>0</v>
      </c>
      <c r="G241" s="1042">
        <f t="shared" si="17"/>
        <v>300</v>
      </c>
      <c r="H241" s="1042">
        <f>'Смета Внутр'!G241</f>
        <v>21168</v>
      </c>
      <c r="I241" s="1042">
        <f>'Смета Внутр'!H241</f>
        <v>0</v>
      </c>
      <c r="J241" s="1058">
        <f>'Смета Внутр'!I241</f>
        <v>0</v>
      </c>
    </row>
    <row r="242" spans="2:10" ht="15" customHeight="1">
      <c r="B242" s="1042" t="str">
        <f>'Смета Внутр'!B242</f>
        <v>разборка опалубки</v>
      </c>
      <c r="C242" s="1042" t="str">
        <f>'Смета Внутр'!C242</f>
        <v>м2</v>
      </c>
      <c r="D242" s="1058">
        <f>'Смета Внутр'!D242</f>
        <v>74.088000000000008</v>
      </c>
      <c r="E242" s="1042">
        <f>'Смета Внутр'!E242</f>
        <v>100</v>
      </c>
      <c r="F242" s="1042">
        <f>'Смета Внутр'!F242</f>
        <v>0</v>
      </c>
      <c r="G242" s="1042">
        <f t="shared" si="17"/>
        <v>100</v>
      </c>
      <c r="H242" s="1042">
        <f>'Смета Внутр'!G242</f>
        <v>7408.8000000000011</v>
      </c>
      <c r="I242" s="1042">
        <f>'Смета Внутр'!H242</f>
        <v>0</v>
      </c>
      <c r="J242" s="1058">
        <f>'Смета Внутр'!I242</f>
        <v>0</v>
      </c>
    </row>
    <row r="243" spans="2:10" ht="15" customHeight="1">
      <c r="B243" s="1042" t="str">
        <f>'Смета Внутр'!B243</f>
        <v>настил пленки</v>
      </c>
      <c r="C243" s="1042" t="str">
        <f>'Смета Внутр'!C243</f>
        <v>м2</v>
      </c>
      <c r="D243" s="1058">
        <f>'Смета Внутр'!D243</f>
        <v>77.792400000000015</v>
      </c>
      <c r="E243" s="1042">
        <f>'Смета Внутр'!E243</f>
        <v>10</v>
      </c>
      <c r="F243" s="1042">
        <f>'Смета Внутр'!F243</f>
        <v>0</v>
      </c>
      <c r="G243" s="1042">
        <f t="shared" si="17"/>
        <v>10</v>
      </c>
      <c r="H243" s="1042">
        <f>'Смета Внутр'!G243</f>
        <v>777.92400000000021</v>
      </c>
      <c r="I243" s="1042">
        <f>'Смета Внутр'!H243</f>
        <v>0</v>
      </c>
      <c r="J243" s="1058">
        <f>'Смета Внутр'!I243</f>
        <v>0</v>
      </c>
    </row>
    <row r="244" spans="2:10" ht="15" customHeight="1">
      <c r="B244" s="1042" t="str">
        <f>'Смета Внутр'!B244</f>
        <v>армирование</v>
      </c>
      <c r="C244" s="1042" t="str">
        <f>'Смета Внутр'!C244</f>
        <v>м.п</v>
      </c>
      <c r="D244" s="1058">
        <f>'Смета Внутр'!D244</f>
        <v>423.36</v>
      </c>
      <c r="E244" s="1042">
        <f>'Смета Внутр'!E244</f>
        <v>30</v>
      </c>
      <c r="F244" s="1042">
        <f>'Смета Внутр'!F244</f>
        <v>0</v>
      </c>
      <c r="G244" s="1042">
        <f t="shared" si="17"/>
        <v>30</v>
      </c>
      <c r="H244" s="1042">
        <f>'Смета Внутр'!G244</f>
        <v>12700.800000000001</v>
      </c>
      <c r="I244" s="1042">
        <f>'Смета Внутр'!H244</f>
        <v>0</v>
      </c>
      <c r="J244" s="1058">
        <f>'Смета Внутр'!I244</f>
        <v>0</v>
      </c>
    </row>
    <row r="245" spans="2:10" ht="15" customHeight="1">
      <c r="B245" s="1042" t="str">
        <f>'Смета Внутр'!B245</f>
        <v>армирование</v>
      </c>
      <c r="C245" s="1042" t="str">
        <f>'Смета Внутр'!C245</f>
        <v>м.п.</v>
      </c>
      <c r="D245" s="1058">
        <f>'Смета Внутр'!D245</f>
        <v>194.04000000000005</v>
      </c>
      <c r="E245" s="1042">
        <f>'Смета Внутр'!E245</f>
        <v>30</v>
      </c>
      <c r="F245" s="1042">
        <f>'Смета Внутр'!F245</f>
        <v>0</v>
      </c>
      <c r="G245" s="1042">
        <f t="shared" si="17"/>
        <v>30</v>
      </c>
      <c r="H245" s="1042">
        <f>'Смета Внутр'!G245</f>
        <v>5821.2000000000016</v>
      </c>
      <c r="I245" s="1042">
        <f>'Смета Внутр'!H245</f>
        <v>0</v>
      </c>
      <c r="J245" s="1058">
        <f>'Смета Внутр'!I245</f>
        <v>0</v>
      </c>
    </row>
    <row r="246" spans="2:10" ht="15" customHeight="1">
      <c r="B246" s="1042" t="str">
        <f>'Смета Внутр'!B246</f>
        <v>настил гидроизола</v>
      </c>
      <c r="C246" s="1042" t="str">
        <f>'Смета Внутр'!C246</f>
        <v>м2</v>
      </c>
      <c r="D246" s="1058">
        <f>'Смета Внутр'!D246</f>
        <v>17.64</v>
      </c>
      <c r="E246" s="1042">
        <f>'Смета Внутр'!E246</f>
        <v>100</v>
      </c>
      <c r="F246" s="1042">
        <f>'Смета Внутр'!F246</f>
        <v>0</v>
      </c>
      <c r="G246" s="1042">
        <f t="shared" si="17"/>
        <v>100</v>
      </c>
      <c r="H246" s="1042">
        <f>'Смета Внутр'!G246</f>
        <v>1764</v>
      </c>
      <c r="I246" s="1042">
        <f>'Смета Внутр'!H246</f>
        <v>0</v>
      </c>
      <c r="J246" s="1058">
        <f>'Смета Внутр'!I246</f>
        <v>0</v>
      </c>
    </row>
    <row r="247" spans="2:10" ht="15" customHeight="1">
      <c r="B247" s="1042" t="str">
        <f>'Смета Внутр'!B247</f>
        <v>трамбовка</v>
      </c>
      <c r="C247" s="1042" t="str">
        <f>'Смета Внутр'!C247</f>
        <v>м2</v>
      </c>
      <c r="D247" s="1058">
        <f>'Смета Внутр'!D247</f>
        <v>18.522000000000002</v>
      </c>
      <c r="E247" s="1042">
        <f>'Смета Внутр'!E247</f>
        <v>600</v>
      </c>
      <c r="F247" s="1042">
        <f>'Смета Внутр'!F247</f>
        <v>0</v>
      </c>
      <c r="G247" s="1042">
        <f t="shared" si="17"/>
        <v>600</v>
      </c>
      <c r="H247" s="1042">
        <f>'Смета Внутр'!G247</f>
        <v>11113.2</v>
      </c>
      <c r="I247" s="1042">
        <f>'Смета Внутр'!H247</f>
        <v>0</v>
      </c>
      <c r="J247" s="1058">
        <f>'Смета Внутр'!I247</f>
        <v>0</v>
      </c>
    </row>
    <row r="248" spans="2:10" ht="15" customHeight="1">
      <c r="B248" s="1042" t="str">
        <f>'Смета Внутр'!B248</f>
        <v>приемка бетона</v>
      </c>
      <c r="C248" s="1042" t="str">
        <f>'Смета Внутр'!C248</f>
        <v>м3</v>
      </c>
      <c r="D248" s="1058">
        <f>'Смета Внутр'!D248</f>
        <v>10.584000000000001</v>
      </c>
      <c r="E248" s="1042">
        <f>'Смета Внутр'!E248</f>
        <v>1200</v>
      </c>
      <c r="F248" s="1042">
        <f>'Смета Внутр'!F248</f>
        <v>0</v>
      </c>
      <c r="G248" s="1042">
        <f t="shared" si="17"/>
        <v>1200</v>
      </c>
      <c r="H248" s="1042">
        <f>'Смета Внутр'!G248</f>
        <v>12700.800000000001</v>
      </c>
      <c r="I248" s="1042">
        <f>'Смета Внутр'!H248</f>
        <v>0</v>
      </c>
      <c r="J248" s="1058">
        <f>'Смета Внутр'!I248</f>
        <v>0</v>
      </c>
    </row>
    <row r="249" spans="2:10" ht="15" customHeight="1">
      <c r="B249" s="1042" t="str">
        <f>'Смета Внутр'!B249</f>
        <v>утепление фундамента</v>
      </c>
      <c r="C249" s="1042" t="str">
        <f>'Смета Внутр'!C249</f>
        <v>м2</v>
      </c>
      <c r="D249" s="1058">
        <f>'Смета Внутр'!D249</f>
        <v>0</v>
      </c>
      <c r="E249" s="1042">
        <f>'Смета Внутр'!E249</f>
        <v>200</v>
      </c>
      <c r="F249" s="1042">
        <f>'Смета Внутр'!F249</f>
        <v>0</v>
      </c>
      <c r="G249" s="1042">
        <f t="shared" si="17"/>
        <v>200</v>
      </c>
      <c r="H249" s="1042">
        <f>'Смета Внутр'!G249</f>
        <v>0</v>
      </c>
      <c r="I249" s="1042">
        <f>'Смета Внутр'!H249</f>
        <v>0</v>
      </c>
      <c r="J249" s="1058">
        <f>'Смета Внутр'!I249</f>
        <v>0</v>
      </c>
    </row>
    <row r="250" spans="2:10" ht="15" customHeight="1">
      <c r="B250" s="1042" t="str">
        <f>'Смета Внутр'!B250</f>
        <v>утепление отмостки</v>
      </c>
      <c r="C250" s="1042" t="str">
        <f>'Смета Внутр'!C250</f>
        <v>м2</v>
      </c>
      <c r="D250" s="1058">
        <f>'Смета Внутр'!D250</f>
        <v>0</v>
      </c>
      <c r="E250" s="1042">
        <f>'Смета Внутр'!E250</f>
        <v>200</v>
      </c>
      <c r="F250" s="1042">
        <f>'Смета Внутр'!F250</f>
        <v>0</v>
      </c>
      <c r="G250" s="1042">
        <f t="shared" si="17"/>
        <v>200</v>
      </c>
      <c r="H250" s="1042">
        <f>'Смета Внутр'!G250</f>
        <v>0</v>
      </c>
      <c r="I250" s="1042">
        <f>'Смета Внутр'!H250</f>
        <v>0</v>
      </c>
      <c r="J250" s="1058">
        <f>'Смета Внутр'!I250</f>
        <v>0</v>
      </c>
    </row>
    <row r="251" spans="2:10" ht="15" customHeight="1">
      <c r="B251" s="1042" t="str">
        <f>'Смета Внутр'!B251</f>
        <v>трамбовка пгс</v>
      </c>
      <c r="C251" s="1042" t="str">
        <f>'Смета Внутр'!C251</f>
        <v>м2</v>
      </c>
      <c r="D251" s="1058">
        <f>'Смета Внутр'!D251</f>
        <v>0</v>
      </c>
      <c r="E251" s="1042">
        <f>'Смета Внутр'!E251</f>
        <v>600</v>
      </c>
      <c r="F251" s="1042">
        <f>'Смета Внутр'!F251</f>
        <v>0</v>
      </c>
      <c r="G251" s="1042">
        <f t="shared" si="17"/>
        <v>600</v>
      </c>
      <c r="H251" s="1042">
        <f>'Смета Внутр'!G251</f>
        <v>0</v>
      </c>
      <c r="I251" s="1042">
        <f>'Смета Внутр'!H251</f>
        <v>0</v>
      </c>
      <c r="J251" s="1058">
        <f>'Смета Внутр'!I251</f>
        <v>0</v>
      </c>
    </row>
    <row r="252" spans="2:10" ht="15" customHeight="1">
      <c r="B252" s="1042" t="str">
        <f>'Смета Внутр'!B252</f>
        <v>кладка сетки</v>
      </c>
      <c r="C252" s="1042" t="str">
        <f>'Смета Внутр'!C252</f>
        <v>м2</v>
      </c>
      <c r="D252" s="1058">
        <f>'Смета Внутр'!D252</f>
        <v>0</v>
      </c>
      <c r="E252" s="1042">
        <f>'Смета Внутр'!E252</f>
        <v>100</v>
      </c>
      <c r="F252" s="1042">
        <f>'Смета Внутр'!F252</f>
        <v>0</v>
      </c>
      <c r="G252" s="1042">
        <f t="shared" si="17"/>
        <v>100</v>
      </c>
      <c r="H252" s="1042">
        <f>'Смета Внутр'!G252</f>
        <v>0</v>
      </c>
      <c r="I252" s="1042">
        <f>'Смета Внутр'!H252</f>
        <v>0</v>
      </c>
      <c r="J252" s="1058">
        <f>'Смета Внутр'!I252</f>
        <v>0</v>
      </c>
    </row>
    <row r="253" spans="2:10" ht="15" customHeight="1">
      <c r="B253" s="1042" t="str">
        <f>'Смета Внутр'!B253</f>
        <v>приемка бетона</v>
      </c>
      <c r="C253" s="1042" t="str">
        <f>'Смета Внутр'!C253</f>
        <v>м2</v>
      </c>
      <c r="D253" s="1058">
        <f>'Смета Внутр'!D253</f>
        <v>0</v>
      </c>
      <c r="E253" s="1042">
        <f>'Смета Внутр'!E253</f>
        <v>1200</v>
      </c>
      <c r="F253" s="1042">
        <f>'Смета Внутр'!F253</f>
        <v>0</v>
      </c>
      <c r="G253" s="1042">
        <f t="shared" si="17"/>
        <v>1200</v>
      </c>
      <c r="H253" s="1042">
        <f>'Смета Внутр'!G253</f>
        <v>0</v>
      </c>
      <c r="I253" s="1042">
        <f>'Смета Внутр'!H253</f>
        <v>0</v>
      </c>
      <c r="J253" s="1058">
        <f>'Смета Внутр'!I253</f>
        <v>0</v>
      </c>
    </row>
    <row r="254" spans="2:10" ht="15" customHeight="1">
      <c r="B254" s="1042" t="str">
        <f>'Смета Внутр'!B254</f>
        <v>укладка теп. Пола</v>
      </c>
      <c r="C254" s="1042" t="str">
        <f>'Смета Внутр'!C254</f>
        <v>м2</v>
      </c>
      <c r="D254" s="1058">
        <f>'Смета Внутр'!D254</f>
        <v>105</v>
      </c>
      <c r="E254" s="1042"/>
      <c r="F254" s="1042"/>
      <c r="G254" s="1042">
        <f t="shared" si="17"/>
        <v>0</v>
      </c>
      <c r="H254" s="1042"/>
      <c r="I254" s="1042"/>
      <c r="J254" s="1058">
        <f>'Смета Внутр'!I254</f>
        <v>0</v>
      </c>
    </row>
    <row r="255" spans="2:10" ht="15" customHeight="1">
      <c r="B255" s="3330" t="str">
        <f>'Смета Внутр'!B255</f>
        <v>Итого работы</v>
      </c>
      <c r="C255" s="3330"/>
      <c r="D255" s="3330"/>
      <c r="E255" s="3330"/>
      <c r="F255" s="3330"/>
      <c r="G255" s="3330"/>
      <c r="H255" s="1042">
        <f>'Смета Внутр'!G255</f>
        <v>0</v>
      </c>
      <c r="I255" s="1042">
        <f>'Смета Внутр'!H255</f>
        <v>0</v>
      </c>
      <c r="J255" s="1058">
        <f>'Смета Внутр'!I255</f>
        <v>0</v>
      </c>
    </row>
    <row r="256" spans="2:10" ht="15" customHeight="1">
      <c r="B256" s="3329" t="str">
        <f>'Смета Внутр'!B256</f>
        <v>Плита УШП, технология Дороселл / Монолитная плита</v>
      </c>
      <c r="C256" s="3329"/>
      <c r="D256" s="3329"/>
      <c r="H256">
        <f>'Смета Внутр'!G256</f>
        <v>0</v>
      </c>
      <c r="I256">
        <f>'Смета Внутр'!H256</f>
        <v>0</v>
      </c>
      <c r="J256" s="3027">
        <f>'Смета Внутр'!I256</f>
        <v>0</v>
      </c>
    </row>
    <row r="257" spans="2:10" ht="15" customHeight="1">
      <c r="B257" s="3002" t="str">
        <f>'Смета Внутр'!B257</f>
        <v>Материалы</v>
      </c>
      <c r="D257" s="1167"/>
      <c r="H257">
        <f>'Смета Внутр'!G257</f>
        <v>0</v>
      </c>
      <c r="I257">
        <f>'Смета Внутр'!H257</f>
        <v>0</v>
      </c>
      <c r="J257" s="3027">
        <f>'Смета Внутр'!I257</f>
        <v>0</v>
      </c>
    </row>
    <row r="258" spans="2:10" ht="15" customHeight="1">
      <c r="B258" s="1042" t="str">
        <f>'Смета Внутр'!B258</f>
        <v>Скальник, 1 маш 13м3</v>
      </c>
      <c r="C258" s="1042" t="str">
        <f>'Смета Внутр'!C258</f>
        <v>маш</v>
      </c>
      <c r="D258" s="1058">
        <f>'Смета Внутр'!D258</f>
        <v>1.5384615384615385</v>
      </c>
      <c r="E258" s="1042">
        <f>'Смета Внутр'!E258</f>
        <v>15000</v>
      </c>
      <c r="F258" s="1042">
        <f>'Смета Внутр'!F258</f>
        <v>0</v>
      </c>
      <c r="G258" s="1042">
        <f t="shared" ref="G258:G280" si="18">IF(E258&gt;F258,E258,F258)</f>
        <v>15000</v>
      </c>
      <c r="H258" s="1042">
        <f>'Смета Внутр'!G258</f>
        <v>23076.923076923078</v>
      </c>
      <c r="I258" s="1042">
        <f>'Смета Внутр'!H258</f>
        <v>0</v>
      </c>
      <c r="J258" s="1058">
        <f>'Смета Внутр'!I258</f>
        <v>0</v>
      </c>
    </row>
    <row r="259" spans="2:10" ht="15" customHeight="1">
      <c r="B259" s="1042" t="str">
        <f>'Смета Внутр'!B259</f>
        <v>ПГС, машина 13м3</v>
      </c>
      <c r="C259" s="1042" t="str">
        <f>'Смета Внутр'!C259</f>
        <v>маш</v>
      </c>
      <c r="D259" s="1058">
        <f>'Смета Внутр'!D259</f>
        <v>1.5384615384615385</v>
      </c>
      <c r="E259" s="1042">
        <f>'Смета Внутр'!E259</f>
        <v>10000</v>
      </c>
      <c r="F259" s="1042">
        <f>'Смета Внутр'!F259</f>
        <v>0</v>
      </c>
      <c r="G259" s="1042">
        <f t="shared" si="18"/>
        <v>10000</v>
      </c>
      <c r="H259" s="1042">
        <f>'Смета Внутр'!G259</f>
        <v>15384.615384615385</v>
      </c>
      <c r="I259" s="1042">
        <f>'Смета Внутр'!H259</f>
        <v>0</v>
      </c>
      <c r="J259" s="1058">
        <f>'Смета Внутр'!I259</f>
        <v>0</v>
      </c>
    </row>
    <row r="260" spans="2:10" ht="15" customHeight="1">
      <c r="B260" s="1042" t="str">
        <f>'Смета Внутр'!B260</f>
        <v>Песок, машина 13м3</v>
      </c>
      <c r="C260" s="1042" t="str">
        <f>'Смета Внутр'!C260</f>
        <v>маш</v>
      </c>
      <c r="D260" s="1058">
        <f>'Смета Внутр'!D260</f>
        <v>0.76923076923076927</v>
      </c>
      <c r="E260" s="1042">
        <f>'Смета Внутр'!E260</f>
        <v>12000</v>
      </c>
      <c r="F260" s="1042">
        <f>'Смета Внутр'!F260</f>
        <v>0</v>
      </c>
      <c r="G260" s="1042">
        <f t="shared" si="18"/>
        <v>12000</v>
      </c>
      <c r="H260" s="1042">
        <f>'Смета Внутр'!G260</f>
        <v>9230.7692307692305</v>
      </c>
      <c r="I260" s="1042">
        <f>'Смета Внутр'!H260</f>
        <v>0</v>
      </c>
      <c r="J260" s="1058">
        <f>'Смета Внутр'!I260</f>
        <v>0</v>
      </c>
    </row>
    <row r="261" spans="2:10" ht="15" customHeight="1">
      <c r="B261" s="1042" t="str">
        <f>'Смета Внутр'!B261</f>
        <v>Сосна влаж,180*40мм</v>
      </c>
      <c r="C261" s="1042" t="str">
        <f>'Смета Внутр'!C261</f>
        <v>м3</v>
      </c>
      <c r="D261" s="1058">
        <f>'Смета Внутр'!D261</f>
        <v>0</v>
      </c>
      <c r="E261" s="1042">
        <f>'Смета Внутр'!E261</f>
        <v>6500</v>
      </c>
      <c r="F261" s="1042">
        <f>'Смета Внутр'!F261</f>
        <v>0</v>
      </c>
      <c r="G261" s="1042">
        <f t="shared" si="18"/>
        <v>6500</v>
      </c>
      <c r="H261" s="1042">
        <f>'Смета Внутр'!G261</f>
        <v>0</v>
      </c>
      <c r="I261" s="1042">
        <f>'Смета Внутр'!H261</f>
        <v>0</v>
      </c>
      <c r="J261" s="1058">
        <f>'Смета Внутр'!I261</f>
        <v>0</v>
      </c>
    </row>
    <row r="262" spans="2:10" ht="15" customHeight="1">
      <c r="B262" s="1042" t="str">
        <f>'Смета Внутр'!B262</f>
        <v>Нет утеплителя</v>
      </c>
      <c r="C262" s="1042" t="str">
        <f>'Смета Внутр'!C262</f>
        <v>м3</v>
      </c>
      <c r="D262" s="1058">
        <f>'Смета Внутр'!D262</f>
        <v>0</v>
      </c>
      <c r="E262" s="1042">
        <f>'Смета Внутр'!E262</f>
        <v>0</v>
      </c>
      <c r="F262" s="1042">
        <f>'Смета Внутр'!F262</f>
        <v>0</v>
      </c>
      <c r="G262" s="1042">
        <f t="shared" si="18"/>
        <v>0</v>
      </c>
      <c r="H262" s="1042">
        <f>'Смета Внутр'!G262</f>
        <v>0</v>
      </c>
      <c r="I262" s="1042">
        <f>'Смета Внутр'!H262</f>
        <v>0</v>
      </c>
      <c r="J262" s="1058">
        <f>'Смета Внутр'!I262</f>
        <v>0</v>
      </c>
    </row>
    <row r="263" spans="2:10" ht="15" customHeight="1">
      <c r="B263" s="1042" t="str">
        <f>'Смета Внутр'!B263</f>
        <v>Нет утеплителя</v>
      </c>
      <c r="C263" s="1042" t="str">
        <f>'Смета Внутр'!C263</f>
        <v>м3</v>
      </c>
      <c r="D263" s="1058">
        <f>'Смета Внутр'!D263</f>
        <v>0</v>
      </c>
      <c r="E263" s="1042">
        <f>'Смета Внутр'!E263</f>
        <v>0</v>
      </c>
      <c r="F263" s="1042">
        <f>'Смета Внутр'!F263</f>
        <v>0</v>
      </c>
      <c r="G263" s="1042">
        <f t="shared" si="18"/>
        <v>0</v>
      </c>
      <c r="H263" s="1042">
        <f>'Смета Внутр'!G263</f>
        <v>0</v>
      </c>
      <c r="I263" s="1042">
        <f>'Смета Внутр'!H263</f>
        <v>0</v>
      </c>
      <c r="J263" s="1058">
        <f>'Смета Внутр'!I263</f>
        <v>0</v>
      </c>
    </row>
    <row r="264" spans="2:10" ht="15" customHeight="1">
      <c r="B264" s="1042" t="str">
        <f>'Смета Внутр'!B264</f>
        <v xml:space="preserve">Пленка гидроизоляционная </v>
      </c>
      <c r="C264" s="1042" t="str">
        <f>'Смета Внутр'!C264</f>
        <v>м2</v>
      </c>
      <c r="D264" s="1058">
        <f>'Смета Внутр'!D264</f>
        <v>130</v>
      </c>
      <c r="E264" s="1042">
        <f>'Смета Внутр'!E264</f>
        <v>15</v>
      </c>
      <c r="F264" s="1042">
        <f>'Смета Внутр'!F264</f>
        <v>0</v>
      </c>
      <c r="G264" s="1042">
        <f t="shared" si="18"/>
        <v>15</v>
      </c>
      <c r="H264" s="1042">
        <f>'Смета Внутр'!G264</f>
        <v>1950</v>
      </c>
      <c r="I264" s="1042">
        <f>'Смета Внутр'!H264</f>
        <v>0</v>
      </c>
      <c r="J264" s="1058">
        <f>'Смета Внутр'!I264</f>
        <v>0</v>
      </c>
    </row>
    <row r="265" spans="2:10" ht="15" customHeight="1">
      <c r="B265" s="1042" t="str">
        <f>'Смета Внутр'!B265</f>
        <v>Кладочная сетка, 100*100/150*150/200*200мм</v>
      </c>
      <c r="C265" s="1042" t="str">
        <f>'Смета Внутр'!C265</f>
        <v>м2</v>
      </c>
      <c r="D265" s="1058">
        <f>'Смета Внутр'!D265</f>
        <v>100</v>
      </c>
      <c r="E265" s="1042">
        <f>'Смета Внутр'!E265</f>
        <v>70</v>
      </c>
      <c r="F265" s="1042">
        <f>'Смета Внутр'!F265</f>
        <v>0</v>
      </c>
      <c r="G265" s="1042">
        <f t="shared" si="18"/>
        <v>70</v>
      </c>
      <c r="H265" s="1042">
        <f>'Смета Внутр'!G265</f>
        <v>7000</v>
      </c>
      <c r="I265" s="1042">
        <f>'Смета Внутр'!H265</f>
        <v>0</v>
      </c>
      <c r="J265" s="1058">
        <f>'Смета Внутр'!I265</f>
        <v>0</v>
      </c>
    </row>
    <row r="266" spans="2:10" ht="15" customHeight="1">
      <c r="B266" s="1042" t="str">
        <f>'Смета Внутр'!B266</f>
        <v>Стяжки пластиковые</v>
      </c>
      <c r="C266" s="1042" t="str">
        <f>'Смета Внутр'!C266</f>
        <v>шт</v>
      </c>
      <c r="D266" s="1058">
        <f>'Смета Внутр'!D266</f>
        <v>1140</v>
      </c>
      <c r="E266" s="1042">
        <f>'Смета Внутр'!E266</f>
        <v>2</v>
      </c>
      <c r="F266" s="1042">
        <f>'Смета Внутр'!F266</f>
        <v>0</v>
      </c>
      <c r="G266" s="1042">
        <f t="shared" si="18"/>
        <v>2</v>
      </c>
      <c r="H266" s="1042">
        <f>'Смета Внутр'!G266</f>
        <v>2280</v>
      </c>
      <c r="I266" s="1042">
        <f>'Смета Внутр'!H266</f>
        <v>0</v>
      </c>
      <c r="J266" s="1058">
        <f>'Смета Внутр'!I266</f>
        <v>0</v>
      </c>
    </row>
    <row r="267" spans="2:10" ht="15" customHeight="1">
      <c r="B267" s="1042" t="str">
        <f>'Смета Внутр'!B267</f>
        <v>Бетон, м350</v>
      </c>
      <c r="C267" s="1042" t="str">
        <f>'Смета Внутр'!C267</f>
        <v>м3</v>
      </c>
      <c r="D267" s="1058">
        <f>'Смета Внутр'!D267</f>
        <v>0</v>
      </c>
      <c r="E267" s="1042">
        <f>'Смета Внутр'!E267</f>
        <v>3500</v>
      </c>
      <c r="F267" s="1042">
        <f>'Смета Внутр'!F267</f>
        <v>0</v>
      </c>
      <c r="G267" s="1042">
        <f t="shared" si="18"/>
        <v>3500</v>
      </c>
      <c r="H267" s="1042">
        <f>'Смета Внутр'!G267</f>
        <v>0</v>
      </c>
      <c r="I267" s="1042">
        <f>'Смета Внутр'!H267</f>
        <v>0</v>
      </c>
      <c r="J267" s="1058">
        <f>'Смета Внутр'!I267</f>
        <v>0</v>
      </c>
    </row>
    <row r="268" spans="2:10" ht="15" customHeight="1">
      <c r="B268" s="1042" t="str">
        <f>'Смета Внутр'!B268</f>
        <v>Бетон, м250</v>
      </c>
      <c r="C268" s="1042" t="str">
        <f>'Смета Внутр'!C268</f>
        <v>м3</v>
      </c>
      <c r="D268" s="1058">
        <f>'Смета Внутр'!D268</f>
        <v>0</v>
      </c>
      <c r="E268" s="1042">
        <f>'Смета Внутр'!E268</f>
        <v>2750</v>
      </c>
      <c r="F268" s="1042">
        <f>'Смета Внутр'!F268</f>
        <v>0</v>
      </c>
      <c r="G268" s="1042">
        <f t="shared" si="18"/>
        <v>2750</v>
      </c>
      <c r="H268" s="1042">
        <f>'Смета Внутр'!G268</f>
        <v>0</v>
      </c>
      <c r="I268" s="1042">
        <f>'Смета Внутр'!H268</f>
        <v>0</v>
      </c>
      <c r="J268" s="1058">
        <f>'Смета Внутр'!I268</f>
        <v>0</v>
      </c>
    </row>
    <row r="269" spans="2:10" ht="15" customHeight="1">
      <c r="B269" s="1042" t="str">
        <f>'Смета Внутр'!B269</f>
        <v>Труба теплого пола 3</v>
      </c>
      <c r="C269" s="1042" t="str">
        <f>'Смета Внутр'!C269</f>
        <v>м.п</v>
      </c>
      <c r="D269" s="1058">
        <f>'Смета Внутр'!D269</f>
        <v>280</v>
      </c>
      <c r="E269" s="1042">
        <f>'Смета Внутр'!E269</f>
        <v>60</v>
      </c>
      <c r="F269" s="1042">
        <f>'Смета Внутр'!F269</f>
        <v>0</v>
      </c>
      <c r="G269" s="1042">
        <f t="shared" si="18"/>
        <v>60</v>
      </c>
      <c r="H269" s="1042">
        <f>'Смета Внутр'!G269</f>
        <v>16800</v>
      </c>
      <c r="I269" s="1042">
        <f>'Смета Внутр'!H269</f>
        <v>0</v>
      </c>
      <c r="J269" s="1058">
        <f>'Смета Внутр'!I269</f>
        <v>0</v>
      </c>
    </row>
    <row r="270" spans="2:10" ht="15" customHeight="1">
      <c r="B270" s="1042" t="str">
        <f>'Смета Внутр'!B270</f>
        <v>Коллектор 1</v>
      </c>
      <c r="C270" s="1042" t="str">
        <f>'Смета Внутр'!C270</f>
        <v>шт</v>
      </c>
      <c r="D270" s="1058">
        <f>'Смета Внутр'!D270</f>
        <v>1</v>
      </c>
      <c r="E270" s="1042">
        <f>'Смета Внутр'!E270</f>
        <v>5000</v>
      </c>
      <c r="F270" s="1042">
        <f>'Смета Внутр'!F270</f>
        <v>0</v>
      </c>
      <c r="G270" s="1042">
        <f t="shared" si="18"/>
        <v>5000</v>
      </c>
      <c r="H270" s="1042">
        <f>'Смета Внутр'!G270</f>
        <v>5000</v>
      </c>
      <c r="I270" s="1042">
        <f>'Смета Внутр'!H270</f>
        <v>0</v>
      </c>
      <c r="J270" s="1058">
        <f>'Смета Внутр'!I270</f>
        <v>0</v>
      </c>
    </row>
    <row r="271" spans="2:10" ht="15" customHeight="1">
      <c r="B271" s="1042" t="str">
        <f>'Смета Внутр'!B271</f>
        <v>Нет арматуры</v>
      </c>
      <c r="C271" s="1042" t="str">
        <f>'Смета Внутр'!C271</f>
        <v>м.п.</v>
      </c>
      <c r="D271" s="1058">
        <f>'Смета Внутр'!D271</f>
        <v>246.40000000000003</v>
      </c>
      <c r="E271" s="1042">
        <f>'Смета Внутр'!E271</f>
        <v>0</v>
      </c>
      <c r="F271" s="1042">
        <f>'Смета Внутр'!F271</f>
        <v>0</v>
      </c>
      <c r="G271" s="1042">
        <f t="shared" si="18"/>
        <v>0</v>
      </c>
      <c r="H271" s="1042">
        <f>'Смета Внутр'!G271</f>
        <v>0</v>
      </c>
      <c r="I271" s="1042">
        <f>'Смета Внутр'!H271</f>
        <v>0</v>
      </c>
      <c r="J271" s="1058">
        <f>'Смета Внутр'!I271</f>
        <v>0</v>
      </c>
    </row>
    <row r="272" spans="2:10" ht="15" customHeight="1">
      <c r="B272" s="1042" t="str">
        <f>'Смета Внутр'!B272</f>
        <v>Нет арматуры</v>
      </c>
      <c r="C272" s="1042" t="str">
        <f>'Смета Внутр'!C272</f>
        <v>м.п.</v>
      </c>
      <c r="D272" s="1058">
        <f>'Смета Внутр'!D272</f>
        <v>1000</v>
      </c>
      <c r="E272" s="1042">
        <f>'Смета Внутр'!E272</f>
        <v>0</v>
      </c>
      <c r="F272" s="1042">
        <f>'Смета Внутр'!F272</f>
        <v>0</v>
      </c>
      <c r="G272" s="1042">
        <f t="shared" si="18"/>
        <v>0</v>
      </c>
      <c r="H272" s="1042">
        <f>'Смета Внутр'!G272</f>
        <v>0</v>
      </c>
      <c r="I272" s="1042">
        <f>'Смета Внутр'!H272</f>
        <v>0</v>
      </c>
      <c r="J272" s="1058">
        <f>'Смета Внутр'!I272</f>
        <v>0</v>
      </c>
    </row>
    <row r="273" spans="2:10" ht="15" customHeight="1">
      <c r="B273" s="1042" t="str">
        <f>'Смета Внутр'!B273</f>
        <v>Нет арматуры</v>
      </c>
      <c r="C273" s="1042" t="str">
        <f>'Смета Внутр'!C273</f>
        <v>м.п.</v>
      </c>
      <c r="D273" s="1058">
        <f>'Смета Внутр'!D273</f>
        <v>0</v>
      </c>
      <c r="E273" s="1042">
        <f>'Смета Внутр'!E273</f>
        <v>0</v>
      </c>
      <c r="F273" s="1042">
        <f>'Смета Внутр'!F273</f>
        <v>0</v>
      </c>
      <c r="G273" s="1042">
        <f t="shared" si="18"/>
        <v>0</v>
      </c>
      <c r="H273" s="1042">
        <f>'Смета Внутр'!G273</f>
        <v>0</v>
      </c>
      <c r="I273" s="1042">
        <f>'Смета Внутр'!H273</f>
        <v>0</v>
      </c>
      <c r="J273" s="1058">
        <f>'Смета Внутр'!I273</f>
        <v>0</v>
      </c>
    </row>
    <row r="274" spans="2:10" ht="15" customHeight="1">
      <c r="B274" s="1042" t="str">
        <f>'Смета Внутр'!B274</f>
        <v>Вязальная проволока</v>
      </c>
      <c r="C274" s="1042" t="str">
        <f>'Смета Внутр'!C274</f>
        <v>кг</v>
      </c>
      <c r="D274" s="1058">
        <f>'Смета Внутр'!D274</f>
        <v>24.928000000000001</v>
      </c>
      <c r="E274" s="1042">
        <f>'Смета Внутр'!E274</f>
        <v>80</v>
      </c>
      <c r="F274" s="1042">
        <f>'Смета Внутр'!F274</f>
        <v>0</v>
      </c>
      <c r="G274" s="1042">
        <f t="shared" si="18"/>
        <v>80</v>
      </c>
      <c r="H274" s="1042">
        <f>'Смета Внутр'!G274</f>
        <v>1994.24</v>
      </c>
      <c r="I274" s="1042">
        <f>'Смета Внутр'!H274</f>
        <v>0</v>
      </c>
      <c r="J274" s="1058">
        <f>'Смета Внутр'!I274</f>
        <v>0</v>
      </c>
    </row>
    <row r="275" spans="2:10" ht="15" customHeight="1">
      <c r="B275" s="1042" t="str">
        <f>'Смета Внутр'!B275</f>
        <v>Подставка под арматурный каркас</v>
      </c>
      <c r="C275" s="1042" t="str">
        <f>'Смета Внутр'!C275</f>
        <v>шт</v>
      </c>
      <c r="D275" s="1058">
        <f>'Смета Внутр'!D275</f>
        <v>300</v>
      </c>
      <c r="E275" s="1042">
        <f>'Смета Внутр'!E275</f>
        <v>5</v>
      </c>
      <c r="F275" s="1042">
        <f>'Смета Внутр'!F275</f>
        <v>0</v>
      </c>
      <c r="G275" s="1042">
        <f t="shared" si="18"/>
        <v>5</v>
      </c>
      <c r="H275" s="1042">
        <f>'Смета Внутр'!G275</f>
        <v>1500</v>
      </c>
      <c r="I275" s="1042">
        <f>'Смета Внутр'!H275</f>
        <v>0</v>
      </c>
      <c r="J275" s="1058">
        <f>'Смета Внутр'!I275</f>
        <v>0</v>
      </c>
    </row>
    <row r="276" spans="2:10" ht="15" customHeight="1">
      <c r="B276" s="1042" t="str">
        <f>'Смета Внутр'!B276</f>
        <v xml:space="preserve">Гвозди строительные 3,5 x 90            </v>
      </c>
      <c r="C276" s="1042" t="str">
        <f>'Смета Внутр'!C276</f>
        <v>кг</v>
      </c>
      <c r="D276" s="1058">
        <f>'Смета Внутр'!D276</f>
        <v>0</v>
      </c>
      <c r="E276" s="1042">
        <f>'Смета Внутр'!E276</f>
        <v>70</v>
      </c>
      <c r="F276" s="1042">
        <f>'Смета Внутр'!F276</f>
        <v>0</v>
      </c>
      <c r="G276" s="1042">
        <f t="shared" si="18"/>
        <v>70</v>
      </c>
      <c r="H276" s="1042">
        <f>'Смета Внутр'!G276</f>
        <v>0</v>
      </c>
      <c r="I276" s="1042">
        <f>'Смета Внутр'!H276</f>
        <v>0</v>
      </c>
      <c r="J276" s="1058">
        <f>'Смета Внутр'!I276</f>
        <v>0</v>
      </c>
    </row>
    <row r="277" spans="2:10" ht="15" customHeight="1">
      <c r="B277" s="1042" t="str">
        <f>'Смета Внутр'!B277</f>
        <v>Геотекстиль</v>
      </c>
      <c r="C277" s="1042" t="str">
        <f>'Смета Внутр'!C277</f>
        <v>м2</v>
      </c>
      <c r="D277" s="1058">
        <f>'Смета Внутр'!D277</f>
        <v>114.99999999999999</v>
      </c>
      <c r="E277" s="1042">
        <f>'Смета Внутр'!E277</f>
        <v>100</v>
      </c>
      <c r="F277" s="1042">
        <f>'Смета Внутр'!F277</f>
        <v>0</v>
      </c>
      <c r="G277" s="1042">
        <f t="shared" si="18"/>
        <v>100</v>
      </c>
      <c r="H277" s="1042">
        <f>'Смета Внутр'!G277</f>
        <v>11499.999999999998</v>
      </c>
      <c r="I277" s="1042">
        <f>'Смета Внутр'!H277</f>
        <v>0</v>
      </c>
      <c r="J277" s="1058">
        <f>'Смета Внутр'!I277</f>
        <v>0</v>
      </c>
    </row>
    <row r="278" spans="2:10" ht="15" customHeight="1">
      <c r="B278" s="1042" t="str">
        <f>'Смета Внутр'!B278</f>
        <v>Труба гофрированная одностенная d110</v>
      </c>
      <c r="C278" s="1042" t="str">
        <f>'Смета Внутр'!C278</f>
        <v>м.п.</v>
      </c>
      <c r="D278" s="1058">
        <f>'Смета Внутр'!D278</f>
        <v>61</v>
      </c>
      <c r="E278" s="1042">
        <f>'Смета Внутр'!E278</f>
        <v>77</v>
      </c>
      <c r="F278" s="1042">
        <f>'Смета Внутр'!F278</f>
        <v>0</v>
      </c>
      <c r="G278" s="1042">
        <f t="shared" si="18"/>
        <v>77</v>
      </c>
      <c r="H278" s="1042">
        <f>'Смета Внутр'!G278</f>
        <v>4697</v>
      </c>
      <c r="I278" s="1042">
        <f>'Смета Внутр'!H278</f>
        <v>0</v>
      </c>
      <c r="J278" s="1058">
        <f>'Смета Внутр'!I278</f>
        <v>0</v>
      </c>
    </row>
    <row r="279" spans="2:10" ht="15" customHeight="1">
      <c r="B279" s="1042" t="str">
        <f>'Смета Внутр'!B279</f>
        <v>Дренажный колодец D300</v>
      </c>
      <c r="C279" s="1042" t="str">
        <f>'Смета Внутр'!C279</f>
        <v>шт</v>
      </c>
      <c r="D279" s="1058">
        <f>'Смета Внутр'!D279</f>
        <v>0</v>
      </c>
      <c r="E279" s="1042">
        <f>'Смета Внутр'!E279</f>
        <v>1500</v>
      </c>
      <c r="F279" s="1042">
        <f>'Смета Внутр'!F279</f>
        <v>0</v>
      </c>
      <c r="G279" s="1042">
        <f t="shared" si="18"/>
        <v>1500</v>
      </c>
      <c r="H279" s="1042">
        <f>'Смета Внутр'!G279</f>
        <v>0</v>
      </c>
      <c r="I279" s="1042">
        <f>'Смета Внутр'!H279</f>
        <v>0</v>
      </c>
      <c r="J279" s="1058">
        <f>'Смета Внутр'!I279</f>
        <v>0</v>
      </c>
    </row>
    <row r="280" spans="2:10" ht="15" customHeight="1">
      <c r="B280" s="1042" t="str">
        <f>'Смета Внутр'!B280</f>
        <v>Труба канализационная D110</v>
      </c>
      <c r="C280" s="1042" t="str">
        <f>'Смета Внутр'!C280</f>
        <v>шт</v>
      </c>
      <c r="D280" s="1058">
        <f>'Смета Внутр'!D280</f>
        <v>0</v>
      </c>
      <c r="E280" s="1042">
        <f>'Смета Внутр'!E280</f>
        <v>70</v>
      </c>
      <c r="F280" s="1042">
        <f>'Смета Внутр'!F280</f>
        <v>0</v>
      </c>
      <c r="G280" s="1042">
        <f t="shared" si="18"/>
        <v>70</v>
      </c>
      <c r="H280" s="1042">
        <f>'Смета Внутр'!G280</f>
        <v>0</v>
      </c>
      <c r="I280" s="1042">
        <f>'Смета Внутр'!H280</f>
        <v>0</v>
      </c>
      <c r="J280" s="1058">
        <f>'Смета Внутр'!I280</f>
        <v>0</v>
      </c>
    </row>
    <row r="281" spans="2:10">
      <c r="B281" s="3330" t="str">
        <f>'Смета Внутр'!B281</f>
        <v>Итого материалы</v>
      </c>
      <c r="C281" s="3330"/>
      <c r="D281" s="3330"/>
      <c r="E281" s="3330"/>
      <c r="F281" s="3330"/>
      <c r="G281" s="3330"/>
      <c r="H281" s="1042">
        <f>'Смета Внутр'!G281</f>
        <v>0</v>
      </c>
      <c r="I281" s="1042">
        <f>'Смета Внутр'!H281</f>
        <v>0</v>
      </c>
      <c r="J281" s="1058">
        <f>'Смета Внутр'!I281</f>
        <v>0</v>
      </c>
    </row>
    <row r="282" spans="2:10" ht="15" customHeight="1">
      <c r="B282" s="3002" t="str">
        <f>'Смета Внутр'!B282</f>
        <v>Работы</v>
      </c>
      <c r="D282" s="1167"/>
      <c r="H282">
        <f>'Смета Внутр'!G282</f>
        <v>0</v>
      </c>
      <c r="I282">
        <f>'Смета Внутр'!H282</f>
        <v>0</v>
      </c>
      <c r="J282" s="3027">
        <f>'Смета Внутр'!I282</f>
        <v>0</v>
      </c>
    </row>
    <row r="283" spans="2:10" ht="15" customHeight="1">
      <c r="B283" s="1042" t="str">
        <f>'Смета Внутр'!B283</f>
        <v>разбивка осей фундамента</v>
      </c>
      <c r="C283" s="1042" t="str">
        <f>'Смета Внутр'!C283</f>
        <v>шт</v>
      </c>
      <c r="D283" s="1058">
        <f>'Смета Внутр'!D283</f>
        <v>1</v>
      </c>
      <c r="E283" s="1042">
        <f>'Смета Внутр'!E283</f>
        <v>7000</v>
      </c>
      <c r="F283" s="1042">
        <f>'Смета Внутр'!F283</f>
        <v>0</v>
      </c>
      <c r="G283" s="1042">
        <f t="shared" ref="G283:G300" si="19">IF(E283&gt;F283,E283,F283)</f>
        <v>7000</v>
      </c>
      <c r="H283" s="1042">
        <f>'Смета Внутр'!G283</f>
        <v>7000</v>
      </c>
      <c r="I283" s="1042">
        <f>'Смета Внутр'!H283</f>
        <v>0</v>
      </c>
      <c r="J283" s="1058">
        <f>'Смета Внутр'!I283</f>
        <v>0</v>
      </c>
    </row>
    <row r="284" spans="2:10" ht="15" customHeight="1">
      <c r="B284" s="1042" t="str">
        <f>'Смета Внутр'!B284</f>
        <v>трамбовка пгс</v>
      </c>
      <c r="C284" s="1042" t="str">
        <f>'Смета Внутр'!C284</f>
        <v>м2</v>
      </c>
      <c r="D284" s="1058">
        <f>'Смета Внутр'!D284</f>
        <v>100</v>
      </c>
      <c r="E284" s="1042">
        <f>'Смета Внутр'!E284</f>
        <v>600</v>
      </c>
      <c r="F284" s="1042">
        <f>'Смета Внутр'!F284</f>
        <v>0</v>
      </c>
      <c r="G284" s="1042">
        <f t="shared" si="19"/>
        <v>600</v>
      </c>
      <c r="H284" s="1042">
        <f>'Смета Внутр'!G284</f>
        <v>60000</v>
      </c>
      <c r="I284" s="1042">
        <f>'Смета Внутр'!H284</f>
        <v>0</v>
      </c>
      <c r="J284" s="1058">
        <f>'Смета Внутр'!I284</f>
        <v>0</v>
      </c>
    </row>
    <row r="285" spans="2:10" ht="15" customHeight="1">
      <c r="B285" s="1042" t="str">
        <f>'Смета Внутр'!B285</f>
        <v>трамбовка скальник</v>
      </c>
      <c r="C285" s="1042" t="str">
        <f>'Смета Внутр'!C285</f>
        <v>м2</v>
      </c>
      <c r="D285" s="1058">
        <f>'Смета Внутр'!D285</f>
        <v>100</v>
      </c>
      <c r="E285" s="1042">
        <f>'Смета Внутр'!E285</f>
        <v>400</v>
      </c>
      <c r="F285" s="1042">
        <f>'Смета Внутр'!F285</f>
        <v>0</v>
      </c>
      <c r="G285" s="1042">
        <f t="shared" si="19"/>
        <v>400</v>
      </c>
      <c r="H285" s="1042">
        <f>'Смета Внутр'!G285</f>
        <v>40000</v>
      </c>
      <c r="I285" s="1042">
        <f>'Смета Внутр'!H285</f>
        <v>0</v>
      </c>
      <c r="J285" s="1058">
        <f>'Смета Внутр'!I285</f>
        <v>0</v>
      </c>
    </row>
    <row r="286" spans="2:10" ht="15" customHeight="1">
      <c r="B286" s="1042" t="str">
        <f>'Смета Внутр'!B286</f>
        <v>трамбовка песок</v>
      </c>
      <c r="C286" s="1042" t="str">
        <f>'Смета Внутр'!C286</f>
        <v>м2</v>
      </c>
      <c r="D286" s="1058">
        <f>'Смета Внутр'!D286</f>
        <v>100</v>
      </c>
      <c r="E286" s="1042">
        <f>'Смета Внутр'!E286</f>
        <v>350</v>
      </c>
      <c r="F286" s="1042">
        <f>'Смета Внутр'!F286</f>
        <v>0</v>
      </c>
      <c r="G286" s="1042">
        <f t="shared" si="19"/>
        <v>350</v>
      </c>
      <c r="H286" s="1042">
        <f>'Смета Внутр'!G286</f>
        <v>35000</v>
      </c>
      <c r="I286" s="1042">
        <f>'Смета Внутр'!H286</f>
        <v>0</v>
      </c>
      <c r="J286" s="1058">
        <f>'Смета Внутр'!I286</f>
        <v>0</v>
      </c>
    </row>
    <row r="287" spans="2:10" ht="15" customHeight="1">
      <c r="B287" s="1042" t="str">
        <f>'Смета Внутр'!B287</f>
        <v>сборка/разборка опалубки</v>
      </c>
      <c r="C287" s="1042" t="str">
        <f>'Смета Внутр'!C287</f>
        <v>м2</v>
      </c>
      <c r="D287" s="1058">
        <f>'Смета Внутр'!D287</f>
        <v>0</v>
      </c>
      <c r="E287" s="1042">
        <f>'Смета Внутр'!E287</f>
        <v>400</v>
      </c>
      <c r="F287" s="1042">
        <f>'Смета Внутр'!F287</f>
        <v>0</v>
      </c>
      <c r="G287" s="1042">
        <f t="shared" si="19"/>
        <v>400</v>
      </c>
      <c r="H287" s="1042">
        <f>'Смета Внутр'!G287</f>
        <v>0</v>
      </c>
      <c r="I287" s="1042">
        <f>'Смета Внутр'!H287</f>
        <v>0</v>
      </c>
      <c r="J287" s="1058">
        <f>'Смета Внутр'!I287</f>
        <v>0</v>
      </c>
    </row>
    <row r="288" spans="2:10" ht="15" customHeight="1">
      <c r="B288" s="1042" t="str">
        <f>'Смета Внутр'!B288</f>
        <v>укладка утеплителя под плиту</v>
      </c>
      <c r="C288" s="1042" t="str">
        <f>'Смета Внутр'!C288</f>
        <v>м2</v>
      </c>
      <c r="D288" s="1058">
        <f>'Смета Внутр'!D288</f>
        <v>100</v>
      </c>
      <c r="E288" s="1042">
        <f>'Смета Внутр'!E288</f>
        <v>200</v>
      </c>
      <c r="F288" s="1042">
        <f>'Смета Внутр'!F288</f>
        <v>0</v>
      </c>
      <c r="G288" s="1042">
        <f t="shared" si="19"/>
        <v>200</v>
      </c>
      <c r="H288" s="1042">
        <f>'Смета Внутр'!G288</f>
        <v>20000</v>
      </c>
      <c r="I288" s="1042">
        <f>'Смета Внутр'!H288</f>
        <v>0</v>
      </c>
      <c r="J288" s="1058">
        <f>'Смета Внутр'!I288</f>
        <v>0</v>
      </c>
    </row>
    <row r="289" spans="2:10" ht="15" customHeight="1">
      <c r="B289" s="1042" t="str">
        <f>'Смета Внутр'!B289</f>
        <v>укладка утеплителя под отмостка</v>
      </c>
      <c r="C289" s="1042" t="str">
        <f>'Смета Внутр'!C289</f>
        <v>м2</v>
      </c>
      <c r="D289" s="1058">
        <f>'Смета Внутр'!D289</f>
        <v>0</v>
      </c>
      <c r="E289" s="1042">
        <f>'Смета Внутр'!E289</f>
        <v>200</v>
      </c>
      <c r="F289" s="1042">
        <f>'Смета Внутр'!F289</f>
        <v>0</v>
      </c>
      <c r="G289" s="1042">
        <f t="shared" si="19"/>
        <v>200</v>
      </c>
      <c r="H289" s="1042">
        <f>'Смета Внутр'!G289</f>
        <v>0</v>
      </c>
      <c r="I289" s="1042">
        <f>'Смета Внутр'!H289</f>
        <v>0</v>
      </c>
      <c r="J289" s="1058">
        <f>'Смета Внутр'!I289</f>
        <v>0</v>
      </c>
    </row>
    <row r="290" spans="2:10" ht="15" customHeight="1">
      <c r="B290" s="1042" t="str">
        <f>'Смета Внутр'!B290</f>
        <v>укладка пленки</v>
      </c>
      <c r="C290" s="1042" t="str">
        <f>'Смета Внутр'!C290</f>
        <v>м2</v>
      </c>
      <c r="D290" s="1058">
        <f>'Смета Внутр'!D290</f>
        <v>100</v>
      </c>
      <c r="E290" s="1042">
        <f>'Смета Внутр'!E290</f>
        <v>10</v>
      </c>
      <c r="F290" s="1042">
        <f>'Смета Внутр'!F290</f>
        <v>0</v>
      </c>
      <c r="G290" s="1042">
        <f t="shared" si="19"/>
        <v>10</v>
      </c>
      <c r="H290" s="1042">
        <f>'Смета Внутр'!G290</f>
        <v>1000</v>
      </c>
      <c r="I290" s="1042">
        <f>'Смета Внутр'!H290</f>
        <v>0</v>
      </c>
      <c r="J290" s="1058">
        <f>'Смета Внутр'!I290</f>
        <v>0</v>
      </c>
    </row>
    <row r="291" spans="2:10" ht="15" customHeight="1">
      <c r="B291" s="1042" t="str">
        <f>'Смета Внутр'!B291</f>
        <v>кладка сетки</v>
      </c>
      <c r="C291" s="1042" t="str">
        <f>'Смета Внутр'!C291</f>
        <v>м2</v>
      </c>
      <c r="D291" s="1058">
        <f>'Смета Внутр'!D291</f>
        <v>100</v>
      </c>
      <c r="E291" s="1042">
        <f>'Смета Внутр'!E291</f>
        <v>100</v>
      </c>
      <c r="F291" s="1042">
        <f>'Смета Внутр'!F291</f>
        <v>0</v>
      </c>
      <c r="G291" s="1042">
        <f t="shared" si="19"/>
        <v>100</v>
      </c>
      <c r="H291" s="1042">
        <f>'Смета Внутр'!G291</f>
        <v>10000</v>
      </c>
      <c r="I291" s="1042">
        <f>'Смета Внутр'!H291</f>
        <v>0</v>
      </c>
      <c r="J291" s="1058">
        <f>'Смета Внутр'!I291</f>
        <v>0</v>
      </c>
    </row>
    <row r="292" spans="2:10" ht="15" customHeight="1">
      <c r="B292" s="1042" t="str">
        <f>'Смета Внутр'!B292</f>
        <v>укладка теп. Пола</v>
      </c>
      <c r="C292" s="1042" t="str">
        <f>'Смета Внутр'!C292</f>
        <v>м2</v>
      </c>
      <c r="D292" s="1058">
        <f>'Смета Внутр'!D292</f>
        <v>100</v>
      </c>
      <c r="E292" s="1042">
        <f>'Смета Внутр'!E292</f>
        <v>600</v>
      </c>
      <c r="F292" s="1042">
        <f>'Смета Внутр'!F292</f>
        <v>0</v>
      </c>
      <c r="G292" s="1042">
        <f t="shared" si="19"/>
        <v>600</v>
      </c>
      <c r="H292" s="1042">
        <f>'Смета Внутр'!G292</f>
        <v>60000</v>
      </c>
      <c r="I292" s="1042">
        <f>'Смета Внутр'!H292</f>
        <v>0</v>
      </c>
      <c r="J292" s="1058">
        <f>'Смета Внутр'!I292</f>
        <v>0</v>
      </c>
    </row>
    <row r="293" spans="2:10" ht="15" customHeight="1">
      <c r="B293" s="1042" t="str">
        <f>'Смета Внутр'!B293</f>
        <v>Заливка бетоном перекрытия/плиты</v>
      </c>
      <c r="C293" s="1042" t="str">
        <f>'Смета Внутр'!C293</f>
        <v>м2</v>
      </c>
      <c r="D293" s="1058">
        <f>'Смета Внутр'!D293</f>
        <v>100</v>
      </c>
      <c r="E293" s="1042">
        <f>'Смета Внутр'!E293</f>
        <v>350</v>
      </c>
      <c r="F293" s="1042">
        <f>'Смета Внутр'!F293</f>
        <v>0</v>
      </c>
      <c r="G293" s="1042">
        <f t="shared" si="19"/>
        <v>350</v>
      </c>
      <c r="H293" s="1042">
        <f>'Смета Внутр'!G293</f>
        <v>35000</v>
      </c>
      <c r="I293" s="1042">
        <f>'Смета Внутр'!H293</f>
        <v>0</v>
      </c>
      <c r="J293" s="1058">
        <f>'Смета Внутр'!I293</f>
        <v>0</v>
      </c>
    </row>
    <row r="294" spans="2:10" ht="15" customHeight="1">
      <c r="B294" s="1042" t="str">
        <f>'Смета Внутр'!B294</f>
        <v>заливка бетоном отмостки</v>
      </c>
      <c r="C294" s="1042" t="str">
        <f>'Смета Внутр'!C294</f>
        <v>м2</v>
      </c>
      <c r="D294" s="1058">
        <f>'Смета Внутр'!D294</f>
        <v>0</v>
      </c>
      <c r="E294" s="1042">
        <f>'Смета Внутр'!E294</f>
        <v>500</v>
      </c>
      <c r="F294" s="1042">
        <f>'Смета Внутр'!F294</f>
        <v>0</v>
      </c>
      <c r="G294" s="1042">
        <f t="shared" si="19"/>
        <v>500</v>
      </c>
      <c r="H294" s="1042">
        <f>'Смета Внутр'!G294</f>
        <v>0</v>
      </c>
      <c r="I294" s="1042">
        <f>'Смета Внутр'!H294</f>
        <v>0</v>
      </c>
      <c r="J294" s="1058">
        <f>'Смета Внутр'!I294</f>
        <v>0</v>
      </c>
    </row>
    <row r="295" spans="2:10" ht="15" customHeight="1">
      <c r="B295" s="1042" t="str">
        <f>'Смета Внутр'!B295</f>
        <v>армирование пол</v>
      </c>
      <c r="C295" s="1042" t="str">
        <f>'Смета Внутр'!C295</f>
        <v>м2</v>
      </c>
      <c r="D295" s="1058">
        <f>'Смета Внутр'!D295</f>
        <v>100</v>
      </c>
      <c r="E295" s="1042">
        <f>'Смета Внутр'!E295</f>
        <v>300</v>
      </c>
      <c r="F295" s="1042">
        <f>'Смета Внутр'!F295</f>
        <v>0</v>
      </c>
      <c r="G295" s="1042">
        <f t="shared" si="19"/>
        <v>300</v>
      </c>
      <c r="H295" s="1042">
        <f>'Смета Внутр'!G295</f>
        <v>30000</v>
      </c>
      <c r="I295" s="1042">
        <f>'Смета Внутр'!H295</f>
        <v>0</v>
      </c>
      <c r="J295" s="1058">
        <f>'Смета Внутр'!I295</f>
        <v>0</v>
      </c>
    </row>
    <row r="296" spans="2:10" ht="15" customHeight="1">
      <c r="B296" s="1042" t="str">
        <f>'Смета Внутр'!B296</f>
        <v>армирование отмостки</v>
      </c>
      <c r="C296" s="1042" t="str">
        <f>'Смета Внутр'!C296</f>
        <v>м2</v>
      </c>
      <c r="D296" s="1058">
        <f>'Смета Внутр'!D296</f>
        <v>0</v>
      </c>
      <c r="E296" s="1042">
        <f>'Смета Внутр'!E296</f>
        <v>350</v>
      </c>
      <c r="F296" s="1042">
        <f>'Смета Внутр'!F296</f>
        <v>0</v>
      </c>
      <c r="G296" s="1042">
        <f t="shared" si="19"/>
        <v>350</v>
      </c>
      <c r="H296" s="1042">
        <f>'Смета Внутр'!G296</f>
        <v>0</v>
      </c>
      <c r="I296" s="1042">
        <f>'Смета Внутр'!H296</f>
        <v>0</v>
      </c>
      <c r="J296" s="1058">
        <f>'Смета Внутр'!I296</f>
        <v>0</v>
      </c>
    </row>
    <row r="297" spans="2:10" ht="15" customHeight="1">
      <c r="B297" s="1042" t="str">
        <f>'Смета Внутр'!B297</f>
        <v>монтаж канализации</v>
      </c>
      <c r="C297" s="1042" t="str">
        <f>'Смета Внутр'!C297</f>
        <v>м.п.</v>
      </c>
      <c r="D297" s="1058">
        <f>'Смета Внутр'!D297</f>
        <v>0</v>
      </c>
      <c r="E297" s="1042">
        <f>'Смета Внутр'!E297</f>
        <v>200</v>
      </c>
      <c r="F297" s="1042">
        <f>'Смета Внутр'!F297</f>
        <v>0</v>
      </c>
      <c r="G297" s="1042">
        <f t="shared" si="19"/>
        <v>200</v>
      </c>
      <c r="H297" s="1042">
        <f>'Смета Внутр'!G297</f>
        <v>0</v>
      </c>
      <c r="I297" s="1042">
        <f>'Смета Внутр'!H297</f>
        <v>0</v>
      </c>
      <c r="J297" s="1058">
        <f>'Смета Внутр'!I297</f>
        <v>0</v>
      </c>
    </row>
    <row r="298" spans="2:10" ht="15" customHeight="1">
      <c r="B298" s="1042" t="str">
        <f>'Смета Внутр'!B298</f>
        <v>укладка геотекстиля</v>
      </c>
      <c r="C298" s="1042" t="str">
        <f>'Смета Внутр'!C298</f>
        <v>м2</v>
      </c>
      <c r="D298" s="1058">
        <f>'Смета Внутр'!D298</f>
        <v>100</v>
      </c>
      <c r="E298" s="1042">
        <f>'Смета Внутр'!E298</f>
        <v>200</v>
      </c>
      <c r="F298" s="1042">
        <f>'Смета Внутр'!F298</f>
        <v>0</v>
      </c>
      <c r="G298" s="1042">
        <f t="shared" si="19"/>
        <v>200</v>
      </c>
      <c r="H298" s="1042">
        <f>'Смета Внутр'!G298</f>
        <v>20000</v>
      </c>
      <c r="I298" s="1042">
        <f>'Смета Внутр'!H298</f>
        <v>0</v>
      </c>
      <c r="J298" s="1058">
        <f>'Смета Внутр'!I298</f>
        <v>0</v>
      </c>
    </row>
    <row r="299" spans="2:10" ht="15" customHeight="1">
      <c r="B299" s="1042" t="str">
        <f>'Смета Внутр'!B299</f>
        <v>укладка дренажа</v>
      </c>
      <c r="C299" s="1042" t="str">
        <f>'Смета Внутр'!C299</f>
        <v>м2</v>
      </c>
      <c r="D299" s="1058">
        <f>'Смета Внутр'!D299</f>
        <v>61</v>
      </c>
      <c r="E299" s="1042">
        <f>'Смета Внутр'!E299</f>
        <v>200</v>
      </c>
      <c r="F299" s="1042">
        <f>'Смета Внутр'!F299</f>
        <v>0</v>
      </c>
      <c r="G299" s="1042">
        <f t="shared" si="19"/>
        <v>200</v>
      </c>
      <c r="H299" s="1042">
        <f>'Смета Внутр'!G299</f>
        <v>12200</v>
      </c>
      <c r="I299" s="1042">
        <f>'Смета Внутр'!H299</f>
        <v>0</v>
      </c>
      <c r="J299" s="1058">
        <f>'Смета Внутр'!I299</f>
        <v>0</v>
      </c>
    </row>
    <row r="300" spans="2:10" ht="15" customHeight="1">
      <c r="B300" s="1042" t="str">
        <f>'Смета Внутр'!B300</f>
        <v>монтаж дренажного колодца</v>
      </c>
      <c r="C300" s="1042" t="str">
        <f>'Смета Внутр'!C300</f>
        <v>шт</v>
      </c>
      <c r="D300" s="1058">
        <f>'Смета Внутр'!D300</f>
        <v>0</v>
      </c>
      <c r="E300" s="1042">
        <f>'Смета Внутр'!E300</f>
        <v>300</v>
      </c>
      <c r="F300" s="1042">
        <f>'Смета Внутр'!F300</f>
        <v>0</v>
      </c>
      <c r="G300" s="1042">
        <f t="shared" si="19"/>
        <v>300</v>
      </c>
      <c r="H300" s="1042">
        <f>'Смета Внутр'!G300</f>
        <v>0</v>
      </c>
      <c r="I300" s="1042">
        <f>'Смета Внутр'!H300</f>
        <v>0</v>
      </c>
      <c r="J300" s="1058">
        <f>'Смета Внутр'!I300</f>
        <v>0</v>
      </c>
    </row>
    <row r="301" spans="2:10" ht="15" customHeight="1">
      <c r="B301" s="3330" t="str">
        <f>'Смета Внутр'!B301</f>
        <v>Итого работы</v>
      </c>
      <c r="C301" s="3330"/>
      <c r="D301" s="3330"/>
      <c r="E301" s="3330"/>
      <c r="F301" s="3330"/>
      <c r="G301" s="3330"/>
      <c r="H301" s="1042">
        <f>'Смета Внутр'!G301</f>
        <v>0</v>
      </c>
      <c r="I301" s="1042">
        <f>'Смета Внутр'!H301</f>
        <v>0</v>
      </c>
      <c r="J301" s="1058">
        <f>'Смета Внутр'!I301</f>
        <v>0</v>
      </c>
    </row>
    <row r="302" spans="2:10" ht="15" customHeight="1">
      <c r="B302" s="3329" t="str">
        <f>'Смета Внутр'!B302</f>
        <v>Сип-Панели</v>
      </c>
      <c r="C302" s="3329"/>
      <c r="D302" s="3329"/>
      <c r="H302">
        <f>'Смета Внутр'!G302</f>
        <v>0</v>
      </c>
      <c r="I302">
        <f>'Смета Внутр'!H302</f>
        <v>0</v>
      </c>
      <c r="J302" s="3027">
        <f>'Смета Внутр'!I302</f>
        <v>0</v>
      </c>
    </row>
    <row r="303" spans="2:10" ht="15" customHeight="1">
      <c r="B303" s="3002" t="str">
        <f>'Смета Внутр'!B303</f>
        <v>Материалы</v>
      </c>
      <c r="D303" s="1167"/>
      <c r="H303">
        <f>'Смета Внутр'!G303</f>
        <v>0</v>
      </c>
      <c r="I303">
        <f>'Смета Внутр'!H303</f>
        <v>0</v>
      </c>
      <c r="J303" s="3027">
        <f>'Смета Внутр'!I303</f>
        <v>0</v>
      </c>
    </row>
    <row r="304" spans="2:10" ht="15" customHeight="1">
      <c r="B304" s="1042" t="str">
        <f>'Смета Внутр'!B304</f>
        <v>Брус естественной влажности, 150*150мм</v>
      </c>
      <c r="C304" s="1042" t="str">
        <f>'Смета Внутр'!C304</f>
        <v>м3</v>
      </c>
      <c r="D304" s="1058">
        <f>'Смета Внутр'!D304</f>
        <v>1.26</v>
      </c>
      <c r="E304" s="1042">
        <f>'Смета Внутр'!E304</f>
        <v>6500</v>
      </c>
      <c r="F304" s="1042">
        <f>'Смета Внутр'!F304</f>
        <v>0</v>
      </c>
      <c r="G304" s="1042">
        <f t="shared" ref="G304:G321" si="20">IF(E304&gt;F304,E304,F304)</f>
        <v>6500</v>
      </c>
      <c r="H304" s="1042">
        <f>'Смета Внутр'!G304</f>
        <v>8190</v>
      </c>
      <c r="I304" s="1042">
        <f>'Смета Внутр'!H304</f>
        <v>0</v>
      </c>
      <c r="J304" s="1058">
        <f>'Смета Внутр'!I304</f>
        <v>0</v>
      </c>
    </row>
    <row r="305" spans="2:10" ht="15" customHeight="1">
      <c r="B305" s="1042" t="str">
        <f>'Смета Внутр'!B305</f>
        <v>обработка мастикой</v>
      </c>
      <c r="C305" s="1042" t="str">
        <f>'Смета Внутр'!C305</f>
        <v>л</v>
      </c>
      <c r="D305" s="1058">
        <f>'Смета Внутр'!D305</f>
        <v>8.82</v>
      </c>
      <c r="E305" s="1042">
        <f>'Смета Внутр'!E305</f>
        <v>60</v>
      </c>
      <c r="F305" s="1042">
        <f>'Смета Внутр'!F305</f>
        <v>0</v>
      </c>
      <c r="G305" s="1042">
        <f t="shared" si="20"/>
        <v>60</v>
      </c>
      <c r="H305" s="1042">
        <f>'Смета Внутр'!G305</f>
        <v>529.20000000000005</v>
      </c>
      <c r="I305" s="1042">
        <f>'Смета Внутр'!H305</f>
        <v>0</v>
      </c>
      <c r="J305" s="1058">
        <f>'Смета Внутр'!I305</f>
        <v>0</v>
      </c>
    </row>
    <row r="306" spans="2:10" ht="15" customHeight="1">
      <c r="B306" s="1042" t="str">
        <f>'Смета Внутр'!B306</f>
        <v>Sip панель 2800*1250*174мм</v>
      </c>
      <c r="C306" s="1042" t="str">
        <f>'Смета Внутр'!C306</f>
        <v>м2</v>
      </c>
      <c r="D306" s="1058">
        <f>'Смета Внутр'!D306</f>
        <v>-1.7999999999999998</v>
      </c>
      <c r="E306" s="1042">
        <f>'Смета Внутр'!E306</f>
        <v>1200</v>
      </c>
      <c r="F306" s="1042">
        <f>'Смета Внутр'!F306</f>
        <v>0</v>
      </c>
      <c r="G306" s="1042">
        <f t="shared" si="20"/>
        <v>1200</v>
      </c>
      <c r="H306" s="1042">
        <f>'Смета Внутр'!G306</f>
        <v>-2160</v>
      </c>
      <c r="I306" s="1042">
        <f>'Смета Внутр'!H306</f>
        <v>0</v>
      </c>
      <c r="J306" s="1058">
        <f>'Смета Внутр'!I306</f>
        <v>0</v>
      </c>
    </row>
    <row r="307" spans="2:10" ht="15" customHeight="1">
      <c r="B307" s="1042" t="str">
        <f>'Смета Внутр'!B307</f>
        <v>Sip панель 2800*1250*174мм</v>
      </c>
      <c r="C307" s="1042" t="str">
        <f>'Смета Внутр'!C307</f>
        <v>м2</v>
      </c>
      <c r="D307" s="1058">
        <f>'Смета Внутр'!D307</f>
        <v>0</v>
      </c>
      <c r="E307" s="1042">
        <f>'Смета Внутр'!E307</f>
        <v>1200</v>
      </c>
      <c r="F307" s="1042">
        <f>'Смета Внутр'!F307</f>
        <v>0</v>
      </c>
      <c r="G307" s="1042">
        <f t="shared" si="20"/>
        <v>1200</v>
      </c>
      <c r="H307" s="1042">
        <f>'Смета Внутр'!G307</f>
        <v>0</v>
      </c>
      <c r="I307" s="1042">
        <f>'Смета Внутр'!H307</f>
        <v>0</v>
      </c>
      <c r="J307" s="1058">
        <f>'Смета Внутр'!I307</f>
        <v>0</v>
      </c>
    </row>
    <row r="308" spans="2:10" ht="15" customHeight="1">
      <c r="B308" s="1042" t="str">
        <f>'Смета Внутр'!B308</f>
        <v>Sip панель 2800*1250*124мм</v>
      </c>
      <c r="C308" s="1042" t="str">
        <f>'Смета Внутр'!C308</f>
        <v>м2</v>
      </c>
      <c r="D308" s="1058">
        <f>'Смета Внутр'!D308</f>
        <v>0</v>
      </c>
      <c r="E308" s="1042">
        <f>'Смета Внутр'!E308</f>
        <v>800</v>
      </c>
      <c r="F308" s="1042">
        <f>'Смета Внутр'!F308</f>
        <v>0</v>
      </c>
      <c r="G308" s="1042">
        <f t="shared" si="20"/>
        <v>800</v>
      </c>
      <c r="H308" s="1042">
        <f>'Смета Внутр'!G308</f>
        <v>0</v>
      </c>
      <c r="I308" s="1042">
        <f>'Смета Внутр'!H308</f>
        <v>0</v>
      </c>
      <c r="J308" s="1058">
        <f>'Смета Внутр'!I308</f>
        <v>0</v>
      </c>
    </row>
    <row r="309" spans="2:10" ht="15" customHeight="1">
      <c r="B309" s="1042" t="str">
        <f>'Смета Внутр'!B309</f>
        <v xml:space="preserve">Болты анкерные с гайкой 12,0 х 280          </v>
      </c>
      <c r="C309" s="1042" t="str">
        <f>'Смета Внутр'!C309</f>
        <v>шт</v>
      </c>
      <c r="D309" s="1058">
        <f>'Смета Внутр'!D309</f>
        <v>112</v>
      </c>
      <c r="E309" s="1042">
        <f>'Смета Внутр'!E309</f>
        <v>27.1</v>
      </c>
      <c r="F309" s="1042">
        <f>'Смета Внутр'!F309</f>
        <v>0</v>
      </c>
      <c r="G309" s="1042">
        <f t="shared" si="20"/>
        <v>27.1</v>
      </c>
      <c r="H309" s="1042">
        <f>'Смета Внутр'!G309</f>
        <v>3035.2000000000003</v>
      </c>
      <c r="I309" s="1042">
        <f>'Смета Внутр'!H309</f>
        <v>0</v>
      </c>
      <c r="J309" s="1058">
        <f>'Смета Внутр'!I309</f>
        <v>0</v>
      </c>
    </row>
    <row r="310" spans="2:10" ht="15" customHeight="1">
      <c r="B310" s="1042" t="str">
        <f>'Смета Внутр'!B310</f>
        <v>обвязка наружние стены верх низ</v>
      </c>
      <c r="C310" s="1042" t="str">
        <f>'Смета Внутр'!C310</f>
        <v>м3</v>
      </c>
      <c r="D310" s="1058">
        <f>'Смета Внутр'!D310</f>
        <v>0.60000000000000009</v>
      </c>
      <c r="E310" s="1042">
        <f>'Смета Внутр'!E310</f>
        <v>9000</v>
      </c>
      <c r="F310" s="1042">
        <f>'Смета Внутр'!F310</f>
        <v>0</v>
      </c>
      <c r="G310" s="1042">
        <f t="shared" si="20"/>
        <v>9000</v>
      </c>
      <c r="H310" s="1042">
        <f>'Смета Внутр'!G310</f>
        <v>5400.0000000000009</v>
      </c>
      <c r="I310" s="1042">
        <f>'Смета Внутр'!H310</f>
        <v>0</v>
      </c>
      <c r="J310" s="1058">
        <f>'Смета Внутр'!I310</f>
        <v>0</v>
      </c>
    </row>
    <row r="311" spans="2:10" ht="15" customHeight="1">
      <c r="B311" s="1042" t="str">
        <f>'Смета Внутр'!B311</f>
        <v>обвязка несущие перегородки верх низ</v>
      </c>
      <c r="C311" s="1042" t="str">
        <f>'Смета Внутр'!C311</f>
        <v>м3</v>
      </c>
      <c r="D311" s="1058">
        <f>'Смета Внутр'!D311</f>
        <v>0.24</v>
      </c>
      <c r="E311" s="1042">
        <f>'Смета Внутр'!E311</f>
        <v>9000</v>
      </c>
      <c r="F311" s="1042">
        <f>'Смета Внутр'!F311</f>
        <v>0</v>
      </c>
      <c r="G311" s="1042">
        <f t="shared" si="20"/>
        <v>9000</v>
      </c>
      <c r="H311" s="1042">
        <f>'Смета Внутр'!G311</f>
        <v>2160</v>
      </c>
      <c r="I311" s="1042">
        <f>'Смета Внутр'!H311</f>
        <v>0</v>
      </c>
      <c r="J311" s="1058">
        <f>'Смета Внутр'!I311</f>
        <v>0</v>
      </c>
    </row>
    <row r="312" spans="2:10" ht="15" customHeight="1">
      <c r="B312" s="1042" t="str">
        <f>'Смета Внутр'!B312</f>
        <v>обвязка несущие перегородки верх низ</v>
      </c>
      <c r="C312" s="1042" t="str">
        <f>'Смета Внутр'!C312</f>
        <v>м3</v>
      </c>
      <c r="D312" s="1058">
        <f>'Смета Внутр'!D312</f>
        <v>0.11699999999999999</v>
      </c>
      <c r="E312" s="1042">
        <f>'Смета Внутр'!E312</f>
        <v>9000</v>
      </c>
      <c r="F312" s="1042">
        <f>'Смета Внутр'!F312</f>
        <v>0</v>
      </c>
      <c r="G312" s="1042">
        <f t="shared" si="20"/>
        <v>9000</v>
      </c>
      <c r="H312" s="1042">
        <f>'Смета Внутр'!G312</f>
        <v>1053</v>
      </c>
      <c r="I312" s="1042">
        <f>'Смета Внутр'!H312</f>
        <v>0</v>
      </c>
      <c r="J312" s="1058">
        <f>'Смета Внутр'!I312</f>
        <v>0</v>
      </c>
    </row>
    <row r="313" spans="2:10" ht="15" customHeight="1">
      <c r="B313" s="1042" t="str">
        <f>'Смета Внутр'!B313</f>
        <v>стойки наружние стены</v>
      </c>
      <c r="C313" s="1042" t="str">
        <f>'Смета Внутр'!C313</f>
        <v>м3</v>
      </c>
      <c r="D313" s="1058">
        <f>'Смета Внутр'!D313</f>
        <v>0</v>
      </c>
      <c r="E313" s="1042">
        <f>'Смета Внутр'!E313</f>
        <v>9000</v>
      </c>
      <c r="F313" s="1042">
        <f>'Смета Внутр'!F313</f>
        <v>0</v>
      </c>
      <c r="G313" s="1042">
        <f t="shared" si="20"/>
        <v>9000</v>
      </c>
      <c r="H313" s="1042">
        <f>'Смета Внутр'!G313</f>
        <v>0</v>
      </c>
      <c r="I313" s="1042">
        <f>'Смета Внутр'!H313</f>
        <v>0</v>
      </c>
      <c r="J313" s="1058">
        <f>'Смета Внутр'!I313</f>
        <v>0</v>
      </c>
    </row>
    <row r="314" spans="2:10" ht="15" customHeight="1">
      <c r="B314" s="1042" t="str">
        <f>'Смета Внутр'!B314</f>
        <v>стойки перегородки несущие</v>
      </c>
      <c r="C314" s="1042" t="str">
        <f>'Смета Внутр'!C314</f>
        <v>м3</v>
      </c>
      <c r="D314" s="1058">
        <f>'Смета Внутр'!D314</f>
        <v>0</v>
      </c>
      <c r="E314" s="1042">
        <f>'Смета Внутр'!E314</f>
        <v>9000</v>
      </c>
      <c r="F314" s="1042">
        <f>'Смета Внутр'!F314</f>
        <v>0</v>
      </c>
      <c r="G314" s="1042">
        <f t="shared" si="20"/>
        <v>9000</v>
      </c>
      <c r="H314" s="1042">
        <f>'Смета Внутр'!G314</f>
        <v>0</v>
      </c>
      <c r="I314" s="1042">
        <f>'Смета Внутр'!H314</f>
        <v>0</v>
      </c>
      <c r="J314" s="1058">
        <f>'Смета Внутр'!I314</f>
        <v>0</v>
      </c>
    </row>
    <row r="315" spans="2:10" ht="15" customHeight="1">
      <c r="B315" s="1042" t="str">
        <f>'Смета Внутр'!B315</f>
        <v>Стойки перегородки простые</v>
      </c>
      <c r="C315" s="1042" t="str">
        <f>'Смета Внутр'!C315</f>
        <v>м3</v>
      </c>
      <c r="D315" s="1058">
        <f>'Смета Внутр'!D315</f>
        <v>0</v>
      </c>
      <c r="E315" s="1042">
        <f>'Смета Внутр'!E315</f>
        <v>9000</v>
      </c>
      <c r="F315" s="1042">
        <f>'Смета Внутр'!F315</f>
        <v>0</v>
      </c>
      <c r="G315" s="1042">
        <f t="shared" si="20"/>
        <v>9000</v>
      </c>
      <c r="H315" s="1042">
        <f>'Смета Внутр'!G315</f>
        <v>0</v>
      </c>
      <c r="I315" s="1042">
        <f>'Смета Внутр'!H315</f>
        <v>0</v>
      </c>
      <c r="J315" s="1058">
        <f>'Смета Внутр'!I315</f>
        <v>0</v>
      </c>
    </row>
    <row r="316" spans="2:10" ht="15" customHeight="1">
      <c r="B316" s="1042" t="str">
        <f>'Смета Внутр'!B316</f>
        <v>брус, обвязка кровли, сип панели</v>
      </c>
      <c r="C316" s="1042" t="str">
        <f>'Смета Внутр'!C316</f>
        <v>м3</v>
      </c>
      <c r="D316" s="1058">
        <f>'Смета Внутр'!D316</f>
        <v>-0.15000000000000002</v>
      </c>
      <c r="E316" s="1042">
        <f>'Смета Внутр'!E316</f>
        <v>0</v>
      </c>
      <c r="F316" s="1042">
        <f>'Смета Внутр'!F316</f>
        <v>0</v>
      </c>
      <c r="G316" s="1042">
        <f t="shared" si="20"/>
        <v>0</v>
      </c>
      <c r="H316" s="1042">
        <f>'Смета Внутр'!G316</f>
        <v>0</v>
      </c>
      <c r="I316" s="1042">
        <f>'Смета Внутр'!H316</f>
        <v>0</v>
      </c>
      <c r="J316" s="1058">
        <f>'Смета Внутр'!I316</f>
        <v>0</v>
      </c>
    </row>
    <row r="317" spans="2:10" ht="15" customHeight="1">
      <c r="B317" s="1042" t="str">
        <f>'Смета Внутр'!B317</f>
        <v>торцевая доска, кровля, сип панели</v>
      </c>
      <c r="C317" s="1042" t="str">
        <f>'Смета Внутр'!C317</f>
        <v>м3</v>
      </c>
      <c r="D317" s="1058">
        <f>'Смета Внутр'!D317</f>
        <v>0.15000000000000002</v>
      </c>
      <c r="E317" s="1042">
        <f>'Смета Внутр'!E317</f>
        <v>0</v>
      </c>
      <c r="F317" s="1042">
        <f>'Смета Внутр'!F317</f>
        <v>0</v>
      </c>
      <c r="G317" s="1042">
        <f t="shared" si="20"/>
        <v>0</v>
      </c>
      <c r="H317" s="1042">
        <f>'Смета Внутр'!G317</f>
        <v>0</v>
      </c>
      <c r="I317" s="1042">
        <f>'Смета Внутр'!H317</f>
        <v>0</v>
      </c>
      <c r="J317" s="1058">
        <f>'Смета Внутр'!I317</f>
        <v>0</v>
      </c>
    </row>
    <row r="318" spans="2:10" ht="15" customHeight="1">
      <c r="B318" s="1042" t="str">
        <f>'Смета Внутр'!B318</f>
        <v xml:space="preserve">Нет </v>
      </c>
      <c r="C318" s="1042" t="str">
        <f>'Смета Внутр'!C318</f>
        <v>м2</v>
      </c>
      <c r="D318" s="1058">
        <f>'Смета Внутр'!D318</f>
        <v>0</v>
      </c>
      <c r="E318" s="1042">
        <f>'Смета Внутр'!E318</f>
        <v>0</v>
      </c>
      <c r="F318" s="1042">
        <f>'Смета Внутр'!F318</f>
        <v>0</v>
      </c>
      <c r="G318" s="1042">
        <f t="shared" si="20"/>
        <v>0</v>
      </c>
      <c r="H318" s="1042">
        <f>'Смета Внутр'!G318</f>
        <v>0</v>
      </c>
      <c r="I318" s="1042">
        <f>'Смета Внутр'!H318</f>
        <v>0</v>
      </c>
      <c r="J318" s="1058">
        <f>'Смета Внутр'!I318</f>
        <v>0</v>
      </c>
    </row>
    <row r="319" spans="2:10" ht="15" customHeight="1">
      <c r="B319" s="1042" t="str">
        <f>'Смета Внутр'!B319</f>
        <v>Пена монтажная, всесезонняя 800мл</v>
      </c>
      <c r="C319" s="1042" t="str">
        <f>'Смета Внутр'!C319</f>
        <v>шт</v>
      </c>
      <c r="D319" s="1058">
        <f>'Смета Внутр'!D319</f>
        <v>10</v>
      </c>
      <c r="E319" s="1042">
        <f>'Смета Внутр'!E319</f>
        <v>300</v>
      </c>
      <c r="F319" s="1042">
        <f>'Смета Внутр'!F319</f>
        <v>0</v>
      </c>
      <c r="G319" s="1042">
        <f t="shared" si="20"/>
        <v>300</v>
      </c>
      <c r="H319" s="1042">
        <f>'Смета Внутр'!G319</f>
        <v>3000</v>
      </c>
      <c r="I319" s="1042">
        <f>'Смета Внутр'!H319</f>
        <v>0</v>
      </c>
      <c r="J319" s="1058">
        <f>'Смета Внутр'!I319</f>
        <v>0</v>
      </c>
    </row>
    <row r="320" spans="2:10" ht="15" customHeight="1">
      <c r="B320" s="1042" t="str">
        <f>'Смета Внутр'!B320</f>
        <v xml:space="preserve">Саморезы 3,5 x 55            </v>
      </c>
      <c r="C320" s="1042" t="str">
        <f>'Смета Внутр'!C320</f>
        <v>кг</v>
      </c>
      <c r="D320" s="1058">
        <f>'Смета Внутр'!D320</f>
        <v>3.3333333333333335</v>
      </c>
      <c r="E320" s="1042">
        <f>'Смета Внутр'!E320</f>
        <v>105.62</v>
      </c>
      <c r="F320" s="1042">
        <f>'Смета Внутр'!F320</f>
        <v>0</v>
      </c>
      <c r="G320" s="1042">
        <f t="shared" si="20"/>
        <v>105.62</v>
      </c>
      <c r="H320" s="1042">
        <f>'Смета Внутр'!G320</f>
        <v>352.06666666666672</v>
      </c>
      <c r="I320" s="1042">
        <f>'Смета Внутр'!H320</f>
        <v>0</v>
      </c>
      <c r="J320" s="1058">
        <f>'Смета Внутр'!I320</f>
        <v>0</v>
      </c>
    </row>
    <row r="321" spans="2:10" ht="15" customHeight="1">
      <c r="B321" s="1042" t="str">
        <f>'Смета Внутр'!B321</f>
        <v xml:space="preserve">Саморезы 4,2 x 90            </v>
      </c>
      <c r="C321" s="1042" t="str">
        <f>'Смета Внутр'!C321</f>
        <v>шт</v>
      </c>
      <c r="D321" s="1058">
        <f>'Смета Внутр'!D321</f>
        <v>3.3333333333333335</v>
      </c>
      <c r="E321" s="1042">
        <f>'Смета Внутр'!E321</f>
        <v>107.62</v>
      </c>
      <c r="F321" s="1042">
        <f>'Смета Внутр'!F321</f>
        <v>0</v>
      </c>
      <c r="G321" s="1042">
        <f t="shared" si="20"/>
        <v>107.62</v>
      </c>
      <c r="H321" s="1042">
        <f>'Смета Внутр'!G321</f>
        <v>358.73333333333335</v>
      </c>
      <c r="I321" s="1042">
        <f>'Смета Внутр'!H321</f>
        <v>0</v>
      </c>
      <c r="J321" s="1058">
        <f>'Смета Внутр'!I321</f>
        <v>0</v>
      </c>
    </row>
    <row r="322" spans="2:10">
      <c r="B322" s="3330" t="str">
        <f>'Смета Внутр'!B322</f>
        <v>Итого материалы</v>
      </c>
      <c r="C322" s="3330"/>
      <c r="D322" s="3330"/>
      <c r="E322" s="3330"/>
      <c r="F322" s="3330"/>
      <c r="G322" s="3330"/>
      <c r="H322" s="1042">
        <f>'Смета Внутр'!G322</f>
        <v>0</v>
      </c>
      <c r="I322" s="1042">
        <f>'Смета Внутр'!H322</f>
        <v>0</v>
      </c>
      <c r="J322" s="1058">
        <f>'Смета Внутр'!I322</f>
        <v>0</v>
      </c>
    </row>
    <row r="323" spans="2:10" ht="15" customHeight="1">
      <c r="B323" s="3002" t="str">
        <f>'Смета Внутр'!B323</f>
        <v>Работы</v>
      </c>
      <c r="D323" s="1167"/>
      <c r="H323">
        <f>'Смета Внутр'!G323</f>
        <v>0</v>
      </c>
      <c r="I323">
        <f>'Смета Внутр'!H323</f>
        <v>0</v>
      </c>
      <c r="J323" s="3027">
        <f>'Смета Внутр'!I323</f>
        <v>0</v>
      </c>
    </row>
    <row r="324" spans="2:10" ht="15" customHeight="1">
      <c r="B324" s="1042" t="str">
        <f>'Смета Внутр'!B324</f>
        <v>монтаж обвязочного бруса</v>
      </c>
      <c r="C324" s="1042" t="str">
        <f>'Смета Внутр'!C324</f>
        <v>м.п.</v>
      </c>
      <c r="D324" s="1058">
        <f>'Смета Внутр'!D324</f>
        <v>56</v>
      </c>
      <c r="E324" s="1042">
        <f>'Смета Внутр'!E324</f>
        <v>200</v>
      </c>
      <c r="F324" s="1042">
        <f>'Смета Внутр'!F324</f>
        <v>0</v>
      </c>
      <c r="G324" s="1042">
        <f t="shared" ref="G324:G329" si="21">IF(E324&gt;F324,E324,F324)</f>
        <v>200</v>
      </c>
      <c r="H324" s="1042">
        <f>'Смета Внутр'!G324</f>
        <v>11200</v>
      </c>
      <c r="I324" s="1042">
        <f>'Смета Внутр'!H324</f>
        <v>0</v>
      </c>
      <c r="J324" s="1058">
        <f>'Смета Внутр'!I324</f>
        <v>0</v>
      </c>
    </row>
    <row r="325" spans="2:10" ht="15" customHeight="1">
      <c r="B325" s="1042" t="str">
        <f>'Смета Внутр'!B325</f>
        <v>обработка мастикой</v>
      </c>
      <c r="C325" s="1042" t="str">
        <f>'Смета Внутр'!C325</f>
        <v>м.п.</v>
      </c>
      <c r="D325" s="1058">
        <f>'Смета Внутр'!D325</f>
        <v>56</v>
      </c>
      <c r="E325" s="1042">
        <f>'Смета Внутр'!E325</f>
        <v>200</v>
      </c>
      <c r="F325" s="1042">
        <f>'Смета Внутр'!F325</f>
        <v>0</v>
      </c>
      <c r="G325" s="1042">
        <f t="shared" si="21"/>
        <v>200</v>
      </c>
      <c r="H325" s="1042">
        <f>'Смета Внутр'!G325</f>
        <v>11200</v>
      </c>
      <c r="I325" s="1042">
        <f>'Смета Внутр'!H325</f>
        <v>0</v>
      </c>
      <c r="J325" s="1058">
        <f>'Смета Внутр'!I325</f>
        <v>0</v>
      </c>
    </row>
    <row r="326" spans="2:10" ht="15" customHeight="1">
      <c r="B326" s="1042" t="str">
        <f>'Смета Внутр'!B326</f>
        <v>монтаж наружних стен сиппанели</v>
      </c>
      <c r="C326" s="1042" t="str">
        <f>'Смета Внутр'!C326</f>
        <v>м2</v>
      </c>
      <c r="D326" s="1058">
        <f>'Смета Внутр'!D326</f>
        <v>0</v>
      </c>
      <c r="E326" s="1042">
        <f>'Смета Внутр'!E326</f>
        <v>400</v>
      </c>
      <c r="F326" s="1042">
        <f>'Смета Внутр'!F326</f>
        <v>0</v>
      </c>
      <c r="G326" s="1042">
        <f t="shared" si="21"/>
        <v>400</v>
      </c>
      <c r="H326" s="1042">
        <f>'Смета Внутр'!G326</f>
        <v>0</v>
      </c>
      <c r="I326" s="1042">
        <f>'Смета Внутр'!H326</f>
        <v>0</v>
      </c>
      <c r="J326" s="1058">
        <f>'Смета Внутр'!I326</f>
        <v>0</v>
      </c>
    </row>
    <row r="327" spans="2:10" ht="15" customHeight="1">
      <c r="B327" s="1042" t="str">
        <f>'Смета Внутр'!B327</f>
        <v>Монтаж несущих перегородок сип панели</v>
      </c>
      <c r="C327" s="1042" t="str">
        <f>'Смета Внутр'!C327</f>
        <v>м2</v>
      </c>
      <c r="D327" s="1058">
        <f>'Смета Внутр'!D327</f>
        <v>0</v>
      </c>
      <c r="E327" s="1042">
        <f>'Смета Внутр'!E327</f>
        <v>400</v>
      </c>
      <c r="F327" s="1042">
        <f>'Смета Внутр'!F327</f>
        <v>0</v>
      </c>
      <c r="G327" s="1042">
        <f t="shared" si="21"/>
        <v>400</v>
      </c>
      <c r="H327" s="1042">
        <f>'Смета Внутр'!G327</f>
        <v>0</v>
      </c>
      <c r="I327" s="1042">
        <f>'Смета Внутр'!H327</f>
        <v>0</v>
      </c>
      <c r="J327" s="1058">
        <f>'Смета Внутр'!I327</f>
        <v>0</v>
      </c>
    </row>
    <row r="328" spans="2:10" ht="15" customHeight="1">
      <c r="B328" s="1042" t="str">
        <f>'Смета Внутр'!B328</f>
        <v>Монтаж перегородок сип панели</v>
      </c>
      <c r="C328" s="1042" t="str">
        <f>'Смета Внутр'!C328</f>
        <v>м2</v>
      </c>
      <c r="D328" s="1058">
        <f>'Смета Внутр'!D328</f>
        <v>0</v>
      </c>
      <c r="E328" s="1042">
        <f>'Смета Внутр'!E328</f>
        <v>300</v>
      </c>
      <c r="F328" s="1042">
        <f>'Смета Внутр'!F328</f>
        <v>0</v>
      </c>
      <c r="G328" s="1042">
        <f t="shared" si="21"/>
        <v>300</v>
      </c>
      <c r="H328" s="1042">
        <f>'Смета Внутр'!G328</f>
        <v>0</v>
      </c>
      <c r="I328" s="1042">
        <f>'Смета Внутр'!H328</f>
        <v>0</v>
      </c>
      <c r="J328" s="1058">
        <f>'Смета Внутр'!I328</f>
        <v>0</v>
      </c>
    </row>
    <row r="329" spans="2:10" ht="15" customHeight="1">
      <c r="B329" s="1042" t="str">
        <f>'Смета Внутр'!B329</f>
        <v>монтаж покрытия кровли</v>
      </c>
      <c r="C329" s="1042" t="str">
        <f>'Смета Внутр'!C329</f>
        <v>м2</v>
      </c>
      <c r="D329" s="1058">
        <f>'Смета Внутр'!D329</f>
        <v>0</v>
      </c>
      <c r="E329" s="1042">
        <f>'Смета Внутр'!E329</f>
        <v>400</v>
      </c>
      <c r="F329" s="1042">
        <f>'Смета Внутр'!F329</f>
        <v>0</v>
      </c>
      <c r="G329" s="1042">
        <f t="shared" si="21"/>
        <v>400</v>
      </c>
      <c r="H329" s="1042">
        <f>'Смета Внутр'!G329</f>
        <v>0</v>
      </c>
      <c r="I329" s="1042">
        <f>'Смета Внутр'!H329</f>
        <v>0</v>
      </c>
      <c r="J329" s="1058">
        <f>'Смета Внутр'!I329</f>
        <v>0</v>
      </c>
    </row>
    <row r="330" spans="2:10" ht="15" customHeight="1">
      <c r="B330" s="3330" t="str">
        <f>'Смета Внутр'!B330</f>
        <v>Итого работы</v>
      </c>
      <c r="C330" s="3330"/>
      <c r="D330" s="3330"/>
      <c r="E330" s="3330"/>
      <c r="F330" s="3330"/>
      <c r="G330" s="3330"/>
      <c r="H330" s="1042">
        <f>'Смета Внутр'!G330</f>
        <v>0</v>
      </c>
      <c r="I330" s="1042">
        <f>'Смета Внутр'!H330</f>
        <v>0</v>
      </c>
      <c r="J330" s="1058">
        <f>'Смета Внутр'!I330</f>
        <v>0</v>
      </c>
    </row>
    <row r="331" spans="2:10" ht="15" customHeight="1">
      <c r="B331" s="3329" t="str">
        <f>'Смета Внутр'!B331</f>
        <v>Каркасный дом</v>
      </c>
      <c r="C331" s="3329"/>
      <c r="D331" s="3329"/>
      <c r="H331">
        <f>'Смета Внутр'!G331</f>
        <v>0</v>
      </c>
      <c r="I331">
        <f>'Смета Внутр'!H331</f>
        <v>0</v>
      </c>
      <c r="J331" s="3027">
        <f>'Смета Внутр'!I331</f>
        <v>0</v>
      </c>
    </row>
    <row r="332" spans="2:10" ht="15" customHeight="1">
      <c r="B332" s="3002" t="str">
        <f>'Смета Внутр'!B332</f>
        <v>Материалы</v>
      </c>
      <c r="D332" s="1167"/>
      <c r="H332">
        <f>'Смета Внутр'!G332</f>
        <v>0</v>
      </c>
      <c r="I332">
        <f>'Смета Внутр'!H332</f>
        <v>0</v>
      </c>
      <c r="J332" s="3027">
        <f>'Смета Внутр'!I332</f>
        <v>0</v>
      </c>
    </row>
    <row r="333" spans="2:10" ht="15" customHeight="1">
      <c r="B333" s="1042" t="str">
        <f>'Смета Внутр'!B333</f>
        <v>Брус естественной влажности, 150*150мм</v>
      </c>
      <c r="C333" s="1042" t="str">
        <f>'Смета Внутр'!C333</f>
        <v>м3</v>
      </c>
      <c r="D333" s="1058">
        <f>'Смета Внутр'!D333</f>
        <v>1.26</v>
      </c>
      <c r="E333" s="1042">
        <f>'Смета Внутр'!E333</f>
        <v>6500</v>
      </c>
      <c r="F333" s="1042">
        <f>'Смета Внутр'!F333</f>
        <v>0</v>
      </c>
      <c r="G333" s="1042">
        <f t="shared" ref="G333:G350" si="22">IF(E333&gt;F333,E333,F333)</f>
        <v>6500</v>
      </c>
      <c r="H333" s="1042">
        <f>'Смета Внутр'!G333</f>
        <v>8190</v>
      </c>
      <c r="I333" s="1042">
        <f>'Смета Внутр'!H333</f>
        <v>0</v>
      </c>
      <c r="J333" s="1058">
        <f>'Смета Внутр'!I333</f>
        <v>0</v>
      </c>
    </row>
    <row r="334" spans="2:10" ht="15" customHeight="1">
      <c r="B334" s="1042" t="str">
        <f>'Смета Внутр'!B334</f>
        <v xml:space="preserve">Болты анкерные с гайкой 12,0 х 280          </v>
      </c>
      <c r="C334" s="1042" t="str">
        <f>'Смета Внутр'!C334</f>
        <v>шт</v>
      </c>
      <c r="D334" s="1058">
        <f>'Смета Внутр'!D334</f>
        <v>56</v>
      </c>
      <c r="E334" s="1042">
        <f>'Смета Внутр'!E334</f>
        <v>27.1</v>
      </c>
      <c r="F334" s="1042">
        <f>'Смета Внутр'!F334</f>
        <v>0</v>
      </c>
      <c r="G334" s="1042">
        <f t="shared" si="22"/>
        <v>27.1</v>
      </c>
      <c r="H334" s="1042">
        <f>'Смета Внутр'!G334</f>
        <v>1517.6000000000001</v>
      </c>
      <c r="I334" s="1042">
        <f>'Смета Внутр'!H334</f>
        <v>0</v>
      </c>
      <c r="J334" s="1058">
        <f>'Смета Внутр'!I334</f>
        <v>0</v>
      </c>
    </row>
    <row r="335" spans="2:10" ht="15" customHeight="1">
      <c r="B335" s="1042" t="str">
        <f>'Смета Внутр'!B335</f>
        <v>ГПС 150х50-1,2</v>
      </c>
      <c r="C335" s="1042" t="str">
        <f>'Смета Внутр'!C335</f>
        <v>м3</v>
      </c>
      <c r="D335" s="1058">
        <f>'Смета Внутр'!D335</f>
        <v>0</v>
      </c>
      <c r="E335" s="1042">
        <f>'Смета Внутр'!E335</f>
        <v>201</v>
      </c>
      <c r="F335" s="1042">
        <f>'Смета Внутр'!F335</f>
        <v>0</v>
      </c>
      <c r="G335" s="1042">
        <f t="shared" si="22"/>
        <v>201</v>
      </c>
      <c r="H335" s="1042">
        <f>'Смета Внутр'!G335</f>
        <v>0</v>
      </c>
      <c r="I335" s="1042">
        <f>'Смета Внутр'!H335</f>
        <v>0</v>
      </c>
      <c r="J335" s="1058">
        <f>'Смета Внутр'!I335</f>
        <v>0</v>
      </c>
    </row>
    <row r="336" spans="2:10" ht="15" customHeight="1">
      <c r="B336" s="1042" t="str">
        <f>'Смета Внутр'!B343</f>
        <v>ГПС 120х50-1,5</v>
      </c>
      <c r="C336" s="1042" t="str">
        <f>'Смета Внутр'!C343</f>
        <v>м3</v>
      </c>
      <c r="D336" s="1058">
        <f>'Смета Внутр'!D343</f>
        <v>0</v>
      </c>
      <c r="E336" s="1042">
        <f>'Смета Внутр'!E343</f>
        <v>224</v>
      </c>
      <c r="F336" s="1042">
        <f>'Смета Внутр'!F343</f>
        <v>0</v>
      </c>
      <c r="G336" s="1042">
        <f t="shared" si="22"/>
        <v>224</v>
      </c>
      <c r="H336" s="1042">
        <f>'Смета Внутр'!G343</f>
        <v>0</v>
      </c>
      <c r="I336" s="1042">
        <f>'Смета Внутр'!H343</f>
        <v>0</v>
      </c>
      <c r="J336" s="1058">
        <f>'Смета Внутр'!I343</f>
        <v>0</v>
      </c>
    </row>
    <row r="337" spans="2:10" ht="15" customHeight="1">
      <c r="B337" s="1042" t="str">
        <f>'Смета Внутр'!B344</f>
        <v>ГПС 170х50-2,0</v>
      </c>
      <c r="C337" s="1042" t="str">
        <f>'Смета Внутр'!C344</f>
        <v>м3</v>
      </c>
      <c r="D337" s="1058">
        <f>'Смета Внутр'!D344</f>
        <v>0</v>
      </c>
      <c r="E337" s="1042">
        <f>'Смета Внутр'!E344</f>
        <v>358</v>
      </c>
      <c r="F337" s="1042">
        <f>'Смета Внутр'!F344</f>
        <v>0</v>
      </c>
      <c r="G337" s="1042">
        <f t="shared" si="22"/>
        <v>358</v>
      </c>
      <c r="H337" s="1042">
        <f>'Смета Внутр'!G344</f>
        <v>0</v>
      </c>
      <c r="I337" s="1042">
        <f>'Смета Внутр'!H344</f>
        <v>0</v>
      </c>
      <c r="J337" s="1058">
        <f>'Смета Внутр'!I344</f>
        <v>0</v>
      </c>
    </row>
    <row r="338" spans="2:10" ht="15" customHeight="1">
      <c r="B338" s="1042" t="str">
        <f>'Смета Внутр'!B345</f>
        <v>Лист ГВЛВ 2500х1200х10 мм</v>
      </c>
      <c r="C338" s="1042" t="str">
        <f>'Смета Внутр'!C345</f>
        <v>м2</v>
      </c>
      <c r="D338" s="1058">
        <f>'Смета Внутр'!D345</f>
        <v>100</v>
      </c>
      <c r="E338" s="1042">
        <f>'Смета Внутр'!E345</f>
        <v>150</v>
      </c>
      <c r="F338" s="1042">
        <f>'Смета Внутр'!F345</f>
        <v>0</v>
      </c>
      <c r="G338" s="1042">
        <f t="shared" si="22"/>
        <v>150</v>
      </c>
      <c r="H338" s="1042">
        <f>'Смета Внутр'!G345</f>
        <v>15000</v>
      </c>
      <c r="I338" s="1042">
        <f>'Смета Внутр'!H345</f>
        <v>0</v>
      </c>
      <c r="J338" s="1058">
        <f>'Смета Внутр'!I345</f>
        <v>0</v>
      </c>
    </row>
    <row r="339" spans="2:10" ht="15" customHeight="1">
      <c r="B339" s="1042" t="str">
        <f>'Смета Внутр'!B346</f>
        <v>нет</v>
      </c>
      <c r="C339" s="1042" t="str">
        <f>'Смета Внутр'!C346</f>
        <v>м.п.</v>
      </c>
      <c r="D339" s="1058">
        <f>'Смета Внутр'!D346</f>
        <v>0</v>
      </c>
      <c r="E339" s="1042">
        <f>'Смета Внутр'!E346</f>
        <v>0</v>
      </c>
      <c r="F339" s="1042">
        <f>'Смета Внутр'!F346</f>
        <v>0</v>
      </c>
      <c r="G339" s="1042">
        <f t="shared" si="22"/>
        <v>0</v>
      </c>
      <c r="H339" s="1042">
        <f>'Смета Внутр'!G346</f>
        <v>0</v>
      </c>
      <c r="I339" s="1042">
        <f>'Смета Внутр'!H346</f>
        <v>0</v>
      </c>
      <c r="J339" s="1058">
        <f>'Смета Внутр'!I346</f>
        <v>0</v>
      </c>
    </row>
    <row r="340" spans="2:10" ht="15" customHeight="1">
      <c r="B340" s="1042" t="str">
        <f>'Смета Внутр'!B347</f>
        <v>Нет</v>
      </c>
      <c r="C340" s="1042" t="str">
        <f>'Смета Внутр'!C347</f>
        <v>м3</v>
      </c>
      <c r="D340" s="1058">
        <f>'Смета Внутр'!D347</f>
        <v>0</v>
      </c>
      <c r="E340" s="1042">
        <f>'Смета Внутр'!E347</f>
        <v>0</v>
      </c>
      <c r="F340" s="1042">
        <f>'Смета Внутр'!F347</f>
        <v>0</v>
      </c>
      <c r="G340" s="1042">
        <f t="shared" si="22"/>
        <v>0</v>
      </c>
      <c r="H340" s="1042">
        <f>'Смета Внутр'!G347</f>
        <v>0</v>
      </c>
      <c r="I340" s="1042">
        <f>'Смета Внутр'!H347</f>
        <v>0</v>
      </c>
      <c r="J340" s="1058">
        <f>'Смета Внутр'!I347</f>
        <v>0</v>
      </c>
    </row>
    <row r="341" spans="2:10" ht="15" customHeight="1">
      <c r="B341" s="1042" t="str">
        <f>'Смета Внутр'!B348</f>
        <v>Нет</v>
      </c>
      <c r="C341" s="1042" t="str">
        <f>'Смета Внутр'!C348</f>
        <v>м3</v>
      </c>
      <c r="D341" s="1058">
        <f>'Смета Внутр'!D348</f>
        <v>0</v>
      </c>
      <c r="E341" s="1042">
        <f>'Смета Внутр'!E348</f>
        <v>0</v>
      </c>
      <c r="F341" s="1042">
        <f>'Смета Внутр'!F348</f>
        <v>0</v>
      </c>
      <c r="G341" s="1042">
        <f t="shared" si="22"/>
        <v>0</v>
      </c>
      <c r="H341" s="1042">
        <f>'Смета Внутр'!G348</f>
        <v>0</v>
      </c>
      <c r="I341" s="1042">
        <f>'Смета Внутр'!H348</f>
        <v>0</v>
      </c>
      <c r="J341" s="1058">
        <f>'Смета Внутр'!I348</f>
        <v>0</v>
      </c>
    </row>
    <row r="342" spans="2:10" ht="15" customHeight="1">
      <c r="B342" s="1042" t="str">
        <f>'Смета Внутр'!B349</f>
        <v>нет</v>
      </c>
      <c r="C342" s="1042" t="str">
        <f>'Смета Внутр'!C349</f>
        <v>м2</v>
      </c>
      <c r="D342" s="1058">
        <f>'Смета Внутр'!D349</f>
        <v>0</v>
      </c>
      <c r="E342" s="1042">
        <f>'Смета Внутр'!E349</f>
        <v>0</v>
      </c>
      <c r="F342" s="1042">
        <f>'Смета Внутр'!F349</f>
        <v>0</v>
      </c>
      <c r="G342" s="1042">
        <f t="shared" si="22"/>
        <v>0</v>
      </c>
      <c r="H342" s="1042">
        <f>'Смета Внутр'!G349</f>
        <v>0</v>
      </c>
      <c r="I342" s="1042">
        <f>'Смета Внутр'!H349</f>
        <v>0</v>
      </c>
      <c r="J342" s="1058">
        <f>'Смета Внутр'!I349</f>
        <v>0</v>
      </c>
    </row>
    <row r="343" spans="2:10" ht="15" customHeight="1">
      <c r="B343" s="1042" t="str">
        <f>'Смета Внутр'!B350</f>
        <v>нет</v>
      </c>
      <c r="C343" s="1042" t="str">
        <f>'Смета Внутр'!C350</f>
        <v>м2</v>
      </c>
      <c r="D343" s="1058">
        <f>'Смета Внутр'!D350</f>
        <v>0</v>
      </c>
      <c r="E343" s="1042">
        <f>'Смета Внутр'!E350</f>
        <v>0</v>
      </c>
      <c r="F343" s="1042">
        <f>'Смета Внутр'!F350</f>
        <v>0</v>
      </c>
      <c r="G343" s="1042">
        <f t="shared" si="22"/>
        <v>0</v>
      </c>
      <c r="H343" s="1042">
        <f>'Смета Внутр'!G350</f>
        <v>0</v>
      </c>
      <c r="I343" s="1042">
        <f>'Смета Внутр'!H350</f>
        <v>0</v>
      </c>
      <c r="J343" s="1058">
        <f>'Смета Внутр'!I350</f>
        <v>0</v>
      </c>
    </row>
    <row r="344" spans="2:10" ht="15" customHeight="1">
      <c r="B344" s="1042" t="str">
        <f>'Смета Внутр'!B351</f>
        <v>нет</v>
      </c>
      <c r="C344" s="1042" t="str">
        <f>'Смета Внутр'!C351</f>
        <v>м2</v>
      </c>
      <c r="D344" s="1058">
        <f>'Смета Внутр'!D351</f>
        <v>0</v>
      </c>
      <c r="E344" s="1042">
        <f>'Смета Внутр'!E351</f>
        <v>0</v>
      </c>
      <c r="F344" s="1042">
        <f>'Смета Внутр'!F351</f>
        <v>0</v>
      </c>
      <c r="G344" s="1042">
        <f t="shared" si="22"/>
        <v>0</v>
      </c>
      <c r="H344" s="1042">
        <f>'Смета Внутр'!G351</f>
        <v>0</v>
      </c>
      <c r="I344" s="1042">
        <f>'Смета Внутр'!H351</f>
        <v>0</v>
      </c>
      <c r="J344" s="1058">
        <f>'Смета Внутр'!I351</f>
        <v>0</v>
      </c>
    </row>
    <row r="345" spans="2:10" ht="15" customHeight="1">
      <c r="B345" s="1042" t="str">
        <f>'Смета Внутр'!B352</f>
        <v xml:space="preserve">Саморезы 3,5 x 25            </v>
      </c>
      <c r="C345" s="1042" t="str">
        <f>'Смета Внутр'!C352</f>
        <v>шт</v>
      </c>
      <c r="D345" s="1058">
        <f>'Смета Внутр'!D352</f>
        <v>0</v>
      </c>
      <c r="E345" s="1042">
        <f>'Смета Внутр'!E352</f>
        <v>0.2</v>
      </c>
      <c r="F345" s="1042">
        <f>'Смета Внутр'!F352</f>
        <v>0</v>
      </c>
      <c r="G345" s="1042">
        <f t="shared" si="22"/>
        <v>0.2</v>
      </c>
      <c r="H345" s="1042">
        <f>'Смета Внутр'!G352</f>
        <v>0</v>
      </c>
      <c r="I345" s="1042">
        <f>'Смета Внутр'!H352</f>
        <v>0</v>
      </c>
      <c r="J345" s="1058">
        <f>'Смета Внутр'!I352</f>
        <v>0</v>
      </c>
    </row>
    <row r="346" spans="2:10" ht="15" customHeight="1">
      <c r="B346" s="1042" t="str">
        <f>'Смета Внутр'!B353</f>
        <v xml:space="preserve">Гвозди ершоные 2,8 х 90            </v>
      </c>
      <c r="C346" s="1042" t="str">
        <f>'Смета Внутр'!C353</f>
        <v>кг</v>
      </c>
      <c r="D346" s="1058">
        <f>'Смета Внутр'!D353</f>
        <v>0</v>
      </c>
      <c r="E346" s="1042">
        <f>'Смета Внутр'!E353</f>
        <v>76.489999999999995</v>
      </c>
      <c r="F346" s="1042">
        <f>'Смета Внутр'!F353</f>
        <v>0</v>
      </c>
      <c r="G346" s="1042">
        <f t="shared" si="22"/>
        <v>76.489999999999995</v>
      </c>
      <c r="H346" s="1042">
        <f>'Смета Внутр'!G353</f>
        <v>0</v>
      </c>
      <c r="I346" s="1042">
        <f>'Смета Внутр'!H353</f>
        <v>0</v>
      </c>
      <c r="J346" s="1058">
        <f>'Смета Внутр'!I353</f>
        <v>0</v>
      </c>
    </row>
    <row r="347" spans="2:10" ht="15" customHeight="1">
      <c r="B347" s="1042" t="str">
        <f>'Смета Внутр'!B354</f>
        <v xml:space="preserve">Гвозди ершоные 3,4 x 60            </v>
      </c>
      <c r="C347" s="1042" t="str">
        <f>'Смета Внутр'!C354</f>
        <v>кг</v>
      </c>
      <c r="D347" s="1058">
        <f>'Смета Внутр'!D354</f>
        <v>0</v>
      </c>
      <c r="E347" s="1042">
        <f>'Смета Внутр'!E354</f>
        <v>75.510000000000005</v>
      </c>
      <c r="F347" s="1042">
        <f>'Смета Внутр'!F354</f>
        <v>0</v>
      </c>
      <c r="G347" s="1042">
        <f t="shared" si="22"/>
        <v>75.510000000000005</v>
      </c>
      <c r="H347" s="1042">
        <f>'Смета Внутр'!G354</f>
        <v>0</v>
      </c>
      <c r="I347" s="1042">
        <f>'Смета Внутр'!H354</f>
        <v>0</v>
      </c>
      <c r="J347" s="1058">
        <f>'Смета Внутр'!I354</f>
        <v>0</v>
      </c>
    </row>
    <row r="348" spans="2:10" ht="15" customHeight="1">
      <c r="B348" s="1042" t="str">
        <f>'Смета Внутр'!B355</f>
        <v>нет ветроизоляции</v>
      </c>
      <c r="C348" s="1042" t="str">
        <f>'Смета Внутр'!C355</f>
        <v>м2</v>
      </c>
      <c r="D348" s="1058">
        <f>'Смета Внутр'!D355</f>
        <v>0</v>
      </c>
      <c r="E348" s="1042">
        <f>'Смета Внутр'!E355</f>
        <v>0</v>
      </c>
      <c r="F348" s="1042">
        <f>'Смета Внутр'!F355</f>
        <v>0</v>
      </c>
      <c r="G348" s="1042">
        <f t="shared" si="22"/>
        <v>0</v>
      </c>
      <c r="H348" s="1042">
        <f>'Смета Внутр'!G355</f>
        <v>0</v>
      </c>
      <c r="I348" s="1042">
        <f>'Смета Внутр'!H355</f>
        <v>0</v>
      </c>
      <c r="J348" s="1058">
        <f>'Смета Внутр'!I355</f>
        <v>0</v>
      </c>
    </row>
    <row r="349" spans="2:10" ht="15" customHeight="1">
      <c r="B349" s="1042" t="str">
        <f>'Смета Внутр'!B356</f>
        <v>нет пароизоляции</v>
      </c>
      <c r="C349" s="1042" t="str">
        <f>'Смета Внутр'!C356</f>
        <v>м2</v>
      </c>
      <c r="D349" s="1058">
        <f>'Смета Внутр'!D356</f>
        <v>0</v>
      </c>
      <c r="E349" s="1042">
        <f>'Смета Внутр'!E356</f>
        <v>0</v>
      </c>
      <c r="F349" s="1042">
        <f>'Смета Внутр'!F356</f>
        <v>0</v>
      </c>
      <c r="G349" s="1042">
        <f t="shared" si="22"/>
        <v>0</v>
      </c>
      <c r="H349" s="1042">
        <f>'Смета Внутр'!G356</f>
        <v>0</v>
      </c>
      <c r="I349" s="1042">
        <f>'Смета Внутр'!H356</f>
        <v>0</v>
      </c>
      <c r="J349" s="1058">
        <f>'Смета Внутр'!I356</f>
        <v>0</v>
      </c>
    </row>
    <row r="350" spans="2:10" ht="15" customHeight="1">
      <c r="B350" s="1042" t="str">
        <f>'Смета Внутр'!B357</f>
        <v>Скобы для степлера, 1000шт/уп</v>
      </c>
      <c r="C350" s="1042" t="str">
        <f>'Смета Внутр'!C357</f>
        <v>уп</v>
      </c>
      <c r="D350" s="1058">
        <f>'Смета Внутр'!D357</f>
        <v>5</v>
      </c>
      <c r="E350" s="1042">
        <f>'Смета Внутр'!E357</f>
        <v>100</v>
      </c>
      <c r="F350" s="1042">
        <f>'Смета Внутр'!F357</f>
        <v>0</v>
      </c>
      <c r="G350" s="1042">
        <f t="shared" si="22"/>
        <v>100</v>
      </c>
      <c r="H350" s="1042">
        <f>'Смета Внутр'!G357</f>
        <v>500</v>
      </c>
      <c r="I350" s="1042">
        <f>'Смета Внутр'!H357</f>
        <v>0</v>
      </c>
      <c r="J350" s="1058">
        <f>'Смета Внутр'!I357</f>
        <v>0</v>
      </c>
    </row>
    <row r="351" spans="2:10">
      <c r="B351" s="3330" t="str">
        <f>'Смета Внутр'!B358</f>
        <v>Итого материалы</v>
      </c>
      <c r="C351" s="3330"/>
      <c r="D351" s="3330"/>
      <c r="E351" s="3330"/>
      <c r="F351" s="3330"/>
      <c r="G351" s="3330"/>
      <c r="H351" s="1042">
        <f>'Смета Внутр'!G358</f>
        <v>0</v>
      </c>
      <c r="I351" s="1042">
        <f>'Смета Внутр'!H358</f>
        <v>0</v>
      </c>
      <c r="J351" s="1058">
        <f>'Смета Внутр'!I358</f>
        <v>0</v>
      </c>
    </row>
    <row r="352" spans="2:10" ht="15" customHeight="1">
      <c r="B352" s="3002" t="str">
        <f>'Смета Внутр'!B359</f>
        <v>Работы</v>
      </c>
      <c r="D352" s="1167"/>
      <c r="H352">
        <f>'Смета Внутр'!G359</f>
        <v>0</v>
      </c>
      <c r="I352">
        <f>'Смета Внутр'!H359</f>
        <v>0</v>
      </c>
      <c r="J352" s="3027">
        <f>'Смета Внутр'!I359</f>
        <v>0</v>
      </c>
    </row>
    <row r="353" spans="2:10" ht="15" customHeight="1">
      <c r="B353" s="1042" t="str">
        <f>'Смета Внутр'!B360</f>
        <v>монтаж обвязки</v>
      </c>
      <c r="C353" s="1042" t="str">
        <f>'Смета Внутр'!C360</f>
        <v>м.п.</v>
      </c>
      <c r="D353" s="1058">
        <f>'Смета Внутр'!D360</f>
        <v>0</v>
      </c>
      <c r="E353" s="1042">
        <f>'Смета Внутр'!E360</f>
        <v>200</v>
      </c>
      <c r="F353" s="1042">
        <f>'Смета Внутр'!F360</f>
        <v>0</v>
      </c>
      <c r="G353" s="1042">
        <f t="shared" ref="G353:G366" si="23">IF(E353&gt;F353,E353,F353)</f>
        <v>200</v>
      </c>
      <c r="H353" s="1042">
        <f>'Смета Внутр'!G360</f>
        <v>0</v>
      </c>
      <c r="I353" s="1042">
        <f>'Смета Внутр'!H360</f>
        <v>0</v>
      </c>
      <c r="J353" s="1058">
        <f>'Смета Внутр'!I360</f>
        <v>0</v>
      </c>
    </row>
    <row r="354" spans="2:10" ht="15" customHeight="1">
      <c r="B354" s="1042" t="str">
        <f>'Смета Внутр'!B361</f>
        <v>монтаж стен каркаса</v>
      </c>
      <c r="C354" s="1042" t="str">
        <f>'Смета Внутр'!C361</f>
        <v>м2</v>
      </c>
      <c r="D354" s="1058">
        <f>'Смета Внутр'!D361</f>
        <v>0</v>
      </c>
      <c r="E354" s="1042">
        <f>'Смета Внутр'!E361</f>
        <v>400</v>
      </c>
      <c r="F354" s="1042">
        <f>'Смета Внутр'!F361</f>
        <v>0</v>
      </c>
      <c r="G354" s="1042">
        <f t="shared" si="23"/>
        <v>400</v>
      </c>
      <c r="H354" s="1042">
        <f>'Смета Внутр'!G361</f>
        <v>0</v>
      </c>
      <c r="I354" s="1042">
        <f>'Смета Внутр'!H361</f>
        <v>0</v>
      </c>
      <c r="J354" s="1058">
        <f>'Смета Внутр'!I361</f>
        <v>0</v>
      </c>
    </row>
    <row r="355" spans="2:10" ht="15" customHeight="1">
      <c r="B355" s="1042" t="str">
        <f>'Смета Внутр'!B362</f>
        <v>Монтаж несущих перегородок</v>
      </c>
      <c r="C355" s="1042" t="str">
        <f>'Смета Внутр'!C362</f>
        <v>м2</v>
      </c>
      <c r="D355" s="1058">
        <f>'Смета Внутр'!D362</f>
        <v>0</v>
      </c>
      <c r="E355" s="1042">
        <f>'Смета Внутр'!E362</f>
        <v>400</v>
      </c>
      <c r="F355" s="1042">
        <f>'Смета Внутр'!F362</f>
        <v>0</v>
      </c>
      <c r="G355" s="1042">
        <f t="shared" si="23"/>
        <v>400</v>
      </c>
      <c r="H355" s="1042">
        <f>'Смета Внутр'!G362</f>
        <v>0</v>
      </c>
      <c r="I355" s="1042">
        <f>'Смета Внутр'!H362</f>
        <v>0</v>
      </c>
      <c r="J355" s="1058">
        <f>'Смета Внутр'!I362</f>
        <v>0</v>
      </c>
    </row>
    <row r="356" spans="2:10" ht="15" customHeight="1">
      <c r="B356" s="1042" t="str">
        <f>'Смета Внутр'!B363</f>
        <v>Монтаж перегородок</v>
      </c>
      <c r="C356" s="1042" t="str">
        <f>'Смета Внутр'!C363</f>
        <v>м2</v>
      </c>
      <c r="D356" s="1058">
        <f>'Смета Внутр'!D363</f>
        <v>0</v>
      </c>
      <c r="E356" s="1042">
        <f>'Смета Внутр'!E363</f>
        <v>400</v>
      </c>
      <c r="F356" s="1042">
        <f>'Смета Внутр'!F363</f>
        <v>0</v>
      </c>
      <c r="G356" s="1042">
        <f t="shared" si="23"/>
        <v>400</v>
      </c>
      <c r="H356" s="1042">
        <f>'Смета Внутр'!G363</f>
        <v>0</v>
      </c>
      <c r="I356" s="1042">
        <f>'Смета Внутр'!H363</f>
        <v>0</v>
      </c>
      <c r="J356" s="1058">
        <f>'Смета Внутр'!I363</f>
        <v>0</v>
      </c>
    </row>
    <row r="357" spans="2:10" ht="15" customHeight="1">
      <c r="B357" s="1042" t="str">
        <f>'Смета Внутр'!B364</f>
        <v>Монтаж вентиляционного зазора</v>
      </c>
      <c r="C357" s="1042" t="str">
        <f>'Смета Внутр'!C364</f>
        <v>м2</v>
      </c>
      <c r="D357" s="1058">
        <f>'Смета Внутр'!D364</f>
        <v>0</v>
      </c>
      <c r="E357" s="1042">
        <f>'Смета Внутр'!E364</f>
        <v>80</v>
      </c>
      <c r="F357" s="1042">
        <f>'Смета Внутр'!F364</f>
        <v>0</v>
      </c>
      <c r="G357" s="1042">
        <f t="shared" si="23"/>
        <v>80</v>
      </c>
      <c r="H357" s="1042">
        <f>'Смета Внутр'!G364</f>
        <v>0</v>
      </c>
      <c r="I357" s="1042">
        <f>'Смета Внутр'!H364</f>
        <v>0</v>
      </c>
      <c r="J357" s="1058">
        <f>'Смета Внутр'!I364</f>
        <v>0</v>
      </c>
    </row>
    <row r="358" spans="2:10" ht="15" customHeight="1">
      <c r="B358" s="1042" t="str">
        <f>'Смета Внутр'!B365</f>
        <v>Монтаж технологического зазора</v>
      </c>
      <c r="C358" s="1042" t="str">
        <f>'Смета Внутр'!C365</f>
        <v>м2</v>
      </c>
      <c r="D358" s="1058">
        <f>'Смета Внутр'!D365</f>
        <v>0</v>
      </c>
      <c r="E358" s="1042">
        <f>'Смета Внутр'!E365</f>
        <v>80</v>
      </c>
      <c r="F358" s="1042">
        <f>'Смета Внутр'!F365</f>
        <v>0</v>
      </c>
      <c r="G358" s="1042">
        <f t="shared" si="23"/>
        <v>80</v>
      </c>
      <c r="H358" s="1042">
        <f>'Смета Внутр'!G365</f>
        <v>0</v>
      </c>
      <c r="I358" s="1042">
        <f>'Смета Внутр'!H365</f>
        <v>0</v>
      </c>
      <c r="J358" s="1058">
        <f>'Смета Внутр'!I365</f>
        <v>0</v>
      </c>
    </row>
    <row r="359" spans="2:10" ht="15" customHeight="1">
      <c r="B359" s="1042" t="str">
        <f>'Смета Внутр'!B366</f>
        <v>монтаж ветроизоляции стен</v>
      </c>
      <c r="C359" s="1042" t="str">
        <f>'Смета Внутр'!C366</f>
        <v>м2</v>
      </c>
      <c r="D359" s="1058">
        <f>'Смета Внутр'!D366</f>
        <v>0</v>
      </c>
      <c r="E359" s="1042">
        <f>'Смета Внутр'!E366</f>
        <v>100</v>
      </c>
      <c r="F359" s="1042">
        <f>'Смета Внутр'!F366</f>
        <v>0</v>
      </c>
      <c r="G359" s="1042">
        <f t="shared" si="23"/>
        <v>100</v>
      </c>
      <c r="H359" s="1042">
        <f>'Смета Внутр'!G366</f>
        <v>0</v>
      </c>
      <c r="I359" s="1042">
        <f>'Смета Внутр'!H366</f>
        <v>0</v>
      </c>
      <c r="J359" s="1058">
        <f>'Смета Внутр'!I366</f>
        <v>0</v>
      </c>
    </row>
    <row r="360" spans="2:10" ht="15" customHeight="1">
      <c r="B360" s="1042" t="str">
        <f>'Смета Внутр'!B367</f>
        <v>монтаж пароизоляции стен</v>
      </c>
      <c r="C360" s="1042" t="str">
        <f>'Смета Внутр'!C367</f>
        <v>м2</v>
      </c>
      <c r="D360" s="1058">
        <f>'Смета Внутр'!D367</f>
        <v>0</v>
      </c>
      <c r="E360" s="1042">
        <f>'Смета Внутр'!E367</f>
        <v>100</v>
      </c>
      <c r="F360" s="1042">
        <f>'Смета Внутр'!F367</f>
        <v>0</v>
      </c>
      <c r="G360" s="1042">
        <f t="shared" si="23"/>
        <v>100</v>
      </c>
      <c r="H360" s="1042">
        <f>'Смета Внутр'!G367</f>
        <v>0</v>
      </c>
      <c r="I360" s="1042">
        <f>'Смета Внутр'!H367</f>
        <v>0</v>
      </c>
      <c r="J360" s="1058">
        <f>'Смета Внутр'!I367</f>
        <v>0</v>
      </c>
    </row>
    <row r="361" spans="2:10" ht="15" customHeight="1">
      <c r="B361" s="1042" t="str">
        <f>'Смета Внутр'!B368</f>
        <v>монтаж osb/фанера наруж стены</v>
      </c>
      <c r="C361" s="1042" t="str">
        <f>'Смета Внутр'!C368</f>
        <v>м2</v>
      </c>
      <c r="D361" s="1058">
        <f>'Смета Внутр'!D368</f>
        <v>0</v>
      </c>
      <c r="E361" s="1042">
        <f>'Смета Внутр'!E368</f>
        <v>200</v>
      </c>
      <c r="F361" s="1042">
        <f>'Смета Внутр'!F368</f>
        <v>0</v>
      </c>
      <c r="G361" s="1042">
        <f t="shared" si="23"/>
        <v>200</v>
      </c>
      <c r="H361" s="1042">
        <f>'Смета Внутр'!G368</f>
        <v>0</v>
      </c>
      <c r="I361" s="1042">
        <f>'Смета Внутр'!H368</f>
        <v>0</v>
      </c>
      <c r="J361" s="1058">
        <f>'Смета Внутр'!I368</f>
        <v>0</v>
      </c>
    </row>
    <row r="362" spans="2:10" ht="15" customHeight="1">
      <c r="B362" s="1042" t="str">
        <f>'Смета Внутр'!B369</f>
        <v>монтаж osb/фанера потолок</v>
      </c>
      <c r="C362" s="1042" t="str">
        <f>'Смета Внутр'!C369</f>
        <v>м2</v>
      </c>
      <c r="D362" s="1058">
        <f>'Смета Внутр'!D369</f>
        <v>0</v>
      </c>
      <c r="E362" s="1042">
        <f>'Смета Внутр'!E369</f>
        <v>200</v>
      </c>
      <c r="F362" s="1042">
        <f>'Смета Внутр'!F369</f>
        <v>0</v>
      </c>
      <c r="G362" s="1042">
        <f t="shared" si="23"/>
        <v>200</v>
      </c>
      <c r="H362" s="1042">
        <f>'Смета Внутр'!G369</f>
        <v>0</v>
      </c>
      <c r="I362" s="1042">
        <f>'Смета Внутр'!H369</f>
        <v>0</v>
      </c>
      <c r="J362" s="1058">
        <f>'Смета Внутр'!I369</f>
        <v>0</v>
      </c>
    </row>
    <row r="363" spans="2:10" ht="15" customHeight="1">
      <c r="B363" s="1042" t="str">
        <f>'Смета Внутр'!B370</f>
        <v>монтаж osb/фанера перегородки</v>
      </c>
      <c r="C363" s="1042" t="str">
        <f>'Смета Внутр'!C370</f>
        <v>м2</v>
      </c>
      <c r="D363" s="1058">
        <f>'Смета Внутр'!D370</f>
        <v>0</v>
      </c>
      <c r="E363" s="1042">
        <f>'Смета Внутр'!E370</f>
        <v>200</v>
      </c>
      <c r="F363" s="1042">
        <f>'Смета Внутр'!F370</f>
        <v>0</v>
      </c>
      <c r="G363" s="1042">
        <f t="shared" si="23"/>
        <v>200</v>
      </c>
      <c r="H363" s="1042">
        <f>'Смета Внутр'!G370</f>
        <v>0</v>
      </c>
      <c r="I363" s="1042">
        <f>'Смета Внутр'!H370</f>
        <v>0</v>
      </c>
      <c r="J363" s="1058">
        <f>'Смета Внутр'!I370</f>
        <v>0</v>
      </c>
    </row>
    <row r="364" spans="2:10" ht="15" customHeight="1">
      <c r="B364" s="1042" t="str">
        <f>'Смета Внутр'!B371</f>
        <v>монтаж osb/фанера пол</v>
      </c>
      <c r="C364" s="1042" t="str">
        <f>'Смета Внутр'!C371</f>
        <v>м2</v>
      </c>
      <c r="D364" s="1058">
        <f>'Смета Внутр'!D371</f>
        <v>100</v>
      </c>
      <c r="E364" s="1042">
        <f>'Смета Внутр'!E371</f>
        <v>200</v>
      </c>
      <c r="F364" s="1042">
        <f>'Смета Внутр'!F371</f>
        <v>0</v>
      </c>
      <c r="G364" s="1042">
        <f t="shared" si="23"/>
        <v>200</v>
      </c>
      <c r="H364" s="1042">
        <f>'Смета Внутр'!G371</f>
        <v>20000</v>
      </c>
      <c r="I364" s="1042">
        <f>'Смета Внутр'!H371</f>
        <v>0</v>
      </c>
      <c r="J364" s="1058">
        <f>'Смета Внутр'!I371</f>
        <v>0</v>
      </c>
    </row>
    <row r="365" spans="2:10" ht="15" customHeight="1">
      <c r="B365" s="1042" t="str">
        <f>'Смета Внутр'!B372</f>
        <v>утепление наружних стен</v>
      </c>
      <c r="C365" s="1042" t="str">
        <f>'Смета Внутр'!C372</f>
        <v>м2</v>
      </c>
      <c r="D365" s="1058">
        <f>'Смета Внутр'!D372</f>
        <v>0</v>
      </c>
      <c r="E365" s="1042">
        <f>'Смета Внутр'!E372</f>
        <v>200</v>
      </c>
      <c r="F365" s="1042">
        <f>'Смета Внутр'!F372</f>
        <v>0</v>
      </c>
      <c r="G365" s="1042">
        <f t="shared" si="23"/>
        <v>200</v>
      </c>
      <c r="H365" s="1042">
        <f>'Смета Внутр'!G372</f>
        <v>0</v>
      </c>
      <c r="I365" s="1042">
        <f>'Смета Внутр'!H372</f>
        <v>0</v>
      </c>
      <c r="J365" s="1058">
        <f>'Смета Внутр'!I372</f>
        <v>0</v>
      </c>
    </row>
    <row r="366" spans="2:10" ht="15" customHeight="1">
      <c r="B366" s="1042" t="str">
        <f>'Смета Внутр'!B373</f>
        <v>Утепление перегородок</v>
      </c>
      <c r="C366" s="1042" t="str">
        <f>'Смета Внутр'!C373</f>
        <v>м2</v>
      </c>
      <c r="D366" s="1058">
        <f>'Смета Внутр'!D373</f>
        <v>0</v>
      </c>
      <c r="E366" s="1042">
        <f>'Смета Внутр'!E373</f>
        <v>200</v>
      </c>
      <c r="F366" s="1042">
        <f>'Смета Внутр'!F373</f>
        <v>0</v>
      </c>
      <c r="G366" s="1042">
        <f t="shared" si="23"/>
        <v>200</v>
      </c>
      <c r="H366" s="1042">
        <f>'Смета Внутр'!G373</f>
        <v>0</v>
      </c>
      <c r="I366" s="1042">
        <f>'Смета Внутр'!H373</f>
        <v>0</v>
      </c>
      <c r="J366" s="1058">
        <f>'Смета Внутр'!I373</f>
        <v>0</v>
      </c>
    </row>
    <row r="367" spans="2:10" ht="15" customHeight="1">
      <c r="B367" s="3330" t="str">
        <f>'Смета Внутр'!B374</f>
        <v>Итого работы</v>
      </c>
      <c r="C367" s="3330"/>
      <c r="D367" s="3330"/>
      <c r="E367" s="3330"/>
      <c r="F367" s="3330"/>
      <c r="G367" s="3330"/>
      <c r="H367" s="1042">
        <f>'Смета Внутр'!G374</f>
        <v>0</v>
      </c>
      <c r="I367" s="1042">
        <f>'Смета Внутр'!H374</f>
        <v>0</v>
      </c>
      <c r="J367" s="1058">
        <f>'Смета Внутр'!I374</f>
        <v>0</v>
      </c>
    </row>
    <row r="368" spans="2:10" ht="15" customHeight="1">
      <c r="B368" s="3331" t="str">
        <f>'Смета Внутр'!B375</f>
        <v>Каркасный дом двутавровые балки</v>
      </c>
      <c r="C368" s="3331"/>
      <c r="D368" s="3331"/>
      <c r="E368" s="3331"/>
      <c r="F368" s="3331"/>
      <c r="G368" s="3331"/>
      <c r="H368" s="3331"/>
      <c r="I368" s="3331"/>
      <c r="J368" s="3331"/>
    </row>
    <row r="369" spans="2:10" ht="15" customHeight="1">
      <c r="B369" s="3332" t="str">
        <f>'Смета Внутр'!B376</f>
        <v>Материалы</v>
      </c>
      <c r="C369" s="3332"/>
      <c r="D369" s="3332"/>
      <c r="E369" s="3332"/>
      <c r="F369" s="3332"/>
      <c r="G369" s="3332"/>
      <c r="H369" s="3332"/>
      <c r="I369" s="3332"/>
      <c r="J369" s="3332"/>
    </row>
    <row r="370" spans="2:10" ht="15" customHeight="1">
      <c r="B370" s="2702" t="str">
        <f>'Смета Внутр'!B377</f>
        <v>Брус естественной влажности, 150*150мм</v>
      </c>
      <c r="C370" s="2702" t="str">
        <f>'Смета Внутр'!C377</f>
        <v>м3</v>
      </c>
      <c r="D370" s="2702">
        <f>'Смета Внутр'!D377</f>
        <v>1.26</v>
      </c>
      <c r="E370" s="2702">
        <f>'Смета Внутр'!E377</f>
        <v>6500</v>
      </c>
      <c r="F370" s="2702">
        <f>'Смета Внутр'!F377</f>
        <v>0</v>
      </c>
      <c r="G370" s="1042">
        <f t="shared" ref="G370:G401" si="24">IF(E370&gt;F370,E370,F370)</f>
        <v>6500</v>
      </c>
      <c r="H370" s="2702">
        <f>'Смета Внутр'!H377</f>
        <v>0</v>
      </c>
      <c r="I370" s="2702">
        <f>'Смета Внутр'!I377</f>
        <v>0</v>
      </c>
      <c r="J370" s="2421">
        <f>'Смета Внутр'!I377</f>
        <v>0</v>
      </c>
    </row>
    <row r="371" spans="2:10" ht="15" customHeight="1">
      <c r="B371" s="2702" t="str">
        <f>'Смета Внутр'!B378</f>
        <v xml:space="preserve">Болты анкерные с гайкой 12,0 х 280          </v>
      </c>
      <c r="C371" s="2702" t="str">
        <f>'Смета Внутр'!C378</f>
        <v>шт</v>
      </c>
      <c r="D371" s="2702">
        <f>'Смета Внутр'!D378</f>
        <v>56</v>
      </c>
      <c r="E371" s="2702">
        <f>'Смета Внутр'!E378</f>
        <v>27.1</v>
      </c>
      <c r="F371" s="2702">
        <f>'Смета Внутр'!F378</f>
        <v>0</v>
      </c>
      <c r="G371" s="1042">
        <f t="shared" si="24"/>
        <v>27.1</v>
      </c>
      <c r="H371" s="2702">
        <f>'Смета Внутр'!H378</f>
        <v>0</v>
      </c>
      <c r="I371" s="2702">
        <f>'Смета Внутр'!I378</f>
        <v>0</v>
      </c>
      <c r="J371" s="2421">
        <f>'Смета Внутр'!I378</f>
        <v>0</v>
      </c>
    </row>
    <row r="372" spans="2:10" ht="15" customHeight="1">
      <c r="B372" s="2702" t="str">
        <f>'Смета Внутр'!B379</f>
        <v>ГПС 150х50-1,2</v>
      </c>
      <c r="C372" s="2702" t="str">
        <f>'Смета Внутр'!C379</f>
        <v>м3</v>
      </c>
      <c r="D372" s="2702">
        <f>'Смета Внутр'!D379</f>
        <v>0</v>
      </c>
      <c r="E372" s="2702">
        <f>'Смета Внутр'!E379</f>
        <v>201</v>
      </c>
      <c r="F372" s="2702">
        <f>'Смета Внутр'!F379</f>
        <v>0</v>
      </c>
      <c r="G372" s="1042">
        <f t="shared" si="24"/>
        <v>201</v>
      </c>
      <c r="H372" s="2702">
        <f>'Смета Внутр'!H379</f>
        <v>0</v>
      </c>
      <c r="I372" s="2702">
        <f>'Смета Внутр'!I379</f>
        <v>0</v>
      </c>
      <c r="J372" s="2421">
        <f>'Смета Внутр'!I379</f>
        <v>0</v>
      </c>
    </row>
    <row r="373" spans="2:10" ht="15" customHeight="1">
      <c r="B373" s="2702" t="str">
        <f>'Смета Внутр'!B380</f>
        <v>ГПН 152х35-1,2</v>
      </c>
      <c r="C373" s="2702" t="str">
        <f>'Смета Внутр'!C380</f>
        <v>мп.</v>
      </c>
      <c r="D373" s="2702">
        <f>'Смета Внутр'!D380</f>
        <v>0</v>
      </c>
      <c r="E373" s="2702">
        <f>'Смета Внутр'!E380</f>
        <v>163</v>
      </c>
      <c r="F373" s="2702">
        <f>'Смета Внутр'!F380</f>
        <v>0</v>
      </c>
      <c r="G373" s="1042">
        <f t="shared" si="24"/>
        <v>163</v>
      </c>
      <c r="H373" s="2702">
        <f>'Смета Внутр'!H380</f>
        <v>0</v>
      </c>
      <c r="I373" s="2702">
        <f>'Смета Внутр'!I380</f>
        <v>0</v>
      </c>
      <c r="J373" s="2421">
        <f>'Смета Внутр'!I380</f>
        <v>0</v>
      </c>
    </row>
    <row r="374" spans="2:10" ht="15" customHeight="1">
      <c r="B374" s="2702" t="str">
        <f>'Смета Внутр'!B381</f>
        <v xml:space="preserve">Болты анкерные с гайкой 12,0 x 100          </v>
      </c>
      <c r="C374" s="2702" t="str">
        <f>'Смета Внутр'!C381</f>
        <v>шт.</v>
      </c>
      <c r="D374" s="2702">
        <f>'Смета Внутр'!D381</f>
        <v>0</v>
      </c>
      <c r="E374" s="2702">
        <f>'Смета Внутр'!E381</f>
        <v>11.2</v>
      </c>
      <c r="F374" s="2702">
        <f>'Смета Внутр'!F381</f>
        <v>0</v>
      </c>
      <c r="G374" s="1042">
        <f t="shared" si="24"/>
        <v>11.2</v>
      </c>
      <c r="H374" s="2702">
        <f>'Смета Внутр'!H381</f>
        <v>0</v>
      </c>
      <c r="I374" s="2702">
        <f>'Смета Внутр'!I381</f>
        <v>0</v>
      </c>
      <c r="J374" s="2421">
        <f>'Смета Внутр'!I381</f>
        <v>0</v>
      </c>
    </row>
    <row r="375" spans="2:10" ht="15" customHeight="1">
      <c r="B375" s="2702" t="str">
        <f>'Смета Внутр'!B382</f>
        <v>Саморез 5,5 х 25</v>
      </c>
      <c r="C375" s="2702" t="str">
        <f>'Смета Внутр'!C382</f>
        <v>шт.</v>
      </c>
      <c r="D375" s="2702">
        <f>'Смета Внутр'!D382</f>
        <v>1644</v>
      </c>
      <c r="E375" s="2702">
        <f>'Смета Внутр'!E382</f>
        <v>2.5</v>
      </c>
      <c r="F375" s="2702">
        <f>'Смета Внутр'!F382</f>
        <v>0</v>
      </c>
      <c r="G375" s="1042">
        <f t="shared" si="24"/>
        <v>2.5</v>
      </c>
      <c r="H375" s="2702">
        <f>'Смета Внутр'!H382</f>
        <v>0</v>
      </c>
      <c r="I375" s="2702">
        <f>'Смета Внутр'!I382</f>
        <v>0</v>
      </c>
      <c r="J375" s="2421">
        <f>'Смета Внутр'!I382</f>
        <v>0</v>
      </c>
    </row>
    <row r="376" spans="2:10" ht="15" customHeight="1">
      <c r="B376" s="2702" t="str">
        <f>'Смета Внутр'!B383</f>
        <v>ГПН 122х35-1,5</v>
      </c>
      <c r="C376" s="2702" t="str">
        <f>'Смета Внутр'!C383</f>
        <v>мп.</v>
      </c>
      <c r="D376" s="2702">
        <f>'Смета Внутр'!D383</f>
        <v>0</v>
      </c>
      <c r="E376" s="2702">
        <f>'Смета Внутр'!E383</f>
        <v>163</v>
      </c>
      <c r="F376" s="2702">
        <f>'Смета Внутр'!F383</f>
        <v>0</v>
      </c>
      <c r="G376" s="1042">
        <f t="shared" si="24"/>
        <v>163</v>
      </c>
      <c r="H376" s="2702">
        <f>'Смета Внутр'!H383</f>
        <v>0</v>
      </c>
      <c r="I376" s="2702">
        <f>'Смета Внутр'!I383</f>
        <v>0</v>
      </c>
      <c r="J376" s="2421">
        <f>'Смета Внутр'!I383</f>
        <v>0</v>
      </c>
    </row>
    <row r="377" spans="2:10" ht="15" customHeight="1">
      <c r="B377" s="2702" t="str">
        <f>'Смета Внутр'!B384</f>
        <v xml:space="preserve">Болты анкерные с гайкой 12,0 x 100          </v>
      </c>
      <c r="C377" s="2702" t="str">
        <f>'Смета Внутр'!C384</f>
        <v>шт.</v>
      </c>
      <c r="D377" s="2702">
        <f>'Смета Внутр'!D384</f>
        <v>0</v>
      </c>
      <c r="E377" s="2702">
        <f>'Смета Внутр'!E384</f>
        <v>11.2</v>
      </c>
      <c r="F377" s="2702">
        <f>'Смета Внутр'!F384</f>
        <v>0</v>
      </c>
      <c r="G377" s="1042">
        <f t="shared" si="24"/>
        <v>11.2</v>
      </c>
      <c r="H377" s="2702">
        <f>'Смета Внутр'!H384</f>
        <v>0</v>
      </c>
      <c r="I377" s="2702">
        <f>'Смета Внутр'!I384</f>
        <v>0</v>
      </c>
      <c r="J377" s="2421">
        <f>'Смета Внутр'!I384</f>
        <v>0</v>
      </c>
    </row>
    <row r="378" spans="2:10" ht="15" customHeight="1">
      <c r="B378" s="2702" t="str">
        <f>'Смета Внутр'!B385</f>
        <v>Саморез 5,5 х 25</v>
      </c>
      <c r="C378" s="2702" t="str">
        <f>'Смета Внутр'!C385</f>
        <v>шт.</v>
      </c>
      <c r="D378" s="2702">
        <f>'Смета Внутр'!D385</f>
        <v>12</v>
      </c>
      <c r="E378" s="2702">
        <f>'Смета Внутр'!E385</f>
        <v>2.5</v>
      </c>
      <c r="F378" s="2702">
        <f>'Смета Внутр'!F385</f>
        <v>0</v>
      </c>
      <c r="G378" s="1042">
        <f t="shared" si="24"/>
        <v>2.5</v>
      </c>
      <c r="H378" s="2702">
        <f>'Смета Внутр'!H385</f>
        <v>0</v>
      </c>
      <c r="I378" s="2702">
        <f>'Смета Внутр'!I385</f>
        <v>0</v>
      </c>
      <c r="J378" s="2421">
        <f>'Смета Внутр'!I385</f>
        <v>0</v>
      </c>
    </row>
    <row r="379" spans="2:10" ht="15" customHeight="1">
      <c r="B379" s="2702" t="str">
        <f>'Смета Внутр'!B386</f>
        <v>ГПН 172х35-2,0</v>
      </c>
      <c r="C379" s="2702" t="str">
        <f>'Смета Внутр'!C386</f>
        <v>мп.</v>
      </c>
      <c r="D379" s="2702">
        <f>'Смета Внутр'!D386</f>
        <v>0</v>
      </c>
      <c r="E379" s="2702">
        <f>'Смета Внутр'!E386</f>
        <v>274</v>
      </c>
      <c r="F379" s="2702">
        <f>'Смета Внутр'!F386</f>
        <v>0</v>
      </c>
      <c r="G379" s="1042">
        <f t="shared" si="24"/>
        <v>274</v>
      </c>
      <c r="H379" s="2702">
        <f>'Смета Внутр'!H386</f>
        <v>0</v>
      </c>
      <c r="I379" s="2702">
        <f>'Смета Внутр'!I386</f>
        <v>0</v>
      </c>
      <c r="J379" s="2421">
        <f>'Смета Внутр'!I386</f>
        <v>0</v>
      </c>
    </row>
    <row r="380" spans="2:10" ht="15" customHeight="1">
      <c r="B380" s="2702" t="str">
        <f>'Смета Внутр'!B387</f>
        <v xml:space="preserve">Болты анкерные с гайкой 12,0 x 100          </v>
      </c>
      <c r="C380" s="2702" t="str">
        <f>'Смета Внутр'!C387</f>
        <v>шт.</v>
      </c>
      <c r="D380" s="2702">
        <f>'Смета Внутр'!D387</f>
        <v>0</v>
      </c>
      <c r="E380" s="2702">
        <f>'Смета Внутр'!E387</f>
        <v>11.2</v>
      </c>
      <c r="F380" s="2702">
        <f>'Смета Внутр'!F387</f>
        <v>0</v>
      </c>
      <c r="G380" s="1042">
        <f t="shared" si="24"/>
        <v>11.2</v>
      </c>
      <c r="H380" s="2702">
        <f>'Смета Внутр'!H387</f>
        <v>0</v>
      </c>
      <c r="I380" s="2702">
        <f>'Смета Внутр'!I387</f>
        <v>0</v>
      </c>
      <c r="J380" s="2421">
        <f>'Смета Внутр'!I387</f>
        <v>0</v>
      </c>
    </row>
    <row r="381" spans="2:10" ht="15" customHeight="1">
      <c r="B381" s="2702" t="str">
        <f>'Смета Внутр'!B388</f>
        <v>Саморез 5,5 х 25</v>
      </c>
      <c r="C381" s="2702" t="str">
        <f>'Смета Внутр'!C388</f>
        <v>шт.</v>
      </c>
      <c r="D381" s="2702">
        <f>'Смета Внутр'!D388</f>
        <v>0</v>
      </c>
      <c r="E381" s="2702">
        <f>'Смета Внутр'!E388</f>
        <v>2.5</v>
      </c>
      <c r="F381" s="2702">
        <f>'Смета Внутр'!F388</f>
        <v>0</v>
      </c>
      <c r="G381" s="1042">
        <f t="shared" si="24"/>
        <v>2.5</v>
      </c>
      <c r="H381" s="2702">
        <f>'Смета Внутр'!H388</f>
        <v>0</v>
      </c>
      <c r="I381" s="2702">
        <f>'Смета Внутр'!I388</f>
        <v>0</v>
      </c>
      <c r="J381" s="2421">
        <f>'Смета Внутр'!I388</f>
        <v>0</v>
      </c>
    </row>
    <row r="382" spans="2:10" ht="15" customHeight="1">
      <c r="B382" s="2702" t="str">
        <f>'Смета Внутр'!B389</f>
        <v>ГПС 150х50-1,2</v>
      </c>
      <c r="C382" s="2702" t="str">
        <f>'Смета Внутр'!C389</f>
        <v>мп.</v>
      </c>
      <c r="D382" s="2702">
        <f>'Смета Внутр'!D389</f>
        <v>14</v>
      </c>
      <c r="E382" s="2702">
        <f>'Смета Внутр'!E389</f>
        <v>63.009404388714735</v>
      </c>
      <c r="F382" s="2702">
        <f>'Смета Внутр'!F389</f>
        <v>0</v>
      </c>
      <c r="G382" s="1058">
        <f t="shared" si="24"/>
        <v>63.009404388714735</v>
      </c>
      <c r="H382" s="2702">
        <f>'Смета Внутр'!H389</f>
        <v>0</v>
      </c>
      <c r="I382" s="2702">
        <f>'Смета Внутр'!I389</f>
        <v>0</v>
      </c>
      <c r="J382" s="2421">
        <f>'Смета Внутр'!I389</f>
        <v>0</v>
      </c>
    </row>
    <row r="383" spans="2:10" ht="15" customHeight="1">
      <c r="B383" s="2702" t="str">
        <f>'Смета Внутр'!B390</f>
        <v>Саморез 5,5 х 25</v>
      </c>
      <c r="C383" s="2702" t="str">
        <f>'Смета Внутр'!C390</f>
        <v>шт.</v>
      </c>
      <c r="D383" s="2702">
        <f>'Смета Внутр'!D390</f>
        <v>81</v>
      </c>
      <c r="E383" s="2702">
        <f>'Смета Внутр'!E390</f>
        <v>2.5</v>
      </c>
      <c r="F383" s="2702">
        <f>'Смета Внутр'!F390</f>
        <v>0</v>
      </c>
      <c r="G383" s="1042">
        <f t="shared" si="24"/>
        <v>2.5</v>
      </c>
      <c r="H383" s="2702">
        <f>'Смета Внутр'!H390</f>
        <v>0</v>
      </c>
      <c r="I383" s="2702">
        <f>'Смета Внутр'!I390</f>
        <v>0</v>
      </c>
      <c r="J383" s="2421">
        <f>'Смета Внутр'!I390</f>
        <v>0</v>
      </c>
    </row>
    <row r="384" spans="2:10" ht="15" customHeight="1">
      <c r="B384" s="2702" t="str">
        <f>'Смета Внутр'!B391</f>
        <v>L 50 x 50, 1,2мм</v>
      </c>
      <c r="C384" s="2702" t="str">
        <f>'Смета Внутр'!C391</f>
        <v>м.п.</v>
      </c>
      <c r="D384" s="2702">
        <f>'Смета Внутр'!D391</f>
        <v>8.1</v>
      </c>
      <c r="E384" s="2702">
        <f>'Смета Внутр'!E391</f>
        <v>77</v>
      </c>
      <c r="F384" s="2702">
        <f>'Смета Внутр'!F391</f>
        <v>0</v>
      </c>
      <c r="G384" s="1042">
        <f t="shared" si="24"/>
        <v>77</v>
      </c>
      <c r="H384" s="2702">
        <f>'Смета Внутр'!H391</f>
        <v>0</v>
      </c>
      <c r="I384" s="2702">
        <f>'Смета Внутр'!I391</f>
        <v>0</v>
      </c>
      <c r="J384" s="2421">
        <f>'Смета Внутр'!I391</f>
        <v>0</v>
      </c>
    </row>
    <row r="385" spans="2:10" ht="15" customHeight="1">
      <c r="B385" s="2702" t="str">
        <f>'Смета Внутр'!B392</f>
        <v>ГПС 120х50-1,5</v>
      </c>
      <c r="C385" s="2702" t="str">
        <f>'Смета Внутр'!C392</f>
        <v>м.п.</v>
      </c>
      <c r="D385" s="2702">
        <f>'Смета Внутр'!D392</f>
        <v>7.8</v>
      </c>
      <c r="E385" s="2702">
        <f>'Смета Внутр'!E392</f>
        <v>65.882352941176478</v>
      </c>
      <c r="F385" s="2702">
        <f>'Смета Внутр'!F392</f>
        <v>0</v>
      </c>
      <c r="G385" s="1058">
        <f t="shared" si="24"/>
        <v>65.882352941176478</v>
      </c>
      <c r="H385" s="2702">
        <f>'Смета Внутр'!H392</f>
        <v>0</v>
      </c>
      <c r="I385" s="2702">
        <f>'Смета Внутр'!I392</f>
        <v>0</v>
      </c>
      <c r="J385" s="2421">
        <f>'Смета Внутр'!I392</f>
        <v>0</v>
      </c>
    </row>
    <row r="386" spans="2:10" ht="15" customHeight="1">
      <c r="B386" s="2702" t="str">
        <f>'Смета Внутр'!B393</f>
        <v>Саморез 5,5 х 25</v>
      </c>
      <c r="C386" s="2702" t="str">
        <f>'Смета Внутр'!C393</f>
        <v>шт.</v>
      </c>
      <c r="D386" s="2702">
        <f>'Смета Внутр'!D393</f>
        <v>48</v>
      </c>
      <c r="E386" s="2702">
        <f>'Смета Внутр'!E393</f>
        <v>2.5</v>
      </c>
      <c r="F386" s="2702">
        <f>'Смета Внутр'!F393</f>
        <v>0</v>
      </c>
      <c r="G386" s="1042">
        <f t="shared" si="24"/>
        <v>2.5</v>
      </c>
      <c r="H386" s="2702">
        <f>'Смета Внутр'!H393</f>
        <v>0</v>
      </c>
      <c r="I386" s="2702">
        <f>'Смета Внутр'!I393</f>
        <v>0</v>
      </c>
      <c r="J386" s="2421">
        <f>'Смета Внутр'!I393</f>
        <v>0</v>
      </c>
    </row>
    <row r="387" spans="2:10" ht="15" customHeight="1">
      <c r="B387" s="2702" t="str">
        <f>'Смета Внутр'!B394</f>
        <v>нет</v>
      </c>
      <c r="C387" s="2702" t="str">
        <f>'Смета Внутр'!C394</f>
        <v>м.п.</v>
      </c>
      <c r="D387" s="2702">
        <f>'Смета Внутр'!D394</f>
        <v>0</v>
      </c>
      <c r="E387" s="2702">
        <f>'Смета Внутр'!E394</f>
        <v>0</v>
      </c>
      <c r="F387" s="2702">
        <f>'Смета Внутр'!F394</f>
        <v>0</v>
      </c>
      <c r="G387" s="1042">
        <f t="shared" si="24"/>
        <v>0</v>
      </c>
      <c r="H387" s="2702">
        <f>'Смета Внутр'!H394</f>
        <v>0</v>
      </c>
      <c r="I387" s="2702">
        <f>'Смета Внутр'!I394</f>
        <v>0</v>
      </c>
      <c r="J387" s="2421">
        <f>'Смета Внутр'!I394</f>
        <v>0</v>
      </c>
    </row>
    <row r="388" spans="2:10" ht="15" customHeight="1">
      <c r="B388" s="2702" t="str">
        <f>'Смета Внутр'!B395</f>
        <v>нет</v>
      </c>
      <c r="C388" s="2702" t="str">
        <f>'Смета Внутр'!C395</f>
        <v>м.п.</v>
      </c>
      <c r="D388" s="2702">
        <f>'Смета Внутр'!D395</f>
        <v>0</v>
      </c>
      <c r="E388" s="2702">
        <f>'Смета Внутр'!E395</f>
        <v>0</v>
      </c>
      <c r="F388" s="2702">
        <f>'Смета Внутр'!F395</f>
        <v>0</v>
      </c>
      <c r="G388" s="1042">
        <f t="shared" si="24"/>
        <v>0</v>
      </c>
      <c r="H388" s="2702">
        <f>'Смета Внутр'!H395</f>
        <v>0</v>
      </c>
      <c r="I388" s="2702">
        <f>'Смета Внутр'!I395</f>
        <v>0</v>
      </c>
      <c r="J388" s="2421">
        <f>'Смета Внутр'!I395</f>
        <v>0</v>
      </c>
    </row>
    <row r="389" spans="2:10" ht="15" customHeight="1">
      <c r="B389" s="2702">
        <f>'Смета Внутр'!B396</f>
        <v>0</v>
      </c>
      <c r="C389" s="2702" t="str">
        <f>'Смета Внутр'!C396</f>
        <v>шт.</v>
      </c>
      <c r="D389" s="2702">
        <f>'Смета Внутр'!D396</f>
        <v>0</v>
      </c>
      <c r="E389" s="2702">
        <f>'Смета Внутр'!E396</f>
        <v>0</v>
      </c>
      <c r="F389" s="2702">
        <f>'Смета Внутр'!F396</f>
        <v>0</v>
      </c>
      <c r="G389" s="1042">
        <f t="shared" si="24"/>
        <v>0</v>
      </c>
      <c r="H389" s="2702">
        <f>'Смета Внутр'!H396</f>
        <v>0</v>
      </c>
      <c r="I389" s="2702">
        <f>'Смета Внутр'!I396</f>
        <v>0</v>
      </c>
      <c r="J389" s="2421">
        <f>'Смета Внутр'!I396</f>
        <v>0</v>
      </c>
    </row>
    <row r="390" spans="2:10" ht="15" customHeight="1">
      <c r="B390" s="2702">
        <f>'Смета Внутр'!B397</f>
        <v>0</v>
      </c>
      <c r="C390" s="2702" t="str">
        <f>'Смета Внутр'!C397</f>
        <v>шт.</v>
      </c>
      <c r="D390" s="2702">
        <f>'Смета Внутр'!D397</f>
        <v>0</v>
      </c>
      <c r="E390" s="2702">
        <f>'Смета Внутр'!E397</f>
        <v>0</v>
      </c>
      <c r="F390" s="2702">
        <f>'Смета Внутр'!F397</f>
        <v>0</v>
      </c>
      <c r="G390" s="1042">
        <f t="shared" si="24"/>
        <v>0</v>
      </c>
      <c r="H390" s="2702">
        <f>'Смета Внутр'!H397</f>
        <v>0</v>
      </c>
      <c r="I390" s="2702">
        <f>'Смета Внутр'!I397</f>
        <v>0</v>
      </c>
      <c r="J390" s="2421">
        <f>'Смета Внутр'!I397</f>
        <v>0</v>
      </c>
    </row>
    <row r="391" spans="2:10" ht="15" customHeight="1">
      <c r="B391" s="2702" t="str">
        <f>'Смета Внутр'!B398</f>
        <v>нет</v>
      </c>
      <c r="C391" s="2702" t="str">
        <f>'Смета Внутр'!C398</f>
        <v>м2</v>
      </c>
      <c r="D391" s="2702">
        <f>'Смета Внутр'!D398</f>
        <v>0</v>
      </c>
      <c r="E391" s="2702">
        <f>'Смета Внутр'!E398</f>
        <v>0</v>
      </c>
      <c r="F391" s="2702">
        <f>'Смета Внутр'!F398</f>
        <v>0</v>
      </c>
      <c r="G391" s="1042">
        <f t="shared" si="24"/>
        <v>0</v>
      </c>
      <c r="H391" s="2702">
        <f>'Смета Внутр'!H398</f>
        <v>0</v>
      </c>
      <c r="I391" s="2702">
        <f>'Смета Внутр'!I398</f>
        <v>0</v>
      </c>
      <c r="J391" s="2421">
        <f>'Смета Внутр'!I398</f>
        <v>0</v>
      </c>
    </row>
    <row r="392" spans="2:10" ht="15" customHeight="1">
      <c r="B392" s="2702" t="str">
        <f>'Смета Внутр'!B399</f>
        <v xml:space="preserve">Саморезы 3,5 x 25            </v>
      </c>
      <c r="C392" s="2702" t="str">
        <f>'Смета Внутр'!C399</f>
        <v>шт.</v>
      </c>
      <c r="D392" s="2702">
        <f>'Смета Внутр'!D399</f>
        <v>0</v>
      </c>
      <c r="E392" s="2702">
        <f>'Смета Внутр'!E399</f>
        <v>0.2</v>
      </c>
      <c r="F392" s="2702">
        <f>'Смета Внутр'!F399</f>
        <v>0</v>
      </c>
      <c r="G392" s="1042">
        <f t="shared" si="24"/>
        <v>0.2</v>
      </c>
      <c r="H392" s="2702">
        <f>'Смета Внутр'!H399</f>
        <v>0</v>
      </c>
      <c r="I392" s="2702">
        <f>'Смета Внутр'!I399</f>
        <v>0</v>
      </c>
      <c r="J392" s="2421">
        <f>'Смета Внутр'!I399</f>
        <v>0</v>
      </c>
    </row>
    <row r="393" spans="2:10" ht="15" customHeight="1">
      <c r="B393" s="2702" t="str">
        <f>'Смета Внутр'!B400</f>
        <v>нет</v>
      </c>
      <c r="C393" s="2702" t="str">
        <f>'Смета Внутр'!C400</f>
        <v>м.п.</v>
      </c>
      <c r="D393" s="2702">
        <f>'Смета Внутр'!D400</f>
        <v>0</v>
      </c>
      <c r="E393" s="2702">
        <f>'Смета Внутр'!E400</f>
        <v>0</v>
      </c>
      <c r="F393" s="2702">
        <f>'Смета Внутр'!F400</f>
        <v>0</v>
      </c>
      <c r="G393" s="1042">
        <f t="shared" si="24"/>
        <v>0</v>
      </c>
      <c r="H393" s="2702">
        <f>'Смета Внутр'!H400</f>
        <v>0</v>
      </c>
      <c r="I393" s="2702">
        <f>'Смета Внутр'!I400</f>
        <v>0</v>
      </c>
      <c r="J393" s="2421">
        <f>'Смета Внутр'!I400</f>
        <v>0</v>
      </c>
    </row>
    <row r="394" spans="2:10" ht="15" customHeight="1">
      <c r="B394" s="2702">
        <f>'Смета Внутр'!B401</f>
        <v>0</v>
      </c>
      <c r="C394" s="2702" t="str">
        <f>'Смета Внутр'!C401</f>
        <v>шт.</v>
      </c>
      <c r="D394" s="2702">
        <f>'Смета Внутр'!D401</f>
        <v>0</v>
      </c>
      <c r="E394" s="2702">
        <f>'Смета Внутр'!E401</f>
        <v>0</v>
      </c>
      <c r="F394" s="2702">
        <f>'Смета Внутр'!F401</f>
        <v>0</v>
      </c>
      <c r="G394" s="1042">
        <f t="shared" si="24"/>
        <v>0</v>
      </c>
      <c r="H394" s="2702">
        <f>'Смета Внутр'!H401</f>
        <v>0</v>
      </c>
      <c r="I394" s="2702">
        <f>'Смета Внутр'!I401</f>
        <v>0</v>
      </c>
      <c r="J394" s="2421">
        <f>'Смета Внутр'!I401</f>
        <v>0</v>
      </c>
    </row>
    <row r="395" spans="2:10" ht="15" customHeight="1">
      <c r="B395" s="2702" t="str">
        <f>'Смета Внутр'!B402</f>
        <v>нет</v>
      </c>
      <c r="C395" s="2702" t="str">
        <f>'Смета Внутр'!C402</f>
        <v>м2</v>
      </c>
      <c r="D395" s="2702">
        <f>'Смета Внутр'!D402</f>
        <v>0</v>
      </c>
      <c r="E395" s="2702">
        <f>'Смета Внутр'!E402</f>
        <v>0</v>
      </c>
      <c r="F395" s="2702">
        <f>'Смета Внутр'!F402</f>
        <v>0</v>
      </c>
      <c r="G395" s="1042">
        <f t="shared" si="24"/>
        <v>0</v>
      </c>
      <c r="H395" s="2702">
        <f>'Смета Внутр'!H402</f>
        <v>0</v>
      </c>
      <c r="I395" s="2702">
        <f>'Смета Внутр'!I402</f>
        <v>0</v>
      </c>
      <c r="J395" s="2421">
        <f>'Смета Внутр'!I402</f>
        <v>0</v>
      </c>
    </row>
    <row r="396" spans="2:10" ht="15" customHeight="1">
      <c r="B396" s="2702" t="str">
        <f>'Смета Внутр'!B403</f>
        <v xml:space="preserve">Саморезы 3,5 x 45            </v>
      </c>
      <c r="C396" s="2702" t="str">
        <f>'Смета Внутр'!C403</f>
        <v>шт.</v>
      </c>
      <c r="D396" s="2702">
        <f>'Смета Внутр'!D403</f>
        <v>0</v>
      </c>
      <c r="E396" s="2702">
        <f>'Смета Внутр'!E403</f>
        <v>0.25</v>
      </c>
      <c r="F396" s="2702">
        <f>'Смета Внутр'!F403</f>
        <v>0</v>
      </c>
      <c r="G396" s="1042">
        <f t="shared" si="24"/>
        <v>0.25</v>
      </c>
      <c r="H396" s="2702">
        <f>'Смета Внутр'!H403</f>
        <v>0</v>
      </c>
      <c r="I396" s="2702">
        <f>'Смета Внутр'!I403</f>
        <v>0</v>
      </c>
      <c r="J396" s="2421">
        <f>'Смета Внутр'!I403</f>
        <v>0</v>
      </c>
    </row>
    <row r="397" spans="2:10" ht="15" customHeight="1">
      <c r="B397" s="2702" t="str">
        <f>'Смета Внутр'!B404</f>
        <v>нет</v>
      </c>
      <c r="C397" s="2702" t="str">
        <f>'Смета Внутр'!C404</f>
        <v>м.п.</v>
      </c>
      <c r="D397" s="2702">
        <f>'Смета Внутр'!D404</f>
        <v>192</v>
      </c>
      <c r="E397" s="2702">
        <f>'Смета Внутр'!E404</f>
        <v>0</v>
      </c>
      <c r="F397" s="2702">
        <f>'Смета Внутр'!F404</f>
        <v>0</v>
      </c>
      <c r="G397" s="1042">
        <f t="shared" si="24"/>
        <v>0</v>
      </c>
      <c r="H397" s="2702">
        <f>'Смета Внутр'!H404</f>
        <v>0</v>
      </c>
      <c r="I397" s="2702">
        <f>'Смета Внутр'!I404</f>
        <v>0</v>
      </c>
      <c r="J397" s="2421">
        <f>'Смета Внутр'!I404</f>
        <v>0</v>
      </c>
    </row>
    <row r="398" spans="2:10" ht="15" customHeight="1">
      <c r="B398" s="2702" t="str">
        <f>'Смета Внутр'!B405</f>
        <v>нет</v>
      </c>
      <c r="C398" s="2702" t="str">
        <f>'Смета Внутр'!C405</f>
        <v>м.п.</v>
      </c>
      <c r="D398" s="2702">
        <f>'Смета Внутр'!D405</f>
        <v>192</v>
      </c>
      <c r="E398" s="2702">
        <f>'Смета Внутр'!E405</f>
        <v>0</v>
      </c>
      <c r="F398" s="2702">
        <f>'Смета Внутр'!F405</f>
        <v>0</v>
      </c>
      <c r="G398" s="1042">
        <f t="shared" si="24"/>
        <v>0</v>
      </c>
      <c r="H398" s="2702">
        <f>'Смета Внутр'!H405</f>
        <v>0</v>
      </c>
      <c r="I398" s="2702">
        <f>'Смета Внутр'!I405</f>
        <v>0</v>
      </c>
      <c r="J398" s="2421">
        <f>'Смета Внутр'!I405</f>
        <v>0</v>
      </c>
    </row>
    <row r="399" spans="2:10" ht="15" customHeight="1">
      <c r="B399" s="2702">
        <f>'Смета Внутр'!B406</f>
        <v>0</v>
      </c>
      <c r="C399" s="2702" t="str">
        <f>'Смета Внутр'!C406</f>
        <v>шт.</v>
      </c>
      <c r="D399" s="2702">
        <f>'Смета Внутр'!D406</f>
        <v>384</v>
      </c>
      <c r="E399" s="2702">
        <f>'Смета Внутр'!E406</f>
        <v>0</v>
      </c>
      <c r="F399" s="2702">
        <f>'Смета Внутр'!F406</f>
        <v>0</v>
      </c>
      <c r="G399" s="1042">
        <f t="shared" si="24"/>
        <v>0</v>
      </c>
      <c r="H399" s="2702">
        <f>'Смета Внутр'!H406</f>
        <v>0</v>
      </c>
      <c r="I399" s="2702">
        <f>'Смета Внутр'!I406</f>
        <v>0</v>
      </c>
      <c r="J399" s="2421">
        <f>'Смета Внутр'!I406</f>
        <v>0</v>
      </c>
    </row>
    <row r="400" spans="2:10" ht="15" customHeight="1">
      <c r="B400" s="2702" t="str">
        <f>'Смета Внутр'!B407</f>
        <v>Кровельный саморез</v>
      </c>
      <c r="C400" s="2702" t="str">
        <f>'Смета Внутр'!C407</f>
        <v>шт.</v>
      </c>
      <c r="D400" s="2702">
        <f>'Смета Внутр'!D407</f>
        <v>0</v>
      </c>
      <c r="E400" s="2702">
        <f>'Смета Внутр'!E407</f>
        <v>2</v>
      </c>
      <c r="F400" s="2702">
        <f>'Смета Внутр'!F407</f>
        <v>0</v>
      </c>
      <c r="G400" s="1042">
        <f t="shared" si="24"/>
        <v>2</v>
      </c>
      <c r="H400" s="2702">
        <f>'Смета Внутр'!H407</f>
        <v>0</v>
      </c>
      <c r="I400" s="2702">
        <f>'Смета Внутр'!I407</f>
        <v>0</v>
      </c>
      <c r="J400" s="2421">
        <f>'Смета Внутр'!I407</f>
        <v>0</v>
      </c>
    </row>
    <row r="401" spans="2:10" ht="15" customHeight="1">
      <c r="B401" s="2702" t="str">
        <f>'Смета Внутр'!B408</f>
        <v>нет</v>
      </c>
      <c r="C401" s="2702" t="str">
        <f>'Смета Внутр'!C408</f>
        <v>м.п.</v>
      </c>
      <c r="D401" s="2702">
        <f>'Смета Внутр'!D408</f>
        <v>192</v>
      </c>
      <c r="E401" s="2702">
        <f>'Смета Внутр'!E408</f>
        <v>0</v>
      </c>
      <c r="F401" s="2702">
        <f>'Смета Внутр'!F408</f>
        <v>0</v>
      </c>
      <c r="G401" s="1042">
        <f t="shared" si="24"/>
        <v>0</v>
      </c>
      <c r="H401" s="2702">
        <f>'Смета Внутр'!H408</f>
        <v>0</v>
      </c>
      <c r="I401" s="2702">
        <f>'Смета Внутр'!I408</f>
        <v>0</v>
      </c>
      <c r="J401" s="2421">
        <f>'Смета Внутр'!I408</f>
        <v>0</v>
      </c>
    </row>
    <row r="402" spans="2:10" ht="15" customHeight="1">
      <c r="B402" s="2702" t="str">
        <f>'Смета Внутр'!B409</f>
        <v>нет</v>
      </c>
      <c r="C402" s="2702" t="str">
        <f>'Смета Внутр'!C409</f>
        <v>м.п.</v>
      </c>
      <c r="D402" s="2702">
        <f>'Смета Внутр'!D409</f>
        <v>110</v>
      </c>
      <c r="E402" s="2702">
        <f>'Смета Внутр'!E409</f>
        <v>0</v>
      </c>
      <c r="F402" s="2702">
        <f>'Смета Внутр'!F409</f>
        <v>0</v>
      </c>
      <c r="G402" s="1042">
        <f t="shared" ref="G402:G433" si="25">IF(E402&gt;F402,E402,F402)</f>
        <v>0</v>
      </c>
      <c r="H402" s="2702">
        <f>'Смета Внутр'!H409</f>
        <v>0</v>
      </c>
      <c r="I402" s="2702">
        <f>'Смета Внутр'!I409</f>
        <v>0</v>
      </c>
      <c r="J402" s="2421">
        <f>'Смета Внутр'!I409</f>
        <v>0</v>
      </c>
    </row>
    <row r="403" spans="2:10" ht="15" customHeight="1">
      <c r="B403" s="2702">
        <f>'Смета Внутр'!B410</f>
        <v>0</v>
      </c>
      <c r="C403" s="2702" t="str">
        <f>'Смета Внутр'!C410</f>
        <v>шт.</v>
      </c>
      <c r="D403" s="2702">
        <f>'Смета Внутр'!D410</f>
        <v>384</v>
      </c>
      <c r="E403" s="2702">
        <f>'Смета Внутр'!E410</f>
        <v>0</v>
      </c>
      <c r="F403" s="2702">
        <f>'Смета Внутр'!F410</f>
        <v>0</v>
      </c>
      <c r="G403" s="1042">
        <f t="shared" si="25"/>
        <v>0</v>
      </c>
      <c r="H403" s="2702">
        <f>'Смета Внутр'!H410</f>
        <v>0</v>
      </c>
      <c r="I403" s="2702">
        <f>'Смета Внутр'!I410</f>
        <v>0</v>
      </c>
      <c r="J403" s="2421">
        <f>'Смета Внутр'!I410</f>
        <v>0</v>
      </c>
    </row>
    <row r="404" spans="2:10" ht="15" customHeight="1">
      <c r="B404" s="2702" t="str">
        <f>'Смета Внутр'!B411</f>
        <v>Кровельный саморез</v>
      </c>
      <c r="C404" s="2702" t="str">
        <f>'Смета Внутр'!C411</f>
        <v>шт.</v>
      </c>
      <c r="D404" s="2702">
        <f>'Смета Внутр'!D411</f>
        <v>0</v>
      </c>
      <c r="E404" s="2702">
        <f>'Смета Внутр'!E411</f>
        <v>2</v>
      </c>
      <c r="F404" s="2702">
        <f>'Смета Внутр'!F411</f>
        <v>0</v>
      </c>
      <c r="G404" s="1042">
        <f t="shared" si="25"/>
        <v>2</v>
      </c>
      <c r="H404" s="2702">
        <f>'Смета Внутр'!H411</f>
        <v>0</v>
      </c>
      <c r="I404" s="2702">
        <f>'Смета Внутр'!I411</f>
        <v>0</v>
      </c>
      <c r="J404" s="2421">
        <f>'Смета Внутр'!I411</f>
        <v>0</v>
      </c>
    </row>
    <row r="405" spans="2:10" ht="15" customHeight="1">
      <c r="B405" s="2702" t="str">
        <f>'Смета Внутр'!B412</f>
        <v xml:space="preserve">Саморезы 3,5 x 25            </v>
      </c>
      <c r="C405" s="2702" t="str">
        <f>'Смета Внутр'!C412</f>
        <v>шт.</v>
      </c>
      <c r="D405" s="2702">
        <f>'Смета Внутр'!D412</f>
        <v>0</v>
      </c>
      <c r="E405" s="2702">
        <f>'Смета Внутр'!E412</f>
        <v>0.2</v>
      </c>
      <c r="F405" s="2702">
        <f>'Смета Внутр'!F412</f>
        <v>0</v>
      </c>
      <c r="G405" s="1042">
        <f t="shared" si="25"/>
        <v>0.2</v>
      </c>
      <c r="H405" s="2702">
        <f>'Смета Внутр'!H412</f>
        <v>0</v>
      </c>
      <c r="I405" s="2702">
        <f>'Смета Внутр'!I412</f>
        <v>0</v>
      </c>
      <c r="J405" s="2421">
        <f>'Смета Внутр'!I412</f>
        <v>0</v>
      </c>
    </row>
    <row r="406" spans="2:10" ht="15" customHeight="1">
      <c r="B406" s="2702" t="str">
        <f>'Смета Внутр'!B413</f>
        <v xml:space="preserve">Саморезы 3,5 x 25            </v>
      </c>
      <c r="C406" s="2702" t="str">
        <f>'Смета Внутр'!C413</f>
        <v>шт.</v>
      </c>
      <c r="D406" s="2702">
        <f>'Смета Внутр'!D413</f>
        <v>1200</v>
      </c>
      <c r="E406" s="2702">
        <f>'Смета Внутр'!E413</f>
        <v>0.2</v>
      </c>
      <c r="F406" s="2702">
        <f>'Смета Внутр'!F413</f>
        <v>0</v>
      </c>
      <c r="G406" s="1042">
        <f t="shared" si="25"/>
        <v>0.2</v>
      </c>
      <c r="H406" s="2702">
        <f>'Смета Внутр'!H413</f>
        <v>0</v>
      </c>
      <c r="I406" s="2702">
        <f>'Смета Внутр'!I413</f>
        <v>0</v>
      </c>
      <c r="J406" s="2421">
        <f>'Смета Внутр'!I413</f>
        <v>0</v>
      </c>
    </row>
    <row r="407" spans="2:10" ht="15" customHeight="1">
      <c r="B407" s="2702" t="str">
        <f>'Смета Внутр'!B414</f>
        <v>ГПС 120х50-1,5</v>
      </c>
      <c r="C407" s="2702" t="str">
        <f>'Смета Внутр'!C414</f>
        <v>м3</v>
      </c>
      <c r="D407" s="2702">
        <f>'Смета Внутр'!D414</f>
        <v>0</v>
      </c>
      <c r="E407" s="2702">
        <f>'Смета Внутр'!E414</f>
        <v>224</v>
      </c>
      <c r="F407" s="2702">
        <f>'Смета Внутр'!F414</f>
        <v>0</v>
      </c>
      <c r="G407" s="1042">
        <f t="shared" si="25"/>
        <v>224</v>
      </c>
      <c r="H407" s="2702">
        <f>'Смета Внутр'!H414</f>
        <v>0</v>
      </c>
      <c r="I407" s="2702">
        <f>'Смета Внутр'!I414</f>
        <v>0</v>
      </c>
      <c r="J407" s="2421">
        <f>'Смета Внутр'!I414</f>
        <v>0</v>
      </c>
    </row>
    <row r="408" spans="2:10" ht="15" customHeight="1">
      <c r="B408" s="2702" t="str">
        <f>'Смета Внутр'!B415</f>
        <v>ГПС 170х50-2,0</v>
      </c>
      <c r="C408" s="2702" t="str">
        <f>'Смета Внутр'!C415</f>
        <v>м3</v>
      </c>
      <c r="D408" s="2702">
        <f>'Смета Внутр'!D415</f>
        <v>0</v>
      </c>
      <c r="E408" s="2702">
        <f>'Смета Внутр'!E415</f>
        <v>358</v>
      </c>
      <c r="F408" s="2702">
        <f>'Смета Внутр'!F415</f>
        <v>0</v>
      </c>
      <c r="G408" s="1042">
        <f t="shared" si="25"/>
        <v>358</v>
      </c>
      <c r="H408" s="2702">
        <f>'Смета Внутр'!H415</f>
        <v>0</v>
      </c>
      <c r="I408" s="2702">
        <f>'Смета Внутр'!I415</f>
        <v>0</v>
      </c>
      <c r="J408" s="2421">
        <f>'Смета Внутр'!I415</f>
        <v>0</v>
      </c>
    </row>
    <row r="409" spans="2:10" ht="15" customHeight="1">
      <c r="B409" s="2702" t="str">
        <f>'Смета Внутр'!B416</f>
        <v>Лист ГВЛВ 2500х1200х10 мм</v>
      </c>
      <c r="C409" s="2702" t="str">
        <f>'Смета Внутр'!C416</f>
        <v>м2</v>
      </c>
      <c r="D409" s="2702">
        <f>'Смета Внутр'!D416</f>
        <v>100</v>
      </c>
      <c r="E409" s="2702">
        <f>'Смета Внутр'!E416</f>
        <v>150</v>
      </c>
      <c r="F409" s="2702">
        <f>'Смета Внутр'!F416</f>
        <v>0</v>
      </c>
      <c r="G409" s="1042">
        <f t="shared" si="25"/>
        <v>150</v>
      </c>
      <c r="H409" s="2702">
        <f>'Смета Внутр'!H416</f>
        <v>0</v>
      </c>
      <c r="I409" s="2702">
        <f>'Смета Внутр'!I416</f>
        <v>0</v>
      </c>
      <c r="J409" s="2421">
        <f>'Смета Внутр'!I416</f>
        <v>0</v>
      </c>
    </row>
    <row r="410" spans="2:10" ht="15" customHeight="1">
      <c r="B410" s="2702" t="str">
        <f>'Смета Внутр'!B417</f>
        <v>нет</v>
      </c>
      <c r="C410" s="2702" t="str">
        <f>'Смета Внутр'!C417</f>
        <v>м.п.</v>
      </c>
      <c r="D410" s="2702">
        <f>'Смета Внутр'!D417</f>
        <v>0</v>
      </c>
      <c r="E410" s="2702">
        <f>'Смета Внутр'!E417</f>
        <v>0</v>
      </c>
      <c r="F410" s="2702">
        <f>'Смета Внутр'!F417</f>
        <v>0</v>
      </c>
      <c r="G410" s="1042">
        <f t="shared" si="25"/>
        <v>0</v>
      </c>
      <c r="H410" s="2702">
        <f>'Смета Внутр'!H417</f>
        <v>0</v>
      </c>
      <c r="I410" s="2702">
        <f>'Смета Внутр'!I417</f>
        <v>0</v>
      </c>
      <c r="J410" s="2421">
        <f>'Смета Внутр'!I417</f>
        <v>0</v>
      </c>
    </row>
    <row r="411" spans="2:10" ht="15" customHeight="1">
      <c r="B411" s="2702" t="str">
        <f>'Смета Внутр'!B418</f>
        <v>Нет</v>
      </c>
      <c r="C411" s="2702" t="str">
        <f>'Смета Внутр'!C418</f>
        <v>м3</v>
      </c>
      <c r="D411" s="2702">
        <f>'Смета Внутр'!D418</f>
        <v>0</v>
      </c>
      <c r="E411" s="2702">
        <f>'Смета Внутр'!E418</f>
        <v>0</v>
      </c>
      <c r="F411" s="2702">
        <f>'Смета Внутр'!F418</f>
        <v>0</v>
      </c>
      <c r="G411" s="1042">
        <f t="shared" si="25"/>
        <v>0</v>
      </c>
      <c r="H411" s="2702">
        <f>'Смета Внутр'!H418</f>
        <v>0</v>
      </c>
      <c r="I411" s="2702">
        <f>'Смета Внутр'!I418</f>
        <v>0</v>
      </c>
      <c r="J411" s="2421">
        <f>'Смета Внутр'!I418</f>
        <v>0</v>
      </c>
    </row>
    <row r="412" spans="2:10" ht="15" customHeight="1">
      <c r="B412" s="2702" t="str">
        <f>'Смета Внутр'!B419</f>
        <v>Нет</v>
      </c>
      <c r="C412" s="2702" t="str">
        <f>'Смета Внутр'!C419</f>
        <v>м3</v>
      </c>
      <c r="D412" s="2702">
        <f>'Смета Внутр'!D419</f>
        <v>0</v>
      </c>
      <c r="E412" s="2702">
        <f>'Смета Внутр'!E419</f>
        <v>0</v>
      </c>
      <c r="F412" s="2702">
        <f>'Смета Внутр'!F419</f>
        <v>0</v>
      </c>
      <c r="G412" s="1042">
        <f t="shared" si="25"/>
        <v>0</v>
      </c>
      <c r="H412" s="2702">
        <f>'Смета Внутр'!H419</f>
        <v>0</v>
      </c>
      <c r="I412" s="2702">
        <f>'Смета Внутр'!I419</f>
        <v>0</v>
      </c>
      <c r="J412" s="2421">
        <f>'Смета Внутр'!I419</f>
        <v>0</v>
      </c>
    </row>
    <row r="413" spans="2:10" ht="15" customHeight="1">
      <c r="B413" s="2702" t="str">
        <f>'Смета Внутр'!B420</f>
        <v>нет</v>
      </c>
      <c r="C413" s="2702" t="str">
        <f>'Смета Внутр'!C420</f>
        <v>м2</v>
      </c>
      <c r="D413" s="2702">
        <f>'Смета Внутр'!D420</f>
        <v>0</v>
      </c>
      <c r="E413" s="2702">
        <f>'Смета Внутр'!E420</f>
        <v>0</v>
      </c>
      <c r="F413" s="2702">
        <f>'Смета Внутр'!F420</f>
        <v>0</v>
      </c>
      <c r="G413" s="1042">
        <f t="shared" si="25"/>
        <v>0</v>
      </c>
      <c r="H413" s="2702">
        <f>'Смета Внутр'!H420</f>
        <v>0</v>
      </c>
      <c r="I413" s="2702">
        <f>'Смета Внутр'!I420</f>
        <v>0</v>
      </c>
      <c r="J413" s="2421">
        <f>'Смета Внутр'!I420</f>
        <v>0</v>
      </c>
    </row>
    <row r="414" spans="2:10" ht="15" customHeight="1">
      <c r="B414" s="2702" t="str">
        <f>'Смета Внутр'!B421</f>
        <v>нет</v>
      </c>
      <c r="C414" s="2702" t="str">
        <f>'Смета Внутр'!C421</f>
        <v>м2</v>
      </c>
      <c r="D414" s="2702">
        <f>'Смета Внутр'!D421</f>
        <v>0</v>
      </c>
      <c r="E414" s="2702">
        <f>'Смета Внутр'!E421</f>
        <v>0</v>
      </c>
      <c r="F414" s="2702">
        <f>'Смета Внутр'!F421</f>
        <v>0</v>
      </c>
      <c r="G414" s="1042">
        <f t="shared" si="25"/>
        <v>0</v>
      </c>
      <c r="H414" s="2702">
        <f>'Смета Внутр'!H421</f>
        <v>0</v>
      </c>
      <c r="I414" s="2702">
        <f>'Смета Внутр'!I421</f>
        <v>0</v>
      </c>
      <c r="J414" s="2421">
        <f>'Смета Внутр'!I421</f>
        <v>0</v>
      </c>
    </row>
    <row r="415" spans="2:10" ht="15" customHeight="1">
      <c r="B415" s="2702" t="str">
        <f>'Смета Внутр'!B422</f>
        <v>нет</v>
      </c>
      <c r="C415" s="2702" t="str">
        <f>'Смета Внутр'!C422</f>
        <v>м2</v>
      </c>
      <c r="D415" s="2702">
        <f>'Смета Внутр'!D422</f>
        <v>0</v>
      </c>
      <c r="E415" s="2702">
        <f>'Смета Внутр'!E422</f>
        <v>0</v>
      </c>
      <c r="F415" s="2702">
        <f>'Смета Внутр'!F422</f>
        <v>0</v>
      </c>
      <c r="G415" s="1042">
        <f t="shared" si="25"/>
        <v>0</v>
      </c>
      <c r="H415" s="2702">
        <f>'Смета Внутр'!H422</f>
        <v>0</v>
      </c>
      <c r="I415" s="2702">
        <f>'Смета Внутр'!I422</f>
        <v>0</v>
      </c>
      <c r="J415" s="2421">
        <f>'Смета Внутр'!I422</f>
        <v>0</v>
      </c>
    </row>
    <row r="416" spans="2:10" ht="15" customHeight="1">
      <c r="B416" s="2702" t="str">
        <f>'Смета Внутр'!B423</f>
        <v xml:space="preserve">Саморезы 3,5 x 25            </v>
      </c>
      <c r="C416" s="2702" t="str">
        <f>'Смета Внутр'!C423</f>
        <v>шт</v>
      </c>
      <c r="D416" s="2702">
        <f>'Смета Внутр'!D423</f>
        <v>0</v>
      </c>
      <c r="E416" s="2702">
        <f>'Смета Внутр'!E423</f>
        <v>0.2</v>
      </c>
      <c r="F416" s="2702">
        <f>'Смета Внутр'!F423</f>
        <v>0</v>
      </c>
      <c r="G416" s="1042">
        <f t="shared" si="25"/>
        <v>0.2</v>
      </c>
      <c r="H416" s="2702">
        <f>'Смета Внутр'!H423</f>
        <v>0</v>
      </c>
      <c r="I416" s="2702">
        <f>'Смета Внутр'!I423</f>
        <v>0</v>
      </c>
      <c r="J416" s="2421">
        <f>'Смета Внутр'!I423</f>
        <v>0</v>
      </c>
    </row>
    <row r="417" spans="2:10" ht="15" customHeight="1">
      <c r="B417" s="2702" t="str">
        <f>'Смета Внутр'!B424</f>
        <v xml:space="preserve">Гвозди ершоные 2,8 х 90            </v>
      </c>
      <c r="C417" s="2702" t="str">
        <f>'Смета Внутр'!C424</f>
        <v>кг</v>
      </c>
      <c r="D417" s="2702">
        <f>'Смета Внутр'!D424</f>
        <v>0</v>
      </c>
      <c r="E417" s="2702">
        <f>'Смета Внутр'!E424</f>
        <v>76.489999999999995</v>
      </c>
      <c r="F417" s="2702">
        <f>'Смета Внутр'!F424</f>
        <v>0</v>
      </c>
      <c r="G417" s="1042">
        <f t="shared" si="25"/>
        <v>76.489999999999995</v>
      </c>
      <c r="H417" s="2702">
        <f>'Смета Внутр'!H424</f>
        <v>0</v>
      </c>
      <c r="I417" s="2702">
        <f>'Смета Внутр'!I424</f>
        <v>0</v>
      </c>
      <c r="J417" s="2421">
        <f>'Смета Внутр'!I424</f>
        <v>0</v>
      </c>
    </row>
    <row r="418" spans="2:10" ht="15" customHeight="1">
      <c r="B418" s="2702" t="str">
        <f>'Смета Внутр'!B425</f>
        <v xml:space="preserve">Гвозди ершоные 3,4 x 60            </v>
      </c>
      <c r="C418" s="2702" t="str">
        <f>'Смета Внутр'!C425</f>
        <v>кг</v>
      </c>
      <c r="D418" s="2702">
        <f>'Смета Внутр'!D425</f>
        <v>0</v>
      </c>
      <c r="E418" s="2702">
        <f>'Смета Внутр'!E425</f>
        <v>75.510000000000005</v>
      </c>
      <c r="F418" s="2702">
        <f>'Смета Внутр'!F425</f>
        <v>0</v>
      </c>
      <c r="G418" s="1042">
        <f t="shared" si="25"/>
        <v>75.510000000000005</v>
      </c>
      <c r="H418" s="2702">
        <f>'Смета Внутр'!H425</f>
        <v>0</v>
      </c>
      <c r="I418" s="2702">
        <f>'Смета Внутр'!I425</f>
        <v>0</v>
      </c>
      <c r="J418" s="2421">
        <f>'Смета Внутр'!I425</f>
        <v>0</v>
      </c>
    </row>
    <row r="419" spans="2:10" ht="15" customHeight="1">
      <c r="B419" s="2702" t="str">
        <f>'Смета Внутр'!B426</f>
        <v>нет ветроизоляции</v>
      </c>
      <c r="C419" s="2702" t="str">
        <f>'Смета Внутр'!C426</f>
        <v>м2</v>
      </c>
      <c r="D419" s="2702">
        <f>'Смета Внутр'!D426</f>
        <v>0</v>
      </c>
      <c r="E419" s="2702">
        <f>'Смета Внутр'!E426</f>
        <v>0</v>
      </c>
      <c r="F419" s="2702">
        <f>'Смета Внутр'!F426</f>
        <v>0</v>
      </c>
      <c r="G419" s="1042">
        <f t="shared" si="25"/>
        <v>0</v>
      </c>
      <c r="H419" s="2702">
        <f>'Смета Внутр'!H426</f>
        <v>0</v>
      </c>
      <c r="I419" s="2702">
        <f>'Смета Внутр'!I426</f>
        <v>0</v>
      </c>
      <c r="J419" s="2421">
        <f>'Смета Внутр'!I426</f>
        <v>0</v>
      </c>
    </row>
    <row r="420" spans="2:10" ht="15" customHeight="1">
      <c r="B420" s="2702" t="str">
        <f>'Смета Внутр'!B427</f>
        <v>нет пароизоляции</v>
      </c>
      <c r="C420" s="2702" t="str">
        <f>'Смета Внутр'!C427</f>
        <v>м2</v>
      </c>
      <c r="D420" s="2702">
        <f>'Смета Внутр'!D427</f>
        <v>0</v>
      </c>
      <c r="E420" s="2702">
        <f>'Смета Внутр'!E427</f>
        <v>0</v>
      </c>
      <c r="F420" s="2702">
        <f>'Смета Внутр'!F427</f>
        <v>0</v>
      </c>
      <c r="G420" s="1042">
        <f t="shared" si="25"/>
        <v>0</v>
      </c>
      <c r="H420" s="2702">
        <f>'Смета Внутр'!H427</f>
        <v>0</v>
      </c>
      <c r="I420" s="2702">
        <f>'Смета Внутр'!I427</f>
        <v>0</v>
      </c>
      <c r="J420" s="2421">
        <f>'Смета Внутр'!I427</f>
        <v>0</v>
      </c>
    </row>
    <row r="421" spans="2:10" ht="15" customHeight="1">
      <c r="B421" s="2702" t="str">
        <f>'Смета Внутр'!B428</f>
        <v>Скобы для степлера, 1000шт/уп</v>
      </c>
      <c r="C421" s="2702" t="str">
        <f>'Смета Внутр'!C428</f>
        <v>уп</v>
      </c>
      <c r="D421" s="2702">
        <f>'Смета Внутр'!D428</f>
        <v>5</v>
      </c>
      <c r="E421" s="2702">
        <f>'Смета Внутр'!E428</f>
        <v>100</v>
      </c>
      <c r="F421" s="2702">
        <f>'Смета Внутр'!F428</f>
        <v>0</v>
      </c>
      <c r="G421" s="1042">
        <f t="shared" si="25"/>
        <v>100</v>
      </c>
      <c r="H421" s="2702">
        <f>'Смета Внутр'!H428</f>
        <v>0</v>
      </c>
      <c r="I421" s="2702">
        <f>'Смета Внутр'!I428</f>
        <v>0</v>
      </c>
      <c r="J421" s="2421">
        <f>'Смета Внутр'!I428</f>
        <v>0</v>
      </c>
    </row>
    <row r="422" spans="2:10" ht="15" customHeight="1">
      <c r="B422" s="3330" t="str">
        <f>'Смета Внутр'!B429</f>
        <v>Итого материалы</v>
      </c>
      <c r="C422" s="3330"/>
      <c r="D422" s="3330"/>
      <c r="E422" s="3330"/>
      <c r="F422" s="3330"/>
      <c r="G422" s="3330"/>
      <c r="H422" s="2702"/>
      <c r="I422" s="2702"/>
      <c r="J422" s="2421">
        <f>'Смета Внутр'!I429</f>
        <v>0</v>
      </c>
    </row>
    <row r="423" spans="2:10" ht="15" customHeight="1">
      <c r="B423" s="3333" t="str">
        <f>'Смета Внутр'!B430</f>
        <v>Работы</v>
      </c>
      <c r="C423" s="3333"/>
      <c r="D423" s="3333"/>
      <c r="E423" s="3333"/>
      <c r="F423" s="3333"/>
      <c r="G423" s="3333"/>
      <c r="H423" s="3333"/>
      <c r="I423" s="3333"/>
      <c r="J423" s="3333"/>
    </row>
    <row r="424" spans="2:10" ht="15" customHeight="1">
      <c r="B424" s="2702" t="str">
        <f>'Смета Внутр'!B431</f>
        <v>монтаж обвязки</v>
      </c>
      <c r="C424" s="2702" t="str">
        <f>'Смета Внутр'!C431</f>
        <v>м.п.</v>
      </c>
      <c r="D424" s="2702">
        <f>'Смета Внутр'!D431</f>
        <v>0</v>
      </c>
      <c r="E424" s="2702">
        <f>'Смета Внутр'!E431</f>
        <v>200</v>
      </c>
      <c r="F424" s="2702">
        <f>'Смета Внутр'!F431</f>
        <v>0</v>
      </c>
      <c r="G424" s="1042">
        <f t="shared" ref="G424:G444" si="26">IF(E424&gt;F424,E424,F424)</f>
        <v>200</v>
      </c>
      <c r="H424" s="2702">
        <f>'Смета Внутр'!H431</f>
        <v>0</v>
      </c>
      <c r="I424" s="2702">
        <f>'Смета Внутр'!I431</f>
        <v>0</v>
      </c>
      <c r="J424" s="2421">
        <f>'Смета Внутр'!I431</f>
        <v>0</v>
      </c>
    </row>
    <row r="425" spans="2:10" ht="15" customHeight="1">
      <c r="B425" s="2702" t="str">
        <f>'Смета Внутр'!B432</f>
        <v>монтаж стен каркаса</v>
      </c>
      <c r="C425" s="2702" t="str">
        <f>'Смета Внутр'!C432</f>
        <v>м2</v>
      </c>
      <c r="D425" s="2702">
        <f>'Смета Внутр'!D432</f>
        <v>0</v>
      </c>
      <c r="E425" s="2702">
        <f>'Смета Внутр'!E432</f>
        <v>400</v>
      </c>
      <c r="F425" s="2702">
        <f>'Смета Внутр'!F432</f>
        <v>0</v>
      </c>
      <c r="G425" s="1042">
        <f t="shared" si="26"/>
        <v>400</v>
      </c>
      <c r="H425" s="2702">
        <f>'Смета Внутр'!H432</f>
        <v>0</v>
      </c>
      <c r="I425" s="2702">
        <f>'Смета Внутр'!I432</f>
        <v>0</v>
      </c>
      <c r="J425" s="2421">
        <f>'Смета Внутр'!I432</f>
        <v>0</v>
      </c>
    </row>
    <row r="426" spans="2:10" ht="15" customHeight="1">
      <c r="B426" s="2702" t="str">
        <f>'Смета Внутр'!B433</f>
        <v>Монтаж несущих перегородок</v>
      </c>
      <c r="C426" s="2702" t="str">
        <f>'Смета Внутр'!C433</f>
        <v>м2</v>
      </c>
      <c r="D426" s="2702">
        <f>'Смета Внутр'!D433</f>
        <v>0</v>
      </c>
      <c r="E426" s="2702">
        <f>'Смета Внутр'!E433</f>
        <v>400</v>
      </c>
      <c r="F426" s="2702">
        <f>'Смета Внутр'!F433</f>
        <v>0</v>
      </c>
      <c r="G426" s="1042">
        <f t="shared" si="26"/>
        <v>400</v>
      </c>
      <c r="H426" s="2702">
        <f>'Смета Внутр'!H433</f>
        <v>0</v>
      </c>
      <c r="I426" s="2702">
        <f>'Смета Внутр'!I433</f>
        <v>0</v>
      </c>
      <c r="J426" s="2421">
        <f>'Смета Внутр'!I433</f>
        <v>0</v>
      </c>
    </row>
    <row r="427" spans="2:10" ht="15" customHeight="1">
      <c r="B427" s="2702" t="str">
        <f>'Смета Внутр'!B434</f>
        <v>Монтаж перегородок</v>
      </c>
      <c r="C427" s="2702" t="str">
        <f>'Смета Внутр'!C434</f>
        <v>м2</v>
      </c>
      <c r="D427" s="2702">
        <f>'Смета Внутр'!D434</f>
        <v>0</v>
      </c>
      <c r="E427" s="2702">
        <f>'Смета Внутр'!E434</f>
        <v>400</v>
      </c>
      <c r="F427" s="2702">
        <f>'Смета Внутр'!F434</f>
        <v>0</v>
      </c>
      <c r="G427" s="1042">
        <f t="shared" si="26"/>
        <v>400</v>
      </c>
      <c r="H427" s="2702">
        <f>'Смета Внутр'!H434</f>
        <v>0</v>
      </c>
      <c r="I427" s="2702">
        <f>'Смета Внутр'!I434</f>
        <v>0</v>
      </c>
      <c r="J427" s="2421">
        <f>'Смета Внутр'!I434</f>
        <v>0</v>
      </c>
    </row>
    <row r="428" spans="2:10" ht="15" customHeight="1">
      <c r="B428" s="2702" t="str">
        <f>'Смета Внутр'!B435</f>
        <v>Монтаж вентиляционного зазора</v>
      </c>
      <c r="C428" s="2702" t="str">
        <f>'Смета Внутр'!C435</f>
        <v>м2</v>
      </c>
      <c r="D428" s="2702">
        <f>'Смета Внутр'!D435</f>
        <v>0</v>
      </c>
      <c r="E428" s="2702">
        <f>'Смета Внутр'!E435</f>
        <v>80</v>
      </c>
      <c r="F428" s="2702">
        <f>'Смета Внутр'!F435</f>
        <v>0</v>
      </c>
      <c r="G428" s="1042">
        <f t="shared" si="26"/>
        <v>80</v>
      </c>
      <c r="H428" s="2702">
        <f>'Смета Внутр'!H435</f>
        <v>0</v>
      </c>
      <c r="I428" s="2702">
        <f>'Смета Внутр'!I435</f>
        <v>0</v>
      </c>
      <c r="J428" s="2421">
        <f>'Смета Внутр'!I435</f>
        <v>0</v>
      </c>
    </row>
    <row r="429" spans="2:10" ht="15" customHeight="1">
      <c r="B429" s="2702" t="str">
        <f>'Смета Внутр'!B436</f>
        <v>Монтаж технологического зазора</v>
      </c>
      <c r="C429" s="2702" t="str">
        <f>'Смета Внутр'!C436</f>
        <v>м2</v>
      </c>
      <c r="D429" s="2702">
        <f>'Смета Внутр'!D436</f>
        <v>0</v>
      </c>
      <c r="E429" s="2702">
        <f>'Смета Внутр'!E436</f>
        <v>80</v>
      </c>
      <c r="F429" s="2702">
        <f>'Смета Внутр'!F436</f>
        <v>0</v>
      </c>
      <c r="G429" s="1042">
        <f t="shared" si="26"/>
        <v>80</v>
      </c>
      <c r="H429" s="2702">
        <f>'Смета Внутр'!H436</f>
        <v>0</v>
      </c>
      <c r="I429" s="2702">
        <f>'Смета Внутр'!I436</f>
        <v>0</v>
      </c>
      <c r="J429" s="2421">
        <f>'Смета Внутр'!I436</f>
        <v>0</v>
      </c>
    </row>
    <row r="430" spans="2:10" ht="15" customHeight="1">
      <c r="B430" s="2702" t="str">
        <f>'Смета Внутр'!B437</f>
        <v>монтаж ветроизоляции стен</v>
      </c>
      <c r="C430" s="2702" t="str">
        <f>'Смета Внутр'!C437</f>
        <v>м2</v>
      </c>
      <c r="D430" s="2702">
        <f>'Смета Внутр'!D437</f>
        <v>0</v>
      </c>
      <c r="E430" s="2702">
        <f>'Смета Внутр'!E437</f>
        <v>100</v>
      </c>
      <c r="F430" s="2702">
        <f>'Смета Внутр'!F437</f>
        <v>0</v>
      </c>
      <c r="G430" s="1042">
        <f t="shared" si="26"/>
        <v>100</v>
      </c>
      <c r="H430" s="2702">
        <f>'Смета Внутр'!H437</f>
        <v>0</v>
      </c>
      <c r="I430" s="2702">
        <f>'Смета Внутр'!I437</f>
        <v>0</v>
      </c>
      <c r="J430" s="2421">
        <f>'Смета Внутр'!I437</f>
        <v>0</v>
      </c>
    </row>
    <row r="431" spans="2:10" ht="15" customHeight="1">
      <c r="B431" s="2702" t="str">
        <f>'Смета Внутр'!B438</f>
        <v>монтаж пароизоляции стен</v>
      </c>
      <c r="C431" s="2702" t="str">
        <f>'Смета Внутр'!C438</f>
        <v>м2</v>
      </c>
      <c r="D431" s="2702">
        <f>'Смета Внутр'!D438</f>
        <v>0</v>
      </c>
      <c r="E431" s="2702">
        <f>'Смета Внутр'!E438</f>
        <v>100</v>
      </c>
      <c r="F431" s="2702">
        <f>'Смета Внутр'!F438</f>
        <v>0</v>
      </c>
      <c r="G431" s="1042">
        <f t="shared" si="26"/>
        <v>100</v>
      </c>
      <c r="H431" s="2702">
        <f>'Смета Внутр'!H438</f>
        <v>0</v>
      </c>
      <c r="I431" s="2702">
        <f>'Смета Внутр'!I438</f>
        <v>0</v>
      </c>
      <c r="J431" s="2421">
        <f>'Смета Внутр'!I438</f>
        <v>0</v>
      </c>
    </row>
    <row r="432" spans="2:10" ht="15" customHeight="1">
      <c r="B432" s="2702" t="str">
        <f>'Смета Внутр'!B439</f>
        <v>монтаж osb/фанера наруж стены</v>
      </c>
      <c r="C432" s="2702" t="str">
        <f>'Смета Внутр'!C439</f>
        <v>м2</v>
      </c>
      <c r="D432" s="2702">
        <f>'Смета Внутр'!D439</f>
        <v>0</v>
      </c>
      <c r="E432" s="2702">
        <f>'Смета Внутр'!E439</f>
        <v>200</v>
      </c>
      <c r="F432" s="2702">
        <f>'Смета Внутр'!F439</f>
        <v>0</v>
      </c>
      <c r="G432" s="1042">
        <f t="shared" si="26"/>
        <v>200</v>
      </c>
      <c r="H432" s="2702">
        <f>'Смета Внутр'!H439</f>
        <v>0</v>
      </c>
      <c r="I432" s="2702">
        <f>'Смета Внутр'!I439</f>
        <v>0</v>
      </c>
      <c r="J432" s="2421">
        <f>'Смета Внутр'!I439</f>
        <v>0</v>
      </c>
    </row>
    <row r="433" spans="2:10" ht="15" customHeight="1">
      <c r="B433" s="2702" t="str">
        <f>'Смета Внутр'!B440</f>
        <v>монтаж osb/фанера потолок</v>
      </c>
      <c r="C433" s="2702" t="str">
        <f>'Смета Внутр'!C440</f>
        <v>м2</v>
      </c>
      <c r="D433" s="2702">
        <f>'Смета Внутр'!D440</f>
        <v>0</v>
      </c>
      <c r="E433" s="2702">
        <f>'Смета Внутр'!E440</f>
        <v>200</v>
      </c>
      <c r="F433" s="2702">
        <f>'Смета Внутр'!F440</f>
        <v>0</v>
      </c>
      <c r="G433" s="1042">
        <f t="shared" si="26"/>
        <v>200</v>
      </c>
      <c r="H433" s="2702">
        <f>'Смета Внутр'!H440</f>
        <v>0</v>
      </c>
      <c r="I433" s="2702">
        <f>'Смета Внутр'!I440</f>
        <v>0</v>
      </c>
      <c r="J433" s="2421">
        <f>'Смета Внутр'!I440</f>
        <v>0</v>
      </c>
    </row>
    <row r="434" spans="2:10" ht="15" customHeight="1">
      <c r="B434" s="2702" t="str">
        <f>'Смета Внутр'!B441</f>
        <v>монтаж osb/фанера перегородки</v>
      </c>
      <c r="C434" s="2702" t="str">
        <f>'Смета Внутр'!C441</f>
        <v>м2</v>
      </c>
      <c r="D434" s="2702">
        <f>'Смета Внутр'!D441</f>
        <v>0</v>
      </c>
      <c r="E434" s="2702">
        <f>'Смета Внутр'!E441</f>
        <v>200</v>
      </c>
      <c r="F434" s="2702">
        <f>'Смета Внутр'!F441</f>
        <v>0</v>
      </c>
      <c r="G434" s="1042">
        <f t="shared" si="26"/>
        <v>200</v>
      </c>
      <c r="H434" s="2702">
        <f>'Смета Внутр'!H441</f>
        <v>0</v>
      </c>
      <c r="I434" s="2702">
        <f>'Смета Внутр'!I441</f>
        <v>0</v>
      </c>
      <c r="J434" s="2421">
        <f>'Смета Внутр'!I441</f>
        <v>0</v>
      </c>
    </row>
    <row r="435" spans="2:10" ht="15" customHeight="1">
      <c r="B435" s="2702" t="str">
        <f>'Смета Внутр'!B442</f>
        <v>монтаж osb/фанера пол</v>
      </c>
      <c r="C435" s="2702" t="str">
        <f>'Смета Внутр'!C442</f>
        <v>м2</v>
      </c>
      <c r="D435" s="2702">
        <f>'Смета Внутр'!D442</f>
        <v>100</v>
      </c>
      <c r="E435" s="2702">
        <f>'Смета Внутр'!E442</f>
        <v>200</v>
      </c>
      <c r="F435" s="2702">
        <f>'Смета Внутр'!F442</f>
        <v>0</v>
      </c>
      <c r="G435" s="1042">
        <f t="shared" si="26"/>
        <v>200</v>
      </c>
      <c r="H435" s="2702">
        <f>'Смета Внутр'!H442</f>
        <v>0</v>
      </c>
      <c r="I435" s="2702">
        <f>'Смета Внутр'!I442</f>
        <v>0</v>
      </c>
      <c r="J435" s="2421">
        <f>'Смета Внутр'!I442</f>
        <v>0</v>
      </c>
    </row>
    <row r="436" spans="2:10" ht="15" customHeight="1">
      <c r="B436" s="2702" t="str">
        <f>'Смета Внутр'!B443</f>
        <v>утепление наружних стен</v>
      </c>
      <c r="C436" s="2702" t="str">
        <f>'Смета Внутр'!C443</f>
        <v>м2</v>
      </c>
      <c r="D436" s="2702">
        <f>'Смета Внутр'!D443</f>
        <v>0</v>
      </c>
      <c r="E436" s="2702">
        <f>'Смета Внутр'!E443</f>
        <v>200</v>
      </c>
      <c r="F436" s="2702">
        <f>'Смета Внутр'!F443</f>
        <v>0</v>
      </c>
      <c r="G436" s="1042">
        <f t="shared" si="26"/>
        <v>200</v>
      </c>
      <c r="H436" s="2702">
        <f>'Смета Внутр'!H443</f>
        <v>0</v>
      </c>
      <c r="I436" s="2702">
        <f>'Смета Внутр'!I443</f>
        <v>0</v>
      </c>
      <c r="J436" s="2421">
        <f>'Смета Внутр'!I443</f>
        <v>0</v>
      </c>
    </row>
    <row r="437" spans="2:10" ht="15" customHeight="1">
      <c r="B437" s="2702" t="str">
        <f>'Смета Внутр'!B444</f>
        <v>Утепление перегородок</v>
      </c>
      <c r="C437" s="2702" t="str">
        <f>'Смета Внутр'!C444</f>
        <v>м2</v>
      </c>
      <c r="D437" s="2702">
        <f>'Смета Внутр'!D444</f>
        <v>0</v>
      </c>
      <c r="E437" s="2702">
        <f>'Смета Внутр'!E444</f>
        <v>200</v>
      </c>
      <c r="F437" s="2702">
        <f>'Смета Внутр'!F444</f>
        <v>0</v>
      </c>
      <c r="G437" s="1042">
        <f t="shared" si="26"/>
        <v>200</v>
      </c>
      <c r="H437" s="2702">
        <f>'Смета Внутр'!H444</f>
        <v>0</v>
      </c>
      <c r="I437" s="2702">
        <f>'Смета Внутр'!I444</f>
        <v>0</v>
      </c>
      <c r="J437" s="2421">
        <f>'Смета Внутр'!I444</f>
        <v>0</v>
      </c>
    </row>
    <row r="438" spans="2:10" ht="15" customHeight="1">
      <c r="B438" s="2702" t="str">
        <f>'Смета Внутр'!B445</f>
        <v>Монтаж горизонтальной обрешетки</v>
      </c>
      <c r="C438" s="2702" t="str">
        <f>'Смета Внутр'!C445</f>
        <v>м2</v>
      </c>
      <c r="D438" s="2702">
        <f>'Смета Внутр'!D445</f>
        <v>0</v>
      </c>
      <c r="E438" s="2702">
        <f>'Смета Внутр'!E445</f>
        <v>100</v>
      </c>
      <c r="F438" s="2702">
        <f>'Смета Внутр'!F445</f>
        <v>0</v>
      </c>
      <c r="G438" s="1042">
        <f t="shared" si="26"/>
        <v>100</v>
      </c>
      <c r="H438" s="2702">
        <f>'Смета Внутр'!H445</f>
        <v>0</v>
      </c>
      <c r="I438" s="2702">
        <f>'Смета Внутр'!I445</f>
        <v>0</v>
      </c>
      <c r="J438" s="2421">
        <f>'Смета Внутр'!I445</f>
        <v>0</v>
      </c>
    </row>
    <row r="439" spans="2:10" ht="15" customHeight="1">
      <c r="B439" s="2702" t="str">
        <f>'Смета Внутр'!B446</f>
        <v>Монтаж вертикальной обрешетки</v>
      </c>
      <c r="C439" s="2702" t="str">
        <f>'Смета Внутр'!C446</f>
        <v>м2</v>
      </c>
      <c r="D439" s="2702">
        <f>'Смета Внутр'!D446</f>
        <v>0</v>
      </c>
      <c r="E439" s="2702">
        <f>'Смета Внутр'!E446</f>
        <v>100</v>
      </c>
      <c r="F439" s="2702">
        <f>'Смета Внутр'!F446</f>
        <v>0</v>
      </c>
      <c r="G439" s="1042">
        <f t="shared" si="26"/>
        <v>100</v>
      </c>
      <c r="H439" s="2702">
        <f>'Смета Внутр'!H446</f>
        <v>0</v>
      </c>
      <c r="I439" s="2702">
        <f>'Смета Внутр'!I446</f>
        <v>0</v>
      </c>
      <c r="J439" s="2421">
        <f>'Смета Внутр'!I446</f>
        <v>0</v>
      </c>
    </row>
    <row r="440" spans="2:10" ht="15" customHeight="1">
      <c r="B440" s="2702" t="str">
        <f>'Смета Внутр'!B447</f>
        <v>Монтаж обрешетки потолок</v>
      </c>
      <c r="C440" s="2702" t="str">
        <f>'Смета Внутр'!C447</f>
        <v>м2</v>
      </c>
      <c r="D440" s="2702">
        <f>'Смета Внутр'!D447</f>
        <v>0</v>
      </c>
      <c r="E440" s="2702">
        <f>'Смета Внутр'!E447</f>
        <v>100</v>
      </c>
      <c r="F440" s="2702">
        <f>'Смета Внутр'!F447</f>
        <v>0</v>
      </c>
      <c r="G440" s="1042">
        <f t="shared" si="26"/>
        <v>100</v>
      </c>
      <c r="H440" s="2702">
        <f>'Смета Внутр'!H447</f>
        <v>0</v>
      </c>
      <c r="I440" s="2702">
        <f>'Смета Внутр'!I447</f>
        <v>0</v>
      </c>
      <c r="J440" s="2421">
        <f>'Смета Внутр'!I447</f>
        <v>0</v>
      </c>
    </row>
    <row r="441" spans="2:10" ht="15" customHeight="1">
      <c r="B441" s="2702" t="str">
        <f>'Смета Внутр'!B448</f>
        <v>Монтаж профлист потолок</v>
      </c>
      <c r="C441" s="2702" t="str">
        <f>'Смета Внутр'!C448</f>
        <v>м2</v>
      </c>
      <c r="D441" s="2702">
        <f>'Смета Внутр'!D448</f>
        <v>0</v>
      </c>
      <c r="E441" s="2702">
        <f>'Смета Внутр'!E448</f>
        <v>100</v>
      </c>
      <c r="F441" s="2702">
        <f>'Смета Внутр'!F448</f>
        <v>0</v>
      </c>
      <c r="G441" s="1042">
        <f t="shared" si="26"/>
        <v>100</v>
      </c>
      <c r="H441" s="2702">
        <f>'Смета Внутр'!H448</f>
        <v>0</v>
      </c>
      <c r="I441" s="2702">
        <f>'Смета Внутр'!I448</f>
        <v>0</v>
      </c>
      <c r="J441" s="2421">
        <f>'Смета Внутр'!I448</f>
        <v>0</v>
      </c>
    </row>
    <row r="442" spans="2:10" ht="15" customHeight="1">
      <c r="B442" s="2702" t="str">
        <f>'Смета Внутр'!B449</f>
        <v>Монтаж обрешетки пол</v>
      </c>
      <c r="C442" s="2702" t="str">
        <f>'Смета Внутр'!C449</f>
        <v>м2</v>
      </c>
      <c r="D442" s="2702">
        <f>'Смета Внутр'!D449</f>
        <v>0</v>
      </c>
      <c r="E442" s="2702">
        <f>'Смета Внутр'!E449</f>
        <v>100</v>
      </c>
      <c r="F442" s="2702">
        <f>'Смета Внутр'!F449</f>
        <v>0</v>
      </c>
      <c r="G442" s="1042">
        <f t="shared" si="26"/>
        <v>100</v>
      </c>
      <c r="H442" s="2702">
        <f>'Смета Внутр'!H449</f>
        <v>0</v>
      </c>
      <c r="I442" s="2702">
        <f>'Смета Внутр'!I449</f>
        <v>0</v>
      </c>
      <c r="J442" s="2421">
        <f>'Смета Внутр'!I449</f>
        <v>0</v>
      </c>
    </row>
    <row r="443" spans="2:10" ht="15" customHeight="1">
      <c r="B443" s="2702" t="str">
        <f>'Смета Внутр'!B450</f>
        <v>Монтаж профлист пол</v>
      </c>
      <c r="C443" s="2702" t="str">
        <f>'Смета Внутр'!C450</f>
        <v>м2</v>
      </c>
      <c r="D443" s="2702">
        <f>'Смета Внутр'!D450</f>
        <v>0</v>
      </c>
      <c r="E443" s="2702">
        <f>'Смета Внутр'!E450</f>
        <v>100</v>
      </c>
      <c r="F443" s="2702">
        <f>'Смета Внутр'!F450</f>
        <v>0</v>
      </c>
      <c r="G443" s="1042">
        <f t="shared" si="26"/>
        <v>100</v>
      </c>
      <c r="H443" s="2702">
        <f>'Смета Внутр'!H450</f>
        <v>0</v>
      </c>
      <c r="I443" s="2702">
        <f>'Смета Внутр'!I450</f>
        <v>0</v>
      </c>
      <c r="J443" s="2421">
        <f>'Смета Внутр'!I450</f>
        <v>0</v>
      </c>
    </row>
    <row r="444" spans="2:10" ht="15" customHeight="1">
      <c r="B444" s="2702" t="str">
        <f>'Смета Внутр'!B451</f>
        <v>монтаж osb/фанера пол</v>
      </c>
      <c r="C444" s="2702" t="str">
        <f>'Смета Внутр'!C451</f>
        <v>м2</v>
      </c>
      <c r="D444" s="2702">
        <f>'Смета Внутр'!D451</f>
        <v>100</v>
      </c>
      <c r="E444" s="2702">
        <f>'Смета Внутр'!E451</f>
        <v>200</v>
      </c>
      <c r="F444" s="2702">
        <f>'Смета Внутр'!F451</f>
        <v>0</v>
      </c>
      <c r="G444" s="1042">
        <f t="shared" si="26"/>
        <v>200</v>
      </c>
      <c r="H444" s="2702">
        <f>'Смета Внутр'!H451</f>
        <v>0</v>
      </c>
      <c r="I444" s="2702">
        <f>'Смета Внутр'!I451</f>
        <v>0</v>
      </c>
      <c r="J444" s="2421">
        <f>'Смета Внутр'!I451</f>
        <v>0</v>
      </c>
    </row>
    <row r="445" spans="2:10" ht="15" customHeight="1">
      <c r="B445" s="3330" t="str">
        <f>'Смета Внутр'!B452</f>
        <v>Итого работы</v>
      </c>
      <c r="C445" s="3330"/>
      <c r="D445" s="3330"/>
      <c r="E445" s="3330"/>
      <c r="F445" s="3330"/>
      <c r="G445" s="3330"/>
      <c r="H445" s="2702"/>
      <c r="I445" s="2702"/>
      <c r="J445" s="2421">
        <f>'Смета Внутр'!I452</f>
        <v>0</v>
      </c>
    </row>
    <row r="446" spans="2:10" ht="15" customHeight="1">
      <c r="B446" s="3334" t="str">
        <f>'Смета Внутр'!B453</f>
        <v>Техника и дополнительные расходы</v>
      </c>
      <c r="C446" s="3334"/>
      <c r="D446" s="3334"/>
      <c r="E446" s="3334"/>
      <c r="F446" s="3334"/>
      <c r="G446" s="3334"/>
      <c r="H446" s="3334"/>
      <c r="I446" s="3334"/>
      <c r="J446" s="3334"/>
    </row>
    <row r="447" spans="2:10" ht="15" customHeight="1">
      <c r="B447" s="2702" t="str">
        <f>'Смета Внутр'!B454</f>
        <v>Командировочные расходы</v>
      </c>
      <c r="C447" s="2702">
        <f>'Смета Внутр'!C454</f>
        <v>0</v>
      </c>
      <c r="D447" s="2702">
        <f>'Смета Внутр'!D454</f>
        <v>1</v>
      </c>
      <c r="E447" s="2702">
        <f>'Смета Внутр'!E454</f>
        <v>0</v>
      </c>
      <c r="F447" s="2702">
        <f>'Смета Внутр'!F454</f>
        <v>0</v>
      </c>
      <c r="G447" s="1042">
        <f>IF(E447&gt;F447,E447,F447)</f>
        <v>0</v>
      </c>
      <c r="H447" s="2702">
        <f>'Смета Внутр'!H454</f>
        <v>0</v>
      </c>
      <c r="I447" s="2702">
        <f>'Смета Внутр'!I454</f>
        <v>0</v>
      </c>
      <c r="J447" s="1055">
        <f>'Смета Внутр'!I454</f>
        <v>0</v>
      </c>
    </row>
    <row r="448" spans="2:10" ht="15" customHeight="1">
      <c r="B448" s="2702" t="str">
        <f>'Смета Внутр'!B455</f>
        <v>расходные материалы каркасный дом</v>
      </c>
      <c r="C448" s="2702">
        <f>'Смета Внутр'!C455</f>
        <v>0</v>
      </c>
      <c r="D448" s="2702">
        <f>'Смета Внутр'!D455</f>
        <v>1</v>
      </c>
      <c r="E448" s="2702">
        <f>'Смета Внутр'!E455</f>
        <v>12000</v>
      </c>
      <c r="F448" s="2702">
        <f>'Смета Внутр'!F455</f>
        <v>0</v>
      </c>
      <c r="G448" s="1042">
        <f>IF(E448&gt;F448,E448,F448)</f>
        <v>12000</v>
      </c>
      <c r="H448" s="2702">
        <f>'Смета Внутр'!H455</f>
        <v>0</v>
      </c>
      <c r="I448" s="2702">
        <f>'Смета Внутр'!I455</f>
        <v>0</v>
      </c>
      <c r="J448" s="1055">
        <f>'Смета Внутр'!I455</f>
        <v>0</v>
      </c>
    </row>
    <row r="449" spans="2:10" ht="15" customHeight="1">
      <c r="B449" s="2702" t="str">
        <f>'Смета Внутр'!B456</f>
        <v>Нет техники</v>
      </c>
      <c r="C449" s="2702">
        <f>'Смета Внутр'!C456</f>
        <v>0</v>
      </c>
      <c r="D449" s="2702">
        <f>'Смета Внутр'!D456</f>
        <v>2</v>
      </c>
      <c r="E449" s="2702">
        <f>'Смета Внутр'!E456</f>
        <v>0</v>
      </c>
      <c r="F449" s="2702">
        <f>'Смета Внутр'!F456</f>
        <v>0</v>
      </c>
      <c r="G449" s="1042">
        <f>IF(E449&gt;F449,E449,F449)</f>
        <v>0</v>
      </c>
      <c r="H449" s="2702">
        <f>'Смета Внутр'!H456</f>
        <v>0</v>
      </c>
      <c r="I449" s="2702">
        <f>'Смета Внутр'!I456</f>
        <v>0</v>
      </c>
      <c r="J449" s="1055">
        <f>'Смета Внутр'!I456</f>
        <v>0</v>
      </c>
    </row>
    <row r="450" spans="2:10" ht="15" customHeight="1">
      <c r="B450" s="3330" t="str">
        <f>'Смета Внутр'!B457</f>
        <v>Итого</v>
      </c>
      <c r="C450" s="3330"/>
      <c r="D450" s="3330"/>
      <c r="E450" s="3330"/>
      <c r="F450" s="3330"/>
      <c r="G450" s="3330"/>
      <c r="H450" s="2294"/>
      <c r="I450" s="2294"/>
      <c r="J450" s="2421">
        <f>'Смета Внутр'!J457</f>
        <v>0</v>
      </c>
    </row>
    <row r="451" spans="2:10" ht="15" customHeight="1">
      <c r="B451" s="3335" t="str">
        <f>'Смета Внутр'!B458</f>
        <v>Каркасный дом ЛСТК</v>
      </c>
      <c r="C451" s="3335"/>
      <c r="D451" s="3335"/>
      <c r="E451" s="3335"/>
      <c r="F451" s="3335"/>
      <c r="G451" s="3335"/>
      <c r="H451" s="3335"/>
      <c r="I451" s="3335"/>
      <c r="J451" s="3335"/>
    </row>
    <row r="452" spans="2:10" ht="15" customHeight="1">
      <c r="B452" s="2426" t="str">
        <f>'Смета Внутр'!B459</f>
        <v>Материалы</v>
      </c>
      <c r="C452" s="3028"/>
      <c r="D452" s="3028"/>
      <c r="E452" s="3028"/>
      <c r="F452" s="3028"/>
      <c r="G452" s="3028"/>
      <c r="H452" s="2294"/>
      <c r="I452" s="2294"/>
      <c r="J452" s="3029"/>
    </row>
    <row r="453" spans="2:10" ht="15" customHeight="1">
      <c r="B453" s="2421" t="str">
        <f>'Смета Внутр'!B460</f>
        <v>Брус естественной влажности, 150*150мм</v>
      </c>
      <c r="C453" s="2421" t="str">
        <f>'Смета Внутр'!C460</f>
        <v>м3</v>
      </c>
      <c r="D453" s="2421">
        <f>'Смета Внутр'!D460</f>
        <v>1.26</v>
      </c>
      <c r="E453" s="2421">
        <f>'Смета Внутр'!E460</f>
        <v>6500</v>
      </c>
      <c r="F453" s="2421">
        <f>'Смета Внутр'!F460</f>
        <v>0</v>
      </c>
      <c r="G453" s="1042">
        <f t="shared" ref="G453:G484" si="27">IF(E453&gt;F453,E453,F453)</f>
        <v>6500</v>
      </c>
      <c r="H453" s="2421">
        <f>'Смета Внутр'!H460</f>
        <v>0</v>
      </c>
      <c r="I453" s="2421">
        <f>'Смета Внутр'!I460</f>
        <v>0</v>
      </c>
      <c r="J453" s="1055">
        <f>'Смета Внутр'!I460</f>
        <v>0</v>
      </c>
    </row>
    <row r="454" spans="2:10" ht="15" customHeight="1">
      <c r="B454" s="2421" t="str">
        <f>'Смета Внутр'!B461</f>
        <v xml:space="preserve">Болты анкерные с гайкой 12,0 х 280          </v>
      </c>
      <c r="C454" s="2421" t="str">
        <f>'Смета Внутр'!C461</f>
        <v>шт</v>
      </c>
      <c r="D454" s="2421">
        <f>'Смета Внутр'!D461</f>
        <v>56</v>
      </c>
      <c r="E454" s="2421">
        <f>'Смета Внутр'!E461</f>
        <v>27.1</v>
      </c>
      <c r="F454" s="2421">
        <f>'Смета Внутр'!F461</f>
        <v>0</v>
      </c>
      <c r="G454" s="1042">
        <f t="shared" si="27"/>
        <v>27.1</v>
      </c>
      <c r="H454" s="2421">
        <f>'Смета Внутр'!H461</f>
        <v>0</v>
      </c>
      <c r="I454" s="2421">
        <f>'Смета Внутр'!I461</f>
        <v>0</v>
      </c>
      <c r="J454" s="1055">
        <f>'Смета Внутр'!I461</f>
        <v>0</v>
      </c>
    </row>
    <row r="455" spans="2:10" ht="15" customHeight="1">
      <c r="B455" s="2421" t="str">
        <f>'Смета Внутр'!B462</f>
        <v>ГПС 150х50-1,2</v>
      </c>
      <c r="C455" s="2421" t="str">
        <f>'Смета Внутр'!C462</f>
        <v>м3</v>
      </c>
      <c r="D455" s="2421">
        <f>'Смета Внутр'!D462</f>
        <v>0</v>
      </c>
      <c r="E455" s="2421">
        <f>'Смета Внутр'!E462</f>
        <v>201</v>
      </c>
      <c r="F455" s="2421">
        <f>'Смета Внутр'!F462</f>
        <v>0</v>
      </c>
      <c r="G455" s="1042">
        <f t="shared" si="27"/>
        <v>201</v>
      </c>
      <c r="H455" s="2421">
        <f>'Смета Внутр'!H462</f>
        <v>0</v>
      </c>
      <c r="I455" s="2421">
        <f>'Смета Внутр'!I462</f>
        <v>0</v>
      </c>
      <c r="J455" s="1055">
        <f>'Смета Внутр'!I462</f>
        <v>0</v>
      </c>
    </row>
    <row r="456" spans="2:10" ht="15" customHeight="1">
      <c r="B456" s="2421" t="str">
        <f>'Смета Внутр'!B463</f>
        <v>ГПН 152х35-1,2</v>
      </c>
      <c r="C456" s="2421" t="str">
        <f>'Смета Внутр'!C463</f>
        <v>мп.</v>
      </c>
      <c r="D456" s="2421">
        <f>'Смета Внутр'!D463</f>
        <v>0</v>
      </c>
      <c r="E456" s="2421">
        <f>'Смета Внутр'!E463</f>
        <v>163</v>
      </c>
      <c r="F456" s="2421">
        <f>'Смета Внутр'!F463</f>
        <v>0</v>
      </c>
      <c r="G456" s="1042">
        <f t="shared" si="27"/>
        <v>163</v>
      </c>
      <c r="H456" s="2421">
        <f>'Смета Внутр'!H463</f>
        <v>0</v>
      </c>
      <c r="I456" s="2421">
        <f>'Смета Внутр'!I463</f>
        <v>0</v>
      </c>
      <c r="J456" s="1055">
        <f>'Смета Внутр'!I463</f>
        <v>0</v>
      </c>
    </row>
    <row r="457" spans="2:10" ht="15" customHeight="1">
      <c r="B457" s="2421" t="str">
        <f>'Смета Внутр'!B464</f>
        <v xml:space="preserve">Болты анкерные с гайкой 12,0 x 100          </v>
      </c>
      <c r="C457" s="2421" t="str">
        <f>'Смета Внутр'!C464</f>
        <v>шт.</v>
      </c>
      <c r="D457" s="2421">
        <f>'Смета Внутр'!D464</f>
        <v>0</v>
      </c>
      <c r="E457" s="2421">
        <f>'Смета Внутр'!E464</f>
        <v>11.2</v>
      </c>
      <c r="F457" s="2421">
        <f>'Смета Внутр'!F464</f>
        <v>0</v>
      </c>
      <c r="G457" s="1042">
        <f t="shared" si="27"/>
        <v>11.2</v>
      </c>
      <c r="H457" s="2421">
        <f>'Смета Внутр'!H464</f>
        <v>0</v>
      </c>
      <c r="I457" s="2421">
        <f>'Смета Внутр'!I464</f>
        <v>0</v>
      </c>
      <c r="J457" s="1055">
        <f>'Смета Внутр'!I464</f>
        <v>0</v>
      </c>
    </row>
    <row r="458" spans="2:10" ht="15" customHeight="1">
      <c r="B458" s="2421" t="str">
        <f>'Смета Внутр'!B465</f>
        <v>Саморез 5,5 х 25</v>
      </c>
      <c r="C458" s="2421" t="str">
        <f>'Смета Внутр'!C465</f>
        <v>шт.</v>
      </c>
      <c r="D458" s="2421">
        <f>'Смета Внутр'!D465</f>
        <v>1644</v>
      </c>
      <c r="E458" s="2421">
        <f>'Смета Внутр'!E465</f>
        <v>2.5</v>
      </c>
      <c r="F458" s="2421">
        <f>'Смета Внутр'!F465</f>
        <v>0</v>
      </c>
      <c r="G458" s="1042">
        <f t="shared" si="27"/>
        <v>2.5</v>
      </c>
      <c r="H458" s="2421">
        <f>'Смета Внутр'!H465</f>
        <v>0</v>
      </c>
      <c r="I458" s="2421">
        <f>'Смета Внутр'!I465</f>
        <v>0</v>
      </c>
      <c r="J458" s="1055">
        <f>'Смета Внутр'!I465</f>
        <v>0</v>
      </c>
    </row>
    <row r="459" spans="2:10" ht="15" customHeight="1">
      <c r="B459" s="2421" t="str">
        <f>'Смета Внутр'!B466</f>
        <v>ГПН 122х35-1,5</v>
      </c>
      <c r="C459" s="2421" t="str">
        <f>'Смета Внутр'!C466</f>
        <v>мп.</v>
      </c>
      <c r="D459" s="2421">
        <f>'Смета Внутр'!D466</f>
        <v>0</v>
      </c>
      <c r="E459" s="2421">
        <f>'Смета Внутр'!E466</f>
        <v>163</v>
      </c>
      <c r="F459" s="2421">
        <f>'Смета Внутр'!F466</f>
        <v>0</v>
      </c>
      <c r="G459" s="1042">
        <f t="shared" si="27"/>
        <v>163</v>
      </c>
      <c r="H459" s="2421">
        <f>'Смета Внутр'!H466</f>
        <v>0</v>
      </c>
      <c r="I459" s="2421">
        <f>'Смета Внутр'!I466</f>
        <v>0</v>
      </c>
      <c r="J459" s="1055">
        <f>'Смета Внутр'!I466</f>
        <v>0</v>
      </c>
    </row>
    <row r="460" spans="2:10" ht="15" customHeight="1">
      <c r="B460" s="2421" t="str">
        <f>'Смета Внутр'!B467</f>
        <v xml:space="preserve">Болты анкерные с гайкой 12,0 x 100          </v>
      </c>
      <c r="C460" s="2421" t="str">
        <f>'Смета Внутр'!C467</f>
        <v>шт.</v>
      </c>
      <c r="D460" s="2421">
        <f>'Смета Внутр'!D467</f>
        <v>0</v>
      </c>
      <c r="E460" s="2421">
        <f>'Смета Внутр'!E467</f>
        <v>11.2</v>
      </c>
      <c r="F460" s="2421">
        <f>'Смета Внутр'!F467</f>
        <v>0</v>
      </c>
      <c r="G460" s="1042">
        <f t="shared" si="27"/>
        <v>11.2</v>
      </c>
      <c r="H460" s="2421">
        <f>'Смета Внутр'!H467</f>
        <v>0</v>
      </c>
      <c r="I460" s="2421">
        <f>'Смета Внутр'!I467</f>
        <v>0</v>
      </c>
      <c r="J460" s="1055">
        <f>'Смета Внутр'!I467</f>
        <v>0</v>
      </c>
    </row>
    <row r="461" spans="2:10" ht="15" customHeight="1">
      <c r="B461" s="2421" t="str">
        <f>'Смета Внутр'!B468</f>
        <v>Саморез 5,5 х 25</v>
      </c>
      <c r="C461" s="2421" t="str">
        <f>'Смета Внутр'!C468</f>
        <v>шт.</v>
      </c>
      <c r="D461" s="2421">
        <f>'Смета Внутр'!D468</f>
        <v>12</v>
      </c>
      <c r="E461" s="2421">
        <f>'Смета Внутр'!E468</f>
        <v>2.5</v>
      </c>
      <c r="F461" s="2421">
        <f>'Смета Внутр'!F468</f>
        <v>0</v>
      </c>
      <c r="G461" s="1042">
        <f t="shared" si="27"/>
        <v>2.5</v>
      </c>
      <c r="H461" s="2421">
        <f>'Смета Внутр'!H468</f>
        <v>0</v>
      </c>
      <c r="I461" s="2421">
        <f>'Смета Внутр'!I468</f>
        <v>0</v>
      </c>
      <c r="J461" s="1055">
        <f>'Смета Внутр'!I468</f>
        <v>0</v>
      </c>
    </row>
    <row r="462" spans="2:10" ht="15" customHeight="1">
      <c r="B462" s="2421" t="str">
        <f>'Смета Внутр'!B469</f>
        <v>ГПН 172х35-2,0</v>
      </c>
      <c r="C462" s="2421" t="str">
        <f>'Смета Внутр'!C469</f>
        <v>мп.</v>
      </c>
      <c r="D462" s="2421">
        <f>'Смета Внутр'!D469</f>
        <v>0</v>
      </c>
      <c r="E462" s="2421">
        <f>'Смета Внутр'!E469</f>
        <v>274</v>
      </c>
      <c r="F462" s="2421">
        <f>'Смета Внутр'!F469</f>
        <v>0</v>
      </c>
      <c r="G462" s="1042">
        <f t="shared" si="27"/>
        <v>274</v>
      </c>
      <c r="H462" s="2421">
        <f>'Смета Внутр'!H469</f>
        <v>0</v>
      </c>
      <c r="I462" s="2421">
        <f>'Смета Внутр'!I469</f>
        <v>0</v>
      </c>
      <c r="J462" s="1055">
        <f>'Смета Внутр'!I469</f>
        <v>0</v>
      </c>
    </row>
    <row r="463" spans="2:10" ht="15" customHeight="1">
      <c r="B463" s="2421" t="str">
        <f>'Смета Внутр'!B470</f>
        <v xml:space="preserve">Болты анкерные с гайкой 12,0 x 100          </v>
      </c>
      <c r="C463" s="2421" t="str">
        <f>'Смета Внутр'!C470</f>
        <v>шт.</v>
      </c>
      <c r="D463" s="2421">
        <f>'Смета Внутр'!D470</f>
        <v>0</v>
      </c>
      <c r="E463" s="2421">
        <f>'Смета Внутр'!E470</f>
        <v>11.2</v>
      </c>
      <c r="F463" s="2421">
        <f>'Смета Внутр'!F470</f>
        <v>0</v>
      </c>
      <c r="G463" s="1042">
        <f t="shared" si="27"/>
        <v>11.2</v>
      </c>
      <c r="H463" s="2421">
        <f>'Смета Внутр'!H470</f>
        <v>0</v>
      </c>
      <c r="I463" s="2421">
        <f>'Смета Внутр'!I470</f>
        <v>0</v>
      </c>
      <c r="J463" s="1055">
        <f>'Смета Внутр'!I470</f>
        <v>0</v>
      </c>
    </row>
    <row r="464" spans="2:10" ht="15" customHeight="1">
      <c r="B464" s="2421" t="str">
        <f>'Смета Внутр'!B471</f>
        <v>Саморез 5,5 х 25</v>
      </c>
      <c r="C464" s="2421" t="str">
        <f>'Смета Внутр'!C471</f>
        <v>шт.</v>
      </c>
      <c r="D464" s="2421">
        <f>'Смета Внутр'!D471</f>
        <v>0</v>
      </c>
      <c r="E464" s="2421">
        <f>'Смета Внутр'!E471</f>
        <v>2.5</v>
      </c>
      <c r="F464" s="2421">
        <f>'Смета Внутр'!F471</f>
        <v>0</v>
      </c>
      <c r="G464" s="1042">
        <f t="shared" si="27"/>
        <v>2.5</v>
      </c>
      <c r="H464" s="2421">
        <f>'Смета Внутр'!H471</f>
        <v>0</v>
      </c>
      <c r="I464" s="2421">
        <f>'Смета Внутр'!I471</f>
        <v>0</v>
      </c>
      <c r="J464" s="1055">
        <f>'Смета Внутр'!I471</f>
        <v>0</v>
      </c>
    </row>
    <row r="465" spans="2:10" ht="15" customHeight="1">
      <c r="B465" s="2421" t="str">
        <f>'Смета Внутр'!B472</f>
        <v>ГПС 150х50-1,2</v>
      </c>
      <c r="C465" s="2421" t="str">
        <f>'Смета Внутр'!C472</f>
        <v>мп.</v>
      </c>
      <c r="D465" s="2421">
        <f>'Смета Внутр'!D472</f>
        <v>14</v>
      </c>
      <c r="E465" s="2421">
        <f>'Смета Внутр'!E472</f>
        <v>63.009404388714735</v>
      </c>
      <c r="F465" s="2421">
        <f>'Смета Внутр'!F472</f>
        <v>0</v>
      </c>
      <c r="G465" s="1042">
        <f t="shared" si="27"/>
        <v>63.009404388714735</v>
      </c>
      <c r="H465" s="2421">
        <f>'Смета Внутр'!H472</f>
        <v>0</v>
      </c>
      <c r="I465" s="2421">
        <f>'Смета Внутр'!I472</f>
        <v>0</v>
      </c>
      <c r="J465" s="1055">
        <f>'Смета Внутр'!I472</f>
        <v>0</v>
      </c>
    </row>
    <row r="466" spans="2:10" ht="15" customHeight="1">
      <c r="B466" s="2421" t="str">
        <f>'Смета Внутр'!B473</f>
        <v>Саморез 5,5 х 25</v>
      </c>
      <c r="C466" s="2421" t="str">
        <f>'Смета Внутр'!C473</f>
        <v>шт.</v>
      </c>
      <c r="D466" s="2421">
        <f>'Смета Внутр'!D473</f>
        <v>81</v>
      </c>
      <c r="E466" s="2421">
        <f>'Смета Внутр'!E473</f>
        <v>2.5</v>
      </c>
      <c r="F466" s="2421">
        <f>'Смета Внутр'!F473</f>
        <v>0</v>
      </c>
      <c r="G466" s="1042">
        <f t="shared" si="27"/>
        <v>2.5</v>
      </c>
      <c r="H466" s="2421">
        <f>'Смета Внутр'!H473</f>
        <v>0</v>
      </c>
      <c r="I466" s="2421">
        <f>'Смета Внутр'!I473</f>
        <v>0</v>
      </c>
      <c r="J466" s="1055">
        <f>'Смета Внутр'!I473</f>
        <v>0</v>
      </c>
    </row>
    <row r="467" spans="2:10" ht="15" customHeight="1">
      <c r="B467" s="2421" t="str">
        <f>'Смета Внутр'!B474</f>
        <v>L 50 x 50, 1,2мм</v>
      </c>
      <c r="C467" s="2421" t="str">
        <f>'Смета Внутр'!C474</f>
        <v>м.п.</v>
      </c>
      <c r="D467" s="2421">
        <f>'Смета Внутр'!D474</f>
        <v>8.1</v>
      </c>
      <c r="E467" s="2421">
        <f>'Смета Внутр'!E474</f>
        <v>77</v>
      </c>
      <c r="F467" s="2421">
        <f>'Смета Внутр'!F474</f>
        <v>0</v>
      </c>
      <c r="G467" s="1042">
        <f t="shared" si="27"/>
        <v>77</v>
      </c>
      <c r="H467" s="2421">
        <f>'Смета Внутр'!H474</f>
        <v>0</v>
      </c>
      <c r="I467" s="2421">
        <f>'Смета Внутр'!I474</f>
        <v>0</v>
      </c>
      <c r="J467" s="1055">
        <f>'Смета Внутр'!I474</f>
        <v>0</v>
      </c>
    </row>
    <row r="468" spans="2:10" ht="15" customHeight="1">
      <c r="B468" s="2421" t="str">
        <f>'Смета Внутр'!B475</f>
        <v>ГПС 120х50-1,5</v>
      </c>
      <c r="C468" s="2421" t="str">
        <f>'Смета Внутр'!C475</f>
        <v>м.п.</v>
      </c>
      <c r="D468" s="2421">
        <f>'Смета Внутр'!D475</f>
        <v>7.8</v>
      </c>
      <c r="E468" s="2421">
        <f>'Смета Внутр'!E475</f>
        <v>65.882352941176478</v>
      </c>
      <c r="F468" s="2421">
        <f>'Смета Внутр'!F475</f>
        <v>0</v>
      </c>
      <c r="G468" s="1042">
        <f t="shared" si="27"/>
        <v>65.882352941176478</v>
      </c>
      <c r="H468" s="2421">
        <f>'Смета Внутр'!H475</f>
        <v>0</v>
      </c>
      <c r="I468" s="2421">
        <f>'Смета Внутр'!I475</f>
        <v>0</v>
      </c>
      <c r="J468" s="1055">
        <f>'Смета Внутр'!I475</f>
        <v>0</v>
      </c>
    </row>
    <row r="469" spans="2:10" ht="15" customHeight="1">
      <c r="B469" s="2421" t="str">
        <f>'Смета Внутр'!B476</f>
        <v>Саморез 5,5 х 25</v>
      </c>
      <c r="C469" s="2421" t="str">
        <f>'Смета Внутр'!C476</f>
        <v>шт.</v>
      </c>
      <c r="D469" s="2421">
        <f>'Смета Внутр'!D476</f>
        <v>48</v>
      </c>
      <c r="E469" s="2421">
        <f>'Смета Внутр'!E476</f>
        <v>2.5</v>
      </c>
      <c r="F469" s="2421">
        <f>'Смета Внутр'!F476</f>
        <v>100</v>
      </c>
      <c r="G469" s="1042">
        <f t="shared" si="27"/>
        <v>100</v>
      </c>
      <c r="H469" s="2421">
        <f>'Смета Внутр'!H476</f>
        <v>0</v>
      </c>
      <c r="I469" s="2421">
        <f>'Смета Внутр'!I476</f>
        <v>0</v>
      </c>
      <c r="J469" s="1055">
        <f>'Смета Внутр'!I476</f>
        <v>0</v>
      </c>
    </row>
    <row r="470" spans="2:10" ht="15" customHeight="1">
      <c r="B470" s="2421" t="str">
        <f>'Смета Внутр'!B477</f>
        <v>нет</v>
      </c>
      <c r="C470" s="2421" t="str">
        <f>'Смета Внутр'!C477</f>
        <v>м.п.</v>
      </c>
      <c r="D470" s="2421">
        <f>'Смета Внутр'!D477</f>
        <v>0</v>
      </c>
      <c r="E470" s="2421">
        <f>'Смета Внутр'!E477</f>
        <v>0</v>
      </c>
      <c r="F470" s="2421">
        <f>'Смета Внутр'!F477</f>
        <v>0</v>
      </c>
      <c r="G470" s="1042">
        <f t="shared" si="27"/>
        <v>0</v>
      </c>
      <c r="H470" s="2421">
        <f>'Смета Внутр'!H477</f>
        <v>0</v>
      </c>
      <c r="I470" s="2421">
        <f>'Смета Внутр'!I477</f>
        <v>0</v>
      </c>
      <c r="J470" s="1055">
        <f>'Смета Внутр'!I477</f>
        <v>0</v>
      </c>
    </row>
    <row r="471" spans="2:10" ht="15" customHeight="1">
      <c r="B471" s="2421" t="str">
        <f>'Смета Внутр'!B478</f>
        <v>нет</v>
      </c>
      <c r="C471" s="2421" t="str">
        <f>'Смета Внутр'!C478</f>
        <v>м.п.</v>
      </c>
      <c r="D471" s="2421">
        <f>'Смета Внутр'!D478</f>
        <v>0</v>
      </c>
      <c r="E471" s="2421">
        <f>'Смета Внутр'!E478</f>
        <v>0</v>
      </c>
      <c r="F471" s="2421">
        <f>'Смета Внутр'!F478</f>
        <v>0</v>
      </c>
      <c r="G471" s="1042">
        <f t="shared" si="27"/>
        <v>0</v>
      </c>
      <c r="H471" s="2421">
        <f>'Смета Внутр'!H478</f>
        <v>0</v>
      </c>
      <c r="I471" s="2421">
        <f>'Смета Внутр'!I478</f>
        <v>0</v>
      </c>
      <c r="J471" s="1055">
        <f>'Смета Внутр'!I478</f>
        <v>0</v>
      </c>
    </row>
    <row r="472" spans="2:10" ht="15" customHeight="1">
      <c r="B472" s="2421">
        <f>'Смета Внутр'!B479</f>
        <v>0</v>
      </c>
      <c r="C472" s="2421" t="str">
        <f>'Смета Внутр'!C479</f>
        <v>шт.</v>
      </c>
      <c r="D472" s="2421">
        <f>'Смета Внутр'!D479</f>
        <v>0</v>
      </c>
      <c r="E472" s="2421">
        <f>'Смета Внутр'!E479</f>
        <v>0</v>
      </c>
      <c r="F472" s="2421">
        <f>'Смета Внутр'!F479</f>
        <v>0</v>
      </c>
      <c r="G472" s="1042">
        <f t="shared" si="27"/>
        <v>0</v>
      </c>
      <c r="H472" s="2421">
        <f>'Смета Внутр'!H479</f>
        <v>0</v>
      </c>
      <c r="I472" s="2421">
        <f>'Смета Внутр'!I479</f>
        <v>0</v>
      </c>
      <c r="J472" s="1055">
        <f>'Смета Внутр'!I479</f>
        <v>0</v>
      </c>
    </row>
    <row r="473" spans="2:10" ht="15" customHeight="1">
      <c r="B473" s="2421">
        <f>'Смета Внутр'!B480</f>
        <v>0</v>
      </c>
      <c r="C473" s="2421" t="str">
        <f>'Смета Внутр'!C480</f>
        <v>шт.</v>
      </c>
      <c r="D473" s="2421">
        <f>'Смета Внутр'!D480</f>
        <v>0</v>
      </c>
      <c r="E473" s="2421">
        <f>'Смета Внутр'!E480</f>
        <v>0</v>
      </c>
      <c r="F473" s="2421">
        <f>'Смета Внутр'!F480</f>
        <v>0</v>
      </c>
      <c r="G473" s="1042">
        <f t="shared" si="27"/>
        <v>0</v>
      </c>
      <c r="H473" s="2421">
        <f>'Смета Внутр'!H480</f>
        <v>0</v>
      </c>
      <c r="I473" s="2421">
        <f>'Смета Внутр'!I480</f>
        <v>0</v>
      </c>
      <c r="J473" s="1055">
        <f>'Смета Внутр'!I480</f>
        <v>0</v>
      </c>
    </row>
    <row r="474" spans="2:10" ht="15" customHeight="1">
      <c r="B474" s="2421" t="str">
        <f>'Смета Внутр'!B481</f>
        <v>нет</v>
      </c>
      <c r="C474" s="2421" t="str">
        <f>'Смета Внутр'!C481</f>
        <v>м2</v>
      </c>
      <c r="D474" s="2421">
        <f>'Смета Внутр'!D481</f>
        <v>0</v>
      </c>
      <c r="E474" s="2421">
        <f>'Смета Внутр'!E481</f>
        <v>0</v>
      </c>
      <c r="F474" s="2421">
        <f>'Смета Внутр'!F481</f>
        <v>0</v>
      </c>
      <c r="G474" s="1042">
        <f t="shared" si="27"/>
        <v>0</v>
      </c>
      <c r="H474" s="2421">
        <f>'Смета Внутр'!H481</f>
        <v>0</v>
      </c>
      <c r="I474" s="2421">
        <f>'Смета Внутр'!I481</f>
        <v>0</v>
      </c>
      <c r="J474" s="1055">
        <f>'Смета Внутр'!I481</f>
        <v>0</v>
      </c>
    </row>
    <row r="475" spans="2:10" ht="15" customHeight="1">
      <c r="B475" s="2421" t="str">
        <f>'Смета Внутр'!B482</f>
        <v xml:space="preserve">Саморезы 3,5 x 25            </v>
      </c>
      <c r="C475" s="2421" t="str">
        <f>'Смета Внутр'!C482</f>
        <v>шт.</v>
      </c>
      <c r="D475" s="2421">
        <f>'Смета Внутр'!D482</f>
        <v>0</v>
      </c>
      <c r="E475" s="2421">
        <f>'Смета Внутр'!E482</f>
        <v>0.2</v>
      </c>
      <c r="F475" s="2421">
        <f>'Смета Внутр'!F482</f>
        <v>0</v>
      </c>
      <c r="G475" s="1042">
        <f t="shared" si="27"/>
        <v>0.2</v>
      </c>
      <c r="H475" s="2421">
        <f>'Смета Внутр'!H482</f>
        <v>0</v>
      </c>
      <c r="I475" s="2421">
        <f>'Смета Внутр'!I482</f>
        <v>0</v>
      </c>
      <c r="J475" s="1055">
        <f>'Смета Внутр'!I482</f>
        <v>0</v>
      </c>
    </row>
    <row r="476" spans="2:10" ht="15" customHeight="1">
      <c r="B476" s="2421" t="str">
        <f>'Смета Внутр'!B483</f>
        <v>нет</v>
      </c>
      <c r="C476" s="2421" t="str">
        <f>'Смета Внутр'!C483</f>
        <v>м.п.</v>
      </c>
      <c r="D476" s="2421">
        <f>'Смета Внутр'!D483</f>
        <v>0</v>
      </c>
      <c r="E476" s="2421">
        <f>'Смета Внутр'!E483</f>
        <v>0</v>
      </c>
      <c r="F476" s="2421">
        <f>'Смета Внутр'!F483</f>
        <v>0</v>
      </c>
      <c r="G476" s="1042">
        <f t="shared" si="27"/>
        <v>0</v>
      </c>
      <c r="H476" s="2421">
        <f>'Смета Внутр'!H483</f>
        <v>0</v>
      </c>
      <c r="I476" s="2421">
        <f>'Смета Внутр'!I483</f>
        <v>0</v>
      </c>
      <c r="J476" s="1055">
        <f>'Смета Внутр'!I483</f>
        <v>0</v>
      </c>
    </row>
    <row r="477" spans="2:10" ht="15" customHeight="1">
      <c r="B477" s="2421">
        <f>'Смета Внутр'!B484</f>
        <v>0</v>
      </c>
      <c r="C477" s="2421" t="str">
        <f>'Смета Внутр'!C484</f>
        <v>шт.</v>
      </c>
      <c r="D477" s="2421">
        <f>'Смета Внутр'!D484</f>
        <v>0</v>
      </c>
      <c r="E477" s="2421">
        <f>'Смета Внутр'!E484</f>
        <v>0</v>
      </c>
      <c r="F477" s="2421">
        <f>'Смета Внутр'!F484</f>
        <v>0</v>
      </c>
      <c r="G477" s="1042">
        <f t="shared" si="27"/>
        <v>0</v>
      </c>
      <c r="H477" s="2421">
        <f>'Смета Внутр'!H484</f>
        <v>0</v>
      </c>
      <c r="I477" s="2421">
        <f>'Смета Внутр'!I484</f>
        <v>0</v>
      </c>
      <c r="J477" s="1055">
        <f>'Смета Внутр'!I484</f>
        <v>0</v>
      </c>
    </row>
    <row r="478" spans="2:10" ht="15" customHeight="1">
      <c r="B478" s="2421" t="str">
        <f>'Смета Внутр'!B485</f>
        <v>нет</v>
      </c>
      <c r="C478" s="2421" t="str">
        <f>'Смета Внутр'!C485</f>
        <v>м2</v>
      </c>
      <c r="D478" s="2421">
        <f>'Смета Внутр'!D485</f>
        <v>0</v>
      </c>
      <c r="E478" s="2421">
        <f>'Смета Внутр'!E485</f>
        <v>0</v>
      </c>
      <c r="F478" s="2421">
        <f>'Смета Внутр'!F485</f>
        <v>0</v>
      </c>
      <c r="G478" s="1042">
        <f t="shared" si="27"/>
        <v>0</v>
      </c>
      <c r="H478" s="2421">
        <f>'Смета Внутр'!H485</f>
        <v>0</v>
      </c>
      <c r="I478" s="2421">
        <f>'Смета Внутр'!I485</f>
        <v>0</v>
      </c>
      <c r="J478" s="1055">
        <f>'Смета Внутр'!I485</f>
        <v>0</v>
      </c>
    </row>
    <row r="479" spans="2:10" ht="15" customHeight="1">
      <c r="B479" s="2421" t="str">
        <f>'Смета Внутр'!B486</f>
        <v xml:space="preserve">Саморезы 3,5 x 45            </v>
      </c>
      <c r="C479" s="2421" t="str">
        <f>'Смета Внутр'!C486</f>
        <v>шт.</v>
      </c>
      <c r="D479" s="2421">
        <f>'Смета Внутр'!D486</f>
        <v>0</v>
      </c>
      <c r="E479" s="2421">
        <f>'Смета Внутр'!E486</f>
        <v>0.25</v>
      </c>
      <c r="F479" s="2421">
        <f>'Смета Внутр'!F486</f>
        <v>0</v>
      </c>
      <c r="G479" s="1042">
        <f t="shared" si="27"/>
        <v>0.25</v>
      </c>
      <c r="H479" s="2421">
        <f>'Смета Внутр'!H486</f>
        <v>0</v>
      </c>
      <c r="I479" s="2421">
        <f>'Смета Внутр'!I486</f>
        <v>0</v>
      </c>
      <c r="J479" s="1055">
        <f>'Смета Внутр'!I486</f>
        <v>0</v>
      </c>
    </row>
    <row r="480" spans="2:10" ht="15" customHeight="1">
      <c r="B480" s="2421" t="str">
        <f>'Смета Внутр'!B487</f>
        <v>нет</v>
      </c>
      <c r="C480" s="2421" t="str">
        <f>'Смета Внутр'!C487</f>
        <v>м.п.</v>
      </c>
      <c r="D480" s="2421">
        <f>'Смета Внутр'!D487</f>
        <v>192</v>
      </c>
      <c r="E480" s="2421">
        <f>'Смета Внутр'!E487</f>
        <v>0</v>
      </c>
      <c r="F480" s="2421">
        <f>'Смета Внутр'!F487</f>
        <v>0</v>
      </c>
      <c r="G480" s="1042">
        <f t="shared" si="27"/>
        <v>0</v>
      </c>
      <c r="H480" s="2421">
        <f>'Смета Внутр'!H487</f>
        <v>0</v>
      </c>
      <c r="I480" s="2421">
        <f>'Смета Внутр'!I487</f>
        <v>0</v>
      </c>
      <c r="J480" s="1055">
        <f>'Смета Внутр'!I487</f>
        <v>0</v>
      </c>
    </row>
    <row r="481" spans="2:10" ht="15" customHeight="1">
      <c r="B481" s="2421" t="str">
        <f>'Смета Внутр'!B488</f>
        <v>нет</v>
      </c>
      <c r="C481" s="2421" t="str">
        <f>'Смета Внутр'!C488</f>
        <v>м.п.</v>
      </c>
      <c r="D481" s="2421">
        <f>'Смета Внутр'!D488</f>
        <v>192</v>
      </c>
      <c r="E481" s="2421">
        <f>'Смета Внутр'!E488</f>
        <v>0</v>
      </c>
      <c r="F481" s="2421">
        <f>'Смета Внутр'!F488</f>
        <v>0</v>
      </c>
      <c r="G481" s="1042">
        <f t="shared" si="27"/>
        <v>0</v>
      </c>
      <c r="H481" s="2421">
        <f>'Смета Внутр'!H488</f>
        <v>0</v>
      </c>
      <c r="I481" s="2421">
        <f>'Смета Внутр'!I488</f>
        <v>0</v>
      </c>
      <c r="J481" s="1055">
        <f>'Смета Внутр'!I488</f>
        <v>0</v>
      </c>
    </row>
    <row r="482" spans="2:10" ht="15" customHeight="1">
      <c r="B482" s="2421">
        <f>'Смета Внутр'!B489</f>
        <v>0</v>
      </c>
      <c r="C482" s="2421" t="str">
        <f>'Смета Внутр'!C489</f>
        <v>шт.</v>
      </c>
      <c r="D482" s="2421">
        <f>'Смета Внутр'!D489</f>
        <v>384</v>
      </c>
      <c r="E482" s="2421">
        <f>'Смета Внутр'!E489</f>
        <v>0</v>
      </c>
      <c r="F482" s="2421">
        <f>'Смета Внутр'!F489</f>
        <v>0</v>
      </c>
      <c r="G482" s="1042">
        <f t="shared" si="27"/>
        <v>0</v>
      </c>
      <c r="H482" s="2421">
        <f>'Смета Внутр'!H489</f>
        <v>0</v>
      </c>
      <c r="I482" s="2421">
        <f>'Смета Внутр'!I489</f>
        <v>0</v>
      </c>
      <c r="J482" s="1055">
        <f>'Смета Внутр'!I489</f>
        <v>0</v>
      </c>
    </row>
    <row r="483" spans="2:10" ht="15" customHeight="1">
      <c r="B483" s="2421" t="str">
        <f>'Смета Внутр'!B490</f>
        <v>Кровельный саморез</v>
      </c>
      <c r="C483" s="2421" t="str">
        <f>'Смета Внутр'!C490</f>
        <v>шт.</v>
      </c>
      <c r="D483" s="2421">
        <f>'Смета Внутр'!D490</f>
        <v>0</v>
      </c>
      <c r="E483" s="2421">
        <f>'Смета Внутр'!E490</f>
        <v>2</v>
      </c>
      <c r="F483" s="2421">
        <f>'Смета Внутр'!F490</f>
        <v>0</v>
      </c>
      <c r="G483" s="1042">
        <f t="shared" si="27"/>
        <v>2</v>
      </c>
      <c r="H483" s="2421">
        <f>'Смета Внутр'!H490</f>
        <v>0</v>
      </c>
      <c r="I483" s="2421">
        <f>'Смета Внутр'!I490</f>
        <v>0</v>
      </c>
      <c r="J483" s="1055">
        <f>'Смета Внутр'!I490</f>
        <v>0</v>
      </c>
    </row>
    <row r="484" spans="2:10" ht="15" customHeight="1">
      <c r="B484" s="2421" t="str">
        <f>'Смета Внутр'!B491</f>
        <v>нет</v>
      </c>
      <c r="C484" s="2421" t="str">
        <f>'Смета Внутр'!C491</f>
        <v>м.п.</v>
      </c>
      <c r="D484" s="2421">
        <f>'Смета Внутр'!D491</f>
        <v>192</v>
      </c>
      <c r="E484" s="2421">
        <f>'Смета Внутр'!E491</f>
        <v>0</v>
      </c>
      <c r="F484" s="2421">
        <f>'Смета Внутр'!F491</f>
        <v>0</v>
      </c>
      <c r="G484" s="1042">
        <f t="shared" si="27"/>
        <v>0</v>
      </c>
      <c r="H484" s="2421">
        <f>'Смета Внутр'!H491</f>
        <v>0</v>
      </c>
      <c r="I484" s="2421">
        <f>'Смета Внутр'!I491</f>
        <v>0</v>
      </c>
      <c r="J484" s="1055">
        <f>'Смета Внутр'!I491</f>
        <v>0</v>
      </c>
    </row>
    <row r="485" spans="2:10" ht="15" customHeight="1">
      <c r="B485" s="2421" t="str">
        <f>'Смета Внутр'!B492</f>
        <v>нет</v>
      </c>
      <c r="C485" s="2421" t="str">
        <f>'Смета Внутр'!C492</f>
        <v>м.п.</v>
      </c>
      <c r="D485" s="2421">
        <f>'Смета Внутр'!D492</f>
        <v>110</v>
      </c>
      <c r="E485" s="2421">
        <f>'Смета Внутр'!E492</f>
        <v>0</v>
      </c>
      <c r="F485" s="2421">
        <f>'Смета Внутр'!F492</f>
        <v>0</v>
      </c>
      <c r="G485" s="1042">
        <f t="shared" ref="G485:G516" si="28">IF(E485&gt;F485,E485,F485)</f>
        <v>0</v>
      </c>
      <c r="H485" s="2421">
        <f>'Смета Внутр'!H492</f>
        <v>0</v>
      </c>
      <c r="I485" s="2421">
        <f>'Смета Внутр'!I492</f>
        <v>0</v>
      </c>
      <c r="J485" s="1055">
        <f>'Смета Внутр'!I492</f>
        <v>0</v>
      </c>
    </row>
    <row r="486" spans="2:10" ht="15" customHeight="1">
      <c r="B486" s="2421">
        <f>'Смета Внутр'!B493</f>
        <v>0</v>
      </c>
      <c r="C486" s="2421" t="str">
        <f>'Смета Внутр'!C493</f>
        <v>шт.</v>
      </c>
      <c r="D486" s="2421">
        <f>'Смета Внутр'!D493</f>
        <v>384</v>
      </c>
      <c r="E486" s="2421">
        <f>'Смета Внутр'!E493</f>
        <v>0</v>
      </c>
      <c r="F486" s="2421">
        <f>'Смета Внутр'!F493</f>
        <v>0</v>
      </c>
      <c r="G486" s="1042">
        <f t="shared" si="28"/>
        <v>0</v>
      </c>
      <c r="H486" s="2421">
        <f>'Смета Внутр'!H493</f>
        <v>0</v>
      </c>
      <c r="I486" s="2421">
        <f>'Смета Внутр'!I493</f>
        <v>0</v>
      </c>
      <c r="J486" s="1055">
        <f>'Смета Внутр'!I493</f>
        <v>0</v>
      </c>
    </row>
    <row r="487" spans="2:10" ht="15" customHeight="1">
      <c r="B487" s="2421" t="str">
        <f>'Смета Внутр'!B494</f>
        <v>Кровельный саморез</v>
      </c>
      <c r="C487" s="2421" t="str">
        <f>'Смета Внутр'!C494</f>
        <v>шт.</v>
      </c>
      <c r="D487" s="2421">
        <f>'Смета Внутр'!D494</f>
        <v>0</v>
      </c>
      <c r="E487" s="2421">
        <f>'Смета Внутр'!E494</f>
        <v>2</v>
      </c>
      <c r="F487" s="2421">
        <f>'Смета Внутр'!F494</f>
        <v>0</v>
      </c>
      <c r="G487" s="1042">
        <f t="shared" si="28"/>
        <v>2</v>
      </c>
      <c r="H487" s="2421">
        <f>'Смета Внутр'!H494</f>
        <v>0</v>
      </c>
      <c r="I487" s="2421">
        <f>'Смета Внутр'!I494</f>
        <v>0</v>
      </c>
      <c r="J487" s="1055">
        <f>'Смета Внутр'!I494</f>
        <v>0</v>
      </c>
    </row>
    <row r="488" spans="2:10" ht="15" customHeight="1">
      <c r="B488" s="2421" t="str">
        <f>'Смета Внутр'!B495</f>
        <v xml:space="preserve">Саморезы 3,5 x 25            </v>
      </c>
      <c r="C488" s="2421" t="str">
        <f>'Смета Внутр'!C495</f>
        <v>шт.</v>
      </c>
      <c r="D488" s="2421">
        <f>'Смета Внутр'!D495</f>
        <v>0</v>
      </c>
      <c r="E488" s="2421">
        <f>'Смета Внутр'!E495</f>
        <v>0.2</v>
      </c>
      <c r="F488" s="2421">
        <f>'Смета Внутр'!F495</f>
        <v>0</v>
      </c>
      <c r="G488" s="1042">
        <f t="shared" si="28"/>
        <v>0.2</v>
      </c>
      <c r="H488" s="2421">
        <f>'Смета Внутр'!H495</f>
        <v>0</v>
      </c>
      <c r="I488" s="2421">
        <f>'Смета Внутр'!I495</f>
        <v>0</v>
      </c>
      <c r="J488" s="1055">
        <f>'Смета Внутр'!I495</f>
        <v>0</v>
      </c>
    </row>
    <row r="489" spans="2:10" ht="15" customHeight="1">
      <c r="B489" s="2421" t="str">
        <f>'Смета Внутр'!B496</f>
        <v xml:space="preserve">Саморезы 3,5 x 25            </v>
      </c>
      <c r="C489" s="2421" t="str">
        <f>'Смета Внутр'!C496</f>
        <v>шт.</v>
      </c>
      <c r="D489" s="2421">
        <f>'Смета Внутр'!D496</f>
        <v>1200</v>
      </c>
      <c r="E489" s="2421">
        <f>'Смета Внутр'!E496</f>
        <v>0.2</v>
      </c>
      <c r="F489" s="2421">
        <f>'Смета Внутр'!F496</f>
        <v>0</v>
      </c>
      <c r="G489" s="1042">
        <f t="shared" si="28"/>
        <v>0.2</v>
      </c>
      <c r="H489" s="2421">
        <f>'Смета Внутр'!H496</f>
        <v>0</v>
      </c>
      <c r="I489" s="2421">
        <f>'Смета Внутр'!I496</f>
        <v>0</v>
      </c>
      <c r="J489" s="1055">
        <f>'Смета Внутр'!I496</f>
        <v>0</v>
      </c>
    </row>
    <row r="490" spans="2:10" ht="15" customHeight="1">
      <c r="B490" s="2421" t="str">
        <f>'Смета Внутр'!B497</f>
        <v>ГПС 120х50-1,5</v>
      </c>
      <c r="C490" s="2421" t="str">
        <f>'Смета Внутр'!C497</f>
        <v>м3</v>
      </c>
      <c r="D490" s="2421">
        <f>'Смета Внутр'!D497</f>
        <v>0</v>
      </c>
      <c r="E490" s="2421">
        <f>'Смета Внутр'!E497</f>
        <v>224</v>
      </c>
      <c r="F490" s="2421">
        <f>'Смета Внутр'!F497</f>
        <v>0</v>
      </c>
      <c r="G490" s="1042">
        <f t="shared" si="28"/>
        <v>224</v>
      </c>
      <c r="H490" s="2421">
        <f>'Смета Внутр'!H497</f>
        <v>0</v>
      </c>
      <c r="I490" s="2421">
        <f>'Смета Внутр'!I497</f>
        <v>0</v>
      </c>
      <c r="J490" s="1055">
        <f>'Смета Внутр'!I497</f>
        <v>0</v>
      </c>
    </row>
    <row r="491" spans="2:10" ht="15" customHeight="1">
      <c r="B491" s="2421" t="str">
        <f>'Смета Внутр'!B498</f>
        <v>ГПС 170х50-2,0</v>
      </c>
      <c r="C491" s="2421" t="str">
        <f>'Смета Внутр'!C498</f>
        <v>м3</v>
      </c>
      <c r="D491" s="2421">
        <f>'Смета Внутр'!D498</f>
        <v>0</v>
      </c>
      <c r="E491" s="2421">
        <f>'Смета Внутр'!E498</f>
        <v>358</v>
      </c>
      <c r="F491" s="2421">
        <f>'Смета Внутр'!F498</f>
        <v>0</v>
      </c>
      <c r="G491" s="1042">
        <f t="shared" si="28"/>
        <v>358</v>
      </c>
      <c r="H491" s="2421">
        <f>'Смета Внутр'!H498</f>
        <v>0</v>
      </c>
      <c r="I491" s="2421">
        <f>'Смета Внутр'!I498</f>
        <v>0</v>
      </c>
      <c r="J491" s="1055">
        <f>'Смета Внутр'!I498</f>
        <v>0</v>
      </c>
    </row>
    <row r="492" spans="2:10" ht="15" customHeight="1">
      <c r="B492" s="2421" t="str">
        <f>'Смета Внутр'!B499</f>
        <v>Лист ГВЛВ 2500х1200х10 мм</v>
      </c>
      <c r="C492" s="2421" t="str">
        <f>'Смета Внутр'!C499</f>
        <v>м2</v>
      </c>
      <c r="D492" s="2421">
        <f>'Смета Внутр'!D499</f>
        <v>100</v>
      </c>
      <c r="E492" s="2421">
        <f>'Смета Внутр'!E499</f>
        <v>150</v>
      </c>
      <c r="F492" s="2421">
        <f>'Смета Внутр'!F499</f>
        <v>0</v>
      </c>
      <c r="G492" s="1042">
        <f t="shared" si="28"/>
        <v>150</v>
      </c>
      <c r="H492" s="2421">
        <f>'Смета Внутр'!H499</f>
        <v>0</v>
      </c>
      <c r="I492" s="2421">
        <f>'Смета Внутр'!I499</f>
        <v>0</v>
      </c>
      <c r="J492" s="1055">
        <f>'Смета Внутр'!I499</f>
        <v>0</v>
      </c>
    </row>
    <row r="493" spans="2:10" ht="15" customHeight="1">
      <c r="B493" s="2421" t="str">
        <f>'Смета Внутр'!B500</f>
        <v>нет</v>
      </c>
      <c r="C493" s="2421" t="str">
        <f>'Смета Внутр'!C500</f>
        <v>м.п.</v>
      </c>
      <c r="D493" s="2421">
        <f>'Смета Внутр'!D500</f>
        <v>0</v>
      </c>
      <c r="E493" s="2421">
        <f>'Смета Внутр'!E500</f>
        <v>0</v>
      </c>
      <c r="F493" s="2421">
        <f>'Смета Внутр'!F500</f>
        <v>0</v>
      </c>
      <c r="G493" s="1042">
        <f t="shared" si="28"/>
        <v>0</v>
      </c>
      <c r="H493" s="2421">
        <f>'Смета Внутр'!H500</f>
        <v>0</v>
      </c>
      <c r="I493" s="2421">
        <f>'Смета Внутр'!I500</f>
        <v>0</v>
      </c>
      <c r="J493" s="1055">
        <f>'Смета Внутр'!I500</f>
        <v>0</v>
      </c>
    </row>
    <row r="494" spans="2:10" ht="15" customHeight="1">
      <c r="B494" s="2421" t="str">
        <f>'Смета Внутр'!B501</f>
        <v>Нет</v>
      </c>
      <c r="C494" s="2421" t="str">
        <f>'Смета Внутр'!C501</f>
        <v>м3</v>
      </c>
      <c r="D494" s="2421">
        <f>'Смета Внутр'!D501</f>
        <v>0</v>
      </c>
      <c r="E494" s="2421">
        <f>'Смета Внутр'!E501</f>
        <v>0</v>
      </c>
      <c r="F494" s="2421">
        <f>'Смета Внутр'!F501</f>
        <v>0</v>
      </c>
      <c r="G494" s="1042">
        <f t="shared" si="28"/>
        <v>0</v>
      </c>
      <c r="H494" s="2421">
        <f>'Смета Внутр'!H501</f>
        <v>0</v>
      </c>
      <c r="I494" s="2421">
        <f>'Смета Внутр'!I501</f>
        <v>0</v>
      </c>
      <c r="J494" s="1055">
        <f>'Смета Внутр'!I501</f>
        <v>0</v>
      </c>
    </row>
    <row r="495" spans="2:10" ht="15" customHeight="1">
      <c r="B495" s="2421" t="str">
        <f>'Смета Внутр'!B502</f>
        <v>Нет</v>
      </c>
      <c r="C495" s="2421" t="str">
        <f>'Смета Внутр'!C502</f>
        <v>м3</v>
      </c>
      <c r="D495" s="2421">
        <f>'Смета Внутр'!D502</f>
        <v>0</v>
      </c>
      <c r="E495" s="2421">
        <f>'Смета Внутр'!E502</f>
        <v>0</v>
      </c>
      <c r="F495" s="2421">
        <f>'Смета Внутр'!F502</f>
        <v>0</v>
      </c>
      <c r="G495" s="1042">
        <f t="shared" si="28"/>
        <v>0</v>
      </c>
      <c r="H495" s="2421">
        <f>'Смета Внутр'!H502</f>
        <v>0</v>
      </c>
      <c r="I495" s="2421">
        <f>'Смета Внутр'!I502</f>
        <v>0</v>
      </c>
      <c r="J495" s="1055">
        <f>'Смета Внутр'!I502</f>
        <v>0</v>
      </c>
    </row>
    <row r="496" spans="2:10" ht="15" customHeight="1">
      <c r="B496" s="2421" t="str">
        <f>'Смета Внутр'!B503</f>
        <v>нет</v>
      </c>
      <c r="C496" s="2421" t="str">
        <f>'Смета Внутр'!C503</f>
        <v>м2</v>
      </c>
      <c r="D496" s="2421">
        <f>'Смета Внутр'!D503</f>
        <v>0</v>
      </c>
      <c r="E496" s="2421">
        <f>'Смета Внутр'!E503</f>
        <v>0</v>
      </c>
      <c r="F496" s="2421">
        <f>'Смета Внутр'!F503</f>
        <v>0</v>
      </c>
      <c r="G496" s="1042">
        <f t="shared" si="28"/>
        <v>0</v>
      </c>
      <c r="H496" s="2421">
        <f>'Смета Внутр'!H503</f>
        <v>0</v>
      </c>
      <c r="I496" s="2421">
        <f>'Смета Внутр'!I503</f>
        <v>0</v>
      </c>
      <c r="J496" s="1055">
        <f>'Смета Внутр'!I503</f>
        <v>0</v>
      </c>
    </row>
    <row r="497" spans="2:10" ht="15" customHeight="1">
      <c r="B497" s="2421" t="str">
        <f>'Смета Внутр'!B504</f>
        <v>нет</v>
      </c>
      <c r="C497" s="2421" t="str">
        <f>'Смета Внутр'!C504</f>
        <v>м2</v>
      </c>
      <c r="D497" s="2421">
        <f>'Смета Внутр'!D504</f>
        <v>0</v>
      </c>
      <c r="E497" s="2421">
        <f>'Смета Внутр'!E504</f>
        <v>0</v>
      </c>
      <c r="F497" s="2421">
        <f>'Смета Внутр'!F504</f>
        <v>0</v>
      </c>
      <c r="G497" s="1042">
        <f t="shared" si="28"/>
        <v>0</v>
      </c>
      <c r="H497" s="2421">
        <f>'Смета Внутр'!H504</f>
        <v>0</v>
      </c>
      <c r="I497" s="2421">
        <f>'Смета Внутр'!I504</f>
        <v>0</v>
      </c>
      <c r="J497" s="1055">
        <f>'Смета Внутр'!I504</f>
        <v>0</v>
      </c>
    </row>
    <row r="498" spans="2:10" ht="15" customHeight="1">
      <c r="B498" s="2421" t="str">
        <f>'Смета Внутр'!B505</f>
        <v>нет</v>
      </c>
      <c r="C498" s="2421" t="str">
        <f>'Смета Внутр'!C505</f>
        <v>м2</v>
      </c>
      <c r="D498" s="2421">
        <f>'Смета Внутр'!D505</f>
        <v>0</v>
      </c>
      <c r="E498" s="2421">
        <f>'Смета Внутр'!E505</f>
        <v>0</v>
      </c>
      <c r="F498" s="2421">
        <f>'Смета Внутр'!F505</f>
        <v>0</v>
      </c>
      <c r="G498" s="1042">
        <f t="shared" si="28"/>
        <v>0</v>
      </c>
      <c r="H498" s="2421">
        <f>'Смета Внутр'!H505</f>
        <v>0</v>
      </c>
      <c r="I498" s="2421">
        <f>'Смета Внутр'!I505</f>
        <v>0</v>
      </c>
      <c r="J498" s="1055">
        <f>'Смета Внутр'!I505</f>
        <v>0</v>
      </c>
    </row>
    <row r="499" spans="2:10" ht="15" customHeight="1">
      <c r="B499" s="2421" t="str">
        <f>'Смета Внутр'!B506</f>
        <v xml:space="preserve">Саморезы 3,5 x 25            </v>
      </c>
      <c r="C499" s="2421" t="str">
        <f>'Смета Внутр'!C506</f>
        <v>шт</v>
      </c>
      <c r="D499" s="2421">
        <f>'Смета Внутр'!D506</f>
        <v>0</v>
      </c>
      <c r="E499" s="2421">
        <f>'Смета Внутр'!E506</f>
        <v>0.2</v>
      </c>
      <c r="F499" s="2421">
        <f>'Смета Внутр'!F506</f>
        <v>0</v>
      </c>
      <c r="G499" s="1042">
        <f t="shared" si="28"/>
        <v>0.2</v>
      </c>
      <c r="H499" s="2421">
        <f>'Смета Внутр'!H506</f>
        <v>0</v>
      </c>
      <c r="I499" s="2421">
        <f>'Смета Внутр'!I506</f>
        <v>0</v>
      </c>
      <c r="J499" s="1055">
        <f>'Смета Внутр'!I506</f>
        <v>0</v>
      </c>
    </row>
    <row r="500" spans="2:10" ht="15" customHeight="1">
      <c r="B500" s="2421" t="str">
        <f>'Смета Внутр'!B507</f>
        <v xml:space="preserve">Гвозди ершоные 2,8 х 90            </v>
      </c>
      <c r="C500" s="2421" t="str">
        <f>'Смета Внутр'!C507</f>
        <v>кг</v>
      </c>
      <c r="D500" s="2421">
        <f>'Смета Внутр'!D507</f>
        <v>0</v>
      </c>
      <c r="E500" s="2421">
        <f>'Смета Внутр'!E507</f>
        <v>76.489999999999995</v>
      </c>
      <c r="F500" s="2421">
        <f>'Смета Внутр'!F507</f>
        <v>0</v>
      </c>
      <c r="G500" s="1042">
        <f t="shared" si="28"/>
        <v>76.489999999999995</v>
      </c>
      <c r="H500" s="2421">
        <f>'Смета Внутр'!H507</f>
        <v>0</v>
      </c>
      <c r="I500" s="2421">
        <f>'Смета Внутр'!I507</f>
        <v>0</v>
      </c>
      <c r="J500" s="1055">
        <f>'Смета Внутр'!I507</f>
        <v>0</v>
      </c>
    </row>
    <row r="501" spans="2:10" ht="15" customHeight="1">
      <c r="B501" s="2421" t="str">
        <f>'Смета Внутр'!B508</f>
        <v xml:space="preserve">Гвозди ершоные 3,4 x 60            </v>
      </c>
      <c r="C501" s="2421" t="str">
        <f>'Смета Внутр'!C508</f>
        <v>кг</v>
      </c>
      <c r="D501" s="2421">
        <f>'Смета Внутр'!D508</f>
        <v>0</v>
      </c>
      <c r="E501" s="2421">
        <f>'Смета Внутр'!E508</f>
        <v>75.510000000000005</v>
      </c>
      <c r="F501" s="2421">
        <f>'Смета Внутр'!F508</f>
        <v>0</v>
      </c>
      <c r="G501" s="1042">
        <f t="shared" si="28"/>
        <v>75.510000000000005</v>
      </c>
      <c r="H501" s="2421">
        <f>'Смета Внутр'!H508</f>
        <v>0</v>
      </c>
      <c r="I501" s="2421">
        <f>'Смета Внутр'!I508</f>
        <v>0</v>
      </c>
      <c r="J501" s="1055">
        <f>'Смета Внутр'!I508</f>
        <v>0</v>
      </c>
    </row>
    <row r="502" spans="2:10" ht="15" customHeight="1">
      <c r="B502" s="2421" t="str">
        <f>'Смета Внутр'!B509</f>
        <v>нет ветроизоляции</v>
      </c>
      <c r="C502" s="2421" t="str">
        <f>'Смета Внутр'!C509</f>
        <v>м2</v>
      </c>
      <c r="D502" s="2421">
        <f>'Смета Внутр'!D509</f>
        <v>0</v>
      </c>
      <c r="E502" s="2421">
        <f>'Смета Внутр'!E509</f>
        <v>0</v>
      </c>
      <c r="F502" s="2421">
        <f>'Смета Внутр'!F509</f>
        <v>0</v>
      </c>
      <c r="G502" s="1042">
        <f t="shared" si="28"/>
        <v>0</v>
      </c>
      <c r="H502" s="2421">
        <f>'Смета Внутр'!H509</f>
        <v>0</v>
      </c>
      <c r="I502" s="2421">
        <f>'Смета Внутр'!I509</f>
        <v>0</v>
      </c>
      <c r="J502" s="1055">
        <f>'Смета Внутр'!I509</f>
        <v>0</v>
      </c>
    </row>
    <row r="503" spans="2:10" ht="15" customHeight="1">
      <c r="B503" s="2421" t="str">
        <f>'Смета Внутр'!B510</f>
        <v>нет пароизоляции</v>
      </c>
      <c r="C503" s="2421" t="str">
        <f>'Смета Внутр'!C510</f>
        <v>м2</v>
      </c>
      <c r="D503" s="2421">
        <f>'Смета Внутр'!D510</f>
        <v>0</v>
      </c>
      <c r="E503" s="2421">
        <f>'Смета Внутр'!E510</f>
        <v>0</v>
      </c>
      <c r="F503" s="2421">
        <f>'Смета Внутр'!F510</f>
        <v>0</v>
      </c>
      <c r="G503" s="1042">
        <f t="shared" si="28"/>
        <v>0</v>
      </c>
      <c r="H503" s="2421">
        <f>'Смета Внутр'!H510</f>
        <v>0</v>
      </c>
      <c r="I503" s="2421">
        <f>'Смета Внутр'!I510</f>
        <v>0</v>
      </c>
      <c r="J503" s="1055">
        <f>'Смета Внутр'!I510</f>
        <v>0</v>
      </c>
    </row>
    <row r="504" spans="2:10" ht="15" customHeight="1">
      <c r="B504" s="2421" t="str">
        <f>'Смета Внутр'!B511</f>
        <v>Скобы для степлера, 1000шт/уп</v>
      </c>
      <c r="C504" s="2421" t="str">
        <f>'Смета Внутр'!C511</f>
        <v>уп</v>
      </c>
      <c r="D504" s="2421">
        <f>'Смета Внутр'!D511</f>
        <v>5</v>
      </c>
      <c r="E504" s="2421">
        <f>'Смета Внутр'!E511</f>
        <v>100</v>
      </c>
      <c r="F504" s="2421">
        <f>'Смета Внутр'!F511</f>
        <v>0</v>
      </c>
      <c r="G504" s="1042">
        <f t="shared" si="28"/>
        <v>100</v>
      </c>
      <c r="H504" s="2421">
        <f>'Смета Внутр'!H511</f>
        <v>0</v>
      </c>
      <c r="I504" s="2421">
        <f>'Смета Внутр'!I511</f>
        <v>0</v>
      </c>
      <c r="J504" s="1055">
        <f>'Смета Внутр'!I511</f>
        <v>0</v>
      </c>
    </row>
    <row r="505" spans="2:10" ht="15" customHeight="1">
      <c r="B505" s="3330" t="str">
        <f>'Смета Внутр'!B512</f>
        <v>Итого материалы</v>
      </c>
      <c r="C505" s="3330"/>
      <c r="D505" s="3330"/>
      <c r="E505" s="3330"/>
      <c r="F505" s="3330"/>
      <c r="G505" s="3330"/>
      <c r="H505" s="2421"/>
      <c r="I505" s="2421"/>
      <c r="J505" s="1055">
        <f>'Смета Внутр'!I512</f>
        <v>0</v>
      </c>
    </row>
    <row r="506" spans="2:10" ht="15" customHeight="1">
      <c r="B506" s="3334" t="str">
        <f>'Смета Внутр'!B513</f>
        <v>Работы</v>
      </c>
      <c r="C506" s="3334"/>
      <c r="D506" s="3334"/>
      <c r="E506" s="3334"/>
      <c r="F506" s="3334"/>
      <c r="G506" s="3334"/>
      <c r="H506" s="3334"/>
      <c r="I506" s="3334"/>
      <c r="J506" s="3334"/>
    </row>
    <row r="507" spans="2:10" ht="15" customHeight="1">
      <c r="B507" s="2421" t="str">
        <f>'Смета Внутр'!B514</f>
        <v>монтаж обвязки</v>
      </c>
      <c r="C507" s="2421" t="str">
        <f>'Смета Внутр'!C514</f>
        <v>м.п.</v>
      </c>
      <c r="D507" s="2421">
        <f>'Смета Внутр'!D514</f>
        <v>0</v>
      </c>
      <c r="E507" s="2421">
        <f>'Смета Внутр'!E514</f>
        <v>200</v>
      </c>
      <c r="F507" s="2421">
        <f>'Смета Внутр'!F514</f>
        <v>0</v>
      </c>
      <c r="G507" s="1042">
        <f t="shared" ref="G507:G527" si="29">IF(E507&gt;F507,E507,F507)</f>
        <v>200</v>
      </c>
      <c r="H507" s="2421">
        <f>'Смета Внутр'!H514</f>
        <v>0</v>
      </c>
      <c r="I507" s="2421">
        <f>'Смета Внутр'!I514</f>
        <v>0</v>
      </c>
      <c r="J507" s="1055">
        <f>'Смета Внутр'!I514</f>
        <v>0</v>
      </c>
    </row>
    <row r="508" spans="2:10" ht="15" customHeight="1">
      <c r="B508" s="2421" t="str">
        <f>'Смета Внутр'!B515</f>
        <v>монтаж стен каркаса</v>
      </c>
      <c r="C508" s="2421" t="str">
        <f>'Смета Внутр'!C515</f>
        <v>м2</v>
      </c>
      <c r="D508" s="2421">
        <f>'Смета Внутр'!D515</f>
        <v>0</v>
      </c>
      <c r="E508" s="2421">
        <f>'Смета Внутр'!E515</f>
        <v>400</v>
      </c>
      <c r="F508" s="2421">
        <f>'Смета Внутр'!F515</f>
        <v>0</v>
      </c>
      <c r="G508" s="1042">
        <f t="shared" si="29"/>
        <v>400</v>
      </c>
      <c r="H508" s="2421">
        <f>'Смета Внутр'!H515</f>
        <v>0</v>
      </c>
      <c r="I508" s="2421">
        <f>'Смета Внутр'!I515</f>
        <v>0</v>
      </c>
      <c r="J508" s="1055">
        <f>'Смета Внутр'!I515</f>
        <v>0</v>
      </c>
    </row>
    <row r="509" spans="2:10" ht="15" customHeight="1">
      <c r="B509" s="2421" t="str">
        <f>'Смета Внутр'!B516</f>
        <v>Монтаж несущих перегородок</v>
      </c>
      <c r="C509" s="2421" t="str">
        <f>'Смета Внутр'!C516</f>
        <v>м2</v>
      </c>
      <c r="D509" s="2421">
        <f>'Смета Внутр'!D516</f>
        <v>0</v>
      </c>
      <c r="E509" s="2421">
        <f>'Смета Внутр'!E516</f>
        <v>400</v>
      </c>
      <c r="F509" s="2421">
        <f>'Смета Внутр'!F516</f>
        <v>0</v>
      </c>
      <c r="G509" s="1042">
        <f t="shared" si="29"/>
        <v>400</v>
      </c>
      <c r="H509" s="2421">
        <f>'Смета Внутр'!H516</f>
        <v>0</v>
      </c>
      <c r="I509" s="2421">
        <f>'Смета Внутр'!I516</f>
        <v>0</v>
      </c>
      <c r="J509" s="1055">
        <f>'Смета Внутр'!I516</f>
        <v>0</v>
      </c>
    </row>
    <row r="510" spans="2:10" ht="15" customHeight="1">
      <c r="B510" s="2421" t="str">
        <f>'Смета Внутр'!B517</f>
        <v>Монтаж перегородок</v>
      </c>
      <c r="C510" s="2421" t="str">
        <f>'Смета Внутр'!C517</f>
        <v>м2</v>
      </c>
      <c r="D510" s="2421">
        <f>'Смета Внутр'!D517</f>
        <v>0</v>
      </c>
      <c r="E510" s="2421">
        <f>'Смета Внутр'!E517</f>
        <v>400</v>
      </c>
      <c r="F510" s="2421">
        <f>'Смета Внутр'!F517</f>
        <v>0</v>
      </c>
      <c r="G510" s="1042">
        <f t="shared" si="29"/>
        <v>400</v>
      </c>
      <c r="H510" s="2421">
        <f>'Смета Внутр'!H517</f>
        <v>0</v>
      </c>
      <c r="I510" s="2421">
        <f>'Смета Внутр'!I517</f>
        <v>0</v>
      </c>
      <c r="J510" s="1055">
        <f>'Смета Внутр'!I517</f>
        <v>0</v>
      </c>
    </row>
    <row r="511" spans="2:10" ht="15" customHeight="1">
      <c r="B511" s="2421" t="str">
        <f>'Смета Внутр'!B518</f>
        <v>Монтаж вентиляционного зазора</v>
      </c>
      <c r="C511" s="2421" t="str">
        <f>'Смета Внутр'!C518</f>
        <v>м2</v>
      </c>
      <c r="D511" s="2421">
        <f>'Смета Внутр'!D518</f>
        <v>0</v>
      </c>
      <c r="E511" s="2421">
        <f>'Смета Внутр'!E518</f>
        <v>80</v>
      </c>
      <c r="F511" s="2421">
        <f>'Смета Внутр'!F518</f>
        <v>0</v>
      </c>
      <c r="G511" s="1042">
        <f t="shared" si="29"/>
        <v>80</v>
      </c>
      <c r="H511" s="2421">
        <f>'Смета Внутр'!H518</f>
        <v>0</v>
      </c>
      <c r="I511" s="2421">
        <f>'Смета Внутр'!I518</f>
        <v>0</v>
      </c>
      <c r="J511" s="1055">
        <f>'Смета Внутр'!I518</f>
        <v>0</v>
      </c>
    </row>
    <row r="512" spans="2:10" ht="15" customHeight="1">
      <c r="B512" s="2421" t="str">
        <f>'Смета Внутр'!B519</f>
        <v>Монтаж технологического зазора</v>
      </c>
      <c r="C512" s="2421" t="str">
        <f>'Смета Внутр'!C519</f>
        <v>м2</v>
      </c>
      <c r="D512" s="2421">
        <f>'Смета Внутр'!D519</f>
        <v>0</v>
      </c>
      <c r="E512" s="2421">
        <f>'Смета Внутр'!E519</f>
        <v>80</v>
      </c>
      <c r="F512" s="2421">
        <f>'Смета Внутр'!F519</f>
        <v>0</v>
      </c>
      <c r="G512" s="1042">
        <f t="shared" si="29"/>
        <v>80</v>
      </c>
      <c r="H512" s="2421">
        <f>'Смета Внутр'!H519</f>
        <v>0</v>
      </c>
      <c r="I512" s="2421">
        <f>'Смета Внутр'!I519</f>
        <v>0</v>
      </c>
      <c r="J512" s="1055">
        <f>'Смета Внутр'!I519</f>
        <v>0</v>
      </c>
    </row>
    <row r="513" spans="2:10" ht="15" customHeight="1">
      <c r="B513" s="2421" t="str">
        <f>'Смета Внутр'!B520</f>
        <v>монтаж ветроизоляции стен</v>
      </c>
      <c r="C513" s="2421" t="str">
        <f>'Смета Внутр'!C520</f>
        <v>м2</v>
      </c>
      <c r="D513" s="2421">
        <f>'Смета Внутр'!D520</f>
        <v>0</v>
      </c>
      <c r="E513" s="2421">
        <f>'Смета Внутр'!E520</f>
        <v>100</v>
      </c>
      <c r="F513" s="2421">
        <f>'Смета Внутр'!F520</f>
        <v>0</v>
      </c>
      <c r="G513" s="1042">
        <f t="shared" si="29"/>
        <v>100</v>
      </c>
      <c r="H513" s="2421">
        <f>'Смета Внутр'!H520</f>
        <v>0</v>
      </c>
      <c r="I513" s="2421">
        <f>'Смета Внутр'!I520</f>
        <v>0</v>
      </c>
      <c r="J513" s="1055">
        <f>'Смета Внутр'!I520</f>
        <v>0</v>
      </c>
    </row>
    <row r="514" spans="2:10" ht="15" customHeight="1">
      <c r="B514" s="2421" t="str">
        <f>'Смета Внутр'!B521</f>
        <v>монтаж пароизоляции стен</v>
      </c>
      <c r="C514" s="2421" t="str">
        <f>'Смета Внутр'!C521</f>
        <v>м2</v>
      </c>
      <c r="D514" s="2421">
        <f>'Смета Внутр'!D521</f>
        <v>0</v>
      </c>
      <c r="E514" s="2421">
        <f>'Смета Внутр'!E521</f>
        <v>100</v>
      </c>
      <c r="F514" s="2421">
        <f>'Смета Внутр'!F521</f>
        <v>0</v>
      </c>
      <c r="G514" s="1042">
        <f t="shared" si="29"/>
        <v>100</v>
      </c>
      <c r="H514" s="2421">
        <f>'Смета Внутр'!H521</f>
        <v>0</v>
      </c>
      <c r="I514" s="2421">
        <f>'Смета Внутр'!I521</f>
        <v>0</v>
      </c>
      <c r="J514" s="1055">
        <f>'Смета Внутр'!I521</f>
        <v>0</v>
      </c>
    </row>
    <row r="515" spans="2:10" ht="15" customHeight="1">
      <c r="B515" s="2421" t="str">
        <f>'Смета Внутр'!B522</f>
        <v>монтаж osb/фанера наруж стены</v>
      </c>
      <c r="C515" s="2421" t="str">
        <f>'Смета Внутр'!C522</f>
        <v>м2</v>
      </c>
      <c r="D515" s="2421">
        <f>'Смета Внутр'!D522</f>
        <v>0</v>
      </c>
      <c r="E515" s="2421">
        <f>'Смета Внутр'!E522</f>
        <v>200</v>
      </c>
      <c r="F515" s="2421">
        <f>'Смета Внутр'!F522</f>
        <v>0</v>
      </c>
      <c r="G515" s="1042">
        <f t="shared" si="29"/>
        <v>200</v>
      </c>
      <c r="H515" s="2421">
        <f>'Смета Внутр'!H522</f>
        <v>0</v>
      </c>
      <c r="I515" s="2421">
        <f>'Смета Внутр'!I522</f>
        <v>0</v>
      </c>
      <c r="J515" s="1055">
        <f>'Смета Внутр'!I522</f>
        <v>0</v>
      </c>
    </row>
    <row r="516" spans="2:10" ht="15" customHeight="1">
      <c r="B516" s="2421" t="str">
        <f>'Смета Внутр'!B523</f>
        <v>монтаж osb/фанера потолок</v>
      </c>
      <c r="C516" s="2421" t="str">
        <f>'Смета Внутр'!C523</f>
        <v>м2</v>
      </c>
      <c r="D516" s="2421">
        <f>'Смета Внутр'!D523</f>
        <v>0</v>
      </c>
      <c r="E516" s="2421">
        <f>'Смета Внутр'!E523</f>
        <v>200</v>
      </c>
      <c r="F516" s="2421">
        <f>'Смета Внутр'!F523</f>
        <v>0</v>
      </c>
      <c r="G516" s="1042">
        <f t="shared" si="29"/>
        <v>200</v>
      </c>
      <c r="H516" s="2421">
        <f>'Смета Внутр'!H523</f>
        <v>0</v>
      </c>
      <c r="I516" s="2421">
        <f>'Смета Внутр'!I523</f>
        <v>0</v>
      </c>
      <c r="J516" s="1055">
        <f>'Смета Внутр'!I523</f>
        <v>0</v>
      </c>
    </row>
    <row r="517" spans="2:10" ht="15" customHeight="1">
      <c r="B517" s="2421" t="str">
        <f>'Смета Внутр'!B524</f>
        <v>монтаж osb/фанера перегородки</v>
      </c>
      <c r="C517" s="2421" t="str">
        <f>'Смета Внутр'!C524</f>
        <v>м2</v>
      </c>
      <c r="D517" s="2421">
        <f>'Смета Внутр'!D524</f>
        <v>0</v>
      </c>
      <c r="E517" s="2421">
        <f>'Смета Внутр'!E524</f>
        <v>200</v>
      </c>
      <c r="F517" s="2421">
        <f>'Смета Внутр'!F524</f>
        <v>0</v>
      </c>
      <c r="G517" s="1042">
        <f t="shared" si="29"/>
        <v>200</v>
      </c>
      <c r="H517" s="2421">
        <f>'Смета Внутр'!H524</f>
        <v>0</v>
      </c>
      <c r="I517" s="2421">
        <f>'Смета Внутр'!I524</f>
        <v>0</v>
      </c>
      <c r="J517" s="1055">
        <f>'Смета Внутр'!I524</f>
        <v>0</v>
      </c>
    </row>
    <row r="518" spans="2:10" ht="15" customHeight="1">
      <c r="B518" s="2421" t="str">
        <f>'Смета Внутр'!B525</f>
        <v>монтаж osb/фанера пол</v>
      </c>
      <c r="C518" s="2421" t="str">
        <f>'Смета Внутр'!C525</f>
        <v>м2</v>
      </c>
      <c r="D518" s="2421">
        <f>'Смета Внутр'!D525</f>
        <v>100</v>
      </c>
      <c r="E518" s="2421">
        <f>'Смета Внутр'!E525</f>
        <v>200</v>
      </c>
      <c r="F518" s="2421">
        <f>'Смета Внутр'!F525</f>
        <v>0</v>
      </c>
      <c r="G518" s="1042">
        <f t="shared" si="29"/>
        <v>200</v>
      </c>
      <c r="H518" s="2421">
        <f>'Смета Внутр'!H525</f>
        <v>0</v>
      </c>
      <c r="I518" s="2421">
        <f>'Смета Внутр'!I525</f>
        <v>0</v>
      </c>
      <c r="J518" s="1055">
        <f>'Смета Внутр'!I525</f>
        <v>0</v>
      </c>
    </row>
    <row r="519" spans="2:10" ht="15" customHeight="1">
      <c r="B519" s="2421" t="str">
        <f>'Смета Внутр'!B526</f>
        <v>утепление наружних стен</v>
      </c>
      <c r="C519" s="2421" t="str">
        <f>'Смета Внутр'!C526</f>
        <v>м2</v>
      </c>
      <c r="D519" s="2421">
        <f>'Смета Внутр'!D526</f>
        <v>0</v>
      </c>
      <c r="E519" s="2421">
        <f>'Смета Внутр'!E526</f>
        <v>200</v>
      </c>
      <c r="F519" s="2421">
        <f>'Смета Внутр'!F526</f>
        <v>0</v>
      </c>
      <c r="G519" s="1042">
        <f t="shared" si="29"/>
        <v>200</v>
      </c>
      <c r="H519" s="2421">
        <f>'Смета Внутр'!H526</f>
        <v>0</v>
      </c>
      <c r="I519" s="2421">
        <f>'Смета Внутр'!I526</f>
        <v>0</v>
      </c>
      <c r="J519" s="1055">
        <f>'Смета Внутр'!I526</f>
        <v>0</v>
      </c>
    </row>
    <row r="520" spans="2:10" ht="15" customHeight="1">
      <c r="B520" s="2421" t="str">
        <f>'Смета Внутр'!B527</f>
        <v>Утепление перегородок</v>
      </c>
      <c r="C520" s="2421" t="str">
        <f>'Смета Внутр'!C527</f>
        <v>м2</v>
      </c>
      <c r="D520" s="2421">
        <f>'Смета Внутр'!D527</f>
        <v>0</v>
      </c>
      <c r="E520" s="2421">
        <f>'Смета Внутр'!E527</f>
        <v>200</v>
      </c>
      <c r="F520" s="2421">
        <f>'Смета Внутр'!F527</f>
        <v>0</v>
      </c>
      <c r="G520" s="1042">
        <f t="shared" si="29"/>
        <v>200</v>
      </c>
      <c r="H520" s="2421">
        <f>'Смета Внутр'!H527</f>
        <v>0</v>
      </c>
      <c r="I520" s="2421">
        <f>'Смета Внутр'!I527</f>
        <v>0</v>
      </c>
      <c r="J520" s="1055">
        <f>'Смета Внутр'!I527</f>
        <v>0</v>
      </c>
    </row>
    <row r="521" spans="2:10" ht="15" customHeight="1">
      <c r="B521" s="2421" t="str">
        <f>'Смета Внутр'!B528</f>
        <v>Монтаж горизонтальной обрешетки</v>
      </c>
      <c r="C521" s="2421" t="str">
        <f>'Смета Внутр'!C528</f>
        <v>м2</v>
      </c>
      <c r="D521" s="2421">
        <f>'Смета Внутр'!D528</f>
        <v>0</v>
      </c>
      <c r="E521" s="2421">
        <f>'Смета Внутр'!E528</f>
        <v>100</v>
      </c>
      <c r="F521" s="2421">
        <f>'Смета Внутр'!F528</f>
        <v>0</v>
      </c>
      <c r="G521" s="1042">
        <f t="shared" si="29"/>
        <v>100</v>
      </c>
      <c r="H521" s="2421">
        <f>'Смета Внутр'!H528</f>
        <v>0</v>
      </c>
      <c r="I521" s="2421">
        <f>'Смета Внутр'!I528</f>
        <v>0</v>
      </c>
      <c r="J521" s="1055">
        <f>'Смета Внутр'!I528</f>
        <v>0</v>
      </c>
    </row>
    <row r="522" spans="2:10" ht="15" customHeight="1">
      <c r="B522" s="2421" t="str">
        <f>'Смета Внутр'!B529</f>
        <v>Монтаж вертикальной обрешетки</v>
      </c>
      <c r="C522" s="2421" t="str">
        <f>'Смета Внутр'!C529</f>
        <v>м2</v>
      </c>
      <c r="D522" s="2421">
        <f>'Смета Внутр'!D529</f>
        <v>0</v>
      </c>
      <c r="E522" s="2421">
        <f>'Смета Внутр'!E529</f>
        <v>100</v>
      </c>
      <c r="F522" s="2421">
        <f>'Смета Внутр'!F529</f>
        <v>0</v>
      </c>
      <c r="G522" s="1042">
        <f t="shared" si="29"/>
        <v>100</v>
      </c>
      <c r="H522" s="2421">
        <f>'Смета Внутр'!H529</f>
        <v>0</v>
      </c>
      <c r="I522" s="2421">
        <f>'Смета Внутр'!I529</f>
        <v>0</v>
      </c>
      <c r="J522" s="1055">
        <f>'Смета Внутр'!I529</f>
        <v>0</v>
      </c>
    </row>
    <row r="523" spans="2:10" ht="15" customHeight="1">
      <c r="B523" s="2421" t="str">
        <f>'Смета Внутр'!B530</f>
        <v>Монтаж обрешетки потолок</v>
      </c>
      <c r="C523" s="2421" t="str">
        <f>'Смета Внутр'!C530</f>
        <v>м2</v>
      </c>
      <c r="D523" s="2421">
        <f>'Смета Внутр'!D530</f>
        <v>0</v>
      </c>
      <c r="E523" s="2421">
        <f>'Смета Внутр'!E530</f>
        <v>100</v>
      </c>
      <c r="F523" s="2421">
        <f>'Смета Внутр'!F530</f>
        <v>0</v>
      </c>
      <c r="G523" s="1042">
        <f t="shared" si="29"/>
        <v>100</v>
      </c>
      <c r="H523" s="2421">
        <f>'Смета Внутр'!H530</f>
        <v>0</v>
      </c>
      <c r="I523" s="2421">
        <f>'Смета Внутр'!I530</f>
        <v>0</v>
      </c>
      <c r="J523" s="1055">
        <f>'Смета Внутр'!I530</f>
        <v>0</v>
      </c>
    </row>
    <row r="524" spans="2:10" ht="15" customHeight="1">
      <c r="B524" s="2421" t="str">
        <f>'Смета Внутр'!B531</f>
        <v>Монтаж профлист потолок</v>
      </c>
      <c r="C524" s="2421" t="str">
        <f>'Смета Внутр'!C531</f>
        <v>м2</v>
      </c>
      <c r="D524" s="2421">
        <f>'Смета Внутр'!D531</f>
        <v>0</v>
      </c>
      <c r="E524" s="2421">
        <f>'Смета Внутр'!E531</f>
        <v>100</v>
      </c>
      <c r="F524" s="2421">
        <f>'Смета Внутр'!F531</f>
        <v>0</v>
      </c>
      <c r="G524" s="1042">
        <f t="shared" si="29"/>
        <v>100</v>
      </c>
      <c r="H524" s="2421">
        <f>'Смета Внутр'!H531</f>
        <v>0</v>
      </c>
      <c r="I524" s="2421">
        <f>'Смета Внутр'!I531</f>
        <v>0</v>
      </c>
      <c r="J524" s="1055">
        <f>'Смета Внутр'!I531</f>
        <v>0</v>
      </c>
    </row>
    <row r="525" spans="2:10" ht="15" customHeight="1">
      <c r="B525" s="2421" t="str">
        <f>'Смета Внутр'!B532</f>
        <v>Монтаж обрешетки пол</v>
      </c>
      <c r="C525" s="2421" t="str">
        <f>'Смета Внутр'!C532</f>
        <v>м2</v>
      </c>
      <c r="D525" s="2421">
        <f>'Смета Внутр'!D532</f>
        <v>0</v>
      </c>
      <c r="E525" s="2421">
        <f>'Смета Внутр'!E532</f>
        <v>100</v>
      </c>
      <c r="F525" s="2421">
        <f>'Смета Внутр'!F532</f>
        <v>0</v>
      </c>
      <c r="G525" s="1042">
        <f t="shared" si="29"/>
        <v>100</v>
      </c>
      <c r="H525" s="2421">
        <f>'Смета Внутр'!H532</f>
        <v>0</v>
      </c>
      <c r="I525" s="2421">
        <f>'Смета Внутр'!I532</f>
        <v>0</v>
      </c>
      <c r="J525" s="1055">
        <f>'Смета Внутр'!I532</f>
        <v>0</v>
      </c>
    </row>
    <row r="526" spans="2:10" ht="15" customHeight="1">
      <c r="B526" s="2421" t="str">
        <f>'Смета Внутр'!B533</f>
        <v>Монтаж профлист пол</v>
      </c>
      <c r="C526" s="2421" t="str">
        <f>'Смета Внутр'!C533</f>
        <v>м2</v>
      </c>
      <c r="D526" s="2421">
        <f>'Смета Внутр'!D533</f>
        <v>0</v>
      </c>
      <c r="E526" s="2421">
        <f>'Смета Внутр'!E533</f>
        <v>100</v>
      </c>
      <c r="F526" s="2421">
        <f>'Смета Внутр'!F533</f>
        <v>0</v>
      </c>
      <c r="G526" s="1042">
        <f t="shared" si="29"/>
        <v>100</v>
      </c>
      <c r="H526" s="2421">
        <f>'Смета Внутр'!H533</f>
        <v>0</v>
      </c>
      <c r="I526" s="2421">
        <f>'Смета Внутр'!I533</f>
        <v>0</v>
      </c>
      <c r="J526" s="1055">
        <f>'Смета Внутр'!I533</f>
        <v>0</v>
      </c>
    </row>
    <row r="527" spans="2:10" ht="15" customHeight="1">
      <c r="B527" s="2421" t="str">
        <f>'Смета Внутр'!B534</f>
        <v>монтаж osb/фанера пол</v>
      </c>
      <c r="C527" s="2421" t="str">
        <f>'Смета Внутр'!C534</f>
        <v>м2</v>
      </c>
      <c r="D527" s="2421">
        <f>'Смета Внутр'!D534</f>
        <v>100</v>
      </c>
      <c r="E527" s="2421">
        <f>'Смета Внутр'!E534</f>
        <v>200</v>
      </c>
      <c r="F527" s="2421">
        <f>'Смета Внутр'!F534</f>
        <v>0</v>
      </c>
      <c r="G527" s="1042">
        <f t="shared" si="29"/>
        <v>200</v>
      </c>
      <c r="H527" s="2421">
        <f>'Смета Внутр'!H534</f>
        <v>0</v>
      </c>
      <c r="I527" s="2421">
        <f>'Смета Внутр'!I534</f>
        <v>0</v>
      </c>
      <c r="J527" s="1055">
        <f>'Смета Внутр'!I534</f>
        <v>0</v>
      </c>
    </row>
    <row r="528" spans="2:10" ht="15" customHeight="1">
      <c r="B528" s="3330" t="str">
        <f>'Смета Внутр'!B535</f>
        <v>Итого работы</v>
      </c>
      <c r="C528" s="3330"/>
      <c r="D528" s="3330"/>
      <c r="E528" s="3330"/>
      <c r="F528" s="3330"/>
      <c r="G528" s="3330"/>
      <c r="H528" s="2421"/>
      <c r="I528" s="2421"/>
      <c r="J528" s="1055">
        <f>'Смета Внутр'!I535</f>
        <v>0</v>
      </c>
    </row>
    <row r="529" spans="2:10" ht="15" customHeight="1">
      <c r="B529" s="3333" t="str">
        <f>'Смета Внутр'!B536</f>
        <v>Техника и дополнительные расходы</v>
      </c>
      <c r="C529" s="3333"/>
      <c r="D529" s="3333"/>
      <c r="E529" s="3333"/>
      <c r="F529" s="3333"/>
      <c r="G529" s="3333"/>
      <c r="H529" s="3333"/>
      <c r="I529" s="3333"/>
      <c r="J529" s="3333"/>
    </row>
    <row r="530" spans="2:10" ht="15" customHeight="1">
      <c r="B530" s="2702" t="str">
        <f>'Смета Внутр'!B537</f>
        <v>Командировочные расходы</v>
      </c>
      <c r="C530" s="2702">
        <f>'Смета Внутр'!C537</f>
        <v>0</v>
      </c>
      <c r="D530" s="2702">
        <f>'Смета Внутр'!D537</f>
        <v>1</v>
      </c>
      <c r="E530" s="2702">
        <f>'Смета Внутр'!E537</f>
        <v>0</v>
      </c>
      <c r="F530" s="2702">
        <f>'Смета Внутр'!F537</f>
        <v>0</v>
      </c>
      <c r="G530" s="1042">
        <f>IF(E530&gt;F530,E530,F530)</f>
        <v>0</v>
      </c>
      <c r="H530" s="2702">
        <f>'Смета Внутр'!H537</f>
        <v>0</v>
      </c>
      <c r="I530" s="2702">
        <f>'Смета Внутр'!I537</f>
        <v>0</v>
      </c>
      <c r="J530" s="1279">
        <f>'Смета Внутр'!I537</f>
        <v>0</v>
      </c>
    </row>
    <row r="531" spans="2:10" ht="15" customHeight="1">
      <c r="B531" s="2702" t="str">
        <f>'Смета Внутр'!B538</f>
        <v>расходные материалы каркасный дом</v>
      </c>
      <c r="C531" s="2702">
        <f>'Смета Внутр'!C538</f>
        <v>0</v>
      </c>
      <c r="D531" s="2702">
        <f>'Смета Внутр'!D538</f>
        <v>1</v>
      </c>
      <c r="E531" s="2702">
        <f>'Смета Внутр'!E538</f>
        <v>12000</v>
      </c>
      <c r="F531" s="2702">
        <f>'Смета Внутр'!F538</f>
        <v>0</v>
      </c>
      <c r="G531" s="1042">
        <f>IF(E531&gt;F531,E531,F531)</f>
        <v>12000</v>
      </c>
      <c r="H531" s="2702">
        <f>'Смета Внутр'!H538</f>
        <v>0</v>
      </c>
      <c r="I531" s="2702">
        <f>'Смета Внутр'!I538</f>
        <v>0</v>
      </c>
      <c r="J531" s="1279">
        <f>'Смета Внутр'!I538</f>
        <v>0</v>
      </c>
    </row>
    <row r="532" spans="2:10" ht="15" customHeight="1">
      <c r="B532" s="2702" t="str">
        <f>'Смета Внутр'!B539</f>
        <v>Нет техники</v>
      </c>
      <c r="C532" s="2702">
        <f>'Смета Внутр'!C539</f>
        <v>0</v>
      </c>
      <c r="D532" s="2702">
        <f>'Смета Внутр'!D539</f>
        <v>2</v>
      </c>
      <c r="E532" s="2702">
        <f>'Смета Внутр'!E539</f>
        <v>0</v>
      </c>
      <c r="F532" s="2702">
        <f>'Смета Внутр'!F539</f>
        <v>0</v>
      </c>
      <c r="G532" s="1042">
        <f>IF(E532&gt;F532,E532,F532)</f>
        <v>0</v>
      </c>
      <c r="H532" s="2702">
        <f>'Смета Внутр'!H539</f>
        <v>0</v>
      </c>
      <c r="I532" s="2702">
        <f>'Смета Внутр'!I539</f>
        <v>0</v>
      </c>
      <c r="J532" s="1279">
        <f>'Смета Внутр'!I539</f>
        <v>0</v>
      </c>
    </row>
    <row r="533" spans="2:10" ht="15" customHeight="1">
      <c r="B533" s="3333" t="str">
        <f>'Смета Внутр'!B540</f>
        <v>Итого</v>
      </c>
      <c r="C533" s="3333"/>
      <c r="D533" s="3333"/>
      <c r="E533" s="3333"/>
      <c r="F533" s="3333"/>
      <c r="G533" s="3333"/>
      <c r="H533" s="2426"/>
      <c r="I533" s="2426"/>
      <c r="J533" s="1279">
        <f>'Смета Внутр'!I540</f>
        <v>0</v>
      </c>
    </row>
    <row r="534" spans="2:10" ht="15" customHeight="1">
      <c r="B534" s="3336" t="str">
        <f>'Смета Внутр'!B541</f>
        <v>Дом из Газобетона</v>
      </c>
      <c r="C534" s="3336"/>
      <c r="D534" s="3336"/>
      <c r="H534">
        <f>'Смета Внутр'!G541</f>
        <v>0</v>
      </c>
      <c r="I534">
        <f>'Смета Внутр'!H541</f>
        <v>0</v>
      </c>
      <c r="J534" s="3027">
        <f>'Смета Внутр'!I541</f>
        <v>0</v>
      </c>
    </row>
    <row r="535" spans="2:10" ht="15" customHeight="1">
      <c r="B535" s="3002" t="str">
        <f>'Смета Внутр'!B542</f>
        <v>Материалы</v>
      </c>
      <c r="D535" s="1167"/>
      <c r="H535">
        <f>'Смета Внутр'!G542</f>
        <v>0</v>
      </c>
      <c r="I535">
        <f>'Смета Внутр'!H542</f>
        <v>0</v>
      </c>
      <c r="J535" s="3027">
        <f>'Смета Внутр'!I542</f>
        <v>0</v>
      </c>
    </row>
    <row r="536" spans="2:10" ht="15" customHeight="1">
      <c r="B536" s="1042" t="str">
        <f>'Смета Внутр'!B543</f>
        <v xml:space="preserve">Газоблок D400 200х100х390 </v>
      </c>
      <c r="C536" s="1042" t="str">
        <f>'Смета Внутр'!C543</f>
        <v>м3</v>
      </c>
      <c r="D536" s="1058">
        <f>'Смета Внутр'!D543</f>
        <v>-3.12</v>
      </c>
      <c r="E536" s="1042">
        <f>'Смета Внутр'!E543</f>
        <v>4200</v>
      </c>
      <c r="F536" s="1042">
        <f>'Смета Внутр'!F543</f>
        <v>0</v>
      </c>
      <c r="G536" s="1042">
        <f t="shared" ref="G536:G567" si="30">IF(E536&gt;F536,E536,F536)</f>
        <v>4200</v>
      </c>
      <c r="H536" s="1042">
        <f>'Смета Внутр'!G543</f>
        <v>-13104</v>
      </c>
      <c r="I536" s="1042">
        <f>'Смета Внутр'!H543</f>
        <v>0</v>
      </c>
      <c r="J536" s="1058">
        <f>'Смета Внутр'!I543</f>
        <v>0</v>
      </c>
    </row>
    <row r="537" spans="2:10" ht="15" customHeight="1">
      <c r="B537" s="1042" t="str">
        <f>'Смета Внутр'!B544</f>
        <v xml:space="preserve">Газоблок D500 200х100х390 </v>
      </c>
      <c r="C537" s="1042" t="str">
        <f>'Смета Внутр'!C544</f>
        <v>м3</v>
      </c>
      <c r="D537" s="1058">
        <f>'Смета Внутр'!D544</f>
        <v>0</v>
      </c>
      <c r="E537" s="1042">
        <f>'Смета Внутр'!E544</f>
        <v>4200</v>
      </c>
      <c r="F537" s="1042">
        <f>'Смета Внутр'!F544</f>
        <v>0</v>
      </c>
      <c r="G537" s="1042">
        <f t="shared" si="30"/>
        <v>4200</v>
      </c>
      <c r="H537" s="1042">
        <f>'Смета Внутр'!G544</f>
        <v>0</v>
      </c>
      <c r="I537" s="1042">
        <f>'Смета Внутр'!H544</f>
        <v>0</v>
      </c>
      <c r="J537" s="1058">
        <f>'Смета Внутр'!I544</f>
        <v>0</v>
      </c>
    </row>
    <row r="538" spans="2:10" ht="15" customHeight="1">
      <c r="B538" s="1042" t="str">
        <f>'Смета Внутр'!B545</f>
        <v xml:space="preserve">Газоблок D400 200х400х390 </v>
      </c>
      <c r="C538" s="1042" t="str">
        <f>'Смета Внутр'!C545</f>
        <v>м3</v>
      </c>
      <c r="D538" s="1058">
        <f>'Смета Внутр'!D545</f>
        <v>0</v>
      </c>
      <c r="E538" s="1042">
        <f>'Смета Внутр'!E545</f>
        <v>4200</v>
      </c>
      <c r="F538" s="1042">
        <f>'Смета Внутр'!F545</f>
        <v>0</v>
      </c>
      <c r="G538" s="1042">
        <f t="shared" si="30"/>
        <v>4200</v>
      </c>
      <c r="H538" s="1042">
        <f>'Смета Внутр'!G545</f>
        <v>0</v>
      </c>
      <c r="I538" s="1042">
        <f>'Смета Внутр'!H545</f>
        <v>0</v>
      </c>
      <c r="J538" s="1058">
        <f>'Смета Внутр'!I545</f>
        <v>0</v>
      </c>
    </row>
    <row r="539" spans="2:10" ht="15" customHeight="1">
      <c r="B539" s="1042" t="str">
        <f>'Смета Внутр'!B546</f>
        <v xml:space="preserve">Газоблокпоясной  D400 200х100х390 </v>
      </c>
      <c r="C539" s="1042" t="str">
        <f>'Смета Внутр'!C546</f>
        <v>м3</v>
      </c>
      <c r="D539" s="1058">
        <f>'Смета Внутр'!D546</f>
        <v>3.0888</v>
      </c>
      <c r="E539" s="1042">
        <f>'Смета Внутр'!E546</f>
        <v>4200</v>
      </c>
      <c r="F539" s="1042">
        <f>'Смета Внутр'!F546</f>
        <v>0</v>
      </c>
      <c r="G539" s="1042">
        <f t="shared" si="30"/>
        <v>4200</v>
      </c>
      <c r="H539" s="1042">
        <f>'Смета Внутр'!G546</f>
        <v>12972.96</v>
      </c>
      <c r="I539" s="1042">
        <f>'Смета Внутр'!H546</f>
        <v>0</v>
      </c>
      <c r="J539" s="1058">
        <f>'Смета Внутр'!I546</f>
        <v>0</v>
      </c>
    </row>
    <row r="540" spans="2:10" ht="15" customHeight="1">
      <c r="B540" s="1042" t="str">
        <f>'Смета Внутр'!B547</f>
        <v>Поясной 200х100х600 угловой внешний</v>
      </c>
      <c r="C540" s="1042" t="str">
        <f>'Смета Внутр'!C547</f>
        <v>м3</v>
      </c>
      <c r="D540" s="1058">
        <f>'Смета Внутр'!D547</f>
        <v>3.1199999999999999E-2</v>
      </c>
      <c r="E540" s="1042">
        <f>'Смета Внутр'!E547</f>
        <v>4200</v>
      </c>
      <c r="F540" s="1042">
        <f>'Смета Внутр'!F547</f>
        <v>0</v>
      </c>
      <c r="G540" s="1042">
        <f t="shared" si="30"/>
        <v>4200</v>
      </c>
      <c r="H540" s="1042">
        <f>'Смета Внутр'!G547</f>
        <v>131.04</v>
      </c>
      <c r="I540" s="1042">
        <f>'Смета Внутр'!H547</f>
        <v>0</v>
      </c>
      <c r="J540" s="1058">
        <f>'Смета Внутр'!I547</f>
        <v>0</v>
      </c>
    </row>
    <row r="541" spans="2:10" ht="15" customHeight="1">
      <c r="B541" s="1042" t="str">
        <f>'Смета Внутр'!B548</f>
        <v>Поясной 200х100х600 угловой внутренний</v>
      </c>
      <c r="C541" s="1042" t="str">
        <f>'Смета Внутр'!C548</f>
        <v>м3</v>
      </c>
      <c r="D541" s="1058">
        <f>'Смета Внутр'!D548</f>
        <v>0</v>
      </c>
      <c r="E541" s="1042">
        <f>'Смета Внутр'!E548</f>
        <v>4200</v>
      </c>
      <c r="F541" s="1042">
        <f>'Смета Внутр'!F548</f>
        <v>0</v>
      </c>
      <c r="G541" s="1042">
        <f t="shared" si="30"/>
        <v>4200</v>
      </c>
      <c r="H541" s="1042">
        <f>'Смета Внутр'!G548</f>
        <v>0</v>
      </c>
      <c r="I541" s="1042">
        <f>'Смета Внутр'!H548</f>
        <v>0</v>
      </c>
      <c r="J541" s="1058">
        <f>'Смета Внутр'!I548</f>
        <v>0</v>
      </c>
    </row>
    <row r="542" spans="2:10" ht="15" customHeight="1">
      <c r="B542" s="1042" t="str">
        <f>'Смета Внутр'!B549</f>
        <v>200х100х600 угловой внешний</v>
      </c>
      <c r="C542" s="1042" t="str">
        <f>'Смета Внутр'!C549</f>
        <v>м3</v>
      </c>
      <c r="D542" s="1058">
        <f>'Смета Внутр'!D549</f>
        <v>0.72</v>
      </c>
      <c r="E542" s="1042">
        <f>'Смета Внутр'!E549</f>
        <v>4200</v>
      </c>
      <c r="F542" s="1042">
        <f>'Смета Внутр'!F549</f>
        <v>0</v>
      </c>
      <c r="G542" s="1042">
        <f t="shared" si="30"/>
        <v>4200</v>
      </c>
      <c r="H542" s="1042">
        <f>'Смета Внутр'!G549</f>
        <v>3024</v>
      </c>
      <c r="I542" s="1042">
        <f>'Смета Внутр'!H549</f>
        <v>0</v>
      </c>
      <c r="J542" s="1058">
        <f>'Смета Внутр'!I549</f>
        <v>0</v>
      </c>
    </row>
    <row r="543" spans="2:10" ht="15" customHeight="1">
      <c r="B543" s="1042" t="str">
        <f>'Смета Внутр'!B550</f>
        <v>200х100х600 угловой внутренний</v>
      </c>
      <c r="C543" s="1042" t="str">
        <f>'Смета Внутр'!C550</f>
        <v>м4</v>
      </c>
      <c r="D543" s="1058">
        <f>'Смета Внутр'!D550</f>
        <v>0</v>
      </c>
      <c r="E543" s="1042">
        <f>'Смета Внутр'!E550</f>
        <v>4200</v>
      </c>
      <c r="F543" s="1042">
        <f>'Смета Внутр'!F550</f>
        <v>0</v>
      </c>
      <c r="G543" s="1042">
        <f t="shared" si="30"/>
        <v>4200</v>
      </c>
      <c r="H543" s="1042">
        <f>'Смета Внутр'!G550</f>
        <v>0</v>
      </c>
      <c r="I543" s="1042">
        <f>'Смета Внутр'!H550</f>
        <v>0</v>
      </c>
      <c r="J543" s="1058">
        <f>'Смета Внутр'!I550</f>
        <v>0</v>
      </c>
    </row>
    <row r="544" spans="2:10" ht="15" customHeight="1">
      <c r="B544" s="1042" t="str">
        <f>'Смета Внутр'!B551</f>
        <v>Клей монтажный ВК-100</v>
      </c>
      <c r="C544" s="1042" t="str">
        <f>'Смета Внутр'!C551</f>
        <v>меш</v>
      </c>
      <c r="D544" s="1058">
        <f>'Смета Внутр'!D551</f>
        <v>0</v>
      </c>
      <c r="E544" s="1042">
        <f>'Смета Внутр'!E551</f>
        <v>185</v>
      </c>
      <c r="F544" s="1042">
        <f>'Смета Внутр'!F551</f>
        <v>0</v>
      </c>
      <c r="G544" s="1042">
        <f t="shared" si="30"/>
        <v>185</v>
      </c>
      <c r="H544" s="1042">
        <f>'Смета Внутр'!G551</f>
        <v>0</v>
      </c>
      <c r="I544" s="1042">
        <f>'Смета Внутр'!H551</f>
        <v>0</v>
      </c>
      <c r="J544" s="1058">
        <f>'Смета Внутр'!I551</f>
        <v>0</v>
      </c>
    </row>
    <row r="545" spans="2:10" ht="15" customHeight="1">
      <c r="B545" s="1042" t="e">
        <f>'Смета Внутр'!B552</f>
        <v>#N/A</v>
      </c>
      <c r="C545" s="1042" t="str">
        <f>'Смета Внутр'!C552</f>
        <v>меш</v>
      </c>
      <c r="D545" s="1058">
        <f>'Смета Внутр'!D552</f>
        <v>-2.2740721919999962</v>
      </c>
      <c r="E545" s="1042">
        <f>'Смета Внутр'!E552</f>
        <v>0</v>
      </c>
      <c r="F545" s="1042">
        <f>'Смета Внутр'!F552</f>
        <v>0</v>
      </c>
      <c r="G545" s="1042">
        <f t="shared" si="30"/>
        <v>0</v>
      </c>
      <c r="H545" s="1042">
        <f>'Смета Внутр'!G552</f>
        <v>0</v>
      </c>
      <c r="I545" s="1042">
        <f>'Смета Внутр'!H552</f>
        <v>0</v>
      </c>
      <c r="J545" s="1058">
        <f>'Смета Внутр'!I552</f>
        <v>0</v>
      </c>
    </row>
    <row r="546" spans="2:10" ht="15" customHeight="1">
      <c r="B546" s="1042" t="e">
        <f>'Смета Внутр'!B553</f>
        <v>#N/A</v>
      </c>
      <c r="C546" s="1042" t="str">
        <f>'Смета Внутр'!C553</f>
        <v>м3</v>
      </c>
      <c r="D546" s="1058">
        <f>'Смета Внутр'!D553</f>
        <v>-0.54144575999999911</v>
      </c>
      <c r="E546" s="1042">
        <f>'Смета Внутр'!E553</f>
        <v>0</v>
      </c>
      <c r="F546" s="1042">
        <f>'Смета Внутр'!F553</f>
        <v>0</v>
      </c>
      <c r="G546" s="1042">
        <f t="shared" si="30"/>
        <v>0</v>
      </c>
      <c r="H546" s="1042">
        <f>'Смета Внутр'!G553</f>
        <v>0</v>
      </c>
      <c r="I546" s="1042">
        <f>'Смета Внутр'!H553</f>
        <v>0</v>
      </c>
      <c r="J546" s="1058">
        <f>'Смета Внутр'!I553</f>
        <v>0</v>
      </c>
    </row>
    <row r="547" spans="2:10" ht="15" customHeight="1">
      <c r="B547" s="1042" t="str">
        <f>'Смета Внутр'!B554</f>
        <v>Доставка песка</v>
      </c>
      <c r="C547" s="1042" t="str">
        <f>'Смета Внутр'!C554</f>
        <v>маш</v>
      </c>
      <c r="D547" s="1058">
        <f>'Смета Внутр'!D554</f>
        <v>0</v>
      </c>
      <c r="E547" s="1042">
        <f>'Смета Внутр'!E554</f>
        <v>0</v>
      </c>
      <c r="F547" s="1042">
        <f>'Смета Внутр'!F554</f>
        <v>0</v>
      </c>
      <c r="G547" s="1042">
        <f t="shared" si="30"/>
        <v>0</v>
      </c>
      <c r="H547" s="1042">
        <f>'Смета Внутр'!G554</f>
        <v>0</v>
      </c>
      <c r="I547" s="1042">
        <f>'Смета Внутр'!H554</f>
        <v>0</v>
      </c>
      <c r="J547" s="1058">
        <f>'Смета Внутр'!I554</f>
        <v>0</v>
      </c>
    </row>
    <row r="548" spans="2:10" ht="15" customHeight="1">
      <c r="B548" s="1042" t="e">
        <f>'Смета Внутр'!B555</f>
        <v>#N/A</v>
      </c>
      <c r="C548" s="1042" t="str">
        <f>'Смета Внутр'!C555</f>
        <v>м3</v>
      </c>
      <c r="D548" s="1058">
        <f>'Смета Внутр'!D555</f>
        <v>-0.54144575999999911</v>
      </c>
      <c r="E548" s="1042">
        <f>'Смета Внутр'!E555</f>
        <v>0</v>
      </c>
      <c r="F548" s="1042">
        <f>'Смета Внутр'!F555</f>
        <v>0</v>
      </c>
      <c r="G548" s="1042">
        <f t="shared" si="30"/>
        <v>0</v>
      </c>
      <c r="H548" s="1042">
        <f>'Смета Внутр'!G555</f>
        <v>0</v>
      </c>
      <c r="I548" s="1042">
        <f>'Смета Внутр'!H555</f>
        <v>0</v>
      </c>
      <c r="J548" s="1058">
        <f>'Смета Внутр'!I555</f>
        <v>0</v>
      </c>
    </row>
    <row r="549" spans="2:10" ht="15" customHeight="1">
      <c r="B549" s="1042" t="str">
        <f>'Смета Внутр'!B556</f>
        <v>Арматура М6 каждый 3-й ряд, 2 нити</v>
      </c>
      <c r="C549" s="1042" t="str">
        <f>'Смета Внутр'!C556</f>
        <v>м.п.</v>
      </c>
      <c r="D549" s="1058">
        <f>'Смета Внутр'!D556</f>
        <v>480</v>
      </c>
      <c r="E549" s="1042">
        <f>'Смета Внутр'!E556</f>
        <v>0</v>
      </c>
      <c r="F549" s="1042">
        <f>'Смета Внутр'!F556</f>
        <v>0</v>
      </c>
      <c r="G549" s="1042">
        <f t="shared" si="30"/>
        <v>0</v>
      </c>
      <c r="H549" s="1042">
        <f>'Смета Внутр'!G556</f>
        <v>0</v>
      </c>
      <c r="I549" s="1042">
        <f>'Смета Внутр'!H556</f>
        <v>0</v>
      </c>
      <c r="J549" s="1058">
        <f>'Смета Внутр'!I556</f>
        <v>0</v>
      </c>
    </row>
    <row r="550" spans="2:10" ht="15" customHeight="1">
      <c r="B550" s="1042" t="str">
        <f>'Смета Внутр'!B557</f>
        <v>Арматура М6 каждый 3-й ряд, 2 нити</v>
      </c>
      <c r="C550" s="1042" t="str">
        <f>'Смета Внутр'!C557</f>
        <v>м.п.</v>
      </c>
      <c r="D550" s="1058">
        <f>'Смета Внутр'!D557</f>
        <v>0</v>
      </c>
      <c r="E550" s="1042">
        <f>'Смета Внутр'!E557</f>
        <v>0</v>
      </c>
      <c r="F550" s="1042">
        <f>'Смета Внутр'!F557</f>
        <v>0</v>
      </c>
      <c r="G550" s="1042">
        <f t="shared" si="30"/>
        <v>0</v>
      </c>
      <c r="H550" s="1042">
        <f>'Смета Внутр'!G557</f>
        <v>0</v>
      </c>
      <c r="I550" s="1042">
        <f>'Смета Внутр'!H557</f>
        <v>0</v>
      </c>
      <c r="J550" s="1058">
        <f>'Смета Внутр'!I557</f>
        <v>0</v>
      </c>
    </row>
    <row r="551" spans="2:10" ht="15" customHeight="1">
      <c r="B551" s="1042" t="str">
        <f>'Смета Внутр'!B558</f>
        <v>Перемычка оконная, 1-ый эт. Вариант 1</v>
      </c>
      <c r="C551" s="1042" t="str">
        <f>'Смета Внутр'!C558</f>
        <v>м.п.</v>
      </c>
      <c r="D551" s="1058">
        <f>'Смета Внутр'!D558</f>
        <v>1</v>
      </c>
      <c r="E551" s="1042">
        <f>'Смета Внутр'!E558</f>
        <v>1000</v>
      </c>
      <c r="F551" s="1042">
        <f>'Смета Внутр'!F558</f>
        <v>0</v>
      </c>
      <c r="G551" s="1042">
        <f t="shared" si="30"/>
        <v>1000</v>
      </c>
      <c r="H551" s="1042">
        <f>'Смета Внутр'!G558</f>
        <v>1000</v>
      </c>
      <c r="I551" s="1042">
        <f>'Смета Внутр'!H558</f>
        <v>0</v>
      </c>
      <c r="J551" s="1058">
        <f>'Смета Внутр'!I558</f>
        <v>0</v>
      </c>
    </row>
    <row r="552" spans="2:10" ht="15" customHeight="1">
      <c r="B552" s="1042" t="str">
        <f>'Смета Внутр'!B559</f>
        <v>Перемычка оконная, 1-ый эт. Вариант 2</v>
      </c>
      <c r="C552" s="1042" t="str">
        <f>'Смета Внутр'!C559</f>
        <v>м.п.</v>
      </c>
      <c r="D552" s="1058">
        <f>'Смета Внутр'!D559</f>
        <v>0</v>
      </c>
      <c r="E552" s="1042">
        <f>'Смета Внутр'!E559</f>
        <v>1000</v>
      </c>
      <c r="F552" s="1042">
        <f>'Смета Внутр'!F559</f>
        <v>0</v>
      </c>
      <c r="G552" s="1042">
        <f t="shared" si="30"/>
        <v>1000</v>
      </c>
      <c r="H552" s="1042">
        <f>'Смета Внутр'!G559</f>
        <v>0</v>
      </c>
      <c r="I552" s="1042">
        <f>'Смета Внутр'!H559</f>
        <v>0</v>
      </c>
      <c r="J552" s="1058">
        <f>'Смета Внутр'!I559</f>
        <v>0</v>
      </c>
    </row>
    <row r="553" spans="2:10" ht="15" customHeight="1">
      <c r="B553" s="1042" t="str">
        <f>'Смета Внутр'!B560</f>
        <v>Перемычка оконная, 1-ый эт. Вариант 3</v>
      </c>
      <c r="C553" s="1042" t="str">
        <f>'Смета Внутр'!C560</f>
        <v>м.п.</v>
      </c>
      <c r="D553" s="1058">
        <f>'Смета Внутр'!D560</f>
        <v>0</v>
      </c>
      <c r="E553" s="1042">
        <f>'Смета Внутр'!E560</f>
        <v>1000</v>
      </c>
      <c r="F553" s="1042">
        <f>'Смета Внутр'!F560</f>
        <v>0</v>
      </c>
      <c r="G553" s="1042">
        <f t="shared" si="30"/>
        <v>1000</v>
      </c>
      <c r="H553" s="1042">
        <f>'Смета Внутр'!G560</f>
        <v>0</v>
      </c>
      <c r="I553" s="1042">
        <f>'Смета Внутр'!H560</f>
        <v>0</v>
      </c>
      <c r="J553" s="1058">
        <f>'Смета Внутр'!I560</f>
        <v>0</v>
      </c>
    </row>
    <row r="554" spans="2:10" ht="15" customHeight="1">
      <c r="B554" s="1042" t="str">
        <f>'Смета Внутр'!B561</f>
        <v>Перемычка оконная, 1-ый эт. Вариант 4</v>
      </c>
      <c r="C554" s="1042" t="str">
        <f>'Смета Внутр'!C561</f>
        <v>м.п.</v>
      </c>
      <c r="D554" s="1058">
        <f>'Смета Внутр'!D561</f>
        <v>0</v>
      </c>
      <c r="E554" s="1042">
        <f>'Смета Внутр'!E561</f>
        <v>1000</v>
      </c>
      <c r="F554" s="1042">
        <f>'Смета Внутр'!F561</f>
        <v>0</v>
      </c>
      <c r="G554" s="1042">
        <f t="shared" si="30"/>
        <v>1000</v>
      </c>
      <c r="H554" s="1042">
        <f>'Смета Внутр'!G561</f>
        <v>0</v>
      </c>
      <c r="I554" s="1042">
        <f>'Смета Внутр'!H561</f>
        <v>0</v>
      </c>
      <c r="J554" s="1058">
        <f>'Смета Внутр'!I561</f>
        <v>0</v>
      </c>
    </row>
    <row r="555" spans="2:10" ht="15" customHeight="1">
      <c r="B555" s="1042" t="str">
        <f>'Смета Внутр'!B562</f>
        <v>Перемычка оконная, 1-ый эт. Вариант 5</v>
      </c>
      <c r="C555" s="1042" t="str">
        <f>'Смета Внутр'!C562</f>
        <v>м.п.</v>
      </c>
      <c r="D555" s="1058">
        <f>'Смета Внутр'!D562</f>
        <v>0</v>
      </c>
      <c r="E555" s="1042">
        <f>'Смета Внутр'!E562</f>
        <v>1000</v>
      </c>
      <c r="F555" s="1042">
        <f>'Смета Внутр'!F562</f>
        <v>0</v>
      </c>
      <c r="G555" s="1042">
        <f t="shared" si="30"/>
        <v>1000</v>
      </c>
      <c r="H555" s="1042">
        <f>'Смета Внутр'!G562</f>
        <v>0</v>
      </c>
      <c r="I555" s="1042">
        <f>'Смета Внутр'!H562</f>
        <v>0</v>
      </c>
      <c r="J555" s="1058">
        <f>'Смета Внутр'!I562</f>
        <v>0</v>
      </c>
    </row>
    <row r="556" spans="2:10" ht="15" customHeight="1">
      <c r="B556" s="1042" t="str">
        <f>'Смета Внутр'!B563</f>
        <v>Перемычка оконная, 2-ый эт. Вариант 6</v>
      </c>
      <c r="C556" s="1042" t="str">
        <f>'Смета Внутр'!C563</f>
        <v>м.п.</v>
      </c>
      <c r="D556" s="1058">
        <f>'Смета Внутр'!D563</f>
        <v>0</v>
      </c>
      <c r="E556" s="1042">
        <f>'Смета Внутр'!E563</f>
        <v>1000</v>
      </c>
      <c r="F556" s="1042">
        <f>'Смета Внутр'!F563</f>
        <v>0</v>
      </c>
      <c r="G556" s="1042">
        <f t="shared" si="30"/>
        <v>1000</v>
      </c>
      <c r="H556" s="1042">
        <f>'Смета Внутр'!G563</f>
        <v>0</v>
      </c>
      <c r="I556" s="1042">
        <f>'Смета Внутр'!H563</f>
        <v>0</v>
      </c>
      <c r="J556" s="1058">
        <f>'Смета Внутр'!I563</f>
        <v>0</v>
      </c>
    </row>
    <row r="557" spans="2:10" ht="15" customHeight="1">
      <c r="B557" s="1042" t="str">
        <f>'Смета Внутр'!B564</f>
        <v>Перемычка оконная, 2-ый эт. Вариант 7</v>
      </c>
      <c r="C557" s="1042" t="str">
        <f>'Смета Внутр'!C564</f>
        <v>м.п.</v>
      </c>
      <c r="D557" s="1058">
        <f>'Смета Внутр'!D564</f>
        <v>0</v>
      </c>
      <c r="E557" s="1042">
        <f>'Смета Внутр'!E564</f>
        <v>1000</v>
      </c>
      <c r="F557" s="1042">
        <f>'Смета Внутр'!F564</f>
        <v>0</v>
      </c>
      <c r="G557" s="1042">
        <f t="shared" si="30"/>
        <v>1000</v>
      </c>
      <c r="H557" s="1042">
        <f>'Смета Внутр'!G564</f>
        <v>0</v>
      </c>
      <c r="I557" s="1042">
        <f>'Смета Внутр'!H564</f>
        <v>0</v>
      </c>
      <c r="J557" s="1058">
        <f>'Смета Внутр'!I564</f>
        <v>0</v>
      </c>
    </row>
    <row r="558" spans="2:10" ht="15" customHeight="1">
      <c r="B558" s="1042" t="str">
        <f>'Смета Внутр'!B565</f>
        <v>Перемычка оконная, 2-ый эт. Вариант 8</v>
      </c>
      <c r="C558" s="1042" t="str">
        <f>'Смета Внутр'!C565</f>
        <v>м.п.</v>
      </c>
      <c r="D558" s="1058">
        <f>'Смета Внутр'!D565</f>
        <v>0</v>
      </c>
      <c r="E558" s="1042">
        <f>'Смета Внутр'!E565</f>
        <v>1000</v>
      </c>
      <c r="F558" s="1042">
        <f>'Смета Внутр'!F565</f>
        <v>0</v>
      </c>
      <c r="G558" s="1042">
        <f t="shared" si="30"/>
        <v>1000</v>
      </c>
      <c r="H558" s="1042">
        <f>'Смета Внутр'!G565</f>
        <v>0</v>
      </c>
      <c r="I558" s="1042">
        <f>'Смета Внутр'!H565</f>
        <v>0</v>
      </c>
      <c r="J558" s="1058">
        <f>'Смета Внутр'!I565</f>
        <v>0</v>
      </c>
    </row>
    <row r="559" spans="2:10" ht="15" customHeight="1">
      <c r="B559" s="1042" t="str">
        <f>'Смета Внутр'!B566</f>
        <v>Перемычка оконная, 2-ый эт. Вариант 9</v>
      </c>
      <c r="C559" s="1042" t="str">
        <f>'Смета Внутр'!C566</f>
        <v>м.п.</v>
      </c>
      <c r="D559" s="1058">
        <f>'Смета Внутр'!D566</f>
        <v>0</v>
      </c>
      <c r="E559" s="1042">
        <f>'Смета Внутр'!E566</f>
        <v>1000</v>
      </c>
      <c r="F559" s="1042">
        <f>'Смета Внутр'!F566</f>
        <v>0</v>
      </c>
      <c r="G559" s="1042">
        <f t="shared" si="30"/>
        <v>1000</v>
      </c>
      <c r="H559" s="1042">
        <f>'Смета Внутр'!G566</f>
        <v>0</v>
      </c>
      <c r="I559" s="1042">
        <f>'Смета Внутр'!H566</f>
        <v>0</v>
      </c>
      <c r="J559" s="1058">
        <f>'Смета Внутр'!I566</f>
        <v>0</v>
      </c>
    </row>
    <row r="560" spans="2:10" ht="15" customHeight="1">
      <c r="B560" s="1042" t="str">
        <f>'Смета Внутр'!B567</f>
        <v>Перемычка оконная, 2-ый эт. Вариант 10</v>
      </c>
      <c r="C560" s="1042" t="str">
        <f>'Смета Внутр'!C567</f>
        <v>м.п.</v>
      </c>
      <c r="D560" s="1058">
        <f>'Смета Внутр'!D567</f>
        <v>0</v>
      </c>
      <c r="E560" s="1042">
        <f>'Смета Внутр'!E567</f>
        <v>1000</v>
      </c>
      <c r="F560" s="1042">
        <f>'Смета Внутр'!F567</f>
        <v>0</v>
      </c>
      <c r="G560" s="1042">
        <f t="shared" si="30"/>
        <v>1000</v>
      </c>
      <c r="H560" s="1042">
        <f>'Смета Внутр'!G567</f>
        <v>0</v>
      </c>
      <c r="I560" s="1042">
        <f>'Смета Внутр'!H567</f>
        <v>0</v>
      </c>
      <c r="J560" s="1058">
        <f>'Смета Внутр'!I567</f>
        <v>0</v>
      </c>
    </row>
    <row r="561" spans="2:10" ht="15" customHeight="1">
      <c r="B561" s="1042" t="str">
        <f>'Смета Внутр'!B568</f>
        <v>Перемычка дверная, 1-ый эт. Вариант 1</v>
      </c>
      <c r="C561" s="1042" t="str">
        <f>'Смета Внутр'!C568</f>
        <v>м.п.</v>
      </c>
      <c r="D561" s="1058">
        <f>'Смета Внутр'!D568</f>
        <v>0</v>
      </c>
      <c r="E561" s="1042">
        <f>'Смета Внутр'!E568</f>
        <v>1000</v>
      </c>
      <c r="F561" s="1042">
        <f>'Смета Внутр'!F568</f>
        <v>0</v>
      </c>
      <c r="G561" s="1042">
        <f t="shared" si="30"/>
        <v>1000</v>
      </c>
      <c r="H561" s="1042">
        <f>'Смета Внутр'!G568</f>
        <v>0</v>
      </c>
      <c r="I561" s="1042">
        <f>'Смета Внутр'!H568</f>
        <v>0</v>
      </c>
      <c r="J561" s="1058">
        <f>'Смета Внутр'!I568</f>
        <v>0</v>
      </c>
    </row>
    <row r="562" spans="2:10" ht="15" customHeight="1">
      <c r="B562" s="1042" t="str">
        <f>'Смета Внутр'!B569</f>
        <v>Перемычка дверная, 2-ый эт. Вариант 2</v>
      </c>
      <c r="C562" s="1042" t="str">
        <f>'Смета Внутр'!C569</f>
        <v>м.п.</v>
      </c>
      <c r="D562" s="1058">
        <f>'Смета Внутр'!D569</f>
        <v>0</v>
      </c>
      <c r="E562" s="1042">
        <f>'Смета Внутр'!E569</f>
        <v>1000</v>
      </c>
      <c r="F562" s="1042">
        <f>'Смета Внутр'!F569</f>
        <v>0</v>
      </c>
      <c r="G562" s="1042">
        <f t="shared" si="30"/>
        <v>1000</v>
      </c>
      <c r="H562" s="1042">
        <f>'Смета Внутр'!G569</f>
        <v>0</v>
      </c>
      <c r="I562" s="1042">
        <f>'Смета Внутр'!H569</f>
        <v>0</v>
      </c>
      <c r="J562" s="1058">
        <f>'Смета Внутр'!I569</f>
        <v>0</v>
      </c>
    </row>
    <row r="563" spans="2:10" ht="15" customHeight="1">
      <c r="B563" s="1042" t="str">
        <f>'Смета Внутр'!B570</f>
        <v>Перемычка оконная 1-ый эт, Вариант 11</v>
      </c>
      <c r="C563" s="1042" t="str">
        <f>'Смета Внутр'!C570</f>
        <v>м.п.</v>
      </c>
      <c r="D563" s="1058">
        <f>'Смета Внутр'!D570</f>
        <v>0</v>
      </c>
      <c r="E563" s="1042">
        <f>'Смета Внутр'!E570</f>
        <v>1000</v>
      </c>
      <c r="F563" s="1042">
        <f>'Смета Внутр'!F570</f>
        <v>0</v>
      </c>
      <c r="G563" s="1042">
        <f t="shared" si="30"/>
        <v>1000</v>
      </c>
      <c r="H563" s="1042">
        <f>'Смета Внутр'!G570</f>
        <v>0</v>
      </c>
      <c r="I563" s="1042">
        <f>'Смета Внутр'!H570</f>
        <v>0</v>
      </c>
      <c r="J563" s="1058">
        <f>'Смета Внутр'!I570</f>
        <v>0</v>
      </c>
    </row>
    <row r="564" spans="2:10" ht="15" customHeight="1">
      <c r="B564" s="1042" t="str">
        <f>'Смета Внутр'!B571</f>
        <v>Перемычка оконная 1-ый эт, Вариант 12</v>
      </c>
      <c r="C564" s="1042" t="str">
        <f>'Смета Внутр'!C571</f>
        <v>м.п.</v>
      </c>
      <c r="D564" s="1058">
        <f>'Смета Внутр'!D571</f>
        <v>0</v>
      </c>
      <c r="E564" s="1042">
        <f>'Смета Внутр'!E571</f>
        <v>1000</v>
      </c>
      <c r="F564" s="1042">
        <f>'Смета Внутр'!F571</f>
        <v>0</v>
      </c>
      <c r="G564" s="1042">
        <f t="shared" si="30"/>
        <v>1000</v>
      </c>
      <c r="H564" s="1042">
        <f>'Смета Внутр'!G571</f>
        <v>0</v>
      </c>
      <c r="I564" s="1042">
        <f>'Смета Внутр'!H571</f>
        <v>0</v>
      </c>
      <c r="J564" s="1058">
        <f>'Смета Внутр'!I571</f>
        <v>0</v>
      </c>
    </row>
    <row r="565" spans="2:10" ht="15" customHeight="1">
      <c r="B565" s="1042" t="str">
        <f>'Смета Внутр'!B572</f>
        <v>Перемычка дверная, 1-ый эт. Вариант 4</v>
      </c>
      <c r="C565" s="1042" t="str">
        <f>'Смета Внутр'!C572</f>
        <v>м.п.</v>
      </c>
      <c r="D565" s="1058">
        <f>'Смета Внутр'!D572</f>
        <v>0</v>
      </c>
      <c r="E565" s="1042">
        <f>'Смета Внутр'!E572</f>
        <v>1000</v>
      </c>
      <c r="F565" s="1042">
        <f>'Смета Внутр'!F572</f>
        <v>0</v>
      </c>
      <c r="G565" s="1042">
        <f t="shared" si="30"/>
        <v>1000</v>
      </c>
      <c r="H565" s="1042">
        <f>'Смета Внутр'!G572</f>
        <v>0</v>
      </c>
      <c r="I565" s="1042">
        <f>'Смета Внутр'!H572</f>
        <v>0</v>
      </c>
      <c r="J565" s="1058">
        <f>'Смета Внутр'!I572</f>
        <v>0</v>
      </c>
    </row>
    <row r="566" spans="2:10" ht="15" customHeight="1">
      <c r="B566" s="1042" t="str">
        <f>'Смета Внутр'!B573</f>
        <v>Перемычка дверная, 1-ый эт. Вариант 5</v>
      </c>
      <c r="C566" s="1042" t="str">
        <f>'Смета Внутр'!C573</f>
        <v>м.п.</v>
      </c>
      <c r="D566" s="1058">
        <f>'Смета Внутр'!D573</f>
        <v>0</v>
      </c>
      <c r="E566" s="1042">
        <f>'Смета Внутр'!E573</f>
        <v>1000</v>
      </c>
      <c r="F566" s="1042">
        <f>'Смета Внутр'!F573</f>
        <v>0</v>
      </c>
      <c r="G566" s="1042">
        <f t="shared" si="30"/>
        <v>1000</v>
      </c>
      <c r="H566" s="1042">
        <f>'Смета Внутр'!G573</f>
        <v>0</v>
      </c>
      <c r="I566" s="1042">
        <f>'Смета Внутр'!H573</f>
        <v>0</v>
      </c>
      <c r="J566" s="1058">
        <f>'Смета Внутр'!I573</f>
        <v>0</v>
      </c>
    </row>
    <row r="567" spans="2:10" ht="15" customHeight="1">
      <c r="B567" s="1042" t="str">
        <f>'Смета Внутр'!B574</f>
        <v>Перемычка дверная, 1-ый эт. Вариант 6</v>
      </c>
      <c r="C567" s="1042" t="str">
        <f>'Смета Внутр'!C574</f>
        <v>м.п.</v>
      </c>
      <c r="D567" s="1058">
        <f>'Смета Внутр'!D574</f>
        <v>0</v>
      </c>
      <c r="E567" s="1042">
        <f>'Смета Внутр'!E574</f>
        <v>1000</v>
      </c>
      <c r="F567" s="1042">
        <f>'Смета Внутр'!F574</f>
        <v>0</v>
      </c>
      <c r="G567" s="1042">
        <f t="shared" si="30"/>
        <v>1000</v>
      </c>
      <c r="H567" s="1042">
        <f>'Смета Внутр'!G574</f>
        <v>0</v>
      </c>
      <c r="I567" s="1042">
        <f>'Смета Внутр'!H574</f>
        <v>0</v>
      </c>
      <c r="J567" s="1058">
        <f>'Смета Внутр'!I574</f>
        <v>0</v>
      </c>
    </row>
    <row r="568" spans="2:10" ht="15" customHeight="1">
      <c r="B568" s="1042" t="str">
        <f>'Смета Внутр'!B575</f>
        <v>Перемычка дверная, 2-ый эт. Вариант 7</v>
      </c>
      <c r="C568" s="1042" t="str">
        <f>'Смета Внутр'!C575</f>
        <v>м.п.</v>
      </c>
      <c r="D568" s="1058">
        <f>'Смета Внутр'!D575</f>
        <v>0</v>
      </c>
      <c r="E568" s="1042">
        <f>'Смета Внутр'!E575</f>
        <v>1000</v>
      </c>
      <c r="F568" s="1042">
        <f>'Смета Внутр'!F575</f>
        <v>0</v>
      </c>
      <c r="G568" s="1042">
        <f t="shared" ref="G568:G599" si="31">IF(E568&gt;F568,E568,F568)</f>
        <v>1000</v>
      </c>
      <c r="H568" s="1042">
        <f>'Смета Внутр'!G575</f>
        <v>0</v>
      </c>
      <c r="I568" s="1042">
        <f>'Смета Внутр'!H575</f>
        <v>0</v>
      </c>
      <c r="J568" s="1058">
        <f>'Смета Внутр'!I575</f>
        <v>0</v>
      </c>
    </row>
    <row r="569" spans="2:10" ht="15" customHeight="1">
      <c r="B569" s="1042" t="str">
        <f>'Смета Внутр'!B576</f>
        <v>Перемычка дверная, 2-ый эт. Вариант 8</v>
      </c>
      <c r="C569" s="1042" t="str">
        <f>'Смета Внутр'!C576</f>
        <v>м.п.</v>
      </c>
      <c r="D569" s="1058">
        <f>'Смета Внутр'!D576</f>
        <v>0</v>
      </c>
      <c r="E569" s="1042">
        <f>'Смета Внутр'!E576</f>
        <v>1000</v>
      </c>
      <c r="F569" s="1042">
        <f>'Смета Внутр'!F576</f>
        <v>0</v>
      </c>
      <c r="G569" s="1042">
        <f t="shared" si="31"/>
        <v>1000</v>
      </c>
      <c r="H569" s="1042">
        <f>'Смета Внутр'!G576</f>
        <v>0</v>
      </c>
      <c r="I569" s="1042">
        <f>'Смета Внутр'!H576</f>
        <v>0</v>
      </c>
      <c r="J569" s="1058">
        <f>'Смета Внутр'!I576</f>
        <v>0</v>
      </c>
    </row>
    <row r="570" spans="2:10" ht="15" customHeight="1">
      <c r="B570" s="1042" t="str">
        <f>'Смета Внутр'!B577</f>
        <v>Перемычка дверная, 2-ый эт. Вариант 9</v>
      </c>
      <c r="C570" s="1042" t="str">
        <f>'Смета Внутр'!C577</f>
        <v>м.п.</v>
      </c>
      <c r="D570" s="1058">
        <f>'Смета Внутр'!D577</f>
        <v>0</v>
      </c>
      <c r="E570" s="1042">
        <f>'Смета Внутр'!E577</f>
        <v>1000</v>
      </c>
      <c r="F570" s="1042">
        <f>'Смета Внутр'!F577</f>
        <v>0</v>
      </c>
      <c r="G570" s="1042">
        <f t="shared" si="31"/>
        <v>1000</v>
      </c>
      <c r="H570" s="1042">
        <f>'Смета Внутр'!G577</f>
        <v>0</v>
      </c>
      <c r="I570" s="1042">
        <f>'Смета Внутр'!H577</f>
        <v>0</v>
      </c>
      <c r="J570" s="1058">
        <f>'Смета Внутр'!I577</f>
        <v>0</v>
      </c>
    </row>
    <row r="571" spans="2:10" ht="15" customHeight="1">
      <c r="B571" s="1042" t="str">
        <f>'Смета Внутр'!B578</f>
        <v>Перемычка проема, 1-ый эт. Вариант 10</v>
      </c>
      <c r="C571" s="1042" t="str">
        <f>'Смета Внутр'!C578</f>
        <v>м.п.</v>
      </c>
      <c r="D571" s="1058">
        <f>'Смета Внутр'!D578</f>
        <v>0</v>
      </c>
      <c r="E571" s="1042">
        <f>'Смета Внутр'!E578</f>
        <v>1000</v>
      </c>
      <c r="F571" s="1042">
        <f>'Смета Внутр'!F578</f>
        <v>0</v>
      </c>
      <c r="G571" s="1042">
        <f t="shared" si="31"/>
        <v>1000</v>
      </c>
      <c r="H571" s="1042">
        <f>'Смета Внутр'!G578</f>
        <v>0</v>
      </c>
      <c r="I571" s="1042">
        <f>'Смета Внутр'!H578</f>
        <v>0</v>
      </c>
      <c r="J571" s="1058">
        <f>'Смета Внутр'!I578</f>
        <v>0</v>
      </c>
    </row>
    <row r="572" spans="2:10" ht="15" customHeight="1">
      <c r="B572" s="1042" t="str">
        <f>'Смета Внутр'!B579</f>
        <v>Перемычка проема, 1-ый эт. Вариант 11</v>
      </c>
      <c r="C572" s="1042" t="str">
        <f>'Смета Внутр'!C579</f>
        <v>м.п.</v>
      </c>
      <c r="D572" s="1058">
        <f>'Смета Внутр'!D579</f>
        <v>0</v>
      </c>
      <c r="E572" s="1042">
        <f>'Смета Внутр'!E579</f>
        <v>1000</v>
      </c>
      <c r="F572" s="1042">
        <f>'Смета Внутр'!F579</f>
        <v>0</v>
      </c>
      <c r="G572" s="1042">
        <f t="shared" si="31"/>
        <v>1000</v>
      </c>
      <c r="H572" s="1042">
        <f>'Смета Внутр'!G579</f>
        <v>0</v>
      </c>
      <c r="I572" s="1042">
        <f>'Смета Внутр'!H579</f>
        <v>0</v>
      </c>
      <c r="J572" s="1058">
        <f>'Смета Внутр'!I579</f>
        <v>0</v>
      </c>
    </row>
    <row r="573" spans="2:10" ht="15" customHeight="1">
      <c r="B573" s="1042" t="str">
        <f>'Смета Внутр'!B580</f>
        <v>Перемычка проема, 2-ый эт. Вариант 12</v>
      </c>
      <c r="C573" s="1042" t="str">
        <f>'Смета Внутр'!C580</f>
        <v>м.п.</v>
      </c>
      <c r="D573" s="1058">
        <f>'Смета Внутр'!D580</f>
        <v>0</v>
      </c>
      <c r="E573" s="1042">
        <f>'Смета Внутр'!E580</f>
        <v>1000</v>
      </c>
      <c r="F573" s="1042">
        <f>'Смета Внутр'!F580</f>
        <v>0</v>
      </c>
      <c r="G573" s="1042">
        <f t="shared" si="31"/>
        <v>1000</v>
      </c>
      <c r="H573" s="1042">
        <f>'Смета Внутр'!G580</f>
        <v>0</v>
      </c>
      <c r="I573" s="1042">
        <f>'Смета Внутр'!H580</f>
        <v>0</v>
      </c>
      <c r="J573" s="1058">
        <f>'Смета Внутр'!I580</f>
        <v>0</v>
      </c>
    </row>
    <row r="574" spans="2:10" ht="15" customHeight="1">
      <c r="B574" s="1042" t="str">
        <f>'Смета Внутр'!B581</f>
        <v>Перемычка проема, 2-ый эт. Вариант 13</v>
      </c>
      <c r="C574" s="1042" t="str">
        <f>'Смета Внутр'!C581</f>
        <v>м.п.</v>
      </c>
      <c r="D574" s="1058">
        <f>'Смета Внутр'!D581</f>
        <v>0</v>
      </c>
      <c r="E574" s="1042">
        <f>'Смета Внутр'!E581</f>
        <v>1000</v>
      </c>
      <c r="F574" s="1042">
        <f>'Смета Внутр'!F581</f>
        <v>0</v>
      </c>
      <c r="G574" s="1042">
        <f t="shared" si="31"/>
        <v>1000</v>
      </c>
      <c r="H574" s="1042">
        <f>'Смета Внутр'!G581</f>
        <v>0</v>
      </c>
      <c r="I574" s="1042">
        <f>'Смета Внутр'!H581</f>
        <v>0</v>
      </c>
      <c r="J574" s="1058">
        <f>'Смета Внутр'!I581</f>
        <v>0</v>
      </c>
    </row>
    <row r="575" spans="2:10" ht="15" customHeight="1">
      <c r="B575" s="1042" t="str">
        <f>'Смета Внутр'!B582</f>
        <v>Перемычка дверная, 1-ый эт. Вариант 1</v>
      </c>
      <c r="C575" s="1042" t="str">
        <f>'Смета Внутр'!C582</f>
        <v>м.п.</v>
      </c>
      <c r="D575" s="1058">
        <f>'Смета Внутр'!D582</f>
        <v>0</v>
      </c>
      <c r="E575" s="1042">
        <f>'Смета Внутр'!E582</f>
        <v>1000</v>
      </c>
      <c r="F575" s="1042">
        <f>'Смета Внутр'!F582</f>
        <v>0</v>
      </c>
      <c r="G575" s="1042">
        <f t="shared" si="31"/>
        <v>1000</v>
      </c>
      <c r="H575" s="1042">
        <f>'Смета Внутр'!G582</f>
        <v>0</v>
      </c>
      <c r="I575" s="1042">
        <f>'Смета Внутр'!H582</f>
        <v>0</v>
      </c>
      <c r="J575" s="1058">
        <f>'Смета Внутр'!I582</f>
        <v>0</v>
      </c>
    </row>
    <row r="576" spans="2:10" ht="15" customHeight="1">
      <c r="B576" s="1042" t="str">
        <f>'Смета Внутр'!B583</f>
        <v>Перемычка дверная, 1-ый эт. Вариант 2</v>
      </c>
      <c r="C576" s="1042" t="str">
        <f>'Смета Внутр'!C583</f>
        <v>м.п.</v>
      </c>
      <c r="D576" s="1058">
        <f>'Смета Внутр'!D583</f>
        <v>0</v>
      </c>
      <c r="E576" s="1042">
        <f>'Смета Внутр'!E583</f>
        <v>1000</v>
      </c>
      <c r="F576" s="1042">
        <f>'Смета Внутр'!F583</f>
        <v>0</v>
      </c>
      <c r="G576" s="1042">
        <f t="shared" si="31"/>
        <v>1000</v>
      </c>
      <c r="H576" s="1042">
        <f>'Смета Внутр'!G583</f>
        <v>0</v>
      </c>
      <c r="I576" s="1042">
        <f>'Смета Внутр'!H583</f>
        <v>0</v>
      </c>
      <c r="J576" s="1058">
        <f>'Смета Внутр'!I583</f>
        <v>0</v>
      </c>
    </row>
    <row r="577" spans="2:10" ht="15" customHeight="1">
      <c r="B577" s="1042" t="str">
        <f>'Смета Внутр'!B584</f>
        <v>Перемычка дверная, 1-ый эт. Вариант 3</v>
      </c>
      <c r="C577" s="1042" t="str">
        <f>'Смета Внутр'!C584</f>
        <v>м.п.</v>
      </c>
      <c r="D577" s="1058">
        <f>'Смета Внутр'!D584</f>
        <v>0</v>
      </c>
      <c r="E577" s="1042">
        <f>'Смета Внутр'!E584</f>
        <v>1000</v>
      </c>
      <c r="F577" s="1042">
        <f>'Смета Внутр'!F584</f>
        <v>0</v>
      </c>
      <c r="G577" s="1042">
        <f t="shared" si="31"/>
        <v>1000</v>
      </c>
      <c r="H577" s="1042">
        <f>'Смета Внутр'!G584</f>
        <v>0</v>
      </c>
      <c r="I577" s="1042">
        <f>'Смета Внутр'!H584</f>
        <v>0</v>
      </c>
      <c r="J577" s="1058">
        <f>'Смета Внутр'!I584</f>
        <v>0</v>
      </c>
    </row>
    <row r="578" spans="2:10" ht="15" customHeight="1">
      <c r="B578" s="1042" t="str">
        <f>'Смета Внутр'!B585</f>
        <v>Сосна влаж,200*40мм</v>
      </c>
      <c r="C578" s="1042" t="str">
        <f>'Смета Внутр'!C585</f>
        <v>м3</v>
      </c>
      <c r="D578" s="1058">
        <f>'Смета Внутр'!D585</f>
        <v>0.83200000000000007</v>
      </c>
      <c r="E578" s="1042">
        <f>'Смета Внутр'!E585</f>
        <v>6500</v>
      </c>
      <c r="F578" s="1042">
        <f>'Смета Внутр'!F585</f>
        <v>0</v>
      </c>
      <c r="G578" s="1042">
        <f t="shared" si="31"/>
        <v>6500</v>
      </c>
      <c r="H578" s="1042">
        <f>'Смета Внутр'!G585</f>
        <v>5408.0000000000009</v>
      </c>
      <c r="I578" s="1042">
        <f>'Смета Внутр'!H585</f>
        <v>0</v>
      </c>
      <c r="J578" s="1058">
        <f>'Смета Внутр'!I585</f>
        <v>0</v>
      </c>
    </row>
    <row r="579" spans="2:10" ht="15" customHeight="1">
      <c r="B579" s="1042" t="str">
        <f>'Смета Внутр'!B586</f>
        <v>Сейсмопояс Арматура М10 4 нити</v>
      </c>
      <c r="C579" s="1042" t="str">
        <f>'Смета Внутр'!C586</f>
        <v>м.п.</v>
      </c>
      <c r="D579" s="1058">
        <f>'Смета Внутр'!D586</f>
        <v>176</v>
      </c>
      <c r="E579" s="1042">
        <f>'Смета Внутр'!E586</f>
        <v>21.0397</v>
      </c>
      <c r="F579" s="1042">
        <f>'Смета Внутр'!F586</f>
        <v>0</v>
      </c>
      <c r="G579" s="1042">
        <f t="shared" si="31"/>
        <v>21.0397</v>
      </c>
      <c r="H579" s="1042">
        <f>'Смета Внутр'!G586</f>
        <v>3702.9872</v>
      </c>
      <c r="I579" s="1042">
        <f>'Смета Внутр'!H586</f>
        <v>0</v>
      </c>
      <c r="J579" s="1058">
        <f>'Смета Внутр'!I586</f>
        <v>0</v>
      </c>
    </row>
    <row r="580" spans="2:10" ht="15" customHeight="1">
      <c r="B580" s="1042" t="str">
        <f>'Смета Внутр'!B587</f>
        <v>Хомут для сейсмопояса Арматура М6, шаг 400мм</v>
      </c>
      <c r="C580" s="1042" t="str">
        <f>'Смета Внутр'!C587</f>
        <v>м.п.</v>
      </c>
      <c r="D580" s="1058">
        <f>'Смета Внутр'!D587</f>
        <v>90</v>
      </c>
      <c r="E580" s="1042">
        <f>'Смета Внутр'!E587</f>
        <v>0</v>
      </c>
      <c r="F580" s="1042">
        <f>'Смета Внутр'!F587</f>
        <v>0</v>
      </c>
      <c r="G580" s="1042">
        <f t="shared" si="31"/>
        <v>0</v>
      </c>
      <c r="H580" s="1042">
        <f>'Смета Внутр'!G587</f>
        <v>0</v>
      </c>
      <c r="I580" s="1042">
        <f>'Смета Внутр'!H587</f>
        <v>0</v>
      </c>
      <c r="J580" s="1058">
        <f>'Смета Внутр'!I587</f>
        <v>0</v>
      </c>
    </row>
    <row r="581" spans="2:10" ht="15" customHeight="1">
      <c r="B581" s="1042" t="str">
        <f>'Смета Внутр'!B588</f>
        <v>Бетон, м300</v>
      </c>
      <c r="C581" s="1042" t="str">
        <f>'Смета Внутр'!C588</f>
        <v>м3</v>
      </c>
      <c r="D581" s="1058">
        <f>'Смета Внутр'!D588</f>
        <v>1.6380000000000001</v>
      </c>
      <c r="E581" s="1042">
        <f>'Смета Внутр'!E588</f>
        <v>3000</v>
      </c>
      <c r="F581" s="1042">
        <f>'Смета Внутр'!F588</f>
        <v>0</v>
      </c>
      <c r="G581" s="1042">
        <f t="shared" si="31"/>
        <v>3000</v>
      </c>
      <c r="H581" s="1042">
        <f>'Смета Внутр'!G588</f>
        <v>4914</v>
      </c>
      <c r="I581" s="1042">
        <f>'Смета Внутр'!H588</f>
        <v>0</v>
      </c>
      <c r="J581" s="1058">
        <f>'Смета Внутр'!I588</f>
        <v>0</v>
      </c>
    </row>
    <row r="582" spans="2:10" ht="15" customHeight="1">
      <c r="B582" s="1042" t="str">
        <f>'Смета Внутр'!B589</f>
        <v>Нет</v>
      </c>
      <c r="C582" s="1042" t="str">
        <f>'Смета Внутр'!C589</f>
        <v>м3</v>
      </c>
      <c r="D582" s="1058">
        <f>'Смета Внутр'!D589</f>
        <v>0</v>
      </c>
      <c r="E582" s="1042">
        <f>'Смета Внутр'!E589</f>
        <v>0</v>
      </c>
      <c r="F582" s="1042">
        <f>'Смета Внутр'!F589</f>
        <v>0</v>
      </c>
      <c r="G582" s="1042">
        <f t="shared" si="31"/>
        <v>0</v>
      </c>
      <c r="H582" s="1042">
        <f>'Смета Внутр'!G589</f>
        <v>0</v>
      </c>
      <c r="I582" s="1042">
        <f>'Смета Внутр'!H589</f>
        <v>0</v>
      </c>
      <c r="J582" s="1058">
        <f>'Смета Внутр'!I589</f>
        <v>0</v>
      </c>
    </row>
    <row r="583" spans="2:10" ht="15" customHeight="1">
      <c r="B583" s="1042" t="str">
        <f>'Смета Внутр'!B590</f>
        <v>Грибок для крепления утеплителя</v>
      </c>
      <c r="C583" s="1042" t="str">
        <f>'Смета Внутр'!C590</f>
        <v>шт</v>
      </c>
      <c r="D583" s="1058">
        <f>'Смета Внутр'!D590</f>
        <v>0</v>
      </c>
      <c r="E583" s="1042">
        <f>'Смета Внутр'!E590</f>
        <v>15</v>
      </c>
      <c r="F583" s="1042">
        <f>'Смета Внутр'!F590</f>
        <v>0</v>
      </c>
      <c r="G583" s="1042">
        <f t="shared" si="31"/>
        <v>15</v>
      </c>
      <c r="H583" s="1042">
        <f>'Смета Внутр'!G590</f>
        <v>0</v>
      </c>
      <c r="I583" s="1042">
        <f>'Смета Внутр'!H590</f>
        <v>0</v>
      </c>
      <c r="J583" s="1058">
        <f>'Смета Внутр'!I590</f>
        <v>0</v>
      </c>
    </row>
    <row r="584" spans="2:10" ht="15" customHeight="1">
      <c r="B584" s="1042" t="str">
        <f>'Смета Внутр'!B591</f>
        <v>нет ветроизоляции</v>
      </c>
      <c r="C584" s="1042" t="str">
        <f>'Смета Внутр'!C591</f>
        <v>м2</v>
      </c>
      <c r="D584" s="1058">
        <f>'Смета Внутр'!D591</f>
        <v>0</v>
      </c>
      <c r="E584" s="1042">
        <f>'Смета Внутр'!E591</f>
        <v>0</v>
      </c>
      <c r="F584" s="1042">
        <f>'Смета Внутр'!F591</f>
        <v>0</v>
      </c>
      <c r="G584" s="1042">
        <f t="shared" si="31"/>
        <v>0</v>
      </c>
      <c r="H584" s="1042">
        <f>'Смета Внутр'!G591</f>
        <v>0</v>
      </c>
      <c r="I584" s="1042">
        <f>'Смета Внутр'!H591</f>
        <v>0</v>
      </c>
      <c r="J584" s="1058">
        <f>'Смета Внутр'!I591</f>
        <v>0</v>
      </c>
    </row>
    <row r="585" spans="2:10">
      <c r="B585" s="3330" t="str">
        <f>'Смета Внутр'!B592</f>
        <v>Итого материалы</v>
      </c>
      <c r="C585" s="3330"/>
      <c r="D585" s="3330"/>
      <c r="E585" s="3330"/>
      <c r="F585" s="3330"/>
      <c r="G585" s="3330"/>
      <c r="H585" s="1042">
        <f>'Смета Внутр'!G592</f>
        <v>0</v>
      </c>
      <c r="I585" s="1042">
        <f>'Смета Внутр'!H592</f>
        <v>0</v>
      </c>
      <c r="J585" s="1058">
        <f>'Смета Внутр'!I592</f>
        <v>0</v>
      </c>
    </row>
    <row r="586" spans="2:10" ht="15" customHeight="1">
      <c r="B586" s="3002" t="str">
        <f>'Смета Внутр'!B593</f>
        <v>Работы</v>
      </c>
      <c r="D586" s="1167"/>
      <c r="H586">
        <f>'Смета Внутр'!G593</f>
        <v>0</v>
      </c>
      <c r="I586">
        <f>'Смета Внутр'!H593</f>
        <v>0</v>
      </c>
      <c r="J586" s="3027">
        <f>'Смета Внутр'!I593</f>
        <v>0</v>
      </c>
    </row>
    <row r="587" spans="2:10" ht="15" customHeight="1">
      <c r="B587" s="1042" t="str">
        <f>'Смета Внутр'!B594</f>
        <v>кладка газобетона несущие стены</v>
      </c>
      <c r="C587" s="1042" t="str">
        <f>'Смета Внутр'!C594</f>
        <v>м3</v>
      </c>
      <c r="D587" s="1058">
        <f>'Смета Внутр'!D594</f>
        <v>-3.12</v>
      </c>
      <c r="E587" s="1042">
        <f>'Смета Внутр'!E594</f>
        <v>3500</v>
      </c>
      <c r="F587" s="1042">
        <f>'Смета Внутр'!F594</f>
        <v>0</v>
      </c>
      <c r="G587" s="1042">
        <f t="shared" ref="G587:G597" si="32">IF(E587&gt;F587,E587,F587)</f>
        <v>3500</v>
      </c>
      <c r="H587" s="1042">
        <f>'Смета Внутр'!G594</f>
        <v>-10920</v>
      </c>
      <c r="I587" s="1042">
        <f>'Смета Внутр'!H594</f>
        <v>0</v>
      </c>
      <c r="J587" s="1058">
        <f>'Смета Внутр'!I594</f>
        <v>0</v>
      </c>
    </row>
    <row r="588" spans="2:10" ht="15" customHeight="1">
      <c r="B588" s="1042" t="str">
        <f>'Смета Внутр'!B595</f>
        <v>кладка газобетона несущие перегородки</v>
      </c>
      <c r="C588" s="1042" t="str">
        <f>'Смета Внутр'!C595</f>
        <v>м3</v>
      </c>
      <c r="D588" s="1058">
        <f>'Смета Внутр'!D595</f>
        <v>0</v>
      </c>
      <c r="E588" s="1042">
        <f>'Смета Внутр'!E595</f>
        <v>3500</v>
      </c>
      <c r="F588" s="1042">
        <f>'Смета Внутр'!F595</f>
        <v>0</v>
      </c>
      <c r="G588" s="1042">
        <f t="shared" si="32"/>
        <v>3500</v>
      </c>
      <c r="H588" s="1042">
        <f>'Смета Внутр'!G595</f>
        <v>0</v>
      </c>
      <c r="I588" s="1042">
        <f>'Смета Внутр'!H595</f>
        <v>0</v>
      </c>
      <c r="J588" s="1058">
        <f>'Смета Внутр'!I595</f>
        <v>0</v>
      </c>
    </row>
    <row r="589" spans="2:10" ht="15" customHeight="1">
      <c r="B589" s="1042" t="str">
        <f>'Смета Внутр'!B596</f>
        <v>кладка газобетона перегородки</v>
      </c>
      <c r="C589" s="1042" t="str">
        <f>'Смета Внутр'!C596</f>
        <v>м2</v>
      </c>
      <c r="D589" s="1058">
        <f>'Смета Внутр'!D596</f>
        <v>0</v>
      </c>
      <c r="E589" s="1042">
        <f>'Смета Внутр'!E596</f>
        <v>500</v>
      </c>
      <c r="F589" s="1042">
        <f>'Смета Внутр'!F596</f>
        <v>0</v>
      </c>
      <c r="G589" s="1042">
        <f t="shared" si="32"/>
        <v>500</v>
      </c>
      <c r="H589" s="1042">
        <f>'Смета Внутр'!G596</f>
        <v>0</v>
      </c>
      <c r="I589" s="1042">
        <f>'Смета Внутр'!H596</f>
        <v>0</v>
      </c>
      <c r="J589" s="1058">
        <f>'Смета Внутр'!I596</f>
        <v>0</v>
      </c>
    </row>
    <row r="590" spans="2:10" ht="15" customHeight="1">
      <c r="B590" s="1042" t="str">
        <f>'Смета Внутр'!B597</f>
        <v>изготовление и монтаж перемычек для окон и дверей</v>
      </c>
      <c r="C590" s="1042" t="str">
        <f>'Смета Внутр'!C597</f>
        <v>м.п.</v>
      </c>
      <c r="D590" s="1058">
        <f>'Смета Внутр'!D597</f>
        <v>2.5199999999999996</v>
      </c>
      <c r="E590" s="1042">
        <f>'Смета Внутр'!E597</f>
        <v>500</v>
      </c>
      <c r="F590" s="1042">
        <f>'Смета Внутр'!F597</f>
        <v>0</v>
      </c>
      <c r="G590" s="1042">
        <f t="shared" si="32"/>
        <v>500</v>
      </c>
      <c r="H590" s="1042">
        <f>'Смета Внутр'!G597</f>
        <v>1259.9999999999998</v>
      </c>
      <c r="I590" s="1042">
        <f>'Смета Внутр'!H597</f>
        <v>0</v>
      </c>
      <c r="J590" s="1058">
        <f>'Смета Внутр'!I597</f>
        <v>0</v>
      </c>
    </row>
    <row r="591" spans="2:10" ht="15" customHeight="1">
      <c r="B591" s="1042" t="str">
        <f>'Смета Внутр'!B598</f>
        <v>Замешивание раствора</v>
      </c>
      <c r="C591" s="1042" t="str">
        <f>'Смета Внутр'!C598</f>
        <v>м3</v>
      </c>
      <c r="D591" s="1058">
        <f>'Смета Внутр'!D598</f>
        <v>-0.54144575999999911</v>
      </c>
      <c r="E591" s="1042">
        <f>'Смета Внутр'!E598</f>
        <v>1500</v>
      </c>
      <c r="F591" s="1042">
        <f>'Смета Внутр'!F598</f>
        <v>0</v>
      </c>
      <c r="G591" s="1042">
        <f t="shared" si="32"/>
        <v>1500</v>
      </c>
      <c r="H591" s="1042">
        <f>'Смета Внутр'!G598</f>
        <v>-812.16863999999862</v>
      </c>
      <c r="I591" s="1042">
        <f>'Смета Внутр'!H598</f>
        <v>0</v>
      </c>
      <c r="J591" s="1058">
        <f>'Смета Внутр'!I598</f>
        <v>0</v>
      </c>
    </row>
    <row r="592" spans="2:10" ht="15" customHeight="1">
      <c r="B592" s="1042" t="str">
        <f>'Смета Внутр'!B599</f>
        <v>Армирование стен наружних и перегородок</v>
      </c>
      <c r="C592" s="1042" t="str">
        <f>'Смета Внутр'!C599</f>
        <v>м.п.</v>
      </c>
      <c r="D592" s="1058">
        <f>'Смета Внутр'!D599</f>
        <v>240</v>
      </c>
      <c r="E592" s="1042">
        <f>'Смета Внутр'!E599</f>
        <v>70</v>
      </c>
      <c r="F592" s="1042">
        <f>'Смета Внутр'!F599</f>
        <v>0</v>
      </c>
      <c r="G592" s="1042">
        <f t="shared" si="32"/>
        <v>70</v>
      </c>
      <c r="H592" s="1042">
        <f>'Смета Внутр'!G599</f>
        <v>16800</v>
      </c>
      <c r="I592" s="1042">
        <f>'Смета Внутр'!H599</f>
        <v>0</v>
      </c>
      <c r="J592" s="1058">
        <f>'Смета Внутр'!I599</f>
        <v>0</v>
      </c>
    </row>
    <row r="593" spans="2:10" ht="15" customHeight="1">
      <c r="B593" s="1042" t="str">
        <f>'Смета Внутр'!B600</f>
        <v>Установка опалубки для сейсмопояса</v>
      </c>
      <c r="C593" s="1042" t="str">
        <f>'Смета Внутр'!C600</f>
        <v>м.п.</v>
      </c>
      <c r="D593" s="1058">
        <f>'Смета Внутр'!D600</f>
        <v>40</v>
      </c>
      <c r="E593" s="1042">
        <f>'Смета Внутр'!E600</f>
        <v>300</v>
      </c>
      <c r="F593" s="1042">
        <f>'Смета Внутр'!F600</f>
        <v>0</v>
      </c>
      <c r="G593" s="1042">
        <f t="shared" si="32"/>
        <v>300</v>
      </c>
      <c r="H593" s="1042">
        <f>'Смета Внутр'!G600</f>
        <v>12000</v>
      </c>
      <c r="I593" s="1042">
        <f>'Смета Внутр'!H600</f>
        <v>0</v>
      </c>
      <c r="J593" s="1058">
        <f>'Смета Внутр'!I600</f>
        <v>0</v>
      </c>
    </row>
    <row r="594" spans="2:10" ht="15" customHeight="1">
      <c r="B594" s="1042" t="str">
        <f>'Смета Внутр'!B601</f>
        <v>Армирование сейсмопояса</v>
      </c>
      <c r="C594" s="1042" t="str">
        <f>'Смета Внутр'!C601</f>
        <v>м.п.</v>
      </c>
      <c r="D594" s="1058">
        <f>'Смета Внутр'!D601</f>
        <v>40</v>
      </c>
      <c r="E594" s="1042">
        <f>'Смета Внутр'!E601</f>
        <v>500</v>
      </c>
      <c r="F594" s="1042">
        <f>'Смета Внутр'!F601</f>
        <v>0</v>
      </c>
      <c r="G594" s="1042">
        <f t="shared" si="32"/>
        <v>500</v>
      </c>
      <c r="H594" s="1042">
        <f>'Смета Внутр'!G601</f>
        <v>20000</v>
      </c>
      <c r="I594" s="1042">
        <f>'Смета Внутр'!H601</f>
        <v>0</v>
      </c>
      <c r="J594" s="1058">
        <f>'Смета Внутр'!I601</f>
        <v>0</v>
      </c>
    </row>
    <row r="595" spans="2:10" ht="15" customHeight="1">
      <c r="B595" s="1042" t="str">
        <f>'Смета Внутр'!B602</f>
        <v>Заливка бетоном сейсмопояса</v>
      </c>
      <c r="C595" s="1042" t="str">
        <f>'Смета Внутр'!C602</f>
        <v>м.п.</v>
      </c>
      <c r="D595" s="1058">
        <f>'Смета Внутр'!D602</f>
        <v>40</v>
      </c>
      <c r="E595" s="1042">
        <f>'Смета Внутр'!E602</f>
        <v>700</v>
      </c>
      <c r="F595" s="1042">
        <f>'Смета Внутр'!F602</f>
        <v>0</v>
      </c>
      <c r="G595" s="1042">
        <f t="shared" si="32"/>
        <v>700</v>
      </c>
      <c r="H595" s="1042">
        <f>'Смета Внутр'!G602</f>
        <v>28000</v>
      </c>
      <c r="I595" s="1042">
        <f>'Смета Внутр'!H602</f>
        <v>0</v>
      </c>
      <c r="J595" s="1058">
        <f>'Смета Внутр'!I602</f>
        <v>0</v>
      </c>
    </row>
    <row r="596" spans="2:10" ht="15" customHeight="1">
      <c r="B596" s="1042" t="str">
        <f>'Смета Внутр'!B603</f>
        <v>утепление стен снаружи дома</v>
      </c>
      <c r="C596" s="1042" t="str">
        <f>'Смета Внутр'!C603</f>
        <v>м2</v>
      </c>
      <c r="D596" s="1058">
        <f>'Смета Внутр'!D603</f>
        <v>0</v>
      </c>
      <c r="E596" s="1042">
        <f>'Смета Внутр'!E603</f>
        <v>350</v>
      </c>
      <c r="F596" s="1042">
        <f>'Смета Внутр'!F603</f>
        <v>0</v>
      </c>
      <c r="G596" s="1042">
        <f t="shared" si="32"/>
        <v>350</v>
      </c>
      <c r="H596" s="1042">
        <f>'Смета Внутр'!G603</f>
        <v>0</v>
      </c>
      <c r="I596" s="1042">
        <f>'Смета Внутр'!H603</f>
        <v>0</v>
      </c>
      <c r="J596" s="1058">
        <f>'Смета Внутр'!I603</f>
        <v>0</v>
      </c>
    </row>
    <row r="597" spans="2:10" ht="15" customHeight="1">
      <c r="B597" s="1042" t="str">
        <f>'Смета Внутр'!B604</f>
        <v>монтаж ветроизоляции стен</v>
      </c>
      <c r="C597" s="1042" t="str">
        <f>'Смета Внутр'!C604</f>
        <v>м2</v>
      </c>
      <c r="D597" s="1058">
        <f>'Смета Внутр'!D604</f>
        <v>0</v>
      </c>
      <c r="E597" s="1042">
        <f>'Смета Внутр'!E604</f>
        <v>100</v>
      </c>
      <c r="F597" s="1042">
        <f>'Смета Внутр'!F604</f>
        <v>0</v>
      </c>
      <c r="G597" s="1042">
        <f t="shared" si="32"/>
        <v>100</v>
      </c>
      <c r="H597" s="1042">
        <f>'Смета Внутр'!G604</f>
        <v>0</v>
      </c>
      <c r="I597" s="1042">
        <f>'Смета Внутр'!H604</f>
        <v>0</v>
      </c>
      <c r="J597" s="1058">
        <f>'Смета Внутр'!I604</f>
        <v>0</v>
      </c>
    </row>
    <row r="598" spans="2:10" ht="15" customHeight="1">
      <c r="B598" s="3330" t="str">
        <f>'Смета Внутр'!B605</f>
        <v>Итого работы</v>
      </c>
      <c r="C598" s="3330"/>
      <c r="D598" s="3330"/>
      <c r="E598" s="3330"/>
      <c r="F598" s="3330"/>
      <c r="G598" s="3330"/>
      <c r="H598" s="1042">
        <f>'Смета Внутр'!G605</f>
        <v>0</v>
      </c>
      <c r="I598" s="1042">
        <f>'Смета Внутр'!H605</f>
        <v>0</v>
      </c>
      <c r="J598" s="1058">
        <f>'Смета Внутр'!I605</f>
        <v>0</v>
      </c>
    </row>
    <row r="599" spans="2:10" ht="15" customHeight="1">
      <c r="B599" s="3329" t="str">
        <f>'Смета Внутр'!B606</f>
        <v>Дом из Пенобетона</v>
      </c>
      <c r="C599" s="3329"/>
      <c r="D599" s="3329"/>
      <c r="H599">
        <f>'Смета Внутр'!G606</f>
        <v>0</v>
      </c>
      <c r="I599">
        <f>'Смета Внутр'!H606</f>
        <v>0</v>
      </c>
      <c r="J599" s="3027">
        <f>'Смета Внутр'!I606</f>
        <v>0</v>
      </c>
    </row>
    <row r="600" spans="2:10" ht="15" customHeight="1">
      <c r="B600" s="3002" t="str">
        <f>'Смета Внутр'!B607</f>
        <v>Материалы</v>
      </c>
      <c r="D600" s="1167"/>
      <c r="H600">
        <f>'Смета Внутр'!G607</f>
        <v>0</v>
      </c>
      <c r="I600">
        <f>'Смета Внутр'!H607</f>
        <v>0</v>
      </c>
      <c r="J600" s="3027">
        <f>'Смета Внутр'!I607</f>
        <v>0</v>
      </c>
    </row>
    <row r="601" spans="2:10" ht="15" customHeight="1">
      <c r="B601" s="1042" t="str">
        <f>'Смета Внутр'!B608</f>
        <v>Керамзитобетонный блок - 390х190х188</v>
      </c>
      <c r="C601" s="1042" t="str">
        <f>'Смета Внутр'!C608</f>
        <v>м3</v>
      </c>
      <c r="D601" s="1058">
        <f>'Смета Внутр'!D608</f>
        <v>0</v>
      </c>
      <c r="E601" s="1042">
        <f>'Смета Внутр'!E608</f>
        <v>3200</v>
      </c>
      <c r="F601" s="1042">
        <f>'Смета Внутр'!F608</f>
        <v>0</v>
      </c>
      <c r="G601" s="1042">
        <f t="shared" ref="G601:G644" si="33">IF(E601&gt;F601,E601,F601)</f>
        <v>3200</v>
      </c>
      <c r="H601" s="1042">
        <f>'Смета Внутр'!G608</f>
        <v>0</v>
      </c>
      <c r="I601" s="1042">
        <f>'Смета Внутр'!H608</f>
        <v>0</v>
      </c>
      <c r="J601" s="1058">
        <f>'Смета Внутр'!I608</f>
        <v>0</v>
      </c>
    </row>
    <row r="602" spans="2:10" ht="15" customHeight="1">
      <c r="B602" s="1042" t="str">
        <f>'Смета Внутр'!B609</f>
        <v>Керамзитобетонный блок - 390х190х188</v>
      </c>
      <c r="C602" s="1042" t="str">
        <f>'Смета Внутр'!C609</f>
        <v>м3</v>
      </c>
      <c r="D602" s="1058">
        <f>'Смета Внутр'!D609</f>
        <v>0</v>
      </c>
      <c r="E602" s="1042">
        <f>'Смета Внутр'!E609</f>
        <v>3200</v>
      </c>
      <c r="F602" s="1042">
        <f>'Смета Внутр'!F609</f>
        <v>0</v>
      </c>
      <c r="G602" s="1042">
        <f t="shared" si="33"/>
        <v>3200</v>
      </c>
      <c r="H602" s="1042">
        <f>'Смета Внутр'!G609</f>
        <v>0</v>
      </c>
      <c r="I602" s="1042">
        <f>'Смета Внутр'!H609</f>
        <v>0</v>
      </c>
      <c r="J602" s="1058">
        <f>'Смета Внутр'!I609</f>
        <v>0</v>
      </c>
    </row>
    <row r="603" spans="2:10" ht="15" customHeight="1">
      <c r="B603" s="1042" t="str">
        <f>'Смета Внутр'!B610</f>
        <v>Керамзитобетонный блок - 390х90х188</v>
      </c>
      <c r="C603" s="1042" t="str">
        <f>'Смета Внутр'!C610</f>
        <v>м3</v>
      </c>
      <c r="D603" s="1058">
        <f>'Смета Внутр'!D610</f>
        <v>0</v>
      </c>
      <c r="E603" s="1042">
        <f>'Смета Внутр'!E610</f>
        <v>3200</v>
      </c>
      <c r="F603" s="1042">
        <f>'Смета Внутр'!F610</f>
        <v>0</v>
      </c>
      <c r="G603" s="1042">
        <f t="shared" si="33"/>
        <v>3200</v>
      </c>
      <c r="H603" s="1042">
        <f>'Смета Внутр'!G610</f>
        <v>0</v>
      </c>
      <c r="I603" s="1042">
        <f>'Смета Внутр'!H610</f>
        <v>0</v>
      </c>
      <c r="J603" s="1058">
        <f>'Смета Внутр'!I610</f>
        <v>0</v>
      </c>
    </row>
    <row r="604" spans="2:10" ht="15" customHeight="1">
      <c r="B604" s="1042" t="str">
        <f>'Смета Внутр'!B611</f>
        <v>Клей монтажный ВК-100</v>
      </c>
      <c r="C604" s="1042" t="str">
        <f>'Смета Внутр'!C611</f>
        <v>меш</v>
      </c>
      <c r="D604" s="1058">
        <f>'Смета Внутр'!D611</f>
        <v>0</v>
      </c>
      <c r="E604" s="1042">
        <f>'Смета Внутр'!E611</f>
        <v>185</v>
      </c>
      <c r="F604" s="1042">
        <f>'Смета Внутр'!F611</f>
        <v>0</v>
      </c>
      <c r="G604" s="1042">
        <f t="shared" si="33"/>
        <v>185</v>
      </c>
      <c r="H604" s="1042">
        <f>'Смета Внутр'!G611</f>
        <v>0</v>
      </c>
      <c r="I604" s="1042">
        <f>'Смета Внутр'!H611</f>
        <v>0</v>
      </c>
      <c r="J604" s="1058">
        <f>'Смета Внутр'!I611</f>
        <v>0</v>
      </c>
    </row>
    <row r="605" spans="2:10" ht="15" customHeight="1">
      <c r="B605" s="1042" t="e">
        <f>'Смета Внутр'!B612</f>
        <v>#N/A</v>
      </c>
      <c r="C605" s="1042" t="str">
        <f>'Смета Внутр'!C612</f>
        <v>меш</v>
      </c>
      <c r="D605" s="1058">
        <f>'Смета Внутр'!D612</f>
        <v>0</v>
      </c>
      <c r="E605" s="1042">
        <f>'Смета Внутр'!E612</f>
        <v>0</v>
      </c>
      <c r="F605" s="1042">
        <f>'Смета Внутр'!F612</f>
        <v>0</v>
      </c>
      <c r="G605" s="1042">
        <f t="shared" si="33"/>
        <v>0</v>
      </c>
      <c r="H605" s="1042">
        <f>'Смета Внутр'!G612</f>
        <v>0</v>
      </c>
      <c r="I605" s="1042">
        <f>'Смета Внутр'!H612</f>
        <v>0</v>
      </c>
      <c r="J605" s="1058">
        <f>'Смета Внутр'!I612</f>
        <v>0</v>
      </c>
    </row>
    <row r="606" spans="2:10" ht="15" customHeight="1">
      <c r="B606" s="1042" t="e">
        <f>'Смета Внутр'!B613</f>
        <v>#N/A</v>
      </c>
      <c r="C606" s="1042" t="str">
        <f>'Смета Внутр'!C613</f>
        <v>м3</v>
      </c>
      <c r="D606" s="1058">
        <f>'Смета Внутр'!D613</f>
        <v>0</v>
      </c>
      <c r="E606" s="1042">
        <f>'Смета Внутр'!E613</f>
        <v>0</v>
      </c>
      <c r="F606" s="1042">
        <f>'Смета Внутр'!F613</f>
        <v>0</v>
      </c>
      <c r="G606" s="1042">
        <f t="shared" si="33"/>
        <v>0</v>
      </c>
      <c r="H606" s="1042">
        <f>'Смета Внутр'!G613</f>
        <v>0</v>
      </c>
      <c r="I606" s="1042">
        <f>'Смета Внутр'!H613</f>
        <v>0</v>
      </c>
      <c r="J606" s="1058">
        <f>'Смета Внутр'!I613</f>
        <v>0</v>
      </c>
    </row>
    <row r="607" spans="2:10" ht="15" customHeight="1">
      <c r="B607" s="1042" t="str">
        <f>'Смета Внутр'!B614</f>
        <v>Доставка песка</v>
      </c>
      <c r="C607" s="1042" t="str">
        <f>'Смета Внутр'!C614</f>
        <v>маш</v>
      </c>
      <c r="D607" s="1058">
        <f>'Смета Внутр'!D614</f>
        <v>0</v>
      </c>
      <c r="E607" s="1042">
        <f>'Смета Внутр'!E614</f>
        <v>0</v>
      </c>
      <c r="F607" s="1042">
        <f>'Смета Внутр'!F614</f>
        <v>0</v>
      </c>
      <c r="G607" s="1042">
        <f t="shared" si="33"/>
        <v>0</v>
      </c>
      <c r="H607" s="1042">
        <f>'Смета Внутр'!G614</f>
        <v>0</v>
      </c>
      <c r="I607" s="1042">
        <f>'Смета Внутр'!H614</f>
        <v>0</v>
      </c>
      <c r="J607" s="1058">
        <f>'Смета Внутр'!I614</f>
        <v>0</v>
      </c>
    </row>
    <row r="608" spans="2:10" ht="15" customHeight="1">
      <c r="B608" s="1042" t="e">
        <f>'Смета Внутр'!B615</f>
        <v>#N/A</v>
      </c>
      <c r="C608" s="1042" t="str">
        <f>'Смета Внутр'!C615</f>
        <v>м3</v>
      </c>
      <c r="D608" s="1058">
        <f>'Смета Внутр'!D615</f>
        <v>0</v>
      </c>
      <c r="E608" s="1042">
        <f>'Смета Внутр'!E615</f>
        <v>0</v>
      </c>
      <c r="F608" s="1042">
        <f>'Смета Внутр'!F615</f>
        <v>0</v>
      </c>
      <c r="G608" s="1042">
        <f t="shared" si="33"/>
        <v>0</v>
      </c>
      <c r="H608" s="1042">
        <f>'Смета Внутр'!G615</f>
        <v>0</v>
      </c>
      <c r="I608" s="1042">
        <f>'Смета Внутр'!H615</f>
        <v>0</v>
      </c>
      <c r="J608" s="1058">
        <f>'Смета Внутр'!I615</f>
        <v>0</v>
      </c>
    </row>
    <row r="609" spans="2:10" ht="15" customHeight="1">
      <c r="B609" s="1042" t="str">
        <f>'Смета Внутр'!B616</f>
        <v>Арматура М6 каждый 3-й ряд, 2 нити</v>
      </c>
      <c r="C609" s="1042" t="str">
        <f>'Смета Внутр'!C616</f>
        <v>м.п.</v>
      </c>
      <c r="D609" s="1058">
        <f>'Смета Внутр'!D616</f>
        <v>480</v>
      </c>
      <c r="E609" s="1042">
        <f>'Смета Внутр'!E616</f>
        <v>0</v>
      </c>
      <c r="F609" s="1042">
        <f>'Смета Внутр'!F616</f>
        <v>0</v>
      </c>
      <c r="G609" s="1042">
        <f t="shared" si="33"/>
        <v>0</v>
      </c>
      <c r="H609" s="1042">
        <f>'Смета Внутр'!G616</f>
        <v>0</v>
      </c>
      <c r="I609" s="1042">
        <f>'Смета Внутр'!H616</f>
        <v>0</v>
      </c>
      <c r="J609" s="1058">
        <f>'Смета Внутр'!I616</f>
        <v>0</v>
      </c>
    </row>
    <row r="610" spans="2:10" ht="15" customHeight="1">
      <c r="B610" s="1042" t="str">
        <f>'Смета Внутр'!B617</f>
        <v>Арматура М6 каждый 3-й ряд, 2 нити</v>
      </c>
      <c r="C610" s="1042" t="str">
        <f>'Смета Внутр'!C617</f>
        <v>м.п.</v>
      </c>
      <c r="D610" s="1058">
        <f>'Смета Внутр'!D617</f>
        <v>0</v>
      </c>
      <c r="E610" s="1042">
        <f>'Смета Внутр'!E617</f>
        <v>0</v>
      </c>
      <c r="F610" s="1042">
        <f>'Смета Внутр'!F617</f>
        <v>0</v>
      </c>
      <c r="G610" s="1042">
        <f t="shared" si="33"/>
        <v>0</v>
      </c>
      <c r="H610" s="1042">
        <f>'Смета Внутр'!G617</f>
        <v>0</v>
      </c>
      <c r="I610" s="1042">
        <f>'Смета Внутр'!H617</f>
        <v>0</v>
      </c>
      <c r="J610" s="1058">
        <f>'Смета Внутр'!I617</f>
        <v>0</v>
      </c>
    </row>
    <row r="611" spans="2:10" ht="15" customHeight="1">
      <c r="B611" s="1042" t="str">
        <f>'Смета Внутр'!B618</f>
        <v>Перемычка оконная, 1-ый эт. Вариант 1</v>
      </c>
      <c r="C611" s="1042" t="str">
        <f>'Смета Внутр'!C618</f>
        <v>м.п.</v>
      </c>
      <c r="D611" s="1058">
        <f>'Смета Внутр'!D618</f>
        <v>1</v>
      </c>
      <c r="E611" s="1042">
        <f>'Смета Внутр'!E618</f>
        <v>1000</v>
      </c>
      <c r="F611" s="1042">
        <f>'Смета Внутр'!F618</f>
        <v>0</v>
      </c>
      <c r="G611" s="1042">
        <f t="shared" si="33"/>
        <v>1000</v>
      </c>
      <c r="H611" s="1042">
        <f>'Смета Внутр'!G618</f>
        <v>1000</v>
      </c>
      <c r="I611" s="1042">
        <f>'Смета Внутр'!H618</f>
        <v>0</v>
      </c>
      <c r="J611" s="1058">
        <f>'Смета Внутр'!I618</f>
        <v>0</v>
      </c>
    </row>
    <row r="612" spans="2:10" ht="15" customHeight="1">
      <c r="B612" s="1042" t="str">
        <f>'Смета Внутр'!B619</f>
        <v>Перемычка оконная, 1-ый эт. Вариант 2</v>
      </c>
      <c r="C612" s="1042" t="str">
        <f>'Смета Внутр'!C619</f>
        <v>м.п.</v>
      </c>
      <c r="D612" s="1058">
        <f>'Смета Внутр'!D619</f>
        <v>0</v>
      </c>
      <c r="E612" s="1042">
        <f>'Смета Внутр'!E619</f>
        <v>1000</v>
      </c>
      <c r="F612" s="1042">
        <f>'Смета Внутр'!F619</f>
        <v>0</v>
      </c>
      <c r="G612" s="1042">
        <f t="shared" si="33"/>
        <v>1000</v>
      </c>
      <c r="H612" s="1042">
        <f>'Смета Внутр'!G619</f>
        <v>0</v>
      </c>
      <c r="I612" s="1042">
        <f>'Смета Внутр'!H619</f>
        <v>0</v>
      </c>
      <c r="J612" s="1058">
        <f>'Смета Внутр'!I619</f>
        <v>0</v>
      </c>
    </row>
    <row r="613" spans="2:10" ht="15" customHeight="1">
      <c r="B613" s="1042" t="str">
        <f>'Смета Внутр'!B620</f>
        <v>Перемычка оконная, 1-ый эт. Вариант 3</v>
      </c>
      <c r="C613" s="1042" t="str">
        <f>'Смета Внутр'!C620</f>
        <v>м.п.</v>
      </c>
      <c r="D613" s="1058">
        <f>'Смета Внутр'!D620</f>
        <v>0</v>
      </c>
      <c r="E613" s="1042">
        <f>'Смета Внутр'!E620</f>
        <v>1000</v>
      </c>
      <c r="F613" s="1042">
        <f>'Смета Внутр'!F620</f>
        <v>0</v>
      </c>
      <c r="G613" s="1042">
        <f t="shared" si="33"/>
        <v>1000</v>
      </c>
      <c r="H613" s="1042">
        <f>'Смета Внутр'!G620</f>
        <v>0</v>
      </c>
      <c r="I613" s="1042">
        <f>'Смета Внутр'!H620</f>
        <v>0</v>
      </c>
      <c r="J613" s="1058">
        <f>'Смета Внутр'!I620</f>
        <v>0</v>
      </c>
    </row>
    <row r="614" spans="2:10" ht="15" customHeight="1">
      <c r="B614" s="1042" t="str">
        <f>'Смета Внутр'!B621</f>
        <v>Перемычка оконная, 1-ый эт. Вариант 4</v>
      </c>
      <c r="C614" s="1042" t="str">
        <f>'Смета Внутр'!C621</f>
        <v>м.п.</v>
      </c>
      <c r="D614" s="1058">
        <f>'Смета Внутр'!D621</f>
        <v>0</v>
      </c>
      <c r="E614" s="1042">
        <f>'Смета Внутр'!E621</f>
        <v>1000</v>
      </c>
      <c r="F614" s="1042">
        <f>'Смета Внутр'!F621</f>
        <v>0</v>
      </c>
      <c r="G614" s="1042">
        <f t="shared" si="33"/>
        <v>1000</v>
      </c>
      <c r="H614" s="1042">
        <f>'Смета Внутр'!G621</f>
        <v>0</v>
      </c>
      <c r="I614" s="1042">
        <f>'Смета Внутр'!H621</f>
        <v>0</v>
      </c>
      <c r="J614" s="1058">
        <f>'Смета Внутр'!I621</f>
        <v>0</v>
      </c>
    </row>
    <row r="615" spans="2:10" ht="15" customHeight="1">
      <c r="B615" s="1042" t="str">
        <f>'Смета Внутр'!B622</f>
        <v>Перемычка оконная, 1-ый эт. Вариант 5</v>
      </c>
      <c r="C615" s="1042" t="str">
        <f>'Смета Внутр'!C622</f>
        <v>м.п.</v>
      </c>
      <c r="D615" s="1058">
        <f>'Смета Внутр'!D622</f>
        <v>0</v>
      </c>
      <c r="E615" s="1042">
        <f>'Смета Внутр'!E622</f>
        <v>1000</v>
      </c>
      <c r="F615" s="1042">
        <f>'Смета Внутр'!F622</f>
        <v>0</v>
      </c>
      <c r="G615" s="1042">
        <f t="shared" si="33"/>
        <v>1000</v>
      </c>
      <c r="H615" s="1042">
        <f>'Смета Внутр'!G622</f>
        <v>0</v>
      </c>
      <c r="I615" s="1042">
        <f>'Смета Внутр'!H622</f>
        <v>0</v>
      </c>
      <c r="J615" s="1058">
        <f>'Смета Внутр'!I622</f>
        <v>0</v>
      </c>
    </row>
    <row r="616" spans="2:10" ht="15" customHeight="1">
      <c r="B616" s="1042" t="str">
        <f>'Смета Внутр'!B623</f>
        <v>Перемычка оконная, 2-ый эт. Вариант 6</v>
      </c>
      <c r="C616" s="1042" t="str">
        <f>'Смета Внутр'!C623</f>
        <v>м.п.</v>
      </c>
      <c r="D616" s="1058">
        <f>'Смета Внутр'!D623</f>
        <v>0</v>
      </c>
      <c r="E616" s="1042">
        <f>'Смета Внутр'!E623</f>
        <v>1000</v>
      </c>
      <c r="F616" s="1042">
        <f>'Смета Внутр'!F623</f>
        <v>0</v>
      </c>
      <c r="G616" s="1042">
        <f t="shared" si="33"/>
        <v>1000</v>
      </c>
      <c r="H616" s="1042">
        <f>'Смета Внутр'!G623</f>
        <v>0</v>
      </c>
      <c r="I616" s="1042">
        <f>'Смета Внутр'!H623</f>
        <v>0</v>
      </c>
      <c r="J616" s="1058">
        <f>'Смета Внутр'!I623</f>
        <v>0</v>
      </c>
    </row>
    <row r="617" spans="2:10" ht="15" customHeight="1">
      <c r="B617" s="1042" t="str">
        <f>'Смета Внутр'!B624</f>
        <v>Перемычка оконная, 2-ый эт. Вариант 7</v>
      </c>
      <c r="C617" s="1042" t="str">
        <f>'Смета Внутр'!C624</f>
        <v>м.п.</v>
      </c>
      <c r="D617" s="1058">
        <f>'Смета Внутр'!D624</f>
        <v>0</v>
      </c>
      <c r="E617" s="1042">
        <f>'Смета Внутр'!E624</f>
        <v>1000</v>
      </c>
      <c r="F617" s="1042">
        <f>'Смета Внутр'!F624</f>
        <v>0</v>
      </c>
      <c r="G617" s="1042">
        <f t="shared" si="33"/>
        <v>1000</v>
      </c>
      <c r="H617" s="1042">
        <f>'Смета Внутр'!G624</f>
        <v>0</v>
      </c>
      <c r="I617" s="1042">
        <f>'Смета Внутр'!H624</f>
        <v>0</v>
      </c>
      <c r="J617" s="1058">
        <f>'Смета Внутр'!I624</f>
        <v>0</v>
      </c>
    </row>
    <row r="618" spans="2:10" ht="15" customHeight="1">
      <c r="B618" s="1042" t="str">
        <f>'Смета Внутр'!B625</f>
        <v>Перемычка оконная, 2-ый эт. Вариант 8</v>
      </c>
      <c r="C618" s="1042" t="str">
        <f>'Смета Внутр'!C625</f>
        <v>м.п.</v>
      </c>
      <c r="D618" s="1058">
        <f>'Смета Внутр'!D625</f>
        <v>0</v>
      </c>
      <c r="E618" s="1042">
        <f>'Смета Внутр'!E625</f>
        <v>1000</v>
      </c>
      <c r="F618" s="1042">
        <f>'Смета Внутр'!F625</f>
        <v>0</v>
      </c>
      <c r="G618" s="1042">
        <f t="shared" si="33"/>
        <v>1000</v>
      </c>
      <c r="H618" s="1042">
        <f>'Смета Внутр'!G625</f>
        <v>0</v>
      </c>
      <c r="I618" s="1042">
        <f>'Смета Внутр'!H625</f>
        <v>0</v>
      </c>
      <c r="J618" s="1058">
        <f>'Смета Внутр'!I625</f>
        <v>0</v>
      </c>
    </row>
    <row r="619" spans="2:10" ht="15" customHeight="1">
      <c r="B619" s="1042" t="str">
        <f>'Смета Внутр'!B626</f>
        <v>Перемычка оконная, 2-ый эт. Вариант 9</v>
      </c>
      <c r="C619" s="1042" t="str">
        <f>'Смета Внутр'!C626</f>
        <v>м.п.</v>
      </c>
      <c r="D619" s="1058">
        <f>'Смета Внутр'!D626</f>
        <v>0</v>
      </c>
      <c r="E619" s="1042">
        <f>'Смета Внутр'!E626</f>
        <v>1000</v>
      </c>
      <c r="F619" s="1042">
        <f>'Смета Внутр'!F626</f>
        <v>0</v>
      </c>
      <c r="G619" s="1042">
        <f t="shared" si="33"/>
        <v>1000</v>
      </c>
      <c r="H619" s="1042">
        <f>'Смета Внутр'!G626</f>
        <v>0</v>
      </c>
      <c r="I619" s="1042">
        <f>'Смета Внутр'!H626</f>
        <v>0</v>
      </c>
      <c r="J619" s="1058">
        <f>'Смета Внутр'!I626</f>
        <v>0</v>
      </c>
    </row>
    <row r="620" spans="2:10" ht="15" customHeight="1">
      <c r="B620" s="1042" t="str">
        <f>'Смета Внутр'!B627</f>
        <v>Перемычка оконная, 2-ый эт. Вариант 10</v>
      </c>
      <c r="C620" s="1042" t="str">
        <f>'Смета Внутр'!C627</f>
        <v>м.п.</v>
      </c>
      <c r="D620" s="1058">
        <f>'Смета Внутр'!D627</f>
        <v>0</v>
      </c>
      <c r="E620" s="1042">
        <f>'Смета Внутр'!E627</f>
        <v>1000</v>
      </c>
      <c r="F620" s="1042">
        <f>'Смета Внутр'!F627</f>
        <v>0</v>
      </c>
      <c r="G620" s="1042">
        <f t="shared" si="33"/>
        <v>1000</v>
      </c>
      <c r="H620" s="1042">
        <f>'Смета Внутр'!G627</f>
        <v>0</v>
      </c>
      <c r="I620" s="1042">
        <f>'Смета Внутр'!H627</f>
        <v>0</v>
      </c>
      <c r="J620" s="1058">
        <f>'Смета Внутр'!I627</f>
        <v>0</v>
      </c>
    </row>
    <row r="621" spans="2:10" ht="15" customHeight="1">
      <c r="B621" s="1042" t="str">
        <f>'Смета Внутр'!B628</f>
        <v>Перемычка дверная, 1-ый эт. Вариант 1</v>
      </c>
      <c r="C621" s="1042" t="str">
        <f>'Смета Внутр'!C628</f>
        <v>м.п.</v>
      </c>
      <c r="D621" s="1058">
        <f>'Смета Внутр'!D628</f>
        <v>0</v>
      </c>
      <c r="E621" s="1042">
        <f>'Смета Внутр'!E628</f>
        <v>1000</v>
      </c>
      <c r="F621" s="1042">
        <f>'Смета Внутр'!F628</f>
        <v>0</v>
      </c>
      <c r="G621" s="1042">
        <f t="shared" si="33"/>
        <v>1000</v>
      </c>
      <c r="H621" s="1042">
        <f>'Смета Внутр'!G628</f>
        <v>0</v>
      </c>
      <c r="I621" s="1042">
        <f>'Смета Внутр'!H628</f>
        <v>0</v>
      </c>
      <c r="J621" s="1058">
        <f>'Смета Внутр'!I628</f>
        <v>0</v>
      </c>
    </row>
    <row r="622" spans="2:10" ht="15" customHeight="1">
      <c r="B622" s="1042" t="str">
        <f>'Смета Внутр'!B629</f>
        <v>Перемычка дверная, 2-ый эт. Вариант 2</v>
      </c>
      <c r="C622" s="1042" t="str">
        <f>'Смета Внутр'!C629</f>
        <v>м.п.</v>
      </c>
      <c r="D622" s="1058">
        <f>'Смета Внутр'!D629</f>
        <v>0</v>
      </c>
      <c r="E622" s="1042">
        <f>'Смета Внутр'!E629</f>
        <v>1000</v>
      </c>
      <c r="F622" s="1042">
        <f>'Смета Внутр'!F629</f>
        <v>0</v>
      </c>
      <c r="G622" s="1042">
        <f t="shared" si="33"/>
        <v>1000</v>
      </c>
      <c r="H622" s="1042">
        <f>'Смета Внутр'!G629</f>
        <v>0</v>
      </c>
      <c r="I622" s="1042">
        <f>'Смета Внутр'!H629</f>
        <v>0</v>
      </c>
      <c r="J622" s="1058">
        <f>'Смета Внутр'!I629</f>
        <v>0</v>
      </c>
    </row>
    <row r="623" spans="2:10" ht="15" customHeight="1">
      <c r="B623" s="1042" t="str">
        <f>'Смета Внутр'!B630</f>
        <v>Перемычка оконная 1-ый эт, Вариант 11</v>
      </c>
      <c r="C623" s="1042" t="str">
        <f>'Смета Внутр'!C630</f>
        <v>м.п.</v>
      </c>
      <c r="D623" s="1058">
        <f>'Смета Внутр'!D630</f>
        <v>0</v>
      </c>
      <c r="E623" s="1042">
        <f>'Смета Внутр'!E630</f>
        <v>1000</v>
      </c>
      <c r="F623" s="1042">
        <f>'Смета Внутр'!F630</f>
        <v>0</v>
      </c>
      <c r="G623" s="1042">
        <f t="shared" si="33"/>
        <v>1000</v>
      </c>
      <c r="H623" s="1042">
        <f>'Смета Внутр'!G630</f>
        <v>0</v>
      </c>
      <c r="I623" s="1042">
        <f>'Смета Внутр'!H630</f>
        <v>0</v>
      </c>
      <c r="J623" s="1058">
        <f>'Смета Внутр'!I630</f>
        <v>0</v>
      </c>
    </row>
    <row r="624" spans="2:10" ht="15" customHeight="1">
      <c r="B624" s="1042" t="str">
        <f>'Смета Внутр'!B631</f>
        <v>Перемычка оконная 1-ый эт, Вариант 12</v>
      </c>
      <c r="C624" s="1042" t="str">
        <f>'Смета Внутр'!C631</f>
        <v>м.п.</v>
      </c>
      <c r="D624" s="1058">
        <f>'Смета Внутр'!D631</f>
        <v>0</v>
      </c>
      <c r="E624" s="1042">
        <f>'Смета Внутр'!E631</f>
        <v>1000</v>
      </c>
      <c r="F624" s="1042">
        <f>'Смета Внутр'!F631</f>
        <v>0</v>
      </c>
      <c r="G624" s="1042">
        <f t="shared" si="33"/>
        <v>1000</v>
      </c>
      <c r="H624" s="1042">
        <f>'Смета Внутр'!G631</f>
        <v>0</v>
      </c>
      <c r="I624" s="1042">
        <f>'Смета Внутр'!H631</f>
        <v>0</v>
      </c>
      <c r="J624" s="1058">
        <f>'Смета Внутр'!I631</f>
        <v>0</v>
      </c>
    </row>
    <row r="625" spans="2:10" ht="15" customHeight="1">
      <c r="B625" s="1042" t="str">
        <f>'Смета Внутр'!B632</f>
        <v>Перемычка дверная, 1-ый эт. Вариант 4</v>
      </c>
      <c r="C625" s="1042" t="str">
        <f>'Смета Внутр'!C632</f>
        <v>м.п.</v>
      </c>
      <c r="D625" s="1058">
        <f>'Смета Внутр'!D632</f>
        <v>0</v>
      </c>
      <c r="E625" s="1042">
        <f>'Смета Внутр'!E632</f>
        <v>1000</v>
      </c>
      <c r="F625" s="1042">
        <f>'Смета Внутр'!F632</f>
        <v>0</v>
      </c>
      <c r="G625" s="1042">
        <f t="shared" si="33"/>
        <v>1000</v>
      </c>
      <c r="H625" s="1042">
        <f>'Смета Внутр'!G632</f>
        <v>0</v>
      </c>
      <c r="I625" s="1042">
        <f>'Смета Внутр'!H632</f>
        <v>0</v>
      </c>
      <c r="J625" s="1058">
        <f>'Смета Внутр'!I632</f>
        <v>0</v>
      </c>
    </row>
    <row r="626" spans="2:10" ht="15" customHeight="1">
      <c r="B626" s="1042" t="str">
        <f>'Смета Внутр'!B633</f>
        <v>Перемычка дверная, 1-ый эт. Вариант 5</v>
      </c>
      <c r="C626" s="1042" t="str">
        <f>'Смета Внутр'!C633</f>
        <v>м.п.</v>
      </c>
      <c r="D626" s="1058">
        <f>'Смета Внутр'!D633</f>
        <v>0</v>
      </c>
      <c r="E626" s="1042">
        <f>'Смета Внутр'!E633</f>
        <v>1000</v>
      </c>
      <c r="F626" s="1042">
        <f>'Смета Внутр'!F633</f>
        <v>0</v>
      </c>
      <c r="G626" s="1042">
        <f t="shared" si="33"/>
        <v>1000</v>
      </c>
      <c r="H626" s="1042">
        <f>'Смета Внутр'!G633</f>
        <v>0</v>
      </c>
      <c r="I626" s="1042">
        <f>'Смета Внутр'!H633</f>
        <v>0</v>
      </c>
      <c r="J626" s="1058">
        <f>'Смета Внутр'!I633</f>
        <v>0</v>
      </c>
    </row>
    <row r="627" spans="2:10" ht="15" customHeight="1">
      <c r="B627" s="1042" t="str">
        <f>'Смета Внутр'!B634</f>
        <v>Перемычка дверная, 1-ый эт. Вариант 6</v>
      </c>
      <c r="C627" s="1042" t="str">
        <f>'Смета Внутр'!C634</f>
        <v>м.п.</v>
      </c>
      <c r="D627" s="1058">
        <f>'Смета Внутр'!D634</f>
        <v>0</v>
      </c>
      <c r="E627" s="1042">
        <f>'Смета Внутр'!E634</f>
        <v>1000</v>
      </c>
      <c r="F627" s="1042">
        <f>'Смета Внутр'!F634</f>
        <v>0</v>
      </c>
      <c r="G627" s="1042">
        <f t="shared" si="33"/>
        <v>1000</v>
      </c>
      <c r="H627" s="1042">
        <f>'Смета Внутр'!G634</f>
        <v>0</v>
      </c>
      <c r="I627" s="1042">
        <f>'Смета Внутр'!H634</f>
        <v>0</v>
      </c>
      <c r="J627" s="1058">
        <f>'Смета Внутр'!I634</f>
        <v>0</v>
      </c>
    </row>
    <row r="628" spans="2:10" ht="15" customHeight="1">
      <c r="B628" s="1042" t="str">
        <f>'Смета Внутр'!B635</f>
        <v>Перемычка дверная, 2-ый эт. Вариант 7</v>
      </c>
      <c r="C628" s="1042" t="str">
        <f>'Смета Внутр'!C635</f>
        <v>м.п.</v>
      </c>
      <c r="D628" s="1058">
        <f>'Смета Внутр'!D635</f>
        <v>0</v>
      </c>
      <c r="E628" s="1042">
        <f>'Смета Внутр'!E635</f>
        <v>1000</v>
      </c>
      <c r="F628" s="1042">
        <f>'Смета Внутр'!F635</f>
        <v>0</v>
      </c>
      <c r="G628" s="1042">
        <f t="shared" si="33"/>
        <v>1000</v>
      </c>
      <c r="H628" s="1042">
        <f>'Смета Внутр'!G635</f>
        <v>0</v>
      </c>
      <c r="I628" s="1042">
        <f>'Смета Внутр'!H635</f>
        <v>0</v>
      </c>
      <c r="J628" s="1058">
        <f>'Смета Внутр'!I635</f>
        <v>0</v>
      </c>
    </row>
    <row r="629" spans="2:10" ht="15" customHeight="1">
      <c r="B629" s="1042" t="str">
        <f>'Смета Внутр'!B636</f>
        <v>Перемычка дверная, 2-ый эт. Вариант 8</v>
      </c>
      <c r="C629" s="1042" t="str">
        <f>'Смета Внутр'!C636</f>
        <v>м.п.</v>
      </c>
      <c r="D629" s="1058">
        <f>'Смета Внутр'!D636</f>
        <v>0</v>
      </c>
      <c r="E629" s="1042">
        <f>'Смета Внутр'!E636</f>
        <v>1000</v>
      </c>
      <c r="F629" s="1042">
        <f>'Смета Внутр'!F636</f>
        <v>0</v>
      </c>
      <c r="G629" s="1042">
        <f t="shared" si="33"/>
        <v>1000</v>
      </c>
      <c r="H629" s="1042">
        <f>'Смета Внутр'!G636</f>
        <v>0</v>
      </c>
      <c r="I629" s="1042">
        <f>'Смета Внутр'!H636</f>
        <v>0</v>
      </c>
      <c r="J629" s="1058">
        <f>'Смета Внутр'!I636</f>
        <v>0</v>
      </c>
    </row>
    <row r="630" spans="2:10" ht="15" customHeight="1">
      <c r="B630" s="1042" t="str">
        <f>'Смета Внутр'!B637</f>
        <v>Перемычка дверная, 2-ый эт. Вариант 9</v>
      </c>
      <c r="C630" s="1042" t="str">
        <f>'Смета Внутр'!C637</f>
        <v>м.п.</v>
      </c>
      <c r="D630" s="1058">
        <f>'Смета Внутр'!D637</f>
        <v>0</v>
      </c>
      <c r="E630" s="1042">
        <f>'Смета Внутр'!E637</f>
        <v>1000</v>
      </c>
      <c r="F630" s="1042">
        <f>'Смета Внутр'!F637</f>
        <v>0</v>
      </c>
      <c r="G630" s="1042">
        <f t="shared" si="33"/>
        <v>1000</v>
      </c>
      <c r="H630" s="1042">
        <f>'Смета Внутр'!G637</f>
        <v>0</v>
      </c>
      <c r="I630" s="1042">
        <f>'Смета Внутр'!H637</f>
        <v>0</v>
      </c>
      <c r="J630" s="1058">
        <f>'Смета Внутр'!I637</f>
        <v>0</v>
      </c>
    </row>
    <row r="631" spans="2:10" ht="15" customHeight="1">
      <c r="B631" s="1042" t="str">
        <f>'Смета Внутр'!B638</f>
        <v>Перемычка проема, 1-ый эт. Вариант 10</v>
      </c>
      <c r="C631" s="1042" t="str">
        <f>'Смета Внутр'!C638</f>
        <v>м.п.</v>
      </c>
      <c r="D631" s="1058">
        <f>'Смета Внутр'!D638</f>
        <v>0</v>
      </c>
      <c r="E631" s="1042">
        <f>'Смета Внутр'!E638</f>
        <v>1000</v>
      </c>
      <c r="F631" s="1042">
        <f>'Смета Внутр'!F638</f>
        <v>0</v>
      </c>
      <c r="G631" s="1042">
        <f t="shared" si="33"/>
        <v>1000</v>
      </c>
      <c r="H631" s="1042">
        <f>'Смета Внутр'!G638</f>
        <v>0</v>
      </c>
      <c r="I631" s="1042">
        <f>'Смета Внутр'!H638</f>
        <v>0</v>
      </c>
      <c r="J631" s="1058">
        <f>'Смета Внутр'!I638</f>
        <v>0</v>
      </c>
    </row>
    <row r="632" spans="2:10" ht="15" customHeight="1">
      <c r="B632" s="1042" t="str">
        <f>'Смета Внутр'!B639</f>
        <v>Перемычка проема, 1-ый эт. Вариант 11</v>
      </c>
      <c r="C632" s="1042" t="str">
        <f>'Смета Внутр'!C639</f>
        <v>м.п.</v>
      </c>
      <c r="D632" s="1058">
        <f>'Смета Внутр'!D639</f>
        <v>0</v>
      </c>
      <c r="E632" s="1042">
        <f>'Смета Внутр'!E639</f>
        <v>1000</v>
      </c>
      <c r="F632" s="1042">
        <f>'Смета Внутр'!F639</f>
        <v>0</v>
      </c>
      <c r="G632" s="1042">
        <f t="shared" si="33"/>
        <v>1000</v>
      </c>
      <c r="H632" s="1042">
        <f>'Смета Внутр'!G639</f>
        <v>0</v>
      </c>
      <c r="I632" s="1042">
        <f>'Смета Внутр'!H639</f>
        <v>0</v>
      </c>
      <c r="J632" s="1058">
        <f>'Смета Внутр'!I639</f>
        <v>0</v>
      </c>
    </row>
    <row r="633" spans="2:10" ht="15" customHeight="1">
      <c r="B633" s="1042" t="str">
        <f>'Смета Внутр'!B640</f>
        <v>Перемычка проема, 2-ый эт. Вариант 12</v>
      </c>
      <c r="C633" s="1042" t="str">
        <f>'Смета Внутр'!C640</f>
        <v>м.п.</v>
      </c>
      <c r="D633" s="1058">
        <f>'Смета Внутр'!D640</f>
        <v>0</v>
      </c>
      <c r="E633" s="1042">
        <f>'Смета Внутр'!E640</f>
        <v>1000</v>
      </c>
      <c r="F633" s="1042">
        <f>'Смета Внутр'!F640</f>
        <v>0</v>
      </c>
      <c r="G633" s="1042">
        <f t="shared" si="33"/>
        <v>1000</v>
      </c>
      <c r="H633" s="1042">
        <f>'Смета Внутр'!G640</f>
        <v>0</v>
      </c>
      <c r="I633" s="1042">
        <f>'Смета Внутр'!H640</f>
        <v>0</v>
      </c>
      <c r="J633" s="1058">
        <f>'Смета Внутр'!I640</f>
        <v>0</v>
      </c>
    </row>
    <row r="634" spans="2:10" ht="15" customHeight="1">
      <c r="B634" s="1042" t="str">
        <f>'Смета Внутр'!B641</f>
        <v>Перемычка проема, 2-ый эт. Вариант 13</v>
      </c>
      <c r="C634" s="1042" t="str">
        <f>'Смета Внутр'!C641</f>
        <v>м.п.</v>
      </c>
      <c r="D634" s="1058">
        <f>'Смета Внутр'!D641</f>
        <v>0</v>
      </c>
      <c r="E634" s="1042">
        <f>'Смета Внутр'!E641</f>
        <v>1000</v>
      </c>
      <c r="F634" s="1042">
        <f>'Смета Внутр'!F641</f>
        <v>0</v>
      </c>
      <c r="G634" s="1042">
        <f t="shared" si="33"/>
        <v>1000</v>
      </c>
      <c r="H634" s="1042">
        <f>'Смета Внутр'!G641</f>
        <v>0</v>
      </c>
      <c r="I634" s="1042">
        <f>'Смета Внутр'!H641</f>
        <v>0</v>
      </c>
      <c r="J634" s="1058">
        <f>'Смета Внутр'!I641</f>
        <v>0</v>
      </c>
    </row>
    <row r="635" spans="2:10" ht="15" customHeight="1">
      <c r="B635" s="1042" t="str">
        <f>'Смета Внутр'!B642</f>
        <v>Перемычка дверная, 1-ый эт. Вариант 1</v>
      </c>
      <c r="C635" s="1042" t="str">
        <f>'Смета Внутр'!C642</f>
        <v>м.п.</v>
      </c>
      <c r="D635" s="1058">
        <f>'Смета Внутр'!D642</f>
        <v>0</v>
      </c>
      <c r="E635" s="1042">
        <f>'Смета Внутр'!E642</f>
        <v>1000</v>
      </c>
      <c r="F635" s="1042">
        <f>'Смета Внутр'!F642</f>
        <v>0</v>
      </c>
      <c r="G635" s="1042">
        <f t="shared" si="33"/>
        <v>1000</v>
      </c>
      <c r="H635" s="1042">
        <f>'Смета Внутр'!G642</f>
        <v>0</v>
      </c>
      <c r="I635" s="1042">
        <f>'Смета Внутр'!H642</f>
        <v>0</v>
      </c>
      <c r="J635" s="1058">
        <f>'Смета Внутр'!I642</f>
        <v>0</v>
      </c>
    </row>
    <row r="636" spans="2:10" ht="15" customHeight="1">
      <c r="B636" s="1042" t="str">
        <f>'Смета Внутр'!B643</f>
        <v>Перемычка дверная, 1-ый эт. Вариант 2</v>
      </c>
      <c r="C636" s="1042" t="str">
        <f>'Смета Внутр'!C643</f>
        <v>м.п.</v>
      </c>
      <c r="D636" s="1058">
        <f>'Смета Внутр'!D643</f>
        <v>0</v>
      </c>
      <c r="E636" s="1042">
        <f>'Смета Внутр'!E643</f>
        <v>1000</v>
      </c>
      <c r="F636" s="1042">
        <f>'Смета Внутр'!F643</f>
        <v>0</v>
      </c>
      <c r="G636" s="1042">
        <f t="shared" si="33"/>
        <v>1000</v>
      </c>
      <c r="H636" s="1042">
        <f>'Смета Внутр'!G643</f>
        <v>0</v>
      </c>
      <c r="I636" s="1042">
        <f>'Смета Внутр'!H643</f>
        <v>0</v>
      </c>
      <c r="J636" s="1058">
        <f>'Смета Внутр'!I643</f>
        <v>0</v>
      </c>
    </row>
    <row r="637" spans="2:10" ht="15" customHeight="1">
      <c r="B637" s="1042" t="str">
        <f>'Смета Внутр'!B644</f>
        <v>Перемычка дверная, 1-ый эт. Вариант 3</v>
      </c>
      <c r="C637" s="1042" t="str">
        <f>'Смета Внутр'!C644</f>
        <v>м.п.</v>
      </c>
      <c r="D637" s="1058">
        <f>'Смета Внутр'!D644</f>
        <v>0</v>
      </c>
      <c r="E637" s="1042">
        <f>'Смета Внутр'!E644</f>
        <v>1000</v>
      </c>
      <c r="F637" s="1042">
        <f>'Смета Внутр'!F644</f>
        <v>0</v>
      </c>
      <c r="G637" s="1042">
        <f t="shared" si="33"/>
        <v>1000</v>
      </c>
      <c r="H637" s="1042">
        <f>'Смета Внутр'!G644</f>
        <v>0</v>
      </c>
      <c r="I637" s="1042">
        <f>'Смета Внутр'!H644</f>
        <v>0</v>
      </c>
      <c r="J637" s="1058">
        <f>'Смета Внутр'!I644</f>
        <v>0</v>
      </c>
    </row>
    <row r="638" spans="2:10" ht="15" customHeight="1">
      <c r="B638" s="1042" t="str">
        <f>'Смета Внутр'!B645</f>
        <v>Сосна влаж,200*40мм</v>
      </c>
      <c r="C638" s="1042" t="str">
        <f>'Смета Внутр'!C645</f>
        <v>м3</v>
      </c>
      <c r="D638" s="1058">
        <f>'Смета Внутр'!D645</f>
        <v>0.83200000000000007</v>
      </c>
      <c r="E638" s="1042">
        <f>'Смета Внутр'!E645</f>
        <v>6500</v>
      </c>
      <c r="F638" s="1042">
        <f>'Смета Внутр'!F645</f>
        <v>0</v>
      </c>
      <c r="G638" s="1042">
        <f t="shared" si="33"/>
        <v>6500</v>
      </c>
      <c r="H638" s="1042">
        <f>'Смета Внутр'!G645</f>
        <v>5408.0000000000009</v>
      </c>
      <c r="I638" s="1042">
        <f>'Смета Внутр'!H645</f>
        <v>0</v>
      </c>
      <c r="J638" s="1058">
        <f>'Смета Внутр'!I645</f>
        <v>0</v>
      </c>
    </row>
    <row r="639" spans="2:10" ht="15" customHeight="1">
      <c r="B639" s="1042" t="str">
        <f>'Смета Внутр'!B646</f>
        <v>Сейсмопояс Арматура М10 4 нити</v>
      </c>
      <c r="C639" s="1042" t="str">
        <f>'Смета Внутр'!C646</f>
        <v>м.п.</v>
      </c>
      <c r="D639" s="1058">
        <f>'Смета Внутр'!D646</f>
        <v>176</v>
      </c>
      <c r="E639" s="1042">
        <f>'Смета Внутр'!E646</f>
        <v>21.0397</v>
      </c>
      <c r="F639" s="1042">
        <f>'Смета Внутр'!F646</f>
        <v>0</v>
      </c>
      <c r="G639" s="1042">
        <f t="shared" si="33"/>
        <v>21.0397</v>
      </c>
      <c r="H639" s="1042">
        <f>'Смета Внутр'!G646</f>
        <v>3702.9872</v>
      </c>
      <c r="I639" s="1042">
        <f>'Смета Внутр'!H646</f>
        <v>0</v>
      </c>
      <c r="J639" s="1058">
        <f>'Смета Внутр'!I646</f>
        <v>0</v>
      </c>
    </row>
    <row r="640" spans="2:10" ht="15" customHeight="1">
      <c r="B640" s="1042" t="str">
        <f>'Смета Внутр'!B647</f>
        <v>Хомут для сейсмопояса Арматура М6, шаг 400мм</v>
      </c>
      <c r="C640" s="1042" t="str">
        <f>'Смета Внутр'!C647</f>
        <v>м.п.</v>
      </c>
      <c r="D640" s="1058">
        <f>'Смета Внутр'!D647</f>
        <v>90</v>
      </c>
      <c r="E640" s="1042">
        <f>'Смета Внутр'!E647</f>
        <v>0</v>
      </c>
      <c r="F640" s="1042">
        <f>'Смета Внутр'!F647</f>
        <v>0</v>
      </c>
      <c r="G640" s="1042">
        <f t="shared" si="33"/>
        <v>0</v>
      </c>
      <c r="H640" s="1042">
        <f>'Смета Внутр'!G647</f>
        <v>0</v>
      </c>
      <c r="I640" s="1042">
        <f>'Смета Внутр'!H647</f>
        <v>0</v>
      </c>
      <c r="J640" s="1058">
        <f>'Смета Внутр'!I647</f>
        <v>0</v>
      </c>
    </row>
    <row r="641" spans="2:10" ht="15" customHeight="1">
      <c r="B641" s="1042" t="str">
        <f>'Смета Внутр'!B648</f>
        <v>Бетон, м300</v>
      </c>
      <c r="C641" s="1042" t="str">
        <f>'Смета Внутр'!C648</f>
        <v>м3</v>
      </c>
      <c r="D641" s="1058">
        <f>'Смета Внутр'!D648</f>
        <v>1.6380000000000001</v>
      </c>
      <c r="E641" s="1042">
        <f>'Смета Внутр'!E648</f>
        <v>3000</v>
      </c>
      <c r="F641" s="1042">
        <f>'Смета Внутр'!F648</f>
        <v>0</v>
      </c>
      <c r="G641" s="1042">
        <f t="shared" si="33"/>
        <v>3000</v>
      </c>
      <c r="H641" s="1042">
        <f>'Смета Внутр'!G648</f>
        <v>4914</v>
      </c>
      <c r="I641" s="1042">
        <f>'Смета Внутр'!H648</f>
        <v>0</v>
      </c>
      <c r="J641" s="1058">
        <f>'Смета Внутр'!I648</f>
        <v>0</v>
      </c>
    </row>
    <row r="642" spans="2:10" ht="15" customHeight="1">
      <c r="B642" s="1042" t="str">
        <f>'Смета Внутр'!B649</f>
        <v>Нет</v>
      </c>
      <c r="C642" s="1042" t="str">
        <f>'Смета Внутр'!C649</f>
        <v>м3</v>
      </c>
      <c r="D642" s="1058">
        <f>'Смета Внутр'!D649</f>
        <v>0</v>
      </c>
      <c r="E642" s="1042">
        <f>'Смета Внутр'!E649</f>
        <v>0</v>
      </c>
      <c r="F642" s="1042">
        <f>'Смета Внутр'!F649</f>
        <v>0</v>
      </c>
      <c r="G642" s="1042">
        <f t="shared" si="33"/>
        <v>0</v>
      </c>
      <c r="H642" s="1042">
        <f>'Смета Внутр'!G649</f>
        <v>0</v>
      </c>
      <c r="I642" s="1042">
        <f>'Смета Внутр'!H649</f>
        <v>0</v>
      </c>
      <c r="J642" s="1058">
        <f>'Смета Внутр'!I649</f>
        <v>0</v>
      </c>
    </row>
    <row r="643" spans="2:10" ht="15" customHeight="1">
      <c r="B643" s="1042" t="str">
        <f>'Смета Внутр'!B650</f>
        <v>Грибок для крепления утеплителя</v>
      </c>
      <c r="C643" s="1042" t="str">
        <f>'Смета Внутр'!C650</f>
        <v>шт</v>
      </c>
      <c r="D643" s="1058">
        <f>'Смета Внутр'!D650</f>
        <v>0</v>
      </c>
      <c r="E643" s="1042">
        <f>'Смета Внутр'!E650</f>
        <v>15</v>
      </c>
      <c r="F643" s="1042">
        <f>'Смета Внутр'!F650</f>
        <v>0</v>
      </c>
      <c r="G643" s="1042">
        <f t="shared" si="33"/>
        <v>15</v>
      </c>
      <c r="H643" s="1042">
        <f>'Смета Внутр'!G650</f>
        <v>0</v>
      </c>
      <c r="I643" s="1042">
        <f>'Смета Внутр'!H650</f>
        <v>0</v>
      </c>
      <c r="J643" s="1058">
        <f>'Смета Внутр'!I650</f>
        <v>0</v>
      </c>
    </row>
    <row r="644" spans="2:10" ht="15" customHeight="1">
      <c r="B644" s="1042" t="str">
        <f>'Смета Внутр'!B651</f>
        <v>нет ветроизоляции</v>
      </c>
      <c r="C644" s="1042" t="str">
        <f>'Смета Внутр'!C651</f>
        <v>м2</v>
      </c>
      <c r="D644" s="1058">
        <f>'Смета Внутр'!D651</f>
        <v>0</v>
      </c>
      <c r="E644" s="1042">
        <f>'Смета Внутр'!E651</f>
        <v>0</v>
      </c>
      <c r="F644" s="1042">
        <f>'Смета Внутр'!F651</f>
        <v>0</v>
      </c>
      <c r="G644" s="1042">
        <f t="shared" si="33"/>
        <v>0</v>
      </c>
      <c r="H644" s="1042">
        <f>'Смета Внутр'!G651</f>
        <v>0</v>
      </c>
      <c r="I644" s="1042">
        <f>'Смета Внутр'!H651</f>
        <v>0</v>
      </c>
      <c r="J644" s="1058">
        <f>'Смета Внутр'!I651</f>
        <v>0</v>
      </c>
    </row>
    <row r="645" spans="2:10">
      <c r="B645" s="3330" t="str">
        <f>'Смета Внутр'!B652</f>
        <v>Итого материалы</v>
      </c>
      <c r="C645" s="3330"/>
      <c r="D645" s="3330"/>
      <c r="E645" s="3330"/>
      <c r="F645" s="3330"/>
      <c r="G645" s="3330"/>
      <c r="H645" s="1042">
        <f>'Смета Внутр'!G652</f>
        <v>0</v>
      </c>
      <c r="I645" s="1042">
        <f>'Смета Внутр'!H652</f>
        <v>0</v>
      </c>
      <c r="J645" s="1058">
        <f>'Смета Внутр'!I652</f>
        <v>0</v>
      </c>
    </row>
    <row r="646" spans="2:10" ht="15" customHeight="1">
      <c r="B646" s="3002" t="str">
        <f>'Смета Внутр'!B653</f>
        <v>Работы</v>
      </c>
      <c r="D646" s="1167"/>
      <c r="H646">
        <f>'Смета Внутр'!G653</f>
        <v>0</v>
      </c>
      <c r="I646">
        <f>'Смета Внутр'!H653</f>
        <v>0</v>
      </c>
      <c r="J646" s="3027">
        <f>'Смета Внутр'!I653</f>
        <v>0</v>
      </c>
    </row>
    <row r="647" spans="2:10" ht="15" customHeight="1">
      <c r="B647" s="1042" t="str">
        <f>'Смета Внутр'!B654</f>
        <v>кладка пенобетона несущие стены</v>
      </c>
      <c r="C647" s="1042" t="str">
        <f>'Смета Внутр'!C654</f>
        <v>м3</v>
      </c>
      <c r="D647" s="1058">
        <f>'Смета Внутр'!D654</f>
        <v>0</v>
      </c>
      <c r="E647" s="1042">
        <f>'Смета Внутр'!E654</f>
        <v>3500</v>
      </c>
      <c r="F647" s="1042">
        <f>'Смета Внутр'!F654</f>
        <v>0</v>
      </c>
      <c r="G647" s="1042">
        <f t="shared" ref="G647:G657" si="34">IF(E647&gt;F647,E647,F647)</f>
        <v>3500</v>
      </c>
      <c r="H647" s="1042">
        <f>'Смета Внутр'!G654</f>
        <v>0</v>
      </c>
      <c r="I647" s="1042">
        <f>'Смета Внутр'!H654</f>
        <v>0</v>
      </c>
      <c r="J647" s="1058">
        <f>'Смета Внутр'!I654</f>
        <v>0</v>
      </c>
    </row>
    <row r="648" spans="2:10" ht="15" customHeight="1">
      <c r="B648" s="1042" t="str">
        <f>'Смета Внутр'!B655</f>
        <v>кладка пенобетона несущие перегородки</v>
      </c>
      <c r="C648" s="1042" t="str">
        <f>'Смета Внутр'!C655</f>
        <v>м3</v>
      </c>
      <c r="D648" s="1058">
        <f>'Смета Внутр'!D655</f>
        <v>0</v>
      </c>
      <c r="E648" s="1042">
        <f>'Смета Внутр'!E655</f>
        <v>3500</v>
      </c>
      <c r="F648" s="1042">
        <f>'Смета Внутр'!F655</f>
        <v>0</v>
      </c>
      <c r="G648" s="1042">
        <f t="shared" si="34"/>
        <v>3500</v>
      </c>
      <c r="H648" s="1042">
        <f>'Смета Внутр'!G655</f>
        <v>0</v>
      </c>
      <c r="I648" s="1042">
        <f>'Смета Внутр'!H655</f>
        <v>0</v>
      </c>
      <c r="J648" s="1058">
        <f>'Смета Внутр'!I655</f>
        <v>0</v>
      </c>
    </row>
    <row r="649" spans="2:10" ht="15" customHeight="1">
      <c r="B649" s="1042" t="str">
        <f>'Смета Внутр'!B656</f>
        <v>кладка пенобетона перегородки</v>
      </c>
      <c r="C649" s="1042" t="str">
        <f>'Смета Внутр'!C656</f>
        <v>м2</v>
      </c>
      <c r="D649" s="1058">
        <f>'Смета Внутр'!D656</f>
        <v>0</v>
      </c>
      <c r="E649" s="1042">
        <f>'Смета Внутр'!E656</f>
        <v>450</v>
      </c>
      <c r="F649" s="1042">
        <f>'Смета Внутр'!F656</f>
        <v>0</v>
      </c>
      <c r="G649" s="1042">
        <f t="shared" si="34"/>
        <v>450</v>
      </c>
      <c r="H649" s="1042">
        <f>'Смета Внутр'!G656</f>
        <v>0</v>
      </c>
      <c r="I649" s="1042">
        <f>'Смета Внутр'!H656</f>
        <v>0</v>
      </c>
      <c r="J649" s="1058">
        <f>'Смета Внутр'!I656</f>
        <v>0</v>
      </c>
    </row>
    <row r="650" spans="2:10" ht="15" customHeight="1">
      <c r="B650" s="1042" t="str">
        <f>'Смета Внутр'!B657</f>
        <v>изготовление и монтаж перемычек для окон и дверей</v>
      </c>
      <c r="C650" s="1042" t="str">
        <f>'Смета Внутр'!C657</f>
        <v>м.п.</v>
      </c>
      <c r="D650" s="1058">
        <f>'Смета Внутр'!D657</f>
        <v>2.5199999999999996</v>
      </c>
      <c r="E650" s="1042">
        <f>'Смета Внутр'!E657</f>
        <v>500</v>
      </c>
      <c r="F650" s="1042">
        <f>'Смета Внутр'!F657</f>
        <v>0</v>
      </c>
      <c r="G650" s="1042">
        <f t="shared" si="34"/>
        <v>500</v>
      </c>
      <c r="H650" s="1042">
        <f>'Смета Внутр'!G657</f>
        <v>1259.9999999999998</v>
      </c>
      <c r="I650" s="1042">
        <f>'Смета Внутр'!H657</f>
        <v>0</v>
      </c>
      <c r="J650" s="1058">
        <f>'Смета Внутр'!I657</f>
        <v>0</v>
      </c>
    </row>
    <row r="651" spans="2:10" ht="15" customHeight="1">
      <c r="B651" s="1042" t="str">
        <f>'Смета Внутр'!B658</f>
        <v>Замешивание раствора</v>
      </c>
      <c r="C651" s="1042" t="str">
        <f>'Смета Внутр'!C658</f>
        <v>м3</v>
      </c>
      <c r="D651" s="1058">
        <f>'Смета Внутр'!D658</f>
        <v>0</v>
      </c>
      <c r="E651" s="1042">
        <f>'Смета Внутр'!E658</f>
        <v>1500</v>
      </c>
      <c r="F651" s="1042">
        <f>'Смета Внутр'!F658</f>
        <v>0</v>
      </c>
      <c r="G651" s="1042">
        <f t="shared" si="34"/>
        <v>1500</v>
      </c>
      <c r="H651" s="1042">
        <f>'Смета Внутр'!G658</f>
        <v>0</v>
      </c>
      <c r="I651" s="1042">
        <f>'Смета Внутр'!H658</f>
        <v>0</v>
      </c>
      <c r="J651" s="1058">
        <f>'Смета Внутр'!I658</f>
        <v>0</v>
      </c>
    </row>
    <row r="652" spans="2:10" ht="15" customHeight="1">
      <c r="B652" s="1042" t="str">
        <f>'Смета Внутр'!B659</f>
        <v>Армирование стен наружних и перегородок</v>
      </c>
      <c r="C652" s="1042" t="str">
        <f>'Смета Внутр'!C659</f>
        <v>м.п.</v>
      </c>
      <c r="D652" s="1058">
        <f>'Смета Внутр'!D659</f>
        <v>240</v>
      </c>
      <c r="E652" s="1042">
        <f>'Смета Внутр'!E659</f>
        <v>70</v>
      </c>
      <c r="F652" s="1042">
        <f>'Смета Внутр'!F659</f>
        <v>0</v>
      </c>
      <c r="G652" s="1042">
        <f t="shared" si="34"/>
        <v>70</v>
      </c>
      <c r="H652" s="1042">
        <f>'Смета Внутр'!G659</f>
        <v>16800</v>
      </c>
      <c r="I652" s="1042">
        <f>'Смета Внутр'!H659</f>
        <v>0</v>
      </c>
      <c r="J652" s="1058">
        <f>'Смета Внутр'!I659</f>
        <v>0</v>
      </c>
    </row>
    <row r="653" spans="2:10" ht="15" customHeight="1">
      <c r="B653" s="1042" t="str">
        <f>'Смета Внутр'!B660</f>
        <v>Установка опалубки для сейсмопояса</v>
      </c>
      <c r="C653" s="1042" t="str">
        <f>'Смета Внутр'!C660</f>
        <v>м.п.</v>
      </c>
      <c r="D653" s="1058">
        <f>'Смета Внутр'!D660</f>
        <v>40</v>
      </c>
      <c r="E653" s="1042">
        <f>'Смета Внутр'!E660</f>
        <v>300</v>
      </c>
      <c r="F653" s="1042">
        <f>'Смета Внутр'!F660</f>
        <v>0</v>
      </c>
      <c r="G653" s="1042">
        <f t="shared" si="34"/>
        <v>300</v>
      </c>
      <c r="H653" s="1042">
        <f>'Смета Внутр'!G660</f>
        <v>12000</v>
      </c>
      <c r="I653" s="1042">
        <f>'Смета Внутр'!H660</f>
        <v>0</v>
      </c>
      <c r="J653" s="1058">
        <f>'Смета Внутр'!I660</f>
        <v>0</v>
      </c>
    </row>
    <row r="654" spans="2:10" ht="15" customHeight="1">
      <c r="B654" s="1042" t="str">
        <f>'Смета Внутр'!B661</f>
        <v>Армирование сейсмопояса</v>
      </c>
      <c r="C654" s="1042" t="str">
        <f>'Смета Внутр'!C661</f>
        <v>м.п.</v>
      </c>
      <c r="D654" s="1058">
        <f>'Смета Внутр'!D661</f>
        <v>40</v>
      </c>
      <c r="E654" s="1042">
        <f>'Смета Внутр'!E661</f>
        <v>500</v>
      </c>
      <c r="F654" s="1042">
        <f>'Смета Внутр'!F661</f>
        <v>0</v>
      </c>
      <c r="G654" s="1042">
        <f t="shared" si="34"/>
        <v>500</v>
      </c>
      <c r="H654" s="1042">
        <f>'Смета Внутр'!G661</f>
        <v>20000</v>
      </c>
      <c r="I654" s="1042">
        <f>'Смета Внутр'!H661</f>
        <v>0</v>
      </c>
      <c r="J654" s="1058">
        <f>'Смета Внутр'!I661</f>
        <v>0</v>
      </c>
    </row>
    <row r="655" spans="2:10" ht="15" customHeight="1">
      <c r="B655" s="1042" t="str">
        <f>'Смета Внутр'!B662</f>
        <v>Заливка бетоном сейсмопояса</v>
      </c>
      <c r="C655" s="1042" t="str">
        <f>'Смета Внутр'!C662</f>
        <v>м.п.</v>
      </c>
      <c r="D655" s="1058">
        <f>'Смета Внутр'!D662</f>
        <v>40</v>
      </c>
      <c r="E655" s="1042">
        <f>'Смета Внутр'!E662</f>
        <v>700</v>
      </c>
      <c r="F655" s="1042">
        <f>'Смета Внутр'!F662</f>
        <v>0</v>
      </c>
      <c r="G655" s="1042">
        <f t="shared" si="34"/>
        <v>700</v>
      </c>
      <c r="H655" s="1042">
        <f>'Смета Внутр'!G662</f>
        <v>28000</v>
      </c>
      <c r="I655" s="1042">
        <f>'Смета Внутр'!H662</f>
        <v>0</v>
      </c>
      <c r="J655" s="1058">
        <f>'Смета Внутр'!I662</f>
        <v>0</v>
      </c>
    </row>
    <row r="656" spans="2:10" ht="15" customHeight="1">
      <c r="B656" s="1042" t="str">
        <f>'Смета Внутр'!B663</f>
        <v>утепление стен снаружи дома</v>
      </c>
      <c r="C656" s="1042" t="str">
        <f>'Смета Внутр'!C663</f>
        <v>м2</v>
      </c>
      <c r="D656" s="1058">
        <f>'Смета Внутр'!D663</f>
        <v>0</v>
      </c>
      <c r="E656" s="1042">
        <f>'Смета Внутр'!E663</f>
        <v>350</v>
      </c>
      <c r="F656" s="1042">
        <f>'Смета Внутр'!F663</f>
        <v>0</v>
      </c>
      <c r="G656" s="1042">
        <f t="shared" si="34"/>
        <v>350</v>
      </c>
      <c r="H656" s="1042">
        <f>'Смета Внутр'!G663</f>
        <v>0</v>
      </c>
      <c r="I656" s="1042">
        <f>'Смета Внутр'!H663</f>
        <v>0</v>
      </c>
      <c r="J656" s="1058">
        <f>'Смета Внутр'!I663</f>
        <v>0</v>
      </c>
    </row>
    <row r="657" spans="2:10" ht="15" customHeight="1">
      <c r="B657" s="1042" t="str">
        <f>'Смета Внутр'!B664</f>
        <v>монтаж ветроизоляции стен</v>
      </c>
      <c r="C657" s="1042" t="str">
        <f>'Смета Внутр'!C664</f>
        <v>м2</v>
      </c>
      <c r="D657" s="1058">
        <f>'Смета Внутр'!D664</f>
        <v>0</v>
      </c>
      <c r="E657" s="1042">
        <f>'Смета Внутр'!E664</f>
        <v>100</v>
      </c>
      <c r="F657" s="1042">
        <f>'Смета Внутр'!F664</f>
        <v>0</v>
      </c>
      <c r="G657" s="1042">
        <f t="shared" si="34"/>
        <v>100</v>
      </c>
      <c r="H657" s="1042">
        <f>'Смета Внутр'!G664</f>
        <v>0</v>
      </c>
      <c r="I657" s="1042">
        <f>'Смета Внутр'!H664</f>
        <v>0</v>
      </c>
      <c r="J657" s="1058">
        <f>'Смета Внутр'!I664</f>
        <v>0</v>
      </c>
    </row>
    <row r="658" spans="2:10" ht="15" customHeight="1">
      <c r="B658" s="3330" t="str">
        <f>'Смета Внутр'!B665</f>
        <v>Итого работы</v>
      </c>
      <c r="C658" s="3330"/>
      <c r="D658" s="3330"/>
      <c r="E658" s="3330"/>
      <c r="F658" s="3330"/>
      <c r="G658" s="3330"/>
      <c r="H658" s="1042">
        <f>'Смета Внутр'!G665</f>
        <v>0</v>
      </c>
      <c r="I658" s="1042">
        <f>'Смета Внутр'!H665</f>
        <v>0</v>
      </c>
      <c r="J658" s="1058">
        <f>'Смета Внутр'!I665</f>
        <v>0</v>
      </c>
    </row>
    <row r="659" spans="2:10" ht="15" customHeight="1">
      <c r="B659" s="3329" t="str">
        <f>'Смета Внутр'!B666</f>
        <v>Кирпичный дом</v>
      </c>
      <c r="C659" s="3329"/>
      <c r="D659" s="3329"/>
      <c r="H659">
        <f>'Смета Внутр'!G666</f>
        <v>0</v>
      </c>
      <c r="I659">
        <f>'Смета Внутр'!H666</f>
        <v>1</v>
      </c>
      <c r="J659" s="1167">
        <f>'Смета Внутр'!I666</f>
        <v>1</v>
      </c>
    </row>
    <row r="660" spans="2:10" ht="15" customHeight="1">
      <c r="B660" s="3002" t="str">
        <f>'Смета Внутр'!B667</f>
        <v>Материалы</v>
      </c>
      <c r="D660" s="1167"/>
      <c r="H660">
        <f>'Смета Внутр'!G667</f>
        <v>0</v>
      </c>
      <c r="I660">
        <f>'Смета Внутр'!H667</f>
        <v>1</v>
      </c>
      <c r="J660" s="1167">
        <f>'Смета Внутр'!I667</f>
        <v>1</v>
      </c>
    </row>
    <row r="661" spans="2:10" ht="15" customHeight="1">
      <c r="B661" s="1042" t="str">
        <f>'Смета Внутр'!B668</f>
        <v>Керамоблок 510х250х219 мм -    14,3 НФ</v>
      </c>
      <c r="C661" s="1042" t="str">
        <f>'Смета Внутр'!C668</f>
        <v>м3</v>
      </c>
      <c r="D661" s="1058">
        <f>'Смета Внутр'!D668</f>
        <v>41.751600000000003</v>
      </c>
      <c r="E661" s="1042">
        <f>'Смета Внутр'!E668</f>
        <v>10000</v>
      </c>
      <c r="F661" s="1042">
        <f>'Смета Внутр'!F668</f>
        <v>0</v>
      </c>
      <c r="G661" s="1042">
        <f t="shared" ref="G661:G700" si="35">IF(E661&gt;F661,E661,F661)</f>
        <v>10000</v>
      </c>
      <c r="H661" s="1042">
        <f>'Смета Внутр'!G668</f>
        <v>417516.00000000006</v>
      </c>
      <c r="I661" s="1042">
        <f>'Смета Внутр'!H668</f>
        <v>417516.00000000006</v>
      </c>
      <c r="J661" s="1058">
        <f>'Смета Внутр'!I668</f>
        <v>417516.00000000006</v>
      </c>
    </row>
    <row r="662" spans="2:10" ht="15" customHeight="1">
      <c r="B662" s="1042" t="str">
        <f>'Смета Внутр'!B669</f>
        <v>Керамоблок 510х250х219 мм -    14,3 НФ</v>
      </c>
      <c r="C662" s="1042" t="str">
        <f>'Смета Внутр'!C669</f>
        <v>м3</v>
      </c>
      <c r="D662" s="1058">
        <f>'Смета Внутр'!D669</f>
        <v>12.672000000000001</v>
      </c>
      <c r="E662" s="1042">
        <f>'Смета Внутр'!E669</f>
        <v>10000</v>
      </c>
      <c r="F662" s="1042">
        <f>'Смета Внутр'!F669</f>
        <v>0</v>
      </c>
      <c r="G662" s="1042">
        <f t="shared" si="35"/>
        <v>10000</v>
      </c>
      <c r="H662" s="1042">
        <f>'Смета Внутр'!G669</f>
        <v>126720</v>
      </c>
      <c r="I662" s="1042">
        <f>'Смета Внутр'!H669</f>
        <v>126720</v>
      </c>
      <c r="J662" s="1058">
        <f>'Смета Внутр'!I669</f>
        <v>126720</v>
      </c>
    </row>
    <row r="663" spans="2:10" ht="15" customHeight="1">
      <c r="B663" s="1042" t="str">
        <f>'Смета Внутр'!B670</f>
        <v>Керамоблок 510х250х219 мм -    14,3 НФ</v>
      </c>
      <c r="C663" s="1042" t="str">
        <f>'Смета Внутр'!C670</f>
        <v>м3</v>
      </c>
      <c r="D663" s="1058">
        <f>'Смета Внутр'!D670</f>
        <v>4.1184000000000003</v>
      </c>
      <c r="E663" s="1042">
        <f>'Смета Внутр'!E670</f>
        <v>10000</v>
      </c>
      <c r="F663" s="1042">
        <f>'Смета Внутр'!F670</f>
        <v>0</v>
      </c>
      <c r="G663" s="1042">
        <f t="shared" si="35"/>
        <v>10000</v>
      </c>
      <c r="H663" s="1042">
        <f>'Смета Внутр'!G670</f>
        <v>41184</v>
      </c>
      <c r="I663" s="1042">
        <f>'Смета Внутр'!H670</f>
        <v>41184</v>
      </c>
      <c r="J663" s="1058">
        <f>'Смета Внутр'!I670</f>
        <v>41184</v>
      </c>
    </row>
    <row r="664" spans="2:10" ht="15" customHeight="1">
      <c r="B664" s="1042" t="str">
        <f>'Смета Внутр'!B671</f>
        <v>Перемычка оконная, 1-ый эт. Вариант 1</v>
      </c>
      <c r="C664" s="1042" t="str">
        <f>'Смета Внутр'!C671</f>
        <v>м.п.</v>
      </c>
      <c r="D664" s="1058">
        <f>'Смета Внутр'!D671</f>
        <v>1</v>
      </c>
      <c r="E664" s="1042">
        <f>'Смета Внутр'!E671</f>
        <v>1000</v>
      </c>
      <c r="F664" s="1042">
        <f>'Смета Внутр'!F671</f>
        <v>0</v>
      </c>
      <c r="G664" s="1042">
        <f t="shared" si="35"/>
        <v>1000</v>
      </c>
      <c r="H664" s="1042">
        <f>'Смета Внутр'!G671</f>
        <v>1000</v>
      </c>
      <c r="I664" s="1042">
        <f>'Смета Внутр'!H671</f>
        <v>1000</v>
      </c>
      <c r="J664" s="1058">
        <f>'Смета Внутр'!I671</f>
        <v>1000</v>
      </c>
    </row>
    <row r="665" spans="2:10" ht="15" customHeight="1">
      <c r="B665" s="1042" t="str">
        <f>'Смета Внутр'!B672</f>
        <v>Перемычка оконная, 1-ый эт. Вариант 2</v>
      </c>
      <c r="C665" s="1042" t="str">
        <f>'Смета Внутр'!C672</f>
        <v>м.п.</v>
      </c>
      <c r="D665" s="1058">
        <f>'Смета Внутр'!D672</f>
        <v>0</v>
      </c>
      <c r="E665" s="1042">
        <f>'Смета Внутр'!E672</f>
        <v>1000</v>
      </c>
      <c r="F665" s="1042">
        <f>'Смета Внутр'!F672</f>
        <v>0</v>
      </c>
      <c r="G665" s="1042">
        <f t="shared" si="35"/>
        <v>1000</v>
      </c>
      <c r="H665" s="1042">
        <f>'Смета Внутр'!G672</f>
        <v>0</v>
      </c>
      <c r="I665" s="1042">
        <f>'Смета Внутр'!H672</f>
        <v>0</v>
      </c>
      <c r="J665" s="1058">
        <f>'Смета Внутр'!I672</f>
        <v>0</v>
      </c>
    </row>
    <row r="666" spans="2:10" ht="15" customHeight="1">
      <c r="B666" s="1042" t="str">
        <f>'Смета Внутр'!B673</f>
        <v>Перемычка оконная, 1-ый эт. Вариант 3</v>
      </c>
      <c r="C666" s="1042" t="str">
        <f>'Смета Внутр'!C673</f>
        <v>м.п.</v>
      </c>
      <c r="D666" s="1058">
        <f>'Смета Внутр'!D673</f>
        <v>0</v>
      </c>
      <c r="E666" s="1042">
        <f>'Смета Внутр'!E673</f>
        <v>1000</v>
      </c>
      <c r="F666" s="1042">
        <f>'Смета Внутр'!F673</f>
        <v>0</v>
      </c>
      <c r="G666" s="1042">
        <f t="shared" si="35"/>
        <v>1000</v>
      </c>
      <c r="H666" s="1042">
        <f>'Смета Внутр'!G673</f>
        <v>0</v>
      </c>
      <c r="I666" s="1042">
        <f>'Смета Внутр'!H673</f>
        <v>0</v>
      </c>
      <c r="J666" s="1058">
        <f>'Смета Внутр'!I673</f>
        <v>0</v>
      </c>
    </row>
    <row r="667" spans="2:10" ht="15" customHeight="1">
      <c r="B667" s="1042" t="str">
        <f>'Смета Внутр'!B674</f>
        <v>Перемычка оконная, 1-ый эт. Вариант 4</v>
      </c>
      <c r="C667" s="1042" t="str">
        <f>'Смета Внутр'!C674</f>
        <v>м.п.</v>
      </c>
      <c r="D667" s="1058">
        <f>'Смета Внутр'!D674</f>
        <v>0</v>
      </c>
      <c r="E667" s="1042">
        <f>'Смета Внутр'!E674</f>
        <v>1000</v>
      </c>
      <c r="F667" s="1042">
        <f>'Смета Внутр'!F674</f>
        <v>0</v>
      </c>
      <c r="G667" s="1042">
        <f t="shared" si="35"/>
        <v>1000</v>
      </c>
      <c r="H667" s="1042">
        <f>'Смета Внутр'!G674</f>
        <v>0</v>
      </c>
      <c r="I667" s="1042">
        <f>'Смета Внутр'!H674</f>
        <v>0</v>
      </c>
      <c r="J667" s="1058">
        <f>'Смета Внутр'!I674</f>
        <v>0</v>
      </c>
    </row>
    <row r="668" spans="2:10" ht="15" customHeight="1">
      <c r="B668" s="1042" t="str">
        <f>'Смета Внутр'!B675</f>
        <v>Перемычка оконная, 1-ый эт. Вариант 5</v>
      </c>
      <c r="C668" s="1042" t="str">
        <f>'Смета Внутр'!C675</f>
        <v>м.п.</v>
      </c>
      <c r="D668" s="1058">
        <f>'Смета Внутр'!D675</f>
        <v>0</v>
      </c>
      <c r="E668" s="1042">
        <f>'Смета Внутр'!E675</f>
        <v>1000</v>
      </c>
      <c r="F668" s="1042">
        <f>'Смета Внутр'!F675</f>
        <v>0</v>
      </c>
      <c r="G668" s="1042">
        <f t="shared" si="35"/>
        <v>1000</v>
      </c>
      <c r="H668" s="1042">
        <f>'Смета Внутр'!G675</f>
        <v>0</v>
      </c>
      <c r="I668" s="1042">
        <f>'Смета Внутр'!H675</f>
        <v>0</v>
      </c>
      <c r="J668" s="1058">
        <f>'Смета Внутр'!I675</f>
        <v>0</v>
      </c>
    </row>
    <row r="669" spans="2:10" ht="15" customHeight="1">
      <c r="B669" s="1042" t="str">
        <f>'Смета Внутр'!B676</f>
        <v>Перемычка оконная, 2-ый эт. Вариант 6</v>
      </c>
      <c r="C669" s="1042" t="str">
        <f>'Смета Внутр'!C676</f>
        <v>м.п.</v>
      </c>
      <c r="D669" s="1058">
        <f>'Смета Внутр'!D676</f>
        <v>0</v>
      </c>
      <c r="E669" s="1042">
        <f>'Смета Внутр'!E676</f>
        <v>1000</v>
      </c>
      <c r="F669" s="1042">
        <f>'Смета Внутр'!F676</f>
        <v>0</v>
      </c>
      <c r="G669" s="1042">
        <f t="shared" si="35"/>
        <v>1000</v>
      </c>
      <c r="H669" s="1042">
        <f>'Смета Внутр'!G676</f>
        <v>0</v>
      </c>
      <c r="I669" s="1042">
        <f>'Смета Внутр'!H676</f>
        <v>0</v>
      </c>
      <c r="J669" s="1058">
        <f>'Смета Внутр'!I676</f>
        <v>0</v>
      </c>
    </row>
    <row r="670" spans="2:10" ht="15" customHeight="1">
      <c r="B670" s="1042" t="str">
        <f>'Смета Внутр'!B677</f>
        <v>Перемычка оконная, 2-ый эт. Вариант 7</v>
      </c>
      <c r="C670" s="1042" t="str">
        <f>'Смета Внутр'!C677</f>
        <v>м.п.</v>
      </c>
      <c r="D670" s="1058">
        <f>'Смета Внутр'!D677</f>
        <v>0</v>
      </c>
      <c r="E670" s="1042">
        <f>'Смета Внутр'!E677</f>
        <v>1000</v>
      </c>
      <c r="F670" s="1042">
        <f>'Смета Внутр'!F677</f>
        <v>0</v>
      </c>
      <c r="G670" s="1042">
        <f t="shared" si="35"/>
        <v>1000</v>
      </c>
      <c r="H670" s="1042">
        <f>'Смета Внутр'!G677</f>
        <v>0</v>
      </c>
      <c r="I670" s="1042">
        <f>'Смета Внутр'!H677</f>
        <v>0</v>
      </c>
      <c r="J670" s="1058">
        <f>'Смета Внутр'!I677</f>
        <v>0</v>
      </c>
    </row>
    <row r="671" spans="2:10" ht="15" customHeight="1">
      <c r="B671" s="1042" t="str">
        <f>'Смета Внутр'!B678</f>
        <v>Перемычка оконная, 2-ый эт. Вариант 8</v>
      </c>
      <c r="C671" s="1042" t="str">
        <f>'Смета Внутр'!C678</f>
        <v>м.п.</v>
      </c>
      <c r="D671" s="1058">
        <f>'Смета Внутр'!D678</f>
        <v>0</v>
      </c>
      <c r="E671" s="1042">
        <f>'Смета Внутр'!E678</f>
        <v>1000</v>
      </c>
      <c r="F671" s="1042">
        <f>'Смета Внутр'!F678</f>
        <v>0</v>
      </c>
      <c r="G671" s="1042">
        <f t="shared" si="35"/>
        <v>1000</v>
      </c>
      <c r="H671" s="1042">
        <f>'Смета Внутр'!G678</f>
        <v>0</v>
      </c>
      <c r="I671" s="1042">
        <f>'Смета Внутр'!H678</f>
        <v>0</v>
      </c>
      <c r="J671" s="1058">
        <f>'Смета Внутр'!I678</f>
        <v>0</v>
      </c>
    </row>
    <row r="672" spans="2:10" ht="15" customHeight="1">
      <c r="B672" s="1042" t="str">
        <f>'Смета Внутр'!B679</f>
        <v>Перемычка оконная, 2-ый эт. Вариант 9</v>
      </c>
      <c r="C672" s="1042" t="str">
        <f>'Смета Внутр'!C679</f>
        <v>м.п.</v>
      </c>
      <c r="D672" s="1058">
        <f>'Смета Внутр'!D679</f>
        <v>0</v>
      </c>
      <c r="E672" s="1042">
        <f>'Смета Внутр'!E679</f>
        <v>1000</v>
      </c>
      <c r="F672" s="1042">
        <f>'Смета Внутр'!F679</f>
        <v>0</v>
      </c>
      <c r="G672" s="1042">
        <f t="shared" si="35"/>
        <v>1000</v>
      </c>
      <c r="H672" s="1042">
        <f>'Смета Внутр'!G679</f>
        <v>0</v>
      </c>
      <c r="I672" s="1042">
        <f>'Смета Внутр'!H679</f>
        <v>0</v>
      </c>
      <c r="J672" s="1058">
        <f>'Смета Внутр'!I679</f>
        <v>0</v>
      </c>
    </row>
    <row r="673" spans="2:10" ht="15" customHeight="1">
      <c r="B673" s="1042" t="str">
        <f>'Смета Внутр'!B680</f>
        <v>Перемычка оконная, 2-ый эт. Вариант 10</v>
      </c>
      <c r="C673" s="1042" t="str">
        <f>'Смета Внутр'!C680</f>
        <v>м.п.</v>
      </c>
      <c r="D673" s="1058">
        <f>'Смета Внутр'!D680</f>
        <v>0</v>
      </c>
      <c r="E673" s="1042">
        <f>'Смета Внутр'!E680</f>
        <v>1000</v>
      </c>
      <c r="F673" s="1042">
        <f>'Смета Внутр'!F680</f>
        <v>0</v>
      </c>
      <c r="G673" s="1042">
        <f t="shared" si="35"/>
        <v>1000</v>
      </c>
      <c r="H673" s="1042">
        <f>'Смета Внутр'!G680</f>
        <v>0</v>
      </c>
      <c r="I673" s="1042">
        <f>'Смета Внутр'!H680</f>
        <v>0</v>
      </c>
      <c r="J673" s="1058">
        <f>'Смета Внутр'!I680</f>
        <v>0</v>
      </c>
    </row>
    <row r="674" spans="2:10" ht="15" customHeight="1">
      <c r="B674" s="1042" t="str">
        <f>'Смета Внутр'!B681</f>
        <v>Перемычка дверная, 1-ый эт. Вариант 1</v>
      </c>
      <c r="C674" s="1042" t="str">
        <f>'Смета Внутр'!C681</f>
        <v>м.п.</v>
      </c>
      <c r="D674" s="1058">
        <f>'Смета Внутр'!D681</f>
        <v>0</v>
      </c>
      <c r="E674" s="1042">
        <f>'Смета Внутр'!E681</f>
        <v>1000</v>
      </c>
      <c r="F674" s="1042">
        <f>'Смета Внутр'!F681</f>
        <v>0</v>
      </c>
      <c r="G674" s="1042">
        <f t="shared" si="35"/>
        <v>1000</v>
      </c>
      <c r="H674" s="1042">
        <f>'Смета Внутр'!G681</f>
        <v>0</v>
      </c>
      <c r="I674" s="1042">
        <f>'Смета Внутр'!H681</f>
        <v>0</v>
      </c>
      <c r="J674" s="1058">
        <f>'Смета Внутр'!I681</f>
        <v>0</v>
      </c>
    </row>
    <row r="675" spans="2:10" ht="15" customHeight="1">
      <c r="B675" s="1042" t="str">
        <f>'Смета Внутр'!B682</f>
        <v>Перемычка дверная, 2-ый эт. Вариант 2</v>
      </c>
      <c r="C675" s="1042" t="str">
        <f>'Смета Внутр'!C682</f>
        <v>м.п.</v>
      </c>
      <c r="D675" s="1058">
        <f>'Смета Внутр'!D682</f>
        <v>0</v>
      </c>
      <c r="E675" s="1042">
        <f>'Смета Внутр'!E682</f>
        <v>1000</v>
      </c>
      <c r="F675" s="1042">
        <f>'Смета Внутр'!F682</f>
        <v>0</v>
      </c>
      <c r="G675" s="1042">
        <f t="shared" si="35"/>
        <v>1000</v>
      </c>
      <c r="H675" s="1042">
        <f>'Смета Внутр'!G682</f>
        <v>0</v>
      </c>
      <c r="I675" s="1042">
        <f>'Смета Внутр'!H682</f>
        <v>0</v>
      </c>
      <c r="J675" s="1058">
        <f>'Смета Внутр'!I682</f>
        <v>0</v>
      </c>
    </row>
    <row r="676" spans="2:10" ht="15" customHeight="1">
      <c r="B676" s="1042" t="str">
        <f>'Смета Внутр'!B683</f>
        <v>Перемычка оконная 1-ый эт, Вариант 11</v>
      </c>
      <c r="C676" s="1042" t="str">
        <f>'Смета Внутр'!C683</f>
        <v>м.п.</v>
      </c>
      <c r="D676" s="1058">
        <f>'Смета Внутр'!D683</f>
        <v>0</v>
      </c>
      <c r="E676" s="1042">
        <f>'Смета Внутр'!E683</f>
        <v>1000</v>
      </c>
      <c r="F676" s="1042">
        <f>'Смета Внутр'!F683</f>
        <v>0</v>
      </c>
      <c r="G676" s="1042">
        <f t="shared" si="35"/>
        <v>1000</v>
      </c>
      <c r="H676" s="1042">
        <f>'Смета Внутр'!G683</f>
        <v>0</v>
      </c>
      <c r="I676" s="1042">
        <f>'Смета Внутр'!H683</f>
        <v>0</v>
      </c>
      <c r="J676" s="1058">
        <f>'Смета Внутр'!I683</f>
        <v>0</v>
      </c>
    </row>
    <row r="677" spans="2:10" ht="15" customHeight="1">
      <c r="B677" s="1042" t="str">
        <f>'Смета Внутр'!B684</f>
        <v>Перемычка оконная 1-ый эт, Вариант 12</v>
      </c>
      <c r="C677" s="1042" t="str">
        <f>'Смета Внутр'!C684</f>
        <v>м.п.</v>
      </c>
      <c r="D677" s="1058">
        <f>'Смета Внутр'!D684</f>
        <v>0</v>
      </c>
      <c r="E677" s="1042">
        <f>'Смета Внутр'!E684</f>
        <v>1000</v>
      </c>
      <c r="F677" s="1042">
        <f>'Смета Внутр'!F684</f>
        <v>0</v>
      </c>
      <c r="G677" s="1042">
        <f t="shared" si="35"/>
        <v>1000</v>
      </c>
      <c r="H677" s="1042">
        <f>'Смета Внутр'!G684</f>
        <v>0</v>
      </c>
      <c r="I677" s="1042">
        <f>'Смета Внутр'!H684</f>
        <v>0</v>
      </c>
      <c r="J677" s="1058">
        <f>'Смета Внутр'!I684</f>
        <v>0</v>
      </c>
    </row>
    <row r="678" spans="2:10" ht="15" customHeight="1">
      <c r="B678" s="1042" t="str">
        <f>'Смета Внутр'!B685</f>
        <v>Перемычка дверная, 1-ый эт. Вариант 4</v>
      </c>
      <c r="C678" s="1042" t="str">
        <f>'Смета Внутр'!C685</f>
        <v>м.п.</v>
      </c>
      <c r="D678" s="1058">
        <f>'Смета Внутр'!D685</f>
        <v>0</v>
      </c>
      <c r="E678" s="1042">
        <f>'Смета Внутр'!E685</f>
        <v>1000</v>
      </c>
      <c r="F678" s="1042">
        <f>'Смета Внутр'!F685</f>
        <v>0</v>
      </c>
      <c r="G678" s="1042">
        <f t="shared" si="35"/>
        <v>1000</v>
      </c>
      <c r="H678" s="1042">
        <f>'Смета Внутр'!G685</f>
        <v>0</v>
      </c>
      <c r="I678" s="1042">
        <f>'Смета Внутр'!H685</f>
        <v>0</v>
      </c>
      <c r="J678" s="1058">
        <f>'Смета Внутр'!I685</f>
        <v>0</v>
      </c>
    </row>
    <row r="679" spans="2:10" ht="15" customHeight="1">
      <c r="B679" s="1042" t="str">
        <f>'Смета Внутр'!B686</f>
        <v>Перемычка дверная, 1-ый эт. Вариант 5</v>
      </c>
      <c r="C679" s="1042" t="str">
        <f>'Смета Внутр'!C686</f>
        <v>м.п.</v>
      </c>
      <c r="D679" s="1058">
        <f>'Смета Внутр'!D686</f>
        <v>0</v>
      </c>
      <c r="E679" s="1042">
        <f>'Смета Внутр'!E686</f>
        <v>1000</v>
      </c>
      <c r="F679" s="1042">
        <f>'Смета Внутр'!F686</f>
        <v>0</v>
      </c>
      <c r="G679" s="1042">
        <f t="shared" si="35"/>
        <v>1000</v>
      </c>
      <c r="H679" s="1042">
        <f>'Смета Внутр'!G686</f>
        <v>0</v>
      </c>
      <c r="I679" s="1042">
        <f>'Смета Внутр'!H686</f>
        <v>0</v>
      </c>
      <c r="J679" s="1058">
        <f>'Смета Внутр'!I686</f>
        <v>0</v>
      </c>
    </row>
    <row r="680" spans="2:10" ht="15" customHeight="1">
      <c r="B680" s="1042" t="str">
        <f>'Смета Внутр'!B687</f>
        <v>Перемычка дверная, 1-ый эт. Вариант 6</v>
      </c>
      <c r="C680" s="1042" t="str">
        <f>'Смета Внутр'!C687</f>
        <v>м.п.</v>
      </c>
      <c r="D680" s="1058">
        <f>'Смета Внутр'!D687</f>
        <v>0</v>
      </c>
      <c r="E680" s="1042">
        <f>'Смета Внутр'!E687</f>
        <v>1000</v>
      </c>
      <c r="F680" s="1042">
        <f>'Смета Внутр'!F687</f>
        <v>0</v>
      </c>
      <c r="G680" s="1042">
        <f t="shared" si="35"/>
        <v>1000</v>
      </c>
      <c r="H680" s="1042">
        <f>'Смета Внутр'!G687</f>
        <v>0</v>
      </c>
      <c r="I680" s="1042">
        <f>'Смета Внутр'!H687</f>
        <v>0</v>
      </c>
      <c r="J680" s="1058">
        <f>'Смета Внутр'!I687</f>
        <v>0</v>
      </c>
    </row>
    <row r="681" spans="2:10" ht="15" customHeight="1">
      <c r="B681" s="1042" t="str">
        <f>'Смета Внутр'!B688</f>
        <v>Перемычка дверная, 2-ый эт. Вариант 7</v>
      </c>
      <c r="C681" s="1042" t="str">
        <f>'Смета Внутр'!C688</f>
        <v>м.п.</v>
      </c>
      <c r="D681" s="1058">
        <f>'Смета Внутр'!D688</f>
        <v>0</v>
      </c>
      <c r="E681" s="1042">
        <f>'Смета Внутр'!E688</f>
        <v>1000</v>
      </c>
      <c r="F681" s="1042">
        <f>'Смета Внутр'!F688</f>
        <v>0</v>
      </c>
      <c r="G681" s="1042">
        <f t="shared" si="35"/>
        <v>1000</v>
      </c>
      <c r="H681" s="1042">
        <f>'Смета Внутр'!G688</f>
        <v>0</v>
      </c>
      <c r="I681" s="1042">
        <f>'Смета Внутр'!H688</f>
        <v>0</v>
      </c>
      <c r="J681" s="1058">
        <f>'Смета Внутр'!I688</f>
        <v>0</v>
      </c>
    </row>
    <row r="682" spans="2:10" ht="15" customHeight="1">
      <c r="B682" s="1042" t="str">
        <f>'Смета Внутр'!B689</f>
        <v>Перемычка дверная, 2-ый эт. Вариант 8</v>
      </c>
      <c r="C682" s="1042" t="str">
        <f>'Смета Внутр'!C689</f>
        <v>м.п.</v>
      </c>
      <c r="D682" s="1058">
        <f>'Смета Внутр'!D689</f>
        <v>0</v>
      </c>
      <c r="E682" s="1042">
        <f>'Смета Внутр'!E689</f>
        <v>1000</v>
      </c>
      <c r="F682" s="1042">
        <f>'Смета Внутр'!F689</f>
        <v>0</v>
      </c>
      <c r="G682" s="1042">
        <f t="shared" si="35"/>
        <v>1000</v>
      </c>
      <c r="H682" s="1042">
        <f>'Смета Внутр'!G689</f>
        <v>0</v>
      </c>
      <c r="I682" s="1042">
        <f>'Смета Внутр'!H689</f>
        <v>0</v>
      </c>
      <c r="J682" s="1058">
        <f>'Смета Внутр'!I689</f>
        <v>0</v>
      </c>
    </row>
    <row r="683" spans="2:10" ht="15" customHeight="1">
      <c r="B683" s="1042" t="str">
        <f>'Смета Внутр'!B690</f>
        <v>Перемычка дверная, 2-ый эт. Вариант 9</v>
      </c>
      <c r="C683" s="1042" t="str">
        <f>'Смета Внутр'!C690</f>
        <v>м.п.</v>
      </c>
      <c r="D683" s="1058">
        <f>'Смета Внутр'!D690</f>
        <v>0</v>
      </c>
      <c r="E683" s="1042">
        <f>'Смета Внутр'!E690</f>
        <v>1000</v>
      </c>
      <c r="F683" s="1042">
        <f>'Смета Внутр'!F690</f>
        <v>0</v>
      </c>
      <c r="G683" s="1042">
        <f t="shared" si="35"/>
        <v>1000</v>
      </c>
      <c r="H683" s="1042">
        <f>'Смета Внутр'!G690</f>
        <v>0</v>
      </c>
      <c r="I683" s="1042">
        <f>'Смета Внутр'!H690</f>
        <v>0</v>
      </c>
      <c r="J683" s="1058">
        <f>'Смета Внутр'!I690</f>
        <v>0</v>
      </c>
    </row>
    <row r="684" spans="2:10" ht="15" customHeight="1">
      <c r="B684" s="1042" t="str">
        <f>'Смета Внутр'!B691</f>
        <v>Перемычка проема, 1-ый эт. Вариант 10</v>
      </c>
      <c r="C684" s="1042" t="str">
        <f>'Смета Внутр'!C691</f>
        <v>м.п.</v>
      </c>
      <c r="D684" s="1058">
        <f>'Смета Внутр'!D691</f>
        <v>0</v>
      </c>
      <c r="E684" s="1042">
        <f>'Смета Внутр'!E691</f>
        <v>1000</v>
      </c>
      <c r="F684" s="1042">
        <f>'Смета Внутр'!F691</f>
        <v>0</v>
      </c>
      <c r="G684" s="1042">
        <f t="shared" si="35"/>
        <v>1000</v>
      </c>
      <c r="H684" s="1042">
        <f>'Смета Внутр'!G691</f>
        <v>0</v>
      </c>
      <c r="I684" s="1042">
        <f>'Смета Внутр'!H691</f>
        <v>0</v>
      </c>
      <c r="J684" s="1058">
        <f>'Смета Внутр'!I691</f>
        <v>0</v>
      </c>
    </row>
    <row r="685" spans="2:10" ht="15" customHeight="1">
      <c r="B685" s="1042" t="str">
        <f>'Смета Внутр'!B692</f>
        <v>Перемычка проема, 1-ый эт. Вариант 11</v>
      </c>
      <c r="C685" s="1042" t="str">
        <f>'Смета Внутр'!C692</f>
        <v>м.п.</v>
      </c>
      <c r="D685" s="1058">
        <f>'Смета Внутр'!D692</f>
        <v>0</v>
      </c>
      <c r="E685" s="1042">
        <f>'Смета Внутр'!E692</f>
        <v>1000</v>
      </c>
      <c r="F685" s="1042">
        <f>'Смета Внутр'!F692</f>
        <v>0</v>
      </c>
      <c r="G685" s="1042">
        <f t="shared" si="35"/>
        <v>1000</v>
      </c>
      <c r="H685" s="1042">
        <f>'Смета Внутр'!G692</f>
        <v>0</v>
      </c>
      <c r="I685" s="1042">
        <f>'Смета Внутр'!H692</f>
        <v>0</v>
      </c>
      <c r="J685" s="1058">
        <f>'Смета Внутр'!I692</f>
        <v>0</v>
      </c>
    </row>
    <row r="686" spans="2:10" ht="15" customHeight="1">
      <c r="B686" s="1042" t="str">
        <f>'Смета Внутр'!B693</f>
        <v>Перемычка проема, 2-ый эт. Вариант 12</v>
      </c>
      <c r="C686" s="1042" t="str">
        <f>'Смета Внутр'!C693</f>
        <v>м.п.</v>
      </c>
      <c r="D686" s="1058">
        <f>'Смета Внутр'!D693</f>
        <v>0</v>
      </c>
      <c r="E686" s="1042">
        <f>'Смета Внутр'!E693</f>
        <v>1000</v>
      </c>
      <c r="F686" s="1042">
        <f>'Смета Внутр'!F693</f>
        <v>0</v>
      </c>
      <c r="G686" s="1042">
        <f t="shared" si="35"/>
        <v>1000</v>
      </c>
      <c r="H686" s="1042">
        <f>'Смета Внутр'!G693</f>
        <v>0</v>
      </c>
      <c r="I686" s="1042">
        <f>'Смета Внутр'!H693</f>
        <v>0</v>
      </c>
      <c r="J686" s="1058">
        <f>'Смета Внутр'!I693</f>
        <v>0</v>
      </c>
    </row>
    <row r="687" spans="2:10" ht="15" customHeight="1">
      <c r="B687" s="1042" t="str">
        <f>'Смета Внутр'!B694</f>
        <v>Перемычка проема, 2-ый эт. Вариант 13</v>
      </c>
      <c r="C687" s="1042" t="str">
        <f>'Смета Внутр'!C694</f>
        <v>м.п.</v>
      </c>
      <c r="D687" s="1058">
        <f>'Смета Внутр'!D694</f>
        <v>0</v>
      </c>
      <c r="E687" s="1042">
        <f>'Смета Внутр'!E694</f>
        <v>1000</v>
      </c>
      <c r="F687" s="1042">
        <f>'Смета Внутр'!F694</f>
        <v>0</v>
      </c>
      <c r="G687" s="1042">
        <f t="shared" si="35"/>
        <v>1000</v>
      </c>
      <c r="H687" s="1042">
        <f>'Смета Внутр'!G694</f>
        <v>0</v>
      </c>
      <c r="I687" s="1042">
        <f>'Смета Внутр'!H694</f>
        <v>0</v>
      </c>
      <c r="J687" s="1058">
        <f>'Смета Внутр'!I694</f>
        <v>0</v>
      </c>
    </row>
    <row r="688" spans="2:10" ht="15" customHeight="1">
      <c r="B688" s="1042" t="str">
        <f>'Смета Внутр'!B695</f>
        <v>Перемычка дверная, 1-ый эт. Вариант 1</v>
      </c>
      <c r="C688" s="1042" t="str">
        <f>'Смета Внутр'!C695</f>
        <v>м.п.</v>
      </c>
      <c r="D688" s="1058">
        <f>'Смета Внутр'!D695</f>
        <v>0</v>
      </c>
      <c r="E688" s="1042">
        <f>'Смета Внутр'!E695</f>
        <v>1000</v>
      </c>
      <c r="F688" s="1042">
        <f>'Смета Внутр'!F695</f>
        <v>0</v>
      </c>
      <c r="G688" s="1042">
        <f t="shared" si="35"/>
        <v>1000</v>
      </c>
      <c r="H688" s="1042">
        <f>'Смета Внутр'!G695</f>
        <v>0</v>
      </c>
      <c r="I688" s="1042">
        <f>'Смета Внутр'!H695</f>
        <v>0</v>
      </c>
      <c r="J688" s="1058">
        <f>'Смета Внутр'!I695</f>
        <v>0</v>
      </c>
    </row>
    <row r="689" spans="2:10" ht="15" customHeight="1">
      <c r="B689" s="1042" t="str">
        <f>'Смета Внутр'!B696</f>
        <v>Перемычка дверная, 1-ый эт. Вариант 2</v>
      </c>
      <c r="C689" s="1042" t="str">
        <f>'Смета Внутр'!C696</f>
        <v>м.п.</v>
      </c>
      <c r="D689" s="1058">
        <f>'Смета Внутр'!D696</f>
        <v>0</v>
      </c>
      <c r="E689" s="1042">
        <f>'Смета Внутр'!E696</f>
        <v>1000</v>
      </c>
      <c r="F689" s="1042">
        <f>'Смета Внутр'!F696</f>
        <v>0</v>
      </c>
      <c r="G689" s="1042">
        <f t="shared" si="35"/>
        <v>1000</v>
      </c>
      <c r="H689" s="1042">
        <f>'Смета Внутр'!G696</f>
        <v>0</v>
      </c>
      <c r="I689" s="1042">
        <f>'Смета Внутр'!H696</f>
        <v>0</v>
      </c>
      <c r="J689" s="1058">
        <f>'Смета Внутр'!I696</f>
        <v>0</v>
      </c>
    </row>
    <row r="690" spans="2:10" ht="15" customHeight="1">
      <c r="B690" s="1042" t="str">
        <f>'Смета Внутр'!B697</f>
        <v>Перемычка дверная, 1-ый эт. Вариант 3</v>
      </c>
      <c r="C690" s="1042" t="str">
        <f>'Смета Внутр'!C697</f>
        <v>м.п.</v>
      </c>
      <c r="D690" s="1058">
        <f>'Смета Внутр'!D697</f>
        <v>0</v>
      </c>
      <c r="E690" s="1042">
        <f>'Смета Внутр'!E697</f>
        <v>1000</v>
      </c>
      <c r="F690" s="1042">
        <f>'Смета Внутр'!F697</f>
        <v>0</v>
      </c>
      <c r="G690" s="1042">
        <f t="shared" si="35"/>
        <v>1000</v>
      </c>
      <c r="H690" s="1042">
        <f>'Смета Внутр'!G697</f>
        <v>0</v>
      </c>
      <c r="I690" s="1042">
        <f>'Смета Внутр'!H697</f>
        <v>0</v>
      </c>
      <c r="J690" s="1058">
        <f>'Смета Внутр'!I697</f>
        <v>0</v>
      </c>
    </row>
    <row r="691" spans="2:10" ht="15" customHeight="1">
      <c r="B691" s="1042" t="str">
        <f>'Смета Внутр'!B698</f>
        <v>Сосна влаж,200*40мм</v>
      </c>
      <c r="C691" s="1042" t="str">
        <f>'Смета Внутр'!C698</f>
        <v>м3</v>
      </c>
      <c r="D691" s="1058">
        <f>'Смета Внутр'!D698</f>
        <v>0.83200000000000007</v>
      </c>
      <c r="E691" s="1042">
        <f>'Смета Внутр'!E698</f>
        <v>6500</v>
      </c>
      <c r="F691" s="1042">
        <f>'Смета Внутр'!F698</f>
        <v>0</v>
      </c>
      <c r="G691" s="1042">
        <f t="shared" si="35"/>
        <v>6500</v>
      </c>
      <c r="H691" s="1042">
        <f>'Смета Внутр'!G698</f>
        <v>5408.0000000000009</v>
      </c>
      <c r="I691" s="1042">
        <f>'Смета Внутр'!H698</f>
        <v>5408.0000000000009</v>
      </c>
      <c r="J691" s="1058">
        <f>'Смета Внутр'!I698</f>
        <v>5408.0000000000009</v>
      </c>
    </row>
    <row r="692" spans="2:10" ht="15" customHeight="1">
      <c r="B692" s="1042" t="str">
        <f>'Смета Внутр'!B699</f>
        <v>Сейсмопояс Арматура М10 4 нити</v>
      </c>
      <c r="C692" s="1042" t="str">
        <f>'Смета Внутр'!C699</f>
        <v>м.п.</v>
      </c>
      <c r="D692" s="1058">
        <f>'Смета Внутр'!D699</f>
        <v>176</v>
      </c>
      <c r="E692" s="1042">
        <f>'Смета Внутр'!E699</f>
        <v>21.0397</v>
      </c>
      <c r="F692" s="1042">
        <f>'Смета Внутр'!F699</f>
        <v>0</v>
      </c>
      <c r="G692" s="1042">
        <f t="shared" si="35"/>
        <v>21.0397</v>
      </c>
      <c r="H692" s="1042">
        <f>'Смета Внутр'!G699</f>
        <v>3702.9872</v>
      </c>
      <c r="I692" s="1042">
        <f>'Смета Внутр'!H699</f>
        <v>3702.9872</v>
      </c>
      <c r="J692" s="1058">
        <f>'Смета Внутр'!I699</f>
        <v>3702.9872</v>
      </c>
    </row>
    <row r="693" spans="2:10" ht="15" customHeight="1">
      <c r="B693" s="1042" t="str">
        <f>'Смета Внутр'!B700</f>
        <v>Хомут для сейсмопояса Арматура М6, шаг 400мм</v>
      </c>
      <c r="C693" s="1042" t="str">
        <f>'Смета Внутр'!C700</f>
        <v>м.п.</v>
      </c>
      <c r="D693" s="1058">
        <f>'Смета Внутр'!D700</f>
        <v>90</v>
      </c>
      <c r="E693" s="1042">
        <f>'Смета Внутр'!E700</f>
        <v>0</v>
      </c>
      <c r="F693" s="1042">
        <f>'Смета Внутр'!F700</f>
        <v>0</v>
      </c>
      <c r="G693" s="1042">
        <f t="shared" si="35"/>
        <v>0</v>
      </c>
      <c r="H693" s="1042">
        <f>'Смета Внутр'!G700</f>
        <v>0</v>
      </c>
      <c r="I693" s="1042">
        <f>'Смета Внутр'!H700</f>
        <v>0</v>
      </c>
      <c r="J693" s="1058">
        <f>'Смета Внутр'!I700</f>
        <v>0</v>
      </c>
    </row>
    <row r="694" spans="2:10" ht="15" customHeight="1">
      <c r="B694" s="1042" t="str">
        <f>'Смета Внутр'!B701</f>
        <v>Бетон, м300</v>
      </c>
      <c r="C694" s="1042" t="str">
        <f>'Смета Внутр'!C701</f>
        <v>м3</v>
      </c>
      <c r="D694" s="1058">
        <f>'Смета Внутр'!D701</f>
        <v>1.6380000000000001</v>
      </c>
      <c r="E694" s="1042">
        <f>'Смета Внутр'!E701</f>
        <v>3000</v>
      </c>
      <c r="F694" s="1042">
        <f>'Смета Внутр'!F701</f>
        <v>0</v>
      </c>
      <c r="G694" s="1042">
        <f t="shared" si="35"/>
        <v>3000</v>
      </c>
      <c r="H694" s="1042">
        <f>'Смета Внутр'!G701</f>
        <v>4914</v>
      </c>
      <c r="I694" s="1042">
        <f>'Смета Внутр'!H701</f>
        <v>4914</v>
      </c>
      <c r="J694" s="1058">
        <f>'Смета Внутр'!I701</f>
        <v>4914</v>
      </c>
    </row>
    <row r="695" spans="2:10" ht="15" customHeight="1">
      <c r="B695" s="1042" t="str">
        <f>'Смета Внутр'!B702</f>
        <v>Нет</v>
      </c>
      <c r="C695" s="1042" t="str">
        <f>'Смета Внутр'!C702</f>
        <v>м3</v>
      </c>
      <c r="D695" s="1058">
        <f>'Смета Внутр'!D702</f>
        <v>0</v>
      </c>
      <c r="E695" s="1042">
        <f>'Смета Внутр'!E702</f>
        <v>0</v>
      </c>
      <c r="F695" s="1042">
        <f>'Смета Внутр'!F702</f>
        <v>0</v>
      </c>
      <c r="G695" s="1042">
        <f t="shared" si="35"/>
        <v>0</v>
      </c>
      <c r="H695" s="1042">
        <f>'Смета Внутр'!G702</f>
        <v>0</v>
      </c>
      <c r="I695" s="1042">
        <f>'Смета Внутр'!H702</f>
        <v>0</v>
      </c>
      <c r="J695" s="1058">
        <f>'Смета Внутр'!I702</f>
        <v>0</v>
      </c>
    </row>
    <row r="696" spans="2:10" ht="15" customHeight="1">
      <c r="B696" s="1042" t="str">
        <f>'Смета Внутр'!B703</f>
        <v>Грибок для крепления утеплителя</v>
      </c>
      <c r="C696" s="1042" t="str">
        <f>'Смета Внутр'!C703</f>
        <v>шт</v>
      </c>
      <c r="D696" s="1058">
        <f>'Смета Внутр'!D703</f>
        <v>0</v>
      </c>
      <c r="E696" s="1042">
        <f>'Смета Внутр'!E703</f>
        <v>15</v>
      </c>
      <c r="F696" s="1042">
        <f>'Смета Внутр'!F703</f>
        <v>0</v>
      </c>
      <c r="G696" s="1042">
        <f t="shared" si="35"/>
        <v>15</v>
      </c>
      <c r="H696" s="1042">
        <f>'Смета Внутр'!G703</f>
        <v>0</v>
      </c>
      <c r="I696" s="1042">
        <f>'Смета Внутр'!H703</f>
        <v>0</v>
      </c>
      <c r="J696" s="1058">
        <f>'Смета Внутр'!I703</f>
        <v>0</v>
      </c>
    </row>
    <row r="697" spans="2:10" ht="15" customHeight="1">
      <c r="B697" s="1042" t="str">
        <f>'Смета Внутр'!B704</f>
        <v>нет ветроизоляции</v>
      </c>
      <c r="C697" s="1042" t="str">
        <f>'Смета Внутр'!C704</f>
        <v>м2</v>
      </c>
      <c r="D697" s="1058">
        <f>'Смета Внутр'!D704</f>
        <v>0</v>
      </c>
      <c r="E697" s="1042">
        <f>'Смета Внутр'!E704</f>
        <v>0</v>
      </c>
      <c r="F697" s="1042">
        <f>'Смета Внутр'!F704</f>
        <v>0</v>
      </c>
      <c r="G697" s="1042">
        <f t="shared" si="35"/>
        <v>0</v>
      </c>
      <c r="H697" s="1042">
        <f>'Смета Внутр'!G704</f>
        <v>0</v>
      </c>
      <c r="I697" s="1042">
        <f>'Смета Внутр'!H704</f>
        <v>0</v>
      </c>
      <c r="J697" s="1058">
        <f>'Смета Внутр'!I704</f>
        <v>0</v>
      </c>
    </row>
    <row r="698" spans="2:10" ht="15" customHeight="1">
      <c r="B698" s="1042" t="str">
        <f>'Смета Внутр'!B705</f>
        <v>Кладочная сетка, 100*100/150*150/200*200мм</v>
      </c>
      <c r="C698" s="1042" t="str">
        <f>'Смета Внутр'!C705</f>
        <v>м2</v>
      </c>
      <c r="D698" s="1058">
        <f>'Смета Внутр'!D705</f>
        <v>110.88000000000001</v>
      </c>
      <c r="E698" s="1042">
        <f>'Смета Внутр'!E705</f>
        <v>70</v>
      </c>
      <c r="F698" s="1042">
        <f>'Смета Внутр'!F705</f>
        <v>0</v>
      </c>
      <c r="G698" s="1042">
        <f t="shared" si="35"/>
        <v>70</v>
      </c>
      <c r="H698" s="1042">
        <f>'Смета Внутр'!G705</f>
        <v>7761.6</v>
      </c>
      <c r="I698" s="1042">
        <f>'Смета Внутр'!H705</f>
        <v>7761.6</v>
      </c>
      <c r="J698" s="1058">
        <f>'Смета Внутр'!I705</f>
        <v>7761.6</v>
      </c>
    </row>
    <row r="699" spans="2:10" ht="15" customHeight="1">
      <c r="B699" s="1042" t="str">
        <f>'Смета Внутр'!B706</f>
        <v>Песок, машина 13м3</v>
      </c>
      <c r="C699" s="1042" t="str">
        <f>'Смета Внутр'!C706</f>
        <v>шт</v>
      </c>
      <c r="D699" s="1058">
        <f>'Смета Внутр'!D706</f>
        <v>1.1269335000000003</v>
      </c>
      <c r="E699" s="1042">
        <f>'Смета Внутр'!E706</f>
        <v>12000</v>
      </c>
      <c r="F699" s="1042">
        <f>'Смета Внутр'!F706</f>
        <v>0</v>
      </c>
      <c r="G699" s="1042">
        <f t="shared" si="35"/>
        <v>12000</v>
      </c>
      <c r="H699" s="1042">
        <f>'Смета Внутр'!G706</f>
        <v>13523.202000000003</v>
      </c>
      <c r="I699" s="1042">
        <f>'Смета Внутр'!H706</f>
        <v>13523.202000000003</v>
      </c>
      <c r="J699" s="1058">
        <f>'Смета Внутр'!I706</f>
        <v>13523.202000000003</v>
      </c>
    </row>
    <row r="700" spans="2:10" ht="15" customHeight="1">
      <c r="B700" s="1042" t="str">
        <f>'Смета Внутр'!B707</f>
        <v>Цемент, мешок, 50кг</v>
      </c>
      <c r="C700" s="1042" t="str">
        <f>'Смета Внутр'!C707</f>
        <v>меш</v>
      </c>
      <c r="D700" s="1058">
        <f>'Смета Внутр'!D707</f>
        <v>34.773948000000004</v>
      </c>
      <c r="E700" s="1042">
        <f>'Смета Внутр'!E707</f>
        <v>250</v>
      </c>
      <c r="F700" s="1042">
        <f>'Смета Внутр'!F707</f>
        <v>0</v>
      </c>
      <c r="G700" s="1042">
        <f t="shared" si="35"/>
        <v>250</v>
      </c>
      <c r="H700" s="1042">
        <f>'Смета Внутр'!G707</f>
        <v>8693.487000000001</v>
      </c>
      <c r="I700" s="1042">
        <f>'Смета Внутр'!H707</f>
        <v>8693.487000000001</v>
      </c>
      <c r="J700" s="1058">
        <f>'Смета Внутр'!I707</f>
        <v>8693.487000000001</v>
      </c>
    </row>
    <row r="701" spans="2:10" ht="15" customHeight="1">
      <c r="B701" s="3330" t="str">
        <f>'Смета Внутр'!B708</f>
        <v>Итого материалы, рублей</v>
      </c>
      <c r="C701" s="3330"/>
      <c r="D701" s="3330"/>
      <c r="E701" s="3330"/>
      <c r="F701" s="3330"/>
      <c r="G701" s="3330"/>
      <c r="H701" s="1042">
        <f>'Смета Внутр'!G708</f>
        <v>630423.27619999996</v>
      </c>
      <c r="I701" s="1042">
        <f>'Смета Внутр'!H708</f>
        <v>630423.27619999996</v>
      </c>
      <c r="J701" s="1058">
        <f>'Смета Внутр'!I708</f>
        <v>630423.27619999996</v>
      </c>
    </row>
    <row r="702" spans="2:10" ht="15" customHeight="1">
      <c r="B702" s="3002" t="str">
        <f>'Смета Внутр'!B709</f>
        <v>Работы</v>
      </c>
      <c r="D702" s="1167"/>
      <c r="H702">
        <f>'Смета Внутр'!G709</f>
        <v>0</v>
      </c>
      <c r="I702">
        <f>'Смета Внутр'!H709</f>
        <v>1</v>
      </c>
      <c r="J702" s="3027">
        <f>'Смета Внутр'!I709</f>
        <v>1</v>
      </c>
    </row>
    <row r="703" spans="2:10" ht="15" customHeight="1">
      <c r="B703" s="1042" t="str">
        <f>'Смета Внутр'!B710</f>
        <v>кладка кирпича</v>
      </c>
      <c r="C703" s="1042" t="str">
        <f>'Смета Внутр'!C710</f>
        <v>м3</v>
      </c>
      <c r="D703" s="1058">
        <f>'Смета Внутр'!D710</f>
        <v>58.542000000000009</v>
      </c>
      <c r="E703" s="1042">
        <f>'Смета Внутр'!E710</f>
        <v>3500</v>
      </c>
      <c r="F703" s="1042">
        <f>'Смета Внутр'!F710</f>
        <v>0</v>
      </c>
      <c r="G703" s="1042">
        <f t="shared" ref="G703:G709" si="36">IF(E703&gt;F703,E703,F703)</f>
        <v>3500</v>
      </c>
      <c r="H703" s="1042">
        <f>'Смета Внутр'!G710</f>
        <v>204897.00000000003</v>
      </c>
      <c r="I703" s="1042">
        <f>'Смета Внутр'!H710</f>
        <v>204897.00000000003</v>
      </c>
      <c r="J703" s="1058">
        <f>'Смета Внутр'!I710</f>
        <v>204897.00000000003</v>
      </c>
    </row>
    <row r="704" spans="2:10" ht="15" customHeight="1">
      <c r="B704" s="1042" t="str">
        <f>'Смета Внутр'!B711</f>
        <v>кладка перегородок из кирпича</v>
      </c>
      <c r="C704" s="1042" t="str">
        <f>'Смета Внутр'!C711</f>
        <v>м2</v>
      </c>
      <c r="D704" s="1058">
        <f>'Смета Внутр'!D711</f>
        <v>23.4</v>
      </c>
      <c r="E704" s="1042">
        <f>'Смета Внутр'!E711</f>
        <v>550</v>
      </c>
      <c r="F704" s="1042">
        <f>'Смета Внутр'!F711</f>
        <v>0</v>
      </c>
      <c r="G704" s="1042">
        <f t="shared" si="36"/>
        <v>550</v>
      </c>
      <c r="H704" s="1042">
        <f>'Смета Внутр'!G711</f>
        <v>12870</v>
      </c>
      <c r="I704" s="1042">
        <f>'Смета Внутр'!H711</f>
        <v>12870</v>
      </c>
      <c r="J704" s="1058">
        <f>'Смета Внутр'!I711</f>
        <v>12870</v>
      </c>
    </row>
    <row r="705" spans="2:10" ht="15" customHeight="1">
      <c r="B705" s="1042" t="str">
        <f>'Смета Внутр'!B712</f>
        <v>Армирование сейсмопояса</v>
      </c>
      <c r="C705" s="1042" t="str">
        <f>'Смета Внутр'!C712</f>
        <v>м2</v>
      </c>
      <c r="D705" s="1058">
        <f>'Смета Внутр'!D712</f>
        <v>55.440000000000005</v>
      </c>
      <c r="E705" s="1042">
        <f>'Смета Внутр'!E712</f>
        <v>500</v>
      </c>
      <c r="F705" s="1042">
        <f>'Смета Внутр'!F712</f>
        <v>0</v>
      </c>
      <c r="G705" s="1042">
        <f t="shared" si="36"/>
        <v>500</v>
      </c>
      <c r="H705" s="1042">
        <f>'Смета Внутр'!G712</f>
        <v>27720.000000000004</v>
      </c>
      <c r="I705" s="1042">
        <f>'Смета Внутр'!H712</f>
        <v>27720.000000000004</v>
      </c>
      <c r="J705" s="1058">
        <f>'Смета Внутр'!I712</f>
        <v>27720.000000000004</v>
      </c>
    </row>
    <row r="706" spans="2:10" ht="15" customHeight="1">
      <c r="B706" s="1042" t="str">
        <f>'Смета Внутр'!B713</f>
        <v>Заливка бетоном сейсмопояса</v>
      </c>
      <c r="C706" s="1042" t="str">
        <f>'Смета Внутр'!C713</f>
        <v>м3</v>
      </c>
      <c r="D706" s="1058">
        <f>'Смета Внутр'!D713</f>
        <v>1.6380000000000001</v>
      </c>
      <c r="E706" s="1042">
        <f>'Смета Внутр'!E713</f>
        <v>700</v>
      </c>
      <c r="F706" s="1042">
        <f>'Смета Внутр'!F713</f>
        <v>0</v>
      </c>
      <c r="G706" s="1042">
        <f t="shared" si="36"/>
        <v>700</v>
      </c>
      <c r="H706" s="1042">
        <f>'Смета Внутр'!G713</f>
        <v>1146.6000000000001</v>
      </c>
      <c r="I706" s="1042">
        <f>'Смета Внутр'!H713</f>
        <v>1146.6000000000001</v>
      </c>
      <c r="J706" s="1058">
        <f>'Смета Внутр'!I713</f>
        <v>1146.6000000000001</v>
      </c>
    </row>
    <row r="707" spans="2:10" ht="15" customHeight="1">
      <c r="B707" s="1042" t="str">
        <f>'Смета Внутр'!B714</f>
        <v>утепление стен снаружи дома</v>
      </c>
      <c r="C707" s="1042" t="str">
        <f>'Смета Внутр'!C714</f>
        <v>м2</v>
      </c>
      <c r="D707" s="1058">
        <f>'Смета Внутр'!D714</f>
        <v>0</v>
      </c>
      <c r="E707" s="1042">
        <f>'Смета Внутр'!E714</f>
        <v>350</v>
      </c>
      <c r="F707" s="1042">
        <f>'Смета Внутр'!F714</f>
        <v>0</v>
      </c>
      <c r="G707" s="1042">
        <f t="shared" si="36"/>
        <v>350</v>
      </c>
      <c r="H707" s="1042">
        <f>'Смета Внутр'!G714</f>
        <v>0</v>
      </c>
      <c r="I707" s="1042">
        <f>'Смета Внутр'!H714</f>
        <v>0</v>
      </c>
      <c r="J707" s="1058">
        <f>'Смета Внутр'!I714</f>
        <v>0</v>
      </c>
    </row>
    <row r="708" spans="2:10" ht="15" customHeight="1">
      <c r="B708" s="1042" t="str">
        <f>'Смета Внутр'!B715</f>
        <v>монтаж ветроизоляции стен</v>
      </c>
      <c r="C708" s="1042" t="str">
        <f>'Смета Внутр'!C715</f>
        <v>м2</v>
      </c>
      <c r="D708" s="1058">
        <f>'Смета Внутр'!D715</f>
        <v>0</v>
      </c>
      <c r="E708" s="1042">
        <f>'Смета Внутр'!E715</f>
        <v>100</v>
      </c>
      <c r="F708" s="1042">
        <f>'Смета Внутр'!F715</f>
        <v>0</v>
      </c>
      <c r="G708" s="1042">
        <f t="shared" si="36"/>
        <v>100</v>
      </c>
      <c r="H708" s="1042">
        <f>'Смета Внутр'!G715</f>
        <v>0</v>
      </c>
      <c r="I708" s="1042">
        <f>'Смета Внутр'!H715</f>
        <v>0</v>
      </c>
      <c r="J708" s="1058">
        <f>'Смета Внутр'!I715</f>
        <v>0</v>
      </c>
    </row>
    <row r="709" spans="2:10" ht="15" customHeight="1">
      <c r="B709" s="1042" t="str">
        <f>'Смета Внутр'!B716</f>
        <v>изготовление и монтаж перемычек для окон и дверей</v>
      </c>
      <c r="C709" s="1042" t="str">
        <f>'Смета Внутр'!C716</f>
        <v>м.п.</v>
      </c>
      <c r="D709" s="1058">
        <f>'Смета Внутр'!D716</f>
        <v>1</v>
      </c>
      <c r="E709" s="1042">
        <f>'Смета Внутр'!E716</f>
        <v>500</v>
      </c>
      <c r="F709" s="1042">
        <f>'Смета Внутр'!F716</f>
        <v>0</v>
      </c>
      <c r="G709" s="1042">
        <f t="shared" si="36"/>
        <v>500</v>
      </c>
      <c r="H709" s="1042">
        <f>'Смета Внутр'!G716</f>
        <v>500</v>
      </c>
      <c r="I709" s="1042">
        <f>'Смета Внутр'!H716</f>
        <v>500</v>
      </c>
      <c r="J709" s="1058">
        <f>'Смета Внутр'!I716</f>
        <v>500</v>
      </c>
    </row>
    <row r="710" spans="2:10" ht="15" customHeight="1">
      <c r="B710" s="3330" t="str">
        <f>'Смета Внутр'!B717</f>
        <v>Итого работы, рублей</v>
      </c>
      <c r="C710" s="3330"/>
      <c r="D710" s="3330"/>
      <c r="E710" s="3330"/>
      <c r="F710" s="3330"/>
      <c r="G710" s="3330"/>
      <c r="H710" s="1042">
        <f>'Смета Внутр'!G717</f>
        <v>247133.60000000003</v>
      </c>
      <c r="I710" s="1042">
        <f>'Смета Внутр'!H717</f>
        <v>247133.60000000003</v>
      </c>
      <c r="J710" s="1058">
        <f>'Смета Внутр'!I717</f>
        <v>247133.60000000003</v>
      </c>
    </row>
    <row r="711" spans="2:10" ht="15" customHeight="1">
      <c r="B711" s="3329" t="str">
        <f>'Смета Внутр'!B718</f>
        <v>Брусовой дом</v>
      </c>
      <c r="C711" s="3329"/>
      <c r="D711" s="3329"/>
      <c r="H711">
        <f>'Смета Внутр'!G718</f>
        <v>0</v>
      </c>
      <c r="I711">
        <f>'Смета Внутр'!H718</f>
        <v>0</v>
      </c>
      <c r="J711" s="3027">
        <f>'Смета Внутр'!I718</f>
        <v>0</v>
      </c>
    </row>
    <row r="712" spans="2:10" ht="15" customHeight="1">
      <c r="B712" s="3002" t="str">
        <f>'Смета Внутр'!B719</f>
        <v>Материалы</v>
      </c>
      <c r="D712" s="1167"/>
      <c r="H712">
        <f>'Смета Внутр'!G719</f>
        <v>0</v>
      </c>
      <c r="I712">
        <f>'Смета Внутр'!H719</f>
        <v>0</v>
      </c>
      <c r="J712" s="3027">
        <f>'Смета Внутр'!I719</f>
        <v>0</v>
      </c>
    </row>
    <row r="713" spans="2:10" ht="15" customHeight="1">
      <c r="B713" s="1042" t="str">
        <f>'Смета Внутр'!B720</f>
        <v>Листв. влаж, 200*200мм</v>
      </c>
      <c r="C713" s="1042" t="str">
        <f>'Смета Внутр'!C720</f>
        <v>м3</v>
      </c>
      <c r="D713" s="1058">
        <f>'Смета Внутр'!D720</f>
        <v>2.5520000000000005</v>
      </c>
      <c r="E713" s="1042">
        <f>'Смета Внутр'!E720</f>
        <v>9000</v>
      </c>
      <c r="F713" s="1042">
        <f>'Смета Внутр'!F720</f>
        <v>0</v>
      </c>
      <c r="G713" s="1042">
        <f t="shared" ref="G713:G735" si="37">IF(E713&gt;F713,E713,F713)</f>
        <v>9000</v>
      </c>
      <c r="H713" s="1042">
        <f>'Смета Внутр'!G720</f>
        <v>22968.000000000004</v>
      </c>
      <c r="I713" s="1042">
        <f>'Смета Внутр'!H720</f>
        <v>0</v>
      </c>
      <c r="J713" s="1058">
        <f>'Смета Внутр'!I720</f>
        <v>0</v>
      </c>
    </row>
    <row r="714" spans="2:10" ht="15" customHeight="1">
      <c r="B714" s="1042" t="str">
        <f>'Смета Внутр'!B721</f>
        <v>Сосна влаж, 200*200мм</v>
      </c>
      <c r="C714" s="1042" t="str">
        <f>'Смета Внутр'!C721</f>
        <v>м3</v>
      </c>
      <c r="D714" s="1058">
        <f>'Смета Внутр'!D721</f>
        <v>22.950400000000016</v>
      </c>
      <c r="E714" s="1042">
        <f>'Смета Внутр'!E721</f>
        <v>6500</v>
      </c>
      <c r="F714" s="1042">
        <f>'Смета Внутр'!F721</f>
        <v>0</v>
      </c>
      <c r="G714" s="1042">
        <f t="shared" si="37"/>
        <v>6500</v>
      </c>
      <c r="H714" s="1042">
        <f>'Смета Внутр'!G721</f>
        <v>149177.60000000009</v>
      </c>
      <c r="I714" s="1042">
        <f>'Смета Внутр'!H721</f>
        <v>0</v>
      </c>
      <c r="J714" s="1058">
        <f>'Смета Внутр'!I721</f>
        <v>0</v>
      </c>
    </row>
    <row r="715" spans="2:10" ht="15" customHeight="1">
      <c r="B715" s="1042" t="str">
        <f>'Смета Внутр'!B722</f>
        <v>Сосна влаж, 200*150мм</v>
      </c>
      <c r="C715" s="1042" t="str">
        <f>'Смета Внутр'!C722</f>
        <v>м3</v>
      </c>
      <c r="D715" s="1058">
        <f>'Смета Внутр'!D722</f>
        <v>0</v>
      </c>
      <c r="E715" s="1042">
        <f>'Смета Внутр'!E722</f>
        <v>6500</v>
      </c>
      <c r="F715" s="1042">
        <f>'Смета Внутр'!F722</f>
        <v>0</v>
      </c>
      <c r="G715" s="1042">
        <f t="shared" si="37"/>
        <v>6500</v>
      </c>
      <c r="H715" s="1042">
        <f>'Смета Внутр'!G722</f>
        <v>0</v>
      </c>
      <c r="I715" s="1042">
        <f>'Смета Внутр'!H722</f>
        <v>0</v>
      </c>
      <c r="J715" s="1058">
        <f>'Смета Внутр'!I722</f>
        <v>0</v>
      </c>
    </row>
    <row r="716" spans="2:10" ht="15" customHeight="1">
      <c r="B716" s="1042" t="str">
        <f>'Смета Внутр'!B723</f>
        <v>Сосна влаж, 200*100мм</v>
      </c>
      <c r="C716" s="1042" t="str">
        <f>'Смета Внутр'!C723</f>
        <v>м2</v>
      </c>
      <c r="D716" s="1058">
        <f>'Смета Внутр'!D723</f>
        <v>0</v>
      </c>
      <c r="E716" s="1042">
        <f>'Смета Внутр'!E723</f>
        <v>6500</v>
      </c>
      <c r="F716" s="1042">
        <f>'Смета Внутр'!F723</f>
        <v>0</v>
      </c>
      <c r="G716" s="1042">
        <f t="shared" si="37"/>
        <v>6500</v>
      </c>
      <c r="H716" s="1042">
        <f>'Смета Внутр'!G723</f>
        <v>0</v>
      </c>
      <c r="I716" s="1042">
        <f>'Смета Внутр'!H723</f>
        <v>0</v>
      </c>
      <c r="J716" s="1058">
        <f>'Смета Внутр'!I723</f>
        <v>0</v>
      </c>
    </row>
    <row r="717" spans="2:10" ht="15" customHeight="1">
      <c r="B717" s="1042" t="str">
        <f>'Смета Внутр'!B724</f>
        <v>Шкант</v>
      </c>
      <c r="C717" s="1042" t="str">
        <f>'Смета Внутр'!C724</f>
        <v>шт</v>
      </c>
      <c r="D717" s="1058">
        <f>'Смета Внутр'!D724</f>
        <v>562</v>
      </c>
      <c r="E717" s="1042">
        <f>'Смета Внутр'!E724</f>
        <v>6</v>
      </c>
      <c r="F717" s="1042">
        <f>'Смета Внутр'!F724</f>
        <v>0</v>
      </c>
      <c r="G717" s="1042">
        <f t="shared" si="37"/>
        <v>6</v>
      </c>
      <c r="H717" s="1042">
        <f>'Смета Внутр'!G724</f>
        <v>3372</v>
      </c>
      <c r="I717" s="1042">
        <f>'Смета Внутр'!H724</f>
        <v>0</v>
      </c>
      <c r="J717" s="1058">
        <f>'Смета Внутр'!I724</f>
        <v>0</v>
      </c>
    </row>
    <row r="718" spans="2:10" ht="15" customHeight="1">
      <c r="B718" s="1042" t="str">
        <f>'Смета Внутр'!B725</f>
        <v>Лен-джут 200х5х20000 мм</v>
      </c>
      <c r="C718" s="1042" t="str">
        <f>'Смета Внутр'!C725</f>
        <v>шт</v>
      </c>
      <c r="D718" s="1058">
        <f>'Смета Внутр'!D725</f>
        <v>0</v>
      </c>
      <c r="E718" s="1042">
        <f>'Смета Внутр'!E725</f>
        <v>175</v>
      </c>
      <c r="F718" s="1042">
        <f>'Смета Внутр'!F725</f>
        <v>0</v>
      </c>
      <c r="G718" s="1042">
        <f t="shared" si="37"/>
        <v>175</v>
      </c>
      <c r="H718" s="1042">
        <f>'Смета Внутр'!G725</f>
        <v>0</v>
      </c>
      <c r="I718" s="1042">
        <f>'Смета Внутр'!H725</f>
        <v>0</v>
      </c>
      <c r="J718" s="1058">
        <f>'Смета Внутр'!I725</f>
        <v>0</v>
      </c>
    </row>
    <row r="719" spans="2:10" ht="15" customHeight="1">
      <c r="B719" s="1042" t="str">
        <f>'Смета Внутр'!B726</f>
        <v xml:space="preserve">Гвозди строительные 3,5 x 90            </v>
      </c>
      <c r="C719" s="1042" t="str">
        <f>'Смета Внутр'!C726</f>
        <v>шт</v>
      </c>
      <c r="D719" s="1058">
        <f>'Смета Внутр'!D726</f>
        <v>4.4000000000000004</v>
      </c>
      <c r="E719" s="1042">
        <f>'Смета Внутр'!E726</f>
        <v>70</v>
      </c>
      <c r="F719" s="1042">
        <f>'Смета Внутр'!F726</f>
        <v>0</v>
      </c>
      <c r="G719" s="1042">
        <f t="shared" si="37"/>
        <v>70</v>
      </c>
      <c r="H719" s="1042">
        <f>'Смета Внутр'!G726</f>
        <v>308</v>
      </c>
      <c r="I719" s="1042">
        <f>'Смета Внутр'!H726</f>
        <v>0</v>
      </c>
      <c r="J719" s="1058">
        <f>'Смета Внутр'!I726</f>
        <v>0</v>
      </c>
    </row>
    <row r="720" spans="2:10" ht="15" customHeight="1">
      <c r="B720" s="1042" t="str">
        <f>'Смета Внутр'!B727</f>
        <v>нет</v>
      </c>
      <c r="C720" s="1042" t="str">
        <f>'Смета Внутр'!C727</f>
        <v>м3</v>
      </c>
      <c r="D720" s="1058">
        <f>'Смета Внутр'!D727</f>
        <v>0</v>
      </c>
      <c r="E720" s="1042">
        <f>'Смета Внутр'!E727</f>
        <v>0</v>
      </c>
      <c r="F720" s="1042">
        <f>'Смета Внутр'!F727</f>
        <v>0</v>
      </c>
      <c r="G720" s="1042">
        <f t="shared" si="37"/>
        <v>0</v>
      </c>
      <c r="H720" s="1042">
        <f>'Смета Внутр'!G727</f>
        <v>0</v>
      </c>
      <c r="I720" s="1042">
        <f>'Смета Внутр'!H727</f>
        <v>0</v>
      </c>
      <c r="J720" s="1058">
        <f>'Смета Внутр'!I727</f>
        <v>0</v>
      </c>
    </row>
    <row r="721" spans="2:10" ht="15" customHeight="1">
      <c r="B721" s="1042" t="str">
        <f>'Смета Внутр'!B728</f>
        <v>Доска сухая, 100*50мм</v>
      </c>
      <c r="C721" s="1042" t="str">
        <f>'Смета Внутр'!C728</f>
        <v>м3</v>
      </c>
      <c r="D721" s="1058">
        <f>'Смета Внутр'!D728</f>
        <v>0</v>
      </c>
      <c r="E721" s="1042">
        <f>'Смета Внутр'!E728</f>
        <v>9000</v>
      </c>
      <c r="F721" s="1042">
        <f>'Смета Внутр'!F728</f>
        <v>0</v>
      </c>
      <c r="G721" s="1042">
        <f t="shared" si="37"/>
        <v>9000</v>
      </c>
      <c r="H721" s="1042">
        <f>'Смета Внутр'!G728</f>
        <v>0</v>
      </c>
      <c r="I721" s="1042">
        <f>'Смета Внутр'!H728</f>
        <v>0</v>
      </c>
      <c r="J721" s="1058">
        <f>'Смета Внутр'!I728</f>
        <v>0</v>
      </c>
    </row>
    <row r="722" spans="2:10" ht="15" customHeight="1">
      <c r="B722" s="1042" t="str">
        <f>'Смета Внутр'!B729</f>
        <v>Доска сухая калиброванная, 100*45мм</v>
      </c>
      <c r="C722" s="1042" t="str">
        <f>'Смета Внутр'!C729</f>
        <v>м3</v>
      </c>
      <c r="D722" s="1058">
        <f>'Смета Внутр'!D729</f>
        <v>0</v>
      </c>
      <c r="E722" s="1042">
        <f>'Смета Внутр'!E729</f>
        <v>12500</v>
      </c>
      <c r="F722" s="1042">
        <f>'Смета Внутр'!F729</f>
        <v>0</v>
      </c>
      <c r="G722" s="1042">
        <f t="shared" si="37"/>
        <v>12500</v>
      </c>
      <c r="H722" s="1042">
        <f>'Смета Внутр'!G729</f>
        <v>0</v>
      </c>
      <c r="I722" s="1042">
        <f>'Смета Внутр'!H729</f>
        <v>0</v>
      </c>
      <c r="J722" s="1058">
        <f>'Смета Внутр'!I729</f>
        <v>0</v>
      </c>
    </row>
    <row r="723" spans="2:10" ht="15" customHeight="1">
      <c r="B723" s="1042" t="str">
        <f>'Смета Внутр'!B730</f>
        <v>Сосна влаж, 50*50мм</v>
      </c>
      <c r="C723" s="1042" t="str">
        <f>'Смета Внутр'!C730</f>
        <v>м.п.</v>
      </c>
      <c r="D723" s="1058">
        <f>'Смета Внутр'!D730</f>
        <v>0</v>
      </c>
      <c r="E723" s="1042">
        <f>'Смета Внутр'!E730</f>
        <v>16.25</v>
      </c>
      <c r="F723" s="1042">
        <f>'Смета Внутр'!F730</f>
        <v>0</v>
      </c>
      <c r="G723" s="1042">
        <f t="shared" si="37"/>
        <v>16.25</v>
      </c>
      <c r="H723" s="1042">
        <f>'Смета Внутр'!G730</f>
        <v>0</v>
      </c>
      <c r="I723" s="1042">
        <f>'Смета Внутр'!H730</f>
        <v>0</v>
      </c>
      <c r="J723" s="1058">
        <f>'Смета Внутр'!I730</f>
        <v>0</v>
      </c>
    </row>
    <row r="724" spans="2:10" ht="15" customHeight="1">
      <c r="B724" s="1042" t="str">
        <f>'Смета Внутр'!B731</f>
        <v>Бензин для пилы</v>
      </c>
      <c r="C724" s="1042" t="str">
        <f>'Смета Внутр'!C731</f>
        <v>л</v>
      </c>
      <c r="D724" s="1058">
        <f>'Смета Внутр'!D731</f>
        <v>4.6754400000000036</v>
      </c>
      <c r="E724" s="1042">
        <f>'Смета Внутр'!E731</f>
        <v>40</v>
      </c>
      <c r="F724" s="1042">
        <f>'Смета Внутр'!F731</f>
        <v>0</v>
      </c>
      <c r="G724" s="1042">
        <f t="shared" si="37"/>
        <v>40</v>
      </c>
      <c r="H724" s="1042">
        <f>'Смета Внутр'!G731</f>
        <v>187.01760000000013</v>
      </c>
      <c r="I724" s="1042">
        <f>'Смета Внутр'!H731</f>
        <v>0</v>
      </c>
      <c r="J724" s="1058">
        <f>'Смета Внутр'!I731</f>
        <v>0</v>
      </c>
    </row>
    <row r="725" spans="2:10" ht="15" customHeight="1">
      <c r="B725" s="1042" t="str">
        <f>'Смета Внутр'!B732</f>
        <v>Масло для пилы</v>
      </c>
      <c r="C725" s="1042" t="str">
        <f>'Смета Внутр'!C732</f>
        <v>л</v>
      </c>
      <c r="D725" s="1058">
        <f>'Смета Внутр'!D732</f>
        <v>0.51429840000000049</v>
      </c>
      <c r="E725" s="1042">
        <f>'Смета Внутр'!E732</f>
        <v>250</v>
      </c>
      <c r="F725" s="1042">
        <f>'Смета Внутр'!F732</f>
        <v>0</v>
      </c>
      <c r="G725" s="1042">
        <f t="shared" si="37"/>
        <v>250</v>
      </c>
      <c r="H725" s="1042">
        <f>'Смета Внутр'!G732</f>
        <v>128.57460000000012</v>
      </c>
      <c r="I725" s="1042">
        <f>'Смета Внутр'!H732</f>
        <v>0</v>
      </c>
      <c r="J725" s="1058">
        <f>'Смета Внутр'!I732</f>
        <v>0</v>
      </c>
    </row>
    <row r="726" spans="2:10" ht="15" customHeight="1">
      <c r="B726" s="1042" t="str">
        <f>'Смета Внутр'!B733</f>
        <v>Цепь для пилы</v>
      </c>
      <c r="C726" s="1042" t="str">
        <f>'Смета Внутр'!C733</f>
        <v>шт</v>
      </c>
      <c r="D726" s="1058">
        <f>'Смета Внутр'!D733</f>
        <v>2.2000000000000002</v>
      </c>
      <c r="E726" s="1042">
        <f>'Смета Внутр'!E733</f>
        <v>800</v>
      </c>
      <c r="F726" s="1042">
        <f>'Смета Внутр'!F733</f>
        <v>0</v>
      </c>
      <c r="G726" s="1042">
        <f t="shared" si="37"/>
        <v>800</v>
      </c>
      <c r="H726" s="1042">
        <f>'Смета Внутр'!G733</f>
        <v>1760.0000000000002</v>
      </c>
      <c r="I726" s="1042">
        <f>'Смета Внутр'!H733</f>
        <v>0</v>
      </c>
      <c r="J726" s="1058">
        <f>'Смета Внутр'!I733</f>
        <v>0</v>
      </c>
    </row>
    <row r="727" spans="2:10" ht="15" customHeight="1">
      <c r="B727" s="1042" t="str">
        <f>'Смета Внутр'!B734</f>
        <v>"Профилюкс" Антисептик АНТИПЛЕСЕНЬ</v>
      </c>
      <c r="C727" s="1042" t="str">
        <f>'Смета Внутр'!C734</f>
        <v>л</v>
      </c>
      <c r="D727" s="1058">
        <f>'Смета Внутр'!D734</f>
        <v>0</v>
      </c>
      <c r="E727" s="1042">
        <f>'Смета Внутр'!E734</f>
        <v>108</v>
      </c>
      <c r="F727" s="1042">
        <f>'Смета Внутр'!F734</f>
        <v>0</v>
      </c>
      <c r="G727" s="1042">
        <f t="shared" si="37"/>
        <v>108</v>
      </c>
      <c r="H727" s="1042">
        <f>'Смета Внутр'!G734</f>
        <v>0</v>
      </c>
      <c r="I727" s="1042">
        <f>'Смета Внутр'!H734</f>
        <v>0</v>
      </c>
      <c r="J727" s="1058">
        <f>'Смета Внутр'!I734</f>
        <v>0</v>
      </c>
    </row>
    <row r="728" spans="2:10" ht="15" customHeight="1">
      <c r="B728" s="1042" t="str">
        <f>'Смета Внутр'!B735</f>
        <v>"Тонерол" Антисептик  бесцветный  1л</v>
      </c>
      <c r="C728" s="1042" t="str">
        <f>'Смета Внутр'!C735</f>
        <v>л</v>
      </c>
      <c r="D728" s="1058">
        <f>'Смета Внутр'!D735</f>
        <v>0</v>
      </c>
      <c r="E728" s="1042">
        <f>'Смета Внутр'!E735</f>
        <v>305</v>
      </c>
      <c r="F728" s="1042">
        <f>'Смета Внутр'!F735</f>
        <v>0</v>
      </c>
      <c r="G728" s="1042">
        <f t="shared" si="37"/>
        <v>305</v>
      </c>
      <c r="H728" s="1042">
        <f>'Смета Внутр'!G735</f>
        <v>0</v>
      </c>
      <c r="I728" s="1042">
        <f>'Смета Внутр'!H735</f>
        <v>0</v>
      </c>
      <c r="J728" s="1058">
        <f>'Смета Внутр'!I735</f>
        <v>0</v>
      </c>
    </row>
    <row r="729" spans="2:10" ht="15" customHeight="1">
      <c r="B729" s="1042" t="str">
        <f>'Смета Внутр'!B736</f>
        <v>"Тонерол" Антисептик  махагон  1л</v>
      </c>
      <c r="C729" s="1042" t="str">
        <f>'Смета Внутр'!C736</f>
        <v>л</v>
      </c>
      <c r="D729" s="1058">
        <f>'Смета Внутр'!D736</f>
        <v>0</v>
      </c>
      <c r="E729" s="1042">
        <f>'Смета Внутр'!E736</f>
        <v>305</v>
      </c>
      <c r="F729" s="1042">
        <f>'Смета Внутр'!F736</f>
        <v>0</v>
      </c>
      <c r="G729" s="1042">
        <f t="shared" si="37"/>
        <v>305</v>
      </c>
      <c r="H729" s="1042">
        <f>'Смета Внутр'!G736</f>
        <v>0</v>
      </c>
      <c r="I729" s="1042">
        <f>'Смета Внутр'!H736</f>
        <v>0</v>
      </c>
      <c r="J729" s="1058">
        <f>'Смета Внутр'!I736</f>
        <v>0</v>
      </c>
    </row>
    <row r="730" spans="2:10" ht="15" customHeight="1">
      <c r="B730" s="1042" t="str">
        <f>'Смета Внутр'!B737</f>
        <v>Нет наличника</v>
      </c>
      <c r="C730" s="1042" t="str">
        <f>'Смета Внутр'!C737</f>
        <v>м.п.</v>
      </c>
      <c r="D730" s="1058">
        <f>'Смета Внутр'!D737</f>
        <v>3.5700000000000007</v>
      </c>
      <c r="E730" s="1042">
        <f>'Смета Внутр'!E737</f>
        <v>0</v>
      </c>
      <c r="F730" s="1042">
        <f>'Смета Внутр'!F737</f>
        <v>0</v>
      </c>
      <c r="G730" s="1042">
        <f t="shared" si="37"/>
        <v>0</v>
      </c>
      <c r="H730" s="1042">
        <f>'Смета Внутр'!G737</f>
        <v>0</v>
      </c>
      <c r="I730" s="1042">
        <f>'Смета Внутр'!H737</f>
        <v>0</v>
      </c>
      <c r="J730" s="1058">
        <f>'Смета Внутр'!I737</f>
        <v>0</v>
      </c>
    </row>
    <row r="731" spans="2:10" ht="15" customHeight="1">
      <c r="B731" s="1042" t="str">
        <f>'Смета Внутр'!B738</f>
        <v>Нет наличника</v>
      </c>
      <c r="C731" s="1042" t="str">
        <f>'Смета Внутр'!C738</f>
        <v>м.п.</v>
      </c>
      <c r="D731" s="1058">
        <f>'Смета Внутр'!D738</f>
        <v>3.5700000000000007</v>
      </c>
      <c r="E731" s="1042">
        <f>'Смета Внутр'!E738</f>
        <v>0</v>
      </c>
      <c r="F731" s="1042">
        <f>'Смета Внутр'!F738</f>
        <v>0</v>
      </c>
      <c r="G731" s="1042">
        <f t="shared" si="37"/>
        <v>0</v>
      </c>
      <c r="H731" s="1042">
        <f>'Смета Внутр'!G738</f>
        <v>0</v>
      </c>
      <c r="I731" s="1042">
        <f>'Смета Внутр'!H738</f>
        <v>0</v>
      </c>
      <c r="J731" s="1058">
        <f>'Смета Внутр'!I738</f>
        <v>0</v>
      </c>
    </row>
    <row r="732" spans="2:10" ht="15" customHeight="1">
      <c r="B732" s="1042" t="str">
        <f>'Смета Внутр'!B739</f>
        <v>Бумага наждачная № 63 F(30)</v>
      </c>
      <c r="C732" s="1042" t="str">
        <f>'Смета Внутр'!C739</f>
        <v>м</v>
      </c>
      <c r="D732" s="1058">
        <f>'Смета Внутр'!D739</f>
        <v>5</v>
      </c>
      <c r="E732" s="1042">
        <f>'Смета Внутр'!E739</f>
        <v>291</v>
      </c>
      <c r="F732" s="1042">
        <f>'Смета Внутр'!F739</f>
        <v>0</v>
      </c>
      <c r="G732" s="1042">
        <f t="shared" si="37"/>
        <v>291</v>
      </c>
      <c r="H732" s="1042">
        <f>'Смета Внутр'!G739</f>
        <v>1455</v>
      </c>
      <c r="I732" s="1042">
        <f>'Смета Внутр'!H739</f>
        <v>0</v>
      </c>
      <c r="J732" s="1058">
        <f>'Смета Внутр'!I739</f>
        <v>0</v>
      </c>
    </row>
    <row r="733" spans="2:10" ht="15" customHeight="1">
      <c r="B733" s="1042" t="str">
        <f>'Смета Внутр'!B740</f>
        <v>Нет наждачной бумаги</v>
      </c>
      <c r="C733" s="1042" t="str">
        <f>'Смета Внутр'!C740</f>
        <v>м</v>
      </c>
      <c r="D733" s="1058">
        <f>'Смета Внутр'!D740</f>
        <v>0</v>
      </c>
      <c r="E733" s="1042">
        <f>'Смета Внутр'!E740</f>
        <v>0</v>
      </c>
      <c r="F733" s="1042">
        <f>'Смета Внутр'!F740</f>
        <v>0</v>
      </c>
      <c r="G733" s="1042">
        <f t="shared" si="37"/>
        <v>0</v>
      </c>
      <c r="H733" s="1042">
        <f>'Смета Внутр'!G740</f>
        <v>0</v>
      </c>
      <c r="I733" s="1042">
        <f>'Смета Внутр'!H740</f>
        <v>0</v>
      </c>
      <c r="J733" s="1058">
        <f>'Смета Внутр'!I740</f>
        <v>0</v>
      </c>
    </row>
    <row r="734" spans="2:10" ht="15" customHeight="1">
      <c r="B734" s="1042" t="str">
        <f>'Смета Внутр'!B741</f>
        <v>Бумага наждачная № 63 F(30)</v>
      </c>
      <c r="C734" s="1042" t="str">
        <f>'Смета Внутр'!C741</f>
        <v>м</v>
      </c>
      <c r="D734" s="1058">
        <f>'Смета Внутр'!D741</f>
        <v>0</v>
      </c>
      <c r="E734" s="1042">
        <f>'Смета Внутр'!E741</f>
        <v>291</v>
      </c>
      <c r="F734" s="1042">
        <f>'Смета Внутр'!F741</f>
        <v>0</v>
      </c>
      <c r="G734" s="1042">
        <f t="shared" si="37"/>
        <v>291</v>
      </c>
      <c r="H734" s="1042">
        <f>'Смета Внутр'!G741</f>
        <v>0</v>
      </c>
      <c r="I734" s="1042">
        <f>'Смета Внутр'!H741</f>
        <v>0</v>
      </c>
      <c r="J734" s="1058">
        <f>'Смета Внутр'!I741</f>
        <v>0</v>
      </c>
    </row>
    <row r="735" spans="2:10" ht="15" customHeight="1">
      <c r="B735" s="1042" t="str">
        <f>'Смета Внутр'!B742</f>
        <v>Бумага наждачная № 40</v>
      </c>
      <c r="C735" s="1042" t="str">
        <f>'Смета Внутр'!C742</f>
        <v>м</v>
      </c>
      <c r="D735" s="1058">
        <f>'Смета Внутр'!D742</f>
        <v>0</v>
      </c>
      <c r="E735" s="1042">
        <f>'Смета Внутр'!E742</f>
        <v>240</v>
      </c>
      <c r="F735" s="1042">
        <f>'Смета Внутр'!F742</f>
        <v>0</v>
      </c>
      <c r="G735" s="1042">
        <f t="shared" si="37"/>
        <v>240</v>
      </c>
      <c r="H735" s="1042">
        <f>'Смета Внутр'!G742</f>
        <v>0</v>
      </c>
      <c r="I735" s="1042">
        <f>'Смета Внутр'!H742</f>
        <v>0</v>
      </c>
      <c r="J735" s="1058">
        <f>'Смета Внутр'!I742</f>
        <v>0</v>
      </c>
    </row>
    <row r="736" spans="2:10" ht="15" customHeight="1">
      <c r="B736" s="3330" t="str">
        <f>'Смета Внутр'!B743</f>
        <v>Итого материалы, рублей</v>
      </c>
      <c r="C736" s="3330"/>
      <c r="D736" s="3330"/>
      <c r="E736" s="3330"/>
      <c r="F736" s="3330"/>
      <c r="G736" s="3330"/>
      <c r="H736" s="1042">
        <f>'Смета Внутр'!G743</f>
        <v>0</v>
      </c>
      <c r="I736" s="1042">
        <f>'Смета Внутр'!H743</f>
        <v>0</v>
      </c>
      <c r="J736" s="1058">
        <f>'Смета Внутр'!I743</f>
        <v>0</v>
      </c>
    </row>
    <row r="737" spans="2:10" ht="15" customHeight="1">
      <c r="B737" s="3002" t="str">
        <f>'Смета Внутр'!B744</f>
        <v>Работы</v>
      </c>
      <c r="D737" s="1167"/>
      <c r="H737">
        <f>'Смета Внутр'!G744</f>
        <v>0</v>
      </c>
      <c r="I737">
        <f>'Смета Внутр'!H744</f>
        <v>0</v>
      </c>
      <c r="J737" s="3027">
        <f>'Смета Внутр'!I744</f>
        <v>0</v>
      </c>
    </row>
    <row r="738" spans="2:10" ht="15" customHeight="1">
      <c r="B738" s="1042" t="str">
        <f>'Смета Внутр'!B745</f>
        <v>кладка бруса</v>
      </c>
      <c r="C738" s="1042" t="str">
        <f>'Смета Внутр'!C745</f>
        <v>м3</v>
      </c>
      <c r="D738" s="1058">
        <f>'Смета Внутр'!D745</f>
        <v>25.502400000000016</v>
      </c>
      <c r="E738" s="1042">
        <f>'Смета Внутр'!E745</f>
        <v>4000</v>
      </c>
      <c r="F738" s="1042">
        <f>'Смета Внутр'!F745</f>
        <v>0</v>
      </c>
      <c r="G738" s="1042">
        <f t="shared" ref="G738:G746" si="38">IF(E738&gt;F738,E738,F738)</f>
        <v>4000</v>
      </c>
      <c r="H738" s="1042">
        <f>'Смета Внутр'!G745</f>
        <v>102009.60000000006</v>
      </c>
      <c r="I738" s="1042">
        <f>'Смета Внутр'!H745</f>
        <v>0</v>
      </c>
      <c r="J738" s="1058">
        <f>'Смета Внутр'!I745</f>
        <v>0</v>
      </c>
    </row>
    <row r="739" spans="2:10" ht="15" customHeight="1">
      <c r="B739" s="1042" t="str">
        <f>'Смета Внутр'!B746</f>
        <v>окосячка проемов, м.п.</v>
      </c>
      <c r="C739" s="1042" t="str">
        <f>'Смета Внутр'!C746</f>
        <v>м.п.</v>
      </c>
      <c r="D739" s="1058">
        <f>'Смета Внутр'!D746</f>
        <v>0</v>
      </c>
      <c r="E739" s="1042">
        <f>'Смета Внутр'!E746</f>
        <v>150</v>
      </c>
      <c r="F739" s="1042">
        <f>'Смета Внутр'!F746</f>
        <v>0</v>
      </c>
      <c r="G739" s="1042">
        <f t="shared" si="38"/>
        <v>150</v>
      </c>
      <c r="H739" s="1042">
        <f>'Смета Внутр'!G746</f>
        <v>0</v>
      </c>
      <c r="I739" s="1042">
        <f>'Смета Внутр'!H746</f>
        <v>0</v>
      </c>
      <c r="J739" s="1058">
        <f>'Смета Внутр'!I746</f>
        <v>0</v>
      </c>
    </row>
    <row r="740" spans="2:10" ht="15" customHeight="1">
      <c r="B740" s="1042" t="str">
        <f>'Смета Внутр'!B747</f>
        <v>обработка торцов на брусе</v>
      </c>
      <c r="C740" s="1042" t="str">
        <f>'Смета Внутр'!C747</f>
        <v>м.п.</v>
      </c>
      <c r="D740" s="1058">
        <f>'Смета Внутр'!D747</f>
        <v>14.400000000000002</v>
      </c>
      <c r="E740" s="1042">
        <f>'Смета Внутр'!E747</f>
        <v>250</v>
      </c>
      <c r="F740" s="1042">
        <f>'Смета Внутр'!F747</f>
        <v>0</v>
      </c>
      <c r="G740" s="1042">
        <f t="shared" si="38"/>
        <v>250</v>
      </c>
      <c r="H740" s="1042">
        <f>'Смета Внутр'!G747</f>
        <v>3600.0000000000005</v>
      </c>
      <c r="I740" s="1042">
        <f>'Смета Внутр'!H747</f>
        <v>0</v>
      </c>
      <c r="J740" s="1058">
        <f>'Смета Внутр'!I747</f>
        <v>0</v>
      </c>
    </row>
    <row r="741" spans="2:10" ht="15" customHeight="1">
      <c r="B741" s="1042" t="str">
        <f>'Смета Внутр'!B748</f>
        <v>Обаботка огнебиозащитой</v>
      </c>
      <c r="C741" s="1042" t="str">
        <f>'Смета Внутр'!C748</f>
        <v>м.п.</v>
      </c>
      <c r="D741" s="1058">
        <f>'Смета Внутр'!D748</f>
        <v>25.502400000000016</v>
      </c>
      <c r="E741" s="1042">
        <f>'Смета Внутр'!E748</f>
        <v>300</v>
      </c>
      <c r="F741" s="1042">
        <f>'Смета Внутр'!F748</f>
        <v>0</v>
      </c>
      <c r="G741" s="1042">
        <f t="shared" si="38"/>
        <v>300</v>
      </c>
      <c r="H741" s="1042">
        <f>'Смета Внутр'!G748</f>
        <v>7650.7200000000048</v>
      </c>
      <c r="I741" s="1042">
        <f>'Смета Внутр'!H748</f>
        <v>0</v>
      </c>
      <c r="J741" s="1058">
        <f>'Смета Внутр'!I748</f>
        <v>0</v>
      </c>
    </row>
    <row r="742" spans="2:10" ht="15" customHeight="1">
      <c r="B742" s="1042" t="str">
        <f>'Смета Внутр'!B749</f>
        <v>Пропитка стен внешних</v>
      </c>
      <c r="C742" s="1042" t="str">
        <f>'Смета Внутр'!C749</f>
        <v>м.п.</v>
      </c>
      <c r="D742" s="1058">
        <f>'Смета Внутр'!D749</f>
        <v>0</v>
      </c>
      <c r="E742" s="1042">
        <f>'Смета Внутр'!E749</f>
        <v>100</v>
      </c>
      <c r="F742" s="1042">
        <f>'Смета Внутр'!F749</f>
        <v>0</v>
      </c>
      <c r="G742" s="1042">
        <f t="shared" si="38"/>
        <v>100</v>
      </c>
      <c r="H742" s="1042">
        <f>'Смета Внутр'!G749</f>
        <v>0</v>
      </c>
      <c r="I742" s="1042">
        <f>'Смета Внутр'!H749</f>
        <v>0</v>
      </c>
      <c r="J742" s="1058">
        <f>'Смета Внутр'!I749</f>
        <v>0</v>
      </c>
    </row>
    <row r="743" spans="2:10" ht="15" customHeight="1">
      <c r="B743" s="1042" t="str">
        <f>'Смета Внутр'!B750</f>
        <v>Пропитка внутенних стен</v>
      </c>
      <c r="C743" s="1042" t="str">
        <f>'Смета Внутр'!C750</f>
        <v>м.п.</v>
      </c>
      <c r="D743" s="1058">
        <f>'Смета Внутр'!D750</f>
        <v>0</v>
      </c>
      <c r="E743" s="1042">
        <f>'Смета Внутр'!E750</f>
        <v>100</v>
      </c>
      <c r="F743" s="1042">
        <f>'Смета Внутр'!F750</f>
        <v>0</v>
      </c>
      <c r="G743" s="1042">
        <f t="shared" si="38"/>
        <v>100</v>
      </c>
      <c r="H743" s="1042">
        <f>'Смета Внутр'!G750</f>
        <v>0</v>
      </c>
      <c r="I743" s="1042">
        <f>'Смета Внутр'!H750</f>
        <v>0</v>
      </c>
      <c r="J743" s="1058">
        <f>'Смета Внутр'!I750</f>
        <v>0</v>
      </c>
    </row>
    <row r="744" spans="2:10" ht="15" customHeight="1">
      <c r="B744" s="1042" t="str">
        <f>'Смета Внутр'!B751</f>
        <v>Сверление стен для скрытой проводки</v>
      </c>
      <c r="C744" s="1042" t="str">
        <f>'Смета Внутр'!C751</f>
        <v>м.п.</v>
      </c>
      <c r="D744" s="1058">
        <f>'Смета Внутр'!D751</f>
        <v>180</v>
      </c>
      <c r="E744" s="1042">
        <f>'Смета Внутр'!E751</f>
        <v>300</v>
      </c>
      <c r="F744" s="1042">
        <f>'Смета Внутр'!F751</f>
        <v>0</v>
      </c>
      <c r="G744" s="1042">
        <f t="shared" si="38"/>
        <v>300</v>
      </c>
      <c r="H744" s="1042">
        <f>'Смета Внутр'!G751</f>
        <v>54000</v>
      </c>
      <c r="I744" s="1042">
        <f>'Смета Внутр'!H751</f>
        <v>0</v>
      </c>
      <c r="J744" s="1058">
        <f>'Смета Внутр'!I751</f>
        <v>0</v>
      </c>
    </row>
    <row r="745" spans="2:10" ht="15" customHeight="1">
      <c r="B745" s="1042" t="str">
        <f>'Смета Внутр'!B752</f>
        <v>Монтаж наличника</v>
      </c>
      <c r="C745" s="1042" t="str">
        <f>'Смета Внутр'!C752</f>
        <v>м.п.</v>
      </c>
      <c r="D745" s="1058">
        <f>'Смета Внутр'!D752</f>
        <v>0</v>
      </c>
      <c r="E745" s="1042">
        <f>'Смета Внутр'!E752</f>
        <v>80</v>
      </c>
      <c r="F745" s="1042">
        <f>'Смета Внутр'!F752</f>
        <v>0</v>
      </c>
      <c r="G745" s="1042">
        <f t="shared" si="38"/>
        <v>80</v>
      </c>
      <c r="H745" s="1042">
        <f>'Смета Внутр'!G752</f>
        <v>0</v>
      </c>
      <c r="I745" s="1042">
        <f>'Смета Внутр'!H752</f>
        <v>0</v>
      </c>
      <c r="J745" s="1058">
        <f>'Смета Внутр'!I752</f>
        <v>0</v>
      </c>
    </row>
    <row r="746" spans="2:10" ht="15" customHeight="1">
      <c r="B746" s="1042" t="str">
        <f>'Смета Внутр'!B753</f>
        <v>Шлифовка стен дома</v>
      </c>
      <c r="C746" s="1042" t="str">
        <f>'Смета Внутр'!C753</f>
        <v>м.п.</v>
      </c>
      <c r="D746" s="1058">
        <f>'Смета Внутр'!D753</f>
        <v>0</v>
      </c>
      <c r="E746" s="1042">
        <f>'Смета Внутр'!E753</f>
        <v>250</v>
      </c>
      <c r="F746" s="1042">
        <f>'Смета Внутр'!F753</f>
        <v>0</v>
      </c>
      <c r="G746" s="1042">
        <f t="shared" si="38"/>
        <v>250</v>
      </c>
      <c r="H746" s="1042">
        <f>'Смета Внутр'!G753</f>
        <v>0</v>
      </c>
      <c r="I746" s="1042">
        <f>'Смета Внутр'!H753</f>
        <v>0</v>
      </c>
      <c r="J746" s="1058">
        <f>'Смета Внутр'!I753</f>
        <v>0</v>
      </c>
    </row>
    <row r="747" spans="2:10" ht="15" customHeight="1">
      <c r="B747" s="3330" t="str">
        <f>'Смета Внутр'!B754</f>
        <v>Итого работы</v>
      </c>
      <c r="C747" s="3330"/>
      <c r="D747" s="3330"/>
      <c r="E747" s="3330"/>
      <c r="F747" s="3330"/>
      <c r="G747" s="3330"/>
      <c r="H747" s="1042">
        <f>'Смета Внутр'!G754</f>
        <v>0</v>
      </c>
      <c r="I747" s="1042">
        <f>'Смета Внутр'!H754</f>
        <v>0</v>
      </c>
      <c r="J747" s="1058">
        <f>'Смета Внутр'!I754</f>
        <v>0</v>
      </c>
    </row>
    <row r="748" spans="2:10" ht="15" customHeight="1">
      <c r="B748" s="3329" t="str">
        <f>'Смета Внутр'!B755</f>
        <v>Дом из Дикого леса</v>
      </c>
      <c r="C748" s="3329"/>
      <c r="D748" s="3329"/>
      <c r="H748">
        <f>'Смета Внутр'!G755</f>
        <v>0</v>
      </c>
      <c r="I748">
        <f>'Смета Внутр'!H755</f>
        <v>0</v>
      </c>
      <c r="J748" s="3027">
        <f>'Смета Внутр'!I755</f>
        <v>0</v>
      </c>
    </row>
    <row r="749" spans="2:10" ht="15" customHeight="1">
      <c r="B749" s="3002" t="str">
        <f>'Смета Внутр'!B756</f>
        <v>Материалы</v>
      </c>
      <c r="D749" s="1167"/>
      <c r="H749">
        <f>'Смета Внутр'!G756</f>
        <v>0</v>
      </c>
      <c r="I749">
        <f>'Смета Внутр'!H756</f>
        <v>0</v>
      </c>
      <c r="J749" s="3027">
        <f>'Смета Внутр'!I756</f>
        <v>0</v>
      </c>
    </row>
    <row r="750" spans="2:10" ht="15" customHeight="1">
      <c r="B750" s="1042" t="str">
        <f>'Смета Внутр'!B757</f>
        <v>Оцилиндрованное бревно сосна 260мм</v>
      </c>
      <c r="C750" s="1042" t="str">
        <f>'Смета Внутр'!C757</f>
        <v>м3</v>
      </c>
      <c r="D750" s="1058">
        <f>'Смета Внутр'!D757</f>
        <v>3.7241718800000005</v>
      </c>
      <c r="E750" s="1042">
        <f>'Смета Внутр'!E757</f>
        <v>10000</v>
      </c>
      <c r="F750" s="1042">
        <f>'Смета Внутр'!F757</f>
        <v>0</v>
      </c>
      <c r="G750" s="1042">
        <f t="shared" ref="G750:G772" si="39">IF(E750&gt;F750,E750,F750)</f>
        <v>10000</v>
      </c>
      <c r="H750" s="1042">
        <f>'Смета Внутр'!G757</f>
        <v>37241.718800000002</v>
      </c>
      <c r="I750" s="1042">
        <f>'Смета Внутр'!H757</f>
        <v>0</v>
      </c>
      <c r="J750" s="1058">
        <f>'Смета Внутр'!I757</f>
        <v>0</v>
      </c>
    </row>
    <row r="751" spans="2:10" ht="15" customHeight="1">
      <c r="B751" s="1042" t="str">
        <f>'Смета Внутр'!B758</f>
        <v>Оцилиндрованное бревно сосна 260мм</v>
      </c>
      <c r="C751" s="1042" t="str">
        <f>'Смета Внутр'!C758</f>
        <v>м3</v>
      </c>
      <c r="D751" s="1058">
        <f>'Смета Внутр'!D758</f>
        <v>24.294676120000009</v>
      </c>
      <c r="E751" s="1042">
        <f>'Смета Внутр'!E758</f>
        <v>8500</v>
      </c>
      <c r="F751" s="1042">
        <f>'Смета Внутр'!F758</f>
        <v>0</v>
      </c>
      <c r="G751" s="1042">
        <f t="shared" si="39"/>
        <v>8500</v>
      </c>
      <c r="H751" s="1042">
        <f>'Смета Внутр'!G758</f>
        <v>206504.74702000007</v>
      </c>
      <c r="I751" s="1042">
        <f>'Смета Внутр'!H758</f>
        <v>0</v>
      </c>
      <c r="J751" s="1058">
        <f>'Смета Внутр'!I758</f>
        <v>0</v>
      </c>
    </row>
    <row r="752" spans="2:10" ht="15" customHeight="1">
      <c r="B752" s="1042" t="str">
        <f>'Смета Внутр'!B759</f>
        <v>Оцилиндрованное бревно сосна 200мм</v>
      </c>
      <c r="C752" s="1042" t="str">
        <f>'Смета Внутр'!C759</f>
        <v>м3</v>
      </c>
      <c r="D752" s="1058">
        <f>'Смета Внутр'!D759</f>
        <v>0</v>
      </c>
      <c r="E752" s="1042">
        <f>'Смета Внутр'!E759</f>
        <v>8000</v>
      </c>
      <c r="F752" s="1042">
        <f>'Смета Внутр'!F759</f>
        <v>0</v>
      </c>
      <c r="G752" s="1042">
        <f t="shared" si="39"/>
        <v>8000</v>
      </c>
      <c r="H752" s="1042">
        <f>'Смета Внутр'!G759</f>
        <v>0</v>
      </c>
      <c r="I752" s="1042">
        <f>'Смета Внутр'!H759</f>
        <v>0</v>
      </c>
      <c r="J752" s="1058">
        <f>'Смета Внутр'!I759</f>
        <v>0</v>
      </c>
    </row>
    <row r="753" spans="2:10" ht="15" customHeight="1">
      <c r="B753" s="1042" t="str">
        <f>'Смета Внутр'!B760</f>
        <v>Оцилиндрованное бревно сосна 200мм</v>
      </c>
      <c r="C753" s="1042" t="str">
        <f>'Смета Внутр'!C760</f>
        <v>м2</v>
      </c>
      <c r="D753" s="1058">
        <f>'Смета Внутр'!D760</f>
        <v>0</v>
      </c>
      <c r="E753" s="1042">
        <f>'Смета Внутр'!E760</f>
        <v>8000</v>
      </c>
      <c r="F753" s="1042">
        <f>'Смета Внутр'!F760</f>
        <v>0</v>
      </c>
      <c r="G753" s="1042">
        <f t="shared" si="39"/>
        <v>8000</v>
      </c>
      <c r="H753" s="1042">
        <f>'Смета Внутр'!G760</f>
        <v>0</v>
      </c>
      <c r="I753" s="1042">
        <f>'Смета Внутр'!H760</f>
        <v>0</v>
      </c>
      <c r="J753" s="1058">
        <f>'Смета Внутр'!I760</f>
        <v>0</v>
      </c>
    </row>
    <row r="754" spans="2:10" ht="15" customHeight="1">
      <c r="B754" s="1042" t="str">
        <f>'Смета Внутр'!B761</f>
        <v>Шкант</v>
      </c>
      <c r="C754" s="1042" t="str">
        <f>'Смета Внутр'!C761</f>
        <v>шт</v>
      </c>
      <c r="D754" s="1058">
        <f>'Смета Внутр'!D761</f>
        <v>7.5435360000000005</v>
      </c>
      <c r="E754" s="1042">
        <f>'Смета Внутр'!E761</f>
        <v>6</v>
      </c>
      <c r="F754" s="1042">
        <f>'Смета Внутр'!F761</f>
        <v>0</v>
      </c>
      <c r="G754" s="1042">
        <f t="shared" si="39"/>
        <v>6</v>
      </c>
      <c r="H754" s="1042">
        <f>'Смета Внутр'!G761</f>
        <v>45.261216000000005</v>
      </c>
      <c r="I754" s="1042">
        <f>'Смета Внутр'!H761</f>
        <v>0</v>
      </c>
      <c r="J754" s="1058">
        <f>'Смета Внутр'!I761</f>
        <v>0</v>
      </c>
    </row>
    <row r="755" spans="2:10" ht="15" customHeight="1">
      <c r="B755" s="1042" t="str">
        <f>'Смета Внутр'!B762</f>
        <v>Лен-джут 200х5х20000 мм</v>
      </c>
      <c r="C755" s="1042" t="str">
        <f>'Смета Внутр'!C762</f>
        <v>шт</v>
      </c>
      <c r="D755" s="1058">
        <f>'Смета Внутр'!D762</f>
        <v>33</v>
      </c>
      <c r="E755" s="1042">
        <f>'Смета Внутр'!E762</f>
        <v>175</v>
      </c>
      <c r="F755" s="1042">
        <f>'Смета Внутр'!F762</f>
        <v>0</v>
      </c>
      <c r="G755" s="1042">
        <f t="shared" si="39"/>
        <v>175</v>
      </c>
      <c r="H755" s="1042">
        <f>'Смета Внутр'!G762</f>
        <v>5775</v>
      </c>
      <c r="I755" s="1042">
        <f>'Смета Внутр'!H762</f>
        <v>0</v>
      </c>
      <c r="J755" s="1058">
        <f>'Смета Внутр'!I762</f>
        <v>0</v>
      </c>
    </row>
    <row r="756" spans="2:10" ht="15" customHeight="1">
      <c r="B756" s="1042" t="str">
        <f>'Смета Внутр'!B763</f>
        <v xml:space="preserve">Гвозди ершоные 2,8 х 90            </v>
      </c>
      <c r="C756" s="1042" t="str">
        <f>'Смета Внутр'!C763</f>
        <v>шт</v>
      </c>
      <c r="D756" s="1058">
        <f>'Смета Внутр'!D763</f>
        <v>4.8400000000000007</v>
      </c>
      <c r="E756" s="1042">
        <f>'Смета Внутр'!E763</f>
        <v>76.489999999999995</v>
      </c>
      <c r="F756" s="1042">
        <f>'Смета Внутр'!F763</f>
        <v>0</v>
      </c>
      <c r="G756" s="1042">
        <f t="shared" si="39"/>
        <v>76.489999999999995</v>
      </c>
      <c r="H756" s="1042">
        <f>'Смета Внутр'!G763</f>
        <v>370.21160000000003</v>
      </c>
      <c r="I756" s="1042">
        <f>'Смета Внутр'!H763</f>
        <v>0</v>
      </c>
      <c r="J756" s="1058">
        <f>'Смета Внутр'!I763</f>
        <v>0</v>
      </c>
    </row>
    <row r="757" spans="2:10" ht="15" customHeight="1">
      <c r="B757" s="1042" t="str">
        <f>'Смета Внутр'!B764</f>
        <v>нет</v>
      </c>
      <c r="C757" s="1042" t="str">
        <f>'Смета Внутр'!C764</f>
        <v>м3</v>
      </c>
      <c r="D757" s="1058">
        <f>'Смета Внутр'!D764</f>
        <v>0</v>
      </c>
      <c r="E757" s="1042">
        <f>'Смета Внутр'!E764</f>
        <v>0</v>
      </c>
      <c r="F757" s="1042">
        <f>'Смета Внутр'!F764</f>
        <v>0</v>
      </c>
      <c r="G757" s="1042">
        <f t="shared" si="39"/>
        <v>0</v>
      </c>
      <c r="H757" s="1042">
        <f>'Смета Внутр'!G764</f>
        <v>0</v>
      </c>
      <c r="I757" s="1042">
        <f>'Смета Внутр'!H764</f>
        <v>0</v>
      </c>
      <c r="J757" s="1058">
        <f>'Смета Внутр'!I764</f>
        <v>0</v>
      </c>
    </row>
    <row r="758" spans="2:10" ht="15" customHeight="1">
      <c r="B758" s="1042" t="str">
        <f>'Смета Внутр'!B765</f>
        <v>Доска сухая, 100*50мм</v>
      </c>
      <c r="C758" s="1042" t="str">
        <f>'Смета Внутр'!C765</f>
        <v>м3</v>
      </c>
      <c r="D758" s="1058">
        <f>'Смета Внутр'!D765</f>
        <v>0</v>
      </c>
      <c r="E758" s="1042">
        <f>'Смета Внутр'!E765</f>
        <v>9000</v>
      </c>
      <c r="F758" s="1042">
        <f>'Смета Внутр'!F765</f>
        <v>0</v>
      </c>
      <c r="G758" s="1042">
        <f t="shared" si="39"/>
        <v>9000</v>
      </c>
      <c r="H758" s="1042">
        <f>'Смета Внутр'!G765</f>
        <v>0</v>
      </c>
      <c r="I758" s="1042">
        <f>'Смета Внутр'!H765</f>
        <v>0</v>
      </c>
      <c r="J758" s="1058">
        <f>'Смета Внутр'!I765</f>
        <v>0</v>
      </c>
    </row>
    <row r="759" spans="2:10" ht="15" customHeight="1">
      <c r="B759" s="1042" t="str">
        <f>'Смета Внутр'!B766</f>
        <v>Доска сухая калиброванная, 100*45мм</v>
      </c>
      <c r="C759" s="1042" t="str">
        <f>'Смета Внутр'!C766</f>
        <v>м3</v>
      </c>
      <c r="D759" s="1058">
        <f>'Смета Внутр'!D766</f>
        <v>0</v>
      </c>
      <c r="E759" s="1042">
        <f>'Смета Внутр'!E766</f>
        <v>12500</v>
      </c>
      <c r="F759" s="1042">
        <f>'Смета Внутр'!F766</f>
        <v>0</v>
      </c>
      <c r="G759" s="1042">
        <f t="shared" si="39"/>
        <v>12500</v>
      </c>
      <c r="H759" s="1042">
        <f>'Смета Внутр'!G766</f>
        <v>0</v>
      </c>
      <c r="I759" s="1042">
        <f>'Смета Внутр'!H766</f>
        <v>0</v>
      </c>
      <c r="J759" s="1058">
        <f>'Смета Внутр'!I766</f>
        <v>0</v>
      </c>
    </row>
    <row r="760" spans="2:10" ht="15" customHeight="1">
      <c r="B760" s="1042" t="str">
        <f>'Смета Внутр'!B767</f>
        <v>Сосна влаж, 50*50мм</v>
      </c>
      <c r="C760" s="1042" t="str">
        <f>'Смета Внутр'!C767</f>
        <v>м.п.</v>
      </c>
      <c r="D760" s="1058">
        <f>'Смета Внутр'!D767</f>
        <v>0</v>
      </c>
      <c r="E760" s="1042">
        <f>'Смета Внутр'!E767</f>
        <v>16.25</v>
      </c>
      <c r="F760" s="1042">
        <f>'Смета Внутр'!F767</f>
        <v>0</v>
      </c>
      <c r="G760" s="1042">
        <f t="shared" si="39"/>
        <v>16.25</v>
      </c>
      <c r="H760" s="1042">
        <f>'Смета Внутр'!G767</f>
        <v>0</v>
      </c>
      <c r="I760" s="1042">
        <f>'Смета Внутр'!H767</f>
        <v>0</v>
      </c>
      <c r="J760" s="1058">
        <f>'Смета Внутр'!I767</f>
        <v>0</v>
      </c>
    </row>
    <row r="761" spans="2:10" ht="15" customHeight="1">
      <c r="B761" s="1042" t="str">
        <f>'Смета Внутр'!B768</f>
        <v>Бензин для пилы</v>
      </c>
      <c r="C761" s="1042" t="str">
        <f>'Смета Внутр'!C768</f>
        <v>л</v>
      </c>
      <c r="D761" s="1058">
        <f>'Смета Внутр'!D768</f>
        <v>5.6037696000000015</v>
      </c>
      <c r="E761" s="1042">
        <f>'Смета Внутр'!E768</f>
        <v>40</v>
      </c>
      <c r="F761" s="1042">
        <f>'Смета Внутр'!F768</f>
        <v>0</v>
      </c>
      <c r="G761" s="1042">
        <f t="shared" si="39"/>
        <v>40</v>
      </c>
      <c r="H761" s="1042">
        <f>'Смета Внутр'!G768</f>
        <v>224.15078400000004</v>
      </c>
      <c r="I761" s="1042">
        <f>'Смета Внутр'!H768</f>
        <v>0</v>
      </c>
      <c r="J761" s="1058">
        <f>'Смета Внутр'!I768</f>
        <v>0</v>
      </c>
    </row>
    <row r="762" spans="2:10" ht="15" customHeight="1">
      <c r="B762" s="1042" t="str">
        <f>'Смета Внутр'!B769</f>
        <v>Масло для пилы</v>
      </c>
      <c r="C762" s="1042" t="str">
        <f>'Смета Внутр'!C769</f>
        <v>л</v>
      </c>
      <c r="D762" s="1058">
        <f>'Смета Внутр'!D769</f>
        <v>0.28018848000000007</v>
      </c>
      <c r="E762" s="1042">
        <f>'Смета Внутр'!E769</f>
        <v>250</v>
      </c>
      <c r="F762" s="1042">
        <f>'Смета Внутр'!F769</f>
        <v>0</v>
      </c>
      <c r="G762" s="1042">
        <f t="shared" si="39"/>
        <v>250</v>
      </c>
      <c r="H762" s="1042">
        <f>'Смета Внутр'!G769</f>
        <v>70.047120000000021</v>
      </c>
      <c r="I762" s="1042">
        <f>'Смета Внутр'!H769</f>
        <v>0</v>
      </c>
      <c r="J762" s="1058">
        <f>'Смета Внутр'!I769</f>
        <v>0</v>
      </c>
    </row>
    <row r="763" spans="2:10" ht="15" customHeight="1">
      <c r="B763" s="1042" t="str">
        <f>'Смета Внутр'!B770</f>
        <v>Цепь для пилы</v>
      </c>
      <c r="C763" s="1042" t="str">
        <f>'Смета Внутр'!C770</f>
        <v>шт</v>
      </c>
      <c r="D763" s="1058">
        <f>'Смета Внутр'!D770</f>
        <v>3</v>
      </c>
      <c r="E763" s="1042">
        <f>'Смета Внутр'!E770</f>
        <v>800</v>
      </c>
      <c r="F763" s="1042">
        <f>'Смета Внутр'!F770</f>
        <v>0</v>
      </c>
      <c r="G763" s="1042">
        <f t="shared" si="39"/>
        <v>800</v>
      </c>
      <c r="H763" s="1042">
        <f>'Смета Внутр'!G770</f>
        <v>2400</v>
      </c>
      <c r="I763" s="1042">
        <f>'Смета Внутр'!H770</f>
        <v>0</v>
      </c>
      <c r="J763" s="1058">
        <f>'Смета Внутр'!I770</f>
        <v>0</v>
      </c>
    </row>
    <row r="764" spans="2:10" ht="15" customHeight="1">
      <c r="B764" s="1042" t="str">
        <f>'Смета Внутр'!B771</f>
        <v>"Профилюкс" Антисептик АНТИПЛЕСЕНЬ</v>
      </c>
      <c r="C764" s="1042" t="str">
        <f>'Смета Внутр'!C771</f>
        <v>л</v>
      </c>
      <c r="D764" s="1058">
        <f>'Смета Внутр'!D771</f>
        <v>39.187200000000018</v>
      </c>
      <c r="E764" s="1042">
        <f>'Смета Внутр'!E771</f>
        <v>108</v>
      </c>
      <c r="F764" s="1042">
        <f>'Смета Внутр'!F771</f>
        <v>0</v>
      </c>
      <c r="G764" s="1042">
        <f t="shared" si="39"/>
        <v>108</v>
      </c>
      <c r="H764" s="1042">
        <f>'Смета Внутр'!G771</f>
        <v>4232.2176000000018</v>
      </c>
      <c r="I764" s="1042">
        <f>'Смета Внутр'!H771</f>
        <v>0</v>
      </c>
      <c r="J764" s="1058">
        <f>'Смета Внутр'!I771</f>
        <v>0</v>
      </c>
    </row>
    <row r="765" spans="2:10" ht="15" customHeight="1">
      <c r="B765" s="1042" t="str">
        <f>'Смета Внутр'!B772</f>
        <v>"Тонерол" Антисептик  бесцветный  1л</v>
      </c>
      <c r="C765" s="1042" t="str">
        <f>'Смета Внутр'!C772</f>
        <v>л</v>
      </c>
      <c r="D765" s="1058">
        <f>'Смета Внутр'!D772</f>
        <v>23.512320000000006</v>
      </c>
      <c r="E765" s="1042">
        <f>'Смета Внутр'!E772</f>
        <v>305</v>
      </c>
      <c r="F765" s="1042">
        <f>'Смета Внутр'!F772</f>
        <v>0</v>
      </c>
      <c r="G765" s="1042">
        <f t="shared" si="39"/>
        <v>305</v>
      </c>
      <c r="H765" s="1042">
        <f>'Смета Внутр'!G772</f>
        <v>7171.2576000000017</v>
      </c>
      <c r="I765" s="1042">
        <f>'Смета Внутр'!H772</f>
        <v>0</v>
      </c>
      <c r="J765" s="1058">
        <f>'Смета Внутр'!I772</f>
        <v>0</v>
      </c>
    </row>
    <row r="766" spans="2:10" ht="15" customHeight="1">
      <c r="B766" s="1042" t="str">
        <f>'Смета Внутр'!B773</f>
        <v>"Тонерол" Антисептик  махагон  1л</v>
      </c>
      <c r="C766" s="1042" t="str">
        <f>'Смета Внутр'!C773</f>
        <v>л</v>
      </c>
      <c r="D766" s="1058">
        <f>'Смета Внутр'!D773</f>
        <v>23.512320000000006</v>
      </c>
      <c r="E766" s="1042">
        <f>'Смета Внутр'!E773</f>
        <v>305</v>
      </c>
      <c r="F766" s="1042">
        <f>'Смета Внутр'!F773</f>
        <v>0</v>
      </c>
      <c r="G766" s="1042">
        <f t="shared" si="39"/>
        <v>305</v>
      </c>
      <c r="H766" s="1042">
        <f>'Смета Внутр'!G773</f>
        <v>7171.2576000000017</v>
      </c>
      <c r="I766" s="1042">
        <f>'Смета Внутр'!H773</f>
        <v>0</v>
      </c>
      <c r="J766" s="1058">
        <f>'Смета Внутр'!I773</f>
        <v>0</v>
      </c>
    </row>
    <row r="767" spans="2:10" ht="15" customHeight="1">
      <c r="B767" s="1042" t="str">
        <f>'Смета Внутр'!B774</f>
        <v>Нет наличника</v>
      </c>
      <c r="C767" s="1042" t="str">
        <f>'Смета Внутр'!C774</f>
        <v>м.п.</v>
      </c>
      <c r="D767" s="1058">
        <f>'Смета Внутр'!D774</f>
        <v>3.5700000000000007</v>
      </c>
      <c r="E767" s="1042">
        <f>'Смета Внутр'!E774</f>
        <v>0</v>
      </c>
      <c r="F767" s="1042">
        <f>'Смета Внутр'!F774</f>
        <v>0</v>
      </c>
      <c r="G767" s="1042">
        <f t="shared" si="39"/>
        <v>0</v>
      </c>
      <c r="H767" s="1042">
        <f>'Смета Внутр'!G774</f>
        <v>0</v>
      </c>
      <c r="I767" s="1042">
        <f>'Смета Внутр'!H774</f>
        <v>0</v>
      </c>
      <c r="J767" s="1058">
        <f>'Смета Внутр'!I774</f>
        <v>0</v>
      </c>
    </row>
    <row r="768" spans="2:10" ht="15" customHeight="1">
      <c r="B768" s="1042" t="str">
        <f>'Смета Внутр'!B775</f>
        <v>Нет наличника</v>
      </c>
      <c r="C768" s="1042" t="str">
        <f>'Смета Внутр'!C775</f>
        <v>м.п.</v>
      </c>
      <c r="D768" s="1058">
        <f>'Смета Внутр'!D775</f>
        <v>3.5700000000000007</v>
      </c>
      <c r="E768" s="1042">
        <f>'Смета Внутр'!E775</f>
        <v>0</v>
      </c>
      <c r="F768" s="1042">
        <f>'Смета Внутр'!F775</f>
        <v>0</v>
      </c>
      <c r="G768" s="1042">
        <f t="shared" si="39"/>
        <v>0</v>
      </c>
      <c r="H768" s="1042">
        <f>'Смета Внутр'!G775</f>
        <v>0</v>
      </c>
      <c r="I768" s="1042">
        <f>'Смета Внутр'!H775</f>
        <v>0</v>
      </c>
      <c r="J768" s="1058">
        <f>'Смета Внутр'!I775</f>
        <v>0</v>
      </c>
    </row>
    <row r="769" spans="2:10" ht="15" customHeight="1">
      <c r="B769" s="1042" t="str">
        <f>'Смета Внутр'!B776</f>
        <v>Бумага наждачная № 63 F(30)</v>
      </c>
      <c r="C769" s="1042" t="str">
        <f>'Смета Внутр'!C776</f>
        <v>м</v>
      </c>
      <c r="D769" s="1058">
        <f>'Смета Внутр'!D776</f>
        <v>5</v>
      </c>
      <c r="E769" s="1042">
        <f>'Смета Внутр'!E776</f>
        <v>291</v>
      </c>
      <c r="F769" s="1042">
        <f>'Смета Внутр'!F776</f>
        <v>0</v>
      </c>
      <c r="G769" s="1042">
        <f t="shared" si="39"/>
        <v>291</v>
      </c>
      <c r="H769" s="1042">
        <f>'Смета Внутр'!G776</f>
        <v>1455</v>
      </c>
      <c r="I769" s="1042">
        <f>'Смета Внутр'!H776</f>
        <v>0</v>
      </c>
      <c r="J769" s="1058">
        <f>'Смета Внутр'!I776</f>
        <v>0</v>
      </c>
    </row>
    <row r="770" spans="2:10" ht="15" customHeight="1">
      <c r="B770" s="1042" t="str">
        <f>'Смета Внутр'!B777</f>
        <v>Нет наждачной бумаги</v>
      </c>
      <c r="C770" s="1042" t="str">
        <f>'Смета Внутр'!C777</f>
        <v>м</v>
      </c>
      <c r="D770" s="1058">
        <f>'Смета Внутр'!D777</f>
        <v>0</v>
      </c>
      <c r="E770" s="1042">
        <f>'Смета Внутр'!E777</f>
        <v>0</v>
      </c>
      <c r="F770" s="1042">
        <f>'Смета Внутр'!F777</f>
        <v>0</v>
      </c>
      <c r="G770" s="1042">
        <f t="shared" si="39"/>
        <v>0</v>
      </c>
      <c r="H770" s="1042">
        <f>'Смета Внутр'!G777</f>
        <v>0</v>
      </c>
      <c r="I770" s="1042">
        <f>'Смета Внутр'!H777</f>
        <v>0</v>
      </c>
      <c r="J770" s="1058">
        <f>'Смета Внутр'!I777</f>
        <v>0</v>
      </c>
    </row>
    <row r="771" spans="2:10" ht="15" customHeight="1">
      <c r="B771" s="1042" t="str">
        <f>'Смета Внутр'!B778</f>
        <v>Бумага наждачная № 63 F(30)</v>
      </c>
      <c r="C771" s="1042" t="str">
        <f>'Смета Внутр'!C778</f>
        <v>м</v>
      </c>
      <c r="D771" s="1058">
        <f>'Смета Внутр'!D778</f>
        <v>0</v>
      </c>
      <c r="E771" s="1042">
        <f>'Смета Внутр'!E778</f>
        <v>291</v>
      </c>
      <c r="F771" s="1042">
        <f>'Смета Внутр'!F778</f>
        <v>0</v>
      </c>
      <c r="G771" s="1042">
        <f t="shared" si="39"/>
        <v>291</v>
      </c>
      <c r="H771" s="1042">
        <f>'Смета Внутр'!G778</f>
        <v>0</v>
      </c>
      <c r="I771" s="1042">
        <f>'Смета Внутр'!H778</f>
        <v>0</v>
      </c>
      <c r="J771" s="1058">
        <f>'Смета Внутр'!I778</f>
        <v>0</v>
      </c>
    </row>
    <row r="772" spans="2:10" ht="15" customHeight="1">
      <c r="B772" s="1042" t="str">
        <f>'Смета Внутр'!B779</f>
        <v>Бумага наждачная № 40</v>
      </c>
      <c r="C772" s="1042" t="str">
        <f>'Смета Внутр'!C779</f>
        <v>м</v>
      </c>
      <c r="D772" s="1058">
        <f>'Смета Внутр'!D779</f>
        <v>0</v>
      </c>
      <c r="E772" s="1042">
        <f>'Смета Внутр'!E779</f>
        <v>240</v>
      </c>
      <c r="F772" s="1042">
        <f>'Смета Внутр'!F779</f>
        <v>0</v>
      </c>
      <c r="G772" s="1042">
        <f t="shared" si="39"/>
        <v>240</v>
      </c>
      <c r="H772" s="1042">
        <f>'Смета Внутр'!G779</f>
        <v>0</v>
      </c>
      <c r="I772" s="1042">
        <f>'Смета Внутр'!H779</f>
        <v>0</v>
      </c>
      <c r="J772" s="1058">
        <f>'Смета Внутр'!I779</f>
        <v>0</v>
      </c>
    </row>
    <row r="773" spans="2:10">
      <c r="B773" s="3330" t="str">
        <f>'Смета Внутр'!B780</f>
        <v>Итого материалы</v>
      </c>
      <c r="C773" s="3330"/>
      <c r="D773" s="3330"/>
      <c r="E773" s="3330"/>
      <c r="F773" s="3330"/>
      <c r="G773" s="3330"/>
      <c r="H773" s="1042">
        <f>'Смета Внутр'!G780</f>
        <v>0</v>
      </c>
      <c r="I773" s="1042">
        <f>'Смета Внутр'!H780</f>
        <v>0</v>
      </c>
      <c r="J773" s="1058">
        <f>'Смета Внутр'!I780</f>
        <v>0</v>
      </c>
    </row>
    <row r="774" spans="2:10" ht="15" customHeight="1">
      <c r="B774" s="3002" t="str">
        <f>'Смета Внутр'!B781</f>
        <v>Работы</v>
      </c>
      <c r="D774" s="1167"/>
      <c r="H774">
        <f>'Смета Внутр'!G781</f>
        <v>0</v>
      </c>
      <c r="I774">
        <f>'Смета Внутр'!H781</f>
        <v>0</v>
      </c>
      <c r="J774" s="3027">
        <f>'Смета Внутр'!I781</f>
        <v>0</v>
      </c>
    </row>
    <row r="775" spans="2:10" ht="15" customHeight="1">
      <c r="B775" s="1042" t="str">
        <f>'Смета Внутр'!B782</f>
        <v>кладка Дикого леса</v>
      </c>
      <c r="C775" s="1042" t="str">
        <f>'Смета Внутр'!C782</f>
        <v>м3</v>
      </c>
      <c r="D775" s="1058">
        <f>'Смета Внутр'!D782</f>
        <v>28.018848000000009</v>
      </c>
      <c r="E775" s="1042">
        <f>'Смета Внутр'!E782</f>
        <v>6000</v>
      </c>
      <c r="F775" s="1042">
        <f>'Смета Внутр'!F782</f>
        <v>0</v>
      </c>
      <c r="G775" s="1042">
        <f t="shared" ref="G775:G783" si="40">IF(E775&gt;F775,E775,F775)</f>
        <v>6000</v>
      </c>
      <c r="H775" s="1042">
        <f>'Смета Внутр'!G782</f>
        <v>168113.08800000005</v>
      </c>
      <c r="I775" s="1042">
        <f>'Смета Внутр'!H782</f>
        <v>0</v>
      </c>
      <c r="J775" s="1058">
        <f>'Смета Внутр'!I782</f>
        <v>0</v>
      </c>
    </row>
    <row r="776" spans="2:10" ht="15" customHeight="1">
      <c r="B776" s="1042" t="str">
        <f>'Смета Внутр'!B783</f>
        <v>окосячка проемов, м.п.</v>
      </c>
      <c r="C776" s="1042" t="str">
        <f>'Смета Внутр'!C783</f>
        <v>м.п.</v>
      </c>
      <c r="D776" s="1058">
        <f>'Смета Внутр'!D783</f>
        <v>0</v>
      </c>
      <c r="E776" s="1042">
        <f>'Смета Внутр'!E783</f>
        <v>150</v>
      </c>
      <c r="F776" s="1042">
        <f>'Смета Внутр'!F783</f>
        <v>0</v>
      </c>
      <c r="G776" s="1042">
        <f t="shared" si="40"/>
        <v>150</v>
      </c>
      <c r="H776" s="1042">
        <f>'Смета Внутр'!G783</f>
        <v>0</v>
      </c>
      <c r="I776" s="1042">
        <f>'Смета Внутр'!H783</f>
        <v>0</v>
      </c>
      <c r="J776" s="1058">
        <f>'Смета Внутр'!I783</f>
        <v>0</v>
      </c>
    </row>
    <row r="777" spans="2:10" ht="15" customHeight="1">
      <c r="B777" s="1042" t="str">
        <f>'Смета Внутр'!B784</f>
        <v>обработка торцов на брусе</v>
      </c>
      <c r="C777" s="1042" t="str">
        <f>'Смета Внутр'!C784</f>
        <v>м.п.</v>
      </c>
      <c r="D777" s="1058">
        <f>'Смета Внутр'!D784</f>
        <v>14.400000000000002</v>
      </c>
      <c r="E777" s="1042">
        <f>'Смета Внутр'!E784</f>
        <v>250</v>
      </c>
      <c r="F777" s="1042">
        <f>'Смета Внутр'!F784</f>
        <v>0</v>
      </c>
      <c r="G777" s="1042">
        <f t="shared" si="40"/>
        <v>250</v>
      </c>
      <c r="H777" s="1042">
        <f>'Смета Внутр'!G784</f>
        <v>3600.0000000000005</v>
      </c>
      <c r="I777" s="1042">
        <f>'Смета Внутр'!H784</f>
        <v>0</v>
      </c>
      <c r="J777" s="1058">
        <f>'Смета Внутр'!I784</f>
        <v>0</v>
      </c>
    </row>
    <row r="778" spans="2:10" ht="15" customHeight="1">
      <c r="B778" s="1042" t="str">
        <f>'Смета Внутр'!B785</f>
        <v>Обаботка огнебиозащитой</v>
      </c>
      <c r="C778" s="1042" t="str">
        <f>'Смета Внутр'!C785</f>
        <v>м.п.</v>
      </c>
      <c r="D778" s="1058">
        <f>'Смета Внутр'!D785</f>
        <v>28.018848000000009</v>
      </c>
      <c r="E778" s="1042">
        <f>'Смета Внутр'!E785</f>
        <v>300</v>
      </c>
      <c r="F778" s="1042">
        <f>'Смета Внутр'!F785</f>
        <v>0</v>
      </c>
      <c r="G778" s="1042">
        <f t="shared" si="40"/>
        <v>300</v>
      </c>
      <c r="H778" s="1042">
        <f>'Смета Внутр'!G785</f>
        <v>8405.6544000000031</v>
      </c>
      <c r="I778" s="1042">
        <f>'Смета Внутр'!H785</f>
        <v>0</v>
      </c>
      <c r="J778" s="1058">
        <f>'Смета Внутр'!I785</f>
        <v>0</v>
      </c>
    </row>
    <row r="779" spans="2:10" ht="15" customHeight="1">
      <c r="B779" s="1042" t="str">
        <f>'Смета Внутр'!B786</f>
        <v>Пропитка стен внешних</v>
      </c>
      <c r="C779" s="1042" t="str">
        <f>'Смета Внутр'!C786</f>
        <v>м.п.</v>
      </c>
      <c r="D779" s="1058">
        <f>'Смета Внутр'!D786</f>
        <v>117.56160000000003</v>
      </c>
      <c r="E779" s="1042">
        <f>'Смета Внутр'!E786</f>
        <v>100</v>
      </c>
      <c r="F779" s="1042">
        <f>'Смета Внутр'!F786</f>
        <v>0</v>
      </c>
      <c r="G779" s="1042">
        <f t="shared" si="40"/>
        <v>100</v>
      </c>
      <c r="H779" s="1042">
        <f>'Смета Внутр'!G786</f>
        <v>11756.160000000003</v>
      </c>
      <c r="I779" s="1042">
        <f>'Смета Внутр'!H786</f>
        <v>0</v>
      </c>
      <c r="J779" s="1058">
        <f>'Смета Внутр'!I786</f>
        <v>0</v>
      </c>
    </row>
    <row r="780" spans="2:10" ht="15" customHeight="1">
      <c r="B780" s="1042" t="str">
        <f>'Смета Внутр'!B787</f>
        <v>Пропитка внутенних стен</v>
      </c>
      <c r="C780" s="1042" t="str">
        <f>'Смета Внутр'!C787</f>
        <v>м.п.</v>
      </c>
      <c r="D780" s="1058">
        <f>'Смета Внутр'!D787</f>
        <v>117.56160000000003</v>
      </c>
      <c r="E780" s="1042">
        <f>'Смета Внутр'!E787</f>
        <v>100</v>
      </c>
      <c r="F780" s="1042">
        <f>'Смета Внутр'!F787</f>
        <v>0</v>
      </c>
      <c r="G780" s="1042">
        <f t="shared" si="40"/>
        <v>100</v>
      </c>
      <c r="H780" s="1042">
        <f>'Смета Внутр'!G787</f>
        <v>11756.160000000003</v>
      </c>
      <c r="I780" s="1042">
        <f>'Смета Внутр'!H787</f>
        <v>0</v>
      </c>
      <c r="J780" s="1058">
        <f>'Смета Внутр'!I787</f>
        <v>0</v>
      </c>
    </row>
    <row r="781" spans="2:10" ht="15" customHeight="1">
      <c r="B781" s="1042" t="str">
        <f>'Смета Внутр'!B788</f>
        <v>Сверление стен для скрытой проводки</v>
      </c>
      <c r="C781" s="1042" t="str">
        <f>'Смета Внутр'!C788</f>
        <v>м.п.</v>
      </c>
      <c r="D781" s="1058">
        <f>'Смета Внутр'!D788</f>
        <v>180</v>
      </c>
      <c r="E781" s="1042">
        <f>'Смета Внутр'!E788</f>
        <v>300</v>
      </c>
      <c r="F781" s="1042">
        <f>'Смета Внутр'!F788</f>
        <v>0</v>
      </c>
      <c r="G781" s="1042">
        <f t="shared" si="40"/>
        <v>300</v>
      </c>
      <c r="H781" s="1042">
        <f>'Смета Внутр'!G788</f>
        <v>54000</v>
      </c>
      <c r="I781" s="1042">
        <f>'Смета Внутр'!H788</f>
        <v>0</v>
      </c>
      <c r="J781" s="1058">
        <f>'Смета Внутр'!I788</f>
        <v>0</v>
      </c>
    </row>
    <row r="782" spans="2:10" ht="15" customHeight="1">
      <c r="B782" s="1042" t="str">
        <f>'Смета Внутр'!B789</f>
        <v>Монтаж наличника</v>
      </c>
      <c r="C782" s="1042" t="str">
        <f>'Смета Внутр'!C789</f>
        <v>м.п.</v>
      </c>
      <c r="D782" s="1058">
        <f>'Смета Внутр'!D789</f>
        <v>0</v>
      </c>
      <c r="E782" s="1042">
        <f>'Смета Внутр'!E789</f>
        <v>80</v>
      </c>
      <c r="F782" s="1042">
        <f>'Смета Внутр'!F789</f>
        <v>0</v>
      </c>
      <c r="G782" s="1042">
        <f t="shared" si="40"/>
        <v>80</v>
      </c>
      <c r="H782" s="1042">
        <f>'Смета Внутр'!G789</f>
        <v>0</v>
      </c>
      <c r="I782" s="1042">
        <f>'Смета Внутр'!H789</f>
        <v>0</v>
      </c>
      <c r="J782" s="1058">
        <f>'Смета Внутр'!I789</f>
        <v>0</v>
      </c>
    </row>
    <row r="783" spans="2:10" ht="15" customHeight="1">
      <c r="B783" s="1042" t="str">
        <f>'Смета Внутр'!B790</f>
        <v>Шлифовка стен дома</v>
      </c>
      <c r="C783" s="1042" t="str">
        <f>'Смета Внутр'!C790</f>
        <v>м.п.</v>
      </c>
      <c r="D783" s="1058">
        <f>'Смета Внутр'!D790</f>
        <v>121.44000000000004</v>
      </c>
      <c r="E783" s="1042">
        <f>'Смета Внутр'!E790</f>
        <v>250</v>
      </c>
      <c r="F783" s="1042">
        <f>'Смета Внутр'!F790</f>
        <v>0</v>
      </c>
      <c r="G783" s="1042">
        <f t="shared" si="40"/>
        <v>250</v>
      </c>
      <c r="H783" s="1042">
        <f>'Смета Внутр'!G790</f>
        <v>30360.000000000011</v>
      </c>
      <c r="I783" s="1042">
        <f>'Смета Внутр'!H790</f>
        <v>0</v>
      </c>
      <c r="J783" s="1058">
        <f>'Смета Внутр'!I790</f>
        <v>0</v>
      </c>
    </row>
    <row r="784" spans="2:10" ht="15" customHeight="1">
      <c r="B784" s="3330" t="str">
        <f>'Смета Внутр'!B791</f>
        <v>Итого работы</v>
      </c>
      <c r="C784" s="3330"/>
      <c r="D784" s="3330"/>
      <c r="E784" s="3330"/>
      <c r="F784" s="3330"/>
      <c r="G784" s="3330"/>
      <c r="H784" s="1042">
        <f>'Смета Внутр'!G791</f>
        <v>0</v>
      </c>
      <c r="I784" s="1042">
        <f>'Смета Внутр'!H791</f>
        <v>0</v>
      </c>
      <c r="J784" s="1058">
        <f>'Смета Внутр'!I791</f>
        <v>0</v>
      </c>
    </row>
    <row r="785" spans="2:10" ht="15" customHeight="1">
      <c r="B785" s="3329" t="str">
        <f>'Смета Внутр'!B792</f>
        <v>Дом из Оцилиндрованного бревна</v>
      </c>
      <c r="C785" s="3329"/>
      <c r="D785" s="3329"/>
      <c r="H785">
        <f>'Смета Внутр'!G792</f>
        <v>0</v>
      </c>
      <c r="I785">
        <f>'Смета Внутр'!H792</f>
        <v>0</v>
      </c>
      <c r="J785" s="3027">
        <f>'Смета Внутр'!I792</f>
        <v>0</v>
      </c>
    </row>
    <row r="786" spans="2:10" ht="15" customHeight="1">
      <c r="B786" s="3002" t="str">
        <f>'Смета Внутр'!B793</f>
        <v>Материалы</v>
      </c>
      <c r="D786" s="1167"/>
      <c r="H786">
        <f>'Смета Внутр'!G793</f>
        <v>0</v>
      </c>
      <c r="I786">
        <f>'Смета Внутр'!H793</f>
        <v>0</v>
      </c>
      <c r="J786" s="3027">
        <f>'Смета Внутр'!I793</f>
        <v>0</v>
      </c>
    </row>
    <row r="787" spans="2:10" ht="15" customHeight="1">
      <c r="B787" s="1042" t="str">
        <f>'Смета Внутр'!B794</f>
        <v>Оцилиндрованное бревно сосна 260мм</v>
      </c>
      <c r="C787" s="1042" t="str">
        <f>'Смета Внутр'!C794</f>
        <v>м3</v>
      </c>
      <c r="D787" s="1058">
        <f>'Смета Внутр'!D794</f>
        <v>3.7241718800000005</v>
      </c>
      <c r="E787" s="1042">
        <f>'Смета Внутр'!E794</f>
        <v>10000</v>
      </c>
      <c r="F787" s="1042">
        <f>'Смета Внутр'!F794</f>
        <v>0</v>
      </c>
      <c r="G787" s="1042">
        <f t="shared" ref="G787:G809" si="41">IF(E787&gt;F787,E787,F787)</f>
        <v>10000</v>
      </c>
      <c r="H787" s="1042">
        <f>'Смета Внутр'!G794</f>
        <v>37241.718800000002</v>
      </c>
      <c r="I787" s="1042">
        <f>'Смета Внутр'!H794</f>
        <v>0</v>
      </c>
      <c r="J787" s="1058">
        <f>'Смета Внутр'!I794</f>
        <v>0</v>
      </c>
    </row>
    <row r="788" spans="2:10" ht="15" customHeight="1">
      <c r="B788" s="1042" t="str">
        <f>'Смета Внутр'!B795</f>
        <v>Оцилиндрованное бревно сосна 260мм</v>
      </c>
      <c r="C788" s="1042" t="str">
        <f>'Смета Внутр'!C795</f>
        <v>м3</v>
      </c>
      <c r="D788" s="1058">
        <f>'Смета Внутр'!D795</f>
        <v>24.294676120000009</v>
      </c>
      <c r="E788" s="1042">
        <f>'Смета Внутр'!E795</f>
        <v>8500</v>
      </c>
      <c r="F788" s="1042">
        <f>'Смета Внутр'!F795</f>
        <v>0</v>
      </c>
      <c r="G788" s="1042">
        <f t="shared" si="41"/>
        <v>8500</v>
      </c>
      <c r="H788" s="1042">
        <f>'Смета Внутр'!G795</f>
        <v>206504.74702000007</v>
      </c>
      <c r="I788" s="1042">
        <f>'Смета Внутр'!H795</f>
        <v>0</v>
      </c>
      <c r="J788" s="1058">
        <f>'Смета Внутр'!I795</f>
        <v>0</v>
      </c>
    </row>
    <row r="789" spans="2:10" ht="15" customHeight="1">
      <c r="B789" s="1042" t="str">
        <f>'Смета Внутр'!B796</f>
        <v>Оцилиндрованное бревно сосна 200мм</v>
      </c>
      <c r="C789" s="1042" t="str">
        <f>'Смета Внутр'!C796</f>
        <v>м3</v>
      </c>
      <c r="D789" s="1058">
        <f>'Смета Внутр'!D796</f>
        <v>0</v>
      </c>
      <c r="E789" s="1042">
        <f>'Смета Внутр'!E796</f>
        <v>8000</v>
      </c>
      <c r="F789" s="1042">
        <f>'Смета Внутр'!F796</f>
        <v>0</v>
      </c>
      <c r="G789" s="1042">
        <f t="shared" si="41"/>
        <v>8000</v>
      </c>
      <c r="H789" s="1042">
        <f>'Смета Внутр'!G796</f>
        <v>0</v>
      </c>
      <c r="I789" s="1042">
        <f>'Смета Внутр'!H796</f>
        <v>0</v>
      </c>
      <c r="J789" s="1058">
        <f>'Смета Внутр'!I796</f>
        <v>0</v>
      </c>
    </row>
    <row r="790" spans="2:10" ht="15" customHeight="1">
      <c r="B790" s="1042" t="str">
        <f>'Смета Внутр'!B797</f>
        <v>Оцилиндрованное бревно сосна 200мм</v>
      </c>
      <c r="C790" s="1042" t="str">
        <f>'Смета Внутр'!C797</f>
        <v>м2</v>
      </c>
      <c r="D790" s="1058">
        <f>'Смета Внутр'!D797</f>
        <v>0</v>
      </c>
      <c r="E790" s="1042">
        <f>'Смета Внутр'!E797</f>
        <v>8000</v>
      </c>
      <c r="F790" s="1042">
        <f>'Смета Внутр'!F797</f>
        <v>0</v>
      </c>
      <c r="G790" s="1042">
        <f t="shared" si="41"/>
        <v>8000</v>
      </c>
      <c r="H790" s="1042">
        <f>'Смета Внутр'!G797</f>
        <v>0</v>
      </c>
      <c r="I790" s="1042">
        <f>'Смета Внутр'!H797</f>
        <v>0</v>
      </c>
      <c r="J790" s="1058">
        <f>'Смета Внутр'!I797</f>
        <v>0</v>
      </c>
    </row>
    <row r="791" spans="2:10" ht="15" customHeight="1">
      <c r="B791" s="1042" t="str">
        <f>'Смета Внутр'!B798</f>
        <v>Шкант</v>
      </c>
      <c r="C791" s="1042" t="str">
        <f>'Смета Внутр'!C798</f>
        <v>шт</v>
      </c>
      <c r="D791" s="1058">
        <f>'Смета Внутр'!D798</f>
        <v>617</v>
      </c>
      <c r="E791" s="1042">
        <f>'Смета Внутр'!E798</f>
        <v>6</v>
      </c>
      <c r="F791" s="1042">
        <f>'Смета Внутр'!F798</f>
        <v>0</v>
      </c>
      <c r="G791" s="1042">
        <f t="shared" si="41"/>
        <v>6</v>
      </c>
      <c r="H791" s="1042">
        <f>'Смета Внутр'!G798</f>
        <v>3702</v>
      </c>
      <c r="I791" s="1042">
        <f>'Смета Внутр'!H798</f>
        <v>0</v>
      </c>
      <c r="J791" s="1058">
        <f>'Смета Внутр'!I798</f>
        <v>0</v>
      </c>
    </row>
    <row r="792" spans="2:10" ht="15" customHeight="1">
      <c r="B792" s="1042" t="str">
        <f>'Смета Внутр'!B799</f>
        <v>Лен-джут 200х5х20000 мм</v>
      </c>
      <c r="C792" s="1042" t="str">
        <f>'Смета Внутр'!C799</f>
        <v>шт</v>
      </c>
      <c r="D792" s="1058">
        <f>'Смета Внутр'!D799</f>
        <v>33</v>
      </c>
      <c r="E792" s="1042">
        <f>'Смета Внутр'!E799</f>
        <v>175</v>
      </c>
      <c r="F792" s="1042">
        <f>'Смета Внутр'!F799</f>
        <v>0</v>
      </c>
      <c r="G792" s="1042">
        <f t="shared" si="41"/>
        <v>175</v>
      </c>
      <c r="H792" s="1042">
        <f>'Смета Внутр'!G799</f>
        <v>5775</v>
      </c>
      <c r="I792" s="1042">
        <f>'Смета Внутр'!H799</f>
        <v>0</v>
      </c>
      <c r="J792" s="1058">
        <f>'Смета Внутр'!I799</f>
        <v>0</v>
      </c>
    </row>
    <row r="793" spans="2:10" ht="15" customHeight="1">
      <c r="B793" s="1042" t="str">
        <f>'Смета Внутр'!B800</f>
        <v xml:space="preserve">Гвозди ершоные 2,8 х 90            </v>
      </c>
      <c r="C793" s="1042" t="str">
        <f>'Смета Внутр'!C800</f>
        <v>шт</v>
      </c>
      <c r="D793" s="1058">
        <f>'Смета Внутр'!D800</f>
        <v>4.8400000000000007</v>
      </c>
      <c r="E793" s="1042">
        <f>'Смета Внутр'!E800</f>
        <v>76.489999999999995</v>
      </c>
      <c r="F793" s="1042">
        <f>'Смета Внутр'!F800</f>
        <v>0</v>
      </c>
      <c r="G793" s="1042">
        <f t="shared" si="41"/>
        <v>76.489999999999995</v>
      </c>
      <c r="H793" s="1042">
        <f>'Смета Внутр'!G800</f>
        <v>370.21160000000003</v>
      </c>
      <c r="I793" s="1042">
        <f>'Смета Внутр'!H800</f>
        <v>0</v>
      </c>
      <c r="J793" s="1058">
        <f>'Смета Внутр'!I800</f>
        <v>0</v>
      </c>
    </row>
    <row r="794" spans="2:10" ht="15" customHeight="1">
      <c r="B794" s="1042" t="str">
        <f>'Смета Внутр'!B801</f>
        <v>нет</v>
      </c>
      <c r="C794" s="1042" t="str">
        <f>'Смета Внутр'!C801</f>
        <v>м3</v>
      </c>
      <c r="D794" s="1058">
        <f>'Смета Внутр'!D801</f>
        <v>0</v>
      </c>
      <c r="E794" s="1042">
        <f>'Смета Внутр'!E801</f>
        <v>0</v>
      </c>
      <c r="F794" s="1042">
        <f>'Смета Внутр'!F801</f>
        <v>0</v>
      </c>
      <c r="G794" s="1042">
        <f t="shared" si="41"/>
        <v>0</v>
      </c>
      <c r="H794" s="1042">
        <f>'Смета Внутр'!G801</f>
        <v>0</v>
      </c>
      <c r="I794" s="1042">
        <f>'Смета Внутр'!H801</f>
        <v>0</v>
      </c>
      <c r="J794" s="1058">
        <f>'Смета Внутр'!I801</f>
        <v>0</v>
      </c>
    </row>
    <row r="795" spans="2:10" ht="15" customHeight="1">
      <c r="B795" s="1042" t="str">
        <f>'Смета Внутр'!B802</f>
        <v>Доска сухая, 100*50мм</v>
      </c>
      <c r="C795" s="1042" t="str">
        <f>'Смета Внутр'!C802</f>
        <v>м3</v>
      </c>
      <c r="D795" s="1058">
        <f>'Смета Внутр'!D802</f>
        <v>0</v>
      </c>
      <c r="E795" s="1042">
        <f>'Смета Внутр'!E802</f>
        <v>9000</v>
      </c>
      <c r="F795" s="1042">
        <f>'Смета Внутр'!F802</f>
        <v>0</v>
      </c>
      <c r="G795" s="1042">
        <f t="shared" si="41"/>
        <v>9000</v>
      </c>
      <c r="H795" s="1042">
        <f>'Смета Внутр'!G802</f>
        <v>0</v>
      </c>
      <c r="I795" s="1042">
        <f>'Смета Внутр'!H802</f>
        <v>0</v>
      </c>
      <c r="J795" s="1058">
        <f>'Смета Внутр'!I802</f>
        <v>0</v>
      </c>
    </row>
    <row r="796" spans="2:10" ht="15" customHeight="1">
      <c r="B796" s="1042" t="str">
        <f>'Смета Внутр'!B803</f>
        <v>Доска сухая калиброванная, 100*45мм</v>
      </c>
      <c r="C796" s="1042" t="str">
        <f>'Смета Внутр'!C803</f>
        <v>м3</v>
      </c>
      <c r="D796" s="1058">
        <f>'Смета Внутр'!D803</f>
        <v>0</v>
      </c>
      <c r="E796" s="1042">
        <f>'Смета Внутр'!E803</f>
        <v>12500</v>
      </c>
      <c r="F796" s="1042">
        <f>'Смета Внутр'!F803</f>
        <v>0</v>
      </c>
      <c r="G796" s="1042">
        <f t="shared" si="41"/>
        <v>12500</v>
      </c>
      <c r="H796" s="1042">
        <f>'Смета Внутр'!G803</f>
        <v>0</v>
      </c>
      <c r="I796" s="1042">
        <f>'Смета Внутр'!H803</f>
        <v>0</v>
      </c>
      <c r="J796" s="1058">
        <f>'Смета Внутр'!I803</f>
        <v>0</v>
      </c>
    </row>
    <row r="797" spans="2:10" ht="15" customHeight="1">
      <c r="B797" s="1042" t="str">
        <f>'Смета Внутр'!B804</f>
        <v>Сосна влаж, 50*50мм</v>
      </c>
      <c r="C797" s="1042" t="str">
        <f>'Смета Внутр'!C804</f>
        <v>м.п.</v>
      </c>
      <c r="D797" s="1058">
        <f>'Смета Внутр'!D804</f>
        <v>0</v>
      </c>
      <c r="E797" s="1042">
        <f>'Смета Внутр'!E804</f>
        <v>16.25</v>
      </c>
      <c r="F797" s="1042">
        <f>'Смета Внутр'!F804</f>
        <v>0</v>
      </c>
      <c r="G797" s="1042">
        <f t="shared" si="41"/>
        <v>16.25</v>
      </c>
      <c r="H797" s="1042">
        <f>'Смета Внутр'!G804</f>
        <v>0</v>
      </c>
      <c r="I797" s="1042">
        <f>'Смета Внутр'!H804</f>
        <v>0</v>
      </c>
      <c r="J797" s="1058">
        <f>'Смета Внутр'!I804</f>
        <v>0</v>
      </c>
    </row>
    <row r="798" spans="2:10" ht="15" customHeight="1">
      <c r="B798" s="1042" t="str">
        <f>'Смета Внутр'!B805</f>
        <v>Бензин для пилы</v>
      </c>
      <c r="C798" s="1042" t="str">
        <f>'Смета Внутр'!C805</f>
        <v>л</v>
      </c>
      <c r="D798" s="1058">
        <f>'Смета Внутр'!D805</f>
        <v>7.0047120000000023</v>
      </c>
      <c r="E798" s="1042">
        <f>'Смета Внутр'!E805</f>
        <v>40</v>
      </c>
      <c r="F798" s="1042">
        <f>'Смета Внутр'!F805</f>
        <v>0</v>
      </c>
      <c r="G798" s="1042">
        <f t="shared" si="41"/>
        <v>40</v>
      </c>
      <c r="H798" s="1042">
        <f>'Смета Внутр'!G805</f>
        <v>280.18848000000008</v>
      </c>
      <c r="I798" s="1042">
        <f>'Смета Внутр'!H805</f>
        <v>0</v>
      </c>
      <c r="J798" s="1058">
        <f>'Смета Внутр'!I805</f>
        <v>0</v>
      </c>
    </row>
    <row r="799" spans="2:10" ht="15" customHeight="1">
      <c r="B799" s="1042" t="str">
        <f>'Смета Внутр'!B806</f>
        <v>Масло для пилы</v>
      </c>
      <c r="C799" s="1042" t="str">
        <f>'Смета Внутр'!C806</f>
        <v>л</v>
      </c>
      <c r="D799" s="1058">
        <f>'Смета Внутр'!D806</f>
        <v>0.35023560000000009</v>
      </c>
      <c r="E799" s="1042">
        <f>'Смета Внутр'!E806</f>
        <v>250</v>
      </c>
      <c r="F799" s="1042">
        <f>'Смета Внутр'!F806</f>
        <v>0</v>
      </c>
      <c r="G799" s="1042">
        <f t="shared" si="41"/>
        <v>250</v>
      </c>
      <c r="H799" s="1042">
        <f>'Смета Внутр'!G806</f>
        <v>87.558900000000023</v>
      </c>
      <c r="I799" s="1042">
        <f>'Смета Внутр'!H806</f>
        <v>0</v>
      </c>
      <c r="J799" s="1058">
        <f>'Смета Внутр'!I806</f>
        <v>0</v>
      </c>
    </row>
    <row r="800" spans="2:10" ht="15" customHeight="1">
      <c r="B800" s="1042" t="str">
        <f>'Смета Внутр'!B807</f>
        <v>Цепь для пилы</v>
      </c>
      <c r="C800" s="1042" t="str">
        <f>'Смета Внутр'!C807</f>
        <v>шт</v>
      </c>
      <c r="D800" s="1058">
        <f>'Смета Внутр'!D807</f>
        <v>3</v>
      </c>
      <c r="E800" s="1042">
        <f>'Смета Внутр'!E807</f>
        <v>800</v>
      </c>
      <c r="F800" s="1042">
        <f>'Смета Внутр'!F807</f>
        <v>0</v>
      </c>
      <c r="G800" s="1042">
        <f t="shared" si="41"/>
        <v>800</v>
      </c>
      <c r="H800" s="1042">
        <f>'Смета Внутр'!G807</f>
        <v>2400</v>
      </c>
      <c r="I800" s="1042">
        <f>'Смета Внутр'!H807</f>
        <v>0</v>
      </c>
      <c r="J800" s="1058">
        <f>'Смета Внутр'!I807</f>
        <v>0</v>
      </c>
    </row>
    <row r="801" spans="2:10" ht="15" customHeight="1">
      <c r="B801" s="1042" t="str">
        <f>'Смета Внутр'!B808</f>
        <v>"Профилюкс" Антисептик АНТИПЛЕСЕНЬ</v>
      </c>
      <c r="C801" s="1042" t="str">
        <f>'Смета Внутр'!C808</f>
        <v>л</v>
      </c>
      <c r="D801" s="1058">
        <f>'Смета Внутр'!D808</f>
        <v>39.187200000000018</v>
      </c>
      <c r="E801" s="1042">
        <f>'Смета Внутр'!E808</f>
        <v>108</v>
      </c>
      <c r="F801" s="1042">
        <f>'Смета Внутр'!F808</f>
        <v>0</v>
      </c>
      <c r="G801" s="1042">
        <f t="shared" si="41"/>
        <v>108</v>
      </c>
      <c r="H801" s="1042">
        <f>'Смета Внутр'!G808</f>
        <v>4232.2176000000018</v>
      </c>
      <c r="I801" s="1042">
        <f>'Смета Внутр'!H808</f>
        <v>0</v>
      </c>
      <c r="J801" s="1058">
        <f>'Смета Внутр'!I808</f>
        <v>0</v>
      </c>
    </row>
    <row r="802" spans="2:10" ht="15" customHeight="1">
      <c r="B802" s="1042" t="str">
        <f>'Смета Внутр'!B809</f>
        <v>"Тонерол" Антисептик  бесцветный  1л</v>
      </c>
      <c r="C802" s="1042" t="str">
        <f>'Смета Внутр'!C809</f>
        <v>л</v>
      </c>
      <c r="D802" s="1058">
        <f>'Смета Внутр'!D809</f>
        <v>23.512320000000006</v>
      </c>
      <c r="E802" s="1042">
        <f>'Смета Внутр'!E809</f>
        <v>305</v>
      </c>
      <c r="F802" s="1042">
        <f>'Смета Внутр'!F809</f>
        <v>0</v>
      </c>
      <c r="G802" s="1042">
        <f t="shared" si="41"/>
        <v>305</v>
      </c>
      <c r="H802" s="1042">
        <f>'Смета Внутр'!G809</f>
        <v>7171.2576000000017</v>
      </c>
      <c r="I802" s="1042">
        <f>'Смета Внутр'!H809</f>
        <v>0</v>
      </c>
      <c r="J802" s="1058">
        <f>'Смета Внутр'!I809</f>
        <v>0</v>
      </c>
    </row>
    <row r="803" spans="2:10" ht="15" customHeight="1">
      <c r="B803" s="1042" t="str">
        <f>'Смета Внутр'!B810</f>
        <v>"Тонерол" Антисептик  махагон  1л</v>
      </c>
      <c r="C803" s="1042" t="str">
        <f>'Смета Внутр'!C810</f>
        <v>л</v>
      </c>
      <c r="D803" s="1058">
        <f>'Смета Внутр'!D810</f>
        <v>23.512320000000006</v>
      </c>
      <c r="E803" s="1042">
        <f>'Смета Внутр'!E810</f>
        <v>305</v>
      </c>
      <c r="F803" s="1042">
        <f>'Смета Внутр'!F810</f>
        <v>0</v>
      </c>
      <c r="G803" s="1042">
        <f t="shared" si="41"/>
        <v>305</v>
      </c>
      <c r="H803" s="1042">
        <f>'Смета Внутр'!G810</f>
        <v>7171.2576000000017</v>
      </c>
      <c r="I803" s="1042">
        <f>'Смета Внутр'!H810</f>
        <v>0</v>
      </c>
      <c r="J803" s="1058">
        <f>'Смета Внутр'!I810</f>
        <v>0</v>
      </c>
    </row>
    <row r="804" spans="2:10" ht="15" customHeight="1">
      <c r="B804" s="1042" t="str">
        <f>'Смета Внутр'!B811</f>
        <v>Нет наличника</v>
      </c>
      <c r="C804" s="1042" t="str">
        <f>'Смета Внутр'!C811</f>
        <v>м.п.</v>
      </c>
      <c r="D804" s="1058">
        <f>'Смета Внутр'!D811</f>
        <v>3.5700000000000007</v>
      </c>
      <c r="E804" s="1042">
        <f>'Смета Внутр'!E811</f>
        <v>0</v>
      </c>
      <c r="F804" s="1042">
        <f>'Смета Внутр'!F811</f>
        <v>0</v>
      </c>
      <c r="G804" s="1042">
        <f t="shared" si="41"/>
        <v>0</v>
      </c>
      <c r="H804" s="1042">
        <f>'Смета Внутр'!G811</f>
        <v>0</v>
      </c>
      <c r="I804" s="1042">
        <f>'Смета Внутр'!H811</f>
        <v>0</v>
      </c>
      <c r="J804" s="1058">
        <f>'Смета Внутр'!I811</f>
        <v>0</v>
      </c>
    </row>
    <row r="805" spans="2:10" ht="15" customHeight="1">
      <c r="B805" s="1042" t="str">
        <f>'Смета Внутр'!B812</f>
        <v>Нет наличника</v>
      </c>
      <c r="C805" s="1042" t="str">
        <f>'Смета Внутр'!C812</f>
        <v>м.п.</v>
      </c>
      <c r="D805" s="1058">
        <f>'Смета Внутр'!D812</f>
        <v>3.5700000000000007</v>
      </c>
      <c r="E805" s="1042">
        <f>'Смета Внутр'!E812</f>
        <v>0</v>
      </c>
      <c r="F805" s="1042">
        <f>'Смета Внутр'!F812</f>
        <v>0</v>
      </c>
      <c r="G805" s="1042">
        <f t="shared" si="41"/>
        <v>0</v>
      </c>
      <c r="H805" s="1042">
        <f>'Смета Внутр'!G812</f>
        <v>0</v>
      </c>
      <c r="I805" s="1042">
        <f>'Смета Внутр'!H812</f>
        <v>0</v>
      </c>
      <c r="J805" s="1058">
        <f>'Смета Внутр'!I812</f>
        <v>0</v>
      </c>
    </row>
    <row r="806" spans="2:10" ht="15" customHeight="1">
      <c r="B806" s="1042" t="str">
        <f>'Смета Внутр'!B813</f>
        <v>Бумага наждачная № 63 F(30)</v>
      </c>
      <c r="C806" s="1042" t="str">
        <f>'Смета Внутр'!C813</f>
        <v>м</v>
      </c>
      <c r="D806" s="1058">
        <f>'Смета Внутр'!D813</f>
        <v>5</v>
      </c>
      <c r="E806" s="1042">
        <f>'Смета Внутр'!E813</f>
        <v>291</v>
      </c>
      <c r="F806" s="1042">
        <f>'Смета Внутр'!F813</f>
        <v>0</v>
      </c>
      <c r="G806" s="1042">
        <f t="shared" si="41"/>
        <v>291</v>
      </c>
      <c r="H806" s="1042">
        <f>'Смета Внутр'!G813</f>
        <v>1455</v>
      </c>
      <c r="I806" s="1042">
        <f>'Смета Внутр'!H813</f>
        <v>0</v>
      </c>
      <c r="J806" s="1058">
        <f>'Смета Внутр'!I813</f>
        <v>0</v>
      </c>
    </row>
    <row r="807" spans="2:10" ht="15" customHeight="1">
      <c r="B807" s="1042" t="str">
        <f>'Смета Внутр'!B814</f>
        <v>Нет наждачной бумаги</v>
      </c>
      <c r="C807" s="1042" t="str">
        <f>'Смета Внутр'!C814</f>
        <v>м</v>
      </c>
      <c r="D807" s="1058">
        <f>'Смета Внутр'!D814</f>
        <v>0</v>
      </c>
      <c r="E807" s="1042">
        <f>'Смета Внутр'!E814</f>
        <v>0</v>
      </c>
      <c r="F807" s="1042">
        <f>'Смета Внутр'!F814</f>
        <v>0</v>
      </c>
      <c r="G807" s="1042">
        <f t="shared" si="41"/>
        <v>0</v>
      </c>
      <c r="H807" s="1042">
        <f>'Смета Внутр'!G814</f>
        <v>0</v>
      </c>
      <c r="I807" s="1042">
        <f>'Смета Внутр'!H814</f>
        <v>0</v>
      </c>
      <c r="J807" s="1058">
        <f>'Смета Внутр'!I814</f>
        <v>0</v>
      </c>
    </row>
    <row r="808" spans="2:10" ht="15" customHeight="1">
      <c r="B808" s="1042" t="str">
        <f>'Смета Внутр'!B815</f>
        <v>Бумага наждачная № 63 F(30)</v>
      </c>
      <c r="C808" s="1042" t="str">
        <f>'Смета Внутр'!C815</f>
        <v>м</v>
      </c>
      <c r="D808" s="1058">
        <f>'Смета Внутр'!D815</f>
        <v>0</v>
      </c>
      <c r="E808" s="1042">
        <f>'Смета Внутр'!E815</f>
        <v>291</v>
      </c>
      <c r="F808" s="1042">
        <f>'Смета Внутр'!F815</f>
        <v>0</v>
      </c>
      <c r="G808" s="1042">
        <f t="shared" si="41"/>
        <v>291</v>
      </c>
      <c r="H808" s="1042">
        <f>'Смета Внутр'!G815</f>
        <v>0</v>
      </c>
      <c r="I808" s="1042">
        <f>'Смета Внутр'!H815</f>
        <v>0</v>
      </c>
      <c r="J808" s="1058">
        <f>'Смета Внутр'!I815</f>
        <v>0</v>
      </c>
    </row>
    <row r="809" spans="2:10" ht="15" customHeight="1">
      <c r="B809" s="1042" t="str">
        <f>'Смета Внутр'!B816</f>
        <v>Бумага наждачная № 40</v>
      </c>
      <c r="C809" s="1042" t="str">
        <f>'Смета Внутр'!C816</f>
        <v>м</v>
      </c>
      <c r="D809" s="1058">
        <f>'Смета Внутр'!D816</f>
        <v>0</v>
      </c>
      <c r="E809" s="1042">
        <f>'Смета Внутр'!E816</f>
        <v>240</v>
      </c>
      <c r="F809" s="1042">
        <f>'Смета Внутр'!F816</f>
        <v>0</v>
      </c>
      <c r="G809" s="1042">
        <f t="shared" si="41"/>
        <v>240</v>
      </c>
      <c r="H809" s="1042">
        <f>'Смета Внутр'!G816</f>
        <v>0</v>
      </c>
      <c r="I809" s="1042">
        <f>'Смета Внутр'!H816</f>
        <v>0</v>
      </c>
      <c r="J809" s="1058">
        <f>'Смета Внутр'!I816</f>
        <v>0</v>
      </c>
    </row>
    <row r="810" spans="2:10">
      <c r="B810" s="3330" t="str">
        <f>'Смета Внутр'!B817</f>
        <v>Итого материалы</v>
      </c>
      <c r="C810" s="3330"/>
      <c r="D810" s="3330"/>
      <c r="E810" s="3330"/>
      <c r="F810" s="3330"/>
      <c r="G810" s="3330"/>
      <c r="H810" s="1042">
        <f>'Смета Внутр'!G817</f>
        <v>0</v>
      </c>
      <c r="I810" s="1042">
        <f>'Смета Внутр'!H817</f>
        <v>0</v>
      </c>
      <c r="J810" s="1058">
        <f>'Смета Внутр'!I817</f>
        <v>0</v>
      </c>
    </row>
    <row r="811" spans="2:10" ht="15" customHeight="1">
      <c r="B811" s="3002" t="str">
        <f>'Смета Внутр'!B818</f>
        <v>Работы</v>
      </c>
      <c r="D811" s="1167"/>
      <c r="H811">
        <f>'Смета Внутр'!G818</f>
        <v>0</v>
      </c>
      <c r="I811">
        <f>'Смета Внутр'!H818</f>
        <v>0</v>
      </c>
      <c r="J811" s="3027">
        <f>'Смета Внутр'!I818</f>
        <v>0</v>
      </c>
    </row>
    <row r="812" spans="2:10" ht="15" customHeight="1">
      <c r="B812" s="1042" t="str">
        <f>'Смета Внутр'!B819</f>
        <v>кладка Оцилиндрованного вревна</v>
      </c>
      <c r="C812" s="1042" t="str">
        <f>'Смета Внутр'!C819</f>
        <v>м3</v>
      </c>
      <c r="D812" s="1058">
        <f>'Смета Внутр'!D819</f>
        <v>28.018848000000009</v>
      </c>
      <c r="E812" s="1042">
        <f>'Смета Внутр'!E819</f>
        <v>6000</v>
      </c>
      <c r="F812" s="1042">
        <f>'Смета Внутр'!F819</f>
        <v>0</v>
      </c>
      <c r="G812" s="1042">
        <f t="shared" ref="G812:G820" si="42">IF(E812&gt;F812,E812,F812)</f>
        <v>6000</v>
      </c>
      <c r="H812" s="1042">
        <f>'Смета Внутр'!G819</f>
        <v>168113.08800000005</v>
      </c>
      <c r="I812" s="1042">
        <f>'Смета Внутр'!H819</f>
        <v>0</v>
      </c>
      <c r="J812" s="1058">
        <f>'Смета Внутр'!I819</f>
        <v>0</v>
      </c>
    </row>
    <row r="813" spans="2:10" ht="15" customHeight="1">
      <c r="B813" s="1042" t="str">
        <f>'Смета Внутр'!B820</f>
        <v>окосячка проемов, м.п.</v>
      </c>
      <c r="C813" s="1042" t="str">
        <f>'Смета Внутр'!C820</f>
        <v>м.п.</v>
      </c>
      <c r="D813" s="1058">
        <f>'Смета Внутр'!D820</f>
        <v>0</v>
      </c>
      <c r="E813" s="1042">
        <f>'Смета Внутр'!E820</f>
        <v>150</v>
      </c>
      <c r="F813" s="1042">
        <f>'Смета Внутр'!F820</f>
        <v>0</v>
      </c>
      <c r="G813" s="1042">
        <f t="shared" si="42"/>
        <v>150</v>
      </c>
      <c r="H813" s="1042">
        <f>'Смета Внутр'!G820</f>
        <v>0</v>
      </c>
      <c r="I813" s="1042">
        <f>'Смета Внутр'!H820</f>
        <v>0</v>
      </c>
      <c r="J813" s="1058">
        <f>'Смета Внутр'!I820</f>
        <v>0</v>
      </c>
    </row>
    <row r="814" spans="2:10" ht="15" customHeight="1">
      <c r="B814" s="1042" t="str">
        <f>'Смета Внутр'!B821</f>
        <v>обработка торцов на брусе</v>
      </c>
      <c r="C814" s="1042" t="str">
        <f>'Смета Внутр'!C821</f>
        <v>м.п.</v>
      </c>
      <c r="D814" s="1058">
        <f>'Смета Внутр'!D821</f>
        <v>14.400000000000002</v>
      </c>
      <c r="E814" s="1042">
        <f>'Смета Внутр'!E821</f>
        <v>250</v>
      </c>
      <c r="F814" s="1042">
        <f>'Смета Внутр'!F821</f>
        <v>0</v>
      </c>
      <c r="G814" s="1042">
        <f t="shared" si="42"/>
        <v>250</v>
      </c>
      <c r="H814" s="1042">
        <f>'Смета Внутр'!G821</f>
        <v>3600.0000000000005</v>
      </c>
      <c r="I814" s="1042">
        <f>'Смета Внутр'!H821</f>
        <v>0</v>
      </c>
      <c r="J814" s="1058">
        <f>'Смета Внутр'!I821</f>
        <v>0</v>
      </c>
    </row>
    <row r="815" spans="2:10" ht="15" customHeight="1">
      <c r="B815" s="1042" t="str">
        <f>'Смета Внутр'!B822</f>
        <v>Обаботка огнебиозащитой</v>
      </c>
      <c r="C815" s="1042" t="str">
        <f>'Смета Внутр'!C822</f>
        <v>м.п.</v>
      </c>
      <c r="D815" s="1058">
        <f>'Смета Внутр'!D822</f>
        <v>28.018848000000009</v>
      </c>
      <c r="E815" s="1042">
        <f>'Смета Внутр'!E822</f>
        <v>300</v>
      </c>
      <c r="F815" s="1042">
        <f>'Смета Внутр'!F822</f>
        <v>0</v>
      </c>
      <c r="G815" s="1042">
        <f t="shared" si="42"/>
        <v>300</v>
      </c>
      <c r="H815" s="1042">
        <f>'Смета Внутр'!G822</f>
        <v>8405.6544000000031</v>
      </c>
      <c r="I815" s="1042">
        <f>'Смета Внутр'!H822</f>
        <v>0</v>
      </c>
      <c r="J815" s="1058">
        <f>'Смета Внутр'!I822</f>
        <v>0</v>
      </c>
    </row>
    <row r="816" spans="2:10" ht="15" customHeight="1">
      <c r="B816" s="1042" t="str">
        <f>'Смета Внутр'!B823</f>
        <v>Пропитка стен внешних</v>
      </c>
      <c r="C816" s="1042" t="str">
        <f>'Смета Внутр'!C823</f>
        <v>м.п.</v>
      </c>
      <c r="D816" s="1058">
        <f>'Смета Внутр'!D823</f>
        <v>117.56160000000003</v>
      </c>
      <c r="E816" s="1042">
        <f>'Смета Внутр'!E823</f>
        <v>100</v>
      </c>
      <c r="F816" s="1042">
        <f>'Смета Внутр'!F823</f>
        <v>0</v>
      </c>
      <c r="G816" s="1042">
        <f t="shared" si="42"/>
        <v>100</v>
      </c>
      <c r="H816" s="1042">
        <f>'Смета Внутр'!G823</f>
        <v>11756.160000000003</v>
      </c>
      <c r="I816" s="1042">
        <f>'Смета Внутр'!H823</f>
        <v>0</v>
      </c>
      <c r="J816" s="1058">
        <f>'Смета Внутр'!I823</f>
        <v>0</v>
      </c>
    </row>
    <row r="817" spans="2:10" ht="15" customHeight="1">
      <c r="B817" s="1042" t="str">
        <f>'Смета Внутр'!B824</f>
        <v>Пропитка внутенних стен</v>
      </c>
      <c r="C817" s="1042" t="str">
        <f>'Смета Внутр'!C824</f>
        <v>м.п.</v>
      </c>
      <c r="D817" s="1058">
        <f>'Смета Внутр'!D824</f>
        <v>117.56160000000003</v>
      </c>
      <c r="E817" s="1042">
        <f>'Смета Внутр'!E824</f>
        <v>100</v>
      </c>
      <c r="F817" s="1042">
        <f>'Смета Внутр'!F824</f>
        <v>0</v>
      </c>
      <c r="G817" s="1042">
        <f t="shared" si="42"/>
        <v>100</v>
      </c>
      <c r="H817" s="1042">
        <f>'Смета Внутр'!G824</f>
        <v>11756.160000000003</v>
      </c>
      <c r="I817" s="1042">
        <f>'Смета Внутр'!H824</f>
        <v>0</v>
      </c>
      <c r="J817" s="1058">
        <f>'Смета Внутр'!I824</f>
        <v>0</v>
      </c>
    </row>
    <row r="818" spans="2:10" ht="15" customHeight="1">
      <c r="B818" s="1042" t="str">
        <f>'Смета Внутр'!B825</f>
        <v>Сверление стен для скрытой проводки</v>
      </c>
      <c r="C818" s="1042" t="str">
        <f>'Смета Внутр'!C825</f>
        <v>м.п.</v>
      </c>
      <c r="D818" s="1058">
        <f>'Смета Внутр'!D825</f>
        <v>180</v>
      </c>
      <c r="E818" s="1042">
        <f>'Смета Внутр'!E825</f>
        <v>300</v>
      </c>
      <c r="F818" s="1042">
        <f>'Смета Внутр'!F825</f>
        <v>0</v>
      </c>
      <c r="G818" s="1042">
        <f t="shared" si="42"/>
        <v>300</v>
      </c>
      <c r="H818" s="1042">
        <f>'Смета Внутр'!G825</f>
        <v>54000</v>
      </c>
      <c r="I818" s="1042">
        <f>'Смета Внутр'!H825</f>
        <v>0</v>
      </c>
      <c r="J818" s="1058">
        <f>'Смета Внутр'!I825</f>
        <v>0</v>
      </c>
    </row>
    <row r="819" spans="2:10" ht="15" customHeight="1">
      <c r="B819" s="1042" t="str">
        <f>'Смета Внутр'!B826</f>
        <v>Монтаж наличника</v>
      </c>
      <c r="C819" s="1042" t="str">
        <f>'Смета Внутр'!C826</f>
        <v>м.п.</v>
      </c>
      <c r="D819" s="1058">
        <f>'Смета Внутр'!D826</f>
        <v>0</v>
      </c>
      <c r="E819" s="1042">
        <f>'Смета Внутр'!E826</f>
        <v>80</v>
      </c>
      <c r="F819" s="1042">
        <f>'Смета Внутр'!F826</f>
        <v>0</v>
      </c>
      <c r="G819" s="1042">
        <f t="shared" si="42"/>
        <v>80</v>
      </c>
      <c r="H819" s="1042">
        <f>'Смета Внутр'!G826</f>
        <v>0</v>
      </c>
      <c r="I819" s="1042">
        <f>'Смета Внутр'!H826</f>
        <v>0</v>
      </c>
      <c r="J819" s="1058">
        <f>'Смета Внутр'!I826</f>
        <v>0</v>
      </c>
    </row>
    <row r="820" spans="2:10" ht="15" customHeight="1">
      <c r="B820" s="1042" t="str">
        <f>'Смета Внутр'!B827</f>
        <v>Шлифовка стен дома</v>
      </c>
      <c r="C820" s="1042" t="str">
        <f>'Смета Внутр'!C827</f>
        <v>м.п.</v>
      </c>
      <c r="D820" s="1058">
        <f>'Смета Внутр'!D827</f>
        <v>121.44000000000004</v>
      </c>
      <c r="E820" s="1042">
        <f>'Смета Внутр'!E827</f>
        <v>250</v>
      </c>
      <c r="F820" s="1042">
        <f>'Смета Внутр'!F827</f>
        <v>0</v>
      </c>
      <c r="G820" s="1042">
        <f t="shared" si="42"/>
        <v>250</v>
      </c>
      <c r="H820" s="1042">
        <f>'Смета Внутр'!G827</f>
        <v>30360.000000000011</v>
      </c>
      <c r="I820" s="1042">
        <f>'Смета Внутр'!H827</f>
        <v>0</v>
      </c>
      <c r="J820" s="1058">
        <f>'Смета Внутр'!I827</f>
        <v>0</v>
      </c>
    </row>
    <row r="821" spans="2:10" ht="15" customHeight="1">
      <c r="B821" s="3330" t="str">
        <f>'Смета Внутр'!B828</f>
        <v>Итого работы</v>
      </c>
      <c r="C821" s="3330"/>
      <c r="D821" s="3330"/>
      <c r="E821" s="3330"/>
      <c r="F821" s="3330"/>
      <c r="G821" s="3330"/>
      <c r="H821" s="1042">
        <f>'Смета Внутр'!G828</f>
        <v>0</v>
      </c>
      <c r="I821" s="1042">
        <f>'Смета Внутр'!H828</f>
        <v>0</v>
      </c>
      <c r="J821" s="1058">
        <f>'Смета Внутр'!I828</f>
        <v>0</v>
      </c>
    </row>
    <row r="822" spans="2:10" ht="15" customHeight="1">
      <c r="B822" s="3313" t="str">
        <f>'Смета Внутр'!B829</f>
        <v>Дом из Профилированного бруса</v>
      </c>
      <c r="C822" s="3313"/>
      <c r="D822" s="3313"/>
      <c r="H822">
        <f>'Смета Внутр'!G829</f>
        <v>0</v>
      </c>
      <c r="I822">
        <f>'Смета Внутр'!H829</f>
        <v>0</v>
      </c>
      <c r="J822" s="3011">
        <f>'Смета Внутр'!I829</f>
        <v>0</v>
      </c>
    </row>
    <row r="823" spans="2:10" ht="15" customHeight="1">
      <c r="B823" s="3002" t="str">
        <f>'Смета Внутр'!B830</f>
        <v>Материалы</v>
      </c>
      <c r="H823">
        <f>'Смета Внутр'!G830</f>
        <v>0</v>
      </c>
      <c r="I823">
        <f>'Смета Внутр'!H830</f>
        <v>0</v>
      </c>
      <c r="J823" s="3011">
        <f>'Смета Внутр'!I830</f>
        <v>0</v>
      </c>
    </row>
    <row r="824" spans="2:10" ht="15" customHeight="1">
      <c r="B824" s="3007" t="str">
        <f>'Смета Внутр'!B831</f>
        <v>Листв. влаж, 200*200мм</v>
      </c>
      <c r="C824" s="3007" t="str">
        <f>'Смета Внутр'!C831</f>
        <v>м3</v>
      </c>
      <c r="D824" s="3014">
        <f>'Смета Внутр'!D831</f>
        <v>2.5520000000000005</v>
      </c>
      <c r="E824" s="1042">
        <f>'Смета Внутр'!E831</f>
        <v>9000</v>
      </c>
      <c r="F824" s="1042">
        <f>'Смета Внутр'!F831</f>
        <v>0</v>
      </c>
      <c r="G824" s="3007">
        <f t="shared" ref="G824:G846" si="43">IF(E824&gt;F824,E824,F824)</f>
        <v>9000</v>
      </c>
      <c r="H824" s="1042">
        <f>'Смета Внутр'!G831</f>
        <v>22968.000000000004</v>
      </c>
      <c r="I824" s="1042">
        <f>'Смета Внутр'!H831</f>
        <v>0</v>
      </c>
      <c r="J824" s="3014">
        <f>'Смета Внутр'!I831</f>
        <v>0</v>
      </c>
    </row>
    <row r="825" spans="2:10" ht="15" customHeight="1">
      <c r="B825" s="3007" t="str">
        <f>'Смета Внутр'!B832</f>
        <v>Сосна влаж, 200*200мм</v>
      </c>
      <c r="C825" s="3007" t="str">
        <f>'Смета Внутр'!C832</f>
        <v>м3</v>
      </c>
      <c r="D825" s="3014">
        <f>'Смета Внутр'!D832</f>
        <v>21.736000000000011</v>
      </c>
      <c r="E825" s="1042">
        <f>'Смета Внутр'!E832</f>
        <v>6500</v>
      </c>
      <c r="F825" s="1042">
        <f>'Смета Внутр'!F832</f>
        <v>0</v>
      </c>
      <c r="G825" s="3007">
        <f t="shared" si="43"/>
        <v>6500</v>
      </c>
      <c r="H825" s="1042">
        <f>'Смета Внутр'!G832</f>
        <v>141284.00000000009</v>
      </c>
      <c r="I825" s="1042">
        <f>'Смета Внутр'!H832</f>
        <v>0</v>
      </c>
      <c r="J825" s="3014">
        <f>'Смета Внутр'!I832</f>
        <v>0</v>
      </c>
    </row>
    <row r="826" spans="2:10" ht="15" customHeight="1">
      <c r="B826" s="3007" t="str">
        <f>'Смета Внутр'!B833</f>
        <v>Сосна влаж, 200*150мм</v>
      </c>
      <c r="C826" s="3007" t="str">
        <f>'Смета Внутр'!C833</f>
        <v>м3</v>
      </c>
      <c r="D826" s="3014">
        <f>'Смета Внутр'!D833</f>
        <v>0</v>
      </c>
      <c r="E826" s="1042">
        <f>'Смета Внутр'!E833</f>
        <v>6500</v>
      </c>
      <c r="F826" s="1042">
        <f>'Смета Внутр'!F833</f>
        <v>0</v>
      </c>
      <c r="G826" s="3007">
        <f t="shared" si="43"/>
        <v>6500</v>
      </c>
      <c r="H826" s="1042">
        <f>'Смета Внутр'!G833</f>
        <v>0</v>
      </c>
      <c r="I826" s="1042">
        <f>'Смета Внутр'!H833</f>
        <v>0</v>
      </c>
      <c r="J826" s="3014">
        <f>'Смета Внутр'!I833</f>
        <v>0</v>
      </c>
    </row>
    <row r="827" spans="2:10" ht="15" customHeight="1">
      <c r="B827" s="3007" t="str">
        <f>'Смета Внутр'!B834</f>
        <v>Сосна влаж, 200*100мм</v>
      </c>
      <c r="C827" s="3007" t="str">
        <f>'Смета Внутр'!C834</f>
        <v>м2</v>
      </c>
      <c r="D827" s="3014">
        <f>'Смета Внутр'!D834</f>
        <v>0</v>
      </c>
      <c r="E827" s="1042">
        <f>'Смета Внутр'!E834</f>
        <v>6500</v>
      </c>
      <c r="F827" s="1042">
        <f>'Смета Внутр'!F834</f>
        <v>0</v>
      </c>
      <c r="G827" s="3007">
        <f t="shared" si="43"/>
        <v>6500</v>
      </c>
      <c r="H827" s="1042">
        <f>'Смета Внутр'!G834</f>
        <v>0</v>
      </c>
      <c r="I827" s="1042">
        <f>'Смета Внутр'!H834</f>
        <v>0</v>
      </c>
      <c r="J827" s="3014">
        <f>'Смета Внутр'!I834</f>
        <v>0</v>
      </c>
    </row>
    <row r="828" spans="2:10" ht="15" customHeight="1">
      <c r="B828" s="3007" t="str">
        <f>'Смета Внутр'!B835</f>
        <v>Шкант</v>
      </c>
      <c r="C828" s="3007" t="str">
        <f>'Смета Внутр'!C835</f>
        <v>шт</v>
      </c>
      <c r="D828" s="3014">
        <f>'Смета Внутр'!D835</f>
        <v>535</v>
      </c>
      <c r="E828" s="1042">
        <f>'Смета Внутр'!E835</f>
        <v>6</v>
      </c>
      <c r="F828" s="1042">
        <f>'Смета Внутр'!F835</f>
        <v>0</v>
      </c>
      <c r="G828" s="3007">
        <f t="shared" si="43"/>
        <v>6</v>
      </c>
      <c r="H828" s="1042">
        <f>'Смета Внутр'!G835</f>
        <v>3210</v>
      </c>
      <c r="I828" s="1042">
        <f>'Смета Внутр'!H835</f>
        <v>0</v>
      </c>
      <c r="J828" s="3014">
        <f>'Смета Внутр'!I835</f>
        <v>0</v>
      </c>
    </row>
    <row r="829" spans="2:10" ht="15" customHeight="1">
      <c r="B829" s="3007" t="str">
        <f>'Смета Внутр'!B836</f>
        <v>Лента уплотнения</v>
      </c>
      <c r="C829" s="3007" t="str">
        <f>'Смета Внутр'!C836</f>
        <v>шт</v>
      </c>
      <c r="D829" s="3014">
        <f>'Смета Внутр'!D836</f>
        <v>0</v>
      </c>
      <c r="E829" s="1042">
        <f>'Смета Внутр'!E836</f>
        <v>130</v>
      </c>
      <c r="F829" s="1042">
        <f>'Смета Внутр'!F836</f>
        <v>0</v>
      </c>
      <c r="G829" s="3007">
        <f t="shared" si="43"/>
        <v>130</v>
      </c>
      <c r="H829" s="1042">
        <f>'Смета Внутр'!G836</f>
        <v>0</v>
      </c>
      <c r="I829" s="1042">
        <f>'Смета Внутр'!H836</f>
        <v>0</v>
      </c>
      <c r="J829" s="3014">
        <f>'Смета Внутр'!I836</f>
        <v>0</v>
      </c>
    </row>
    <row r="830" spans="2:10" ht="15" customHeight="1">
      <c r="B830" s="3007" t="str">
        <f>'Смета Внутр'!B837</f>
        <v xml:space="preserve">Гвозди строительные 3,5 x 90            </v>
      </c>
      <c r="C830" s="3007" t="str">
        <f>'Смета Внутр'!C837</f>
        <v>шт</v>
      </c>
      <c r="D830" s="3014">
        <f>'Смета Внутр'!D837</f>
        <v>4.4000000000000004</v>
      </c>
      <c r="E830" s="1042">
        <f>'Смета Внутр'!E837</f>
        <v>70</v>
      </c>
      <c r="F830" s="1042">
        <f>'Смета Внутр'!F837</f>
        <v>0</v>
      </c>
      <c r="G830" s="3007">
        <f t="shared" si="43"/>
        <v>70</v>
      </c>
      <c r="H830" s="1042">
        <f>'Смета Внутр'!G837</f>
        <v>308</v>
      </c>
      <c r="I830" s="1042">
        <f>'Смета Внутр'!H837</f>
        <v>0</v>
      </c>
      <c r="J830" s="3014">
        <f>'Смета Внутр'!I837</f>
        <v>0</v>
      </c>
    </row>
    <row r="831" spans="2:10" ht="15" customHeight="1">
      <c r="B831" s="3007" t="str">
        <f>'Смета Внутр'!B838</f>
        <v>нет</v>
      </c>
      <c r="C831" s="3007" t="str">
        <f>'Смета Внутр'!C838</f>
        <v>м3</v>
      </c>
      <c r="D831" s="3014">
        <f>'Смета Внутр'!D838</f>
        <v>0</v>
      </c>
      <c r="E831" s="1042">
        <f>'Смета Внутр'!E838</f>
        <v>0</v>
      </c>
      <c r="F831" s="1042">
        <f>'Смета Внутр'!F838</f>
        <v>0</v>
      </c>
      <c r="G831" s="3007">
        <f t="shared" si="43"/>
        <v>0</v>
      </c>
      <c r="H831" s="1042">
        <f>'Смета Внутр'!G838</f>
        <v>0</v>
      </c>
      <c r="I831" s="1042">
        <f>'Смета Внутр'!H838</f>
        <v>0</v>
      </c>
      <c r="J831" s="3014">
        <f>'Смета Внутр'!I838</f>
        <v>0</v>
      </c>
    </row>
    <row r="832" spans="2:10" ht="15" customHeight="1">
      <c r="B832" s="3007" t="str">
        <f>'Смета Внутр'!B839</f>
        <v>Доска сухая, 100*50мм</v>
      </c>
      <c r="C832" s="3007" t="str">
        <f>'Смета Внутр'!C839</f>
        <v>м3</v>
      </c>
      <c r="D832" s="3014">
        <f>'Смета Внутр'!D839</f>
        <v>0</v>
      </c>
      <c r="E832" s="1042">
        <f>'Смета Внутр'!E839</f>
        <v>9000</v>
      </c>
      <c r="F832" s="1042">
        <f>'Смета Внутр'!F839</f>
        <v>0</v>
      </c>
      <c r="G832" s="3007">
        <f t="shared" si="43"/>
        <v>9000</v>
      </c>
      <c r="H832" s="1042">
        <f>'Смета Внутр'!G839</f>
        <v>0</v>
      </c>
      <c r="I832" s="1042">
        <f>'Смета Внутр'!H839</f>
        <v>0</v>
      </c>
      <c r="J832" s="3014">
        <f>'Смета Внутр'!I839</f>
        <v>0</v>
      </c>
    </row>
    <row r="833" spans="2:10" ht="15" customHeight="1">
      <c r="B833" s="1042" t="str">
        <f>'Смета Внутр'!B840</f>
        <v>Доска сухая калиброванная, 100*45мм</v>
      </c>
      <c r="C833" s="1042" t="str">
        <f>'Смета Внутр'!C840</f>
        <v>м3</v>
      </c>
      <c r="D833" s="1058">
        <f>'Смета Внутр'!D840</f>
        <v>0</v>
      </c>
      <c r="E833" s="1042">
        <f>'Смета Внутр'!E840</f>
        <v>12500</v>
      </c>
      <c r="F833" s="1042">
        <f>'Смета Внутр'!F840</f>
        <v>0</v>
      </c>
      <c r="G833" s="1042">
        <f t="shared" si="43"/>
        <v>12500</v>
      </c>
      <c r="H833" s="1042">
        <f>'Смета Внутр'!G840</f>
        <v>0</v>
      </c>
      <c r="I833" s="1042">
        <f>'Смета Внутр'!H840</f>
        <v>0</v>
      </c>
      <c r="J833" s="1058">
        <f>'Смета Внутр'!I840</f>
        <v>0</v>
      </c>
    </row>
    <row r="834" spans="2:10" ht="15" customHeight="1">
      <c r="B834" s="1042" t="str">
        <f>'Смета Внутр'!B841</f>
        <v>Сосна влаж, 50*50мм</v>
      </c>
      <c r="C834" s="1042" t="str">
        <f>'Смета Внутр'!C841</f>
        <v>м.п.</v>
      </c>
      <c r="D834" s="1058">
        <f>'Смета Внутр'!D841</f>
        <v>0</v>
      </c>
      <c r="E834" s="1042">
        <f>'Смета Внутр'!E841</f>
        <v>16.25</v>
      </c>
      <c r="F834" s="1042">
        <f>'Смета Внутр'!F841</f>
        <v>0</v>
      </c>
      <c r="G834" s="1042">
        <f t="shared" si="43"/>
        <v>16.25</v>
      </c>
      <c r="H834" s="1042">
        <f>'Смета Внутр'!G841</f>
        <v>0</v>
      </c>
      <c r="I834" s="1042">
        <f>'Смета Внутр'!H841</f>
        <v>0</v>
      </c>
      <c r="J834" s="1058">
        <f>'Смета Внутр'!I841</f>
        <v>0</v>
      </c>
    </row>
    <row r="835" spans="2:10" ht="15" customHeight="1">
      <c r="B835" s="3007" t="str">
        <f>'Смета Внутр'!B842</f>
        <v>Бензин для пилы</v>
      </c>
      <c r="C835" s="3007" t="str">
        <f>'Смета Внутр'!C842</f>
        <v>л</v>
      </c>
      <c r="D835" s="3014">
        <f>'Смета Внутр'!D842</f>
        <v>4.8576000000000024</v>
      </c>
      <c r="E835" s="1042">
        <f>'Смета Внутр'!E842</f>
        <v>40</v>
      </c>
      <c r="F835" s="1042">
        <f>'Смета Внутр'!F842</f>
        <v>0</v>
      </c>
      <c r="G835" s="3007">
        <f t="shared" si="43"/>
        <v>40</v>
      </c>
      <c r="H835" s="1042">
        <f>'Смета Внутр'!G842</f>
        <v>194.30400000000009</v>
      </c>
      <c r="I835" s="1042">
        <f>'Смета Внутр'!H842</f>
        <v>0</v>
      </c>
      <c r="J835" s="3014">
        <f>'Смета Внутр'!I842</f>
        <v>0</v>
      </c>
    </row>
    <row r="836" spans="2:10" ht="15" customHeight="1">
      <c r="B836" s="3007" t="str">
        <f>'Смета Внутр'!B843</f>
        <v>Масло для пилы</v>
      </c>
      <c r="C836" s="3007" t="str">
        <f>'Смета Внутр'!C843</f>
        <v>л</v>
      </c>
      <c r="D836" s="3014">
        <f>'Смета Внутр'!D843</f>
        <v>0.24288000000000012</v>
      </c>
      <c r="E836" s="1042">
        <f>'Смета Внутр'!E843</f>
        <v>250</v>
      </c>
      <c r="F836" s="1042">
        <f>'Смета Внутр'!F843</f>
        <v>0</v>
      </c>
      <c r="G836" s="3007">
        <f t="shared" si="43"/>
        <v>250</v>
      </c>
      <c r="H836" s="1042">
        <f>'Смета Внутр'!G843</f>
        <v>60.720000000000034</v>
      </c>
      <c r="I836" s="1042">
        <f>'Смета Внутр'!H843</f>
        <v>0</v>
      </c>
      <c r="J836" s="3014">
        <f>'Смета Внутр'!I843</f>
        <v>0</v>
      </c>
    </row>
    <row r="837" spans="2:10" ht="15" customHeight="1">
      <c r="B837" s="3007" t="str">
        <f>'Смета Внутр'!B844</f>
        <v>Цепь для пилы</v>
      </c>
      <c r="C837" s="3007" t="str">
        <f>'Смета Внутр'!C844</f>
        <v>шт</v>
      </c>
      <c r="D837" s="3014">
        <f>'Смета Внутр'!D844</f>
        <v>3</v>
      </c>
      <c r="E837" s="1042">
        <f>'Смета Внутр'!E844</f>
        <v>800</v>
      </c>
      <c r="F837" s="1042">
        <f>'Смета Внутр'!F844</f>
        <v>0</v>
      </c>
      <c r="G837" s="3007">
        <f t="shared" si="43"/>
        <v>800</v>
      </c>
      <c r="H837" s="1042">
        <f>'Смета Внутр'!G844</f>
        <v>2400</v>
      </c>
      <c r="I837" s="1042">
        <f>'Смета Внутр'!H844</f>
        <v>0</v>
      </c>
      <c r="J837" s="3014">
        <f>'Смета Внутр'!I844</f>
        <v>0</v>
      </c>
    </row>
    <row r="838" spans="2:10" ht="15" customHeight="1">
      <c r="B838" s="1042" t="str">
        <f>'Смета Внутр'!B845</f>
        <v>"Профилюкс" Антисептик АНТИПЛЕСЕНЬ</v>
      </c>
      <c r="C838" s="1042" t="str">
        <f>'Смета Внутр'!C845</f>
        <v>л</v>
      </c>
      <c r="D838" s="1058">
        <f>'Смета Внутр'!D845</f>
        <v>0</v>
      </c>
      <c r="E838" s="1042">
        <f>'Смета Внутр'!E845</f>
        <v>108</v>
      </c>
      <c r="F838" s="1042">
        <f>'Смета Внутр'!F845</f>
        <v>0</v>
      </c>
      <c r="G838" s="1042">
        <f t="shared" si="43"/>
        <v>108</v>
      </c>
      <c r="H838" s="1042">
        <f>'Смета Внутр'!G845</f>
        <v>0</v>
      </c>
      <c r="I838" s="1042">
        <f>'Смета Внутр'!H845</f>
        <v>0</v>
      </c>
      <c r="J838" s="1058">
        <f>'Смета Внутр'!I845</f>
        <v>0</v>
      </c>
    </row>
    <row r="839" spans="2:10" ht="15" customHeight="1">
      <c r="B839" s="1042" t="str">
        <f>'Смета Внутр'!B846</f>
        <v>"Тонерол" Антисептик  бесцветный  1л</v>
      </c>
      <c r="C839" s="1042" t="str">
        <f>'Смета Внутр'!C846</f>
        <v>л</v>
      </c>
      <c r="D839" s="1058">
        <f>'Смета Внутр'!D846</f>
        <v>0</v>
      </c>
      <c r="E839" s="1042">
        <f>'Смета Внутр'!E846</f>
        <v>305</v>
      </c>
      <c r="F839" s="1042">
        <f>'Смета Внутр'!F846</f>
        <v>0</v>
      </c>
      <c r="G839" s="1042">
        <f t="shared" si="43"/>
        <v>305</v>
      </c>
      <c r="H839" s="1042">
        <f>'Смета Внутр'!G846</f>
        <v>0</v>
      </c>
      <c r="I839" s="1042">
        <f>'Смета Внутр'!H846</f>
        <v>0</v>
      </c>
      <c r="J839" s="1058">
        <f>'Смета Внутр'!I846</f>
        <v>0</v>
      </c>
    </row>
    <row r="840" spans="2:10" ht="15" customHeight="1">
      <c r="B840" s="1042" t="str">
        <f>'Смета Внутр'!B847</f>
        <v>"Тонерол" Антисептик  махагон  1л</v>
      </c>
      <c r="C840" s="1042" t="str">
        <f>'Смета Внутр'!C847</f>
        <v>л</v>
      </c>
      <c r="D840" s="1058">
        <f>'Смета Внутр'!D847</f>
        <v>0</v>
      </c>
      <c r="E840" s="1042">
        <f>'Смета Внутр'!E847</f>
        <v>305</v>
      </c>
      <c r="F840" s="1042">
        <f>'Смета Внутр'!F847</f>
        <v>0</v>
      </c>
      <c r="G840" s="1042">
        <f t="shared" si="43"/>
        <v>305</v>
      </c>
      <c r="H840" s="1042">
        <f>'Смета Внутр'!G847</f>
        <v>0</v>
      </c>
      <c r="I840" s="1042">
        <f>'Смета Внутр'!H847</f>
        <v>0</v>
      </c>
      <c r="J840" s="1058">
        <f>'Смета Внутр'!I847</f>
        <v>0</v>
      </c>
    </row>
    <row r="841" spans="2:10" ht="15" customHeight="1">
      <c r="B841" s="1042" t="str">
        <f>'Смета Внутр'!B848</f>
        <v>Нет наличника</v>
      </c>
      <c r="C841" s="1042" t="str">
        <f>'Смета Внутр'!C848</f>
        <v>м.п.</v>
      </c>
      <c r="D841" s="1058">
        <f>'Смета Внутр'!D848</f>
        <v>3.5700000000000007</v>
      </c>
      <c r="E841" s="1042">
        <f>'Смета Внутр'!E848</f>
        <v>0</v>
      </c>
      <c r="F841" s="1042">
        <f>'Смета Внутр'!F848</f>
        <v>0</v>
      </c>
      <c r="G841" s="1042">
        <f t="shared" si="43"/>
        <v>0</v>
      </c>
      <c r="H841" s="1042">
        <f>'Смета Внутр'!G848</f>
        <v>0</v>
      </c>
      <c r="I841" s="1042">
        <f>'Смета Внутр'!H848</f>
        <v>0</v>
      </c>
      <c r="J841" s="1058">
        <f>'Смета Внутр'!I848</f>
        <v>0</v>
      </c>
    </row>
    <row r="842" spans="2:10" ht="15" customHeight="1">
      <c r="B842" s="1042" t="str">
        <f>'Смета Внутр'!B849</f>
        <v>Нет наличника</v>
      </c>
      <c r="C842" s="1042" t="str">
        <f>'Смета Внутр'!C849</f>
        <v>м.п.</v>
      </c>
      <c r="D842" s="1058">
        <f>'Смета Внутр'!D849</f>
        <v>3.5700000000000007</v>
      </c>
      <c r="E842" s="1042">
        <f>'Смета Внутр'!E849</f>
        <v>0</v>
      </c>
      <c r="F842" s="1042">
        <f>'Смета Внутр'!F849</f>
        <v>0</v>
      </c>
      <c r="G842" s="1042">
        <f t="shared" si="43"/>
        <v>0</v>
      </c>
      <c r="H842" s="1042">
        <f>'Смета Внутр'!G849</f>
        <v>0</v>
      </c>
      <c r="I842" s="1042">
        <f>'Смета Внутр'!H849</f>
        <v>0</v>
      </c>
      <c r="J842" s="1058">
        <f>'Смета Внутр'!I849</f>
        <v>0</v>
      </c>
    </row>
    <row r="843" spans="2:10" ht="15" customHeight="1">
      <c r="B843" s="1042" t="str">
        <f>'Смета Внутр'!B850</f>
        <v>Бумага наждачная № 63 F(30)</v>
      </c>
      <c r="C843" s="1042" t="str">
        <f>'Смета Внутр'!C850</f>
        <v>м</v>
      </c>
      <c r="D843" s="1058">
        <f>'Смета Внутр'!D850</f>
        <v>5</v>
      </c>
      <c r="E843" s="1042">
        <f>'Смета Внутр'!E850</f>
        <v>291</v>
      </c>
      <c r="F843" s="1042">
        <f>'Смета Внутр'!F850</f>
        <v>0</v>
      </c>
      <c r="G843" s="1042">
        <f t="shared" si="43"/>
        <v>291</v>
      </c>
      <c r="H843" s="1042">
        <f>'Смета Внутр'!G850</f>
        <v>1455</v>
      </c>
      <c r="I843" s="1042">
        <f>'Смета Внутр'!H850</f>
        <v>0</v>
      </c>
      <c r="J843" s="1058">
        <f>'Смета Внутр'!I850</f>
        <v>0</v>
      </c>
    </row>
    <row r="844" spans="2:10" ht="15" customHeight="1">
      <c r="B844" s="1042" t="str">
        <f>'Смета Внутр'!B851</f>
        <v>Нет наждачной бумаги</v>
      </c>
      <c r="C844" s="1042" t="str">
        <f>'Смета Внутр'!C851</f>
        <v>м</v>
      </c>
      <c r="D844" s="1058">
        <f>'Смета Внутр'!D851</f>
        <v>0</v>
      </c>
      <c r="E844" s="1042">
        <f>'Смета Внутр'!E851</f>
        <v>0</v>
      </c>
      <c r="F844" s="1042">
        <f>'Смета Внутр'!F851</f>
        <v>0</v>
      </c>
      <c r="G844" s="1042">
        <f t="shared" si="43"/>
        <v>0</v>
      </c>
      <c r="H844" s="1042">
        <f>'Смета Внутр'!G851</f>
        <v>0</v>
      </c>
      <c r="I844" s="1042">
        <f>'Смета Внутр'!H851</f>
        <v>0</v>
      </c>
      <c r="J844" s="1058">
        <f>'Смета Внутр'!I851</f>
        <v>0</v>
      </c>
    </row>
    <row r="845" spans="2:10" ht="15" customHeight="1">
      <c r="B845" s="1042" t="str">
        <f>'Смета Внутр'!B852</f>
        <v>Бумага наждачная № 63 F(30)</v>
      </c>
      <c r="C845" s="1042" t="str">
        <f>'Смета Внутр'!C852</f>
        <v>м</v>
      </c>
      <c r="D845" s="1058">
        <f>'Смета Внутр'!D852</f>
        <v>0</v>
      </c>
      <c r="E845" s="1042">
        <f>'Смета Внутр'!E852</f>
        <v>291</v>
      </c>
      <c r="F845" s="1042">
        <f>'Смета Внутр'!F852</f>
        <v>0</v>
      </c>
      <c r="G845" s="1042">
        <f t="shared" si="43"/>
        <v>291</v>
      </c>
      <c r="H845" s="1042">
        <f>'Смета Внутр'!G852</f>
        <v>0</v>
      </c>
      <c r="I845" s="1042">
        <f>'Смета Внутр'!H852</f>
        <v>0</v>
      </c>
      <c r="J845" s="1058">
        <f>'Смета Внутр'!I852</f>
        <v>0</v>
      </c>
    </row>
    <row r="846" spans="2:10" ht="15" customHeight="1">
      <c r="B846" s="1042" t="str">
        <f>'Смета Внутр'!B853</f>
        <v>Бумага наждачная № 40</v>
      </c>
      <c r="C846" s="1042" t="str">
        <f>'Смета Внутр'!C853</f>
        <v>м</v>
      </c>
      <c r="D846" s="1058">
        <f>'Смета Внутр'!D853</f>
        <v>0</v>
      </c>
      <c r="E846" s="1042">
        <f>'Смета Внутр'!E853</f>
        <v>240</v>
      </c>
      <c r="F846" s="1042">
        <f>'Смета Внутр'!F853</f>
        <v>0</v>
      </c>
      <c r="G846" s="1042">
        <f t="shared" si="43"/>
        <v>240</v>
      </c>
      <c r="H846" s="1042">
        <f>'Смета Внутр'!G853</f>
        <v>0</v>
      </c>
      <c r="I846" s="1042">
        <f>'Смета Внутр'!H853</f>
        <v>0</v>
      </c>
      <c r="J846" s="1058">
        <f>'Смета Внутр'!I853</f>
        <v>0</v>
      </c>
    </row>
    <row r="847" spans="2:10">
      <c r="B847" s="3311" t="str">
        <f>'Смета Внутр'!B854</f>
        <v>Итого материалы</v>
      </c>
      <c r="C847" s="3311"/>
      <c r="D847" s="3311"/>
      <c r="E847" s="3311"/>
      <c r="F847" s="3311"/>
      <c r="G847" s="3311"/>
      <c r="H847" s="1042">
        <f>'Смета Внутр'!G854</f>
        <v>0</v>
      </c>
      <c r="I847" s="1042">
        <f>'Смета Внутр'!H854</f>
        <v>0</v>
      </c>
      <c r="J847" s="3014">
        <f>'Смета Внутр'!I854</f>
        <v>0</v>
      </c>
    </row>
    <row r="848" spans="2:10" ht="15" customHeight="1">
      <c r="B848" s="3002" t="str">
        <f>'Смета Внутр'!B855</f>
        <v>Работы</v>
      </c>
      <c r="H848">
        <f>'Смета Внутр'!G855</f>
        <v>0</v>
      </c>
      <c r="I848">
        <f>'Смета Внутр'!H855</f>
        <v>0</v>
      </c>
      <c r="J848" s="3011">
        <f>'Смета Внутр'!I855</f>
        <v>0</v>
      </c>
    </row>
    <row r="849" spans="2:10" ht="15" customHeight="1">
      <c r="B849" s="3007" t="str">
        <f>'Смета Внутр'!B856</f>
        <v>кладка Профилированного бруса</v>
      </c>
      <c r="C849" s="3007" t="str">
        <f>'Смета Внутр'!C856</f>
        <v>м3</v>
      </c>
      <c r="D849" s="3014">
        <f>'Смета Внутр'!D856</f>
        <v>24.288000000000011</v>
      </c>
      <c r="E849" s="1042">
        <f>'Смета Внутр'!E856</f>
        <v>6000</v>
      </c>
      <c r="F849" s="1042">
        <f>'Смета Внутр'!F856</f>
        <v>0</v>
      </c>
      <c r="G849" s="3007">
        <f t="shared" ref="G849:G857" si="44">IF(E849&gt;F849,E849,F849)</f>
        <v>6000</v>
      </c>
      <c r="H849" s="1042">
        <f>'Смета Внутр'!G856</f>
        <v>145728.00000000006</v>
      </c>
      <c r="I849" s="1042">
        <f>'Смета Внутр'!H856</f>
        <v>0</v>
      </c>
      <c r="J849" s="3014">
        <f>'Смета Внутр'!I856</f>
        <v>0</v>
      </c>
    </row>
    <row r="850" spans="2:10" ht="15" customHeight="1">
      <c r="B850" s="3007" t="str">
        <f>'Смета Внутр'!B857</f>
        <v>окосячка проемов, м.п.</v>
      </c>
      <c r="C850" s="3007" t="str">
        <f>'Смета Внутр'!C857</f>
        <v>м.п.</v>
      </c>
      <c r="D850" s="3014">
        <f>'Смета Внутр'!D857</f>
        <v>0</v>
      </c>
      <c r="E850" s="1042">
        <f>'Смета Внутр'!E857</f>
        <v>150</v>
      </c>
      <c r="F850" s="1042">
        <f>'Смета Внутр'!F857</f>
        <v>0</v>
      </c>
      <c r="G850" s="3007">
        <f t="shared" si="44"/>
        <v>150</v>
      </c>
      <c r="H850" s="1042">
        <f>'Смета Внутр'!G857</f>
        <v>0</v>
      </c>
      <c r="I850" s="1042">
        <f>'Смета Внутр'!H857</f>
        <v>0</v>
      </c>
      <c r="J850" s="3014">
        <f>'Смета Внутр'!I857</f>
        <v>0</v>
      </c>
    </row>
    <row r="851" spans="2:10" ht="15" customHeight="1">
      <c r="B851" s="3007" t="str">
        <f>'Смета Внутр'!B858</f>
        <v>обработка торцов на брусе</v>
      </c>
      <c r="C851" s="3007" t="str">
        <f>'Смета Внутр'!C858</f>
        <v>м.п.</v>
      </c>
      <c r="D851" s="3014">
        <f>'Смета Внутр'!D858</f>
        <v>14.400000000000002</v>
      </c>
      <c r="E851" s="1042">
        <f>'Смета Внутр'!E858</f>
        <v>250</v>
      </c>
      <c r="F851" s="1042">
        <f>'Смета Внутр'!F858</f>
        <v>0</v>
      </c>
      <c r="G851" s="3007">
        <f t="shared" si="44"/>
        <v>250</v>
      </c>
      <c r="H851" s="1042">
        <f>'Смета Внутр'!G858</f>
        <v>3600.0000000000005</v>
      </c>
      <c r="I851" s="1042">
        <f>'Смета Внутр'!H858</f>
        <v>0</v>
      </c>
      <c r="J851" s="3014">
        <f>'Смета Внутр'!I858</f>
        <v>0</v>
      </c>
    </row>
    <row r="852" spans="2:10" ht="15" customHeight="1">
      <c r="B852" s="1042" t="str">
        <f>'Смета Внутр'!B859</f>
        <v>Обаботка огнебиозащитой</v>
      </c>
      <c r="C852" s="1042" t="str">
        <f>'Смета Внутр'!C859</f>
        <v>м.п.</v>
      </c>
      <c r="D852" s="1058">
        <f>'Смета Внутр'!D859</f>
        <v>24.288000000000011</v>
      </c>
      <c r="E852" s="1042">
        <f>'Смета Внутр'!E859</f>
        <v>300</v>
      </c>
      <c r="F852" s="1042">
        <f>'Смета Внутр'!F859</f>
        <v>0</v>
      </c>
      <c r="G852" s="1042">
        <f t="shared" si="44"/>
        <v>300</v>
      </c>
      <c r="H852" s="1042">
        <f>'Смета Внутр'!G859</f>
        <v>7286.4000000000033</v>
      </c>
      <c r="I852" s="1042">
        <f>'Смета Внутр'!H859</f>
        <v>0</v>
      </c>
      <c r="J852" s="1058">
        <f>'Смета Внутр'!I859</f>
        <v>0</v>
      </c>
    </row>
    <row r="853" spans="2:10" ht="15" customHeight="1">
      <c r="B853" s="1042" t="str">
        <f>'Смета Внутр'!B860</f>
        <v>Пропитка стен внешних</v>
      </c>
      <c r="C853" s="1042" t="str">
        <f>'Смета Внутр'!C860</f>
        <v>м.п.</v>
      </c>
      <c r="D853" s="1058">
        <f>'Смета Внутр'!D860</f>
        <v>0</v>
      </c>
      <c r="E853" s="1042">
        <f>'Смета Внутр'!E860</f>
        <v>100</v>
      </c>
      <c r="F853" s="1042">
        <f>'Смета Внутр'!F860</f>
        <v>0</v>
      </c>
      <c r="G853" s="1042">
        <f t="shared" si="44"/>
        <v>100</v>
      </c>
      <c r="H853" s="1042">
        <f>'Смета Внутр'!G860</f>
        <v>0</v>
      </c>
      <c r="I853" s="1042">
        <f>'Смета Внутр'!H860</f>
        <v>0</v>
      </c>
      <c r="J853" s="1058">
        <f>'Смета Внутр'!I860</f>
        <v>0</v>
      </c>
    </row>
    <row r="854" spans="2:10" ht="15" customHeight="1">
      <c r="B854" s="1042" t="str">
        <f>'Смета Внутр'!B861</f>
        <v>Пропитка внутенних стен</v>
      </c>
      <c r="C854" s="1042" t="str">
        <f>'Смета Внутр'!C861</f>
        <v>м.п.</v>
      </c>
      <c r="D854" s="1058">
        <f>'Смета Внутр'!D861</f>
        <v>0</v>
      </c>
      <c r="E854" s="1042">
        <f>'Смета Внутр'!E861</f>
        <v>100</v>
      </c>
      <c r="F854" s="1042">
        <f>'Смета Внутр'!F861</f>
        <v>0</v>
      </c>
      <c r="G854" s="1042">
        <f t="shared" si="44"/>
        <v>100</v>
      </c>
      <c r="H854" s="1042">
        <f>'Смета Внутр'!G861</f>
        <v>0</v>
      </c>
      <c r="I854" s="1042">
        <f>'Смета Внутр'!H861</f>
        <v>0</v>
      </c>
      <c r="J854" s="1058">
        <f>'Смета Внутр'!I861</f>
        <v>0</v>
      </c>
    </row>
    <row r="855" spans="2:10" ht="15" customHeight="1">
      <c r="B855" s="1042" t="str">
        <f>'Смета Внутр'!B862</f>
        <v>Сверление стен для скрытой проводки</v>
      </c>
      <c r="C855" s="1042" t="str">
        <f>'Смета Внутр'!C862</f>
        <v>м.п.</v>
      </c>
      <c r="D855" s="1058">
        <f>'Смета Внутр'!D862</f>
        <v>180</v>
      </c>
      <c r="E855" s="1042">
        <f>'Смета Внутр'!E862</f>
        <v>300</v>
      </c>
      <c r="F855" s="1042">
        <f>'Смета Внутр'!F862</f>
        <v>0</v>
      </c>
      <c r="G855" s="1042">
        <f t="shared" si="44"/>
        <v>300</v>
      </c>
      <c r="H855" s="1042">
        <f>'Смета Внутр'!G862</f>
        <v>54000</v>
      </c>
      <c r="I855" s="1042">
        <f>'Смета Внутр'!H862</f>
        <v>0</v>
      </c>
      <c r="J855" s="1058">
        <f>'Смета Внутр'!I862</f>
        <v>0</v>
      </c>
    </row>
    <row r="856" spans="2:10" ht="15" customHeight="1">
      <c r="B856" s="1042" t="str">
        <f>'Смета Внутр'!B863</f>
        <v>Монтаж наличника</v>
      </c>
      <c r="C856" s="1042" t="str">
        <f>'Смета Внутр'!C863</f>
        <v>м.п.</v>
      </c>
      <c r="D856" s="1058">
        <f>'Смета Внутр'!D863</f>
        <v>0</v>
      </c>
      <c r="E856" s="1042">
        <f>'Смета Внутр'!E863</f>
        <v>80</v>
      </c>
      <c r="F856" s="1042">
        <f>'Смета Внутр'!F863</f>
        <v>0</v>
      </c>
      <c r="G856" s="1042">
        <f t="shared" si="44"/>
        <v>80</v>
      </c>
      <c r="H856" s="1042">
        <f>'Смета Внутр'!G863</f>
        <v>0</v>
      </c>
      <c r="I856" s="1042">
        <f>'Смета Внутр'!H863</f>
        <v>0</v>
      </c>
      <c r="J856" s="1058">
        <f>'Смета Внутр'!I863</f>
        <v>0</v>
      </c>
    </row>
    <row r="857" spans="2:10" ht="15" customHeight="1">
      <c r="B857" s="1042" t="str">
        <f>'Смета Внутр'!B864</f>
        <v>Шлифовка стен дома</v>
      </c>
      <c r="C857" s="1042" t="str">
        <f>'Смета Внутр'!C864</f>
        <v>м.п.</v>
      </c>
      <c r="D857" s="1058">
        <f>'Смета Внутр'!D864</f>
        <v>0</v>
      </c>
      <c r="E857" s="1042">
        <f>'Смета Внутр'!E864</f>
        <v>250</v>
      </c>
      <c r="F857" s="1042">
        <f>'Смета Внутр'!F864</f>
        <v>0</v>
      </c>
      <c r="G857" s="1042">
        <f t="shared" si="44"/>
        <v>250</v>
      </c>
      <c r="H857" s="1042">
        <f>'Смета Внутр'!G864</f>
        <v>0</v>
      </c>
      <c r="I857" s="1042">
        <f>'Смета Внутр'!H864</f>
        <v>0</v>
      </c>
      <c r="J857" s="1058">
        <f>'Смета Внутр'!I864</f>
        <v>0</v>
      </c>
    </row>
    <row r="858" spans="2:10" ht="15" customHeight="1">
      <c r="B858" s="3311" t="str">
        <f>'Смета Внутр'!B865</f>
        <v>Итого работы</v>
      </c>
      <c r="C858" s="3311"/>
      <c r="D858" s="3311"/>
      <c r="E858" s="3311"/>
      <c r="F858" s="3311"/>
      <c r="G858" s="3311"/>
      <c r="H858" s="1042">
        <f>'Смета Внутр'!G865</f>
        <v>0</v>
      </c>
      <c r="I858" s="1042">
        <f>'Смета Внутр'!H865</f>
        <v>0</v>
      </c>
      <c r="J858" s="3014">
        <f>'Смета Внутр'!I865</f>
        <v>0</v>
      </c>
    </row>
    <row r="859" spans="2:10" ht="15" customHeight="1">
      <c r="B859" s="3329" t="str">
        <f>'Смета Внутр'!B866</f>
        <v>Дом из Клееного бруса</v>
      </c>
      <c r="C859" s="3329"/>
      <c r="D859" s="3329"/>
      <c r="H859">
        <f>'Смета Внутр'!G866</f>
        <v>0</v>
      </c>
      <c r="I859">
        <f>'Смета Внутр'!H866</f>
        <v>0</v>
      </c>
      <c r="J859" s="3027">
        <f>'Смета Внутр'!I866</f>
        <v>0</v>
      </c>
    </row>
    <row r="860" spans="2:10" ht="15" customHeight="1">
      <c r="B860" s="3002" t="str">
        <f>'Смета Внутр'!B867</f>
        <v>Материалы</v>
      </c>
      <c r="D860" s="1167"/>
      <c r="H860">
        <f>'Смета Внутр'!G867</f>
        <v>0</v>
      </c>
      <c r="I860">
        <f>'Смета Внутр'!H867</f>
        <v>0</v>
      </c>
      <c r="J860" s="3027">
        <f>'Смета Внутр'!I867</f>
        <v>0</v>
      </c>
    </row>
    <row r="861" spans="2:10" ht="15" customHeight="1">
      <c r="B861" s="1042" t="str">
        <f>'Смета Внутр'!B868</f>
        <v>Листв. влаж, 200*200мм</v>
      </c>
      <c r="C861" s="1042" t="str">
        <f>'Смета Внутр'!C868</f>
        <v>м3</v>
      </c>
      <c r="D861" s="1058">
        <f>'Смета Внутр'!D868</f>
        <v>2.5520000000000005</v>
      </c>
      <c r="E861" s="1042">
        <f>'Смета Внутр'!E868</f>
        <v>9000</v>
      </c>
      <c r="F861" s="1042">
        <f>'Смета Внутр'!F868</f>
        <v>0</v>
      </c>
      <c r="G861" s="1042">
        <f t="shared" ref="G861:G883" si="45">IF(E861&gt;F861,E861,F861)</f>
        <v>9000</v>
      </c>
      <c r="H861" s="1042">
        <f>'Смета Внутр'!G868</f>
        <v>22968.000000000004</v>
      </c>
      <c r="I861" s="1042">
        <f>'Смета Внутр'!H868</f>
        <v>0</v>
      </c>
      <c r="J861" s="1058">
        <f>'Смета Внутр'!I868</f>
        <v>0</v>
      </c>
    </row>
    <row r="862" spans="2:10" ht="15" customHeight="1">
      <c r="B862" s="1042" t="str">
        <f>'Смета Внутр'!B869</f>
        <v>Сосна влаж, 200*200мм</v>
      </c>
      <c r="C862" s="1042" t="str">
        <f>'Смета Внутр'!C869</f>
        <v>м3</v>
      </c>
      <c r="D862" s="1058">
        <f>'Смета Внутр'!D869</f>
        <v>21.736000000000011</v>
      </c>
      <c r="E862" s="1042">
        <f>'Смета Внутр'!E869</f>
        <v>6500</v>
      </c>
      <c r="F862" s="1042">
        <f>'Смета Внутр'!F869</f>
        <v>0</v>
      </c>
      <c r="G862" s="1042">
        <f t="shared" si="45"/>
        <v>6500</v>
      </c>
      <c r="H862" s="1042">
        <f>'Смета Внутр'!G869</f>
        <v>141284.00000000009</v>
      </c>
      <c r="I862" s="1042">
        <f>'Смета Внутр'!H869</f>
        <v>0</v>
      </c>
      <c r="J862" s="1058">
        <f>'Смета Внутр'!I869</f>
        <v>0</v>
      </c>
    </row>
    <row r="863" spans="2:10" ht="15" customHeight="1">
      <c r="B863" s="1042" t="str">
        <f>'Смета Внутр'!B870</f>
        <v>Сосна влаж, 200*150мм</v>
      </c>
      <c r="C863" s="1042" t="str">
        <f>'Смета Внутр'!C870</f>
        <v>м3</v>
      </c>
      <c r="D863" s="1058">
        <f>'Смета Внутр'!D870</f>
        <v>0</v>
      </c>
      <c r="E863" s="1042">
        <f>'Смета Внутр'!E870</f>
        <v>6500</v>
      </c>
      <c r="F863" s="1042">
        <f>'Смета Внутр'!F870</f>
        <v>0</v>
      </c>
      <c r="G863" s="1042">
        <f t="shared" si="45"/>
        <v>6500</v>
      </c>
      <c r="H863" s="1042">
        <f>'Смета Внутр'!G870</f>
        <v>0</v>
      </c>
      <c r="I863" s="1042">
        <f>'Смета Внутр'!H870</f>
        <v>0</v>
      </c>
      <c r="J863" s="1058">
        <f>'Смета Внутр'!I870</f>
        <v>0</v>
      </c>
    </row>
    <row r="864" spans="2:10" ht="15" customHeight="1">
      <c r="B864" s="1042" t="str">
        <f>'Смета Внутр'!B871</f>
        <v>Сосна влаж, 200*100мм</v>
      </c>
      <c r="C864" s="1042" t="str">
        <f>'Смета Внутр'!C871</f>
        <v>м2</v>
      </c>
      <c r="D864" s="1058">
        <f>'Смета Внутр'!D871</f>
        <v>0</v>
      </c>
      <c r="E864" s="1042">
        <f>'Смета Внутр'!E871</f>
        <v>6500</v>
      </c>
      <c r="F864" s="1042">
        <f>'Смета Внутр'!F871</f>
        <v>0</v>
      </c>
      <c r="G864" s="1042">
        <f t="shared" si="45"/>
        <v>6500</v>
      </c>
      <c r="H864" s="1042">
        <f>'Смета Внутр'!G871</f>
        <v>0</v>
      </c>
      <c r="I864" s="1042">
        <f>'Смета Внутр'!H871</f>
        <v>0</v>
      </c>
      <c r="J864" s="1058">
        <f>'Смета Внутр'!I871</f>
        <v>0</v>
      </c>
    </row>
    <row r="865" spans="2:10" ht="15" customHeight="1">
      <c r="B865" s="1042" t="str">
        <f>'Смета Внутр'!B872</f>
        <v>Шкант</v>
      </c>
      <c r="C865" s="1042" t="str">
        <f>'Смета Внутр'!C872</f>
        <v>шт</v>
      </c>
      <c r="D865" s="1058">
        <f>'Смета Внутр'!D872</f>
        <v>535</v>
      </c>
      <c r="E865" s="1042">
        <f>'Смета Внутр'!E872</f>
        <v>6</v>
      </c>
      <c r="F865" s="1042">
        <f>'Смета Внутр'!F872</f>
        <v>0</v>
      </c>
      <c r="G865" s="1042">
        <f t="shared" si="45"/>
        <v>6</v>
      </c>
      <c r="H865" s="1042">
        <f>'Смета Внутр'!G872</f>
        <v>3210</v>
      </c>
      <c r="I865" s="1042">
        <f>'Смета Внутр'!H872</f>
        <v>0</v>
      </c>
      <c r="J865" s="1058">
        <f>'Смета Внутр'!I872</f>
        <v>0</v>
      </c>
    </row>
    <row r="866" spans="2:10" ht="15" customHeight="1">
      <c r="B866" s="1042" t="str">
        <f>'Смета Внутр'!B873</f>
        <v>Лента уплотнения</v>
      </c>
      <c r="C866" s="1042" t="str">
        <f>'Смета Внутр'!C873</f>
        <v>шт</v>
      </c>
      <c r="D866" s="1058">
        <f>'Смета Внутр'!D873</f>
        <v>0</v>
      </c>
      <c r="E866" s="1042">
        <f>'Смета Внутр'!E873</f>
        <v>130</v>
      </c>
      <c r="F866" s="1042">
        <f>'Смета Внутр'!F873</f>
        <v>0</v>
      </c>
      <c r="G866" s="1042">
        <f t="shared" si="45"/>
        <v>130</v>
      </c>
      <c r="H866" s="1042">
        <f>'Смета Внутр'!G873</f>
        <v>0</v>
      </c>
      <c r="I866" s="1042">
        <f>'Смета Внутр'!H873</f>
        <v>0</v>
      </c>
      <c r="J866" s="1058">
        <f>'Смета Внутр'!I873</f>
        <v>0</v>
      </c>
    </row>
    <row r="867" spans="2:10" ht="15" customHeight="1">
      <c r="B867" s="1042" t="str">
        <f>'Смета Внутр'!B874</f>
        <v xml:space="preserve">Гвозди строительные 3,5 x 90            </v>
      </c>
      <c r="C867" s="1042" t="str">
        <f>'Смета Внутр'!C874</f>
        <v>шт</v>
      </c>
      <c r="D867" s="1058">
        <f>'Смета Внутр'!D874</f>
        <v>4.4000000000000004</v>
      </c>
      <c r="E867" s="1042">
        <f>'Смета Внутр'!E874</f>
        <v>70</v>
      </c>
      <c r="F867" s="1042">
        <f>'Смета Внутр'!F874</f>
        <v>0</v>
      </c>
      <c r="G867" s="1042">
        <f t="shared" si="45"/>
        <v>70</v>
      </c>
      <c r="H867" s="1042">
        <f>'Смета Внутр'!G874</f>
        <v>308</v>
      </c>
      <c r="I867" s="1042">
        <f>'Смета Внутр'!H874</f>
        <v>0</v>
      </c>
      <c r="J867" s="1058">
        <f>'Смета Внутр'!I874</f>
        <v>0</v>
      </c>
    </row>
    <row r="868" spans="2:10" ht="15" customHeight="1">
      <c r="B868" s="1042" t="str">
        <f>'Смета Внутр'!B875</f>
        <v>нет</v>
      </c>
      <c r="C868" s="1042" t="str">
        <f>'Смета Внутр'!C875</f>
        <v>м3</v>
      </c>
      <c r="D868" s="1058">
        <f>'Смета Внутр'!D875</f>
        <v>0</v>
      </c>
      <c r="E868" s="1042">
        <f>'Смета Внутр'!E875</f>
        <v>0</v>
      </c>
      <c r="F868" s="1042">
        <f>'Смета Внутр'!F875</f>
        <v>0</v>
      </c>
      <c r="G868" s="1042">
        <f t="shared" si="45"/>
        <v>0</v>
      </c>
      <c r="H868" s="1042">
        <f>'Смета Внутр'!G875</f>
        <v>0</v>
      </c>
      <c r="I868" s="1042">
        <f>'Смета Внутр'!H875</f>
        <v>0</v>
      </c>
      <c r="J868" s="1058">
        <f>'Смета Внутр'!I875</f>
        <v>0</v>
      </c>
    </row>
    <row r="869" spans="2:10" ht="15" customHeight="1">
      <c r="B869" s="1042" t="str">
        <f>'Смета Внутр'!B876</f>
        <v>Доска сухая, 100*50мм</v>
      </c>
      <c r="C869" s="1042" t="str">
        <f>'Смета Внутр'!C876</f>
        <v>м3</v>
      </c>
      <c r="D869" s="1058">
        <f>'Смета Внутр'!D876</f>
        <v>0</v>
      </c>
      <c r="E869" s="1042">
        <f>'Смета Внутр'!E876</f>
        <v>9000</v>
      </c>
      <c r="F869" s="1042">
        <f>'Смета Внутр'!F876</f>
        <v>0</v>
      </c>
      <c r="G869" s="1042">
        <f t="shared" si="45"/>
        <v>9000</v>
      </c>
      <c r="H869" s="1042">
        <f>'Смета Внутр'!G876</f>
        <v>0</v>
      </c>
      <c r="I869" s="1042">
        <f>'Смета Внутр'!H876</f>
        <v>0</v>
      </c>
      <c r="J869" s="1058">
        <f>'Смета Внутр'!I876</f>
        <v>0</v>
      </c>
    </row>
    <row r="870" spans="2:10" ht="15" customHeight="1">
      <c r="B870" s="1042" t="str">
        <f>'Смета Внутр'!B877</f>
        <v>Доска сухая калиброванная, 100*45мм</v>
      </c>
      <c r="C870" s="1042" t="str">
        <f>'Смета Внутр'!C877</f>
        <v>м3</v>
      </c>
      <c r="D870" s="1058">
        <f>'Смета Внутр'!D877</f>
        <v>0</v>
      </c>
      <c r="E870" s="1042">
        <f>'Смета Внутр'!E877</f>
        <v>12500</v>
      </c>
      <c r="F870" s="1042">
        <f>'Смета Внутр'!F877</f>
        <v>0</v>
      </c>
      <c r="G870" s="1042">
        <f t="shared" si="45"/>
        <v>12500</v>
      </c>
      <c r="H870" s="1042">
        <f>'Смета Внутр'!G877</f>
        <v>0</v>
      </c>
      <c r="I870" s="1042">
        <f>'Смета Внутр'!H877</f>
        <v>0</v>
      </c>
      <c r="J870" s="1058">
        <f>'Смета Внутр'!I877</f>
        <v>0</v>
      </c>
    </row>
    <row r="871" spans="2:10" ht="15" customHeight="1">
      <c r="B871" s="1042" t="str">
        <f>'Смета Внутр'!B878</f>
        <v>Сосна влаж, 50*50мм</v>
      </c>
      <c r="C871" s="1042" t="str">
        <f>'Смета Внутр'!C878</f>
        <v>м.п.</v>
      </c>
      <c r="D871" s="1058">
        <f>'Смета Внутр'!D878</f>
        <v>0</v>
      </c>
      <c r="E871" s="1042">
        <f>'Смета Внутр'!E878</f>
        <v>16.25</v>
      </c>
      <c r="F871" s="1042">
        <f>'Смета Внутр'!F878</f>
        <v>0</v>
      </c>
      <c r="G871" s="1042">
        <f t="shared" si="45"/>
        <v>16.25</v>
      </c>
      <c r="H871" s="1042">
        <f>'Смета Внутр'!G878</f>
        <v>0</v>
      </c>
      <c r="I871" s="1042">
        <f>'Смета Внутр'!H878</f>
        <v>0</v>
      </c>
      <c r="J871" s="1058">
        <f>'Смета Внутр'!I878</f>
        <v>0</v>
      </c>
    </row>
    <row r="872" spans="2:10" ht="15" customHeight="1">
      <c r="B872" s="1042" t="str">
        <f>'Смета Внутр'!B879</f>
        <v>Бензин для пилы</v>
      </c>
      <c r="C872" s="1042" t="str">
        <f>'Смета Внутр'!C879</f>
        <v>л</v>
      </c>
      <c r="D872" s="1058">
        <f>'Смета Внутр'!D879</f>
        <v>4.8576000000000024</v>
      </c>
      <c r="E872" s="1042">
        <f>'Смета Внутр'!E879</f>
        <v>40</v>
      </c>
      <c r="F872" s="1042">
        <f>'Смета Внутр'!F879</f>
        <v>0</v>
      </c>
      <c r="G872" s="1042">
        <f t="shared" si="45"/>
        <v>40</v>
      </c>
      <c r="H872" s="1042">
        <f>'Смета Внутр'!G879</f>
        <v>194.30400000000009</v>
      </c>
      <c r="I872" s="1042">
        <f>'Смета Внутр'!H879</f>
        <v>0</v>
      </c>
      <c r="J872" s="1058">
        <f>'Смета Внутр'!I879</f>
        <v>0</v>
      </c>
    </row>
    <row r="873" spans="2:10" ht="15" customHeight="1">
      <c r="B873" s="1042" t="str">
        <f>'Смета Внутр'!B880</f>
        <v>Масло для пилы</v>
      </c>
      <c r="C873" s="1042" t="str">
        <f>'Смета Внутр'!C880</f>
        <v>л</v>
      </c>
      <c r="D873" s="1058">
        <f>'Смета Внутр'!D880</f>
        <v>0.24288000000000012</v>
      </c>
      <c r="E873" s="1042">
        <f>'Смета Внутр'!E880</f>
        <v>250</v>
      </c>
      <c r="F873" s="1042">
        <f>'Смета Внутр'!F880</f>
        <v>0</v>
      </c>
      <c r="G873" s="1042">
        <f t="shared" si="45"/>
        <v>250</v>
      </c>
      <c r="H873" s="1042">
        <f>'Смета Внутр'!G880</f>
        <v>60.720000000000034</v>
      </c>
      <c r="I873" s="1042">
        <f>'Смета Внутр'!H880</f>
        <v>0</v>
      </c>
      <c r="J873" s="1058">
        <f>'Смета Внутр'!I880</f>
        <v>0</v>
      </c>
    </row>
    <row r="874" spans="2:10" ht="15" customHeight="1">
      <c r="B874" s="1042" t="str">
        <f>'Смета Внутр'!B881</f>
        <v>Цепь для пилы</v>
      </c>
      <c r="C874" s="1042" t="str">
        <f>'Смета Внутр'!C881</f>
        <v>шт</v>
      </c>
      <c r="D874" s="1058">
        <f>'Смета Внутр'!D881</f>
        <v>3</v>
      </c>
      <c r="E874" s="1042">
        <f>'Смета Внутр'!E881</f>
        <v>800</v>
      </c>
      <c r="F874" s="1042">
        <f>'Смета Внутр'!F881</f>
        <v>0</v>
      </c>
      <c r="G874" s="1042">
        <f t="shared" si="45"/>
        <v>800</v>
      </c>
      <c r="H874" s="1042">
        <f>'Смета Внутр'!G881</f>
        <v>2400</v>
      </c>
      <c r="I874" s="1042">
        <f>'Смета Внутр'!H881</f>
        <v>0</v>
      </c>
      <c r="J874" s="1058">
        <f>'Смета Внутр'!I881</f>
        <v>0</v>
      </c>
    </row>
    <row r="875" spans="2:10" ht="15" customHeight="1">
      <c r="B875" s="1042" t="str">
        <f>'Смета Внутр'!B882</f>
        <v>"Профилюкс" Антисептик АНТИПЛЕСЕНЬ</v>
      </c>
      <c r="C875" s="1042" t="str">
        <f>'Смета Внутр'!C882</f>
        <v>л</v>
      </c>
      <c r="D875" s="1058">
        <f>'Смета Внутр'!D882</f>
        <v>0</v>
      </c>
      <c r="E875" s="1042">
        <f>'Смета Внутр'!E882</f>
        <v>108</v>
      </c>
      <c r="F875" s="1042">
        <f>'Смета Внутр'!F882</f>
        <v>0</v>
      </c>
      <c r="G875" s="1042">
        <f t="shared" si="45"/>
        <v>108</v>
      </c>
      <c r="H875" s="1042">
        <f>'Смета Внутр'!G882</f>
        <v>0</v>
      </c>
      <c r="I875" s="1042">
        <f>'Смета Внутр'!H882</f>
        <v>0</v>
      </c>
      <c r="J875" s="1058">
        <f>'Смета Внутр'!I882</f>
        <v>0</v>
      </c>
    </row>
    <row r="876" spans="2:10" ht="15" customHeight="1">
      <c r="B876" s="1042" t="str">
        <f>'Смета Внутр'!B883</f>
        <v>"Тонерол" Антисептик  бесцветный  1л</v>
      </c>
      <c r="C876" s="1042" t="str">
        <f>'Смета Внутр'!C883</f>
        <v>л</v>
      </c>
      <c r="D876" s="1058">
        <f>'Смета Внутр'!D883</f>
        <v>0</v>
      </c>
      <c r="E876" s="1042">
        <f>'Смета Внутр'!E883</f>
        <v>305</v>
      </c>
      <c r="F876" s="1042">
        <f>'Смета Внутр'!F883</f>
        <v>0</v>
      </c>
      <c r="G876" s="1042">
        <f t="shared" si="45"/>
        <v>305</v>
      </c>
      <c r="H876" s="1042">
        <f>'Смета Внутр'!G883</f>
        <v>0</v>
      </c>
      <c r="I876" s="1042">
        <f>'Смета Внутр'!H883</f>
        <v>0</v>
      </c>
      <c r="J876" s="1058">
        <f>'Смета Внутр'!I883</f>
        <v>0</v>
      </c>
    </row>
    <row r="877" spans="2:10" ht="15" customHeight="1">
      <c r="B877" s="1042" t="str">
        <f>'Смета Внутр'!B884</f>
        <v>"Тонерол" Антисептик  махагон  1л</v>
      </c>
      <c r="C877" s="1042" t="str">
        <f>'Смета Внутр'!C884</f>
        <v>л</v>
      </c>
      <c r="D877" s="1058">
        <f>'Смета Внутр'!D884</f>
        <v>0</v>
      </c>
      <c r="E877" s="1042">
        <f>'Смета Внутр'!E884</f>
        <v>305</v>
      </c>
      <c r="F877" s="1042">
        <f>'Смета Внутр'!F884</f>
        <v>0</v>
      </c>
      <c r="G877" s="1042">
        <f t="shared" si="45"/>
        <v>305</v>
      </c>
      <c r="H877" s="1042">
        <f>'Смета Внутр'!G884</f>
        <v>0</v>
      </c>
      <c r="I877" s="1042">
        <f>'Смета Внутр'!H884</f>
        <v>0</v>
      </c>
      <c r="J877" s="1058">
        <f>'Смета Внутр'!I884</f>
        <v>0</v>
      </c>
    </row>
    <row r="878" spans="2:10" ht="15" customHeight="1">
      <c r="B878" s="1042" t="str">
        <f>'Смета Внутр'!B885</f>
        <v>Нет наличника</v>
      </c>
      <c r="C878" s="1042" t="str">
        <f>'Смета Внутр'!C885</f>
        <v>м.п.</v>
      </c>
      <c r="D878" s="1058">
        <f>'Смета Внутр'!D885</f>
        <v>3.5700000000000007</v>
      </c>
      <c r="E878" s="1042">
        <f>'Смета Внутр'!E885</f>
        <v>0</v>
      </c>
      <c r="F878" s="1042">
        <f>'Смета Внутр'!F885</f>
        <v>0</v>
      </c>
      <c r="G878" s="1042">
        <f t="shared" si="45"/>
        <v>0</v>
      </c>
      <c r="H878" s="1042">
        <f>'Смета Внутр'!G885</f>
        <v>0</v>
      </c>
      <c r="I878" s="1042">
        <f>'Смета Внутр'!H885</f>
        <v>0</v>
      </c>
      <c r="J878" s="1058">
        <f>'Смета Внутр'!I885</f>
        <v>0</v>
      </c>
    </row>
    <row r="879" spans="2:10" ht="15" customHeight="1">
      <c r="B879" s="1042" t="str">
        <f>'Смета Внутр'!B886</f>
        <v>Нет наличника</v>
      </c>
      <c r="C879" s="1042" t="str">
        <f>'Смета Внутр'!C886</f>
        <v>м.п.</v>
      </c>
      <c r="D879" s="1058">
        <f>'Смета Внутр'!D886</f>
        <v>3.5700000000000007</v>
      </c>
      <c r="E879" s="1042">
        <f>'Смета Внутр'!E886</f>
        <v>0</v>
      </c>
      <c r="F879" s="1042">
        <f>'Смета Внутр'!F886</f>
        <v>0</v>
      </c>
      <c r="G879" s="1042">
        <f t="shared" si="45"/>
        <v>0</v>
      </c>
      <c r="H879" s="1042">
        <f>'Смета Внутр'!G886</f>
        <v>0</v>
      </c>
      <c r="I879" s="1042">
        <f>'Смета Внутр'!H886</f>
        <v>0</v>
      </c>
      <c r="J879" s="1058">
        <f>'Смета Внутр'!I886</f>
        <v>0</v>
      </c>
    </row>
    <row r="880" spans="2:10" ht="15" customHeight="1">
      <c r="B880" s="1042" t="str">
        <f>'Смета Внутр'!B887</f>
        <v>Бумага наждачная № 63 F(30)</v>
      </c>
      <c r="C880" s="1042" t="str">
        <f>'Смета Внутр'!C887</f>
        <v>м</v>
      </c>
      <c r="D880" s="1058">
        <f>'Смета Внутр'!D887</f>
        <v>5</v>
      </c>
      <c r="E880" s="1042">
        <f>'Смета Внутр'!E887</f>
        <v>291</v>
      </c>
      <c r="F880" s="1042">
        <f>'Смета Внутр'!F887</f>
        <v>0</v>
      </c>
      <c r="G880" s="1042">
        <f t="shared" si="45"/>
        <v>291</v>
      </c>
      <c r="H880" s="1042">
        <f>'Смета Внутр'!G887</f>
        <v>1455</v>
      </c>
      <c r="I880" s="1042">
        <f>'Смета Внутр'!H887</f>
        <v>0</v>
      </c>
      <c r="J880" s="1058">
        <f>'Смета Внутр'!I887</f>
        <v>0</v>
      </c>
    </row>
    <row r="881" spans="2:10" ht="15" customHeight="1">
      <c r="B881" s="1042" t="str">
        <f>'Смета Внутр'!B888</f>
        <v>Нет наждачной бумаги</v>
      </c>
      <c r="C881" s="1042" t="str">
        <f>'Смета Внутр'!C888</f>
        <v>м</v>
      </c>
      <c r="D881" s="1058">
        <f>'Смета Внутр'!D888</f>
        <v>0</v>
      </c>
      <c r="E881" s="1042">
        <f>'Смета Внутр'!E888</f>
        <v>0</v>
      </c>
      <c r="F881" s="1042">
        <f>'Смета Внутр'!F888</f>
        <v>0</v>
      </c>
      <c r="G881" s="1042">
        <f t="shared" si="45"/>
        <v>0</v>
      </c>
      <c r="H881" s="1042">
        <f>'Смета Внутр'!G888</f>
        <v>0</v>
      </c>
      <c r="I881" s="1042">
        <f>'Смета Внутр'!H888</f>
        <v>0</v>
      </c>
      <c r="J881" s="1058">
        <f>'Смета Внутр'!I888</f>
        <v>0</v>
      </c>
    </row>
    <row r="882" spans="2:10" ht="15" customHeight="1">
      <c r="B882" s="1042" t="str">
        <f>'Смета Внутр'!B889</f>
        <v>Бумага наждачная № 63 F(30)</v>
      </c>
      <c r="C882" s="1042" t="str">
        <f>'Смета Внутр'!C889</f>
        <v>м</v>
      </c>
      <c r="D882" s="1058">
        <f>'Смета Внутр'!D889</f>
        <v>0</v>
      </c>
      <c r="E882" s="1042">
        <f>'Смета Внутр'!E889</f>
        <v>291</v>
      </c>
      <c r="F882" s="1042">
        <f>'Смета Внутр'!F889</f>
        <v>0</v>
      </c>
      <c r="G882" s="1042">
        <f t="shared" si="45"/>
        <v>291</v>
      </c>
      <c r="H882" s="1042">
        <f>'Смета Внутр'!G889</f>
        <v>0</v>
      </c>
      <c r="I882" s="1042">
        <f>'Смета Внутр'!H889</f>
        <v>0</v>
      </c>
      <c r="J882" s="1058">
        <f>'Смета Внутр'!I889</f>
        <v>0</v>
      </c>
    </row>
    <row r="883" spans="2:10" ht="15" customHeight="1">
      <c r="B883" s="1042" t="str">
        <f>'Смета Внутр'!B890</f>
        <v>Бумага наждачная № 40</v>
      </c>
      <c r="C883" s="1042" t="str">
        <f>'Смета Внутр'!C890</f>
        <v>м</v>
      </c>
      <c r="D883" s="1058">
        <f>'Смета Внутр'!D890</f>
        <v>0</v>
      </c>
      <c r="E883" s="1042">
        <f>'Смета Внутр'!E890</f>
        <v>240</v>
      </c>
      <c r="F883" s="1042">
        <f>'Смета Внутр'!F890</f>
        <v>0</v>
      </c>
      <c r="G883" s="1042">
        <f t="shared" si="45"/>
        <v>240</v>
      </c>
      <c r="H883" s="1042">
        <f>'Смета Внутр'!G890</f>
        <v>0</v>
      </c>
      <c r="I883" s="1042">
        <f>'Смета Внутр'!H890</f>
        <v>0</v>
      </c>
      <c r="J883" s="1058">
        <f>'Смета Внутр'!I890</f>
        <v>0</v>
      </c>
    </row>
    <row r="884" spans="2:10">
      <c r="B884" s="3330" t="str">
        <f>'Смета Внутр'!B891</f>
        <v>Итого материалы</v>
      </c>
      <c r="C884" s="3330"/>
      <c r="D884" s="3330"/>
      <c r="E884" s="3330"/>
      <c r="F884" s="3330"/>
      <c r="G884" s="3330"/>
      <c r="H884" s="1042">
        <f>'Смета Внутр'!G891</f>
        <v>0</v>
      </c>
      <c r="I884" s="1042">
        <f>'Смета Внутр'!H891</f>
        <v>0</v>
      </c>
      <c r="J884" s="1058">
        <f>'Смета Внутр'!I891</f>
        <v>0</v>
      </c>
    </row>
    <row r="885" spans="2:10" ht="15" customHeight="1">
      <c r="B885" s="3002" t="str">
        <f>'Смета Внутр'!B892</f>
        <v>Работы</v>
      </c>
      <c r="D885" s="1167"/>
      <c r="H885">
        <f>'Смета Внутр'!G892</f>
        <v>0</v>
      </c>
      <c r="I885">
        <f>'Смета Внутр'!H892</f>
        <v>0</v>
      </c>
      <c r="J885" s="3027">
        <f>'Смета Внутр'!I892</f>
        <v>0</v>
      </c>
    </row>
    <row r="886" spans="2:10" ht="15" customHeight="1">
      <c r="B886" s="1042" t="str">
        <f>'Смета Внутр'!B893</f>
        <v>кладка бруса</v>
      </c>
      <c r="C886" s="1042" t="str">
        <f>'Смета Внутр'!C893</f>
        <v>м3</v>
      </c>
      <c r="D886" s="1058">
        <f>'Смета Внутр'!D893</f>
        <v>24.288000000000011</v>
      </c>
      <c r="E886" s="1042">
        <f>'Смета Внутр'!E893</f>
        <v>6000</v>
      </c>
      <c r="F886" s="1042">
        <f>'Смета Внутр'!F893</f>
        <v>0</v>
      </c>
      <c r="G886" s="1042">
        <f t="shared" ref="G886:G894" si="46">IF(E886&gt;F886,E886,F886)</f>
        <v>6000</v>
      </c>
      <c r="H886" s="1042">
        <f>'Смета Внутр'!G893</f>
        <v>145728.00000000006</v>
      </c>
      <c r="I886" s="1042">
        <f>'Смета Внутр'!H893</f>
        <v>0</v>
      </c>
      <c r="J886" s="1058">
        <f>'Смета Внутр'!I893</f>
        <v>0</v>
      </c>
    </row>
    <row r="887" spans="2:10" ht="15" customHeight="1">
      <c r="B887" s="1042" t="str">
        <f>'Смета Внутр'!B894</f>
        <v>окосячка проемов, м.п.</v>
      </c>
      <c r="C887" s="1042" t="str">
        <f>'Смета Внутр'!C894</f>
        <v>м.п.</v>
      </c>
      <c r="D887" s="1058">
        <f>'Смета Внутр'!D894</f>
        <v>0</v>
      </c>
      <c r="E887" s="1042">
        <f>'Смета Внутр'!E894</f>
        <v>150</v>
      </c>
      <c r="F887" s="1042">
        <f>'Смета Внутр'!F894</f>
        <v>0</v>
      </c>
      <c r="G887" s="1042">
        <f t="shared" si="46"/>
        <v>150</v>
      </c>
      <c r="H887" s="1042">
        <f>'Смета Внутр'!G894</f>
        <v>0</v>
      </c>
      <c r="I887" s="1042">
        <f>'Смета Внутр'!H894</f>
        <v>0</v>
      </c>
      <c r="J887" s="1058">
        <f>'Смета Внутр'!I894</f>
        <v>0</v>
      </c>
    </row>
    <row r="888" spans="2:10" ht="15" customHeight="1">
      <c r="B888" s="1042" t="str">
        <f>'Смета Внутр'!B895</f>
        <v>обработка торцов на брусе</v>
      </c>
      <c r="C888" s="1042" t="str">
        <f>'Смета Внутр'!C895</f>
        <v>м.п.</v>
      </c>
      <c r="D888" s="1058">
        <f>'Смета Внутр'!D895</f>
        <v>14.400000000000002</v>
      </c>
      <c r="E888" s="1042">
        <f>'Смета Внутр'!E895</f>
        <v>250</v>
      </c>
      <c r="F888" s="1042">
        <f>'Смета Внутр'!F895</f>
        <v>0</v>
      </c>
      <c r="G888" s="1042">
        <f t="shared" si="46"/>
        <v>250</v>
      </c>
      <c r="H888" s="1042">
        <f>'Смета Внутр'!G895</f>
        <v>3600.0000000000005</v>
      </c>
      <c r="I888" s="1042">
        <f>'Смета Внутр'!H895</f>
        <v>0</v>
      </c>
      <c r="J888" s="1058">
        <f>'Смета Внутр'!I895</f>
        <v>0</v>
      </c>
    </row>
    <row r="889" spans="2:10" ht="15" customHeight="1">
      <c r="B889" s="1042" t="str">
        <f>'Смета Внутр'!B896</f>
        <v>Обаботка огнебиозащитой</v>
      </c>
      <c r="C889" s="1042" t="str">
        <f>'Смета Внутр'!C896</f>
        <v>м.п.</v>
      </c>
      <c r="D889" s="1058">
        <f>'Смета Внутр'!D896</f>
        <v>24.288000000000011</v>
      </c>
      <c r="E889" s="1042">
        <f>'Смета Внутр'!E896</f>
        <v>300</v>
      </c>
      <c r="F889" s="1042">
        <f>'Смета Внутр'!F896</f>
        <v>0</v>
      </c>
      <c r="G889" s="1042">
        <f t="shared" si="46"/>
        <v>300</v>
      </c>
      <c r="H889" s="1042">
        <f>'Смета Внутр'!G896</f>
        <v>7286.4000000000033</v>
      </c>
      <c r="I889" s="1042">
        <f>'Смета Внутр'!H896</f>
        <v>0</v>
      </c>
      <c r="J889" s="1058">
        <f>'Смета Внутр'!I896</f>
        <v>0</v>
      </c>
    </row>
    <row r="890" spans="2:10" ht="15" customHeight="1">
      <c r="B890" s="1042" t="str">
        <f>'Смета Внутр'!B897</f>
        <v>Пропитка стен внешних</v>
      </c>
      <c r="C890" s="1042" t="str">
        <f>'Смета Внутр'!C897</f>
        <v>м.п.</v>
      </c>
      <c r="D890" s="1058">
        <f>'Смета Внутр'!D897</f>
        <v>0</v>
      </c>
      <c r="E890" s="1042">
        <f>'Смета Внутр'!E897</f>
        <v>100</v>
      </c>
      <c r="F890" s="1042">
        <f>'Смета Внутр'!F897</f>
        <v>0</v>
      </c>
      <c r="G890" s="1042">
        <f t="shared" si="46"/>
        <v>100</v>
      </c>
      <c r="H890" s="1042">
        <f>'Смета Внутр'!G897</f>
        <v>0</v>
      </c>
      <c r="I890" s="1042">
        <f>'Смета Внутр'!H897</f>
        <v>0</v>
      </c>
      <c r="J890" s="1058">
        <f>'Смета Внутр'!I897</f>
        <v>0</v>
      </c>
    </row>
    <row r="891" spans="2:10" ht="15" customHeight="1">
      <c r="B891" s="1042" t="str">
        <f>'Смета Внутр'!B898</f>
        <v>Пропитка внутенних стен</v>
      </c>
      <c r="C891" s="1042" t="str">
        <f>'Смета Внутр'!C898</f>
        <v>м.п.</v>
      </c>
      <c r="D891" s="1058">
        <f>'Смета Внутр'!D898</f>
        <v>0</v>
      </c>
      <c r="E891" s="1042">
        <f>'Смета Внутр'!E898</f>
        <v>100</v>
      </c>
      <c r="F891" s="1042">
        <f>'Смета Внутр'!F898</f>
        <v>0</v>
      </c>
      <c r="G891" s="1042">
        <f t="shared" si="46"/>
        <v>100</v>
      </c>
      <c r="H891" s="1042">
        <f>'Смета Внутр'!G898</f>
        <v>0</v>
      </c>
      <c r="I891" s="1042">
        <f>'Смета Внутр'!H898</f>
        <v>0</v>
      </c>
      <c r="J891" s="1058">
        <f>'Смета Внутр'!I898</f>
        <v>0</v>
      </c>
    </row>
    <row r="892" spans="2:10" ht="15" customHeight="1">
      <c r="B892" s="1042" t="str">
        <f>'Смета Внутр'!B899</f>
        <v>Сверление стен для скрытой проводки</v>
      </c>
      <c r="C892" s="1042" t="str">
        <f>'Смета Внутр'!C899</f>
        <v>м.п.</v>
      </c>
      <c r="D892" s="1058">
        <f>'Смета Внутр'!D899</f>
        <v>180</v>
      </c>
      <c r="E892" s="1042">
        <f>'Смета Внутр'!E899</f>
        <v>300</v>
      </c>
      <c r="F892" s="1042">
        <f>'Смета Внутр'!F899</f>
        <v>0</v>
      </c>
      <c r="G892" s="1042">
        <f t="shared" si="46"/>
        <v>300</v>
      </c>
      <c r="H892" s="1042">
        <f>'Смета Внутр'!G899</f>
        <v>54000</v>
      </c>
      <c r="I892" s="1042">
        <f>'Смета Внутр'!H899</f>
        <v>0</v>
      </c>
      <c r="J892" s="1058">
        <f>'Смета Внутр'!I899</f>
        <v>0</v>
      </c>
    </row>
    <row r="893" spans="2:10" ht="15" customHeight="1">
      <c r="B893" s="1042" t="str">
        <f>'Смета Внутр'!B900</f>
        <v>Монтаж наличника</v>
      </c>
      <c r="C893" s="1042" t="str">
        <f>'Смета Внутр'!C900</f>
        <v>м.п.</v>
      </c>
      <c r="D893" s="1058">
        <f>'Смета Внутр'!D900</f>
        <v>0</v>
      </c>
      <c r="E893" s="1042">
        <f>'Смета Внутр'!E900</f>
        <v>80</v>
      </c>
      <c r="F893" s="1042">
        <f>'Смета Внутр'!F900</f>
        <v>0</v>
      </c>
      <c r="G893" s="1042">
        <f t="shared" si="46"/>
        <v>80</v>
      </c>
      <c r="H893" s="1042">
        <f>'Смета Внутр'!G900</f>
        <v>0</v>
      </c>
      <c r="I893" s="1042">
        <f>'Смета Внутр'!H900</f>
        <v>0</v>
      </c>
      <c r="J893" s="1058">
        <f>'Смета Внутр'!I900</f>
        <v>0</v>
      </c>
    </row>
    <row r="894" spans="2:10" ht="15" customHeight="1">
      <c r="B894" s="1042" t="str">
        <f>'Смета Внутр'!B901</f>
        <v>Шлифовка стен дома</v>
      </c>
      <c r="C894" s="1042" t="str">
        <f>'Смета Внутр'!C901</f>
        <v>м.п.</v>
      </c>
      <c r="D894" s="1058">
        <f>'Смета Внутр'!D901</f>
        <v>0</v>
      </c>
      <c r="E894" s="1042">
        <f>'Смета Внутр'!E901</f>
        <v>250</v>
      </c>
      <c r="F894" s="1042">
        <f>'Смета Внутр'!F901</f>
        <v>0</v>
      </c>
      <c r="G894" s="1042">
        <f t="shared" si="46"/>
        <v>250</v>
      </c>
      <c r="H894" s="1042">
        <f>'Смета Внутр'!G901</f>
        <v>0</v>
      </c>
      <c r="I894" s="1042">
        <f>'Смета Внутр'!H901</f>
        <v>0</v>
      </c>
      <c r="J894" s="1058">
        <f>'Смета Внутр'!I901</f>
        <v>0</v>
      </c>
    </row>
    <row r="895" spans="2:10" ht="15" customHeight="1">
      <c r="B895" s="3330" t="str">
        <f>'Смета Внутр'!B902</f>
        <v>Итого работы</v>
      </c>
      <c r="C895" s="3330"/>
      <c r="D895" s="3330"/>
      <c r="E895" s="3330"/>
      <c r="F895" s="3330"/>
      <c r="G895" s="3330"/>
      <c r="H895" s="1042">
        <f>'Смета Внутр'!G902</f>
        <v>0</v>
      </c>
      <c r="I895" s="1042">
        <f>'Смета Внутр'!H902</f>
        <v>0</v>
      </c>
      <c r="J895" s="1058">
        <f>'Смета Внутр'!I902</f>
        <v>0</v>
      </c>
    </row>
    <row r="896" spans="2:10" ht="15" customHeight="1">
      <c r="B896" s="3313" t="str">
        <f>'Смета Внутр'!B903</f>
        <v>Перекрытие 0-1-2 этажей</v>
      </c>
      <c r="C896" s="3313"/>
      <c r="D896" s="3313"/>
      <c r="H896">
        <f>'Смета Внутр'!G903</f>
        <v>0</v>
      </c>
      <c r="I896">
        <f>'Смета Внутр'!H903</f>
        <v>0</v>
      </c>
      <c r="J896" s="3011">
        <f>'Смета Внутр'!H903</f>
        <v>0</v>
      </c>
    </row>
    <row r="897" spans="2:10" ht="15" customHeight="1">
      <c r="B897" s="3002" t="str">
        <f>'Смета Внутр'!B904</f>
        <v>Материалы</v>
      </c>
      <c r="H897">
        <f>'Смета Внутр'!G904</f>
        <v>0</v>
      </c>
      <c r="I897">
        <f>'Смета Внутр'!H904</f>
        <v>0</v>
      </c>
      <c r="J897" s="3011">
        <f>J896</f>
        <v>0</v>
      </c>
    </row>
    <row r="898" spans="2:10" ht="15" customHeight="1">
      <c r="B898" s="1042" t="str">
        <f>'Смета Внутр'!B905</f>
        <v>Плиты перекрытия ЖБИ</v>
      </c>
      <c r="C898" s="1042" t="str">
        <f>'Смета Внутр'!C905</f>
        <v>м2</v>
      </c>
      <c r="D898" s="1058">
        <f>'Смета Внутр'!D905</f>
        <v>0</v>
      </c>
      <c r="E898" s="1042">
        <f>'Смета Внутр'!E905</f>
        <v>1400</v>
      </c>
      <c r="F898" s="1042">
        <f>'Смета Внутр'!F905</f>
        <v>0</v>
      </c>
      <c r="G898" s="1042">
        <f t="shared" ref="G898:G961" si="47">IF(E898&gt;F898,E898,F898)</f>
        <v>1400</v>
      </c>
      <c r="H898" s="1042">
        <f>'Смета Внутр'!G905</f>
        <v>0</v>
      </c>
      <c r="I898" s="1042">
        <f>'Смета Внутр'!H905</f>
        <v>0</v>
      </c>
      <c r="J898" s="1058">
        <f>'Смета Внутр'!I905</f>
        <v>0</v>
      </c>
    </row>
    <row r="899" spans="2:10" ht="15" customHeight="1">
      <c r="B899" s="1042" t="str">
        <f>'Смета Внутр'!B906</f>
        <v>Раствор, м250</v>
      </c>
      <c r="C899" s="1042" t="str">
        <f>'Смета Внутр'!C906</f>
        <v>м3</v>
      </c>
      <c r="D899" s="1058">
        <f>'Смета Внутр'!D906</f>
        <v>0</v>
      </c>
      <c r="E899" s="1042">
        <f>'Смета Внутр'!E906</f>
        <v>2500</v>
      </c>
      <c r="F899" s="1042">
        <f>'Смета Внутр'!F906</f>
        <v>0</v>
      </c>
      <c r="G899" s="1042">
        <f t="shared" si="47"/>
        <v>2500</v>
      </c>
      <c r="H899" s="1042">
        <f>'Смета Внутр'!G906</f>
        <v>0</v>
      </c>
      <c r="I899" s="1042">
        <f>'Смета Внутр'!H906</f>
        <v>0</v>
      </c>
      <c r="J899" s="1058">
        <f>'Смета Внутр'!I906</f>
        <v>0</v>
      </c>
    </row>
    <row r="900" spans="2:10" ht="15" customHeight="1">
      <c r="B900" s="1042" t="str">
        <f>'Смета Внутр'!B907</f>
        <v>Монолит, бетон, 300мм, 2 слоя</v>
      </c>
      <c r="C900" s="1042" t="str">
        <f>'Смета Внутр'!C907</f>
        <v>м2</v>
      </c>
      <c r="D900" s="1058">
        <f>'Смета Внутр'!D907</f>
        <v>0</v>
      </c>
      <c r="E900" s="1042">
        <f>'Смета Внутр'!E907</f>
        <v>1</v>
      </c>
      <c r="F900" s="1042">
        <f>'Смета Внутр'!F907</f>
        <v>0</v>
      </c>
      <c r="G900" s="1042">
        <f t="shared" si="47"/>
        <v>1</v>
      </c>
      <c r="H900" s="1042">
        <f>'Смета Внутр'!G907</f>
        <v>0</v>
      </c>
      <c r="I900" s="1042">
        <f>'Смета Внутр'!H907</f>
        <v>0</v>
      </c>
      <c r="J900" s="1058">
        <f>'Смета Внутр'!I907</f>
        <v>0</v>
      </c>
    </row>
    <row r="901" spans="2:10" ht="15" customHeight="1">
      <c r="B901" s="1042" t="str">
        <f>'Смета Внутр'!B908</f>
        <v>Монолит, бетон, 300мм, 1 слой</v>
      </c>
      <c r="C901" s="1042" t="str">
        <f>'Смета Внутр'!C908</f>
        <v>м2</v>
      </c>
      <c r="D901" s="1058">
        <f>'Смета Внутр'!D908</f>
        <v>0</v>
      </c>
      <c r="E901" s="1042">
        <f>'Смета Внутр'!E908</f>
        <v>1</v>
      </c>
      <c r="F901" s="1042">
        <f>'Смета Внутр'!F908</f>
        <v>0</v>
      </c>
      <c r="G901" s="1042">
        <f t="shared" si="47"/>
        <v>1</v>
      </c>
      <c r="H901" s="1042">
        <f>'Смета Внутр'!G908</f>
        <v>0</v>
      </c>
      <c r="I901" s="1042">
        <f>'Смета Внутр'!H908</f>
        <v>0</v>
      </c>
      <c r="J901" s="1058">
        <f>'Смета Внутр'!I908</f>
        <v>0</v>
      </c>
    </row>
    <row r="902" spans="2:10" ht="15" customHeight="1">
      <c r="B902" s="1042" t="str">
        <f>'Смета Внутр'!B909</f>
        <v>Монолит, бетон, 250мм, 2 слоя</v>
      </c>
      <c r="C902" s="1042" t="str">
        <f>'Смета Внутр'!C909</f>
        <v>м2</v>
      </c>
      <c r="D902" s="1058">
        <f>'Смета Внутр'!D909</f>
        <v>0</v>
      </c>
      <c r="E902" s="1042">
        <f>'Смета Внутр'!E909</f>
        <v>1</v>
      </c>
      <c r="F902" s="1042">
        <f>'Смета Внутр'!F909</f>
        <v>0</v>
      </c>
      <c r="G902" s="1042">
        <f t="shared" si="47"/>
        <v>1</v>
      </c>
      <c r="H902" s="1042">
        <f>'Смета Внутр'!G909</f>
        <v>0</v>
      </c>
      <c r="I902" s="1042">
        <f>'Смета Внутр'!H909</f>
        <v>0</v>
      </c>
      <c r="J902" s="1058">
        <f>'Смета Внутр'!I909</f>
        <v>0</v>
      </c>
    </row>
    <row r="903" spans="2:10" ht="15" customHeight="1">
      <c r="B903" s="1042" t="str">
        <f>'Смета Внутр'!B910</f>
        <v>Монолит, бетон, 250мм, 1 слой</v>
      </c>
      <c r="C903" s="1042" t="str">
        <f>'Смета Внутр'!C910</f>
        <v>м2</v>
      </c>
      <c r="D903" s="1058">
        <f>'Смета Внутр'!D910</f>
        <v>0</v>
      </c>
      <c r="E903" s="1042">
        <f>'Смета Внутр'!E910</f>
        <v>1</v>
      </c>
      <c r="F903" s="1042">
        <f>'Смета Внутр'!F910</f>
        <v>0</v>
      </c>
      <c r="G903" s="1042">
        <f t="shared" si="47"/>
        <v>1</v>
      </c>
      <c r="H903" s="1042">
        <f>'Смета Внутр'!G910</f>
        <v>0</v>
      </c>
      <c r="I903" s="1042">
        <f>'Смета Внутр'!H910</f>
        <v>0</v>
      </c>
      <c r="J903" s="1058">
        <f>'Смета Внутр'!I910</f>
        <v>0</v>
      </c>
    </row>
    <row r="904" spans="2:10" ht="15" customHeight="1">
      <c r="B904" s="1042" t="str">
        <f>'Смета Внутр'!B911</f>
        <v>Монолит, бетон, 200мм, 2 слоя</v>
      </c>
      <c r="C904" s="1042" t="str">
        <f>'Смета Внутр'!C911</f>
        <v>м2</v>
      </c>
      <c r="D904" s="1058">
        <f>'Смета Внутр'!D911</f>
        <v>0</v>
      </c>
      <c r="E904" s="1042">
        <f>'Смета Внутр'!E911</f>
        <v>1</v>
      </c>
      <c r="F904" s="1042">
        <f>'Смета Внутр'!F911</f>
        <v>0</v>
      </c>
      <c r="G904" s="1042">
        <f t="shared" si="47"/>
        <v>1</v>
      </c>
      <c r="H904" s="1042">
        <f>'Смета Внутр'!G911</f>
        <v>0</v>
      </c>
      <c r="I904" s="1042">
        <f>'Смета Внутр'!H911</f>
        <v>0</v>
      </c>
      <c r="J904" s="1058">
        <f>'Смета Внутр'!I911</f>
        <v>0</v>
      </c>
    </row>
    <row r="905" spans="2:10" ht="15" customHeight="1">
      <c r="B905" s="1042" t="str">
        <f>'Смета Внутр'!B912</f>
        <v>Монолит, бетон, 200мм, 1 слой</v>
      </c>
      <c r="C905" s="1042" t="str">
        <f>'Смета Внутр'!C912</f>
        <v>м2</v>
      </c>
      <c r="D905" s="1058">
        <f>'Смета Внутр'!D912</f>
        <v>0</v>
      </c>
      <c r="E905" s="1042">
        <f>'Смета Внутр'!E912</f>
        <v>1</v>
      </c>
      <c r="F905" s="1042">
        <f>'Смета Внутр'!F912</f>
        <v>0</v>
      </c>
      <c r="G905" s="1042">
        <f t="shared" si="47"/>
        <v>1</v>
      </c>
      <c r="H905" s="1042">
        <f>'Смета Внутр'!G912</f>
        <v>0</v>
      </c>
      <c r="I905" s="1042">
        <f>'Смета Внутр'!H912</f>
        <v>0</v>
      </c>
      <c r="J905" s="1058">
        <f>'Смета Внутр'!I912</f>
        <v>0</v>
      </c>
    </row>
    <row r="906" spans="2:10" ht="15" customHeight="1">
      <c r="B906" s="1042" t="str">
        <f>'Смета Внутр'!B913</f>
        <v>Монолит, бетон, 150мм, 2 слоя</v>
      </c>
      <c r="C906" s="1042" t="str">
        <f>'Смета Внутр'!C913</f>
        <v>м2</v>
      </c>
      <c r="D906" s="1058">
        <f>'Смета Внутр'!D913</f>
        <v>0</v>
      </c>
      <c r="E906" s="1042">
        <f>'Смета Внутр'!E913</f>
        <v>1</v>
      </c>
      <c r="F906" s="1042">
        <f>'Смета Внутр'!F913</f>
        <v>0</v>
      </c>
      <c r="G906" s="1042">
        <f t="shared" si="47"/>
        <v>1</v>
      </c>
      <c r="H906" s="1042">
        <f>'Смета Внутр'!G913</f>
        <v>0</v>
      </c>
      <c r="I906" s="1042">
        <f>'Смета Внутр'!H913</f>
        <v>0</v>
      </c>
      <c r="J906" s="1058">
        <f>'Смета Внутр'!I913</f>
        <v>0</v>
      </c>
    </row>
    <row r="907" spans="2:10" ht="15" customHeight="1">
      <c r="B907" s="1042" t="str">
        <f>'Смета Внутр'!B914</f>
        <v>Монолит, бетон, 150мм, 1 слой</v>
      </c>
      <c r="C907" s="1042" t="str">
        <f>'Смета Внутр'!C914</f>
        <v>м2</v>
      </c>
      <c r="D907" s="1058">
        <f>'Смета Внутр'!D914</f>
        <v>0</v>
      </c>
      <c r="E907" s="1042">
        <f>'Смета Внутр'!E914</f>
        <v>1</v>
      </c>
      <c r="F907" s="1042">
        <f>'Смета Внутр'!F914</f>
        <v>0</v>
      </c>
      <c r="G907" s="1042">
        <f t="shared" si="47"/>
        <v>1</v>
      </c>
      <c r="H907" s="1042">
        <f>'Смета Внутр'!G914</f>
        <v>0</v>
      </c>
      <c r="I907" s="1042">
        <f>'Смета Внутр'!H914</f>
        <v>0</v>
      </c>
      <c r="J907" s="1058">
        <f>'Смета Внутр'!I914</f>
        <v>0</v>
      </c>
    </row>
    <row r="908" spans="2:10" ht="15" customHeight="1">
      <c r="B908" s="1042" t="str">
        <f>'Смета Внутр'!B915</f>
        <v>доска для опалубки монолит перекрытий</v>
      </c>
      <c r="C908" s="1042" t="str">
        <f>'Смета Внутр'!C915</f>
        <v>м3</v>
      </c>
      <c r="D908" s="1058">
        <f>'Смета Внутр'!D915</f>
        <v>0</v>
      </c>
      <c r="E908" s="1042">
        <f>'Смета Внутр'!E915</f>
        <v>6500</v>
      </c>
      <c r="F908" s="1042">
        <f>'Смета Внутр'!F915</f>
        <v>0</v>
      </c>
      <c r="G908" s="1042">
        <f t="shared" si="47"/>
        <v>6500</v>
      </c>
      <c r="H908" s="1042">
        <f>'Смета Внутр'!G915</f>
        <v>0</v>
      </c>
      <c r="I908" s="1042">
        <f>'Смета Внутр'!H915</f>
        <v>0</v>
      </c>
      <c r="J908" s="1058">
        <f>'Смета Внутр'!I915</f>
        <v>0</v>
      </c>
    </row>
    <row r="909" spans="2:10" ht="15" customHeight="1">
      <c r="B909" s="1042" t="str">
        <f>'Смета Внутр'!B916</f>
        <v>стойки под опалубку перекрытий</v>
      </c>
      <c r="C909" s="1042" t="str">
        <f>'Смета Внутр'!C916</f>
        <v>шт</v>
      </c>
      <c r="D909" s="1058">
        <f>'Смета Внутр'!D916</f>
        <v>0</v>
      </c>
      <c r="E909" s="1042">
        <f>'Смета Внутр'!E916</f>
        <v>0</v>
      </c>
      <c r="F909" s="1042">
        <f>'Смета Внутр'!F916</f>
        <v>0</v>
      </c>
      <c r="G909" s="1042">
        <f t="shared" si="47"/>
        <v>0</v>
      </c>
      <c r="H909" s="1042">
        <f>'Смета Внутр'!G916</f>
        <v>0</v>
      </c>
      <c r="I909" s="1042">
        <f>'Смета Внутр'!H916</f>
        <v>0</v>
      </c>
      <c r="J909" s="1058">
        <f>'Смета Внутр'!I916</f>
        <v>0</v>
      </c>
    </row>
    <row r="910" spans="2:10" ht="15" customHeight="1">
      <c r="B910" s="1042" t="str">
        <f>'Смета Внутр'!B917</f>
        <v xml:space="preserve">Пленка гидроизоляционная </v>
      </c>
      <c r="C910" s="1042" t="str">
        <f>'Смета Внутр'!C917</f>
        <v>м2</v>
      </c>
      <c r="D910" s="1058">
        <f>'Смета Внутр'!D917</f>
        <v>0</v>
      </c>
      <c r="E910" s="1042">
        <f>'Смета Внутр'!E917</f>
        <v>15</v>
      </c>
      <c r="F910" s="1042">
        <f>'Смета Внутр'!F917</f>
        <v>0</v>
      </c>
      <c r="G910" s="1042">
        <f t="shared" si="47"/>
        <v>15</v>
      </c>
      <c r="H910" s="1042">
        <f>'Смета Внутр'!G917</f>
        <v>0</v>
      </c>
      <c r="I910" s="1042">
        <f>'Смета Внутр'!H917</f>
        <v>0</v>
      </c>
      <c r="J910" s="1058">
        <f>'Смета Внутр'!I917</f>
        <v>0</v>
      </c>
    </row>
    <row r="911" spans="2:10" ht="15" customHeight="1">
      <c r="B911" s="1042" t="str">
        <f>'Смета Внутр'!B918</f>
        <v>Арматура М10</v>
      </c>
      <c r="C911" s="1042" t="str">
        <f>'Смета Внутр'!C918</f>
        <v>м.п.</v>
      </c>
      <c r="D911" s="1058">
        <f>'Смета Внутр'!D918</f>
        <v>0</v>
      </c>
      <c r="E911" s="1042">
        <f>'Смета Внутр'!E918</f>
        <v>21.0397</v>
      </c>
      <c r="F911" s="1042">
        <f>'Смета Внутр'!F918</f>
        <v>0</v>
      </c>
      <c r="G911" s="1042">
        <f t="shared" si="47"/>
        <v>21.0397</v>
      </c>
      <c r="H911" s="1042">
        <f>'Смета Внутр'!G918</f>
        <v>0</v>
      </c>
      <c r="I911" s="1042">
        <f>'Смета Внутр'!H918</f>
        <v>0</v>
      </c>
      <c r="J911" s="1058">
        <f>'Смета Внутр'!I918</f>
        <v>0</v>
      </c>
    </row>
    <row r="912" spans="2:10" ht="15" customHeight="1">
      <c r="B912" s="1042" t="str">
        <f>'Смета Внутр'!B919</f>
        <v>Вязальная проволока</v>
      </c>
      <c r="C912" s="1042" t="str">
        <f>'Смета Внутр'!C919</f>
        <v>кг</v>
      </c>
      <c r="D912" s="1058">
        <f>'Смета Внутр'!D919</f>
        <v>0</v>
      </c>
      <c r="E912" s="1042">
        <f>'Смета Внутр'!E919</f>
        <v>80</v>
      </c>
      <c r="F912" s="1042">
        <f>'Смета Внутр'!F919</f>
        <v>0</v>
      </c>
      <c r="G912" s="1042">
        <f t="shared" si="47"/>
        <v>80</v>
      </c>
      <c r="H912" s="1042">
        <f>'Смета Внутр'!G919</f>
        <v>0</v>
      </c>
      <c r="I912" s="1042">
        <f>'Смета Внутр'!H919</f>
        <v>0</v>
      </c>
      <c r="J912" s="1058">
        <f>'Смета Внутр'!I919</f>
        <v>0</v>
      </c>
    </row>
    <row r="913" spans="2:10" ht="15" customHeight="1">
      <c r="B913" s="1042" t="str">
        <f>'Смета Внутр'!B920</f>
        <v>Подставка под арматурный каркас</v>
      </c>
      <c r="C913" s="1042" t="str">
        <f>'Смета Внутр'!C920</f>
        <v>шт</v>
      </c>
      <c r="D913" s="1058">
        <f>'Смета Внутр'!D920</f>
        <v>0</v>
      </c>
      <c r="E913" s="1042">
        <f>'Смета Внутр'!E920</f>
        <v>5</v>
      </c>
      <c r="F913" s="1042">
        <f>'Смета Внутр'!F920</f>
        <v>0</v>
      </c>
      <c r="G913" s="1042">
        <f t="shared" si="47"/>
        <v>5</v>
      </c>
      <c r="H913" s="1042">
        <f>'Смета Внутр'!G920</f>
        <v>0</v>
      </c>
      <c r="I913" s="1042">
        <f>'Смета Внутр'!H920</f>
        <v>0</v>
      </c>
      <c r="J913" s="1058">
        <f>'Смета Внутр'!I920</f>
        <v>0</v>
      </c>
    </row>
    <row r="914" spans="2:10" ht="15" customHeight="1">
      <c r="B914" s="1042" t="str">
        <f>'Смета Внутр'!B921</f>
        <v>бетон, м350</v>
      </c>
      <c r="C914" s="1042" t="str">
        <f>'Смета Внутр'!C921</f>
        <v>м3</v>
      </c>
      <c r="D914" s="1058">
        <f>'Смета Внутр'!D921</f>
        <v>0</v>
      </c>
      <c r="E914" s="1042">
        <f>'Смета Внутр'!E921</f>
        <v>3500</v>
      </c>
      <c r="F914" s="1042">
        <f>'Смета Внутр'!F921</f>
        <v>0</v>
      </c>
      <c r="G914" s="1042">
        <f t="shared" si="47"/>
        <v>3500</v>
      </c>
      <c r="H914" s="1042">
        <f>'Смета Внутр'!G921</f>
        <v>0</v>
      </c>
      <c r="I914" s="1042">
        <f>'Смета Внутр'!H921</f>
        <v>0</v>
      </c>
      <c r="J914" s="1058">
        <f>'Смета Внутр'!I921</f>
        <v>0</v>
      </c>
    </row>
    <row r="915" spans="2:10" ht="15" customHeight="1">
      <c r="B915" s="1042" t="str">
        <f>'Смета Внутр'!B922</f>
        <v>Брус естественной влажности, 200*100мм</v>
      </c>
      <c r="C915" s="1042" t="str">
        <f>'Смета Внутр'!C922</f>
        <v>м3</v>
      </c>
      <c r="D915" s="1058">
        <f>'Смета Внутр'!D922</f>
        <v>0</v>
      </c>
      <c r="E915" s="1042">
        <f>'Смета Внутр'!E922</f>
        <v>6500</v>
      </c>
      <c r="F915" s="1042">
        <f>'Смета Внутр'!F922</f>
        <v>0</v>
      </c>
      <c r="G915" s="1042">
        <f t="shared" si="47"/>
        <v>6500</v>
      </c>
      <c r="H915" s="1042">
        <f>'Смета Внутр'!G922</f>
        <v>0</v>
      </c>
      <c r="I915" s="1042">
        <f>'Смета Внутр'!H922</f>
        <v>0</v>
      </c>
      <c r="J915" s="1058">
        <f>'Смета Внутр'!I922</f>
        <v>0</v>
      </c>
    </row>
    <row r="916" spans="2:10" ht="15" customHeight="1">
      <c r="B916" s="1042" t="str">
        <f>'Смета Внутр'!B923</f>
        <v>Брус естественной влажности, 150*100мм</v>
      </c>
      <c r="C916" s="1042" t="str">
        <f>'Смета Внутр'!C923</f>
        <v>м3</v>
      </c>
      <c r="D916" s="1058">
        <f>'Смета Внутр'!D923</f>
        <v>0</v>
      </c>
      <c r="E916" s="1042">
        <f>'Смета Внутр'!E923</f>
        <v>6500</v>
      </c>
      <c r="F916" s="1042">
        <f>'Смета Внутр'!F923</f>
        <v>0</v>
      </c>
      <c r="G916" s="1042">
        <f t="shared" si="47"/>
        <v>6500</v>
      </c>
      <c r="H916" s="1042">
        <f>'Смета Внутр'!G923</f>
        <v>0</v>
      </c>
      <c r="I916" s="1042">
        <f>'Смета Внутр'!H923</f>
        <v>0</v>
      </c>
      <c r="J916" s="1058">
        <f>'Смета Внутр'!I923</f>
        <v>0</v>
      </c>
    </row>
    <row r="917" spans="2:10" ht="15" customHeight="1">
      <c r="B917" s="1042" t="str">
        <f>'Смета Внутр'!B924</f>
        <v>Брус естественной влажности, 100*100мм</v>
      </c>
      <c r="C917" s="1042" t="str">
        <f>'Смета Внутр'!C924</f>
        <v>м3</v>
      </c>
      <c r="D917" s="1058">
        <f>'Смета Внутр'!D924</f>
        <v>0</v>
      </c>
      <c r="E917" s="1042">
        <f>'Смета Внутр'!E924</f>
        <v>6500</v>
      </c>
      <c r="F917" s="1042">
        <f>'Смета Внутр'!F924</f>
        <v>0</v>
      </c>
      <c r="G917" s="1042">
        <f t="shared" si="47"/>
        <v>6500</v>
      </c>
      <c r="H917" s="1042">
        <f>'Смета Внутр'!G924</f>
        <v>0</v>
      </c>
      <c r="I917" s="1042">
        <f>'Смета Внутр'!H924</f>
        <v>0</v>
      </c>
      <c r="J917" s="1058">
        <f>'Смета Внутр'!I924</f>
        <v>0</v>
      </c>
    </row>
    <row r="918" spans="2:10" ht="15" customHeight="1">
      <c r="B918" s="1042" t="str">
        <f>'Смета Внутр'!B925</f>
        <v>Брус естественной влажности, 150*150мм</v>
      </c>
      <c r="C918" s="1042" t="str">
        <f>'Смета Внутр'!C925</f>
        <v>м3</v>
      </c>
      <c r="D918" s="1058">
        <f>'Смета Внутр'!D925</f>
        <v>0</v>
      </c>
      <c r="E918" s="1042">
        <f>'Смета Внутр'!E925</f>
        <v>6500</v>
      </c>
      <c r="F918" s="1042">
        <f>'Смета Внутр'!F925</f>
        <v>0</v>
      </c>
      <c r="G918" s="1042">
        <f t="shared" si="47"/>
        <v>6500</v>
      </c>
      <c r="H918" s="1042">
        <f>'Смета Внутр'!G925</f>
        <v>0</v>
      </c>
      <c r="I918" s="1042">
        <f>'Смета Внутр'!H925</f>
        <v>0</v>
      </c>
      <c r="J918" s="1058">
        <f>'Смета Внутр'!I925</f>
        <v>0</v>
      </c>
    </row>
    <row r="919" spans="2:10" ht="15" customHeight="1">
      <c r="B919" s="1042" t="str">
        <f>'Смета Внутр'!B926</f>
        <v>Доска естественной влажности, 200*50мм</v>
      </c>
      <c r="C919" s="1042" t="str">
        <f>'Смета Внутр'!C926</f>
        <v>м3</v>
      </c>
      <c r="D919" s="1058">
        <f>'Смета Внутр'!D926</f>
        <v>0</v>
      </c>
      <c r="E919" s="1042">
        <f>'Смета Внутр'!E926</f>
        <v>6500</v>
      </c>
      <c r="F919" s="1042">
        <f>'Смета Внутр'!F926</f>
        <v>0</v>
      </c>
      <c r="G919" s="1042">
        <f t="shared" si="47"/>
        <v>6500</v>
      </c>
      <c r="H919" s="1042">
        <f>'Смета Внутр'!G926</f>
        <v>0</v>
      </c>
      <c r="I919" s="1042">
        <f>'Смета Внутр'!H926</f>
        <v>0</v>
      </c>
      <c r="J919" s="1058">
        <f>'Смета Внутр'!I926</f>
        <v>0</v>
      </c>
    </row>
    <row r="920" spans="2:10" ht="15" customHeight="1">
      <c r="B920" s="1042" t="str">
        <f>'Смета Внутр'!B927</f>
        <v>Доска естественной влажности, 150*50мм</v>
      </c>
      <c r="C920" s="1042" t="str">
        <f>'Смета Внутр'!C927</f>
        <v>м3</v>
      </c>
      <c r="D920" s="1058">
        <f>'Смета Внутр'!D927</f>
        <v>0</v>
      </c>
      <c r="E920" s="1042">
        <f>'Смета Внутр'!E927</f>
        <v>6500</v>
      </c>
      <c r="F920" s="1042">
        <f>'Смета Внутр'!F927</f>
        <v>0</v>
      </c>
      <c r="G920" s="1042">
        <f t="shared" si="47"/>
        <v>6500</v>
      </c>
      <c r="H920" s="1042">
        <f>'Смета Внутр'!G927</f>
        <v>0</v>
      </c>
      <c r="I920" s="1042">
        <f>'Смета Внутр'!H927</f>
        <v>0</v>
      </c>
      <c r="J920" s="1058">
        <f>'Смета Внутр'!I927</f>
        <v>0</v>
      </c>
    </row>
    <row r="921" spans="2:10" ht="15" customHeight="1">
      <c r="B921" s="1042" t="str">
        <f>'Смета Внутр'!B928</f>
        <v xml:space="preserve">Опора бруса          </v>
      </c>
      <c r="C921" s="1042" t="str">
        <f>'Смета Внутр'!C928</f>
        <v>шт</v>
      </c>
      <c r="D921" s="1058">
        <f>'Смета Внутр'!D928</f>
        <v>0</v>
      </c>
      <c r="E921" s="1042">
        <f>'Смета Внутр'!E928</f>
        <v>50</v>
      </c>
      <c r="F921" s="1042">
        <f>'Смета Внутр'!F928</f>
        <v>0</v>
      </c>
      <c r="G921" s="1042">
        <f t="shared" si="47"/>
        <v>50</v>
      </c>
      <c r="H921" s="1042">
        <f>'Смета Внутр'!G928</f>
        <v>0</v>
      </c>
      <c r="I921" s="1042">
        <f>'Смета Внутр'!H928</f>
        <v>0</v>
      </c>
      <c r="J921" s="1058">
        <f>'Смета Внутр'!I928</f>
        <v>0</v>
      </c>
    </row>
    <row r="922" spans="2:10" ht="15" customHeight="1">
      <c r="B922" s="1042" t="str">
        <f>'Смета Внутр'!B929</f>
        <v xml:space="preserve">Болты анкерные с гайкой 8,0 x 60           </v>
      </c>
      <c r="C922" s="1042" t="str">
        <f>'Смета Внутр'!C929</f>
        <v>шт</v>
      </c>
      <c r="D922" s="1058">
        <f>'Смета Внутр'!D929</f>
        <v>0</v>
      </c>
      <c r="E922" s="1042">
        <f>'Смета Внутр'!E929</f>
        <v>4</v>
      </c>
      <c r="F922" s="1042">
        <f>'Смета Внутр'!F929</f>
        <v>0</v>
      </c>
      <c r="G922" s="1042">
        <f t="shared" si="47"/>
        <v>4</v>
      </c>
      <c r="H922" s="1042">
        <f>'Смета Внутр'!G929</f>
        <v>0</v>
      </c>
      <c r="I922" s="1042">
        <f>'Смета Внутр'!H929</f>
        <v>0</v>
      </c>
      <c r="J922" s="1058">
        <f>'Смета Внутр'!I929</f>
        <v>0</v>
      </c>
    </row>
    <row r="923" spans="2:10" ht="15" customHeight="1">
      <c r="B923" s="1042" t="str">
        <f>'Смета Внутр'!B930</f>
        <v>Sip панель 2500*625*124мм</v>
      </c>
      <c r="C923" s="1042" t="str">
        <f>'Смета Внутр'!C930</f>
        <v>м2</v>
      </c>
      <c r="D923" s="1058">
        <f>'Смета Внутр'!D930</f>
        <v>0</v>
      </c>
      <c r="E923" s="1042">
        <f>'Смета Внутр'!E930</f>
        <v>800</v>
      </c>
      <c r="F923" s="1042">
        <f>'Смета Внутр'!F930</f>
        <v>0</v>
      </c>
      <c r="G923" s="1042">
        <f t="shared" si="47"/>
        <v>800</v>
      </c>
      <c r="H923" s="1042">
        <f>'Смета Внутр'!G930</f>
        <v>0</v>
      </c>
      <c r="I923" s="1042">
        <f>'Смета Внутр'!H930</f>
        <v>0</v>
      </c>
      <c r="J923" s="1058">
        <f>'Смета Внутр'!I930</f>
        <v>0</v>
      </c>
    </row>
    <row r="924" spans="2:10" ht="15" customHeight="1">
      <c r="B924" s="1042" t="str">
        <f>'Смета Внутр'!B931</f>
        <v>Sip панель 2500*625*174мм</v>
      </c>
      <c r="C924" s="1042" t="str">
        <f>'Смета Внутр'!C931</f>
        <v>м2</v>
      </c>
      <c r="D924" s="1058">
        <f>'Смета Внутр'!D931</f>
        <v>0</v>
      </c>
      <c r="E924" s="1042">
        <f>'Смета Внутр'!E931</f>
        <v>1200</v>
      </c>
      <c r="F924" s="1042">
        <f>'Смета Внутр'!F931</f>
        <v>0</v>
      </c>
      <c r="G924" s="1042">
        <f t="shared" si="47"/>
        <v>1200</v>
      </c>
      <c r="H924" s="1042">
        <f>'Смета Внутр'!G931</f>
        <v>0</v>
      </c>
      <c r="I924" s="1042">
        <f>'Смета Внутр'!H931</f>
        <v>0</v>
      </c>
      <c r="J924" s="1058">
        <f>'Смета Внутр'!I931</f>
        <v>0</v>
      </c>
    </row>
    <row r="925" spans="2:10" ht="15" customHeight="1">
      <c r="B925" s="1042" t="str">
        <f>'Смета Внутр'!B932</f>
        <v>Sip панель 2500*625*224мм</v>
      </c>
      <c r="C925" s="1042" t="str">
        <f>'Смета Внутр'!C932</f>
        <v>м2</v>
      </c>
      <c r="D925" s="1058">
        <f>'Смета Внутр'!D932</f>
        <v>0</v>
      </c>
      <c r="E925" s="1042">
        <f>'Смета Внутр'!E932</f>
        <v>1400</v>
      </c>
      <c r="F925" s="1042">
        <f>'Смета Внутр'!F932</f>
        <v>0</v>
      </c>
      <c r="G925" s="1042">
        <f t="shared" si="47"/>
        <v>1400</v>
      </c>
      <c r="H925" s="1042">
        <f>'Смета Внутр'!G932</f>
        <v>0</v>
      </c>
      <c r="I925" s="1042">
        <f>'Смета Внутр'!H932</f>
        <v>0</v>
      </c>
      <c r="J925" s="1058">
        <f>'Смета Внутр'!I932</f>
        <v>0</v>
      </c>
    </row>
    <row r="926" spans="2:10" ht="15" customHeight="1">
      <c r="B926" s="1042" t="str">
        <f>'Смета Внутр'!B933</f>
        <v>Доска сухая, 100*50мм</v>
      </c>
      <c r="C926" s="1042" t="str">
        <f>'Смета Внутр'!C933</f>
        <v>м.п.</v>
      </c>
      <c r="D926" s="1058">
        <f>'Смета Внутр'!D933</f>
        <v>0</v>
      </c>
      <c r="E926" s="1042">
        <f>'Смета Внутр'!E933</f>
        <v>45</v>
      </c>
      <c r="F926" s="1042">
        <f>'Смета Внутр'!F933</f>
        <v>0</v>
      </c>
      <c r="G926" s="1042">
        <f t="shared" si="47"/>
        <v>45</v>
      </c>
      <c r="H926" s="1042">
        <f>'Смета Внутр'!G933</f>
        <v>0</v>
      </c>
      <c r="I926" s="1042">
        <f>'Смета Внутр'!H933</f>
        <v>0</v>
      </c>
      <c r="J926" s="1058">
        <f>'Смета Внутр'!I933</f>
        <v>0</v>
      </c>
    </row>
    <row r="927" spans="2:10" ht="15" customHeight="1">
      <c r="B927" s="1042" t="str">
        <f>'Смета Внутр'!B934</f>
        <v>Доска сухая, 150*50мм</v>
      </c>
      <c r="C927" s="1042" t="str">
        <f>'Смета Внутр'!C934</f>
        <v>м.п.</v>
      </c>
      <c r="D927" s="1058">
        <f>'Смета Внутр'!D934</f>
        <v>0</v>
      </c>
      <c r="E927" s="1042">
        <f>'Смета Внутр'!E934</f>
        <v>67.5</v>
      </c>
      <c r="F927" s="1042">
        <f>'Смета Внутр'!F934</f>
        <v>0</v>
      </c>
      <c r="G927" s="1042">
        <f t="shared" si="47"/>
        <v>67.5</v>
      </c>
      <c r="H927" s="1042">
        <f>'Смета Внутр'!G934</f>
        <v>0</v>
      </c>
      <c r="I927" s="1042">
        <f>'Смета Внутр'!H934</f>
        <v>0</v>
      </c>
      <c r="J927" s="1058">
        <f>'Смета Внутр'!I934</f>
        <v>0</v>
      </c>
    </row>
    <row r="928" spans="2:10" ht="15" customHeight="1">
      <c r="B928" s="1042" t="str">
        <f>'Смета Внутр'!B935</f>
        <v>Доска сухая, 200*50мм</v>
      </c>
      <c r="C928" s="1042" t="str">
        <f>'Смета Внутр'!C935</f>
        <v>м.п.</v>
      </c>
      <c r="D928" s="1058">
        <f>'Смета Внутр'!D935</f>
        <v>0</v>
      </c>
      <c r="E928" s="1042">
        <f>'Смета Внутр'!E935</f>
        <v>90</v>
      </c>
      <c r="F928" s="1042">
        <f>'Смета Внутр'!F935</f>
        <v>0</v>
      </c>
      <c r="G928" s="1042">
        <f t="shared" si="47"/>
        <v>90</v>
      </c>
      <c r="H928" s="1042">
        <f>'Смета Внутр'!G935</f>
        <v>0</v>
      </c>
      <c r="I928" s="1042">
        <f>'Смета Внутр'!H935</f>
        <v>0</v>
      </c>
      <c r="J928" s="1058">
        <f>'Смета Внутр'!I935</f>
        <v>0</v>
      </c>
    </row>
    <row r="929" spans="2:10" ht="15" customHeight="1">
      <c r="B929" s="1042" t="str">
        <f>'Смета Внутр'!B936</f>
        <v>Пена монтажная, всесезонняя 800мл</v>
      </c>
      <c r="C929" s="1042" t="str">
        <f>'Смета Внутр'!C936</f>
        <v>шт</v>
      </c>
      <c r="D929" s="1058">
        <f>'Смета Внутр'!D936</f>
        <v>0</v>
      </c>
      <c r="E929" s="1042">
        <f>'Смета Внутр'!E936</f>
        <v>300</v>
      </c>
      <c r="F929" s="1042">
        <f>'Смета Внутр'!F936</f>
        <v>0</v>
      </c>
      <c r="G929" s="1042">
        <f t="shared" si="47"/>
        <v>300</v>
      </c>
      <c r="H929" s="1042">
        <f>'Смета Внутр'!G936</f>
        <v>0</v>
      </c>
      <c r="I929" s="1042">
        <f>'Смета Внутр'!H936</f>
        <v>0</v>
      </c>
      <c r="J929" s="1058">
        <f>'Смета Внутр'!I936</f>
        <v>0</v>
      </c>
    </row>
    <row r="930" spans="2:10" ht="15" customHeight="1">
      <c r="B930" s="1042" t="str">
        <f>'Смета Внутр'!B937</f>
        <v xml:space="preserve">Гвозди строительные 3,5 x 90            </v>
      </c>
      <c r="C930" s="1042" t="str">
        <f>'Смета Внутр'!C937</f>
        <v>шт</v>
      </c>
      <c r="D930" s="1058">
        <f>'Смета Внутр'!D937</f>
        <v>0</v>
      </c>
      <c r="E930" s="1042">
        <f>'Смета Внутр'!E937</f>
        <v>45</v>
      </c>
      <c r="F930" s="1042">
        <f>'Смета Внутр'!F937</f>
        <v>0</v>
      </c>
      <c r="G930" s="1042">
        <f t="shared" si="47"/>
        <v>45</v>
      </c>
      <c r="H930" s="1042">
        <f>'Смета Внутр'!G937</f>
        <v>0</v>
      </c>
      <c r="I930" s="1042">
        <f>'Смета Внутр'!H937</f>
        <v>0</v>
      </c>
      <c r="J930" s="1058">
        <f>'Смета Внутр'!I937</f>
        <v>0</v>
      </c>
    </row>
    <row r="931" spans="2:10" ht="15" customHeight="1">
      <c r="B931" s="1042" t="str">
        <f>'Смета Внутр'!B938</f>
        <v xml:space="preserve">Саморезы 3,5 x 45            </v>
      </c>
      <c r="C931" s="1042" t="str">
        <f>'Смета Внутр'!C938</f>
        <v>шт</v>
      </c>
      <c r="D931" s="1058">
        <f>'Смета Внутр'!D938</f>
        <v>0</v>
      </c>
      <c r="E931" s="1042">
        <f>'Смета Внутр'!E938</f>
        <v>0.25</v>
      </c>
      <c r="F931" s="1042">
        <f>'Смета Внутр'!F938</f>
        <v>0</v>
      </c>
      <c r="G931" s="1042">
        <f t="shared" si="47"/>
        <v>0.25</v>
      </c>
      <c r="H931" s="1042">
        <f>'Смета Внутр'!G938</f>
        <v>0</v>
      </c>
      <c r="I931" s="1042">
        <f>'Смета Внутр'!H938</f>
        <v>0</v>
      </c>
      <c r="J931" s="1058">
        <f>'Смета Внутр'!I938</f>
        <v>0</v>
      </c>
    </row>
    <row r="932" spans="2:10" ht="15" customHeight="1">
      <c r="B932" s="1042" t="str">
        <f>'Смета Внутр'!B939</f>
        <v>Доска сухая, 200*50мм</v>
      </c>
      <c r="C932" s="1042" t="str">
        <f>'Смета Внутр'!C939</f>
        <v>м3</v>
      </c>
      <c r="D932" s="1058">
        <f>'Смета Внутр'!D939</f>
        <v>0</v>
      </c>
      <c r="E932" s="1042">
        <f>'Смета Внутр'!E939</f>
        <v>9000</v>
      </c>
      <c r="F932" s="1042">
        <f>'Смета Внутр'!F939</f>
        <v>0</v>
      </c>
      <c r="G932" s="1042">
        <f t="shared" si="47"/>
        <v>9000</v>
      </c>
      <c r="H932" s="1042">
        <f>'Смета Внутр'!G939</f>
        <v>0</v>
      </c>
      <c r="I932" s="1042">
        <f>'Смета Внутр'!H939</f>
        <v>0</v>
      </c>
      <c r="J932" s="1058">
        <f>'Смета Внутр'!I939</f>
        <v>0</v>
      </c>
    </row>
    <row r="933" spans="2:10" ht="15" customHeight="1">
      <c r="B933" s="1042" t="str">
        <f>'Смета Внутр'!B940</f>
        <v>Доска сухая, 150*50мм</v>
      </c>
      <c r="C933" s="1042" t="str">
        <f>'Смета Внутр'!C940</f>
        <v>м3</v>
      </c>
      <c r="D933" s="1058">
        <f>'Смета Внутр'!D940</f>
        <v>0</v>
      </c>
      <c r="E933" s="1042">
        <f>'Смета Внутр'!E940</f>
        <v>9000</v>
      </c>
      <c r="F933" s="1042">
        <f>'Смета Внутр'!F940</f>
        <v>0</v>
      </c>
      <c r="G933" s="1042">
        <f t="shared" si="47"/>
        <v>9000</v>
      </c>
      <c r="H933" s="1042">
        <f>'Смета Внутр'!G940</f>
        <v>0</v>
      </c>
      <c r="I933" s="1042">
        <f>'Смета Внутр'!H940</f>
        <v>0</v>
      </c>
      <c r="J933" s="1058">
        <f>'Смета Внутр'!I940</f>
        <v>0</v>
      </c>
    </row>
    <row r="934" spans="2:10" ht="15" customHeight="1">
      <c r="B934" s="1042" t="str">
        <f>'Смета Внутр'!B941</f>
        <v xml:space="preserve">Гвозди ершоные 2,8 х 90            </v>
      </c>
      <c r="C934" s="1042" t="str">
        <f>'Смета Внутр'!C941</f>
        <v>кг</v>
      </c>
      <c r="D934" s="1058">
        <f>'Смета Внутр'!D941</f>
        <v>0</v>
      </c>
      <c r="E934" s="1042">
        <f>'Смета Внутр'!E941</f>
        <v>76.489999999999995</v>
      </c>
      <c r="F934" s="1042">
        <f>'Смета Внутр'!F941</f>
        <v>0</v>
      </c>
      <c r="G934" s="1042">
        <f t="shared" si="47"/>
        <v>76.489999999999995</v>
      </c>
      <c r="H934" s="1042">
        <f>'Смета Внутр'!G941</f>
        <v>0</v>
      </c>
      <c r="I934" s="1042">
        <f>'Смета Внутр'!H941</f>
        <v>0</v>
      </c>
      <c r="J934" s="1058">
        <f>'Смета Внутр'!I941</f>
        <v>0</v>
      </c>
    </row>
    <row r="935" spans="2:10" ht="15" customHeight="1">
      <c r="B935" s="1042" t="str">
        <f>'Смета Внутр'!B942</f>
        <v>Доска сухая калиброванная, 190*45мм</v>
      </c>
      <c r="C935" s="1042" t="str">
        <f>'Смета Внутр'!C942</f>
        <v>м3</v>
      </c>
      <c r="D935" s="1058">
        <f>'Смета Внутр'!D942</f>
        <v>0</v>
      </c>
      <c r="E935" s="1042">
        <f>'Смета Внутр'!E942</f>
        <v>12500</v>
      </c>
      <c r="F935" s="1042">
        <f>'Смета Внутр'!F942</f>
        <v>0</v>
      </c>
      <c r="G935" s="1042">
        <f t="shared" si="47"/>
        <v>12500</v>
      </c>
      <c r="H935" s="1042">
        <f>'Смета Внутр'!G942</f>
        <v>0</v>
      </c>
      <c r="I935" s="1042">
        <f>'Смета Внутр'!H942</f>
        <v>0</v>
      </c>
      <c r="J935" s="1058">
        <f>'Смета Внутр'!I942</f>
        <v>0</v>
      </c>
    </row>
    <row r="936" spans="2:10" ht="15" customHeight="1">
      <c r="B936" s="1042" t="str">
        <f>'Смета Внутр'!B943</f>
        <v>Доска сухая калиброванная, 145*45мм</v>
      </c>
      <c r="C936" s="1042" t="str">
        <f>'Смета Внутр'!C943</f>
        <v>м3</v>
      </c>
      <c r="D936" s="1058">
        <f>'Смета Внутр'!D943</f>
        <v>0</v>
      </c>
      <c r="E936" s="1042">
        <f>'Смета Внутр'!E943</f>
        <v>12500</v>
      </c>
      <c r="F936" s="1042">
        <f>'Смета Внутр'!F943</f>
        <v>0</v>
      </c>
      <c r="G936" s="1042">
        <f t="shared" si="47"/>
        <v>12500</v>
      </c>
      <c r="H936" s="1042">
        <f>'Смета Внутр'!G943</f>
        <v>0</v>
      </c>
      <c r="I936" s="1042">
        <f>'Смета Внутр'!H943</f>
        <v>0</v>
      </c>
      <c r="J936" s="1058">
        <f>'Смета Внутр'!I943</f>
        <v>0</v>
      </c>
    </row>
    <row r="937" spans="2:10" ht="15" customHeight="1">
      <c r="B937" s="1042" t="str">
        <f>'Смета Внутр'!B944</f>
        <v xml:space="preserve">Гвозди ершоные 2,8 х 90            </v>
      </c>
      <c r="C937" s="1042" t="str">
        <f>'Смета Внутр'!C944</f>
        <v>кг</v>
      </c>
      <c r="D937" s="1058">
        <f>'Смета Внутр'!D944</f>
        <v>0</v>
      </c>
      <c r="E937" s="1042">
        <f>'Смета Внутр'!E944</f>
        <v>76.489999999999995</v>
      </c>
      <c r="F937" s="1042">
        <f>'Смета Внутр'!F944</f>
        <v>0</v>
      </c>
      <c r="G937" s="1042">
        <f t="shared" si="47"/>
        <v>76.489999999999995</v>
      </c>
      <c r="H937" s="1042">
        <f>'Смета Внутр'!G944</f>
        <v>0</v>
      </c>
      <c r="I937" s="1042">
        <f>'Смета Внутр'!H944</f>
        <v>0</v>
      </c>
      <c r="J937" s="1058">
        <f>'Смета Внутр'!I944</f>
        <v>0</v>
      </c>
    </row>
    <row r="938" spans="2:10" ht="15" customHeight="1">
      <c r="B938" s="1042" t="str">
        <f>'Смета Внутр'!B945</f>
        <v>Двутавровая деревянная балка, 400*65мм</v>
      </c>
      <c r="C938" s="1042" t="str">
        <f>'Смета Внутр'!C945</f>
        <v>м.п.</v>
      </c>
      <c r="D938" s="1058">
        <f>'Смета Внутр'!D945</f>
        <v>0</v>
      </c>
      <c r="E938" s="1042">
        <f>'Смета Внутр'!E945</f>
        <v>303</v>
      </c>
      <c r="F938" s="1042">
        <f>'Смета Внутр'!F945</f>
        <v>0</v>
      </c>
      <c r="G938" s="1042">
        <f t="shared" si="47"/>
        <v>303</v>
      </c>
      <c r="H938" s="1042">
        <f>'Смета Внутр'!G945</f>
        <v>0</v>
      </c>
      <c r="I938" s="1042">
        <f>'Смета Внутр'!H945</f>
        <v>0</v>
      </c>
      <c r="J938" s="1058">
        <f>'Смета Внутр'!I945</f>
        <v>0</v>
      </c>
    </row>
    <row r="939" spans="2:10" ht="15" customHeight="1">
      <c r="B939" s="1042" t="str">
        <f>'Смета Внутр'!B946</f>
        <v>Двутавровая деревянная балка, 400*90мм</v>
      </c>
      <c r="C939" s="1042" t="str">
        <f>'Смета Внутр'!C946</f>
        <v>м.п.</v>
      </c>
      <c r="D939" s="1058">
        <f>'Смета Внутр'!D946</f>
        <v>0</v>
      </c>
      <c r="E939" s="1042">
        <f>'Смета Внутр'!E946</f>
        <v>355</v>
      </c>
      <c r="F939" s="1042">
        <f>'Смета Внутр'!F946</f>
        <v>0</v>
      </c>
      <c r="G939" s="1042">
        <f t="shared" si="47"/>
        <v>355</v>
      </c>
      <c r="H939" s="1042">
        <f>'Смета Внутр'!G946</f>
        <v>0</v>
      </c>
      <c r="I939" s="1042">
        <f>'Смета Внутр'!H946</f>
        <v>0</v>
      </c>
      <c r="J939" s="1058">
        <f>'Смета Внутр'!I946</f>
        <v>0</v>
      </c>
    </row>
    <row r="940" spans="2:10" ht="15" customHeight="1">
      <c r="B940" s="1042" t="str">
        <f>'Смета Внутр'!B947</f>
        <v>Двутавровая деревянная балка, 350*65мм</v>
      </c>
      <c r="C940" s="1042" t="str">
        <f>'Смета Внутр'!C947</f>
        <v>м.п.</v>
      </c>
      <c r="D940" s="1058">
        <f>'Смета Внутр'!D947</f>
        <v>0</v>
      </c>
      <c r="E940" s="1042">
        <f>'Смета Внутр'!E947</f>
        <v>287</v>
      </c>
      <c r="F940" s="1042">
        <f>'Смета Внутр'!F947</f>
        <v>0</v>
      </c>
      <c r="G940" s="1042">
        <f t="shared" si="47"/>
        <v>287</v>
      </c>
      <c r="H940" s="1042">
        <f>'Смета Внутр'!G947</f>
        <v>0</v>
      </c>
      <c r="I940" s="1042">
        <f>'Смета Внутр'!H947</f>
        <v>0</v>
      </c>
      <c r="J940" s="1058">
        <f>'Смета Внутр'!I947</f>
        <v>0</v>
      </c>
    </row>
    <row r="941" spans="2:10" ht="15" customHeight="1">
      <c r="B941" s="1042" t="str">
        <f>'Смета Внутр'!B948</f>
        <v>Двутавровая деревянная балка, 350*90мм</v>
      </c>
      <c r="C941" s="1042" t="str">
        <f>'Смета Внутр'!C948</f>
        <v>м.п.</v>
      </c>
      <c r="D941" s="1058">
        <f>'Смета Внутр'!D948</f>
        <v>0</v>
      </c>
      <c r="E941" s="1042">
        <f>'Смета Внутр'!E948</f>
        <v>315</v>
      </c>
      <c r="F941" s="1042">
        <f>'Смета Внутр'!F948</f>
        <v>0</v>
      </c>
      <c r="G941" s="1042">
        <f t="shared" si="47"/>
        <v>315</v>
      </c>
      <c r="H941" s="1042">
        <f>'Смета Внутр'!G948</f>
        <v>0</v>
      </c>
      <c r="I941" s="1042">
        <f>'Смета Внутр'!H948</f>
        <v>0</v>
      </c>
      <c r="J941" s="1058">
        <f>'Смета Внутр'!I948</f>
        <v>0</v>
      </c>
    </row>
    <row r="942" spans="2:10" ht="15" customHeight="1">
      <c r="B942" s="1042" t="str">
        <f>'Смета Внутр'!B949</f>
        <v>Двутавровая деревянная балка, 300*65мм</v>
      </c>
      <c r="C942" s="1042" t="str">
        <f>'Смета Внутр'!C949</f>
        <v>м.п.</v>
      </c>
      <c r="D942" s="1058">
        <f>'Смета Внутр'!D949</f>
        <v>0</v>
      </c>
      <c r="E942" s="1042">
        <f>'Смета Внутр'!E949</f>
        <v>273</v>
      </c>
      <c r="F942" s="1042">
        <f>'Смета Внутр'!F949</f>
        <v>0</v>
      </c>
      <c r="G942" s="1042">
        <f t="shared" si="47"/>
        <v>273</v>
      </c>
      <c r="H942" s="1042">
        <f>'Смета Внутр'!G949</f>
        <v>0</v>
      </c>
      <c r="I942" s="1042">
        <f>'Смета Внутр'!H949</f>
        <v>0</v>
      </c>
      <c r="J942" s="1058">
        <f>'Смета Внутр'!I949</f>
        <v>0</v>
      </c>
    </row>
    <row r="943" spans="2:10" ht="15" customHeight="1">
      <c r="B943" s="1042" t="str">
        <f>'Смета Внутр'!B950</f>
        <v>Двутавровая деревянная балка, 300*90мм</v>
      </c>
      <c r="C943" s="1042" t="str">
        <f>'Смета Внутр'!C950</f>
        <v>м.п.</v>
      </c>
      <c r="D943" s="1058">
        <f>'Смета Внутр'!D950</f>
        <v>0</v>
      </c>
      <c r="E943" s="1042">
        <f>'Смета Внутр'!E950</f>
        <v>315</v>
      </c>
      <c r="F943" s="1042">
        <f>'Смета Внутр'!F950</f>
        <v>0</v>
      </c>
      <c r="G943" s="1042">
        <f t="shared" si="47"/>
        <v>315</v>
      </c>
      <c r="H943" s="1042">
        <f>'Смета Внутр'!G950</f>
        <v>0</v>
      </c>
      <c r="I943" s="1042">
        <f>'Смета Внутр'!H950</f>
        <v>0</v>
      </c>
      <c r="J943" s="1058">
        <f>'Смета Внутр'!I950</f>
        <v>0</v>
      </c>
    </row>
    <row r="944" spans="2:10" ht="15" customHeight="1">
      <c r="B944" s="1042" t="str">
        <f>'Смета Внутр'!B951</f>
        <v>Двутавровая деревянная балка, 240*65мм</v>
      </c>
      <c r="C944" s="1042" t="str">
        <f>'Смета Внутр'!C951</f>
        <v>м.п.</v>
      </c>
      <c r="D944" s="1058">
        <f>'Смета Внутр'!D951</f>
        <v>0</v>
      </c>
      <c r="E944" s="1042">
        <f>'Смета Внутр'!E951</f>
        <v>263</v>
      </c>
      <c r="F944" s="1042">
        <f>'Смета Внутр'!F951</f>
        <v>0</v>
      </c>
      <c r="G944" s="1042">
        <f t="shared" si="47"/>
        <v>263</v>
      </c>
      <c r="H944" s="1042">
        <f>'Смета Внутр'!G951</f>
        <v>0</v>
      </c>
      <c r="I944" s="1042">
        <f>'Смета Внутр'!H951</f>
        <v>0</v>
      </c>
      <c r="J944" s="1058">
        <f>'Смета Внутр'!I951</f>
        <v>0</v>
      </c>
    </row>
    <row r="945" spans="2:10" ht="15" customHeight="1">
      <c r="B945" s="1042" t="str">
        <f>'Смета Внутр'!B952</f>
        <v>Двутавровая деревянная балка, 240*90мм</v>
      </c>
      <c r="C945" s="1042" t="str">
        <f>'Смета Внутр'!C952</f>
        <v>м.п.</v>
      </c>
      <c r="D945" s="1058">
        <f>'Смета Внутр'!D952</f>
        <v>0</v>
      </c>
      <c r="E945" s="1042">
        <f>'Смета Внутр'!E952</f>
        <v>291</v>
      </c>
      <c r="F945" s="1042">
        <f>'Смета Внутр'!F952</f>
        <v>0</v>
      </c>
      <c r="G945" s="1042">
        <f t="shared" si="47"/>
        <v>291</v>
      </c>
      <c r="H945" s="1042">
        <f>'Смета Внутр'!G952</f>
        <v>0</v>
      </c>
      <c r="I945" s="1042">
        <f>'Смета Внутр'!H952</f>
        <v>0</v>
      </c>
      <c r="J945" s="1058">
        <f>'Смета Внутр'!I952</f>
        <v>0</v>
      </c>
    </row>
    <row r="946" spans="2:10" ht="15" customHeight="1">
      <c r="B946" s="1042" t="str">
        <f>'Смета Внутр'!B953</f>
        <v>Двутавровая деревянная балка, 200*65мм</v>
      </c>
      <c r="C946" s="1042" t="str">
        <f>'Смета Внутр'!C953</f>
        <v>м.п.</v>
      </c>
      <c r="D946" s="1058">
        <f>'Смета Внутр'!D953</f>
        <v>0</v>
      </c>
      <c r="E946" s="1042">
        <f>'Смета Внутр'!E953</f>
        <v>250</v>
      </c>
      <c r="F946" s="1042">
        <f>'Смета Внутр'!F953</f>
        <v>0</v>
      </c>
      <c r="G946" s="1042">
        <f t="shared" si="47"/>
        <v>250</v>
      </c>
      <c r="H946" s="1042">
        <f>'Смета Внутр'!G953</f>
        <v>0</v>
      </c>
      <c r="I946" s="1042">
        <f>'Смета Внутр'!H953</f>
        <v>0</v>
      </c>
      <c r="J946" s="1058">
        <f>'Смета Внутр'!I953</f>
        <v>0</v>
      </c>
    </row>
    <row r="947" spans="2:10" ht="15" customHeight="1">
      <c r="B947" s="1042" t="str">
        <f>'Смета Внутр'!B954</f>
        <v>Двутавровая деревянная балка, 200*90мм</v>
      </c>
      <c r="C947" s="1042" t="str">
        <f>'Смета Внутр'!C954</f>
        <v>м.п.</v>
      </c>
      <c r="D947" s="1058">
        <f>'Смета Внутр'!D954</f>
        <v>0</v>
      </c>
      <c r="E947" s="1042">
        <f>'Смета Внутр'!E954</f>
        <v>280</v>
      </c>
      <c r="F947" s="1042">
        <f>'Смета Внутр'!F954</f>
        <v>0</v>
      </c>
      <c r="G947" s="1042">
        <f t="shared" si="47"/>
        <v>280</v>
      </c>
      <c r="H947" s="1042">
        <f>'Смета Внутр'!G954</f>
        <v>0</v>
      </c>
      <c r="I947" s="1042">
        <f>'Смета Внутр'!H954</f>
        <v>0</v>
      </c>
      <c r="J947" s="1058">
        <f>'Смета Внутр'!I954</f>
        <v>0</v>
      </c>
    </row>
    <row r="948" spans="2:10" ht="15" customHeight="1">
      <c r="B948" s="1042" t="str">
        <f>'Смета Внутр'!B955</f>
        <v>Двутавровая деревянная балка, 150*65мм</v>
      </c>
      <c r="C948" s="1042" t="str">
        <f>'Смета Внутр'!C955</f>
        <v>м.п.</v>
      </c>
      <c r="D948" s="1058">
        <f>'Смета Внутр'!D955</f>
        <v>0</v>
      </c>
      <c r="E948" s="1042">
        <f>'Смета Внутр'!E955</f>
        <v>220</v>
      </c>
      <c r="F948" s="1042">
        <f>'Смета Внутр'!F955</f>
        <v>0</v>
      </c>
      <c r="G948" s="1042">
        <f t="shared" si="47"/>
        <v>220</v>
      </c>
      <c r="H948" s="1042">
        <f>'Смета Внутр'!G955</f>
        <v>0</v>
      </c>
      <c r="I948" s="1042">
        <f>'Смета Внутр'!H955</f>
        <v>0</v>
      </c>
      <c r="J948" s="1058">
        <f>'Смета Внутр'!I955</f>
        <v>0</v>
      </c>
    </row>
    <row r="949" spans="2:10" ht="15" customHeight="1">
      <c r="B949" s="1042" t="str">
        <f>'Смета Внутр'!B956</f>
        <v>Двутавровая деревянная балка, 150*90мм</v>
      </c>
      <c r="C949" s="1042" t="str">
        <f>'Смета Внутр'!C956</f>
        <v>м.п.</v>
      </c>
      <c r="D949" s="1058">
        <f>'Смета Внутр'!D956</f>
        <v>0</v>
      </c>
      <c r="E949" s="1042">
        <f>'Смета Внутр'!E956</f>
        <v>250</v>
      </c>
      <c r="F949" s="1042">
        <f>'Смета Внутр'!F956</f>
        <v>0</v>
      </c>
      <c r="G949" s="1042">
        <f t="shared" si="47"/>
        <v>250</v>
      </c>
      <c r="H949" s="1042">
        <f>'Смета Внутр'!G956</f>
        <v>0</v>
      </c>
      <c r="I949" s="1042">
        <f>'Смета Внутр'!H956</f>
        <v>0</v>
      </c>
      <c r="J949" s="1058">
        <f>'Смета Внутр'!I956</f>
        <v>0</v>
      </c>
    </row>
    <row r="950" spans="2:10" ht="15" customHeight="1">
      <c r="B950" s="1042" t="str">
        <f>'Смета Внутр'!B957</f>
        <v xml:space="preserve">Уголок усиленный 90х70х55х2,5        </v>
      </c>
      <c r="C950" s="1042" t="str">
        <f>'Смета Внутр'!C957</f>
        <v>шт</v>
      </c>
      <c r="D950" s="1058">
        <f>'Смета Внутр'!D957</f>
        <v>0</v>
      </c>
      <c r="E950" s="1042">
        <f>'Смета Внутр'!E957</f>
        <v>30</v>
      </c>
      <c r="F950" s="1042">
        <f>'Смета Внутр'!F957</f>
        <v>0</v>
      </c>
      <c r="G950" s="1042">
        <f t="shared" si="47"/>
        <v>30</v>
      </c>
      <c r="H950" s="1042">
        <f>'Смета Внутр'!G957</f>
        <v>0</v>
      </c>
      <c r="I950" s="1042">
        <f>'Смета Внутр'!H957</f>
        <v>0</v>
      </c>
      <c r="J950" s="1058">
        <f>'Смета Внутр'!I957</f>
        <v>0</v>
      </c>
    </row>
    <row r="951" spans="2:10" ht="15" customHeight="1">
      <c r="B951" s="1042" t="str">
        <f>'Смета Внутр'!B958</f>
        <v xml:space="preserve">Саморезы 3,5 x 55            </v>
      </c>
      <c r="C951" s="1042" t="str">
        <f>'Смета Внутр'!C958</f>
        <v>шт</v>
      </c>
      <c r="D951" s="1058">
        <f>'Смета Внутр'!D958</f>
        <v>0</v>
      </c>
      <c r="E951" s="1042">
        <f>'Смета Внутр'!E958</f>
        <v>0.3</v>
      </c>
      <c r="F951" s="1042">
        <f>'Смета Внутр'!F958</f>
        <v>0</v>
      </c>
      <c r="G951" s="1042">
        <f t="shared" si="47"/>
        <v>0.3</v>
      </c>
      <c r="H951" s="1042">
        <f>'Смета Внутр'!G958</f>
        <v>0</v>
      </c>
      <c r="I951" s="1042">
        <f>'Смета Внутр'!H958</f>
        <v>0</v>
      </c>
      <c r="J951" s="1058">
        <f>'Смета Внутр'!I958</f>
        <v>0</v>
      </c>
    </row>
    <row r="952" spans="2:10" ht="15" customHeight="1">
      <c r="B952" s="3007" t="str">
        <f>'Смета Внутр'!B959</f>
        <v>Нет</v>
      </c>
      <c r="C952" s="3007" t="str">
        <f>'Смета Внутр'!C959</f>
        <v>м3</v>
      </c>
      <c r="D952" s="3014">
        <f>'Смета Внутр'!D959</f>
        <v>0</v>
      </c>
      <c r="E952" s="1042">
        <f>'Смета Внутр'!E959</f>
        <v>0</v>
      </c>
      <c r="F952" s="1042">
        <f>'Смета Внутр'!F959</f>
        <v>0</v>
      </c>
      <c r="G952" s="3007">
        <f t="shared" si="47"/>
        <v>0</v>
      </c>
      <c r="H952" s="1042">
        <f>'Смета Внутр'!G959</f>
        <v>0</v>
      </c>
      <c r="I952" s="1042">
        <f>'Смета Внутр'!H959</f>
        <v>0</v>
      </c>
      <c r="J952" s="3014">
        <f>'Смета Внутр'!I959</f>
        <v>0</v>
      </c>
    </row>
    <row r="953" spans="2:10" ht="15" customHeight="1">
      <c r="B953" s="3007" t="str">
        <f>'Смета Внутр'!B960</f>
        <v>нет ветроизоляции</v>
      </c>
      <c r="C953" s="3007" t="str">
        <f>'Смета Внутр'!C960</f>
        <v>м2</v>
      </c>
      <c r="D953" s="3014">
        <f>'Смета Внутр'!D960</f>
        <v>100</v>
      </c>
      <c r="E953" s="1042">
        <f>'Смета Внутр'!E960</f>
        <v>0</v>
      </c>
      <c r="F953" s="1042">
        <f>'Смета Внутр'!F960</f>
        <v>0</v>
      </c>
      <c r="G953" s="3007">
        <f t="shared" si="47"/>
        <v>0</v>
      </c>
      <c r="H953" s="1042">
        <f>'Смета Внутр'!G960</f>
        <v>0</v>
      </c>
      <c r="I953" s="1042">
        <f>'Смета Внутр'!H960</f>
        <v>0</v>
      </c>
      <c r="J953" s="3014">
        <f>'Смета Внутр'!I960</f>
        <v>0</v>
      </c>
    </row>
    <row r="954" spans="2:10" ht="15" customHeight="1">
      <c r="B954" s="3007" t="str">
        <f>'Смета Внутр'!B961</f>
        <v>нет пароизоляции</v>
      </c>
      <c r="C954" s="3007" t="str">
        <f>'Смета Внутр'!C961</f>
        <v>м2</v>
      </c>
      <c r="D954" s="3014">
        <f>'Смета Внутр'!D961</f>
        <v>100</v>
      </c>
      <c r="E954" s="1042">
        <f>'Смета Внутр'!E961</f>
        <v>0</v>
      </c>
      <c r="F954" s="1042">
        <f>'Смета Внутр'!F961</f>
        <v>0</v>
      </c>
      <c r="G954" s="3007">
        <f t="shared" si="47"/>
        <v>0</v>
      </c>
      <c r="H954" s="1042">
        <f>'Смета Внутр'!G961</f>
        <v>0</v>
      </c>
      <c r="I954" s="1042">
        <f>'Смета Внутр'!H961</f>
        <v>0</v>
      </c>
      <c r="J954" s="3014">
        <f>'Смета Внутр'!I961</f>
        <v>0</v>
      </c>
    </row>
    <row r="955" spans="2:10" ht="15" customHeight="1">
      <c r="B955" s="1042" t="str">
        <f>'Смета Внутр'!B962</f>
        <v>Плита перекрытия ЖБИ</v>
      </c>
      <c r="C955" s="1042" t="str">
        <f>'Смета Внутр'!C962</f>
        <v>м2</v>
      </c>
      <c r="D955" s="1058">
        <f>'Смета Внутр'!D962</f>
        <v>0</v>
      </c>
      <c r="E955" s="1042">
        <f>'Смета Внутр'!E962</f>
        <v>1400</v>
      </c>
      <c r="F955" s="1042">
        <f>'Смета Внутр'!F962</f>
        <v>0</v>
      </c>
      <c r="G955" s="1042">
        <f t="shared" si="47"/>
        <v>1400</v>
      </c>
      <c r="H955" s="1042">
        <f>'Смета Внутр'!G962</f>
        <v>0</v>
      </c>
      <c r="I955" s="1042">
        <f>'Смета Внутр'!H962</f>
        <v>0</v>
      </c>
      <c r="J955" s="1058">
        <f>'Смета Внутр'!I962</f>
        <v>0</v>
      </c>
    </row>
    <row r="956" spans="2:10" ht="15" customHeight="1">
      <c r="B956" s="1042" t="str">
        <f>'Смета Внутр'!B963</f>
        <v>Раствор, м250</v>
      </c>
      <c r="C956" s="1042" t="str">
        <f>'Смета Внутр'!C963</f>
        <v>м3</v>
      </c>
      <c r="D956" s="1058">
        <f>'Смета Внутр'!D963</f>
        <v>0</v>
      </c>
      <c r="E956" s="1042">
        <f>'Смета Внутр'!E963</f>
        <v>2500</v>
      </c>
      <c r="F956" s="1042">
        <f>'Смета Внутр'!F963</f>
        <v>0</v>
      </c>
      <c r="G956" s="1042">
        <f t="shared" si="47"/>
        <v>2500</v>
      </c>
      <c r="H956" s="1042">
        <f>'Смета Внутр'!G963</f>
        <v>0</v>
      </c>
      <c r="I956" s="1042">
        <f>'Смета Внутр'!H963</f>
        <v>0</v>
      </c>
      <c r="J956" s="1058">
        <f>'Смета Внутр'!I963</f>
        <v>0</v>
      </c>
    </row>
    <row r="957" spans="2:10" ht="15" customHeight="1">
      <c r="B957" s="1042" t="str">
        <f>'Смета Внутр'!B964</f>
        <v>Монолит, бетон, 300мм, 2 слоя</v>
      </c>
      <c r="C957" s="1042" t="str">
        <f>'Смета Внутр'!C964</f>
        <v>м2</v>
      </c>
      <c r="D957" s="1058">
        <f>'Смета Внутр'!D964</f>
        <v>0</v>
      </c>
      <c r="E957" s="1042">
        <f>'Смета Внутр'!E964</f>
        <v>1</v>
      </c>
      <c r="F957" s="1042">
        <f>'Смета Внутр'!F964</f>
        <v>0</v>
      </c>
      <c r="G957" s="1042">
        <f t="shared" si="47"/>
        <v>1</v>
      </c>
      <c r="H957" s="1042">
        <f>'Смета Внутр'!G964</f>
        <v>0</v>
      </c>
      <c r="I957" s="1042">
        <f>'Смета Внутр'!H964</f>
        <v>0</v>
      </c>
      <c r="J957" s="1058">
        <f>'Смета Внутр'!I964</f>
        <v>0</v>
      </c>
    </row>
    <row r="958" spans="2:10" ht="15" customHeight="1">
      <c r="B958" s="1042" t="str">
        <f>'Смета Внутр'!B965</f>
        <v>Монолит, бетон, 300мм, 1 слой</v>
      </c>
      <c r="C958" s="1042" t="str">
        <f>'Смета Внутр'!C965</f>
        <v>м2</v>
      </c>
      <c r="D958" s="1058">
        <f>'Смета Внутр'!D965</f>
        <v>0</v>
      </c>
      <c r="E958" s="1042">
        <f>'Смета Внутр'!E965</f>
        <v>1</v>
      </c>
      <c r="F958" s="1042">
        <f>'Смета Внутр'!F965</f>
        <v>0</v>
      </c>
      <c r="G958" s="1042">
        <f t="shared" si="47"/>
        <v>1</v>
      </c>
      <c r="H958" s="1042">
        <f>'Смета Внутр'!G965</f>
        <v>0</v>
      </c>
      <c r="I958" s="1042">
        <f>'Смета Внутр'!H965</f>
        <v>0</v>
      </c>
      <c r="J958" s="1058">
        <f>'Смета Внутр'!I965</f>
        <v>0</v>
      </c>
    </row>
    <row r="959" spans="2:10" ht="15" customHeight="1">
      <c r="B959" s="1042" t="str">
        <f>'Смета Внутр'!B966</f>
        <v>Монолит, бетон, 250мм, 2 слоя</v>
      </c>
      <c r="C959" s="1042" t="str">
        <f>'Смета Внутр'!C966</f>
        <v>м2</v>
      </c>
      <c r="D959" s="1058">
        <f>'Смета Внутр'!D966</f>
        <v>0</v>
      </c>
      <c r="E959" s="1042">
        <f>'Смета Внутр'!E966</f>
        <v>1</v>
      </c>
      <c r="F959" s="1042">
        <f>'Смета Внутр'!F966</f>
        <v>0</v>
      </c>
      <c r="G959" s="1042">
        <f t="shared" si="47"/>
        <v>1</v>
      </c>
      <c r="H959" s="1042">
        <f>'Смета Внутр'!G966</f>
        <v>0</v>
      </c>
      <c r="I959" s="1042">
        <f>'Смета Внутр'!H966</f>
        <v>0</v>
      </c>
      <c r="J959" s="1058">
        <f>'Смета Внутр'!I966</f>
        <v>0</v>
      </c>
    </row>
    <row r="960" spans="2:10" ht="15" customHeight="1">
      <c r="B960" s="1042" t="str">
        <f>'Смета Внутр'!B967</f>
        <v>Монолит, бетон, 250мм, 1 слой</v>
      </c>
      <c r="C960" s="1042" t="str">
        <f>'Смета Внутр'!C967</f>
        <v>м2</v>
      </c>
      <c r="D960" s="1058">
        <f>'Смета Внутр'!D967</f>
        <v>0</v>
      </c>
      <c r="E960" s="1042">
        <f>'Смета Внутр'!E967</f>
        <v>1</v>
      </c>
      <c r="F960" s="1042">
        <f>'Смета Внутр'!F967</f>
        <v>0</v>
      </c>
      <c r="G960" s="1042">
        <f t="shared" si="47"/>
        <v>1</v>
      </c>
      <c r="H960" s="1042">
        <f>'Смета Внутр'!G967</f>
        <v>0</v>
      </c>
      <c r="I960" s="1042">
        <f>'Смета Внутр'!H967</f>
        <v>0</v>
      </c>
      <c r="J960" s="1058">
        <f>'Смета Внутр'!I967</f>
        <v>0</v>
      </c>
    </row>
    <row r="961" spans="2:10" ht="15" customHeight="1">
      <c r="B961" s="1042" t="str">
        <f>'Смета Внутр'!B968</f>
        <v>Монолит, бетон, 200мм, 2 слоя</v>
      </c>
      <c r="C961" s="1042" t="str">
        <f>'Смета Внутр'!C968</f>
        <v>м2</v>
      </c>
      <c r="D961" s="1058">
        <f>'Смета Внутр'!D968</f>
        <v>0</v>
      </c>
      <c r="E961" s="1042">
        <f>'Смета Внутр'!E968</f>
        <v>1</v>
      </c>
      <c r="F961" s="1042">
        <f>'Смета Внутр'!F968</f>
        <v>0</v>
      </c>
      <c r="G961" s="1042">
        <f t="shared" si="47"/>
        <v>1</v>
      </c>
      <c r="H961" s="1042">
        <f>'Смета Внутр'!G968</f>
        <v>0</v>
      </c>
      <c r="I961" s="1042">
        <f>'Смета Внутр'!H968</f>
        <v>0</v>
      </c>
      <c r="J961" s="1058">
        <f>'Смета Внутр'!I968</f>
        <v>0</v>
      </c>
    </row>
    <row r="962" spans="2:10" ht="15" customHeight="1">
      <c r="B962" s="1042" t="str">
        <f>'Смета Внутр'!B969</f>
        <v>Монолит, бетон, 200мм, 1 слой</v>
      </c>
      <c r="C962" s="1042" t="str">
        <f>'Смета Внутр'!C969</f>
        <v>м2</v>
      </c>
      <c r="D962" s="1058">
        <f>'Смета Внутр'!D969</f>
        <v>0</v>
      </c>
      <c r="E962" s="1042">
        <f>'Смета Внутр'!E969</f>
        <v>1</v>
      </c>
      <c r="F962" s="1042">
        <f>'Смета Внутр'!F969</f>
        <v>0</v>
      </c>
      <c r="G962" s="1042">
        <f t="shared" ref="G962:G1025" si="48">IF(E962&gt;F962,E962,F962)</f>
        <v>1</v>
      </c>
      <c r="H962" s="1042">
        <f>'Смета Внутр'!G969</f>
        <v>0</v>
      </c>
      <c r="I962" s="1042">
        <f>'Смета Внутр'!H969</f>
        <v>0</v>
      </c>
      <c r="J962" s="1058">
        <f>'Смета Внутр'!I969</f>
        <v>0</v>
      </c>
    </row>
    <row r="963" spans="2:10" ht="15" customHeight="1">
      <c r="B963" s="1042" t="str">
        <f>'Смета Внутр'!B970</f>
        <v>Монолит, бетон, 150мм, 2 слоя</v>
      </c>
      <c r="C963" s="1042" t="str">
        <f>'Смета Внутр'!C970</f>
        <v>м2</v>
      </c>
      <c r="D963" s="1058">
        <f>'Смета Внутр'!D970</f>
        <v>0</v>
      </c>
      <c r="E963" s="1042">
        <f>'Смета Внутр'!E970</f>
        <v>1</v>
      </c>
      <c r="F963" s="1042">
        <f>'Смета Внутр'!F970</f>
        <v>0</v>
      </c>
      <c r="G963" s="1042">
        <f t="shared" si="48"/>
        <v>1</v>
      </c>
      <c r="H963" s="1042">
        <f>'Смета Внутр'!G970</f>
        <v>0</v>
      </c>
      <c r="I963" s="1042">
        <f>'Смета Внутр'!H970</f>
        <v>0</v>
      </c>
      <c r="J963" s="1058">
        <f>'Смета Внутр'!I970</f>
        <v>0</v>
      </c>
    </row>
    <row r="964" spans="2:10" ht="15" customHeight="1">
      <c r="B964" s="1042" t="str">
        <f>'Смета Внутр'!B971</f>
        <v>Монолит, бетон, 150мм, 1 слой</v>
      </c>
      <c r="C964" s="1042" t="str">
        <f>'Смета Внутр'!C971</f>
        <v>м2</v>
      </c>
      <c r="D964" s="1058">
        <f>'Смета Внутр'!D971</f>
        <v>0</v>
      </c>
      <c r="E964" s="1042">
        <f>'Смета Внутр'!E971</f>
        <v>1</v>
      </c>
      <c r="F964" s="1042">
        <f>'Смета Внутр'!F971</f>
        <v>0</v>
      </c>
      <c r="G964" s="1042">
        <f t="shared" si="48"/>
        <v>1</v>
      </c>
      <c r="H964" s="1042">
        <f>'Смета Внутр'!G971</f>
        <v>0</v>
      </c>
      <c r="I964" s="1042">
        <f>'Смета Внутр'!H971</f>
        <v>0</v>
      </c>
      <c r="J964" s="1058">
        <f>'Смета Внутр'!I971</f>
        <v>0</v>
      </c>
    </row>
    <row r="965" spans="2:10" ht="15" customHeight="1">
      <c r="B965" s="1042" t="str">
        <f>'Смета Внутр'!B972</f>
        <v>доска для опалубки монолит перекрытий</v>
      </c>
      <c r="C965" s="1042" t="str">
        <f>'Смета Внутр'!C972</f>
        <v>м3</v>
      </c>
      <c r="D965" s="1058">
        <f>'Смета Внутр'!D972</f>
        <v>0</v>
      </c>
      <c r="E965" s="1042">
        <f>'Смета Внутр'!E972</f>
        <v>6500</v>
      </c>
      <c r="F965" s="1042">
        <f>'Смета Внутр'!F972</f>
        <v>0</v>
      </c>
      <c r="G965" s="1042">
        <f t="shared" si="48"/>
        <v>6500</v>
      </c>
      <c r="H965" s="1042">
        <f>'Смета Внутр'!G972</f>
        <v>0</v>
      </c>
      <c r="I965" s="1042">
        <f>'Смета Внутр'!H972</f>
        <v>0</v>
      </c>
      <c r="J965" s="1058">
        <f>'Смета Внутр'!I972</f>
        <v>0</v>
      </c>
    </row>
    <row r="966" spans="2:10" ht="15" customHeight="1">
      <c r="B966" s="1042" t="str">
        <f>'Смета Внутр'!B973</f>
        <v>стойки под опалубку перекрытий</v>
      </c>
      <c r="C966" s="1042" t="str">
        <f>'Смета Внутр'!C973</f>
        <v>шт</v>
      </c>
      <c r="D966" s="1058">
        <f>'Смета Внутр'!D973</f>
        <v>0</v>
      </c>
      <c r="E966" s="1042">
        <f>'Смета Внутр'!E973</f>
        <v>0</v>
      </c>
      <c r="F966" s="1042">
        <f>'Смета Внутр'!F973</f>
        <v>0</v>
      </c>
      <c r="G966" s="1042">
        <f t="shared" si="48"/>
        <v>0</v>
      </c>
      <c r="H966" s="1042">
        <f>'Смета Внутр'!G973</f>
        <v>0</v>
      </c>
      <c r="I966" s="1042">
        <f>'Смета Внутр'!H973</f>
        <v>0</v>
      </c>
      <c r="J966" s="1058">
        <f>'Смета Внутр'!I973</f>
        <v>0</v>
      </c>
    </row>
    <row r="967" spans="2:10" ht="15" customHeight="1">
      <c r="B967" s="1042" t="str">
        <f>'Смета Внутр'!B974</f>
        <v xml:space="preserve">Пленка гидроизоляционная </v>
      </c>
      <c r="C967" s="1042" t="str">
        <f>'Смета Внутр'!C974</f>
        <v>м2</v>
      </c>
      <c r="D967" s="1058">
        <f>'Смета Внутр'!D974</f>
        <v>0</v>
      </c>
      <c r="E967" s="1042">
        <f>'Смета Внутр'!E974</f>
        <v>15</v>
      </c>
      <c r="F967" s="1042">
        <f>'Смета Внутр'!F974</f>
        <v>0</v>
      </c>
      <c r="G967" s="1042">
        <f t="shared" si="48"/>
        <v>15</v>
      </c>
      <c r="H967" s="1042">
        <f>'Смета Внутр'!G974</f>
        <v>0</v>
      </c>
      <c r="I967" s="1042">
        <f>'Смета Внутр'!H974</f>
        <v>0</v>
      </c>
      <c r="J967" s="1058">
        <f>'Смета Внутр'!I974</f>
        <v>0</v>
      </c>
    </row>
    <row r="968" spans="2:10" ht="15" customHeight="1">
      <c r="B968" s="1042" t="str">
        <f>'Смета Внутр'!B975</f>
        <v>Арматура М10</v>
      </c>
      <c r="C968" s="1042" t="str">
        <f>'Смета Внутр'!C975</f>
        <v>м.п.</v>
      </c>
      <c r="D968" s="1058">
        <f>'Смета Внутр'!D975</f>
        <v>0</v>
      </c>
      <c r="E968" s="1042">
        <f>'Смета Внутр'!E975</f>
        <v>21.0397</v>
      </c>
      <c r="F968" s="1042">
        <f>'Смета Внутр'!F975</f>
        <v>0</v>
      </c>
      <c r="G968" s="1042">
        <f t="shared" si="48"/>
        <v>21.0397</v>
      </c>
      <c r="H968" s="1042">
        <f>'Смета Внутр'!G975</f>
        <v>0</v>
      </c>
      <c r="I968" s="1042">
        <f>'Смета Внутр'!H975</f>
        <v>0</v>
      </c>
      <c r="J968" s="1058">
        <f>'Смета Внутр'!I975</f>
        <v>0</v>
      </c>
    </row>
    <row r="969" spans="2:10" ht="15" customHeight="1">
      <c r="B969" s="1042" t="str">
        <f>'Смета Внутр'!B976</f>
        <v>Вязальная проволока</v>
      </c>
      <c r="C969" s="1042" t="str">
        <f>'Смета Внутр'!C976</f>
        <v>кг</v>
      </c>
      <c r="D969" s="1058">
        <f>'Смета Внутр'!D976</f>
        <v>0</v>
      </c>
      <c r="E969" s="1042">
        <f>'Смета Внутр'!E976</f>
        <v>80</v>
      </c>
      <c r="F969" s="1042">
        <f>'Смета Внутр'!F976</f>
        <v>0</v>
      </c>
      <c r="G969" s="1042">
        <f t="shared" si="48"/>
        <v>80</v>
      </c>
      <c r="H969" s="1042">
        <f>'Смета Внутр'!G976</f>
        <v>0</v>
      </c>
      <c r="I969" s="1042">
        <f>'Смета Внутр'!H976</f>
        <v>0</v>
      </c>
      <c r="J969" s="1058">
        <f>'Смета Внутр'!I976</f>
        <v>0</v>
      </c>
    </row>
    <row r="970" spans="2:10" ht="15" customHeight="1">
      <c r="B970" s="1042" t="str">
        <f>'Смета Внутр'!B977</f>
        <v>Подставка под арматурный каркас</v>
      </c>
      <c r="C970" s="1042" t="str">
        <f>'Смета Внутр'!C977</f>
        <v>шт</v>
      </c>
      <c r="D970" s="1058">
        <f>'Смета Внутр'!D977</f>
        <v>0</v>
      </c>
      <c r="E970" s="1042">
        <f>'Смета Внутр'!E977</f>
        <v>5</v>
      </c>
      <c r="F970" s="1042">
        <f>'Смета Внутр'!F977</f>
        <v>0</v>
      </c>
      <c r="G970" s="1042">
        <f t="shared" si="48"/>
        <v>5</v>
      </c>
      <c r="H970" s="1042">
        <f>'Смета Внутр'!G977</f>
        <v>0</v>
      </c>
      <c r="I970" s="1042">
        <f>'Смета Внутр'!H977</f>
        <v>0</v>
      </c>
      <c r="J970" s="1058">
        <f>'Смета Внутр'!I977</f>
        <v>0</v>
      </c>
    </row>
    <row r="971" spans="2:10" ht="15" customHeight="1">
      <c r="B971" s="1042" t="str">
        <f>'Смета Внутр'!B978</f>
        <v>бетон, м350</v>
      </c>
      <c r="C971" s="1042" t="str">
        <f>'Смета Внутр'!C978</f>
        <v>м3</v>
      </c>
      <c r="D971" s="1058">
        <f>'Смета Внутр'!D978</f>
        <v>0</v>
      </c>
      <c r="E971" s="1042">
        <f>'Смета Внутр'!E978</f>
        <v>3500</v>
      </c>
      <c r="F971" s="1042">
        <f>'Смета Внутр'!F978</f>
        <v>0</v>
      </c>
      <c r="G971" s="1042">
        <f t="shared" si="48"/>
        <v>3500</v>
      </c>
      <c r="H971" s="1042">
        <f>'Смета Внутр'!G978</f>
        <v>0</v>
      </c>
      <c r="I971" s="1042">
        <f>'Смета Внутр'!H978</f>
        <v>0</v>
      </c>
      <c r="J971" s="1058">
        <f>'Смета Внутр'!I978</f>
        <v>0</v>
      </c>
    </row>
    <row r="972" spans="2:10" ht="15" customHeight="1">
      <c r="B972" s="1042" t="str">
        <f>'Смета Внутр'!B979</f>
        <v>Брус естественной влажности, 200*100мм</v>
      </c>
      <c r="C972" s="1042" t="str">
        <f>'Смета Внутр'!C979</f>
        <v>м3</v>
      </c>
      <c r="D972" s="1058">
        <f>'Смета Внутр'!D979</f>
        <v>0</v>
      </c>
      <c r="E972" s="1042">
        <f>'Смета Внутр'!E979</f>
        <v>6500</v>
      </c>
      <c r="F972" s="1042">
        <f>'Смета Внутр'!F979</f>
        <v>0</v>
      </c>
      <c r="G972" s="1042">
        <f t="shared" si="48"/>
        <v>6500</v>
      </c>
      <c r="H972" s="1042">
        <f>'Смета Внутр'!G979</f>
        <v>0</v>
      </c>
      <c r="I972" s="1042">
        <f>'Смета Внутр'!H979</f>
        <v>0</v>
      </c>
      <c r="J972" s="1058">
        <f>'Смета Внутр'!I979</f>
        <v>0</v>
      </c>
    </row>
    <row r="973" spans="2:10" ht="15" customHeight="1">
      <c r="B973" s="1042" t="str">
        <f>'Смета Внутр'!B980</f>
        <v>Брус естественной влажности, 150*100мм</v>
      </c>
      <c r="C973" s="1042" t="str">
        <f>'Смета Внутр'!C980</f>
        <v>м3</v>
      </c>
      <c r="D973" s="1058">
        <f>'Смета Внутр'!D980</f>
        <v>0</v>
      </c>
      <c r="E973" s="1042">
        <f>'Смета Внутр'!E980</f>
        <v>6500</v>
      </c>
      <c r="F973" s="1042">
        <f>'Смета Внутр'!F980</f>
        <v>0</v>
      </c>
      <c r="G973" s="1042">
        <f t="shared" si="48"/>
        <v>6500</v>
      </c>
      <c r="H973" s="1042">
        <f>'Смета Внутр'!G980</f>
        <v>0</v>
      </c>
      <c r="I973" s="1042">
        <f>'Смета Внутр'!H980</f>
        <v>0</v>
      </c>
      <c r="J973" s="1058">
        <f>'Смета Внутр'!I980</f>
        <v>0</v>
      </c>
    </row>
    <row r="974" spans="2:10" ht="15" customHeight="1">
      <c r="B974" s="1042" t="str">
        <f>'Смета Внутр'!B981</f>
        <v>Брус естественной влажности, 100*100мм</v>
      </c>
      <c r="C974" s="1042" t="str">
        <f>'Смета Внутр'!C981</f>
        <v>м3</v>
      </c>
      <c r="D974" s="1058">
        <f>'Смета Внутр'!D981</f>
        <v>0</v>
      </c>
      <c r="E974" s="1042">
        <f>'Смета Внутр'!E981</f>
        <v>6500</v>
      </c>
      <c r="F974" s="1042">
        <f>'Смета Внутр'!F981</f>
        <v>0</v>
      </c>
      <c r="G974" s="1042">
        <f t="shared" si="48"/>
        <v>6500</v>
      </c>
      <c r="H974" s="1042">
        <f>'Смета Внутр'!G981</f>
        <v>0</v>
      </c>
      <c r="I974" s="1042">
        <f>'Смета Внутр'!H981</f>
        <v>0</v>
      </c>
      <c r="J974" s="1058">
        <f>'Смета Внутр'!I981</f>
        <v>0</v>
      </c>
    </row>
    <row r="975" spans="2:10" ht="15" customHeight="1">
      <c r="B975" s="1042" t="str">
        <f>'Смета Внутр'!B982</f>
        <v>Брус естественной влажности, 150*150мм</v>
      </c>
      <c r="C975" s="1042" t="str">
        <f>'Смета Внутр'!C982</f>
        <v>м3</v>
      </c>
      <c r="D975" s="1058">
        <f>'Смета Внутр'!D982</f>
        <v>0</v>
      </c>
      <c r="E975" s="1042">
        <f>'Смета Внутр'!E982</f>
        <v>6500</v>
      </c>
      <c r="F975" s="1042">
        <f>'Смета Внутр'!F982</f>
        <v>0</v>
      </c>
      <c r="G975" s="1042">
        <f t="shared" si="48"/>
        <v>6500</v>
      </c>
      <c r="H975" s="1042">
        <f>'Смета Внутр'!G982</f>
        <v>0</v>
      </c>
      <c r="I975" s="1042">
        <f>'Смета Внутр'!H982</f>
        <v>0</v>
      </c>
      <c r="J975" s="1058">
        <f>'Смета Внутр'!I982</f>
        <v>0</v>
      </c>
    </row>
    <row r="976" spans="2:10" ht="15" customHeight="1">
      <c r="B976" s="1042" t="str">
        <f>'Смета Внутр'!B983</f>
        <v>Доска естественной влажности, 200*50мм</v>
      </c>
      <c r="C976" s="1042" t="str">
        <f>'Смета Внутр'!C983</f>
        <v>м3</v>
      </c>
      <c r="D976" s="1058">
        <f>'Смета Внутр'!D983</f>
        <v>0</v>
      </c>
      <c r="E976" s="1042">
        <f>'Смета Внутр'!E983</f>
        <v>6500</v>
      </c>
      <c r="F976" s="1042">
        <f>'Смета Внутр'!F983</f>
        <v>0</v>
      </c>
      <c r="G976" s="1042">
        <f t="shared" si="48"/>
        <v>6500</v>
      </c>
      <c r="H976" s="1042">
        <f>'Смета Внутр'!G983</f>
        <v>0</v>
      </c>
      <c r="I976" s="1042">
        <f>'Смета Внутр'!H983</f>
        <v>0</v>
      </c>
      <c r="J976" s="1058">
        <f>'Смета Внутр'!I983</f>
        <v>0</v>
      </c>
    </row>
    <row r="977" spans="2:10" ht="15" customHeight="1">
      <c r="B977" s="1042" t="str">
        <f>'Смета Внутр'!B984</f>
        <v>Доска естественной влажности, 150*50мм</v>
      </c>
      <c r="C977" s="1042" t="str">
        <f>'Смета Внутр'!C984</f>
        <v>м3</v>
      </c>
      <c r="D977" s="1058">
        <f>'Смета Внутр'!D984</f>
        <v>0</v>
      </c>
      <c r="E977" s="1042">
        <f>'Смета Внутр'!E984</f>
        <v>6500</v>
      </c>
      <c r="F977" s="1042">
        <f>'Смета Внутр'!F984</f>
        <v>0</v>
      </c>
      <c r="G977" s="1042">
        <f t="shared" si="48"/>
        <v>6500</v>
      </c>
      <c r="H977" s="1042">
        <f>'Смета Внутр'!G984</f>
        <v>0</v>
      </c>
      <c r="I977" s="1042">
        <f>'Смета Внутр'!H984</f>
        <v>0</v>
      </c>
      <c r="J977" s="1058">
        <f>'Смета Внутр'!I984</f>
        <v>0</v>
      </c>
    </row>
    <row r="978" spans="2:10" ht="15" customHeight="1">
      <c r="B978" s="1042" t="str">
        <f>'Смета Внутр'!B985</f>
        <v xml:space="preserve">Опора бруса          </v>
      </c>
      <c r="C978" s="1042" t="str">
        <f>'Смета Внутр'!C985</f>
        <v>шт</v>
      </c>
      <c r="D978" s="1058">
        <f>'Смета Внутр'!D985</f>
        <v>0</v>
      </c>
      <c r="E978" s="1042">
        <f>'Смета Внутр'!E985</f>
        <v>50</v>
      </c>
      <c r="F978" s="1042">
        <f>'Смета Внутр'!F985</f>
        <v>0</v>
      </c>
      <c r="G978" s="1042">
        <f t="shared" si="48"/>
        <v>50</v>
      </c>
      <c r="H978" s="1042">
        <f>'Смета Внутр'!G985</f>
        <v>0</v>
      </c>
      <c r="I978" s="1042">
        <f>'Смета Внутр'!H985</f>
        <v>0</v>
      </c>
      <c r="J978" s="1058">
        <f>'Смета Внутр'!I985</f>
        <v>0</v>
      </c>
    </row>
    <row r="979" spans="2:10" ht="15" customHeight="1">
      <c r="B979" s="1042" t="str">
        <f>'Смета Внутр'!B986</f>
        <v xml:space="preserve">Болты анкерные с гайкой 8,0 x 60           </v>
      </c>
      <c r="C979" s="1042" t="str">
        <f>'Смета Внутр'!C986</f>
        <v>шт</v>
      </c>
      <c r="D979" s="1058">
        <f>'Смета Внутр'!D986</f>
        <v>0</v>
      </c>
      <c r="E979" s="1042">
        <f>'Смета Внутр'!E986</f>
        <v>4</v>
      </c>
      <c r="F979" s="1042">
        <f>'Смета Внутр'!F986</f>
        <v>0</v>
      </c>
      <c r="G979" s="1042">
        <f t="shared" si="48"/>
        <v>4</v>
      </c>
      <c r="H979" s="1042">
        <f>'Смета Внутр'!G986</f>
        <v>0</v>
      </c>
      <c r="I979" s="1042">
        <f>'Смета Внутр'!H986</f>
        <v>0</v>
      </c>
      <c r="J979" s="1058">
        <f>'Смета Внутр'!I986</f>
        <v>0</v>
      </c>
    </row>
    <row r="980" spans="2:10" ht="15" customHeight="1">
      <c r="B980" s="1042" t="str">
        <f>'Смета Внутр'!B987</f>
        <v>Sip панель 2500*625*124мм</v>
      </c>
      <c r="C980" s="1042" t="str">
        <f>'Смета Внутр'!C987</f>
        <v>м2</v>
      </c>
      <c r="D980" s="1058">
        <f>'Смета Внутр'!D987</f>
        <v>0</v>
      </c>
      <c r="E980" s="1042">
        <f>'Смета Внутр'!E987</f>
        <v>800</v>
      </c>
      <c r="F980" s="1042">
        <f>'Смета Внутр'!F987</f>
        <v>0</v>
      </c>
      <c r="G980" s="1042">
        <f t="shared" si="48"/>
        <v>800</v>
      </c>
      <c r="H980" s="1042">
        <f>'Смета Внутр'!G987</f>
        <v>0</v>
      </c>
      <c r="I980" s="1042">
        <f>'Смета Внутр'!H987</f>
        <v>0</v>
      </c>
      <c r="J980" s="1058">
        <f>'Смета Внутр'!I987</f>
        <v>0</v>
      </c>
    </row>
    <row r="981" spans="2:10" ht="15" customHeight="1">
      <c r="B981" s="1042" t="str">
        <f>'Смета Внутр'!B988</f>
        <v>Sip панель 2500*625*174мм</v>
      </c>
      <c r="C981" s="1042" t="str">
        <f>'Смета Внутр'!C988</f>
        <v>м2</v>
      </c>
      <c r="D981" s="1058">
        <f>'Смета Внутр'!D988</f>
        <v>0</v>
      </c>
      <c r="E981" s="1042">
        <f>'Смета Внутр'!E988</f>
        <v>1200</v>
      </c>
      <c r="F981" s="1042">
        <f>'Смета Внутр'!F988</f>
        <v>0</v>
      </c>
      <c r="G981" s="1042">
        <f t="shared" si="48"/>
        <v>1200</v>
      </c>
      <c r="H981" s="1042">
        <f>'Смета Внутр'!G988</f>
        <v>0</v>
      </c>
      <c r="I981" s="1042">
        <f>'Смета Внутр'!H988</f>
        <v>0</v>
      </c>
      <c r="J981" s="1058">
        <f>'Смета Внутр'!I988</f>
        <v>0</v>
      </c>
    </row>
    <row r="982" spans="2:10" ht="15" customHeight="1">
      <c r="B982" s="1042" t="str">
        <f>'Смета Внутр'!B989</f>
        <v>Sip панель 2500*625*224мм</v>
      </c>
      <c r="C982" s="1042" t="str">
        <f>'Смета Внутр'!C989</f>
        <v>м2</v>
      </c>
      <c r="D982" s="1058">
        <f>'Смета Внутр'!D989</f>
        <v>0</v>
      </c>
      <c r="E982" s="1042">
        <f>'Смета Внутр'!E989</f>
        <v>1400</v>
      </c>
      <c r="F982" s="1042">
        <f>'Смета Внутр'!F989</f>
        <v>0</v>
      </c>
      <c r="G982" s="1042">
        <f t="shared" si="48"/>
        <v>1400</v>
      </c>
      <c r="H982" s="1042">
        <f>'Смета Внутр'!G989</f>
        <v>0</v>
      </c>
      <c r="I982" s="1042">
        <f>'Смета Внутр'!H989</f>
        <v>0</v>
      </c>
      <c r="J982" s="1058">
        <f>'Смета Внутр'!I989</f>
        <v>0</v>
      </c>
    </row>
    <row r="983" spans="2:10" ht="15" customHeight="1">
      <c r="B983" s="1042" t="str">
        <f>'Смета Внутр'!B990</f>
        <v>Доска сухая, 100*50мм</v>
      </c>
      <c r="C983" s="1042" t="str">
        <f>'Смета Внутр'!C990</f>
        <v>м.п.</v>
      </c>
      <c r="D983" s="1058">
        <f>'Смета Внутр'!D990</f>
        <v>0</v>
      </c>
      <c r="E983" s="1042">
        <f>'Смета Внутр'!E990</f>
        <v>45</v>
      </c>
      <c r="F983" s="1042">
        <f>'Смета Внутр'!F990</f>
        <v>0</v>
      </c>
      <c r="G983" s="1042">
        <f t="shared" si="48"/>
        <v>45</v>
      </c>
      <c r="H983" s="1042">
        <f>'Смета Внутр'!G990</f>
        <v>0</v>
      </c>
      <c r="I983" s="1042">
        <f>'Смета Внутр'!H990</f>
        <v>0</v>
      </c>
      <c r="J983" s="1058">
        <f>'Смета Внутр'!I990</f>
        <v>0</v>
      </c>
    </row>
    <row r="984" spans="2:10" ht="15" customHeight="1">
      <c r="B984" s="1042" t="str">
        <f>'Смета Внутр'!B991</f>
        <v>Доска сухая, 150*50мм</v>
      </c>
      <c r="C984" s="1042" t="str">
        <f>'Смета Внутр'!C991</f>
        <v>м.п.</v>
      </c>
      <c r="D984" s="1058">
        <f>'Смета Внутр'!D991</f>
        <v>0</v>
      </c>
      <c r="E984" s="1042">
        <f>'Смета Внутр'!E991</f>
        <v>67.5</v>
      </c>
      <c r="F984" s="1042">
        <f>'Смета Внутр'!F991</f>
        <v>0</v>
      </c>
      <c r="G984" s="1042">
        <f t="shared" si="48"/>
        <v>67.5</v>
      </c>
      <c r="H984" s="1042">
        <f>'Смета Внутр'!G991</f>
        <v>0</v>
      </c>
      <c r="I984" s="1042">
        <f>'Смета Внутр'!H991</f>
        <v>0</v>
      </c>
      <c r="J984" s="1058">
        <f>'Смета Внутр'!I991</f>
        <v>0</v>
      </c>
    </row>
    <row r="985" spans="2:10" ht="15" customHeight="1">
      <c r="B985" s="1042" t="str">
        <f>'Смета Внутр'!B992</f>
        <v>Доска сухая, 200*50мм</v>
      </c>
      <c r="C985" s="1042" t="str">
        <f>'Смета Внутр'!C992</f>
        <v>м.п.</v>
      </c>
      <c r="D985" s="1058">
        <f>'Смета Внутр'!D992</f>
        <v>0</v>
      </c>
      <c r="E985" s="1042">
        <f>'Смета Внутр'!E992</f>
        <v>90</v>
      </c>
      <c r="F985" s="1042">
        <f>'Смета Внутр'!F992</f>
        <v>0</v>
      </c>
      <c r="G985" s="1042">
        <f t="shared" si="48"/>
        <v>90</v>
      </c>
      <c r="H985" s="1042">
        <f>'Смета Внутр'!G992</f>
        <v>0</v>
      </c>
      <c r="I985" s="1042">
        <f>'Смета Внутр'!H992</f>
        <v>0</v>
      </c>
      <c r="J985" s="1058">
        <f>'Смета Внутр'!I992</f>
        <v>0</v>
      </c>
    </row>
    <row r="986" spans="2:10" ht="15" customHeight="1">
      <c r="B986" s="1042" t="str">
        <f>'Смета Внутр'!B993</f>
        <v>Пена монтажная, всесезонняя 800мл</v>
      </c>
      <c r="C986" s="1042" t="str">
        <f>'Смета Внутр'!C993</f>
        <v>шт</v>
      </c>
      <c r="D986" s="1058">
        <f>'Смета Внутр'!D993</f>
        <v>0</v>
      </c>
      <c r="E986" s="1042">
        <f>'Смета Внутр'!E993</f>
        <v>300</v>
      </c>
      <c r="F986" s="1042">
        <f>'Смета Внутр'!F993</f>
        <v>0</v>
      </c>
      <c r="G986" s="1042">
        <f t="shared" si="48"/>
        <v>300</v>
      </c>
      <c r="H986" s="1042">
        <f>'Смета Внутр'!G993</f>
        <v>0</v>
      </c>
      <c r="I986" s="1042">
        <f>'Смета Внутр'!H993</f>
        <v>0</v>
      </c>
      <c r="J986" s="1058">
        <f>'Смета Внутр'!I993</f>
        <v>0</v>
      </c>
    </row>
    <row r="987" spans="2:10" ht="15" customHeight="1">
      <c r="B987" s="1042" t="str">
        <f>'Смета Внутр'!B994</f>
        <v xml:space="preserve">Гвозди строительные 3,5 x 90            </v>
      </c>
      <c r="C987" s="1042" t="str">
        <f>'Смета Внутр'!C994</f>
        <v>шт</v>
      </c>
      <c r="D987" s="1058">
        <f>'Смета Внутр'!D994</f>
        <v>0</v>
      </c>
      <c r="E987" s="1042">
        <f>'Смета Внутр'!E994</f>
        <v>45</v>
      </c>
      <c r="F987" s="1042">
        <f>'Смета Внутр'!F994</f>
        <v>0</v>
      </c>
      <c r="G987" s="1042">
        <f t="shared" si="48"/>
        <v>45</v>
      </c>
      <c r="H987" s="1042">
        <f>'Смета Внутр'!G994</f>
        <v>0</v>
      </c>
      <c r="I987" s="1042">
        <f>'Смета Внутр'!H994</f>
        <v>0</v>
      </c>
      <c r="J987" s="1058">
        <f>'Смета Внутр'!I994</f>
        <v>0</v>
      </c>
    </row>
    <row r="988" spans="2:10" ht="15" customHeight="1">
      <c r="B988" s="1042" t="str">
        <f>'Смета Внутр'!B995</f>
        <v xml:space="preserve">Саморезы 3,5 x 45            </v>
      </c>
      <c r="C988" s="1042" t="str">
        <f>'Смета Внутр'!C995</f>
        <v>шт</v>
      </c>
      <c r="D988" s="1058">
        <f>'Смета Внутр'!D995</f>
        <v>0</v>
      </c>
      <c r="E988" s="1042">
        <f>'Смета Внутр'!E995</f>
        <v>0.25</v>
      </c>
      <c r="F988" s="1042">
        <f>'Смета Внутр'!F995</f>
        <v>0</v>
      </c>
      <c r="G988" s="1042">
        <f t="shared" si="48"/>
        <v>0.25</v>
      </c>
      <c r="H988" s="1042">
        <f>'Смета Внутр'!G995</f>
        <v>0</v>
      </c>
      <c r="I988" s="1042">
        <f>'Смета Внутр'!H995</f>
        <v>0</v>
      </c>
      <c r="J988" s="1058">
        <f>'Смета Внутр'!I995</f>
        <v>0</v>
      </c>
    </row>
    <row r="989" spans="2:10" ht="15" customHeight="1">
      <c r="B989" s="1042" t="str">
        <f>'Смета Внутр'!B996</f>
        <v>Доска сухая, 200*50мм</v>
      </c>
      <c r="C989" s="1042" t="str">
        <f>'Смета Внутр'!C996</f>
        <v>м3</v>
      </c>
      <c r="D989" s="1058">
        <f>'Смета Внутр'!D996</f>
        <v>0</v>
      </c>
      <c r="E989" s="1042">
        <f>'Смета Внутр'!E996</f>
        <v>9000</v>
      </c>
      <c r="F989" s="1042">
        <f>'Смета Внутр'!F996</f>
        <v>0</v>
      </c>
      <c r="G989" s="1042">
        <f t="shared" si="48"/>
        <v>9000</v>
      </c>
      <c r="H989" s="1042">
        <f>'Смета Внутр'!G996</f>
        <v>0</v>
      </c>
      <c r="I989" s="1042">
        <f>'Смета Внутр'!H996</f>
        <v>0</v>
      </c>
      <c r="J989" s="1058">
        <f>'Смета Внутр'!I996</f>
        <v>0</v>
      </c>
    </row>
    <row r="990" spans="2:10" ht="15" customHeight="1">
      <c r="B990" s="1042" t="str">
        <f>'Смета Внутр'!B997</f>
        <v>Доска сухая, 150*50мм</v>
      </c>
      <c r="C990" s="1042" t="str">
        <f>'Смета Внутр'!C997</f>
        <v>м3</v>
      </c>
      <c r="D990" s="1058">
        <f>'Смета Внутр'!D997</f>
        <v>0</v>
      </c>
      <c r="E990" s="1042">
        <f>'Смета Внутр'!E997</f>
        <v>9000</v>
      </c>
      <c r="F990" s="1042">
        <f>'Смета Внутр'!F997</f>
        <v>0</v>
      </c>
      <c r="G990" s="1042">
        <f t="shared" si="48"/>
        <v>9000</v>
      </c>
      <c r="H990" s="1042">
        <f>'Смета Внутр'!G997</f>
        <v>0</v>
      </c>
      <c r="I990" s="1042">
        <f>'Смета Внутр'!H997</f>
        <v>0</v>
      </c>
      <c r="J990" s="1058">
        <f>'Смета Внутр'!I997</f>
        <v>0</v>
      </c>
    </row>
    <row r="991" spans="2:10" ht="15" customHeight="1">
      <c r="B991" s="1042" t="str">
        <f>'Смета Внутр'!B998</f>
        <v xml:space="preserve">Гвозди ершоные 2,8 х 90            </v>
      </c>
      <c r="C991" s="1042" t="str">
        <f>'Смета Внутр'!C998</f>
        <v>кг</v>
      </c>
      <c r="D991" s="1058">
        <f>'Смета Внутр'!D998</f>
        <v>0</v>
      </c>
      <c r="E991" s="1042">
        <f>'Смета Внутр'!E998</f>
        <v>76.489999999999995</v>
      </c>
      <c r="F991" s="1042">
        <f>'Смета Внутр'!F998</f>
        <v>0</v>
      </c>
      <c r="G991" s="1042">
        <f t="shared" si="48"/>
        <v>76.489999999999995</v>
      </c>
      <c r="H991" s="1042">
        <f>'Смета Внутр'!G998</f>
        <v>0</v>
      </c>
      <c r="I991" s="1042">
        <f>'Смета Внутр'!H998</f>
        <v>0</v>
      </c>
      <c r="J991" s="1058">
        <f>'Смета Внутр'!I998</f>
        <v>0</v>
      </c>
    </row>
    <row r="992" spans="2:10" ht="15" customHeight="1">
      <c r="B992" s="1042" t="str">
        <f>'Смета Внутр'!B999</f>
        <v>Доска сухая калиброванная, 190*45мм</v>
      </c>
      <c r="C992" s="1042" t="str">
        <f>'Смета Внутр'!C999</f>
        <v>м3</v>
      </c>
      <c r="D992" s="1058">
        <f>'Смета Внутр'!D999</f>
        <v>0</v>
      </c>
      <c r="E992" s="1042">
        <f>'Смета Внутр'!E999</f>
        <v>12500</v>
      </c>
      <c r="F992" s="1042">
        <f>'Смета Внутр'!F999</f>
        <v>0</v>
      </c>
      <c r="G992" s="1042">
        <f t="shared" si="48"/>
        <v>12500</v>
      </c>
      <c r="H992" s="1042">
        <f>'Смета Внутр'!G999</f>
        <v>0</v>
      </c>
      <c r="I992" s="1042">
        <f>'Смета Внутр'!H999</f>
        <v>0</v>
      </c>
      <c r="J992" s="1058">
        <f>'Смета Внутр'!I999</f>
        <v>0</v>
      </c>
    </row>
    <row r="993" spans="2:10" ht="15" customHeight="1">
      <c r="B993" s="1042" t="str">
        <f>'Смета Внутр'!B1000</f>
        <v>Доска сухая калиброванная, 145*45мм</v>
      </c>
      <c r="C993" s="1042" t="str">
        <f>'Смета Внутр'!C1000</f>
        <v>м3</v>
      </c>
      <c r="D993" s="1058">
        <f>'Смета Внутр'!D1000</f>
        <v>0</v>
      </c>
      <c r="E993" s="1042">
        <f>'Смета Внутр'!E1000</f>
        <v>12500</v>
      </c>
      <c r="F993" s="1042">
        <f>'Смета Внутр'!F1000</f>
        <v>0</v>
      </c>
      <c r="G993" s="1042">
        <f t="shared" si="48"/>
        <v>12500</v>
      </c>
      <c r="H993" s="1042">
        <f>'Смета Внутр'!G1000</f>
        <v>0</v>
      </c>
      <c r="I993" s="1042">
        <f>'Смета Внутр'!H1000</f>
        <v>0</v>
      </c>
      <c r="J993" s="1058">
        <f>'Смета Внутр'!I1000</f>
        <v>0</v>
      </c>
    </row>
    <row r="994" spans="2:10" ht="15" customHeight="1">
      <c r="B994" s="1042" t="str">
        <f>'Смета Внутр'!B1001</f>
        <v xml:space="preserve">Гвозди ершоные 2,8 х 90            </v>
      </c>
      <c r="C994" s="1042" t="str">
        <f>'Смета Внутр'!C1001</f>
        <v>кг</v>
      </c>
      <c r="D994" s="1058">
        <f>'Смета Внутр'!D1001</f>
        <v>0</v>
      </c>
      <c r="E994" s="1042">
        <f>'Смета Внутр'!E1001</f>
        <v>76.489999999999995</v>
      </c>
      <c r="F994" s="1042">
        <f>'Смета Внутр'!F1001</f>
        <v>0</v>
      </c>
      <c r="G994" s="1042">
        <f t="shared" si="48"/>
        <v>76.489999999999995</v>
      </c>
      <c r="H994" s="1042">
        <f>'Смета Внутр'!G1001</f>
        <v>0</v>
      </c>
      <c r="I994" s="1042">
        <f>'Смета Внутр'!H1001</f>
        <v>0</v>
      </c>
      <c r="J994" s="1058">
        <f>'Смета Внутр'!I1001</f>
        <v>0</v>
      </c>
    </row>
    <row r="995" spans="2:10" ht="15" customHeight="1">
      <c r="B995" s="1042" t="str">
        <f>'Смета Внутр'!B1002</f>
        <v>Двутавровая деревянная балка, 400*65мм</v>
      </c>
      <c r="C995" s="1042" t="str">
        <f>'Смета Внутр'!C1002</f>
        <v>м.п.</v>
      </c>
      <c r="D995" s="1058">
        <f>'Смета Внутр'!D1002</f>
        <v>0</v>
      </c>
      <c r="E995" s="1042">
        <f>'Смета Внутр'!E1002</f>
        <v>303</v>
      </c>
      <c r="F995" s="1042">
        <f>'Смета Внутр'!F1002</f>
        <v>0</v>
      </c>
      <c r="G995" s="1042">
        <f t="shared" si="48"/>
        <v>303</v>
      </c>
      <c r="H995" s="1042">
        <f>'Смета Внутр'!G1002</f>
        <v>0</v>
      </c>
      <c r="I995" s="1042">
        <f>'Смета Внутр'!H1002</f>
        <v>0</v>
      </c>
      <c r="J995" s="1058">
        <f>'Смета Внутр'!I1002</f>
        <v>0</v>
      </c>
    </row>
    <row r="996" spans="2:10" ht="15" customHeight="1">
      <c r="B996" s="1042" t="str">
        <f>'Смета Внутр'!B1003</f>
        <v>Двутавровая деревянная балка, 400*90мм</v>
      </c>
      <c r="C996" s="1042" t="str">
        <f>'Смета Внутр'!C1003</f>
        <v>м.п.</v>
      </c>
      <c r="D996" s="1058">
        <f>'Смета Внутр'!D1003</f>
        <v>0</v>
      </c>
      <c r="E996" s="1042">
        <f>'Смета Внутр'!E1003</f>
        <v>355</v>
      </c>
      <c r="F996" s="1042">
        <f>'Смета Внутр'!F1003</f>
        <v>0</v>
      </c>
      <c r="G996" s="1042">
        <f t="shared" si="48"/>
        <v>355</v>
      </c>
      <c r="H996" s="1042">
        <f>'Смета Внутр'!G1003</f>
        <v>0</v>
      </c>
      <c r="I996" s="1042">
        <f>'Смета Внутр'!H1003</f>
        <v>0</v>
      </c>
      <c r="J996" s="1058">
        <f>'Смета Внутр'!I1003</f>
        <v>0</v>
      </c>
    </row>
    <row r="997" spans="2:10" ht="15" customHeight="1">
      <c r="B997" s="1042" t="str">
        <f>'Смета Внутр'!B1004</f>
        <v>Двутавровая деревянная балка, 350*65мм</v>
      </c>
      <c r="C997" s="1042" t="str">
        <f>'Смета Внутр'!C1004</f>
        <v>м.п.</v>
      </c>
      <c r="D997" s="1058">
        <f>'Смета Внутр'!D1004</f>
        <v>0</v>
      </c>
      <c r="E997" s="1042">
        <f>'Смета Внутр'!E1004</f>
        <v>287</v>
      </c>
      <c r="F997" s="1042">
        <f>'Смета Внутр'!F1004</f>
        <v>0</v>
      </c>
      <c r="G997" s="1042">
        <f t="shared" si="48"/>
        <v>287</v>
      </c>
      <c r="H997" s="1042">
        <f>'Смета Внутр'!G1004</f>
        <v>0</v>
      </c>
      <c r="I997" s="1042">
        <f>'Смета Внутр'!H1004</f>
        <v>0</v>
      </c>
      <c r="J997" s="1058">
        <f>'Смета Внутр'!I1004</f>
        <v>0</v>
      </c>
    </row>
    <row r="998" spans="2:10" ht="15" customHeight="1">
      <c r="B998" s="1042" t="str">
        <f>'Смета Внутр'!B1005</f>
        <v>Двутавровая деревянная балка, 350*90мм</v>
      </c>
      <c r="C998" s="1042" t="str">
        <f>'Смета Внутр'!C1005</f>
        <v>м.п.</v>
      </c>
      <c r="D998" s="1058">
        <f>'Смета Внутр'!D1005</f>
        <v>0</v>
      </c>
      <c r="E998" s="1042">
        <f>'Смета Внутр'!E1005</f>
        <v>315</v>
      </c>
      <c r="F998" s="1042">
        <f>'Смета Внутр'!F1005</f>
        <v>0</v>
      </c>
      <c r="G998" s="1042">
        <f t="shared" si="48"/>
        <v>315</v>
      </c>
      <c r="H998" s="1042">
        <f>'Смета Внутр'!G1005</f>
        <v>0</v>
      </c>
      <c r="I998" s="1042">
        <f>'Смета Внутр'!H1005</f>
        <v>0</v>
      </c>
      <c r="J998" s="1058">
        <f>'Смета Внутр'!I1005</f>
        <v>0</v>
      </c>
    </row>
    <row r="999" spans="2:10" ht="15" customHeight="1">
      <c r="B999" s="1042" t="str">
        <f>'Смета Внутр'!B1006</f>
        <v>Двутавровая деревянная балка, 300*65мм</v>
      </c>
      <c r="C999" s="1042" t="str">
        <f>'Смета Внутр'!C1006</f>
        <v>м.п.</v>
      </c>
      <c r="D999" s="1058">
        <f>'Смета Внутр'!D1006</f>
        <v>0</v>
      </c>
      <c r="E999" s="1042">
        <f>'Смета Внутр'!E1006</f>
        <v>273</v>
      </c>
      <c r="F999" s="1042">
        <f>'Смета Внутр'!F1006</f>
        <v>0</v>
      </c>
      <c r="G999" s="1042">
        <f t="shared" si="48"/>
        <v>273</v>
      </c>
      <c r="H999" s="1042">
        <f>'Смета Внутр'!G1006</f>
        <v>0</v>
      </c>
      <c r="I999" s="1042">
        <f>'Смета Внутр'!H1006</f>
        <v>0</v>
      </c>
      <c r="J999" s="1058">
        <f>'Смета Внутр'!I1006</f>
        <v>0</v>
      </c>
    </row>
    <row r="1000" spans="2:10" ht="15" customHeight="1">
      <c r="B1000" s="1042" t="str">
        <f>'Смета Внутр'!B1007</f>
        <v>Двутавровая деревянная балка, 300*90мм</v>
      </c>
      <c r="C1000" s="1042" t="str">
        <f>'Смета Внутр'!C1007</f>
        <v>м.п.</v>
      </c>
      <c r="D1000" s="1058">
        <f>'Смета Внутр'!D1007</f>
        <v>0</v>
      </c>
      <c r="E1000" s="1042">
        <f>'Смета Внутр'!E1007</f>
        <v>315</v>
      </c>
      <c r="F1000" s="1042">
        <f>'Смета Внутр'!F1007</f>
        <v>0</v>
      </c>
      <c r="G1000" s="1042">
        <f t="shared" si="48"/>
        <v>315</v>
      </c>
      <c r="H1000" s="1042">
        <f>'Смета Внутр'!G1007</f>
        <v>0</v>
      </c>
      <c r="I1000" s="1042">
        <f>'Смета Внутр'!H1007</f>
        <v>0</v>
      </c>
      <c r="J1000" s="1058">
        <f>'Смета Внутр'!I1007</f>
        <v>0</v>
      </c>
    </row>
    <row r="1001" spans="2:10" ht="15" customHeight="1">
      <c r="B1001" s="1042" t="str">
        <f>'Смета Внутр'!B1008</f>
        <v>Двутавровая деревянная балка, 240*65мм</v>
      </c>
      <c r="C1001" s="1042" t="str">
        <f>'Смета Внутр'!C1008</f>
        <v>м.п.</v>
      </c>
      <c r="D1001" s="1058">
        <f>'Смета Внутр'!D1008</f>
        <v>0</v>
      </c>
      <c r="E1001" s="1042">
        <f>'Смета Внутр'!E1008</f>
        <v>263</v>
      </c>
      <c r="F1001" s="1042">
        <f>'Смета Внутр'!F1008</f>
        <v>0</v>
      </c>
      <c r="G1001" s="1042">
        <f t="shared" si="48"/>
        <v>263</v>
      </c>
      <c r="H1001" s="1042">
        <f>'Смета Внутр'!G1008</f>
        <v>0</v>
      </c>
      <c r="I1001" s="1042">
        <f>'Смета Внутр'!H1008</f>
        <v>0</v>
      </c>
      <c r="J1001" s="1058">
        <f>'Смета Внутр'!I1008</f>
        <v>0</v>
      </c>
    </row>
    <row r="1002" spans="2:10" ht="15" customHeight="1">
      <c r="B1002" s="1042" t="str">
        <f>'Смета Внутр'!B1009</f>
        <v>Двутавровая деревянная балка, 240*90мм</v>
      </c>
      <c r="C1002" s="1042" t="str">
        <f>'Смета Внутр'!C1009</f>
        <v>м.п.</v>
      </c>
      <c r="D1002" s="1058">
        <f>'Смета Внутр'!D1009</f>
        <v>0</v>
      </c>
      <c r="E1002" s="1042">
        <f>'Смета Внутр'!E1009</f>
        <v>291</v>
      </c>
      <c r="F1002" s="1042">
        <f>'Смета Внутр'!F1009</f>
        <v>0</v>
      </c>
      <c r="G1002" s="1042">
        <f t="shared" si="48"/>
        <v>291</v>
      </c>
      <c r="H1002" s="1042">
        <f>'Смета Внутр'!G1009</f>
        <v>0</v>
      </c>
      <c r="I1002" s="1042">
        <f>'Смета Внутр'!H1009</f>
        <v>0</v>
      </c>
      <c r="J1002" s="1058">
        <f>'Смета Внутр'!I1009</f>
        <v>0</v>
      </c>
    </row>
    <row r="1003" spans="2:10" ht="15" customHeight="1">
      <c r="B1003" s="1042" t="str">
        <f>'Смета Внутр'!B1010</f>
        <v>Двутавровая деревянная балка, 200*65мм</v>
      </c>
      <c r="C1003" s="1042" t="str">
        <f>'Смета Внутр'!C1010</f>
        <v>м.п.</v>
      </c>
      <c r="D1003" s="1058">
        <f>'Смета Внутр'!D1010</f>
        <v>0</v>
      </c>
      <c r="E1003" s="1042">
        <f>'Смета Внутр'!E1010</f>
        <v>250</v>
      </c>
      <c r="F1003" s="1042">
        <f>'Смета Внутр'!F1010</f>
        <v>0</v>
      </c>
      <c r="G1003" s="1042">
        <f t="shared" si="48"/>
        <v>250</v>
      </c>
      <c r="H1003" s="1042">
        <f>'Смета Внутр'!G1010</f>
        <v>0</v>
      </c>
      <c r="I1003" s="1042">
        <f>'Смета Внутр'!H1010</f>
        <v>0</v>
      </c>
      <c r="J1003" s="1058">
        <f>'Смета Внутр'!I1010</f>
        <v>0</v>
      </c>
    </row>
    <row r="1004" spans="2:10" ht="15" customHeight="1">
      <c r="B1004" s="1042" t="str">
        <f>'Смета Внутр'!B1011</f>
        <v>Двутавровая деревянная балка, 200*90мм</v>
      </c>
      <c r="C1004" s="1042" t="str">
        <f>'Смета Внутр'!C1011</f>
        <v>м.п.</v>
      </c>
      <c r="D1004" s="1058">
        <f>'Смета Внутр'!D1011</f>
        <v>0</v>
      </c>
      <c r="E1004" s="1042">
        <f>'Смета Внутр'!E1011</f>
        <v>280</v>
      </c>
      <c r="F1004" s="1042">
        <f>'Смета Внутр'!F1011</f>
        <v>0</v>
      </c>
      <c r="G1004" s="1042">
        <f t="shared" si="48"/>
        <v>280</v>
      </c>
      <c r="H1004" s="1042">
        <f>'Смета Внутр'!G1011</f>
        <v>0</v>
      </c>
      <c r="I1004" s="1042">
        <f>'Смета Внутр'!H1011</f>
        <v>0</v>
      </c>
      <c r="J1004" s="1058">
        <f>'Смета Внутр'!I1011</f>
        <v>0</v>
      </c>
    </row>
    <row r="1005" spans="2:10" ht="15" customHeight="1">
      <c r="B1005" s="1042" t="str">
        <f>'Смета Внутр'!B1012</f>
        <v>Двутавровая деревянная балка, 150*65мм</v>
      </c>
      <c r="C1005" s="1042" t="str">
        <f>'Смета Внутр'!C1012</f>
        <v>м.п.</v>
      </c>
      <c r="D1005" s="1058">
        <f>'Смета Внутр'!D1012</f>
        <v>0</v>
      </c>
      <c r="E1005" s="1042">
        <f>'Смета Внутр'!E1012</f>
        <v>220</v>
      </c>
      <c r="F1005" s="1042">
        <f>'Смета Внутр'!F1012</f>
        <v>0</v>
      </c>
      <c r="G1005" s="1042">
        <f t="shared" si="48"/>
        <v>220</v>
      </c>
      <c r="H1005" s="1042">
        <f>'Смета Внутр'!G1012</f>
        <v>0</v>
      </c>
      <c r="I1005" s="1042">
        <f>'Смета Внутр'!H1012</f>
        <v>0</v>
      </c>
      <c r="J1005" s="1058">
        <f>'Смета Внутр'!I1012</f>
        <v>0</v>
      </c>
    </row>
    <row r="1006" spans="2:10" ht="15" customHeight="1">
      <c r="B1006" s="1042" t="str">
        <f>'Смета Внутр'!B1013</f>
        <v>Двутавровая деревянная балка, 150*90мм</v>
      </c>
      <c r="C1006" s="1042" t="str">
        <f>'Смета Внутр'!C1013</f>
        <v>м.п.</v>
      </c>
      <c r="D1006" s="1058">
        <f>'Смета Внутр'!D1013</f>
        <v>0</v>
      </c>
      <c r="E1006" s="1042">
        <f>'Смета Внутр'!E1013</f>
        <v>250</v>
      </c>
      <c r="F1006" s="1042">
        <f>'Смета Внутр'!F1013</f>
        <v>0</v>
      </c>
      <c r="G1006" s="1042">
        <f t="shared" si="48"/>
        <v>250</v>
      </c>
      <c r="H1006" s="1042">
        <f>'Смета Внутр'!G1013</f>
        <v>0</v>
      </c>
      <c r="I1006" s="1042">
        <f>'Смета Внутр'!H1013</f>
        <v>0</v>
      </c>
      <c r="J1006" s="1058">
        <f>'Смета Внутр'!I1013</f>
        <v>0</v>
      </c>
    </row>
    <row r="1007" spans="2:10" ht="15" customHeight="1">
      <c r="B1007" s="1042" t="str">
        <f>'Смета Внутр'!B1014</f>
        <v xml:space="preserve">Уголок усиленный 90х70х55х2,5        </v>
      </c>
      <c r="C1007" s="1042" t="str">
        <f>'Смета Внутр'!C1014</f>
        <v>шт</v>
      </c>
      <c r="D1007" s="1058">
        <f>'Смета Внутр'!D1014</f>
        <v>0</v>
      </c>
      <c r="E1007" s="1042">
        <f>'Смета Внутр'!E1014</f>
        <v>30</v>
      </c>
      <c r="F1007" s="1042">
        <f>'Смета Внутр'!F1014</f>
        <v>0</v>
      </c>
      <c r="G1007" s="1042">
        <f t="shared" si="48"/>
        <v>30</v>
      </c>
      <c r="H1007" s="1042">
        <f>'Смета Внутр'!G1014</f>
        <v>0</v>
      </c>
      <c r="I1007" s="1042">
        <f>'Смета Внутр'!H1014</f>
        <v>0</v>
      </c>
      <c r="J1007" s="1058">
        <f>'Смета Внутр'!I1014</f>
        <v>0</v>
      </c>
    </row>
    <row r="1008" spans="2:10" ht="15" customHeight="1">
      <c r="B1008" s="1042" t="str">
        <f>'Смета Внутр'!B1015</f>
        <v xml:space="preserve">Саморезы 3,5 x 55            </v>
      </c>
      <c r="C1008" s="1042" t="str">
        <f>'Смета Внутр'!C1015</f>
        <v>шт</v>
      </c>
      <c r="D1008" s="1058">
        <f>'Смета Внутр'!D1015</f>
        <v>0</v>
      </c>
      <c r="E1008" s="1042">
        <f>'Смета Внутр'!E1015</f>
        <v>0.3</v>
      </c>
      <c r="F1008" s="1042">
        <f>'Смета Внутр'!F1015</f>
        <v>0</v>
      </c>
      <c r="G1008" s="1042">
        <f t="shared" si="48"/>
        <v>0.3</v>
      </c>
      <c r="H1008" s="1042">
        <f>'Смета Внутр'!G1015</f>
        <v>0</v>
      </c>
      <c r="I1008" s="1042">
        <f>'Смета Внутр'!H1015</f>
        <v>0</v>
      </c>
      <c r="J1008" s="1058">
        <f>'Смета Внутр'!I1015</f>
        <v>0</v>
      </c>
    </row>
    <row r="1009" spans="2:10" ht="15" customHeight="1">
      <c r="B1009" s="3007" t="str">
        <f>'Смета Внутр'!B1016</f>
        <v>Пенопласт ПСБ-С-35, 100мм</v>
      </c>
      <c r="C1009" s="3007" t="str">
        <f>'Смета Внутр'!C1016</f>
        <v>м3</v>
      </c>
      <c r="D1009" s="3014">
        <f>'Смета Внутр'!D1016</f>
        <v>10</v>
      </c>
      <c r="E1009" s="1042">
        <f>'Смета Внутр'!E1016</f>
        <v>3400</v>
      </c>
      <c r="F1009" s="1042">
        <f>'Смета Внутр'!F1016</f>
        <v>0</v>
      </c>
      <c r="G1009" s="3007">
        <f t="shared" si="48"/>
        <v>3400</v>
      </c>
      <c r="H1009" s="1042">
        <f>'Смета Внутр'!G1016</f>
        <v>34000</v>
      </c>
      <c r="I1009" s="1042">
        <f>'Смета Внутр'!H1016</f>
        <v>0</v>
      </c>
      <c r="J1009" s="3014">
        <f>'Смета Внутр'!I1016</f>
        <v>0</v>
      </c>
    </row>
    <row r="1010" spans="2:10" ht="15" customHeight="1">
      <c r="B1010" s="3007" t="str">
        <f>'Смета Внутр'!B1017</f>
        <v>нет ветроизоляции</v>
      </c>
      <c r="C1010" s="3007" t="str">
        <f>'Смета Внутр'!C1017</f>
        <v>м2</v>
      </c>
      <c r="D1010" s="3014">
        <f>'Смета Внутр'!D1017</f>
        <v>100</v>
      </c>
      <c r="E1010" s="1042">
        <f>'Смета Внутр'!E1017</f>
        <v>0</v>
      </c>
      <c r="F1010" s="1042">
        <f>'Смета Внутр'!F1017</f>
        <v>0</v>
      </c>
      <c r="G1010" s="3007">
        <f t="shared" si="48"/>
        <v>0</v>
      </c>
      <c r="H1010" s="1042">
        <f>'Смета Внутр'!G1017</f>
        <v>0</v>
      </c>
      <c r="I1010" s="1042">
        <f>'Смета Внутр'!H1017</f>
        <v>0</v>
      </c>
      <c r="J1010" s="3014">
        <f>'Смета Внутр'!I1017</f>
        <v>0</v>
      </c>
    </row>
    <row r="1011" spans="2:10" ht="15" customHeight="1">
      <c r="B1011" s="3007" t="str">
        <f>'Смета Внутр'!B1018</f>
        <v>нет пароизоляции</v>
      </c>
      <c r="C1011" s="3007" t="str">
        <f>'Смета Внутр'!C1018</f>
        <v>м2</v>
      </c>
      <c r="D1011" s="3014">
        <f>'Смета Внутр'!D1018</f>
        <v>100</v>
      </c>
      <c r="E1011" s="1042">
        <f>'Смета Внутр'!E1018</f>
        <v>0</v>
      </c>
      <c r="F1011" s="1042">
        <f>'Смета Внутр'!F1018</f>
        <v>0</v>
      </c>
      <c r="G1011" s="3007">
        <f t="shared" si="48"/>
        <v>0</v>
      </c>
      <c r="H1011" s="1042">
        <f>'Смета Внутр'!G1018</f>
        <v>0</v>
      </c>
      <c r="I1011" s="1042">
        <f>'Смета Внутр'!H1018</f>
        <v>0</v>
      </c>
      <c r="J1011" s="3014">
        <f>'Смета Внутр'!I1018</f>
        <v>0</v>
      </c>
    </row>
    <row r="1012" spans="2:10" ht="15" customHeight="1">
      <c r="B1012" s="1042" t="str">
        <f>'Смета Внутр'!B1019</f>
        <v>Плита перекрытия  ЖБИ</v>
      </c>
      <c r="C1012" s="1042" t="str">
        <f>'Смета Внутр'!C1019</f>
        <v>м2</v>
      </c>
      <c r="D1012" s="1058">
        <f>'Смета Внутр'!D1019</f>
        <v>0</v>
      </c>
      <c r="E1012" s="1042">
        <f>'Смета Внутр'!E1019</f>
        <v>1400</v>
      </c>
      <c r="F1012" s="1042">
        <f>'Смета Внутр'!F1019</f>
        <v>0</v>
      </c>
      <c r="G1012" s="1042">
        <f t="shared" si="48"/>
        <v>1400</v>
      </c>
      <c r="H1012" s="1042">
        <f>'Смета Внутр'!G1019</f>
        <v>0</v>
      </c>
      <c r="I1012" s="1042">
        <f>'Смета Внутр'!H1019</f>
        <v>0</v>
      </c>
      <c r="J1012" s="1058">
        <f>'Смета Внутр'!I1019</f>
        <v>0</v>
      </c>
    </row>
    <row r="1013" spans="2:10" ht="15" customHeight="1">
      <c r="B1013" s="1042" t="str">
        <f>'Смета Внутр'!B1020</f>
        <v>Раствор, м250</v>
      </c>
      <c r="C1013" s="1042" t="str">
        <f>'Смета Внутр'!C1020</f>
        <v>м3</v>
      </c>
      <c r="D1013" s="1058">
        <f>'Смета Внутр'!D1020</f>
        <v>0</v>
      </c>
      <c r="E1013" s="1042">
        <f>'Смета Внутр'!E1020</f>
        <v>2500</v>
      </c>
      <c r="F1013" s="1042">
        <f>'Смета Внутр'!F1020</f>
        <v>0</v>
      </c>
      <c r="G1013" s="1042">
        <f t="shared" si="48"/>
        <v>2500</v>
      </c>
      <c r="H1013" s="1042">
        <f>'Смета Внутр'!G1020</f>
        <v>0</v>
      </c>
      <c r="I1013" s="1042">
        <f>'Смета Внутр'!H1020</f>
        <v>0</v>
      </c>
      <c r="J1013" s="1058">
        <f>'Смета Внутр'!I1020</f>
        <v>0</v>
      </c>
    </row>
    <row r="1014" spans="2:10" ht="15" customHeight="1">
      <c r="B1014" s="1042" t="str">
        <f>'Смета Внутр'!B1021</f>
        <v>Монолит, бетон, 300мм, 2 слоя</v>
      </c>
      <c r="C1014" s="1042" t="str">
        <f>'Смета Внутр'!C1021</f>
        <v>м2</v>
      </c>
      <c r="D1014" s="1058">
        <f>'Смета Внутр'!D1021</f>
        <v>0</v>
      </c>
      <c r="E1014" s="1042">
        <f>'Смета Внутр'!E1021</f>
        <v>1</v>
      </c>
      <c r="F1014" s="1042">
        <f>'Смета Внутр'!F1021</f>
        <v>0</v>
      </c>
      <c r="G1014" s="1042">
        <f t="shared" si="48"/>
        <v>1</v>
      </c>
      <c r="H1014" s="1042">
        <f>'Смета Внутр'!G1021</f>
        <v>0</v>
      </c>
      <c r="I1014" s="1042">
        <f>'Смета Внутр'!H1021</f>
        <v>0</v>
      </c>
      <c r="J1014" s="1058">
        <f>'Смета Внутр'!I1021</f>
        <v>0</v>
      </c>
    </row>
    <row r="1015" spans="2:10" ht="15" customHeight="1">
      <c r="B1015" s="1042" t="str">
        <f>'Смета Внутр'!B1022</f>
        <v>Монолит, бетон, 300мм, 1 слой</v>
      </c>
      <c r="C1015" s="1042" t="str">
        <f>'Смета Внутр'!C1022</f>
        <v>м2</v>
      </c>
      <c r="D1015" s="1058">
        <f>'Смета Внутр'!D1022</f>
        <v>0</v>
      </c>
      <c r="E1015" s="1042">
        <f>'Смета Внутр'!E1022</f>
        <v>1</v>
      </c>
      <c r="F1015" s="1042">
        <f>'Смета Внутр'!F1022</f>
        <v>0</v>
      </c>
      <c r="G1015" s="1042">
        <f t="shared" si="48"/>
        <v>1</v>
      </c>
      <c r="H1015" s="1042">
        <f>'Смета Внутр'!G1022</f>
        <v>0</v>
      </c>
      <c r="I1015" s="1042">
        <f>'Смета Внутр'!H1022</f>
        <v>0</v>
      </c>
      <c r="J1015" s="1058">
        <f>'Смета Внутр'!I1022</f>
        <v>0</v>
      </c>
    </row>
    <row r="1016" spans="2:10" ht="15" customHeight="1">
      <c r="B1016" s="1042" t="str">
        <f>'Смета Внутр'!B1023</f>
        <v>Монолит, бетон, 250мм, 2 слоя</v>
      </c>
      <c r="C1016" s="1042" t="str">
        <f>'Смета Внутр'!C1023</f>
        <v>м2</v>
      </c>
      <c r="D1016" s="1058">
        <f>'Смета Внутр'!D1023</f>
        <v>0</v>
      </c>
      <c r="E1016" s="1042">
        <f>'Смета Внутр'!E1023</f>
        <v>1</v>
      </c>
      <c r="F1016" s="1042">
        <f>'Смета Внутр'!F1023</f>
        <v>0</v>
      </c>
      <c r="G1016" s="1042">
        <f t="shared" si="48"/>
        <v>1</v>
      </c>
      <c r="H1016" s="1042">
        <f>'Смета Внутр'!G1023</f>
        <v>0</v>
      </c>
      <c r="I1016" s="1042">
        <f>'Смета Внутр'!H1023</f>
        <v>0</v>
      </c>
      <c r="J1016" s="1058">
        <f>'Смета Внутр'!I1023</f>
        <v>0</v>
      </c>
    </row>
    <row r="1017" spans="2:10" ht="15" customHeight="1">
      <c r="B1017" s="1042" t="str">
        <f>'Смета Внутр'!B1024</f>
        <v>Монолит, бетон, 250мм, 1 слой</v>
      </c>
      <c r="C1017" s="1042" t="str">
        <f>'Смета Внутр'!C1024</f>
        <v>м2</v>
      </c>
      <c r="D1017" s="1058">
        <f>'Смета Внутр'!D1024</f>
        <v>0</v>
      </c>
      <c r="E1017" s="1042">
        <f>'Смета Внутр'!E1024</f>
        <v>1</v>
      </c>
      <c r="F1017" s="1042">
        <f>'Смета Внутр'!F1024</f>
        <v>0</v>
      </c>
      <c r="G1017" s="1042">
        <f t="shared" si="48"/>
        <v>1</v>
      </c>
      <c r="H1017" s="1042">
        <f>'Смета Внутр'!G1024</f>
        <v>0</v>
      </c>
      <c r="I1017" s="1042">
        <f>'Смета Внутр'!H1024</f>
        <v>0</v>
      </c>
      <c r="J1017" s="1058">
        <f>'Смета Внутр'!I1024</f>
        <v>0</v>
      </c>
    </row>
    <row r="1018" spans="2:10" ht="15" customHeight="1">
      <c r="B1018" s="1042" t="str">
        <f>'Смета Внутр'!B1025</f>
        <v>Монолит, бетон, 200мм, 2 слоя</v>
      </c>
      <c r="C1018" s="1042" t="str">
        <f>'Смета Внутр'!C1025</f>
        <v>м2</v>
      </c>
      <c r="D1018" s="1058">
        <f>'Смета Внутр'!D1025</f>
        <v>0</v>
      </c>
      <c r="E1018" s="1042">
        <f>'Смета Внутр'!E1025</f>
        <v>1</v>
      </c>
      <c r="F1018" s="1042">
        <f>'Смета Внутр'!F1025</f>
        <v>0</v>
      </c>
      <c r="G1018" s="1042">
        <f t="shared" si="48"/>
        <v>1</v>
      </c>
      <c r="H1018" s="1042">
        <f>'Смета Внутр'!G1025</f>
        <v>0</v>
      </c>
      <c r="I1018" s="1042">
        <f>'Смета Внутр'!H1025</f>
        <v>0</v>
      </c>
      <c r="J1018" s="1058">
        <f>'Смета Внутр'!I1025</f>
        <v>0</v>
      </c>
    </row>
    <row r="1019" spans="2:10" ht="15" customHeight="1">
      <c r="B1019" s="1042" t="str">
        <f>'Смета Внутр'!B1026</f>
        <v>Монолит, бетон, 200мм, 1 слой</v>
      </c>
      <c r="C1019" s="1042" t="str">
        <f>'Смета Внутр'!C1026</f>
        <v>м2</v>
      </c>
      <c r="D1019" s="1058">
        <f>'Смета Внутр'!D1026</f>
        <v>0</v>
      </c>
      <c r="E1019" s="1042">
        <f>'Смета Внутр'!E1026</f>
        <v>1</v>
      </c>
      <c r="F1019" s="1042">
        <f>'Смета Внутр'!F1026</f>
        <v>0</v>
      </c>
      <c r="G1019" s="1042">
        <f t="shared" si="48"/>
        <v>1</v>
      </c>
      <c r="H1019" s="1042">
        <f>'Смета Внутр'!G1026</f>
        <v>0</v>
      </c>
      <c r="I1019" s="1042">
        <f>'Смета Внутр'!H1026</f>
        <v>0</v>
      </c>
      <c r="J1019" s="1058">
        <f>'Смета Внутр'!I1026</f>
        <v>0</v>
      </c>
    </row>
    <row r="1020" spans="2:10" ht="15" customHeight="1">
      <c r="B1020" s="1042" t="str">
        <f>'Смета Внутр'!B1027</f>
        <v>Монолит, бетон, 150мм, 2 слоя</v>
      </c>
      <c r="C1020" s="1042" t="str">
        <f>'Смета Внутр'!C1027</f>
        <v>м2</v>
      </c>
      <c r="D1020" s="1058">
        <f>'Смета Внутр'!D1027</f>
        <v>0</v>
      </c>
      <c r="E1020" s="1042">
        <f>'Смета Внутр'!E1027</f>
        <v>1</v>
      </c>
      <c r="F1020" s="1042">
        <f>'Смета Внутр'!F1027</f>
        <v>0</v>
      </c>
      <c r="G1020" s="1042">
        <f t="shared" si="48"/>
        <v>1</v>
      </c>
      <c r="H1020" s="1042">
        <f>'Смета Внутр'!G1027</f>
        <v>0</v>
      </c>
      <c r="I1020" s="1042">
        <f>'Смета Внутр'!H1027</f>
        <v>0</v>
      </c>
      <c r="J1020" s="1058">
        <f>'Смета Внутр'!I1027</f>
        <v>0</v>
      </c>
    </row>
    <row r="1021" spans="2:10" ht="15" customHeight="1">
      <c r="B1021" s="1042" t="str">
        <f>'Смета Внутр'!B1028</f>
        <v>Монолит, бетон, 150мм, 1 слой</v>
      </c>
      <c r="C1021" s="1042" t="str">
        <f>'Смета Внутр'!C1028</f>
        <v>м2</v>
      </c>
      <c r="D1021" s="1058">
        <f>'Смета Внутр'!D1028</f>
        <v>0</v>
      </c>
      <c r="E1021" s="1042">
        <f>'Смета Внутр'!E1028</f>
        <v>1</v>
      </c>
      <c r="F1021" s="1042">
        <f>'Смета Внутр'!F1028</f>
        <v>0</v>
      </c>
      <c r="G1021" s="1042">
        <f t="shared" si="48"/>
        <v>1</v>
      </c>
      <c r="H1021" s="1042">
        <f>'Смета Внутр'!G1028</f>
        <v>0</v>
      </c>
      <c r="I1021" s="1042">
        <f>'Смета Внутр'!H1028</f>
        <v>0</v>
      </c>
      <c r="J1021" s="1058">
        <f>'Смета Внутр'!I1028</f>
        <v>0</v>
      </c>
    </row>
    <row r="1022" spans="2:10" ht="15" customHeight="1">
      <c r="B1022" s="1042" t="str">
        <f>'Смета Внутр'!B1029</f>
        <v>доска для опалубки монолит перекрытий</v>
      </c>
      <c r="C1022" s="1042" t="str">
        <f>'Смета Внутр'!C1029</f>
        <v>м3</v>
      </c>
      <c r="D1022" s="1058">
        <f>'Смета Внутр'!D1029</f>
        <v>0</v>
      </c>
      <c r="E1022" s="1042">
        <f>'Смета Внутр'!E1029</f>
        <v>6500</v>
      </c>
      <c r="F1022" s="1042">
        <f>'Смета Внутр'!F1029</f>
        <v>0</v>
      </c>
      <c r="G1022" s="1042">
        <f t="shared" si="48"/>
        <v>6500</v>
      </c>
      <c r="H1022" s="1042">
        <f>'Смета Внутр'!G1029</f>
        <v>0</v>
      </c>
      <c r="I1022" s="1042">
        <f>'Смета Внутр'!H1029</f>
        <v>0</v>
      </c>
      <c r="J1022" s="1058">
        <f>'Смета Внутр'!I1029</f>
        <v>0</v>
      </c>
    </row>
    <row r="1023" spans="2:10" ht="15" customHeight="1">
      <c r="B1023" s="1042" t="str">
        <f>'Смета Внутр'!B1030</f>
        <v>стойки под опалубку перекрытий</v>
      </c>
      <c r="C1023" s="1042" t="str">
        <f>'Смета Внутр'!C1030</f>
        <v>шт</v>
      </c>
      <c r="D1023" s="1058">
        <f>'Смета Внутр'!D1030</f>
        <v>0</v>
      </c>
      <c r="E1023" s="1042">
        <f>'Смета Внутр'!E1030</f>
        <v>0</v>
      </c>
      <c r="F1023" s="1042">
        <f>'Смета Внутр'!F1030</f>
        <v>0</v>
      </c>
      <c r="G1023" s="1042">
        <f t="shared" si="48"/>
        <v>0</v>
      </c>
      <c r="H1023" s="1042">
        <f>'Смета Внутр'!G1030</f>
        <v>0</v>
      </c>
      <c r="I1023" s="1042">
        <f>'Смета Внутр'!H1030</f>
        <v>0</v>
      </c>
      <c r="J1023" s="1058">
        <f>'Смета Внутр'!I1030</f>
        <v>0</v>
      </c>
    </row>
    <row r="1024" spans="2:10" ht="15" customHeight="1">
      <c r="B1024" s="1042" t="str">
        <f>'Смета Внутр'!B1031</f>
        <v xml:space="preserve">Пленка гидроизоляционная </v>
      </c>
      <c r="C1024" s="1042" t="str">
        <f>'Смета Внутр'!C1031</f>
        <v>м2</v>
      </c>
      <c r="D1024" s="1058">
        <f>'Смета Внутр'!D1031</f>
        <v>0</v>
      </c>
      <c r="E1024" s="1042">
        <f>'Смета Внутр'!E1031</f>
        <v>15</v>
      </c>
      <c r="F1024" s="1042">
        <f>'Смета Внутр'!F1031</f>
        <v>0</v>
      </c>
      <c r="G1024" s="1042">
        <f t="shared" si="48"/>
        <v>15</v>
      </c>
      <c r="H1024" s="1042">
        <f>'Смета Внутр'!G1031</f>
        <v>0</v>
      </c>
      <c r="I1024" s="1042">
        <f>'Смета Внутр'!H1031</f>
        <v>0</v>
      </c>
      <c r="J1024" s="1058">
        <f>'Смета Внутр'!I1031</f>
        <v>0</v>
      </c>
    </row>
    <row r="1025" spans="2:10" ht="15" customHeight="1">
      <c r="B1025" s="1042" t="str">
        <f>'Смета Внутр'!B1032</f>
        <v>Арматура М12</v>
      </c>
      <c r="C1025" s="1042" t="str">
        <f>'Смета Внутр'!C1032</f>
        <v>м.п.</v>
      </c>
      <c r="D1025" s="1058">
        <f>'Смета Внутр'!D1032</f>
        <v>0</v>
      </c>
      <c r="E1025" s="1042">
        <f>'Смета Внутр'!E1032</f>
        <v>29.215199999999999</v>
      </c>
      <c r="F1025" s="1042">
        <f>'Смета Внутр'!F1032</f>
        <v>0</v>
      </c>
      <c r="G1025" s="1042">
        <f t="shared" si="48"/>
        <v>29.215199999999999</v>
      </c>
      <c r="H1025" s="1042">
        <f>'Смета Внутр'!G1032</f>
        <v>0</v>
      </c>
      <c r="I1025" s="1042">
        <f>'Смета Внутр'!H1032</f>
        <v>0</v>
      </c>
      <c r="J1025" s="1058">
        <f>'Смета Внутр'!I1032</f>
        <v>0</v>
      </c>
    </row>
    <row r="1026" spans="2:10" ht="15" customHeight="1">
      <c r="B1026" s="1042" t="str">
        <f>'Смета Внутр'!B1033</f>
        <v>Вязальная проволока</v>
      </c>
      <c r="C1026" s="1042" t="str">
        <f>'Смета Внутр'!C1033</f>
        <v>кг</v>
      </c>
      <c r="D1026" s="1058">
        <f>'Смета Внутр'!D1033</f>
        <v>0</v>
      </c>
      <c r="E1026" s="1042">
        <f>'Смета Внутр'!E1033</f>
        <v>80</v>
      </c>
      <c r="F1026" s="1042">
        <f>'Смета Внутр'!F1033</f>
        <v>0</v>
      </c>
      <c r="G1026" s="1042">
        <f t="shared" ref="G1026:G1089" si="49">IF(E1026&gt;F1026,E1026,F1026)</f>
        <v>80</v>
      </c>
      <c r="H1026" s="1042">
        <f>'Смета Внутр'!G1033</f>
        <v>0</v>
      </c>
      <c r="I1026" s="1042">
        <f>'Смета Внутр'!H1033</f>
        <v>0</v>
      </c>
      <c r="J1026" s="1058">
        <f>'Смета Внутр'!I1033</f>
        <v>0</v>
      </c>
    </row>
    <row r="1027" spans="2:10" ht="15" customHeight="1">
      <c r="B1027" s="1042" t="str">
        <f>'Смета Внутр'!B1034</f>
        <v>Подставка под арматурный каркас</v>
      </c>
      <c r="C1027" s="1042" t="str">
        <f>'Смета Внутр'!C1034</f>
        <v>шт</v>
      </c>
      <c r="D1027" s="1058">
        <f>'Смета Внутр'!D1034</f>
        <v>0</v>
      </c>
      <c r="E1027" s="1042">
        <f>'Смета Внутр'!E1034</f>
        <v>5</v>
      </c>
      <c r="F1027" s="1042">
        <f>'Смета Внутр'!F1034</f>
        <v>0</v>
      </c>
      <c r="G1027" s="1042">
        <f t="shared" si="49"/>
        <v>5</v>
      </c>
      <c r="H1027" s="1042">
        <f>'Смета Внутр'!G1034</f>
        <v>0</v>
      </c>
      <c r="I1027" s="1042">
        <f>'Смета Внутр'!H1034</f>
        <v>0</v>
      </c>
      <c r="J1027" s="1058">
        <f>'Смета Внутр'!I1034</f>
        <v>0</v>
      </c>
    </row>
    <row r="1028" spans="2:10" ht="15" customHeight="1">
      <c r="B1028" s="1042" t="str">
        <f>'Смета Внутр'!B1035</f>
        <v>бетон, м350</v>
      </c>
      <c r="C1028" s="1042" t="str">
        <f>'Смета Внутр'!C1035</f>
        <v>м3</v>
      </c>
      <c r="D1028" s="1058">
        <f>'Смета Внутр'!D1035</f>
        <v>0</v>
      </c>
      <c r="E1028" s="1042">
        <f>'Смета Внутр'!E1035</f>
        <v>3500</v>
      </c>
      <c r="F1028" s="1042">
        <f>'Смета Внутр'!F1035</f>
        <v>0</v>
      </c>
      <c r="G1028" s="1042">
        <f t="shared" si="49"/>
        <v>3500</v>
      </c>
      <c r="H1028" s="1042">
        <f>'Смета Внутр'!G1035</f>
        <v>0</v>
      </c>
      <c r="I1028" s="1042">
        <f>'Смета Внутр'!H1035</f>
        <v>0</v>
      </c>
      <c r="J1028" s="1058">
        <f>'Смета Внутр'!I1035</f>
        <v>0</v>
      </c>
    </row>
    <row r="1029" spans="2:10" ht="15" customHeight="1">
      <c r="B1029" s="1042" t="str">
        <f>'Смета Внутр'!B1036</f>
        <v>Брус естественной влажности, 200*100мм</v>
      </c>
      <c r="C1029" s="1042" t="str">
        <f>'Смета Внутр'!C1036</f>
        <v>м3</v>
      </c>
      <c r="D1029" s="1058">
        <f>'Смета Внутр'!D1036</f>
        <v>0</v>
      </c>
      <c r="E1029" s="1042">
        <f>'Смета Внутр'!E1036</f>
        <v>6500</v>
      </c>
      <c r="F1029" s="1042">
        <f>'Смета Внутр'!F1036</f>
        <v>0</v>
      </c>
      <c r="G1029" s="1042">
        <f t="shared" si="49"/>
        <v>6500</v>
      </c>
      <c r="H1029" s="1042">
        <f>'Смета Внутр'!G1036</f>
        <v>0</v>
      </c>
      <c r="I1029" s="1042">
        <f>'Смета Внутр'!H1036</f>
        <v>0</v>
      </c>
      <c r="J1029" s="1058">
        <f>'Смета Внутр'!I1036</f>
        <v>0</v>
      </c>
    </row>
    <row r="1030" spans="2:10" ht="15" customHeight="1">
      <c r="B1030" s="1042" t="str">
        <f>'Смета Внутр'!B1037</f>
        <v>Брус естественной влажности, 150*100мм</v>
      </c>
      <c r="C1030" s="1042" t="str">
        <f>'Смета Внутр'!C1037</f>
        <v>м3</v>
      </c>
      <c r="D1030" s="1058">
        <f>'Смета Внутр'!D1037</f>
        <v>0</v>
      </c>
      <c r="E1030" s="1042">
        <f>'Смета Внутр'!E1037</f>
        <v>6500</v>
      </c>
      <c r="F1030" s="1042">
        <f>'Смета Внутр'!F1037</f>
        <v>0</v>
      </c>
      <c r="G1030" s="1042">
        <f t="shared" si="49"/>
        <v>6500</v>
      </c>
      <c r="H1030" s="1042">
        <f>'Смета Внутр'!G1037</f>
        <v>0</v>
      </c>
      <c r="I1030" s="1042">
        <f>'Смета Внутр'!H1037</f>
        <v>0</v>
      </c>
      <c r="J1030" s="1058">
        <f>'Смета Внутр'!I1037</f>
        <v>0</v>
      </c>
    </row>
    <row r="1031" spans="2:10" ht="15" customHeight="1">
      <c r="B1031" s="1042" t="str">
        <f>'Смета Внутр'!B1038</f>
        <v>Брус естественной влажности, 100*100мм</v>
      </c>
      <c r="C1031" s="1042" t="str">
        <f>'Смета Внутр'!C1038</f>
        <v>м3</v>
      </c>
      <c r="D1031" s="1058">
        <f>'Смета Внутр'!D1038</f>
        <v>0</v>
      </c>
      <c r="E1031" s="1042">
        <f>'Смета Внутр'!E1038</f>
        <v>6500</v>
      </c>
      <c r="F1031" s="1042">
        <f>'Смета Внутр'!F1038</f>
        <v>0</v>
      </c>
      <c r="G1031" s="1042">
        <f t="shared" si="49"/>
        <v>6500</v>
      </c>
      <c r="H1031" s="1042">
        <f>'Смета Внутр'!G1038</f>
        <v>0</v>
      </c>
      <c r="I1031" s="1042">
        <f>'Смета Внутр'!H1038</f>
        <v>0</v>
      </c>
      <c r="J1031" s="1058">
        <f>'Смета Внутр'!I1038</f>
        <v>0</v>
      </c>
    </row>
    <row r="1032" spans="2:10" ht="15" customHeight="1">
      <c r="B1032" s="1042" t="str">
        <f>'Смета Внутр'!B1039</f>
        <v>Брус естественной влажности, 150*150мм</v>
      </c>
      <c r="C1032" s="1042" t="str">
        <f>'Смета Внутр'!C1039</f>
        <v>м3</v>
      </c>
      <c r="D1032" s="1058">
        <f>'Смета Внутр'!D1039</f>
        <v>0</v>
      </c>
      <c r="E1032" s="1042">
        <f>'Смета Внутр'!E1039</f>
        <v>6500</v>
      </c>
      <c r="F1032" s="1042">
        <f>'Смета Внутр'!F1039</f>
        <v>0</v>
      </c>
      <c r="G1032" s="1042">
        <f t="shared" si="49"/>
        <v>6500</v>
      </c>
      <c r="H1032" s="1042">
        <f>'Смета Внутр'!G1039</f>
        <v>0</v>
      </c>
      <c r="I1032" s="1042">
        <f>'Смета Внутр'!H1039</f>
        <v>0</v>
      </c>
      <c r="J1032" s="1058">
        <f>'Смета Внутр'!I1039</f>
        <v>0</v>
      </c>
    </row>
    <row r="1033" spans="2:10" ht="15" customHeight="1">
      <c r="B1033" s="1042" t="str">
        <f>'Смета Внутр'!B1040</f>
        <v>Доска естественной влажности, 200*50мм</v>
      </c>
      <c r="C1033" s="1042" t="str">
        <f>'Смета Внутр'!C1040</f>
        <v>м3</v>
      </c>
      <c r="D1033" s="1058">
        <f>'Смета Внутр'!D1040</f>
        <v>0</v>
      </c>
      <c r="E1033" s="1042">
        <f>'Смета Внутр'!E1040</f>
        <v>6500</v>
      </c>
      <c r="F1033" s="1042">
        <f>'Смета Внутр'!F1040</f>
        <v>0</v>
      </c>
      <c r="G1033" s="1042">
        <f t="shared" si="49"/>
        <v>6500</v>
      </c>
      <c r="H1033" s="1042">
        <f>'Смета Внутр'!G1040</f>
        <v>0</v>
      </c>
      <c r="I1033" s="1042">
        <f>'Смета Внутр'!H1040</f>
        <v>0</v>
      </c>
      <c r="J1033" s="1058">
        <f>'Смета Внутр'!I1040</f>
        <v>0</v>
      </c>
    </row>
    <row r="1034" spans="2:10" ht="15" customHeight="1">
      <c r="B1034" s="1042" t="str">
        <f>'Смета Внутр'!B1041</f>
        <v>Доска естественной влажности, 150*50мм</v>
      </c>
      <c r="C1034" s="1042" t="str">
        <f>'Смета Внутр'!C1041</f>
        <v>м3</v>
      </c>
      <c r="D1034" s="1058">
        <f>'Смета Внутр'!D1041</f>
        <v>0</v>
      </c>
      <c r="E1034" s="1042">
        <f>'Смета Внутр'!E1041</f>
        <v>6500</v>
      </c>
      <c r="F1034" s="1042">
        <f>'Смета Внутр'!F1041</f>
        <v>0</v>
      </c>
      <c r="G1034" s="1042">
        <f t="shared" si="49"/>
        <v>6500</v>
      </c>
      <c r="H1034" s="1042">
        <f>'Смета Внутр'!G1041</f>
        <v>0</v>
      </c>
      <c r="I1034" s="1042">
        <f>'Смета Внутр'!H1041</f>
        <v>0</v>
      </c>
      <c r="J1034" s="1058">
        <f>'Смета Внутр'!I1041</f>
        <v>0</v>
      </c>
    </row>
    <row r="1035" spans="2:10" ht="15" customHeight="1">
      <c r="B1035" s="1042" t="str">
        <f>'Смета Внутр'!B1042</f>
        <v xml:space="preserve">Опора бруса          </v>
      </c>
      <c r="C1035" s="1042" t="str">
        <f>'Смета Внутр'!C1042</f>
        <v>шт</v>
      </c>
      <c r="D1035" s="1058">
        <f>'Смета Внутр'!D1042</f>
        <v>0</v>
      </c>
      <c r="E1035" s="1042">
        <f>'Смета Внутр'!E1042</f>
        <v>50</v>
      </c>
      <c r="F1035" s="1042">
        <f>'Смета Внутр'!F1042</f>
        <v>0</v>
      </c>
      <c r="G1035" s="1042">
        <f t="shared" si="49"/>
        <v>50</v>
      </c>
      <c r="H1035" s="1042">
        <f>'Смета Внутр'!G1042</f>
        <v>0</v>
      </c>
      <c r="I1035" s="1042">
        <f>'Смета Внутр'!H1042</f>
        <v>0</v>
      </c>
      <c r="J1035" s="1058">
        <f>'Смета Внутр'!I1042</f>
        <v>0</v>
      </c>
    </row>
    <row r="1036" spans="2:10" ht="15" customHeight="1">
      <c r="B1036" s="1042" t="str">
        <f>'Смета Внутр'!B1043</f>
        <v xml:space="preserve">Болты анкерные с гайкой 8,0 x 60           </v>
      </c>
      <c r="C1036" s="1042" t="str">
        <f>'Смета Внутр'!C1043</f>
        <v>шт</v>
      </c>
      <c r="D1036" s="1058">
        <f>'Смета Внутр'!D1043</f>
        <v>0</v>
      </c>
      <c r="E1036" s="1042">
        <f>'Смета Внутр'!E1043</f>
        <v>4</v>
      </c>
      <c r="F1036" s="1042">
        <f>'Смета Внутр'!F1043</f>
        <v>0</v>
      </c>
      <c r="G1036" s="1042">
        <f t="shared" si="49"/>
        <v>4</v>
      </c>
      <c r="H1036" s="1042">
        <f>'Смета Внутр'!G1043</f>
        <v>0</v>
      </c>
      <c r="I1036" s="1042">
        <f>'Смета Внутр'!H1043</f>
        <v>0</v>
      </c>
      <c r="J1036" s="1058">
        <f>'Смета Внутр'!I1043</f>
        <v>0</v>
      </c>
    </row>
    <row r="1037" spans="2:10" ht="15" customHeight="1">
      <c r="B1037" s="1042" t="str">
        <f>'Смета Внутр'!B1044</f>
        <v>Нет перекрестного пола</v>
      </c>
      <c r="C1037" s="1042" t="str">
        <f>'Смета Внутр'!C1044</f>
        <v>м3</v>
      </c>
      <c r="D1037" s="1058">
        <f>'Смета Внутр'!D1044</f>
        <v>0</v>
      </c>
      <c r="E1037" s="1042">
        <f>'Смета Внутр'!E1044</f>
        <v>0</v>
      </c>
      <c r="F1037" s="1042">
        <f>'Смета Внутр'!F1044</f>
        <v>0</v>
      </c>
      <c r="G1037" s="1042">
        <f t="shared" si="49"/>
        <v>0</v>
      </c>
      <c r="H1037" s="1042">
        <f>'Смета Внутр'!G1044</f>
        <v>0</v>
      </c>
      <c r="I1037" s="1042">
        <f>'Смета Внутр'!H1044</f>
        <v>0</v>
      </c>
      <c r="J1037" s="1058">
        <f>'Смета Внутр'!I1044</f>
        <v>0</v>
      </c>
    </row>
    <row r="1038" spans="2:10" ht="15" customHeight="1">
      <c r="B1038" s="1042" t="str">
        <f>'Смета Внутр'!B1045</f>
        <v xml:space="preserve">Гвозди строительные 3,5 x 90            </v>
      </c>
      <c r="C1038" s="1042" t="str">
        <f>'Смета Внутр'!C1045</f>
        <v>кг</v>
      </c>
      <c r="D1038" s="1058">
        <f>'Смета Внутр'!D1045</f>
        <v>0</v>
      </c>
      <c r="E1038" s="1042">
        <f>'Смета Внутр'!E1045</f>
        <v>70</v>
      </c>
      <c r="F1038" s="1042">
        <f>'Смета Внутр'!F1045</f>
        <v>0</v>
      </c>
      <c r="G1038" s="1042">
        <f t="shared" si="49"/>
        <v>70</v>
      </c>
      <c r="H1038" s="1042">
        <f>'Смета Внутр'!G1045</f>
        <v>0</v>
      </c>
      <c r="I1038" s="1042">
        <f>'Смета Внутр'!H1045</f>
        <v>0</v>
      </c>
      <c r="J1038" s="1058">
        <f>'Смета Внутр'!I1045</f>
        <v>0</v>
      </c>
    </row>
    <row r="1039" spans="2:10" ht="15" customHeight="1">
      <c r="B1039" s="1042" t="str">
        <f>'Смета Внутр'!B1046</f>
        <v>Sip панель 2500*625*124мм</v>
      </c>
      <c r="C1039" s="1042" t="str">
        <f>'Смета Внутр'!C1046</f>
        <v>м2</v>
      </c>
      <c r="D1039" s="1058">
        <f>'Смета Внутр'!D1046</f>
        <v>0</v>
      </c>
      <c r="E1039" s="1042">
        <f>'Смета Внутр'!E1046</f>
        <v>800</v>
      </c>
      <c r="F1039" s="1042">
        <f>'Смета Внутр'!F1046</f>
        <v>0</v>
      </c>
      <c r="G1039" s="1042">
        <f t="shared" si="49"/>
        <v>800</v>
      </c>
      <c r="H1039" s="1042">
        <f>'Смета Внутр'!G1046</f>
        <v>0</v>
      </c>
      <c r="I1039" s="1042">
        <f>'Смета Внутр'!H1046</f>
        <v>0</v>
      </c>
      <c r="J1039" s="1058">
        <f>'Смета Внутр'!I1046</f>
        <v>0</v>
      </c>
    </row>
    <row r="1040" spans="2:10" ht="15" customHeight="1">
      <c r="B1040" s="1042" t="str">
        <f>'Смета Внутр'!B1047</f>
        <v>Sip панель 2500*625*174мм</v>
      </c>
      <c r="C1040" s="1042" t="str">
        <f>'Смета Внутр'!C1047</f>
        <v>м2</v>
      </c>
      <c r="D1040" s="1058">
        <f>'Смета Внутр'!D1047</f>
        <v>0</v>
      </c>
      <c r="E1040" s="1042">
        <f>'Смета Внутр'!E1047</f>
        <v>1200</v>
      </c>
      <c r="F1040" s="1042">
        <f>'Смета Внутр'!F1047</f>
        <v>0</v>
      </c>
      <c r="G1040" s="1042">
        <f t="shared" si="49"/>
        <v>1200</v>
      </c>
      <c r="H1040" s="1042">
        <f>'Смета Внутр'!G1047</f>
        <v>0</v>
      </c>
      <c r="I1040" s="1042">
        <f>'Смета Внутр'!H1047</f>
        <v>0</v>
      </c>
      <c r="J1040" s="1058">
        <f>'Смета Внутр'!I1047</f>
        <v>0</v>
      </c>
    </row>
    <row r="1041" spans="2:10" ht="15" customHeight="1">
      <c r="B1041" s="1042" t="str">
        <f>'Смета Внутр'!B1048</f>
        <v>Sip панель 2500*625*224мм</v>
      </c>
      <c r="C1041" s="1042" t="str">
        <f>'Смета Внутр'!C1048</f>
        <v>м2</v>
      </c>
      <c r="D1041" s="1058">
        <f>'Смета Внутр'!D1048</f>
        <v>0</v>
      </c>
      <c r="E1041" s="1042">
        <f>'Смета Внутр'!E1048</f>
        <v>1400</v>
      </c>
      <c r="F1041" s="1042">
        <f>'Смета Внутр'!F1048</f>
        <v>0</v>
      </c>
      <c r="G1041" s="1042">
        <f t="shared" si="49"/>
        <v>1400</v>
      </c>
      <c r="H1041" s="1042">
        <f>'Смета Внутр'!G1048</f>
        <v>0</v>
      </c>
      <c r="I1041" s="1042">
        <f>'Смета Внутр'!H1048</f>
        <v>0</v>
      </c>
      <c r="J1041" s="1058">
        <f>'Смета Внутр'!I1048</f>
        <v>0</v>
      </c>
    </row>
    <row r="1042" spans="2:10" ht="15" customHeight="1">
      <c r="B1042" s="1042" t="str">
        <f>'Смета Внутр'!B1049</f>
        <v>Доска сухая, 100*50мм</v>
      </c>
      <c r="C1042" s="1042" t="str">
        <f>'Смета Внутр'!C1049</f>
        <v>м.п.</v>
      </c>
      <c r="D1042" s="1058">
        <f>'Смета Внутр'!D1049</f>
        <v>0</v>
      </c>
      <c r="E1042" s="1042">
        <f>'Смета Внутр'!E1049</f>
        <v>45</v>
      </c>
      <c r="F1042" s="1042">
        <f>'Смета Внутр'!F1049</f>
        <v>0</v>
      </c>
      <c r="G1042" s="1042">
        <f t="shared" si="49"/>
        <v>45</v>
      </c>
      <c r="H1042" s="1042">
        <f>'Смета Внутр'!G1049</f>
        <v>0</v>
      </c>
      <c r="I1042" s="1042">
        <f>'Смета Внутр'!H1049</f>
        <v>0</v>
      </c>
      <c r="J1042" s="1058">
        <f>'Смета Внутр'!I1049</f>
        <v>0</v>
      </c>
    </row>
    <row r="1043" spans="2:10" ht="15" customHeight="1">
      <c r="B1043" s="1042" t="str">
        <f>'Смета Внутр'!B1050</f>
        <v>Доска сухая, 150*50мм</v>
      </c>
      <c r="C1043" s="1042" t="str">
        <f>'Смета Внутр'!C1050</f>
        <v>м.п.</v>
      </c>
      <c r="D1043" s="1058">
        <f>'Смета Внутр'!D1050</f>
        <v>0</v>
      </c>
      <c r="E1043" s="1042">
        <f>'Смета Внутр'!E1050</f>
        <v>67.5</v>
      </c>
      <c r="F1043" s="1042">
        <f>'Смета Внутр'!F1050</f>
        <v>0</v>
      </c>
      <c r="G1043" s="1042">
        <f t="shared" si="49"/>
        <v>67.5</v>
      </c>
      <c r="H1043" s="1042">
        <f>'Смета Внутр'!G1050</f>
        <v>0</v>
      </c>
      <c r="I1043" s="1042">
        <f>'Смета Внутр'!H1050</f>
        <v>0</v>
      </c>
      <c r="J1043" s="1058">
        <f>'Смета Внутр'!I1050</f>
        <v>0</v>
      </c>
    </row>
    <row r="1044" spans="2:10" ht="15" customHeight="1">
      <c r="B1044" s="1042" t="str">
        <f>'Смета Внутр'!B1051</f>
        <v>Доска сухая, 200*50мм</v>
      </c>
      <c r="C1044" s="1042" t="str">
        <f>'Смета Внутр'!C1051</f>
        <v>м.п.</v>
      </c>
      <c r="D1044" s="1058">
        <f>'Смета Внутр'!D1051</f>
        <v>0</v>
      </c>
      <c r="E1044" s="1042">
        <f>'Смета Внутр'!E1051</f>
        <v>90</v>
      </c>
      <c r="F1044" s="1042">
        <f>'Смета Внутр'!F1051</f>
        <v>0</v>
      </c>
      <c r="G1044" s="1042">
        <f t="shared" si="49"/>
        <v>90</v>
      </c>
      <c r="H1044" s="1042">
        <f>'Смета Внутр'!G1051</f>
        <v>0</v>
      </c>
      <c r="I1044" s="1042">
        <f>'Смета Внутр'!H1051</f>
        <v>0</v>
      </c>
      <c r="J1044" s="1058">
        <f>'Смета Внутр'!I1051</f>
        <v>0</v>
      </c>
    </row>
    <row r="1045" spans="2:10" ht="15" customHeight="1">
      <c r="B1045" s="1042" t="str">
        <f>'Смета Внутр'!B1052</f>
        <v>Пена монтажная, всесезонняя 800мл</v>
      </c>
      <c r="C1045" s="1042" t="str">
        <f>'Смета Внутр'!C1052</f>
        <v>шт</v>
      </c>
      <c r="D1045" s="1058">
        <f>'Смета Внутр'!D1052</f>
        <v>0</v>
      </c>
      <c r="E1045" s="1042">
        <f>'Смета Внутр'!E1052</f>
        <v>300</v>
      </c>
      <c r="F1045" s="1042">
        <f>'Смета Внутр'!F1052</f>
        <v>0</v>
      </c>
      <c r="G1045" s="1042">
        <f t="shared" si="49"/>
        <v>300</v>
      </c>
      <c r="H1045" s="1042">
        <f>'Смета Внутр'!G1052</f>
        <v>0</v>
      </c>
      <c r="I1045" s="1042">
        <f>'Смета Внутр'!H1052</f>
        <v>0</v>
      </c>
      <c r="J1045" s="1058">
        <f>'Смета Внутр'!I1052</f>
        <v>0</v>
      </c>
    </row>
    <row r="1046" spans="2:10" ht="15" customHeight="1">
      <c r="B1046" s="1042" t="str">
        <f>'Смета Внутр'!B1053</f>
        <v xml:space="preserve">Гвозди строительные 3,5 x 90            </v>
      </c>
      <c r="C1046" s="1042" t="str">
        <f>'Смета Внутр'!C1053</f>
        <v>шт</v>
      </c>
      <c r="D1046" s="1058">
        <f>'Смета Внутр'!D1053</f>
        <v>0</v>
      </c>
      <c r="E1046" s="1042">
        <f>'Смета Внутр'!E1053</f>
        <v>45</v>
      </c>
      <c r="F1046" s="1042">
        <f>'Смета Внутр'!F1053</f>
        <v>0</v>
      </c>
      <c r="G1046" s="1042">
        <f t="shared" si="49"/>
        <v>45</v>
      </c>
      <c r="H1046" s="1042">
        <f>'Смета Внутр'!G1053</f>
        <v>0</v>
      </c>
      <c r="I1046" s="1042">
        <f>'Смета Внутр'!H1053</f>
        <v>0</v>
      </c>
      <c r="J1046" s="1058">
        <f>'Смета Внутр'!I1053</f>
        <v>0</v>
      </c>
    </row>
    <row r="1047" spans="2:10" ht="15" customHeight="1">
      <c r="B1047" s="1042" t="str">
        <f>'Смета Внутр'!B1054</f>
        <v xml:space="preserve">Саморезы 3,5 x 45            </v>
      </c>
      <c r="C1047" s="1042" t="str">
        <f>'Смета Внутр'!C1054</f>
        <v>шт</v>
      </c>
      <c r="D1047" s="1058">
        <f>'Смета Внутр'!D1054</f>
        <v>0</v>
      </c>
      <c r="E1047" s="1042">
        <f>'Смета Внутр'!E1054</f>
        <v>0.25</v>
      </c>
      <c r="F1047" s="1042">
        <f>'Смета Внутр'!F1054</f>
        <v>0</v>
      </c>
      <c r="G1047" s="1042">
        <f t="shared" si="49"/>
        <v>0.25</v>
      </c>
      <c r="H1047" s="1042">
        <f>'Смета Внутр'!G1054</f>
        <v>0</v>
      </c>
      <c r="I1047" s="1042">
        <f>'Смета Внутр'!H1054</f>
        <v>0</v>
      </c>
      <c r="J1047" s="1058">
        <f>'Смета Внутр'!I1054</f>
        <v>0</v>
      </c>
    </row>
    <row r="1048" spans="2:10" ht="15" customHeight="1">
      <c r="B1048" s="1042" t="str">
        <f>'Смета Внутр'!B1055</f>
        <v>Доска сухая, 200*50мм</v>
      </c>
      <c r="C1048" s="1042" t="str">
        <f>'Смета Внутр'!C1055</f>
        <v>м3</v>
      </c>
      <c r="D1048" s="1058">
        <f>'Смета Внутр'!D1055</f>
        <v>0</v>
      </c>
      <c r="E1048" s="1042">
        <f>'Смета Внутр'!E1055</f>
        <v>9000</v>
      </c>
      <c r="F1048" s="1042">
        <f>'Смета Внутр'!F1055</f>
        <v>0</v>
      </c>
      <c r="G1048" s="1042">
        <f t="shared" si="49"/>
        <v>9000</v>
      </c>
      <c r="H1048" s="1042">
        <f>'Смета Внутр'!G1055</f>
        <v>0</v>
      </c>
      <c r="I1048" s="1042">
        <f>'Смета Внутр'!H1055</f>
        <v>0</v>
      </c>
      <c r="J1048" s="1058">
        <f>'Смета Внутр'!I1055</f>
        <v>0</v>
      </c>
    </row>
    <row r="1049" spans="2:10" ht="15" customHeight="1">
      <c r="B1049" s="1042" t="str">
        <f>'Смета Внутр'!B1056</f>
        <v>Доска сухая, 150*50мм</v>
      </c>
      <c r="C1049" s="1042" t="str">
        <f>'Смета Внутр'!C1056</f>
        <v>м3</v>
      </c>
      <c r="D1049" s="1058">
        <f>'Смета Внутр'!D1056</f>
        <v>0</v>
      </c>
      <c r="E1049" s="1042">
        <f>'Смета Внутр'!E1056</f>
        <v>9000</v>
      </c>
      <c r="F1049" s="1042">
        <f>'Смета Внутр'!F1056</f>
        <v>0</v>
      </c>
      <c r="G1049" s="1042">
        <f t="shared" si="49"/>
        <v>9000</v>
      </c>
      <c r="H1049" s="1042">
        <f>'Смета Внутр'!G1056</f>
        <v>0</v>
      </c>
      <c r="I1049" s="1042">
        <f>'Смета Внутр'!H1056</f>
        <v>0</v>
      </c>
      <c r="J1049" s="1058">
        <f>'Смета Внутр'!I1056</f>
        <v>0</v>
      </c>
    </row>
    <row r="1050" spans="2:10" ht="15" customHeight="1">
      <c r="B1050" s="1042" t="str">
        <f>'Смета Внутр'!B1057</f>
        <v xml:space="preserve">Гвозди ершоные 2,8 х 90            </v>
      </c>
      <c r="C1050" s="1042" t="str">
        <f>'Смета Внутр'!C1057</f>
        <v>кг</v>
      </c>
      <c r="D1050" s="1058">
        <f>'Смета Внутр'!D1057</f>
        <v>0</v>
      </c>
      <c r="E1050" s="1042">
        <f>'Смета Внутр'!E1057</f>
        <v>76.489999999999995</v>
      </c>
      <c r="F1050" s="1042">
        <f>'Смета Внутр'!F1057</f>
        <v>0</v>
      </c>
      <c r="G1050" s="1042">
        <f t="shared" si="49"/>
        <v>76.489999999999995</v>
      </c>
      <c r="H1050" s="1042">
        <f>'Смета Внутр'!G1057</f>
        <v>0</v>
      </c>
      <c r="I1050" s="1042">
        <f>'Смета Внутр'!H1057</f>
        <v>0</v>
      </c>
      <c r="J1050" s="1058">
        <f>'Смета Внутр'!I1057</f>
        <v>0</v>
      </c>
    </row>
    <row r="1051" spans="2:10" ht="15" customHeight="1">
      <c r="B1051" s="1042" t="str">
        <f>'Смета Внутр'!B1058</f>
        <v>Доска сухая калиброванная, 190*45мм</v>
      </c>
      <c r="C1051" s="1042" t="str">
        <f>'Смета Внутр'!C1058</f>
        <v>м3</v>
      </c>
      <c r="D1051" s="1058">
        <f>'Смета Внутр'!D1058</f>
        <v>0</v>
      </c>
      <c r="E1051" s="1042">
        <f>'Смета Внутр'!E1058</f>
        <v>12500</v>
      </c>
      <c r="F1051" s="1042">
        <f>'Смета Внутр'!F1058</f>
        <v>0</v>
      </c>
      <c r="G1051" s="1042">
        <f t="shared" si="49"/>
        <v>12500</v>
      </c>
      <c r="H1051" s="1042">
        <f>'Смета Внутр'!G1058</f>
        <v>0</v>
      </c>
      <c r="I1051" s="1042">
        <f>'Смета Внутр'!H1058</f>
        <v>0</v>
      </c>
      <c r="J1051" s="1058">
        <f>'Смета Внутр'!I1058</f>
        <v>0</v>
      </c>
    </row>
    <row r="1052" spans="2:10" ht="15" customHeight="1">
      <c r="B1052" s="1042" t="str">
        <f>'Смета Внутр'!B1059</f>
        <v>Доска сухая калиброванная, 145*45мм</v>
      </c>
      <c r="C1052" s="1042" t="str">
        <f>'Смета Внутр'!C1059</f>
        <v>м3</v>
      </c>
      <c r="D1052" s="1058">
        <f>'Смета Внутр'!D1059</f>
        <v>0</v>
      </c>
      <c r="E1052" s="1042">
        <f>'Смета Внутр'!E1059</f>
        <v>12500</v>
      </c>
      <c r="F1052" s="1042">
        <f>'Смета Внутр'!F1059</f>
        <v>0</v>
      </c>
      <c r="G1052" s="1042">
        <f t="shared" si="49"/>
        <v>12500</v>
      </c>
      <c r="H1052" s="1042">
        <f>'Смета Внутр'!G1059</f>
        <v>0</v>
      </c>
      <c r="I1052" s="1042">
        <f>'Смета Внутр'!H1059</f>
        <v>0</v>
      </c>
      <c r="J1052" s="1058">
        <f>'Смета Внутр'!I1059</f>
        <v>0</v>
      </c>
    </row>
    <row r="1053" spans="2:10" ht="15" customHeight="1">
      <c r="B1053" s="1042" t="str">
        <f>'Смета Внутр'!B1060</f>
        <v xml:space="preserve">Гвозди ершоные 2,8 х 90            </v>
      </c>
      <c r="C1053" s="1042" t="str">
        <f>'Смета Внутр'!C1060</f>
        <v>кг</v>
      </c>
      <c r="D1053" s="1058">
        <f>'Смета Внутр'!D1060</f>
        <v>0</v>
      </c>
      <c r="E1053" s="1042">
        <f>'Смета Внутр'!E1060</f>
        <v>76.489999999999995</v>
      </c>
      <c r="F1053" s="1042">
        <f>'Смета Внутр'!F1060</f>
        <v>0</v>
      </c>
      <c r="G1053" s="1042">
        <f t="shared" si="49"/>
        <v>76.489999999999995</v>
      </c>
      <c r="H1053" s="1042">
        <f>'Смета Внутр'!G1060</f>
        <v>0</v>
      </c>
      <c r="I1053" s="1042">
        <f>'Смета Внутр'!H1060</f>
        <v>0</v>
      </c>
      <c r="J1053" s="1058">
        <f>'Смета Внутр'!I1060</f>
        <v>0</v>
      </c>
    </row>
    <row r="1054" spans="2:10" ht="15" customHeight="1">
      <c r="B1054" s="1042" t="str">
        <f>'Смета Внутр'!B1061</f>
        <v>Двутавровая деревянная балка, 400*65мм</v>
      </c>
      <c r="C1054" s="1042" t="str">
        <f>'Смета Внутр'!C1061</f>
        <v>м.п.</v>
      </c>
      <c r="D1054" s="1058">
        <f>'Смета Внутр'!D1061</f>
        <v>0</v>
      </c>
      <c r="E1054" s="1042">
        <f>'Смета Внутр'!E1061</f>
        <v>303</v>
      </c>
      <c r="F1054" s="1042">
        <f>'Смета Внутр'!F1061</f>
        <v>0</v>
      </c>
      <c r="G1054" s="1042">
        <f t="shared" si="49"/>
        <v>303</v>
      </c>
      <c r="H1054" s="1042">
        <f>'Смета Внутр'!G1061</f>
        <v>0</v>
      </c>
      <c r="I1054" s="1042">
        <f>'Смета Внутр'!H1061</f>
        <v>0</v>
      </c>
      <c r="J1054" s="1058">
        <f>'Смета Внутр'!I1061</f>
        <v>0</v>
      </c>
    </row>
    <row r="1055" spans="2:10" ht="15" customHeight="1">
      <c r="B1055" s="1042" t="str">
        <f>'Смета Внутр'!B1062</f>
        <v>Двутавровая деревянная балка, 400*90мм</v>
      </c>
      <c r="C1055" s="1042" t="str">
        <f>'Смета Внутр'!C1062</f>
        <v>м.п.</v>
      </c>
      <c r="D1055" s="1058">
        <f>'Смета Внутр'!D1062</f>
        <v>0</v>
      </c>
      <c r="E1055" s="1042">
        <f>'Смета Внутр'!E1062</f>
        <v>355</v>
      </c>
      <c r="F1055" s="1042">
        <f>'Смета Внутр'!F1062</f>
        <v>0</v>
      </c>
      <c r="G1055" s="1042">
        <f t="shared" si="49"/>
        <v>355</v>
      </c>
      <c r="H1055" s="1042">
        <f>'Смета Внутр'!G1062</f>
        <v>0</v>
      </c>
      <c r="I1055" s="1042">
        <f>'Смета Внутр'!H1062</f>
        <v>0</v>
      </c>
      <c r="J1055" s="1058">
        <f>'Смета Внутр'!I1062</f>
        <v>0</v>
      </c>
    </row>
    <row r="1056" spans="2:10" ht="15" customHeight="1">
      <c r="B1056" s="1042" t="str">
        <f>'Смета Внутр'!B1063</f>
        <v>Двутавровая деревянная балка, 350*65мм</v>
      </c>
      <c r="C1056" s="1042" t="str">
        <f>'Смета Внутр'!C1063</f>
        <v>м.п.</v>
      </c>
      <c r="D1056" s="1058">
        <f>'Смета Внутр'!D1063</f>
        <v>0</v>
      </c>
      <c r="E1056" s="1042">
        <f>'Смета Внутр'!E1063</f>
        <v>287</v>
      </c>
      <c r="F1056" s="1042">
        <f>'Смета Внутр'!F1063</f>
        <v>0</v>
      </c>
      <c r="G1056" s="1042">
        <f t="shared" si="49"/>
        <v>287</v>
      </c>
      <c r="H1056" s="1042">
        <f>'Смета Внутр'!G1063</f>
        <v>0</v>
      </c>
      <c r="I1056" s="1042">
        <f>'Смета Внутр'!H1063</f>
        <v>0</v>
      </c>
      <c r="J1056" s="1058">
        <f>'Смета Внутр'!I1063</f>
        <v>0</v>
      </c>
    </row>
    <row r="1057" spans="2:10" ht="15" customHeight="1">
      <c r="B1057" s="1042" t="str">
        <f>'Смета Внутр'!B1064</f>
        <v>Двутавровая деревянная балка, 350*90мм</v>
      </c>
      <c r="C1057" s="1042" t="str">
        <f>'Смета Внутр'!C1064</f>
        <v>м.п.</v>
      </c>
      <c r="D1057" s="1058">
        <f>'Смета Внутр'!D1064</f>
        <v>0</v>
      </c>
      <c r="E1057" s="1042">
        <f>'Смета Внутр'!E1064</f>
        <v>315</v>
      </c>
      <c r="F1057" s="1042">
        <f>'Смета Внутр'!F1064</f>
        <v>0</v>
      </c>
      <c r="G1057" s="1042">
        <f t="shared" si="49"/>
        <v>315</v>
      </c>
      <c r="H1057" s="1042">
        <f>'Смета Внутр'!G1064</f>
        <v>0</v>
      </c>
      <c r="I1057" s="1042">
        <f>'Смета Внутр'!H1064</f>
        <v>0</v>
      </c>
      <c r="J1057" s="1058">
        <f>'Смета Внутр'!I1064</f>
        <v>0</v>
      </c>
    </row>
    <row r="1058" spans="2:10" ht="15" customHeight="1">
      <c r="B1058" s="1042" t="str">
        <f>'Смета Внутр'!B1065</f>
        <v>Двутавровая деревянная балка, 300*65мм</v>
      </c>
      <c r="C1058" s="1042" t="str">
        <f>'Смета Внутр'!C1065</f>
        <v>м.п.</v>
      </c>
      <c r="D1058" s="1058">
        <f>'Смета Внутр'!D1065</f>
        <v>0</v>
      </c>
      <c r="E1058" s="1042">
        <f>'Смета Внутр'!E1065</f>
        <v>273</v>
      </c>
      <c r="F1058" s="1042">
        <f>'Смета Внутр'!F1065</f>
        <v>0</v>
      </c>
      <c r="G1058" s="1042">
        <f t="shared" si="49"/>
        <v>273</v>
      </c>
      <c r="H1058" s="1042">
        <f>'Смета Внутр'!G1065</f>
        <v>0</v>
      </c>
      <c r="I1058" s="1042">
        <f>'Смета Внутр'!H1065</f>
        <v>0</v>
      </c>
      <c r="J1058" s="1058">
        <f>'Смета Внутр'!I1065</f>
        <v>0</v>
      </c>
    </row>
    <row r="1059" spans="2:10" ht="15" customHeight="1">
      <c r="B1059" s="1042" t="str">
        <f>'Смета Внутр'!B1066</f>
        <v>Двутавровая деревянная балка, 300*90мм</v>
      </c>
      <c r="C1059" s="1042" t="str">
        <f>'Смета Внутр'!C1066</f>
        <v>м.п.</v>
      </c>
      <c r="D1059" s="1058">
        <f>'Смета Внутр'!D1066</f>
        <v>0</v>
      </c>
      <c r="E1059" s="1042">
        <f>'Смета Внутр'!E1066</f>
        <v>315</v>
      </c>
      <c r="F1059" s="1042">
        <f>'Смета Внутр'!F1066</f>
        <v>0</v>
      </c>
      <c r="G1059" s="1042">
        <f t="shared" si="49"/>
        <v>315</v>
      </c>
      <c r="H1059" s="1042">
        <f>'Смета Внутр'!G1066</f>
        <v>0</v>
      </c>
      <c r="I1059" s="1042">
        <f>'Смета Внутр'!H1066</f>
        <v>0</v>
      </c>
      <c r="J1059" s="1058">
        <f>'Смета Внутр'!I1066</f>
        <v>0</v>
      </c>
    </row>
    <row r="1060" spans="2:10" ht="15" customHeight="1">
      <c r="B1060" s="1042" t="str">
        <f>'Смета Внутр'!B1067</f>
        <v>Двутавровая деревянная балка, 240*65мм</v>
      </c>
      <c r="C1060" s="1042" t="str">
        <f>'Смета Внутр'!C1067</f>
        <v>м.п.</v>
      </c>
      <c r="D1060" s="1058">
        <f>'Смета Внутр'!D1067</f>
        <v>0</v>
      </c>
      <c r="E1060" s="1042">
        <f>'Смета Внутр'!E1067</f>
        <v>263</v>
      </c>
      <c r="F1060" s="1042">
        <f>'Смета Внутр'!F1067</f>
        <v>0</v>
      </c>
      <c r="G1060" s="1042">
        <f t="shared" si="49"/>
        <v>263</v>
      </c>
      <c r="H1060" s="1042">
        <f>'Смета Внутр'!G1067</f>
        <v>0</v>
      </c>
      <c r="I1060" s="1042">
        <f>'Смета Внутр'!H1067</f>
        <v>0</v>
      </c>
      <c r="J1060" s="1058">
        <f>'Смета Внутр'!I1067</f>
        <v>0</v>
      </c>
    </row>
    <row r="1061" spans="2:10" ht="15" customHeight="1">
      <c r="B1061" s="1042" t="str">
        <f>'Смета Внутр'!B1068</f>
        <v>Двутавровая деревянная балка, 240*90мм</v>
      </c>
      <c r="C1061" s="1042" t="str">
        <f>'Смета Внутр'!C1068</f>
        <v>м.п.</v>
      </c>
      <c r="D1061" s="1058">
        <f>'Смета Внутр'!D1068</f>
        <v>0</v>
      </c>
      <c r="E1061" s="1042">
        <f>'Смета Внутр'!E1068</f>
        <v>291</v>
      </c>
      <c r="F1061" s="1042">
        <f>'Смета Внутр'!F1068</f>
        <v>0</v>
      </c>
      <c r="G1061" s="1042">
        <f t="shared" si="49"/>
        <v>291</v>
      </c>
      <c r="H1061" s="1042">
        <f>'Смета Внутр'!G1068</f>
        <v>0</v>
      </c>
      <c r="I1061" s="1042">
        <f>'Смета Внутр'!H1068</f>
        <v>0</v>
      </c>
      <c r="J1061" s="1058">
        <f>'Смета Внутр'!I1068</f>
        <v>0</v>
      </c>
    </row>
    <row r="1062" spans="2:10" ht="15" customHeight="1">
      <c r="B1062" s="1042" t="str">
        <f>'Смета Внутр'!B1069</f>
        <v>Двутавровая деревянная балка, 200*65мм</v>
      </c>
      <c r="C1062" s="1042" t="str">
        <f>'Смета Внутр'!C1069</f>
        <v>м.п.</v>
      </c>
      <c r="D1062" s="1058">
        <f>'Смета Внутр'!D1069</f>
        <v>0</v>
      </c>
      <c r="E1062" s="1042">
        <f>'Смета Внутр'!E1069</f>
        <v>250</v>
      </c>
      <c r="F1062" s="1042">
        <f>'Смета Внутр'!F1069</f>
        <v>0</v>
      </c>
      <c r="G1062" s="1042">
        <f t="shared" si="49"/>
        <v>250</v>
      </c>
      <c r="H1062" s="1042">
        <f>'Смета Внутр'!G1069</f>
        <v>0</v>
      </c>
      <c r="I1062" s="1042">
        <f>'Смета Внутр'!H1069</f>
        <v>0</v>
      </c>
      <c r="J1062" s="1058">
        <f>'Смета Внутр'!I1069</f>
        <v>0</v>
      </c>
    </row>
    <row r="1063" spans="2:10" ht="15" customHeight="1">
      <c r="B1063" s="1042" t="str">
        <f>'Смета Внутр'!B1070</f>
        <v>Двутавровая деревянная балка, 200*90мм</v>
      </c>
      <c r="C1063" s="1042" t="str">
        <f>'Смета Внутр'!C1070</f>
        <v>м.п.</v>
      </c>
      <c r="D1063" s="1058">
        <f>'Смета Внутр'!D1070</f>
        <v>0</v>
      </c>
      <c r="E1063" s="1042">
        <f>'Смета Внутр'!E1070</f>
        <v>280</v>
      </c>
      <c r="F1063" s="1042">
        <f>'Смета Внутр'!F1070</f>
        <v>0</v>
      </c>
      <c r="G1063" s="1042">
        <f t="shared" si="49"/>
        <v>280</v>
      </c>
      <c r="H1063" s="1042">
        <f>'Смета Внутр'!G1070</f>
        <v>0</v>
      </c>
      <c r="I1063" s="1042">
        <f>'Смета Внутр'!H1070</f>
        <v>0</v>
      </c>
      <c r="J1063" s="1058">
        <f>'Смета Внутр'!I1070</f>
        <v>0</v>
      </c>
    </row>
    <row r="1064" spans="2:10" ht="15" customHeight="1">
      <c r="B1064" s="1042" t="str">
        <f>'Смета Внутр'!B1071</f>
        <v>Двутавровая деревянная балка, 150*65мм</v>
      </c>
      <c r="C1064" s="1042" t="str">
        <f>'Смета Внутр'!C1071</f>
        <v>м.п.</v>
      </c>
      <c r="D1064" s="1058">
        <f>'Смета Внутр'!D1071</f>
        <v>0</v>
      </c>
      <c r="E1064" s="1042">
        <f>'Смета Внутр'!E1071</f>
        <v>220</v>
      </c>
      <c r="F1064" s="1042">
        <f>'Смета Внутр'!F1071</f>
        <v>0</v>
      </c>
      <c r="G1064" s="1042">
        <f t="shared" si="49"/>
        <v>220</v>
      </c>
      <c r="H1064" s="1042">
        <f>'Смета Внутр'!G1071</f>
        <v>0</v>
      </c>
      <c r="I1064" s="1042">
        <f>'Смета Внутр'!H1071</f>
        <v>0</v>
      </c>
      <c r="J1064" s="1058">
        <f>'Смета Внутр'!I1071</f>
        <v>0</v>
      </c>
    </row>
    <row r="1065" spans="2:10" ht="15" customHeight="1">
      <c r="B1065" s="1042" t="str">
        <f>'Смета Внутр'!B1072</f>
        <v>Двутавровая деревянная балка, 150*90мм</v>
      </c>
      <c r="C1065" s="1042" t="str">
        <f>'Смета Внутр'!C1072</f>
        <v>м.п.</v>
      </c>
      <c r="D1065" s="1058">
        <f>'Смета Внутр'!D1072</f>
        <v>0</v>
      </c>
      <c r="E1065" s="1042">
        <f>'Смета Внутр'!E1072</f>
        <v>250</v>
      </c>
      <c r="F1065" s="1042">
        <f>'Смета Внутр'!F1072</f>
        <v>0</v>
      </c>
      <c r="G1065" s="1042">
        <f t="shared" si="49"/>
        <v>250</v>
      </c>
      <c r="H1065" s="1042">
        <f>'Смета Внутр'!G1072</f>
        <v>0</v>
      </c>
      <c r="I1065" s="1042">
        <f>'Смета Внутр'!H1072</f>
        <v>0</v>
      </c>
      <c r="J1065" s="1058">
        <f>'Смета Внутр'!I1072</f>
        <v>0</v>
      </c>
    </row>
    <row r="1066" spans="2:10" ht="15" customHeight="1">
      <c r="B1066" s="1042" t="str">
        <f>'Смета Внутр'!B1073</f>
        <v xml:space="preserve">Уголок усиленный 90х70х55х2,5        </v>
      </c>
      <c r="C1066" s="1042" t="str">
        <f>'Смета Внутр'!C1073</f>
        <v>шт</v>
      </c>
      <c r="D1066" s="1058">
        <f>'Смета Внутр'!D1073</f>
        <v>0</v>
      </c>
      <c r="E1066" s="1042">
        <f>'Смета Внутр'!E1073</f>
        <v>30</v>
      </c>
      <c r="F1066" s="1042">
        <f>'Смета Внутр'!F1073</f>
        <v>0</v>
      </c>
      <c r="G1066" s="1042">
        <f t="shared" si="49"/>
        <v>30</v>
      </c>
      <c r="H1066" s="1042">
        <f>'Смета Внутр'!G1073</f>
        <v>0</v>
      </c>
      <c r="I1066" s="1042">
        <f>'Смета Внутр'!H1073</f>
        <v>0</v>
      </c>
      <c r="J1066" s="1058">
        <f>'Смета Внутр'!I1073</f>
        <v>0</v>
      </c>
    </row>
    <row r="1067" spans="2:10" ht="15" customHeight="1">
      <c r="B1067" s="1042" t="str">
        <f>'Смета Внутр'!B1074</f>
        <v xml:space="preserve">Саморезы 3,5 x 55            </v>
      </c>
      <c r="C1067" s="1042" t="str">
        <f>'Смета Внутр'!C1074</f>
        <v>шт</v>
      </c>
      <c r="D1067" s="1058">
        <f>'Смета Внутр'!D1074</f>
        <v>0</v>
      </c>
      <c r="E1067" s="1042">
        <f>'Смета Внутр'!E1074</f>
        <v>0.3</v>
      </c>
      <c r="F1067" s="1042">
        <f>'Смета Внутр'!F1074</f>
        <v>0</v>
      </c>
      <c r="G1067" s="1042">
        <f t="shared" si="49"/>
        <v>0.3</v>
      </c>
      <c r="H1067" s="1042">
        <f>'Смета Внутр'!G1074</f>
        <v>0</v>
      </c>
      <c r="I1067" s="1042">
        <f>'Смета Внутр'!H1074</f>
        <v>0</v>
      </c>
      <c r="J1067" s="1058">
        <f>'Смета Внутр'!I1074</f>
        <v>0</v>
      </c>
    </row>
    <row r="1068" spans="2:10" ht="15" customHeight="1">
      <c r="B1068" s="1042" t="str">
        <f>'Смета Внутр'!B1075</f>
        <v>Плитный,28кг/м3, технониколь, 200мм</v>
      </c>
      <c r="C1068" s="1042" t="str">
        <f>'Смета Внутр'!C1075</f>
        <v>м3</v>
      </c>
      <c r="D1068" s="1058">
        <f>'Смета Внутр'!D1075</f>
        <v>0</v>
      </c>
      <c r="E1068" s="1042">
        <f>'Смета Внутр'!E1075</f>
        <v>1700</v>
      </c>
      <c r="F1068" s="1042">
        <f>'Смета Внутр'!F1075</f>
        <v>0</v>
      </c>
      <c r="G1068" s="1042">
        <f t="shared" si="49"/>
        <v>1700</v>
      </c>
      <c r="H1068" s="1042">
        <f>'Смета Внутр'!G1075</f>
        <v>0</v>
      </c>
      <c r="I1068" s="1042">
        <f>'Смета Внутр'!H1075</f>
        <v>0</v>
      </c>
      <c r="J1068" s="1058">
        <f>'Смета Внутр'!I1075</f>
        <v>0</v>
      </c>
    </row>
    <row r="1069" spans="2:10" ht="15" customHeight="1">
      <c r="B1069" s="1042" t="str">
        <f>'Смета Внутр'!B1076</f>
        <v>Мембрана Folder Classic</v>
      </c>
      <c r="C1069" s="1042" t="str">
        <f>'Смета Внутр'!C1076</f>
        <v>м2</v>
      </c>
      <c r="D1069" s="1058">
        <f>'Смета Внутр'!D1076</f>
        <v>0</v>
      </c>
      <c r="E1069" s="1042">
        <f>'Смета Внутр'!E1076</f>
        <v>71</v>
      </c>
      <c r="F1069" s="1042">
        <f>'Смета Внутр'!F1076</f>
        <v>0</v>
      </c>
      <c r="G1069" s="1042">
        <f t="shared" si="49"/>
        <v>71</v>
      </c>
      <c r="H1069" s="1042">
        <f>'Смета Внутр'!G1076</f>
        <v>0</v>
      </c>
      <c r="I1069" s="1042">
        <f>'Смета Внутр'!H1076</f>
        <v>0</v>
      </c>
      <c r="J1069" s="1058">
        <f>'Смета Внутр'!I1076</f>
        <v>0</v>
      </c>
    </row>
    <row r="1070" spans="2:10" ht="15" customHeight="1">
      <c r="B1070" s="1042" t="str">
        <f>'Смета Внутр'!B1077</f>
        <v>Пленка Delta-Reflex</v>
      </c>
      <c r="C1070" s="1042" t="str">
        <f>'Смета Внутр'!C1077</f>
        <v>м2</v>
      </c>
      <c r="D1070" s="1058">
        <f>'Смета Внутр'!D1077</f>
        <v>0</v>
      </c>
      <c r="E1070" s="1042">
        <f>'Смета Внутр'!E1077</f>
        <v>156</v>
      </c>
      <c r="F1070" s="1042">
        <f>'Смета Внутр'!F1077</f>
        <v>0</v>
      </c>
      <c r="G1070" s="1042">
        <f t="shared" si="49"/>
        <v>156</v>
      </c>
      <c r="H1070" s="1042">
        <f>'Смета Внутр'!G1077</f>
        <v>0</v>
      </c>
      <c r="I1070" s="1042">
        <f>'Смета Внутр'!H1077</f>
        <v>0</v>
      </c>
      <c r="J1070" s="1058">
        <f>'Смета Внутр'!I1077</f>
        <v>0</v>
      </c>
    </row>
    <row r="1071" spans="2:10" ht="15" customHeight="1">
      <c r="B1071" s="3007" t="str">
        <f>'Смета Внутр'!B1078</f>
        <v>нет</v>
      </c>
      <c r="C1071" s="3007" t="str">
        <f>'Смета Внутр'!C1078</f>
        <v>м3</v>
      </c>
      <c r="D1071" s="3014">
        <f>'Смета Внутр'!D1078</f>
        <v>0</v>
      </c>
      <c r="E1071" s="1042">
        <f>'Смета Внутр'!E1078</f>
        <v>0</v>
      </c>
      <c r="F1071" s="1042">
        <f>'Смета Внутр'!F1078</f>
        <v>0</v>
      </c>
      <c r="G1071" s="3007">
        <f t="shared" si="49"/>
        <v>0</v>
      </c>
      <c r="H1071" s="1042">
        <f>'Смета Внутр'!G1078</f>
        <v>0</v>
      </c>
      <c r="I1071" s="1042">
        <f>'Смета Внутр'!H1078</f>
        <v>0</v>
      </c>
      <c r="J1071" s="3014">
        <f>'Смета Внутр'!I1078</f>
        <v>0</v>
      </c>
    </row>
    <row r="1072" spans="2:10" ht="15" customHeight="1">
      <c r="B1072" s="3007" t="str">
        <f>'Смета Внутр'!B1079</f>
        <v>нет</v>
      </c>
      <c r="C1072" s="3007" t="str">
        <f>'Смета Внутр'!C1079</f>
        <v>м3</v>
      </c>
      <c r="D1072" s="3014">
        <f>'Смета Внутр'!D1079</f>
        <v>0</v>
      </c>
      <c r="E1072" s="1042">
        <f>'Смета Внутр'!E1079</f>
        <v>0</v>
      </c>
      <c r="F1072" s="1042">
        <f>'Смета Внутр'!F1079</f>
        <v>0</v>
      </c>
      <c r="G1072" s="3007">
        <f t="shared" si="49"/>
        <v>0</v>
      </c>
      <c r="H1072" s="1042">
        <f>'Смета Внутр'!G1079</f>
        <v>0</v>
      </c>
      <c r="I1072" s="1042">
        <f>'Смета Внутр'!H1079</f>
        <v>0</v>
      </c>
      <c r="J1072" s="3014">
        <f>'Смета Внутр'!I1079</f>
        <v>0</v>
      </c>
    </row>
    <row r="1073" spans="2:10" ht="15" customHeight="1">
      <c r="B1073" s="3007" t="str">
        <f>'Смета Внутр'!B1080</f>
        <v>нет</v>
      </c>
      <c r="C1073" s="3007" t="str">
        <f>'Смета Внутр'!C1080</f>
        <v>м3</v>
      </c>
      <c r="D1073" s="3014">
        <f>'Смета Внутр'!D1080</f>
        <v>0</v>
      </c>
      <c r="E1073" s="1042">
        <f>'Смета Внутр'!E1080</f>
        <v>0</v>
      </c>
      <c r="F1073" s="1042">
        <f>'Смета Внутр'!F1080</f>
        <v>0</v>
      </c>
      <c r="G1073" s="3007">
        <f t="shared" si="49"/>
        <v>0</v>
      </c>
      <c r="H1073" s="1042">
        <f>'Смета Внутр'!G1080</f>
        <v>0</v>
      </c>
      <c r="I1073" s="1042">
        <f>'Смета Внутр'!H1080</f>
        <v>0</v>
      </c>
      <c r="J1073" s="3014">
        <f>'Смета Внутр'!I1080</f>
        <v>0</v>
      </c>
    </row>
    <row r="1074" spans="2:10" ht="15" customHeight="1">
      <c r="B1074" s="3007" t="str">
        <f>'Смета Внутр'!B1081</f>
        <v>Доска сухая, калибр., 35*45мм</v>
      </c>
      <c r="C1074" s="3007" t="str">
        <f>'Смета Внутр'!C1081</f>
        <v>м3</v>
      </c>
      <c r="D1074" s="3014">
        <f>'Смета Внутр'!D1081</f>
        <v>0.49000000000000005</v>
      </c>
      <c r="E1074" s="1042">
        <f>'Смета Внутр'!E1081</f>
        <v>12500</v>
      </c>
      <c r="F1074" s="1042">
        <f>'Смета Внутр'!F1081</f>
        <v>0</v>
      </c>
      <c r="G1074" s="3007">
        <f t="shared" si="49"/>
        <v>12500</v>
      </c>
      <c r="H1074" s="1042">
        <f>'Смета Внутр'!G1081</f>
        <v>6125.0000000000009</v>
      </c>
      <c r="I1074" s="1042">
        <f>'Смета Внутр'!H1081</f>
        <v>0</v>
      </c>
      <c r="J1074" s="3014">
        <f>'Смета Внутр'!I1081</f>
        <v>0</v>
      </c>
    </row>
    <row r="1075" spans="2:10" ht="15" customHeight="1">
      <c r="B1075" s="1042" t="str">
        <f>'Смета Внутр'!B1082</f>
        <v>нет</v>
      </c>
      <c r="C1075" s="1042" t="str">
        <f>'Смета Внутр'!C1082</f>
        <v>м3</v>
      </c>
      <c r="D1075" s="1058">
        <f>'Смета Внутр'!D1082</f>
        <v>0</v>
      </c>
      <c r="E1075" s="1042">
        <f>'Смета Внутр'!E1082</f>
        <v>0</v>
      </c>
      <c r="F1075" s="1042">
        <f>'Смета Внутр'!F1082</f>
        <v>0</v>
      </c>
      <c r="G1075" s="1042">
        <f t="shared" si="49"/>
        <v>0</v>
      </c>
      <c r="H1075" s="1042">
        <f>'Смета Внутр'!G1082</f>
        <v>0</v>
      </c>
      <c r="I1075" s="1042">
        <f>'Смета Внутр'!H1082</f>
        <v>0</v>
      </c>
      <c r="J1075" s="1058">
        <f>'Смета Внутр'!I1082</f>
        <v>0</v>
      </c>
    </row>
    <row r="1076" spans="2:10" ht="15" customHeight="1">
      <c r="B1076" s="1042" t="str">
        <f>'Смета Внутр'!B1083</f>
        <v>Сосна влаж, 50*50мм</v>
      </c>
      <c r="C1076" s="1042" t="str">
        <f>'Смета Внутр'!C1083</f>
        <v>м3</v>
      </c>
      <c r="D1076" s="1058">
        <f>'Смета Внутр'!D1083</f>
        <v>0</v>
      </c>
      <c r="E1076" s="1042">
        <f>'Смета Внутр'!E1083</f>
        <v>6500</v>
      </c>
      <c r="F1076" s="1042">
        <f>'Смета Внутр'!F1083</f>
        <v>0</v>
      </c>
      <c r="G1076" s="1042">
        <f t="shared" si="49"/>
        <v>6500</v>
      </c>
      <c r="H1076" s="1042">
        <f>'Смета Внутр'!G1083</f>
        <v>0</v>
      </c>
      <c r="I1076" s="1042">
        <f>'Смета Внутр'!H1083</f>
        <v>0</v>
      </c>
      <c r="J1076" s="1058">
        <f>'Смета Внутр'!I1083</f>
        <v>0</v>
      </c>
    </row>
    <row r="1077" spans="2:10" ht="15" customHeight="1">
      <c r="B1077" s="3007" t="str">
        <f>'Смета Внутр'!B1084</f>
        <v xml:space="preserve">Гвозди ершоные 2,8 х 90            </v>
      </c>
      <c r="C1077" s="3007" t="str">
        <f>'Смета Внутр'!C1084</f>
        <v>кг</v>
      </c>
      <c r="D1077" s="3014">
        <f>'Смета Внутр'!D1084</f>
        <v>2.9400000000000004</v>
      </c>
      <c r="E1077" s="1042">
        <f>'Смета Внутр'!E1084</f>
        <v>76.489999999999995</v>
      </c>
      <c r="F1077" s="1042">
        <f>'Смета Внутр'!F1084</f>
        <v>0</v>
      </c>
      <c r="G1077" s="3007">
        <f t="shared" si="49"/>
        <v>76.489999999999995</v>
      </c>
      <c r="H1077" s="1042">
        <f>'Смета Внутр'!G1084</f>
        <v>224.88060000000002</v>
      </c>
      <c r="I1077" s="1042">
        <f>'Смета Внутр'!H1084</f>
        <v>0</v>
      </c>
      <c r="J1077" s="3014">
        <f>'Смета Внутр'!I1084</f>
        <v>0</v>
      </c>
    </row>
    <row r="1078" spans="2:10" ht="15" customHeight="1">
      <c r="B1078" s="3007" t="str">
        <f>'Смета Внутр'!B1085</f>
        <v>ГПС 100х50-1,2</v>
      </c>
      <c r="C1078" s="3007" t="str">
        <f>'Смета Внутр'!C1085</f>
        <v>м.п.</v>
      </c>
      <c r="D1078" s="3014">
        <f>'Смета Внутр'!D1085</f>
        <v>0</v>
      </c>
      <c r="E1078" s="1042">
        <f>'Смета Внутр'!E1085</f>
        <v>163</v>
      </c>
      <c r="F1078" s="1042">
        <f>'Смета Внутр'!F1085</f>
        <v>0</v>
      </c>
      <c r="G1078" s="3007">
        <f t="shared" si="49"/>
        <v>163</v>
      </c>
      <c r="H1078" s="1042">
        <f>'Смета Внутр'!G1085</f>
        <v>0</v>
      </c>
      <c r="I1078" s="1042">
        <f>'Смета Внутр'!H1085</f>
        <v>0</v>
      </c>
      <c r="J1078" s="3014">
        <f>'Смета Внутр'!I1085</f>
        <v>0</v>
      </c>
    </row>
    <row r="1079" spans="2:10" ht="15" customHeight="1">
      <c r="B1079" s="3007" t="str">
        <f>'Смета Внутр'!B1086</f>
        <v>ГПС 100х50-1,5</v>
      </c>
      <c r="C1079" s="3007" t="str">
        <f>'Смета Внутр'!C1086</f>
        <v>м.п.</v>
      </c>
      <c r="D1079" s="3014">
        <f>'Смета Внутр'!D1086</f>
        <v>0</v>
      </c>
      <c r="E1079" s="1042">
        <f>'Смета Внутр'!E1086</f>
        <v>204</v>
      </c>
      <c r="F1079" s="1042">
        <f>'Смета Внутр'!F1086</f>
        <v>0</v>
      </c>
      <c r="G1079" s="3007">
        <f t="shared" si="49"/>
        <v>204</v>
      </c>
      <c r="H1079" s="1042">
        <f>'Смета Внутр'!G1086</f>
        <v>0</v>
      </c>
      <c r="I1079" s="1042">
        <f>'Смета Внутр'!H1086</f>
        <v>0</v>
      </c>
      <c r="J1079" s="3014">
        <f>'Смета Внутр'!I1086</f>
        <v>0</v>
      </c>
    </row>
    <row r="1080" spans="2:10" ht="15" customHeight="1">
      <c r="B1080" s="3007" t="str">
        <f>'Смета Внутр'!B1087</f>
        <v>ГПС 120х50-1,5</v>
      </c>
      <c r="C1080" s="3007" t="str">
        <f>'Смета Внутр'!C1087</f>
        <v>м.п.</v>
      </c>
      <c r="D1080" s="3014">
        <f>'Смета Внутр'!D1087</f>
        <v>0</v>
      </c>
      <c r="E1080" s="1042">
        <f>'Смета Внутр'!E1087</f>
        <v>272</v>
      </c>
      <c r="F1080" s="1042">
        <f>'Смета Внутр'!F1087</f>
        <v>0</v>
      </c>
      <c r="G1080" s="3007">
        <f t="shared" si="49"/>
        <v>272</v>
      </c>
      <c r="H1080" s="1042">
        <f>'Смета Внутр'!G1087</f>
        <v>0</v>
      </c>
      <c r="I1080" s="1042">
        <f>'Смета Внутр'!H1087</f>
        <v>0</v>
      </c>
      <c r="J1080" s="3014">
        <f>'Смета Внутр'!I1087</f>
        <v>0</v>
      </c>
    </row>
    <row r="1081" spans="2:10" ht="15" customHeight="1">
      <c r="B1081" s="3007" t="str">
        <f>'Смета Внутр'!B1088</f>
        <v>ГПС 120х50-2,0</v>
      </c>
      <c r="C1081" s="3007" t="str">
        <f>'Смета Внутр'!C1088</f>
        <v>м.п.</v>
      </c>
      <c r="D1081" s="3014">
        <f>'Смета Внутр'!D1088</f>
        <v>0</v>
      </c>
      <c r="E1081" s="1042">
        <f>'Смета Внутр'!E1088</f>
        <v>179</v>
      </c>
      <c r="F1081" s="1042">
        <f>'Смета Внутр'!F1088</f>
        <v>0</v>
      </c>
      <c r="G1081" s="3007">
        <f t="shared" si="49"/>
        <v>179</v>
      </c>
      <c r="H1081" s="1042">
        <f>'Смета Внутр'!G1088</f>
        <v>0</v>
      </c>
      <c r="I1081" s="1042">
        <f>'Смета Внутр'!H1088</f>
        <v>0</v>
      </c>
      <c r="J1081" s="3014">
        <f>'Смета Внутр'!I1088</f>
        <v>0</v>
      </c>
    </row>
    <row r="1082" spans="2:10" ht="15" customHeight="1">
      <c r="B1082" s="3007" t="str">
        <f>'Смета Внутр'!B1089</f>
        <v>ГПС 150х50-1,2</v>
      </c>
      <c r="C1082" s="3007" t="str">
        <f>'Смета Внутр'!C1089</f>
        <v>м.п.</v>
      </c>
      <c r="D1082" s="3014">
        <f>'Смета Внутр'!D1089</f>
        <v>0</v>
      </c>
      <c r="E1082" s="1042">
        <f>'Смета Внутр'!E1089</f>
        <v>224</v>
      </c>
      <c r="F1082" s="1042">
        <f>'Смета Внутр'!F1089</f>
        <v>0</v>
      </c>
      <c r="G1082" s="3007">
        <f t="shared" si="49"/>
        <v>224</v>
      </c>
      <c r="H1082" s="1042">
        <f>'Смета Внутр'!G1089</f>
        <v>0</v>
      </c>
      <c r="I1082" s="1042">
        <f>'Смета Внутр'!H1089</f>
        <v>0</v>
      </c>
      <c r="J1082" s="3014">
        <f>'Смета Внутр'!I1089</f>
        <v>0</v>
      </c>
    </row>
    <row r="1083" spans="2:10" ht="15" customHeight="1">
      <c r="B1083" s="3007" t="str">
        <f>'Смета Внутр'!B1090</f>
        <v>ГПС 150х50-1,5</v>
      </c>
      <c r="C1083" s="3007" t="str">
        <f>'Смета Внутр'!C1090</f>
        <v>м.п.</v>
      </c>
      <c r="D1083" s="3014">
        <f>'Смета Внутр'!D1090</f>
        <v>0</v>
      </c>
      <c r="E1083" s="1042">
        <f>'Смета Внутр'!E1090</f>
        <v>299</v>
      </c>
      <c r="F1083" s="1042">
        <f>'Смета Внутр'!F1090</f>
        <v>0</v>
      </c>
      <c r="G1083" s="3007">
        <f t="shared" si="49"/>
        <v>299</v>
      </c>
      <c r="H1083" s="1042">
        <f>'Смета Внутр'!G1090</f>
        <v>0</v>
      </c>
      <c r="I1083" s="1042">
        <f>'Смета Внутр'!H1090</f>
        <v>0</v>
      </c>
      <c r="J1083" s="3014">
        <f>'Смета Внутр'!I1090</f>
        <v>0</v>
      </c>
    </row>
    <row r="1084" spans="2:10" ht="15" customHeight="1">
      <c r="B1084" s="3007" t="str">
        <f>'Смета Внутр'!B1091</f>
        <v>ГПС 150х50-2,0</v>
      </c>
      <c r="C1084" s="3007" t="str">
        <f>'Смета Внутр'!C1091</f>
        <v>м.п.</v>
      </c>
      <c r="D1084" s="3014">
        <f>'Смета Внутр'!D1091</f>
        <v>0</v>
      </c>
      <c r="E1084" s="1042">
        <f>'Смета Внутр'!E1091</f>
        <v>201</v>
      </c>
      <c r="F1084" s="1042">
        <f>'Смета Внутр'!F1091</f>
        <v>0</v>
      </c>
      <c r="G1084" s="3007">
        <f t="shared" si="49"/>
        <v>201</v>
      </c>
      <c r="H1084" s="1042">
        <f>'Смета Внутр'!G1091</f>
        <v>0</v>
      </c>
      <c r="I1084" s="1042">
        <f>'Смета Внутр'!H1091</f>
        <v>0</v>
      </c>
      <c r="J1084" s="3014">
        <f>'Смета Внутр'!I1091</f>
        <v>0</v>
      </c>
    </row>
    <row r="1085" spans="2:10" ht="15" customHeight="1">
      <c r="B1085" s="3007" t="str">
        <f>'Смета Внутр'!B1092</f>
        <v>ГПС 170х50-1,2</v>
      </c>
      <c r="C1085" s="3007" t="str">
        <f>'Смета Внутр'!C1092</f>
        <v>м.п.</v>
      </c>
      <c r="D1085" s="3014">
        <f>'Смета Внутр'!D1092</f>
        <v>0</v>
      </c>
      <c r="E1085" s="1042">
        <f>'Смета Внутр'!E1092</f>
        <v>252</v>
      </c>
      <c r="F1085" s="1042">
        <f>'Смета Внутр'!F1092</f>
        <v>0</v>
      </c>
      <c r="G1085" s="3007">
        <f t="shared" si="49"/>
        <v>252</v>
      </c>
      <c r="H1085" s="1042">
        <f>'Смета Внутр'!G1092</f>
        <v>0</v>
      </c>
      <c r="I1085" s="1042">
        <f>'Смета Внутр'!H1092</f>
        <v>0</v>
      </c>
      <c r="J1085" s="3014">
        <f>'Смета Внутр'!I1092</f>
        <v>0</v>
      </c>
    </row>
    <row r="1086" spans="2:10" ht="15" customHeight="1">
      <c r="B1086" s="3007" t="str">
        <f>'Смета Внутр'!B1093</f>
        <v>ГПС 170х50-1,5</v>
      </c>
      <c r="C1086" s="3007" t="str">
        <f>'Смета Внутр'!C1093</f>
        <v>м.п.</v>
      </c>
      <c r="D1086" s="3014">
        <f>'Смета Внутр'!D1093</f>
        <v>0</v>
      </c>
      <c r="E1086" s="1042">
        <f>'Смета Внутр'!E1093</f>
        <v>330</v>
      </c>
      <c r="F1086" s="1042">
        <f>'Смета Внутр'!F1093</f>
        <v>0</v>
      </c>
      <c r="G1086" s="3007">
        <f t="shared" si="49"/>
        <v>330</v>
      </c>
      <c r="H1086" s="1042">
        <f>'Смета Внутр'!G1093</f>
        <v>0</v>
      </c>
      <c r="I1086" s="1042">
        <f>'Смета Внутр'!H1093</f>
        <v>0</v>
      </c>
      <c r="J1086" s="3014">
        <f>'Смета Внутр'!I1093</f>
        <v>0</v>
      </c>
    </row>
    <row r="1087" spans="2:10" ht="15" customHeight="1">
      <c r="B1087" s="3007" t="str">
        <f>'Смета Внутр'!B1094</f>
        <v>ГПС 170х50-2,0</v>
      </c>
      <c r="C1087" s="3007" t="str">
        <f>'Смета Внутр'!C1094</f>
        <v>м.п.</v>
      </c>
      <c r="D1087" s="3014">
        <f>'Смета Внутр'!D1094</f>
        <v>0</v>
      </c>
      <c r="E1087" s="1042">
        <f>'Смета Внутр'!E1094</f>
        <v>215</v>
      </c>
      <c r="F1087" s="1042">
        <f>'Смета Внутр'!F1094</f>
        <v>0</v>
      </c>
      <c r="G1087" s="3007">
        <f t="shared" si="49"/>
        <v>215</v>
      </c>
      <c r="H1087" s="1042">
        <f>'Смета Внутр'!G1094</f>
        <v>0</v>
      </c>
      <c r="I1087" s="1042">
        <f>'Смета Внутр'!H1094</f>
        <v>0</v>
      </c>
      <c r="J1087" s="3014">
        <f>'Смета Внутр'!I1094</f>
        <v>0</v>
      </c>
    </row>
    <row r="1088" spans="2:10" ht="15" customHeight="1">
      <c r="B1088" s="3007" t="str">
        <f>'Смета Внутр'!B1095</f>
        <v>ГПС 200х50-1,2</v>
      </c>
      <c r="C1088" s="3007" t="str">
        <f>'Смета Внутр'!C1095</f>
        <v>м.п.</v>
      </c>
      <c r="D1088" s="3014">
        <f>'Смета Внутр'!D1095</f>
        <v>0</v>
      </c>
      <c r="E1088" s="1042">
        <f>'Смета Внутр'!E1095</f>
        <v>269</v>
      </c>
      <c r="F1088" s="1042">
        <f>'Смета Внутр'!F1095</f>
        <v>0</v>
      </c>
      <c r="G1088" s="3007">
        <f t="shared" si="49"/>
        <v>269</v>
      </c>
      <c r="H1088" s="1042">
        <f>'Смета Внутр'!G1095</f>
        <v>0</v>
      </c>
      <c r="I1088" s="1042">
        <f>'Смета Внутр'!H1095</f>
        <v>0</v>
      </c>
      <c r="J1088" s="3014">
        <f>'Смета Внутр'!I1095</f>
        <v>0</v>
      </c>
    </row>
    <row r="1089" spans="2:10" ht="15" customHeight="1">
      <c r="B1089" s="3007" t="str">
        <f>'Смета Внутр'!B1096</f>
        <v>ГПС 200х50-1,5</v>
      </c>
      <c r="C1089" s="3007" t="str">
        <f>'Смета Внутр'!C1096</f>
        <v>м.п.</v>
      </c>
      <c r="D1089" s="3014">
        <f>'Смета Внутр'!D1096</f>
        <v>0</v>
      </c>
      <c r="E1089" s="1042">
        <f>'Смета Внутр'!E1096</f>
        <v>358</v>
      </c>
      <c r="F1089" s="1042">
        <f>'Смета Внутр'!F1096</f>
        <v>0</v>
      </c>
      <c r="G1089" s="3007">
        <f t="shared" si="49"/>
        <v>358</v>
      </c>
      <c r="H1089" s="1042">
        <f>'Смета Внутр'!G1096</f>
        <v>0</v>
      </c>
      <c r="I1089" s="1042">
        <f>'Смета Внутр'!H1096</f>
        <v>0</v>
      </c>
      <c r="J1089" s="3014">
        <f>'Смета Внутр'!I1096</f>
        <v>0</v>
      </c>
    </row>
    <row r="1090" spans="2:10" ht="15" customHeight="1">
      <c r="B1090" s="3007" t="str">
        <f>'Смета Внутр'!B1097</f>
        <v>ГПС 200х50-2,0</v>
      </c>
      <c r="C1090" s="3007" t="str">
        <f>'Смета Внутр'!C1097</f>
        <v>м.п.</v>
      </c>
      <c r="D1090" s="3014">
        <f>'Смета Внутр'!D1097</f>
        <v>0</v>
      </c>
      <c r="E1090" s="1042">
        <f>'Смета Внутр'!E1097</f>
        <v>239</v>
      </c>
      <c r="F1090" s="1042">
        <f>'Смета Внутр'!F1097</f>
        <v>0</v>
      </c>
      <c r="G1090" s="3007">
        <f t="shared" ref="G1090:G1153" si="50">IF(E1090&gt;F1090,E1090,F1090)</f>
        <v>239</v>
      </c>
      <c r="H1090" s="1042">
        <f>'Смета Внутр'!G1097</f>
        <v>0</v>
      </c>
      <c r="I1090" s="1042">
        <f>'Смета Внутр'!H1097</f>
        <v>0</v>
      </c>
      <c r="J1090" s="3014">
        <f>'Смета Внутр'!I1097</f>
        <v>0</v>
      </c>
    </row>
    <row r="1091" spans="2:10" ht="15" customHeight="1">
      <c r="B1091" s="3007" t="str">
        <f>'Смета Внутр'!B1098</f>
        <v>ГПС 250х50-1,2</v>
      </c>
      <c r="C1091" s="3007" t="str">
        <f>'Смета Внутр'!C1098</f>
        <v>м.п.</v>
      </c>
      <c r="D1091" s="3014">
        <f>'Смета Внутр'!D1098</f>
        <v>0</v>
      </c>
      <c r="E1091" s="1042">
        <f>'Смета Внутр'!E1098</f>
        <v>299</v>
      </c>
      <c r="F1091" s="1042">
        <f>'Смета Внутр'!F1098</f>
        <v>0</v>
      </c>
      <c r="G1091" s="3007">
        <f t="shared" si="50"/>
        <v>299</v>
      </c>
      <c r="H1091" s="1042">
        <f>'Смета Внутр'!G1098</f>
        <v>0</v>
      </c>
      <c r="I1091" s="1042">
        <f>'Смета Внутр'!H1098</f>
        <v>0</v>
      </c>
      <c r="J1091" s="3014">
        <f>'Смета Внутр'!I1098</f>
        <v>0</v>
      </c>
    </row>
    <row r="1092" spans="2:10" ht="15" customHeight="1">
      <c r="B1092" s="3007" t="str">
        <f>'Смета Внутр'!B1099</f>
        <v>ГПС 250х50-1,5</v>
      </c>
      <c r="C1092" s="3007" t="str">
        <f>'Смета Внутр'!C1099</f>
        <v>м.п.</v>
      </c>
      <c r="D1092" s="3014">
        <f>'Смета Внутр'!D1099</f>
        <v>0</v>
      </c>
      <c r="E1092" s="1042">
        <f>'Смета Внутр'!E1099</f>
        <v>397</v>
      </c>
      <c r="F1092" s="1042">
        <f>'Смета Внутр'!F1099</f>
        <v>0</v>
      </c>
      <c r="G1092" s="3007">
        <f t="shared" si="50"/>
        <v>397</v>
      </c>
      <c r="H1092" s="1042">
        <f>'Смета Внутр'!G1099</f>
        <v>0</v>
      </c>
      <c r="I1092" s="1042">
        <f>'Смета Внутр'!H1099</f>
        <v>0</v>
      </c>
      <c r="J1092" s="3014">
        <f>'Смета Внутр'!I1099</f>
        <v>0</v>
      </c>
    </row>
    <row r="1093" spans="2:10" ht="15" customHeight="1">
      <c r="B1093" s="3007" t="str">
        <f>'Смета Внутр'!B1100</f>
        <v>ГПС 250х50-2,0</v>
      </c>
      <c r="C1093" s="3007" t="str">
        <f>'Смета Внутр'!C1100</f>
        <v>м.п.</v>
      </c>
      <c r="D1093" s="3014">
        <f>'Смета Внутр'!D1100</f>
        <v>0</v>
      </c>
      <c r="E1093" s="1042">
        <f>'Смета Внутр'!E1100</f>
        <v>274</v>
      </c>
      <c r="F1093" s="1042">
        <f>'Смета Внутр'!F1100</f>
        <v>0</v>
      </c>
      <c r="G1093" s="3007">
        <f t="shared" si="50"/>
        <v>274</v>
      </c>
      <c r="H1093" s="1042">
        <f>'Смета Внутр'!G1100</f>
        <v>0</v>
      </c>
      <c r="I1093" s="1042">
        <f>'Смета Внутр'!H1100</f>
        <v>0</v>
      </c>
      <c r="J1093" s="3014">
        <f>'Смета Внутр'!I1100</f>
        <v>0</v>
      </c>
    </row>
    <row r="1094" spans="2:10" ht="15" customHeight="1">
      <c r="B1094" s="3007" t="str">
        <f>'Смета Внутр'!B1101</f>
        <v>ГПС 280х50-1,2</v>
      </c>
      <c r="C1094" s="3007" t="str">
        <f>'Смета Внутр'!C1101</f>
        <v>м.п.</v>
      </c>
      <c r="D1094" s="3014">
        <f>'Смета Внутр'!D1101</f>
        <v>0</v>
      </c>
      <c r="E1094" s="1042">
        <f>'Смета Внутр'!E1101</f>
        <v>344</v>
      </c>
      <c r="F1094" s="1042">
        <f>'Смета Внутр'!F1101</f>
        <v>0</v>
      </c>
      <c r="G1094" s="3007">
        <f t="shared" si="50"/>
        <v>344</v>
      </c>
      <c r="H1094" s="1042">
        <f>'Смета Внутр'!G1101</f>
        <v>0</v>
      </c>
      <c r="I1094" s="1042">
        <f>'Смета Внутр'!H1101</f>
        <v>0</v>
      </c>
      <c r="J1094" s="3014">
        <f>'Смета Внутр'!I1101</f>
        <v>0</v>
      </c>
    </row>
    <row r="1095" spans="2:10" ht="15" customHeight="1">
      <c r="B1095" s="3007" t="str">
        <f>'Смета Внутр'!B1102</f>
        <v>ГПС 280х50-1,5</v>
      </c>
      <c r="C1095" s="3007" t="str">
        <f>'Смета Внутр'!C1102</f>
        <v>м.п.</v>
      </c>
      <c r="D1095" s="3014">
        <f>'Смета Внутр'!D1102</f>
        <v>0</v>
      </c>
      <c r="E1095" s="1042">
        <f>'Смета Внутр'!E1102</f>
        <v>450</v>
      </c>
      <c r="F1095" s="1042">
        <f>'Смета Внутр'!F1102</f>
        <v>0</v>
      </c>
      <c r="G1095" s="3007">
        <f t="shared" si="50"/>
        <v>450</v>
      </c>
      <c r="H1095" s="1042">
        <f>'Смета Внутр'!G1102</f>
        <v>0</v>
      </c>
      <c r="I1095" s="1042">
        <f>'Смета Внутр'!H1102</f>
        <v>0</v>
      </c>
      <c r="J1095" s="3014">
        <f>'Смета Внутр'!I1102</f>
        <v>0</v>
      </c>
    </row>
    <row r="1096" spans="2:10" ht="15" customHeight="1">
      <c r="B1096" s="3007" t="str">
        <f>'Смета Внутр'!B1103</f>
        <v>ГПС 280х50-2,0</v>
      </c>
      <c r="C1096" s="3007" t="str">
        <f>'Смета Внутр'!C1103</f>
        <v>м.п.</v>
      </c>
      <c r="D1096" s="3014">
        <f>'Смета Внутр'!D1103</f>
        <v>0</v>
      </c>
      <c r="E1096" s="1042">
        <f>'Смета Внутр'!E1103</f>
        <v>293</v>
      </c>
      <c r="F1096" s="1042">
        <f>'Смета Внутр'!F1103</f>
        <v>0</v>
      </c>
      <c r="G1096" s="3007">
        <f t="shared" si="50"/>
        <v>293</v>
      </c>
      <c r="H1096" s="1042">
        <f>'Смета Внутр'!G1103</f>
        <v>0</v>
      </c>
      <c r="I1096" s="1042">
        <f>'Смета Внутр'!H1103</f>
        <v>0</v>
      </c>
      <c r="J1096" s="3014">
        <f>'Смета Внутр'!I1103</f>
        <v>0</v>
      </c>
    </row>
    <row r="1097" spans="2:10" ht="15" customHeight="1">
      <c r="B1097" s="3007" t="str">
        <f>'Смета Внутр'!B1104</f>
        <v>ГПН 102х35-1,2</v>
      </c>
      <c r="C1097" s="3007" t="str">
        <f>'Смета Внутр'!C1104</f>
        <v>м.п.</v>
      </c>
      <c r="D1097" s="3014">
        <f>'Смета Внутр'!D1104</f>
        <v>0</v>
      </c>
      <c r="E1097" s="1042">
        <f>'Смета Внутр'!E1104</f>
        <v>127</v>
      </c>
      <c r="F1097" s="1042">
        <f>'Смета Внутр'!F1104</f>
        <v>0</v>
      </c>
      <c r="G1097" s="3007">
        <f t="shared" si="50"/>
        <v>127</v>
      </c>
      <c r="H1097" s="1042">
        <f>'Смета Внутр'!G1104</f>
        <v>0</v>
      </c>
      <c r="I1097" s="1042">
        <f>'Смета Внутр'!H1104</f>
        <v>0</v>
      </c>
      <c r="J1097" s="3014">
        <f>'Смета Внутр'!I1104</f>
        <v>0</v>
      </c>
    </row>
    <row r="1098" spans="2:10" ht="15" customHeight="1">
      <c r="B1098" s="3007" t="str">
        <f>'Смета Внутр'!B1105</f>
        <v>ГПН 102х35-1,5</v>
      </c>
      <c r="C1098" s="3007" t="str">
        <f>'Смета Внутр'!C1105</f>
        <v>м.п.</v>
      </c>
      <c r="D1098" s="3014">
        <f>'Смета Внутр'!D1105</f>
        <v>0</v>
      </c>
      <c r="E1098" s="1042">
        <f>'Смета Внутр'!E1105</f>
        <v>158</v>
      </c>
      <c r="F1098" s="1042">
        <f>'Смета Внутр'!F1105</f>
        <v>0</v>
      </c>
      <c r="G1098" s="3007">
        <f t="shared" si="50"/>
        <v>158</v>
      </c>
      <c r="H1098" s="1042">
        <f>'Смета Внутр'!G1105</f>
        <v>0</v>
      </c>
      <c r="I1098" s="1042">
        <f>'Смета Внутр'!H1105</f>
        <v>0</v>
      </c>
      <c r="J1098" s="3014">
        <f>'Смета Внутр'!I1105</f>
        <v>0</v>
      </c>
    </row>
    <row r="1099" spans="2:10" ht="15" customHeight="1">
      <c r="B1099" s="3007" t="str">
        <f>'Смета Внутр'!B1106</f>
        <v>ГПН 102х35-2,0</v>
      </c>
      <c r="C1099" s="3007" t="str">
        <f>'Смета Внутр'!C1106</f>
        <v>м.п.</v>
      </c>
      <c r="D1099" s="3014">
        <f>'Смета Внутр'!D1106</f>
        <v>0</v>
      </c>
      <c r="E1099" s="1042">
        <f>'Смета Внутр'!E1106</f>
        <v>199</v>
      </c>
      <c r="F1099" s="1042">
        <f>'Смета Внутр'!F1106</f>
        <v>0</v>
      </c>
      <c r="G1099" s="3007">
        <f t="shared" si="50"/>
        <v>199</v>
      </c>
      <c r="H1099" s="1042">
        <f>'Смета Внутр'!G1106</f>
        <v>0</v>
      </c>
      <c r="I1099" s="1042">
        <f>'Смета Внутр'!H1106</f>
        <v>0</v>
      </c>
      <c r="J1099" s="3014">
        <f>'Смета Внутр'!I1106</f>
        <v>0</v>
      </c>
    </row>
    <row r="1100" spans="2:10" ht="15" customHeight="1">
      <c r="B1100" s="3007" t="str">
        <f>'Смета Внутр'!B1107</f>
        <v>ГПН 122х35-1,2</v>
      </c>
      <c r="C1100" s="3007" t="str">
        <f>'Смета Внутр'!C1107</f>
        <v>м.п.</v>
      </c>
      <c r="D1100" s="3014">
        <f>'Смета Внутр'!D1107</f>
        <v>0</v>
      </c>
      <c r="E1100" s="1042">
        <f>'Смета Внутр'!E1107</f>
        <v>131</v>
      </c>
      <c r="F1100" s="1042">
        <f>'Смета Внутр'!F1107</f>
        <v>0</v>
      </c>
      <c r="G1100" s="3007">
        <f t="shared" si="50"/>
        <v>131</v>
      </c>
      <c r="H1100" s="1042">
        <f>'Смета Внутр'!G1107</f>
        <v>0</v>
      </c>
      <c r="I1100" s="1042">
        <f>'Смета Внутр'!H1107</f>
        <v>0</v>
      </c>
      <c r="J1100" s="3014">
        <f>'Смета Внутр'!I1107</f>
        <v>0</v>
      </c>
    </row>
    <row r="1101" spans="2:10" ht="15" customHeight="1">
      <c r="B1101" s="3007" t="str">
        <f>'Смета Внутр'!B1108</f>
        <v>ГПН 122х35-1,5</v>
      </c>
      <c r="C1101" s="3007" t="str">
        <f>'Смета Внутр'!C1108</f>
        <v>м.п.</v>
      </c>
      <c r="D1101" s="3014">
        <f>'Смета Внутр'!D1108</f>
        <v>0</v>
      </c>
      <c r="E1101" s="1042">
        <f>'Смета Внутр'!E1108</f>
        <v>163</v>
      </c>
      <c r="F1101" s="1042">
        <f>'Смета Внутр'!F1108</f>
        <v>0</v>
      </c>
      <c r="G1101" s="3007">
        <f t="shared" si="50"/>
        <v>163</v>
      </c>
      <c r="H1101" s="1042">
        <f>'Смета Внутр'!G1108</f>
        <v>0</v>
      </c>
      <c r="I1101" s="1042">
        <f>'Смета Внутр'!H1108</f>
        <v>0</v>
      </c>
      <c r="J1101" s="3014">
        <f>'Смета Внутр'!I1108</f>
        <v>0</v>
      </c>
    </row>
    <row r="1102" spans="2:10" ht="15" customHeight="1">
      <c r="B1102" s="3007" t="str">
        <f>'Смета Внутр'!B1109</f>
        <v>ГПН 122х35-2,0</v>
      </c>
      <c r="C1102" s="3007" t="str">
        <f>'Смета Внутр'!C1109</f>
        <v>м.п.</v>
      </c>
      <c r="D1102" s="3014">
        <f>'Смета Внутр'!D1109</f>
        <v>0</v>
      </c>
      <c r="E1102" s="1042">
        <f>'Смета Внутр'!E1109</f>
        <v>216</v>
      </c>
      <c r="F1102" s="1042">
        <f>'Смета Внутр'!F1109</f>
        <v>0</v>
      </c>
      <c r="G1102" s="3007">
        <f t="shared" si="50"/>
        <v>216</v>
      </c>
      <c r="H1102" s="1042">
        <f>'Смета Внутр'!G1109</f>
        <v>0</v>
      </c>
      <c r="I1102" s="1042">
        <f>'Смета Внутр'!H1109</f>
        <v>0</v>
      </c>
      <c r="J1102" s="3014">
        <f>'Смета Внутр'!I1109</f>
        <v>0</v>
      </c>
    </row>
    <row r="1103" spans="2:10" ht="15" customHeight="1">
      <c r="B1103" s="3007" t="str">
        <f>'Смета Внутр'!B1110</f>
        <v>ГПН 152х35-1,2</v>
      </c>
      <c r="C1103" s="3007" t="str">
        <f>'Смета Внутр'!C1110</f>
        <v>м.п.</v>
      </c>
      <c r="D1103" s="3014">
        <f>'Смета Внутр'!D1110</f>
        <v>0</v>
      </c>
      <c r="E1103" s="1042">
        <f>'Смета Внутр'!E1110</f>
        <v>163</v>
      </c>
      <c r="F1103" s="1042">
        <f>'Смета Внутр'!F1110</f>
        <v>0</v>
      </c>
      <c r="G1103" s="3007">
        <f t="shared" si="50"/>
        <v>163</v>
      </c>
      <c r="H1103" s="1042">
        <f>'Смета Внутр'!G1110</f>
        <v>0</v>
      </c>
      <c r="I1103" s="1042">
        <f>'Смета Внутр'!H1110</f>
        <v>0</v>
      </c>
      <c r="J1103" s="3014">
        <f>'Смета Внутр'!I1110</f>
        <v>0</v>
      </c>
    </row>
    <row r="1104" spans="2:10" ht="15" customHeight="1">
      <c r="B1104" s="3007" t="str">
        <f>'Смета Внутр'!B1111</f>
        <v>ГПН 152х35-1,5</v>
      </c>
      <c r="C1104" s="3007" t="str">
        <f>'Смета Внутр'!C1111</f>
        <v>м.п.</v>
      </c>
      <c r="D1104" s="3014">
        <f>'Смета Внутр'!D1111</f>
        <v>0</v>
      </c>
      <c r="E1104" s="1042">
        <f>'Смета Внутр'!E1111</f>
        <v>203</v>
      </c>
      <c r="F1104" s="1042">
        <f>'Смета Внутр'!F1111</f>
        <v>0</v>
      </c>
      <c r="G1104" s="3007">
        <f t="shared" si="50"/>
        <v>203</v>
      </c>
      <c r="H1104" s="1042">
        <f>'Смета Внутр'!G1111</f>
        <v>0</v>
      </c>
      <c r="I1104" s="1042">
        <f>'Смета Внутр'!H1111</f>
        <v>0</v>
      </c>
      <c r="J1104" s="3014">
        <f>'Смета Внутр'!I1111</f>
        <v>0</v>
      </c>
    </row>
    <row r="1105" spans="2:10" ht="15" customHeight="1">
      <c r="B1105" s="3007" t="str">
        <f>'Смета Внутр'!B1112</f>
        <v>ГПН 152х35-2,0</v>
      </c>
      <c r="C1105" s="3007" t="str">
        <f>'Смета Внутр'!C1112</f>
        <v>м.п.</v>
      </c>
      <c r="D1105" s="3014">
        <f>'Смета Внутр'!D1112</f>
        <v>0</v>
      </c>
      <c r="E1105" s="1042">
        <f>'Смета Внутр'!E1112</f>
        <v>259</v>
      </c>
      <c r="F1105" s="1042">
        <f>'Смета Внутр'!F1112</f>
        <v>0</v>
      </c>
      <c r="G1105" s="3007">
        <f t="shared" si="50"/>
        <v>259</v>
      </c>
      <c r="H1105" s="1042">
        <f>'Смета Внутр'!G1112</f>
        <v>0</v>
      </c>
      <c r="I1105" s="1042">
        <f>'Смета Внутр'!H1112</f>
        <v>0</v>
      </c>
      <c r="J1105" s="3014">
        <f>'Смета Внутр'!I1112</f>
        <v>0</v>
      </c>
    </row>
    <row r="1106" spans="2:10" ht="15" customHeight="1">
      <c r="B1106" s="3007" t="str">
        <f>'Смета Внутр'!B1113</f>
        <v>ГПН 172х35-1,2</v>
      </c>
      <c r="C1106" s="3007" t="str">
        <f>'Смета Внутр'!C1113</f>
        <v>м.п.</v>
      </c>
      <c r="D1106" s="3014">
        <f>'Смета Внутр'!D1113</f>
        <v>0</v>
      </c>
      <c r="E1106" s="1042">
        <f>'Смета Внутр'!E1113</f>
        <v>166</v>
      </c>
      <c r="F1106" s="1042">
        <f>'Смета Внутр'!F1113</f>
        <v>0</v>
      </c>
      <c r="G1106" s="3007">
        <f t="shared" si="50"/>
        <v>166</v>
      </c>
      <c r="H1106" s="1042">
        <f>'Смета Внутр'!G1113</f>
        <v>0</v>
      </c>
      <c r="I1106" s="1042">
        <f>'Смета Внутр'!H1113</f>
        <v>0</v>
      </c>
      <c r="J1106" s="3014">
        <f>'Смета Внутр'!I1113</f>
        <v>0</v>
      </c>
    </row>
    <row r="1107" spans="2:10" ht="15" customHeight="1">
      <c r="B1107" s="3007" t="str">
        <f>'Смета Внутр'!B1114</f>
        <v>ГПН 172х35-1,5</v>
      </c>
      <c r="C1107" s="3007" t="str">
        <f>'Смета Внутр'!C1114</f>
        <v>м.п.</v>
      </c>
      <c r="D1107" s="3014">
        <f>'Смета Внутр'!D1114</f>
        <v>0</v>
      </c>
      <c r="E1107" s="1042">
        <f>'Смета Внутр'!E1114</f>
        <v>207</v>
      </c>
      <c r="F1107" s="1042">
        <f>'Смета Внутр'!F1114</f>
        <v>0</v>
      </c>
      <c r="G1107" s="3007">
        <f t="shared" si="50"/>
        <v>207</v>
      </c>
      <c r="H1107" s="1042">
        <f>'Смета Внутр'!G1114</f>
        <v>0</v>
      </c>
      <c r="I1107" s="1042">
        <f>'Смета Внутр'!H1114</f>
        <v>0</v>
      </c>
      <c r="J1107" s="3014">
        <f>'Смета Внутр'!I1114</f>
        <v>0</v>
      </c>
    </row>
    <row r="1108" spans="2:10" ht="15" customHeight="1">
      <c r="B1108" s="3007" t="str">
        <f>'Смета Внутр'!B1115</f>
        <v>ГПН 172х35-2,0</v>
      </c>
      <c r="C1108" s="3007" t="str">
        <f>'Смета Внутр'!C1115</f>
        <v>м.п.</v>
      </c>
      <c r="D1108" s="3014">
        <f>'Смета Внутр'!D1115</f>
        <v>0</v>
      </c>
      <c r="E1108" s="1042">
        <f>'Смета Внутр'!E1115</f>
        <v>274</v>
      </c>
      <c r="F1108" s="1042">
        <f>'Смета Внутр'!F1115</f>
        <v>0</v>
      </c>
      <c r="G1108" s="3007">
        <f t="shared" si="50"/>
        <v>274</v>
      </c>
      <c r="H1108" s="1042">
        <f>'Смета Внутр'!G1115</f>
        <v>0</v>
      </c>
      <c r="I1108" s="1042">
        <f>'Смета Внутр'!H1115</f>
        <v>0</v>
      </c>
      <c r="J1108" s="3014">
        <f>'Смета Внутр'!I1115</f>
        <v>0</v>
      </c>
    </row>
    <row r="1109" spans="2:10" ht="15" customHeight="1">
      <c r="B1109" s="3007" t="str">
        <f>'Смета Внутр'!B1116</f>
        <v>ГПН 202х35-1,2</v>
      </c>
      <c r="C1109" s="3007" t="str">
        <f>'Смета Внутр'!C1116</f>
        <v>м.п.</v>
      </c>
      <c r="D1109" s="3014">
        <f>'Смета Внутр'!D1116</f>
        <v>0</v>
      </c>
      <c r="E1109" s="1042">
        <f>'Смета Внутр'!E1116</f>
        <v>201</v>
      </c>
      <c r="F1109" s="1042">
        <f>'Смета Внутр'!F1116</f>
        <v>0</v>
      </c>
      <c r="G1109" s="3007">
        <f t="shared" si="50"/>
        <v>201</v>
      </c>
      <c r="H1109" s="1042">
        <f>'Смета Внутр'!G1116</f>
        <v>0</v>
      </c>
      <c r="I1109" s="1042">
        <f>'Смета Внутр'!H1116</f>
        <v>0</v>
      </c>
      <c r="J1109" s="3014">
        <f>'Смета Внутр'!I1116</f>
        <v>0</v>
      </c>
    </row>
    <row r="1110" spans="2:10" ht="15" customHeight="1">
      <c r="B1110" s="3007" t="str">
        <f>'Смета Внутр'!B1117</f>
        <v>ГПН 202х35-1,5</v>
      </c>
      <c r="C1110" s="3007" t="str">
        <f>'Смета Внутр'!C1117</f>
        <v>м.п.</v>
      </c>
      <c r="D1110" s="3014">
        <f>'Смета Внутр'!D1117</f>
        <v>0</v>
      </c>
      <c r="E1110" s="1042">
        <f>'Смета Внутр'!E1117</f>
        <v>252</v>
      </c>
      <c r="F1110" s="1042">
        <f>'Смета Внутр'!F1117</f>
        <v>0</v>
      </c>
      <c r="G1110" s="3007">
        <f t="shared" si="50"/>
        <v>252</v>
      </c>
      <c r="H1110" s="1042">
        <f>'Смета Внутр'!G1117</f>
        <v>0</v>
      </c>
      <c r="I1110" s="1042">
        <f>'Смета Внутр'!H1117</f>
        <v>0</v>
      </c>
      <c r="J1110" s="3014">
        <f>'Смета Внутр'!I1117</f>
        <v>0</v>
      </c>
    </row>
    <row r="1111" spans="2:10" ht="15" customHeight="1">
      <c r="B1111" s="3007" t="str">
        <f>'Смета Внутр'!B1118</f>
        <v>ГПН 202х35-2,0</v>
      </c>
      <c r="C1111" s="3007" t="str">
        <f>'Смета Внутр'!C1118</f>
        <v>м.п.</v>
      </c>
      <c r="D1111" s="3014">
        <f>'Смета Внутр'!D1118</f>
        <v>0</v>
      </c>
      <c r="E1111" s="1042">
        <f>'Смета Внутр'!E1118</f>
        <v>318</v>
      </c>
      <c r="F1111" s="1042">
        <f>'Смета Внутр'!F1118</f>
        <v>0</v>
      </c>
      <c r="G1111" s="3007">
        <f t="shared" si="50"/>
        <v>318</v>
      </c>
      <c r="H1111" s="1042">
        <f>'Смета Внутр'!G1118</f>
        <v>0</v>
      </c>
      <c r="I1111" s="1042">
        <f>'Смета Внутр'!H1118</f>
        <v>0</v>
      </c>
      <c r="J1111" s="3014">
        <f>'Смета Внутр'!I1118</f>
        <v>0</v>
      </c>
    </row>
    <row r="1112" spans="2:10" ht="15" customHeight="1">
      <c r="B1112" s="3007" t="str">
        <f>'Смета Внутр'!B1119</f>
        <v>ГПН 252х35-1,2</v>
      </c>
      <c r="C1112" s="3007" t="str">
        <f>'Смета Внутр'!C1119</f>
        <v>м.п.</v>
      </c>
      <c r="D1112" s="3014">
        <f>'Смета Внутр'!D1119</f>
        <v>0</v>
      </c>
      <c r="E1112" s="1042">
        <f>'Смета Внутр'!E1119</f>
        <v>226</v>
      </c>
      <c r="F1112" s="1042">
        <f>'Смета Внутр'!F1119</f>
        <v>0</v>
      </c>
      <c r="G1112" s="3007">
        <f t="shared" si="50"/>
        <v>226</v>
      </c>
      <c r="H1112" s="1042">
        <f>'Смета Внутр'!G1119</f>
        <v>0</v>
      </c>
      <c r="I1112" s="1042">
        <f>'Смета Внутр'!H1119</f>
        <v>0</v>
      </c>
      <c r="J1112" s="3014">
        <f>'Смета Внутр'!I1119</f>
        <v>0</v>
      </c>
    </row>
    <row r="1113" spans="2:10" ht="15" customHeight="1">
      <c r="B1113" s="3007" t="str">
        <f>'Смета Внутр'!B1120</f>
        <v>ГПН 252х35-1,5</v>
      </c>
      <c r="C1113" s="3007" t="str">
        <f>'Смета Внутр'!C1120</f>
        <v>м.п.</v>
      </c>
      <c r="D1113" s="3014">
        <f>'Смета Внутр'!D1120</f>
        <v>0</v>
      </c>
      <c r="E1113" s="1042">
        <f>'Смета Внутр'!E1120</f>
        <v>283</v>
      </c>
      <c r="F1113" s="1042">
        <f>'Смета Внутр'!F1120</f>
        <v>0</v>
      </c>
      <c r="G1113" s="3007">
        <f t="shared" si="50"/>
        <v>283</v>
      </c>
      <c r="H1113" s="1042">
        <f>'Смета Внутр'!G1120</f>
        <v>0</v>
      </c>
      <c r="I1113" s="1042">
        <f>'Смета Внутр'!H1120</f>
        <v>0</v>
      </c>
      <c r="J1113" s="3014">
        <f>'Смета Внутр'!I1120</f>
        <v>0</v>
      </c>
    </row>
    <row r="1114" spans="2:10" ht="15" customHeight="1">
      <c r="B1114" s="3007" t="str">
        <f>'Смета Внутр'!B1121</f>
        <v>ГПН 252х35-2,0</v>
      </c>
      <c r="C1114" s="3007" t="str">
        <f>'Смета Внутр'!C1121</f>
        <v>м.п.</v>
      </c>
      <c r="D1114" s="3014">
        <f>'Смета Внутр'!D1121</f>
        <v>0</v>
      </c>
      <c r="E1114" s="1042">
        <f>'Смета Внутр'!E1121</f>
        <v>378</v>
      </c>
      <c r="F1114" s="1042">
        <f>'Смета Внутр'!F1121</f>
        <v>0</v>
      </c>
      <c r="G1114" s="3007">
        <f t="shared" si="50"/>
        <v>378</v>
      </c>
      <c r="H1114" s="1042">
        <f>'Смета Внутр'!G1121</f>
        <v>0</v>
      </c>
      <c r="I1114" s="1042">
        <f>'Смета Внутр'!H1121</f>
        <v>0</v>
      </c>
      <c r="J1114" s="3014">
        <f>'Смета Внутр'!I1121</f>
        <v>0</v>
      </c>
    </row>
    <row r="1115" spans="2:10" ht="15" customHeight="1">
      <c r="B1115" s="3007" t="str">
        <f>'Смета Внутр'!B1122</f>
        <v>ГПН 282х35-1,2</v>
      </c>
      <c r="C1115" s="3007" t="str">
        <f>'Смета Внутр'!C1122</f>
        <v>м.п.</v>
      </c>
      <c r="D1115" s="3014">
        <f>'Смета Внутр'!D1122</f>
        <v>0</v>
      </c>
      <c r="E1115" s="1042">
        <f>'Смета Внутр'!E1122</f>
        <v>275</v>
      </c>
      <c r="F1115" s="1042">
        <f>'Смета Внутр'!F1122</f>
        <v>0</v>
      </c>
      <c r="G1115" s="3007">
        <f t="shared" si="50"/>
        <v>275</v>
      </c>
      <c r="H1115" s="1042">
        <f>'Смета Внутр'!G1122</f>
        <v>0</v>
      </c>
      <c r="I1115" s="1042">
        <f>'Смета Внутр'!H1122</f>
        <v>0</v>
      </c>
      <c r="J1115" s="3014">
        <f>'Смета Внутр'!I1122</f>
        <v>0</v>
      </c>
    </row>
    <row r="1116" spans="2:10" ht="15" customHeight="1">
      <c r="B1116" s="3007" t="str">
        <f>'Смета Внутр'!B1123</f>
        <v>Саморез 5,5 х 25</v>
      </c>
      <c r="C1116" s="3007">
        <f>'Смета Внутр'!C1123</f>
        <v>0</v>
      </c>
      <c r="D1116" s="3014">
        <f>'Смета Внутр'!D1123</f>
        <v>0</v>
      </c>
      <c r="E1116" s="1042">
        <f>'Смета Внутр'!E1123</f>
        <v>2.5</v>
      </c>
      <c r="F1116" s="1042">
        <f>'Смета Внутр'!F1123</f>
        <v>0</v>
      </c>
      <c r="G1116" s="3007">
        <f t="shared" si="50"/>
        <v>2.5</v>
      </c>
      <c r="H1116" s="1042">
        <f>'Смета Внутр'!G1123</f>
        <v>0</v>
      </c>
      <c r="I1116" s="1042">
        <f>'Смета Внутр'!H1123</f>
        <v>0</v>
      </c>
      <c r="J1116" s="3014">
        <f>'Смета Внутр'!I1123</f>
        <v>0</v>
      </c>
    </row>
    <row r="1117" spans="2:10" ht="15" customHeight="1">
      <c r="B1117" s="3007" t="str">
        <f>'Смета Внутр'!B1124</f>
        <v>ГПС 100х50-1,2</v>
      </c>
      <c r="C1117" s="3007" t="str">
        <f>'Смета Внутр'!C1124</f>
        <v>м.п.</v>
      </c>
      <c r="D1117" s="3014">
        <f>'Смета Внутр'!D1124</f>
        <v>0</v>
      </c>
      <c r="E1117" s="1042">
        <f>'Смета Внутр'!E1124</f>
        <v>163</v>
      </c>
      <c r="F1117" s="1042">
        <f>'Смета Внутр'!F1124</f>
        <v>0</v>
      </c>
      <c r="G1117" s="3007">
        <f t="shared" si="50"/>
        <v>163</v>
      </c>
      <c r="H1117" s="1042">
        <f>'Смета Внутр'!G1124</f>
        <v>0</v>
      </c>
      <c r="I1117" s="1042">
        <f>'Смета Внутр'!H1124</f>
        <v>0</v>
      </c>
      <c r="J1117" s="3014">
        <f>'Смета Внутр'!I1124</f>
        <v>0</v>
      </c>
    </row>
    <row r="1118" spans="2:10" ht="15" customHeight="1">
      <c r="B1118" s="3007" t="str">
        <f>'Смета Внутр'!B1125</f>
        <v>ГПС 100х50-1,5</v>
      </c>
      <c r="C1118" s="3007" t="str">
        <f>'Смета Внутр'!C1125</f>
        <v>м.п.</v>
      </c>
      <c r="D1118" s="3014">
        <f>'Смета Внутр'!D1125</f>
        <v>0</v>
      </c>
      <c r="E1118" s="1042">
        <f>'Смета Внутр'!E1125</f>
        <v>204</v>
      </c>
      <c r="F1118" s="1042">
        <f>'Смета Внутр'!F1125</f>
        <v>0</v>
      </c>
      <c r="G1118" s="3007">
        <f t="shared" si="50"/>
        <v>204</v>
      </c>
      <c r="H1118" s="1042">
        <f>'Смета Внутр'!G1125</f>
        <v>0</v>
      </c>
      <c r="I1118" s="1042">
        <f>'Смета Внутр'!H1125</f>
        <v>0</v>
      </c>
      <c r="J1118" s="3014">
        <f>'Смета Внутр'!I1125</f>
        <v>0</v>
      </c>
    </row>
    <row r="1119" spans="2:10" ht="15" customHeight="1">
      <c r="B1119" s="3007" t="str">
        <f>'Смета Внутр'!B1126</f>
        <v>ГПС 120х50-1,5</v>
      </c>
      <c r="C1119" s="3007" t="str">
        <f>'Смета Внутр'!C1126</f>
        <v>м.п.</v>
      </c>
      <c r="D1119" s="3014">
        <f>'Смета Внутр'!D1126</f>
        <v>0</v>
      </c>
      <c r="E1119" s="1042">
        <f>'Смета Внутр'!E1126</f>
        <v>272</v>
      </c>
      <c r="F1119" s="1042">
        <f>'Смета Внутр'!F1126</f>
        <v>0</v>
      </c>
      <c r="G1119" s="3007">
        <f t="shared" si="50"/>
        <v>272</v>
      </c>
      <c r="H1119" s="1042">
        <f>'Смета Внутр'!G1126</f>
        <v>0</v>
      </c>
      <c r="I1119" s="1042">
        <f>'Смета Внутр'!H1126</f>
        <v>0</v>
      </c>
      <c r="J1119" s="3014">
        <f>'Смета Внутр'!I1126</f>
        <v>0</v>
      </c>
    </row>
    <row r="1120" spans="2:10" ht="15" customHeight="1">
      <c r="B1120" s="3007" t="str">
        <f>'Смета Внутр'!B1127</f>
        <v>ГПС 120х50-2,0</v>
      </c>
      <c r="C1120" s="3007" t="str">
        <f>'Смета Внутр'!C1127</f>
        <v>м.п.</v>
      </c>
      <c r="D1120" s="3014">
        <f>'Смета Внутр'!D1127</f>
        <v>0</v>
      </c>
      <c r="E1120" s="1042">
        <f>'Смета Внутр'!E1127</f>
        <v>179</v>
      </c>
      <c r="F1120" s="1042">
        <f>'Смета Внутр'!F1127</f>
        <v>0</v>
      </c>
      <c r="G1120" s="3007">
        <f t="shared" si="50"/>
        <v>179</v>
      </c>
      <c r="H1120" s="1042">
        <f>'Смета Внутр'!G1127</f>
        <v>0</v>
      </c>
      <c r="I1120" s="1042">
        <f>'Смета Внутр'!H1127</f>
        <v>0</v>
      </c>
      <c r="J1120" s="3014">
        <f>'Смета Внутр'!I1127</f>
        <v>0</v>
      </c>
    </row>
    <row r="1121" spans="2:10" ht="15" customHeight="1">
      <c r="B1121" s="3007" t="str">
        <f>'Смета Внутр'!B1128</f>
        <v>ГПС 150х50-1,2</v>
      </c>
      <c r="C1121" s="3007" t="str">
        <f>'Смета Внутр'!C1128</f>
        <v>м.п.</v>
      </c>
      <c r="D1121" s="3014">
        <f>'Смета Внутр'!D1128</f>
        <v>0</v>
      </c>
      <c r="E1121" s="1042">
        <f>'Смета Внутр'!E1128</f>
        <v>224</v>
      </c>
      <c r="F1121" s="1042">
        <f>'Смета Внутр'!F1128</f>
        <v>0</v>
      </c>
      <c r="G1121" s="3007">
        <f t="shared" si="50"/>
        <v>224</v>
      </c>
      <c r="H1121" s="1042">
        <f>'Смета Внутр'!G1128</f>
        <v>0</v>
      </c>
      <c r="I1121" s="1042">
        <f>'Смета Внутр'!H1128</f>
        <v>0</v>
      </c>
      <c r="J1121" s="3014">
        <f>'Смета Внутр'!I1128</f>
        <v>0</v>
      </c>
    </row>
    <row r="1122" spans="2:10" ht="15" customHeight="1">
      <c r="B1122" s="3007" t="str">
        <f>'Смета Внутр'!B1129</f>
        <v>ГПС 150х50-1,5</v>
      </c>
      <c r="C1122" s="3007" t="str">
        <f>'Смета Внутр'!C1129</f>
        <v>м.п.</v>
      </c>
      <c r="D1122" s="3014">
        <f>'Смета Внутр'!D1129</f>
        <v>0</v>
      </c>
      <c r="E1122" s="1042">
        <f>'Смета Внутр'!E1129</f>
        <v>299</v>
      </c>
      <c r="F1122" s="1042">
        <f>'Смета Внутр'!F1129</f>
        <v>0</v>
      </c>
      <c r="G1122" s="3007">
        <f t="shared" si="50"/>
        <v>299</v>
      </c>
      <c r="H1122" s="1042">
        <f>'Смета Внутр'!G1129</f>
        <v>0</v>
      </c>
      <c r="I1122" s="1042">
        <f>'Смета Внутр'!H1129</f>
        <v>0</v>
      </c>
      <c r="J1122" s="3014">
        <f>'Смета Внутр'!I1129</f>
        <v>0</v>
      </c>
    </row>
    <row r="1123" spans="2:10" ht="15" customHeight="1">
      <c r="B1123" s="3007" t="str">
        <f>'Смета Внутр'!B1130</f>
        <v>ГПС 150х50-2,0</v>
      </c>
      <c r="C1123" s="3007" t="str">
        <f>'Смета Внутр'!C1130</f>
        <v>м.п.</v>
      </c>
      <c r="D1123" s="3014">
        <f>'Смета Внутр'!D1130</f>
        <v>0</v>
      </c>
      <c r="E1123" s="1042">
        <f>'Смета Внутр'!E1130</f>
        <v>201</v>
      </c>
      <c r="F1123" s="1042">
        <f>'Смета Внутр'!F1130</f>
        <v>0</v>
      </c>
      <c r="G1123" s="3007">
        <f t="shared" si="50"/>
        <v>201</v>
      </c>
      <c r="H1123" s="1042">
        <f>'Смета Внутр'!G1130</f>
        <v>0</v>
      </c>
      <c r="I1123" s="1042">
        <f>'Смета Внутр'!H1130</f>
        <v>0</v>
      </c>
      <c r="J1123" s="3014">
        <f>'Смета Внутр'!I1130</f>
        <v>0</v>
      </c>
    </row>
    <row r="1124" spans="2:10" ht="15" customHeight="1">
      <c r="B1124" s="3007" t="str">
        <f>'Смета Внутр'!B1131</f>
        <v>ГПС 170х50-1,2</v>
      </c>
      <c r="C1124" s="3007" t="str">
        <f>'Смета Внутр'!C1131</f>
        <v>м.п.</v>
      </c>
      <c r="D1124" s="3014">
        <f>'Смета Внутр'!D1131</f>
        <v>0</v>
      </c>
      <c r="E1124" s="1042">
        <f>'Смета Внутр'!E1131</f>
        <v>252</v>
      </c>
      <c r="F1124" s="1042">
        <f>'Смета Внутр'!F1131</f>
        <v>0</v>
      </c>
      <c r="G1124" s="3007">
        <f t="shared" si="50"/>
        <v>252</v>
      </c>
      <c r="H1124" s="1042">
        <f>'Смета Внутр'!G1131</f>
        <v>0</v>
      </c>
      <c r="I1124" s="1042">
        <f>'Смета Внутр'!H1131</f>
        <v>0</v>
      </c>
      <c r="J1124" s="3014">
        <f>'Смета Внутр'!I1131</f>
        <v>0</v>
      </c>
    </row>
    <row r="1125" spans="2:10" ht="15" customHeight="1">
      <c r="B1125" s="3007" t="str">
        <f>'Смета Внутр'!B1132</f>
        <v>ГПС 170х50-1,5</v>
      </c>
      <c r="C1125" s="3007" t="str">
        <f>'Смета Внутр'!C1132</f>
        <v>м.п.</v>
      </c>
      <c r="D1125" s="3014">
        <f>'Смета Внутр'!D1132</f>
        <v>0</v>
      </c>
      <c r="E1125" s="1042">
        <f>'Смета Внутр'!E1132</f>
        <v>330</v>
      </c>
      <c r="F1125" s="1042">
        <f>'Смета Внутр'!F1132</f>
        <v>0</v>
      </c>
      <c r="G1125" s="3007">
        <f t="shared" si="50"/>
        <v>330</v>
      </c>
      <c r="H1125" s="1042">
        <f>'Смета Внутр'!G1132</f>
        <v>0</v>
      </c>
      <c r="I1125" s="1042">
        <f>'Смета Внутр'!H1132</f>
        <v>0</v>
      </c>
      <c r="J1125" s="3014">
        <f>'Смета Внутр'!I1132</f>
        <v>0</v>
      </c>
    </row>
    <row r="1126" spans="2:10" ht="15" customHeight="1">
      <c r="B1126" s="3007" t="str">
        <f>'Смета Внутр'!B1133</f>
        <v>ГПС 170х50-2,0</v>
      </c>
      <c r="C1126" s="3007" t="str">
        <f>'Смета Внутр'!C1133</f>
        <v>м.п.</v>
      </c>
      <c r="D1126" s="3014">
        <f>'Смета Внутр'!D1133</f>
        <v>0</v>
      </c>
      <c r="E1126" s="1042">
        <f>'Смета Внутр'!E1133</f>
        <v>215</v>
      </c>
      <c r="F1126" s="1042">
        <f>'Смета Внутр'!F1133</f>
        <v>0</v>
      </c>
      <c r="G1126" s="3007">
        <f t="shared" si="50"/>
        <v>215</v>
      </c>
      <c r="H1126" s="1042">
        <f>'Смета Внутр'!G1133</f>
        <v>0</v>
      </c>
      <c r="I1126" s="1042">
        <f>'Смета Внутр'!H1133</f>
        <v>0</v>
      </c>
      <c r="J1126" s="3014">
        <f>'Смета Внутр'!I1133</f>
        <v>0</v>
      </c>
    </row>
    <row r="1127" spans="2:10" ht="15" customHeight="1">
      <c r="B1127" s="3007" t="str">
        <f>'Смета Внутр'!B1134</f>
        <v>ГПС 200х50-1,2</v>
      </c>
      <c r="C1127" s="3007" t="str">
        <f>'Смета Внутр'!C1134</f>
        <v>м.п.</v>
      </c>
      <c r="D1127" s="3014">
        <f>'Смета Внутр'!D1134</f>
        <v>0</v>
      </c>
      <c r="E1127" s="1042">
        <f>'Смета Внутр'!E1134</f>
        <v>269</v>
      </c>
      <c r="F1127" s="1042">
        <f>'Смета Внутр'!F1134</f>
        <v>0</v>
      </c>
      <c r="G1127" s="3007">
        <f t="shared" si="50"/>
        <v>269</v>
      </c>
      <c r="H1127" s="1042">
        <f>'Смета Внутр'!G1134</f>
        <v>0</v>
      </c>
      <c r="I1127" s="1042">
        <f>'Смета Внутр'!H1134</f>
        <v>0</v>
      </c>
      <c r="J1127" s="3014">
        <f>'Смета Внутр'!I1134</f>
        <v>0</v>
      </c>
    </row>
    <row r="1128" spans="2:10" ht="15" customHeight="1">
      <c r="B1128" s="3007" t="str">
        <f>'Смета Внутр'!B1135</f>
        <v>ГПС 200х50-1,5</v>
      </c>
      <c r="C1128" s="3007" t="str">
        <f>'Смета Внутр'!C1135</f>
        <v>м.п.</v>
      </c>
      <c r="D1128" s="3014">
        <f>'Смета Внутр'!D1135</f>
        <v>0</v>
      </c>
      <c r="E1128" s="1042">
        <f>'Смета Внутр'!E1135</f>
        <v>358</v>
      </c>
      <c r="F1128" s="1042">
        <f>'Смета Внутр'!F1135</f>
        <v>0</v>
      </c>
      <c r="G1128" s="3007">
        <f t="shared" si="50"/>
        <v>358</v>
      </c>
      <c r="H1128" s="1042">
        <f>'Смета Внутр'!G1135</f>
        <v>0</v>
      </c>
      <c r="I1128" s="1042">
        <f>'Смета Внутр'!H1135</f>
        <v>0</v>
      </c>
      <c r="J1128" s="3014">
        <f>'Смета Внутр'!I1135</f>
        <v>0</v>
      </c>
    </row>
    <row r="1129" spans="2:10" ht="15" customHeight="1">
      <c r="B1129" s="3007" t="str">
        <f>'Смета Внутр'!B1136</f>
        <v>ГПС 200х50-2,0</v>
      </c>
      <c r="C1129" s="3007" t="str">
        <f>'Смета Внутр'!C1136</f>
        <v>м.п.</v>
      </c>
      <c r="D1129" s="3014">
        <f>'Смета Внутр'!D1136</f>
        <v>0</v>
      </c>
      <c r="E1129" s="1042">
        <f>'Смета Внутр'!E1136</f>
        <v>239</v>
      </c>
      <c r="F1129" s="1042">
        <f>'Смета Внутр'!F1136</f>
        <v>0</v>
      </c>
      <c r="G1129" s="3007">
        <f t="shared" si="50"/>
        <v>239</v>
      </c>
      <c r="H1129" s="1042">
        <f>'Смета Внутр'!G1136</f>
        <v>0</v>
      </c>
      <c r="I1129" s="1042">
        <f>'Смета Внутр'!H1136</f>
        <v>0</v>
      </c>
      <c r="J1129" s="3014">
        <f>'Смета Внутр'!I1136</f>
        <v>0</v>
      </c>
    </row>
    <row r="1130" spans="2:10" ht="15" customHeight="1">
      <c r="B1130" s="3007" t="str">
        <f>'Смета Внутр'!B1137</f>
        <v>ГПС 250х50-1,2</v>
      </c>
      <c r="C1130" s="3007" t="str">
        <f>'Смета Внутр'!C1137</f>
        <v>м.п.</v>
      </c>
      <c r="D1130" s="3014">
        <f>'Смета Внутр'!D1137</f>
        <v>0</v>
      </c>
      <c r="E1130" s="1042">
        <f>'Смета Внутр'!E1137</f>
        <v>299</v>
      </c>
      <c r="F1130" s="1042">
        <f>'Смета Внутр'!F1137</f>
        <v>0</v>
      </c>
      <c r="G1130" s="3007">
        <f t="shared" si="50"/>
        <v>299</v>
      </c>
      <c r="H1130" s="1042">
        <f>'Смета Внутр'!G1137</f>
        <v>0</v>
      </c>
      <c r="I1130" s="1042">
        <f>'Смета Внутр'!H1137</f>
        <v>0</v>
      </c>
      <c r="J1130" s="3014">
        <f>'Смета Внутр'!I1137</f>
        <v>0</v>
      </c>
    </row>
    <row r="1131" spans="2:10" ht="15" customHeight="1">
      <c r="B1131" s="3007" t="str">
        <f>'Смета Внутр'!B1138</f>
        <v>ГПС 250х50-1,5</v>
      </c>
      <c r="C1131" s="3007" t="str">
        <f>'Смета Внутр'!C1138</f>
        <v>м.п.</v>
      </c>
      <c r="D1131" s="3014">
        <f>'Смета Внутр'!D1138</f>
        <v>0</v>
      </c>
      <c r="E1131" s="1042">
        <f>'Смета Внутр'!E1138</f>
        <v>397</v>
      </c>
      <c r="F1131" s="1042">
        <f>'Смета Внутр'!F1138</f>
        <v>0</v>
      </c>
      <c r="G1131" s="3007">
        <f t="shared" si="50"/>
        <v>397</v>
      </c>
      <c r="H1131" s="1042">
        <f>'Смета Внутр'!G1138</f>
        <v>0</v>
      </c>
      <c r="I1131" s="1042">
        <f>'Смета Внутр'!H1138</f>
        <v>0</v>
      </c>
      <c r="J1131" s="3014">
        <f>'Смета Внутр'!I1138</f>
        <v>0</v>
      </c>
    </row>
    <row r="1132" spans="2:10" ht="15" customHeight="1">
      <c r="B1132" s="3007" t="str">
        <f>'Смета Внутр'!B1139</f>
        <v>ГПС 250х50-2,0</v>
      </c>
      <c r="C1132" s="3007" t="str">
        <f>'Смета Внутр'!C1139</f>
        <v>м.п.</v>
      </c>
      <c r="D1132" s="3014">
        <f>'Смета Внутр'!D1139</f>
        <v>0</v>
      </c>
      <c r="E1132" s="1042">
        <f>'Смета Внутр'!E1139</f>
        <v>274</v>
      </c>
      <c r="F1132" s="1042">
        <f>'Смета Внутр'!F1139</f>
        <v>0</v>
      </c>
      <c r="G1132" s="3007">
        <f t="shared" si="50"/>
        <v>274</v>
      </c>
      <c r="H1132" s="1042">
        <f>'Смета Внутр'!G1139</f>
        <v>0</v>
      </c>
      <c r="I1132" s="1042">
        <f>'Смета Внутр'!H1139</f>
        <v>0</v>
      </c>
      <c r="J1132" s="3014">
        <f>'Смета Внутр'!I1139</f>
        <v>0</v>
      </c>
    </row>
    <row r="1133" spans="2:10" ht="15" customHeight="1">
      <c r="B1133" s="3007" t="str">
        <f>'Смета Внутр'!B1140</f>
        <v>ГПС 280х50-1,2</v>
      </c>
      <c r="C1133" s="3007" t="str">
        <f>'Смета Внутр'!C1140</f>
        <v>м.п.</v>
      </c>
      <c r="D1133" s="3014">
        <f>'Смета Внутр'!D1140</f>
        <v>0</v>
      </c>
      <c r="E1133" s="1042">
        <f>'Смета Внутр'!E1140</f>
        <v>344</v>
      </c>
      <c r="F1133" s="1042">
        <f>'Смета Внутр'!F1140</f>
        <v>0</v>
      </c>
      <c r="G1133" s="3007">
        <f t="shared" si="50"/>
        <v>344</v>
      </c>
      <c r="H1133" s="1042">
        <f>'Смета Внутр'!G1140</f>
        <v>0</v>
      </c>
      <c r="I1133" s="1042">
        <f>'Смета Внутр'!H1140</f>
        <v>0</v>
      </c>
      <c r="J1133" s="3014">
        <f>'Смета Внутр'!I1140</f>
        <v>0</v>
      </c>
    </row>
    <row r="1134" spans="2:10" ht="15" customHeight="1">
      <c r="B1134" s="3007" t="str">
        <f>'Смета Внутр'!B1141</f>
        <v>ГПС 280х50-1,5</v>
      </c>
      <c r="C1134" s="3007" t="str">
        <f>'Смета Внутр'!C1141</f>
        <v>м.п.</v>
      </c>
      <c r="D1134" s="3014">
        <f>'Смета Внутр'!D1141</f>
        <v>0</v>
      </c>
      <c r="E1134" s="1042">
        <f>'Смета Внутр'!E1141</f>
        <v>450</v>
      </c>
      <c r="F1134" s="1042">
        <f>'Смета Внутр'!F1141</f>
        <v>0</v>
      </c>
      <c r="G1134" s="3007">
        <f t="shared" si="50"/>
        <v>450</v>
      </c>
      <c r="H1134" s="1042">
        <f>'Смета Внутр'!G1141</f>
        <v>0</v>
      </c>
      <c r="I1134" s="1042">
        <f>'Смета Внутр'!H1141</f>
        <v>0</v>
      </c>
      <c r="J1134" s="3014">
        <f>'Смета Внутр'!I1141</f>
        <v>0</v>
      </c>
    </row>
    <row r="1135" spans="2:10" ht="15" customHeight="1">
      <c r="B1135" s="3007" t="str">
        <f>'Смета Внутр'!B1142</f>
        <v>ГПС 280х50-2,0</v>
      </c>
      <c r="C1135" s="3007" t="str">
        <f>'Смета Внутр'!C1142</f>
        <v>м.п.</v>
      </c>
      <c r="D1135" s="3014">
        <f>'Смета Внутр'!D1142</f>
        <v>0</v>
      </c>
      <c r="E1135" s="1042">
        <f>'Смета Внутр'!E1142</f>
        <v>293</v>
      </c>
      <c r="F1135" s="1042">
        <f>'Смета Внутр'!F1142</f>
        <v>0</v>
      </c>
      <c r="G1135" s="3007">
        <f t="shared" si="50"/>
        <v>293</v>
      </c>
      <c r="H1135" s="1042">
        <f>'Смета Внутр'!G1142</f>
        <v>0</v>
      </c>
      <c r="I1135" s="1042">
        <f>'Смета Внутр'!H1142</f>
        <v>0</v>
      </c>
      <c r="J1135" s="3014">
        <f>'Смета Внутр'!I1142</f>
        <v>0</v>
      </c>
    </row>
    <row r="1136" spans="2:10" ht="15" customHeight="1">
      <c r="B1136" s="3007" t="str">
        <f>'Смета Внутр'!B1143</f>
        <v>ГПН 102х35-1,2</v>
      </c>
      <c r="C1136" s="3007" t="str">
        <f>'Смета Внутр'!C1143</f>
        <v>м.п.</v>
      </c>
      <c r="D1136" s="3014">
        <f>'Смета Внутр'!D1143</f>
        <v>0</v>
      </c>
      <c r="E1136" s="1042">
        <f>'Смета Внутр'!E1143</f>
        <v>127</v>
      </c>
      <c r="F1136" s="1042">
        <f>'Смета Внутр'!F1143</f>
        <v>0</v>
      </c>
      <c r="G1136" s="3007">
        <f t="shared" si="50"/>
        <v>127</v>
      </c>
      <c r="H1136" s="1042">
        <f>'Смета Внутр'!G1143</f>
        <v>0</v>
      </c>
      <c r="I1136" s="1042">
        <f>'Смета Внутр'!H1143</f>
        <v>0</v>
      </c>
      <c r="J1136" s="3014">
        <f>'Смета Внутр'!I1143</f>
        <v>0</v>
      </c>
    </row>
    <row r="1137" spans="2:10" ht="15" customHeight="1">
      <c r="B1137" s="3007" t="str">
        <f>'Смета Внутр'!B1144</f>
        <v>ГПН 102х35-1,5</v>
      </c>
      <c r="C1137" s="3007" t="str">
        <f>'Смета Внутр'!C1144</f>
        <v>м.п.</v>
      </c>
      <c r="D1137" s="3014">
        <f>'Смета Внутр'!D1144</f>
        <v>0</v>
      </c>
      <c r="E1137" s="1042">
        <f>'Смета Внутр'!E1144</f>
        <v>158</v>
      </c>
      <c r="F1137" s="1042">
        <f>'Смета Внутр'!F1144</f>
        <v>0</v>
      </c>
      <c r="G1137" s="3007">
        <f t="shared" si="50"/>
        <v>158</v>
      </c>
      <c r="H1137" s="1042">
        <f>'Смета Внутр'!G1144</f>
        <v>0</v>
      </c>
      <c r="I1137" s="1042">
        <f>'Смета Внутр'!H1144</f>
        <v>0</v>
      </c>
      <c r="J1137" s="3014">
        <f>'Смета Внутр'!I1144</f>
        <v>0</v>
      </c>
    </row>
    <row r="1138" spans="2:10" ht="15" customHeight="1">
      <c r="B1138" s="3007" t="str">
        <f>'Смета Внутр'!B1145</f>
        <v>ГПН 102х35-2,0</v>
      </c>
      <c r="C1138" s="3007" t="str">
        <f>'Смета Внутр'!C1145</f>
        <v>м.п.</v>
      </c>
      <c r="D1138" s="3014">
        <f>'Смета Внутр'!D1145</f>
        <v>0</v>
      </c>
      <c r="E1138" s="1042">
        <f>'Смета Внутр'!E1145</f>
        <v>199</v>
      </c>
      <c r="F1138" s="1042">
        <f>'Смета Внутр'!F1145</f>
        <v>0</v>
      </c>
      <c r="G1138" s="3007">
        <f t="shared" si="50"/>
        <v>199</v>
      </c>
      <c r="H1138" s="1042">
        <f>'Смета Внутр'!G1145</f>
        <v>0</v>
      </c>
      <c r="I1138" s="1042">
        <f>'Смета Внутр'!H1145</f>
        <v>0</v>
      </c>
      <c r="J1138" s="3014">
        <f>'Смета Внутр'!I1145</f>
        <v>0</v>
      </c>
    </row>
    <row r="1139" spans="2:10" ht="15" customHeight="1">
      <c r="B1139" s="3007" t="str">
        <f>'Смета Внутр'!B1146</f>
        <v>ГПН 122х35-1,2</v>
      </c>
      <c r="C1139" s="3007" t="str">
        <f>'Смета Внутр'!C1146</f>
        <v>м.п.</v>
      </c>
      <c r="D1139" s="3014">
        <f>'Смета Внутр'!D1146</f>
        <v>0</v>
      </c>
      <c r="E1139" s="1042">
        <f>'Смета Внутр'!E1146</f>
        <v>131</v>
      </c>
      <c r="F1139" s="1042">
        <f>'Смета Внутр'!F1146</f>
        <v>0</v>
      </c>
      <c r="G1139" s="3007">
        <f t="shared" si="50"/>
        <v>131</v>
      </c>
      <c r="H1139" s="1042">
        <f>'Смета Внутр'!G1146</f>
        <v>0</v>
      </c>
      <c r="I1139" s="1042">
        <f>'Смета Внутр'!H1146</f>
        <v>0</v>
      </c>
      <c r="J1139" s="3014">
        <f>'Смета Внутр'!I1146</f>
        <v>0</v>
      </c>
    </row>
    <row r="1140" spans="2:10" ht="15" customHeight="1">
      <c r="B1140" s="3007" t="str">
        <f>'Смета Внутр'!B1147</f>
        <v>ГПН 122х35-1,5</v>
      </c>
      <c r="C1140" s="3007" t="str">
        <f>'Смета Внутр'!C1147</f>
        <v>м.п.</v>
      </c>
      <c r="D1140" s="3014">
        <f>'Смета Внутр'!D1147</f>
        <v>0</v>
      </c>
      <c r="E1140" s="1042">
        <f>'Смета Внутр'!E1147</f>
        <v>163</v>
      </c>
      <c r="F1140" s="1042">
        <f>'Смета Внутр'!F1147</f>
        <v>0</v>
      </c>
      <c r="G1140" s="3007">
        <f t="shared" si="50"/>
        <v>163</v>
      </c>
      <c r="H1140" s="1042">
        <f>'Смета Внутр'!G1147</f>
        <v>0</v>
      </c>
      <c r="I1140" s="1042">
        <f>'Смета Внутр'!H1147</f>
        <v>0</v>
      </c>
      <c r="J1140" s="3014">
        <f>'Смета Внутр'!I1147</f>
        <v>0</v>
      </c>
    </row>
    <row r="1141" spans="2:10" ht="15" customHeight="1">
      <c r="B1141" s="3007" t="str">
        <f>'Смета Внутр'!B1148</f>
        <v>ГПН 122х35-2,0</v>
      </c>
      <c r="C1141" s="3007" t="str">
        <f>'Смета Внутр'!C1148</f>
        <v>м.п.</v>
      </c>
      <c r="D1141" s="3014">
        <f>'Смета Внутр'!D1148</f>
        <v>0</v>
      </c>
      <c r="E1141" s="1042">
        <f>'Смета Внутр'!E1148</f>
        <v>216</v>
      </c>
      <c r="F1141" s="1042">
        <f>'Смета Внутр'!F1148</f>
        <v>0</v>
      </c>
      <c r="G1141" s="3007">
        <f t="shared" si="50"/>
        <v>216</v>
      </c>
      <c r="H1141" s="1042">
        <f>'Смета Внутр'!G1148</f>
        <v>0</v>
      </c>
      <c r="I1141" s="1042">
        <f>'Смета Внутр'!H1148</f>
        <v>0</v>
      </c>
      <c r="J1141" s="3014">
        <f>'Смета Внутр'!I1148</f>
        <v>0</v>
      </c>
    </row>
    <row r="1142" spans="2:10" ht="15" customHeight="1">
      <c r="B1142" s="3007" t="str">
        <f>'Смета Внутр'!B1149</f>
        <v>ГПН 152х35-1,2</v>
      </c>
      <c r="C1142" s="3007" t="str">
        <f>'Смета Внутр'!C1149</f>
        <v>м.п.</v>
      </c>
      <c r="D1142" s="3014">
        <f>'Смета Внутр'!D1149</f>
        <v>0</v>
      </c>
      <c r="E1142" s="1042">
        <f>'Смета Внутр'!E1149</f>
        <v>163</v>
      </c>
      <c r="F1142" s="1042">
        <f>'Смета Внутр'!F1149</f>
        <v>0</v>
      </c>
      <c r="G1142" s="3007">
        <f t="shared" si="50"/>
        <v>163</v>
      </c>
      <c r="H1142" s="1042">
        <f>'Смета Внутр'!G1149</f>
        <v>0</v>
      </c>
      <c r="I1142" s="1042">
        <f>'Смета Внутр'!H1149</f>
        <v>0</v>
      </c>
      <c r="J1142" s="3014">
        <f>'Смета Внутр'!I1149</f>
        <v>0</v>
      </c>
    </row>
    <row r="1143" spans="2:10" ht="15" customHeight="1">
      <c r="B1143" s="3007" t="str">
        <f>'Смета Внутр'!B1150</f>
        <v>ГПН 152х35-1,5</v>
      </c>
      <c r="C1143" s="3007" t="str">
        <f>'Смета Внутр'!C1150</f>
        <v>м.п.</v>
      </c>
      <c r="D1143" s="3014">
        <f>'Смета Внутр'!D1150</f>
        <v>0</v>
      </c>
      <c r="E1143" s="1042">
        <f>'Смета Внутр'!E1150</f>
        <v>203</v>
      </c>
      <c r="F1143" s="1042">
        <f>'Смета Внутр'!F1150</f>
        <v>0</v>
      </c>
      <c r="G1143" s="3007">
        <f t="shared" si="50"/>
        <v>203</v>
      </c>
      <c r="H1143" s="1042">
        <f>'Смета Внутр'!G1150</f>
        <v>0</v>
      </c>
      <c r="I1143" s="1042">
        <f>'Смета Внутр'!H1150</f>
        <v>0</v>
      </c>
      <c r="J1143" s="3014">
        <f>'Смета Внутр'!I1150</f>
        <v>0</v>
      </c>
    </row>
    <row r="1144" spans="2:10" ht="15" customHeight="1">
      <c r="B1144" s="3007" t="str">
        <f>'Смета Внутр'!B1151</f>
        <v>ГПН 152х35-2,0</v>
      </c>
      <c r="C1144" s="3007" t="str">
        <f>'Смета Внутр'!C1151</f>
        <v>м.п.</v>
      </c>
      <c r="D1144" s="3014">
        <f>'Смета Внутр'!D1151</f>
        <v>0</v>
      </c>
      <c r="E1144" s="1042">
        <f>'Смета Внутр'!E1151</f>
        <v>259</v>
      </c>
      <c r="F1144" s="1042">
        <f>'Смета Внутр'!F1151</f>
        <v>0</v>
      </c>
      <c r="G1144" s="3007">
        <f t="shared" si="50"/>
        <v>259</v>
      </c>
      <c r="H1144" s="1042">
        <f>'Смета Внутр'!G1151</f>
        <v>0</v>
      </c>
      <c r="I1144" s="1042">
        <f>'Смета Внутр'!H1151</f>
        <v>0</v>
      </c>
      <c r="J1144" s="3014">
        <f>'Смета Внутр'!I1151</f>
        <v>0</v>
      </c>
    </row>
    <row r="1145" spans="2:10" ht="15" customHeight="1">
      <c r="B1145" s="3007" t="str">
        <f>'Смета Внутр'!B1152</f>
        <v>ГПН 172х35-1,2</v>
      </c>
      <c r="C1145" s="3007" t="str">
        <f>'Смета Внутр'!C1152</f>
        <v>м.п.</v>
      </c>
      <c r="D1145" s="3014">
        <f>'Смета Внутр'!D1152</f>
        <v>0</v>
      </c>
      <c r="E1145" s="1042">
        <f>'Смета Внутр'!E1152</f>
        <v>166</v>
      </c>
      <c r="F1145" s="1042">
        <f>'Смета Внутр'!F1152</f>
        <v>0</v>
      </c>
      <c r="G1145" s="3007">
        <f t="shared" si="50"/>
        <v>166</v>
      </c>
      <c r="H1145" s="1042">
        <f>'Смета Внутр'!G1152</f>
        <v>0</v>
      </c>
      <c r="I1145" s="1042">
        <f>'Смета Внутр'!H1152</f>
        <v>0</v>
      </c>
      <c r="J1145" s="3014">
        <f>'Смета Внутр'!I1152</f>
        <v>0</v>
      </c>
    </row>
    <row r="1146" spans="2:10" ht="15" customHeight="1">
      <c r="B1146" s="3007" t="str">
        <f>'Смета Внутр'!B1153</f>
        <v>ГПН 172х35-1,5</v>
      </c>
      <c r="C1146" s="3007" t="str">
        <f>'Смета Внутр'!C1153</f>
        <v>м.п.</v>
      </c>
      <c r="D1146" s="3014">
        <f>'Смета Внутр'!D1153</f>
        <v>0</v>
      </c>
      <c r="E1146" s="1042">
        <f>'Смета Внутр'!E1153</f>
        <v>207</v>
      </c>
      <c r="F1146" s="1042">
        <f>'Смета Внутр'!F1153</f>
        <v>0</v>
      </c>
      <c r="G1146" s="3007">
        <f t="shared" si="50"/>
        <v>207</v>
      </c>
      <c r="H1146" s="1042">
        <f>'Смета Внутр'!G1153</f>
        <v>0</v>
      </c>
      <c r="I1146" s="1042">
        <f>'Смета Внутр'!H1153</f>
        <v>0</v>
      </c>
      <c r="J1146" s="3014">
        <f>'Смета Внутр'!I1153</f>
        <v>0</v>
      </c>
    </row>
    <row r="1147" spans="2:10" ht="15" customHeight="1">
      <c r="B1147" s="3007" t="str">
        <f>'Смета Внутр'!B1154</f>
        <v>ГПН 172х35-2,0</v>
      </c>
      <c r="C1147" s="3007" t="str">
        <f>'Смета Внутр'!C1154</f>
        <v>м.п.</v>
      </c>
      <c r="D1147" s="3014">
        <f>'Смета Внутр'!D1154</f>
        <v>0</v>
      </c>
      <c r="E1147" s="1042">
        <f>'Смета Внутр'!E1154</f>
        <v>274</v>
      </c>
      <c r="F1147" s="1042">
        <f>'Смета Внутр'!F1154</f>
        <v>0</v>
      </c>
      <c r="G1147" s="3007">
        <f t="shared" si="50"/>
        <v>274</v>
      </c>
      <c r="H1147" s="1042">
        <f>'Смета Внутр'!G1154</f>
        <v>0</v>
      </c>
      <c r="I1147" s="1042">
        <f>'Смета Внутр'!H1154</f>
        <v>0</v>
      </c>
      <c r="J1147" s="3014">
        <f>'Смета Внутр'!I1154</f>
        <v>0</v>
      </c>
    </row>
    <row r="1148" spans="2:10" ht="15" customHeight="1">
      <c r="B1148" s="3007" t="str">
        <f>'Смета Внутр'!B1155</f>
        <v>ГПН 202х35-1,2</v>
      </c>
      <c r="C1148" s="3007" t="str">
        <f>'Смета Внутр'!C1155</f>
        <v>м.п.</v>
      </c>
      <c r="D1148" s="3014">
        <f>'Смета Внутр'!D1155</f>
        <v>0</v>
      </c>
      <c r="E1148" s="1042">
        <f>'Смета Внутр'!E1155</f>
        <v>201</v>
      </c>
      <c r="F1148" s="1042">
        <f>'Смета Внутр'!F1155</f>
        <v>0</v>
      </c>
      <c r="G1148" s="3007">
        <f t="shared" si="50"/>
        <v>201</v>
      </c>
      <c r="H1148" s="1042">
        <f>'Смета Внутр'!G1155</f>
        <v>0</v>
      </c>
      <c r="I1148" s="1042">
        <f>'Смета Внутр'!H1155</f>
        <v>0</v>
      </c>
      <c r="J1148" s="3014">
        <f>'Смета Внутр'!I1155</f>
        <v>0</v>
      </c>
    </row>
    <row r="1149" spans="2:10" ht="15" customHeight="1">
      <c r="B1149" s="3007" t="str">
        <f>'Смета Внутр'!B1156</f>
        <v>ГПН 202х35-1,5</v>
      </c>
      <c r="C1149" s="3007" t="str">
        <f>'Смета Внутр'!C1156</f>
        <v>м.п.</v>
      </c>
      <c r="D1149" s="3014">
        <f>'Смета Внутр'!D1156</f>
        <v>0</v>
      </c>
      <c r="E1149" s="1042">
        <f>'Смета Внутр'!E1156</f>
        <v>252</v>
      </c>
      <c r="F1149" s="1042">
        <f>'Смета Внутр'!F1156</f>
        <v>0</v>
      </c>
      <c r="G1149" s="3007">
        <f t="shared" si="50"/>
        <v>252</v>
      </c>
      <c r="H1149" s="1042">
        <f>'Смета Внутр'!G1156</f>
        <v>0</v>
      </c>
      <c r="I1149" s="1042">
        <f>'Смета Внутр'!H1156</f>
        <v>0</v>
      </c>
      <c r="J1149" s="3014">
        <f>'Смета Внутр'!I1156</f>
        <v>0</v>
      </c>
    </row>
    <row r="1150" spans="2:10" ht="15" customHeight="1">
      <c r="B1150" s="3007" t="str">
        <f>'Смета Внутр'!B1157</f>
        <v>ГПН 202х35-2,0</v>
      </c>
      <c r="C1150" s="3007" t="str">
        <f>'Смета Внутр'!C1157</f>
        <v>м.п.</v>
      </c>
      <c r="D1150" s="3014">
        <f>'Смета Внутр'!D1157</f>
        <v>0</v>
      </c>
      <c r="E1150" s="1042">
        <f>'Смета Внутр'!E1157</f>
        <v>318</v>
      </c>
      <c r="F1150" s="1042">
        <f>'Смета Внутр'!F1157</f>
        <v>0</v>
      </c>
      <c r="G1150" s="3007">
        <f t="shared" si="50"/>
        <v>318</v>
      </c>
      <c r="H1150" s="1042">
        <f>'Смета Внутр'!G1157</f>
        <v>0</v>
      </c>
      <c r="I1150" s="1042">
        <f>'Смета Внутр'!H1157</f>
        <v>0</v>
      </c>
      <c r="J1150" s="3014">
        <f>'Смета Внутр'!I1157</f>
        <v>0</v>
      </c>
    </row>
    <row r="1151" spans="2:10" ht="15" customHeight="1">
      <c r="B1151" s="3007" t="str">
        <f>'Смета Внутр'!B1158</f>
        <v>ГПН 252х35-1,2</v>
      </c>
      <c r="C1151" s="3007" t="str">
        <f>'Смета Внутр'!C1158</f>
        <v>м.п.</v>
      </c>
      <c r="D1151" s="3014">
        <f>'Смета Внутр'!D1158</f>
        <v>0</v>
      </c>
      <c r="E1151" s="1042">
        <f>'Смета Внутр'!E1158</f>
        <v>226</v>
      </c>
      <c r="F1151" s="1042">
        <f>'Смета Внутр'!F1158</f>
        <v>0</v>
      </c>
      <c r="G1151" s="3007">
        <f t="shared" si="50"/>
        <v>226</v>
      </c>
      <c r="H1151" s="1042">
        <f>'Смета Внутр'!G1158</f>
        <v>0</v>
      </c>
      <c r="I1151" s="1042">
        <f>'Смета Внутр'!H1158</f>
        <v>0</v>
      </c>
      <c r="J1151" s="3014">
        <f>'Смета Внутр'!I1158</f>
        <v>0</v>
      </c>
    </row>
    <row r="1152" spans="2:10" ht="15" customHeight="1">
      <c r="B1152" s="3007" t="str">
        <f>'Смета Внутр'!B1159</f>
        <v>ГПН 252х35-1,5</v>
      </c>
      <c r="C1152" s="3007" t="str">
        <f>'Смета Внутр'!C1159</f>
        <v>м.п.</v>
      </c>
      <c r="D1152" s="3014">
        <f>'Смета Внутр'!D1159</f>
        <v>0</v>
      </c>
      <c r="E1152" s="1042">
        <f>'Смета Внутр'!E1159</f>
        <v>283</v>
      </c>
      <c r="F1152" s="1042">
        <f>'Смета Внутр'!F1159</f>
        <v>0</v>
      </c>
      <c r="G1152" s="3007">
        <f t="shared" si="50"/>
        <v>283</v>
      </c>
      <c r="H1152" s="1042">
        <f>'Смета Внутр'!G1159</f>
        <v>0</v>
      </c>
      <c r="I1152" s="1042">
        <f>'Смета Внутр'!H1159</f>
        <v>0</v>
      </c>
      <c r="J1152" s="3014">
        <f>'Смета Внутр'!I1159</f>
        <v>0</v>
      </c>
    </row>
    <row r="1153" spans="2:10" ht="15" customHeight="1">
      <c r="B1153" s="3007" t="str">
        <f>'Смета Внутр'!B1160</f>
        <v>ГПН 252х35-2,0</v>
      </c>
      <c r="C1153" s="3007" t="str">
        <f>'Смета Внутр'!C1160</f>
        <v>м.п.</v>
      </c>
      <c r="D1153" s="3014">
        <f>'Смета Внутр'!D1160</f>
        <v>0</v>
      </c>
      <c r="E1153" s="1042">
        <f>'Смета Внутр'!E1160</f>
        <v>378</v>
      </c>
      <c r="F1153" s="1042">
        <f>'Смета Внутр'!F1160</f>
        <v>0</v>
      </c>
      <c r="G1153" s="3007">
        <f t="shared" si="50"/>
        <v>378</v>
      </c>
      <c r="H1153" s="1042">
        <f>'Смета Внутр'!G1160</f>
        <v>0</v>
      </c>
      <c r="I1153" s="1042">
        <f>'Смета Внутр'!H1160</f>
        <v>0</v>
      </c>
      <c r="J1153" s="3014">
        <f>'Смета Внутр'!I1160</f>
        <v>0</v>
      </c>
    </row>
    <row r="1154" spans="2:10" ht="15" customHeight="1">
      <c r="B1154" s="3007" t="str">
        <f>'Смета Внутр'!B1161</f>
        <v>ГПН 282х35-1,2</v>
      </c>
      <c r="C1154" s="3007" t="str">
        <f>'Смета Внутр'!C1161</f>
        <v>м.п.</v>
      </c>
      <c r="D1154" s="3014">
        <f>'Смета Внутр'!D1161</f>
        <v>0</v>
      </c>
      <c r="E1154" s="1042">
        <f>'Смета Внутр'!E1161</f>
        <v>275</v>
      </c>
      <c r="F1154" s="1042">
        <f>'Смета Внутр'!F1161</f>
        <v>0</v>
      </c>
      <c r="G1154" s="3007">
        <f t="shared" ref="G1154:G1217" si="51">IF(E1154&gt;F1154,E1154,F1154)</f>
        <v>275</v>
      </c>
      <c r="H1154" s="1042">
        <f>'Смета Внутр'!G1161</f>
        <v>0</v>
      </c>
      <c r="I1154" s="1042">
        <f>'Смета Внутр'!H1161</f>
        <v>0</v>
      </c>
      <c r="J1154" s="3014">
        <f>'Смета Внутр'!I1161</f>
        <v>0</v>
      </c>
    </row>
    <row r="1155" spans="2:10" ht="15" customHeight="1">
      <c r="B1155" s="3007" t="str">
        <f>'Смета Внутр'!B1162</f>
        <v>Саморез 5,5 х 25</v>
      </c>
      <c r="C1155" s="3007">
        <f>'Смета Внутр'!C1162</f>
        <v>0</v>
      </c>
      <c r="D1155" s="3014">
        <f>'Смета Внутр'!D1162</f>
        <v>0</v>
      </c>
      <c r="E1155" s="1042">
        <f>'Смета Внутр'!E1162</f>
        <v>2.5</v>
      </c>
      <c r="F1155" s="1042">
        <f>'Смета Внутр'!F1162</f>
        <v>0</v>
      </c>
      <c r="G1155" s="3007">
        <f t="shared" si="51"/>
        <v>2.5</v>
      </c>
      <c r="H1155" s="1042">
        <f>'Смета Внутр'!G1162</f>
        <v>0</v>
      </c>
      <c r="I1155" s="1042">
        <f>'Смета Внутр'!H1162</f>
        <v>0</v>
      </c>
      <c r="J1155" s="3014">
        <f>'Смета Внутр'!I1162</f>
        <v>0</v>
      </c>
    </row>
    <row r="1156" spans="2:10" ht="15" customHeight="1">
      <c r="B1156" s="3007" t="str">
        <f>'Смета Внутр'!B1163</f>
        <v>ГПС 100х50-1,2</v>
      </c>
      <c r="C1156" s="3007" t="str">
        <f>'Смета Внутр'!C1163</f>
        <v>м.п.</v>
      </c>
      <c r="D1156" s="3014">
        <f>'Смета Внутр'!D1163</f>
        <v>0</v>
      </c>
      <c r="E1156" s="1042">
        <f>'Смета Внутр'!E1163</f>
        <v>163</v>
      </c>
      <c r="F1156" s="1042">
        <f>'Смета Внутр'!F1163</f>
        <v>0</v>
      </c>
      <c r="G1156" s="3007">
        <f t="shared" si="51"/>
        <v>163</v>
      </c>
      <c r="H1156" s="1042">
        <f>'Смета Внутр'!G1163</f>
        <v>0</v>
      </c>
      <c r="I1156" s="1042">
        <f>'Смета Внутр'!H1163</f>
        <v>0</v>
      </c>
      <c r="J1156" s="3014">
        <f>'Смета Внутр'!I1163</f>
        <v>0</v>
      </c>
    </row>
    <row r="1157" spans="2:10" ht="15" customHeight="1">
      <c r="B1157" s="3007" t="str">
        <f>'Смета Внутр'!B1164</f>
        <v>ГПС 100х50-1,5</v>
      </c>
      <c r="C1157" s="3007" t="str">
        <f>'Смета Внутр'!C1164</f>
        <v>м.п.</v>
      </c>
      <c r="D1157" s="3014">
        <f>'Смета Внутр'!D1164</f>
        <v>0</v>
      </c>
      <c r="E1157" s="1042">
        <f>'Смета Внутр'!E1164</f>
        <v>204</v>
      </c>
      <c r="F1157" s="1042">
        <f>'Смета Внутр'!F1164</f>
        <v>0</v>
      </c>
      <c r="G1157" s="3007">
        <f t="shared" si="51"/>
        <v>204</v>
      </c>
      <c r="H1157" s="1042">
        <f>'Смета Внутр'!G1164</f>
        <v>0</v>
      </c>
      <c r="I1157" s="1042">
        <f>'Смета Внутр'!H1164</f>
        <v>0</v>
      </c>
      <c r="J1157" s="3014">
        <f>'Смета Внутр'!I1164</f>
        <v>0</v>
      </c>
    </row>
    <row r="1158" spans="2:10" ht="15" customHeight="1">
      <c r="B1158" s="3007" t="str">
        <f>'Смета Внутр'!B1165</f>
        <v>ГПС 120х50-1,5</v>
      </c>
      <c r="C1158" s="3007" t="str">
        <f>'Смета Внутр'!C1165</f>
        <v>м.п.</v>
      </c>
      <c r="D1158" s="3014">
        <f>'Смета Внутр'!D1165</f>
        <v>0</v>
      </c>
      <c r="E1158" s="1042">
        <f>'Смета Внутр'!E1165</f>
        <v>272</v>
      </c>
      <c r="F1158" s="1042">
        <f>'Смета Внутр'!F1165</f>
        <v>0</v>
      </c>
      <c r="G1158" s="3007">
        <f t="shared" si="51"/>
        <v>272</v>
      </c>
      <c r="H1158" s="1042">
        <f>'Смета Внутр'!G1165</f>
        <v>0</v>
      </c>
      <c r="I1158" s="1042">
        <f>'Смета Внутр'!H1165</f>
        <v>0</v>
      </c>
      <c r="J1158" s="3014">
        <f>'Смета Внутр'!I1165</f>
        <v>0</v>
      </c>
    </row>
    <row r="1159" spans="2:10" ht="15" customHeight="1">
      <c r="B1159" s="3007" t="str">
        <f>'Смета Внутр'!B1166</f>
        <v>ГПС 120х50-2,0</v>
      </c>
      <c r="C1159" s="3007" t="str">
        <f>'Смета Внутр'!C1166</f>
        <v>м.п.</v>
      </c>
      <c r="D1159" s="3014">
        <f>'Смета Внутр'!D1166</f>
        <v>0</v>
      </c>
      <c r="E1159" s="1042">
        <f>'Смета Внутр'!E1166</f>
        <v>179</v>
      </c>
      <c r="F1159" s="1042">
        <f>'Смета Внутр'!F1166</f>
        <v>0</v>
      </c>
      <c r="G1159" s="3007">
        <f t="shared" si="51"/>
        <v>179</v>
      </c>
      <c r="H1159" s="1042">
        <f>'Смета Внутр'!G1166</f>
        <v>0</v>
      </c>
      <c r="I1159" s="1042">
        <f>'Смета Внутр'!H1166</f>
        <v>0</v>
      </c>
      <c r="J1159" s="3014">
        <f>'Смета Внутр'!I1166</f>
        <v>0</v>
      </c>
    </row>
    <row r="1160" spans="2:10" ht="15" customHeight="1">
      <c r="B1160" s="3007" t="str">
        <f>'Смета Внутр'!B1167</f>
        <v>ГПС 150х50-1,2</v>
      </c>
      <c r="C1160" s="3007" t="str">
        <f>'Смета Внутр'!C1167</f>
        <v>м.п.</v>
      </c>
      <c r="D1160" s="3014">
        <f>'Смета Внутр'!D1167</f>
        <v>0</v>
      </c>
      <c r="E1160" s="1042">
        <f>'Смета Внутр'!E1167</f>
        <v>224</v>
      </c>
      <c r="F1160" s="1042">
        <f>'Смета Внутр'!F1167</f>
        <v>0</v>
      </c>
      <c r="G1160" s="3007">
        <f t="shared" si="51"/>
        <v>224</v>
      </c>
      <c r="H1160" s="1042">
        <f>'Смета Внутр'!G1167</f>
        <v>0</v>
      </c>
      <c r="I1160" s="1042">
        <f>'Смета Внутр'!H1167</f>
        <v>0</v>
      </c>
      <c r="J1160" s="3014">
        <f>'Смета Внутр'!I1167</f>
        <v>0</v>
      </c>
    </row>
    <row r="1161" spans="2:10" ht="15" customHeight="1">
      <c r="B1161" s="3007" t="str">
        <f>'Смета Внутр'!B1168</f>
        <v>ГПС 150х50-1,5</v>
      </c>
      <c r="C1161" s="3007" t="str">
        <f>'Смета Внутр'!C1168</f>
        <v>м.п.</v>
      </c>
      <c r="D1161" s="3014">
        <f>'Смета Внутр'!D1168</f>
        <v>0</v>
      </c>
      <c r="E1161" s="1042">
        <f>'Смета Внутр'!E1168</f>
        <v>299</v>
      </c>
      <c r="F1161" s="1042">
        <f>'Смета Внутр'!F1168</f>
        <v>0</v>
      </c>
      <c r="G1161" s="3007">
        <f t="shared" si="51"/>
        <v>299</v>
      </c>
      <c r="H1161" s="1042">
        <f>'Смета Внутр'!G1168</f>
        <v>0</v>
      </c>
      <c r="I1161" s="1042">
        <f>'Смета Внутр'!H1168</f>
        <v>0</v>
      </c>
      <c r="J1161" s="3014">
        <f>'Смета Внутр'!I1168</f>
        <v>0</v>
      </c>
    </row>
    <row r="1162" spans="2:10" ht="15" customHeight="1">
      <c r="B1162" s="3007" t="str">
        <f>'Смета Внутр'!B1169</f>
        <v>ГПС 150х50-2,0</v>
      </c>
      <c r="C1162" s="3007" t="str">
        <f>'Смета Внутр'!C1169</f>
        <v>м.п.</v>
      </c>
      <c r="D1162" s="3014">
        <f>'Смета Внутр'!D1169</f>
        <v>0</v>
      </c>
      <c r="E1162" s="1042">
        <f>'Смета Внутр'!E1169</f>
        <v>201</v>
      </c>
      <c r="F1162" s="1042">
        <f>'Смета Внутр'!F1169</f>
        <v>0</v>
      </c>
      <c r="G1162" s="3007">
        <f t="shared" si="51"/>
        <v>201</v>
      </c>
      <c r="H1162" s="1042">
        <f>'Смета Внутр'!G1169</f>
        <v>0</v>
      </c>
      <c r="I1162" s="1042">
        <f>'Смета Внутр'!H1169</f>
        <v>0</v>
      </c>
      <c r="J1162" s="3014">
        <f>'Смета Внутр'!I1169</f>
        <v>0</v>
      </c>
    </row>
    <row r="1163" spans="2:10" ht="15" customHeight="1">
      <c r="B1163" s="3007" t="str">
        <f>'Смета Внутр'!B1170</f>
        <v>ГПС 170х50-1,2</v>
      </c>
      <c r="C1163" s="3007" t="str">
        <f>'Смета Внутр'!C1170</f>
        <v>м.п.</v>
      </c>
      <c r="D1163" s="3014">
        <f>'Смета Внутр'!D1170</f>
        <v>0</v>
      </c>
      <c r="E1163" s="1042">
        <f>'Смета Внутр'!E1170</f>
        <v>252</v>
      </c>
      <c r="F1163" s="1042">
        <f>'Смета Внутр'!F1170</f>
        <v>0</v>
      </c>
      <c r="G1163" s="3007">
        <f t="shared" si="51"/>
        <v>252</v>
      </c>
      <c r="H1163" s="1042">
        <f>'Смета Внутр'!G1170</f>
        <v>0</v>
      </c>
      <c r="I1163" s="1042">
        <f>'Смета Внутр'!H1170</f>
        <v>0</v>
      </c>
      <c r="J1163" s="3014">
        <f>'Смета Внутр'!I1170</f>
        <v>0</v>
      </c>
    </row>
    <row r="1164" spans="2:10" ht="15" customHeight="1">
      <c r="B1164" s="3007" t="str">
        <f>'Смета Внутр'!B1171</f>
        <v>ГПС 170х50-1,5</v>
      </c>
      <c r="C1164" s="3007" t="str">
        <f>'Смета Внутр'!C1171</f>
        <v>м.п.</v>
      </c>
      <c r="D1164" s="3014">
        <f>'Смета Внутр'!D1171</f>
        <v>0</v>
      </c>
      <c r="E1164" s="1042">
        <f>'Смета Внутр'!E1171</f>
        <v>330</v>
      </c>
      <c r="F1164" s="1042">
        <f>'Смета Внутр'!F1171</f>
        <v>0</v>
      </c>
      <c r="G1164" s="3007">
        <f t="shared" si="51"/>
        <v>330</v>
      </c>
      <c r="H1164" s="1042">
        <f>'Смета Внутр'!G1171</f>
        <v>0</v>
      </c>
      <c r="I1164" s="1042">
        <f>'Смета Внутр'!H1171</f>
        <v>0</v>
      </c>
      <c r="J1164" s="3014">
        <f>'Смета Внутр'!I1171</f>
        <v>0</v>
      </c>
    </row>
    <row r="1165" spans="2:10" ht="15" customHeight="1">
      <c r="B1165" s="3007" t="str">
        <f>'Смета Внутр'!B1172</f>
        <v>ГПС 170х50-2,0</v>
      </c>
      <c r="C1165" s="3007" t="str">
        <f>'Смета Внутр'!C1172</f>
        <v>м.п.</v>
      </c>
      <c r="D1165" s="3014">
        <f>'Смета Внутр'!D1172</f>
        <v>0</v>
      </c>
      <c r="E1165" s="1042">
        <f>'Смета Внутр'!E1172</f>
        <v>215</v>
      </c>
      <c r="F1165" s="1042">
        <f>'Смета Внутр'!F1172</f>
        <v>0</v>
      </c>
      <c r="G1165" s="3007">
        <f t="shared" si="51"/>
        <v>215</v>
      </c>
      <c r="H1165" s="1042">
        <f>'Смета Внутр'!G1172</f>
        <v>0</v>
      </c>
      <c r="I1165" s="1042">
        <f>'Смета Внутр'!H1172</f>
        <v>0</v>
      </c>
      <c r="J1165" s="3014">
        <f>'Смета Внутр'!I1172</f>
        <v>0</v>
      </c>
    </row>
    <row r="1166" spans="2:10" ht="15" customHeight="1">
      <c r="B1166" s="3007" t="str">
        <f>'Смета Внутр'!B1173</f>
        <v>ГПС 200х50-1,2</v>
      </c>
      <c r="C1166" s="3007" t="str">
        <f>'Смета Внутр'!C1173</f>
        <v>м.п.</v>
      </c>
      <c r="D1166" s="3014">
        <f>'Смета Внутр'!D1173</f>
        <v>0</v>
      </c>
      <c r="E1166" s="1042">
        <f>'Смета Внутр'!E1173</f>
        <v>269</v>
      </c>
      <c r="F1166" s="1042">
        <f>'Смета Внутр'!F1173</f>
        <v>0</v>
      </c>
      <c r="G1166" s="3007">
        <f t="shared" si="51"/>
        <v>269</v>
      </c>
      <c r="H1166" s="1042">
        <f>'Смета Внутр'!G1173</f>
        <v>0</v>
      </c>
      <c r="I1166" s="1042">
        <f>'Смета Внутр'!H1173</f>
        <v>0</v>
      </c>
      <c r="J1166" s="3014">
        <f>'Смета Внутр'!I1173</f>
        <v>0</v>
      </c>
    </row>
    <row r="1167" spans="2:10" ht="15" customHeight="1">
      <c r="B1167" s="3007" t="str">
        <f>'Смета Внутр'!B1174</f>
        <v>ГПС 200х50-1,5</v>
      </c>
      <c r="C1167" s="3007" t="str">
        <f>'Смета Внутр'!C1174</f>
        <v>м.п.</v>
      </c>
      <c r="D1167" s="3014">
        <f>'Смета Внутр'!D1174</f>
        <v>0</v>
      </c>
      <c r="E1167" s="1042">
        <f>'Смета Внутр'!E1174</f>
        <v>358</v>
      </c>
      <c r="F1167" s="1042">
        <f>'Смета Внутр'!F1174</f>
        <v>0</v>
      </c>
      <c r="G1167" s="3007">
        <f t="shared" si="51"/>
        <v>358</v>
      </c>
      <c r="H1167" s="1042">
        <f>'Смета Внутр'!G1174</f>
        <v>0</v>
      </c>
      <c r="I1167" s="1042">
        <f>'Смета Внутр'!H1174</f>
        <v>0</v>
      </c>
      <c r="J1167" s="3014">
        <f>'Смета Внутр'!I1174</f>
        <v>0</v>
      </c>
    </row>
    <row r="1168" spans="2:10" ht="15" customHeight="1">
      <c r="B1168" s="3007" t="str">
        <f>'Смета Внутр'!B1175</f>
        <v>ГПС 200х50-2,0</v>
      </c>
      <c r="C1168" s="3007" t="str">
        <f>'Смета Внутр'!C1175</f>
        <v>м.п.</v>
      </c>
      <c r="D1168" s="3014">
        <f>'Смета Внутр'!D1175</f>
        <v>0</v>
      </c>
      <c r="E1168" s="1042">
        <f>'Смета Внутр'!E1175</f>
        <v>239</v>
      </c>
      <c r="F1168" s="1042">
        <f>'Смета Внутр'!F1175</f>
        <v>0</v>
      </c>
      <c r="G1168" s="3007">
        <f t="shared" si="51"/>
        <v>239</v>
      </c>
      <c r="H1168" s="1042">
        <f>'Смета Внутр'!G1175</f>
        <v>0</v>
      </c>
      <c r="I1168" s="1042">
        <f>'Смета Внутр'!H1175</f>
        <v>0</v>
      </c>
      <c r="J1168" s="3014">
        <f>'Смета Внутр'!I1175</f>
        <v>0</v>
      </c>
    </row>
    <row r="1169" spans="2:10" ht="15" customHeight="1">
      <c r="B1169" s="3007" t="str">
        <f>'Смета Внутр'!B1176</f>
        <v>ГПС 250х50-1,2</v>
      </c>
      <c r="C1169" s="3007" t="str">
        <f>'Смета Внутр'!C1176</f>
        <v>м.п.</v>
      </c>
      <c r="D1169" s="3014">
        <f>'Смета Внутр'!D1176</f>
        <v>0</v>
      </c>
      <c r="E1169" s="1042">
        <f>'Смета Внутр'!E1176</f>
        <v>299</v>
      </c>
      <c r="F1169" s="1042">
        <f>'Смета Внутр'!F1176</f>
        <v>0</v>
      </c>
      <c r="G1169" s="3007">
        <f t="shared" si="51"/>
        <v>299</v>
      </c>
      <c r="H1169" s="1042">
        <f>'Смета Внутр'!G1176</f>
        <v>0</v>
      </c>
      <c r="I1169" s="1042">
        <f>'Смета Внутр'!H1176</f>
        <v>0</v>
      </c>
      <c r="J1169" s="3014">
        <f>'Смета Внутр'!I1176</f>
        <v>0</v>
      </c>
    </row>
    <row r="1170" spans="2:10" ht="15" customHeight="1">
      <c r="B1170" s="3007" t="str">
        <f>'Смета Внутр'!B1177</f>
        <v>ГПС 250х50-1,5</v>
      </c>
      <c r="C1170" s="3007" t="str">
        <f>'Смета Внутр'!C1177</f>
        <v>м.п.</v>
      </c>
      <c r="D1170" s="3014">
        <f>'Смета Внутр'!D1177</f>
        <v>0</v>
      </c>
      <c r="E1170" s="1042">
        <f>'Смета Внутр'!E1177</f>
        <v>397</v>
      </c>
      <c r="F1170" s="1042">
        <f>'Смета Внутр'!F1177</f>
        <v>0</v>
      </c>
      <c r="G1170" s="3007">
        <f t="shared" si="51"/>
        <v>397</v>
      </c>
      <c r="H1170" s="1042">
        <f>'Смета Внутр'!G1177</f>
        <v>0</v>
      </c>
      <c r="I1170" s="1042">
        <f>'Смета Внутр'!H1177</f>
        <v>0</v>
      </c>
      <c r="J1170" s="3014">
        <f>'Смета Внутр'!I1177</f>
        <v>0</v>
      </c>
    </row>
    <row r="1171" spans="2:10" ht="15" customHeight="1">
      <c r="B1171" s="3007" t="str">
        <f>'Смета Внутр'!B1178</f>
        <v>ГПС 250х50-2,0</v>
      </c>
      <c r="C1171" s="3007" t="str">
        <f>'Смета Внутр'!C1178</f>
        <v>м.п.</v>
      </c>
      <c r="D1171" s="3014">
        <f>'Смета Внутр'!D1178</f>
        <v>0</v>
      </c>
      <c r="E1171" s="1042">
        <f>'Смета Внутр'!E1178</f>
        <v>274</v>
      </c>
      <c r="F1171" s="1042">
        <f>'Смета Внутр'!F1178</f>
        <v>0</v>
      </c>
      <c r="G1171" s="3007">
        <f t="shared" si="51"/>
        <v>274</v>
      </c>
      <c r="H1171" s="1042">
        <f>'Смета Внутр'!G1178</f>
        <v>0</v>
      </c>
      <c r="I1171" s="1042">
        <f>'Смета Внутр'!H1178</f>
        <v>0</v>
      </c>
      <c r="J1171" s="3014">
        <f>'Смета Внутр'!I1178</f>
        <v>0</v>
      </c>
    </row>
    <row r="1172" spans="2:10" ht="15" customHeight="1">
      <c r="B1172" s="3007" t="str">
        <f>'Смета Внутр'!B1179</f>
        <v>ГПС 280х50-1,2</v>
      </c>
      <c r="C1172" s="3007" t="str">
        <f>'Смета Внутр'!C1179</f>
        <v>м.п.</v>
      </c>
      <c r="D1172" s="3014">
        <f>'Смета Внутр'!D1179</f>
        <v>0</v>
      </c>
      <c r="E1172" s="1042">
        <f>'Смета Внутр'!E1179</f>
        <v>344</v>
      </c>
      <c r="F1172" s="1042">
        <f>'Смета Внутр'!F1179</f>
        <v>0</v>
      </c>
      <c r="G1172" s="3007">
        <f t="shared" si="51"/>
        <v>344</v>
      </c>
      <c r="H1172" s="1042">
        <f>'Смета Внутр'!G1179</f>
        <v>0</v>
      </c>
      <c r="I1172" s="1042">
        <f>'Смета Внутр'!H1179</f>
        <v>0</v>
      </c>
      <c r="J1172" s="3014">
        <f>'Смета Внутр'!I1179</f>
        <v>0</v>
      </c>
    </row>
    <row r="1173" spans="2:10" ht="15" customHeight="1">
      <c r="B1173" s="3007" t="str">
        <f>'Смета Внутр'!B1180</f>
        <v>ГПС 280х50-1,5</v>
      </c>
      <c r="C1173" s="3007" t="str">
        <f>'Смета Внутр'!C1180</f>
        <v>м.п.</v>
      </c>
      <c r="D1173" s="3014">
        <f>'Смета Внутр'!D1180</f>
        <v>0</v>
      </c>
      <c r="E1173" s="1042">
        <f>'Смета Внутр'!E1180</f>
        <v>450</v>
      </c>
      <c r="F1173" s="1042">
        <f>'Смета Внутр'!F1180</f>
        <v>0</v>
      </c>
      <c r="G1173" s="3007">
        <f t="shared" si="51"/>
        <v>450</v>
      </c>
      <c r="H1173" s="1042">
        <f>'Смета Внутр'!G1180</f>
        <v>0</v>
      </c>
      <c r="I1173" s="1042">
        <f>'Смета Внутр'!H1180</f>
        <v>0</v>
      </c>
      <c r="J1173" s="3014">
        <f>'Смета Внутр'!I1180</f>
        <v>0</v>
      </c>
    </row>
    <row r="1174" spans="2:10" ht="15" customHeight="1">
      <c r="B1174" s="3007" t="str">
        <f>'Смета Внутр'!B1181</f>
        <v>ГПС 280х50-2,0</v>
      </c>
      <c r="C1174" s="3007" t="str">
        <f>'Смета Внутр'!C1181</f>
        <v>м.п.</v>
      </c>
      <c r="D1174" s="3014">
        <f>'Смета Внутр'!D1181</f>
        <v>0</v>
      </c>
      <c r="E1174" s="1042">
        <f>'Смета Внутр'!E1181</f>
        <v>293</v>
      </c>
      <c r="F1174" s="1042">
        <f>'Смета Внутр'!F1181</f>
        <v>0</v>
      </c>
      <c r="G1174" s="3007">
        <f t="shared" si="51"/>
        <v>293</v>
      </c>
      <c r="H1174" s="1042">
        <f>'Смета Внутр'!G1181</f>
        <v>0</v>
      </c>
      <c r="I1174" s="1042">
        <f>'Смета Внутр'!H1181</f>
        <v>0</v>
      </c>
      <c r="J1174" s="3014">
        <f>'Смета Внутр'!I1181</f>
        <v>0</v>
      </c>
    </row>
    <row r="1175" spans="2:10" ht="15" customHeight="1">
      <c r="B1175" s="3007" t="str">
        <f>'Смета Внутр'!B1182</f>
        <v>ГПН 102х35-1,2</v>
      </c>
      <c r="C1175" s="3007" t="str">
        <f>'Смета Внутр'!C1182</f>
        <v>м.п.</v>
      </c>
      <c r="D1175" s="3014">
        <f>'Смета Внутр'!D1182</f>
        <v>0</v>
      </c>
      <c r="E1175" s="1042">
        <f>'Смета Внутр'!E1182</f>
        <v>127</v>
      </c>
      <c r="F1175" s="1042">
        <f>'Смета Внутр'!F1182</f>
        <v>0</v>
      </c>
      <c r="G1175" s="3007">
        <f t="shared" si="51"/>
        <v>127</v>
      </c>
      <c r="H1175" s="1042">
        <f>'Смета Внутр'!G1182</f>
        <v>0</v>
      </c>
      <c r="I1175" s="1042">
        <f>'Смета Внутр'!H1182</f>
        <v>0</v>
      </c>
      <c r="J1175" s="3014">
        <f>'Смета Внутр'!I1182</f>
        <v>0</v>
      </c>
    </row>
    <row r="1176" spans="2:10" ht="15" customHeight="1">
      <c r="B1176" s="3007" t="str">
        <f>'Смета Внутр'!B1183</f>
        <v>ГПН 102х35-1,5</v>
      </c>
      <c r="C1176" s="3007" t="str">
        <f>'Смета Внутр'!C1183</f>
        <v>м.п.</v>
      </c>
      <c r="D1176" s="3014">
        <f>'Смета Внутр'!D1183</f>
        <v>0</v>
      </c>
      <c r="E1176" s="1042">
        <f>'Смета Внутр'!E1183</f>
        <v>158</v>
      </c>
      <c r="F1176" s="1042">
        <f>'Смета Внутр'!F1183</f>
        <v>0</v>
      </c>
      <c r="G1176" s="3007">
        <f t="shared" si="51"/>
        <v>158</v>
      </c>
      <c r="H1176" s="1042">
        <f>'Смета Внутр'!G1183</f>
        <v>0</v>
      </c>
      <c r="I1176" s="1042">
        <f>'Смета Внутр'!H1183</f>
        <v>0</v>
      </c>
      <c r="J1176" s="3014">
        <f>'Смета Внутр'!I1183</f>
        <v>0</v>
      </c>
    </row>
    <row r="1177" spans="2:10" ht="15" customHeight="1">
      <c r="B1177" s="3007" t="str">
        <f>'Смета Внутр'!B1184</f>
        <v>ГПН 102х35-2,0</v>
      </c>
      <c r="C1177" s="3007" t="str">
        <f>'Смета Внутр'!C1184</f>
        <v>м.п.</v>
      </c>
      <c r="D1177" s="3014">
        <f>'Смета Внутр'!D1184</f>
        <v>0</v>
      </c>
      <c r="E1177" s="1042">
        <f>'Смета Внутр'!E1184</f>
        <v>199</v>
      </c>
      <c r="F1177" s="1042">
        <f>'Смета Внутр'!F1184</f>
        <v>0</v>
      </c>
      <c r="G1177" s="3007">
        <f t="shared" si="51"/>
        <v>199</v>
      </c>
      <c r="H1177" s="1042">
        <f>'Смета Внутр'!G1184</f>
        <v>0</v>
      </c>
      <c r="I1177" s="1042">
        <f>'Смета Внутр'!H1184</f>
        <v>0</v>
      </c>
      <c r="J1177" s="3014">
        <f>'Смета Внутр'!I1184</f>
        <v>0</v>
      </c>
    </row>
    <row r="1178" spans="2:10" ht="15" customHeight="1">
      <c r="B1178" s="3007" t="str">
        <f>'Смета Внутр'!B1185</f>
        <v>ГПН 122х35-1,2</v>
      </c>
      <c r="C1178" s="3007" t="str">
        <f>'Смета Внутр'!C1185</f>
        <v>м.п.</v>
      </c>
      <c r="D1178" s="3014">
        <f>'Смета Внутр'!D1185</f>
        <v>0</v>
      </c>
      <c r="E1178" s="1042">
        <f>'Смета Внутр'!E1185</f>
        <v>131</v>
      </c>
      <c r="F1178" s="1042">
        <f>'Смета Внутр'!F1185</f>
        <v>0</v>
      </c>
      <c r="G1178" s="3007">
        <f t="shared" si="51"/>
        <v>131</v>
      </c>
      <c r="H1178" s="1042">
        <f>'Смета Внутр'!G1185</f>
        <v>0</v>
      </c>
      <c r="I1178" s="1042">
        <f>'Смета Внутр'!H1185</f>
        <v>0</v>
      </c>
      <c r="J1178" s="3014">
        <f>'Смета Внутр'!I1185</f>
        <v>0</v>
      </c>
    </row>
    <row r="1179" spans="2:10" ht="15" customHeight="1">
      <c r="B1179" s="3007" t="str">
        <f>'Смета Внутр'!B1186</f>
        <v>ГПН 122х35-1,5</v>
      </c>
      <c r="C1179" s="3007" t="str">
        <f>'Смета Внутр'!C1186</f>
        <v>м.п.</v>
      </c>
      <c r="D1179" s="3014">
        <f>'Смета Внутр'!D1186</f>
        <v>0</v>
      </c>
      <c r="E1179" s="1042">
        <f>'Смета Внутр'!E1186</f>
        <v>163</v>
      </c>
      <c r="F1179" s="1042">
        <f>'Смета Внутр'!F1186</f>
        <v>0</v>
      </c>
      <c r="G1179" s="3007">
        <f t="shared" si="51"/>
        <v>163</v>
      </c>
      <c r="H1179" s="1042">
        <f>'Смета Внутр'!G1186</f>
        <v>0</v>
      </c>
      <c r="I1179" s="1042">
        <f>'Смета Внутр'!H1186</f>
        <v>0</v>
      </c>
      <c r="J1179" s="3014">
        <f>'Смета Внутр'!I1186</f>
        <v>0</v>
      </c>
    </row>
    <row r="1180" spans="2:10" ht="15" customHeight="1">
      <c r="B1180" s="3007" t="str">
        <f>'Смета Внутр'!B1187</f>
        <v>ГПН 122х35-2,0</v>
      </c>
      <c r="C1180" s="3007" t="str">
        <f>'Смета Внутр'!C1187</f>
        <v>м.п.</v>
      </c>
      <c r="D1180" s="3014">
        <f>'Смета Внутр'!D1187</f>
        <v>0</v>
      </c>
      <c r="E1180" s="1042">
        <f>'Смета Внутр'!E1187</f>
        <v>216</v>
      </c>
      <c r="F1180" s="1042">
        <f>'Смета Внутр'!F1187</f>
        <v>0</v>
      </c>
      <c r="G1180" s="3007">
        <f t="shared" si="51"/>
        <v>216</v>
      </c>
      <c r="H1180" s="1042">
        <f>'Смета Внутр'!G1187</f>
        <v>0</v>
      </c>
      <c r="I1180" s="1042">
        <f>'Смета Внутр'!H1187</f>
        <v>0</v>
      </c>
      <c r="J1180" s="3014">
        <f>'Смета Внутр'!I1187</f>
        <v>0</v>
      </c>
    </row>
    <row r="1181" spans="2:10" ht="15" customHeight="1">
      <c r="B1181" s="3007" t="str">
        <f>'Смета Внутр'!B1188</f>
        <v>ГПН 152х35-1,2</v>
      </c>
      <c r="C1181" s="3007" t="str">
        <f>'Смета Внутр'!C1188</f>
        <v>м.п.</v>
      </c>
      <c r="D1181" s="3014">
        <f>'Смета Внутр'!D1188</f>
        <v>0</v>
      </c>
      <c r="E1181" s="1042">
        <f>'Смета Внутр'!E1188</f>
        <v>163</v>
      </c>
      <c r="F1181" s="1042">
        <f>'Смета Внутр'!F1188</f>
        <v>0</v>
      </c>
      <c r="G1181" s="3007">
        <f t="shared" si="51"/>
        <v>163</v>
      </c>
      <c r="H1181" s="1042">
        <f>'Смета Внутр'!G1188</f>
        <v>0</v>
      </c>
      <c r="I1181" s="1042">
        <f>'Смета Внутр'!H1188</f>
        <v>0</v>
      </c>
      <c r="J1181" s="3014">
        <f>'Смета Внутр'!I1188</f>
        <v>0</v>
      </c>
    </row>
    <row r="1182" spans="2:10" ht="15" customHeight="1">
      <c r="B1182" s="3007" t="str">
        <f>'Смета Внутр'!B1189</f>
        <v>ГПН 152х35-1,5</v>
      </c>
      <c r="C1182" s="3007" t="str">
        <f>'Смета Внутр'!C1189</f>
        <v>м.п.</v>
      </c>
      <c r="D1182" s="3014">
        <f>'Смета Внутр'!D1189</f>
        <v>0</v>
      </c>
      <c r="E1182" s="1042">
        <f>'Смета Внутр'!E1189</f>
        <v>203</v>
      </c>
      <c r="F1182" s="1042">
        <f>'Смета Внутр'!F1189</f>
        <v>0</v>
      </c>
      <c r="G1182" s="3007">
        <f t="shared" si="51"/>
        <v>203</v>
      </c>
      <c r="H1182" s="1042">
        <f>'Смета Внутр'!G1189</f>
        <v>0</v>
      </c>
      <c r="I1182" s="1042">
        <f>'Смета Внутр'!H1189</f>
        <v>0</v>
      </c>
      <c r="J1182" s="3014">
        <f>'Смета Внутр'!I1189</f>
        <v>0</v>
      </c>
    </row>
    <row r="1183" spans="2:10" ht="15" customHeight="1">
      <c r="B1183" s="3007" t="str">
        <f>'Смета Внутр'!B1190</f>
        <v>ГПН 152х35-2,0</v>
      </c>
      <c r="C1183" s="3007" t="str">
        <f>'Смета Внутр'!C1190</f>
        <v>м.п.</v>
      </c>
      <c r="D1183" s="3014">
        <f>'Смета Внутр'!D1190</f>
        <v>0</v>
      </c>
      <c r="E1183" s="1042">
        <f>'Смета Внутр'!E1190</f>
        <v>259</v>
      </c>
      <c r="F1183" s="1042">
        <f>'Смета Внутр'!F1190</f>
        <v>0</v>
      </c>
      <c r="G1183" s="3007">
        <f t="shared" si="51"/>
        <v>259</v>
      </c>
      <c r="H1183" s="1042">
        <f>'Смета Внутр'!G1190</f>
        <v>0</v>
      </c>
      <c r="I1183" s="1042">
        <f>'Смета Внутр'!H1190</f>
        <v>0</v>
      </c>
      <c r="J1183" s="3014">
        <f>'Смета Внутр'!I1190</f>
        <v>0</v>
      </c>
    </row>
    <row r="1184" spans="2:10" ht="15" customHeight="1">
      <c r="B1184" s="3007" t="str">
        <f>'Смета Внутр'!B1191</f>
        <v>ГПН 172х35-1,2</v>
      </c>
      <c r="C1184" s="3007" t="str">
        <f>'Смета Внутр'!C1191</f>
        <v>м.п.</v>
      </c>
      <c r="D1184" s="3014">
        <f>'Смета Внутр'!D1191</f>
        <v>0</v>
      </c>
      <c r="E1184" s="1042">
        <f>'Смета Внутр'!E1191</f>
        <v>166</v>
      </c>
      <c r="F1184" s="1042">
        <f>'Смета Внутр'!F1191</f>
        <v>0</v>
      </c>
      <c r="G1184" s="3007">
        <f t="shared" si="51"/>
        <v>166</v>
      </c>
      <c r="H1184" s="1042">
        <f>'Смета Внутр'!G1191</f>
        <v>0</v>
      </c>
      <c r="I1184" s="1042">
        <f>'Смета Внутр'!H1191</f>
        <v>0</v>
      </c>
      <c r="J1184" s="3014">
        <f>'Смета Внутр'!I1191</f>
        <v>0</v>
      </c>
    </row>
    <row r="1185" spans="2:10" ht="15" customHeight="1">
      <c r="B1185" s="3007" t="str">
        <f>'Смета Внутр'!B1192</f>
        <v>ГПН 172х35-1,5</v>
      </c>
      <c r="C1185" s="3007" t="str">
        <f>'Смета Внутр'!C1192</f>
        <v>м.п.</v>
      </c>
      <c r="D1185" s="3014">
        <f>'Смета Внутр'!D1192</f>
        <v>0</v>
      </c>
      <c r="E1185" s="1042">
        <f>'Смета Внутр'!E1192</f>
        <v>207</v>
      </c>
      <c r="F1185" s="1042">
        <f>'Смета Внутр'!F1192</f>
        <v>0</v>
      </c>
      <c r="G1185" s="3007">
        <f t="shared" si="51"/>
        <v>207</v>
      </c>
      <c r="H1185" s="1042">
        <f>'Смета Внутр'!G1192</f>
        <v>0</v>
      </c>
      <c r="I1185" s="1042">
        <f>'Смета Внутр'!H1192</f>
        <v>0</v>
      </c>
      <c r="J1185" s="3014">
        <f>'Смета Внутр'!I1192</f>
        <v>0</v>
      </c>
    </row>
    <row r="1186" spans="2:10" ht="15" customHeight="1">
      <c r="B1186" s="3007" t="str">
        <f>'Смета Внутр'!B1193</f>
        <v>ГПН 172х35-2,0</v>
      </c>
      <c r="C1186" s="3007" t="str">
        <f>'Смета Внутр'!C1193</f>
        <v>м.п.</v>
      </c>
      <c r="D1186" s="3014">
        <f>'Смета Внутр'!D1193</f>
        <v>0</v>
      </c>
      <c r="E1186" s="1042">
        <f>'Смета Внутр'!E1193</f>
        <v>274</v>
      </c>
      <c r="F1186" s="1042">
        <f>'Смета Внутр'!F1193</f>
        <v>0</v>
      </c>
      <c r="G1186" s="3007">
        <f t="shared" si="51"/>
        <v>274</v>
      </c>
      <c r="H1186" s="1042">
        <f>'Смета Внутр'!G1193</f>
        <v>0</v>
      </c>
      <c r="I1186" s="1042">
        <f>'Смета Внутр'!H1193</f>
        <v>0</v>
      </c>
      <c r="J1186" s="3014">
        <f>'Смета Внутр'!I1193</f>
        <v>0</v>
      </c>
    </row>
    <row r="1187" spans="2:10" ht="15" customHeight="1">
      <c r="B1187" s="3007" t="str">
        <f>'Смета Внутр'!B1194</f>
        <v>ГПН 202х35-1,2</v>
      </c>
      <c r="C1187" s="3007" t="str">
        <f>'Смета Внутр'!C1194</f>
        <v>м.п.</v>
      </c>
      <c r="D1187" s="3014">
        <f>'Смета Внутр'!D1194</f>
        <v>0</v>
      </c>
      <c r="E1187" s="1042">
        <f>'Смета Внутр'!E1194</f>
        <v>201</v>
      </c>
      <c r="F1187" s="1042">
        <f>'Смета Внутр'!F1194</f>
        <v>0</v>
      </c>
      <c r="G1187" s="3007">
        <f t="shared" si="51"/>
        <v>201</v>
      </c>
      <c r="H1187" s="1042">
        <f>'Смета Внутр'!G1194</f>
        <v>0</v>
      </c>
      <c r="I1187" s="1042">
        <f>'Смета Внутр'!H1194</f>
        <v>0</v>
      </c>
      <c r="J1187" s="3014">
        <f>'Смета Внутр'!I1194</f>
        <v>0</v>
      </c>
    </row>
    <row r="1188" spans="2:10" ht="15" customHeight="1">
      <c r="B1188" s="3007" t="str">
        <f>'Смета Внутр'!B1195</f>
        <v>ГПН 202х35-1,5</v>
      </c>
      <c r="C1188" s="3007" t="str">
        <f>'Смета Внутр'!C1195</f>
        <v>м.п.</v>
      </c>
      <c r="D1188" s="3014">
        <f>'Смета Внутр'!D1195</f>
        <v>0</v>
      </c>
      <c r="E1188" s="1042">
        <f>'Смета Внутр'!E1195</f>
        <v>252</v>
      </c>
      <c r="F1188" s="1042">
        <f>'Смета Внутр'!F1195</f>
        <v>0</v>
      </c>
      <c r="G1188" s="3007">
        <f t="shared" si="51"/>
        <v>252</v>
      </c>
      <c r="H1188" s="1042">
        <f>'Смета Внутр'!G1195</f>
        <v>0</v>
      </c>
      <c r="I1188" s="1042">
        <f>'Смета Внутр'!H1195</f>
        <v>0</v>
      </c>
      <c r="J1188" s="3014">
        <f>'Смета Внутр'!I1195</f>
        <v>0</v>
      </c>
    </row>
    <row r="1189" spans="2:10" ht="15" customHeight="1">
      <c r="B1189" s="3007" t="str">
        <f>'Смета Внутр'!B1196</f>
        <v>ГПН 202х35-2,0</v>
      </c>
      <c r="C1189" s="3007" t="str">
        <f>'Смета Внутр'!C1196</f>
        <v>м.п.</v>
      </c>
      <c r="D1189" s="3014">
        <f>'Смета Внутр'!D1196</f>
        <v>0</v>
      </c>
      <c r="E1189" s="1042">
        <f>'Смета Внутр'!E1196</f>
        <v>318</v>
      </c>
      <c r="F1189" s="1042">
        <f>'Смета Внутр'!F1196</f>
        <v>0</v>
      </c>
      <c r="G1189" s="3007">
        <f t="shared" si="51"/>
        <v>318</v>
      </c>
      <c r="H1189" s="1042">
        <f>'Смета Внутр'!G1196</f>
        <v>0</v>
      </c>
      <c r="I1189" s="1042">
        <f>'Смета Внутр'!H1196</f>
        <v>0</v>
      </c>
      <c r="J1189" s="3014">
        <f>'Смета Внутр'!I1196</f>
        <v>0</v>
      </c>
    </row>
    <row r="1190" spans="2:10" ht="15" customHeight="1">
      <c r="B1190" s="3007" t="str">
        <f>'Смета Внутр'!B1197</f>
        <v>ГПН 252х35-1,2</v>
      </c>
      <c r="C1190" s="3007" t="str">
        <f>'Смета Внутр'!C1197</f>
        <v>м.п.</v>
      </c>
      <c r="D1190" s="3014">
        <f>'Смета Внутр'!D1197</f>
        <v>0</v>
      </c>
      <c r="E1190" s="1042">
        <f>'Смета Внутр'!E1197</f>
        <v>226</v>
      </c>
      <c r="F1190" s="1042">
        <f>'Смета Внутр'!F1197</f>
        <v>0</v>
      </c>
      <c r="G1190" s="3007">
        <f t="shared" si="51"/>
        <v>226</v>
      </c>
      <c r="H1190" s="1042">
        <f>'Смета Внутр'!G1197</f>
        <v>0</v>
      </c>
      <c r="I1190" s="1042">
        <f>'Смета Внутр'!H1197</f>
        <v>0</v>
      </c>
      <c r="J1190" s="3014">
        <f>'Смета Внутр'!I1197</f>
        <v>0</v>
      </c>
    </row>
    <row r="1191" spans="2:10" ht="15" customHeight="1">
      <c r="B1191" s="3007" t="str">
        <f>'Смета Внутр'!B1198</f>
        <v>ГПН 252х35-1,5</v>
      </c>
      <c r="C1191" s="3007" t="str">
        <f>'Смета Внутр'!C1198</f>
        <v>м.п.</v>
      </c>
      <c r="D1191" s="3014">
        <f>'Смета Внутр'!D1198</f>
        <v>0</v>
      </c>
      <c r="E1191" s="1042">
        <f>'Смета Внутр'!E1198</f>
        <v>283</v>
      </c>
      <c r="F1191" s="1042">
        <f>'Смета Внутр'!F1198</f>
        <v>0</v>
      </c>
      <c r="G1191" s="3007">
        <f t="shared" si="51"/>
        <v>283</v>
      </c>
      <c r="H1191" s="1042">
        <f>'Смета Внутр'!G1198</f>
        <v>0</v>
      </c>
      <c r="I1191" s="1042">
        <f>'Смета Внутр'!H1198</f>
        <v>0</v>
      </c>
      <c r="J1191" s="3014">
        <f>'Смета Внутр'!I1198</f>
        <v>0</v>
      </c>
    </row>
    <row r="1192" spans="2:10" ht="15" customHeight="1">
      <c r="B1192" s="3007" t="str">
        <f>'Смета Внутр'!B1199</f>
        <v>ГПН 252х35-2,0</v>
      </c>
      <c r="C1192" s="3007" t="str">
        <f>'Смета Внутр'!C1199</f>
        <v>м.п.</v>
      </c>
      <c r="D1192" s="3014">
        <f>'Смета Внутр'!D1199</f>
        <v>0</v>
      </c>
      <c r="E1192" s="1042">
        <f>'Смета Внутр'!E1199</f>
        <v>378</v>
      </c>
      <c r="F1192" s="1042">
        <f>'Смета Внутр'!F1199</f>
        <v>0</v>
      </c>
      <c r="G1192" s="3007">
        <f t="shared" si="51"/>
        <v>378</v>
      </c>
      <c r="H1192" s="1042">
        <f>'Смета Внутр'!G1199</f>
        <v>0</v>
      </c>
      <c r="I1192" s="1042">
        <f>'Смета Внутр'!H1199</f>
        <v>0</v>
      </c>
      <c r="J1192" s="3014">
        <f>'Смета Внутр'!I1199</f>
        <v>0</v>
      </c>
    </row>
    <row r="1193" spans="2:10" ht="15" customHeight="1">
      <c r="B1193" s="3007" t="str">
        <f>'Смета Внутр'!B1200</f>
        <v>ГПН 282х35-1,2</v>
      </c>
      <c r="C1193" s="3007" t="str">
        <f>'Смета Внутр'!C1200</f>
        <v>м.п.</v>
      </c>
      <c r="D1193" s="3014">
        <f>'Смета Внутр'!D1200</f>
        <v>0</v>
      </c>
      <c r="E1193" s="1042">
        <f>'Смета Внутр'!E1200</f>
        <v>275</v>
      </c>
      <c r="F1193" s="1042">
        <f>'Смета Внутр'!F1200</f>
        <v>0</v>
      </c>
      <c r="G1193" s="3007">
        <f t="shared" si="51"/>
        <v>275</v>
      </c>
      <c r="H1193" s="1042">
        <f>'Смета Внутр'!G1200</f>
        <v>0</v>
      </c>
      <c r="I1193" s="1042">
        <f>'Смета Внутр'!H1200</f>
        <v>0</v>
      </c>
      <c r="J1193" s="3014">
        <f>'Смета Внутр'!I1200</f>
        <v>0</v>
      </c>
    </row>
    <row r="1194" spans="2:10" ht="15" customHeight="1">
      <c r="B1194" s="3007" t="str">
        <f>'Смета Внутр'!B1201</f>
        <v>Саморез 5,5 х 25</v>
      </c>
      <c r="C1194" s="3007">
        <f>'Смета Внутр'!C1201</f>
        <v>0</v>
      </c>
      <c r="D1194" s="3014">
        <f>'Смета Внутр'!D1201</f>
        <v>0</v>
      </c>
      <c r="E1194" s="1042">
        <f>'Смета Внутр'!E1201</f>
        <v>2.5</v>
      </c>
      <c r="F1194" s="1042">
        <f>'Смета Внутр'!F1201</f>
        <v>0</v>
      </c>
      <c r="G1194" s="3007">
        <f t="shared" si="51"/>
        <v>2.5</v>
      </c>
      <c r="H1194" s="1042">
        <f>'Смета Внутр'!G1201</f>
        <v>0</v>
      </c>
      <c r="I1194" s="1042">
        <f>'Смета Внутр'!H1201</f>
        <v>0</v>
      </c>
      <c r="J1194" s="3014">
        <f>'Смета Внутр'!I1201</f>
        <v>0</v>
      </c>
    </row>
    <row r="1195" spans="2:10">
      <c r="B1195" s="3311" t="str">
        <f>'Смета Внутр'!B1202</f>
        <v>Итого материалы</v>
      </c>
      <c r="C1195" s="3311"/>
      <c r="D1195" s="3311"/>
      <c r="E1195" s="3311"/>
      <c r="F1195" s="3311"/>
      <c r="G1195" s="3311"/>
      <c r="H1195" s="1042">
        <f>'Смета Внутр'!G1202</f>
        <v>0</v>
      </c>
      <c r="I1195" s="1042">
        <f>'Смета Внутр'!H1202</f>
        <v>0</v>
      </c>
      <c r="J1195" s="3014">
        <f>SUM(J898:J1077)*J896</f>
        <v>0</v>
      </c>
    </row>
    <row r="1196" spans="2:10" ht="15" customHeight="1">
      <c r="B1196" s="3002" t="str">
        <f>'Смета Внутр'!B1203</f>
        <v>Работы</v>
      </c>
      <c r="D1196" s="1167"/>
      <c r="H1196">
        <f>'Смета Внутр'!G1203</f>
        <v>0</v>
      </c>
      <c r="I1196">
        <f>'Смета Внутр'!H1203</f>
        <v>0</v>
      </c>
      <c r="J1196" s="3027">
        <f>J896</f>
        <v>0</v>
      </c>
    </row>
    <row r="1197" spans="2:10" ht="15" customHeight="1">
      <c r="B1197" s="1042" t="str">
        <f>'Смета Внутр'!B1204</f>
        <v>Монтаж плит ЖБИ</v>
      </c>
      <c r="C1197" s="1042" t="str">
        <f>'Смета Внутр'!C1204</f>
        <v>м2</v>
      </c>
      <c r="D1197" s="1058">
        <f>'Смета Внутр'!D1204</f>
        <v>0</v>
      </c>
      <c r="E1197" s="1042">
        <f>'Смета Внутр'!E1204</f>
        <v>200</v>
      </c>
      <c r="F1197" s="1042">
        <f>'Смета Внутр'!F1204</f>
        <v>0</v>
      </c>
      <c r="G1197" s="1042">
        <f t="shared" ref="G1197:G1240" si="52">IF(E1197&gt;F1197,E1197,F1197)</f>
        <v>200</v>
      </c>
      <c r="H1197" s="1042">
        <f>'Смета Внутр'!G1204</f>
        <v>0</v>
      </c>
      <c r="I1197" s="1042">
        <f>'Смета Внутр'!H1204</f>
        <v>0</v>
      </c>
      <c r="J1197" s="1058">
        <f>'Смета Внутр'!I1204</f>
        <v>0</v>
      </c>
    </row>
    <row r="1198" spans="2:10" ht="15" customHeight="1">
      <c r="B1198" s="1042" t="str">
        <f>'Смета Внутр'!B1205</f>
        <v>Монтаж опалубки</v>
      </c>
      <c r="C1198" s="1042" t="str">
        <f>'Смета Внутр'!C1205</f>
        <v>м2</v>
      </c>
      <c r="D1198" s="1058">
        <f>'Смета Внутр'!D1205</f>
        <v>0</v>
      </c>
      <c r="E1198" s="1042">
        <f>'Смета Внутр'!E1205</f>
        <v>200</v>
      </c>
      <c r="F1198" s="1042">
        <f>'Смета Внутр'!F1205</f>
        <v>0</v>
      </c>
      <c r="G1198" s="1042">
        <f t="shared" si="52"/>
        <v>200</v>
      </c>
      <c r="H1198" s="1042">
        <f>'Смета Внутр'!G1205</f>
        <v>0</v>
      </c>
      <c r="I1198" s="1042">
        <f>'Смета Внутр'!H1205</f>
        <v>0</v>
      </c>
      <c r="J1198" s="1058">
        <f>'Смета Внутр'!I1205</f>
        <v>0</v>
      </c>
    </row>
    <row r="1199" spans="2:10" ht="15" customHeight="1">
      <c r="B1199" s="1042" t="str">
        <f>'Смета Внутр'!B1206</f>
        <v>Укладка пленки гидроизоляционной</v>
      </c>
      <c r="C1199" s="1042" t="str">
        <f>'Смета Внутр'!C1206</f>
        <v>м2</v>
      </c>
      <c r="D1199" s="1058">
        <f>'Смета Внутр'!D1206</f>
        <v>0</v>
      </c>
      <c r="E1199" s="1042">
        <f>'Смета Внутр'!E1206</f>
        <v>40</v>
      </c>
      <c r="F1199" s="1042">
        <f>'Смета Внутр'!F1206</f>
        <v>0</v>
      </c>
      <c r="G1199" s="1042">
        <f t="shared" si="52"/>
        <v>40</v>
      </c>
      <c r="H1199" s="1042">
        <f>'Смета Внутр'!G1206</f>
        <v>0</v>
      </c>
      <c r="I1199" s="1042">
        <f>'Смета Внутр'!H1206</f>
        <v>0</v>
      </c>
      <c r="J1199" s="1058">
        <f>'Смета Внутр'!I1206</f>
        <v>0</v>
      </c>
    </row>
    <row r="1200" spans="2:10" ht="15" customHeight="1">
      <c r="B1200" s="1042" t="str">
        <f>'Смета Внутр'!B1207</f>
        <v>Армирование перекрытия/плиты</v>
      </c>
      <c r="C1200" s="1042" t="str">
        <f>'Смета Внутр'!C1207</f>
        <v>м2</v>
      </c>
      <c r="D1200" s="1058">
        <f>'Смета Внутр'!D1207</f>
        <v>0</v>
      </c>
      <c r="E1200" s="1042">
        <f>'Смета Внутр'!E1207</f>
        <v>300</v>
      </c>
      <c r="F1200" s="1042">
        <f>'Смета Внутр'!F1207</f>
        <v>0</v>
      </c>
      <c r="G1200" s="1042">
        <f t="shared" si="52"/>
        <v>300</v>
      </c>
      <c r="H1200" s="1042">
        <f>'Смета Внутр'!G1207</f>
        <v>0</v>
      </c>
      <c r="I1200" s="1042">
        <f>'Смета Внутр'!H1207</f>
        <v>0</v>
      </c>
      <c r="J1200" s="1058">
        <f>'Смета Внутр'!I1207</f>
        <v>0</v>
      </c>
    </row>
    <row r="1201" spans="2:10" ht="15" customHeight="1">
      <c r="B1201" s="1042" t="str">
        <f>'Смета Внутр'!B1208</f>
        <v>Заливка бетоном перекрытия/плиты</v>
      </c>
      <c r="C1201" s="1042" t="str">
        <f>'Смета Внутр'!C1208</f>
        <v>м2</v>
      </c>
      <c r="D1201" s="1058">
        <f>'Смета Внутр'!D1208</f>
        <v>0</v>
      </c>
      <c r="E1201" s="1042">
        <f>'Смета Внутр'!E1208</f>
        <v>350</v>
      </c>
      <c r="F1201" s="1042">
        <f>'Смета Внутр'!F1208</f>
        <v>0</v>
      </c>
      <c r="G1201" s="1042">
        <f t="shared" si="52"/>
        <v>350</v>
      </c>
      <c r="H1201" s="1042">
        <f>'Смета Внутр'!G1208</f>
        <v>0</v>
      </c>
      <c r="I1201" s="1042">
        <f>'Смета Внутр'!H1208</f>
        <v>0</v>
      </c>
      <c r="J1201" s="1058">
        <f>'Смета Внутр'!I1208</f>
        <v>0</v>
      </c>
    </row>
    <row r="1202" spans="2:10" ht="15" customHeight="1">
      <c r="B1202" s="1042" t="str">
        <f>'Смета Внутр'!B1209</f>
        <v>Монтаж перекрытий из бруса</v>
      </c>
      <c r="C1202" s="1042" t="str">
        <f>'Смета Внутр'!C1209</f>
        <v>м2</v>
      </c>
      <c r="D1202" s="1058">
        <f>'Смета Внутр'!D1209</f>
        <v>0</v>
      </c>
      <c r="E1202" s="1042">
        <f>'Смета Внутр'!E1209</f>
        <v>300</v>
      </c>
      <c r="F1202" s="1042">
        <f>'Смета Внутр'!F1209</f>
        <v>0</v>
      </c>
      <c r="G1202" s="1042">
        <f t="shared" si="52"/>
        <v>300</v>
      </c>
      <c r="H1202" s="1042">
        <f>'Смета Внутр'!G1209</f>
        <v>0</v>
      </c>
      <c r="I1202" s="1042">
        <f>'Смета Внутр'!H1209</f>
        <v>0</v>
      </c>
      <c r="J1202" s="1058">
        <f>'Смета Внутр'!I1209</f>
        <v>0</v>
      </c>
    </row>
    <row r="1203" spans="2:10" ht="15" customHeight="1">
      <c r="B1203" s="1042" t="str">
        <f>'Смета Внутр'!B1210</f>
        <v>Монтаж перекрытий Сип-панели</v>
      </c>
      <c r="C1203" s="1042" t="str">
        <f>'Смета Внутр'!C1210</f>
        <v>м2</v>
      </c>
      <c r="D1203" s="1058">
        <f>'Смета Внутр'!D1210</f>
        <v>0</v>
      </c>
      <c r="E1203" s="1042">
        <f>'Смета Внутр'!E1210</f>
        <v>400</v>
      </c>
      <c r="F1203" s="1042">
        <f>'Смета Внутр'!F1210</f>
        <v>0</v>
      </c>
      <c r="G1203" s="1042">
        <f t="shared" si="52"/>
        <v>400</v>
      </c>
      <c r="H1203" s="1042">
        <f>'Смета Внутр'!G1210</f>
        <v>0</v>
      </c>
      <c r="I1203" s="1042">
        <f>'Смета Внутр'!H1210</f>
        <v>0</v>
      </c>
      <c r="J1203" s="1058">
        <f>'Смета Внутр'!I1210</f>
        <v>0</v>
      </c>
    </row>
    <row r="1204" spans="2:10" ht="15" customHeight="1">
      <c r="B1204" s="1042" t="str">
        <f>'Смета Внутр'!B1211</f>
        <v>Монтаж перекрытий из сухой доски</v>
      </c>
      <c r="C1204" s="1042" t="str">
        <f>'Смета Внутр'!C1211</f>
        <v>м2</v>
      </c>
      <c r="D1204" s="1058">
        <f>'Смета Внутр'!D1211</f>
        <v>0</v>
      </c>
      <c r="E1204" s="1042">
        <f>'Смета Внутр'!E1211</f>
        <v>250</v>
      </c>
      <c r="F1204" s="1042">
        <f>'Смета Внутр'!F1211</f>
        <v>0</v>
      </c>
      <c r="G1204" s="1042">
        <f t="shared" si="52"/>
        <v>250</v>
      </c>
      <c r="H1204" s="1042">
        <f>'Смета Внутр'!G1211</f>
        <v>0</v>
      </c>
      <c r="I1204" s="1042">
        <f>'Смета Внутр'!H1211</f>
        <v>0</v>
      </c>
      <c r="J1204" s="1058">
        <f>'Смета Внутр'!I1211</f>
        <v>0</v>
      </c>
    </row>
    <row r="1205" spans="2:10" ht="15" customHeight="1">
      <c r="B1205" s="1042" t="str">
        <f>'Смета Внутр'!B1212</f>
        <v>Монтаж перекрытий из двутавровой балки</v>
      </c>
      <c r="C1205" s="1042" t="str">
        <f>'Смета Внутр'!C1212</f>
        <v>м2</v>
      </c>
      <c r="D1205" s="1058">
        <f>'Смета Внутр'!D1212</f>
        <v>0</v>
      </c>
      <c r="E1205" s="1042">
        <f>'Смета Внутр'!E1212</f>
        <v>300</v>
      </c>
      <c r="F1205" s="1042">
        <f>'Смета Внутр'!F1212</f>
        <v>0</v>
      </c>
      <c r="G1205" s="1042">
        <f t="shared" si="52"/>
        <v>300</v>
      </c>
      <c r="H1205" s="1042">
        <f>'Смета Внутр'!G1212</f>
        <v>0</v>
      </c>
      <c r="I1205" s="1042">
        <f>'Смета Внутр'!H1212</f>
        <v>0</v>
      </c>
      <c r="J1205" s="1058">
        <f>'Смета Внутр'!I1212</f>
        <v>0</v>
      </c>
    </row>
    <row r="1206" spans="2:10" ht="15" customHeight="1">
      <c r="B1206" s="1042" t="str">
        <f>'Смета Внутр'!B1213</f>
        <v>Монтаж перекрестного пола</v>
      </c>
      <c r="C1206" s="1042" t="str">
        <f>'Смета Внутр'!C1213</f>
        <v>м2</v>
      </c>
      <c r="D1206" s="1058">
        <f>'Смета Внутр'!D1213</f>
        <v>0</v>
      </c>
      <c r="E1206" s="1042">
        <f>'Смета Внутр'!E1213</f>
        <v>200</v>
      </c>
      <c r="F1206" s="1042">
        <f>'Смета Внутр'!F1213</f>
        <v>0</v>
      </c>
      <c r="G1206" s="1042">
        <f t="shared" si="52"/>
        <v>200</v>
      </c>
      <c r="H1206" s="1042">
        <f>'Смета Внутр'!G1213</f>
        <v>0</v>
      </c>
      <c r="I1206" s="1042">
        <f>'Смета Внутр'!H1213</f>
        <v>0</v>
      </c>
      <c r="J1206" s="1058">
        <f>'Смета Внутр'!I1213</f>
        <v>0</v>
      </c>
    </row>
    <row r="1207" spans="2:10" ht="15" customHeight="1">
      <c r="B1207" s="3007" t="str">
        <f>'Смета Внутр'!B1214</f>
        <v>Монтаж утеплителя перекрытия</v>
      </c>
      <c r="C1207" s="3007" t="str">
        <f>'Смета Внутр'!C1214</f>
        <v>м2</v>
      </c>
      <c r="D1207" s="3014">
        <f>'Смета Внутр'!D1214</f>
        <v>100</v>
      </c>
      <c r="E1207" s="1042">
        <f>'Смета Внутр'!E1214</f>
        <v>200</v>
      </c>
      <c r="F1207" s="1042">
        <f>'Смета Внутр'!F1214</f>
        <v>0</v>
      </c>
      <c r="G1207" s="3007">
        <f t="shared" si="52"/>
        <v>200</v>
      </c>
      <c r="H1207" s="1042">
        <f>'Смета Внутр'!G1214</f>
        <v>20000</v>
      </c>
      <c r="I1207" s="1042">
        <f>'Смета Внутр'!H1214</f>
        <v>0</v>
      </c>
      <c r="J1207" s="3014">
        <f>'Смета Внутр'!I1214</f>
        <v>0</v>
      </c>
    </row>
    <row r="1208" spans="2:10" ht="15" customHeight="1">
      <c r="B1208" s="3007" t="str">
        <f>'Смета Внутр'!B1215</f>
        <v>Монтаж ветроизоляции перекрытий</v>
      </c>
      <c r="C1208" s="3007" t="str">
        <f>'Смета Внутр'!C1215</f>
        <v>м2</v>
      </c>
      <c r="D1208" s="3014">
        <f>'Смета Внутр'!D1215</f>
        <v>0</v>
      </c>
      <c r="E1208" s="1042">
        <f>'Смета Внутр'!E1215</f>
        <v>100</v>
      </c>
      <c r="F1208" s="1042">
        <f>'Смета Внутр'!F1215</f>
        <v>0</v>
      </c>
      <c r="G1208" s="3007">
        <f t="shared" si="52"/>
        <v>100</v>
      </c>
      <c r="H1208" s="1042">
        <f>'Смета Внутр'!G1215</f>
        <v>0</v>
      </c>
      <c r="I1208" s="1042">
        <f>'Смета Внутр'!H1215</f>
        <v>0</v>
      </c>
      <c r="J1208" s="3014">
        <f>'Смета Внутр'!I1215</f>
        <v>0</v>
      </c>
    </row>
    <row r="1209" spans="2:10" ht="15" customHeight="1">
      <c r="B1209" s="3007" t="str">
        <f>'Смета Внутр'!B1216</f>
        <v>Монтаж пароизоляции перекрытий</v>
      </c>
      <c r="C1209" s="3007" t="str">
        <f>'Смета Внутр'!C1216</f>
        <v>м2</v>
      </c>
      <c r="D1209" s="3014">
        <f>'Смета Внутр'!D1216</f>
        <v>0</v>
      </c>
      <c r="E1209" s="1042">
        <f>'Смета Внутр'!E1216</f>
        <v>100</v>
      </c>
      <c r="F1209" s="1042">
        <f>'Смета Внутр'!F1216</f>
        <v>0</v>
      </c>
      <c r="G1209" s="3007">
        <f t="shared" si="52"/>
        <v>100</v>
      </c>
      <c r="H1209" s="1042">
        <f>'Смета Внутр'!G1216</f>
        <v>0</v>
      </c>
      <c r="I1209" s="1042">
        <f>'Смета Внутр'!H1216</f>
        <v>0</v>
      </c>
      <c r="J1209" s="3014">
        <f>'Смета Внутр'!I1216</f>
        <v>0</v>
      </c>
    </row>
    <row r="1210" spans="2:10" ht="15" customHeight="1">
      <c r="B1210" s="1042" t="str">
        <f>'Смета Внутр'!B1217</f>
        <v>Монтаж плит ЖБИ</v>
      </c>
      <c r="C1210" s="1042" t="str">
        <f>'Смета Внутр'!C1217</f>
        <v>м2</v>
      </c>
      <c r="D1210" s="1058">
        <f>'Смета Внутр'!D1217</f>
        <v>0</v>
      </c>
      <c r="E1210" s="1042">
        <f>'Смета Внутр'!E1217</f>
        <v>200</v>
      </c>
      <c r="F1210" s="1042">
        <f>'Смета Внутр'!F1217</f>
        <v>0</v>
      </c>
      <c r="G1210" s="1042">
        <f t="shared" si="52"/>
        <v>200</v>
      </c>
      <c r="H1210" s="1042">
        <f>'Смета Внутр'!G1217</f>
        <v>0</v>
      </c>
      <c r="I1210" s="1042">
        <f>'Смета Внутр'!H1217</f>
        <v>0</v>
      </c>
      <c r="J1210" s="1058">
        <f>'Смета Внутр'!I1217</f>
        <v>0</v>
      </c>
    </row>
    <row r="1211" spans="2:10" ht="15" customHeight="1">
      <c r="B1211" s="1042" t="str">
        <f>'Смета Внутр'!B1218</f>
        <v>Монтаж опалубки</v>
      </c>
      <c r="C1211" s="1042" t="str">
        <f>'Смета Внутр'!C1218</f>
        <v>м2</v>
      </c>
      <c r="D1211" s="1058">
        <f>'Смета Внутр'!D1218</f>
        <v>0</v>
      </c>
      <c r="E1211" s="1042">
        <f>'Смета Внутр'!E1218</f>
        <v>200</v>
      </c>
      <c r="F1211" s="1042">
        <f>'Смета Внутр'!F1218</f>
        <v>0</v>
      </c>
      <c r="G1211" s="1042">
        <f t="shared" si="52"/>
        <v>200</v>
      </c>
      <c r="H1211" s="1042">
        <f>'Смета Внутр'!G1218</f>
        <v>0</v>
      </c>
      <c r="I1211" s="1042">
        <f>'Смета Внутр'!H1218</f>
        <v>0</v>
      </c>
      <c r="J1211" s="1058">
        <f>'Смета Внутр'!I1218</f>
        <v>0</v>
      </c>
    </row>
    <row r="1212" spans="2:10" ht="15" customHeight="1">
      <c r="B1212" s="1042" t="str">
        <f>'Смета Внутр'!B1219</f>
        <v>Укладка пленки гидроизоляционной</v>
      </c>
      <c r="C1212" s="1042" t="str">
        <f>'Смета Внутр'!C1219</f>
        <v>м2</v>
      </c>
      <c r="D1212" s="1058">
        <f>'Смета Внутр'!D1219</f>
        <v>0</v>
      </c>
      <c r="E1212" s="1042">
        <f>'Смета Внутр'!E1219</f>
        <v>40</v>
      </c>
      <c r="F1212" s="1042">
        <f>'Смета Внутр'!F1219</f>
        <v>0</v>
      </c>
      <c r="G1212" s="1042">
        <f t="shared" si="52"/>
        <v>40</v>
      </c>
      <c r="H1212" s="1042">
        <f>'Смета Внутр'!G1219</f>
        <v>0</v>
      </c>
      <c r="I1212" s="1042">
        <f>'Смета Внутр'!H1219</f>
        <v>0</v>
      </c>
      <c r="J1212" s="1058">
        <f>'Смета Внутр'!I1219</f>
        <v>0</v>
      </c>
    </row>
    <row r="1213" spans="2:10" ht="15" customHeight="1">
      <c r="B1213" s="1042" t="str">
        <f>'Смета Внутр'!B1220</f>
        <v>Армирование перекрытия/плиты</v>
      </c>
      <c r="C1213" s="1042" t="str">
        <f>'Смета Внутр'!C1220</f>
        <v>м2</v>
      </c>
      <c r="D1213" s="1058">
        <f>'Смета Внутр'!D1220</f>
        <v>0</v>
      </c>
      <c r="E1213" s="1042">
        <f>'Смета Внутр'!E1220</f>
        <v>300</v>
      </c>
      <c r="F1213" s="1042">
        <f>'Смета Внутр'!F1220</f>
        <v>0</v>
      </c>
      <c r="G1213" s="1042">
        <f t="shared" si="52"/>
        <v>300</v>
      </c>
      <c r="H1213" s="1042">
        <f>'Смета Внутр'!G1220</f>
        <v>0</v>
      </c>
      <c r="I1213" s="1042">
        <f>'Смета Внутр'!H1220</f>
        <v>0</v>
      </c>
      <c r="J1213" s="1058">
        <f>'Смета Внутр'!I1220</f>
        <v>0</v>
      </c>
    </row>
    <row r="1214" spans="2:10" ht="15" customHeight="1">
      <c r="B1214" s="1042" t="str">
        <f>'Смета Внутр'!B1221</f>
        <v>Заливка бетоном перекрытия/плиты</v>
      </c>
      <c r="C1214" s="1042" t="str">
        <f>'Смета Внутр'!C1221</f>
        <v>м2</v>
      </c>
      <c r="D1214" s="1058">
        <f>'Смета Внутр'!D1221</f>
        <v>0</v>
      </c>
      <c r="E1214" s="1042">
        <f>'Смета Внутр'!E1221</f>
        <v>350</v>
      </c>
      <c r="F1214" s="1042">
        <f>'Смета Внутр'!F1221</f>
        <v>0</v>
      </c>
      <c r="G1214" s="1042">
        <f t="shared" si="52"/>
        <v>350</v>
      </c>
      <c r="H1214" s="1042">
        <f>'Смета Внутр'!G1221</f>
        <v>0</v>
      </c>
      <c r="I1214" s="1042">
        <f>'Смета Внутр'!H1221</f>
        <v>0</v>
      </c>
      <c r="J1214" s="1058">
        <f>'Смета Внутр'!I1221</f>
        <v>0</v>
      </c>
    </row>
    <row r="1215" spans="2:10" ht="15" customHeight="1">
      <c r="B1215" s="1042" t="str">
        <f>'Смета Внутр'!B1222</f>
        <v>Монтаж перекрытий из бруса</v>
      </c>
      <c r="C1215" s="1042" t="str">
        <f>'Смета Внутр'!C1222</f>
        <v>м2</v>
      </c>
      <c r="D1215" s="1058">
        <f>'Смета Внутр'!D1222</f>
        <v>0</v>
      </c>
      <c r="E1215" s="1042">
        <f>'Смета Внутр'!E1222</f>
        <v>300</v>
      </c>
      <c r="F1215" s="1042">
        <f>'Смета Внутр'!F1222</f>
        <v>0</v>
      </c>
      <c r="G1215" s="1042">
        <f t="shared" si="52"/>
        <v>300</v>
      </c>
      <c r="H1215" s="1042">
        <f>'Смета Внутр'!G1222</f>
        <v>0</v>
      </c>
      <c r="I1215" s="1042">
        <f>'Смета Внутр'!H1222</f>
        <v>0</v>
      </c>
      <c r="J1215" s="1058">
        <f>'Смета Внутр'!I1222</f>
        <v>0</v>
      </c>
    </row>
    <row r="1216" spans="2:10" ht="15" customHeight="1">
      <c r="B1216" s="1042" t="str">
        <f>'Смета Внутр'!B1223</f>
        <v>Монтаж перекрытий Сип-панели</v>
      </c>
      <c r="C1216" s="1042" t="str">
        <f>'Смета Внутр'!C1223</f>
        <v>м2</v>
      </c>
      <c r="D1216" s="1058">
        <f>'Смета Внутр'!D1223</f>
        <v>0</v>
      </c>
      <c r="E1216" s="1042">
        <f>'Смета Внутр'!E1223</f>
        <v>400</v>
      </c>
      <c r="F1216" s="1042">
        <f>'Смета Внутр'!F1223</f>
        <v>0</v>
      </c>
      <c r="G1216" s="1042">
        <f t="shared" si="52"/>
        <v>400</v>
      </c>
      <c r="H1216" s="1042">
        <f>'Смета Внутр'!G1223</f>
        <v>0</v>
      </c>
      <c r="I1216" s="1042">
        <f>'Смета Внутр'!H1223</f>
        <v>0</v>
      </c>
      <c r="J1216" s="1058">
        <f>'Смета Внутр'!I1223</f>
        <v>0</v>
      </c>
    </row>
    <row r="1217" spans="2:10" ht="15" customHeight="1">
      <c r="B1217" s="1042" t="str">
        <f>'Смета Внутр'!B1224</f>
        <v>Монтаж перекрытий из сухой доски</v>
      </c>
      <c r="C1217" s="1042" t="str">
        <f>'Смета Внутр'!C1224</f>
        <v>м2</v>
      </c>
      <c r="D1217" s="1058">
        <f>'Смета Внутр'!D1224</f>
        <v>0</v>
      </c>
      <c r="E1217" s="1042">
        <f>'Смета Внутр'!E1224</f>
        <v>250</v>
      </c>
      <c r="F1217" s="1042">
        <f>'Смета Внутр'!F1224</f>
        <v>0</v>
      </c>
      <c r="G1217" s="1042">
        <f t="shared" si="52"/>
        <v>250</v>
      </c>
      <c r="H1217" s="1042">
        <f>'Смета Внутр'!G1224</f>
        <v>0</v>
      </c>
      <c r="I1217" s="1042">
        <f>'Смета Внутр'!H1224</f>
        <v>0</v>
      </c>
      <c r="J1217" s="1058">
        <f>'Смета Внутр'!I1224</f>
        <v>0</v>
      </c>
    </row>
    <row r="1218" spans="2:10" ht="15" customHeight="1">
      <c r="B1218" s="1042" t="str">
        <f>'Смета Внутр'!B1225</f>
        <v>Монтаж перекрытий из двутавровой балки</v>
      </c>
      <c r="C1218" s="1042" t="str">
        <f>'Смета Внутр'!C1225</f>
        <v>м2</v>
      </c>
      <c r="D1218" s="1058">
        <f>'Смета Внутр'!D1225</f>
        <v>0</v>
      </c>
      <c r="E1218" s="1042">
        <f>'Смета Внутр'!E1225</f>
        <v>300</v>
      </c>
      <c r="F1218" s="1042">
        <f>'Смета Внутр'!F1225</f>
        <v>0</v>
      </c>
      <c r="G1218" s="1042">
        <f t="shared" si="52"/>
        <v>300</v>
      </c>
      <c r="H1218" s="1042">
        <f>'Смета Внутр'!G1225</f>
        <v>0</v>
      </c>
      <c r="I1218" s="1042">
        <f>'Смета Внутр'!H1225</f>
        <v>0</v>
      </c>
      <c r="J1218" s="1058">
        <f>'Смета Внутр'!I1225</f>
        <v>0</v>
      </c>
    </row>
    <row r="1219" spans="2:10" ht="15" customHeight="1">
      <c r="B1219" s="3007" t="str">
        <f>'Смета Внутр'!B1226</f>
        <v>Монтаж утеплителя перекрытия</v>
      </c>
      <c r="C1219" s="3007" t="str">
        <f>'Смета Внутр'!C1226</f>
        <v>м2</v>
      </c>
      <c r="D1219" s="3014">
        <f>'Смета Внутр'!D1226</f>
        <v>100</v>
      </c>
      <c r="E1219" s="1042">
        <f>'Смета Внутр'!E1226</f>
        <v>200</v>
      </c>
      <c r="F1219" s="1042">
        <f>'Смета Внутр'!F1226</f>
        <v>0</v>
      </c>
      <c r="G1219" s="3007">
        <f t="shared" si="52"/>
        <v>200</v>
      </c>
      <c r="H1219" s="1042">
        <f>'Смета Внутр'!G1226</f>
        <v>20000</v>
      </c>
      <c r="I1219" s="1042">
        <f>'Смета Внутр'!H1226</f>
        <v>0</v>
      </c>
      <c r="J1219" s="3014">
        <f>'Смета Внутр'!I1226</f>
        <v>0</v>
      </c>
    </row>
    <row r="1220" spans="2:10" ht="15" customHeight="1">
      <c r="B1220" s="3007" t="str">
        <f>'Смета Внутр'!B1227</f>
        <v>Монтаж ветроизоляции перекрытий</v>
      </c>
      <c r="C1220" s="3007" t="str">
        <f>'Смета Внутр'!C1227</f>
        <v>м2</v>
      </c>
      <c r="D1220" s="3014">
        <f>'Смета Внутр'!D1227</f>
        <v>0</v>
      </c>
      <c r="E1220" s="1042">
        <f>'Смета Внутр'!E1227</f>
        <v>100</v>
      </c>
      <c r="F1220" s="1042">
        <f>'Смета Внутр'!F1227</f>
        <v>0</v>
      </c>
      <c r="G1220" s="3007">
        <f t="shared" si="52"/>
        <v>100</v>
      </c>
      <c r="H1220" s="1042">
        <f>'Смета Внутр'!G1227</f>
        <v>0</v>
      </c>
      <c r="I1220" s="1042">
        <f>'Смета Внутр'!H1227</f>
        <v>0</v>
      </c>
      <c r="J1220" s="3014">
        <f>'Смета Внутр'!I1227</f>
        <v>0</v>
      </c>
    </row>
    <row r="1221" spans="2:10" ht="15" customHeight="1">
      <c r="B1221" s="3007" t="str">
        <f>'Смета Внутр'!B1228</f>
        <v>Монтаж пароизоляции перекрытий</v>
      </c>
      <c r="C1221" s="3007" t="str">
        <f>'Смета Внутр'!C1228</f>
        <v>м2</v>
      </c>
      <c r="D1221" s="3014">
        <f>'Смета Внутр'!D1228</f>
        <v>0</v>
      </c>
      <c r="E1221" s="1042">
        <f>'Смета Внутр'!E1228</f>
        <v>100</v>
      </c>
      <c r="F1221" s="1042">
        <f>'Смета Внутр'!F1228</f>
        <v>0</v>
      </c>
      <c r="G1221" s="3007">
        <f t="shared" si="52"/>
        <v>100</v>
      </c>
      <c r="H1221" s="1042">
        <f>'Смета Внутр'!G1228</f>
        <v>0</v>
      </c>
      <c r="I1221" s="1042">
        <f>'Смета Внутр'!H1228</f>
        <v>0</v>
      </c>
      <c r="J1221" s="3014">
        <f>'Смета Внутр'!I1228</f>
        <v>0</v>
      </c>
    </row>
    <row r="1222" spans="2:10" ht="15" customHeight="1">
      <c r="B1222" s="1042" t="str">
        <f>'Смета Внутр'!B1229</f>
        <v>Монтаж плит ЖБИ</v>
      </c>
      <c r="C1222" s="1042" t="str">
        <f>'Смета Внутр'!C1229</f>
        <v>м2</v>
      </c>
      <c r="D1222" s="1058">
        <f>'Смета Внутр'!D1229</f>
        <v>0</v>
      </c>
      <c r="E1222" s="1042">
        <f>'Смета Внутр'!E1229</f>
        <v>200</v>
      </c>
      <c r="F1222" s="1042">
        <f>'Смета Внутр'!F1229</f>
        <v>0</v>
      </c>
      <c r="G1222" s="1042">
        <f t="shared" si="52"/>
        <v>200</v>
      </c>
      <c r="H1222" s="1042">
        <f>'Смета Внутр'!G1229</f>
        <v>0</v>
      </c>
      <c r="I1222" s="1042">
        <f>'Смета Внутр'!H1229</f>
        <v>0</v>
      </c>
      <c r="J1222" s="1058">
        <f>'Смета Внутр'!I1229</f>
        <v>0</v>
      </c>
    </row>
    <row r="1223" spans="2:10" ht="15" customHeight="1">
      <c r="B1223" s="1042" t="str">
        <f>'Смета Внутр'!B1230</f>
        <v>Монтаж опалубки</v>
      </c>
      <c r="C1223" s="1042" t="str">
        <f>'Смета Внутр'!C1230</f>
        <v>м2</v>
      </c>
      <c r="D1223" s="1058">
        <f>'Смета Внутр'!D1230</f>
        <v>0</v>
      </c>
      <c r="E1223" s="1042">
        <f>'Смета Внутр'!E1230</f>
        <v>200</v>
      </c>
      <c r="F1223" s="1042">
        <f>'Смета Внутр'!F1230</f>
        <v>0</v>
      </c>
      <c r="G1223" s="1042">
        <f t="shared" si="52"/>
        <v>200</v>
      </c>
      <c r="H1223" s="1042">
        <f>'Смета Внутр'!G1230</f>
        <v>0</v>
      </c>
      <c r="I1223" s="1042">
        <f>'Смета Внутр'!H1230</f>
        <v>0</v>
      </c>
      <c r="J1223" s="1058">
        <f>'Смета Внутр'!I1230</f>
        <v>0</v>
      </c>
    </row>
    <row r="1224" spans="2:10" ht="15" customHeight="1">
      <c r="B1224" s="1042" t="str">
        <f>'Смета Внутр'!B1231</f>
        <v>Укладка пленки гидроизоляционной</v>
      </c>
      <c r="C1224" s="1042" t="str">
        <f>'Смета Внутр'!C1231</f>
        <v>м2</v>
      </c>
      <c r="D1224" s="1058">
        <f>'Смета Внутр'!D1231</f>
        <v>0</v>
      </c>
      <c r="E1224" s="1042">
        <f>'Смета Внутр'!E1231</f>
        <v>40</v>
      </c>
      <c r="F1224" s="1042">
        <f>'Смета Внутр'!F1231</f>
        <v>0</v>
      </c>
      <c r="G1224" s="1042">
        <f t="shared" si="52"/>
        <v>40</v>
      </c>
      <c r="H1224" s="1042">
        <f>'Смета Внутр'!G1231</f>
        <v>0</v>
      </c>
      <c r="I1224" s="1042">
        <f>'Смета Внутр'!H1231</f>
        <v>0</v>
      </c>
      <c r="J1224" s="1058">
        <f>'Смета Внутр'!I1231</f>
        <v>0</v>
      </c>
    </row>
    <row r="1225" spans="2:10" ht="15" customHeight="1">
      <c r="B1225" s="1042" t="str">
        <f>'Смета Внутр'!B1232</f>
        <v>Армирование перекрытия/плиты</v>
      </c>
      <c r="C1225" s="1042" t="str">
        <f>'Смета Внутр'!C1232</f>
        <v>м2</v>
      </c>
      <c r="D1225" s="1058">
        <f>'Смета Внутр'!D1232</f>
        <v>0</v>
      </c>
      <c r="E1225" s="1042">
        <f>'Смета Внутр'!E1232</f>
        <v>300</v>
      </c>
      <c r="F1225" s="1042">
        <f>'Смета Внутр'!F1232</f>
        <v>0</v>
      </c>
      <c r="G1225" s="1042">
        <f t="shared" si="52"/>
        <v>300</v>
      </c>
      <c r="H1225" s="1042">
        <f>'Смета Внутр'!G1232</f>
        <v>0</v>
      </c>
      <c r="I1225" s="1042">
        <f>'Смета Внутр'!H1232</f>
        <v>0</v>
      </c>
      <c r="J1225" s="1058">
        <f>'Смета Внутр'!I1232</f>
        <v>0</v>
      </c>
    </row>
    <row r="1226" spans="2:10" ht="15" customHeight="1">
      <c r="B1226" s="1042" t="str">
        <f>'Смета Внутр'!B1233</f>
        <v>Заливка бетоном перекрытия/плиты</v>
      </c>
      <c r="C1226" s="1042" t="str">
        <f>'Смета Внутр'!C1233</f>
        <v>м2</v>
      </c>
      <c r="D1226" s="1058">
        <f>'Смета Внутр'!D1233</f>
        <v>0</v>
      </c>
      <c r="E1226" s="1042">
        <f>'Смета Внутр'!E1233</f>
        <v>350</v>
      </c>
      <c r="F1226" s="1042">
        <f>'Смета Внутр'!F1233</f>
        <v>0</v>
      </c>
      <c r="G1226" s="1042">
        <f t="shared" si="52"/>
        <v>350</v>
      </c>
      <c r="H1226" s="1042">
        <f>'Смета Внутр'!G1233</f>
        <v>0</v>
      </c>
      <c r="I1226" s="1042">
        <f>'Смета Внутр'!H1233</f>
        <v>0</v>
      </c>
      <c r="J1226" s="1058">
        <f>'Смета Внутр'!I1233</f>
        <v>0</v>
      </c>
    </row>
    <row r="1227" spans="2:10" ht="15" customHeight="1">
      <c r="B1227" s="1042" t="str">
        <f>'Смета Внутр'!B1234</f>
        <v>Монтаж перекрытий из бруса</v>
      </c>
      <c r="C1227" s="1042" t="str">
        <f>'Смета Внутр'!C1234</f>
        <v>м2</v>
      </c>
      <c r="D1227" s="1058">
        <f>'Смета Внутр'!D1234</f>
        <v>0</v>
      </c>
      <c r="E1227" s="1042">
        <f>'Смета Внутр'!E1234</f>
        <v>300</v>
      </c>
      <c r="F1227" s="1042">
        <f>'Смета Внутр'!F1234</f>
        <v>0</v>
      </c>
      <c r="G1227" s="1042">
        <f t="shared" si="52"/>
        <v>300</v>
      </c>
      <c r="H1227" s="1042">
        <f>'Смета Внутр'!G1234</f>
        <v>0</v>
      </c>
      <c r="I1227" s="1042">
        <f>'Смета Внутр'!H1234</f>
        <v>0</v>
      </c>
      <c r="J1227" s="1058">
        <f>'Смета Внутр'!I1234</f>
        <v>0</v>
      </c>
    </row>
    <row r="1228" spans="2:10" ht="15" customHeight="1">
      <c r="B1228" s="1042" t="str">
        <f>'Смета Внутр'!B1235</f>
        <v>Монтаж перекрытий Сип-панели</v>
      </c>
      <c r="C1228" s="1042" t="str">
        <f>'Смета Внутр'!C1235</f>
        <v>м2</v>
      </c>
      <c r="D1228" s="1058">
        <f>'Смета Внутр'!D1235</f>
        <v>0</v>
      </c>
      <c r="E1228" s="1042">
        <f>'Смета Внутр'!E1235</f>
        <v>400</v>
      </c>
      <c r="F1228" s="1042">
        <f>'Смета Внутр'!F1235</f>
        <v>0</v>
      </c>
      <c r="G1228" s="1042">
        <f t="shared" si="52"/>
        <v>400</v>
      </c>
      <c r="H1228" s="1042">
        <f>'Смета Внутр'!G1235</f>
        <v>0</v>
      </c>
      <c r="I1228" s="1042">
        <f>'Смета Внутр'!H1235</f>
        <v>0</v>
      </c>
      <c r="J1228" s="1058">
        <f>'Смета Внутр'!I1235</f>
        <v>0</v>
      </c>
    </row>
    <row r="1229" spans="2:10" ht="15" customHeight="1">
      <c r="B1229" s="1042" t="str">
        <f>'Смета Внутр'!B1236</f>
        <v>Монтаж перекрытий из сухой доски</v>
      </c>
      <c r="C1229" s="1042" t="str">
        <f>'Смета Внутр'!C1236</f>
        <v>м2</v>
      </c>
      <c r="D1229" s="1058">
        <f>'Смета Внутр'!D1236</f>
        <v>0</v>
      </c>
      <c r="E1229" s="1042">
        <f>'Смета Внутр'!E1236</f>
        <v>250</v>
      </c>
      <c r="F1229" s="1042">
        <f>'Смета Внутр'!F1236</f>
        <v>0</v>
      </c>
      <c r="G1229" s="1042">
        <f t="shared" si="52"/>
        <v>250</v>
      </c>
      <c r="H1229" s="1042">
        <f>'Смета Внутр'!G1236</f>
        <v>0</v>
      </c>
      <c r="I1229" s="1042">
        <f>'Смета Внутр'!H1236</f>
        <v>0</v>
      </c>
      <c r="J1229" s="1058">
        <f>'Смета Внутр'!I1236</f>
        <v>0</v>
      </c>
    </row>
    <row r="1230" spans="2:10" ht="15" customHeight="1">
      <c r="B1230" s="1042" t="str">
        <f>'Смета Внутр'!B1237</f>
        <v>Монтаж перекрытий из двутавровой балки</v>
      </c>
      <c r="C1230" s="1042" t="str">
        <f>'Смета Внутр'!C1237</f>
        <v>м2</v>
      </c>
      <c r="D1230" s="1058">
        <f>'Смета Внутр'!D1237</f>
        <v>0</v>
      </c>
      <c r="E1230" s="1042">
        <f>'Смета Внутр'!E1237</f>
        <v>300</v>
      </c>
      <c r="F1230" s="1042">
        <f>'Смета Внутр'!F1237</f>
        <v>0</v>
      </c>
      <c r="G1230" s="1042">
        <f t="shared" si="52"/>
        <v>300</v>
      </c>
      <c r="H1230" s="1042">
        <f>'Смета Внутр'!G1237</f>
        <v>0</v>
      </c>
      <c r="I1230" s="1042">
        <f>'Смета Внутр'!H1237</f>
        <v>0</v>
      </c>
      <c r="J1230" s="1058">
        <f>'Смета Внутр'!I1237</f>
        <v>0</v>
      </c>
    </row>
    <row r="1231" spans="2:10" ht="15" customHeight="1">
      <c r="B1231" s="1042" t="str">
        <f>'Смета Внутр'!B1238</f>
        <v>Монтаж утеплителя перекрытия</v>
      </c>
      <c r="C1231" s="1042" t="str">
        <f>'Смета Внутр'!C1238</f>
        <v>м2</v>
      </c>
      <c r="D1231" s="1058">
        <f>'Смета Внутр'!D1238</f>
        <v>0</v>
      </c>
      <c r="E1231" s="1042">
        <f>'Смета Внутр'!E1238</f>
        <v>200</v>
      </c>
      <c r="F1231" s="1042">
        <f>'Смета Внутр'!F1238</f>
        <v>0</v>
      </c>
      <c r="G1231" s="1042">
        <f t="shared" si="52"/>
        <v>200</v>
      </c>
      <c r="H1231" s="1042">
        <f>'Смета Внутр'!G1238</f>
        <v>0</v>
      </c>
      <c r="I1231" s="1042">
        <f>'Смета Внутр'!H1238</f>
        <v>0</v>
      </c>
      <c r="J1231" s="1058">
        <f>'Смета Внутр'!I1238</f>
        <v>0</v>
      </c>
    </row>
    <row r="1232" spans="2:10" ht="15" customHeight="1">
      <c r="B1232" s="1042" t="str">
        <f>'Смета Внутр'!B1239</f>
        <v>Монтаж ветроизоляции перекрытий</v>
      </c>
      <c r="C1232" s="1042" t="str">
        <f>'Смета Внутр'!C1239</f>
        <v>м2</v>
      </c>
      <c r="D1232" s="1058">
        <f>'Смета Внутр'!D1239</f>
        <v>0</v>
      </c>
      <c r="E1232" s="1042">
        <f>'Смета Внутр'!E1239</f>
        <v>100</v>
      </c>
      <c r="F1232" s="1042">
        <f>'Смета Внутр'!F1239</f>
        <v>0</v>
      </c>
      <c r="G1232" s="1042">
        <f t="shared" si="52"/>
        <v>100</v>
      </c>
      <c r="H1232" s="1042">
        <f>'Смета Внутр'!G1239</f>
        <v>0</v>
      </c>
      <c r="I1232" s="1042">
        <f>'Смета Внутр'!H1239</f>
        <v>0</v>
      </c>
      <c r="J1232" s="1058">
        <f>'Смета Внутр'!I1239</f>
        <v>0</v>
      </c>
    </row>
    <row r="1233" spans="2:10" ht="15" customHeight="1">
      <c r="B1233" s="1042" t="str">
        <f>'Смета Внутр'!B1240</f>
        <v>Монтаж пароизоляции перекрытий</v>
      </c>
      <c r="C1233" s="1042" t="str">
        <f>'Смета Внутр'!C1240</f>
        <v>м2</v>
      </c>
      <c r="D1233" s="1058">
        <f>'Смета Внутр'!D1240</f>
        <v>0</v>
      </c>
      <c r="E1233" s="1042">
        <f>'Смета Внутр'!E1240</f>
        <v>100</v>
      </c>
      <c r="F1233" s="1042">
        <f>'Смета Внутр'!F1240</f>
        <v>0</v>
      </c>
      <c r="G1233" s="1042">
        <f t="shared" si="52"/>
        <v>100</v>
      </c>
      <c r="H1233" s="1042">
        <f>'Смета Внутр'!G1240</f>
        <v>0</v>
      </c>
      <c r="I1233" s="1042">
        <f>'Смета Внутр'!H1240</f>
        <v>0</v>
      </c>
      <c r="J1233" s="1058">
        <f>'Смета Внутр'!I1240</f>
        <v>0</v>
      </c>
    </row>
    <row r="1234" spans="2:10" ht="15" customHeight="1">
      <c r="B1234" s="1042" t="str">
        <f>'Смета Внутр'!B1241</f>
        <v>Монтаж перекрестного пола</v>
      </c>
      <c r="C1234" s="1042" t="str">
        <f>'Смета Внутр'!C1241</f>
        <v>м2</v>
      </c>
      <c r="D1234" s="1058">
        <f>'Смета Внутр'!D1241</f>
        <v>0</v>
      </c>
      <c r="E1234" s="1042">
        <f>'Смета Внутр'!E1241</f>
        <v>200</v>
      </c>
      <c r="F1234" s="1042">
        <f>'Смета Внутр'!F1241</f>
        <v>0</v>
      </c>
      <c r="G1234" s="1042">
        <f t="shared" si="52"/>
        <v>200</v>
      </c>
      <c r="H1234" s="1042">
        <f>'Смета Внутр'!G1241</f>
        <v>0</v>
      </c>
      <c r="I1234" s="1042">
        <f>'Смета Внутр'!H1241</f>
        <v>0</v>
      </c>
      <c r="J1234" s="1058">
        <f>'Смета Внутр'!I1241</f>
        <v>0</v>
      </c>
    </row>
    <row r="1235" spans="2:10" ht="15" customHeight="1">
      <c r="B1235" s="3007" t="str">
        <f>'Смета Внутр'!B1242</f>
        <v>Монтаж чернового пола 0 этажа</v>
      </c>
      <c r="C1235" s="3007" t="str">
        <f>'Смета Внутр'!C1242</f>
        <v>м2</v>
      </c>
      <c r="D1235" s="3014">
        <f>'Смета Внутр'!D1242</f>
        <v>0</v>
      </c>
      <c r="E1235" s="1042">
        <f>'Смета Внутр'!E1242</f>
        <v>150</v>
      </c>
      <c r="F1235" s="1042">
        <f>'Смета Внутр'!F1242</f>
        <v>0</v>
      </c>
      <c r="G1235" s="3007">
        <f t="shared" si="52"/>
        <v>150</v>
      </c>
      <c r="H1235" s="1042">
        <f>'Смета Внутр'!G1242</f>
        <v>0</v>
      </c>
      <c r="I1235" s="1042">
        <f>'Смета Внутр'!H1242</f>
        <v>0</v>
      </c>
      <c r="J1235" s="3014">
        <f>'Смета Внутр'!I1242</f>
        <v>0</v>
      </c>
    </row>
    <row r="1236" spans="2:10" ht="15" customHeight="1">
      <c r="B1236" s="3007" t="str">
        <f>'Смета Внутр'!B1243</f>
        <v>Монтаж чернового пола 1 этажа</v>
      </c>
      <c r="C1236" s="3007" t="str">
        <f>'Смета Внутр'!C1243</f>
        <v>м2</v>
      </c>
      <c r="D1236" s="3014">
        <f>'Смета Внутр'!D1243</f>
        <v>0</v>
      </c>
      <c r="E1236" s="1042">
        <f>'Смета Внутр'!E1243</f>
        <v>150</v>
      </c>
      <c r="F1236" s="1042">
        <f>'Смета Внутр'!F1243</f>
        <v>0</v>
      </c>
      <c r="G1236" s="3007">
        <f t="shared" si="52"/>
        <v>150</v>
      </c>
      <c r="H1236" s="1042">
        <f>'Смета Внутр'!G1243</f>
        <v>0</v>
      </c>
      <c r="I1236" s="1042">
        <f>'Смета Внутр'!H1243</f>
        <v>0</v>
      </c>
      <c r="J1236" s="3014">
        <f>'Смета Внутр'!I1243</f>
        <v>0</v>
      </c>
    </row>
    <row r="1237" spans="2:10" ht="15" customHeight="1">
      <c r="B1237" s="1042" t="str">
        <f>'Смета Внутр'!B1244</f>
        <v>Монтаж чернового пола 2 этажа</v>
      </c>
      <c r="C1237" s="1042" t="str">
        <f>'Смета Внутр'!C1244</f>
        <v>м2</v>
      </c>
      <c r="D1237" s="1058">
        <f>'Смета Внутр'!D1244</f>
        <v>0</v>
      </c>
      <c r="E1237" s="1042">
        <f>'Смета Внутр'!E1244</f>
        <v>150</v>
      </c>
      <c r="F1237" s="1042">
        <f>'Смета Внутр'!F1244</f>
        <v>0</v>
      </c>
      <c r="G1237" s="1042">
        <f t="shared" si="52"/>
        <v>150</v>
      </c>
      <c r="H1237" s="1042">
        <f>'Смета Внутр'!G1244</f>
        <v>0</v>
      </c>
      <c r="I1237" s="1042">
        <f>'Смета Внутр'!H1244</f>
        <v>0</v>
      </c>
      <c r="J1237" s="1058">
        <f>'Смета Внутр'!I1244</f>
        <v>0</v>
      </c>
    </row>
    <row r="1238" spans="2:10" ht="15" customHeight="1">
      <c r="B1238" s="1042" t="str">
        <f>'Смета Внутр'!B1245</f>
        <v>Монтаж перекрытий ЛСТК</v>
      </c>
      <c r="C1238" s="1042">
        <f>'Смета Внутр'!C1245</f>
        <v>0</v>
      </c>
      <c r="D1238" s="1058">
        <f>'Смета Внутр'!D1245</f>
        <v>0</v>
      </c>
      <c r="E1238" s="1042">
        <f>'Смета Внутр'!E1245</f>
        <v>500</v>
      </c>
      <c r="F1238" s="1042">
        <f>'Смета Внутр'!F1245</f>
        <v>0</v>
      </c>
      <c r="G1238" s="1042">
        <f t="shared" si="52"/>
        <v>500</v>
      </c>
      <c r="H1238" s="1042">
        <f>'Смета Внутр'!G1245</f>
        <v>0</v>
      </c>
      <c r="I1238" s="1042">
        <f>'Смета Внутр'!H1245</f>
        <v>0</v>
      </c>
      <c r="J1238" s="1058">
        <f>'Смета Внутр'!I1245</f>
        <v>0</v>
      </c>
    </row>
    <row r="1239" spans="2:10" ht="15" customHeight="1">
      <c r="B1239" s="1042" t="str">
        <f>'Смета Внутр'!B1246</f>
        <v>Монтаж перекрытий ЛСТК</v>
      </c>
      <c r="C1239" s="1042">
        <f>'Смета Внутр'!C1246</f>
        <v>0</v>
      </c>
      <c r="D1239" s="1058">
        <f>'Смета Внутр'!D1246</f>
        <v>0</v>
      </c>
      <c r="E1239" s="1042">
        <f>'Смета Внутр'!E1246</f>
        <v>500</v>
      </c>
      <c r="F1239" s="1042">
        <f>'Смета Внутр'!F1246</f>
        <v>0</v>
      </c>
      <c r="G1239" s="1042">
        <f t="shared" si="52"/>
        <v>500</v>
      </c>
      <c r="H1239" s="1042">
        <f>'Смета Внутр'!G1246</f>
        <v>0</v>
      </c>
      <c r="I1239" s="1042">
        <f>'Смета Внутр'!H1246</f>
        <v>0</v>
      </c>
      <c r="J1239" s="1058">
        <f>'Смета Внутр'!I1246</f>
        <v>0</v>
      </c>
    </row>
    <row r="1240" spans="2:10" ht="15" customHeight="1">
      <c r="B1240" s="1042" t="str">
        <f>'Смета Внутр'!B1247</f>
        <v>Монтаж перекрытий ЛСТК</v>
      </c>
      <c r="C1240" s="1042">
        <f>'Смета Внутр'!C1247</f>
        <v>0</v>
      </c>
      <c r="D1240" s="1058">
        <f>'Смета Внутр'!D1247</f>
        <v>0</v>
      </c>
      <c r="E1240" s="1042">
        <f>'Смета Внутр'!E1247</f>
        <v>500</v>
      </c>
      <c r="F1240" s="1042">
        <f>'Смета Внутр'!F1247</f>
        <v>0</v>
      </c>
      <c r="G1240" s="1042">
        <f t="shared" si="52"/>
        <v>500</v>
      </c>
      <c r="H1240" s="1042">
        <f>'Смета Внутр'!G1247</f>
        <v>0</v>
      </c>
      <c r="I1240" s="1042">
        <f>'Смета Внутр'!H1247</f>
        <v>0</v>
      </c>
      <c r="J1240" s="1058">
        <f>'Смета Внутр'!I1247</f>
        <v>0</v>
      </c>
    </row>
    <row r="1241" spans="2:10" ht="15" customHeight="1">
      <c r="B1241" s="3311" t="str">
        <f>'Смета Внутр'!B1248</f>
        <v>Итого работы</v>
      </c>
      <c r="C1241" s="3311"/>
      <c r="D1241" s="3311"/>
      <c r="E1241" s="3311"/>
      <c r="F1241" s="3311"/>
      <c r="G1241" s="3311"/>
      <c r="H1241" s="1042">
        <f>'Смета Внутр'!G1248</f>
        <v>0</v>
      </c>
      <c r="I1241" s="1042">
        <f>'Смета Внутр'!H1248</f>
        <v>0</v>
      </c>
      <c r="J1241" s="3014">
        <f>'Смета Внутр'!I1248</f>
        <v>0</v>
      </c>
    </row>
    <row r="1242" spans="2:10" ht="15" customHeight="1">
      <c r="B1242" s="3329" t="str">
        <f>'Смета Внутр'!B1249</f>
        <v>Веранда/терасса деревянная</v>
      </c>
      <c r="C1242" s="3329"/>
      <c r="D1242" s="3329"/>
      <c r="H1242">
        <f>'Смета Внутр'!G1249</f>
        <v>0</v>
      </c>
      <c r="I1242">
        <f>'Смета Внутр'!H1249</f>
        <v>0</v>
      </c>
      <c r="J1242" s="3027">
        <f>'Смета Внутр'!I1249</f>
        <v>0</v>
      </c>
    </row>
    <row r="1243" spans="2:10" ht="15" customHeight="1">
      <c r="B1243" s="3002" t="str">
        <f>'Смета Внутр'!B1250</f>
        <v>Материалы</v>
      </c>
      <c r="D1243" s="1167"/>
      <c r="H1243">
        <f>'Смета Внутр'!G1250</f>
        <v>0</v>
      </c>
      <c r="I1243">
        <f>'Смета Внутр'!H1250</f>
        <v>0</v>
      </c>
      <c r="J1243" s="3027">
        <f>'Смета Внутр'!I1250</f>
        <v>0</v>
      </c>
    </row>
    <row r="1244" spans="2:10" ht="15" customHeight="1">
      <c r="B1244" s="1042" t="str">
        <f>'Смета Внутр'!B1251</f>
        <v>Листв. влаж, 200*200мм</v>
      </c>
      <c r="C1244" s="1042" t="str">
        <f>'Смета Внутр'!C1251</f>
        <v>м3</v>
      </c>
      <c r="D1244" s="1058">
        <f>'Смета Внутр'!D1251</f>
        <v>0</v>
      </c>
      <c r="E1244" s="1042">
        <f>'Смета Внутр'!E1251</f>
        <v>9000</v>
      </c>
      <c r="F1244" s="1042">
        <f>'Смета Внутр'!F1251</f>
        <v>0</v>
      </c>
      <c r="G1244" s="1042">
        <f t="shared" ref="G1244:G1269" si="53">IF(E1244&gt;F1244,E1244,F1244)</f>
        <v>9000</v>
      </c>
      <c r="H1244" s="1042">
        <f>'Смета Внутр'!G1251</f>
        <v>0</v>
      </c>
      <c r="I1244" s="1042">
        <f>'Смета Внутр'!H1251</f>
        <v>0</v>
      </c>
      <c r="J1244" s="1058">
        <f>'Смета Внутр'!I1251</f>
        <v>0</v>
      </c>
    </row>
    <row r="1245" spans="2:10" ht="15" customHeight="1">
      <c r="B1245" s="1042" t="str">
        <f>'Смета Внутр'!B1252</f>
        <v>Листв. влаж, 200*150мм</v>
      </c>
      <c r="C1245" s="1042" t="str">
        <f>'Смета Внутр'!C1252</f>
        <v>м3</v>
      </c>
      <c r="D1245" s="1058">
        <f>'Смета Внутр'!D1252</f>
        <v>0.54</v>
      </c>
      <c r="E1245" s="1042">
        <f>'Смета Внутр'!E1252</f>
        <v>8500</v>
      </c>
      <c r="F1245" s="1042">
        <f>'Смета Внутр'!F1252</f>
        <v>0</v>
      </c>
      <c r="G1245" s="1042">
        <f t="shared" si="53"/>
        <v>8500</v>
      </c>
      <c r="H1245" s="1042">
        <f>'Смета Внутр'!G1252</f>
        <v>4590</v>
      </c>
      <c r="I1245" s="1042">
        <f>'Смета Внутр'!H1252</f>
        <v>0</v>
      </c>
      <c r="J1245" s="1058">
        <f>'Смета Внутр'!I1252</f>
        <v>0</v>
      </c>
    </row>
    <row r="1246" spans="2:10" ht="15" customHeight="1">
      <c r="B1246" s="1042" t="str">
        <f>'Смета Внутр'!B1253</f>
        <v>Рубероид</v>
      </c>
      <c r="C1246" s="1042" t="str">
        <f>'Смета Внутр'!C1253</f>
        <v>м.п.</v>
      </c>
      <c r="D1246" s="1058">
        <f>'Смета Внутр'!D1253</f>
        <v>0</v>
      </c>
      <c r="E1246" s="1042">
        <f>'Смета Внутр'!E1253</f>
        <v>30</v>
      </c>
      <c r="F1246" s="1042">
        <f>'Смета Внутр'!F1253</f>
        <v>0</v>
      </c>
      <c r="G1246" s="1042">
        <f t="shared" si="53"/>
        <v>30</v>
      </c>
      <c r="H1246" s="1042">
        <f>'Смета Внутр'!G1253</f>
        <v>0</v>
      </c>
      <c r="I1246" s="1042">
        <f>'Смета Внутр'!H1253</f>
        <v>0</v>
      </c>
      <c r="J1246" s="1058">
        <f>'Смета Внутр'!I1253</f>
        <v>0</v>
      </c>
    </row>
    <row r="1247" spans="2:10" ht="15" customHeight="1">
      <c r="B1247" s="1042" t="str">
        <f>'Смета Внутр'!B1254</f>
        <v>Листв. влаж, 200*150мм</v>
      </c>
      <c r="C1247" s="1042" t="str">
        <f>'Смета Внутр'!C1254</f>
        <v>м3</v>
      </c>
      <c r="D1247" s="1058">
        <f>'Смета Внутр'!D1254</f>
        <v>0</v>
      </c>
      <c r="E1247" s="1042">
        <f>'Смета Внутр'!E1254</f>
        <v>8500</v>
      </c>
      <c r="F1247" s="1042">
        <f>'Смета Внутр'!F1254</f>
        <v>0</v>
      </c>
      <c r="G1247" s="1042">
        <f t="shared" si="53"/>
        <v>8500</v>
      </c>
      <c r="H1247" s="1042">
        <f>'Смета Внутр'!G1254</f>
        <v>0</v>
      </c>
      <c r="I1247" s="1042">
        <f>'Смета Внутр'!H1254</f>
        <v>0</v>
      </c>
      <c r="J1247" s="1058">
        <f>'Смета Внутр'!I1254</f>
        <v>0</v>
      </c>
    </row>
    <row r="1248" spans="2:10" ht="15" customHeight="1">
      <c r="B1248" s="1042" t="str">
        <f>'Смета Внутр'!B1255</f>
        <v>Проф.брус вл. 200*150мм</v>
      </c>
      <c r="C1248" s="1042" t="str">
        <f>'Смета Внутр'!C1255</f>
        <v>м3</v>
      </c>
      <c r="D1248" s="1058">
        <f>'Смета Внутр'!D1255</f>
        <v>0.52649999999999997</v>
      </c>
      <c r="E1248" s="1042">
        <f>'Смета Внутр'!E1255</f>
        <v>9300</v>
      </c>
      <c r="F1248" s="1042">
        <f>'Смета Внутр'!F1255</f>
        <v>0</v>
      </c>
      <c r="G1248" s="1042">
        <f t="shared" si="53"/>
        <v>9300</v>
      </c>
      <c r="H1248" s="1042">
        <f>'Смета Внутр'!G1255</f>
        <v>4896.45</v>
      </c>
      <c r="I1248" s="1042">
        <f>'Смета Внутр'!H1255</f>
        <v>0</v>
      </c>
      <c r="J1248" s="1058">
        <f>'Смета Внутр'!I1255</f>
        <v>0</v>
      </c>
    </row>
    <row r="1249" spans="2:10" ht="15" customHeight="1">
      <c r="B1249" s="1042" t="str">
        <f>'Смета Внутр'!B1256</f>
        <v>Брус клееный проф 2 ламель кедр Шир. 240 выс. 140</v>
      </c>
      <c r="C1249" s="1042" t="str">
        <f>'Смета Внутр'!C1256</f>
        <v>м3</v>
      </c>
      <c r="D1249" s="1058">
        <f>'Смета Внутр'!D1256</f>
        <v>0.30240000000000006</v>
      </c>
      <c r="E1249" s="1042">
        <f>'Смета Внутр'!E1256</f>
        <v>24000</v>
      </c>
      <c r="F1249" s="1042">
        <f>'Смета Внутр'!F1256</f>
        <v>0</v>
      </c>
      <c r="G1249" s="1042">
        <f t="shared" si="53"/>
        <v>24000</v>
      </c>
      <c r="H1249" s="1042">
        <f>'Смета Внутр'!G1256</f>
        <v>7257.6000000000013</v>
      </c>
      <c r="I1249" s="1042">
        <f>'Смета Внутр'!H1256</f>
        <v>0</v>
      </c>
      <c r="J1249" s="1058">
        <f>'Смета Внутр'!I1256</f>
        <v>0</v>
      </c>
    </row>
    <row r="1250" spans="2:10" ht="15" customHeight="1">
      <c r="B1250" s="1042" t="str">
        <f>'Смета Внутр'!B1257</f>
        <v>Брус клееный проф 1 ламель кедр Шир. 240 выс. 140</v>
      </c>
      <c r="C1250" s="1042" t="str">
        <f>'Смета Внутр'!C1257</f>
        <v>м3</v>
      </c>
      <c r="D1250" s="1058">
        <f>'Смета Внутр'!D1257</f>
        <v>1.0080000000000002</v>
      </c>
      <c r="E1250" s="1042">
        <f>'Смета Внутр'!E1257</f>
        <v>24000</v>
      </c>
      <c r="F1250" s="1042">
        <f>'Смета Внутр'!F1257</f>
        <v>0</v>
      </c>
      <c r="G1250" s="1042">
        <f t="shared" si="53"/>
        <v>24000</v>
      </c>
      <c r="H1250" s="1042">
        <f>'Смета Внутр'!G1257</f>
        <v>24192.000000000007</v>
      </c>
      <c r="I1250" s="1042">
        <f>'Смета Внутр'!H1257</f>
        <v>0</v>
      </c>
      <c r="J1250" s="1058">
        <f>'Смета Внутр'!I1257</f>
        <v>0</v>
      </c>
    </row>
    <row r="1251" spans="2:10" ht="15" customHeight="1">
      <c r="B1251" s="1042" t="str">
        <f>'Смета Внутр'!B1258</f>
        <v>Проф.брус вл. 200*180мм</v>
      </c>
      <c r="C1251" s="1042" t="str">
        <f>'Смета Внутр'!C1258</f>
        <v>м3</v>
      </c>
      <c r="D1251" s="1058">
        <f>'Смета Внутр'!D1258</f>
        <v>0.504</v>
      </c>
      <c r="E1251" s="1042">
        <f>'Смета Внутр'!E1258</f>
        <v>9300</v>
      </c>
      <c r="F1251" s="1042">
        <f>'Смета Внутр'!F1258</f>
        <v>0</v>
      </c>
      <c r="G1251" s="1042">
        <f t="shared" si="53"/>
        <v>9300</v>
      </c>
      <c r="H1251" s="1042">
        <f>'Смета Внутр'!G1258</f>
        <v>4687.2</v>
      </c>
      <c r="I1251" s="1042">
        <f>'Смета Внутр'!H1258</f>
        <v>0</v>
      </c>
      <c r="J1251" s="1058">
        <f>'Смета Внутр'!I1258</f>
        <v>0</v>
      </c>
    </row>
    <row r="1252" spans="2:10" ht="15" customHeight="1">
      <c r="B1252" s="1042" t="str">
        <f>'Смета Внутр'!B1259</f>
        <v>Нет накладки</v>
      </c>
      <c r="C1252" s="1042" t="str">
        <f>'Смета Внутр'!C1259</f>
        <v>м.п.</v>
      </c>
      <c r="D1252" s="1058">
        <f>'Смета Внутр'!D1259</f>
        <v>9</v>
      </c>
      <c r="E1252" s="1042">
        <f>'Смета Внутр'!E1259</f>
        <v>0</v>
      </c>
      <c r="F1252" s="1042">
        <f>'Смета Внутр'!F1259</f>
        <v>0</v>
      </c>
      <c r="G1252" s="1042">
        <f t="shared" si="53"/>
        <v>0</v>
      </c>
      <c r="H1252" s="1042">
        <f>'Смета Внутр'!G1259</f>
        <v>0</v>
      </c>
      <c r="I1252" s="1042">
        <f>'Смета Внутр'!H1259</f>
        <v>0</v>
      </c>
      <c r="J1252" s="1058">
        <f>'Смета Внутр'!I1259</f>
        <v>0</v>
      </c>
    </row>
    <row r="1253" spans="2:10" ht="15" customHeight="1">
      <c r="B1253" s="1042" t="str">
        <f>'Смета Внутр'!B1260</f>
        <v>Гидрокомпенсатор</v>
      </c>
      <c r="C1253" s="1042" t="str">
        <f>'Смета Внутр'!C1260</f>
        <v>шт</v>
      </c>
      <c r="D1253" s="1058">
        <f>'Смета Внутр'!D1260</f>
        <v>9</v>
      </c>
      <c r="E1253" s="1042">
        <f>'Смета Внутр'!E1260</f>
        <v>450</v>
      </c>
      <c r="F1253" s="1042">
        <f>'Смета Внутр'!F1260</f>
        <v>0</v>
      </c>
      <c r="G1253" s="1042">
        <f t="shared" si="53"/>
        <v>450</v>
      </c>
      <c r="H1253" s="1042">
        <f>'Смета Внутр'!G1260</f>
        <v>4050</v>
      </c>
      <c r="I1253" s="1042">
        <f>'Смета Внутр'!H1260</f>
        <v>0</v>
      </c>
      <c r="J1253" s="1058">
        <f>'Смета Внутр'!I1260</f>
        <v>0</v>
      </c>
    </row>
    <row r="1254" spans="2:10" ht="15" customHeight="1">
      <c r="B1254" s="1042" t="str">
        <f>'Смета Внутр'!B1261</f>
        <v xml:space="preserve">Уголок усиленный 90х70х55х2,5        </v>
      </c>
      <c r="C1254" s="1042" t="str">
        <f>'Смета Внутр'!C1261</f>
        <v>шт</v>
      </c>
      <c r="D1254" s="1058">
        <f>'Смета Внутр'!D1261</f>
        <v>0</v>
      </c>
      <c r="E1254" s="1042">
        <f>'Смета Внутр'!E1261</f>
        <v>30</v>
      </c>
      <c r="F1254" s="1042">
        <f>'Смета Внутр'!F1261</f>
        <v>0</v>
      </c>
      <c r="G1254" s="1042">
        <f t="shared" si="53"/>
        <v>30</v>
      </c>
      <c r="H1254" s="1042">
        <f>'Смета Внутр'!G1261</f>
        <v>0</v>
      </c>
      <c r="I1254" s="1042">
        <f>'Смета Внутр'!H1261</f>
        <v>0</v>
      </c>
      <c r="J1254" s="1058">
        <f>'Смета Внутр'!I1261</f>
        <v>0</v>
      </c>
    </row>
    <row r="1255" spans="2:10" ht="15" customHeight="1">
      <c r="B1255" s="1042" t="str">
        <f>'Смета Внутр'!B1262</f>
        <v>Нет уголков</v>
      </c>
      <c r="C1255" s="1042" t="str">
        <f>'Смета Внутр'!C1262</f>
        <v>шт</v>
      </c>
      <c r="D1255" s="1058">
        <f>'Смета Внутр'!D1262</f>
        <v>0</v>
      </c>
      <c r="E1255" s="1042">
        <f>'Смета Внутр'!E1262</f>
        <v>0</v>
      </c>
      <c r="F1255" s="1042">
        <f>'Смета Внутр'!F1262</f>
        <v>0</v>
      </c>
      <c r="G1255" s="1042">
        <f t="shared" si="53"/>
        <v>0</v>
      </c>
      <c r="H1255" s="1042">
        <f>'Смета Внутр'!G1262</f>
        <v>0</v>
      </c>
      <c r="I1255" s="1042">
        <f>'Смета Внутр'!H1262</f>
        <v>0</v>
      </c>
      <c r="J1255" s="1058">
        <f>'Смета Внутр'!I1262</f>
        <v>0</v>
      </c>
    </row>
    <row r="1256" spans="2:10" ht="15" customHeight="1">
      <c r="B1256" s="1042" t="str">
        <f>'Смета Внутр'!B1263</f>
        <v xml:space="preserve">Пластина соеденительная 100х240х2           </v>
      </c>
      <c r="C1256" s="1042" t="str">
        <f>'Смета Внутр'!C1263</f>
        <v>шт</v>
      </c>
      <c r="D1256" s="1058">
        <f>'Смета Внутр'!D1263</f>
        <v>0</v>
      </c>
      <c r="E1256" s="1042">
        <f>'Смета Внутр'!E1263</f>
        <v>31.54</v>
      </c>
      <c r="F1256" s="1042">
        <f>'Смета Внутр'!F1263</f>
        <v>0</v>
      </c>
      <c r="G1256" s="1042">
        <f t="shared" si="53"/>
        <v>31.54</v>
      </c>
      <c r="H1256" s="1042">
        <f>'Смета Внутр'!G1263</f>
        <v>0</v>
      </c>
      <c r="I1256" s="1042">
        <f>'Смета Внутр'!H1263</f>
        <v>0</v>
      </c>
      <c r="J1256" s="1058">
        <f>'Смета Внутр'!I1263</f>
        <v>0</v>
      </c>
    </row>
    <row r="1257" spans="2:10" ht="15" customHeight="1">
      <c r="B1257" s="1042" t="str">
        <f>'Смета Внутр'!B1264</f>
        <v>Нет пластин</v>
      </c>
      <c r="C1257" s="1042" t="str">
        <f>'Смета Внутр'!C1264</f>
        <v>шт</v>
      </c>
      <c r="D1257" s="1058">
        <f>'Смета Внутр'!D1264</f>
        <v>0</v>
      </c>
      <c r="E1257" s="1042">
        <f>'Смета Внутр'!E1264</f>
        <v>0</v>
      </c>
      <c r="F1257" s="1042">
        <f>'Смета Внутр'!F1264</f>
        <v>0</v>
      </c>
      <c r="G1257" s="1042">
        <f t="shared" si="53"/>
        <v>0</v>
      </c>
      <c r="H1257" s="1042">
        <f>'Смета Внутр'!G1264</f>
        <v>0</v>
      </c>
      <c r="I1257" s="1042">
        <f>'Смета Внутр'!H1264</f>
        <v>0</v>
      </c>
      <c r="J1257" s="1058">
        <f>'Смета Внутр'!I1264</f>
        <v>0</v>
      </c>
    </row>
    <row r="1258" spans="2:10" ht="15" customHeight="1">
      <c r="B1258" s="1042" t="str">
        <f>'Смета Внутр'!B1265</f>
        <v xml:space="preserve">Болты анкерные с гайкой 12,0 x 100          </v>
      </c>
      <c r="C1258" s="1042" t="str">
        <f>'Смета Внутр'!C1265</f>
        <v>шт</v>
      </c>
      <c r="D1258" s="1058">
        <f>'Смета Внутр'!D1265</f>
        <v>0</v>
      </c>
      <c r="E1258" s="1042">
        <f>'Смета Внутр'!E1265</f>
        <v>11.2</v>
      </c>
      <c r="F1258" s="1042">
        <f>'Смета Внутр'!F1265</f>
        <v>0</v>
      </c>
      <c r="G1258" s="1042">
        <f t="shared" si="53"/>
        <v>11.2</v>
      </c>
      <c r="H1258" s="1042">
        <f>'Смета Внутр'!G1265</f>
        <v>0</v>
      </c>
      <c r="I1258" s="1042">
        <f>'Смета Внутр'!H1265</f>
        <v>0</v>
      </c>
      <c r="J1258" s="1058">
        <f>'Смета Внутр'!I1265</f>
        <v>0</v>
      </c>
    </row>
    <row r="1259" spans="2:10" ht="15" customHeight="1">
      <c r="B1259" s="1042" t="str">
        <f>'Смета Внутр'!B1266</f>
        <v>Нет анкерных болтов</v>
      </c>
      <c r="C1259" s="1042" t="str">
        <f>'Смета Внутр'!C1266</f>
        <v>шт</v>
      </c>
      <c r="D1259" s="1058">
        <f>'Смета Внутр'!D1266</f>
        <v>0</v>
      </c>
      <c r="E1259" s="1042">
        <f>'Смета Внутр'!E1266</f>
        <v>0</v>
      </c>
      <c r="F1259" s="1042">
        <f>'Смета Внутр'!F1266</f>
        <v>0</v>
      </c>
      <c r="G1259" s="1042">
        <f t="shared" si="53"/>
        <v>0</v>
      </c>
      <c r="H1259" s="1042">
        <f>'Смета Внутр'!G1266</f>
        <v>0</v>
      </c>
      <c r="I1259" s="1042">
        <f>'Смета Внутр'!H1266</f>
        <v>0</v>
      </c>
      <c r="J1259" s="1058">
        <f>'Смета Внутр'!I1266</f>
        <v>0</v>
      </c>
    </row>
    <row r="1260" spans="2:10" ht="15" customHeight="1">
      <c r="B1260" s="1042" t="str">
        <f>'Смета Внутр'!B1267</f>
        <v xml:space="preserve">Саморезы 3,5 x 45            </v>
      </c>
      <c r="C1260" s="1042" t="str">
        <f>'Смета Внутр'!C1267</f>
        <v>кг</v>
      </c>
      <c r="D1260" s="1058">
        <f>'Смета Внутр'!D1267</f>
        <v>0</v>
      </c>
      <c r="E1260" s="1042">
        <f>'Смета Внутр'!E1267</f>
        <v>105.62</v>
      </c>
      <c r="F1260" s="1042">
        <f>'Смета Внутр'!F1267</f>
        <v>0</v>
      </c>
      <c r="G1260" s="1042">
        <f t="shared" si="53"/>
        <v>105.62</v>
      </c>
      <c r="H1260" s="1042">
        <f>'Смета Внутр'!G1267</f>
        <v>0</v>
      </c>
      <c r="I1260" s="1042">
        <f>'Смета Внутр'!H1267</f>
        <v>0</v>
      </c>
      <c r="J1260" s="1058">
        <f>'Смета Внутр'!I1267</f>
        <v>0</v>
      </c>
    </row>
    <row r="1261" spans="2:10" ht="15" customHeight="1">
      <c r="B1261" s="1042" t="str">
        <f>'Смета Внутр'!B1268</f>
        <v>Нет саморезов</v>
      </c>
      <c r="C1261" s="1042" t="str">
        <f>'Смета Внутр'!C1268</f>
        <v>кг</v>
      </c>
      <c r="D1261" s="1058">
        <f>'Смета Внутр'!D1268</f>
        <v>0</v>
      </c>
      <c r="E1261" s="1042">
        <f>'Смета Внутр'!E1268</f>
        <v>0</v>
      </c>
      <c r="F1261" s="1042">
        <f>'Смета Внутр'!F1268</f>
        <v>0</v>
      </c>
      <c r="G1261" s="1042">
        <f t="shared" si="53"/>
        <v>0</v>
      </c>
      <c r="H1261" s="1042">
        <f>'Смета Внутр'!G1268</f>
        <v>0</v>
      </c>
      <c r="I1261" s="1042">
        <f>'Смета Внутр'!H1268</f>
        <v>0</v>
      </c>
      <c r="J1261" s="1058">
        <f>'Смета Внутр'!I1268</f>
        <v>0</v>
      </c>
    </row>
    <row r="1262" spans="2:10" ht="15" customHeight="1">
      <c r="B1262" s="1042" t="str">
        <f>'Смета Внутр'!B1269</f>
        <v xml:space="preserve">Гвозди строительные 2,5 x 60            </v>
      </c>
      <c r="C1262" s="1042" t="str">
        <f>'Смета Внутр'!C1269</f>
        <v>кг</v>
      </c>
      <c r="D1262" s="1058">
        <f>'Смета Внутр'!D1269</f>
        <v>0</v>
      </c>
      <c r="E1262" s="1042">
        <f>'Смета Внутр'!E1269</f>
        <v>70</v>
      </c>
      <c r="F1262" s="1042">
        <f>'Смета Внутр'!F1269</f>
        <v>0</v>
      </c>
      <c r="G1262" s="1042">
        <f t="shared" si="53"/>
        <v>70</v>
      </c>
      <c r="H1262" s="1042">
        <f>'Смета Внутр'!G1269</f>
        <v>0</v>
      </c>
      <c r="I1262" s="1042">
        <f>'Смета Внутр'!H1269</f>
        <v>0</v>
      </c>
      <c r="J1262" s="1058">
        <f>'Смета Внутр'!I1269</f>
        <v>0</v>
      </c>
    </row>
    <row r="1263" spans="2:10" ht="15" customHeight="1">
      <c r="B1263" s="1042" t="str">
        <f>'Смета Внутр'!B1270</f>
        <v xml:space="preserve">Гвозди ершоные 3,4 x 60            </v>
      </c>
      <c r="C1263" s="1042" t="str">
        <f>'Смета Внутр'!C1270</f>
        <v>кг</v>
      </c>
      <c r="D1263" s="1058">
        <f>'Смета Внутр'!D1270</f>
        <v>0</v>
      </c>
      <c r="E1263" s="1042">
        <f>'Смета Внутр'!E1270</f>
        <v>75.510000000000005</v>
      </c>
      <c r="F1263" s="1042">
        <f>'Смета Внутр'!F1270</f>
        <v>0</v>
      </c>
      <c r="G1263" s="1042">
        <f t="shared" si="53"/>
        <v>75.510000000000005</v>
      </c>
      <c r="H1263" s="1042">
        <f>'Смета Внутр'!G1270</f>
        <v>0</v>
      </c>
      <c r="I1263" s="1042">
        <f>'Смета Внутр'!H1270</f>
        <v>0</v>
      </c>
      <c r="J1263" s="1058">
        <f>'Смета Внутр'!I1270</f>
        <v>0</v>
      </c>
    </row>
    <row r="1264" spans="2:10" ht="15" customHeight="1">
      <c r="B1264" s="1042" t="str">
        <f>'Смета Внутр'!B1271</f>
        <v>Гидроизоляция жидкая резина 1</v>
      </c>
      <c r="C1264" s="1042" t="str">
        <f>'Смета Внутр'!C1271</f>
        <v>кг</v>
      </c>
      <c r="D1264" s="1058">
        <f>'Смета Внутр'!D1271</f>
        <v>0</v>
      </c>
      <c r="E1264" s="1042">
        <f>'Смета Внутр'!E1271</f>
        <v>150</v>
      </c>
      <c r="F1264" s="1042">
        <f>'Смета Внутр'!F1271</f>
        <v>0</v>
      </c>
      <c r="G1264" s="1042">
        <f t="shared" si="53"/>
        <v>150</v>
      </c>
      <c r="H1264" s="1042">
        <f>'Смета Внутр'!G1271</f>
        <v>0</v>
      </c>
      <c r="I1264" s="1042">
        <f>'Смета Внутр'!H1271</f>
        <v>0</v>
      </c>
      <c r="J1264" s="1058">
        <f>'Смета Внутр'!I1271</f>
        <v>0</v>
      </c>
    </row>
    <row r="1265" spans="2:10" ht="15" customHeight="1">
      <c r="B1265" s="1042" t="str">
        <f>'Смета Внутр'!B1272</f>
        <v>Kronospan - OSB-3, 22мм</v>
      </c>
      <c r="C1265" s="1042" t="str">
        <f>'Смета Внутр'!C1272</f>
        <v>м2</v>
      </c>
      <c r="D1265" s="1058">
        <f>'Смета Внутр'!D1272</f>
        <v>0</v>
      </c>
      <c r="E1265" s="1042">
        <f>'Смета Внутр'!E1272</f>
        <v>526.66666666666663</v>
      </c>
      <c r="F1265" s="1042">
        <f>'Смета Внутр'!F1272</f>
        <v>0</v>
      </c>
      <c r="G1265" s="1042">
        <f t="shared" si="53"/>
        <v>526.66666666666663</v>
      </c>
      <c r="H1265" s="1042">
        <f>'Смета Внутр'!G1272</f>
        <v>0</v>
      </c>
      <c r="I1265" s="1042">
        <f>'Смета Внутр'!H1272</f>
        <v>0</v>
      </c>
      <c r="J1265" s="1058">
        <f>'Смета Внутр'!I1272</f>
        <v>0</v>
      </c>
    </row>
    <row r="1266" spans="2:10" ht="15" customHeight="1">
      <c r="B1266" s="1042" t="str">
        <f>'Смета Внутр'!B1273</f>
        <v>Проф.брус вл. 200*150мм</v>
      </c>
      <c r="C1266" s="1042" t="str">
        <f>'Смета Внутр'!C1273</f>
        <v>м3</v>
      </c>
      <c r="D1266" s="1058">
        <f>'Смета Внутр'!D1273</f>
        <v>0.09</v>
      </c>
      <c r="E1266" s="1042">
        <f>'Смета Внутр'!E1273</f>
        <v>9300</v>
      </c>
      <c r="F1266" s="1042">
        <f>'Смета Внутр'!F1273</f>
        <v>0</v>
      </c>
      <c r="G1266" s="1042">
        <f t="shared" si="53"/>
        <v>9300</v>
      </c>
      <c r="H1266" s="1042">
        <f>'Смета Внутр'!G1273</f>
        <v>837</v>
      </c>
      <c r="I1266" s="1042">
        <f>'Смета Внутр'!H1273</f>
        <v>0</v>
      </c>
      <c r="J1266" s="1058">
        <f>'Смета Внутр'!I1273</f>
        <v>0</v>
      </c>
    </row>
    <row r="1267" spans="2:10" ht="15" customHeight="1">
      <c r="B1267" s="1042" t="str">
        <f>'Смета Внутр'!B1274</f>
        <v>Брус клееный проф 2 ламель кедр Шир. 240 выс. 140</v>
      </c>
      <c r="C1267" s="1042" t="str">
        <f>'Смета Внутр'!C1274</f>
        <v>м3</v>
      </c>
      <c r="D1267" s="1058">
        <f>'Смета Внутр'!D1274</f>
        <v>0.12096000000000003</v>
      </c>
      <c r="E1267" s="1042">
        <f>'Смета Внутр'!E1274</f>
        <v>24000</v>
      </c>
      <c r="F1267" s="1042">
        <f>'Смета Внутр'!F1274</f>
        <v>0</v>
      </c>
      <c r="G1267" s="1042">
        <f t="shared" si="53"/>
        <v>24000</v>
      </c>
      <c r="H1267" s="1042">
        <f>'Смета Внутр'!G1274</f>
        <v>2903.0400000000004</v>
      </c>
      <c r="I1267" s="1042">
        <f>'Смета Внутр'!H1274</f>
        <v>0</v>
      </c>
      <c r="J1267" s="1058">
        <f>'Смета Внутр'!I1274</f>
        <v>0</v>
      </c>
    </row>
    <row r="1268" spans="2:10" ht="15" customHeight="1">
      <c r="B1268" s="1042" t="str">
        <f>'Смета Внутр'!B1275</f>
        <v>Брус клееный проф 1 ламель кедр Шир. 240 выс. 140</v>
      </c>
      <c r="C1268" s="1042" t="str">
        <f>'Смета Внутр'!C1275</f>
        <v>м3</v>
      </c>
      <c r="D1268" s="1058">
        <f>'Смета Внутр'!D1275</f>
        <v>0.43680000000000008</v>
      </c>
      <c r="E1268" s="1042">
        <f>'Смета Внутр'!E1275</f>
        <v>24000</v>
      </c>
      <c r="F1268" s="1042">
        <f>'Смета Внутр'!F1275</f>
        <v>0</v>
      </c>
      <c r="G1268" s="1042">
        <f t="shared" si="53"/>
        <v>24000</v>
      </c>
      <c r="H1268" s="1042">
        <f>'Смета Внутр'!G1275</f>
        <v>10483.200000000003</v>
      </c>
      <c r="I1268" s="1042">
        <f>'Смета Внутр'!H1275</f>
        <v>0</v>
      </c>
      <c r="J1268" s="1058">
        <f>'Смета Внутр'!I1275</f>
        <v>0</v>
      </c>
    </row>
    <row r="1269" spans="2:10" ht="15" customHeight="1">
      <c r="B1269" s="1042" t="str">
        <f>'Смета Внутр'!B1276</f>
        <v>Клееная накладка на перила шир 240мм</v>
      </c>
      <c r="C1269" s="1042" t="str">
        <f>'Смета Внутр'!C1276</f>
        <v>м.п.</v>
      </c>
      <c r="D1269" s="1058">
        <f>'Смета Внутр'!D1276</f>
        <v>3.6</v>
      </c>
      <c r="E1269" s="1042">
        <f>'Смета Внутр'!E1276</f>
        <v>400</v>
      </c>
      <c r="F1269" s="1042">
        <f>'Смета Внутр'!F1276</f>
        <v>0</v>
      </c>
      <c r="G1269" s="1042">
        <f t="shared" si="53"/>
        <v>400</v>
      </c>
      <c r="H1269" s="1042">
        <f>'Смета Внутр'!G1276</f>
        <v>1440</v>
      </c>
      <c r="I1269" s="1042">
        <f>'Смета Внутр'!H1276</f>
        <v>0</v>
      </c>
      <c r="J1269" s="1058">
        <f>'Смета Внутр'!I1276</f>
        <v>0</v>
      </c>
    </row>
    <row r="1270" spans="2:10">
      <c r="B1270" s="3330" t="str">
        <f>'Смета Внутр'!B1277</f>
        <v>Итого материалы</v>
      </c>
      <c r="C1270" s="3330"/>
      <c r="D1270" s="3330"/>
      <c r="E1270" s="3330"/>
      <c r="F1270" s="3330"/>
      <c r="G1270" s="3330"/>
      <c r="H1270" s="1042">
        <f>'Смета Внутр'!G1277</f>
        <v>0</v>
      </c>
      <c r="I1270" s="1042">
        <f>'Смета Внутр'!H1277</f>
        <v>0</v>
      </c>
      <c r="J1270" s="1058">
        <f>'Смета Внутр'!I1277</f>
        <v>0</v>
      </c>
    </row>
    <row r="1271" spans="2:10" ht="15" customHeight="1">
      <c r="B1271" s="3002" t="str">
        <f>'Смета Внутр'!B1278</f>
        <v>Работы</v>
      </c>
      <c r="D1271" s="1167"/>
      <c r="H1271">
        <f>'Смета Внутр'!G1278</f>
        <v>0</v>
      </c>
      <c r="I1271">
        <f>'Смета Внутр'!H1278</f>
        <v>0</v>
      </c>
      <c r="J1271" s="3027">
        <f>'Смета Внутр'!I1278</f>
        <v>0</v>
      </c>
    </row>
    <row r="1272" spans="2:10" ht="15" customHeight="1">
      <c r="B1272" s="1042" t="str">
        <f>'Смета Внутр'!B1279</f>
        <v>монтаж веранды</v>
      </c>
      <c r="C1272" s="1042" t="str">
        <f>'Смета Внутр'!C1279</f>
        <v>м2</v>
      </c>
      <c r="D1272" s="1058">
        <f>'Смета Внутр'!D1279</f>
        <v>9</v>
      </c>
      <c r="E1272" s="1042">
        <f>'Смета Внутр'!E1279</f>
        <v>1500</v>
      </c>
      <c r="F1272" s="1042">
        <f>'Смета Внутр'!F1279</f>
        <v>0</v>
      </c>
      <c r="G1272" s="1042">
        <f t="shared" ref="G1272:G1280" si="54">IF(E1272&gt;F1272,E1272,F1272)</f>
        <v>1500</v>
      </c>
      <c r="H1272" s="1042">
        <f>'Смета Внутр'!G1279</f>
        <v>13500</v>
      </c>
      <c r="I1272" s="1042">
        <f>'Смета Внутр'!H1279</f>
        <v>0</v>
      </c>
      <c r="J1272" s="1058">
        <f>'Смета Внутр'!I1279</f>
        <v>0</v>
      </c>
    </row>
    <row r="1273" spans="2:10" ht="15" customHeight="1">
      <c r="B1273" s="1042" t="str">
        <f>'Смета Внутр'!B1280</f>
        <v>монтаж лаги, перекрытия</v>
      </c>
      <c r="C1273" s="1042" t="str">
        <f>'Смета Внутр'!C1280</f>
        <v>м2</v>
      </c>
      <c r="D1273" s="1058">
        <f>'Смета Внутр'!D1280</f>
        <v>9</v>
      </c>
      <c r="E1273" s="1042">
        <f>'Смета Внутр'!E1280</f>
        <v>300</v>
      </c>
      <c r="F1273" s="1042">
        <f>'Смета Внутр'!F1280</f>
        <v>0</v>
      </c>
      <c r="G1273" s="1042">
        <f t="shared" si="54"/>
        <v>300</v>
      </c>
      <c r="H1273" s="1042">
        <f>'Смета Внутр'!G1280</f>
        <v>2700</v>
      </c>
      <c r="I1273" s="1042">
        <f>'Смета Внутр'!H1280</f>
        <v>0</v>
      </c>
      <c r="J1273" s="1058">
        <f>'Смета Внутр'!I1280</f>
        <v>0</v>
      </c>
    </row>
    <row r="1274" spans="2:10" ht="15" customHeight="1">
      <c r="B1274" s="1042" t="str">
        <f>'Смета Внутр'!B1281</f>
        <v>Монтаж накладки на перила</v>
      </c>
      <c r="C1274" s="1042" t="str">
        <f>'Смета Внутр'!C1281</f>
        <v>м.п.</v>
      </c>
      <c r="D1274" s="1058">
        <f>'Смета Внутр'!D1281</f>
        <v>9</v>
      </c>
      <c r="E1274" s="1042">
        <f>'Смета Внутр'!E1281</f>
        <v>0</v>
      </c>
      <c r="F1274" s="1042">
        <f>'Смета Внутр'!F1281</f>
        <v>0</v>
      </c>
      <c r="G1274" s="1042">
        <f t="shared" si="54"/>
        <v>0</v>
      </c>
      <c r="H1274" s="1042">
        <f>'Смета Внутр'!G1281</f>
        <v>0</v>
      </c>
      <c r="I1274" s="1042">
        <f>'Смета Внутр'!H1281</f>
        <v>0</v>
      </c>
      <c r="J1274" s="1058">
        <f>'Смета Внутр'!I1281</f>
        <v>0</v>
      </c>
    </row>
    <row r="1275" spans="2:10" ht="15" customHeight="1">
      <c r="B1275" s="1042" t="str">
        <f>'Смета Внутр'!B1282</f>
        <v>Монтаж перил</v>
      </c>
      <c r="C1275" s="1042" t="str">
        <f>'Смета Внутр'!C1282</f>
        <v>м.п.</v>
      </c>
      <c r="D1275" s="1058">
        <f>'Смета Внутр'!D1282</f>
        <v>9</v>
      </c>
      <c r="E1275" s="1042">
        <f>'Смета Внутр'!E1282</f>
        <v>500</v>
      </c>
      <c r="F1275" s="1042">
        <f>'Смета Внутр'!F1282</f>
        <v>0</v>
      </c>
      <c r="G1275" s="1042">
        <f t="shared" si="54"/>
        <v>500</v>
      </c>
      <c r="H1275" s="1042">
        <f>'Смета Внутр'!G1282</f>
        <v>4500</v>
      </c>
      <c r="I1275" s="1042">
        <f>'Смета Внутр'!H1282</f>
        <v>0</v>
      </c>
      <c r="J1275" s="1058">
        <f>'Смета Внутр'!I1282</f>
        <v>0</v>
      </c>
    </row>
    <row r="1276" spans="2:10" ht="15" customHeight="1">
      <c r="B1276" s="1042" t="str">
        <f>'Смета Внутр'!B1283</f>
        <v>Гидроизоляция рулонная</v>
      </c>
      <c r="C1276" s="1042" t="str">
        <f>'Смета Внутр'!C1283</f>
        <v>м2</v>
      </c>
      <c r="D1276" s="1058">
        <f>'Смета Внутр'!D1283</f>
        <v>0</v>
      </c>
      <c r="E1276" s="1042">
        <f>'Смета Внутр'!E1283</f>
        <v>250</v>
      </c>
      <c r="F1276" s="1042">
        <f>'Смета Внутр'!F1283</f>
        <v>0</v>
      </c>
      <c r="G1276" s="1042">
        <f t="shared" si="54"/>
        <v>250</v>
      </c>
      <c r="H1276" s="1042">
        <f>'Смета Внутр'!G1283</f>
        <v>0</v>
      </c>
      <c r="I1276" s="1042">
        <f>'Смета Внутр'!H1283</f>
        <v>0</v>
      </c>
      <c r="J1276" s="1058">
        <f>'Смета Внутр'!I1283</f>
        <v>0</v>
      </c>
    </row>
    <row r="1277" spans="2:10" ht="15" customHeight="1">
      <c r="B1277" s="1042" t="str">
        <f>'Смета Внутр'!B1284</f>
        <v>монтаж OSB пол</v>
      </c>
      <c r="C1277" s="1042" t="str">
        <f>'Смета Внутр'!C1284</f>
        <v>м2</v>
      </c>
      <c r="D1277" s="1058">
        <f>'Смета Внутр'!D1284</f>
        <v>0</v>
      </c>
      <c r="E1277" s="1042">
        <f>'Смета Внутр'!E1284</f>
        <v>250</v>
      </c>
      <c r="F1277" s="1042">
        <f>'Смета Внутр'!F1284</f>
        <v>0</v>
      </c>
      <c r="G1277" s="1042">
        <f t="shared" si="54"/>
        <v>250</v>
      </c>
      <c r="H1277" s="1042">
        <f>'Смета Внутр'!G1284</f>
        <v>0</v>
      </c>
      <c r="I1277" s="1042">
        <f>'Смета Внутр'!H1284</f>
        <v>0</v>
      </c>
      <c r="J1277" s="1058">
        <f>'Смета Внутр'!I1284</f>
        <v>0</v>
      </c>
    </row>
    <row r="1278" spans="2:10" ht="15" customHeight="1">
      <c r="B1278" s="1042" t="str">
        <f>'Смета Внутр'!B1285</f>
        <v>Монтаж перил</v>
      </c>
      <c r="C1278" s="1042" t="str">
        <f>'Смета Внутр'!C1285</f>
        <v>м.п.</v>
      </c>
      <c r="D1278" s="1058">
        <f>'Смета Внутр'!D1285</f>
        <v>3.6</v>
      </c>
      <c r="E1278" s="1042">
        <f>'Смета Внутр'!E1285</f>
        <v>500</v>
      </c>
      <c r="F1278" s="1042">
        <f>'Смета Внутр'!F1285</f>
        <v>0</v>
      </c>
      <c r="G1278" s="1042">
        <f t="shared" si="54"/>
        <v>500</v>
      </c>
      <c r="H1278" s="1042">
        <f>'Смета Внутр'!G1285</f>
        <v>1800</v>
      </c>
      <c r="I1278" s="1042">
        <f>'Смета Внутр'!H1285</f>
        <v>0</v>
      </c>
      <c r="J1278" s="1058">
        <f>'Смета Внутр'!I1285</f>
        <v>0</v>
      </c>
    </row>
    <row r="1279" spans="2:10" ht="15" customHeight="1">
      <c r="B1279" s="1042" t="str">
        <f>'Смета Внутр'!B1286</f>
        <v>Монтаж накладки на перила</v>
      </c>
      <c r="C1279" s="1042" t="str">
        <f>'Смета Внутр'!C1286</f>
        <v>м.п.</v>
      </c>
      <c r="D1279" s="1058">
        <f>'Смета Внутр'!D1286</f>
        <v>3.6</v>
      </c>
      <c r="E1279" s="1042">
        <f>'Смета Внутр'!E1286</f>
        <v>0</v>
      </c>
      <c r="F1279" s="1042">
        <f>'Смета Внутр'!F1286</f>
        <v>0</v>
      </c>
      <c r="G1279" s="1042">
        <f t="shared" si="54"/>
        <v>0</v>
      </c>
      <c r="H1279" s="1042">
        <f>'Смета Внутр'!G1286</f>
        <v>0</v>
      </c>
      <c r="I1279" s="1042">
        <f>'Смета Внутр'!H1286</f>
        <v>0</v>
      </c>
      <c r="J1279" s="1058">
        <f>'Смета Внутр'!I1286</f>
        <v>0</v>
      </c>
    </row>
    <row r="1280" spans="2:10" ht="15" customHeight="1">
      <c r="B1280" s="1042" t="str">
        <f>'Смета Внутр'!B1287</f>
        <v>монтаж веранды/крыльцо</v>
      </c>
      <c r="C1280" s="1042" t="str">
        <f>'Смета Внутр'!C1287</f>
        <v>м2</v>
      </c>
      <c r="D1280" s="1058">
        <f>'Смета Внутр'!D1287</f>
        <v>0</v>
      </c>
      <c r="E1280" s="1042">
        <f>'Смета Внутр'!E1287</f>
        <v>1500</v>
      </c>
      <c r="F1280" s="1042">
        <f>'Смета Внутр'!F1287</f>
        <v>0</v>
      </c>
      <c r="G1280" s="1042">
        <f t="shared" si="54"/>
        <v>1500</v>
      </c>
      <c r="H1280" s="1042">
        <f>'Смета Внутр'!G1287</f>
        <v>0</v>
      </c>
      <c r="I1280" s="1042">
        <f>'Смета Внутр'!H1287</f>
        <v>0</v>
      </c>
      <c r="J1280" s="1058">
        <f>'Смета Внутр'!I1287</f>
        <v>0</v>
      </c>
    </row>
    <row r="1281" spans="2:10" ht="15" customHeight="1">
      <c r="B1281" s="3330" t="str">
        <f>'Смета Внутр'!B1288</f>
        <v>Итого работы</v>
      </c>
      <c r="C1281" s="3330"/>
      <c r="D1281" s="3330"/>
      <c r="E1281" s="3330"/>
      <c r="F1281" s="3330"/>
      <c r="G1281" s="3330"/>
      <c r="H1281" s="1042">
        <f>'Смета Внутр'!G1288</f>
        <v>0</v>
      </c>
      <c r="I1281" s="1042">
        <f>'Смета Внутр'!H1288</f>
        <v>0</v>
      </c>
      <c r="J1281" s="1058">
        <f>'Смета Внутр'!I1288</f>
        <v>0</v>
      </c>
    </row>
    <row r="1282" spans="2:10" ht="15" customHeight="1">
      <c r="B1282" s="3313" t="str">
        <f>'Смета Внутр'!B1289</f>
        <v>Крыльцо</v>
      </c>
      <c r="C1282" s="3313"/>
      <c r="D1282" s="3313"/>
      <c r="H1282">
        <f>'Смета Внутр'!G1289</f>
        <v>0</v>
      </c>
      <c r="I1282">
        <f>'Смета Внутр'!H1289</f>
        <v>0</v>
      </c>
      <c r="J1282" s="3011">
        <f>'Смета Внутр'!I1289</f>
        <v>0</v>
      </c>
    </row>
    <row r="1283" spans="2:10" ht="15" customHeight="1">
      <c r="B1283" s="3002" t="str">
        <f>'Смета Внутр'!B1290</f>
        <v>Материалы</v>
      </c>
      <c r="H1283">
        <f>'Смета Внутр'!G1290</f>
        <v>0</v>
      </c>
      <c r="I1283">
        <f>'Смета Внутр'!H1290</f>
        <v>0</v>
      </c>
      <c r="J1283" s="3011">
        <f>'Смета Внутр'!I1290</f>
        <v>0</v>
      </c>
    </row>
    <row r="1284" spans="2:10" ht="15" customHeight="1">
      <c r="B1284" s="3007" t="str">
        <f>'Смета Внутр'!B1291</f>
        <v>Листв. влаж, 150*150мм</v>
      </c>
      <c r="C1284" s="3007" t="str">
        <f>'Смета Внутр'!C1291</f>
        <v>м3</v>
      </c>
      <c r="D1284" s="3014">
        <f>'Смета Внутр'!D1291</f>
        <v>8.4000000000000019E-2</v>
      </c>
      <c r="E1284" s="1042">
        <f>'Смета Внутр'!E1291</f>
        <v>8500</v>
      </c>
      <c r="F1284" s="1042">
        <f>'Смета Внутр'!F1291</f>
        <v>0</v>
      </c>
      <c r="G1284" s="3007">
        <f t="shared" ref="G1284:G1301" si="55">IF(E1284&gt;F1284,E1284,F1284)</f>
        <v>8500</v>
      </c>
      <c r="H1284" s="1042">
        <f>'Смета Внутр'!G1291</f>
        <v>714.00000000000011</v>
      </c>
      <c r="I1284" s="1042">
        <f>'Смета Внутр'!H1291</f>
        <v>0</v>
      </c>
      <c r="J1284" s="3014">
        <f>'Смета Внутр'!I1291</f>
        <v>0</v>
      </c>
    </row>
    <row r="1285" spans="2:10" ht="15" customHeight="1">
      <c r="B1285" s="3007" t="str">
        <f>'Смета Внутр'!B1292</f>
        <v>Листв. влаж, 150*100мм</v>
      </c>
      <c r="C1285" s="3007" t="str">
        <f>'Смета Внутр'!C1292</f>
        <v>м3</v>
      </c>
      <c r="D1285" s="3014">
        <f>'Смета Внутр'!D1292</f>
        <v>0.09</v>
      </c>
      <c r="E1285" s="1042">
        <f>'Смета Внутр'!E1292</f>
        <v>8500</v>
      </c>
      <c r="F1285" s="1042">
        <f>'Смета Внутр'!F1292</f>
        <v>0</v>
      </c>
      <c r="G1285" s="3007">
        <f t="shared" si="55"/>
        <v>8500</v>
      </c>
      <c r="H1285" s="1042">
        <f>'Смета Внутр'!G1292</f>
        <v>765</v>
      </c>
      <c r="I1285" s="1042">
        <f>'Смета Внутр'!H1292</f>
        <v>0</v>
      </c>
      <c r="J1285" s="3014">
        <f>'Смета Внутр'!I1292</f>
        <v>0</v>
      </c>
    </row>
    <row r="1286" spans="2:10" ht="15" customHeight="1">
      <c r="B1286" s="3007" t="str">
        <f>'Смета Внутр'!B1293</f>
        <v>Сосна влаж, 150*100мм</v>
      </c>
      <c r="C1286" s="3007" t="str">
        <f>'Смета Внутр'!C1293</f>
        <v>м3</v>
      </c>
      <c r="D1286" s="3014">
        <f>'Смета Внутр'!D1293</f>
        <v>7.4999999999999997E-2</v>
      </c>
      <c r="E1286" s="1042">
        <f>'Смета Внутр'!E1293</f>
        <v>6500</v>
      </c>
      <c r="F1286" s="1042">
        <f>'Смета Внутр'!F1293</f>
        <v>0</v>
      </c>
      <c r="G1286" s="3007">
        <f t="shared" si="55"/>
        <v>6500</v>
      </c>
      <c r="H1286" s="1042">
        <f>'Смета Внутр'!G1293</f>
        <v>487.5</v>
      </c>
      <c r="I1286" s="1042">
        <f>'Смета Внутр'!H1293</f>
        <v>0</v>
      </c>
      <c r="J1286" s="3014">
        <f>'Смета Внутр'!I1293</f>
        <v>0</v>
      </c>
    </row>
    <row r="1287" spans="2:10" ht="15" customHeight="1">
      <c r="B1287" s="3007" t="str">
        <f>'Смета Внутр'!B1294</f>
        <v>Нет</v>
      </c>
      <c r="C1287" s="3007" t="str">
        <f>'Смета Внутр'!C1294</f>
        <v>м3</v>
      </c>
      <c r="D1287" s="3014">
        <f>'Смета Внутр'!D1294</f>
        <v>11.5</v>
      </c>
      <c r="E1287" s="1042">
        <f>'Смета Внутр'!E1294</f>
        <v>0</v>
      </c>
      <c r="F1287" s="1042">
        <f>'Смета Внутр'!F1294</f>
        <v>0</v>
      </c>
      <c r="G1287" s="3007">
        <f t="shared" si="55"/>
        <v>0</v>
      </c>
      <c r="H1287" s="1042">
        <f>'Смета Внутр'!G1294</f>
        <v>0</v>
      </c>
      <c r="I1287" s="1042">
        <f>'Смета Внутр'!H1294</f>
        <v>0</v>
      </c>
      <c r="J1287" s="3014">
        <f>'Смета Внутр'!I1294</f>
        <v>0</v>
      </c>
    </row>
    <row r="1288" spans="2:10" ht="15" customHeight="1">
      <c r="B1288" s="3007" t="str">
        <f>'Смета Внутр'!B1295</f>
        <v>Брус клееный проф 2 ламель кедр Шир. 240 выс. 140</v>
      </c>
      <c r="C1288" s="3007" t="str">
        <f>'Смета Внутр'!C1295</f>
        <v>м3</v>
      </c>
      <c r="D1288" s="3014">
        <f>'Смета Внутр'!D1295</f>
        <v>0.16800000000000004</v>
      </c>
      <c r="E1288" s="1042">
        <f>'Смета Внутр'!E1295</f>
        <v>24000</v>
      </c>
      <c r="F1288" s="1042">
        <f>'Смета Внутр'!F1295</f>
        <v>0</v>
      </c>
      <c r="G1288" s="3007">
        <f t="shared" si="55"/>
        <v>24000</v>
      </c>
      <c r="H1288" s="1042">
        <f>'Смета Внутр'!G1295</f>
        <v>4032.0000000000009</v>
      </c>
      <c r="I1288" s="1042">
        <f>'Смета Внутр'!H1295</f>
        <v>0</v>
      </c>
      <c r="J1288" s="3014">
        <f>'Смета Внутр'!I1295</f>
        <v>0</v>
      </c>
    </row>
    <row r="1289" spans="2:10" ht="15" customHeight="1">
      <c r="B1289" s="3007" t="str">
        <f>'Смета Внутр'!B1296</f>
        <v>Брус клееный проф 1 ламель кедр Шир. 240 выс. 140</v>
      </c>
      <c r="C1289" s="3007" t="str">
        <f>'Смета Внутр'!C1296</f>
        <v>м3</v>
      </c>
      <c r="D1289" s="3014">
        <f>'Смета Внутр'!D1296</f>
        <v>0.33600000000000008</v>
      </c>
      <c r="E1289" s="1042">
        <f>'Смета Внутр'!E1296</f>
        <v>24000</v>
      </c>
      <c r="F1289" s="1042">
        <f>'Смета Внутр'!F1296</f>
        <v>0</v>
      </c>
      <c r="G1289" s="3007">
        <f t="shared" si="55"/>
        <v>24000</v>
      </c>
      <c r="H1289" s="1042">
        <f>'Смета Внутр'!G1296</f>
        <v>8064.0000000000018</v>
      </c>
      <c r="I1289" s="1042">
        <f>'Смета Внутр'!H1296</f>
        <v>0</v>
      </c>
      <c r="J1289" s="3014">
        <f>'Смета Внутр'!I1296</f>
        <v>0</v>
      </c>
    </row>
    <row r="1290" spans="2:10" ht="15" customHeight="1">
      <c r="B1290" s="3007" t="str">
        <f>'Смета Внутр'!B1297</f>
        <v>Нет накладки</v>
      </c>
      <c r="C1290" s="3007" t="str">
        <f>'Смета Внутр'!C1297</f>
        <v>м.п.</v>
      </c>
      <c r="D1290" s="3014">
        <f>'Смета Внутр'!D1297</f>
        <v>5</v>
      </c>
      <c r="E1290" s="1042">
        <f>'Смета Внутр'!E1297</f>
        <v>0</v>
      </c>
      <c r="F1290" s="1042">
        <f>'Смета Внутр'!F1297</f>
        <v>0</v>
      </c>
      <c r="G1290" s="3007">
        <f t="shared" si="55"/>
        <v>0</v>
      </c>
      <c r="H1290" s="1042">
        <f>'Смета Внутр'!G1297</f>
        <v>0</v>
      </c>
      <c r="I1290" s="1042">
        <f>'Смета Внутр'!H1297</f>
        <v>0</v>
      </c>
      <c r="J1290" s="3014">
        <f>'Смета Внутр'!I1297</f>
        <v>0</v>
      </c>
    </row>
    <row r="1291" spans="2:10" ht="15" customHeight="1">
      <c r="B1291" s="3007" t="str">
        <f>'Смета Внутр'!B1298</f>
        <v>Листв. влаж, 200*200мм</v>
      </c>
      <c r="C1291" s="3007" t="str">
        <f>'Смета Внутр'!C1298</f>
        <v>м3</v>
      </c>
      <c r="D1291" s="3014">
        <f>'Смета Внутр'!D1298</f>
        <v>0.32000000000000006</v>
      </c>
      <c r="E1291" s="1042">
        <f>'Смета Внутр'!E1298</f>
        <v>9000</v>
      </c>
      <c r="F1291" s="1042">
        <f>'Смета Внутр'!F1298</f>
        <v>0</v>
      </c>
      <c r="G1291" s="3007">
        <f t="shared" si="55"/>
        <v>9000</v>
      </c>
      <c r="H1291" s="1042">
        <f>'Смета Внутр'!G1298</f>
        <v>2880.0000000000005</v>
      </c>
      <c r="I1291" s="1042">
        <f>'Смета Внутр'!H1298</f>
        <v>0</v>
      </c>
      <c r="J1291" s="3014">
        <f>'Смета Внутр'!I1298</f>
        <v>0</v>
      </c>
    </row>
    <row r="1292" spans="2:10" ht="15" customHeight="1">
      <c r="B1292" s="3007" t="str">
        <f>'Смета Внутр'!B1299</f>
        <v xml:space="preserve">Уголок усиленный 90х70х55х2,5        </v>
      </c>
      <c r="C1292" s="3007" t="str">
        <f>'Смета Внутр'!C1299</f>
        <v>шт</v>
      </c>
      <c r="D1292" s="3014">
        <f>'Смета Внутр'!D1299</f>
        <v>6</v>
      </c>
      <c r="E1292" s="1042">
        <f>'Смета Внутр'!E1299</f>
        <v>30</v>
      </c>
      <c r="F1292" s="1042">
        <f>'Смета Внутр'!F1299</f>
        <v>0</v>
      </c>
      <c r="G1292" s="3007">
        <f t="shared" si="55"/>
        <v>30</v>
      </c>
      <c r="H1292" s="1042">
        <f>'Смета Внутр'!G1299</f>
        <v>180</v>
      </c>
      <c r="I1292" s="1042">
        <f>'Смета Внутр'!H1299</f>
        <v>0</v>
      </c>
      <c r="J1292" s="3014">
        <f>'Смета Внутр'!I1299</f>
        <v>0</v>
      </c>
    </row>
    <row r="1293" spans="2:10" ht="15" customHeight="1">
      <c r="B1293" s="1042" t="str">
        <f>'Смета Внутр'!B1300</f>
        <v>Нет уголков</v>
      </c>
      <c r="C1293" s="1042" t="str">
        <f>'Смета Внутр'!C1300</f>
        <v>шт</v>
      </c>
      <c r="D1293" s="1058">
        <f>'Смета Внутр'!D1300</f>
        <v>0</v>
      </c>
      <c r="E1293" s="1042">
        <f>'Смета Внутр'!E1300</f>
        <v>0</v>
      </c>
      <c r="F1293" s="1042">
        <f>'Смета Внутр'!F1300</f>
        <v>0</v>
      </c>
      <c r="G1293" s="1042">
        <f t="shared" si="55"/>
        <v>0</v>
      </c>
      <c r="H1293" s="1042">
        <f>'Смета Внутр'!G1300</f>
        <v>0</v>
      </c>
      <c r="I1293" s="1042">
        <f>'Смета Внутр'!H1300</f>
        <v>0</v>
      </c>
      <c r="J1293" s="1058">
        <f>'Смета Внутр'!I1300</f>
        <v>0</v>
      </c>
    </row>
    <row r="1294" spans="2:10" ht="15" customHeight="1">
      <c r="B1294" s="3007" t="str">
        <f>'Смета Внутр'!B1301</f>
        <v xml:space="preserve">Пластина соеденительная 100х240х2           </v>
      </c>
      <c r="C1294" s="3007" t="str">
        <f>'Смета Внутр'!C1301</f>
        <v>шт</v>
      </c>
      <c r="D1294" s="3014">
        <f>'Смета Внутр'!D1301</f>
        <v>2</v>
      </c>
      <c r="E1294" s="1042">
        <f>'Смета Внутр'!E1301</f>
        <v>31.54</v>
      </c>
      <c r="F1294" s="1042">
        <f>'Смета Внутр'!F1301</f>
        <v>0</v>
      </c>
      <c r="G1294" s="3007">
        <f t="shared" si="55"/>
        <v>31.54</v>
      </c>
      <c r="H1294" s="1042">
        <f>'Смета Внутр'!G1301</f>
        <v>63.08</v>
      </c>
      <c r="I1294" s="1042">
        <f>'Смета Внутр'!H1301</f>
        <v>0</v>
      </c>
      <c r="J1294" s="3014">
        <f>'Смета Внутр'!I1301</f>
        <v>0</v>
      </c>
    </row>
    <row r="1295" spans="2:10" ht="15" customHeight="1">
      <c r="B1295" s="1042" t="str">
        <f>'Смета Внутр'!B1302</f>
        <v>Нет пластин</v>
      </c>
      <c r="C1295" s="1042" t="str">
        <f>'Смета Внутр'!C1302</f>
        <v>шт</v>
      </c>
      <c r="D1295" s="1058">
        <f>'Смета Внутр'!D1302</f>
        <v>0</v>
      </c>
      <c r="E1295" s="1042">
        <f>'Смета Внутр'!E1302</f>
        <v>0</v>
      </c>
      <c r="F1295" s="1042">
        <f>'Смета Внутр'!F1302</f>
        <v>0</v>
      </c>
      <c r="G1295" s="1042">
        <f t="shared" si="55"/>
        <v>0</v>
      </c>
      <c r="H1295" s="1042">
        <f>'Смета Внутр'!G1302</f>
        <v>0</v>
      </c>
      <c r="I1295" s="1042">
        <f>'Смета Внутр'!H1302</f>
        <v>0</v>
      </c>
      <c r="J1295" s="1058">
        <f>'Смета Внутр'!I1302</f>
        <v>0</v>
      </c>
    </row>
    <row r="1296" spans="2:10" ht="15" customHeight="1">
      <c r="B1296" s="3007" t="str">
        <f>'Смета Внутр'!B1303</f>
        <v xml:space="preserve">Болты анкерные с гайкой 12,0 x 100          </v>
      </c>
      <c r="C1296" s="3007" t="str">
        <f>'Смета Внутр'!C1303</f>
        <v>шт</v>
      </c>
      <c r="D1296" s="3014">
        <f>'Смета Внутр'!D1303</f>
        <v>6</v>
      </c>
      <c r="E1296" s="1042">
        <f>'Смета Внутр'!E1303</f>
        <v>11.2</v>
      </c>
      <c r="F1296" s="1042">
        <f>'Смета Внутр'!F1303</f>
        <v>0</v>
      </c>
      <c r="G1296" s="3007">
        <f t="shared" si="55"/>
        <v>11.2</v>
      </c>
      <c r="H1296" s="1042">
        <f>'Смета Внутр'!G1303</f>
        <v>67.199999999999989</v>
      </c>
      <c r="I1296" s="1042">
        <f>'Смета Внутр'!H1303</f>
        <v>0</v>
      </c>
      <c r="J1296" s="3014">
        <f>'Смета Внутр'!I1303</f>
        <v>0</v>
      </c>
    </row>
    <row r="1297" spans="2:10" ht="15" customHeight="1">
      <c r="B1297" s="1042" t="str">
        <f>'Смета Внутр'!B1304</f>
        <v>Нет анкерных болтов</v>
      </c>
      <c r="C1297" s="1042" t="str">
        <f>'Смета Внутр'!C1304</f>
        <v>шт</v>
      </c>
      <c r="D1297" s="1058">
        <f>'Смета Внутр'!D1304</f>
        <v>0</v>
      </c>
      <c r="E1297" s="1042">
        <f>'Смета Внутр'!E1304</f>
        <v>0</v>
      </c>
      <c r="F1297" s="1042">
        <f>'Смета Внутр'!F1304</f>
        <v>0</v>
      </c>
      <c r="G1297" s="1042">
        <f t="shared" si="55"/>
        <v>0</v>
      </c>
      <c r="H1297" s="1042">
        <f>'Смета Внутр'!G1304</f>
        <v>0</v>
      </c>
      <c r="I1297" s="1042">
        <f>'Смета Внутр'!H1304</f>
        <v>0</v>
      </c>
      <c r="J1297" s="1058">
        <f>'Смета Внутр'!I1304</f>
        <v>0</v>
      </c>
    </row>
    <row r="1298" spans="2:10" ht="15" customHeight="1">
      <c r="B1298" s="1042" t="str">
        <f>'Смета Внутр'!B1305</f>
        <v xml:space="preserve">Саморезы 3,5 x 45            </v>
      </c>
      <c r="C1298" s="1042" t="str">
        <f>'Смета Внутр'!C1305</f>
        <v>кг</v>
      </c>
      <c r="D1298" s="1058">
        <f>'Смета Внутр'!D1305</f>
        <v>0</v>
      </c>
      <c r="E1298" s="1042">
        <f>'Смета Внутр'!E1305</f>
        <v>105.62</v>
      </c>
      <c r="F1298" s="1042">
        <f>'Смета Внутр'!F1305</f>
        <v>0</v>
      </c>
      <c r="G1298" s="1042">
        <f t="shared" si="55"/>
        <v>105.62</v>
      </c>
      <c r="H1298" s="1042">
        <f>'Смета Внутр'!G1305</f>
        <v>0</v>
      </c>
      <c r="I1298" s="1042">
        <f>'Смета Внутр'!H1305</f>
        <v>0</v>
      </c>
      <c r="J1298" s="1058">
        <f>'Смета Внутр'!I1305</f>
        <v>0</v>
      </c>
    </row>
    <row r="1299" spans="2:10" ht="15" customHeight="1">
      <c r="B1299" s="1042" t="str">
        <f>'Смета Внутр'!B1306</f>
        <v>Нет саморезов</v>
      </c>
      <c r="C1299" s="1042" t="str">
        <f>'Смета Внутр'!C1306</f>
        <v>кг</v>
      </c>
      <c r="D1299" s="1058">
        <f>'Смета Внутр'!D1306</f>
        <v>0</v>
      </c>
      <c r="E1299" s="1042">
        <f>'Смета Внутр'!E1306</f>
        <v>0</v>
      </c>
      <c r="F1299" s="1042">
        <f>'Смета Внутр'!F1306</f>
        <v>0</v>
      </c>
      <c r="G1299" s="1042">
        <f t="shared" si="55"/>
        <v>0</v>
      </c>
      <c r="H1299" s="1042">
        <f>'Смета Внутр'!G1306</f>
        <v>0</v>
      </c>
      <c r="I1299" s="1042">
        <f>'Смета Внутр'!H1306</f>
        <v>0</v>
      </c>
      <c r="J1299" s="1058">
        <f>'Смета Внутр'!I1306</f>
        <v>0</v>
      </c>
    </row>
    <row r="1300" spans="2:10" ht="15" customHeight="1">
      <c r="B1300" s="3007" t="str">
        <f>'Смета Внутр'!B1307</f>
        <v xml:space="preserve">Гвозди строительные 2,5 x 60            </v>
      </c>
      <c r="C1300" s="3007" t="str">
        <f>'Смета Внутр'!C1307</f>
        <v>кг</v>
      </c>
      <c r="D1300" s="3014">
        <f>'Смета Внутр'!D1307</f>
        <v>1</v>
      </c>
      <c r="E1300" s="1042">
        <f>'Смета Внутр'!E1307</f>
        <v>70</v>
      </c>
      <c r="F1300" s="1042">
        <f>'Смета Внутр'!F1307</f>
        <v>0</v>
      </c>
      <c r="G1300" s="3007">
        <f t="shared" si="55"/>
        <v>70</v>
      </c>
      <c r="H1300" s="1042">
        <f>'Смета Внутр'!G1307</f>
        <v>70</v>
      </c>
      <c r="I1300" s="1042">
        <f>'Смета Внутр'!H1307</f>
        <v>0</v>
      </c>
      <c r="J1300" s="3014">
        <f>'Смета Внутр'!I1307</f>
        <v>0</v>
      </c>
    </row>
    <row r="1301" spans="2:10" ht="15" customHeight="1">
      <c r="B1301" s="3007" t="str">
        <f>'Смета Внутр'!B1308</f>
        <v xml:space="preserve">Гвозди ершоные 3,4 x 60            </v>
      </c>
      <c r="C1301" s="3007" t="str">
        <f>'Смета Внутр'!C1308</f>
        <v>кг</v>
      </c>
      <c r="D1301" s="3014">
        <f>'Смета Внутр'!D1308</f>
        <v>1</v>
      </c>
      <c r="E1301" s="1042">
        <f>'Смета Внутр'!E1308</f>
        <v>75.510000000000005</v>
      </c>
      <c r="F1301" s="1042">
        <f>'Смета Внутр'!F1308</f>
        <v>0</v>
      </c>
      <c r="G1301" s="3007">
        <f t="shared" si="55"/>
        <v>75.510000000000005</v>
      </c>
      <c r="H1301" s="1042">
        <f>'Смета Внутр'!G1308</f>
        <v>75.510000000000005</v>
      </c>
      <c r="I1301" s="1042">
        <f>'Смета Внутр'!H1308</f>
        <v>0</v>
      </c>
      <c r="J1301" s="3014">
        <f>'Смета Внутр'!I1308</f>
        <v>0</v>
      </c>
    </row>
    <row r="1302" spans="2:10">
      <c r="B1302" s="3311" t="str">
        <f>'Смета Внутр'!B1309</f>
        <v>Итого материалы</v>
      </c>
      <c r="C1302" s="3311"/>
      <c r="D1302" s="3311"/>
      <c r="E1302" s="3311"/>
      <c r="F1302" s="3311"/>
      <c r="G1302" s="3311"/>
      <c r="H1302" s="1042">
        <f>'Смета Внутр'!G1309</f>
        <v>0</v>
      </c>
      <c r="I1302" s="1042">
        <f>'Смета Внутр'!H1309</f>
        <v>0</v>
      </c>
      <c r="J1302" s="3014">
        <f>'Смета Внутр'!I1309</f>
        <v>0</v>
      </c>
    </row>
    <row r="1303" spans="2:10" ht="15" customHeight="1">
      <c r="B1303" s="3002" t="str">
        <f>'Смета Внутр'!B1310</f>
        <v>Работы</v>
      </c>
      <c r="H1303">
        <f>'Смета Внутр'!G1310</f>
        <v>0</v>
      </c>
      <c r="I1303">
        <f>'Смета Внутр'!H1310</f>
        <v>0</v>
      </c>
      <c r="J1303" s="3011">
        <f>'Смета Внутр'!I1310</f>
        <v>0</v>
      </c>
    </row>
    <row r="1304" spans="2:10" ht="15" customHeight="1">
      <c r="B1304" s="3007" t="str">
        <f>'Смета Внутр'!B1311</f>
        <v>монтаж веранды/крыльцо</v>
      </c>
      <c r="C1304" s="3007" t="str">
        <f>'Смета Внутр'!C1311</f>
        <v>м2</v>
      </c>
      <c r="D1304" s="3014">
        <f>'Смета Внутр'!D1311</f>
        <v>3</v>
      </c>
      <c r="E1304" s="1042">
        <f>'Смета Внутр'!E1311</f>
        <v>1500</v>
      </c>
      <c r="F1304" s="1042">
        <f>'Смета Внутр'!F1311</f>
        <v>0</v>
      </c>
      <c r="G1304" s="3007">
        <f>IF(E1304&gt;F1304,E1304,F1304)</f>
        <v>1500</v>
      </c>
      <c r="H1304" s="1042">
        <f>'Смета Внутр'!G1311</f>
        <v>4500</v>
      </c>
      <c r="I1304" s="1042">
        <f>'Смета Внутр'!H1311</f>
        <v>0</v>
      </c>
      <c r="J1304" s="3014">
        <f>'Смета Внутр'!I1311</f>
        <v>0</v>
      </c>
    </row>
    <row r="1305" spans="2:10" ht="15" customHeight="1">
      <c r="B1305" s="3311" t="str">
        <f>'Смета Внутр'!B1312</f>
        <v>Итого, работы</v>
      </c>
      <c r="C1305" s="3311"/>
      <c r="D1305" s="3311"/>
      <c r="E1305" s="3311"/>
      <c r="F1305" s="3311"/>
      <c r="G1305" s="3311"/>
      <c r="H1305" s="1042">
        <f>'Смета Внутр'!G1312</f>
        <v>0</v>
      </c>
      <c r="I1305" s="1042">
        <f>'Смета Внутр'!H1312</f>
        <v>0</v>
      </c>
      <c r="J1305" s="3014">
        <f>'Смета Внутр'!I1312</f>
        <v>0</v>
      </c>
    </row>
    <row r="1306" spans="2:10" ht="15" customHeight="1">
      <c r="B1306" s="3329" t="str">
        <f>'Смета Внутр'!B1313</f>
        <v>Балкон</v>
      </c>
      <c r="C1306" s="3329"/>
      <c r="D1306" s="3329"/>
      <c r="H1306">
        <f>'Смета Внутр'!G1313</f>
        <v>0</v>
      </c>
      <c r="I1306">
        <f>'Смета Внутр'!H1313</f>
        <v>0</v>
      </c>
      <c r="J1306" s="3027">
        <f>'Смета Внутр'!I1313</f>
        <v>0</v>
      </c>
    </row>
    <row r="1307" spans="2:10" ht="15" customHeight="1">
      <c r="B1307" s="3002" t="str">
        <f>'Смета Внутр'!B1314</f>
        <v>Материалы</v>
      </c>
      <c r="D1307" s="1167"/>
      <c r="H1307">
        <f>'Смета Внутр'!G1314</f>
        <v>0</v>
      </c>
      <c r="I1307">
        <f>'Смета Внутр'!H1314</f>
        <v>0</v>
      </c>
      <c r="J1307" s="3027">
        <f>'Смета Внутр'!I1314</f>
        <v>0</v>
      </c>
    </row>
    <row r="1308" spans="2:10" ht="15" customHeight="1">
      <c r="B1308" s="1042" t="str">
        <f>'Смета Внутр'!B1315</f>
        <v>Оцилиндрованное бревно сосна 260мм</v>
      </c>
      <c r="C1308" s="1042" t="str">
        <f>'Смета Внутр'!C1315</f>
        <v>м3</v>
      </c>
      <c r="D1308" s="1058">
        <f>'Смета Внутр'!D1315</f>
        <v>1.1700000000000002</v>
      </c>
      <c r="E1308" s="1042">
        <f>'Смета Внутр'!E1315</f>
        <v>8500</v>
      </c>
      <c r="F1308" s="1042">
        <f>'Смета Внутр'!F1315</f>
        <v>0</v>
      </c>
      <c r="G1308" s="1042">
        <f t="shared" ref="G1308:G1318" si="56">IF(E1308&gt;F1308,E1308,F1308)</f>
        <v>8500</v>
      </c>
      <c r="H1308" s="1042">
        <f>'Смета Внутр'!G1315</f>
        <v>9945.0000000000018</v>
      </c>
      <c r="I1308" s="1042">
        <f>'Смета Внутр'!H1315</f>
        <v>0</v>
      </c>
      <c r="J1308" s="1058">
        <f>'Смета Внутр'!I1315</f>
        <v>0</v>
      </c>
    </row>
    <row r="1309" spans="2:10" ht="15" customHeight="1">
      <c r="B1309" s="1042" t="str">
        <f>'Смета Внутр'!B1316</f>
        <v>Доска естественной влажности, 200*50мм</v>
      </c>
      <c r="C1309" s="1042" t="str">
        <f>'Смета Внутр'!C1316</f>
        <v>м3</v>
      </c>
      <c r="D1309" s="1058">
        <f>'Смета Внутр'!D1316</f>
        <v>9.0000000000000024E-2</v>
      </c>
      <c r="E1309" s="1042">
        <f>'Смета Внутр'!E1316</f>
        <v>6500</v>
      </c>
      <c r="F1309" s="1042">
        <f>'Смета Внутр'!F1316</f>
        <v>0</v>
      </c>
      <c r="G1309" s="1042">
        <f t="shared" si="56"/>
        <v>6500</v>
      </c>
      <c r="H1309" s="1042">
        <f>'Смета Внутр'!G1316</f>
        <v>585.00000000000011</v>
      </c>
      <c r="I1309" s="1042">
        <f>'Смета Внутр'!H1316</f>
        <v>0</v>
      </c>
      <c r="J1309" s="1058">
        <f>'Смета Внутр'!I1316</f>
        <v>0</v>
      </c>
    </row>
    <row r="1310" spans="2:10" ht="15" customHeight="1">
      <c r="B1310" s="1042" t="str">
        <f>'Смета Внутр'!B1317</f>
        <v>Бензин для пилы</v>
      </c>
      <c r="C1310" s="1042" t="str">
        <f>'Смета Внутр'!C1317</f>
        <v>л</v>
      </c>
      <c r="D1310" s="1058">
        <f>'Смета Внутр'!D1317</f>
        <v>0.63000000000000012</v>
      </c>
      <c r="E1310" s="1042">
        <f>'Смета Внутр'!E1317</f>
        <v>40</v>
      </c>
      <c r="F1310" s="1042">
        <f>'Смета Внутр'!F1317</f>
        <v>0</v>
      </c>
      <c r="G1310" s="1042">
        <f t="shared" si="56"/>
        <v>40</v>
      </c>
      <c r="H1310" s="1042">
        <f>'Смета Внутр'!G1317</f>
        <v>25.200000000000003</v>
      </c>
      <c r="I1310" s="1042">
        <f>'Смета Внутр'!H1317</f>
        <v>0</v>
      </c>
      <c r="J1310" s="1058">
        <f>'Смета Внутр'!I1317</f>
        <v>0</v>
      </c>
    </row>
    <row r="1311" spans="2:10" ht="15" customHeight="1">
      <c r="B1311" s="1042" t="str">
        <f>'Смета Внутр'!B1318</f>
        <v>Масло для пилы</v>
      </c>
      <c r="C1311" s="1042" t="str">
        <f>'Смета Внутр'!C1318</f>
        <v>л</v>
      </c>
      <c r="D1311" s="1058">
        <f>'Смета Внутр'!D1318</f>
        <v>5.2500000000000012E-2</v>
      </c>
      <c r="E1311" s="1042">
        <f>'Смета Внутр'!E1318</f>
        <v>250</v>
      </c>
      <c r="F1311" s="1042">
        <f>'Смета Внутр'!F1318</f>
        <v>0</v>
      </c>
      <c r="G1311" s="1042">
        <f t="shared" si="56"/>
        <v>250</v>
      </c>
      <c r="H1311" s="1042">
        <f>'Смета Внутр'!G1318</f>
        <v>13.125000000000004</v>
      </c>
      <c r="I1311" s="1042">
        <f>'Смета Внутр'!H1318</f>
        <v>0</v>
      </c>
      <c r="J1311" s="1058">
        <f>'Смета Внутр'!I1318</f>
        <v>0</v>
      </c>
    </row>
    <row r="1312" spans="2:10" ht="15" customHeight="1">
      <c r="B1312" s="1042" t="str">
        <f>'Смета Внутр'!B1319</f>
        <v>Цепь для пилы</v>
      </c>
      <c r="C1312" s="1042" t="str">
        <f>'Смета Внутр'!C1319</f>
        <v>л</v>
      </c>
      <c r="D1312" s="1058">
        <f>'Смета Внутр'!D1319</f>
        <v>1</v>
      </c>
      <c r="E1312" s="1042">
        <f>'Смета Внутр'!E1319</f>
        <v>800</v>
      </c>
      <c r="F1312" s="1042">
        <f>'Смета Внутр'!F1319</f>
        <v>0</v>
      </c>
      <c r="G1312" s="1042">
        <f t="shared" si="56"/>
        <v>800</v>
      </c>
      <c r="H1312" s="1042">
        <f>'Смета Внутр'!G1319</f>
        <v>800</v>
      </c>
      <c r="I1312" s="1042">
        <f>'Смета Внутр'!H1319</f>
        <v>0</v>
      </c>
      <c r="J1312" s="1058">
        <f>'Смета Внутр'!I1319</f>
        <v>0</v>
      </c>
    </row>
    <row r="1313" spans="2:10" ht="15" customHeight="1">
      <c r="B1313" s="1042" t="str">
        <f>'Смета Внутр'!B1320</f>
        <v>Гидроизоляция жидкая резина 1</v>
      </c>
      <c r="C1313" s="1042" t="str">
        <f>'Смета Внутр'!C1320</f>
        <v>кг</v>
      </c>
      <c r="D1313" s="1058">
        <f>'Смета Внутр'!D1320</f>
        <v>0</v>
      </c>
      <c r="E1313" s="1042">
        <f>'Смета Внутр'!E1320</f>
        <v>150</v>
      </c>
      <c r="F1313" s="1042">
        <f>'Смета Внутр'!F1320</f>
        <v>0</v>
      </c>
      <c r="G1313" s="1042">
        <f t="shared" si="56"/>
        <v>150</v>
      </c>
      <c r="H1313" s="1042">
        <f>'Смета Внутр'!G1320</f>
        <v>0</v>
      </c>
      <c r="I1313" s="1042">
        <f>'Смета Внутр'!H1320</f>
        <v>0</v>
      </c>
      <c r="J1313" s="1058">
        <f>'Смета Внутр'!I1320</f>
        <v>0</v>
      </c>
    </row>
    <row r="1314" spans="2:10" ht="15" customHeight="1">
      <c r="B1314" s="1042" t="str">
        <f>'Смета Внутр'!B1321</f>
        <v>Kronospan - OSB-3, 22мм</v>
      </c>
      <c r="C1314" s="1042" t="str">
        <f>'Смета Внутр'!C1321</f>
        <v>м2</v>
      </c>
      <c r="D1314" s="1058">
        <f>'Смета Внутр'!D1321</f>
        <v>0</v>
      </c>
      <c r="E1314" s="1042">
        <f>'Смета Внутр'!E1321</f>
        <v>526.66666666666663</v>
      </c>
      <c r="F1314" s="1042">
        <f>'Смета Внутр'!F1321</f>
        <v>0</v>
      </c>
      <c r="G1314" s="1042">
        <f t="shared" si="56"/>
        <v>526.66666666666663</v>
      </c>
      <c r="H1314" s="1042">
        <f>'Смета Внутр'!G1321</f>
        <v>0</v>
      </c>
      <c r="I1314" s="1042">
        <f>'Смета Внутр'!H1321</f>
        <v>0</v>
      </c>
      <c r="J1314" s="1058">
        <f>'Смета Внутр'!I1321</f>
        <v>0</v>
      </c>
    </row>
    <row r="1315" spans="2:10" ht="15" customHeight="1">
      <c r="B1315" s="1042" t="str">
        <f>'Смета Внутр'!B1322</f>
        <v>Проф.брус вл. 200*150мм</v>
      </c>
      <c r="C1315" s="1042" t="str">
        <f>'Смета Внутр'!C1322</f>
        <v>м3</v>
      </c>
      <c r="D1315" s="1058">
        <f>'Смета Внутр'!D1322</f>
        <v>0</v>
      </c>
      <c r="E1315" s="1042">
        <f>'Смета Внутр'!E1322</f>
        <v>9300</v>
      </c>
      <c r="F1315" s="1042">
        <f>'Смета Внутр'!F1322</f>
        <v>0</v>
      </c>
      <c r="G1315" s="1042">
        <f t="shared" si="56"/>
        <v>9300</v>
      </c>
      <c r="H1315" s="1042">
        <f>'Смета Внутр'!G1322</f>
        <v>0</v>
      </c>
      <c r="I1315" s="1042">
        <f>'Смета Внутр'!H1322</f>
        <v>0</v>
      </c>
      <c r="J1315" s="1058">
        <f>'Смета Внутр'!I1322</f>
        <v>0</v>
      </c>
    </row>
    <row r="1316" spans="2:10" ht="15" customHeight="1">
      <c r="B1316" s="1042" t="str">
        <f>'Смета Внутр'!B1323</f>
        <v>Брус клееный проф 2 ламель кедр Шир. 240 выс. 140</v>
      </c>
      <c r="C1316" s="1042" t="str">
        <f>'Смета Внутр'!C1323</f>
        <v>м3</v>
      </c>
      <c r="D1316" s="1058">
        <f>'Смета Внутр'!D1323</f>
        <v>0</v>
      </c>
      <c r="E1316" s="1042">
        <f>'Смета Внутр'!E1323</f>
        <v>24000</v>
      </c>
      <c r="F1316" s="1042">
        <f>'Смета Внутр'!F1323</f>
        <v>0</v>
      </c>
      <c r="G1316" s="1042">
        <f t="shared" si="56"/>
        <v>24000</v>
      </c>
      <c r="H1316" s="1042">
        <f>'Смета Внутр'!G1323</f>
        <v>0</v>
      </c>
      <c r="I1316" s="1042">
        <f>'Смета Внутр'!H1323</f>
        <v>0</v>
      </c>
      <c r="J1316" s="1058">
        <f>'Смета Внутр'!I1323</f>
        <v>0</v>
      </c>
    </row>
    <row r="1317" spans="2:10" ht="15" customHeight="1">
      <c r="B1317" s="1042" t="str">
        <f>'Смета Внутр'!B1324</f>
        <v>Брус клееный проф 1 ламель кедр Шир. 240 выс. 140</v>
      </c>
      <c r="C1317" s="1042" t="str">
        <f>'Смета Внутр'!C1324</f>
        <v>м3</v>
      </c>
      <c r="D1317" s="1058">
        <f>'Смета Внутр'!D1324</f>
        <v>0</v>
      </c>
      <c r="E1317" s="1042">
        <f>'Смета Внутр'!E1324</f>
        <v>24000</v>
      </c>
      <c r="F1317" s="1042">
        <f>'Смета Внутр'!F1324</f>
        <v>0</v>
      </c>
      <c r="G1317" s="1042">
        <f t="shared" si="56"/>
        <v>24000</v>
      </c>
      <c r="H1317" s="1042">
        <f>'Смета Внутр'!G1324</f>
        <v>0</v>
      </c>
      <c r="I1317" s="1042">
        <f>'Смета Внутр'!H1324</f>
        <v>0</v>
      </c>
      <c r="J1317" s="1058">
        <f>'Смета Внутр'!I1324</f>
        <v>0</v>
      </c>
    </row>
    <row r="1318" spans="2:10" ht="15" customHeight="1">
      <c r="B1318" s="1042" t="str">
        <f>'Смета Внутр'!B1325</f>
        <v>Клееная накладка на перила шир 240мм</v>
      </c>
      <c r="C1318" s="1042" t="str">
        <f>'Смета Внутр'!C1325</f>
        <v>м.п.</v>
      </c>
      <c r="D1318" s="1058">
        <f>'Смета Внутр'!D1325</f>
        <v>0</v>
      </c>
      <c r="E1318" s="1042">
        <f>'Смета Внутр'!E1325</f>
        <v>400</v>
      </c>
      <c r="F1318" s="1042">
        <f>'Смета Внутр'!F1325</f>
        <v>0</v>
      </c>
      <c r="G1318" s="1042">
        <f t="shared" si="56"/>
        <v>400</v>
      </c>
      <c r="H1318" s="1042">
        <f>'Смета Внутр'!G1325</f>
        <v>0</v>
      </c>
      <c r="I1318" s="1042">
        <f>'Смета Внутр'!H1325</f>
        <v>0</v>
      </c>
      <c r="J1318" s="1058">
        <f>'Смета Внутр'!I1325</f>
        <v>0</v>
      </c>
    </row>
    <row r="1319" spans="2:10">
      <c r="B1319" s="3330" t="str">
        <f>'Смета Внутр'!B1326</f>
        <v>Итого материалы</v>
      </c>
      <c r="C1319" s="3330"/>
      <c r="D1319" s="3330"/>
      <c r="E1319" s="3330"/>
      <c r="F1319" s="3330"/>
      <c r="G1319" s="3330"/>
      <c r="H1319" s="1042">
        <f>'Смета Внутр'!G1326</f>
        <v>0</v>
      </c>
      <c r="I1319" s="1042">
        <f>'Смета Внутр'!H1326</f>
        <v>0</v>
      </c>
      <c r="J1319" s="1058">
        <f>'Смета Внутр'!I1326</f>
        <v>0</v>
      </c>
    </row>
    <row r="1320" spans="2:10" ht="15" customHeight="1">
      <c r="B1320" s="3002" t="str">
        <f>'Смета Внутр'!B1327</f>
        <v>Работы</v>
      </c>
      <c r="D1320" s="1167"/>
      <c r="H1320">
        <f>'Смета Внутр'!G1327</f>
        <v>0</v>
      </c>
      <c r="I1320">
        <f>'Смета Внутр'!H1327</f>
        <v>0</v>
      </c>
      <c r="J1320" s="3027">
        <f>'Смета Внутр'!I1327</f>
        <v>0</v>
      </c>
    </row>
    <row r="1321" spans="2:10" ht="15" customHeight="1">
      <c r="B1321" s="1042" t="str">
        <f>'Смета Внутр'!B1328</f>
        <v>кладка бруса</v>
      </c>
      <c r="C1321" s="1042" t="str">
        <f>'Смета Внутр'!C1328</f>
        <v>м3</v>
      </c>
      <c r="D1321" s="1058">
        <f>'Смета Внутр'!D1328</f>
        <v>1.1700000000000002</v>
      </c>
      <c r="E1321" s="1042">
        <f>'Смета Внутр'!E1328</f>
        <v>4000</v>
      </c>
      <c r="F1321" s="1042">
        <f>'Смета Внутр'!F1328</f>
        <v>0</v>
      </c>
      <c r="G1321" s="1042">
        <f t="shared" ref="G1321:G1326" si="57">IF(E1321&gt;F1321,E1321,F1321)</f>
        <v>4000</v>
      </c>
      <c r="H1321" s="1042">
        <f>'Смета Внутр'!G1328</f>
        <v>4680.0000000000009</v>
      </c>
      <c r="I1321" s="1042">
        <f>'Смета Внутр'!H1328</f>
        <v>0</v>
      </c>
      <c r="J1321" s="1058">
        <f>'Смета Внутр'!I1328</f>
        <v>0</v>
      </c>
    </row>
    <row r="1322" spans="2:10" ht="15" customHeight="1">
      <c r="B1322" s="1042" t="str">
        <f>'Смета Внутр'!B1329</f>
        <v>Монтаж перекрытий из бруса</v>
      </c>
      <c r="C1322" s="1042" t="str">
        <f>'Смета Внутр'!C1329</f>
        <v>м2</v>
      </c>
      <c r="D1322" s="1058">
        <f>'Смета Внутр'!D1329</f>
        <v>3</v>
      </c>
      <c r="E1322" s="1042">
        <f>'Смета Внутр'!E1329</f>
        <v>300</v>
      </c>
      <c r="F1322" s="1042">
        <f>'Смета Внутр'!F1329</f>
        <v>0</v>
      </c>
      <c r="G1322" s="1042">
        <f t="shared" si="57"/>
        <v>300</v>
      </c>
      <c r="H1322" s="1042">
        <f>'Смета Внутр'!G1329</f>
        <v>900</v>
      </c>
      <c r="I1322" s="1042">
        <f>'Смета Внутр'!H1329</f>
        <v>0</v>
      </c>
      <c r="J1322" s="1058">
        <f>'Смета Внутр'!I1329</f>
        <v>0</v>
      </c>
    </row>
    <row r="1323" spans="2:10" ht="15" customHeight="1">
      <c r="B1323" s="1042" t="str">
        <f>'Смета Внутр'!B1330</f>
        <v>Гидроизоляция рулонная</v>
      </c>
      <c r="C1323" s="1042" t="str">
        <f>'Смета Внутр'!C1330</f>
        <v>м2</v>
      </c>
      <c r="D1323" s="1058">
        <f>'Смета Внутр'!D1330</f>
        <v>0</v>
      </c>
      <c r="E1323" s="1042">
        <f>'Смета Внутр'!E1330</f>
        <v>250</v>
      </c>
      <c r="F1323" s="1042">
        <f>'Смета Внутр'!F1330</f>
        <v>0</v>
      </c>
      <c r="G1323" s="1042">
        <f t="shared" si="57"/>
        <v>250</v>
      </c>
      <c r="H1323" s="1042">
        <f>'Смета Внутр'!G1330</f>
        <v>0</v>
      </c>
      <c r="I1323" s="1042">
        <f>'Смета Внутр'!H1330</f>
        <v>0</v>
      </c>
      <c r="J1323" s="1058">
        <f>'Смета Внутр'!I1330</f>
        <v>0</v>
      </c>
    </row>
    <row r="1324" spans="2:10" ht="15" customHeight="1">
      <c r="B1324" s="1042" t="str">
        <f>'Смета Внутр'!B1331</f>
        <v>монтаж OSB пол</v>
      </c>
      <c r="C1324" s="1042" t="str">
        <f>'Смета Внутр'!C1331</f>
        <v>м2</v>
      </c>
      <c r="D1324" s="1058">
        <f>'Смета Внутр'!D1331</f>
        <v>0</v>
      </c>
      <c r="E1324" s="1042">
        <f>'Смета Внутр'!E1331</f>
        <v>250</v>
      </c>
      <c r="F1324" s="1042">
        <f>'Смета Внутр'!F1331</f>
        <v>0</v>
      </c>
      <c r="G1324" s="1042">
        <f t="shared" si="57"/>
        <v>250</v>
      </c>
      <c r="H1324" s="1042">
        <f>'Смета Внутр'!G1331</f>
        <v>0</v>
      </c>
      <c r="I1324" s="1042">
        <f>'Смета Внутр'!H1331</f>
        <v>0</v>
      </c>
      <c r="J1324" s="1058">
        <f>'Смета Внутр'!I1331</f>
        <v>0</v>
      </c>
    </row>
    <row r="1325" spans="2:10" ht="15" customHeight="1">
      <c r="B1325" s="1042" t="str">
        <f>'Смета Внутр'!B1332</f>
        <v>Монтаж перил</v>
      </c>
      <c r="C1325" s="1042" t="str">
        <f>'Смета Внутр'!C1332</f>
        <v>м.п.</v>
      </c>
      <c r="D1325" s="1058">
        <f>'Смета Внутр'!D1332</f>
        <v>0</v>
      </c>
      <c r="E1325" s="1042">
        <f>'Смета Внутр'!E1332</f>
        <v>500</v>
      </c>
      <c r="F1325" s="1042">
        <f>'Смета Внутр'!F1332</f>
        <v>0</v>
      </c>
      <c r="G1325" s="1042">
        <f t="shared" si="57"/>
        <v>500</v>
      </c>
      <c r="H1325" s="1042">
        <f>'Смета Внутр'!G1332</f>
        <v>0</v>
      </c>
      <c r="I1325" s="1042">
        <f>'Смета Внутр'!H1332</f>
        <v>0</v>
      </c>
      <c r="J1325" s="1058">
        <f>'Смета Внутр'!I1332</f>
        <v>0</v>
      </c>
    </row>
    <row r="1326" spans="2:10" ht="15" customHeight="1">
      <c r="B1326" s="1042" t="str">
        <f>'Смета Внутр'!B1333</f>
        <v>Монтаж накладки на перила</v>
      </c>
      <c r="C1326" s="1042" t="str">
        <f>'Смета Внутр'!C1333</f>
        <v>м.п.</v>
      </c>
      <c r="D1326" s="1058">
        <f>'Смета Внутр'!D1333</f>
        <v>0</v>
      </c>
      <c r="E1326" s="1042">
        <f>'Смета Внутр'!E1333</f>
        <v>0</v>
      </c>
      <c r="F1326" s="1042">
        <f>'Смета Внутр'!F1333</f>
        <v>0</v>
      </c>
      <c r="G1326" s="1042">
        <f t="shared" si="57"/>
        <v>0</v>
      </c>
      <c r="H1326" s="1042">
        <f>'Смета Внутр'!G1333</f>
        <v>0</v>
      </c>
      <c r="I1326" s="1042">
        <f>'Смета Внутр'!H1333</f>
        <v>0</v>
      </c>
      <c r="J1326" s="1058">
        <f>'Смета Внутр'!I1333</f>
        <v>0</v>
      </c>
    </row>
    <row r="1327" spans="2:10" ht="15" customHeight="1">
      <c r="B1327" s="3330" t="str">
        <f>'Смета Внутр'!B1334</f>
        <v>Итого работы</v>
      </c>
      <c r="C1327" s="3330"/>
      <c r="D1327" s="3330"/>
      <c r="E1327" s="3330"/>
      <c r="F1327" s="3330"/>
      <c r="G1327" s="3330"/>
      <c r="H1327" s="1042">
        <f>'Смета Внутр'!G1334</f>
        <v>0</v>
      </c>
      <c r="I1327" s="1042">
        <f>'Смета Внутр'!H1334</f>
        <v>0</v>
      </c>
      <c r="J1327" s="1058">
        <f>'Смета Внутр'!I1334</f>
        <v>0</v>
      </c>
    </row>
    <row r="1328" spans="2:10" ht="15" customHeight="1">
      <c r="B1328" s="3329" t="str">
        <f>'Смета Внутр'!B1335</f>
        <v>Кровля односкатная</v>
      </c>
      <c r="C1328" s="3329"/>
      <c r="D1328" s="3329"/>
      <c r="H1328">
        <f>'Смета Внутр'!G1335</f>
        <v>0</v>
      </c>
      <c r="I1328">
        <f>'Смета Внутр'!H1335</f>
        <v>0</v>
      </c>
      <c r="J1328" s="3027">
        <f>'Смета Внутр'!I1335</f>
        <v>0</v>
      </c>
    </row>
    <row r="1329" spans="2:10" ht="15" customHeight="1">
      <c r="B1329" s="3002" t="str">
        <f>'Смета Внутр'!B1336</f>
        <v>Материалы</v>
      </c>
      <c r="D1329" s="1167"/>
      <c r="H1329">
        <f>'Смета Внутр'!G1336</f>
        <v>0</v>
      </c>
      <c r="I1329">
        <f>'Смета Внутр'!H1336</f>
        <v>0</v>
      </c>
      <c r="J1329" s="3027">
        <f>'Смета Внутр'!I1336</f>
        <v>0</v>
      </c>
    </row>
    <row r="1330" spans="2:10" ht="15" customHeight="1">
      <c r="B1330" s="1042" t="str">
        <f>'Смета Внутр'!B1337</f>
        <v>нет</v>
      </c>
      <c r="C1330" s="1042" t="str">
        <f>'Смета Внутр'!C1337</f>
        <v>м3</v>
      </c>
      <c r="D1330" s="1058">
        <f>'Смета Внутр'!D1337</f>
        <v>0</v>
      </c>
      <c r="E1330" s="1042">
        <f>'Смета Внутр'!E1337</f>
        <v>0</v>
      </c>
      <c r="F1330" s="1042">
        <f>'Смета Внутр'!F1337</f>
        <v>0</v>
      </c>
      <c r="G1330" s="1042">
        <f t="shared" ref="G1330:G1361" si="58">IF(E1330&gt;F1330,E1330,F1330)</f>
        <v>0</v>
      </c>
      <c r="H1330" s="1042">
        <f>'Смета Внутр'!G1337</f>
        <v>0</v>
      </c>
      <c r="I1330" s="1042">
        <f>'Смета Внутр'!H1337</f>
        <v>0</v>
      </c>
      <c r="J1330" s="1058">
        <f>'Смета Внутр'!I1337</f>
        <v>0</v>
      </c>
    </row>
    <row r="1331" spans="2:10" ht="15" customHeight="1">
      <c r="B1331" s="1042" t="str">
        <f>'Смета Внутр'!B1338</f>
        <v xml:space="preserve">Болты анкерные с гайкой 12,0 х 280          </v>
      </c>
      <c r="C1331" s="1042" t="str">
        <f>'Смета Внутр'!C1338</f>
        <v>шт</v>
      </c>
      <c r="D1331" s="1058">
        <f>'Смета Внутр'!D1338</f>
        <v>48.284271247461902</v>
      </c>
      <c r="E1331" s="1042">
        <f>'Смета Внутр'!E1338</f>
        <v>27.1</v>
      </c>
      <c r="F1331" s="1042">
        <f>'Смета Внутр'!F1338</f>
        <v>0</v>
      </c>
      <c r="G1331" s="1042">
        <f t="shared" si="58"/>
        <v>27.1</v>
      </c>
      <c r="H1331" s="1042">
        <f>'Смета Внутр'!G1338</f>
        <v>1308.5037508062176</v>
      </c>
      <c r="I1331" s="1042">
        <f>'Смета Внутр'!H1338</f>
        <v>0</v>
      </c>
      <c r="J1331" s="1058">
        <f>'Смета Внутр'!I1338</f>
        <v>0</v>
      </c>
    </row>
    <row r="1332" spans="2:10" ht="15" customHeight="1">
      <c r="B1332" s="1042" t="str">
        <f>'Смета Внутр'!B1339</f>
        <v>Доска сухая, 200*50мм</v>
      </c>
      <c r="C1332" s="1042" t="str">
        <f>'Смета Внутр'!C1339</f>
        <v>м3</v>
      </c>
      <c r="D1332" s="1058">
        <f>'Смета Внутр'!D1339</f>
        <v>7.2454148991380123</v>
      </c>
      <c r="E1332" s="1042">
        <f>'Смета Внутр'!E1339</f>
        <v>9000</v>
      </c>
      <c r="F1332" s="1042">
        <f>'Смета Внутр'!F1339</f>
        <v>0</v>
      </c>
      <c r="G1332" s="1042">
        <f t="shared" si="58"/>
        <v>9000</v>
      </c>
      <c r="H1332" s="1042">
        <f>'Смета Внутр'!G1339</f>
        <v>65208.734092242114</v>
      </c>
      <c r="I1332" s="1042">
        <f>'Смета Внутр'!H1339</f>
        <v>0</v>
      </c>
      <c r="J1332" s="1058">
        <f>'Смета Внутр'!I1339</f>
        <v>0</v>
      </c>
    </row>
    <row r="1333" spans="2:10" ht="15" customHeight="1">
      <c r="B1333" s="1042" t="str">
        <f>'Смета Внутр'!B1340</f>
        <v xml:space="preserve">бугель, доска </v>
      </c>
      <c r="C1333" s="1042" t="str">
        <f>'Смета Внутр'!C1340</f>
        <v>м3</v>
      </c>
      <c r="D1333" s="1058">
        <f>'Смета Внутр'!D1340</f>
        <v>2.600000000000001</v>
      </c>
      <c r="E1333" s="1042">
        <f>'Смета Внутр'!E1340</f>
        <v>9000</v>
      </c>
      <c r="F1333" s="1042">
        <f>'Смета Внутр'!F1340</f>
        <v>0</v>
      </c>
      <c r="G1333" s="1042">
        <f t="shared" si="58"/>
        <v>9000</v>
      </c>
      <c r="H1333" s="1042">
        <f>'Смета Внутр'!G1340</f>
        <v>23400.000000000007</v>
      </c>
      <c r="I1333" s="1042">
        <f>'Смета Внутр'!H1340</f>
        <v>0</v>
      </c>
      <c r="J1333" s="1058">
        <f>'Смета Внутр'!I1340</f>
        <v>0</v>
      </c>
    </row>
    <row r="1334" spans="2:10" ht="15" customHeight="1">
      <c r="B1334" s="1042" t="str">
        <f>'Смета Внутр'!B1341</f>
        <v>стойка под конек</v>
      </c>
      <c r="C1334" s="1042" t="str">
        <f>'Смета Внутр'!C1341</f>
        <v>м3</v>
      </c>
      <c r="D1334" s="1058">
        <f>'Смета Внутр'!D1341</f>
        <v>1.3000000000000005</v>
      </c>
      <c r="E1334" s="1042">
        <f>'Смета Внутр'!E1341</f>
        <v>9000</v>
      </c>
      <c r="F1334" s="1042">
        <f>'Смета Внутр'!F1341</f>
        <v>0</v>
      </c>
      <c r="G1334" s="1042">
        <f t="shared" si="58"/>
        <v>9000</v>
      </c>
      <c r="H1334" s="1042">
        <f>'Смета Внутр'!G1341</f>
        <v>11700.000000000004</v>
      </c>
      <c r="I1334" s="1042">
        <f>'Смета Внутр'!H1341</f>
        <v>0</v>
      </c>
      <c r="J1334" s="1058">
        <f>'Смета Внутр'!I1341</f>
        <v>0</v>
      </c>
    </row>
    <row r="1335" spans="2:10" ht="15" customHeight="1">
      <c r="B1335" s="1042" t="str">
        <f>'Смета Внутр'!B1342</f>
        <v>Сосна влаж,100*25мм</v>
      </c>
      <c r="C1335" s="1042" t="str">
        <f>'Смета Внутр'!C1342</f>
        <v>м3</v>
      </c>
      <c r="D1335" s="1058">
        <f>'Смета Внутр'!D1342</f>
        <v>1.2058969414096354</v>
      </c>
      <c r="E1335" s="1042">
        <f>'Смета Внутр'!E1342</f>
        <v>6500</v>
      </c>
      <c r="F1335" s="1042">
        <f>'Смета Внутр'!F1342</f>
        <v>0</v>
      </c>
      <c r="G1335" s="1042">
        <f t="shared" si="58"/>
        <v>6500</v>
      </c>
      <c r="H1335" s="1042">
        <f>'Смета Внутр'!G1342</f>
        <v>7838.3301191626306</v>
      </c>
      <c r="I1335" s="1042">
        <f>'Смета Внутр'!H1342</f>
        <v>0</v>
      </c>
      <c r="J1335" s="1058">
        <f>'Смета Внутр'!I1342</f>
        <v>0</v>
      </c>
    </row>
    <row r="1336" spans="2:10" ht="15" customHeight="1">
      <c r="B1336" s="1042" t="str">
        <f>'Смета Внутр'!B1343</f>
        <v>Сосна влаж, 50*50мм</v>
      </c>
      <c r="C1336" s="1042" t="str">
        <f>'Смета Внутр'!C1343</f>
        <v>м3</v>
      </c>
      <c r="D1336" s="1058">
        <f>'Смета Внутр'!D1343</f>
        <v>1.004914117841363</v>
      </c>
      <c r="E1336" s="1042">
        <f>'Смета Внутр'!E1343</f>
        <v>6500</v>
      </c>
      <c r="F1336" s="1042">
        <f>'Смета Внутр'!F1343</f>
        <v>0</v>
      </c>
      <c r="G1336" s="1042">
        <f t="shared" si="58"/>
        <v>6500</v>
      </c>
      <c r="H1336" s="1042">
        <f>'Смета Внутр'!G1343</f>
        <v>6531.9417659688597</v>
      </c>
      <c r="I1336" s="1042">
        <f>'Смета Внутр'!H1343</f>
        <v>0</v>
      </c>
      <c r="J1336" s="1058">
        <f>'Смета Внутр'!I1343</f>
        <v>0</v>
      </c>
    </row>
    <row r="1337" spans="2:10" ht="15" customHeight="1">
      <c r="B1337" s="1042" t="str">
        <f>'Смета Внутр'!B1344</f>
        <v>Нет</v>
      </c>
      <c r="C1337" s="1042" t="str">
        <f>'Смета Внутр'!C1344</f>
        <v>м3</v>
      </c>
      <c r="D1337" s="1058">
        <f>'Смета Внутр'!D1344</f>
        <v>0</v>
      </c>
      <c r="E1337" s="1042">
        <f>'Смета Внутр'!E1344</f>
        <v>0</v>
      </c>
      <c r="F1337" s="1042">
        <f>'Смета Внутр'!F1344</f>
        <v>0</v>
      </c>
      <c r="G1337" s="1042">
        <f t="shared" si="58"/>
        <v>0</v>
      </c>
      <c r="H1337" s="1042">
        <f>'Смета Внутр'!G1344</f>
        <v>0</v>
      </c>
      <c r="I1337" s="1042">
        <f>'Смета Внутр'!H1344</f>
        <v>0</v>
      </c>
      <c r="J1337" s="1058">
        <f>'Смета Внутр'!I1344</f>
        <v>0</v>
      </c>
    </row>
    <row r="1338" spans="2:10" ht="15" customHeight="1">
      <c r="B1338" s="1042" t="str">
        <f>'Смета Внутр'!B1345</f>
        <v>Гидрокомпенсатор</v>
      </c>
      <c r="C1338" s="1042" t="str">
        <f>'Смета Внутр'!C1345</f>
        <v>шт</v>
      </c>
      <c r="D1338" s="1058">
        <f>'Смета Внутр'!D1345</f>
        <v>0</v>
      </c>
      <c r="E1338" s="1042">
        <f>'Смета Внутр'!E1345</f>
        <v>450</v>
      </c>
      <c r="F1338" s="1042">
        <f>'Смета Внутр'!F1345</f>
        <v>0</v>
      </c>
      <c r="G1338" s="1042">
        <f t="shared" si="58"/>
        <v>450</v>
      </c>
      <c r="H1338" s="1042">
        <f>'Смета Внутр'!G1345</f>
        <v>0</v>
      </c>
      <c r="I1338" s="1042">
        <f>'Смета Внутр'!H1345</f>
        <v>0</v>
      </c>
      <c r="J1338" s="1058">
        <f>'Смета Внутр'!I1345</f>
        <v>0</v>
      </c>
    </row>
    <row r="1339" spans="2:10" ht="15" customHeight="1">
      <c r="B1339" s="1042" t="str">
        <f>'Смета Внутр'!B1346</f>
        <v>Мембрана MD90</v>
      </c>
      <c r="C1339" s="1042" t="str">
        <f>'Смета Внутр'!C1346</f>
        <v>м2</v>
      </c>
      <c r="D1339" s="1058">
        <f>'Смета Внутр'!D1346</f>
        <v>192.94351062554165</v>
      </c>
      <c r="E1339" s="1042">
        <f>'Смета Внутр'!E1346</f>
        <v>34</v>
      </c>
      <c r="F1339" s="1042">
        <f>'Смета Внутр'!F1346</f>
        <v>0</v>
      </c>
      <c r="G1339" s="1042">
        <f t="shared" si="58"/>
        <v>34</v>
      </c>
      <c r="H1339" s="1042">
        <f>'Смета Внутр'!G1346</f>
        <v>6560.0793612684156</v>
      </c>
      <c r="I1339" s="1042">
        <f>'Смета Внутр'!H1346</f>
        <v>0</v>
      </c>
      <c r="J1339" s="1058">
        <f>'Смета Внутр'!I1346</f>
        <v>0</v>
      </c>
    </row>
    <row r="1340" spans="2:10" ht="15" customHeight="1">
      <c r="B1340" s="1042" t="str">
        <f>'Смета Внутр'!B1347</f>
        <v>Мембрана Tyvek AirGuard Reflective</v>
      </c>
      <c r="C1340" s="1042" t="str">
        <f>'Смета Внутр'!C1347</f>
        <v>м2</v>
      </c>
      <c r="D1340" s="1058">
        <f>'Смета Внутр'!D1347</f>
        <v>139.75424859373686</v>
      </c>
      <c r="E1340" s="1042">
        <f>'Смета Внутр'!E1347</f>
        <v>174</v>
      </c>
      <c r="F1340" s="1042">
        <f>'Смета Внутр'!F1347</f>
        <v>0</v>
      </c>
      <c r="G1340" s="1042">
        <f t="shared" si="58"/>
        <v>174</v>
      </c>
      <c r="H1340" s="1042">
        <f>'Смета Внутр'!G1347</f>
        <v>24317.239255310215</v>
      </c>
      <c r="I1340" s="1042">
        <f>'Смета Внутр'!H1347</f>
        <v>0</v>
      </c>
      <c r="J1340" s="1058">
        <f>'Смета Внутр'!I1347</f>
        <v>0</v>
      </c>
    </row>
    <row r="1341" spans="2:10" ht="15" customHeight="1">
      <c r="B1341" s="1042" t="str">
        <f>'Смета Внутр'!B1348</f>
        <v>Плитный,28кг/м3, технониколь, 200мм</v>
      </c>
      <c r="C1341" s="1042" t="str">
        <f>'Смета Внутр'!C1348</f>
        <v>м3</v>
      </c>
      <c r="D1341" s="1058">
        <f>'Смета Внутр'!D1348</f>
        <v>22.360679774997898</v>
      </c>
      <c r="E1341" s="1042">
        <f>'Смета Внутр'!E1348</f>
        <v>1700</v>
      </c>
      <c r="F1341" s="1042">
        <f>'Смета Внутр'!F1348</f>
        <v>0</v>
      </c>
      <c r="G1341" s="1042">
        <f t="shared" si="58"/>
        <v>1700</v>
      </c>
      <c r="H1341" s="1042">
        <f>'Смета Внутр'!G1348</f>
        <v>38013.155617496428</v>
      </c>
      <c r="I1341" s="1042">
        <f>'Смета Внутр'!H1348</f>
        <v>0</v>
      </c>
      <c r="J1341" s="1058">
        <f>'Смета Внутр'!I1348</f>
        <v>0</v>
      </c>
    </row>
    <row r="1342" spans="2:10" ht="15" customHeight="1">
      <c r="B1342" s="1042" t="str">
        <f>'Смета Внутр'!B1349</f>
        <v>Металлочерепица</v>
      </c>
      <c r="C1342" s="1042" t="str">
        <f>'Смета Внутр'!C1349</f>
        <v>м2</v>
      </c>
      <c r="D1342" s="1058">
        <f>'Смета Внутр'!D1349</f>
        <v>192.94351062554165</v>
      </c>
      <c r="E1342" s="1042">
        <f>'Смета Внутр'!E1349</f>
        <v>250</v>
      </c>
      <c r="F1342" s="1042">
        <f>'Смета Внутр'!F1349</f>
        <v>0</v>
      </c>
      <c r="G1342" s="1042">
        <f t="shared" si="58"/>
        <v>250</v>
      </c>
      <c r="H1342" s="1042">
        <f>'Смета Внутр'!G1349</f>
        <v>48235.877656385412</v>
      </c>
      <c r="I1342" s="1042">
        <f>'Смета Внутр'!H1349</f>
        <v>0</v>
      </c>
      <c r="J1342" s="1058">
        <f>'Смета Внутр'!I1349</f>
        <v>0</v>
      </c>
    </row>
    <row r="1343" spans="2:10" ht="15" customHeight="1">
      <c r="B1343" s="1042" t="str">
        <f>'Смета Внутр'!B1350</f>
        <v>Карнизная планка</v>
      </c>
      <c r="C1343" s="1042" t="str">
        <f>'Смета Внутр'!C1350</f>
        <v>м.п.</v>
      </c>
      <c r="D1343" s="1058">
        <f>'Смета Внутр'!D1350</f>
        <v>14.278000000000004</v>
      </c>
      <c r="E1343" s="1042">
        <f>'Смета Внутр'!E1350</f>
        <v>190</v>
      </c>
      <c r="F1343" s="1042">
        <f>'Смета Внутр'!F1350</f>
        <v>0</v>
      </c>
      <c r="G1343" s="1042">
        <f t="shared" si="58"/>
        <v>190</v>
      </c>
      <c r="H1343" s="1042">
        <f>'Смета Внутр'!G1350</f>
        <v>2712.8200000000006</v>
      </c>
      <c r="I1343" s="1042">
        <f>'Смета Внутр'!H1350</f>
        <v>0</v>
      </c>
      <c r="J1343" s="1058">
        <f>'Смета Внутр'!I1350</f>
        <v>0</v>
      </c>
    </row>
    <row r="1344" spans="2:10" ht="15" customHeight="1">
      <c r="B1344" s="1042" t="str">
        <f>'Смета Внутр'!B1351</f>
        <v>Торцевая планка</v>
      </c>
      <c r="C1344" s="1042" t="str">
        <f>'Смета Внутр'!C1351</f>
        <v>м.п.</v>
      </c>
      <c r="D1344" s="1058">
        <f>'Смета Внутр'!D1351</f>
        <v>41.838455040691507</v>
      </c>
      <c r="E1344" s="1042">
        <f>'Смета Внутр'!E1351</f>
        <v>190</v>
      </c>
      <c r="F1344" s="1042">
        <f>'Смета Внутр'!F1351</f>
        <v>0</v>
      </c>
      <c r="G1344" s="1042">
        <f t="shared" si="58"/>
        <v>190</v>
      </c>
      <c r="H1344" s="1042">
        <f>'Смета Внутр'!G1351</f>
        <v>7949.3064577313862</v>
      </c>
      <c r="I1344" s="1042">
        <f>'Смета Внутр'!H1351</f>
        <v>0</v>
      </c>
      <c r="J1344" s="1058">
        <f>'Смета Внутр'!I1351</f>
        <v>0</v>
      </c>
    </row>
    <row r="1345" spans="2:10" ht="15" customHeight="1">
      <c r="B1345" s="1042" t="str">
        <f>'Смета Внутр'!B1352</f>
        <v>Конек</v>
      </c>
      <c r="C1345" s="1042" t="str">
        <f>'Смета Внутр'!C1352</f>
        <v>м.п.</v>
      </c>
      <c r="D1345" s="1058">
        <f>'Смета Внутр'!D1352</f>
        <v>12.980000000000002</v>
      </c>
      <c r="E1345" s="1042">
        <f>'Смета Внутр'!E1352</f>
        <v>200</v>
      </c>
      <c r="F1345" s="1042">
        <f>'Смета Внутр'!F1352</f>
        <v>0</v>
      </c>
      <c r="G1345" s="1042">
        <f t="shared" si="58"/>
        <v>200</v>
      </c>
      <c r="H1345" s="1042">
        <f>'Смета Внутр'!G1352</f>
        <v>2596.0000000000005</v>
      </c>
      <c r="I1345" s="1042">
        <f>'Смета Внутр'!H1352</f>
        <v>0</v>
      </c>
      <c r="J1345" s="1058">
        <f>'Смета Внутр'!I1352</f>
        <v>0</v>
      </c>
    </row>
    <row r="1346" spans="2:10" ht="15" customHeight="1">
      <c r="B1346" s="1042" t="str">
        <f>'Смета Внутр'!B1353</f>
        <v>ондулин</v>
      </c>
      <c r="C1346" s="1042" t="str">
        <f>'Смета Внутр'!C1353</f>
        <v>м2</v>
      </c>
      <c r="D1346" s="1058">
        <f>'Смета Внутр'!D1353</f>
        <v>0</v>
      </c>
      <c r="E1346" s="1042">
        <f>'Смета Внутр'!E1353</f>
        <v>180</v>
      </c>
      <c r="F1346" s="1042">
        <f>'Смета Внутр'!F1353</f>
        <v>0</v>
      </c>
      <c r="G1346" s="1042">
        <f t="shared" si="58"/>
        <v>180</v>
      </c>
      <c r="H1346" s="1042">
        <f>'Смета Внутр'!G1353</f>
        <v>0</v>
      </c>
      <c r="I1346" s="1042">
        <f>'Смета Внутр'!H1353</f>
        <v>0</v>
      </c>
      <c r="J1346" s="1058">
        <f>'Смета Внутр'!I1353</f>
        <v>0</v>
      </c>
    </row>
    <row r="1347" spans="2:10" ht="15" customHeight="1">
      <c r="B1347" s="1042" t="str">
        <f>'Смета Внутр'!B1354</f>
        <v>Карнизная планка</v>
      </c>
      <c r="C1347" s="1042" t="str">
        <f>'Смета Внутр'!C1354</f>
        <v>м.п.</v>
      </c>
      <c r="D1347" s="1058">
        <f>'Смета Внутр'!D1354</f>
        <v>0</v>
      </c>
      <c r="E1347" s="1042">
        <f>'Смета Внутр'!E1354</f>
        <v>190</v>
      </c>
      <c r="F1347" s="1042">
        <f>'Смета Внутр'!F1354</f>
        <v>0</v>
      </c>
      <c r="G1347" s="1042">
        <f t="shared" si="58"/>
        <v>190</v>
      </c>
      <c r="H1347" s="1042">
        <f>'Смета Внутр'!G1354</f>
        <v>0</v>
      </c>
      <c r="I1347" s="1042">
        <f>'Смета Внутр'!H1354</f>
        <v>0</v>
      </c>
      <c r="J1347" s="1058">
        <f>'Смета Внутр'!I1354</f>
        <v>0</v>
      </c>
    </row>
    <row r="1348" spans="2:10" ht="15" customHeight="1">
      <c r="B1348" s="1042" t="str">
        <f>'Смета Внутр'!B1355</f>
        <v>Торцевая планка</v>
      </c>
      <c r="C1348" s="1042" t="str">
        <f>'Смета Внутр'!C1355</f>
        <v>м.п.</v>
      </c>
      <c r="D1348" s="1058">
        <f>'Смета Внутр'!D1355</f>
        <v>0</v>
      </c>
      <c r="E1348" s="1042">
        <f>'Смета Внутр'!E1355</f>
        <v>190</v>
      </c>
      <c r="F1348" s="1042">
        <f>'Смета Внутр'!F1355</f>
        <v>0</v>
      </c>
      <c r="G1348" s="1042">
        <f t="shared" si="58"/>
        <v>190</v>
      </c>
      <c r="H1348" s="1042">
        <f>'Смета Внутр'!G1355</f>
        <v>0</v>
      </c>
      <c r="I1348" s="1042">
        <f>'Смета Внутр'!H1355</f>
        <v>0</v>
      </c>
      <c r="J1348" s="1058">
        <f>'Смета Внутр'!I1355</f>
        <v>0</v>
      </c>
    </row>
    <row r="1349" spans="2:10" ht="15" customHeight="1">
      <c r="B1349" s="1042" t="str">
        <f>'Смета Внутр'!B1356</f>
        <v>Конек</v>
      </c>
      <c r="C1349" s="1042" t="str">
        <f>'Смета Внутр'!C1356</f>
        <v>м.п</v>
      </c>
      <c r="D1349" s="1058">
        <f>'Смета Внутр'!D1356</f>
        <v>0</v>
      </c>
      <c r="E1349" s="1042">
        <f>'Смета Внутр'!E1356</f>
        <v>200</v>
      </c>
      <c r="F1349" s="1042">
        <f>'Смета Внутр'!F1356</f>
        <v>0</v>
      </c>
      <c r="G1349" s="1042">
        <f t="shared" si="58"/>
        <v>200</v>
      </c>
      <c r="H1349" s="1042">
        <f>'Смета Внутр'!G1356</f>
        <v>0</v>
      </c>
      <c r="I1349" s="1042">
        <f>'Смета Внутр'!H1356</f>
        <v>0</v>
      </c>
      <c r="J1349" s="1058">
        <f>'Смета Внутр'!I1356</f>
        <v>0</v>
      </c>
    </row>
    <row r="1350" spans="2:10" ht="15" customHeight="1">
      <c r="B1350" s="1042" t="str">
        <f>'Смета Внутр'!B1357</f>
        <v>Ендова нижняя</v>
      </c>
      <c r="C1350" s="1042" t="str">
        <f>'Смета Внутр'!C1357</f>
        <v>м.п.</v>
      </c>
      <c r="D1350" s="1058">
        <f>'Смета Внутр'!D1357</f>
        <v>0</v>
      </c>
      <c r="E1350" s="1042">
        <f>'Смета Внутр'!E1357</f>
        <v>160</v>
      </c>
      <c r="F1350" s="1042">
        <f>'Смета Внутр'!F1357</f>
        <v>0</v>
      </c>
      <c r="G1350" s="1042">
        <f t="shared" si="58"/>
        <v>160</v>
      </c>
      <c r="H1350" s="1042">
        <f>'Смета Внутр'!G1357</f>
        <v>0</v>
      </c>
      <c r="I1350" s="1042">
        <f>'Смета Внутр'!H1357</f>
        <v>0</v>
      </c>
      <c r="J1350" s="1058">
        <f>'Смета Внутр'!I1357</f>
        <v>0</v>
      </c>
    </row>
    <row r="1351" spans="2:10" ht="15" customHeight="1">
      <c r="B1351" s="1042" t="str">
        <f>'Смета Внутр'!B1358</f>
        <v>Ендова верхняя</v>
      </c>
      <c r="C1351" s="1042" t="str">
        <f>'Смета Внутр'!C1358</f>
        <v>м.п.</v>
      </c>
      <c r="D1351" s="1058">
        <f>'Смета Внутр'!D1358</f>
        <v>0</v>
      </c>
      <c r="E1351" s="1042">
        <f>'Смета Внутр'!E1358</f>
        <v>190</v>
      </c>
      <c r="F1351" s="1042">
        <f>'Смета Внутр'!F1358</f>
        <v>0</v>
      </c>
      <c r="G1351" s="1042">
        <f t="shared" si="58"/>
        <v>190</v>
      </c>
      <c r="H1351" s="1042">
        <f>'Смета Внутр'!G1358</f>
        <v>0</v>
      </c>
      <c r="I1351" s="1042">
        <f>'Смета Внутр'!H1358</f>
        <v>0</v>
      </c>
      <c r="J1351" s="1058">
        <f>'Смета Внутр'!I1358</f>
        <v>0</v>
      </c>
    </row>
    <row r="1352" spans="2:10" ht="15" customHeight="1">
      <c r="B1352" s="1042" t="str">
        <f>'Смета Внутр'!B1359</f>
        <v>Планка примыкания</v>
      </c>
      <c r="C1352" s="1042" t="str">
        <f>'Смета Внутр'!C1359</f>
        <v>м.п.</v>
      </c>
      <c r="D1352" s="1058">
        <f>'Смета Внутр'!D1359</f>
        <v>0</v>
      </c>
      <c r="E1352" s="1042">
        <f>'Смета Внутр'!E1359</f>
        <v>190</v>
      </c>
      <c r="F1352" s="1042">
        <f>'Смета Внутр'!F1359</f>
        <v>0</v>
      </c>
      <c r="G1352" s="1042">
        <f t="shared" si="58"/>
        <v>190</v>
      </c>
      <c r="H1352" s="1042">
        <f>'Смета Внутр'!G1359</f>
        <v>0</v>
      </c>
      <c r="I1352" s="1042">
        <f>'Смета Внутр'!H1359</f>
        <v>0</v>
      </c>
      <c r="J1352" s="1058">
        <f>'Смета Внутр'!I1359</f>
        <v>0</v>
      </c>
    </row>
    <row r="1353" spans="2:10" ht="15" customHeight="1">
      <c r="B1353" s="1042" t="str">
        <f>'Смета Внутр'!B1360</f>
        <v>Крепеж для ондулина</v>
      </c>
      <c r="C1353" s="1042" t="str">
        <f>'Смета Внутр'!C1360</f>
        <v>шт</v>
      </c>
      <c r="D1353" s="1058">
        <f>'Смета Внутр'!D1360</f>
        <v>0</v>
      </c>
      <c r="E1353" s="1042">
        <f>'Смета Внутр'!E1360</f>
        <v>4.5</v>
      </c>
      <c r="F1353" s="1042">
        <f>'Смета Внутр'!F1360</f>
        <v>0</v>
      </c>
      <c r="G1353" s="1042">
        <f t="shared" si="58"/>
        <v>4.5</v>
      </c>
      <c r="H1353" s="1042">
        <f>'Смета Внутр'!G1360</f>
        <v>0</v>
      </c>
      <c r="I1353" s="1042">
        <f>'Смета Внутр'!H1360</f>
        <v>0</v>
      </c>
      <c r="J1353" s="1058">
        <f>'Смета Внутр'!I1360</f>
        <v>0</v>
      </c>
    </row>
    <row r="1354" spans="2:10" ht="15" customHeight="1">
      <c r="B1354" s="1042" t="str">
        <f>'Смета Внутр'!B1361</f>
        <v>нет</v>
      </c>
      <c r="C1354" s="1042" t="str">
        <f>'Смета Внутр'!C1361</f>
        <v>м2</v>
      </c>
      <c r="D1354" s="1058">
        <f>'Смета Внутр'!D1361</f>
        <v>197.23772248655607</v>
      </c>
      <c r="E1354" s="1042">
        <f>'Смета Внутр'!E1361</f>
        <v>0</v>
      </c>
      <c r="F1354" s="1042">
        <f>'Смета Внутр'!F1361</f>
        <v>0</v>
      </c>
      <c r="G1354" s="1042">
        <f t="shared" si="58"/>
        <v>0</v>
      </c>
      <c r="H1354" s="1042">
        <f>'Смета Внутр'!G1361</f>
        <v>0</v>
      </c>
      <c r="I1354" s="1042">
        <f>'Смета Внутр'!H1361</f>
        <v>0</v>
      </c>
      <c r="J1354" s="1058">
        <f>'Смета Внутр'!I1361</f>
        <v>0</v>
      </c>
    </row>
    <row r="1355" spans="2:10" ht="15" customHeight="1">
      <c r="B1355" s="1042" t="str">
        <f>'Смета Внутр'!B1362</f>
        <v>Рядовая черепица</v>
      </c>
      <c r="C1355" s="1042" t="str">
        <f>'Смета Внутр'!C1362</f>
        <v>м2</v>
      </c>
      <c r="D1355" s="1058">
        <f>'Смета Внутр'!D1362</f>
        <v>0</v>
      </c>
      <c r="E1355" s="1042">
        <f>'Смета Внутр'!E1362</f>
        <v>360</v>
      </c>
      <c r="F1355" s="1042">
        <f>'Смета Внутр'!F1362</f>
        <v>0</v>
      </c>
      <c r="G1355" s="1042">
        <f t="shared" si="58"/>
        <v>360</v>
      </c>
      <c r="H1355" s="1042">
        <f>'Смета Внутр'!G1362</f>
        <v>0</v>
      </c>
      <c r="I1355" s="1042">
        <f>'Смета Внутр'!H1362</f>
        <v>0</v>
      </c>
      <c r="J1355" s="1058">
        <f>'Смета Внутр'!I1362</f>
        <v>0</v>
      </c>
    </row>
    <row r="1356" spans="2:10" ht="15" customHeight="1">
      <c r="B1356" s="1042" t="str">
        <f>'Смета Внутр'!B1363</f>
        <v>Металл оцинк защита (карниз)</v>
      </c>
      <c r="C1356" s="1042" t="str">
        <f>'Смета Внутр'!C1363</f>
        <v>м.п.</v>
      </c>
      <c r="D1356" s="1058">
        <f>'Смета Внутр'!D1363</f>
        <v>0</v>
      </c>
      <c r="E1356" s="1042">
        <f>'Смета Внутр'!E1363</f>
        <v>200</v>
      </c>
      <c r="F1356" s="1042">
        <f>'Смета Внутр'!F1363</f>
        <v>0</v>
      </c>
      <c r="G1356" s="1042">
        <f t="shared" si="58"/>
        <v>200</v>
      </c>
      <c r="H1356" s="1042">
        <f>'Смета Внутр'!G1363</f>
        <v>0</v>
      </c>
      <c r="I1356" s="1042">
        <f>'Смета Внутр'!H1363</f>
        <v>0</v>
      </c>
      <c r="J1356" s="1058">
        <f>'Смета Внутр'!I1363</f>
        <v>0</v>
      </c>
    </row>
    <row r="1357" spans="2:10" ht="15" customHeight="1">
      <c r="B1357" s="1042" t="str">
        <f>'Смета Внутр'!B1364</f>
        <v>Подкладочный ковер</v>
      </c>
      <c r="C1357" s="1042" t="str">
        <f>'Смета Внутр'!C1364</f>
        <v>м.п.</v>
      </c>
      <c r="D1357" s="1058">
        <f>'Смета Внутр'!D1364</f>
        <v>0</v>
      </c>
      <c r="E1357" s="1042">
        <f>'Смета Внутр'!E1364</f>
        <v>220</v>
      </c>
      <c r="F1357" s="1042">
        <f>'Смета Внутр'!F1364</f>
        <v>0</v>
      </c>
      <c r="G1357" s="1042">
        <f t="shared" si="58"/>
        <v>220</v>
      </c>
      <c r="H1357" s="1042">
        <f>'Смета Внутр'!G1364</f>
        <v>0</v>
      </c>
      <c r="I1357" s="1042">
        <f>'Смета Внутр'!H1364</f>
        <v>0</v>
      </c>
      <c r="J1357" s="1058">
        <f>'Смета Внутр'!I1364</f>
        <v>0</v>
      </c>
    </row>
    <row r="1358" spans="2:10" ht="15" customHeight="1">
      <c r="B1358" s="1042" t="str">
        <f>'Смета Внутр'!B1365</f>
        <v>Карнизная самоклеющаяся черепица</v>
      </c>
      <c r="C1358" s="1042" t="str">
        <f>'Смета Внутр'!C1365</f>
        <v>м.п.</v>
      </c>
      <c r="D1358" s="1058">
        <f>'Смета Внутр'!D1365</f>
        <v>0</v>
      </c>
      <c r="E1358" s="1042">
        <f>'Смета Внутр'!E1365</f>
        <v>220</v>
      </c>
      <c r="F1358" s="1042">
        <f>'Смета Внутр'!F1365</f>
        <v>0</v>
      </c>
      <c r="G1358" s="1042">
        <f t="shared" si="58"/>
        <v>220</v>
      </c>
      <c r="H1358" s="1042">
        <f>'Смета Внутр'!G1365</f>
        <v>0</v>
      </c>
      <c r="I1358" s="1042">
        <f>'Смета Внутр'!H1365</f>
        <v>0</v>
      </c>
      <c r="J1358" s="1058">
        <f>'Смета Внутр'!I1365</f>
        <v>0</v>
      </c>
    </row>
    <row r="1359" spans="2:10" ht="15" customHeight="1">
      <c r="B1359" s="1042" t="str">
        <f>'Смета Внутр'!B1366</f>
        <v>Спец ковер ендова нижняя</v>
      </c>
      <c r="C1359" s="1042" t="str">
        <f>'Смета Внутр'!C1366</f>
        <v>м.п.</v>
      </c>
      <c r="D1359" s="1058">
        <f>'Смета Внутр'!D1366</f>
        <v>0</v>
      </c>
      <c r="E1359" s="1042">
        <f>'Смета Внутр'!E1366</f>
        <v>200</v>
      </c>
      <c r="F1359" s="1042">
        <f>'Смета Внутр'!F1366</f>
        <v>0</v>
      </c>
      <c r="G1359" s="1042">
        <f t="shared" si="58"/>
        <v>200</v>
      </c>
      <c r="H1359" s="1042">
        <f>'Смета Внутр'!G1366</f>
        <v>0</v>
      </c>
      <c r="I1359" s="1042">
        <f>'Смета Внутр'!H1366</f>
        <v>0</v>
      </c>
      <c r="J1359" s="1058">
        <f>'Смета Внутр'!I1366</f>
        <v>0</v>
      </c>
    </row>
    <row r="1360" spans="2:10" ht="15" customHeight="1">
      <c r="B1360" s="1042" t="str">
        <f>'Смета Внутр'!B1367</f>
        <v>Коньковой элемент</v>
      </c>
      <c r="C1360" s="1042" t="str">
        <f>'Смета Внутр'!C1367</f>
        <v>м.п.</v>
      </c>
      <c r="D1360" s="1058">
        <f>'Смета Внутр'!D1367</f>
        <v>0</v>
      </c>
      <c r="E1360" s="1042">
        <f>'Смета Внутр'!E1367</f>
        <v>250</v>
      </c>
      <c r="F1360" s="1042">
        <f>'Смета Внутр'!F1367</f>
        <v>0</v>
      </c>
      <c r="G1360" s="1042">
        <f t="shared" si="58"/>
        <v>250</v>
      </c>
      <c r="H1360" s="1042">
        <f>'Смета Внутр'!G1367</f>
        <v>0</v>
      </c>
      <c r="I1360" s="1042">
        <f>'Смета Внутр'!H1367</f>
        <v>0</v>
      </c>
      <c r="J1360" s="1058">
        <f>'Смета Внутр'!I1367</f>
        <v>0</v>
      </c>
    </row>
    <row r="1361" spans="2:10" ht="15" customHeight="1">
      <c r="B1361" s="1042" t="str">
        <f>'Смета Внутр'!B1368</f>
        <v>Планка премыкания</v>
      </c>
      <c r="C1361" s="1042" t="str">
        <f>'Смета Внутр'!C1368</f>
        <v>м.п.</v>
      </c>
      <c r="D1361" s="1058">
        <f>'Смета Внутр'!D1368</f>
        <v>0</v>
      </c>
      <c r="E1361" s="1042">
        <f>'Смета Внутр'!E1368</f>
        <v>200</v>
      </c>
      <c r="F1361" s="1042">
        <f>'Смета Внутр'!F1368</f>
        <v>0</v>
      </c>
      <c r="G1361" s="1042">
        <f t="shared" si="58"/>
        <v>200</v>
      </c>
      <c r="H1361" s="1042">
        <f>'Смета Внутр'!G1368</f>
        <v>0</v>
      </c>
      <c r="I1361" s="1042">
        <f>'Смета Внутр'!H1368</f>
        <v>0</v>
      </c>
      <c r="J1361" s="1058">
        <f>'Смета Внутр'!I1368</f>
        <v>0</v>
      </c>
    </row>
    <row r="1362" spans="2:10" ht="15" customHeight="1">
      <c r="B1362" s="1042" t="str">
        <f>'Смета Внутр'!B1369</f>
        <v>Гвозди для крепления подкладочного ковра</v>
      </c>
      <c r="C1362" s="1042" t="str">
        <f>'Смета Внутр'!C1369</f>
        <v>шт</v>
      </c>
      <c r="D1362" s="1058">
        <f>'Смета Внутр'!D1369</f>
        <v>0</v>
      </c>
      <c r="E1362" s="1042">
        <f>'Смета Внутр'!E1369</f>
        <v>1.2E-2</v>
      </c>
      <c r="F1362" s="1042">
        <f>'Смета Внутр'!F1369</f>
        <v>0</v>
      </c>
      <c r="G1362" s="1042">
        <f t="shared" ref="G1362:G1393" si="59">IF(E1362&gt;F1362,E1362,F1362)</f>
        <v>1.2E-2</v>
      </c>
      <c r="H1362" s="1042">
        <f>'Смета Внутр'!G1369</f>
        <v>0</v>
      </c>
      <c r="I1362" s="1042">
        <f>'Смета Внутр'!H1369</f>
        <v>0</v>
      </c>
      <c r="J1362" s="1058">
        <f>'Смета Внутр'!I1369</f>
        <v>0</v>
      </c>
    </row>
    <row r="1363" spans="2:10" ht="15" customHeight="1">
      <c r="B1363" s="1042" t="str">
        <f>'Смета Внутр'!B1370</f>
        <v>Гвозди для крепления черепицы</v>
      </c>
      <c r="C1363" s="1042" t="str">
        <f>'Смета Внутр'!C1370</f>
        <v>шт</v>
      </c>
      <c r="D1363" s="1058">
        <f>'Смета Внутр'!D1370</f>
        <v>0</v>
      </c>
      <c r="E1363" s="1042">
        <f>'Смета Внутр'!E1370</f>
        <v>0.25</v>
      </c>
      <c r="F1363" s="1042">
        <f>'Смета Внутр'!F1370</f>
        <v>0</v>
      </c>
      <c r="G1363" s="1042">
        <f t="shared" si="59"/>
        <v>0.25</v>
      </c>
      <c r="H1363" s="1042">
        <f>'Смета Внутр'!G1370</f>
        <v>0</v>
      </c>
      <c r="I1363" s="1042">
        <f>'Смета Внутр'!H1370</f>
        <v>0</v>
      </c>
      <c r="J1363" s="1058">
        <f>'Смета Внутр'!I1370</f>
        <v>0</v>
      </c>
    </row>
    <row r="1364" spans="2:10" ht="15" customHeight="1">
      <c r="B1364" s="1042" t="str">
        <f>'Смета Внутр'!B1371</f>
        <v>Клей для монтажа черепицы</v>
      </c>
      <c r="C1364" s="1042" t="str">
        <f>'Смета Внутр'!C1371</f>
        <v>кг</v>
      </c>
      <c r="D1364" s="1058">
        <f>'Смета Внутр'!D1371</f>
        <v>0</v>
      </c>
      <c r="E1364" s="1042">
        <f>'Смета Внутр'!E1371</f>
        <v>250</v>
      </c>
      <c r="F1364" s="1042">
        <f>'Смета Внутр'!F1371</f>
        <v>0</v>
      </c>
      <c r="G1364" s="1042">
        <f t="shared" si="59"/>
        <v>250</v>
      </c>
      <c r="H1364" s="1042">
        <f>'Смета Внутр'!G1371</f>
        <v>0</v>
      </c>
      <c r="I1364" s="1042">
        <f>'Смета Внутр'!H1371</f>
        <v>0</v>
      </c>
      <c r="J1364" s="1058">
        <f>'Смета Внутр'!I1371</f>
        <v>0</v>
      </c>
    </row>
    <row r="1365" spans="2:10" ht="15" customHeight="1">
      <c r="B1365" s="1042" t="str">
        <f>'Смета Внутр'!B1372</f>
        <v>желоб</v>
      </c>
      <c r="C1365" s="1042" t="str">
        <f>'Смета Внутр'!C1372</f>
        <v>м.п</v>
      </c>
      <c r="D1365" s="1058">
        <f>'Смета Внутр'!D1372</f>
        <v>11.8</v>
      </c>
      <c r="E1365" s="1042">
        <f>'Смета Внутр'!E1372</f>
        <v>300</v>
      </c>
      <c r="F1365" s="1042">
        <f>'Смета Внутр'!F1372</f>
        <v>0</v>
      </c>
      <c r="G1365" s="1042">
        <f t="shared" si="59"/>
        <v>300</v>
      </c>
      <c r="H1365" s="1042">
        <f>'Смета Внутр'!G1372</f>
        <v>3540</v>
      </c>
      <c r="I1365" s="1042">
        <f>'Смета Внутр'!H1372</f>
        <v>0</v>
      </c>
      <c r="J1365" s="1058">
        <f>'Смета Внутр'!I1372</f>
        <v>0</v>
      </c>
    </row>
    <row r="1366" spans="2:10" ht="15" customHeight="1">
      <c r="B1366" s="1042" t="str">
        <f>'Смета Внутр'!B1373</f>
        <v>отвод</v>
      </c>
      <c r="C1366" s="1042" t="str">
        <f>'Смета Внутр'!C1373</f>
        <v>шт</v>
      </c>
      <c r="D1366" s="1058">
        <f>'Смета Внутр'!D1373</f>
        <v>2</v>
      </c>
      <c r="E1366" s="1042">
        <f>'Смета Внутр'!E1373</f>
        <v>250</v>
      </c>
      <c r="F1366" s="1042">
        <f>'Смета Внутр'!F1373</f>
        <v>0</v>
      </c>
      <c r="G1366" s="1042">
        <f t="shared" si="59"/>
        <v>250</v>
      </c>
      <c r="H1366" s="1042">
        <f>'Смета Внутр'!G1373</f>
        <v>500</v>
      </c>
      <c r="I1366" s="1042">
        <f>'Смета Внутр'!H1373</f>
        <v>0</v>
      </c>
      <c r="J1366" s="1058">
        <f>'Смета Внутр'!I1373</f>
        <v>0</v>
      </c>
    </row>
    <row r="1367" spans="2:10" ht="15" customHeight="1">
      <c r="B1367" s="1042" t="str">
        <f>'Смета Внутр'!B1374</f>
        <v>труба водосточная</v>
      </c>
      <c r="C1367" s="1042" t="str">
        <f>'Смета Внутр'!C1374</f>
        <v>м.п.</v>
      </c>
      <c r="D1367" s="1058">
        <f>'Смета Внутр'!D1374</f>
        <v>8.4</v>
      </c>
      <c r="E1367" s="1042">
        <f>'Смета Внутр'!E1374</f>
        <v>300</v>
      </c>
      <c r="F1367" s="1042">
        <f>'Смета Внутр'!F1374</f>
        <v>0</v>
      </c>
      <c r="G1367" s="1042">
        <f t="shared" si="59"/>
        <v>300</v>
      </c>
      <c r="H1367" s="1042">
        <f>'Смета Внутр'!G1374</f>
        <v>2520</v>
      </c>
      <c r="I1367" s="1042">
        <f>'Смета Внутр'!H1374</f>
        <v>0</v>
      </c>
      <c r="J1367" s="1058">
        <f>'Смета Внутр'!I1374</f>
        <v>0</v>
      </c>
    </row>
    <row r="1368" spans="2:10" ht="15" customHeight="1">
      <c r="B1368" s="1042" t="str">
        <f>'Смета Внутр'!B1375</f>
        <v>заглушка для желоба</v>
      </c>
      <c r="C1368" s="1042" t="str">
        <f>'Смета Внутр'!C1375</f>
        <v>шт</v>
      </c>
      <c r="D1368" s="1058">
        <f>'Смета Внутр'!D1375</f>
        <v>2</v>
      </c>
      <c r="E1368" s="1042">
        <f>'Смета Внутр'!E1375</f>
        <v>190</v>
      </c>
      <c r="F1368" s="1042">
        <f>'Смета Внутр'!F1375</f>
        <v>0</v>
      </c>
      <c r="G1368" s="1042">
        <f t="shared" si="59"/>
        <v>190</v>
      </c>
      <c r="H1368" s="1042">
        <f>'Смета Внутр'!G1375</f>
        <v>380</v>
      </c>
      <c r="I1368" s="1042">
        <f>'Смета Внутр'!H1375</f>
        <v>0</v>
      </c>
      <c r="J1368" s="1058">
        <f>'Смета Внутр'!I1375</f>
        <v>0</v>
      </c>
    </row>
    <row r="1369" spans="2:10" ht="15" customHeight="1">
      <c r="B1369" s="1042" t="str">
        <f>'Смета Внутр'!B1376</f>
        <v>соеденитель для желоба</v>
      </c>
      <c r="C1369" s="1042" t="str">
        <f>'Смета Внутр'!C1376</f>
        <v>шт</v>
      </c>
      <c r="D1369" s="1058">
        <f>'Смета Внутр'!D1376</f>
        <v>7</v>
      </c>
      <c r="E1369" s="1042">
        <f>'Смета Внутр'!E1376</f>
        <v>180</v>
      </c>
      <c r="F1369" s="1042">
        <f>'Смета Внутр'!F1376</f>
        <v>0</v>
      </c>
      <c r="G1369" s="1042">
        <f t="shared" si="59"/>
        <v>180</v>
      </c>
      <c r="H1369" s="1042">
        <f>'Смета Внутр'!G1376</f>
        <v>1260</v>
      </c>
      <c r="I1369" s="1042">
        <f>'Смета Внутр'!H1376</f>
        <v>0</v>
      </c>
      <c r="J1369" s="1058">
        <f>'Смета Внутр'!I1376</f>
        <v>0</v>
      </c>
    </row>
    <row r="1370" spans="2:10" ht="15" customHeight="1">
      <c r="B1370" s="1042" t="str">
        <f>'Смета Внутр'!B1377</f>
        <v>кронштейн для желоба</v>
      </c>
      <c r="C1370" s="1042" t="str">
        <f>'Смета Внутр'!C1377</f>
        <v>шт</v>
      </c>
      <c r="D1370" s="1058">
        <f>'Смета Внутр'!D1377</f>
        <v>33.5</v>
      </c>
      <c r="E1370" s="1042">
        <f>'Смета Внутр'!E1377</f>
        <v>130</v>
      </c>
      <c r="F1370" s="1042">
        <f>'Смета Внутр'!F1377</f>
        <v>0</v>
      </c>
      <c r="G1370" s="1042">
        <f t="shared" si="59"/>
        <v>130</v>
      </c>
      <c r="H1370" s="1042">
        <f>'Смета Внутр'!G1377</f>
        <v>4355</v>
      </c>
      <c r="I1370" s="1042">
        <f>'Смета Внутр'!H1377</f>
        <v>0</v>
      </c>
      <c r="J1370" s="1058">
        <f>'Смета Внутр'!I1377</f>
        <v>0</v>
      </c>
    </row>
    <row r="1371" spans="2:10" ht="15" customHeight="1">
      <c r="B1371" s="1042" t="str">
        <f>'Смета Внутр'!B1378</f>
        <v>переход из желоба в трубу</v>
      </c>
      <c r="C1371" s="1042" t="str">
        <f>'Смета Внутр'!C1378</f>
        <v>шт</v>
      </c>
      <c r="D1371" s="1058">
        <f>'Смета Внутр'!D1378</f>
        <v>2</v>
      </c>
      <c r="E1371" s="1042">
        <f>'Смета Внутр'!E1378</f>
        <v>350</v>
      </c>
      <c r="F1371" s="1042">
        <f>'Смета Внутр'!F1378</f>
        <v>0</v>
      </c>
      <c r="G1371" s="1042">
        <f t="shared" si="59"/>
        <v>350</v>
      </c>
      <c r="H1371" s="1042">
        <f>'Смета Внутр'!G1378</f>
        <v>700</v>
      </c>
      <c r="I1371" s="1042">
        <f>'Смета Внутр'!H1378</f>
        <v>0</v>
      </c>
      <c r="J1371" s="1058">
        <f>'Смета Внутр'!I1378</f>
        <v>0</v>
      </c>
    </row>
    <row r="1372" spans="2:10" ht="15" customHeight="1">
      <c r="B1372" s="1042" t="str">
        <f>'Смета Внутр'!B1379</f>
        <v>лента дельта мульти бэнд</v>
      </c>
      <c r="C1372" s="1042" t="str">
        <f>'Смета Внутр'!C1379</f>
        <v>шт</v>
      </c>
      <c r="D1372" s="1058">
        <f>'Смета Внутр'!D1379</f>
        <v>3</v>
      </c>
      <c r="E1372" s="1042">
        <f>'Смета Внутр'!E1379</f>
        <v>1200</v>
      </c>
      <c r="F1372" s="1042">
        <f>'Смета Внутр'!F1379</f>
        <v>0</v>
      </c>
      <c r="G1372" s="1042">
        <f t="shared" si="59"/>
        <v>1200</v>
      </c>
      <c r="H1372" s="1042">
        <f>'Смета Внутр'!G1379</f>
        <v>3600</v>
      </c>
      <c r="I1372" s="1042">
        <f>'Смета Внутр'!H1379</f>
        <v>0</v>
      </c>
      <c r="J1372" s="1058">
        <f>'Смета Внутр'!I1379</f>
        <v>0</v>
      </c>
    </row>
    <row r="1373" spans="2:10" ht="15" customHeight="1">
      <c r="B1373" s="1042" t="str">
        <f>'Смета Внутр'!B1380</f>
        <v>лента дельта sb-60</v>
      </c>
      <c r="C1373" s="1042" t="str">
        <f>'Смета Внутр'!C1380</f>
        <v>шт</v>
      </c>
      <c r="D1373" s="1058">
        <f>'Смета Внутр'!D1380</f>
        <v>10</v>
      </c>
      <c r="E1373" s="1042">
        <f>'Смета Внутр'!E1380</f>
        <v>1100</v>
      </c>
      <c r="F1373" s="1042">
        <f>'Смета Внутр'!F1380</f>
        <v>0</v>
      </c>
      <c r="G1373" s="1042">
        <f t="shared" si="59"/>
        <v>1100</v>
      </c>
      <c r="H1373" s="1042">
        <f>'Смета Внутр'!G1380</f>
        <v>11000</v>
      </c>
      <c r="I1373" s="1042">
        <f>'Смета Внутр'!H1380</f>
        <v>0</v>
      </c>
      <c r="J1373" s="1058">
        <f>'Смета Внутр'!I1380</f>
        <v>0</v>
      </c>
    </row>
    <row r="1374" spans="2:10" ht="15" customHeight="1">
      <c r="B1374" s="1042" t="str">
        <f>'Смета Внутр'!B1381</f>
        <v>проходка кровельная, канализационная</v>
      </c>
      <c r="C1374" s="1042" t="str">
        <f>'Смета Внутр'!C1381</f>
        <v>шт</v>
      </c>
      <c r="D1374" s="1058">
        <f>'Смета Внутр'!D1381</f>
        <v>0</v>
      </c>
      <c r="E1374" s="1042">
        <f>'Смета Внутр'!E1381</f>
        <v>3500</v>
      </c>
      <c r="F1374" s="1042">
        <f>'Смета Внутр'!F1381</f>
        <v>0</v>
      </c>
      <c r="G1374" s="1042">
        <f t="shared" si="59"/>
        <v>3500</v>
      </c>
      <c r="H1374" s="1042">
        <f>'Смета Внутр'!G1381</f>
        <v>0</v>
      </c>
      <c r="I1374" s="1042">
        <f>'Смета Внутр'!H1381</f>
        <v>0</v>
      </c>
      <c r="J1374" s="1058">
        <f>'Смета Внутр'!I1381</f>
        <v>0</v>
      </c>
    </row>
    <row r="1375" spans="2:10" ht="15" customHeight="1">
      <c r="B1375" s="1042" t="str">
        <f>'Смета Внутр'!B1382</f>
        <v>проходка кровельная, вентиляционная</v>
      </c>
      <c r="C1375" s="1042" t="str">
        <f>'Смета Внутр'!C1382</f>
        <v>шт</v>
      </c>
      <c r="D1375" s="1058">
        <f>'Смета Внутр'!D1382</f>
        <v>0</v>
      </c>
      <c r="E1375" s="1042">
        <f>'Смета Внутр'!E1382</f>
        <v>3500</v>
      </c>
      <c r="F1375" s="1042">
        <f>'Смета Внутр'!F1382</f>
        <v>0</v>
      </c>
      <c r="G1375" s="1042">
        <f t="shared" si="59"/>
        <v>3500</v>
      </c>
      <c r="H1375" s="1042">
        <f>'Смета Внутр'!G1382</f>
        <v>0</v>
      </c>
      <c r="I1375" s="1042">
        <f>'Смета Внутр'!H1382</f>
        <v>0</v>
      </c>
      <c r="J1375" s="1058">
        <f>'Смета Внутр'!I1382</f>
        <v>0</v>
      </c>
    </row>
    <row r="1376" spans="2:10" ht="15" customHeight="1">
      <c r="B1376" s="1042" t="str">
        <f>'Смета Внутр'!B1383</f>
        <v>проодка кровельная, труба котел</v>
      </c>
      <c r="C1376" s="1042" t="str">
        <f>'Смета Внутр'!C1383</f>
        <v>шт</v>
      </c>
      <c r="D1376" s="1058">
        <f>'Смета Внутр'!D1383</f>
        <v>0</v>
      </c>
      <c r="E1376" s="1042">
        <f>'Смета Внутр'!E1383</f>
        <v>4500</v>
      </c>
      <c r="F1376" s="1042">
        <f>'Смета Внутр'!F1383</f>
        <v>0</v>
      </c>
      <c r="G1376" s="1042">
        <f t="shared" si="59"/>
        <v>4500</v>
      </c>
      <c r="H1376" s="1042">
        <f>'Смета Внутр'!G1383</f>
        <v>0</v>
      </c>
      <c r="I1376" s="1042">
        <f>'Смета Внутр'!H1383</f>
        <v>0</v>
      </c>
      <c r="J1376" s="1058">
        <f>'Смета Внутр'!I1383</f>
        <v>0</v>
      </c>
    </row>
    <row r="1377" spans="2:10" ht="15" customHeight="1">
      <c r="B1377" s="1042" t="str">
        <f>'Смета Внутр'!B1384</f>
        <v>Кровельный саморез</v>
      </c>
      <c r="C1377" s="1042" t="str">
        <f>'Смета Внутр'!C1384</f>
        <v>шт</v>
      </c>
      <c r="D1377" s="1058">
        <f>'Смета Внутр'!D1384</f>
        <v>2315.3221275064998</v>
      </c>
      <c r="E1377" s="1042">
        <f>'Смета Внутр'!E1384</f>
        <v>2</v>
      </c>
      <c r="F1377" s="1042">
        <f>'Смета Внутр'!F1384</f>
        <v>0</v>
      </c>
      <c r="G1377" s="1042">
        <f t="shared" si="59"/>
        <v>2</v>
      </c>
      <c r="H1377" s="1042">
        <f>'Смета Внутр'!G1384</f>
        <v>4630.6442550129996</v>
      </c>
      <c r="I1377" s="1042">
        <f>'Смета Внутр'!H1384</f>
        <v>0</v>
      </c>
      <c r="J1377" s="1058">
        <f>'Смета Внутр'!I1384</f>
        <v>0</v>
      </c>
    </row>
    <row r="1378" spans="2:10" ht="15" customHeight="1">
      <c r="B1378" s="1042" t="str">
        <f>'Смета Внутр'!B1385</f>
        <v xml:space="preserve">Гвозди ершоные 3,4 x 60            </v>
      </c>
      <c r="C1378" s="1042" t="str">
        <f>'Смета Внутр'!C1385</f>
        <v>кг</v>
      </c>
      <c r="D1378" s="1058">
        <f>'Смета Внутр'!D1385</f>
        <v>16.078625885461804</v>
      </c>
      <c r="E1378" s="1042">
        <f>'Смета Внутр'!E1385</f>
        <v>75.510000000000005</v>
      </c>
      <c r="F1378" s="1042">
        <f>'Смета Внутр'!F1385</f>
        <v>0</v>
      </c>
      <c r="G1378" s="1042">
        <f t="shared" si="59"/>
        <v>75.510000000000005</v>
      </c>
      <c r="H1378" s="1042">
        <f>'Смета Внутр'!G1385</f>
        <v>1214.097040611221</v>
      </c>
      <c r="I1378" s="1042">
        <f>'Смета Внутр'!H1385</f>
        <v>0</v>
      </c>
      <c r="J1378" s="1058">
        <f>'Смета Внутр'!I1385</f>
        <v>0</v>
      </c>
    </row>
    <row r="1379" spans="2:10" ht="15" customHeight="1">
      <c r="B1379" s="1042" t="str">
        <f>'Смета Внутр'!B1386</f>
        <v xml:space="preserve">Гвозди ершоные 2,8 х 90            </v>
      </c>
      <c r="C1379" s="1042" t="str">
        <f>'Смета Внутр'!C1386</f>
        <v>кг</v>
      </c>
      <c r="D1379" s="1058">
        <f>'Смета Внутр'!D1386</f>
        <v>36.450987050938132</v>
      </c>
      <c r="E1379" s="1042">
        <f>'Смета Внутр'!E1386</f>
        <v>76.489999999999995</v>
      </c>
      <c r="F1379" s="1042">
        <f>'Смета Внутр'!F1386</f>
        <v>0</v>
      </c>
      <c r="G1379" s="1042">
        <f t="shared" si="59"/>
        <v>76.489999999999995</v>
      </c>
      <c r="H1379" s="1042">
        <f>'Смета Внутр'!G1386</f>
        <v>2788.1359995262574</v>
      </c>
      <c r="I1379" s="1042">
        <f>'Смета Внутр'!H1386</f>
        <v>0</v>
      </c>
      <c r="J1379" s="1058">
        <f>'Смета Внутр'!I1386</f>
        <v>0</v>
      </c>
    </row>
    <row r="1380" spans="2:10" ht="15" customHeight="1">
      <c r="B1380" s="1042" t="str">
        <f>'Смета Внутр'!B1387</f>
        <v xml:space="preserve">Пластина соеденительная 100х240х2           </v>
      </c>
      <c r="C1380" s="1042" t="str">
        <f>'Смета Внутр'!C1387</f>
        <v>шт</v>
      </c>
      <c r="D1380" s="1058">
        <f>'Смета Внутр'!D1387</f>
        <v>0</v>
      </c>
      <c r="E1380" s="1042">
        <f>'Смета Внутр'!E1387</f>
        <v>31.54</v>
      </c>
      <c r="F1380" s="1042">
        <f>'Смета Внутр'!F1387</f>
        <v>0</v>
      </c>
      <c r="G1380" s="1042">
        <f t="shared" si="59"/>
        <v>31.54</v>
      </c>
      <c r="H1380" s="1042">
        <f>'Смета Внутр'!G1387</f>
        <v>0</v>
      </c>
      <c r="I1380" s="1042">
        <f>'Смета Внутр'!H1387</f>
        <v>0</v>
      </c>
      <c r="J1380" s="1058">
        <f>'Смета Внутр'!I1387</f>
        <v>0</v>
      </c>
    </row>
    <row r="1381" spans="2:10" ht="15" customHeight="1">
      <c r="B1381" s="1042" t="str">
        <f>'Смета Внутр'!B1388</f>
        <v xml:space="preserve">Уголок усиленный 90х70х55х2,5        </v>
      </c>
      <c r="C1381" s="1042" t="str">
        <f>'Смета Внутр'!C1388</f>
        <v>шт</v>
      </c>
      <c r="D1381" s="1058">
        <f>'Смета Внутр'!D1388</f>
        <v>65</v>
      </c>
      <c r="E1381" s="1042">
        <f>'Смета Внутр'!E1388</f>
        <v>30</v>
      </c>
      <c r="F1381" s="1042">
        <f>'Смета Внутр'!F1388</f>
        <v>0</v>
      </c>
      <c r="G1381" s="1042">
        <f t="shared" si="59"/>
        <v>30</v>
      </c>
      <c r="H1381" s="1042">
        <f>'Смета Внутр'!G1388</f>
        <v>1950</v>
      </c>
      <c r="I1381" s="1042">
        <f>'Смета Внутр'!H1388</f>
        <v>0</v>
      </c>
      <c r="J1381" s="1058">
        <f>'Смета Внутр'!I1388</f>
        <v>0</v>
      </c>
    </row>
    <row r="1382" spans="2:10">
      <c r="B1382" s="3330" t="str">
        <f>'Смета Внутр'!B1389</f>
        <v>Итого материалы</v>
      </c>
      <c r="C1382" s="3330"/>
      <c r="D1382" s="3330"/>
      <c r="E1382" s="3330"/>
      <c r="F1382" s="3330"/>
      <c r="G1382" s="3330"/>
      <c r="H1382" s="1042">
        <f>'Смета Внутр'!G1389</f>
        <v>0</v>
      </c>
      <c r="I1382" s="1042">
        <f>'Смета Внутр'!H1389</f>
        <v>0</v>
      </c>
      <c r="J1382" s="1058">
        <f>'Смета Внутр'!I1389</f>
        <v>0</v>
      </c>
    </row>
    <row r="1383" spans="2:10" ht="15" customHeight="1">
      <c r="B1383" s="3002" t="str">
        <f>'Смета Внутр'!B1390</f>
        <v>Работы</v>
      </c>
      <c r="D1383" s="1167"/>
      <c r="H1383">
        <f>'Смета Внутр'!G1390</f>
        <v>0</v>
      </c>
      <c r="I1383">
        <f>'Смета Внутр'!H1390</f>
        <v>0</v>
      </c>
      <c r="J1383" s="3027">
        <f>'Смета Внутр'!I1390</f>
        <v>0</v>
      </c>
    </row>
    <row r="1384" spans="2:10" ht="15" customHeight="1">
      <c r="B1384" s="1042" t="str">
        <f>'Смета Внутр'!B1391</f>
        <v>монтаж мауэрлата</v>
      </c>
      <c r="C1384" s="1042" t="str">
        <f>'Смета Внутр'!C1391</f>
        <v>м.п.</v>
      </c>
      <c r="D1384" s="1058">
        <f>'Смета Внутр'!D1391</f>
        <v>42.360679774997898</v>
      </c>
      <c r="E1384" s="1042">
        <f>'Смета Внутр'!E1391</f>
        <v>250</v>
      </c>
      <c r="F1384" s="1042">
        <f>'Смета Внутр'!F1391</f>
        <v>0</v>
      </c>
      <c r="G1384" s="1042">
        <f t="shared" ref="G1384:G1400" si="60">IF(E1384&gt;F1384,E1384,F1384)</f>
        <v>250</v>
      </c>
      <c r="H1384" s="1042">
        <f>'Смета Внутр'!G1391</f>
        <v>10590.169943749475</v>
      </c>
      <c r="I1384" s="1042">
        <f>'Смета Внутр'!H1391</f>
        <v>0</v>
      </c>
      <c r="J1384" s="1058">
        <f>'Смета Внутр'!I1391</f>
        <v>0</v>
      </c>
    </row>
    <row r="1385" spans="2:10" ht="15" customHeight="1">
      <c r="B1385" s="1042" t="str">
        <f>'Смета Внутр'!B1392</f>
        <v>монтаж стропил</v>
      </c>
      <c r="C1385" s="1042" t="str">
        <f>'Смета Внутр'!C1392</f>
        <v>м2</v>
      </c>
      <c r="D1385" s="1058">
        <f>'Смета Внутр'!D1392</f>
        <v>160.78625885461804</v>
      </c>
      <c r="E1385" s="1042">
        <f>'Смета Внутр'!E1392</f>
        <v>450</v>
      </c>
      <c r="F1385" s="1042">
        <f>'Смета Внутр'!F1392</f>
        <v>0</v>
      </c>
      <c r="G1385" s="1042">
        <f t="shared" si="60"/>
        <v>450</v>
      </c>
      <c r="H1385" s="1042">
        <f>'Смета Внутр'!G1392</f>
        <v>72353.816484578114</v>
      </c>
      <c r="I1385" s="1042">
        <f>'Смета Внутр'!H1392</f>
        <v>0</v>
      </c>
      <c r="J1385" s="1058">
        <f>'Смета Внутр'!I1392</f>
        <v>0</v>
      </c>
    </row>
    <row r="1386" spans="2:10" ht="15" customHeight="1">
      <c r="B1386" s="1042" t="str">
        <f>'Смета Внутр'!B1393</f>
        <v>обрешетка</v>
      </c>
      <c r="C1386" s="1042" t="str">
        <f>'Смета Внутр'!C1393</f>
        <v>м2</v>
      </c>
      <c r="D1386" s="1058">
        <f>'Смета Внутр'!D1393</f>
        <v>160.78625885461804</v>
      </c>
      <c r="E1386" s="1042">
        <f>'Смета Внутр'!E1393</f>
        <v>100</v>
      </c>
      <c r="F1386" s="1042">
        <f>'Смета Внутр'!F1393</f>
        <v>0</v>
      </c>
      <c r="G1386" s="1042">
        <f t="shared" si="60"/>
        <v>100</v>
      </c>
      <c r="H1386" s="1042">
        <f>'Смета Внутр'!G1393</f>
        <v>16078.625885461805</v>
      </c>
      <c r="I1386" s="1042">
        <f>'Смета Внутр'!H1393</f>
        <v>0</v>
      </c>
      <c r="J1386" s="1058">
        <f>'Смета Внутр'!I1393</f>
        <v>0</v>
      </c>
    </row>
    <row r="1387" spans="2:10" ht="15" customHeight="1">
      <c r="B1387" s="1042" t="str">
        <f>'Смета Внутр'!B1394</f>
        <v>контробеш</v>
      </c>
      <c r="C1387" s="1042" t="str">
        <f>'Смета Внутр'!C1394</f>
        <v>м2</v>
      </c>
      <c r="D1387" s="1058">
        <f>'Смета Внутр'!D1394</f>
        <v>160.78625885461804</v>
      </c>
      <c r="E1387" s="1042">
        <f>'Смета Внутр'!E1394</f>
        <v>100</v>
      </c>
      <c r="F1387" s="1042">
        <f>'Смета Внутр'!F1394</f>
        <v>0</v>
      </c>
      <c r="G1387" s="1042">
        <f t="shared" si="60"/>
        <v>100</v>
      </c>
      <c r="H1387" s="1042">
        <f>'Смета Внутр'!G1394</f>
        <v>16078.625885461805</v>
      </c>
      <c r="I1387" s="1042">
        <f>'Смета Внутр'!H1394</f>
        <v>0</v>
      </c>
      <c r="J1387" s="1058">
        <f>'Смета Внутр'!I1394</f>
        <v>0</v>
      </c>
    </row>
    <row r="1388" spans="2:10" ht="15" customHeight="1">
      <c r="B1388" s="1042" t="str">
        <f>'Смета Внутр'!B1395</f>
        <v>Монтаж металлочерепицы</v>
      </c>
      <c r="C1388" s="1042" t="str">
        <f>'Смета Внутр'!C1395</f>
        <v>м2</v>
      </c>
      <c r="D1388" s="1058">
        <f>'Смета Внутр'!D1395</f>
        <v>160.78625885461804</v>
      </c>
      <c r="E1388" s="1042">
        <f>'Смета Внутр'!E1395</f>
        <v>300</v>
      </c>
      <c r="F1388" s="1042">
        <f>'Смета Внутр'!F1395</f>
        <v>0</v>
      </c>
      <c r="G1388" s="1042">
        <f t="shared" si="60"/>
        <v>300</v>
      </c>
      <c r="H1388" s="1042">
        <f>'Смета Внутр'!G1395</f>
        <v>48235.877656385412</v>
      </c>
      <c r="I1388" s="1042">
        <f>'Смета Внутр'!H1395</f>
        <v>0</v>
      </c>
      <c r="J1388" s="1058">
        <f>'Смета Внутр'!I1395</f>
        <v>0</v>
      </c>
    </row>
    <row r="1389" spans="2:10" ht="15" customHeight="1">
      <c r="B1389" s="1042" t="str">
        <f>'Смета Внутр'!B1396</f>
        <v>Монтаж ондулина</v>
      </c>
      <c r="C1389" s="1042" t="str">
        <f>'Смета Внутр'!C1396</f>
        <v>м2</v>
      </c>
      <c r="D1389" s="1058">
        <f>'Смета Внутр'!D1396</f>
        <v>0</v>
      </c>
      <c r="E1389" s="1042">
        <f>'Смета Внутр'!E1396</f>
        <v>300</v>
      </c>
      <c r="F1389" s="1042">
        <f>'Смета Внутр'!F1396</f>
        <v>0</v>
      </c>
      <c r="G1389" s="1042">
        <f t="shared" si="60"/>
        <v>300</v>
      </c>
      <c r="H1389" s="1042">
        <f>'Смета Внутр'!G1396</f>
        <v>0</v>
      </c>
      <c r="I1389" s="1042">
        <f>'Смета Внутр'!H1396</f>
        <v>0</v>
      </c>
      <c r="J1389" s="1058">
        <f>'Смета Внутр'!I1396</f>
        <v>0</v>
      </c>
    </row>
    <row r="1390" spans="2:10" ht="15" customHeight="1">
      <c r="B1390" s="1042" t="str">
        <f>'Смета Внутр'!B1397</f>
        <v>мембрана</v>
      </c>
      <c r="C1390" s="1042" t="str">
        <f>'Смета Внутр'!C1397</f>
        <v>м2</v>
      </c>
      <c r="D1390" s="1058">
        <f>'Смета Внутр'!D1397</f>
        <v>160.78625885461804</v>
      </c>
      <c r="E1390" s="1042">
        <f>'Смета Внутр'!E1397</f>
        <v>100</v>
      </c>
      <c r="F1390" s="1042">
        <f>'Смета Внутр'!F1397</f>
        <v>0</v>
      </c>
      <c r="G1390" s="1042">
        <f t="shared" si="60"/>
        <v>100</v>
      </c>
      <c r="H1390" s="1042">
        <f>'Смета Внутр'!G1397</f>
        <v>16078.625885461805</v>
      </c>
      <c r="I1390" s="1042">
        <f>'Смета Внутр'!H1397</f>
        <v>0</v>
      </c>
      <c r="J1390" s="1058">
        <f>'Смета Внутр'!I1397</f>
        <v>0</v>
      </c>
    </row>
    <row r="1391" spans="2:10" ht="15" customHeight="1">
      <c r="B1391" s="1042" t="str">
        <f>'Смета Внутр'!B1398</f>
        <v>пароизоляц</v>
      </c>
      <c r="C1391" s="1042" t="str">
        <f>'Смета Внутр'!C1398</f>
        <v>м2</v>
      </c>
      <c r="D1391" s="1058">
        <f>'Смета Внутр'!D1398</f>
        <v>160.78625885461804</v>
      </c>
      <c r="E1391" s="1042">
        <f>'Смета Внутр'!E1398</f>
        <v>100</v>
      </c>
      <c r="F1391" s="1042">
        <f>'Смета Внутр'!F1398</f>
        <v>0</v>
      </c>
      <c r="G1391" s="1042">
        <f t="shared" si="60"/>
        <v>100</v>
      </c>
      <c r="H1391" s="1042">
        <f>'Смета Внутр'!G1398</f>
        <v>16078.625885461805</v>
      </c>
      <c r="I1391" s="1042">
        <f>'Смета Внутр'!H1398</f>
        <v>0</v>
      </c>
      <c r="J1391" s="1058">
        <f>'Смета Внутр'!I1398</f>
        <v>0</v>
      </c>
    </row>
    <row r="1392" spans="2:10" ht="15" customHeight="1">
      <c r="B1392" s="1042" t="str">
        <f>'Смета Внутр'!B1399</f>
        <v>утеплитель</v>
      </c>
      <c r="C1392" s="1042" t="str">
        <f>'Смета Внутр'!C1399</f>
        <v>м2</v>
      </c>
      <c r="D1392" s="1058">
        <f>'Смета Внутр'!D1399</f>
        <v>111.80339887498948</v>
      </c>
      <c r="E1392" s="1042">
        <f>'Смета Внутр'!E1399</f>
        <v>200</v>
      </c>
      <c r="F1392" s="1042">
        <f>'Смета Внутр'!F1399</f>
        <v>0</v>
      </c>
      <c r="G1392" s="1042">
        <f t="shared" si="60"/>
        <v>200</v>
      </c>
      <c r="H1392" s="1042">
        <f>'Смета Внутр'!G1399</f>
        <v>22360.679774997898</v>
      </c>
      <c r="I1392" s="1042">
        <f>'Смета Внутр'!H1399</f>
        <v>0</v>
      </c>
      <c r="J1392" s="1058">
        <f>'Смета Внутр'!I1399</f>
        <v>0</v>
      </c>
    </row>
    <row r="1393" spans="2:10" ht="15" customHeight="1">
      <c r="B1393" s="1042" t="str">
        <f>'Смета Внутр'!B1400</f>
        <v>карнизная планка</v>
      </c>
      <c r="C1393" s="1042" t="str">
        <f>'Смета Внутр'!C1400</f>
        <v>м2</v>
      </c>
      <c r="D1393" s="1058">
        <f>'Смета Внутр'!D1400</f>
        <v>14.278000000000004</v>
      </c>
      <c r="E1393" s="1042">
        <f>'Смета Внутр'!E1400</f>
        <v>100</v>
      </c>
      <c r="F1393" s="1042">
        <f>'Смета Внутр'!F1400</f>
        <v>0</v>
      </c>
      <c r="G1393" s="1042">
        <f t="shared" si="60"/>
        <v>100</v>
      </c>
      <c r="H1393" s="1042">
        <f>'Смета Внутр'!G1400</f>
        <v>1427.8000000000004</v>
      </c>
      <c r="I1393" s="1042">
        <f>'Смета Внутр'!H1400</f>
        <v>0</v>
      </c>
      <c r="J1393" s="1058">
        <f>'Смета Внутр'!I1400</f>
        <v>0</v>
      </c>
    </row>
    <row r="1394" spans="2:10" ht="15" customHeight="1">
      <c r="B1394" s="1042" t="str">
        <f>'Смета Внутр'!B1401</f>
        <v>торцевая планка</v>
      </c>
      <c r="C1394" s="1042" t="str">
        <f>'Смета Внутр'!C1401</f>
        <v>м2</v>
      </c>
      <c r="D1394" s="1058">
        <f>'Смета Внутр'!D1401</f>
        <v>41.838455040691507</v>
      </c>
      <c r="E1394" s="1042">
        <f>'Смета Внутр'!E1401</f>
        <v>100</v>
      </c>
      <c r="F1394" s="1042">
        <f>'Смета Внутр'!F1401</f>
        <v>0</v>
      </c>
      <c r="G1394" s="1042">
        <f t="shared" si="60"/>
        <v>100</v>
      </c>
      <c r="H1394" s="1042">
        <f>'Смета Внутр'!G1401</f>
        <v>4183.8455040691506</v>
      </c>
      <c r="I1394" s="1042">
        <f>'Смета Внутр'!H1401</f>
        <v>0</v>
      </c>
      <c r="J1394" s="1058">
        <f>'Смета Внутр'!I1401</f>
        <v>0</v>
      </c>
    </row>
    <row r="1395" spans="2:10" ht="15" customHeight="1">
      <c r="B1395" s="1042" t="str">
        <f>'Смета Внутр'!B1402</f>
        <v>конек</v>
      </c>
      <c r="C1395" s="1042" t="str">
        <f>'Смета Внутр'!C1402</f>
        <v>м.п.</v>
      </c>
      <c r="D1395" s="1058">
        <f>'Смета Внутр'!D1402</f>
        <v>12.980000000000002</v>
      </c>
      <c r="E1395" s="1042">
        <f>'Смета Внутр'!E1402</f>
        <v>300</v>
      </c>
      <c r="F1395" s="1042">
        <f>'Смета Внутр'!F1402</f>
        <v>0</v>
      </c>
      <c r="G1395" s="1042">
        <f t="shared" si="60"/>
        <v>300</v>
      </c>
      <c r="H1395" s="1042">
        <f>'Смета Внутр'!G1402</f>
        <v>3894.0000000000005</v>
      </c>
      <c r="I1395" s="1042">
        <f>'Смета Внутр'!H1402</f>
        <v>0</v>
      </c>
      <c r="J1395" s="1058">
        <f>'Смета Внутр'!I1402</f>
        <v>0</v>
      </c>
    </row>
    <row r="1396" spans="2:10" ht="15" customHeight="1">
      <c r="B1396" s="1042" t="str">
        <f>'Смета Внутр'!B1403</f>
        <v>желоб водосточный</v>
      </c>
      <c r="C1396" s="1042" t="str">
        <f>'Смета Внутр'!C1403</f>
        <v>м.п.</v>
      </c>
      <c r="D1396" s="1058">
        <f>'Смета Внутр'!D1403</f>
        <v>11.8</v>
      </c>
      <c r="E1396" s="1042">
        <f>'Смета Внутр'!E1403</f>
        <v>300</v>
      </c>
      <c r="F1396" s="1042">
        <f>'Смета Внутр'!F1403</f>
        <v>0</v>
      </c>
      <c r="G1396" s="1042">
        <f t="shared" si="60"/>
        <v>300</v>
      </c>
      <c r="H1396" s="1042">
        <f>'Смета Внутр'!G1403</f>
        <v>3540</v>
      </c>
      <c r="I1396" s="1042">
        <f>'Смета Внутр'!H1403</f>
        <v>0</v>
      </c>
      <c r="J1396" s="1058">
        <f>'Смета Внутр'!I1403</f>
        <v>0</v>
      </c>
    </row>
    <row r="1397" spans="2:10" ht="15" customHeight="1">
      <c r="B1397" s="1042" t="str">
        <f>'Смета Внутр'!B1404</f>
        <v>труба водосточная</v>
      </c>
      <c r="C1397" s="1042" t="str">
        <f>'Смета Внутр'!C1404</f>
        <v>м.п.</v>
      </c>
      <c r="D1397" s="1058">
        <f>'Смета Внутр'!D1404</f>
        <v>8.4</v>
      </c>
      <c r="E1397" s="1042">
        <f>'Смета Внутр'!E1404</f>
        <v>300</v>
      </c>
      <c r="F1397" s="1042">
        <f>'Смета Внутр'!F1404</f>
        <v>0</v>
      </c>
      <c r="G1397" s="1042">
        <f t="shared" si="60"/>
        <v>300</v>
      </c>
      <c r="H1397" s="1042">
        <f>'Смета Внутр'!G1404</f>
        <v>2520</v>
      </c>
      <c r="I1397" s="1042">
        <f>'Смета Внутр'!H1404</f>
        <v>0</v>
      </c>
      <c r="J1397" s="1058">
        <f>'Смета Внутр'!I1404</f>
        <v>0</v>
      </c>
    </row>
    <row r="1398" spans="2:10" ht="15" customHeight="1">
      <c r="B1398" s="1042" t="str">
        <f>'Смета Внутр'!B1405</f>
        <v>Монтаж фанеры/osb</v>
      </c>
      <c r="C1398" s="1042" t="str">
        <f>'Смета Внутр'!C1405</f>
        <v>м2</v>
      </c>
      <c r="D1398" s="1058">
        <f>'Смета Внутр'!D1405</f>
        <v>0</v>
      </c>
      <c r="E1398" s="1042">
        <f>'Смета Внутр'!E1405</f>
        <v>200</v>
      </c>
      <c r="F1398" s="1042">
        <f>'Смета Внутр'!F1405</f>
        <v>0</v>
      </c>
      <c r="G1398" s="1042">
        <f t="shared" si="60"/>
        <v>200</v>
      </c>
      <c r="H1398" s="1042">
        <f>'Смета Внутр'!G1405</f>
        <v>0</v>
      </c>
      <c r="I1398" s="1042">
        <f>'Смета Внутр'!H1405</f>
        <v>0</v>
      </c>
      <c r="J1398" s="1058">
        <f>'Смета Внутр'!I1405</f>
        <v>0</v>
      </c>
    </row>
    <row r="1399" spans="2:10" ht="15" customHeight="1">
      <c r="B1399" s="1042" t="str">
        <f>'Смета Внутр'!B1406</f>
        <v>монтаж подкладочного ковра</v>
      </c>
      <c r="C1399" s="1042" t="str">
        <f>'Смета Внутр'!C1406</f>
        <v>м2</v>
      </c>
      <c r="D1399" s="1058">
        <f>'Смета Внутр'!D1406</f>
        <v>0</v>
      </c>
      <c r="E1399" s="1042">
        <f>'Смета Внутр'!E1406</f>
        <v>150</v>
      </c>
      <c r="F1399" s="1042">
        <f>'Смета Внутр'!F1406</f>
        <v>0</v>
      </c>
      <c r="G1399" s="1042">
        <f t="shared" si="60"/>
        <v>150</v>
      </c>
      <c r="H1399" s="1042">
        <f>'Смета Внутр'!G1406</f>
        <v>0</v>
      </c>
      <c r="I1399" s="1042">
        <f>'Смета Внутр'!H1406</f>
        <v>0</v>
      </c>
      <c r="J1399" s="1058">
        <f>'Смета Внутр'!I1406</f>
        <v>0</v>
      </c>
    </row>
    <row r="1400" spans="2:10" ht="15" customHeight="1">
      <c r="B1400" s="1042" t="str">
        <f>'Смета Внутр'!B1407</f>
        <v>Монтаж мягкой кровли</v>
      </c>
      <c r="C1400" s="1042" t="str">
        <f>'Смета Внутр'!C1407</f>
        <v>м2</v>
      </c>
      <c r="D1400" s="1058">
        <f>'Смета Внутр'!D1407</f>
        <v>0</v>
      </c>
      <c r="E1400" s="1042">
        <f>'Смета Внутр'!E1407</f>
        <v>350</v>
      </c>
      <c r="F1400" s="1042">
        <f>'Смета Внутр'!F1407</f>
        <v>0</v>
      </c>
      <c r="G1400" s="1042">
        <f t="shared" si="60"/>
        <v>350</v>
      </c>
      <c r="H1400" s="1042">
        <f>'Смета Внутр'!G1407</f>
        <v>0</v>
      </c>
      <c r="I1400" s="1042">
        <f>'Смета Внутр'!H1407</f>
        <v>0</v>
      </c>
      <c r="J1400" s="1058">
        <f>'Смета Внутр'!I1407</f>
        <v>0</v>
      </c>
    </row>
    <row r="1401" spans="2:10" ht="15" customHeight="1">
      <c r="B1401" s="3330" t="str">
        <f>'Смета Внутр'!B1408</f>
        <v>Итого работы</v>
      </c>
      <c r="C1401" s="3330"/>
      <c r="D1401" s="3330"/>
      <c r="E1401" s="3330"/>
      <c r="F1401" s="3330"/>
      <c r="G1401" s="3330"/>
      <c r="H1401" s="1042">
        <f>'Смета Внутр'!G1408</f>
        <v>0</v>
      </c>
      <c r="I1401" s="1042">
        <f>'Смета Внутр'!H1408</f>
        <v>0</v>
      </c>
      <c r="J1401" s="1058">
        <f>'Смета Внутр'!I1408</f>
        <v>0</v>
      </c>
    </row>
    <row r="1402" spans="2:10" ht="15" customHeight="1">
      <c r="B1402" s="3313" t="str">
        <f>'Смета Внутр'!B1409</f>
        <v>Кровля двускатная</v>
      </c>
      <c r="C1402" s="3313"/>
      <c r="D1402" s="3313"/>
      <c r="H1402">
        <f>'Смета Внутр'!G1409</f>
        <v>0</v>
      </c>
      <c r="I1402">
        <f>'Смета Внутр'!H1409</f>
        <v>0</v>
      </c>
      <c r="J1402" s="3011">
        <f>'Смета Внутр'!I1409</f>
        <v>0</v>
      </c>
    </row>
    <row r="1403" spans="2:10" ht="15" customHeight="1">
      <c r="B1403" s="3002" t="str">
        <f>'Смета Внутр'!B1410</f>
        <v>Материалы</v>
      </c>
      <c r="H1403">
        <f>'Смета Внутр'!G1410</f>
        <v>0</v>
      </c>
      <c r="I1403">
        <f>'Смета Внутр'!H1410</f>
        <v>0</v>
      </c>
      <c r="J1403" s="3011">
        <f>'Смета Внутр'!I1410</f>
        <v>0</v>
      </c>
    </row>
    <row r="1404" spans="2:10" ht="15" customHeight="1">
      <c r="B1404" s="3007" t="str">
        <f>'Смета Внутр'!B1411</f>
        <v>нет</v>
      </c>
      <c r="C1404" s="3007" t="str">
        <f>'Смета Внутр'!C1411</f>
        <v>м3</v>
      </c>
      <c r="D1404" s="3014">
        <f>'Смета Внутр'!D1411</f>
        <v>0</v>
      </c>
      <c r="E1404" s="1042">
        <f>'Смета Внутр'!E1411</f>
        <v>0</v>
      </c>
      <c r="F1404" s="1042">
        <f>'Смета Внутр'!F1411</f>
        <v>0</v>
      </c>
      <c r="G1404" s="3007">
        <f t="shared" ref="G1404:G1435" si="61">IF(E1404&gt;F1404,E1404,F1404)</f>
        <v>0</v>
      </c>
      <c r="H1404" s="1042">
        <f>'Смета Внутр'!G1411</f>
        <v>0</v>
      </c>
      <c r="I1404" s="1042">
        <f>'Смета Внутр'!H1411</f>
        <v>0</v>
      </c>
      <c r="J1404" s="3014">
        <f>'Смета Внутр'!I1411</f>
        <v>0</v>
      </c>
    </row>
    <row r="1405" spans="2:10" ht="15" customHeight="1">
      <c r="B1405" s="3007" t="str">
        <f>'Смета Внутр'!B1412</f>
        <v xml:space="preserve">Болты анкерные с гайкой 12,0 х 280          </v>
      </c>
      <c r="C1405" s="3007" t="str">
        <f>'Смета Внутр'!C1412</f>
        <v>шт</v>
      </c>
      <c r="D1405" s="3014">
        <f>'Смета Внутр'!D1412</f>
        <v>48.284271247461902</v>
      </c>
      <c r="E1405" s="1042">
        <f>'Смета Внутр'!E1412</f>
        <v>27.1</v>
      </c>
      <c r="F1405" s="1042">
        <f>'Смета Внутр'!F1412</f>
        <v>0</v>
      </c>
      <c r="G1405" s="3007">
        <f t="shared" si="61"/>
        <v>27.1</v>
      </c>
      <c r="H1405" s="1042">
        <f>'Смета Внутр'!G1412</f>
        <v>1308.5037508062176</v>
      </c>
      <c r="I1405" s="1042">
        <f>'Смета Внутр'!H1412</f>
        <v>0</v>
      </c>
      <c r="J1405" s="3014">
        <f>'Смета Внутр'!I1412</f>
        <v>0</v>
      </c>
    </row>
    <row r="1406" spans="2:10" ht="15" customHeight="1">
      <c r="B1406" s="3007" t="str">
        <f>'Смета Внутр'!B1413</f>
        <v>Доска сухая, 200*50мм</v>
      </c>
      <c r="C1406" s="3007" t="str">
        <f>'Смета Внутр'!C1413</f>
        <v>м3</v>
      </c>
      <c r="D1406" s="3014">
        <f>'Смета Внутр'!D1413</f>
        <v>2.9535780917534957</v>
      </c>
      <c r="E1406" s="1042">
        <f>'Смета Внутр'!E1413</f>
        <v>9000</v>
      </c>
      <c r="F1406" s="1042">
        <f>'Смета Внутр'!F1413</f>
        <v>0</v>
      </c>
      <c r="G1406" s="3007">
        <f t="shared" si="61"/>
        <v>9000</v>
      </c>
      <c r="H1406" s="1042">
        <f>'Смета Внутр'!G1413</f>
        <v>26582.20282578146</v>
      </c>
      <c r="I1406" s="1042">
        <f>'Смета Внутр'!H1413</f>
        <v>0</v>
      </c>
      <c r="J1406" s="3014">
        <f>'Смета Внутр'!I1413</f>
        <v>0</v>
      </c>
    </row>
    <row r="1407" spans="2:10" ht="15" customHeight="1">
      <c r="B1407" s="3007" t="str">
        <f>'Смета Внутр'!B1414</f>
        <v xml:space="preserve">бугель, доска </v>
      </c>
      <c r="C1407" s="3007" t="str">
        <f>'Смета Внутр'!C1414</f>
        <v>м3</v>
      </c>
      <c r="D1407" s="3014">
        <f>'Смета Внутр'!D1414</f>
        <v>0.79300000000000026</v>
      </c>
      <c r="E1407" s="1042">
        <f>'Смета Внутр'!E1414</f>
        <v>9000</v>
      </c>
      <c r="F1407" s="1042">
        <f>'Смета Внутр'!F1414</f>
        <v>0</v>
      </c>
      <c r="G1407" s="3007">
        <f t="shared" si="61"/>
        <v>9000</v>
      </c>
      <c r="H1407" s="1042">
        <f>'Смета Внутр'!G1414</f>
        <v>7137.0000000000027</v>
      </c>
      <c r="I1407" s="1042">
        <f>'Смета Внутр'!H1414</f>
        <v>0</v>
      </c>
      <c r="J1407" s="3014">
        <f>'Смета Внутр'!I1414</f>
        <v>0</v>
      </c>
    </row>
    <row r="1408" spans="2:10" ht="15" customHeight="1">
      <c r="B1408" s="3007" t="str">
        <f>'Смета Внутр'!B1415</f>
        <v>стойка под конек</v>
      </c>
      <c r="C1408" s="3007" t="str">
        <f>'Смета Внутр'!C1415</f>
        <v>м3</v>
      </c>
      <c r="D1408" s="3014">
        <f>'Смета Внутр'!D1415</f>
        <v>0</v>
      </c>
      <c r="E1408" s="1042">
        <f>'Смета Внутр'!E1415</f>
        <v>9000</v>
      </c>
      <c r="F1408" s="1042">
        <f>'Смета Внутр'!F1415</f>
        <v>0</v>
      </c>
      <c r="G1408" s="3007">
        <f t="shared" si="61"/>
        <v>9000</v>
      </c>
      <c r="H1408" s="1042">
        <f>'Смета Внутр'!G1415</f>
        <v>0</v>
      </c>
      <c r="I1408" s="1042">
        <f>'Смета Внутр'!H1415</f>
        <v>0</v>
      </c>
      <c r="J1408" s="3014">
        <f>'Смета Внутр'!I1415</f>
        <v>0</v>
      </c>
    </row>
    <row r="1409" spans="2:10" ht="15" customHeight="1">
      <c r="B1409" s="3007" t="str">
        <f>'Смета Внутр'!B1416</f>
        <v>Сосна влаж,100*25мм</v>
      </c>
      <c r="C1409" s="3007" t="str">
        <f>'Смета Внутр'!C1416</f>
        <v>м3</v>
      </c>
      <c r="D1409" s="3014">
        <f>'Смета Внутр'!D1416</f>
        <v>1.7930702044232372</v>
      </c>
      <c r="E1409" s="1042">
        <f>'Смета Внутр'!E1416</f>
        <v>6500</v>
      </c>
      <c r="F1409" s="1042">
        <f>'Смета Внутр'!F1416</f>
        <v>0</v>
      </c>
      <c r="G1409" s="3007">
        <f t="shared" si="61"/>
        <v>6500</v>
      </c>
      <c r="H1409" s="1042">
        <f>'Смета Внутр'!G1416</f>
        <v>11654.956328751041</v>
      </c>
      <c r="I1409" s="1042">
        <f>'Смета Внутр'!H1416</f>
        <v>0</v>
      </c>
      <c r="J1409" s="3014">
        <f>'Смета Внутр'!I1416</f>
        <v>0</v>
      </c>
    </row>
    <row r="1410" spans="2:10" ht="15" customHeight="1">
      <c r="B1410" s="3007" t="str">
        <f>'Смета Внутр'!B1417</f>
        <v>Доска сухая, калибр., 35*45мм</v>
      </c>
      <c r="C1410" s="3007" t="str">
        <f>'Смета Внутр'!C1417</f>
        <v>шт</v>
      </c>
      <c r="D1410" s="3014">
        <f>'Смета Внутр'!D1417</f>
        <v>0.38502060639519076</v>
      </c>
      <c r="E1410" s="1042">
        <f>'Смета Внутр'!E1417</f>
        <v>12500</v>
      </c>
      <c r="F1410" s="1042">
        <f>'Смета Внутр'!F1417</f>
        <v>0</v>
      </c>
      <c r="G1410" s="3007">
        <f t="shared" si="61"/>
        <v>12500</v>
      </c>
      <c r="H1410" s="1042">
        <f>'Смета Внутр'!G1417</f>
        <v>4812.7575799398846</v>
      </c>
      <c r="I1410" s="1042">
        <f>'Смета Внутр'!H1417</f>
        <v>0</v>
      </c>
      <c r="J1410" s="3014">
        <f>'Смета Внутр'!I1417</f>
        <v>0</v>
      </c>
    </row>
    <row r="1411" spans="2:10" ht="15" customHeight="1">
      <c r="B1411" s="1042" t="str">
        <f>'Смета Внутр'!B1418</f>
        <v>Сосна влаж, 150*150мм</v>
      </c>
      <c r="C1411" s="1042" t="str">
        <f>'Смета Внутр'!C1418</f>
        <v>м.п.</v>
      </c>
      <c r="D1411" s="1058">
        <f>'Смета Внутр'!D1418</f>
        <v>0</v>
      </c>
      <c r="E1411" s="1042">
        <f>'Смета Внутр'!E1418</f>
        <v>6500</v>
      </c>
      <c r="F1411" s="1042">
        <f>'Смета Внутр'!F1418</f>
        <v>0</v>
      </c>
      <c r="G1411" s="1042">
        <f t="shared" si="61"/>
        <v>6500</v>
      </c>
      <c r="H1411" s="1042">
        <f>'Смета Внутр'!G1418</f>
        <v>0</v>
      </c>
      <c r="I1411" s="1042">
        <f>'Смета Внутр'!H1418</f>
        <v>0</v>
      </c>
      <c r="J1411" s="1058">
        <f>'Смета Внутр'!I1418</f>
        <v>0</v>
      </c>
    </row>
    <row r="1412" spans="2:10" ht="15" customHeight="1">
      <c r="B1412" s="1042" t="str">
        <f>'Смета Внутр'!B1419</f>
        <v>Гидрокомпенсатор</v>
      </c>
      <c r="C1412" s="1042" t="str">
        <f>'Смета Внутр'!C1419</f>
        <v>шт.</v>
      </c>
      <c r="D1412" s="1058">
        <f>'Смета Внутр'!D1419</f>
        <v>0</v>
      </c>
      <c r="E1412" s="1042">
        <f>'Смета Внутр'!E1419</f>
        <v>450</v>
      </c>
      <c r="F1412" s="1042">
        <f>'Смета Внутр'!F1419</f>
        <v>0</v>
      </c>
      <c r="G1412" s="1042">
        <f t="shared" si="61"/>
        <v>450</v>
      </c>
      <c r="H1412" s="1042">
        <f>'Смета Внутр'!G1419</f>
        <v>0</v>
      </c>
      <c r="I1412" s="1042">
        <f>'Смета Внутр'!H1419</f>
        <v>0</v>
      </c>
      <c r="J1412" s="1058">
        <f>'Смета Внутр'!I1419</f>
        <v>0</v>
      </c>
    </row>
    <row r="1413" spans="2:10" ht="15" customHeight="1">
      <c r="B1413" s="1042" t="str">
        <f>'Смета Внутр'!B1420</f>
        <v>Пленка Д110 Стандарт</v>
      </c>
      <c r="C1413" s="1042" t="str">
        <f>'Смета Внутр'!C1420</f>
        <v>м2</v>
      </c>
      <c r="D1413" s="1058">
        <f>'Смета Внутр'!D1420</f>
        <v>215.1684245307884</v>
      </c>
      <c r="E1413" s="1042">
        <f>'Смета Внутр'!E1420</f>
        <v>24</v>
      </c>
      <c r="F1413" s="1042">
        <f>'Смета Внутр'!F1420</f>
        <v>0</v>
      </c>
      <c r="G1413" s="1042">
        <f t="shared" si="61"/>
        <v>24</v>
      </c>
      <c r="H1413" s="1042">
        <f>'Смета Внутр'!G1420</f>
        <v>5164.0421887389221</v>
      </c>
      <c r="I1413" s="1042">
        <f>'Смета Внутр'!H1420</f>
        <v>0</v>
      </c>
      <c r="J1413" s="1058">
        <f>'Смета Внутр'!I1420</f>
        <v>0</v>
      </c>
    </row>
    <row r="1414" spans="2:10" ht="15" customHeight="1">
      <c r="B1414" s="1042" t="str">
        <f>'Смета Внутр'!B1421</f>
        <v>Мембрана Tyvek AirGuard SD5</v>
      </c>
      <c r="C1414" s="1042" t="str">
        <f>'Смета Внутр'!C1421</f>
        <v>м2</v>
      </c>
      <c r="D1414" s="1058">
        <f>'Смета Внутр'!D1421</f>
        <v>197.23772248655607</v>
      </c>
      <c r="E1414" s="1042">
        <f>'Смета Внутр'!E1421</f>
        <v>132</v>
      </c>
      <c r="F1414" s="1042">
        <f>'Смета Внутр'!F1421</f>
        <v>0</v>
      </c>
      <c r="G1414" s="1042">
        <f t="shared" si="61"/>
        <v>132</v>
      </c>
      <c r="H1414" s="1042">
        <f>'Смета Внутр'!G1421</f>
        <v>26035.3793682254</v>
      </c>
      <c r="I1414" s="1042">
        <f>'Смета Внутр'!H1421</f>
        <v>0</v>
      </c>
      <c r="J1414" s="1058">
        <f>'Смета Внутр'!I1421</f>
        <v>0</v>
      </c>
    </row>
    <row r="1415" spans="2:10" ht="15" customHeight="1">
      <c r="B1415" s="3007" t="str">
        <f>'Смета Внутр'!B1422</f>
        <v>Плитный,28кг/м3, технониколь, 200мм</v>
      </c>
      <c r="C1415" s="3007" t="str">
        <f>'Смета Внутр'!C1422</f>
        <v>м3</v>
      </c>
      <c r="D1415" s="3014">
        <f>'Смета Внутр'!D1422</f>
        <v>28.915003524538566</v>
      </c>
      <c r="E1415" s="1042">
        <f>'Смета Внутр'!E1422</f>
        <v>1700</v>
      </c>
      <c r="F1415" s="1042">
        <f>'Смета Внутр'!F1422</f>
        <v>0</v>
      </c>
      <c r="G1415" s="3007">
        <f t="shared" si="61"/>
        <v>1700</v>
      </c>
      <c r="H1415" s="1042">
        <f>'Смета Внутр'!G1422</f>
        <v>49155.50599171556</v>
      </c>
      <c r="I1415" s="1042">
        <f>'Смета Внутр'!H1422</f>
        <v>0</v>
      </c>
      <c r="J1415" s="3014">
        <f>'Смета Внутр'!I1422</f>
        <v>0</v>
      </c>
    </row>
    <row r="1416" spans="2:10" ht="15" customHeight="1">
      <c r="B1416" s="3007" t="str">
        <f>'Смета Внутр'!B1423</f>
        <v>Металлочерепица</v>
      </c>
      <c r="C1416" s="3007" t="str">
        <f>'Смета Внутр'!C1423</f>
        <v>м2</v>
      </c>
      <c r="D1416" s="3014">
        <f>'Смета Внутр'!D1423</f>
        <v>0</v>
      </c>
      <c r="E1416" s="1042">
        <f>'Смета Внутр'!E1423</f>
        <v>250</v>
      </c>
      <c r="F1416" s="1042">
        <f>'Смета Внутр'!F1423</f>
        <v>0</v>
      </c>
      <c r="G1416" s="3007">
        <f t="shared" si="61"/>
        <v>250</v>
      </c>
      <c r="H1416" s="1042">
        <f>'Смета Внутр'!G1423</f>
        <v>0</v>
      </c>
      <c r="I1416" s="1042">
        <f>'Смета Внутр'!H1423</f>
        <v>0</v>
      </c>
      <c r="J1416" s="3014">
        <f>'Смета Внутр'!I1423</f>
        <v>0</v>
      </c>
    </row>
    <row r="1417" spans="2:10" ht="15" customHeight="1">
      <c r="B1417" s="3007" t="str">
        <f>'Смета Внутр'!B1424</f>
        <v>Карнизная планка</v>
      </c>
      <c r="C1417" s="3007" t="str">
        <f>'Смета Внутр'!C1424</f>
        <v>м.п.</v>
      </c>
      <c r="D1417" s="3014">
        <f>'Смета Внутр'!D1424</f>
        <v>0</v>
      </c>
      <c r="E1417" s="1042">
        <f>'Смета Внутр'!E1424</f>
        <v>190</v>
      </c>
      <c r="F1417" s="1042">
        <f>'Смета Внутр'!F1424</f>
        <v>0</v>
      </c>
      <c r="G1417" s="3007">
        <f t="shared" si="61"/>
        <v>190</v>
      </c>
      <c r="H1417" s="1042">
        <f>'Смета Внутр'!G1424</f>
        <v>0</v>
      </c>
      <c r="I1417" s="1042">
        <f>'Смета Внутр'!H1424</f>
        <v>0</v>
      </c>
      <c r="J1417" s="3014">
        <f>'Смета Внутр'!I1424</f>
        <v>0</v>
      </c>
    </row>
    <row r="1418" spans="2:10" ht="15" customHeight="1">
      <c r="B1418" s="3007" t="str">
        <f>'Смета Внутр'!B1425</f>
        <v>Торцевая планка</v>
      </c>
      <c r="C1418" s="3007" t="str">
        <f>'Смета Внутр'!C1425</f>
        <v>м.п.</v>
      </c>
      <c r="D1418" s="3014">
        <f>'Смета Внутр'!D1425</f>
        <v>0</v>
      </c>
      <c r="E1418" s="1042">
        <f>'Смета Внутр'!E1425</f>
        <v>190</v>
      </c>
      <c r="F1418" s="1042">
        <f>'Смета Внутр'!F1425</f>
        <v>0</v>
      </c>
      <c r="G1418" s="3007">
        <f t="shared" si="61"/>
        <v>190</v>
      </c>
      <c r="H1418" s="1042">
        <f>'Смета Внутр'!G1425</f>
        <v>0</v>
      </c>
      <c r="I1418" s="1042">
        <f>'Смета Внутр'!H1425</f>
        <v>0</v>
      </c>
      <c r="J1418" s="3014">
        <f>'Смета Внутр'!I1425</f>
        <v>0</v>
      </c>
    </row>
    <row r="1419" spans="2:10" ht="15" customHeight="1">
      <c r="B1419" s="3007" t="str">
        <f>'Смета Внутр'!B1426</f>
        <v>Конек</v>
      </c>
      <c r="C1419" s="3007" t="str">
        <f>'Смета Внутр'!C1426</f>
        <v>м.п.</v>
      </c>
      <c r="D1419" s="3014">
        <f>'Смета Внутр'!D1426</f>
        <v>0</v>
      </c>
      <c r="E1419" s="1042">
        <f>'Смета Внутр'!E1426</f>
        <v>200</v>
      </c>
      <c r="F1419" s="1042">
        <f>'Смета Внутр'!F1426</f>
        <v>0</v>
      </c>
      <c r="G1419" s="3007">
        <f t="shared" si="61"/>
        <v>200</v>
      </c>
      <c r="H1419" s="1042">
        <f>'Смета Внутр'!G1426</f>
        <v>0</v>
      </c>
      <c r="I1419" s="1042">
        <f>'Смета Внутр'!H1426</f>
        <v>0</v>
      </c>
      <c r="J1419" s="3014">
        <f>'Смета Внутр'!I1426</f>
        <v>0</v>
      </c>
    </row>
    <row r="1420" spans="2:10" ht="15" customHeight="1">
      <c r="B1420" s="1042" t="str">
        <f>'Смета Внутр'!B1427</f>
        <v>ондулин</v>
      </c>
      <c r="C1420" s="1042" t="str">
        <f>'Смета Внутр'!C1427</f>
        <v>м2</v>
      </c>
      <c r="D1420" s="1058">
        <f>'Смета Внутр'!D1427</f>
        <v>0</v>
      </c>
      <c r="E1420" s="1042">
        <f>'Смета Внутр'!E1427</f>
        <v>180</v>
      </c>
      <c r="F1420" s="1042">
        <f>'Смета Внутр'!F1427</f>
        <v>0</v>
      </c>
      <c r="G1420" s="1042">
        <f t="shared" si="61"/>
        <v>180</v>
      </c>
      <c r="H1420" s="1042">
        <f>'Смета Внутр'!G1427</f>
        <v>0</v>
      </c>
      <c r="I1420" s="1042">
        <f>'Смета Внутр'!H1427</f>
        <v>0</v>
      </c>
      <c r="J1420" s="1058">
        <f>'Смета Внутр'!I1427</f>
        <v>0</v>
      </c>
    </row>
    <row r="1421" spans="2:10" ht="15" customHeight="1">
      <c r="B1421" s="1042" t="str">
        <f>'Смета Внутр'!B1428</f>
        <v>Карнизная планка</v>
      </c>
      <c r="C1421" s="1042" t="str">
        <f>'Смета Внутр'!C1428</f>
        <v>м.п.</v>
      </c>
      <c r="D1421" s="1058">
        <f>'Смета Внутр'!D1428</f>
        <v>0</v>
      </c>
      <c r="E1421" s="1042">
        <f>'Смета Внутр'!E1428</f>
        <v>190</v>
      </c>
      <c r="F1421" s="1042">
        <f>'Смета Внутр'!F1428</f>
        <v>0</v>
      </c>
      <c r="G1421" s="1042">
        <f t="shared" si="61"/>
        <v>190</v>
      </c>
      <c r="H1421" s="1042">
        <f>'Смета Внутр'!G1428</f>
        <v>0</v>
      </c>
      <c r="I1421" s="1042">
        <f>'Смета Внутр'!H1428</f>
        <v>0</v>
      </c>
      <c r="J1421" s="1058">
        <f>'Смета Внутр'!I1428</f>
        <v>0</v>
      </c>
    </row>
    <row r="1422" spans="2:10" ht="15" customHeight="1">
      <c r="B1422" s="1042" t="str">
        <f>'Смета Внутр'!B1429</f>
        <v>Торцевая планка</v>
      </c>
      <c r="C1422" s="1042" t="str">
        <f>'Смета Внутр'!C1429</f>
        <v>м.п.</v>
      </c>
      <c r="D1422" s="1058">
        <f>'Смета Внутр'!D1429</f>
        <v>0</v>
      </c>
      <c r="E1422" s="1042">
        <f>'Смета Внутр'!E1429</f>
        <v>190</v>
      </c>
      <c r="F1422" s="1042">
        <f>'Смета Внутр'!F1429</f>
        <v>0</v>
      </c>
      <c r="G1422" s="1042">
        <f t="shared" si="61"/>
        <v>190</v>
      </c>
      <c r="H1422" s="1042">
        <f>'Смета Внутр'!G1429</f>
        <v>0</v>
      </c>
      <c r="I1422" s="1042">
        <f>'Смета Внутр'!H1429</f>
        <v>0</v>
      </c>
      <c r="J1422" s="1058">
        <f>'Смета Внутр'!I1429</f>
        <v>0</v>
      </c>
    </row>
    <row r="1423" spans="2:10" ht="15" customHeight="1">
      <c r="B1423" s="1042" t="str">
        <f>'Смета Внутр'!B1430</f>
        <v>Конек</v>
      </c>
      <c r="C1423" s="1042" t="str">
        <f>'Смета Внутр'!C1430</f>
        <v>м.п</v>
      </c>
      <c r="D1423" s="1058">
        <f>'Смета Внутр'!D1430</f>
        <v>0</v>
      </c>
      <c r="E1423" s="1042">
        <f>'Смета Внутр'!E1430</f>
        <v>200</v>
      </c>
      <c r="F1423" s="1042">
        <f>'Смета Внутр'!F1430</f>
        <v>0</v>
      </c>
      <c r="G1423" s="1042">
        <f t="shared" si="61"/>
        <v>200</v>
      </c>
      <c r="H1423" s="1042">
        <f>'Смета Внутр'!G1430</f>
        <v>0</v>
      </c>
      <c r="I1423" s="1042">
        <f>'Смета Внутр'!H1430</f>
        <v>0</v>
      </c>
      <c r="J1423" s="1058">
        <f>'Смета Внутр'!I1430</f>
        <v>0</v>
      </c>
    </row>
    <row r="1424" spans="2:10" ht="15" customHeight="1">
      <c r="B1424" s="1042" t="str">
        <f>'Смета Внутр'!B1431</f>
        <v>Ендова нижняя</v>
      </c>
      <c r="C1424" s="1042" t="str">
        <f>'Смета Внутр'!C1431</f>
        <v>м.п.</v>
      </c>
      <c r="D1424" s="1058">
        <f>'Смета Внутр'!D1431</f>
        <v>0</v>
      </c>
      <c r="E1424" s="1042">
        <f>'Смета Внутр'!E1431</f>
        <v>160</v>
      </c>
      <c r="F1424" s="1042">
        <f>'Смета Внутр'!F1431</f>
        <v>0</v>
      </c>
      <c r="G1424" s="1042">
        <f t="shared" si="61"/>
        <v>160</v>
      </c>
      <c r="H1424" s="1042">
        <f>'Смета Внутр'!G1431</f>
        <v>0</v>
      </c>
      <c r="I1424" s="1042">
        <f>'Смета Внутр'!H1431</f>
        <v>0</v>
      </c>
      <c r="J1424" s="1058">
        <f>'Смета Внутр'!I1431</f>
        <v>0</v>
      </c>
    </row>
    <row r="1425" spans="2:10" ht="15" customHeight="1">
      <c r="B1425" s="1042" t="str">
        <f>'Смета Внутр'!B1432</f>
        <v>Ендова верхняя</v>
      </c>
      <c r="C1425" s="1042" t="str">
        <f>'Смета Внутр'!C1432</f>
        <v>м.п.</v>
      </c>
      <c r="D1425" s="1058">
        <f>'Смета Внутр'!D1432</f>
        <v>0</v>
      </c>
      <c r="E1425" s="1042">
        <f>'Смета Внутр'!E1432</f>
        <v>190</v>
      </c>
      <c r="F1425" s="1042">
        <f>'Смета Внутр'!F1432</f>
        <v>0</v>
      </c>
      <c r="G1425" s="1042">
        <f t="shared" si="61"/>
        <v>190</v>
      </c>
      <c r="H1425" s="1042">
        <f>'Смета Внутр'!G1432</f>
        <v>0</v>
      </c>
      <c r="I1425" s="1042">
        <f>'Смета Внутр'!H1432</f>
        <v>0</v>
      </c>
      <c r="J1425" s="1058">
        <f>'Смета Внутр'!I1432</f>
        <v>0</v>
      </c>
    </row>
    <row r="1426" spans="2:10" ht="15" customHeight="1">
      <c r="B1426" s="1042" t="str">
        <f>'Смета Внутр'!B1433</f>
        <v>Планка примыкания</v>
      </c>
      <c r="C1426" s="1042" t="str">
        <f>'Смета Внутр'!C1433</f>
        <v>м.п.</v>
      </c>
      <c r="D1426" s="1058">
        <f>'Смета Внутр'!D1433</f>
        <v>0</v>
      </c>
      <c r="E1426" s="1042">
        <f>'Смета Внутр'!E1433</f>
        <v>190</v>
      </c>
      <c r="F1426" s="1042">
        <f>'Смета Внутр'!F1433</f>
        <v>0</v>
      </c>
      <c r="G1426" s="1042">
        <f t="shared" si="61"/>
        <v>190</v>
      </c>
      <c r="H1426" s="1042">
        <f>'Смета Внутр'!G1433</f>
        <v>0</v>
      </c>
      <c r="I1426" s="1042">
        <f>'Смета Внутр'!H1433</f>
        <v>0</v>
      </c>
      <c r="J1426" s="1058">
        <f>'Смета Внутр'!I1433</f>
        <v>0</v>
      </c>
    </row>
    <row r="1427" spans="2:10" ht="15" customHeight="1">
      <c r="B1427" s="1042" t="str">
        <f>'Смета Внутр'!B1434</f>
        <v>Крепеж для ондулина</v>
      </c>
      <c r="C1427" s="1042" t="str">
        <f>'Смета Внутр'!C1434</f>
        <v>шт</v>
      </c>
      <c r="D1427" s="1058">
        <f>'Смета Внутр'!D1434</f>
        <v>0</v>
      </c>
      <c r="E1427" s="1042">
        <f>'Смета Внутр'!E1434</f>
        <v>4.5</v>
      </c>
      <c r="F1427" s="1042">
        <f>'Смета Внутр'!F1434</f>
        <v>0</v>
      </c>
      <c r="G1427" s="1042">
        <f t="shared" si="61"/>
        <v>4.5</v>
      </c>
      <c r="H1427" s="1042">
        <f>'Смета Внутр'!G1434</f>
        <v>0</v>
      </c>
      <c r="I1427" s="1042">
        <f>'Смета Внутр'!H1434</f>
        <v>0</v>
      </c>
      <c r="J1427" s="1058">
        <f>'Смета Внутр'!I1434</f>
        <v>0</v>
      </c>
    </row>
    <row r="1428" spans="2:10" ht="15" customHeight="1">
      <c r="B1428" s="1042" t="str">
        <f>'Смета Внутр'!B1435</f>
        <v>Kronospan - OSB-3, 9мм</v>
      </c>
      <c r="C1428" s="1042" t="str">
        <f>'Смета Внутр'!C1435</f>
        <v>м2</v>
      </c>
      <c r="D1428" s="1058">
        <f>'Смета Внутр'!D1435</f>
        <v>197.23772248655607</v>
      </c>
      <c r="E1428" s="1042">
        <f>'Смета Внутр'!E1435</f>
        <v>220</v>
      </c>
      <c r="F1428" s="1042">
        <f>'Смета Внутр'!F1435</f>
        <v>0</v>
      </c>
      <c r="G1428" s="1042">
        <f t="shared" si="61"/>
        <v>220</v>
      </c>
      <c r="H1428" s="1042">
        <f>'Смета Внутр'!G1435</f>
        <v>43392.298947042334</v>
      </c>
      <c r="I1428" s="1042">
        <f>'Смета Внутр'!H1435</f>
        <v>0</v>
      </c>
      <c r="J1428" s="1058">
        <f>'Смета Внутр'!I1435</f>
        <v>0</v>
      </c>
    </row>
    <row r="1429" spans="2:10" ht="15" customHeight="1">
      <c r="B1429" s="1042" t="str">
        <f>'Смета Внутр'!B1436</f>
        <v>Рядовая черепица</v>
      </c>
      <c r="C1429" s="1042" t="str">
        <f>'Смета Внутр'!C1436</f>
        <v>м2</v>
      </c>
      <c r="D1429" s="1058">
        <f>'Смета Внутр'!D1436</f>
        <v>174.66702044232369</v>
      </c>
      <c r="E1429" s="1042">
        <f>'Смета Внутр'!E1436</f>
        <v>360</v>
      </c>
      <c r="F1429" s="1042">
        <f>'Смета Внутр'!F1436</f>
        <v>0</v>
      </c>
      <c r="G1429" s="1042">
        <f t="shared" si="61"/>
        <v>360</v>
      </c>
      <c r="H1429" s="1042">
        <f>'Смета Внутр'!G1436</f>
        <v>62880.127359236525</v>
      </c>
      <c r="I1429" s="1042">
        <f>'Смета Внутр'!H1436</f>
        <v>0</v>
      </c>
      <c r="J1429" s="1058">
        <f>'Смета Внутр'!I1436</f>
        <v>0</v>
      </c>
    </row>
    <row r="1430" spans="2:10" ht="15" customHeight="1">
      <c r="B1430" s="1042" t="str">
        <f>'Смета Внутр'!B1437</f>
        <v>Металл оцинк защита (карниз)</v>
      </c>
      <c r="C1430" s="1042" t="str">
        <f>'Смета Внутр'!C1437</f>
        <v>м.п.</v>
      </c>
      <c r="D1430" s="1058">
        <f>'Смета Внутр'!D1437</f>
        <v>54.115003524538565</v>
      </c>
      <c r="E1430" s="1042">
        <f>'Смета Внутр'!E1437</f>
        <v>200</v>
      </c>
      <c r="F1430" s="1042">
        <f>'Смета Внутр'!F1437</f>
        <v>0</v>
      </c>
      <c r="G1430" s="1042">
        <f t="shared" si="61"/>
        <v>200</v>
      </c>
      <c r="H1430" s="1042">
        <f>'Смета Внутр'!G1437</f>
        <v>10823.000704907714</v>
      </c>
      <c r="I1430" s="1042">
        <f>'Смета Внутр'!H1437</f>
        <v>0</v>
      </c>
      <c r="J1430" s="1058">
        <f>'Смета Внутр'!I1437</f>
        <v>0</v>
      </c>
    </row>
    <row r="1431" spans="2:10" ht="15" customHeight="1">
      <c r="B1431" s="1042" t="str">
        <f>'Смета Внутр'!B1438</f>
        <v>Подкладочный ковер</v>
      </c>
      <c r="C1431" s="1042" t="str">
        <f>'Смета Внутр'!C1438</f>
        <v>м.п.</v>
      </c>
      <c r="D1431" s="1058">
        <f>'Смета Внутр'!D1438</f>
        <v>179.30702044232368</v>
      </c>
      <c r="E1431" s="1042">
        <f>'Смета Внутр'!E1438</f>
        <v>220</v>
      </c>
      <c r="F1431" s="1042">
        <f>'Смета Внутр'!F1438</f>
        <v>0</v>
      </c>
      <c r="G1431" s="1042">
        <f t="shared" si="61"/>
        <v>220</v>
      </c>
      <c r="H1431" s="1042">
        <f>'Смета Внутр'!G1438</f>
        <v>39447.54449731121</v>
      </c>
      <c r="I1431" s="1042">
        <f>'Смета Внутр'!H1438</f>
        <v>0</v>
      </c>
      <c r="J1431" s="1058">
        <f>'Смета Внутр'!I1438</f>
        <v>0</v>
      </c>
    </row>
    <row r="1432" spans="2:10" ht="15" customHeight="1">
      <c r="B1432" s="1042" t="str">
        <f>'Смета Внутр'!B1439</f>
        <v>Карнизная самоклеющаяся черепица</v>
      </c>
      <c r="C1432" s="1042" t="str">
        <f>'Смета Внутр'!C1439</f>
        <v>м.п.</v>
      </c>
      <c r="D1432" s="1058">
        <f>'Смета Внутр'!D1439</f>
        <v>23.200000000000003</v>
      </c>
      <c r="E1432" s="1042">
        <f>'Смета Внутр'!E1439</f>
        <v>220</v>
      </c>
      <c r="F1432" s="1042">
        <f>'Смета Внутр'!F1439</f>
        <v>0</v>
      </c>
      <c r="G1432" s="1042">
        <f t="shared" si="61"/>
        <v>220</v>
      </c>
      <c r="H1432" s="1042">
        <f>'Смета Внутр'!G1439</f>
        <v>5104.0000000000009</v>
      </c>
      <c r="I1432" s="1042">
        <f>'Смета Внутр'!H1439</f>
        <v>0</v>
      </c>
      <c r="J1432" s="1058">
        <f>'Смета Внутр'!I1439</f>
        <v>0</v>
      </c>
    </row>
    <row r="1433" spans="2:10" ht="15" customHeight="1">
      <c r="B1433" s="1042" t="str">
        <f>'Смета Внутр'!B1440</f>
        <v>Спец ковер ендова нижняя</v>
      </c>
      <c r="C1433" s="1042" t="str">
        <f>'Смета Внутр'!C1440</f>
        <v>м.п.</v>
      </c>
      <c r="D1433" s="1058">
        <f>'Смета Внутр'!D1440</f>
        <v>0</v>
      </c>
      <c r="E1433" s="1042">
        <f>'Смета Внутр'!E1440</f>
        <v>200</v>
      </c>
      <c r="F1433" s="1042">
        <f>'Смета Внутр'!F1440</f>
        <v>0</v>
      </c>
      <c r="G1433" s="1042">
        <f t="shared" si="61"/>
        <v>200</v>
      </c>
      <c r="H1433" s="1042">
        <f>'Смета Внутр'!G1440</f>
        <v>0</v>
      </c>
      <c r="I1433" s="1042">
        <f>'Смета Внутр'!H1440</f>
        <v>0</v>
      </c>
      <c r="J1433" s="1058">
        <f>'Смета Внутр'!I1440</f>
        <v>0</v>
      </c>
    </row>
    <row r="1434" spans="2:10" ht="15" customHeight="1">
      <c r="B1434" s="1042" t="str">
        <f>'Смета Внутр'!B1441</f>
        <v>Коньковой элемент</v>
      </c>
      <c r="C1434" s="1042" t="str">
        <f>'Смета Внутр'!C1441</f>
        <v>м.п.</v>
      </c>
      <c r="D1434" s="1058">
        <f>'Смета Внутр'!D1441</f>
        <v>12.180000000000001</v>
      </c>
      <c r="E1434" s="1042">
        <f>'Смета Внутр'!E1441</f>
        <v>250</v>
      </c>
      <c r="F1434" s="1042">
        <f>'Смета Внутр'!F1441</f>
        <v>0</v>
      </c>
      <c r="G1434" s="1042">
        <f t="shared" si="61"/>
        <v>250</v>
      </c>
      <c r="H1434" s="1042">
        <f>'Смета Внутр'!G1441</f>
        <v>3045.0000000000005</v>
      </c>
      <c r="I1434" s="1042">
        <f>'Смета Внутр'!H1441</f>
        <v>0</v>
      </c>
      <c r="J1434" s="1058">
        <f>'Смета Внутр'!I1441</f>
        <v>0</v>
      </c>
    </row>
    <row r="1435" spans="2:10" ht="15" customHeight="1">
      <c r="B1435" s="1042" t="str">
        <f>'Смета Внутр'!B1442</f>
        <v>Планка премыкания</v>
      </c>
      <c r="C1435" s="1042" t="str">
        <f>'Смета Внутр'!C1442</f>
        <v>м.п.</v>
      </c>
      <c r="D1435" s="1058">
        <f>'Смета Внутр'!D1442</f>
        <v>0</v>
      </c>
      <c r="E1435" s="1042">
        <f>'Смета Внутр'!E1442</f>
        <v>200</v>
      </c>
      <c r="F1435" s="1042">
        <f>'Смета Внутр'!F1442</f>
        <v>0</v>
      </c>
      <c r="G1435" s="1042">
        <f t="shared" si="61"/>
        <v>200</v>
      </c>
      <c r="H1435" s="1042">
        <f>'Смета Внутр'!G1442</f>
        <v>0</v>
      </c>
      <c r="I1435" s="1042">
        <f>'Смета Внутр'!H1442</f>
        <v>0</v>
      </c>
      <c r="J1435" s="1058">
        <f>'Смета Внутр'!I1442</f>
        <v>0</v>
      </c>
    </row>
    <row r="1436" spans="2:10" ht="15" customHeight="1">
      <c r="B1436" s="1042" t="str">
        <f>'Смета Внутр'!B1443</f>
        <v>Гвозди для крепления подкладочного ковра</v>
      </c>
      <c r="C1436" s="1042" t="str">
        <f>'Смета Внутр'!C1443</f>
        <v>шт</v>
      </c>
      <c r="D1436" s="1058">
        <f>'Смета Внутр'!D1443</f>
        <v>1793.0702044232366</v>
      </c>
      <c r="E1436" s="1042">
        <f>'Смета Внутр'!E1443</f>
        <v>1.2E-2</v>
      </c>
      <c r="F1436" s="1042">
        <f>'Смета Внутр'!F1443</f>
        <v>0</v>
      </c>
      <c r="G1436" s="1042">
        <f t="shared" ref="G1436:G1467" si="62">IF(E1436&gt;F1436,E1436,F1436)</f>
        <v>1.2E-2</v>
      </c>
      <c r="H1436" s="1042">
        <f>'Смета Внутр'!G1443</f>
        <v>21.516842453078841</v>
      </c>
      <c r="I1436" s="1042">
        <f>'Смета Внутр'!H1443</f>
        <v>0</v>
      </c>
      <c r="J1436" s="1058">
        <f>'Смета Внутр'!I1443</f>
        <v>0</v>
      </c>
    </row>
    <row r="1437" spans="2:10" ht="15" customHeight="1">
      <c r="B1437" s="1042" t="str">
        <f>'Смета Внутр'!B1444</f>
        <v>Гвозди для крепления черепицы</v>
      </c>
      <c r="C1437" s="1042" t="str">
        <f>'Смета Внутр'!C1444</f>
        <v>шт</v>
      </c>
      <c r="D1437" s="1058">
        <f>'Смета Внутр'!D1444</f>
        <v>8733.351022116185</v>
      </c>
      <c r="E1437" s="1042">
        <f>'Смета Внутр'!E1444</f>
        <v>0.25</v>
      </c>
      <c r="F1437" s="1042">
        <f>'Смета Внутр'!F1444</f>
        <v>0</v>
      </c>
      <c r="G1437" s="1042">
        <f t="shared" si="62"/>
        <v>0.25</v>
      </c>
      <c r="H1437" s="1042">
        <f>'Смета Внутр'!G1444</f>
        <v>2183.3377555290463</v>
      </c>
      <c r="I1437" s="1042">
        <f>'Смета Внутр'!H1444</f>
        <v>0</v>
      </c>
      <c r="J1437" s="1058">
        <f>'Смета Внутр'!I1444</f>
        <v>0</v>
      </c>
    </row>
    <row r="1438" spans="2:10" ht="15" customHeight="1">
      <c r="B1438" s="1042" t="str">
        <f>'Смета Внутр'!B1445</f>
        <v>Клей для монтажа черепицы</v>
      </c>
      <c r="C1438" s="1042" t="str">
        <f>'Смета Внутр'!C1445</f>
        <v>кг</v>
      </c>
      <c r="D1438" s="1058">
        <f>'Смета Внутр'!D1445</f>
        <v>179.30702044232368</v>
      </c>
      <c r="E1438" s="1042">
        <f>'Смета Внутр'!E1445</f>
        <v>250</v>
      </c>
      <c r="F1438" s="1042">
        <f>'Смета Внутр'!F1445</f>
        <v>0</v>
      </c>
      <c r="G1438" s="1042">
        <f t="shared" si="62"/>
        <v>250</v>
      </c>
      <c r="H1438" s="1042">
        <f>'Смета Внутр'!G1445</f>
        <v>44826.755110580918</v>
      </c>
      <c r="I1438" s="1042">
        <f>'Смета Внутр'!H1445</f>
        <v>0</v>
      </c>
      <c r="J1438" s="1058">
        <f>'Смета Внутр'!I1445</f>
        <v>0</v>
      </c>
    </row>
    <row r="1439" spans="2:10" ht="15" customHeight="1">
      <c r="B1439" s="3007" t="str">
        <f>'Смета Внутр'!B1446</f>
        <v>желоб</v>
      </c>
      <c r="C1439" s="3007" t="str">
        <f>'Смета Внутр'!C1446</f>
        <v>м.п</v>
      </c>
      <c r="D1439" s="3014">
        <f>'Смета Внутр'!D1446</f>
        <v>23.200000000000003</v>
      </c>
      <c r="E1439" s="1042">
        <f>'Смета Внутр'!E1446</f>
        <v>300</v>
      </c>
      <c r="F1439" s="1042">
        <f>'Смета Внутр'!F1446</f>
        <v>0</v>
      </c>
      <c r="G1439" s="3007">
        <f t="shared" si="62"/>
        <v>300</v>
      </c>
      <c r="H1439" s="1042">
        <f>'Смета Внутр'!G1446</f>
        <v>6960.0000000000009</v>
      </c>
      <c r="I1439" s="1042">
        <f>'Смета Внутр'!H1446</f>
        <v>0</v>
      </c>
      <c r="J1439" s="3014">
        <f>'Смета Внутр'!I1446</f>
        <v>0</v>
      </c>
    </row>
    <row r="1440" spans="2:10" ht="15" customHeight="1">
      <c r="B1440" s="3007" t="str">
        <f>'Смета Внутр'!B1447</f>
        <v>отвод</v>
      </c>
      <c r="C1440" s="3007" t="str">
        <f>'Смета Внутр'!C1447</f>
        <v>шт</v>
      </c>
      <c r="D1440" s="3014">
        <f>'Смета Внутр'!D1447</f>
        <v>4</v>
      </c>
      <c r="E1440" s="1042">
        <f>'Смета Внутр'!E1447</f>
        <v>250</v>
      </c>
      <c r="F1440" s="1042">
        <f>'Смета Внутр'!F1447</f>
        <v>0</v>
      </c>
      <c r="G1440" s="3007">
        <f t="shared" si="62"/>
        <v>250</v>
      </c>
      <c r="H1440" s="1042">
        <f>'Смета Внутр'!G1447</f>
        <v>1000</v>
      </c>
      <c r="I1440" s="1042">
        <f>'Смета Внутр'!H1447</f>
        <v>0</v>
      </c>
      <c r="J1440" s="3014">
        <f>'Смета Внутр'!I1447</f>
        <v>0</v>
      </c>
    </row>
    <row r="1441" spans="2:10" ht="15" customHeight="1">
      <c r="B1441" s="3007" t="str">
        <f>'Смета Внутр'!B1448</f>
        <v>труба водосточная</v>
      </c>
      <c r="C1441" s="3007" t="str">
        <f>'Смета Внутр'!C1448</f>
        <v>м.п.</v>
      </c>
      <c r="D1441" s="3014">
        <f>'Смета Внутр'!D1448</f>
        <v>8</v>
      </c>
      <c r="E1441" s="1042">
        <f>'Смета Внутр'!E1448</f>
        <v>300</v>
      </c>
      <c r="F1441" s="1042">
        <f>'Смета Внутр'!F1448</f>
        <v>0</v>
      </c>
      <c r="G1441" s="3007">
        <f t="shared" si="62"/>
        <v>300</v>
      </c>
      <c r="H1441" s="1042">
        <f>'Смета Внутр'!G1448</f>
        <v>2400</v>
      </c>
      <c r="I1441" s="1042">
        <f>'Смета Внутр'!H1448</f>
        <v>0</v>
      </c>
      <c r="J1441" s="3014">
        <f>'Смета Внутр'!I1448</f>
        <v>0</v>
      </c>
    </row>
    <row r="1442" spans="2:10" ht="15" customHeight="1">
      <c r="B1442" s="3007" t="str">
        <f>'Смета Внутр'!B1449</f>
        <v>заглушка для желоба</v>
      </c>
      <c r="C1442" s="3007" t="str">
        <f>'Смета Внутр'!C1449</f>
        <v>шт</v>
      </c>
      <c r="D1442" s="3014">
        <f>'Смета Внутр'!D1449</f>
        <v>4</v>
      </c>
      <c r="E1442" s="1042">
        <f>'Смета Внутр'!E1449</f>
        <v>190</v>
      </c>
      <c r="F1442" s="1042">
        <f>'Смета Внутр'!F1449</f>
        <v>0</v>
      </c>
      <c r="G1442" s="3007">
        <f t="shared" si="62"/>
        <v>190</v>
      </c>
      <c r="H1442" s="1042">
        <f>'Смета Внутр'!G1449</f>
        <v>760</v>
      </c>
      <c r="I1442" s="1042">
        <f>'Смета Внутр'!H1449</f>
        <v>0</v>
      </c>
      <c r="J1442" s="3014">
        <f>'Смета Внутр'!I1449</f>
        <v>0</v>
      </c>
    </row>
    <row r="1443" spans="2:10" ht="15" customHeight="1">
      <c r="B1443" s="3007" t="str">
        <f>'Смета Внутр'!B1450</f>
        <v>соеденитель для желоба</v>
      </c>
      <c r="C1443" s="3007" t="str">
        <f>'Смета Внутр'!C1450</f>
        <v>шт</v>
      </c>
      <c r="D1443" s="3014">
        <f>'Смета Внутр'!D1450</f>
        <v>11.600000000000001</v>
      </c>
      <c r="E1443" s="1042">
        <f>'Смета Внутр'!E1450</f>
        <v>180</v>
      </c>
      <c r="F1443" s="1042">
        <f>'Смета Внутр'!F1450</f>
        <v>0</v>
      </c>
      <c r="G1443" s="3007">
        <f t="shared" si="62"/>
        <v>180</v>
      </c>
      <c r="H1443" s="1042">
        <f>'Смета Внутр'!G1450</f>
        <v>2088.0000000000005</v>
      </c>
      <c r="I1443" s="1042">
        <f>'Смета Внутр'!H1450</f>
        <v>0</v>
      </c>
      <c r="J1443" s="3014">
        <f>'Смета Внутр'!I1450</f>
        <v>0</v>
      </c>
    </row>
    <row r="1444" spans="2:10" ht="15" customHeight="1">
      <c r="B1444" s="3007" t="str">
        <f>'Смета Внутр'!B1451</f>
        <v>кронштейн для желоба</v>
      </c>
      <c r="C1444" s="3007" t="str">
        <f>'Смета Внутр'!C1451</f>
        <v>шт</v>
      </c>
      <c r="D1444" s="3014">
        <f>'Смета Внутр'!D1451</f>
        <v>46.400000000000006</v>
      </c>
      <c r="E1444" s="1042">
        <f>'Смета Внутр'!E1451</f>
        <v>130</v>
      </c>
      <c r="F1444" s="1042">
        <f>'Смета Внутр'!F1451</f>
        <v>0</v>
      </c>
      <c r="G1444" s="3007">
        <f t="shared" si="62"/>
        <v>130</v>
      </c>
      <c r="H1444" s="1042">
        <f>'Смета Внутр'!G1451</f>
        <v>6032.0000000000009</v>
      </c>
      <c r="I1444" s="1042">
        <f>'Смета Внутр'!H1451</f>
        <v>0</v>
      </c>
      <c r="J1444" s="3014">
        <f>'Смета Внутр'!I1451</f>
        <v>0</v>
      </c>
    </row>
    <row r="1445" spans="2:10" ht="15" customHeight="1">
      <c r="B1445" s="3007" t="str">
        <f>'Смета Внутр'!B1452</f>
        <v>переход из желоба в трубу</v>
      </c>
      <c r="C1445" s="3007" t="str">
        <f>'Смета Внутр'!C1452</f>
        <v>шт</v>
      </c>
      <c r="D1445" s="3014">
        <f>'Смета Внутр'!D1452</f>
        <v>2</v>
      </c>
      <c r="E1445" s="1042">
        <f>'Смета Внутр'!E1452</f>
        <v>350</v>
      </c>
      <c r="F1445" s="1042">
        <f>'Смета Внутр'!F1452</f>
        <v>0</v>
      </c>
      <c r="G1445" s="3007">
        <f t="shared" si="62"/>
        <v>350</v>
      </c>
      <c r="H1445" s="1042">
        <f>'Смета Внутр'!G1452</f>
        <v>700</v>
      </c>
      <c r="I1445" s="1042">
        <f>'Смета Внутр'!H1452</f>
        <v>0</v>
      </c>
      <c r="J1445" s="3014">
        <f>'Смета Внутр'!I1452</f>
        <v>0</v>
      </c>
    </row>
    <row r="1446" spans="2:10" ht="15" customHeight="1">
      <c r="B1446" s="3007" t="str">
        <f>'Смета Внутр'!B1453</f>
        <v>лента дельта мульти бэнд</v>
      </c>
      <c r="C1446" s="3007" t="str">
        <f>'Смета Внутр'!C1453</f>
        <v>шт</v>
      </c>
      <c r="D1446" s="3014">
        <f>'Смета Внутр'!D1453</f>
        <v>15</v>
      </c>
      <c r="E1446" s="1042">
        <f>'Смета Внутр'!E1453</f>
        <v>1200</v>
      </c>
      <c r="F1446" s="1042">
        <f>'Смета Внутр'!F1453</f>
        <v>0</v>
      </c>
      <c r="G1446" s="3007">
        <f t="shared" si="62"/>
        <v>1200</v>
      </c>
      <c r="H1446" s="1042">
        <f>'Смета Внутр'!G1453</f>
        <v>18000</v>
      </c>
      <c r="I1446" s="1042">
        <f>'Смета Внутр'!H1453</f>
        <v>0</v>
      </c>
      <c r="J1446" s="3014">
        <f>'Смета Внутр'!I1453</f>
        <v>0</v>
      </c>
    </row>
    <row r="1447" spans="2:10" ht="15" customHeight="1">
      <c r="B1447" s="3007" t="str">
        <f>'Смета Внутр'!B1454</f>
        <v>лента дельта sb-60</v>
      </c>
      <c r="C1447" s="3007" t="str">
        <f>'Смета Внутр'!C1454</f>
        <v>шт</v>
      </c>
      <c r="D1447" s="3014">
        <f>'Смета Внутр'!D1454</f>
        <v>8</v>
      </c>
      <c r="E1447" s="1042">
        <f>'Смета Внутр'!E1454</f>
        <v>1100</v>
      </c>
      <c r="F1447" s="1042">
        <f>'Смета Внутр'!F1454</f>
        <v>0</v>
      </c>
      <c r="G1447" s="3007">
        <f t="shared" si="62"/>
        <v>1100</v>
      </c>
      <c r="H1447" s="1042">
        <f>'Смета Внутр'!G1454</f>
        <v>8800</v>
      </c>
      <c r="I1447" s="1042">
        <f>'Смета Внутр'!H1454</f>
        <v>0</v>
      </c>
      <c r="J1447" s="3014">
        <f>'Смета Внутр'!I1454</f>
        <v>0</v>
      </c>
    </row>
    <row r="1448" spans="2:10" ht="15" customHeight="1">
      <c r="B1448" s="1042" t="str">
        <f>'Смета Внутр'!B1455</f>
        <v>проходка кровельная, канализационная</v>
      </c>
      <c r="C1448" s="1042" t="str">
        <f>'Смета Внутр'!C1455</f>
        <v>шт</v>
      </c>
      <c r="D1448" s="1058">
        <f>'Смета Внутр'!D1455</f>
        <v>0</v>
      </c>
      <c r="E1448" s="1042">
        <f>'Смета Внутр'!E1455</f>
        <v>3500</v>
      </c>
      <c r="F1448" s="1042">
        <f>'Смета Внутр'!F1455</f>
        <v>0</v>
      </c>
      <c r="G1448" s="1042">
        <f t="shared" si="62"/>
        <v>3500</v>
      </c>
      <c r="H1448" s="1042">
        <f>'Смета Внутр'!G1455</f>
        <v>0</v>
      </c>
      <c r="I1448" s="1042">
        <f>'Смета Внутр'!H1455</f>
        <v>0</v>
      </c>
      <c r="J1448" s="1058">
        <f>'Смета Внутр'!I1455</f>
        <v>0</v>
      </c>
    </row>
    <row r="1449" spans="2:10" ht="15" customHeight="1">
      <c r="B1449" s="1042" t="str">
        <f>'Смета Внутр'!B1456</f>
        <v>проходка кровельная, вентиляционная</v>
      </c>
      <c r="C1449" s="1042" t="str">
        <f>'Смета Внутр'!C1456</f>
        <v>шт</v>
      </c>
      <c r="D1449" s="1058">
        <f>'Смета Внутр'!D1456</f>
        <v>0</v>
      </c>
      <c r="E1449" s="1042">
        <f>'Смета Внутр'!E1456</f>
        <v>3500</v>
      </c>
      <c r="F1449" s="1042">
        <f>'Смета Внутр'!F1456</f>
        <v>0</v>
      </c>
      <c r="G1449" s="1042">
        <f t="shared" si="62"/>
        <v>3500</v>
      </c>
      <c r="H1449" s="1042">
        <f>'Смета Внутр'!G1456</f>
        <v>0</v>
      </c>
      <c r="I1449" s="1042">
        <f>'Смета Внутр'!H1456</f>
        <v>0</v>
      </c>
      <c r="J1449" s="1058">
        <f>'Смета Внутр'!I1456</f>
        <v>0</v>
      </c>
    </row>
    <row r="1450" spans="2:10" ht="15" customHeight="1">
      <c r="B1450" s="1042" t="str">
        <f>'Смета Внутр'!B1457</f>
        <v>проодка кровельная, труба котел</v>
      </c>
      <c r="C1450" s="1042" t="str">
        <f>'Смета Внутр'!C1457</f>
        <v>шт</v>
      </c>
      <c r="D1450" s="1058">
        <f>'Смета Внутр'!D1457</f>
        <v>0</v>
      </c>
      <c r="E1450" s="1042">
        <f>'Смета Внутр'!E1457</f>
        <v>4500</v>
      </c>
      <c r="F1450" s="1042">
        <f>'Смета Внутр'!F1457</f>
        <v>0</v>
      </c>
      <c r="G1450" s="1042">
        <f t="shared" si="62"/>
        <v>4500</v>
      </c>
      <c r="H1450" s="1042">
        <f>'Смета Внутр'!G1457</f>
        <v>0</v>
      </c>
      <c r="I1450" s="1042">
        <f>'Смета Внутр'!H1457</f>
        <v>0</v>
      </c>
      <c r="J1450" s="1058">
        <f>'Смета Внутр'!I1457</f>
        <v>0</v>
      </c>
    </row>
    <row r="1451" spans="2:10" ht="15" customHeight="1">
      <c r="B1451" s="3007" t="str">
        <f>'Смета Внутр'!B1458</f>
        <v>Кровельный саморез</v>
      </c>
      <c r="C1451" s="3007" t="str">
        <f>'Смета Внутр'!C1458</f>
        <v>шт</v>
      </c>
      <c r="D1451" s="3014">
        <f>'Смета Внутр'!D1458</f>
        <v>0</v>
      </c>
      <c r="E1451" s="1042">
        <f>'Смета Внутр'!E1458</f>
        <v>2</v>
      </c>
      <c r="F1451" s="1042">
        <f>'Смета Внутр'!F1458</f>
        <v>0</v>
      </c>
      <c r="G1451" s="3007">
        <f t="shared" si="62"/>
        <v>2</v>
      </c>
      <c r="H1451" s="1042">
        <f>'Смета Внутр'!G1458</f>
        <v>0</v>
      </c>
      <c r="I1451" s="1042">
        <f>'Смета Внутр'!H1458</f>
        <v>0</v>
      </c>
      <c r="J1451" s="3014">
        <f>'Смета Внутр'!I1458</f>
        <v>0</v>
      </c>
    </row>
    <row r="1452" spans="2:10" ht="15" customHeight="1">
      <c r="B1452" s="3007" t="str">
        <f>'Смета Внутр'!B1459</f>
        <v xml:space="preserve">Гвозди ершоные 3,4 x 60            </v>
      </c>
      <c r="C1452" s="3007" t="str">
        <f>'Смета Внутр'!C1459</f>
        <v>кг</v>
      </c>
      <c r="D1452" s="3014">
        <f>'Смета Внутр'!D1459</f>
        <v>5.7753090959278612</v>
      </c>
      <c r="E1452" s="1042">
        <f>'Смета Внутр'!E1459</f>
        <v>75.510000000000005</v>
      </c>
      <c r="F1452" s="1042">
        <f>'Смета Внутр'!F1459</f>
        <v>0</v>
      </c>
      <c r="G1452" s="3007">
        <f t="shared" si="62"/>
        <v>75.510000000000005</v>
      </c>
      <c r="H1452" s="1042">
        <f>'Смета Внутр'!G1459</f>
        <v>436.09358983351285</v>
      </c>
      <c r="I1452" s="1042">
        <f>'Смета Внутр'!H1459</f>
        <v>0</v>
      </c>
      <c r="J1452" s="3014">
        <f>'Смета Внутр'!I1459</f>
        <v>0</v>
      </c>
    </row>
    <row r="1453" spans="2:10" ht="15" customHeight="1">
      <c r="B1453" s="3007" t="str">
        <f>'Смета Внутр'!B1460</f>
        <v xml:space="preserve">Гвозди ершоные 2,8 х 90            </v>
      </c>
      <c r="C1453" s="3007" t="str">
        <f>'Смета Внутр'!C1460</f>
        <v>кг</v>
      </c>
      <c r="D1453" s="3014">
        <f>'Смета Внутр'!D1460</f>
        <v>37.465780917534957</v>
      </c>
      <c r="E1453" s="1042">
        <f>'Смета Внутр'!E1460</f>
        <v>76.489999999999995</v>
      </c>
      <c r="F1453" s="1042">
        <f>'Смета Внутр'!F1460</f>
        <v>0</v>
      </c>
      <c r="G1453" s="3007">
        <f t="shared" si="62"/>
        <v>76.489999999999995</v>
      </c>
      <c r="H1453" s="1042">
        <f>'Смета Внутр'!G1460</f>
        <v>2865.7575823822485</v>
      </c>
      <c r="I1453" s="1042">
        <f>'Смета Внутр'!H1460</f>
        <v>0</v>
      </c>
      <c r="J1453" s="3014">
        <f>'Смета Внутр'!I1460</f>
        <v>0</v>
      </c>
    </row>
    <row r="1454" spans="2:10" ht="15" customHeight="1">
      <c r="B1454" s="3007" t="str">
        <f>'Смета Внутр'!B1461</f>
        <v xml:space="preserve">Пластина соеденительная 100х240х2           </v>
      </c>
      <c r="C1454" s="3007" t="str">
        <f>'Смета Внутр'!C1461</f>
        <v>шт</v>
      </c>
      <c r="D1454" s="3014">
        <f>'Смета Внутр'!D1461</f>
        <v>40.666666666666671</v>
      </c>
      <c r="E1454" s="1042">
        <f>'Смета Внутр'!E1461</f>
        <v>31.54</v>
      </c>
      <c r="F1454" s="1042">
        <f>'Смета Внутр'!F1461</f>
        <v>0</v>
      </c>
      <c r="G1454" s="3007">
        <f t="shared" si="62"/>
        <v>31.54</v>
      </c>
      <c r="H1454" s="1042">
        <f>'Смета Внутр'!G1461</f>
        <v>1282.6266666666668</v>
      </c>
      <c r="I1454" s="1042">
        <f>'Смета Внутр'!H1461</f>
        <v>0</v>
      </c>
      <c r="J1454" s="3014">
        <f>'Смета Внутр'!I1461</f>
        <v>0</v>
      </c>
    </row>
    <row r="1455" spans="2:10" ht="15" customHeight="1">
      <c r="B1455" s="3007" t="str">
        <f>'Смета Внутр'!B1462</f>
        <v xml:space="preserve">Уголок усиленный 90х70х55х2,5        </v>
      </c>
      <c r="C1455" s="3007" t="str">
        <f>'Смета Внутр'!C1462</f>
        <v>шт</v>
      </c>
      <c r="D1455" s="3014">
        <f>'Смета Внутр'!D1462</f>
        <v>40.666666666666671</v>
      </c>
      <c r="E1455" s="1042">
        <f>'Смета Внутр'!E1462</f>
        <v>30</v>
      </c>
      <c r="F1455" s="1042">
        <f>'Смета Внутр'!F1462</f>
        <v>0</v>
      </c>
      <c r="G1455" s="3007">
        <f t="shared" si="62"/>
        <v>30</v>
      </c>
      <c r="H1455" s="1042">
        <f>'Смета Внутр'!G1462</f>
        <v>1220.0000000000002</v>
      </c>
      <c r="I1455" s="1042">
        <f>'Смета Внутр'!H1462</f>
        <v>0</v>
      </c>
      <c r="J1455" s="3014">
        <f>'Смета Внутр'!I1462</f>
        <v>0</v>
      </c>
    </row>
    <row r="1456" spans="2:10">
      <c r="B1456" s="3311" t="str">
        <f>'Смета Внутр'!B1463</f>
        <v>Итого материалы</v>
      </c>
      <c r="C1456" s="3311"/>
      <c r="D1456" s="3311"/>
      <c r="E1456" s="3311"/>
      <c r="F1456" s="3311"/>
      <c r="G1456" s="3311"/>
      <c r="H1456" s="1042">
        <f>'Смета Внутр'!G1463</f>
        <v>0</v>
      </c>
      <c r="I1456" s="1042">
        <f>'Смета Внутр'!H1463</f>
        <v>0</v>
      </c>
      <c r="J1456" s="3014">
        <f>'Смета Внутр'!I1463</f>
        <v>0</v>
      </c>
    </row>
    <row r="1457" spans="2:10" ht="15" customHeight="1">
      <c r="B1457" s="3002" t="str">
        <f>'Смета Внутр'!B1464</f>
        <v>Работы</v>
      </c>
      <c r="H1457">
        <f>'Смета Внутр'!G1464</f>
        <v>0</v>
      </c>
      <c r="I1457">
        <f>'Смета Внутр'!H1464</f>
        <v>0</v>
      </c>
      <c r="J1457" s="3011">
        <f>'Смета Внутр'!I1464</f>
        <v>0</v>
      </c>
    </row>
    <row r="1458" spans="2:10" ht="15" customHeight="1">
      <c r="B1458" s="3007" t="str">
        <f>'Смета Внутр'!B1465</f>
        <v>монтаж мауэрлата</v>
      </c>
      <c r="C1458" s="3007" t="str">
        <f>'Смета Внутр'!C1465</f>
        <v>м.п.</v>
      </c>
      <c r="D1458" s="3014">
        <f>'Смета Внутр'!D1465</f>
        <v>48.284271247461902</v>
      </c>
      <c r="E1458" s="1042">
        <f>'Смета Внутр'!E1465</f>
        <v>250</v>
      </c>
      <c r="F1458" s="1042">
        <f>'Смета Внутр'!F1465</f>
        <v>0</v>
      </c>
      <c r="G1458" s="3007">
        <f t="shared" ref="G1458:G1474" si="63">IF(E1458&gt;F1458,E1458,F1458)</f>
        <v>250</v>
      </c>
      <c r="H1458" s="1042">
        <f>'Смета Внутр'!G1465</f>
        <v>12071.067811865476</v>
      </c>
      <c r="I1458" s="1042">
        <f>'Смета Внутр'!H1465</f>
        <v>0</v>
      </c>
      <c r="J1458" s="3014">
        <f>'Смета Внутр'!I1465</f>
        <v>0</v>
      </c>
    </row>
    <row r="1459" spans="2:10" ht="15" customHeight="1">
      <c r="B1459" s="3007" t="str">
        <f>'Смета Внутр'!B1466</f>
        <v>монтаж стропил</v>
      </c>
      <c r="C1459" s="3007" t="str">
        <f>'Смета Внутр'!C1466</f>
        <v>м2</v>
      </c>
      <c r="D1459" s="3014">
        <f>'Смета Внутр'!D1466</f>
        <v>179.30702044232368</v>
      </c>
      <c r="E1459" s="1042">
        <f>'Смета Внутр'!E1466</f>
        <v>450</v>
      </c>
      <c r="F1459" s="1042">
        <f>'Смета Внутр'!F1466</f>
        <v>0</v>
      </c>
      <c r="G1459" s="3007">
        <f t="shared" si="63"/>
        <v>450</v>
      </c>
      <c r="H1459" s="1042">
        <f>'Смета Внутр'!G1466</f>
        <v>80688.159199045651</v>
      </c>
      <c r="I1459" s="1042">
        <f>'Смета Внутр'!H1466</f>
        <v>0</v>
      </c>
      <c r="J1459" s="3014">
        <f>'Смета Внутр'!I1466</f>
        <v>0</v>
      </c>
    </row>
    <row r="1460" spans="2:10" ht="15" customHeight="1">
      <c r="B1460" s="3007" t="str">
        <f>'Смета Внутр'!B1467</f>
        <v>обрешетка</v>
      </c>
      <c r="C1460" s="3007" t="str">
        <f>'Смета Внутр'!C1467</f>
        <v>м2</v>
      </c>
      <c r="D1460" s="3014">
        <f>'Смета Внутр'!D1467</f>
        <v>179.30702044232368</v>
      </c>
      <c r="E1460" s="1042">
        <f>'Смета Внутр'!E1467</f>
        <v>100</v>
      </c>
      <c r="F1460" s="1042">
        <f>'Смета Внутр'!F1467</f>
        <v>0</v>
      </c>
      <c r="G1460" s="3007">
        <f t="shared" si="63"/>
        <v>100</v>
      </c>
      <c r="H1460" s="1042">
        <f>'Смета Внутр'!G1467</f>
        <v>17930.702044232366</v>
      </c>
      <c r="I1460" s="1042">
        <f>'Смета Внутр'!H1467</f>
        <v>0</v>
      </c>
      <c r="J1460" s="3014">
        <f>'Смета Внутр'!I1467</f>
        <v>0</v>
      </c>
    </row>
    <row r="1461" spans="2:10" ht="15" customHeight="1">
      <c r="B1461" s="3007" t="str">
        <f>'Смета Внутр'!B1468</f>
        <v>контробеш</v>
      </c>
      <c r="C1461" s="3007" t="str">
        <f>'Смета Внутр'!C1468</f>
        <v>м2</v>
      </c>
      <c r="D1461" s="3014">
        <f>'Смета Внутр'!D1468</f>
        <v>179.30702044232368</v>
      </c>
      <c r="E1461" s="1042">
        <f>'Смета Внутр'!E1468</f>
        <v>100</v>
      </c>
      <c r="F1461" s="1042">
        <f>'Смета Внутр'!F1468</f>
        <v>0</v>
      </c>
      <c r="G1461" s="3007">
        <f t="shared" si="63"/>
        <v>100</v>
      </c>
      <c r="H1461" s="1042">
        <f>'Смета Внутр'!G1468</f>
        <v>17930.702044232366</v>
      </c>
      <c r="I1461" s="1042">
        <f>'Смета Внутр'!H1468</f>
        <v>0</v>
      </c>
      <c r="J1461" s="3014">
        <f>'Смета Внутр'!I1468</f>
        <v>0</v>
      </c>
    </row>
    <row r="1462" spans="2:10" ht="15" customHeight="1">
      <c r="B1462" s="3007" t="str">
        <f>'Смета Внутр'!B1469</f>
        <v>Монтаж металлочерепицы</v>
      </c>
      <c r="C1462" s="3007" t="str">
        <f>'Смета Внутр'!C1469</f>
        <v>м2</v>
      </c>
      <c r="D1462" s="3014">
        <f>'Смета Внутр'!D1469</f>
        <v>0</v>
      </c>
      <c r="E1462" s="1042">
        <f>'Смета Внутр'!E1469</f>
        <v>300</v>
      </c>
      <c r="F1462" s="1042">
        <f>'Смета Внутр'!F1469</f>
        <v>0</v>
      </c>
      <c r="G1462" s="3007">
        <f t="shared" si="63"/>
        <v>300</v>
      </c>
      <c r="H1462" s="1042">
        <f>'Смета Внутр'!G1469</f>
        <v>0</v>
      </c>
      <c r="I1462" s="1042">
        <f>'Смета Внутр'!H1469</f>
        <v>0</v>
      </c>
      <c r="J1462" s="3014">
        <f>'Смета Внутр'!I1469</f>
        <v>0</v>
      </c>
    </row>
    <row r="1463" spans="2:10" ht="15" customHeight="1">
      <c r="B1463" s="1042" t="str">
        <f>'Смета Внутр'!B1470</f>
        <v>Монтаж ондулина</v>
      </c>
      <c r="C1463" s="1042" t="str">
        <f>'Смета Внутр'!C1470</f>
        <v>м2</v>
      </c>
      <c r="D1463" s="1058">
        <f>'Смета Внутр'!D1470</f>
        <v>0</v>
      </c>
      <c r="E1463" s="1042">
        <f>'Смета Внутр'!E1470</f>
        <v>300</v>
      </c>
      <c r="F1463" s="1042">
        <f>'Смета Внутр'!F1470</f>
        <v>0</v>
      </c>
      <c r="G1463" s="1042">
        <f t="shared" si="63"/>
        <v>300</v>
      </c>
      <c r="H1463" s="1042">
        <f>'Смета Внутр'!G1470</f>
        <v>0</v>
      </c>
      <c r="I1463" s="1042">
        <f>'Смета Внутр'!H1470</f>
        <v>0</v>
      </c>
      <c r="J1463" s="1058">
        <f>'Смета Внутр'!I1470</f>
        <v>0</v>
      </c>
    </row>
    <row r="1464" spans="2:10" ht="15" customHeight="1">
      <c r="B1464" s="1042" t="str">
        <f>'Смета Внутр'!B1471</f>
        <v>мембрана</v>
      </c>
      <c r="C1464" s="1042" t="str">
        <f>'Смета Внутр'!C1471</f>
        <v>м2</v>
      </c>
      <c r="D1464" s="1058">
        <f>'Смета Внутр'!D1471</f>
        <v>179.30702044232368</v>
      </c>
      <c r="E1464" s="1042">
        <f>'Смета Внутр'!E1471</f>
        <v>100</v>
      </c>
      <c r="F1464" s="1042">
        <f>'Смета Внутр'!F1471</f>
        <v>0</v>
      </c>
      <c r="G1464" s="1042">
        <f t="shared" si="63"/>
        <v>100</v>
      </c>
      <c r="H1464" s="1042">
        <f>'Смета Внутр'!G1471</f>
        <v>17930.702044232366</v>
      </c>
      <c r="I1464" s="1042">
        <f>'Смета Внутр'!H1471</f>
        <v>0</v>
      </c>
      <c r="J1464" s="1058">
        <f>'Смета Внутр'!I1471</f>
        <v>0</v>
      </c>
    </row>
    <row r="1465" spans="2:10" ht="15" customHeight="1">
      <c r="B1465" s="1042" t="str">
        <f>'Смета Внутр'!B1472</f>
        <v>пароизоляц</v>
      </c>
      <c r="C1465" s="1042" t="str">
        <f>'Смета Внутр'!C1472</f>
        <v>м2</v>
      </c>
      <c r="D1465" s="1058">
        <f>'Смета Внутр'!D1472</f>
        <v>0</v>
      </c>
      <c r="E1465" s="1042">
        <f>'Смета Внутр'!E1472</f>
        <v>100</v>
      </c>
      <c r="F1465" s="1042">
        <f>'Смета Внутр'!F1472</f>
        <v>0</v>
      </c>
      <c r="G1465" s="1042">
        <f t="shared" si="63"/>
        <v>100</v>
      </c>
      <c r="H1465" s="1042">
        <f>'Смета Внутр'!G1472</f>
        <v>0</v>
      </c>
      <c r="I1465" s="1042">
        <f>'Смета Внутр'!H1472</f>
        <v>0</v>
      </c>
      <c r="J1465" s="1058">
        <f>'Смета Внутр'!I1472</f>
        <v>0</v>
      </c>
    </row>
    <row r="1466" spans="2:10" ht="15" customHeight="1">
      <c r="B1466" s="3007" t="str">
        <f>'Смета Внутр'!B1473</f>
        <v>утеплитель</v>
      </c>
      <c r="C1466" s="3007" t="str">
        <f>'Смета Внутр'!C1473</f>
        <v>м2</v>
      </c>
      <c r="D1466" s="3014">
        <f>'Смета Внутр'!D1473</f>
        <v>179.30702044232368</v>
      </c>
      <c r="E1466" s="1042">
        <f>'Смета Внутр'!E1473</f>
        <v>200</v>
      </c>
      <c r="F1466" s="1042">
        <f>'Смета Внутр'!F1473</f>
        <v>0</v>
      </c>
      <c r="G1466" s="3007">
        <f t="shared" si="63"/>
        <v>200</v>
      </c>
      <c r="H1466" s="1042">
        <f>'Смета Внутр'!G1473</f>
        <v>35861.404088464733</v>
      </c>
      <c r="I1466" s="1042">
        <f>'Смета Внутр'!H1473</f>
        <v>0</v>
      </c>
      <c r="J1466" s="3014">
        <f>'Смета Внутр'!I1473</f>
        <v>0</v>
      </c>
    </row>
    <row r="1467" spans="2:10" ht="15" customHeight="1">
      <c r="B1467" s="3007" t="str">
        <f>'Смета Внутр'!B1474</f>
        <v>карнизная планка</v>
      </c>
      <c r="C1467" s="3007" t="str">
        <f>'Смета Внутр'!C1474</f>
        <v>м.п.</v>
      </c>
      <c r="D1467" s="3014">
        <f>'Смета Внутр'!D1474</f>
        <v>0</v>
      </c>
      <c r="E1467" s="1042">
        <f>'Смета Внутр'!E1474</f>
        <v>100</v>
      </c>
      <c r="F1467" s="1042">
        <f>'Смета Внутр'!F1474</f>
        <v>0</v>
      </c>
      <c r="G1467" s="3007">
        <f t="shared" si="63"/>
        <v>100</v>
      </c>
      <c r="H1467" s="1042">
        <f>'Смета Внутр'!G1474</f>
        <v>0</v>
      </c>
      <c r="I1467" s="1042">
        <f>'Смета Внутр'!H1474</f>
        <v>0</v>
      </c>
      <c r="J1467" s="3014">
        <f>'Смета Внутр'!I1474</f>
        <v>0</v>
      </c>
    </row>
    <row r="1468" spans="2:10" ht="15" customHeight="1">
      <c r="B1468" s="3007" t="str">
        <f>'Смета Внутр'!B1475</f>
        <v>торцевая планка</v>
      </c>
      <c r="C1468" s="3007" t="str">
        <f>'Смета Внутр'!C1475</f>
        <v>м.п.</v>
      </c>
      <c r="D1468" s="3014">
        <f>'Смета Внутр'!D1475</f>
        <v>0</v>
      </c>
      <c r="E1468" s="1042">
        <f>'Смета Внутр'!E1475</f>
        <v>100</v>
      </c>
      <c r="F1468" s="1042">
        <f>'Смета Внутр'!F1475</f>
        <v>0</v>
      </c>
      <c r="G1468" s="3007">
        <f t="shared" si="63"/>
        <v>100</v>
      </c>
      <c r="H1468" s="1042">
        <f>'Смета Внутр'!G1475</f>
        <v>0</v>
      </c>
      <c r="I1468" s="1042">
        <f>'Смета Внутр'!H1475</f>
        <v>0</v>
      </c>
      <c r="J1468" s="3014">
        <f>'Смета Внутр'!I1475</f>
        <v>0</v>
      </c>
    </row>
    <row r="1469" spans="2:10" ht="15" customHeight="1">
      <c r="B1469" s="3007" t="str">
        <f>'Смета Внутр'!B1476</f>
        <v>конек</v>
      </c>
      <c r="C1469" s="3007" t="str">
        <f>'Смета Внутр'!C1476</f>
        <v>м.п.</v>
      </c>
      <c r="D1469" s="3014">
        <f>'Смета Внутр'!D1476</f>
        <v>11.600000000000001</v>
      </c>
      <c r="E1469" s="1042">
        <f>'Смета Внутр'!E1476</f>
        <v>300</v>
      </c>
      <c r="F1469" s="1042">
        <f>'Смета Внутр'!F1476</f>
        <v>0</v>
      </c>
      <c r="G1469" s="3007">
        <f t="shared" si="63"/>
        <v>300</v>
      </c>
      <c r="H1469" s="1042">
        <f>'Смета Внутр'!G1476</f>
        <v>3480.0000000000005</v>
      </c>
      <c r="I1469" s="1042">
        <f>'Смета Внутр'!H1476</f>
        <v>0</v>
      </c>
      <c r="J1469" s="3014">
        <f>'Смета Внутр'!I1476</f>
        <v>0</v>
      </c>
    </row>
    <row r="1470" spans="2:10" ht="15" customHeight="1">
      <c r="B1470" s="3007" t="str">
        <f>'Смета Внутр'!B1477</f>
        <v>желоб водосточный</v>
      </c>
      <c r="C1470" s="3007" t="str">
        <f>'Смета Внутр'!C1477</f>
        <v>м.п.</v>
      </c>
      <c r="D1470" s="3014">
        <f>'Смета Внутр'!D1477</f>
        <v>23.200000000000003</v>
      </c>
      <c r="E1470" s="1042">
        <f>'Смета Внутр'!E1477</f>
        <v>300</v>
      </c>
      <c r="F1470" s="1042">
        <f>'Смета Внутр'!F1477</f>
        <v>0</v>
      </c>
      <c r="G1470" s="3007">
        <f t="shared" si="63"/>
        <v>300</v>
      </c>
      <c r="H1470" s="1042">
        <f>'Смета Внутр'!G1477</f>
        <v>6960.0000000000009</v>
      </c>
      <c r="I1470" s="1042">
        <f>'Смета Внутр'!H1477</f>
        <v>0</v>
      </c>
      <c r="J1470" s="3014">
        <f>'Смета Внутр'!I1477</f>
        <v>0</v>
      </c>
    </row>
    <row r="1471" spans="2:10" ht="15" customHeight="1">
      <c r="B1471" s="3007" t="str">
        <f>'Смета Внутр'!B1478</f>
        <v>труба водосточная</v>
      </c>
      <c r="C1471" s="3007" t="str">
        <f>'Смета Внутр'!C1478</f>
        <v>м.п.</v>
      </c>
      <c r="D1471" s="3014">
        <f>'Смета Внутр'!D1478</f>
        <v>8</v>
      </c>
      <c r="E1471" s="1042">
        <f>'Смета Внутр'!E1478</f>
        <v>300</v>
      </c>
      <c r="F1471" s="1042">
        <f>'Смета Внутр'!F1478</f>
        <v>0</v>
      </c>
      <c r="G1471" s="3007">
        <f t="shared" si="63"/>
        <v>300</v>
      </c>
      <c r="H1471" s="1042">
        <f>'Смета Внутр'!G1478</f>
        <v>2400</v>
      </c>
      <c r="I1471" s="1042">
        <f>'Смета Внутр'!H1478</f>
        <v>0</v>
      </c>
      <c r="J1471" s="3014">
        <f>'Смета Внутр'!I1478</f>
        <v>0</v>
      </c>
    </row>
    <row r="1472" spans="2:10" ht="15" customHeight="1">
      <c r="B1472" s="1042" t="str">
        <f>'Смета Внутр'!B1479</f>
        <v>Монтаж фанеры/osb</v>
      </c>
      <c r="C1472" s="1042" t="str">
        <f>'Смета Внутр'!C1479</f>
        <v>м2</v>
      </c>
      <c r="D1472" s="1058">
        <f>'Смета Внутр'!D1479</f>
        <v>179.30702044232368</v>
      </c>
      <c r="E1472" s="1042">
        <f>'Смета Внутр'!E1479</f>
        <v>200</v>
      </c>
      <c r="F1472" s="1042">
        <f>'Смета Внутр'!F1479</f>
        <v>0</v>
      </c>
      <c r="G1472" s="1042">
        <f t="shared" si="63"/>
        <v>200</v>
      </c>
      <c r="H1472" s="1042">
        <f>'Смета Внутр'!G1479</f>
        <v>35861.404088464733</v>
      </c>
      <c r="I1472" s="1042">
        <f>'Смета Внутр'!H1479</f>
        <v>0</v>
      </c>
      <c r="J1472" s="1058">
        <f>'Смета Внутр'!I1479</f>
        <v>0</v>
      </c>
    </row>
    <row r="1473" spans="2:10" ht="15" customHeight="1">
      <c r="B1473" s="1042" t="str">
        <f>'Смета Внутр'!B1480</f>
        <v>монтаж подкладочного ковра</v>
      </c>
      <c r="C1473" s="1042" t="str">
        <f>'Смета Внутр'!C1480</f>
        <v>м2</v>
      </c>
      <c r="D1473" s="1058">
        <f>'Смета Внутр'!D1480</f>
        <v>0</v>
      </c>
      <c r="E1473" s="1042">
        <f>'Смета Внутр'!E1480</f>
        <v>0</v>
      </c>
      <c r="F1473" s="1042">
        <f>'Смета Внутр'!F1480</f>
        <v>0</v>
      </c>
      <c r="G1473" s="1042">
        <f t="shared" si="63"/>
        <v>0</v>
      </c>
      <c r="H1473" s="1042">
        <f>'Смета Внутр'!G1480</f>
        <v>0</v>
      </c>
      <c r="I1473" s="1042">
        <f>'Смета Внутр'!H1480</f>
        <v>0</v>
      </c>
      <c r="J1473" s="1058">
        <f>'Смета Внутр'!I1480</f>
        <v>0</v>
      </c>
    </row>
    <row r="1474" spans="2:10" ht="15" customHeight="1">
      <c r="B1474" s="1042" t="str">
        <f>'Смета Внутр'!B1481</f>
        <v>Монтаж мягкой кровли</v>
      </c>
      <c r="C1474" s="1042" t="str">
        <f>'Смета Внутр'!C1481</f>
        <v>м2</v>
      </c>
      <c r="D1474" s="1058">
        <f>'Смета Внутр'!D1481</f>
        <v>0</v>
      </c>
      <c r="E1474" s="1042">
        <f>'Смета Внутр'!E1481</f>
        <v>0</v>
      </c>
      <c r="F1474" s="1042">
        <f>'Смета Внутр'!F1481</f>
        <v>0</v>
      </c>
      <c r="G1474" s="1042">
        <f t="shared" si="63"/>
        <v>0</v>
      </c>
      <c r="H1474" s="1042">
        <f>'Смета Внутр'!G1481</f>
        <v>0</v>
      </c>
      <c r="I1474" s="1042">
        <f>'Смета Внутр'!H1481</f>
        <v>0</v>
      </c>
      <c r="J1474" s="1058">
        <f>'Смета Внутр'!I1481</f>
        <v>0</v>
      </c>
    </row>
    <row r="1475" spans="2:10" ht="15" customHeight="1">
      <c r="B1475" s="3311" t="str">
        <f>'Смета Внутр'!B1482</f>
        <v>Итого работы</v>
      </c>
      <c r="C1475" s="3311"/>
      <c r="D1475" s="3311"/>
      <c r="E1475" s="3311"/>
      <c r="F1475" s="3311"/>
      <c r="G1475" s="3311"/>
      <c r="H1475" s="1042">
        <f>'Смета Внутр'!G1482</f>
        <v>0</v>
      </c>
      <c r="I1475" s="1042">
        <f>'Смета Внутр'!H1482</f>
        <v>0</v>
      </c>
      <c r="J1475" s="3014">
        <f>'Смета Внутр'!I1482</f>
        <v>0</v>
      </c>
    </row>
    <row r="1476" spans="2:10" ht="15" customHeight="1">
      <c r="B1476" s="3329" t="str">
        <f>'Смета Внутр'!B1483</f>
        <v>Кровля четырехскатная</v>
      </c>
      <c r="C1476" s="3329"/>
      <c r="D1476" s="3329"/>
      <c r="H1476">
        <f>'Смета Внутр'!G1483</f>
        <v>0</v>
      </c>
      <c r="I1476">
        <f>'Смета Внутр'!H1483</f>
        <v>0</v>
      </c>
      <c r="J1476" s="3027">
        <f>'Смета Внутр'!I1483</f>
        <v>0</v>
      </c>
    </row>
    <row r="1477" spans="2:10" ht="15" customHeight="1">
      <c r="B1477" s="3002" t="str">
        <f>'Смета Внутр'!B1484</f>
        <v>Материалы</v>
      </c>
      <c r="D1477" s="1167"/>
      <c r="H1477">
        <f>'Смета Внутр'!G1484</f>
        <v>0</v>
      </c>
      <c r="I1477">
        <f>'Смета Внутр'!H1484</f>
        <v>0</v>
      </c>
      <c r="J1477" s="3027">
        <f>'Смета Внутр'!I1484</f>
        <v>0</v>
      </c>
    </row>
    <row r="1478" spans="2:10" ht="15" customHeight="1">
      <c r="B1478" s="1042" t="str">
        <f>'Смета Внутр'!B1485</f>
        <v>нет</v>
      </c>
      <c r="C1478" s="1042" t="str">
        <f>'Смета Внутр'!C1485</f>
        <v>м3</v>
      </c>
      <c r="D1478" s="1058">
        <f>'Смета Внутр'!D1485</f>
        <v>0</v>
      </c>
      <c r="E1478" s="1042">
        <f>'Смета Внутр'!E1485</f>
        <v>0</v>
      </c>
      <c r="F1478" s="1042">
        <f>'Смета Внутр'!F1485</f>
        <v>0</v>
      </c>
      <c r="G1478" s="1042">
        <f t="shared" ref="G1478:G1522" si="64">IF(E1478&gt;F1478,E1478,F1478)</f>
        <v>0</v>
      </c>
      <c r="H1478" s="1042">
        <f>'Смета Внутр'!G1485</f>
        <v>0</v>
      </c>
      <c r="I1478" s="1042">
        <f>'Смета Внутр'!H1485</f>
        <v>0</v>
      </c>
      <c r="J1478" s="1058">
        <f>'Смета Внутр'!I1485</f>
        <v>0</v>
      </c>
    </row>
    <row r="1479" spans="2:10" ht="15" customHeight="1">
      <c r="B1479" s="1042" t="str">
        <f>'Смета Внутр'!B1486</f>
        <v xml:space="preserve">Болты анкерные с гайкой 12,0 х 280          </v>
      </c>
      <c r="C1479" s="1042" t="str">
        <f>'Смета Внутр'!C1486</f>
        <v>шт</v>
      </c>
      <c r="D1479" s="1058">
        <f>'Смета Внутр'!D1486</f>
        <v>44</v>
      </c>
      <c r="E1479" s="1042">
        <f>'Смета Внутр'!E1486</f>
        <v>27.1</v>
      </c>
      <c r="F1479" s="1042">
        <f>'Смета Внутр'!F1486</f>
        <v>0</v>
      </c>
      <c r="G1479" s="1042">
        <f t="shared" si="64"/>
        <v>27.1</v>
      </c>
      <c r="H1479" s="1042">
        <f>'Смета Внутр'!G1486</f>
        <v>1192.4000000000001</v>
      </c>
      <c r="I1479" s="1042">
        <f>'Смета Внутр'!H1486</f>
        <v>0</v>
      </c>
      <c r="J1479" s="1058">
        <f>'Смета Внутр'!I1486</f>
        <v>0</v>
      </c>
    </row>
    <row r="1480" spans="2:10" ht="15" customHeight="1">
      <c r="B1480" s="1042" t="str">
        <f>'Смета Внутр'!B1487</f>
        <v>Доска сухая, 200*50мм</v>
      </c>
      <c r="C1480" s="1042" t="str">
        <f>'Смета Внутр'!C1487</f>
        <v>м3</v>
      </c>
      <c r="D1480" s="1058">
        <f>'Смета Внутр'!D1487</f>
        <v>4.1662398767195423</v>
      </c>
      <c r="E1480" s="1042">
        <f>'Смета Внутр'!E1487</f>
        <v>9000</v>
      </c>
      <c r="F1480" s="1042">
        <f>'Смета Внутр'!F1487</f>
        <v>0</v>
      </c>
      <c r="G1480" s="1042">
        <f t="shared" si="64"/>
        <v>9000</v>
      </c>
      <c r="H1480" s="1042">
        <f>'Смета Внутр'!G1487</f>
        <v>37496.158890475883</v>
      </c>
      <c r="I1480" s="1042">
        <f>'Смета Внутр'!H1487</f>
        <v>0</v>
      </c>
      <c r="J1480" s="1058">
        <f>'Смета Внутр'!I1487</f>
        <v>0</v>
      </c>
    </row>
    <row r="1481" spans="2:10" ht="15" customHeight="1">
      <c r="B1481" s="1042" t="str">
        <f>'Смета Внутр'!B1488</f>
        <v xml:space="preserve">бугель, доска </v>
      </c>
      <c r="C1481" s="1042" t="str">
        <f>'Смета Внутр'!C1488</f>
        <v>м3</v>
      </c>
      <c r="D1481" s="1058">
        <f>'Смета Внутр'!D1488</f>
        <v>0.28000000000000003</v>
      </c>
      <c r="E1481" s="1042">
        <f>'Смета Внутр'!E1488</f>
        <v>9000</v>
      </c>
      <c r="F1481" s="1042">
        <f>'Смета Внутр'!F1488</f>
        <v>0</v>
      </c>
      <c r="G1481" s="1042">
        <f t="shared" si="64"/>
        <v>9000</v>
      </c>
      <c r="H1481" s="1042">
        <f>'Смета Внутр'!G1488</f>
        <v>2520.0000000000005</v>
      </c>
      <c r="I1481" s="1042">
        <f>'Смета Внутр'!H1488</f>
        <v>0</v>
      </c>
      <c r="J1481" s="1058">
        <f>'Смета Внутр'!I1488</f>
        <v>0</v>
      </c>
    </row>
    <row r="1482" spans="2:10" ht="15" customHeight="1">
      <c r="B1482" s="1042" t="str">
        <f>'Смета Внутр'!B1489</f>
        <v>стойка под конек</v>
      </c>
      <c r="C1482" s="1042" t="str">
        <f>'Смета Внутр'!C1489</f>
        <v>м3</v>
      </c>
      <c r="D1482" s="1058">
        <f>'Смета Внутр'!D1489</f>
        <v>0.17500000000000004</v>
      </c>
      <c r="E1482" s="1042">
        <f>'Смета Внутр'!E1489</f>
        <v>9000</v>
      </c>
      <c r="F1482" s="1042">
        <f>'Смета Внутр'!F1489</f>
        <v>0</v>
      </c>
      <c r="G1482" s="1042">
        <f t="shared" si="64"/>
        <v>9000</v>
      </c>
      <c r="H1482" s="1042">
        <f>'Смета Внутр'!G1489</f>
        <v>1575.0000000000005</v>
      </c>
      <c r="I1482" s="1042">
        <f>'Смета Внутр'!H1489</f>
        <v>0</v>
      </c>
      <c r="J1482" s="1058">
        <f>'Смета Внутр'!I1489</f>
        <v>0</v>
      </c>
    </row>
    <row r="1483" spans="2:10" ht="15" customHeight="1">
      <c r="B1483" s="1042" t="str">
        <f>'Смета Внутр'!B1490</f>
        <v>Сосна влаж,180*25мм</v>
      </c>
      <c r="C1483" s="1042" t="str">
        <f>'Смета Внутр'!C1490</f>
        <v>м3</v>
      </c>
      <c r="D1483" s="1058">
        <f>'Смета Внутр'!D1490</f>
        <v>3.6188679795129262</v>
      </c>
      <c r="E1483" s="1042">
        <f>'Смета Внутр'!E1490</f>
        <v>6500</v>
      </c>
      <c r="F1483" s="1042">
        <f>'Смета Внутр'!F1490</f>
        <v>0</v>
      </c>
      <c r="G1483" s="1042">
        <f t="shared" si="64"/>
        <v>6500</v>
      </c>
      <c r="H1483" s="1042">
        <f>'Смета Внутр'!G1490</f>
        <v>23522.641866834019</v>
      </c>
      <c r="I1483" s="1042">
        <f>'Смета Внутр'!H1490</f>
        <v>0</v>
      </c>
      <c r="J1483" s="1058">
        <f>'Смета Внутр'!I1490</f>
        <v>0</v>
      </c>
    </row>
    <row r="1484" spans="2:10" ht="15" customHeight="1">
      <c r="B1484" s="1042" t="str">
        <f>'Смета Внутр'!B1491</f>
        <v>Сосна влаж, 50*50мм</v>
      </c>
      <c r="C1484" s="1042" t="str">
        <f>'Смета Внутр'!C1491</f>
        <v>м3</v>
      </c>
      <c r="D1484" s="1058">
        <f>'Смета Внутр'!D1491</f>
        <v>2.0104822108405154</v>
      </c>
      <c r="E1484" s="1042">
        <f>'Смета Внутр'!E1491</f>
        <v>6500</v>
      </c>
      <c r="F1484" s="1042">
        <f>'Смета Внутр'!F1491</f>
        <v>0</v>
      </c>
      <c r="G1484" s="1042">
        <f t="shared" si="64"/>
        <v>6500</v>
      </c>
      <c r="H1484" s="1042">
        <f>'Смета Внутр'!G1491</f>
        <v>13068.134370463349</v>
      </c>
      <c r="I1484" s="1042">
        <f>'Смета Внутр'!H1491</f>
        <v>0</v>
      </c>
      <c r="J1484" s="1058">
        <f>'Смета Внутр'!I1491</f>
        <v>0</v>
      </c>
    </row>
    <row r="1485" spans="2:10" ht="15" customHeight="1">
      <c r="B1485" s="1042" t="str">
        <f>'Смета Внутр'!B1492</f>
        <v>Мембрана MD90</v>
      </c>
      <c r="C1485" s="1042" t="str">
        <f>'Смета Внутр'!C1492</f>
        <v>м2</v>
      </c>
      <c r="D1485" s="1058">
        <f>'Смета Внутр'!D1492</f>
        <v>268.0642947787353</v>
      </c>
      <c r="E1485" s="1042">
        <f>'Смета Внутр'!E1492</f>
        <v>34</v>
      </c>
      <c r="F1485" s="1042">
        <f>'Смета Внутр'!F1492</f>
        <v>0</v>
      </c>
      <c r="G1485" s="1042">
        <f t="shared" si="64"/>
        <v>34</v>
      </c>
      <c r="H1485" s="1042">
        <f>'Смета Внутр'!G1492</f>
        <v>9114.1860224770007</v>
      </c>
      <c r="I1485" s="1042">
        <f>'Смета Внутр'!H1492</f>
        <v>0</v>
      </c>
      <c r="J1485" s="1058">
        <f>'Смета Внутр'!I1492</f>
        <v>0</v>
      </c>
    </row>
    <row r="1486" spans="2:10" ht="15" customHeight="1">
      <c r="B1486" s="1042" t="str">
        <f>'Смета Внутр'!B1493</f>
        <v>Мембрана Tyvek AirGuard Reflective</v>
      </c>
      <c r="C1486" s="1042" t="str">
        <f>'Смета Внутр'!C1493</f>
        <v>м2</v>
      </c>
      <c r="D1486" s="1058">
        <f>'Смета Внутр'!D1493</f>
        <v>268.0642947787353</v>
      </c>
      <c r="E1486" s="1042">
        <f>'Смета Внутр'!E1493</f>
        <v>174</v>
      </c>
      <c r="F1486" s="1042">
        <f>'Смета Внутр'!F1493</f>
        <v>0</v>
      </c>
      <c r="G1486" s="1042">
        <f t="shared" si="64"/>
        <v>174</v>
      </c>
      <c r="H1486" s="1042">
        <f>'Смета Внутр'!G1493</f>
        <v>46643.18729149994</v>
      </c>
      <c r="I1486" s="1042">
        <f>'Смета Внутр'!H1493</f>
        <v>0</v>
      </c>
      <c r="J1486" s="1058">
        <f>'Смета Внутр'!I1493</f>
        <v>0</v>
      </c>
    </row>
    <row r="1487" spans="2:10" ht="15" customHeight="1">
      <c r="B1487" s="1042" t="str">
        <f>'Смета Внутр'!B1494</f>
        <v>Плитный,28кг/м3, технониколь, 200мм</v>
      </c>
      <c r="C1487" s="1042" t="str">
        <f>'Смета Внутр'!C1494</f>
        <v>м3</v>
      </c>
      <c r="D1487" s="1058">
        <f>'Смета Внутр'!D1494</f>
        <v>38.29489925410504</v>
      </c>
      <c r="E1487" s="1042">
        <f>'Смета Внутр'!E1494</f>
        <v>1700</v>
      </c>
      <c r="F1487" s="1042">
        <f>'Смета Внутр'!F1494</f>
        <v>0</v>
      </c>
      <c r="G1487" s="1042">
        <f t="shared" si="64"/>
        <v>1700</v>
      </c>
      <c r="H1487" s="1042">
        <f>'Смета Внутр'!G1494</f>
        <v>65101.328731978567</v>
      </c>
      <c r="I1487" s="1042">
        <f>'Смета Внутр'!H1494</f>
        <v>0</v>
      </c>
      <c r="J1487" s="1058">
        <f>'Смета Внутр'!I1494</f>
        <v>0</v>
      </c>
    </row>
    <row r="1488" spans="2:10" ht="15" customHeight="1">
      <c r="B1488" s="1042" t="str">
        <f>'Смета Внутр'!B1495</f>
        <v>металлочерепица</v>
      </c>
      <c r="C1488" s="1042" t="str">
        <f>'Смета Внутр'!C1495</f>
        <v>м2</v>
      </c>
      <c r="D1488" s="1058">
        <f>'Смета Внутр'!D1495</f>
        <v>268.0642947787353</v>
      </c>
      <c r="E1488" s="1042">
        <f>'Смета Внутр'!E1495</f>
        <v>250</v>
      </c>
      <c r="F1488" s="1042">
        <f>'Смета Внутр'!F1495</f>
        <v>0</v>
      </c>
      <c r="G1488" s="1042">
        <f t="shared" si="64"/>
        <v>250</v>
      </c>
      <c r="H1488" s="1042">
        <f>'Смета Внутр'!G1495</f>
        <v>67016.07369468383</v>
      </c>
      <c r="I1488" s="1042">
        <f>'Смета Внутр'!H1495</f>
        <v>0</v>
      </c>
      <c r="J1488" s="1058">
        <f>'Смета Внутр'!I1495</f>
        <v>0</v>
      </c>
    </row>
    <row r="1489" spans="2:10" ht="15" customHeight="1">
      <c r="B1489" s="1042" t="str">
        <f>'Смета Внутр'!B1496</f>
        <v>Конек</v>
      </c>
      <c r="C1489" s="1042" t="str">
        <f>'Смета Внутр'!C1496</f>
        <v>м.п.</v>
      </c>
      <c r="D1489" s="1058">
        <f>'Смета Внутр'!D1496</f>
        <v>39.350000802913002</v>
      </c>
      <c r="E1489" s="1042">
        <f>'Смета Внутр'!E1496</f>
        <v>200</v>
      </c>
      <c r="F1489" s="1042">
        <f>'Смета Внутр'!F1496</f>
        <v>0</v>
      </c>
      <c r="G1489" s="1042">
        <f t="shared" si="64"/>
        <v>200</v>
      </c>
      <c r="H1489" s="1042">
        <f>'Смета Внутр'!G1496</f>
        <v>7870.0001605826001</v>
      </c>
      <c r="I1489" s="1042">
        <f>'Смета Внутр'!H1496</f>
        <v>0</v>
      </c>
      <c r="J1489" s="1058">
        <f>'Смета Внутр'!I1496</f>
        <v>0</v>
      </c>
    </row>
    <row r="1490" spans="2:10" ht="15" customHeight="1">
      <c r="B1490" s="1042" t="str">
        <f>'Смета Внутр'!B1497</f>
        <v>Карнизная планка</v>
      </c>
      <c r="C1490" s="1042" t="str">
        <f>'Смета Внутр'!C1497</f>
        <v>м.п.</v>
      </c>
      <c r="D1490" s="1058">
        <f>'Смета Внутр'!D1497</f>
        <v>88</v>
      </c>
      <c r="E1490" s="1042">
        <f>'Смета Внутр'!E1497</f>
        <v>190</v>
      </c>
      <c r="F1490" s="1042">
        <f>'Смета Внутр'!F1497</f>
        <v>0</v>
      </c>
      <c r="G1490" s="1042">
        <f t="shared" si="64"/>
        <v>190</v>
      </c>
      <c r="H1490" s="1042">
        <f>'Смета Внутр'!G1497</f>
        <v>16720</v>
      </c>
      <c r="I1490" s="1042">
        <f>'Смета Внутр'!H1497</f>
        <v>0</v>
      </c>
      <c r="J1490" s="1058">
        <f>'Смета Внутр'!I1497</f>
        <v>0</v>
      </c>
    </row>
    <row r="1491" spans="2:10" ht="15" customHeight="1">
      <c r="B1491" s="1042" t="str">
        <f>'Смета Внутр'!B1498</f>
        <v>ондулин</v>
      </c>
      <c r="C1491" s="1042" t="str">
        <f>'Смета Внутр'!C1498</f>
        <v>м2</v>
      </c>
      <c r="D1491" s="1058">
        <f>'Смета Внутр'!D1498</f>
        <v>0</v>
      </c>
      <c r="E1491" s="1042">
        <f>'Смета Внутр'!E1498</f>
        <v>180</v>
      </c>
      <c r="F1491" s="1042">
        <f>'Смета Внутр'!F1498</f>
        <v>0</v>
      </c>
      <c r="G1491" s="1042">
        <f t="shared" si="64"/>
        <v>180</v>
      </c>
      <c r="H1491" s="1042">
        <f>'Смета Внутр'!G1498</f>
        <v>0</v>
      </c>
      <c r="I1491" s="1042">
        <f>'Смета Внутр'!H1498</f>
        <v>0</v>
      </c>
      <c r="J1491" s="1058">
        <f>'Смета Внутр'!I1498</f>
        <v>0</v>
      </c>
    </row>
    <row r="1492" spans="2:10" ht="15" customHeight="1">
      <c r="B1492" s="1042" t="str">
        <f>'Смета Внутр'!B1499</f>
        <v>Карнизная планка</v>
      </c>
      <c r="C1492" s="1042" t="str">
        <f>'Смета Внутр'!C1499</f>
        <v>м.п.</v>
      </c>
      <c r="D1492" s="1058">
        <f>'Смета Внутр'!D1499</f>
        <v>0</v>
      </c>
      <c r="E1492" s="1042">
        <f>'Смета Внутр'!E1499</f>
        <v>190</v>
      </c>
      <c r="F1492" s="1042">
        <f>'Смета Внутр'!F1499</f>
        <v>0</v>
      </c>
      <c r="G1492" s="1042">
        <f t="shared" si="64"/>
        <v>190</v>
      </c>
      <c r="H1492" s="1042">
        <f>'Смета Внутр'!G1499</f>
        <v>0</v>
      </c>
      <c r="I1492" s="1042">
        <f>'Смета Внутр'!H1499</f>
        <v>0</v>
      </c>
      <c r="J1492" s="1058">
        <f>'Смета Внутр'!I1499</f>
        <v>0</v>
      </c>
    </row>
    <row r="1493" spans="2:10" ht="15" customHeight="1">
      <c r="B1493" s="1042" t="str">
        <f>'Смета Внутр'!B1500</f>
        <v>Конек</v>
      </c>
      <c r="C1493" s="1042" t="str">
        <f>'Смета Внутр'!C1500</f>
        <v>м.п.</v>
      </c>
      <c r="D1493" s="1058">
        <f>'Смета Внутр'!D1500</f>
        <v>0</v>
      </c>
      <c r="E1493" s="1042">
        <f>'Смета Внутр'!E1500</f>
        <v>200</v>
      </c>
      <c r="F1493" s="1042">
        <f>'Смета Внутр'!F1500</f>
        <v>0</v>
      </c>
      <c r="G1493" s="1042">
        <f t="shared" si="64"/>
        <v>200</v>
      </c>
      <c r="H1493" s="1042">
        <f>'Смета Внутр'!G1500</f>
        <v>0</v>
      </c>
      <c r="I1493" s="1042">
        <f>'Смета Внутр'!H1500</f>
        <v>0</v>
      </c>
      <c r="J1493" s="1058">
        <f>'Смета Внутр'!I1500</f>
        <v>0</v>
      </c>
    </row>
    <row r="1494" spans="2:10" ht="15" customHeight="1">
      <c r="B1494" s="1042" t="str">
        <f>'Смета Внутр'!B1501</f>
        <v>Крепеж для ондулина</v>
      </c>
      <c r="C1494" s="1042" t="str">
        <f>'Смета Внутр'!C1501</f>
        <v>шт</v>
      </c>
      <c r="D1494" s="1058">
        <f>'Смета Внутр'!D1501</f>
        <v>0</v>
      </c>
      <c r="E1494" s="1042">
        <f>'Смета Внутр'!E1501</f>
        <v>4.5</v>
      </c>
      <c r="F1494" s="1042">
        <f>'Смета Внутр'!F1501</f>
        <v>0</v>
      </c>
      <c r="G1494" s="1042">
        <f t="shared" si="64"/>
        <v>4.5</v>
      </c>
      <c r="H1494" s="1042">
        <f>'Смета Внутр'!G1501</f>
        <v>0</v>
      </c>
      <c r="I1494" s="1042">
        <f>'Смета Внутр'!H1501</f>
        <v>0</v>
      </c>
      <c r="J1494" s="1058">
        <f>'Смета Внутр'!I1501</f>
        <v>0</v>
      </c>
    </row>
    <row r="1495" spans="2:10" ht="15" customHeight="1">
      <c r="B1495" s="1042" t="str">
        <f>'Смета Внутр'!B1502</f>
        <v>нет</v>
      </c>
      <c r="C1495" s="1042" t="str">
        <f>'Смета Внутр'!C1502</f>
        <v>м2</v>
      </c>
      <c r="D1495" s="1058">
        <f>'Смета Внутр'!D1502</f>
        <v>268.0642947787353</v>
      </c>
      <c r="E1495" s="1042">
        <f>'Смета Внутр'!E1502</f>
        <v>0</v>
      </c>
      <c r="F1495" s="1042">
        <f>'Смета Внутр'!F1502</f>
        <v>0</v>
      </c>
      <c r="G1495" s="1042">
        <f t="shared" si="64"/>
        <v>0</v>
      </c>
      <c r="H1495" s="1042">
        <f>'Смета Внутр'!G1502</f>
        <v>0</v>
      </c>
      <c r="I1495" s="1042">
        <f>'Смета Внутр'!H1502</f>
        <v>0</v>
      </c>
      <c r="J1495" s="1058">
        <f>'Смета Внутр'!I1502</f>
        <v>0</v>
      </c>
    </row>
    <row r="1496" spans="2:10" ht="15" customHeight="1">
      <c r="B1496" s="1042" t="str">
        <f>'Смета Внутр'!B1503</f>
        <v>Рядовая черепица</v>
      </c>
      <c r="C1496" s="1042" t="str">
        <f>'Смета Внутр'!C1503</f>
        <v>м.п.</v>
      </c>
      <c r="D1496" s="1058">
        <f>'Смета Внутр'!D1503</f>
        <v>0</v>
      </c>
      <c r="E1496" s="1042">
        <f>'Смета Внутр'!E1503</f>
        <v>360</v>
      </c>
      <c r="F1496" s="1042">
        <f>'Смета Внутр'!F1503</f>
        <v>0</v>
      </c>
      <c r="G1496" s="1042">
        <f t="shared" si="64"/>
        <v>360</v>
      </c>
      <c r="H1496" s="1042">
        <f>'Смета Внутр'!G1503</f>
        <v>0</v>
      </c>
      <c r="I1496" s="1042">
        <f>'Смета Внутр'!H1503</f>
        <v>0</v>
      </c>
      <c r="J1496" s="1058">
        <f>'Смета Внутр'!I1503</f>
        <v>0</v>
      </c>
    </row>
    <row r="1497" spans="2:10" ht="15" customHeight="1">
      <c r="B1497" s="1042" t="str">
        <f>'Смета Внутр'!B1504</f>
        <v>Металл оцинк защита (карниз)</v>
      </c>
      <c r="C1497" s="1042" t="str">
        <f>'Смета Внутр'!C1504</f>
        <v>м.п.</v>
      </c>
      <c r="D1497" s="1058">
        <f>'Смета Внутр'!D1504</f>
        <v>0</v>
      </c>
      <c r="E1497" s="1042">
        <f>'Смета Внутр'!E1504</f>
        <v>200</v>
      </c>
      <c r="F1497" s="1042">
        <f>'Смета Внутр'!F1504</f>
        <v>0</v>
      </c>
      <c r="G1497" s="1042">
        <f t="shared" si="64"/>
        <v>200</v>
      </c>
      <c r="H1497" s="1042">
        <f>'Смета Внутр'!G1504</f>
        <v>0</v>
      </c>
      <c r="I1497" s="1042">
        <f>'Смета Внутр'!H1504</f>
        <v>0</v>
      </c>
      <c r="J1497" s="1058">
        <f>'Смета Внутр'!I1504</f>
        <v>0</v>
      </c>
    </row>
    <row r="1498" spans="2:10" ht="15" customHeight="1">
      <c r="B1498" s="1042" t="str">
        <f>'Смета Внутр'!B1505</f>
        <v>Подкладочный ковер</v>
      </c>
      <c r="C1498" s="1042" t="str">
        <f>'Смета Внутр'!C1505</f>
        <v>м2</v>
      </c>
      <c r="D1498" s="1058">
        <f>'Смета Внутр'!D1505</f>
        <v>0</v>
      </c>
      <c r="E1498" s="1042">
        <f>'Смета Внутр'!E1505</f>
        <v>220</v>
      </c>
      <c r="F1498" s="1042">
        <f>'Смета Внутр'!F1505</f>
        <v>0</v>
      </c>
      <c r="G1498" s="1042">
        <f t="shared" si="64"/>
        <v>220</v>
      </c>
      <c r="H1498" s="1042">
        <f>'Смета Внутр'!G1505</f>
        <v>0</v>
      </c>
      <c r="I1498" s="1042">
        <f>'Смета Внутр'!H1505</f>
        <v>0</v>
      </c>
      <c r="J1498" s="1058">
        <f>'Смета Внутр'!I1505</f>
        <v>0</v>
      </c>
    </row>
    <row r="1499" spans="2:10" ht="15" customHeight="1">
      <c r="B1499" s="1042" t="str">
        <f>'Смета Внутр'!B1506</f>
        <v>Карнизная самоклеющаяся черепица</v>
      </c>
      <c r="C1499" s="1042" t="str">
        <f>'Смета Внутр'!C1506</f>
        <v>м2</v>
      </c>
      <c r="D1499" s="1058">
        <f>'Смета Внутр'!D1506</f>
        <v>0</v>
      </c>
      <c r="E1499" s="1042">
        <f>'Смета Внутр'!E1506</f>
        <v>220</v>
      </c>
      <c r="F1499" s="1042">
        <f>'Смета Внутр'!F1506</f>
        <v>0</v>
      </c>
      <c r="G1499" s="1042">
        <f t="shared" si="64"/>
        <v>220</v>
      </c>
      <c r="H1499" s="1042">
        <f>'Смета Внутр'!G1506</f>
        <v>0</v>
      </c>
      <c r="I1499" s="1042">
        <f>'Смета Внутр'!H1506</f>
        <v>0</v>
      </c>
      <c r="J1499" s="1058">
        <f>'Смета Внутр'!I1506</f>
        <v>0</v>
      </c>
    </row>
    <row r="1500" spans="2:10" ht="15" customHeight="1">
      <c r="B1500" s="1042" t="str">
        <f>'Смета Внутр'!B1507</f>
        <v>Спец ковер ендова нижняя</v>
      </c>
      <c r="C1500" s="1042" t="str">
        <f>'Смета Внутр'!C1507</f>
        <v>м.п</v>
      </c>
      <c r="D1500" s="1058">
        <f>'Смета Внутр'!D1507</f>
        <v>0</v>
      </c>
      <c r="E1500" s="1042">
        <f>'Смета Внутр'!E1507</f>
        <v>200</v>
      </c>
      <c r="F1500" s="1042">
        <f>'Смета Внутр'!F1507</f>
        <v>0</v>
      </c>
      <c r="G1500" s="1042">
        <f t="shared" si="64"/>
        <v>200</v>
      </c>
      <c r="H1500" s="1042">
        <f>'Смета Внутр'!G1507</f>
        <v>0</v>
      </c>
      <c r="I1500" s="1042">
        <f>'Смета Внутр'!H1507</f>
        <v>0</v>
      </c>
      <c r="J1500" s="1058">
        <f>'Смета Внутр'!I1507</f>
        <v>0</v>
      </c>
    </row>
    <row r="1501" spans="2:10" ht="15" customHeight="1">
      <c r="B1501" s="1042" t="str">
        <f>'Смета Внутр'!B1508</f>
        <v>Коньковой элемент</v>
      </c>
      <c r="C1501" s="1042" t="str">
        <f>'Смета Внутр'!C1508</f>
        <v>м.п</v>
      </c>
      <c r="D1501" s="1058">
        <f>'Смета Внутр'!D1508</f>
        <v>0</v>
      </c>
      <c r="E1501" s="1042">
        <f>'Смета Внутр'!E1508</f>
        <v>250</v>
      </c>
      <c r="F1501" s="1042">
        <f>'Смета Внутр'!F1508</f>
        <v>0</v>
      </c>
      <c r="G1501" s="1042">
        <f t="shared" si="64"/>
        <v>250</v>
      </c>
      <c r="H1501" s="1042">
        <f>'Смета Внутр'!G1508</f>
        <v>0</v>
      </c>
      <c r="I1501" s="1042">
        <f>'Смета Внутр'!H1508</f>
        <v>0</v>
      </c>
      <c r="J1501" s="1058">
        <f>'Смета Внутр'!I1508</f>
        <v>0</v>
      </c>
    </row>
    <row r="1502" spans="2:10" ht="15" customHeight="1">
      <c r="B1502" s="1042" t="str">
        <f>'Смета Внутр'!B1509</f>
        <v>Планка премыкания</v>
      </c>
      <c r="C1502" s="1042" t="str">
        <f>'Смета Внутр'!C1509</f>
        <v>м.п.</v>
      </c>
      <c r="D1502" s="1058">
        <f>'Смета Внутр'!D1509</f>
        <v>0</v>
      </c>
      <c r="E1502" s="1042">
        <f>'Смета Внутр'!E1509</f>
        <v>200</v>
      </c>
      <c r="F1502" s="1042">
        <f>'Смета Внутр'!F1509</f>
        <v>0</v>
      </c>
      <c r="G1502" s="1042">
        <f t="shared" si="64"/>
        <v>200</v>
      </c>
      <c r="H1502" s="1042">
        <f>'Смета Внутр'!G1509</f>
        <v>0</v>
      </c>
      <c r="I1502" s="1042">
        <f>'Смета Внутр'!H1509</f>
        <v>0</v>
      </c>
      <c r="J1502" s="1058">
        <f>'Смета Внутр'!I1509</f>
        <v>0</v>
      </c>
    </row>
    <row r="1503" spans="2:10" ht="15" customHeight="1">
      <c r="B1503" s="1042" t="str">
        <f>'Смета Внутр'!B1510</f>
        <v>Гвозди для крепления подкладочного ковра</v>
      </c>
      <c r="C1503" s="1042" t="str">
        <f>'Смета Внутр'!C1510</f>
        <v>шт</v>
      </c>
      <c r="D1503" s="1058">
        <f>'Смета Внутр'!D1510</f>
        <v>0</v>
      </c>
      <c r="E1503" s="1042">
        <f>'Смета Внутр'!E1510</f>
        <v>1.2E-2</v>
      </c>
      <c r="F1503" s="1042">
        <f>'Смета Внутр'!F1510</f>
        <v>0</v>
      </c>
      <c r="G1503" s="1042">
        <f t="shared" si="64"/>
        <v>1.2E-2</v>
      </c>
      <c r="H1503" s="1042">
        <f>'Смета Внутр'!G1510</f>
        <v>0</v>
      </c>
      <c r="I1503" s="1042">
        <f>'Смета Внутр'!H1510</f>
        <v>0</v>
      </c>
      <c r="J1503" s="1058">
        <f>'Смета Внутр'!I1510</f>
        <v>0</v>
      </c>
    </row>
    <row r="1504" spans="2:10" ht="15" customHeight="1">
      <c r="B1504" s="1042" t="str">
        <f>'Смета Внутр'!B1511</f>
        <v>Гвозди для крепления черепицы</v>
      </c>
      <c r="C1504" s="1042" t="str">
        <f>'Смета Внутр'!C1511</f>
        <v>шт</v>
      </c>
      <c r="D1504" s="1058">
        <f>'Смета Внутр'!D1511</f>
        <v>0</v>
      </c>
      <c r="E1504" s="1042">
        <f>'Смета Внутр'!E1511</f>
        <v>0.25</v>
      </c>
      <c r="F1504" s="1042">
        <f>'Смета Внутр'!F1511</f>
        <v>0</v>
      </c>
      <c r="G1504" s="1042">
        <f t="shared" si="64"/>
        <v>0.25</v>
      </c>
      <c r="H1504" s="1042">
        <f>'Смета Внутр'!G1511</f>
        <v>0</v>
      </c>
      <c r="I1504" s="1042">
        <f>'Смета Внутр'!H1511</f>
        <v>0</v>
      </c>
      <c r="J1504" s="1058">
        <f>'Смета Внутр'!I1511</f>
        <v>0</v>
      </c>
    </row>
    <row r="1505" spans="2:10" ht="15" customHeight="1">
      <c r="B1505" s="1042" t="str">
        <f>'Смета Внутр'!B1512</f>
        <v>Клей для монтажа черепицы</v>
      </c>
      <c r="C1505" s="1042" t="str">
        <f>'Смета Внутр'!C1512</f>
        <v>кг</v>
      </c>
      <c r="D1505" s="1058">
        <f>'Смета Внутр'!D1512</f>
        <v>0</v>
      </c>
      <c r="E1505" s="1042">
        <f>'Смета Внутр'!E1512</f>
        <v>250</v>
      </c>
      <c r="F1505" s="1042">
        <f>'Смета Внутр'!F1512</f>
        <v>0</v>
      </c>
      <c r="G1505" s="1042">
        <f t="shared" si="64"/>
        <v>250</v>
      </c>
      <c r="H1505" s="1042">
        <f>'Смета Внутр'!G1512</f>
        <v>0</v>
      </c>
      <c r="I1505" s="1042">
        <f>'Смета Внутр'!H1512</f>
        <v>0</v>
      </c>
      <c r="J1505" s="1058">
        <f>'Смета Внутр'!I1512</f>
        <v>0</v>
      </c>
    </row>
    <row r="1506" spans="2:10" ht="15" customHeight="1">
      <c r="B1506" s="1042" t="str">
        <f>'Смета Внутр'!B1513</f>
        <v>желоб</v>
      </c>
      <c r="C1506" s="1042" t="str">
        <f>'Смета Внутр'!C1513</f>
        <v>м.п</v>
      </c>
      <c r="D1506" s="1058">
        <f>'Смета Внутр'!D1513</f>
        <v>42</v>
      </c>
      <c r="E1506" s="1042">
        <f>'Смета Внутр'!E1513</f>
        <v>300</v>
      </c>
      <c r="F1506" s="1042">
        <f>'Смета Внутр'!F1513</f>
        <v>0</v>
      </c>
      <c r="G1506" s="1042">
        <f t="shared" si="64"/>
        <v>300</v>
      </c>
      <c r="H1506" s="1042">
        <f>'Смета Внутр'!G1513</f>
        <v>12600</v>
      </c>
      <c r="I1506" s="1042">
        <f>'Смета Внутр'!H1513</f>
        <v>0</v>
      </c>
      <c r="J1506" s="1058">
        <f>'Смета Внутр'!I1513</f>
        <v>0</v>
      </c>
    </row>
    <row r="1507" spans="2:10" ht="15" customHeight="1">
      <c r="B1507" s="1042" t="str">
        <f>'Смета Внутр'!B1514</f>
        <v>отвод</v>
      </c>
      <c r="C1507" s="1042" t="str">
        <f>'Смета Внутр'!C1514</f>
        <v>шт</v>
      </c>
      <c r="D1507" s="1058">
        <f>'Смета Внутр'!D1514</f>
        <v>4</v>
      </c>
      <c r="E1507" s="1042">
        <f>'Смета Внутр'!E1514</f>
        <v>250</v>
      </c>
      <c r="F1507" s="1042">
        <f>'Смета Внутр'!F1514</f>
        <v>0</v>
      </c>
      <c r="G1507" s="1042">
        <f t="shared" si="64"/>
        <v>250</v>
      </c>
      <c r="H1507" s="1042">
        <f>'Смета Внутр'!G1514</f>
        <v>1000</v>
      </c>
      <c r="I1507" s="1042">
        <f>'Смета Внутр'!H1514</f>
        <v>0</v>
      </c>
      <c r="J1507" s="1058">
        <f>'Смета Внутр'!I1514</f>
        <v>0</v>
      </c>
    </row>
    <row r="1508" spans="2:10" ht="15" customHeight="1">
      <c r="B1508" s="1042" t="str">
        <f>'Смета Внутр'!B1515</f>
        <v>труба водосточная</v>
      </c>
      <c r="C1508" s="1042" t="str">
        <f>'Смета Внутр'!C1515</f>
        <v>м.п.</v>
      </c>
      <c r="D1508" s="1058">
        <f>'Смета Внутр'!D1515</f>
        <v>6.6000000000000005</v>
      </c>
      <c r="E1508" s="1042">
        <f>'Смета Внутр'!E1515</f>
        <v>300</v>
      </c>
      <c r="F1508" s="1042">
        <f>'Смета Внутр'!F1515</f>
        <v>0</v>
      </c>
      <c r="G1508" s="1042">
        <f t="shared" si="64"/>
        <v>300</v>
      </c>
      <c r="H1508" s="1042">
        <f>'Смета Внутр'!G1515</f>
        <v>1980.0000000000002</v>
      </c>
      <c r="I1508" s="1042">
        <f>'Смета Внутр'!H1515</f>
        <v>0</v>
      </c>
      <c r="J1508" s="1058">
        <f>'Смета Внутр'!I1515</f>
        <v>0</v>
      </c>
    </row>
    <row r="1509" spans="2:10" ht="15" customHeight="1">
      <c r="B1509" s="1042" t="str">
        <f>'Смета Внутр'!B1516</f>
        <v>заглушка для желоба</v>
      </c>
      <c r="C1509" s="1042" t="str">
        <f>'Смета Внутр'!C1516</f>
        <v>шт</v>
      </c>
      <c r="D1509" s="1058">
        <f>'Смета Внутр'!D1516</f>
        <v>4</v>
      </c>
      <c r="E1509" s="1042">
        <f>'Смета Внутр'!E1516</f>
        <v>190</v>
      </c>
      <c r="F1509" s="1042">
        <f>'Смета Внутр'!F1516</f>
        <v>0</v>
      </c>
      <c r="G1509" s="1042">
        <f t="shared" si="64"/>
        <v>190</v>
      </c>
      <c r="H1509" s="1042">
        <f>'Смета Внутр'!G1516</f>
        <v>760</v>
      </c>
      <c r="I1509" s="1042">
        <f>'Смета Внутр'!H1516</f>
        <v>0</v>
      </c>
      <c r="J1509" s="1058">
        <f>'Смета Внутр'!I1516</f>
        <v>0</v>
      </c>
    </row>
    <row r="1510" spans="2:10" ht="15" customHeight="1">
      <c r="B1510" s="1042" t="str">
        <f>'Смета Внутр'!B1517</f>
        <v>соеденитель для желоба</v>
      </c>
      <c r="C1510" s="1042" t="str">
        <f>'Смета Внутр'!C1517</f>
        <v>шт</v>
      </c>
      <c r="D1510" s="1058">
        <f>'Смета Внутр'!D1517</f>
        <v>15</v>
      </c>
      <c r="E1510" s="1042">
        <f>'Смета Внутр'!E1517</f>
        <v>180</v>
      </c>
      <c r="F1510" s="1042">
        <f>'Смета Внутр'!F1517</f>
        <v>0</v>
      </c>
      <c r="G1510" s="1042">
        <f t="shared" si="64"/>
        <v>180</v>
      </c>
      <c r="H1510" s="1042">
        <f>'Смета Внутр'!G1517</f>
        <v>2700</v>
      </c>
      <c r="I1510" s="1042">
        <f>'Смета Внутр'!H1517</f>
        <v>0</v>
      </c>
      <c r="J1510" s="1058">
        <f>'Смета Внутр'!I1517</f>
        <v>0</v>
      </c>
    </row>
    <row r="1511" spans="2:10" ht="15" customHeight="1">
      <c r="B1511" s="1042" t="str">
        <f>'Смета Внутр'!B1518</f>
        <v>кронштейн для желоба</v>
      </c>
      <c r="C1511" s="1042" t="str">
        <f>'Смета Внутр'!C1518</f>
        <v>шт</v>
      </c>
      <c r="D1511" s="1058">
        <f>'Смета Внутр'!D1518</f>
        <v>140</v>
      </c>
      <c r="E1511" s="1042">
        <f>'Смета Внутр'!E1518</f>
        <v>130</v>
      </c>
      <c r="F1511" s="1042">
        <f>'Смета Внутр'!F1518</f>
        <v>0</v>
      </c>
      <c r="G1511" s="1042">
        <f t="shared" si="64"/>
        <v>130</v>
      </c>
      <c r="H1511" s="1042">
        <f>'Смета Внутр'!G1518</f>
        <v>18200</v>
      </c>
      <c r="I1511" s="1042">
        <f>'Смета Внутр'!H1518</f>
        <v>0</v>
      </c>
      <c r="J1511" s="1058">
        <f>'Смета Внутр'!I1518</f>
        <v>0</v>
      </c>
    </row>
    <row r="1512" spans="2:10" ht="15" customHeight="1">
      <c r="B1512" s="1042" t="str">
        <f>'Смета Внутр'!B1519</f>
        <v>переход из желоба в трубу</v>
      </c>
      <c r="C1512" s="1042" t="str">
        <f>'Смета Внутр'!C1519</f>
        <v>шт</v>
      </c>
      <c r="D1512" s="1058">
        <f>'Смета Внутр'!D1519</f>
        <v>2</v>
      </c>
      <c r="E1512" s="1042">
        <f>'Смета Внутр'!E1519</f>
        <v>350</v>
      </c>
      <c r="F1512" s="1042">
        <f>'Смета Внутр'!F1519</f>
        <v>0</v>
      </c>
      <c r="G1512" s="1042">
        <f t="shared" si="64"/>
        <v>350</v>
      </c>
      <c r="H1512" s="1042">
        <f>'Смета Внутр'!G1519</f>
        <v>700</v>
      </c>
      <c r="I1512" s="1042">
        <f>'Смета Внутр'!H1519</f>
        <v>0</v>
      </c>
      <c r="J1512" s="1058">
        <f>'Смета Внутр'!I1519</f>
        <v>0</v>
      </c>
    </row>
    <row r="1513" spans="2:10" ht="15" customHeight="1">
      <c r="B1513" s="1042" t="str">
        <f>'Смета Внутр'!B1520</f>
        <v>лента дельта мульти бэнд</v>
      </c>
      <c r="C1513" s="1042" t="str">
        <f>'Смета Внутр'!C1520</f>
        <v>шт</v>
      </c>
      <c r="D1513" s="1058">
        <f>'Смета Внутр'!D1520</f>
        <v>1</v>
      </c>
      <c r="E1513" s="1042">
        <f>'Смета Внутр'!E1520</f>
        <v>1200</v>
      </c>
      <c r="F1513" s="1042">
        <f>'Смета Внутр'!F1520</f>
        <v>0</v>
      </c>
      <c r="G1513" s="1042">
        <f t="shared" si="64"/>
        <v>1200</v>
      </c>
      <c r="H1513" s="1042">
        <f>'Смета Внутр'!G1520</f>
        <v>1200</v>
      </c>
      <c r="I1513" s="1042">
        <f>'Смета Внутр'!H1520</f>
        <v>0</v>
      </c>
      <c r="J1513" s="1058">
        <f>'Смета Внутр'!I1520</f>
        <v>0</v>
      </c>
    </row>
    <row r="1514" spans="2:10" ht="15" customHeight="1">
      <c r="B1514" s="1042" t="str">
        <f>'Смета Внутр'!B1521</f>
        <v>лента дельта sb-60</v>
      </c>
      <c r="C1514" s="1042" t="str">
        <f>'Смета Внутр'!C1521</f>
        <v>шт</v>
      </c>
      <c r="D1514" s="1058">
        <f>'Смета Внутр'!D1521</f>
        <v>12.764966418035014</v>
      </c>
      <c r="E1514" s="1042">
        <f>'Смета Внутр'!E1521</f>
        <v>1100</v>
      </c>
      <c r="F1514" s="1042">
        <f>'Смета Внутр'!F1521</f>
        <v>0</v>
      </c>
      <c r="G1514" s="1042">
        <f t="shared" si="64"/>
        <v>1100</v>
      </c>
      <c r="H1514" s="1042">
        <f>'Смета Внутр'!G1521</f>
        <v>14041.463059838516</v>
      </c>
      <c r="I1514" s="1042">
        <f>'Смета Внутр'!H1521</f>
        <v>0</v>
      </c>
      <c r="J1514" s="1058">
        <f>'Смета Внутр'!I1521</f>
        <v>0</v>
      </c>
    </row>
    <row r="1515" spans="2:10" ht="15" customHeight="1">
      <c r="B1515" s="1042" t="str">
        <f>'Смета Внутр'!B1522</f>
        <v>проходка кровельная, канализационная</v>
      </c>
      <c r="C1515" s="1042" t="str">
        <f>'Смета Внутр'!C1522</f>
        <v>шт</v>
      </c>
      <c r="D1515" s="1058">
        <f>'Смета Внутр'!D1522</f>
        <v>0</v>
      </c>
      <c r="E1515" s="1042">
        <f>'Смета Внутр'!E1522</f>
        <v>3500</v>
      </c>
      <c r="F1515" s="1042">
        <f>'Смета Внутр'!F1522</f>
        <v>0</v>
      </c>
      <c r="G1515" s="1042">
        <f t="shared" si="64"/>
        <v>3500</v>
      </c>
      <c r="H1515" s="1042">
        <f>'Смета Внутр'!G1522</f>
        <v>0</v>
      </c>
      <c r="I1515" s="1042">
        <f>'Смета Внутр'!H1522</f>
        <v>0</v>
      </c>
      <c r="J1515" s="1058">
        <f>'Смета Внутр'!I1522</f>
        <v>0</v>
      </c>
    </row>
    <row r="1516" spans="2:10" ht="15" customHeight="1">
      <c r="B1516" s="1042" t="str">
        <f>'Смета Внутр'!B1523</f>
        <v>проходка кровельная, вентиляционная</v>
      </c>
      <c r="C1516" s="1042" t="str">
        <f>'Смета Внутр'!C1523</f>
        <v>шт</v>
      </c>
      <c r="D1516" s="1058">
        <f>'Смета Внутр'!D1523</f>
        <v>0</v>
      </c>
      <c r="E1516" s="1042">
        <f>'Смета Внутр'!E1523</f>
        <v>3500</v>
      </c>
      <c r="F1516" s="1042">
        <f>'Смета Внутр'!F1523</f>
        <v>0</v>
      </c>
      <c r="G1516" s="1042">
        <f t="shared" si="64"/>
        <v>3500</v>
      </c>
      <c r="H1516" s="1042">
        <f>'Смета Внутр'!G1523</f>
        <v>0</v>
      </c>
      <c r="I1516" s="1042">
        <f>'Смета Внутр'!H1523</f>
        <v>0</v>
      </c>
      <c r="J1516" s="1058">
        <f>'Смета Внутр'!I1523</f>
        <v>0</v>
      </c>
    </row>
    <row r="1517" spans="2:10" ht="15" customHeight="1">
      <c r="B1517" s="1042" t="str">
        <f>'Смета Внутр'!B1524</f>
        <v>проодка кровельная, труба котел</v>
      </c>
      <c r="C1517" s="1042" t="str">
        <f>'Смета Внутр'!C1524</f>
        <v>шт</v>
      </c>
      <c r="D1517" s="1058">
        <f>'Смета Внутр'!D1524</f>
        <v>0</v>
      </c>
      <c r="E1517" s="1042">
        <f>'Смета Внутр'!E1524</f>
        <v>4500</v>
      </c>
      <c r="F1517" s="1042">
        <f>'Смета Внутр'!F1524</f>
        <v>0</v>
      </c>
      <c r="G1517" s="1042">
        <f t="shared" si="64"/>
        <v>4500</v>
      </c>
      <c r="H1517" s="1042">
        <f>'Смета Внутр'!G1524</f>
        <v>0</v>
      </c>
      <c r="I1517" s="1042">
        <f>'Смета Внутр'!H1524</f>
        <v>0</v>
      </c>
      <c r="J1517" s="1058">
        <f>'Смета Внутр'!I1524</f>
        <v>0</v>
      </c>
    </row>
    <row r="1518" spans="2:10" ht="15" customHeight="1">
      <c r="B1518" s="1042" t="str">
        <f>'Смета Внутр'!B1525</f>
        <v>Кровельный саморез</v>
      </c>
      <c r="C1518" s="1042" t="str">
        <f>'Смета Внутр'!C1525</f>
        <v>шт</v>
      </c>
      <c r="D1518" s="1058">
        <f>'Смета Внутр'!D1525</f>
        <v>2297.6939552463027</v>
      </c>
      <c r="E1518" s="1042">
        <f>'Смета Внутр'!E1525</f>
        <v>2</v>
      </c>
      <c r="F1518" s="1042">
        <f>'Смета Внутр'!F1525</f>
        <v>0</v>
      </c>
      <c r="G1518" s="1042">
        <f t="shared" si="64"/>
        <v>2</v>
      </c>
      <c r="H1518" s="1042">
        <f>'Смета Внутр'!G1525</f>
        <v>4595.3879104926054</v>
      </c>
      <c r="I1518" s="1042">
        <f>'Смета Внутр'!H1525</f>
        <v>0</v>
      </c>
      <c r="J1518" s="1058">
        <f>'Смета Внутр'!I1525</f>
        <v>0</v>
      </c>
    </row>
    <row r="1519" spans="2:10" ht="15" customHeight="1">
      <c r="B1519" s="1042" t="str">
        <f>'Смета Внутр'!B1526</f>
        <v xml:space="preserve">Гвозди ершоные 3,4 x 60            </v>
      </c>
      <c r="C1519" s="1042" t="str">
        <f>'Смета Внутр'!C1526</f>
        <v>кг</v>
      </c>
      <c r="D1519" s="1058">
        <f>'Смета Внутр'!D1526</f>
        <v>36.188679795129261</v>
      </c>
      <c r="E1519" s="1042">
        <f>'Смета Внутр'!E1526</f>
        <v>75.510000000000005</v>
      </c>
      <c r="F1519" s="1042">
        <f>'Смета Внутр'!F1526</f>
        <v>0</v>
      </c>
      <c r="G1519" s="1042">
        <f t="shared" si="64"/>
        <v>75.510000000000005</v>
      </c>
      <c r="H1519" s="1042">
        <f>'Смета Внутр'!G1526</f>
        <v>2732.6072113302107</v>
      </c>
      <c r="I1519" s="1042">
        <f>'Смета Внутр'!H1526</f>
        <v>0</v>
      </c>
      <c r="J1519" s="1058">
        <f>'Смета Внутр'!I1526</f>
        <v>0</v>
      </c>
    </row>
    <row r="1520" spans="2:10" ht="15" customHeight="1">
      <c r="B1520" s="1042" t="str">
        <f>'Смета Внутр'!B1527</f>
        <v xml:space="preserve">Гвозди строительные 3,5 x 90            </v>
      </c>
      <c r="C1520" s="1042" t="str">
        <f>'Смета Внутр'!C1527</f>
        <v>кг</v>
      </c>
      <c r="D1520" s="1058">
        <f>'Смета Внутр'!D1527</f>
        <v>27.727439260317254</v>
      </c>
      <c r="E1520" s="1042">
        <f>'Смета Внутр'!E1527</f>
        <v>76.489999999999995</v>
      </c>
      <c r="F1520" s="1042">
        <f>'Смета Внутр'!F1527</f>
        <v>0</v>
      </c>
      <c r="G1520" s="1042">
        <f t="shared" si="64"/>
        <v>76.489999999999995</v>
      </c>
      <c r="H1520" s="1042">
        <f>'Смета Внутр'!G1527</f>
        <v>2120.8718290216666</v>
      </c>
      <c r="I1520" s="1042">
        <f>'Смета Внутр'!H1527</f>
        <v>0</v>
      </c>
      <c r="J1520" s="1058">
        <f>'Смета Внутр'!I1527</f>
        <v>0</v>
      </c>
    </row>
    <row r="1521" spans="2:10" ht="15" customHeight="1">
      <c r="B1521" s="1042" t="str">
        <f>'Смета Внутр'!B1528</f>
        <v xml:space="preserve">Пластина соеденительная 100х240х2           </v>
      </c>
      <c r="C1521" s="1042" t="str">
        <f>'Смета Внутр'!C1528</f>
        <v>шт</v>
      </c>
      <c r="D1521" s="1058">
        <f>'Смета Внутр'!D1528</f>
        <v>27.353499467217887</v>
      </c>
      <c r="E1521" s="1042">
        <f>'Смета Внутр'!E1528</f>
        <v>31.54</v>
      </c>
      <c r="F1521" s="1042">
        <f>'Смета Внутр'!F1528</f>
        <v>0</v>
      </c>
      <c r="G1521" s="1042">
        <f t="shared" si="64"/>
        <v>31.54</v>
      </c>
      <c r="H1521" s="1042">
        <f>'Смета Внутр'!G1528</f>
        <v>862.72937319605217</v>
      </c>
      <c r="I1521" s="1042">
        <f>'Смета Внутр'!H1528</f>
        <v>0</v>
      </c>
      <c r="J1521" s="1058">
        <f>'Смета Внутр'!I1528</f>
        <v>0</v>
      </c>
    </row>
    <row r="1522" spans="2:10" ht="15" customHeight="1">
      <c r="B1522" s="1042" t="str">
        <f>'Смета Внутр'!B1529</f>
        <v xml:space="preserve">Уголок усиленный 90х70х55х2,5        </v>
      </c>
      <c r="C1522" s="1042" t="str">
        <f>'Смета Внутр'!C1529</f>
        <v>шт</v>
      </c>
      <c r="D1522" s="1058">
        <f>'Смета Внутр'!D1529</f>
        <v>382.94899254105042</v>
      </c>
      <c r="E1522" s="1042">
        <f>'Смета Внутр'!E1529</f>
        <v>30</v>
      </c>
      <c r="F1522" s="1042">
        <f>'Смета Внутр'!F1529</f>
        <v>0</v>
      </c>
      <c r="G1522" s="1042">
        <f t="shared" si="64"/>
        <v>30</v>
      </c>
      <c r="H1522" s="1042">
        <f>'Смета Внутр'!G1529</f>
        <v>11488.469776231512</v>
      </c>
      <c r="I1522" s="1042">
        <f>'Смета Внутр'!H1529</f>
        <v>0</v>
      </c>
      <c r="J1522" s="1058">
        <f>'Смета Внутр'!I1529</f>
        <v>0</v>
      </c>
    </row>
    <row r="1523" spans="2:10">
      <c r="B1523" s="3330" t="str">
        <f>'Смета Внутр'!B1530</f>
        <v>Итого материалы</v>
      </c>
      <c r="C1523" s="3330"/>
      <c r="D1523" s="3330"/>
      <c r="E1523" s="3330"/>
      <c r="F1523" s="3330"/>
      <c r="G1523" s="3330"/>
      <c r="H1523" s="1042">
        <f>'Смета Внутр'!G1530</f>
        <v>0</v>
      </c>
      <c r="I1523" s="1042">
        <f>'Смета Внутр'!H1530</f>
        <v>0</v>
      </c>
      <c r="J1523" s="1058">
        <f>'Смета Внутр'!I1530</f>
        <v>0</v>
      </c>
    </row>
    <row r="1524" spans="2:10" ht="15" customHeight="1">
      <c r="B1524" s="3002" t="str">
        <f>'Смета Внутр'!B1531</f>
        <v>Работы</v>
      </c>
      <c r="D1524" s="1167"/>
      <c r="H1524">
        <f>'Смета Внутр'!G1531</f>
        <v>0</v>
      </c>
      <c r="I1524">
        <f>'Смета Внутр'!H1531</f>
        <v>0</v>
      </c>
      <c r="J1524" s="3027">
        <f>'Смета Внутр'!I1531</f>
        <v>0</v>
      </c>
    </row>
    <row r="1525" spans="2:10" ht="15" customHeight="1">
      <c r="B1525" s="1042" t="str">
        <f>'Смета Внутр'!B1532</f>
        <v>монтаж мауэрлат</v>
      </c>
      <c r="C1525" s="1042" t="str">
        <f>'Смета Внутр'!C1532</f>
        <v>м.п.</v>
      </c>
      <c r="D1525" s="1058">
        <f>'Смета Внутр'!D1532</f>
        <v>40</v>
      </c>
      <c r="E1525" s="1042">
        <f>'Смета Внутр'!E1532</f>
        <v>250</v>
      </c>
      <c r="F1525" s="1042">
        <f>'Смета Внутр'!F1532</f>
        <v>0</v>
      </c>
      <c r="G1525" s="1042">
        <f t="shared" ref="G1525:G1540" si="65">IF(E1525&gt;F1525,E1525,F1525)</f>
        <v>250</v>
      </c>
      <c r="H1525" s="1042">
        <f>'Смета Внутр'!G1532</f>
        <v>10000</v>
      </c>
      <c r="I1525" s="1042">
        <f>'Смета Внутр'!H1532</f>
        <v>0</v>
      </c>
      <c r="J1525" s="1058">
        <f>'Смета Внутр'!I1532</f>
        <v>0</v>
      </c>
    </row>
    <row r="1526" spans="2:10" ht="15" customHeight="1">
      <c r="B1526" s="1042" t="str">
        <f>'Смета Внутр'!B1533</f>
        <v>монтаж стропил</v>
      </c>
      <c r="C1526" s="1042" t="str">
        <f>'Смета Внутр'!C1533</f>
        <v>м2</v>
      </c>
      <c r="D1526" s="1058">
        <f>'Смета Внутр'!D1533</f>
        <v>191.47449627052521</v>
      </c>
      <c r="E1526" s="1042">
        <f>'Смета Внутр'!E1533</f>
        <v>450</v>
      </c>
      <c r="F1526" s="1042">
        <f>'Смета Внутр'!F1533</f>
        <v>0</v>
      </c>
      <c r="G1526" s="1042">
        <f t="shared" si="65"/>
        <v>450</v>
      </c>
      <c r="H1526" s="1042">
        <f>'Смета Внутр'!G1533</f>
        <v>86163.523321736342</v>
      </c>
      <c r="I1526" s="1042">
        <f>'Смета Внутр'!H1533</f>
        <v>0</v>
      </c>
      <c r="J1526" s="1058">
        <f>'Смета Внутр'!I1533</f>
        <v>0</v>
      </c>
    </row>
    <row r="1527" spans="2:10" ht="15" customHeight="1">
      <c r="B1527" s="1042" t="str">
        <f>'Смета Внутр'!B1534</f>
        <v>обрешетка</v>
      </c>
      <c r="C1527" s="1042" t="str">
        <f>'Смета Внутр'!C1534</f>
        <v>м2</v>
      </c>
      <c r="D1527" s="1058">
        <f>'Смета Внутр'!D1534</f>
        <v>191.47449627052521</v>
      </c>
      <c r="E1527" s="1042">
        <f>'Смета Внутр'!E1534</f>
        <v>100</v>
      </c>
      <c r="F1527" s="1042">
        <f>'Смета Внутр'!F1534</f>
        <v>0</v>
      </c>
      <c r="G1527" s="1042">
        <f t="shared" si="65"/>
        <v>100</v>
      </c>
      <c r="H1527" s="1042">
        <f>'Смета Внутр'!G1534</f>
        <v>19147.44962705252</v>
      </c>
      <c r="I1527" s="1042">
        <f>'Смета Внутр'!H1534</f>
        <v>0</v>
      </c>
      <c r="J1527" s="1058">
        <f>'Смета Внутр'!I1534</f>
        <v>0</v>
      </c>
    </row>
    <row r="1528" spans="2:10" ht="15" customHeight="1">
      <c r="B1528" s="1042" t="str">
        <f>'Смета Внутр'!B1535</f>
        <v>контробеш</v>
      </c>
      <c r="C1528" s="1042" t="str">
        <f>'Смета Внутр'!C1535</f>
        <v>м2</v>
      </c>
      <c r="D1528" s="1058">
        <f>'Смета Внутр'!D1535</f>
        <v>191.47449627052521</v>
      </c>
      <c r="E1528" s="1042">
        <f>'Смета Внутр'!E1535</f>
        <v>100</v>
      </c>
      <c r="F1528" s="1042">
        <f>'Смета Внутр'!F1535</f>
        <v>0</v>
      </c>
      <c r="G1528" s="1042">
        <f t="shared" si="65"/>
        <v>100</v>
      </c>
      <c r="H1528" s="1042">
        <f>'Смета Внутр'!G1535</f>
        <v>19147.44962705252</v>
      </c>
      <c r="I1528" s="1042">
        <f>'Смета Внутр'!H1535</f>
        <v>0</v>
      </c>
      <c r="J1528" s="1058">
        <f>'Смета Внутр'!I1535</f>
        <v>0</v>
      </c>
    </row>
    <row r="1529" spans="2:10" ht="15" customHeight="1">
      <c r="B1529" s="1042" t="str">
        <f>'Смета Внутр'!B1536</f>
        <v>мембрана</v>
      </c>
      <c r="C1529" s="1042" t="str">
        <f>'Смета Внутр'!C1536</f>
        <v>м2</v>
      </c>
      <c r="D1529" s="1058">
        <f>'Смета Внутр'!D1536</f>
        <v>191.47449627052521</v>
      </c>
      <c r="E1529" s="1042">
        <f>'Смета Внутр'!E1536</f>
        <v>100</v>
      </c>
      <c r="F1529" s="1042">
        <f>'Смета Внутр'!F1536</f>
        <v>0</v>
      </c>
      <c r="G1529" s="1042">
        <f t="shared" si="65"/>
        <v>100</v>
      </c>
      <c r="H1529" s="1042">
        <f>'Смета Внутр'!G1536</f>
        <v>19147.44962705252</v>
      </c>
      <c r="I1529" s="1042">
        <f>'Смета Внутр'!H1536</f>
        <v>0</v>
      </c>
      <c r="J1529" s="1058">
        <f>'Смета Внутр'!I1536</f>
        <v>0</v>
      </c>
    </row>
    <row r="1530" spans="2:10" ht="15" customHeight="1">
      <c r="B1530" s="1042" t="str">
        <f>'Смета Внутр'!B1537</f>
        <v>пароизоляц</v>
      </c>
      <c r="C1530" s="1042" t="str">
        <f>'Смета Внутр'!C1537</f>
        <v>м2</v>
      </c>
      <c r="D1530" s="1058">
        <f>'Смета Внутр'!D1537</f>
        <v>191.47449627052521</v>
      </c>
      <c r="E1530" s="1042">
        <f>'Смета Внутр'!E1537</f>
        <v>100</v>
      </c>
      <c r="F1530" s="1042">
        <f>'Смета Внутр'!F1537</f>
        <v>0</v>
      </c>
      <c r="G1530" s="1042">
        <f t="shared" si="65"/>
        <v>100</v>
      </c>
      <c r="H1530" s="1042">
        <f>'Смета Внутр'!G1537</f>
        <v>19147.44962705252</v>
      </c>
      <c r="I1530" s="1042">
        <f>'Смета Внутр'!H1537</f>
        <v>0</v>
      </c>
      <c r="J1530" s="1058">
        <f>'Смета Внутр'!I1537</f>
        <v>0</v>
      </c>
    </row>
    <row r="1531" spans="2:10" ht="15" customHeight="1">
      <c r="B1531" s="1042" t="str">
        <f>'Смета Внутр'!B1538</f>
        <v>утеплитель</v>
      </c>
      <c r="C1531" s="1042" t="str">
        <f>'Смета Внутр'!C1538</f>
        <v>м2</v>
      </c>
      <c r="D1531" s="1058">
        <f>'Смета Внутр'!D1538</f>
        <v>191.47449627052521</v>
      </c>
      <c r="E1531" s="1042">
        <f>'Смета Внутр'!E1538</f>
        <v>200</v>
      </c>
      <c r="F1531" s="1042">
        <f>'Смета Внутр'!F1538</f>
        <v>0</v>
      </c>
      <c r="G1531" s="1042">
        <f t="shared" si="65"/>
        <v>200</v>
      </c>
      <c r="H1531" s="1042">
        <f>'Смета Внутр'!G1538</f>
        <v>38294.899254105039</v>
      </c>
      <c r="I1531" s="1042">
        <f>'Смета Внутр'!H1538</f>
        <v>0</v>
      </c>
      <c r="J1531" s="1058">
        <f>'Смета Внутр'!I1538</f>
        <v>0</v>
      </c>
    </row>
    <row r="1532" spans="2:10" ht="15" customHeight="1">
      <c r="B1532" s="1042" t="str">
        <f>'Смета Внутр'!B1539</f>
        <v>Монтаж металлочерепицы</v>
      </c>
      <c r="C1532" s="1042" t="str">
        <f>'Смета Внутр'!C1539</f>
        <v>м2</v>
      </c>
      <c r="D1532" s="1058">
        <f>'Смета Внутр'!D1539</f>
        <v>174.06772388229564</v>
      </c>
      <c r="E1532" s="1042">
        <f>'Смета Внутр'!E1539</f>
        <v>300</v>
      </c>
      <c r="F1532" s="1042">
        <f>'Смета Внутр'!F1539</f>
        <v>0</v>
      </c>
      <c r="G1532" s="1042">
        <f t="shared" si="65"/>
        <v>300</v>
      </c>
      <c r="H1532" s="1042">
        <f>'Смета Внутр'!G1539</f>
        <v>52220.317164688691</v>
      </c>
      <c r="I1532" s="1042">
        <f>'Смета Внутр'!H1539</f>
        <v>0</v>
      </c>
      <c r="J1532" s="1058">
        <f>'Смета Внутр'!I1539</f>
        <v>0</v>
      </c>
    </row>
    <row r="1533" spans="2:10" ht="15" customHeight="1">
      <c r="B1533" s="1042" t="str">
        <f>'Смета Внутр'!B1540</f>
        <v>Монтаж ондулина</v>
      </c>
      <c r="C1533" s="1042" t="str">
        <f>'Смета Внутр'!C1540</f>
        <v>м2</v>
      </c>
      <c r="D1533" s="1058">
        <f>'Смета Внутр'!D1540</f>
        <v>0</v>
      </c>
      <c r="E1533" s="1042">
        <f>'Смета Внутр'!E1540</f>
        <v>300</v>
      </c>
      <c r="F1533" s="1042">
        <f>'Смета Внутр'!F1540</f>
        <v>0</v>
      </c>
      <c r="G1533" s="1042">
        <f t="shared" si="65"/>
        <v>300</v>
      </c>
      <c r="H1533" s="1042">
        <f>'Смета Внутр'!G1540</f>
        <v>0</v>
      </c>
      <c r="I1533" s="1042">
        <f>'Смета Внутр'!H1540</f>
        <v>0</v>
      </c>
      <c r="J1533" s="1058">
        <f>'Смета Внутр'!I1540</f>
        <v>0</v>
      </c>
    </row>
    <row r="1534" spans="2:10" ht="15" customHeight="1">
      <c r="B1534" s="1042" t="str">
        <f>'Смета Внутр'!B1541</f>
        <v>капельник планка</v>
      </c>
      <c r="C1534" s="1042" t="str">
        <f>'Смета Внутр'!C1541</f>
        <v>м.п.</v>
      </c>
      <c r="D1534" s="1058">
        <f>'Смета Внутр'!D1541</f>
        <v>88</v>
      </c>
      <c r="E1534" s="1042">
        <f>'Смета Внутр'!E1541</f>
        <v>100</v>
      </c>
      <c r="F1534" s="1042">
        <f>'Смета Внутр'!F1541</f>
        <v>0</v>
      </c>
      <c r="G1534" s="1042">
        <f t="shared" si="65"/>
        <v>100</v>
      </c>
      <c r="H1534" s="1042">
        <f>'Смета Внутр'!G1541</f>
        <v>8800</v>
      </c>
      <c r="I1534" s="1042">
        <f>'Смета Внутр'!H1541</f>
        <v>0</v>
      </c>
      <c r="J1534" s="1058">
        <f>'Смета Внутр'!I1541</f>
        <v>0</v>
      </c>
    </row>
    <row r="1535" spans="2:10" ht="15" customHeight="1">
      <c r="B1535" s="1042" t="str">
        <f>'Смета Внутр'!B1542</f>
        <v>желоб водосточный</v>
      </c>
      <c r="C1535" s="1042" t="str">
        <f>'Смета Внутр'!C1542</f>
        <v>м.п.</v>
      </c>
      <c r="D1535" s="1058">
        <f>'Смета Внутр'!D1542</f>
        <v>42</v>
      </c>
      <c r="E1535" s="1042">
        <f>'Смета Внутр'!E1542</f>
        <v>300</v>
      </c>
      <c r="F1535" s="1042">
        <f>'Смета Внутр'!F1542</f>
        <v>0</v>
      </c>
      <c r="G1535" s="1042">
        <f t="shared" si="65"/>
        <v>300</v>
      </c>
      <c r="H1535" s="1042">
        <f>'Смета Внутр'!G1542</f>
        <v>12600</v>
      </c>
      <c r="I1535" s="1042">
        <f>'Смета Внутр'!H1542</f>
        <v>0</v>
      </c>
      <c r="J1535" s="1058">
        <f>'Смета Внутр'!I1542</f>
        <v>0</v>
      </c>
    </row>
    <row r="1536" spans="2:10" ht="15" customHeight="1">
      <c r="B1536" s="1042" t="str">
        <f>'Смета Внутр'!B1543</f>
        <v>труба водосточная</v>
      </c>
      <c r="C1536" s="1042" t="str">
        <f>'Смета Внутр'!C1543</f>
        <v>м.п.</v>
      </c>
      <c r="D1536" s="1058">
        <f>'Смета Внутр'!D1543</f>
        <v>6.6000000000000005</v>
      </c>
      <c r="E1536" s="1042">
        <f>'Смета Внутр'!E1543</f>
        <v>300</v>
      </c>
      <c r="F1536" s="1042">
        <f>'Смета Внутр'!F1543</f>
        <v>0</v>
      </c>
      <c r="G1536" s="1042">
        <f t="shared" si="65"/>
        <v>300</v>
      </c>
      <c r="H1536" s="1042">
        <f>'Смета Внутр'!G1543</f>
        <v>1980.0000000000002</v>
      </c>
      <c r="I1536" s="1042">
        <f>'Смета Внутр'!H1543</f>
        <v>0</v>
      </c>
      <c r="J1536" s="1058">
        <f>'Смета Внутр'!I1543</f>
        <v>0</v>
      </c>
    </row>
    <row r="1537" spans="2:10" ht="15" customHeight="1">
      <c r="B1537" s="1042" t="str">
        <f>'Смета Внутр'!B1544</f>
        <v>конек</v>
      </c>
      <c r="C1537" s="1042" t="str">
        <f>'Смета Внутр'!C1544</f>
        <v>м.п.</v>
      </c>
      <c r="D1537" s="1058">
        <f>'Смета Внутр'!D1544</f>
        <v>39.350000802913002</v>
      </c>
      <c r="E1537" s="1042">
        <f>'Смета Внутр'!E1544</f>
        <v>300</v>
      </c>
      <c r="F1537" s="1042">
        <f>'Смета Внутр'!F1544</f>
        <v>0</v>
      </c>
      <c r="G1537" s="1042">
        <f t="shared" si="65"/>
        <v>300</v>
      </c>
      <c r="H1537" s="1042">
        <f>'Смета Внутр'!G1544</f>
        <v>11805.0002408739</v>
      </c>
      <c r="I1537" s="1042">
        <f>'Смета Внутр'!H1544</f>
        <v>0</v>
      </c>
      <c r="J1537" s="1058">
        <f>'Смета Внутр'!I1544</f>
        <v>0</v>
      </c>
    </row>
    <row r="1538" spans="2:10" ht="15" customHeight="1">
      <c r="B1538" s="1042" t="str">
        <f>'Смета Внутр'!B1545</f>
        <v>Монтаж фанеры/osb</v>
      </c>
      <c r="C1538" s="1042" t="str">
        <f>'Смета Внутр'!C1545</f>
        <v>м2</v>
      </c>
      <c r="D1538" s="1058">
        <f>'Смета Внутр'!D1545</f>
        <v>0</v>
      </c>
      <c r="E1538" s="1042">
        <f>'Смета Внутр'!E1545</f>
        <v>200</v>
      </c>
      <c r="F1538" s="1042">
        <f>'Смета Внутр'!F1545</f>
        <v>0</v>
      </c>
      <c r="G1538" s="1042">
        <f t="shared" si="65"/>
        <v>200</v>
      </c>
      <c r="H1538" s="1042">
        <f>'Смета Внутр'!G1545</f>
        <v>0</v>
      </c>
      <c r="I1538" s="1042">
        <f>'Смета Внутр'!H1545</f>
        <v>0</v>
      </c>
      <c r="J1538" s="1058">
        <f>'Смета Внутр'!I1545</f>
        <v>0</v>
      </c>
    </row>
    <row r="1539" spans="2:10" ht="15" customHeight="1">
      <c r="B1539" s="1042" t="str">
        <f>'Смета Внутр'!B1546</f>
        <v>монтаж подкладочного ковра</v>
      </c>
      <c r="C1539" s="1042" t="str">
        <f>'Смета Внутр'!C1546</f>
        <v>м2</v>
      </c>
      <c r="D1539" s="1058">
        <f>'Смета Внутр'!D1546</f>
        <v>0</v>
      </c>
      <c r="E1539" s="1042">
        <f>'Смета Внутр'!E1546</f>
        <v>150</v>
      </c>
      <c r="F1539" s="1042">
        <f>'Смета Внутр'!F1546</f>
        <v>0</v>
      </c>
      <c r="G1539" s="1042">
        <f t="shared" si="65"/>
        <v>150</v>
      </c>
      <c r="H1539" s="1042">
        <f>'Смета Внутр'!G1546</f>
        <v>0</v>
      </c>
      <c r="I1539" s="1042">
        <f>'Смета Внутр'!H1546</f>
        <v>0</v>
      </c>
      <c r="J1539" s="1058">
        <f>'Смета Внутр'!I1546</f>
        <v>0</v>
      </c>
    </row>
    <row r="1540" spans="2:10" ht="15" customHeight="1">
      <c r="B1540" s="1042" t="str">
        <f>'Смета Внутр'!B1547</f>
        <v>Монтаж мягкой кровли</v>
      </c>
      <c r="C1540" s="1042" t="str">
        <f>'Смета Внутр'!C1547</f>
        <v>м2</v>
      </c>
      <c r="D1540" s="1058">
        <f>'Смета Внутр'!D1547</f>
        <v>0</v>
      </c>
      <c r="E1540" s="1042">
        <f>'Смета Внутр'!E1547</f>
        <v>350</v>
      </c>
      <c r="F1540" s="1042">
        <f>'Смета Внутр'!F1547</f>
        <v>0</v>
      </c>
      <c r="G1540" s="1042">
        <f t="shared" si="65"/>
        <v>350</v>
      </c>
      <c r="H1540" s="1042">
        <f>'Смета Внутр'!G1547</f>
        <v>0</v>
      </c>
      <c r="I1540" s="1042">
        <f>'Смета Внутр'!H1547</f>
        <v>0</v>
      </c>
      <c r="J1540" s="1058">
        <f>'Смета Внутр'!I1547</f>
        <v>0</v>
      </c>
    </row>
    <row r="1541" spans="2:10" ht="15" customHeight="1">
      <c r="B1541" s="3330" t="str">
        <f>'Смета Внутр'!B1548</f>
        <v>Итого работы</v>
      </c>
      <c r="C1541" s="3330"/>
      <c r="D1541" s="3330"/>
      <c r="E1541" s="3330"/>
      <c r="F1541" s="3330"/>
      <c r="G1541" s="3330"/>
      <c r="H1541" s="1042">
        <f>'Смета Внутр'!G1548</f>
        <v>0</v>
      </c>
      <c r="I1541" s="1042">
        <f>'Смета Внутр'!H1548</f>
        <v>0</v>
      </c>
      <c r="J1541" s="1058">
        <f>'Смета Внутр'!I1548</f>
        <v>0</v>
      </c>
    </row>
    <row r="1542" spans="2:10" ht="15" customHeight="1">
      <c r="B1542" s="3329" t="str">
        <f>'Смета Внутр'!B1549</f>
        <v>Кровля Вальмовая ломаная</v>
      </c>
      <c r="C1542" s="3329"/>
      <c r="D1542" s="3329"/>
      <c r="H1542">
        <f>'Смета Внутр'!G1549</f>
        <v>0</v>
      </c>
      <c r="I1542">
        <f>'Смета Внутр'!H1549</f>
        <v>0</v>
      </c>
      <c r="J1542" s="3027">
        <f>'Смета Внутр'!I1549</f>
        <v>0</v>
      </c>
    </row>
    <row r="1543" spans="2:10" ht="15" customHeight="1">
      <c r="B1543" s="3002" t="str">
        <f>'Смета Внутр'!B1550</f>
        <v>Материалы</v>
      </c>
      <c r="D1543" s="1167"/>
      <c r="H1543">
        <f>'Смета Внутр'!G1550</f>
        <v>0</v>
      </c>
      <c r="I1543">
        <f>'Смета Внутр'!H1550</f>
        <v>0</v>
      </c>
      <c r="J1543" s="3027">
        <f>'Смета Внутр'!I1550</f>
        <v>0</v>
      </c>
    </row>
    <row r="1544" spans="2:10" ht="15" customHeight="1">
      <c r="B1544" s="1042" t="str">
        <f>'Смета Внутр'!B1551</f>
        <v>нет</v>
      </c>
      <c r="C1544" s="1042" t="str">
        <f>'Смета Внутр'!C1551</f>
        <v>м3</v>
      </c>
      <c r="D1544" s="1058">
        <f>'Смета Внутр'!D1551</f>
        <v>0</v>
      </c>
      <c r="E1544" s="1042">
        <f>'Смета Внутр'!E1551</f>
        <v>0</v>
      </c>
      <c r="F1544" s="1042">
        <f>'Смета Внутр'!F1551</f>
        <v>0</v>
      </c>
      <c r="G1544" s="1042">
        <f t="shared" ref="G1544:G1575" si="66">IF(E1544&gt;F1544,E1544,F1544)</f>
        <v>0</v>
      </c>
      <c r="H1544" s="1042">
        <f>'Смета Внутр'!G1551</f>
        <v>0</v>
      </c>
      <c r="I1544" s="1042">
        <f>'Смета Внутр'!H1551</f>
        <v>0</v>
      </c>
      <c r="J1544" s="1058">
        <f>'Смета Внутр'!I1551</f>
        <v>0</v>
      </c>
    </row>
    <row r="1545" spans="2:10" ht="15" customHeight="1">
      <c r="B1545" s="1042" t="str">
        <f>'Смета Внутр'!B1552</f>
        <v xml:space="preserve">Болты анкерные с гайкой 12,0 х 280          </v>
      </c>
      <c r="C1545" s="1042" t="str">
        <f>'Смета Внутр'!C1552</f>
        <v>шт</v>
      </c>
      <c r="D1545" s="1058">
        <f>'Смета Внутр'!D1552</f>
        <v>139.09265127310908</v>
      </c>
      <c r="E1545" s="1042">
        <f>'Смета Внутр'!E1552</f>
        <v>27.1</v>
      </c>
      <c r="F1545" s="1042">
        <f>'Смета Внутр'!F1552</f>
        <v>0</v>
      </c>
      <c r="G1545" s="1042">
        <f t="shared" si="66"/>
        <v>27.1</v>
      </c>
      <c r="H1545" s="1042">
        <f>'Смета Внутр'!G1552</f>
        <v>3769.4108495012565</v>
      </c>
      <c r="I1545" s="1042">
        <f>'Смета Внутр'!H1552</f>
        <v>0</v>
      </c>
      <c r="J1545" s="1058">
        <f>'Смета Внутр'!I1552</f>
        <v>0</v>
      </c>
    </row>
    <row r="1546" spans="2:10" ht="15" customHeight="1">
      <c r="B1546" s="1042" t="str">
        <f>'Смета Внутр'!B1553</f>
        <v>Доска сырая, 150*50мм</v>
      </c>
      <c r="C1546" s="1042" t="str">
        <f>'Смета Внутр'!C1553</f>
        <v>м3</v>
      </c>
      <c r="D1546" s="1058">
        <f>'Смета Внутр'!D1553</f>
        <v>4.6833157486435848</v>
      </c>
      <c r="E1546" s="1042">
        <f>'Смета Внутр'!E1553</f>
        <v>6500</v>
      </c>
      <c r="F1546" s="1042">
        <f>'Смета Внутр'!F1553</f>
        <v>0</v>
      </c>
      <c r="G1546" s="1042">
        <f t="shared" si="66"/>
        <v>6500</v>
      </c>
      <c r="H1546" s="1042">
        <f>'Смета Внутр'!G1553</f>
        <v>30441.552366183299</v>
      </c>
      <c r="I1546" s="1042">
        <f>'Смета Внутр'!H1553</f>
        <v>0</v>
      </c>
      <c r="J1546" s="1058">
        <f>'Смета Внутр'!I1553</f>
        <v>0</v>
      </c>
    </row>
    <row r="1547" spans="2:10" ht="15" customHeight="1">
      <c r="B1547" s="1042" t="str">
        <f>'Смета Внутр'!B1554</f>
        <v xml:space="preserve">бугель, доска </v>
      </c>
      <c r="C1547" s="1042" t="str">
        <f>'Смета Внутр'!C1554</f>
        <v>м3</v>
      </c>
      <c r="D1547" s="1058">
        <f>'Смета Внутр'!D1554</f>
        <v>0.495</v>
      </c>
      <c r="E1547" s="1042">
        <f>'Смета Внутр'!E1554</f>
        <v>6500</v>
      </c>
      <c r="F1547" s="1042">
        <f>'Смета Внутр'!F1554</f>
        <v>0</v>
      </c>
      <c r="G1547" s="1042">
        <f t="shared" si="66"/>
        <v>6500</v>
      </c>
      <c r="H1547" s="1042">
        <f>'Смета Внутр'!G1554</f>
        <v>3217.5</v>
      </c>
      <c r="I1547" s="1042">
        <f>'Смета Внутр'!H1554</f>
        <v>0</v>
      </c>
      <c r="J1547" s="1058">
        <f>'Смета Внутр'!I1554</f>
        <v>0</v>
      </c>
    </row>
    <row r="1548" spans="2:10" ht="15" customHeight="1">
      <c r="B1548" s="1042" t="str">
        <f>'Смета Внутр'!B1555</f>
        <v>стойка под конек</v>
      </c>
      <c r="C1548" s="1042" t="str">
        <f>'Смета Внутр'!C1555</f>
        <v>м3</v>
      </c>
      <c r="D1548" s="1058">
        <f>'Смета Внутр'!D1555</f>
        <v>0.15</v>
      </c>
      <c r="E1548" s="1042">
        <f>'Смета Внутр'!E1555</f>
        <v>6500</v>
      </c>
      <c r="F1548" s="1042">
        <f>'Смета Внутр'!F1555</f>
        <v>0</v>
      </c>
      <c r="G1548" s="1042">
        <f t="shared" si="66"/>
        <v>6500</v>
      </c>
      <c r="H1548" s="1042">
        <f>'Смета Внутр'!G1555</f>
        <v>975</v>
      </c>
      <c r="I1548" s="1042">
        <f>'Смета Внутр'!H1555</f>
        <v>0</v>
      </c>
      <c r="J1548" s="1058">
        <f>'Смета Внутр'!I1555</f>
        <v>0</v>
      </c>
    </row>
    <row r="1549" spans="2:10" ht="15" customHeight="1">
      <c r="B1549" s="1042" t="str">
        <f>'Смета Внутр'!B1556</f>
        <v>Сосна влаж,100*25мм</v>
      </c>
      <c r="C1549" s="1042" t="str">
        <f>'Смета Внутр'!C1556</f>
        <v>м3</v>
      </c>
      <c r="D1549" s="1058">
        <f>'Смета Внутр'!D1556</f>
        <v>2.3188937286671267</v>
      </c>
      <c r="E1549" s="1042">
        <f>'Смета Внутр'!E1556</f>
        <v>6500</v>
      </c>
      <c r="F1549" s="1042">
        <f>'Смета Внутр'!F1556</f>
        <v>0</v>
      </c>
      <c r="G1549" s="1042">
        <f t="shared" si="66"/>
        <v>6500</v>
      </c>
      <c r="H1549" s="1042">
        <f>'Смета Внутр'!G1556</f>
        <v>15072.809236336323</v>
      </c>
      <c r="I1549" s="1042">
        <f>'Смета Внутр'!H1556</f>
        <v>0</v>
      </c>
      <c r="J1549" s="1058">
        <f>'Смета Внутр'!I1556</f>
        <v>0</v>
      </c>
    </row>
    <row r="1550" spans="2:10" ht="15" customHeight="1">
      <c r="B1550" s="1042" t="str">
        <f>'Смета Внутр'!B1557</f>
        <v>Доска сухая, калибр., 35*45мм</v>
      </c>
      <c r="C1550" s="1042" t="str">
        <f>'Смета Внутр'!C1557</f>
        <v>м3</v>
      </c>
      <c r="D1550" s="1058">
        <f>'Смета Внутр'!D1557</f>
        <v>0.87404455926683999</v>
      </c>
      <c r="E1550" s="1042">
        <f>'Смета Внутр'!E1557</f>
        <v>12500</v>
      </c>
      <c r="F1550" s="1042">
        <f>'Смета Внутр'!F1557</f>
        <v>0</v>
      </c>
      <c r="G1550" s="1042">
        <f t="shared" si="66"/>
        <v>12500</v>
      </c>
      <c r="H1550" s="1042">
        <f>'Смета Внутр'!G1557</f>
        <v>10925.556990835499</v>
      </c>
      <c r="I1550" s="1042">
        <f>'Смета Внутр'!H1557</f>
        <v>0</v>
      </c>
      <c r="J1550" s="1058">
        <f>'Смета Внутр'!I1557</f>
        <v>0</v>
      </c>
    </row>
    <row r="1551" spans="2:10" ht="15" customHeight="1">
      <c r="B1551" s="1042" t="str">
        <f>'Смета Внутр'!B1558</f>
        <v>Мембраны  Tyvek Housewrap</v>
      </c>
      <c r="C1551" s="1042" t="str">
        <f>'Смета Внутр'!C1558</f>
        <v>м2</v>
      </c>
      <c r="D1551" s="1058">
        <f>'Смета Внутр'!D1558</f>
        <v>332.9693559111771</v>
      </c>
      <c r="E1551" s="1042">
        <f>'Смета Внутр'!E1558</f>
        <v>90</v>
      </c>
      <c r="F1551" s="1042">
        <f>'Смета Внутр'!F1558</f>
        <v>0</v>
      </c>
      <c r="G1551" s="1042">
        <f t="shared" si="66"/>
        <v>90</v>
      </c>
      <c r="H1551" s="1042">
        <f>'Смета Внутр'!G1558</f>
        <v>29967.242032005939</v>
      </c>
      <c r="I1551" s="1042">
        <f>'Смета Внутр'!H1558</f>
        <v>0</v>
      </c>
      <c r="J1551" s="1058">
        <f>'Смета Внутр'!I1558</f>
        <v>0</v>
      </c>
    </row>
    <row r="1552" spans="2:10" ht="15" customHeight="1">
      <c r="B1552" s="1042" t="str">
        <f>'Смета Внутр'!B1559</f>
        <v>Мембрана Tyvek AirGuard Reflective</v>
      </c>
      <c r="C1552" s="1042" t="str">
        <f>'Смета Внутр'!C1559</f>
        <v>м2</v>
      </c>
      <c r="D1552" s="1058">
        <f>'Смета Внутр'!D1559</f>
        <v>332.9693559111771</v>
      </c>
      <c r="E1552" s="1042">
        <f>'Смета Внутр'!E1559</f>
        <v>174</v>
      </c>
      <c r="F1552" s="1042">
        <f>'Смета Внутр'!F1559</f>
        <v>0</v>
      </c>
      <c r="G1552" s="1042">
        <f t="shared" si="66"/>
        <v>174</v>
      </c>
      <c r="H1552" s="1042">
        <f>'Смета Внутр'!G1559</f>
        <v>57936.667928544819</v>
      </c>
      <c r="I1552" s="1042">
        <f>'Смета Внутр'!H1559</f>
        <v>0</v>
      </c>
      <c r="J1552" s="1058">
        <f>'Смета Внутр'!I1559</f>
        <v>0</v>
      </c>
    </row>
    <row r="1553" spans="2:10" ht="15" customHeight="1">
      <c r="B1553" s="1042" t="str">
        <f>'Смета Внутр'!B1560</f>
        <v>Плитный,28кг/м3, технониколь, 50мм</v>
      </c>
      <c r="C1553" s="1042" t="str">
        <f>'Смета Внутр'!C1560</f>
        <v>м3</v>
      </c>
      <c r="D1553" s="1058">
        <f>'Смета Внутр'!D1560</f>
        <v>11.89176271111347</v>
      </c>
      <c r="E1553" s="1042">
        <f>'Смета Внутр'!E1560</f>
        <v>1700</v>
      </c>
      <c r="F1553" s="1042">
        <f>'Смета Внутр'!F1560</f>
        <v>0</v>
      </c>
      <c r="G1553" s="1042">
        <f t="shared" si="66"/>
        <v>1700</v>
      </c>
      <c r="H1553" s="1042">
        <f>'Смета Внутр'!G1560</f>
        <v>20215.9966088929</v>
      </c>
      <c r="I1553" s="1042">
        <f>'Смета Внутр'!H1560</f>
        <v>0</v>
      </c>
      <c r="J1553" s="1058">
        <f>'Смета Внутр'!I1560</f>
        <v>0</v>
      </c>
    </row>
    <row r="1554" spans="2:10" ht="15" customHeight="1">
      <c r="B1554" s="1042" t="str">
        <f>'Смета Внутр'!B1561</f>
        <v>металлочерепица</v>
      </c>
      <c r="C1554" s="1042" t="str">
        <f>'Смета Внутр'!C1561</f>
        <v>м2</v>
      </c>
      <c r="D1554" s="1058">
        <f>'Смета Внутр'!D1561</f>
        <v>332.9693559111771</v>
      </c>
      <c r="E1554" s="1042">
        <f>'Смета Внутр'!E1561</f>
        <v>250</v>
      </c>
      <c r="F1554" s="1042">
        <f>'Смета Внутр'!F1561</f>
        <v>0</v>
      </c>
      <c r="G1554" s="1042">
        <f t="shared" si="66"/>
        <v>250</v>
      </c>
      <c r="H1554" s="1042">
        <f>'Смета Внутр'!G1561</f>
        <v>83242.338977794279</v>
      </c>
      <c r="I1554" s="1042">
        <f>'Смета Внутр'!H1561</f>
        <v>0</v>
      </c>
      <c r="J1554" s="1058">
        <f>'Смета Внутр'!I1561</f>
        <v>0</v>
      </c>
    </row>
    <row r="1555" spans="2:10" ht="15" customHeight="1">
      <c r="B1555" s="1042" t="str">
        <f>'Смета Внутр'!B1562</f>
        <v>Карнизная планка</v>
      </c>
      <c r="C1555" s="1042" t="str">
        <f>'Смета Внутр'!C1562</f>
        <v>м.п.</v>
      </c>
      <c r="D1555" s="1058">
        <f>'Смета Внутр'!D1562</f>
        <v>62</v>
      </c>
      <c r="E1555" s="1042">
        <f>'Смета Внутр'!E1562</f>
        <v>200</v>
      </c>
      <c r="F1555" s="1042">
        <f>'Смета Внутр'!F1562</f>
        <v>0</v>
      </c>
      <c r="G1555" s="1042">
        <f t="shared" si="66"/>
        <v>200</v>
      </c>
      <c r="H1555" s="1042">
        <f>'Смета Внутр'!G1562</f>
        <v>12400</v>
      </c>
      <c r="I1555" s="1042">
        <f>'Смета Внутр'!H1562</f>
        <v>0</v>
      </c>
      <c r="J1555" s="1058">
        <f>'Смета Внутр'!I1562</f>
        <v>0</v>
      </c>
    </row>
    <row r="1556" spans="2:10" ht="15" customHeight="1">
      <c r="B1556" s="1042" t="str">
        <f>'Смета Внутр'!B1563</f>
        <v>Торцевая планка</v>
      </c>
      <c r="C1556" s="1042" t="str">
        <f>'Смета Внутр'!C1563</f>
        <v>м.п.</v>
      </c>
      <c r="D1556" s="1058">
        <f>'Смета Внутр'!D1563</f>
        <v>26.90724809414742</v>
      </c>
      <c r="E1556" s="1042">
        <f>'Смета Внутр'!E1563</f>
        <v>200</v>
      </c>
      <c r="F1556" s="1042">
        <f>'Смета Внутр'!F1563</f>
        <v>0</v>
      </c>
      <c r="G1556" s="1042">
        <f t="shared" si="66"/>
        <v>200</v>
      </c>
      <c r="H1556" s="1042">
        <f>'Смета Внутр'!G1563</f>
        <v>5381.4496188294843</v>
      </c>
      <c r="I1556" s="1042">
        <f>'Смета Внутр'!H1563</f>
        <v>0</v>
      </c>
      <c r="J1556" s="1058">
        <f>'Смета Внутр'!I1563</f>
        <v>0</v>
      </c>
    </row>
    <row r="1557" spans="2:10" ht="15" customHeight="1">
      <c r="B1557" s="1042" t="str">
        <f>'Смета Внутр'!B1564</f>
        <v>Конек</v>
      </c>
      <c r="C1557" s="1042" t="str">
        <f>'Смета Внутр'!C1564</f>
        <v>м.п.</v>
      </c>
      <c r="D1557" s="1058">
        <f>'Смета Внутр'!D1564</f>
        <v>39.778728788181674</v>
      </c>
      <c r="E1557" s="1042">
        <f>'Смета Внутр'!E1564</f>
        <v>230</v>
      </c>
      <c r="F1557" s="1042">
        <f>'Смета Внутр'!F1564</f>
        <v>0</v>
      </c>
      <c r="G1557" s="1042">
        <f t="shared" si="66"/>
        <v>230</v>
      </c>
      <c r="H1557" s="1042">
        <f>'Смета Внутр'!G1564</f>
        <v>9149.1076212817843</v>
      </c>
      <c r="I1557" s="1042">
        <f>'Смета Внутр'!H1564</f>
        <v>0</v>
      </c>
      <c r="J1557" s="1058">
        <f>'Смета Внутр'!I1564</f>
        <v>0</v>
      </c>
    </row>
    <row r="1558" spans="2:10" ht="15" customHeight="1">
      <c r="B1558" s="1042" t="str">
        <f>'Смета Внутр'!B1565</f>
        <v>ондулин</v>
      </c>
      <c r="C1558" s="1042" t="str">
        <f>'Смета Внутр'!C1565</f>
        <v>м2</v>
      </c>
      <c r="D1558" s="1058">
        <f>'Смета Внутр'!D1565</f>
        <v>0</v>
      </c>
      <c r="E1558" s="1042">
        <f>'Смета Внутр'!E1565</f>
        <v>180</v>
      </c>
      <c r="F1558" s="1042">
        <f>'Смета Внутр'!F1565</f>
        <v>0</v>
      </c>
      <c r="G1558" s="1042">
        <f t="shared" si="66"/>
        <v>180</v>
      </c>
      <c r="H1558" s="1042">
        <f>'Смета Внутр'!G1565</f>
        <v>0</v>
      </c>
      <c r="I1558" s="1042">
        <f>'Смета Внутр'!H1565</f>
        <v>0</v>
      </c>
      <c r="J1558" s="1058">
        <f>'Смета Внутр'!I1565</f>
        <v>0</v>
      </c>
    </row>
    <row r="1559" spans="2:10" ht="15" customHeight="1">
      <c r="B1559" s="1042" t="str">
        <f>'Смета Внутр'!B1566</f>
        <v>Карнизная планка</v>
      </c>
      <c r="C1559" s="1042" t="str">
        <f>'Смета Внутр'!C1566</f>
        <v>м.п.</v>
      </c>
      <c r="D1559" s="1058">
        <f>'Смета Внутр'!D1566</f>
        <v>0</v>
      </c>
      <c r="E1559" s="1042">
        <f>'Смета Внутр'!E1566</f>
        <v>190</v>
      </c>
      <c r="F1559" s="1042">
        <f>'Смета Внутр'!F1566</f>
        <v>0</v>
      </c>
      <c r="G1559" s="1042">
        <f t="shared" si="66"/>
        <v>190</v>
      </c>
      <c r="H1559" s="1042">
        <f>'Смета Внутр'!G1566</f>
        <v>0</v>
      </c>
      <c r="I1559" s="1042">
        <f>'Смета Внутр'!H1566</f>
        <v>0</v>
      </c>
      <c r="J1559" s="1058">
        <f>'Смета Внутр'!I1566</f>
        <v>0</v>
      </c>
    </row>
    <row r="1560" spans="2:10" ht="15" customHeight="1">
      <c r="B1560" s="1042" t="str">
        <f>'Смета Внутр'!B1567</f>
        <v>Торцевая планка</v>
      </c>
      <c r="C1560" s="1042" t="str">
        <f>'Смета Внутр'!C1567</f>
        <v>м.п.</v>
      </c>
      <c r="D1560" s="1058">
        <f>'Смета Внутр'!D1567</f>
        <v>0</v>
      </c>
      <c r="E1560" s="1042">
        <f>'Смета Внутр'!E1567</f>
        <v>190</v>
      </c>
      <c r="F1560" s="1042">
        <f>'Смета Внутр'!F1567</f>
        <v>0</v>
      </c>
      <c r="G1560" s="1042">
        <f t="shared" si="66"/>
        <v>190</v>
      </c>
      <c r="H1560" s="1042">
        <f>'Смета Внутр'!G1567</f>
        <v>0</v>
      </c>
      <c r="I1560" s="1042">
        <f>'Смета Внутр'!H1567</f>
        <v>0</v>
      </c>
      <c r="J1560" s="1058">
        <f>'Смета Внутр'!I1567</f>
        <v>0</v>
      </c>
    </row>
    <row r="1561" spans="2:10" ht="15" customHeight="1">
      <c r="B1561" s="1042" t="str">
        <f>'Смета Внутр'!B1568</f>
        <v>Конек</v>
      </c>
      <c r="C1561" s="1042" t="str">
        <f>'Смета Внутр'!C1568</f>
        <v>м.п.</v>
      </c>
      <c r="D1561" s="1058">
        <f>'Смета Внутр'!D1568</f>
        <v>0</v>
      </c>
      <c r="E1561" s="1042">
        <f>'Смета Внутр'!E1568</f>
        <v>200</v>
      </c>
      <c r="F1561" s="1042">
        <f>'Смета Внутр'!F1568</f>
        <v>0</v>
      </c>
      <c r="G1561" s="1042">
        <f t="shared" si="66"/>
        <v>200</v>
      </c>
      <c r="H1561" s="1042">
        <f>'Смета Внутр'!G1568</f>
        <v>0</v>
      </c>
      <c r="I1561" s="1042">
        <f>'Смета Внутр'!H1568</f>
        <v>0</v>
      </c>
      <c r="J1561" s="1058">
        <f>'Смета Внутр'!I1568</f>
        <v>0</v>
      </c>
    </row>
    <row r="1562" spans="2:10" ht="15" customHeight="1">
      <c r="B1562" s="1042" t="str">
        <f>'Смета Внутр'!B1569</f>
        <v>Ендова нижняя</v>
      </c>
      <c r="C1562" s="1042" t="str">
        <f>'Смета Внутр'!C1569</f>
        <v>м.п.</v>
      </c>
      <c r="D1562" s="1058">
        <f>'Смета Внутр'!D1569</f>
        <v>0</v>
      </c>
      <c r="E1562" s="1042">
        <f>'Смета Внутр'!E1569</f>
        <v>160</v>
      </c>
      <c r="F1562" s="1042">
        <f>'Смета Внутр'!F1569</f>
        <v>0</v>
      </c>
      <c r="G1562" s="1042">
        <f t="shared" si="66"/>
        <v>160</v>
      </c>
      <c r="H1562" s="1042">
        <f>'Смета Внутр'!G1569</f>
        <v>0</v>
      </c>
      <c r="I1562" s="1042">
        <f>'Смета Внутр'!H1569</f>
        <v>0</v>
      </c>
      <c r="J1562" s="1058">
        <f>'Смета Внутр'!I1569</f>
        <v>0</v>
      </c>
    </row>
    <row r="1563" spans="2:10" ht="15" customHeight="1">
      <c r="B1563" s="1042" t="str">
        <f>'Смета Внутр'!B1570</f>
        <v>Ендова верхняя</v>
      </c>
      <c r="C1563" s="1042" t="str">
        <f>'Смета Внутр'!C1570</f>
        <v>м.п.</v>
      </c>
      <c r="D1563" s="1058">
        <f>'Смета Внутр'!D1570</f>
        <v>0</v>
      </c>
      <c r="E1563" s="1042">
        <f>'Смета Внутр'!E1570</f>
        <v>190</v>
      </c>
      <c r="F1563" s="1042">
        <f>'Смета Внутр'!F1570</f>
        <v>0</v>
      </c>
      <c r="G1563" s="1042">
        <f t="shared" si="66"/>
        <v>190</v>
      </c>
      <c r="H1563" s="1042">
        <f>'Смета Внутр'!G1570</f>
        <v>0</v>
      </c>
      <c r="I1563" s="1042">
        <f>'Смета Внутр'!H1570</f>
        <v>0</v>
      </c>
      <c r="J1563" s="1058">
        <f>'Смета Внутр'!I1570</f>
        <v>0</v>
      </c>
    </row>
    <row r="1564" spans="2:10" ht="15" customHeight="1">
      <c r="B1564" s="1042" t="str">
        <f>'Смета Внутр'!B1571</f>
        <v>Планка примыкания</v>
      </c>
      <c r="C1564" s="1042" t="str">
        <f>'Смета Внутр'!C1571</f>
        <v>м.п.</v>
      </c>
      <c r="D1564" s="1058">
        <f>'Смета Внутр'!D1571</f>
        <v>0</v>
      </c>
      <c r="E1564" s="1042">
        <f>'Смета Внутр'!E1571</f>
        <v>190</v>
      </c>
      <c r="F1564" s="1042">
        <f>'Смета Внутр'!F1571</f>
        <v>0</v>
      </c>
      <c r="G1564" s="1042">
        <f t="shared" si="66"/>
        <v>190</v>
      </c>
      <c r="H1564" s="1042">
        <f>'Смета Внутр'!G1571</f>
        <v>0</v>
      </c>
      <c r="I1564" s="1042">
        <f>'Смета Внутр'!H1571</f>
        <v>0</v>
      </c>
      <c r="J1564" s="1058">
        <f>'Смета Внутр'!I1571</f>
        <v>0</v>
      </c>
    </row>
    <row r="1565" spans="2:10" ht="15" customHeight="1">
      <c r="B1565" s="1042" t="str">
        <f>'Смета Внутр'!B1572</f>
        <v>Крепеж для ондулина</v>
      </c>
      <c r="C1565" s="1042" t="str">
        <f>'Смета Внутр'!C1572</f>
        <v>шт</v>
      </c>
      <c r="D1565" s="1058">
        <f>'Смета Внутр'!D1572</f>
        <v>0</v>
      </c>
      <c r="E1565" s="1042">
        <f>'Смета Внутр'!E1572</f>
        <v>4.5</v>
      </c>
      <c r="F1565" s="1042">
        <f>'Смета Внутр'!F1572</f>
        <v>0</v>
      </c>
      <c r="G1565" s="1042">
        <f t="shared" si="66"/>
        <v>4.5</v>
      </c>
      <c r="H1565" s="1042">
        <f>'Смета Внутр'!G1572</f>
        <v>0</v>
      </c>
      <c r="I1565" s="1042">
        <f>'Смета Внутр'!H1572</f>
        <v>0</v>
      </c>
      <c r="J1565" s="1058">
        <f>'Смета Внутр'!I1572</f>
        <v>0</v>
      </c>
    </row>
    <row r="1566" spans="2:10" ht="15" customHeight="1">
      <c r="B1566" s="1042" t="str">
        <f>'Смета Внутр'!B1573</f>
        <v>нет</v>
      </c>
      <c r="C1566" s="1042" t="str">
        <f>'Смета Внутр'!C1573</f>
        <v>м2</v>
      </c>
      <c r="D1566" s="1058">
        <f>'Смета Внутр'!D1573</f>
        <v>273.51054235560974</v>
      </c>
      <c r="E1566" s="1042">
        <f>'Смета Внутр'!E1573</f>
        <v>0</v>
      </c>
      <c r="F1566" s="1042">
        <f>'Смета Внутр'!F1573</f>
        <v>0</v>
      </c>
      <c r="G1566" s="1042">
        <f t="shared" si="66"/>
        <v>0</v>
      </c>
      <c r="H1566" s="1042">
        <f>'Смета Внутр'!G1573</f>
        <v>0</v>
      </c>
      <c r="I1566" s="1042">
        <f>'Смета Внутр'!H1573</f>
        <v>0</v>
      </c>
      <c r="J1566" s="1058">
        <f>'Смета Внутр'!I1573</f>
        <v>0</v>
      </c>
    </row>
    <row r="1567" spans="2:10" ht="15" customHeight="1">
      <c r="B1567" s="1042" t="str">
        <f>'Смета Внутр'!B1574</f>
        <v>Рядовая черепица</v>
      </c>
      <c r="C1567" s="1042" t="str">
        <f>'Смета Внутр'!C1574</f>
        <v>м2</v>
      </c>
      <c r="D1567" s="1058">
        <f>'Смета Внутр'!D1574</f>
        <v>0</v>
      </c>
      <c r="E1567" s="1042">
        <f>'Смета Внутр'!E1574</f>
        <v>360</v>
      </c>
      <c r="F1567" s="1042">
        <f>'Смета Внутр'!F1574</f>
        <v>0</v>
      </c>
      <c r="G1567" s="1042">
        <f t="shared" si="66"/>
        <v>360</v>
      </c>
      <c r="H1567" s="1042">
        <f>'Смета Внутр'!G1574</f>
        <v>0</v>
      </c>
      <c r="I1567" s="1042">
        <f>'Смета Внутр'!H1574</f>
        <v>0</v>
      </c>
      <c r="J1567" s="1058">
        <f>'Смета Внутр'!I1574</f>
        <v>0</v>
      </c>
    </row>
    <row r="1568" spans="2:10" ht="15" customHeight="1">
      <c r="B1568" s="1042" t="str">
        <f>'Смета Внутр'!B1575</f>
        <v>Металл оцинк защита (карниз)</v>
      </c>
      <c r="C1568" s="1042" t="str">
        <f>'Смета Внутр'!C1575</f>
        <v>м.п.</v>
      </c>
      <c r="D1568" s="1058">
        <f>'Смета Внутр'!D1575</f>
        <v>0</v>
      </c>
      <c r="E1568" s="1042">
        <f>'Смета Внутр'!E1575</f>
        <v>200</v>
      </c>
      <c r="F1568" s="1042">
        <f>'Смета Внутр'!F1575</f>
        <v>0</v>
      </c>
      <c r="G1568" s="1042">
        <f t="shared" si="66"/>
        <v>200</v>
      </c>
      <c r="H1568" s="1042">
        <f>'Смета Внутр'!G1575</f>
        <v>0</v>
      </c>
      <c r="I1568" s="1042">
        <f>'Смета Внутр'!H1575</f>
        <v>0</v>
      </c>
      <c r="J1568" s="1058">
        <f>'Смета Внутр'!I1575</f>
        <v>0</v>
      </c>
    </row>
    <row r="1569" spans="2:10" ht="15" customHeight="1">
      <c r="B1569" s="1042" t="str">
        <f>'Смета Внутр'!B1576</f>
        <v>Подкладочный ковер</v>
      </c>
      <c r="C1569" s="1042" t="str">
        <f>'Смета Внутр'!C1576</f>
        <v>м.п.</v>
      </c>
      <c r="D1569" s="1058">
        <f>'Смета Внутр'!D1576</f>
        <v>0</v>
      </c>
      <c r="E1569" s="1042">
        <f>'Смета Внутр'!E1576</f>
        <v>220</v>
      </c>
      <c r="F1569" s="1042">
        <f>'Смета Внутр'!F1576</f>
        <v>0</v>
      </c>
      <c r="G1569" s="1042">
        <f t="shared" si="66"/>
        <v>220</v>
      </c>
      <c r="H1569" s="1042">
        <f>'Смета Внутр'!G1576</f>
        <v>0</v>
      </c>
      <c r="I1569" s="1042">
        <f>'Смета Внутр'!H1576</f>
        <v>0</v>
      </c>
      <c r="J1569" s="1058">
        <f>'Смета Внутр'!I1576</f>
        <v>0</v>
      </c>
    </row>
    <row r="1570" spans="2:10" ht="15" customHeight="1">
      <c r="B1570" s="1042" t="str">
        <f>'Смета Внутр'!B1577</f>
        <v>Карнизная самоклеющаяся черепица</v>
      </c>
      <c r="C1570" s="1042" t="str">
        <f>'Смета Внутр'!C1577</f>
        <v>м.п.</v>
      </c>
      <c r="D1570" s="1058">
        <f>'Смета Внутр'!D1577</f>
        <v>0</v>
      </c>
      <c r="E1570" s="1042">
        <f>'Смета Внутр'!E1577</f>
        <v>220</v>
      </c>
      <c r="F1570" s="1042">
        <f>'Смета Внутр'!F1577</f>
        <v>0</v>
      </c>
      <c r="G1570" s="1042">
        <f t="shared" si="66"/>
        <v>220</v>
      </c>
      <c r="H1570" s="1042">
        <f>'Смета Внутр'!G1577</f>
        <v>0</v>
      </c>
      <c r="I1570" s="1042">
        <f>'Смета Внутр'!H1577</f>
        <v>0</v>
      </c>
      <c r="J1570" s="1058">
        <f>'Смета Внутр'!I1577</f>
        <v>0</v>
      </c>
    </row>
    <row r="1571" spans="2:10" ht="15" customHeight="1">
      <c r="B1571" s="1042" t="str">
        <f>'Смета Внутр'!B1578</f>
        <v>Спец ковер ендова нижняя</v>
      </c>
      <c r="C1571" s="1042" t="str">
        <f>'Смета Внутр'!C1578</f>
        <v>м.п.</v>
      </c>
      <c r="D1571" s="1058">
        <f>'Смета Внутр'!D1578</f>
        <v>0</v>
      </c>
      <c r="E1571" s="1042">
        <f>'Смета Внутр'!E1578</f>
        <v>200</v>
      </c>
      <c r="F1571" s="1042">
        <f>'Смета Внутр'!F1578</f>
        <v>0</v>
      </c>
      <c r="G1571" s="1042">
        <f t="shared" si="66"/>
        <v>200</v>
      </c>
      <c r="H1571" s="1042">
        <f>'Смета Внутр'!G1578</f>
        <v>0</v>
      </c>
      <c r="I1571" s="1042">
        <f>'Смета Внутр'!H1578</f>
        <v>0</v>
      </c>
      <c r="J1571" s="1058">
        <f>'Смета Внутр'!I1578</f>
        <v>0</v>
      </c>
    </row>
    <row r="1572" spans="2:10" ht="15" customHeight="1">
      <c r="B1572" s="1042" t="str">
        <f>'Смета Внутр'!B1579</f>
        <v>Коньковой элемент</v>
      </c>
      <c r="C1572" s="1042" t="str">
        <f>'Смета Внутр'!C1579</f>
        <v>м.п.</v>
      </c>
      <c r="D1572" s="1058">
        <f>'Смета Внутр'!D1579</f>
        <v>0</v>
      </c>
      <c r="E1572" s="1042">
        <f>'Смета Внутр'!E1579</f>
        <v>250</v>
      </c>
      <c r="F1572" s="1042">
        <f>'Смета Внутр'!F1579</f>
        <v>0</v>
      </c>
      <c r="G1572" s="1042">
        <f t="shared" si="66"/>
        <v>250</v>
      </c>
      <c r="H1572" s="1042">
        <f>'Смета Внутр'!G1579</f>
        <v>0</v>
      </c>
      <c r="I1572" s="1042">
        <f>'Смета Внутр'!H1579</f>
        <v>0</v>
      </c>
      <c r="J1572" s="1058">
        <f>'Смета Внутр'!I1579</f>
        <v>0</v>
      </c>
    </row>
    <row r="1573" spans="2:10" ht="15" customHeight="1">
      <c r="B1573" s="1042" t="str">
        <f>'Смета Внутр'!B1580</f>
        <v>Планка премыкания</v>
      </c>
      <c r="C1573" s="1042" t="str">
        <f>'Смета Внутр'!C1580</f>
        <v>м.п.</v>
      </c>
      <c r="D1573" s="1058">
        <f>'Смета Внутр'!D1580</f>
        <v>0</v>
      </c>
      <c r="E1573" s="1042">
        <f>'Смета Внутр'!E1580</f>
        <v>200</v>
      </c>
      <c r="F1573" s="1042">
        <f>'Смета Внутр'!F1580</f>
        <v>0</v>
      </c>
      <c r="G1573" s="1042">
        <f t="shared" si="66"/>
        <v>200</v>
      </c>
      <c r="H1573" s="1042">
        <f>'Смета Внутр'!G1580</f>
        <v>0</v>
      </c>
      <c r="I1573" s="1042">
        <f>'Смета Внутр'!H1580</f>
        <v>0</v>
      </c>
      <c r="J1573" s="1058">
        <f>'Смета Внутр'!I1580</f>
        <v>0</v>
      </c>
    </row>
    <row r="1574" spans="2:10" ht="15" customHeight="1">
      <c r="B1574" s="1042" t="str">
        <f>'Смета Внутр'!B1581</f>
        <v>Гвозди для крепления подкладочного ковра</v>
      </c>
      <c r="C1574" s="1042" t="str">
        <f>'Смета Внутр'!C1581</f>
        <v>шт</v>
      </c>
      <c r="D1574" s="1058">
        <f>'Смета Внутр'!D1581</f>
        <v>0</v>
      </c>
      <c r="E1574" s="1042">
        <f>'Смета Внутр'!E1581</f>
        <v>1.2E-2</v>
      </c>
      <c r="F1574" s="1042">
        <f>'Смета Внутр'!F1581</f>
        <v>0</v>
      </c>
      <c r="G1574" s="1042">
        <f t="shared" si="66"/>
        <v>1.2E-2</v>
      </c>
      <c r="H1574" s="1042">
        <f>'Смета Внутр'!G1581</f>
        <v>0</v>
      </c>
      <c r="I1574" s="1042">
        <f>'Смета Внутр'!H1581</f>
        <v>0</v>
      </c>
      <c r="J1574" s="1058">
        <f>'Смета Внутр'!I1581</f>
        <v>0</v>
      </c>
    </row>
    <row r="1575" spans="2:10" ht="15" customHeight="1">
      <c r="B1575" s="1042" t="str">
        <f>'Смета Внутр'!B1582</f>
        <v>Гвозди для крепления черепицы</v>
      </c>
      <c r="C1575" s="1042" t="str">
        <f>'Смета Внутр'!C1582</f>
        <v>шт</v>
      </c>
      <c r="D1575" s="1058">
        <f>'Смета Внутр'!D1582</f>
        <v>0</v>
      </c>
      <c r="E1575" s="1042">
        <f>'Смета Внутр'!E1582</f>
        <v>0.25</v>
      </c>
      <c r="F1575" s="1042">
        <f>'Смета Внутр'!F1582</f>
        <v>0</v>
      </c>
      <c r="G1575" s="1042">
        <f t="shared" si="66"/>
        <v>0.25</v>
      </c>
      <c r="H1575" s="1042">
        <f>'Смета Внутр'!G1582</f>
        <v>0</v>
      </c>
      <c r="I1575" s="1042">
        <f>'Смета Внутр'!H1582</f>
        <v>0</v>
      </c>
      <c r="J1575" s="1058">
        <f>'Смета Внутр'!I1582</f>
        <v>0</v>
      </c>
    </row>
    <row r="1576" spans="2:10" ht="15" customHeight="1">
      <c r="B1576" s="1042" t="str">
        <f>'Смета Внутр'!B1583</f>
        <v>Клей для монтажа черепицы</v>
      </c>
      <c r="C1576" s="1042" t="str">
        <f>'Смета Внутр'!C1583</f>
        <v>кг</v>
      </c>
      <c r="D1576" s="1058">
        <f>'Смета Внутр'!D1583</f>
        <v>0</v>
      </c>
      <c r="E1576" s="1042">
        <f>'Смета Внутр'!E1583</f>
        <v>250</v>
      </c>
      <c r="F1576" s="1042">
        <f>'Смета Внутр'!F1583</f>
        <v>0</v>
      </c>
      <c r="G1576" s="1042">
        <f t="shared" ref="G1576:G1607" si="67">IF(E1576&gt;F1576,E1576,F1576)</f>
        <v>250</v>
      </c>
      <c r="H1576" s="1042">
        <f>'Смета Внутр'!G1583</f>
        <v>0</v>
      </c>
      <c r="I1576" s="1042">
        <f>'Смета Внутр'!H1583</f>
        <v>0</v>
      </c>
      <c r="J1576" s="1058">
        <f>'Смета Внутр'!I1583</f>
        <v>0</v>
      </c>
    </row>
    <row r="1577" spans="2:10" ht="15" customHeight="1">
      <c r="B1577" s="1042" t="str">
        <f>'Смета Внутр'!B1584</f>
        <v>желоб</v>
      </c>
      <c r="C1577" s="1042" t="str">
        <f>'Смета Внутр'!C1584</f>
        <v>м.п</v>
      </c>
      <c r="D1577" s="1058">
        <f>'Смета Внутр'!D1584</f>
        <v>51.666666666666671</v>
      </c>
      <c r="E1577" s="1042">
        <f>'Смета Внутр'!E1584</f>
        <v>300</v>
      </c>
      <c r="F1577" s="1042">
        <f>'Смета Внутр'!F1584</f>
        <v>0</v>
      </c>
      <c r="G1577" s="1042">
        <f t="shared" si="67"/>
        <v>300</v>
      </c>
      <c r="H1577" s="1042">
        <f>'Смета Внутр'!G1584</f>
        <v>15500.000000000002</v>
      </c>
      <c r="I1577" s="1042">
        <f>'Смета Внутр'!H1584</f>
        <v>0</v>
      </c>
      <c r="J1577" s="1058">
        <f>'Смета Внутр'!I1584</f>
        <v>0</v>
      </c>
    </row>
    <row r="1578" spans="2:10" ht="15" customHeight="1">
      <c r="B1578" s="1042" t="str">
        <f>'Смета Внутр'!B1585</f>
        <v>отвод</v>
      </c>
      <c r="C1578" s="1042" t="str">
        <f>'Смета Внутр'!C1585</f>
        <v>шт</v>
      </c>
      <c r="D1578" s="1058">
        <f>'Смета Внутр'!D1585</f>
        <v>4</v>
      </c>
      <c r="E1578" s="1042">
        <f>'Смета Внутр'!E1585</f>
        <v>250</v>
      </c>
      <c r="F1578" s="1042">
        <f>'Смета Внутр'!F1585</f>
        <v>0</v>
      </c>
      <c r="G1578" s="1042">
        <f t="shared" si="67"/>
        <v>250</v>
      </c>
      <c r="H1578" s="1042">
        <f>'Смета Внутр'!G1585</f>
        <v>1000</v>
      </c>
      <c r="I1578" s="1042">
        <f>'Смета Внутр'!H1585</f>
        <v>0</v>
      </c>
      <c r="J1578" s="1058">
        <f>'Смета Внутр'!I1585</f>
        <v>0</v>
      </c>
    </row>
    <row r="1579" spans="2:10" ht="15" customHeight="1">
      <c r="B1579" s="1042" t="str">
        <f>'Смета Внутр'!B1586</f>
        <v>труба водосточная</v>
      </c>
      <c r="C1579" s="1042" t="str">
        <f>'Смета Внутр'!C1586</f>
        <v>м.п.</v>
      </c>
      <c r="D1579" s="1058">
        <f>'Смета Внутр'!D1586</f>
        <v>62</v>
      </c>
      <c r="E1579" s="1042">
        <f>'Смета Внутр'!E1586</f>
        <v>300</v>
      </c>
      <c r="F1579" s="1042">
        <f>'Смета Внутр'!F1586</f>
        <v>0</v>
      </c>
      <c r="G1579" s="1042">
        <f t="shared" si="67"/>
        <v>300</v>
      </c>
      <c r="H1579" s="1042">
        <f>'Смета Внутр'!G1586</f>
        <v>18600</v>
      </c>
      <c r="I1579" s="1042">
        <f>'Смета Внутр'!H1586</f>
        <v>0</v>
      </c>
      <c r="J1579" s="1058">
        <f>'Смета Внутр'!I1586</f>
        <v>0</v>
      </c>
    </row>
    <row r="1580" spans="2:10" ht="15" customHeight="1">
      <c r="B1580" s="1042" t="str">
        <f>'Смета Внутр'!B1587</f>
        <v>заглушка для желоба</v>
      </c>
      <c r="C1580" s="1042" t="str">
        <f>'Смета Внутр'!C1587</f>
        <v>шт</v>
      </c>
      <c r="D1580" s="1058">
        <f>'Смета Внутр'!D1587</f>
        <v>4</v>
      </c>
      <c r="E1580" s="1042">
        <f>'Смета Внутр'!E1587</f>
        <v>190</v>
      </c>
      <c r="F1580" s="1042">
        <f>'Смета Внутр'!F1587</f>
        <v>0</v>
      </c>
      <c r="G1580" s="1042">
        <f t="shared" si="67"/>
        <v>190</v>
      </c>
      <c r="H1580" s="1042">
        <f>'Смета Внутр'!G1587</f>
        <v>760</v>
      </c>
      <c r="I1580" s="1042">
        <f>'Смета Внутр'!H1587</f>
        <v>0</v>
      </c>
      <c r="J1580" s="1058">
        <f>'Смета Внутр'!I1587</f>
        <v>0</v>
      </c>
    </row>
    <row r="1581" spans="2:10" ht="15" customHeight="1">
      <c r="B1581" s="1042" t="str">
        <f>'Смета Внутр'!B1588</f>
        <v>соеденитель для желоба</v>
      </c>
      <c r="C1581" s="1042" t="str">
        <f>'Смета Внутр'!C1588</f>
        <v>шт</v>
      </c>
      <c r="D1581" s="1058">
        <f>'Смета Внутр'!D1588</f>
        <v>18.222222222222225</v>
      </c>
      <c r="E1581" s="1042">
        <f>'Смета Внутр'!E1588</f>
        <v>180</v>
      </c>
      <c r="F1581" s="1042">
        <f>'Смета Внутр'!F1588</f>
        <v>0</v>
      </c>
      <c r="G1581" s="1042">
        <f t="shared" si="67"/>
        <v>180</v>
      </c>
      <c r="H1581" s="1042">
        <f>'Смета Внутр'!G1588</f>
        <v>3280.0000000000005</v>
      </c>
      <c r="I1581" s="1042">
        <f>'Смета Внутр'!H1588</f>
        <v>0</v>
      </c>
      <c r="J1581" s="1058">
        <f>'Смета Внутр'!I1588</f>
        <v>0</v>
      </c>
    </row>
    <row r="1582" spans="2:10" ht="15" customHeight="1">
      <c r="B1582" s="1042" t="str">
        <f>'Смета Внутр'!B1589</f>
        <v>кронштейн для желоба</v>
      </c>
      <c r="C1582" s="1042" t="str">
        <f>'Смета Внутр'!C1589</f>
        <v>шт</v>
      </c>
      <c r="D1582" s="1058">
        <f>'Смета Внутр'!D1589</f>
        <v>129.16666666666666</v>
      </c>
      <c r="E1582" s="1042">
        <f>'Смета Внутр'!E1589</f>
        <v>130</v>
      </c>
      <c r="F1582" s="1042">
        <f>'Смета Внутр'!F1589</f>
        <v>0</v>
      </c>
      <c r="G1582" s="1042">
        <f t="shared" si="67"/>
        <v>130</v>
      </c>
      <c r="H1582" s="1042">
        <f>'Смета Внутр'!G1589</f>
        <v>16791.666666666664</v>
      </c>
      <c r="I1582" s="1042">
        <f>'Смета Внутр'!H1589</f>
        <v>0</v>
      </c>
      <c r="J1582" s="1058">
        <f>'Смета Внутр'!I1589</f>
        <v>0</v>
      </c>
    </row>
    <row r="1583" spans="2:10" ht="15" customHeight="1">
      <c r="B1583" s="1042" t="str">
        <f>'Смета Внутр'!B1590</f>
        <v>переход из желоба в трубу</v>
      </c>
      <c r="C1583" s="1042" t="str">
        <f>'Смета Внутр'!C1590</f>
        <v>шт</v>
      </c>
      <c r="D1583" s="1058">
        <f>'Смета Внутр'!D1590</f>
        <v>4</v>
      </c>
      <c r="E1583" s="1042">
        <f>'Смета Внутр'!E1590</f>
        <v>350</v>
      </c>
      <c r="F1583" s="1042">
        <f>'Смета Внутр'!F1590</f>
        <v>0</v>
      </c>
      <c r="G1583" s="1042">
        <f t="shared" si="67"/>
        <v>350</v>
      </c>
      <c r="H1583" s="1042">
        <f>'Смета Внутр'!G1590</f>
        <v>1400</v>
      </c>
      <c r="I1583" s="1042">
        <f>'Смета Внутр'!H1590</f>
        <v>0</v>
      </c>
      <c r="J1583" s="1058">
        <f>'Смета Внутр'!I1590</f>
        <v>0</v>
      </c>
    </row>
    <row r="1584" spans="2:10" ht="15" customHeight="1">
      <c r="B1584" s="1042" t="str">
        <f>'Смета Внутр'!B1591</f>
        <v>лента дельта мульти бэнд</v>
      </c>
      <c r="C1584" s="1042" t="str">
        <f>'Смета Внутр'!C1591</f>
        <v>шт</v>
      </c>
      <c r="D1584" s="1058">
        <f>'Смета Внутр'!D1591</f>
        <v>1</v>
      </c>
      <c r="E1584" s="1042">
        <f>'Смета Внутр'!E1591</f>
        <v>1200</v>
      </c>
      <c r="F1584" s="1042">
        <f>'Смета Внутр'!F1591</f>
        <v>0</v>
      </c>
      <c r="G1584" s="1042">
        <f t="shared" si="67"/>
        <v>1200</v>
      </c>
      <c r="H1584" s="1042">
        <f>'Смета Внутр'!G1591</f>
        <v>1200</v>
      </c>
      <c r="I1584" s="1042">
        <f>'Смета Внутр'!H1591</f>
        <v>0</v>
      </c>
      <c r="J1584" s="1058">
        <f>'Смета Внутр'!I1591</f>
        <v>0</v>
      </c>
    </row>
    <row r="1585" spans="2:10" ht="15" customHeight="1">
      <c r="B1585" s="1042" t="str">
        <f>'Смета Внутр'!B1592</f>
        <v>лента дельта sb-60</v>
      </c>
      <c r="C1585" s="1042" t="str">
        <f>'Смета Внутр'!C1592</f>
        <v>шт</v>
      </c>
      <c r="D1585" s="1058">
        <f>'Смета Внутр'!D1592</f>
        <v>15.855683614817959</v>
      </c>
      <c r="E1585" s="1042">
        <f>'Смета Внутр'!E1592</f>
        <v>1100</v>
      </c>
      <c r="F1585" s="1042">
        <f>'Смета Внутр'!F1592</f>
        <v>0</v>
      </c>
      <c r="G1585" s="1042">
        <f t="shared" si="67"/>
        <v>1100</v>
      </c>
      <c r="H1585" s="1042">
        <f>'Смета Внутр'!G1592</f>
        <v>17441.251976299754</v>
      </c>
      <c r="I1585" s="1042">
        <f>'Смета Внутр'!H1592</f>
        <v>0</v>
      </c>
      <c r="J1585" s="1058">
        <f>'Смета Внутр'!I1592</f>
        <v>0</v>
      </c>
    </row>
    <row r="1586" spans="2:10" ht="15" customHeight="1">
      <c r="B1586" s="1042" t="str">
        <f>'Смета Внутр'!B1593</f>
        <v>проходка кровельная, канализационная</v>
      </c>
      <c r="C1586" s="1042" t="str">
        <f>'Смета Внутр'!C1593</f>
        <v>шт</v>
      </c>
      <c r="D1586" s="1058">
        <f>'Смета Внутр'!D1593</f>
        <v>0</v>
      </c>
      <c r="E1586" s="1042">
        <f>'Смета Внутр'!E1593</f>
        <v>3500</v>
      </c>
      <c r="F1586" s="1042">
        <f>'Смета Внутр'!F1593</f>
        <v>0</v>
      </c>
      <c r="G1586" s="1042">
        <f t="shared" si="67"/>
        <v>3500</v>
      </c>
      <c r="H1586" s="1042">
        <f>'Смета Внутр'!G1593</f>
        <v>0</v>
      </c>
      <c r="I1586" s="1042">
        <f>'Смета Внутр'!H1593</f>
        <v>0</v>
      </c>
      <c r="J1586" s="1058">
        <f>'Смета Внутр'!I1593</f>
        <v>0</v>
      </c>
    </row>
    <row r="1587" spans="2:10" ht="15" customHeight="1">
      <c r="B1587" s="1042" t="str">
        <f>'Смета Внутр'!B1594</f>
        <v>проходка кровельная, вентиляционная</v>
      </c>
      <c r="C1587" s="1042" t="str">
        <f>'Смета Внутр'!C1594</f>
        <v>шт</v>
      </c>
      <c r="D1587" s="1058">
        <f>'Смета Внутр'!D1594</f>
        <v>0</v>
      </c>
      <c r="E1587" s="1042">
        <f>'Смета Внутр'!E1594</f>
        <v>3500</v>
      </c>
      <c r="F1587" s="1042">
        <f>'Смета Внутр'!F1594</f>
        <v>0</v>
      </c>
      <c r="G1587" s="1042">
        <f t="shared" si="67"/>
        <v>3500</v>
      </c>
      <c r="H1587" s="1042">
        <f>'Смета Внутр'!G1594</f>
        <v>0</v>
      </c>
      <c r="I1587" s="1042">
        <f>'Смета Внутр'!H1594</f>
        <v>0</v>
      </c>
      <c r="J1587" s="1058">
        <f>'Смета Внутр'!I1594</f>
        <v>0</v>
      </c>
    </row>
    <row r="1588" spans="2:10" ht="15" customHeight="1">
      <c r="B1588" s="1042" t="str">
        <f>'Смета Внутр'!B1595</f>
        <v>проодка кровельная, труба котел</v>
      </c>
      <c r="C1588" s="1042" t="str">
        <f>'Смета Внутр'!C1595</f>
        <v>шт</v>
      </c>
      <c r="D1588" s="1058">
        <f>'Смета Внутр'!D1595</f>
        <v>0</v>
      </c>
      <c r="E1588" s="1042">
        <f>'Смета Внутр'!E1595</f>
        <v>4500</v>
      </c>
      <c r="F1588" s="1042">
        <f>'Смета Внутр'!F1595</f>
        <v>0</v>
      </c>
      <c r="G1588" s="1042">
        <f t="shared" si="67"/>
        <v>4500</v>
      </c>
      <c r="H1588" s="1042">
        <f>'Смета Внутр'!G1595</f>
        <v>0</v>
      </c>
      <c r="I1588" s="1042">
        <f>'Смета Внутр'!H1595</f>
        <v>0</v>
      </c>
      <c r="J1588" s="1058">
        <f>'Смета Внутр'!I1595</f>
        <v>0</v>
      </c>
    </row>
    <row r="1589" spans="2:10" ht="15" customHeight="1">
      <c r="B1589" s="1042" t="str">
        <f>'Смета Внутр'!B1596</f>
        <v>Кровельный саморез</v>
      </c>
      <c r="C1589" s="1042" t="str">
        <f>'Смета Внутр'!C1596</f>
        <v>шт</v>
      </c>
      <c r="D1589" s="1058">
        <f>'Смета Внутр'!D1596</f>
        <v>2854.0230506672324</v>
      </c>
      <c r="E1589" s="1042">
        <f>'Смета Внутр'!E1596</f>
        <v>2</v>
      </c>
      <c r="F1589" s="1042">
        <f>'Смета Внутр'!F1596</f>
        <v>0</v>
      </c>
      <c r="G1589" s="1042">
        <f t="shared" si="67"/>
        <v>2</v>
      </c>
      <c r="H1589" s="1042">
        <f>'Смета Внутр'!G1596</f>
        <v>5708.0461013344648</v>
      </c>
      <c r="I1589" s="1042">
        <f>'Смета Внутр'!H1596</f>
        <v>0</v>
      </c>
      <c r="J1589" s="1058">
        <f>'Смета Внутр'!I1596</f>
        <v>0</v>
      </c>
    </row>
    <row r="1590" spans="2:10" ht="15" customHeight="1">
      <c r="B1590" s="1042" t="str">
        <f>'Смета Внутр'!B1597</f>
        <v xml:space="preserve">Гвозди ершоные 3,4 x 60            </v>
      </c>
      <c r="C1590" s="1042" t="str">
        <f>'Смета Внутр'!C1597</f>
        <v>кг</v>
      </c>
      <c r="D1590" s="1058">
        <f>'Смета Внутр'!D1597</f>
        <v>23.188937286671269</v>
      </c>
      <c r="E1590" s="1042">
        <f>'Смета Внутр'!E1597</f>
        <v>75.510000000000005</v>
      </c>
      <c r="F1590" s="1042">
        <f>'Смета Внутр'!F1597</f>
        <v>0</v>
      </c>
      <c r="G1590" s="1042">
        <f t="shared" si="67"/>
        <v>75.510000000000005</v>
      </c>
      <c r="H1590" s="1042">
        <f>'Смета Внутр'!G1597</f>
        <v>1750.9966545165476</v>
      </c>
      <c r="I1590" s="1042">
        <f>'Смета Внутр'!H1597</f>
        <v>0</v>
      </c>
      <c r="J1590" s="1058">
        <f>'Смета Внутр'!I1597</f>
        <v>0</v>
      </c>
    </row>
    <row r="1591" spans="2:10" ht="15" customHeight="1">
      <c r="B1591" s="1042" t="str">
        <f>'Смета Внутр'!B1598</f>
        <v xml:space="preserve">Гвозди ершоные 2,8 х 90            </v>
      </c>
      <c r="C1591" s="1042" t="str">
        <f>'Смета Внутр'!C1598</f>
        <v>кг</v>
      </c>
      <c r="D1591" s="1058">
        <f>'Смета Внутр'!D1598</f>
        <v>31.96989449186151</v>
      </c>
      <c r="E1591" s="1042">
        <f>'Смета Внутр'!E1598</f>
        <v>76.489999999999995</v>
      </c>
      <c r="F1591" s="1042">
        <f>'Смета Внутр'!F1598</f>
        <v>0</v>
      </c>
      <c r="G1591" s="1042">
        <f t="shared" si="67"/>
        <v>76.489999999999995</v>
      </c>
      <c r="H1591" s="1042">
        <f>'Смета Внутр'!G1598</f>
        <v>2445.3772296824868</v>
      </c>
      <c r="I1591" s="1042">
        <f>'Смета Внутр'!H1598</f>
        <v>0</v>
      </c>
      <c r="J1591" s="1058">
        <f>'Смета Внутр'!I1598</f>
        <v>0</v>
      </c>
    </row>
    <row r="1592" spans="2:10" ht="15" customHeight="1">
      <c r="B1592" s="1042" t="str">
        <f>'Смета Внутр'!B1599</f>
        <v xml:space="preserve">Пластина соеденительная 100х240х2           </v>
      </c>
      <c r="C1592" s="1042" t="str">
        <f>'Смета Внутр'!C1599</f>
        <v>шт</v>
      </c>
      <c r="D1592" s="1058">
        <f>'Смета Внутр'!D1599</f>
        <v>33.976464888895627</v>
      </c>
      <c r="E1592" s="1042">
        <f>'Смета Внутр'!E1599</f>
        <v>31.54</v>
      </c>
      <c r="F1592" s="1042">
        <f>'Смета Внутр'!F1599</f>
        <v>0</v>
      </c>
      <c r="G1592" s="1042">
        <f t="shared" si="67"/>
        <v>31.54</v>
      </c>
      <c r="H1592" s="1042">
        <f>'Смета Внутр'!G1599</f>
        <v>1071.6177025957682</v>
      </c>
      <c r="I1592" s="1042">
        <f>'Смета Внутр'!H1599</f>
        <v>0</v>
      </c>
      <c r="J1592" s="1058">
        <f>'Смета Внутр'!I1599</f>
        <v>0</v>
      </c>
    </row>
    <row r="1593" spans="2:10" ht="15" customHeight="1">
      <c r="B1593" s="1042" t="str">
        <f>'Смета Внутр'!B1600</f>
        <v xml:space="preserve">Уголок усиленный 90х70х55х2,5        </v>
      </c>
      <c r="C1593" s="1042" t="str">
        <f>'Смета Внутр'!C1600</f>
        <v>шт</v>
      </c>
      <c r="D1593" s="1058">
        <f>'Смета Внутр'!D1600</f>
        <v>475.67050844453877</v>
      </c>
      <c r="E1593" s="1042">
        <f>'Смета Внутр'!E1600</f>
        <v>30</v>
      </c>
      <c r="F1593" s="1042">
        <f>'Смета Внутр'!F1600</f>
        <v>0</v>
      </c>
      <c r="G1593" s="1042">
        <f t="shared" si="67"/>
        <v>30</v>
      </c>
      <c r="H1593" s="1042">
        <f>'Смета Внутр'!G1600</f>
        <v>14270.115253336164</v>
      </c>
      <c r="I1593" s="1042">
        <f>'Смета Внутр'!H1600</f>
        <v>0</v>
      </c>
      <c r="J1593" s="1058">
        <f>'Смета Внутр'!I1600</f>
        <v>0</v>
      </c>
    </row>
    <row r="1594" spans="2:10">
      <c r="B1594" s="3330" t="str">
        <f>'Смета Внутр'!B1601</f>
        <v>Итого материалы</v>
      </c>
      <c r="C1594" s="3330"/>
      <c r="D1594" s="3330"/>
      <c r="E1594" s="3330"/>
      <c r="F1594" s="3330"/>
      <c r="G1594" s="3330"/>
      <c r="H1594" s="1042">
        <f>'Смета Внутр'!G1601</f>
        <v>0</v>
      </c>
      <c r="I1594" s="1042">
        <f>'Смета Внутр'!H1601</f>
        <v>0</v>
      </c>
      <c r="J1594" s="1058">
        <f>'Смета Внутр'!I1601</f>
        <v>0</v>
      </c>
    </row>
    <row r="1595" spans="2:10" ht="15" customHeight="1">
      <c r="B1595" s="3002" t="str">
        <f>'Смета Внутр'!B1602</f>
        <v>Работы</v>
      </c>
      <c r="D1595" s="1167"/>
      <c r="H1595">
        <f>'Смета Внутр'!G1602</f>
        <v>0</v>
      </c>
      <c r="I1595">
        <f>'Смета Внутр'!H1602</f>
        <v>0</v>
      </c>
      <c r="J1595" s="3027">
        <f>'Смета Внутр'!I1602</f>
        <v>0</v>
      </c>
    </row>
    <row r="1596" spans="2:10" ht="15" customHeight="1">
      <c r="B1596" s="1042" t="str">
        <f>'Смета Внутр'!B1603</f>
        <v>монтаж мауэрлат</v>
      </c>
      <c r="C1596" s="1042" t="str">
        <f>'Смета Внутр'!C1603</f>
        <v>м.п.</v>
      </c>
      <c r="D1596" s="1058">
        <f>'Смета Внутр'!D1603</f>
        <v>139.09265127310908</v>
      </c>
      <c r="E1596" s="1042">
        <f>'Смета Внутр'!E1603</f>
        <v>250</v>
      </c>
      <c r="F1596" s="1042">
        <f>'Смета Внутр'!F1603</f>
        <v>0</v>
      </c>
      <c r="G1596" s="1042">
        <f t="shared" ref="G1596:G1613" si="68">IF(E1596&gt;F1596,E1596,F1596)</f>
        <v>250</v>
      </c>
      <c r="H1596" s="1042">
        <f>'Смета Внутр'!G1603</f>
        <v>34773.162818277269</v>
      </c>
      <c r="I1596" s="1042">
        <f>'Смета Внутр'!H1603</f>
        <v>0</v>
      </c>
      <c r="J1596" s="1058">
        <f>'Смета Внутр'!I1603</f>
        <v>0</v>
      </c>
    </row>
    <row r="1597" spans="2:10" ht="15" customHeight="1">
      <c r="B1597" s="1042" t="str">
        <f>'Смета Внутр'!B1604</f>
        <v>монтаж стропил</v>
      </c>
      <c r="C1597" s="1042" t="str">
        <f>'Смета Внутр'!C1604</f>
        <v>м2</v>
      </c>
      <c r="D1597" s="1058">
        <f>'Смета Внутр'!D1604</f>
        <v>237.83525422226938</v>
      </c>
      <c r="E1597" s="1042">
        <f>'Смета Внутр'!E1604</f>
        <v>450</v>
      </c>
      <c r="F1597" s="1042">
        <f>'Смета Внутр'!F1604</f>
        <v>0</v>
      </c>
      <c r="G1597" s="1042">
        <f t="shared" si="68"/>
        <v>450</v>
      </c>
      <c r="H1597" s="1042">
        <f>'Смета Внутр'!G1604</f>
        <v>107025.86440002122</v>
      </c>
      <c r="I1597" s="1042">
        <f>'Смета Внутр'!H1604</f>
        <v>0</v>
      </c>
      <c r="J1597" s="1058">
        <f>'Смета Внутр'!I1604</f>
        <v>0</v>
      </c>
    </row>
    <row r="1598" spans="2:10" ht="15" customHeight="1">
      <c r="B1598" s="1042" t="str">
        <f>'Смета Внутр'!B1605</f>
        <v>обрешетка</v>
      </c>
      <c r="C1598" s="1042" t="str">
        <f>'Смета Внутр'!C1605</f>
        <v>м2</v>
      </c>
      <c r="D1598" s="1058">
        <f>'Смета Внутр'!D1605</f>
        <v>237.83525422226938</v>
      </c>
      <c r="E1598" s="1042">
        <f>'Смета Внутр'!E1605</f>
        <v>100</v>
      </c>
      <c r="F1598" s="1042">
        <f>'Смета Внутр'!F1605</f>
        <v>0</v>
      </c>
      <c r="G1598" s="1042">
        <f t="shared" si="68"/>
        <v>100</v>
      </c>
      <c r="H1598" s="1042">
        <f>'Смета Внутр'!G1605</f>
        <v>23783.52542222694</v>
      </c>
      <c r="I1598" s="1042">
        <f>'Смета Внутр'!H1605</f>
        <v>0</v>
      </c>
      <c r="J1598" s="1058">
        <f>'Смета Внутр'!I1605</f>
        <v>0</v>
      </c>
    </row>
    <row r="1599" spans="2:10" ht="15" customHeight="1">
      <c r="B1599" s="1042" t="str">
        <f>'Смета Внутр'!B1606</f>
        <v>контробеш</v>
      </c>
      <c r="C1599" s="1042" t="str">
        <f>'Смета Внутр'!C1606</f>
        <v>м2</v>
      </c>
      <c r="D1599" s="1058">
        <f>'Смета Внутр'!D1606</f>
        <v>237.83525422226938</v>
      </c>
      <c r="E1599" s="1042">
        <f>'Смета Внутр'!E1606</f>
        <v>100</v>
      </c>
      <c r="F1599" s="1042">
        <f>'Смета Внутр'!F1606</f>
        <v>0</v>
      </c>
      <c r="G1599" s="1042">
        <f t="shared" si="68"/>
        <v>100</v>
      </c>
      <c r="H1599" s="1042">
        <f>'Смета Внутр'!G1606</f>
        <v>23783.52542222694</v>
      </c>
      <c r="I1599" s="1042">
        <f>'Смета Внутр'!H1606</f>
        <v>0</v>
      </c>
      <c r="J1599" s="1058">
        <f>'Смета Внутр'!I1606</f>
        <v>0</v>
      </c>
    </row>
    <row r="1600" spans="2:10" ht="15" customHeight="1">
      <c r="B1600" s="1042" t="str">
        <f>'Смета Внутр'!B1607</f>
        <v>мембрана</v>
      </c>
      <c r="C1600" s="1042" t="str">
        <f>'Смета Внутр'!C1607</f>
        <v>м2</v>
      </c>
      <c r="D1600" s="1058">
        <f>'Смета Внутр'!D1607</f>
        <v>237.83525422226938</v>
      </c>
      <c r="E1600" s="1042">
        <f>'Смета Внутр'!E1607</f>
        <v>100</v>
      </c>
      <c r="F1600" s="1042">
        <f>'Смета Внутр'!F1607</f>
        <v>0</v>
      </c>
      <c r="G1600" s="1042">
        <f t="shared" si="68"/>
        <v>100</v>
      </c>
      <c r="H1600" s="1042">
        <f>'Смета Внутр'!G1607</f>
        <v>23783.52542222694</v>
      </c>
      <c r="I1600" s="1042">
        <f>'Смета Внутр'!H1607</f>
        <v>0</v>
      </c>
      <c r="J1600" s="1058">
        <f>'Смета Внутр'!I1607</f>
        <v>0</v>
      </c>
    </row>
    <row r="1601" spans="2:10" ht="15" customHeight="1">
      <c r="B1601" s="1042" t="str">
        <f>'Смета Внутр'!B1608</f>
        <v>пароизоляц</v>
      </c>
      <c r="C1601" s="1042" t="str">
        <f>'Смета Внутр'!C1608</f>
        <v>м2</v>
      </c>
      <c r="D1601" s="1058">
        <f>'Смета Внутр'!D1608</f>
        <v>237.83525422226938</v>
      </c>
      <c r="E1601" s="1042">
        <f>'Смета Внутр'!E1608</f>
        <v>100</v>
      </c>
      <c r="F1601" s="1042">
        <f>'Смета Внутр'!F1608</f>
        <v>0</v>
      </c>
      <c r="G1601" s="1042">
        <f t="shared" si="68"/>
        <v>100</v>
      </c>
      <c r="H1601" s="1042">
        <f>'Смета Внутр'!G1608</f>
        <v>23783.52542222694</v>
      </c>
      <c r="I1601" s="1042">
        <f>'Смета Внутр'!H1608</f>
        <v>0</v>
      </c>
      <c r="J1601" s="1058">
        <f>'Смета Внутр'!I1608</f>
        <v>0</v>
      </c>
    </row>
    <row r="1602" spans="2:10" ht="15" customHeight="1">
      <c r="B1602" s="1042" t="str">
        <f>'Смета Внутр'!B1609</f>
        <v>утеплитель</v>
      </c>
      <c r="C1602" s="1042" t="str">
        <f>'Смета Внутр'!C1609</f>
        <v>м2</v>
      </c>
      <c r="D1602" s="1058">
        <f>'Смета Внутр'!D1609</f>
        <v>237.83525422226938</v>
      </c>
      <c r="E1602" s="1042">
        <f>'Смета Внутр'!E1609</f>
        <v>200</v>
      </c>
      <c r="F1602" s="1042">
        <f>'Смета Внутр'!F1609</f>
        <v>0</v>
      </c>
      <c r="G1602" s="1042">
        <f t="shared" si="68"/>
        <v>200</v>
      </c>
      <c r="H1602" s="1042">
        <f>'Смета Внутр'!G1609</f>
        <v>47567.050844453879</v>
      </c>
      <c r="I1602" s="1042">
        <f>'Смета Внутр'!H1609</f>
        <v>0</v>
      </c>
      <c r="J1602" s="1058">
        <f>'Смета Внутр'!I1609</f>
        <v>0</v>
      </c>
    </row>
    <row r="1603" spans="2:10" ht="15" customHeight="1">
      <c r="B1603" s="1042" t="str">
        <f>'Смета Внутр'!B1610</f>
        <v>Монтаж металлочерепицы</v>
      </c>
      <c r="C1603" s="1042" t="str">
        <f>'Смета Внутр'!C1610</f>
        <v>м2</v>
      </c>
      <c r="D1603" s="1058">
        <f>'Смета Внутр'!D1610</f>
        <v>237.83525422226938</v>
      </c>
      <c r="E1603" s="1042">
        <f>'Смета Внутр'!E1610</f>
        <v>300</v>
      </c>
      <c r="F1603" s="1042">
        <f>'Смета Внутр'!F1610</f>
        <v>0</v>
      </c>
      <c r="G1603" s="1042">
        <f t="shared" si="68"/>
        <v>300</v>
      </c>
      <c r="H1603" s="1042">
        <f>'Смета Внутр'!G1610</f>
        <v>71350.576266680815</v>
      </c>
      <c r="I1603" s="1042">
        <f>'Смета Внутр'!H1610</f>
        <v>0</v>
      </c>
      <c r="J1603" s="1058">
        <f>'Смета Внутр'!I1610</f>
        <v>0</v>
      </c>
    </row>
    <row r="1604" spans="2:10" ht="15" customHeight="1">
      <c r="B1604" s="1042" t="str">
        <f>'Смета Внутр'!B1611</f>
        <v>ендова верхняя планка</v>
      </c>
      <c r="C1604" s="1042" t="str">
        <f>'Смета Внутр'!C1611</f>
        <v>м.п.</v>
      </c>
      <c r="D1604" s="1058">
        <f>'Смета Внутр'!D1611</f>
        <v>0</v>
      </c>
      <c r="E1604" s="1042">
        <f>'Смета Внутр'!E1611</f>
        <v>100</v>
      </c>
      <c r="F1604" s="1042">
        <f>'Смета Внутр'!F1611</f>
        <v>0</v>
      </c>
      <c r="G1604" s="1042">
        <f t="shared" si="68"/>
        <v>100</v>
      </c>
      <c r="H1604" s="1042">
        <f>'Смета Внутр'!G1611</f>
        <v>0</v>
      </c>
      <c r="I1604" s="1042">
        <f>'Смета Внутр'!H1611</f>
        <v>0</v>
      </c>
      <c r="J1604" s="1058">
        <f>'Смета Внутр'!I1611</f>
        <v>0</v>
      </c>
    </row>
    <row r="1605" spans="2:10" ht="15" customHeight="1">
      <c r="B1605" s="1042" t="str">
        <f>'Смета Внутр'!B1612</f>
        <v>капельник планка</v>
      </c>
      <c r="C1605" s="1042" t="str">
        <f>'Смета Внутр'!C1612</f>
        <v>м.п.</v>
      </c>
      <c r="D1605" s="1058">
        <f>'Смета Внутр'!D1612</f>
        <v>62</v>
      </c>
      <c r="E1605" s="1042">
        <f>'Смета Внутр'!E1612</f>
        <v>100</v>
      </c>
      <c r="F1605" s="1042">
        <f>'Смета Внутр'!F1612</f>
        <v>0</v>
      </c>
      <c r="G1605" s="1042">
        <f t="shared" si="68"/>
        <v>100</v>
      </c>
      <c r="H1605" s="1042">
        <f>'Смета Внутр'!G1612</f>
        <v>6200</v>
      </c>
      <c r="I1605" s="1042">
        <f>'Смета Внутр'!H1612</f>
        <v>0</v>
      </c>
      <c r="J1605" s="1058">
        <f>'Смета Внутр'!I1612</f>
        <v>0</v>
      </c>
    </row>
    <row r="1606" spans="2:10" ht="15" customHeight="1">
      <c r="B1606" s="1042" t="str">
        <f>'Смета Внутр'!B1613</f>
        <v>желоб водосточный</v>
      </c>
      <c r="C1606" s="1042" t="str">
        <f>'Смета Внутр'!C1613</f>
        <v>м.п.</v>
      </c>
      <c r="D1606" s="1058">
        <f>'Смета Внутр'!D1613</f>
        <v>51.666666666666671</v>
      </c>
      <c r="E1606" s="1042">
        <f>'Смета Внутр'!E1613</f>
        <v>300</v>
      </c>
      <c r="F1606" s="1042">
        <f>'Смета Внутр'!F1613</f>
        <v>0</v>
      </c>
      <c r="G1606" s="1042">
        <f t="shared" si="68"/>
        <v>300</v>
      </c>
      <c r="H1606" s="1042">
        <f>'Смета Внутр'!G1613</f>
        <v>15500.000000000002</v>
      </c>
      <c r="I1606" s="1042">
        <f>'Смета Внутр'!H1613</f>
        <v>0</v>
      </c>
      <c r="J1606" s="1058">
        <f>'Смета Внутр'!I1613</f>
        <v>0</v>
      </c>
    </row>
    <row r="1607" spans="2:10" ht="15" customHeight="1">
      <c r="B1607" s="1042" t="str">
        <f>'Смета Внутр'!B1614</f>
        <v>труба водосточная</v>
      </c>
      <c r="C1607" s="1042" t="str">
        <f>'Смета Внутр'!C1614</f>
        <v>м.п.</v>
      </c>
      <c r="D1607" s="1058">
        <f>'Смета Внутр'!D1614</f>
        <v>62</v>
      </c>
      <c r="E1607" s="1042">
        <f>'Смета Внутр'!E1614</f>
        <v>300</v>
      </c>
      <c r="F1607" s="1042">
        <f>'Смета Внутр'!F1614</f>
        <v>0</v>
      </c>
      <c r="G1607" s="1042">
        <f t="shared" si="68"/>
        <v>300</v>
      </c>
      <c r="H1607" s="1042">
        <f>'Смета Внутр'!G1614</f>
        <v>18600</v>
      </c>
      <c r="I1607" s="1042">
        <f>'Смета Внутр'!H1614</f>
        <v>0</v>
      </c>
      <c r="J1607" s="1058">
        <f>'Смета Внутр'!I1614</f>
        <v>0</v>
      </c>
    </row>
    <row r="1608" spans="2:10" ht="15" customHeight="1">
      <c r="B1608" s="1042" t="str">
        <f>'Смета Внутр'!B1615</f>
        <v>карнизная планка</v>
      </c>
      <c r="C1608" s="1042" t="str">
        <f>'Смета Внутр'!C1615</f>
        <v>м.п.</v>
      </c>
      <c r="D1608" s="1058">
        <f>'Смета Внутр'!D1615</f>
        <v>26.90724809414742</v>
      </c>
      <c r="E1608" s="1042">
        <f>'Смета Внутр'!E1615</f>
        <v>300</v>
      </c>
      <c r="F1608" s="1042">
        <f>'Смета Внутр'!F1615</f>
        <v>0</v>
      </c>
      <c r="G1608" s="1042">
        <f t="shared" si="68"/>
        <v>300</v>
      </c>
      <c r="H1608" s="1042">
        <f>'Смета Внутр'!G1615</f>
        <v>8072.174428244226</v>
      </c>
      <c r="I1608" s="1042">
        <f>'Смета Внутр'!H1615</f>
        <v>0</v>
      </c>
      <c r="J1608" s="1058">
        <f>'Смета Внутр'!I1615</f>
        <v>0</v>
      </c>
    </row>
    <row r="1609" spans="2:10" ht="15" customHeight="1">
      <c r="B1609" s="1042" t="str">
        <f>'Смета Внутр'!B1616</f>
        <v>конек</v>
      </c>
      <c r="C1609" s="1042" t="str">
        <f>'Смета Внутр'!C1616</f>
        <v>м.п.</v>
      </c>
      <c r="D1609" s="1058">
        <f>'Смета Внутр'!D1616</f>
        <v>6</v>
      </c>
      <c r="E1609" s="1042">
        <f>'Смета Внутр'!E1616</f>
        <v>300</v>
      </c>
      <c r="F1609" s="1042">
        <f>'Смета Внутр'!F1616</f>
        <v>0</v>
      </c>
      <c r="G1609" s="1042">
        <f t="shared" si="68"/>
        <v>300</v>
      </c>
      <c r="H1609" s="1042">
        <f>'Смета Внутр'!G1616</f>
        <v>1800</v>
      </c>
      <c r="I1609" s="1042">
        <f>'Смета Внутр'!H1616</f>
        <v>0</v>
      </c>
      <c r="J1609" s="1058">
        <f>'Смета Внутр'!I1616</f>
        <v>0</v>
      </c>
    </row>
    <row r="1610" spans="2:10" ht="15" customHeight="1">
      <c r="B1610" s="1042" t="str">
        <f>'Смета Внутр'!B1617</f>
        <v>Монтаж ондулина</v>
      </c>
      <c r="C1610" s="1042" t="str">
        <f>'Смета Внутр'!C1617</f>
        <v>м2</v>
      </c>
      <c r="D1610" s="1058">
        <f>'Смета Внутр'!D1617</f>
        <v>0</v>
      </c>
      <c r="E1610" s="1042">
        <f>'Смета Внутр'!E1617</f>
        <v>300</v>
      </c>
      <c r="F1610" s="1042">
        <f>'Смета Внутр'!F1617</f>
        <v>0</v>
      </c>
      <c r="G1610" s="1042">
        <f t="shared" si="68"/>
        <v>300</v>
      </c>
      <c r="H1610" s="1042">
        <f>'Смета Внутр'!G1617</f>
        <v>0</v>
      </c>
      <c r="I1610" s="1042">
        <f>'Смета Внутр'!H1617</f>
        <v>0</v>
      </c>
      <c r="J1610" s="1058">
        <f>'Смета Внутр'!I1617</f>
        <v>0</v>
      </c>
    </row>
    <row r="1611" spans="2:10" ht="15" customHeight="1">
      <c r="B1611" s="1042" t="str">
        <f>'Смета Внутр'!B1618</f>
        <v>Монтаж фанеры/osb</v>
      </c>
      <c r="C1611" s="1042" t="str">
        <f>'Смета Внутр'!C1618</f>
        <v>м2</v>
      </c>
      <c r="D1611" s="1058">
        <f>'Смета Внутр'!D1618</f>
        <v>0</v>
      </c>
      <c r="E1611" s="1042">
        <f>'Смета Внутр'!E1618</f>
        <v>200</v>
      </c>
      <c r="F1611" s="1042">
        <f>'Смета Внутр'!F1618</f>
        <v>0</v>
      </c>
      <c r="G1611" s="1042">
        <f t="shared" si="68"/>
        <v>200</v>
      </c>
      <c r="H1611" s="1042">
        <f>'Смета Внутр'!G1618</f>
        <v>0</v>
      </c>
      <c r="I1611" s="1042">
        <f>'Смета Внутр'!H1618</f>
        <v>0</v>
      </c>
      <c r="J1611" s="1058">
        <f>'Смета Внутр'!I1618</f>
        <v>0</v>
      </c>
    </row>
    <row r="1612" spans="2:10" ht="15" customHeight="1">
      <c r="B1612" s="1042" t="str">
        <f>'Смета Внутр'!B1619</f>
        <v>монтаж подкладочного ковра</v>
      </c>
      <c r="C1612" s="1042" t="str">
        <f>'Смета Внутр'!C1619</f>
        <v>м2</v>
      </c>
      <c r="D1612" s="1058">
        <f>'Смета Внутр'!D1619</f>
        <v>0</v>
      </c>
      <c r="E1612" s="1042">
        <f>'Смета Внутр'!E1619</f>
        <v>150</v>
      </c>
      <c r="F1612" s="1042">
        <f>'Смета Внутр'!F1619</f>
        <v>0</v>
      </c>
      <c r="G1612" s="1042">
        <f t="shared" si="68"/>
        <v>150</v>
      </c>
      <c r="H1612" s="1042">
        <f>'Смета Внутр'!G1619</f>
        <v>0</v>
      </c>
      <c r="I1612" s="1042">
        <f>'Смета Внутр'!H1619</f>
        <v>0</v>
      </c>
      <c r="J1612" s="1058">
        <f>'Смета Внутр'!I1619</f>
        <v>0</v>
      </c>
    </row>
    <row r="1613" spans="2:10" ht="15" customHeight="1">
      <c r="B1613" s="1042" t="str">
        <f>'Смета Внутр'!B1620</f>
        <v>Монтаж мягкой кровли</v>
      </c>
      <c r="C1613" s="1042" t="str">
        <f>'Смета Внутр'!C1620</f>
        <v>м2</v>
      </c>
      <c r="D1613" s="1058">
        <f>'Смета Внутр'!D1620</f>
        <v>0</v>
      </c>
      <c r="E1613" s="1042">
        <f>'Смета Внутр'!E1620</f>
        <v>350</v>
      </c>
      <c r="F1613" s="1042">
        <f>'Смета Внутр'!F1620</f>
        <v>0</v>
      </c>
      <c r="G1613" s="1042">
        <f t="shared" si="68"/>
        <v>350</v>
      </c>
      <c r="H1613" s="1042">
        <f>'Смета Внутр'!G1620</f>
        <v>0</v>
      </c>
      <c r="I1613" s="1042">
        <f>'Смета Внутр'!H1620</f>
        <v>0</v>
      </c>
      <c r="J1613" s="1058">
        <f>'Смета Внутр'!I1620</f>
        <v>0</v>
      </c>
    </row>
    <row r="1614" spans="2:10" ht="15" customHeight="1">
      <c r="B1614" s="3330" t="str">
        <f>'Смета Внутр'!B1621</f>
        <v>Итого работы</v>
      </c>
      <c r="C1614" s="3330"/>
      <c r="D1614" s="3330"/>
      <c r="E1614" s="3330"/>
      <c r="F1614" s="3330"/>
      <c r="G1614" s="3330"/>
      <c r="H1614" s="1042">
        <f>'Смета Внутр'!G1621</f>
        <v>0</v>
      </c>
      <c r="I1614" s="1042">
        <f>'Смета Внутр'!H1621</f>
        <v>0</v>
      </c>
      <c r="J1614" s="1058">
        <f>'Смета Внутр'!I1621</f>
        <v>0</v>
      </c>
    </row>
    <row r="1615" spans="2:10" ht="15" customHeight="1">
      <c r="B1615" s="3329" t="str">
        <f>'Смета Внутр'!B1622</f>
        <v>Элементы на кровле</v>
      </c>
      <c r="C1615" s="3329"/>
      <c r="D1615" s="3329"/>
      <c r="H1615">
        <f>'Смета Внутр'!G1622</f>
        <v>0</v>
      </c>
      <c r="I1615">
        <f>'Смета Внутр'!H1622</f>
        <v>0</v>
      </c>
      <c r="J1615" s="3027">
        <f>'Смета Внутр'!I1622</f>
        <v>0</v>
      </c>
    </row>
    <row r="1616" spans="2:10" ht="15" customHeight="1">
      <c r="B1616" s="3002" t="str">
        <f>'Смета Внутр'!B1623</f>
        <v>Материалы</v>
      </c>
      <c r="D1616" s="1167"/>
      <c r="H1616">
        <f>'Смета Внутр'!G1623</f>
        <v>0</v>
      </c>
      <c r="I1616">
        <f>'Смета Внутр'!H1623</f>
        <v>0</v>
      </c>
      <c r="J1616" s="3027">
        <f>'Смета Внутр'!I1623</f>
        <v>0</v>
      </c>
    </row>
    <row r="1617" spans="2:10" ht="15" customHeight="1">
      <c r="B1617" s="1042" t="str">
        <f>'Смета Внутр'!B1624</f>
        <v>Доска сухая, 200*50мм</v>
      </c>
      <c r="C1617" s="1042" t="str">
        <f>'Смета Внутр'!C1624</f>
        <v>м3</v>
      </c>
      <c r="D1617" s="1058">
        <f>'Смета Внутр'!D1624</f>
        <v>1.2233714629099153</v>
      </c>
      <c r="E1617" s="1042">
        <f>'Смета Внутр'!E1624</f>
        <v>9000</v>
      </c>
      <c r="F1617" s="1042">
        <f>'Смета Внутр'!F1624</f>
        <v>0</v>
      </c>
      <c r="G1617" s="1042">
        <f t="shared" ref="G1617:G1656" si="69">IF(E1617&gt;F1617,E1617,F1617)</f>
        <v>9000</v>
      </c>
      <c r="H1617" s="1042">
        <f>'Смета Внутр'!G1624</f>
        <v>11010.343166189237</v>
      </c>
      <c r="I1617" s="1042">
        <f>'Смета Внутр'!H1624</f>
        <v>0</v>
      </c>
      <c r="J1617" s="1058">
        <f>'Смета Внутр'!I1624</f>
        <v>0</v>
      </c>
    </row>
    <row r="1618" spans="2:10" ht="15" customHeight="1">
      <c r="B1618" s="1042" t="str">
        <f>'Смета Внутр'!B1625</f>
        <v xml:space="preserve">бугель, доска </v>
      </c>
      <c r="C1618" s="1042" t="str">
        <f>'Смета Внутр'!C1625</f>
        <v>м3</v>
      </c>
      <c r="D1618" s="1058">
        <f>'Смета Внутр'!D1625</f>
        <v>0.2970000000000001</v>
      </c>
      <c r="E1618" s="1042">
        <f>'Смета Внутр'!E1625</f>
        <v>9000</v>
      </c>
      <c r="F1618" s="1042">
        <f>'Смета Внутр'!F1625</f>
        <v>0</v>
      </c>
      <c r="G1618" s="1042">
        <f t="shared" si="69"/>
        <v>9000</v>
      </c>
      <c r="H1618" s="1042">
        <f>'Смета Внутр'!G1625</f>
        <v>2673.0000000000009</v>
      </c>
      <c r="I1618" s="1042">
        <f>'Смета Внутр'!H1625</f>
        <v>0</v>
      </c>
      <c r="J1618" s="1058">
        <f>'Смета Внутр'!I1625</f>
        <v>0</v>
      </c>
    </row>
    <row r="1619" spans="2:10" ht="15" customHeight="1">
      <c r="B1619" s="1042" t="str">
        <f>'Смета Внутр'!B1626</f>
        <v>стойка под конек</v>
      </c>
      <c r="C1619" s="1042" t="str">
        <f>'Смета Внутр'!C1626</f>
        <v>м3</v>
      </c>
      <c r="D1619" s="1058">
        <f>'Смета Внутр'!D1626</f>
        <v>0.42177087639996641</v>
      </c>
      <c r="E1619" s="1042">
        <f>'Смета Внутр'!E1626</f>
        <v>9000</v>
      </c>
      <c r="F1619" s="1042">
        <f>'Смета Внутр'!F1626</f>
        <v>0</v>
      </c>
      <c r="G1619" s="1042">
        <f t="shared" si="69"/>
        <v>9000</v>
      </c>
      <c r="H1619" s="1042">
        <f>'Смета Внутр'!G1626</f>
        <v>3795.9378875996977</v>
      </c>
      <c r="I1619" s="1042">
        <f>'Смета Внутр'!H1626</f>
        <v>0</v>
      </c>
      <c r="J1619" s="1058">
        <f>'Смета Внутр'!I1626</f>
        <v>0</v>
      </c>
    </row>
    <row r="1620" spans="2:10" ht="15" customHeight="1">
      <c r="B1620" s="1042" t="str">
        <f>'Смета Внутр'!B1627</f>
        <v>Сосна влаж,100*25мм</v>
      </c>
      <c r="C1620" s="1042" t="str">
        <f>'Смета Внутр'!C1627</f>
        <v>м3</v>
      </c>
      <c r="D1620" s="1058">
        <f>'Смета Внутр'!D1627</f>
        <v>0.50612505167995969</v>
      </c>
      <c r="E1620" s="1042">
        <f>'Смета Внутр'!E1627</f>
        <v>6500</v>
      </c>
      <c r="F1620" s="1042">
        <f>'Смета Внутр'!F1627</f>
        <v>0</v>
      </c>
      <c r="G1620" s="1042">
        <f t="shared" si="69"/>
        <v>6500</v>
      </c>
      <c r="H1620" s="1042">
        <f>'Смета Внутр'!G1627</f>
        <v>3289.8128359197381</v>
      </c>
      <c r="I1620" s="1042">
        <f>'Смета Внутр'!H1627</f>
        <v>0</v>
      </c>
      <c r="J1620" s="1058">
        <f>'Смета Внутр'!I1627</f>
        <v>0</v>
      </c>
    </row>
    <row r="1621" spans="2:10" ht="15" customHeight="1">
      <c r="B1621" s="1042" t="str">
        <f>'Смета Внутр'!B1628</f>
        <v>Доска сухая, калибр., 35*45мм</v>
      </c>
      <c r="C1621" s="1042" t="str">
        <f>'Смета Внутр'!C1628</f>
        <v>шт</v>
      </c>
      <c r="D1621" s="1058">
        <f>'Смета Внутр'!D1628</f>
        <v>0.11625059780774073</v>
      </c>
      <c r="E1621" s="1042">
        <f>'Смета Внутр'!E1628</f>
        <v>12500</v>
      </c>
      <c r="F1621" s="1042">
        <f>'Смета Внутр'!F1628</f>
        <v>0</v>
      </c>
      <c r="G1621" s="1042">
        <f t="shared" si="69"/>
        <v>12500</v>
      </c>
      <c r="H1621" s="1042">
        <f>'Смета Внутр'!G1628</f>
        <v>1453.132472596759</v>
      </c>
      <c r="I1621" s="1042">
        <f>'Смета Внутр'!H1628</f>
        <v>0</v>
      </c>
      <c r="J1621" s="1058">
        <f>'Смета Внутр'!I1628</f>
        <v>0</v>
      </c>
    </row>
    <row r="1622" spans="2:10" ht="15" customHeight="1">
      <c r="B1622" s="1042" t="str">
        <f>'Смета Внутр'!B1629</f>
        <v>нет ветроизоляции</v>
      </c>
      <c r="C1622" s="1042" t="str">
        <f>'Смета Внутр'!C1629</f>
        <v>м2</v>
      </c>
      <c r="D1622" s="1058">
        <f>'Смета Внутр'!D1629</f>
        <v>24.04093995479808</v>
      </c>
      <c r="E1622" s="1042">
        <f>'Смета Внутр'!E1629</f>
        <v>0</v>
      </c>
      <c r="F1622" s="1042">
        <f>'Смета Внутр'!F1629</f>
        <v>0</v>
      </c>
      <c r="G1622" s="1042">
        <f t="shared" si="69"/>
        <v>0</v>
      </c>
      <c r="H1622" s="1042">
        <f>'Смета Внутр'!G1629</f>
        <v>0</v>
      </c>
      <c r="I1622" s="1042">
        <f>'Смета Внутр'!H1629</f>
        <v>0</v>
      </c>
      <c r="J1622" s="1058">
        <f>'Смета Внутр'!I1629</f>
        <v>0</v>
      </c>
    </row>
    <row r="1623" spans="2:10" ht="15" customHeight="1">
      <c r="B1623" s="1042" t="str">
        <f>'Смета Внутр'!B1630</f>
        <v>нет пароизоляции</v>
      </c>
      <c r="C1623" s="1042" t="str">
        <f>'Смета Внутр'!C1630</f>
        <v>м2</v>
      </c>
      <c r="D1623" s="1058">
        <f>'Смета Внутр'!D1630</f>
        <v>22.037528291898244</v>
      </c>
      <c r="E1623" s="1042">
        <f>'Смета Внутр'!E1630</f>
        <v>0</v>
      </c>
      <c r="F1623" s="1042">
        <f>'Смета Внутр'!F1630</f>
        <v>0</v>
      </c>
      <c r="G1623" s="1042">
        <f t="shared" si="69"/>
        <v>0</v>
      </c>
      <c r="H1623" s="1042">
        <f>'Смета Внутр'!G1630</f>
        <v>0</v>
      </c>
      <c r="I1623" s="1042">
        <f>'Смета Внутр'!H1630</f>
        <v>0</v>
      </c>
      <c r="J1623" s="1058">
        <f>'Смета Внутр'!I1630</f>
        <v>0</v>
      </c>
    </row>
    <row r="1624" spans="2:10" ht="15" customHeight="1">
      <c r="B1624" s="1042" t="str">
        <f>'Смета Внутр'!B1631</f>
        <v>Плитный,28кг/м3, технониколь, 100мм</v>
      </c>
      <c r="C1624" s="1042" t="str">
        <f>'Смета Внутр'!C1631</f>
        <v>м3</v>
      </c>
      <c r="D1624" s="1058">
        <f>'Смета Внутр'!D1631</f>
        <v>2.0034116628998402</v>
      </c>
      <c r="E1624" s="1042">
        <f>'Смета Внутр'!E1631</f>
        <v>1700</v>
      </c>
      <c r="F1624" s="1042">
        <f>'Смета Внутр'!F1631</f>
        <v>0</v>
      </c>
      <c r="G1624" s="1042">
        <f t="shared" si="69"/>
        <v>1700</v>
      </c>
      <c r="H1624" s="1042">
        <f>'Смета Внутр'!G1631</f>
        <v>3405.7998269297282</v>
      </c>
      <c r="I1624" s="1042">
        <f>'Смета Внутр'!H1631</f>
        <v>0</v>
      </c>
      <c r="J1624" s="1058">
        <f>'Смета Внутр'!I1631</f>
        <v>0</v>
      </c>
    </row>
    <row r="1625" spans="2:10" ht="15" customHeight="1">
      <c r="B1625" s="1042" t="str">
        <f>'Смета Внутр'!B1632</f>
        <v>Металлочерепица</v>
      </c>
      <c r="C1625" s="1042" t="str">
        <f>'Смета Внутр'!C1632</f>
        <v>м2</v>
      </c>
      <c r="D1625" s="1058">
        <f>'Смета Внутр'!D1632</f>
        <v>28.04776328059776</v>
      </c>
      <c r="E1625" s="1042">
        <f>'Смета Внутр'!E1632</f>
        <v>250</v>
      </c>
      <c r="F1625" s="1042">
        <f>'Смета Внутр'!F1632</f>
        <v>0</v>
      </c>
      <c r="G1625" s="1042">
        <f t="shared" si="69"/>
        <v>250</v>
      </c>
      <c r="H1625" s="1042">
        <f>'Смета Внутр'!G1632</f>
        <v>7011.9408201494398</v>
      </c>
      <c r="I1625" s="1042">
        <f>'Смета Внутр'!H1632</f>
        <v>0</v>
      </c>
      <c r="J1625" s="1058">
        <f>'Смета Внутр'!I1632</f>
        <v>0</v>
      </c>
    </row>
    <row r="1626" spans="2:10" ht="15" customHeight="1">
      <c r="B1626" s="1042" t="str">
        <f>'Смета Внутр'!B1633</f>
        <v>Карнизная планка</v>
      </c>
      <c r="C1626" s="1042" t="str">
        <f>'Смета Внутр'!C1633</f>
        <v>м.п.</v>
      </c>
      <c r="D1626" s="1058">
        <f>'Смета Внутр'!D1633</f>
        <v>4</v>
      </c>
      <c r="E1626" s="1042">
        <f>'Смета Внутр'!E1633</f>
        <v>200</v>
      </c>
      <c r="F1626" s="1042">
        <f>'Смета Внутр'!F1633</f>
        <v>0</v>
      </c>
      <c r="G1626" s="1042">
        <f t="shared" si="69"/>
        <v>200</v>
      </c>
      <c r="H1626" s="1042">
        <f>'Смета Внутр'!G1633</f>
        <v>800</v>
      </c>
      <c r="I1626" s="1042">
        <f>'Смета Внутр'!H1633</f>
        <v>0</v>
      </c>
      <c r="J1626" s="1058">
        <f>'Смета Внутр'!I1633</f>
        <v>0</v>
      </c>
    </row>
    <row r="1627" spans="2:10" ht="15" customHeight="1">
      <c r="B1627" s="1042" t="str">
        <f>'Смета Внутр'!B1634</f>
        <v>Торцевая планка</v>
      </c>
      <c r="C1627" s="1042" t="str">
        <f>'Смета Внутр'!C1634</f>
        <v>м.п.</v>
      </c>
      <c r="D1627" s="1058">
        <f>'Смета Внутр'!D1634</f>
        <v>10.544271909999159</v>
      </c>
      <c r="E1627" s="1042">
        <f>'Смета Внутр'!E1634</f>
        <v>200</v>
      </c>
      <c r="F1627" s="1042">
        <f>'Смета Внутр'!F1634</f>
        <v>0</v>
      </c>
      <c r="G1627" s="1042">
        <f t="shared" si="69"/>
        <v>200</v>
      </c>
      <c r="H1627" s="1042">
        <f>'Смета Внутр'!G1634</f>
        <v>2108.8543819998317</v>
      </c>
      <c r="I1627" s="1042">
        <f>'Смета Внутр'!H1634</f>
        <v>0</v>
      </c>
      <c r="J1627" s="1058">
        <f>'Смета Внутр'!I1634</f>
        <v>0</v>
      </c>
    </row>
    <row r="1628" spans="2:10" ht="15" customHeight="1">
      <c r="B1628" s="1042" t="str">
        <f>'Смета Внутр'!B1635</f>
        <v>Конек</v>
      </c>
      <c r="C1628" s="1042" t="str">
        <f>'Смета Внутр'!C1635</f>
        <v>м.п.</v>
      </c>
      <c r="D1628" s="1058">
        <f>'Смета Внутр'!D1635</f>
        <v>4.8</v>
      </c>
      <c r="E1628" s="1042">
        <f>'Смета Внутр'!E1635</f>
        <v>230</v>
      </c>
      <c r="F1628" s="1042">
        <f>'Смета Внутр'!F1635</f>
        <v>0</v>
      </c>
      <c r="G1628" s="1042">
        <f t="shared" si="69"/>
        <v>230</v>
      </c>
      <c r="H1628" s="1042">
        <f>'Смета Внутр'!G1635</f>
        <v>1104</v>
      </c>
      <c r="I1628" s="1042">
        <f>'Смета Внутр'!H1635</f>
        <v>0</v>
      </c>
      <c r="J1628" s="1058">
        <f>'Смета Внутр'!I1635</f>
        <v>0</v>
      </c>
    </row>
    <row r="1629" spans="2:10" ht="15" customHeight="1">
      <c r="B1629" s="1042" t="str">
        <f>'Смета Внутр'!B1636</f>
        <v>Ендова нижняя</v>
      </c>
      <c r="C1629" s="1042" t="str">
        <f>'Смета Внутр'!C1636</f>
        <v>м.п.</v>
      </c>
      <c r="D1629" s="1058">
        <f>'Смета Внутр'!D1636</f>
        <v>12.142616803324158</v>
      </c>
      <c r="E1629" s="1042">
        <f>'Смета Внутр'!E1636</f>
        <v>160</v>
      </c>
      <c r="F1629" s="1042">
        <f>'Смета Внутр'!F1636</f>
        <v>0</v>
      </c>
      <c r="G1629" s="1042">
        <f t="shared" si="69"/>
        <v>160</v>
      </c>
      <c r="H1629" s="1042">
        <f>'Смета Внутр'!G1636</f>
        <v>1942.8186885318653</v>
      </c>
      <c r="I1629" s="1042">
        <f>'Смета Внутр'!H1636</f>
        <v>0</v>
      </c>
      <c r="J1629" s="1058">
        <f>'Смета Внутр'!I1636</f>
        <v>0</v>
      </c>
    </row>
    <row r="1630" spans="2:10" ht="15" customHeight="1">
      <c r="B1630" s="1042" t="str">
        <f>'Смета Внутр'!B1637</f>
        <v>Ендова верхняя</v>
      </c>
      <c r="C1630" s="1042" t="str">
        <f>'Смета Внутр'!C1637</f>
        <v>м.п.</v>
      </c>
      <c r="D1630" s="1058">
        <f>'Смета Внутр'!D1637</f>
        <v>12.142616803324158</v>
      </c>
      <c r="E1630" s="1042">
        <f>'Смета Внутр'!E1637</f>
        <v>190</v>
      </c>
      <c r="F1630" s="1042">
        <f>'Смета Внутр'!F1637</f>
        <v>0</v>
      </c>
      <c r="G1630" s="1042">
        <f t="shared" si="69"/>
        <v>190</v>
      </c>
      <c r="H1630" s="1042">
        <f>'Смета Внутр'!G1637</f>
        <v>2307.0971926315901</v>
      </c>
      <c r="I1630" s="1042">
        <f>'Смета Внутр'!H1637</f>
        <v>0</v>
      </c>
      <c r="J1630" s="1058">
        <f>'Смета Внутр'!I1637</f>
        <v>0</v>
      </c>
    </row>
    <row r="1631" spans="2:10" ht="15" customHeight="1">
      <c r="B1631" s="1042" t="str">
        <f>'Смета Внутр'!B1638</f>
        <v>ондулин</v>
      </c>
      <c r="C1631" s="1042" t="str">
        <f>'Смета Внутр'!C1638</f>
        <v>м2</v>
      </c>
      <c r="D1631" s="1058">
        <f>'Смета Внутр'!D1638</f>
        <v>0</v>
      </c>
      <c r="E1631" s="1042">
        <f>'Смета Внутр'!E1638</f>
        <v>180</v>
      </c>
      <c r="F1631" s="1042">
        <f>'Смета Внутр'!F1638</f>
        <v>0</v>
      </c>
      <c r="G1631" s="1042">
        <f t="shared" si="69"/>
        <v>180</v>
      </c>
      <c r="H1631" s="1042">
        <f>'Смета Внутр'!G1638</f>
        <v>0</v>
      </c>
      <c r="I1631" s="1042">
        <f>'Смета Внутр'!H1638</f>
        <v>0</v>
      </c>
      <c r="J1631" s="1058">
        <f>'Смета Внутр'!I1638</f>
        <v>0</v>
      </c>
    </row>
    <row r="1632" spans="2:10" ht="15" customHeight="1">
      <c r="B1632" s="1042" t="str">
        <f>'Смета Внутр'!B1639</f>
        <v>Карнизная планка</v>
      </c>
      <c r="C1632" s="1042" t="str">
        <f>'Смета Внутр'!C1639</f>
        <v>м.п.</v>
      </c>
      <c r="D1632" s="1058">
        <f>'Смета Внутр'!D1639</f>
        <v>0</v>
      </c>
      <c r="E1632" s="1042">
        <f>'Смета Внутр'!E1639</f>
        <v>190</v>
      </c>
      <c r="F1632" s="1042">
        <f>'Смета Внутр'!F1639</f>
        <v>0</v>
      </c>
      <c r="G1632" s="1042">
        <f t="shared" si="69"/>
        <v>190</v>
      </c>
      <c r="H1632" s="1042">
        <f>'Смета Внутр'!G1639</f>
        <v>0</v>
      </c>
      <c r="I1632" s="1042">
        <f>'Смета Внутр'!H1639</f>
        <v>0</v>
      </c>
      <c r="J1632" s="1058">
        <f>'Смета Внутр'!I1639</f>
        <v>0</v>
      </c>
    </row>
    <row r="1633" spans="2:10" ht="15" customHeight="1">
      <c r="B1633" s="1042" t="str">
        <f>'Смета Внутр'!B1640</f>
        <v>Торцевая планка</v>
      </c>
      <c r="C1633" s="1042" t="str">
        <f>'Смета Внутр'!C1640</f>
        <v>м.п.</v>
      </c>
      <c r="D1633" s="1058">
        <f>'Смета Внутр'!D1640</f>
        <v>0</v>
      </c>
      <c r="E1633" s="1042">
        <f>'Смета Внутр'!E1640</f>
        <v>190</v>
      </c>
      <c r="F1633" s="1042">
        <f>'Смета Внутр'!F1640</f>
        <v>0</v>
      </c>
      <c r="G1633" s="1042">
        <f t="shared" si="69"/>
        <v>190</v>
      </c>
      <c r="H1633" s="1042">
        <f>'Смета Внутр'!G1640</f>
        <v>0</v>
      </c>
      <c r="I1633" s="1042">
        <f>'Смета Внутр'!H1640</f>
        <v>0</v>
      </c>
      <c r="J1633" s="1058">
        <f>'Смета Внутр'!I1640</f>
        <v>0</v>
      </c>
    </row>
    <row r="1634" spans="2:10" ht="15" customHeight="1">
      <c r="B1634" s="1042" t="str">
        <f>'Смета Внутр'!B1641</f>
        <v>Конек</v>
      </c>
      <c r="C1634" s="1042" t="str">
        <f>'Смета Внутр'!C1641</f>
        <v>м.п.</v>
      </c>
      <c r="D1634" s="1058">
        <f>'Смета Внутр'!D1641</f>
        <v>0</v>
      </c>
      <c r="E1634" s="1042">
        <f>'Смета Внутр'!E1641</f>
        <v>200</v>
      </c>
      <c r="F1634" s="1042">
        <f>'Смета Внутр'!F1641</f>
        <v>0</v>
      </c>
      <c r="G1634" s="1042">
        <f t="shared" si="69"/>
        <v>200</v>
      </c>
      <c r="H1634" s="1042">
        <f>'Смета Внутр'!G1641</f>
        <v>0</v>
      </c>
      <c r="I1634" s="1042">
        <f>'Смета Внутр'!H1641</f>
        <v>0</v>
      </c>
      <c r="J1634" s="1058">
        <f>'Смета Внутр'!I1641</f>
        <v>0</v>
      </c>
    </row>
    <row r="1635" spans="2:10" ht="15" customHeight="1">
      <c r="B1635" s="1042" t="str">
        <f>'Смета Внутр'!B1642</f>
        <v>Ендова нижняя</v>
      </c>
      <c r="C1635" s="1042" t="str">
        <f>'Смета Внутр'!C1642</f>
        <v>м.п.</v>
      </c>
      <c r="D1635" s="1058">
        <f>'Смета Внутр'!D1642</f>
        <v>0</v>
      </c>
      <c r="E1635" s="1042">
        <f>'Смета Внутр'!E1642</f>
        <v>160</v>
      </c>
      <c r="F1635" s="1042">
        <f>'Смета Внутр'!F1642</f>
        <v>0</v>
      </c>
      <c r="G1635" s="1042">
        <f t="shared" si="69"/>
        <v>160</v>
      </c>
      <c r="H1635" s="1042">
        <f>'Смета Внутр'!G1642</f>
        <v>0</v>
      </c>
      <c r="I1635" s="1042">
        <f>'Смета Внутр'!H1642</f>
        <v>0</v>
      </c>
      <c r="J1635" s="1058">
        <f>'Смета Внутр'!I1642</f>
        <v>0</v>
      </c>
    </row>
    <row r="1636" spans="2:10" ht="15" customHeight="1">
      <c r="B1636" s="1042" t="str">
        <f>'Смета Внутр'!B1643</f>
        <v>Ендова верхняя</v>
      </c>
      <c r="C1636" s="1042" t="str">
        <f>'Смета Внутр'!C1643</f>
        <v>м.п.</v>
      </c>
      <c r="D1636" s="1058">
        <f>'Смета Внутр'!D1643</f>
        <v>0</v>
      </c>
      <c r="E1636" s="1042">
        <f>'Смета Внутр'!E1643</f>
        <v>190</v>
      </c>
      <c r="F1636" s="1042">
        <f>'Смета Внутр'!F1643</f>
        <v>0</v>
      </c>
      <c r="G1636" s="1042">
        <f t="shared" si="69"/>
        <v>190</v>
      </c>
      <c r="H1636" s="1042">
        <f>'Смета Внутр'!G1643</f>
        <v>0</v>
      </c>
      <c r="I1636" s="1042">
        <f>'Смета Внутр'!H1643</f>
        <v>0</v>
      </c>
      <c r="J1636" s="1058">
        <f>'Смета Внутр'!I1643</f>
        <v>0</v>
      </c>
    </row>
    <row r="1637" spans="2:10" ht="15" customHeight="1">
      <c r="B1637" s="1042" t="str">
        <f>'Смета Внутр'!B1644</f>
        <v>Планка примыкания</v>
      </c>
      <c r="C1637" s="1042" t="str">
        <f>'Смета Внутр'!C1644</f>
        <v>м.п.</v>
      </c>
      <c r="D1637" s="1058">
        <f>'Смета Внутр'!D1644</f>
        <v>0</v>
      </c>
      <c r="E1637" s="1042">
        <f>'Смета Внутр'!E1644</f>
        <v>190</v>
      </c>
      <c r="F1637" s="1042">
        <f>'Смета Внутр'!F1644</f>
        <v>0</v>
      </c>
      <c r="G1637" s="1042">
        <f t="shared" si="69"/>
        <v>190</v>
      </c>
      <c r="H1637" s="1042">
        <f>'Смета Внутр'!G1644</f>
        <v>0</v>
      </c>
      <c r="I1637" s="1042">
        <f>'Смета Внутр'!H1644</f>
        <v>0</v>
      </c>
      <c r="J1637" s="1058">
        <f>'Смета Внутр'!I1644</f>
        <v>0</v>
      </c>
    </row>
    <row r="1638" spans="2:10" ht="15" customHeight="1">
      <c r="B1638" s="1042" t="str">
        <f>'Смета Внутр'!B1645</f>
        <v>Крепеж для ондулина</v>
      </c>
      <c r="C1638" s="1042" t="str">
        <f>'Смета Внутр'!C1645</f>
        <v>шт</v>
      </c>
      <c r="D1638" s="1058">
        <f>'Смета Внутр'!D1645</f>
        <v>0</v>
      </c>
      <c r="E1638" s="1042">
        <f>'Смета Внутр'!E1645</f>
        <v>4.5</v>
      </c>
      <c r="F1638" s="1042">
        <f>'Смета Внутр'!F1645</f>
        <v>0</v>
      </c>
      <c r="G1638" s="1042">
        <f t="shared" si="69"/>
        <v>4.5</v>
      </c>
      <c r="H1638" s="1042">
        <f>'Смета Внутр'!G1645</f>
        <v>0</v>
      </c>
      <c r="I1638" s="1042">
        <f>'Смета Внутр'!H1645</f>
        <v>0</v>
      </c>
      <c r="J1638" s="1058">
        <f>'Смета Внутр'!I1645</f>
        <v>0</v>
      </c>
    </row>
    <row r="1639" spans="2:10" ht="15" customHeight="1">
      <c r="B1639" s="1042" t="str">
        <f>'Смета Внутр'!B1646</f>
        <v xml:space="preserve">Фанера Березовая марка ФК - влагостойкая,  18 мм </v>
      </c>
      <c r="C1639" s="1042" t="str">
        <f>'Смета Внутр'!C1646</f>
        <v>м2</v>
      </c>
      <c r="D1639" s="1058">
        <f>'Смета Внутр'!D1646</f>
        <v>22.037528291898244</v>
      </c>
      <c r="E1639" s="1042">
        <f>'Смета Внутр'!E1646</f>
        <v>533.33333333333337</v>
      </c>
      <c r="F1639" s="1042">
        <f>'Смета Внутр'!F1646</f>
        <v>0</v>
      </c>
      <c r="G1639" s="1042">
        <f t="shared" si="69"/>
        <v>533.33333333333337</v>
      </c>
      <c r="H1639" s="1042">
        <f>'Смета Внутр'!G1646</f>
        <v>11753.348422345731</v>
      </c>
      <c r="I1639" s="1042">
        <f>'Смета Внутр'!H1646</f>
        <v>0</v>
      </c>
      <c r="J1639" s="1058">
        <f>'Смета Внутр'!I1646</f>
        <v>0</v>
      </c>
    </row>
    <row r="1640" spans="2:10" ht="15" customHeight="1">
      <c r="B1640" s="1042" t="str">
        <f>'Смета Внутр'!B1647</f>
        <v>Рядовая черепица</v>
      </c>
      <c r="C1640" s="1042" t="str">
        <f>'Смета Внутр'!C1647</f>
        <v>м2</v>
      </c>
      <c r="D1640" s="1058">
        <f>'Смета Внутр'!D1647</f>
        <v>0</v>
      </c>
      <c r="E1640" s="1042">
        <f>'Смета Внутр'!E1647</f>
        <v>360</v>
      </c>
      <c r="F1640" s="1042">
        <f>'Смета Внутр'!F1647</f>
        <v>0</v>
      </c>
      <c r="G1640" s="1042">
        <f t="shared" si="69"/>
        <v>360</v>
      </c>
      <c r="H1640" s="1042">
        <f>'Смета Внутр'!G1647</f>
        <v>0</v>
      </c>
      <c r="I1640" s="1042">
        <f>'Смета Внутр'!H1647</f>
        <v>0</v>
      </c>
      <c r="J1640" s="1058">
        <f>'Смета Внутр'!I1647</f>
        <v>0</v>
      </c>
    </row>
    <row r="1641" spans="2:10" ht="15" customHeight="1">
      <c r="B1641" s="1042" t="str">
        <f>'Смета Внутр'!B1648</f>
        <v>Металл оцинк защита (карниз)</v>
      </c>
      <c r="C1641" s="1042" t="str">
        <f>'Смета Внутр'!C1648</f>
        <v>м.п.</v>
      </c>
      <c r="D1641" s="1058">
        <f>'Смета Внутр'!D1648</f>
        <v>0</v>
      </c>
      <c r="E1641" s="1042">
        <f>'Смета Внутр'!E1648</f>
        <v>200</v>
      </c>
      <c r="F1641" s="1042">
        <f>'Смета Внутр'!F1648</f>
        <v>0</v>
      </c>
      <c r="G1641" s="1042">
        <f t="shared" si="69"/>
        <v>200</v>
      </c>
      <c r="H1641" s="1042">
        <f>'Смета Внутр'!G1648</f>
        <v>0</v>
      </c>
      <c r="I1641" s="1042">
        <f>'Смета Внутр'!H1648</f>
        <v>0</v>
      </c>
      <c r="J1641" s="1058">
        <f>'Смета Внутр'!I1648</f>
        <v>0</v>
      </c>
    </row>
    <row r="1642" spans="2:10" ht="15" customHeight="1">
      <c r="B1642" s="1042" t="str">
        <f>'Смета Внутр'!B1649</f>
        <v>Подкладочный ковер</v>
      </c>
      <c r="C1642" s="1042" t="str">
        <f>'Смета Внутр'!C1649</f>
        <v>м.п.</v>
      </c>
      <c r="D1642" s="1058">
        <f>'Смета Внутр'!D1649</f>
        <v>0</v>
      </c>
      <c r="E1642" s="1042">
        <f>'Смета Внутр'!E1649</f>
        <v>220</v>
      </c>
      <c r="F1642" s="1042">
        <f>'Смета Внутр'!F1649</f>
        <v>0</v>
      </c>
      <c r="G1642" s="1042">
        <f t="shared" si="69"/>
        <v>220</v>
      </c>
      <c r="H1642" s="1042">
        <f>'Смета Внутр'!G1649</f>
        <v>0</v>
      </c>
      <c r="I1642" s="1042">
        <f>'Смета Внутр'!H1649</f>
        <v>0</v>
      </c>
      <c r="J1642" s="1058">
        <f>'Смета Внутр'!I1649</f>
        <v>0</v>
      </c>
    </row>
    <row r="1643" spans="2:10" ht="15" customHeight="1">
      <c r="B1643" s="1042" t="str">
        <f>'Смета Внутр'!B1650</f>
        <v>Карнизная самоклеющаяся черепица</v>
      </c>
      <c r="C1643" s="1042" t="str">
        <f>'Смета Внутр'!C1650</f>
        <v>м.п.</v>
      </c>
      <c r="D1643" s="1058">
        <f>'Смета Внутр'!D1650</f>
        <v>0</v>
      </c>
      <c r="E1643" s="1042">
        <f>'Смета Внутр'!E1650</f>
        <v>220</v>
      </c>
      <c r="F1643" s="1042">
        <f>'Смета Внутр'!F1650</f>
        <v>0</v>
      </c>
      <c r="G1643" s="1042">
        <f t="shared" si="69"/>
        <v>220</v>
      </c>
      <c r="H1643" s="1042">
        <f>'Смета Внутр'!G1650</f>
        <v>0</v>
      </c>
      <c r="I1643" s="1042">
        <f>'Смета Внутр'!H1650</f>
        <v>0</v>
      </c>
      <c r="J1643" s="1058">
        <f>'Смета Внутр'!I1650</f>
        <v>0</v>
      </c>
    </row>
    <row r="1644" spans="2:10" ht="15" customHeight="1">
      <c r="B1644" s="1042" t="str">
        <f>'Смета Внутр'!B1651</f>
        <v>Спец ковер ендова нижняя</v>
      </c>
      <c r="C1644" s="1042" t="str">
        <f>'Смета Внутр'!C1651</f>
        <v>м.п.</v>
      </c>
      <c r="D1644" s="1058">
        <f>'Смета Внутр'!D1651</f>
        <v>0</v>
      </c>
      <c r="E1644" s="1042">
        <f>'Смета Внутр'!E1651</f>
        <v>200</v>
      </c>
      <c r="F1644" s="1042">
        <f>'Смета Внутр'!F1651</f>
        <v>0</v>
      </c>
      <c r="G1644" s="1042">
        <f t="shared" si="69"/>
        <v>200</v>
      </c>
      <c r="H1644" s="1042">
        <f>'Смета Внутр'!G1651</f>
        <v>0</v>
      </c>
      <c r="I1644" s="1042">
        <f>'Смета Внутр'!H1651</f>
        <v>0</v>
      </c>
      <c r="J1644" s="1058">
        <f>'Смета Внутр'!I1651</f>
        <v>0</v>
      </c>
    </row>
    <row r="1645" spans="2:10" ht="15" customHeight="1">
      <c r="B1645" s="1042" t="str">
        <f>'Смета Внутр'!B1652</f>
        <v>Коньковой элемент</v>
      </c>
      <c r="C1645" s="1042" t="str">
        <f>'Смета Внутр'!C1652</f>
        <v>м.п.</v>
      </c>
      <c r="D1645" s="1058">
        <f>'Смета Внутр'!D1652</f>
        <v>0</v>
      </c>
      <c r="E1645" s="1042">
        <f>'Смета Внутр'!E1652</f>
        <v>250</v>
      </c>
      <c r="F1645" s="1042">
        <f>'Смета Внутр'!F1652</f>
        <v>0</v>
      </c>
      <c r="G1645" s="1042">
        <f t="shared" si="69"/>
        <v>250</v>
      </c>
      <c r="H1645" s="1042">
        <f>'Смета Внутр'!G1652</f>
        <v>0</v>
      </c>
      <c r="I1645" s="1042">
        <f>'Смета Внутр'!H1652</f>
        <v>0</v>
      </c>
      <c r="J1645" s="1058">
        <f>'Смета Внутр'!I1652</f>
        <v>0</v>
      </c>
    </row>
    <row r="1646" spans="2:10" ht="15" customHeight="1">
      <c r="B1646" s="1042" t="str">
        <f>'Смета Внутр'!B1653</f>
        <v>Планка премыкания</v>
      </c>
      <c r="C1646" s="1042" t="str">
        <f>'Смета Внутр'!C1653</f>
        <v>м.п.</v>
      </c>
      <c r="D1646" s="1058">
        <f>'Смета Внутр'!D1653</f>
        <v>0</v>
      </c>
      <c r="E1646" s="1042">
        <f>'Смета Внутр'!E1653</f>
        <v>200</v>
      </c>
      <c r="F1646" s="1042">
        <f>'Смета Внутр'!F1653</f>
        <v>0</v>
      </c>
      <c r="G1646" s="1042">
        <f t="shared" si="69"/>
        <v>200</v>
      </c>
      <c r="H1646" s="1042">
        <f>'Смета Внутр'!G1653</f>
        <v>0</v>
      </c>
      <c r="I1646" s="1042">
        <f>'Смета Внутр'!H1653</f>
        <v>0</v>
      </c>
      <c r="J1646" s="1058">
        <f>'Смета Внутр'!I1653</f>
        <v>0</v>
      </c>
    </row>
    <row r="1647" spans="2:10" ht="15" customHeight="1">
      <c r="B1647" s="1042" t="str">
        <f>'Смета Внутр'!B1654</f>
        <v>Гвозди для крепления подкладочного ковра</v>
      </c>
      <c r="C1647" s="1042" t="str">
        <f>'Смета Внутр'!C1654</f>
        <v>шт</v>
      </c>
      <c r="D1647" s="1058">
        <f>'Смета Внутр'!D1654</f>
        <v>0</v>
      </c>
      <c r="E1647" s="1042">
        <f>'Смета Внутр'!E1654</f>
        <v>1.2E-2</v>
      </c>
      <c r="F1647" s="1042">
        <f>'Смета Внутр'!F1654</f>
        <v>0</v>
      </c>
      <c r="G1647" s="1042">
        <f t="shared" si="69"/>
        <v>1.2E-2</v>
      </c>
      <c r="H1647" s="1042">
        <f>'Смета Внутр'!G1654</f>
        <v>0</v>
      </c>
      <c r="I1647" s="1042">
        <f>'Смета Внутр'!H1654</f>
        <v>0</v>
      </c>
      <c r="J1647" s="1058">
        <f>'Смета Внутр'!I1654</f>
        <v>0</v>
      </c>
    </row>
    <row r="1648" spans="2:10" ht="15" customHeight="1">
      <c r="B1648" s="1042" t="str">
        <f>'Смета Внутр'!B1655</f>
        <v>Гвозди для крепления черепицы</v>
      </c>
      <c r="C1648" s="1042" t="str">
        <f>'Смета Внутр'!C1655</f>
        <v>шт</v>
      </c>
      <c r="D1648" s="1058">
        <f>'Смета Внутр'!D1655</f>
        <v>0</v>
      </c>
      <c r="E1648" s="1042">
        <f>'Смета Внутр'!E1655</f>
        <v>0.25</v>
      </c>
      <c r="F1648" s="1042">
        <f>'Смета Внутр'!F1655</f>
        <v>0</v>
      </c>
      <c r="G1648" s="1042">
        <f t="shared" si="69"/>
        <v>0.25</v>
      </c>
      <c r="H1648" s="1042">
        <f>'Смета Внутр'!G1655</f>
        <v>0</v>
      </c>
      <c r="I1648" s="1042">
        <f>'Смета Внутр'!H1655</f>
        <v>0</v>
      </c>
      <c r="J1648" s="1058">
        <f>'Смета Внутр'!I1655</f>
        <v>0</v>
      </c>
    </row>
    <row r="1649" spans="2:10" ht="15" customHeight="1">
      <c r="B1649" s="1042" t="str">
        <f>'Смета Внутр'!B1656</f>
        <v>Клей для монтажа черепицы</v>
      </c>
      <c r="C1649" s="1042" t="str">
        <f>'Смета Внутр'!C1656</f>
        <v>кг</v>
      </c>
      <c r="D1649" s="1058">
        <f>'Смета Внутр'!D1656</f>
        <v>0</v>
      </c>
      <c r="E1649" s="1042">
        <f>'Смета Внутр'!E1656</f>
        <v>250</v>
      </c>
      <c r="F1649" s="1042">
        <f>'Смета Внутр'!F1656</f>
        <v>0</v>
      </c>
      <c r="G1649" s="1042">
        <f t="shared" si="69"/>
        <v>250</v>
      </c>
      <c r="H1649" s="1042">
        <f>'Смета Внутр'!G1656</f>
        <v>0</v>
      </c>
      <c r="I1649" s="1042">
        <f>'Смета Внутр'!H1656</f>
        <v>0</v>
      </c>
      <c r="J1649" s="1058">
        <f>'Смета Внутр'!I1656</f>
        <v>0</v>
      </c>
    </row>
    <row r="1650" spans="2:10" ht="15" customHeight="1">
      <c r="B1650" s="1042" t="str">
        <f>'Смета Внутр'!B1657</f>
        <v>лента дельта мульти бэнд</v>
      </c>
      <c r="C1650" s="1042" t="str">
        <f>'Смета Внутр'!C1657</f>
        <v>шт</v>
      </c>
      <c r="D1650" s="1058">
        <f>'Смета Внутр'!D1657</f>
        <v>1.6695097190832</v>
      </c>
      <c r="E1650" s="1042">
        <f>'Смета Внутр'!E1657</f>
        <v>1200</v>
      </c>
      <c r="F1650" s="1042">
        <f>'Смета Внутр'!F1657</f>
        <v>0</v>
      </c>
      <c r="G1650" s="1042">
        <f t="shared" si="69"/>
        <v>1200</v>
      </c>
      <c r="H1650" s="1042">
        <f>'Смета Внутр'!G1657</f>
        <v>2003.4116628998399</v>
      </c>
      <c r="I1650" s="1042">
        <f>'Смета Внутр'!H1657</f>
        <v>0</v>
      </c>
      <c r="J1650" s="1058">
        <f>'Смета Внутр'!I1657</f>
        <v>0</v>
      </c>
    </row>
    <row r="1651" spans="2:10" ht="15" customHeight="1">
      <c r="B1651" s="1042" t="str">
        <f>'Смета Внутр'!B1658</f>
        <v>лента дельта sb-60</v>
      </c>
      <c r="C1651" s="1042" t="str">
        <f>'Смета Внутр'!C1658</f>
        <v>шт</v>
      </c>
      <c r="D1651" s="1058">
        <f>'Смета Внутр'!D1658</f>
        <v>0.80136466515993598</v>
      </c>
      <c r="E1651" s="1042">
        <f>'Смета Внутр'!E1658</f>
        <v>1100</v>
      </c>
      <c r="F1651" s="1042">
        <f>'Смета Внутр'!F1658</f>
        <v>0</v>
      </c>
      <c r="G1651" s="1042">
        <f t="shared" si="69"/>
        <v>1100</v>
      </c>
      <c r="H1651" s="1042">
        <f>'Смета Внутр'!G1658</f>
        <v>881.50113167592963</v>
      </c>
      <c r="I1651" s="1042">
        <f>'Смета Внутр'!H1658</f>
        <v>0</v>
      </c>
      <c r="J1651" s="1058">
        <f>'Смета Внутр'!I1658</f>
        <v>0</v>
      </c>
    </row>
    <row r="1652" spans="2:10" ht="15" customHeight="1">
      <c r="B1652" s="1042" t="str">
        <f>'Смета Внутр'!B1659</f>
        <v>Кровельный саморез</v>
      </c>
      <c r="C1652" s="1042" t="str">
        <f>'Смета Внутр'!C1659</f>
        <v>шт</v>
      </c>
      <c r="D1652" s="1058">
        <f>'Смета Внутр'!D1659</f>
        <v>240.4093995479808</v>
      </c>
      <c r="E1652" s="1042">
        <f>'Смета Внутр'!E1659</f>
        <v>2</v>
      </c>
      <c r="F1652" s="1042">
        <f>'Смета Внутр'!F1659</f>
        <v>0</v>
      </c>
      <c r="G1652" s="1042">
        <f t="shared" si="69"/>
        <v>2</v>
      </c>
      <c r="H1652" s="1042">
        <f>'Смета Внутр'!G1659</f>
        <v>480.81879909596159</v>
      </c>
      <c r="I1652" s="1042">
        <f>'Смета Внутр'!H1659</f>
        <v>0</v>
      </c>
      <c r="J1652" s="1058">
        <f>'Смета Внутр'!I1659</f>
        <v>0</v>
      </c>
    </row>
    <row r="1653" spans="2:10" ht="15" customHeight="1">
      <c r="B1653" s="1042" t="str">
        <f>'Смета Внутр'!B1660</f>
        <v xml:space="preserve">Гвозди ершоные 3,4 x 60            </v>
      </c>
      <c r="C1653" s="1042" t="str">
        <f>'Смета Внутр'!C1660</f>
        <v>кг</v>
      </c>
      <c r="D1653" s="1058">
        <f>'Смета Внутр'!D1660</f>
        <v>7.5918757751993953</v>
      </c>
      <c r="E1653" s="1042">
        <f>'Смета Внутр'!E1660</f>
        <v>75.510000000000005</v>
      </c>
      <c r="F1653" s="1042">
        <f>'Смета Внутр'!F1660</f>
        <v>0</v>
      </c>
      <c r="G1653" s="1042">
        <f t="shared" si="69"/>
        <v>75.510000000000005</v>
      </c>
      <c r="H1653" s="1042">
        <f>'Смета Внутр'!G1660</f>
        <v>573.26253978530633</v>
      </c>
      <c r="I1653" s="1042">
        <f>'Смета Внутр'!H1660</f>
        <v>0</v>
      </c>
      <c r="J1653" s="1058">
        <f>'Смета Внутр'!I1660</f>
        <v>0</v>
      </c>
    </row>
    <row r="1654" spans="2:10" ht="15" customHeight="1">
      <c r="B1654" s="1042" t="str">
        <f>'Смета Внутр'!B1661</f>
        <v xml:space="preserve">Гвозди ершоные 2,8 х 90            </v>
      </c>
      <c r="C1654" s="1042" t="str">
        <f>'Смета Внутр'!C1661</f>
        <v>кг</v>
      </c>
      <c r="D1654" s="1058">
        <f>'Смета Внутр'!D1661</f>
        <v>19.421423393098816</v>
      </c>
      <c r="E1654" s="1042">
        <f>'Смета Внутр'!E1661</f>
        <v>76.489999999999995</v>
      </c>
      <c r="F1654" s="1042">
        <f>'Смета Внутр'!F1661</f>
        <v>0</v>
      </c>
      <c r="G1654" s="1042">
        <f t="shared" si="69"/>
        <v>76.489999999999995</v>
      </c>
      <c r="H1654" s="1042">
        <f>'Смета Внутр'!G1661</f>
        <v>1485.5446753381284</v>
      </c>
      <c r="I1654" s="1042">
        <f>'Смета Внутр'!H1661</f>
        <v>0</v>
      </c>
      <c r="J1654" s="1058">
        <f>'Смета Внутр'!I1661</f>
        <v>0</v>
      </c>
    </row>
    <row r="1655" spans="2:10" ht="15" customHeight="1">
      <c r="B1655" s="1042" t="str">
        <f>'Смета Внутр'!B1662</f>
        <v xml:space="preserve">Пластина соеденительная 100х240х2           </v>
      </c>
      <c r="C1655" s="1042" t="str">
        <f>'Смета Внутр'!C1662</f>
        <v>шт</v>
      </c>
      <c r="D1655" s="1058">
        <f>'Смета Внутр'!D1662</f>
        <v>18</v>
      </c>
      <c r="E1655" s="1042">
        <f>'Смета Внутр'!E1662</f>
        <v>31.54</v>
      </c>
      <c r="F1655" s="1042">
        <f>'Смета Внутр'!F1662</f>
        <v>0</v>
      </c>
      <c r="G1655" s="1042">
        <f t="shared" si="69"/>
        <v>31.54</v>
      </c>
      <c r="H1655" s="1042">
        <f>'Смета Внутр'!G1662</f>
        <v>567.72</v>
      </c>
      <c r="I1655" s="1042">
        <f>'Смета Внутр'!H1662</f>
        <v>0</v>
      </c>
      <c r="J1655" s="1058">
        <f>'Смета Внутр'!I1662</f>
        <v>0</v>
      </c>
    </row>
    <row r="1656" spans="2:10" ht="15" customHeight="1">
      <c r="B1656" s="1042" t="str">
        <f>'Смета Внутр'!B1663</f>
        <v xml:space="preserve">Уголок усиленный 90х70х55х2,5        </v>
      </c>
      <c r="C1656" s="1042" t="str">
        <f>'Смета Внутр'!C1663</f>
        <v>шт</v>
      </c>
      <c r="D1656" s="1058">
        <f>'Смета Внутр'!D1663</f>
        <v>18</v>
      </c>
      <c r="E1656" s="1042">
        <f>'Смета Внутр'!E1663</f>
        <v>30</v>
      </c>
      <c r="F1656" s="1042">
        <f>'Смета Внутр'!F1663</f>
        <v>0</v>
      </c>
      <c r="G1656" s="1042">
        <f t="shared" si="69"/>
        <v>30</v>
      </c>
      <c r="H1656" s="1042">
        <f>'Смета Внутр'!G1663</f>
        <v>540</v>
      </c>
      <c r="I1656" s="1042">
        <f>'Смета Внутр'!H1663</f>
        <v>0</v>
      </c>
      <c r="J1656" s="1058">
        <f>'Смета Внутр'!I1663</f>
        <v>0</v>
      </c>
    </row>
    <row r="1657" spans="2:10">
      <c r="B1657" s="3330" t="str">
        <f>'Смета Внутр'!B1664</f>
        <v>Итого материалы</v>
      </c>
      <c r="C1657" s="3330"/>
      <c r="D1657" s="3330"/>
      <c r="E1657" s="3330"/>
      <c r="F1657" s="3330"/>
      <c r="G1657" s="3330"/>
      <c r="H1657" s="1042">
        <f>'Смета Внутр'!G1664</f>
        <v>0</v>
      </c>
      <c r="I1657" s="1042">
        <f>'Смета Внутр'!H1664</f>
        <v>0</v>
      </c>
      <c r="J1657" s="1058">
        <f>'Смета Внутр'!I1664</f>
        <v>0</v>
      </c>
    </row>
    <row r="1658" spans="2:10" ht="15" customHeight="1">
      <c r="B1658" s="3002" t="str">
        <f>'Смета Внутр'!B1665</f>
        <v>Работы</v>
      </c>
      <c r="D1658" s="1167"/>
      <c r="H1658">
        <f>'Смета Внутр'!G1665</f>
        <v>0</v>
      </c>
      <c r="I1658">
        <f>'Смета Внутр'!H1665</f>
        <v>0</v>
      </c>
      <c r="J1658" s="3027">
        <f>'Смета Внутр'!I1665</f>
        <v>0</v>
      </c>
    </row>
    <row r="1659" spans="2:10" ht="15" customHeight="1">
      <c r="B1659" s="1042" t="str">
        <f>'Смета Внутр'!B1666</f>
        <v>монтаж стропил</v>
      </c>
      <c r="C1659" s="1042" t="str">
        <f>'Смета Внутр'!C1666</f>
        <v>м2</v>
      </c>
      <c r="D1659" s="1058">
        <f>'Смета Внутр'!D1666</f>
        <v>20.034116628998401</v>
      </c>
      <c r="E1659" s="1042">
        <f>'Смета Внутр'!E1666</f>
        <v>450</v>
      </c>
      <c r="F1659" s="1042">
        <f>'Смета Внутр'!F1666</f>
        <v>0</v>
      </c>
      <c r="G1659" s="1042">
        <f t="shared" ref="G1659:G1671" si="70">IF(E1659&gt;F1659,E1659,F1659)</f>
        <v>450</v>
      </c>
      <c r="H1659" s="1042">
        <f>'Смета Внутр'!G1666</f>
        <v>9015.3524830492806</v>
      </c>
      <c r="I1659" s="1042">
        <f>'Смета Внутр'!H1666</f>
        <v>0</v>
      </c>
      <c r="J1659" s="1058">
        <f>'Смета Внутр'!I1666</f>
        <v>0</v>
      </c>
    </row>
    <row r="1660" spans="2:10" ht="15" customHeight="1">
      <c r="B1660" s="1042" t="str">
        <f>'Смета Внутр'!B1667</f>
        <v>обрешетка</v>
      </c>
      <c r="C1660" s="1042" t="str">
        <f>'Смета Внутр'!C1667</f>
        <v>м2</v>
      </c>
      <c r="D1660" s="1058">
        <f>'Смета Внутр'!D1667</f>
        <v>20.034116628998401</v>
      </c>
      <c r="E1660" s="1042">
        <f>'Смета Внутр'!E1667</f>
        <v>100</v>
      </c>
      <c r="F1660" s="1042">
        <f>'Смета Внутр'!F1667</f>
        <v>0</v>
      </c>
      <c r="G1660" s="1042">
        <f t="shared" si="70"/>
        <v>100</v>
      </c>
      <c r="H1660" s="1042">
        <f>'Смета Внутр'!G1667</f>
        <v>2003.4116628998402</v>
      </c>
      <c r="I1660" s="1042">
        <f>'Смета Внутр'!H1667</f>
        <v>0</v>
      </c>
      <c r="J1660" s="1058">
        <f>'Смета Внутр'!I1667</f>
        <v>0</v>
      </c>
    </row>
    <row r="1661" spans="2:10" ht="15" customHeight="1">
      <c r="B1661" s="1042" t="str">
        <f>'Смета Внутр'!B1668</f>
        <v>контробеш</v>
      </c>
      <c r="C1661" s="1042" t="str">
        <f>'Смета Внутр'!C1668</f>
        <v>м2</v>
      </c>
      <c r="D1661" s="1058">
        <f>'Смета Внутр'!D1668</f>
        <v>20.034116628998401</v>
      </c>
      <c r="E1661" s="1042">
        <f>'Смета Внутр'!E1668</f>
        <v>100</v>
      </c>
      <c r="F1661" s="1042">
        <f>'Смета Внутр'!F1668</f>
        <v>0</v>
      </c>
      <c r="G1661" s="1042">
        <f t="shared" si="70"/>
        <v>100</v>
      </c>
      <c r="H1661" s="1042">
        <f>'Смета Внутр'!G1668</f>
        <v>2003.4116628998402</v>
      </c>
      <c r="I1661" s="1042">
        <f>'Смета Внутр'!H1668</f>
        <v>0</v>
      </c>
      <c r="J1661" s="1058">
        <f>'Смета Внутр'!I1668</f>
        <v>0</v>
      </c>
    </row>
    <row r="1662" spans="2:10" ht="15" customHeight="1">
      <c r="B1662" s="1042" t="str">
        <f>'Смета Внутр'!B1669</f>
        <v>мембрана</v>
      </c>
      <c r="C1662" s="1042" t="str">
        <f>'Смета Внутр'!C1669</f>
        <v>м2</v>
      </c>
      <c r="D1662" s="1058">
        <f>'Смета Внутр'!D1669</f>
        <v>0</v>
      </c>
      <c r="E1662" s="1042">
        <f>'Смета Внутр'!E1669</f>
        <v>100</v>
      </c>
      <c r="F1662" s="1042">
        <f>'Смета Внутр'!F1669</f>
        <v>0</v>
      </c>
      <c r="G1662" s="1042">
        <f t="shared" si="70"/>
        <v>100</v>
      </c>
      <c r="H1662" s="1042">
        <f>'Смета Внутр'!G1669</f>
        <v>0</v>
      </c>
      <c r="I1662" s="1042">
        <f>'Смета Внутр'!H1669</f>
        <v>0</v>
      </c>
      <c r="J1662" s="1058">
        <f>'Смета Внутр'!I1669</f>
        <v>0</v>
      </c>
    </row>
    <row r="1663" spans="2:10" ht="15" customHeight="1">
      <c r="B1663" s="1042" t="str">
        <f>'Смета Внутр'!B1670</f>
        <v>пароизоляц</v>
      </c>
      <c r="C1663" s="1042" t="str">
        <f>'Смета Внутр'!C1670</f>
        <v>м2</v>
      </c>
      <c r="D1663" s="1058">
        <f>'Смета Внутр'!D1670</f>
        <v>0</v>
      </c>
      <c r="E1663" s="1042">
        <f>'Смета Внутр'!E1670</f>
        <v>100</v>
      </c>
      <c r="F1663" s="1042">
        <f>'Смета Внутр'!F1670</f>
        <v>0</v>
      </c>
      <c r="G1663" s="1042">
        <f t="shared" si="70"/>
        <v>100</v>
      </c>
      <c r="H1663" s="1042">
        <f>'Смета Внутр'!G1670</f>
        <v>0</v>
      </c>
      <c r="I1663" s="1042">
        <f>'Смета Внутр'!H1670</f>
        <v>0</v>
      </c>
      <c r="J1663" s="1058">
        <f>'Смета Внутр'!I1670</f>
        <v>0</v>
      </c>
    </row>
    <row r="1664" spans="2:10" ht="15" customHeight="1">
      <c r="B1664" s="1042" t="str">
        <f>'Смета Внутр'!B1671</f>
        <v>утеплитель</v>
      </c>
      <c r="C1664" s="1042" t="str">
        <f>'Смета Внутр'!C1671</f>
        <v>м2</v>
      </c>
      <c r="D1664" s="1058">
        <f>'Смета Внутр'!D1671</f>
        <v>20.034116628998401</v>
      </c>
      <c r="E1664" s="1042">
        <f>'Смета Внутр'!E1671</f>
        <v>200</v>
      </c>
      <c r="F1664" s="1042">
        <f>'Смета Внутр'!F1671</f>
        <v>0</v>
      </c>
      <c r="G1664" s="1042">
        <f t="shared" si="70"/>
        <v>200</v>
      </c>
      <c r="H1664" s="1042">
        <f>'Смета Внутр'!G1671</f>
        <v>4006.8233257996803</v>
      </c>
      <c r="I1664" s="1042">
        <f>'Смета Внутр'!H1671</f>
        <v>0</v>
      </c>
      <c r="J1664" s="1058">
        <f>'Смета Внутр'!I1671</f>
        <v>0</v>
      </c>
    </row>
    <row r="1665" spans="2:10" ht="15" customHeight="1">
      <c r="B1665" s="1042" t="str">
        <f>'Смета Внутр'!B1672</f>
        <v>Монтаж металлочерепицы</v>
      </c>
      <c r="C1665" s="1042" t="str">
        <f>'Смета Внутр'!C1672</f>
        <v>м2</v>
      </c>
      <c r="D1665" s="1058">
        <f>'Смета Внутр'!D1672</f>
        <v>20.034116628998401</v>
      </c>
      <c r="E1665" s="1042">
        <f>'Смета Внутр'!E1672</f>
        <v>300</v>
      </c>
      <c r="F1665" s="1042">
        <f>'Смета Внутр'!F1672</f>
        <v>0</v>
      </c>
      <c r="G1665" s="1042">
        <f t="shared" si="70"/>
        <v>300</v>
      </c>
      <c r="H1665" s="1042">
        <f>'Смета Внутр'!G1672</f>
        <v>6010.2349886995207</v>
      </c>
      <c r="I1665" s="1042">
        <f>'Смета Внутр'!H1672</f>
        <v>0</v>
      </c>
      <c r="J1665" s="1058">
        <f>'Смета Внутр'!I1672</f>
        <v>0</v>
      </c>
    </row>
    <row r="1666" spans="2:10" ht="15" customHeight="1">
      <c r="B1666" s="1042" t="str">
        <f>'Смета Внутр'!B1673</f>
        <v>карнизная планка</v>
      </c>
      <c r="C1666" s="1042" t="str">
        <f>'Смета Внутр'!C1673</f>
        <v>м.п.</v>
      </c>
      <c r="D1666" s="1058">
        <f>'Смета Внутр'!D1673</f>
        <v>4</v>
      </c>
      <c r="E1666" s="1042">
        <f>'Смета Внутр'!E1673</f>
        <v>100</v>
      </c>
      <c r="F1666" s="1042">
        <f>'Смета Внутр'!F1673</f>
        <v>0</v>
      </c>
      <c r="G1666" s="1042">
        <f t="shared" si="70"/>
        <v>100</v>
      </c>
      <c r="H1666" s="1042">
        <f>'Смета Внутр'!G1673</f>
        <v>400</v>
      </c>
      <c r="I1666" s="1042">
        <f>'Смета Внутр'!H1673</f>
        <v>0</v>
      </c>
      <c r="J1666" s="1058">
        <f>'Смета Внутр'!I1673</f>
        <v>0</v>
      </c>
    </row>
    <row r="1667" spans="2:10" ht="15" customHeight="1">
      <c r="B1667" s="1042" t="str">
        <f>'Смета Внутр'!B1674</f>
        <v>торцевая планка</v>
      </c>
      <c r="C1667" s="1042" t="str">
        <f>'Смета Внутр'!C1674</f>
        <v>м.п.</v>
      </c>
      <c r="D1667" s="1058">
        <f>'Смета Внутр'!D1674</f>
        <v>10.544271909999159</v>
      </c>
      <c r="E1667" s="1042">
        <f>'Смета Внутр'!E1674</f>
        <v>100</v>
      </c>
      <c r="F1667" s="1042">
        <f>'Смета Внутр'!F1674</f>
        <v>0</v>
      </c>
      <c r="G1667" s="1042">
        <f t="shared" si="70"/>
        <v>100</v>
      </c>
      <c r="H1667" s="1042">
        <f>'Смета Внутр'!G1674</f>
        <v>1054.4271909999159</v>
      </c>
      <c r="I1667" s="1042">
        <f>'Смета Внутр'!H1674</f>
        <v>0</v>
      </c>
      <c r="J1667" s="1058">
        <f>'Смета Внутр'!I1674</f>
        <v>0</v>
      </c>
    </row>
    <row r="1668" spans="2:10" ht="15" customHeight="1">
      <c r="B1668" s="1042" t="str">
        <f>'Смета Внутр'!B1675</f>
        <v>Монтаж ондулина</v>
      </c>
      <c r="C1668" s="1042" t="str">
        <f>'Смета Внутр'!C1675</f>
        <v>м2</v>
      </c>
      <c r="D1668" s="1058">
        <f>'Смета Внутр'!D1675</f>
        <v>0</v>
      </c>
      <c r="E1668" s="1042">
        <f>'Смета Внутр'!E1675</f>
        <v>300</v>
      </c>
      <c r="F1668" s="1042">
        <f>'Смета Внутр'!F1675</f>
        <v>0</v>
      </c>
      <c r="G1668" s="1042">
        <f t="shared" si="70"/>
        <v>300</v>
      </c>
      <c r="H1668" s="1042">
        <f>'Смета Внутр'!G1675</f>
        <v>0</v>
      </c>
      <c r="I1668" s="1042">
        <f>'Смета Внутр'!H1675</f>
        <v>0</v>
      </c>
      <c r="J1668" s="1058">
        <f>'Смета Внутр'!I1675</f>
        <v>0</v>
      </c>
    </row>
    <row r="1669" spans="2:10" ht="15" customHeight="1">
      <c r="B1669" s="1042" t="str">
        <f>'Смета Внутр'!B1676</f>
        <v>Монтаж фанеры/osb</v>
      </c>
      <c r="C1669" s="1042" t="str">
        <f>'Смета Внутр'!C1676</f>
        <v>м2</v>
      </c>
      <c r="D1669" s="1058">
        <f>'Смета Внутр'!D1676</f>
        <v>20.034116628998401</v>
      </c>
      <c r="E1669" s="1042">
        <f>'Смета Внутр'!E1676</f>
        <v>200</v>
      </c>
      <c r="F1669" s="1042">
        <f>'Смета Внутр'!F1676</f>
        <v>0</v>
      </c>
      <c r="G1669" s="1042">
        <f t="shared" si="70"/>
        <v>200</v>
      </c>
      <c r="H1669" s="1042">
        <f>'Смета Внутр'!G1676</f>
        <v>4006.8233257996803</v>
      </c>
      <c r="I1669" s="1042">
        <f>'Смета Внутр'!H1676</f>
        <v>0</v>
      </c>
      <c r="J1669" s="1058">
        <f>'Смета Внутр'!I1676</f>
        <v>0</v>
      </c>
    </row>
    <row r="1670" spans="2:10" ht="15" customHeight="1">
      <c r="B1670" s="1042" t="str">
        <f>'Смета Внутр'!B1677</f>
        <v>монтаж подкладочного ковра</v>
      </c>
      <c r="C1670" s="1042" t="str">
        <f>'Смета Внутр'!C1677</f>
        <v>м2</v>
      </c>
      <c r="D1670" s="1058">
        <f>'Смета Внутр'!D1677</f>
        <v>0</v>
      </c>
      <c r="E1670" s="1042">
        <f>'Смета Внутр'!E1677</f>
        <v>150</v>
      </c>
      <c r="F1670" s="1042">
        <f>'Смета Внутр'!F1677</f>
        <v>0</v>
      </c>
      <c r="G1670" s="1042">
        <f t="shared" si="70"/>
        <v>150</v>
      </c>
      <c r="H1670" s="1042">
        <f>'Смета Внутр'!G1677</f>
        <v>0</v>
      </c>
      <c r="I1670" s="1042">
        <f>'Смета Внутр'!H1677</f>
        <v>0</v>
      </c>
      <c r="J1670" s="1058">
        <f>'Смета Внутр'!I1677</f>
        <v>0</v>
      </c>
    </row>
    <row r="1671" spans="2:10" ht="15" customHeight="1">
      <c r="B1671" s="1042" t="str">
        <f>'Смета Внутр'!B1678</f>
        <v>Монтаж мягкой кровли</v>
      </c>
      <c r="C1671" s="1042" t="str">
        <f>'Смета Внутр'!C1678</f>
        <v>м2</v>
      </c>
      <c r="D1671" s="1058">
        <f>'Смета Внутр'!D1678</f>
        <v>0</v>
      </c>
      <c r="E1671" s="1042">
        <f>'Смета Внутр'!E1678</f>
        <v>350</v>
      </c>
      <c r="F1671" s="1042">
        <f>'Смета Внутр'!F1678</f>
        <v>0</v>
      </c>
      <c r="G1671" s="1042">
        <f t="shared" si="70"/>
        <v>350</v>
      </c>
      <c r="H1671" s="1042">
        <f>'Смета Внутр'!G1678</f>
        <v>0</v>
      </c>
      <c r="I1671" s="1042">
        <f>'Смета Внутр'!H1678</f>
        <v>0</v>
      </c>
      <c r="J1671" s="1058">
        <f>'Смета Внутр'!I1678</f>
        <v>0</v>
      </c>
    </row>
    <row r="1672" spans="2:10" ht="15" customHeight="1">
      <c r="B1672" s="3330" t="str">
        <f>'Смета Внутр'!B1679</f>
        <v>Итого работы</v>
      </c>
      <c r="C1672" s="3330"/>
      <c r="D1672" s="3330"/>
      <c r="E1672" s="3330"/>
      <c r="F1672" s="3330"/>
      <c r="G1672" s="3330"/>
      <c r="H1672" s="1042">
        <f>'Смета Внутр'!G1679</f>
        <v>0</v>
      </c>
      <c r="I1672" s="1042">
        <f>'Смета Внутр'!H1679</f>
        <v>0</v>
      </c>
      <c r="J1672" s="1058">
        <f>'Смета Внутр'!I1679</f>
        <v>0</v>
      </c>
    </row>
    <row r="1673" spans="2:10" ht="15" customHeight="1">
      <c r="B1673" s="3329" t="str">
        <f>'Смета Внутр'!B1680</f>
        <v>Кровля на пристройке</v>
      </c>
      <c r="C1673" s="3329"/>
      <c r="D1673" s="3329"/>
      <c r="H1673">
        <f>'Смета Внутр'!G1680</f>
        <v>0</v>
      </c>
      <c r="I1673">
        <f>'Смета Внутр'!H1680</f>
        <v>0</v>
      </c>
      <c r="J1673" s="3027">
        <f>'Смета Внутр'!I1680</f>
        <v>0</v>
      </c>
    </row>
    <row r="1674" spans="2:10" ht="15" customHeight="1">
      <c r="B1674" s="3002" t="str">
        <f>'Смета Внутр'!B1681</f>
        <v>Материалы</v>
      </c>
      <c r="D1674" s="1167"/>
      <c r="H1674">
        <f>'Смета Внутр'!G1681</f>
        <v>0</v>
      </c>
      <c r="I1674">
        <f>'Смета Внутр'!H1681</f>
        <v>0</v>
      </c>
      <c r="J1674" s="3027">
        <f>'Смета Внутр'!I1681</f>
        <v>0</v>
      </c>
    </row>
    <row r="1675" spans="2:10" ht="15" customHeight="1">
      <c r="B1675" s="1042" t="str">
        <f>'Смета Внутр'!B1682</f>
        <v>Доска сухая калиброванная, 190*45мм</v>
      </c>
      <c r="C1675" s="1042" t="str">
        <f>'Смета Внутр'!C1682</f>
        <v>м3</v>
      </c>
      <c r="D1675" s="1058">
        <f>'Смета Внутр'!D1682</f>
        <v>0</v>
      </c>
      <c r="E1675" s="1042">
        <f>'Смета Внутр'!E1682</f>
        <v>12500</v>
      </c>
      <c r="F1675" s="1042">
        <f>'Смета Внутр'!F1682</f>
        <v>0</v>
      </c>
      <c r="G1675" s="1042">
        <f t="shared" ref="G1675:G1721" si="71">IF(E1675&gt;F1675,E1675,F1675)</f>
        <v>12500</v>
      </c>
      <c r="H1675" s="1042">
        <f>'Смета Внутр'!G1682</f>
        <v>0</v>
      </c>
      <c r="I1675" s="1042">
        <f>'Смета Внутр'!H1682</f>
        <v>0</v>
      </c>
      <c r="J1675" s="1058">
        <f>'Смета Внутр'!I1682</f>
        <v>0</v>
      </c>
    </row>
    <row r="1676" spans="2:10" ht="15" customHeight="1">
      <c r="B1676" s="1042" t="str">
        <f>'Смета Внутр'!B1683</f>
        <v xml:space="preserve">Болты анкерные с гайкой 12,0 х 280          </v>
      </c>
      <c r="C1676" s="1042" t="str">
        <f>'Смета Внутр'!C1683</f>
        <v>шт</v>
      </c>
      <c r="D1676" s="1058">
        <f>'Смета Внутр'!D1683</f>
        <v>0</v>
      </c>
      <c r="E1676" s="1042">
        <f>'Смета Внутр'!E1683</f>
        <v>27.1</v>
      </c>
      <c r="F1676" s="1042">
        <f>'Смета Внутр'!F1683</f>
        <v>0</v>
      </c>
      <c r="G1676" s="1042">
        <f t="shared" si="71"/>
        <v>27.1</v>
      </c>
      <c r="H1676" s="1042">
        <f>'Смета Внутр'!G1683</f>
        <v>0</v>
      </c>
      <c r="I1676" s="1042">
        <f>'Смета Внутр'!H1683</f>
        <v>0</v>
      </c>
      <c r="J1676" s="1058">
        <f>'Смета Внутр'!I1683</f>
        <v>0</v>
      </c>
    </row>
    <row r="1677" spans="2:10" ht="15" customHeight="1">
      <c r="B1677" s="1042" t="str">
        <f>'Смета Внутр'!B1684</f>
        <v>Доска сухая, 200*50мм</v>
      </c>
      <c r="C1677" s="1042" t="str">
        <f>'Смета Внутр'!C1684</f>
        <v>м3</v>
      </c>
      <c r="D1677" s="1058">
        <f>'Смета Внутр'!D1684</f>
        <v>0</v>
      </c>
      <c r="E1677" s="1042">
        <f>'Смета Внутр'!E1684</f>
        <v>9000</v>
      </c>
      <c r="F1677" s="1042">
        <f>'Смета Внутр'!F1684</f>
        <v>0</v>
      </c>
      <c r="G1677" s="1042">
        <f t="shared" si="71"/>
        <v>9000</v>
      </c>
      <c r="H1677" s="1042">
        <f>'Смета Внутр'!G1684</f>
        <v>0</v>
      </c>
      <c r="I1677" s="1042">
        <f>'Смета Внутр'!H1684</f>
        <v>0</v>
      </c>
      <c r="J1677" s="1058">
        <f>'Смета Внутр'!I1684</f>
        <v>0</v>
      </c>
    </row>
    <row r="1678" spans="2:10" ht="15" customHeight="1">
      <c r="B1678" s="1042" t="str">
        <f>'Смета Внутр'!B1685</f>
        <v xml:space="preserve">бугель, доска </v>
      </c>
      <c r="C1678" s="1042" t="str">
        <f>'Смета Внутр'!C1685</f>
        <v>м3</v>
      </c>
      <c r="D1678" s="1058">
        <f>'Смета Внутр'!D1685</f>
        <v>0</v>
      </c>
      <c r="E1678" s="1042">
        <f>'Смета Внутр'!E1685</f>
        <v>9000</v>
      </c>
      <c r="F1678" s="1042">
        <f>'Смета Внутр'!F1685</f>
        <v>0</v>
      </c>
      <c r="G1678" s="1042">
        <f t="shared" si="71"/>
        <v>9000</v>
      </c>
      <c r="H1678" s="1042">
        <f>'Смета Внутр'!G1685</f>
        <v>0</v>
      </c>
      <c r="I1678" s="1042">
        <f>'Смета Внутр'!H1685</f>
        <v>0</v>
      </c>
      <c r="J1678" s="1058">
        <f>'Смета Внутр'!I1685</f>
        <v>0</v>
      </c>
    </row>
    <row r="1679" spans="2:10" ht="15" customHeight="1">
      <c r="B1679" s="1042" t="str">
        <f>'Смета Внутр'!B1686</f>
        <v>Сосна влаж,100*25мм</v>
      </c>
      <c r="C1679" s="1042" t="str">
        <f>'Смета Внутр'!C1686</f>
        <v>м3</v>
      </c>
      <c r="D1679" s="1058">
        <f>'Смета Внутр'!D1686</f>
        <v>0</v>
      </c>
      <c r="E1679" s="1042">
        <f>'Смета Внутр'!E1686</f>
        <v>6500</v>
      </c>
      <c r="F1679" s="1042">
        <f>'Смета Внутр'!F1686</f>
        <v>0</v>
      </c>
      <c r="G1679" s="1042">
        <f t="shared" si="71"/>
        <v>6500</v>
      </c>
      <c r="H1679" s="1042">
        <f>'Смета Внутр'!G1686</f>
        <v>0</v>
      </c>
      <c r="I1679" s="1042">
        <f>'Смета Внутр'!H1686</f>
        <v>0</v>
      </c>
      <c r="J1679" s="1058">
        <f>'Смета Внутр'!I1686</f>
        <v>0</v>
      </c>
    </row>
    <row r="1680" spans="2:10" ht="15" customHeight="1">
      <c r="B1680" s="1042" t="str">
        <f>'Смета Внутр'!B1687</f>
        <v>Доска сухая, калибр., 35*45мм</v>
      </c>
      <c r="C1680" s="1042" t="str">
        <f>'Смета Внутр'!C1687</f>
        <v>шт</v>
      </c>
      <c r="D1680" s="1058">
        <f>'Смета Внутр'!D1687</f>
        <v>0</v>
      </c>
      <c r="E1680" s="1042">
        <f>'Смета Внутр'!E1687</f>
        <v>12500</v>
      </c>
      <c r="F1680" s="1042">
        <f>'Смета Внутр'!F1687</f>
        <v>0</v>
      </c>
      <c r="G1680" s="1042">
        <f t="shared" si="71"/>
        <v>12500</v>
      </c>
      <c r="H1680" s="1042">
        <f>'Смета Внутр'!G1687</f>
        <v>0</v>
      </c>
      <c r="I1680" s="1042">
        <f>'Смета Внутр'!H1687</f>
        <v>0</v>
      </c>
      <c r="J1680" s="1058">
        <f>'Смета Внутр'!I1687</f>
        <v>0</v>
      </c>
    </row>
    <row r="1681" spans="2:10" ht="15" customHeight="1">
      <c r="B1681" s="1042" t="str">
        <f>'Смета Внутр'!B1688</f>
        <v>Мембраны Tyvek Soft</v>
      </c>
      <c r="C1681" s="1042" t="str">
        <f>'Смета Внутр'!C1688</f>
        <v>м2</v>
      </c>
      <c r="D1681" s="1058">
        <f>'Смета Внутр'!D1688</f>
        <v>0</v>
      </c>
      <c r="E1681" s="1042">
        <f>'Смета Внутр'!E1688</f>
        <v>86</v>
      </c>
      <c r="F1681" s="1042">
        <f>'Смета Внутр'!F1688</f>
        <v>0</v>
      </c>
      <c r="G1681" s="1042">
        <f t="shared" si="71"/>
        <v>86</v>
      </c>
      <c r="H1681" s="1042">
        <f>'Смета Внутр'!G1688</f>
        <v>0</v>
      </c>
      <c r="I1681" s="1042">
        <f>'Смета Внутр'!H1688</f>
        <v>0</v>
      </c>
      <c r="J1681" s="1058">
        <f>'Смета Внутр'!I1688</f>
        <v>0</v>
      </c>
    </row>
    <row r="1682" spans="2:10" ht="15" customHeight="1">
      <c r="B1682" s="1042" t="str">
        <f>'Смета Внутр'!B1689</f>
        <v>Пленка Delta-Reflex</v>
      </c>
      <c r="C1682" s="1042" t="str">
        <f>'Смета Внутр'!C1689</f>
        <v>м2</v>
      </c>
      <c r="D1682" s="1058">
        <f>'Смета Внутр'!D1689</f>
        <v>0</v>
      </c>
      <c r="E1682" s="1042">
        <f>'Смета Внутр'!E1689</f>
        <v>156</v>
      </c>
      <c r="F1682" s="1042">
        <f>'Смета Внутр'!F1689</f>
        <v>0</v>
      </c>
      <c r="G1682" s="1042">
        <f t="shared" si="71"/>
        <v>156</v>
      </c>
      <c r="H1682" s="1042">
        <f>'Смета Внутр'!G1689</f>
        <v>0</v>
      </c>
      <c r="I1682" s="1042">
        <f>'Смета Внутр'!H1689</f>
        <v>0</v>
      </c>
      <c r="J1682" s="1058">
        <f>'Смета Внутр'!I1689</f>
        <v>0</v>
      </c>
    </row>
    <row r="1683" spans="2:10" ht="15" customHeight="1">
      <c r="B1683" s="1042" t="str">
        <f>'Смета Внутр'!B1690</f>
        <v>Плитный,28кг/м3, технониколь, 200мм</v>
      </c>
      <c r="C1683" s="1042" t="str">
        <f>'Смета Внутр'!C1690</f>
        <v>м3</v>
      </c>
      <c r="D1683" s="1058">
        <f>'Смета Внутр'!D1690</f>
        <v>0</v>
      </c>
      <c r="E1683" s="1042">
        <f>'Смета Внутр'!E1690</f>
        <v>1700</v>
      </c>
      <c r="F1683" s="1042">
        <f>'Смета Внутр'!F1690</f>
        <v>0</v>
      </c>
      <c r="G1683" s="1042">
        <f t="shared" si="71"/>
        <v>1700</v>
      </c>
      <c r="H1683" s="1042">
        <f>'Смета Внутр'!G1690</f>
        <v>0</v>
      </c>
      <c r="I1683" s="1042">
        <f>'Смета Внутр'!H1690</f>
        <v>0</v>
      </c>
      <c r="J1683" s="1058">
        <f>'Смета Внутр'!I1690</f>
        <v>0</v>
      </c>
    </row>
    <row r="1684" spans="2:10" ht="15" customHeight="1">
      <c r="B1684" s="1042" t="str">
        <f>'Смета Внутр'!B1691</f>
        <v>металлочерепица</v>
      </c>
      <c r="C1684" s="1042" t="str">
        <f>'Смета Внутр'!C1691</f>
        <v>м2</v>
      </c>
      <c r="D1684" s="1058">
        <f>'Смета Внутр'!D1691</f>
        <v>0</v>
      </c>
      <c r="E1684" s="1042">
        <f>'Смета Внутр'!E1691</f>
        <v>250</v>
      </c>
      <c r="F1684" s="1042">
        <f>'Смета Внутр'!F1691</f>
        <v>0</v>
      </c>
      <c r="G1684" s="1042">
        <f t="shared" si="71"/>
        <v>250</v>
      </c>
      <c r="H1684" s="1042">
        <f>'Смета Внутр'!G1691</f>
        <v>0</v>
      </c>
      <c r="I1684" s="1042">
        <f>'Смета Внутр'!H1691</f>
        <v>0</v>
      </c>
      <c r="J1684" s="1058">
        <f>'Смета Внутр'!I1691</f>
        <v>0</v>
      </c>
    </row>
    <row r="1685" spans="2:10" ht="15" customHeight="1">
      <c r="B1685" s="1042" t="str">
        <f>'Смета Внутр'!B1692</f>
        <v>Карнизная планка</v>
      </c>
      <c r="C1685" s="1042" t="str">
        <f>'Смета Внутр'!C1692</f>
        <v>м.п.</v>
      </c>
      <c r="D1685" s="1058">
        <f>'Смета Внутр'!D1692</f>
        <v>0</v>
      </c>
      <c r="E1685" s="1042">
        <f>'Смета Внутр'!E1692</f>
        <v>200</v>
      </c>
      <c r="F1685" s="1042">
        <f>'Смета Внутр'!F1692</f>
        <v>0</v>
      </c>
      <c r="G1685" s="1042">
        <f t="shared" si="71"/>
        <v>200</v>
      </c>
      <c r="H1685" s="1042">
        <f>'Смета Внутр'!G1692</f>
        <v>0</v>
      </c>
      <c r="I1685" s="1042">
        <f>'Смета Внутр'!H1692</f>
        <v>0</v>
      </c>
      <c r="J1685" s="1058">
        <f>'Смета Внутр'!I1692</f>
        <v>0</v>
      </c>
    </row>
    <row r="1686" spans="2:10" ht="15" customHeight="1">
      <c r="B1686" s="1042" t="str">
        <f>'Смета Внутр'!B1693</f>
        <v>Торцевая планка</v>
      </c>
      <c r="C1686" s="1042" t="str">
        <f>'Смета Внутр'!C1693</f>
        <v>м.п.</v>
      </c>
      <c r="D1686" s="1058">
        <f>'Смета Внутр'!D1693</f>
        <v>0</v>
      </c>
      <c r="E1686" s="1042">
        <f>'Смета Внутр'!E1693</f>
        <v>200</v>
      </c>
      <c r="F1686" s="1042">
        <f>'Смета Внутр'!F1693</f>
        <v>0</v>
      </c>
      <c r="G1686" s="1042">
        <f t="shared" si="71"/>
        <v>200</v>
      </c>
      <c r="H1686" s="1042">
        <f>'Смета Внутр'!G1693</f>
        <v>0</v>
      </c>
      <c r="I1686" s="1042">
        <f>'Смета Внутр'!H1693</f>
        <v>0</v>
      </c>
      <c r="J1686" s="1058">
        <f>'Смета Внутр'!I1693</f>
        <v>0</v>
      </c>
    </row>
    <row r="1687" spans="2:10" ht="15" customHeight="1">
      <c r="B1687" s="1042" t="str">
        <f>'Смета Внутр'!B1694</f>
        <v>Конек</v>
      </c>
      <c r="C1687" s="1042" t="str">
        <f>'Смета Внутр'!C1694</f>
        <v>м.п.</v>
      </c>
      <c r="D1687" s="1058">
        <f>'Смета Внутр'!D1694</f>
        <v>0</v>
      </c>
      <c r="E1687" s="1042">
        <f>'Смета Внутр'!E1694</f>
        <v>230</v>
      </c>
      <c r="F1687" s="1042">
        <f>'Смета Внутр'!F1694</f>
        <v>0</v>
      </c>
      <c r="G1687" s="1042">
        <f t="shared" si="71"/>
        <v>230</v>
      </c>
      <c r="H1687" s="1042">
        <f>'Смета Внутр'!G1694</f>
        <v>0</v>
      </c>
      <c r="I1687" s="1042">
        <f>'Смета Внутр'!H1694</f>
        <v>0</v>
      </c>
      <c r="J1687" s="1058">
        <f>'Смета Внутр'!I1694</f>
        <v>0</v>
      </c>
    </row>
    <row r="1688" spans="2:10" ht="15" customHeight="1">
      <c r="B1688" s="1042" t="str">
        <f>'Смета Внутр'!B1695</f>
        <v>Ендова нижняя</v>
      </c>
      <c r="C1688" s="1042" t="str">
        <f>'Смета Внутр'!C1695</f>
        <v>м.п</v>
      </c>
      <c r="D1688" s="1058">
        <f>'Смета Внутр'!D1695</f>
        <v>0</v>
      </c>
      <c r="E1688" s="1042">
        <f>'Смета Внутр'!E1695</f>
        <v>160</v>
      </c>
      <c r="F1688" s="1042">
        <f>'Смета Внутр'!F1695</f>
        <v>0</v>
      </c>
      <c r="G1688" s="1042">
        <f t="shared" si="71"/>
        <v>160</v>
      </c>
      <c r="H1688" s="1042">
        <f>'Смета Внутр'!G1695</f>
        <v>0</v>
      </c>
      <c r="I1688" s="1042">
        <f>'Смета Внутр'!H1695</f>
        <v>0</v>
      </c>
      <c r="J1688" s="1058">
        <f>'Смета Внутр'!I1695</f>
        <v>0</v>
      </c>
    </row>
    <row r="1689" spans="2:10" ht="15" customHeight="1">
      <c r="B1689" s="1042" t="str">
        <f>'Смета Внутр'!B1696</f>
        <v>Планка примыкания</v>
      </c>
      <c r="C1689" s="1042" t="str">
        <f>'Смета Внутр'!C1696</f>
        <v>м.п.</v>
      </c>
      <c r="D1689" s="1058">
        <f>'Смета Внутр'!D1696</f>
        <v>0</v>
      </c>
      <c r="E1689" s="1042">
        <f>'Смета Внутр'!E1696</f>
        <v>190</v>
      </c>
      <c r="F1689" s="1042">
        <f>'Смета Внутр'!F1696</f>
        <v>0</v>
      </c>
      <c r="G1689" s="1042">
        <f t="shared" si="71"/>
        <v>190</v>
      </c>
      <c r="H1689" s="1042">
        <f>'Смета Внутр'!G1696</f>
        <v>0</v>
      </c>
      <c r="I1689" s="1042">
        <f>'Смета Внутр'!H1696</f>
        <v>0</v>
      </c>
      <c r="J1689" s="1058">
        <f>'Смета Внутр'!I1696</f>
        <v>0</v>
      </c>
    </row>
    <row r="1690" spans="2:10" ht="15" customHeight="1">
      <c r="B1690" s="1042" t="str">
        <f>'Смета Внутр'!B1697</f>
        <v>ондулин</v>
      </c>
      <c r="C1690" s="1042" t="str">
        <f>'Смета Внутр'!C1697</f>
        <v>м2</v>
      </c>
      <c r="D1690" s="1058">
        <f>'Смета Внутр'!D1697</f>
        <v>0</v>
      </c>
      <c r="E1690" s="1042">
        <f>'Смета Внутр'!E1697</f>
        <v>180</v>
      </c>
      <c r="F1690" s="1042">
        <f>'Смета Внутр'!F1697</f>
        <v>0</v>
      </c>
      <c r="G1690" s="1042">
        <f t="shared" si="71"/>
        <v>180</v>
      </c>
      <c r="H1690" s="1042">
        <f>'Смета Внутр'!G1697</f>
        <v>0</v>
      </c>
      <c r="I1690" s="1042">
        <f>'Смета Внутр'!H1697</f>
        <v>0</v>
      </c>
      <c r="J1690" s="1058">
        <f>'Смета Внутр'!I1697</f>
        <v>0</v>
      </c>
    </row>
    <row r="1691" spans="2:10" ht="15" customHeight="1">
      <c r="B1691" s="1042" t="str">
        <f>'Смета Внутр'!B1698</f>
        <v>Карнизная планка</v>
      </c>
      <c r="C1691" s="1042" t="str">
        <f>'Смета Внутр'!C1698</f>
        <v>м.п.</v>
      </c>
      <c r="D1691" s="1058">
        <f>'Смета Внутр'!D1698</f>
        <v>0</v>
      </c>
      <c r="E1691" s="1042">
        <f>'Смета Внутр'!E1698</f>
        <v>190</v>
      </c>
      <c r="F1691" s="1042">
        <f>'Смета Внутр'!F1698</f>
        <v>0</v>
      </c>
      <c r="G1691" s="1042">
        <f t="shared" si="71"/>
        <v>190</v>
      </c>
      <c r="H1691" s="1042">
        <f>'Смета Внутр'!G1698</f>
        <v>0</v>
      </c>
      <c r="I1691" s="1042">
        <f>'Смета Внутр'!H1698</f>
        <v>0</v>
      </c>
      <c r="J1691" s="1058">
        <f>'Смета Внутр'!I1698</f>
        <v>0</v>
      </c>
    </row>
    <row r="1692" spans="2:10" ht="15" customHeight="1">
      <c r="B1692" s="1042" t="str">
        <f>'Смета Внутр'!B1699</f>
        <v>Торцевая планка</v>
      </c>
      <c r="C1692" s="1042" t="str">
        <f>'Смета Внутр'!C1699</f>
        <v>м.п.</v>
      </c>
      <c r="D1692" s="1058">
        <f>'Смета Внутр'!D1699</f>
        <v>0</v>
      </c>
      <c r="E1692" s="1042">
        <f>'Смета Внутр'!E1699</f>
        <v>190</v>
      </c>
      <c r="F1692" s="1042">
        <f>'Смета Внутр'!F1699</f>
        <v>0</v>
      </c>
      <c r="G1692" s="1042">
        <f t="shared" si="71"/>
        <v>190</v>
      </c>
      <c r="H1692" s="1042">
        <f>'Смета Внутр'!G1699</f>
        <v>0</v>
      </c>
      <c r="I1692" s="1042">
        <f>'Смета Внутр'!H1699</f>
        <v>0</v>
      </c>
      <c r="J1692" s="1058">
        <f>'Смета Внутр'!I1699</f>
        <v>0</v>
      </c>
    </row>
    <row r="1693" spans="2:10" ht="15" customHeight="1">
      <c r="B1693" s="1042" t="str">
        <f>'Смета Внутр'!B1700</f>
        <v>Конек</v>
      </c>
      <c r="C1693" s="1042" t="str">
        <f>'Смета Внутр'!C1700</f>
        <v>м.п.</v>
      </c>
      <c r="D1693" s="1058">
        <f>'Смета Внутр'!D1700</f>
        <v>0</v>
      </c>
      <c r="E1693" s="1042">
        <f>'Смета Внутр'!E1700</f>
        <v>200</v>
      </c>
      <c r="F1693" s="1042">
        <f>'Смета Внутр'!F1700</f>
        <v>0</v>
      </c>
      <c r="G1693" s="1042">
        <f t="shared" si="71"/>
        <v>200</v>
      </c>
      <c r="H1693" s="1042">
        <f>'Смета Внутр'!G1700</f>
        <v>0</v>
      </c>
      <c r="I1693" s="1042">
        <f>'Смета Внутр'!H1700</f>
        <v>0</v>
      </c>
      <c r="J1693" s="1058">
        <f>'Смета Внутр'!I1700</f>
        <v>0</v>
      </c>
    </row>
    <row r="1694" spans="2:10" ht="15" customHeight="1">
      <c r="B1694" s="1042" t="str">
        <f>'Смета Внутр'!B1701</f>
        <v>Ендова нижняя</v>
      </c>
      <c r="C1694" s="1042" t="str">
        <f>'Смета Внутр'!C1701</f>
        <v>м.п.</v>
      </c>
      <c r="D1694" s="1058">
        <f>'Смета Внутр'!D1701</f>
        <v>0</v>
      </c>
      <c r="E1694" s="1042">
        <f>'Смета Внутр'!E1701</f>
        <v>160</v>
      </c>
      <c r="F1694" s="1042">
        <f>'Смета Внутр'!F1701</f>
        <v>0</v>
      </c>
      <c r="G1694" s="1042">
        <f t="shared" si="71"/>
        <v>160</v>
      </c>
      <c r="H1694" s="1042">
        <f>'Смета Внутр'!G1701</f>
        <v>0</v>
      </c>
      <c r="I1694" s="1042">
        <f>'Смета Внутр'!H1701</f>
        <v>0</v>
      </c>
      <c r="J1694" s="1058">
        <f>'Смета Внутр'!I1701</f>
        <v>0</v>
      </c>
    </row>
    <row r="1695" spans="2:10" ht="15" customHeight="1">
      <c r="B1695" s="1042" t="str">
        <f>'Смета Внутр'!B1702</f>
        <v>Ендова верхняя</v>
      </c>
      <c r="C1695" s="1042" t="str">
        <f>'Смета Внутр'!C1702</f>
        <v>м.п.</v>
      </c>
      <c r="D1695" s="1058">
        <f>'Смета Внутр'!D1702</f>
        <v>0</v>
      </c>
      <c r="E1695" s="1042">
        <f>'Смета Внутр'!E1702</f>
        <v>190</v>
      </c>
      <c r="F1695" s="1042">
        <f>'Смета Внутр'!F1702</f>
        <v>0</v>
      </c>
      <c r="G1695" s="1042">
        <f t="shared" si="71"/>
        <v>190</v>
      </c>
      <c r="H1695" s="1042">
        <f>'Смета Внутр'!G1702</f>
        <v>0</v>
      </c>
      <c r="I1695" s="1042">
        <f>'Смета Внутр'!H1702</f>
        <v>0</v>
      </c>
      <c r="J1695" s="1058">
        <f>'Смета Внутр'!I1702</f>
        <v>0</v>
      </c>
    </row>
    <row r="1696" spans="2:10" ht="15" customHeight="1">
      <c r="B1696" s="1042" t="str">
        <f>'Смета Внутр'!B1703</f>
        <v>Планка примыкания</v>
      </c>
      <c r="C1696" s="1042" t="str">
        <f>'Смета Внутр'!C1703</f>
        <v>м.п.</v>
      </c>
      <c r="D1696" s="1058">
        <f>'Смета Внутр'!D1703</f>
        <v>0</v>
      </c>
      <c r="E1696" s="1042">
        <f>'Смета Внутр'!E1703</f>
        <v>190</v>
      </c>
      <c r="F1696" s="1042">
        <f>'Смета Внутр'!F1703</f>
        <v>0</v>
      </c>
      <c r="G1696" s="1042">
        <f t="shared" si="71"/>
        <v>190</v>
      </c>
      <c r="H1696" s="1042">
        <f>'Смета Внутр'!G1703</f>
        <v>0</v>
      </c>
      <c r="I1696" s="1042">
        <f>'Смета Внутр'!H1703</f>
        <v>0</v>
      </c>
      <c r="J1696" s="1058">
        <f>'Смета Внутр'!I1703</f>
        <v>0</v>
      </c>
    </row>
    <row r="1697" spans="2:10" ht="15" customHeight="1">
      <c r="B1697" s="1042" t="str">
        <f>'Смета Внутр'!B1704</f>
        <v>Крепеж для ондулина</v>
      </c>
      <c r="C1697" s="1042" t="str">
        <f>'Смета Внутр'!C1704</f>
        <v>шт</v>
      </c>
      <c r="D1697" s="1058">
        <f>'Смета Внутр'!D1704</f>
        <v>0</v>
      </c>
      <c r="E1697" s="1042">
        <f>'Смета Внутр'!E1704</f>
        <v>4.5</v>
      </c>
      <c r="F1697" s="1042">
        <f>'Смета Внутр'!F1704</f>
        <v>0</v>
      </c>
      <c r="G1697" s="1042">
        <f t="shared" si="71"/>
        <v>4.5</v>
      </c>
      <c r="H1697" s="1042">
        <f>'Смета Внутр'!G1704</f>
        <v>0</v>
      </c>
      <c r="I1697" s="1042">
        <f>'Смета Внутр'!H1704</f>
        <v>0</v>
      </c>
      <c r="J1697" s="1058">
        <f>'Смета Внутр'!I1704</f>
        <v>0</v>
      </c>
    </row>
    <row r="1698" spans="2:10" ht="15" customHeight="1">
      <c r="B1698" s="1042" t="str">
        <f>'Смета Внутр'!B1705</f>
        <v>нет</v>
      </c>
      <c r="C1698" s="1042" t="str">
        <f>'Смета Внутр'!C1705</f>
        <v>м2</v>
      </c>
      <c r="D1698" s="1058">
        <f>'Смета Внутр'!D1705</f>
        <v>0</v>
      </c>
      <c r="E1698" s="1042">
        <f>'Смета Внутр'!E1705</f>
        <v>0</v>
      </c>
      <c r="F1698" s="1042">
        <f>'Смета Внутр'!F1705</f>
        <v>0</v>
      </c>
      <c r="G1698" s="1042">
        <f t="shared" si="71"/>
        <v>0</v>
      </c>
      <c r="H1698" s="1042">
        <f>'Смета Внутр'!G1705</f>
        <v>0</v>
      </c>
      <c r="I1698" s="1042">
        <f>'Смета Внутр'!H1705</f>
        <v>0</v>
      </c>
      <c r="J1698" s="1058">
        <f>'Смета Внутр'!I1705</f>
        <v>0</v>
      </c>
    </row>
    <row r="1699" spans="2:10" ht="15" customHeight="1">
      <c r="B1699" s="1042" t="str">
        <f>'Смета Внутр'!B1706</f>
        <v>Рядовая черепица</v>
      </c>
      <c r="C1699" s="1042" t="str">
        <f>'Смета Внутр'!C1706</f>
        <v>м2</v>
      </c>
      <c r="D1699" s="1058">
        <f>'Смета Внутр'!D1706</f>
        <v>0</v>
      </c>
      <c r="E1699" s="1042">
        <f>'Смета Внутр'!E1706</f>
        <v>360</v>
      </c>
      <c r="F1699" s="1042">
        <f>'Смета Внутр'!F1706</f>
        <v>0</v>
      </c>
      <c r="G1699" s="1042">
        <f t="shared" si="71"/>
        <v>360</v>
      </c>
      <c r="H1699" s="1042">
        <f>'Смета Внутр'!G1706</f>
        <v>0</v>
      </c>
      <c r="I1699" s="1042">
        <f>'Смета Внутр'!H1706</f>
        <v>0</v>
      </c>
      <c r="J1699" s="1058">
        <f>'Смета Внутр'!I1706</f>
        <v>0</v>
      </c>
    </row>
    <row r="1700" spans="2:10" ht="15" customHeight="1">
      <c r="B1700" s="1042" t="str">
        <f>'Смета Внутр'!B1707</f>
        <v>Металл оцинк защита (карниз)</v>
      </c>
      <c r="C1700" s="1042" t="str">
        <f>'Смета Внутр'!C1707</f>
        <v>м.п.</v>
      </c>
      <c r="D1700" s="1058">
        <f>'Смета Внутр'!D1707</f>
        <v>0</v>
      </c>
      <c r="E1700" s="1042">
        <f>'Смета Внутр'!E1707</f>
        <v>200</v>
      </c>
      <c r="F1700" s="1042">
        <f>'Смета Внутр'!F1707</f>
        <v>0</v>
      </c>
      <c r="G1700" s="1042">
        <f t="shared" si="71"/>
        <v>200</v>
      </c>
      <c r="H1700" s="1042">
        <f>'Смета Внутр'!G1707</f>
        <v>0</v>
      </c>
      <c r="I1700" s="1042">
        <f>'Смета Внутр'!H1707</f>
        <v>0</v>
      </c>
      <c r="J1700" s="1058">
        <f>'Смета Внутр'!I1707</f>
        <v>0</v>
      </c>
    </row>
    <row r="1701" spans="2:10" ht="15" customHeight="1">
      <c r="B1701" s="1042" t="str">
        <f>'Смета Внутр'!B1708</f>
        <v>Подкладочный ковер</v>
      </c>
      <c r="C1701" s="1042" t="str">
        <f>'Смета Внутр'!C1708</f>
        <v>м.п.</v>
      </c>
      <c r="D1701" s="1058">
        <f>'Смета Внутр'!D1708</f>
        <v>0</v>
      </c>
      <c r="E1701" s="1042">
        <f>'Смета Внутр'!E1708</f>
        <v>220</v>
      </c>
      <c r="F1701" s="1042">
        <f>'Смета Внутр'!F1708</f>
        <v>0</v>
      </c>
      <c r="G1701" s="1042">
        <f t="shared" si="71"/>
        <v>220</v>
      </c>
      <c r="H1701" s="1042">
        <f>'Смета Внутр'!G1708</f>
        <v>0</v>
      </c>
      <c r="I1701" s="1042">
        <f>'Смета Внутр'!H1708</f>
        <v>0</v>
      </c>
      <c r="J1701" s="1058">
        <f>'Смета Внутр'!I1708</f>
        <v>0</v>
      </c>
    </row>
    <row r="1702" spans="2:10" ht="15" customHeight="1">
      <c r="B1702" s="1042" t="str">
        <f>'Смета Внутр'!B1709</f>
        <v>Карнизная самоклеющаяся черепица</v>
      </c>
      <c r="C1702" s="1042" t="str">
        <f>'Смета Внутр'!C1709</f>
        <v>м.п.</v>
      </c>
      <c r="D1702" s="1058">
        <f>'Смета Внутр'!D1709</f>
        <v>0</v>
      </c>
      <c r="E1702" s="1042">
        <f>'Смета Внутр'!E1709</f>
        <v>220</v>
      </c>
      <c r="F1702" s="1042">
        <f>'Смета Внутр'!F1709</f>
        <v>0</v>
      </c>
      <c r="G1702" s="1042">
        <f t="shared" si="71"/>
        <v>220</v>
      </c>
      <c r="H1702" s="1042">
        <f>'Смета Внутр'!G1709</f>
        <v>0</v>
      </c>
      <c r="I1702" s="1042">
        <f>'Смета Внутр'!H1709</f>
        <v>0</v>
      </c>
      <c r="J1702" s="1058">
        <f>'Смета Внутр'!I1709</f>
        <v>0</v>
      </c>
    </row>
    <row r="1703" spans="2:10" ht="15" customHeight="1">
      <c r="B1703" s="1042" t="str">
        <f>'Смета Внутр'!B1710</f>
        <v>Спец ковер ендова нижняя</v>
      </c>
      <c r="C1703" s="1042" t="str">
        <f>'Смета Внутр'!C1710</f>
        <v>м.п.</v>
      </c>
      <c r="D1703" s="1058">
        <f>'Смета Внутр'!D1710</f>
        <v>0</v>
      </c>
      <c r="E1703" s="1042">
        <f>'Смета Внутр'!E1710</f>
        <v>200</v>
      </c>
      <c r="F1703" s="1042">
        <f>'Смета Внутр'!F1710</f>
        <v>0</v>
      </c>
      <c r="G1703" s="1042">
        <f t="shared" si="71"/>
        <v>200</v>
      </c>
      <c r="H1703" s="1042">
        <f>'Смета Внутр'!G1710</f>
        <v>0</v>
      </c>
      <c r="I1703" s="1042">
        <f>'Смета Внутр'!H1710</f>
        <v>0</v>
      </c>
      <c r="J1703" s="1058">
        <f>'Смета Внутр'!I1710</f>
        <v>0</v>
      </c>
    </row>
    <row r="1704" spans="2:10" ht="15" customHeight="1">
      <c r="B1704" s="1042" t="str">
        <f>'Смета Внутр'!B1711</f>
        <v>Коньковой элемент</v>
      </c>
      <c r="C1704" s="1042" t="str">
        <f>'Смета Внутр'!C1711</f>
        <v>м.п.</v>
      </c>
      <c r="D1704" s="1058">
        <f>'Смета Внутр'!D1711</f>
        <v>0</v>
      </c>
      <c r="E1704" s="1042">
        <f>'Смета Внутр'!E1711</f>
        <v>250</v>
      </c>
      <c r="F1704" s="1042">
        <f>'Смета Внутр'!F1711</f>
        <v>0</v>
      </c>
      <c r="G1704" s="1042">
        <f t="shared" si="71"/>
        <v>250</v>
      </c>
      <c r="H1704" s="1042">
        <f>'Смета Внутр'!G1711</f>
        <v>0</v>
      </c>
      <c r="I1704" s="1042">
        <f>'Смета Внутр'!H1711</f>
        <v>0</v>
      </c>
      <c r="J1704" s="1058">
        <f>'Смета Внутр'!I1711</f>
        <v>0</v>
      </c>
    </row>
    <row r="1705" spans="2:10" ht="15" customHeight="1">
      <c r="B1705" s="1042" t="str">
        <f>'Смета Внутр'!B1712</f>
        <v>Планка премыкания</v>
      </c>
      <c r="C1705" s="1042" t="str">
        <f>'Смета Внутр'!C1712</f>
        <v>м.п.</v>
      </c>
      <c r="D1705" s="1058">
        <f>'Смета Внутр'!D1712</f>
        <v>0</v>
      </c>
      <c r="E1705" s="1042">
        <f>'Смета Внутр'!E1712</f>
        <v>200</v>
      </c>
      <c r="F1705" s="1042">
        <f>'Смета Внутр'!F1712</f>
        <v>0</v>
      </c>
      <c r="G1705" s="1042">
        <f t="shared" si="71"/>
        <v>200</v>
      </c>
      <c r="H1705" s="1042">
        <f>'Смета Внутр'!G1712</f>
        <v>0</v>
      </c>
      <c r="I1705" s="1042">
        <f>'Смета Внутр'!H1712</f>
        <v>0</v>
      </c>
      <c r="J1705" s="1058">
        <f>'Смета Внутр'!I1712</f>
        <v>0</v>
      </c>
    </row>
    <row r="1706" spans="2:10" ht="15" customHeight="1">
      <c r="B1706" s="1042" t="str">
        <f>'Смета Внутр'!B1713</f>
        <v>Гвозди для крепления подкладочного ковра</v>
      </c>
      <c r="C1706" s="1042" t="str">
        <f>'Смета Внутр'!C1713</f>
        <v>шт</v>
      </c>
      <c r="D1706" s="1058">
        <f>'Смета Внутр'!D1713</f>
        <v>0</v>
      </c>
      <c r="E1706" s="1042">
        <f>'Смета Внутр'!E1713</f>
        <v>1.2E-2</v>
      </c>
      <c r="F1706" s="1042">
        <f>'Смета Внутр'!F1713</f>
        <v>0</v>
      </c>
      <c r="G1706" s="1042">
        <f t="shared" si="71"/>
        <v>1.2E-2</v>
      </c>
      <c r="H1706" s="1042">
        <f>'Смета Внутр'!G1713</f>
        <v>0</v>
      </c>
      <c r="I1706" s="1042">
        <f>'Смета Внутр'!H1713</f>
        <v>0</v>
      </c>
      <c r="J1706" s="1058">
        <f>'Смета Внутр'!I1713</f>
        <v>0</v>
      </c>
    </row>
    <row r="1707" spans="2:10" ht="15" customHeight="1">
      <c r="B1707" s="1042" t="str">
        <f>'Смета Внутр'!B1714</f>
        <v>Гвозди для крепления черепицы</v>
      </c>
      <c r="C1707" s="1042" t="str">
        <f>'Смета Внутр'!C1714</f>
        <v>шт</v>
      </c>
      <c r="D1707" s="1058">
        <f>'Смета Внутр'!D1714</f>
        <v>0</v>
      </c>
      <c r="E1707" s="1042">
        <f>'Смета Внутр'!E1714</f>
        <v>0.25</v>
      </c>
      <c r="F1707" s="1042">
        <f>'Смета Внутр'!F1714</f>
        <v>0</v>
      </c>
      <c r="G1707" s="1042">
        <f t="shared" si="71"/>
        <v>0.25</v>
      </c>
      <c r="H1707" s="1042">
        <f>'Смета Внутр'!G1714</f>
        <v>0</v>
      </c>
      <c r="I1707" s="1042">
        <f>'Смета Внутр'!H1714</f>
        <v>0</v>
      </c>
      <c r="J1707" s="1058">
        <f>'Смета Внутр'!I1714</f>
        <v>0</v>
      </c>
    </row>
    <row r="1708" spans="2:10" ht="15" customHeight="1">
      <c r="B1708" s="1042" t="str">
        <f>'Смета Внутр'!B1715</f>
        <v>Клей для монтажа черепицы</v>
      </c>
      <c r="C1708" s="1042" t="str">
        <f>'Смета Внутр'!C1715</f>
        <v>кг</v>
      </c>
      <c r="D1708" s="1058">
        <f>'Смета Внутр'!D1715</f>
        <v>0</v>
      </c>
      <c r="E1708" s="1042">
        <f>'Смета Внутр'!E1715</f>
        <v>250</v>
      </c>
      <c r="F1708" s="1042">
        <f>'Смета Внутр'!F1715</f>
        <v>0</v>
      </c>
      <c r="G1708" s="1042">
        <f t="shared" si="71"/>
        <v>250</v>
      </c>
      <c r="H1708" s="1042">
        <f>'Смета Внутр'!G1715</f>
        <v>0</v>
      </c>
      <c r="I1708" s="1042">
        <f>'Смета Внутр'!H1715</f>
        <v>0</v>
      </c>
      <c r="J1708" s="1058">
        <f>'Смета Внутр'!I1715</f>
        <v>0</v>
      </c>
    </row>
    <row r="1709" spans="2:10" ht="15" customHeight="1">
      <c r="B1709" s="1042" t="str">
        <f>'Смета Внутр'!B1716</f>
        <v>желоб</v>
      </c>
      <c r="C1709" s="1042" t="str">
        <f>'Смета Внутр'!C1716</f>
        <v>м.п</v>
      </c>
      <c r="D1709" s="1058">
        <f>'Смета Внутр'!D1716</f>
        <v>0</v>
      </c>
      <c r="E1709" s="1042">
        <f>'Смета Внутр'!E1716</f>
        <v>300</v>
      </c>
      <c r="F1709" s="1042">
        <f>'Смета Внутр'!F1716</f>
        <v>0</v>
      </c>
      <c r="G1709" s="1042">
        <f t="shared" si="71"/>
        <v>300</v>
      </c>
      <c r="H1709" s="1042">
        <f>'Смета Внутр'!G1716</f>
        <v>0</v>
      </c>
      <c r="I1709" s="1042">
        <f>'Смета Внутр'!H1716</f>
        <v>0</v>
      </c>
      <c r="J1709" s="1058">
        <f>'Смета Внутр'!I1716</f>
        <v>0</v>
      </c>
    </row>
    <row r="1710" spans="2:10" ht="15" customHeight="1">
      <c r="B1710" s="1042" t="str">
        <f>'Смета Внутр'!B1717</f>
        <v>отвод</v>
      </c>
      <c r="C1710" s="1042" t="str">
        <f>'Смета Внутр'!C1717</f>
        <v>шт</v>
      </c>
      <c r="D1710" s="1058">
        <f>'Смета Внутр'!D1717</f>
        <v>0</v>
      </c>
      <c r="E1710" s="1042">
        <f>'Смета Внутр'!E1717</f>
        <v>250</v>
      </c>
      <c r="F1710" s="1042">
        <f>'Смета Внутр'!F1717</f>
        <v>0</v>
      </c>
      <c r="G1710" s="1042">
        <f t="shared" si="71"/>
        <v>250</v>
      </c>
      <c r="H1710" s="1042">
        <f>'Смета Внутр'!G1717</f>
        <v>0</v>
      </c>
      <c r="I1710" s="1042">
        <f>'Смета Внутр'!H1717</f>
        <v>0</v>
      </c>
      <c r="J1710" s="1058">
        <f>'Смета Внутр'!I1717</f>
        <v>0</v>
      </c>
    </row>
    <row r="1711" spans="2:10" ht="15" customHeight="1">
      <c r="B1711" s="1042" t="str">
        <f>'Смета Внутр'!B1718</f>
        <v>труба водосточная</v>
      </c>
      <c r="C1711" s="1042" t="str">
        <f>'Смета Внутр'!C1718</f>
        <v>м.п.</v>
      </c>
      <c r="D1711" s="1058">
        <f>'Смета Внутр'!D1718</f>
        <v>0</v>
      </c>
      <c r="E1711" s="1042">
        <f>'Смета Внутр'!E1718</f>
        <v>300</v>
      </c>
      <c r="F1711" s="1042">
        <f>'Смета Внутр'!F1718</f>
        <v>0</v>
      </c>
      <c r="G1711" s="1042">
        <f t="shared" si="71"/>
        <v>300</v>
      </c>
      <c r="H1711" s="1042">
        <f>'Смета Внутр'!G1718</f>
        <v>0</v>
      </c>
      <c r="I1711" s="1042">
        <f>'Смета Внутр'!H1718</f>
        <v>0</v>
      </c>
      <c r="J1711" s="1058">
        <f>'Смета Внутр'!I1718</f>
        <v>0</v>
      </c>
    </row>
    <row r="1712" spans="2:10" ht="15" customHeight="1">
      <c r="B1712" s="1042" t="str">
        <f>'Смета Внутр'!B1719</f>
        <v>заглушка для желоба</v>
      </c>
      <c r="C1712" s="1042" t="str">
        <f>'Смета Внутр'!C1719</f>
        <v>шт</v>
      </c>
      <c r="D1712" s="1058">
        <f>'Смета Внутр'!D1719</f>
        <v>0</v>
      </c>
      <c r="E1712" s="1042">
        <f>'Смета Внутр'!E1719</f>
        <v>190</v>
      </c>
      <c r="F1712" s="1042">
        <f>'Смета Внутр'!F1719</f>
        <v>0</v>
      </c>
      <c r="G1712" s="1042">
        <f t="shared" si="71"/>
        <v>190</v>
      </c>
      <c r="H1712" s="1042">
        <f>'Смета Внутр'!G1719</f>
        <v>0</v>
      </c>
      <c r="I1712" s="1042">
        <f>'Смета Внутр'!H1719</f>
        <v>0</v>
      </c>
      <c r="J1712" s="1058">
        <f>'Смета Внутр'!I1719</f>
        <v>0</v>
      </c>
    </row>
    <row r="1713" spans="2:10" ht="15" customHeight="1">
      <c r="B1713" s="1042" t="str">
        <f>'Смета Внутр'!B1720</f>
        <v>соеденитель для желоба</v>
      </c>
      <c r="C1713" s="1042" t="str">
        <f>'Смета Внутр'!C1720</f>
        <v>шт</v>
      </c>
      <c r="D1713" s="1058">
        <f>'Смета Внутр'!D1720</f>
        <v>2</v>
      </c>
      <c r="E1713" s="1042">
        <f>'Смета Внутр'!E1720</f>
        <v>180</v>
      </c>
      <c r="F1713" s="1042">
        <f>'Смета Внутр'!F1720</f>
        <v>0</v>
      </c>
      <c r="G1713" s="1042">
        <f t="shared" si="71"/>
        <v>180</v>
      </c>
      <c r="H1713" s="1042">
        <f>'Смета Внутр'!G1720</f>
        <v>360</v>
      </c>
      <c r="I1713" s="1042">
        <f>'Смета Внутр'!H1720</f>
        <v>0</v>
      </c>
      <c r="J1713" s="1058">
        <f>'Смета Внутр'!I1720</f>
        <v>0</v>
      </c>
    </row>
    <row r="1714" spans="2:10" ht="15" customHeight="1">
      <c r="B1714" s="1042" t="str">
        <f>'Смета Внутр'!B1721</f>
        <v>кронштейн для желоба</v>
      </c>
      <c r="C1714" s="1042" t="str">
        <f>'Смета Внутр'!C1721</f>
        <v>шт</v>
      </c>
      <c r="D1714" s="1058">
        <f>'Смета Внутр'!D1721</f>
        <v>0</v>
      </c>
      <c r="E1714" s="1042">
        <f>'Смета Внутр'!E1721</f>
        <v>130</v>
      </c>
      <c r="F1714" s="1042">
        <f>'Смета Внутр'!F1721</f>
        <v>0</v>
      </c>
      <c r="G1714" s="1042">
        <f t="shared" si="71"/>
        <v>130</v>
      </c>
      <c r="H1714" s="1042">
        <f>'Смета Внутр'!G1721</f>
        <v>0</v>
      </c>
      <c r="I1714" s="1042">
        <f>'Смета Внутр'!H1721</f>
        <v>0</v>
      </c>
      <c r="J1714" s="1058">
        <f>'Смета Внутр'!I1721</f>
        <v>0</v>
      </c>
    </row>
    <row r="1715" spans="2:10" ht="15" customHeight="1">
      <c r="B1715" s="1042" t="str">
        <f>'Смета Внутр'!B1722</f>
        <v>переход из желоба в трубу</v>
      </c>
      <c r="C1715" s="1042" t="str">
        <f>'Смета Внутр'!C1722</f>
        <v>шт</v>
      </c>
      <c r="D1715" s="1058">
        <f>'Смета Внутр'!D1722</f>
        <v>0</v>
      </c>
      <c r="E1715" s="1042">
        <f>'Смета Внутр'!E1722</f>
        <v>350</v>
      </c>
      <c r="F1715" s="1042">
        <f>'Смета Внутр'!F1722</f>
        <v>0</v>
      </c>
      <c r="G1715" s="1042">
        <f t="shared" si="71"/>
        <v>350</v>
      </c>
      <c r="H1715" s="1042">
        <f>'Смета Внутр'!G1722</f>
        <v>0</v>
      </c>
      <c r="I1715" s="1042">
        <f>'Смета Внутр'!H1722</f>
        <v>0</v>
      </c>
      <c r="J1715" s="1058">
        <f>'Смета Внутр'!I1722</f>
        <v>0</v>
      </c>
    </row>
    <row r="1716" spans="2:10" ht="15" customHeight="1">
      <c r="B1716" s="1042" t="str">
        <f>'Смета Внутр'!B1723</f>
        <v>лента дельта мульти бэнд</v>
      </c>
      <c r="C1716" s="1042" t="str">
        <f>'Смета Внутр'!C1723</f>
        <v>шт</v>
      </c>
      <c r="D1716" s="1058">
        <f>'Смета Внутр'!D1723</f>
        <v>0</v>
      </c>
      <c r="E1716" s="1042">
        <f>'Смета Внутр'!E1723</f>
        <v>1200</v>
      </c>
      <c r="F1716" s="1042">
        <f>'Смета Внутр'!F1723</f>
        <v>0</v>
      </c>
      <c r="G1716" s="1042">
        <f t="shared" si="71"/>
        <v>1200</v>
      </c>
      <c r="H1716" s="1042">
        <f>'Смета Внутр'!G1723</f>
        <v>0</v>
      </c>
      <c r="I1716" s="1042">
        <f>'Смета Внутр'!H1723</f>
        <v>0</v>
      </c>
      <c r="J1716" s="1058">
        <f>'Смета Внутр'!I1723</f>
        <v>0</v>
      </c>
    </row>
    <row r="1717" spans="2:10" ht="15" customHeight="1">
      <c r="B1717" s="1042" t="str">
        <f>'Смета Внутр'!B1724</f>
        <v>лента дельта sb-60</v>
      </c>
      <c r="C1717" s="1042" t="str">
        <f>'Смета Внутр'!C1724</f>
        <v>шт</v>
      </c>
      <c r="D1717" s="1058">
        <f>'Смета Внутр'!D1724</f>
        <v>0</v>
      </c>
      <c r="E1717" s="1042">
        <f>'Смета Внутр'!E1724</f>
        <v>1100</v>
      </c>
      <c r="F1717" s="1042">
        <f>'Смета Внутр'!F1724</f>
        <v>0</v>
      </c>
      <c r="G1717" s="1042">
        <f t="shared" si="71"/>
        <v>1100</v>
      </c>
      <c r="H1717" s="1042">
        <f>'Смета Внутр'!G1724</f>
        <v>0</v>
      </c>
      <c r="I1717" s="1042">
        <f>'Смета Внутр'!H1724</f>
        <v>0</v>
      </c>
      <c r="J1717" s="1058">
        <f>'Смета Внутр'!I1724</f>
        <v>0</v>
      </c>
    </row>
    <row r="1718" spans="2:10" ht="15" customHeight="1">
      <c r="B1718" s="1042" t="str">
        <f>'Смета Внутр'!B1725</f>
        <v>Кровельный саморез</v>
      </c>
      <c r="C1718" s="1042" t="str">
        <f>'Смета Внутр'!C1725</f>
        <v>шт</v>
      </c>
      <c r="D1718" s="1058">
        <f>'Смета Внутр'!D1725</f>
        <v>0</v>
      </c>
      <c r="E1718" s="1042">
        <f>'Смета Внутр'!E1725</f>
        <v>2</v>
      </c>
      <c r="F1718" s="1042">
        <f>'Смета Внутр'!F1725</f>
        <v>0</v>
      </c>
      <c r="G1718" s="1042">
        <f t="shared" si="71"/>
        <v>2</v>
      </c>
      <c r="H1718" s="1042">
        <f>'Смета Внутр'!G1725</f>
        <v>0</v>
      </c>
      <c r="I1718" s="1042">
        <f>'Смета Внутр'!H1725</f>
        <v>0</v>
      </c>
      <c r="J1718" s="1058">
        <f>'Смета Внутр'!I1725</f>
        <v>0</v>
      </c>
    </row>
    <row r="1719" spans="2:10" ht="15" customHeight="1">
      <c r="B1719" s="1042" t="str">
        <f>'Смета Внутр'!B1726</f>
        <v xml:space="preserve">Гвозди ершоные 3,4 x 60            </v>
      </c>
      <c r="C1719" s="1042" t="str">
        <f>'Смета Внутр'!C1726</f>
        <v>кг</v>
      </c>
      <c r="D1719" s="1058">
        <f>'Смета Внутр'!D1726</f>
        <v>0</v>
      </c>
      <c r="E1719" s="1042">
        <f>'Смета Внутр'!E1726</f>
        <v>75.510000000000005</v>
      </c>
      <c r="F1719" s="1042">
        <f>'Смета Внутр'!F1726</f>
        <v>0</v>
      </c>
      <c r="G1719" s="1042">
        <f t="shared" si="71"/>
        <v>75.510000000000005</v>
      </c>
      <c r="H1719" s="1042">
        <f>'Смета Внутр'!G1726</f>
        <v>0</v>
      </c>
      <c r="I1719" s="1042">
        <f>'Смета Внутр'!H1726</f>
        <v>0</v>
      </c>
      <c r="J1719" s="1058">
        <f>'Смета Внутр'!I1726</f>
        <v>0</v>
      </c>
    </row>
    <row r="1720" spans="2:10" ht="15" customHeight="1">
      <c r="B1720" s="1042" t="str">
        <f>'Смета Внутр'!B1727</f>
        <v xml:space="preserve">Гвозди ершоные 2,8 х 90            </v>
      </c>
      <c r="C1720" s="1042" t="str">
        <f>'Смета Внутр'!C1727</f>
        <v>кг</v>
      </c>
      <c r="D1720" s="1058">
        <f>'Смета Внутр'!D1727</f>
        <v>0</v>
      </c>
      <c r="E1720" s="1042">
        <f>'Смета Внутр'!E1727</f>
        <v>76.489999999999995</v>
      </c>
      <c r="F1720" s="1042">
        <f>'Смета Внутр'!F1727</f>
        <v>0</v>
      </c>
      <c r="G1720" s="1042">
        <f t="shared" si="71"/>
        <v>76.489999999999995</v>
      </c>
      <c r="H1720" s="1042">
        <f>'Смета Внутр'!G1727</f>
        <v>0</v>
      </c>
      <c r="I1720" s="1042">
        <f>'Смета Внутр'!H1727</f>
        <v>0</v>
      </c>
      <c r="J1720" s="1058">
        <f>'Смета Внутр'!I1727</f>
        <v>0</v>
      </c>
    </row>
    <row r="1721" spans="2:10" ht="15" customHeight="1">
      <c r="B1721" s="1042" t="str">
        <f>'Смета Внутр'!B1728</f>
        <v xml:space="preserve">Уголок усиленный 90х70х55х2,5        </v>
      </c>
      <c r="C1721" s="1042" t="str">
        <f>'Смета Внутр'!C1728</f>
        <v>шт</v>
      </c>
      <c r="D1721" s="1058">
        <f>'Смета Внутр'!D1728</f>
        <v>0</v>
      </c>
      <c r="E1721" s="1042">
        <f>'Смета Внутр'!E1728</f>
        <v>30</v>
      </c>
      <c r="F1721" s="1042">
        <f>'Смета Внутр'!F1728</f>
        <v>0</v>
      </c>
      <c r="G1721" s="1042">
        <f t="shared" si="71"/>
        <v>30</v>
      </c>
      <c r="H1721" s="1042">
        <f>'Смета Внутр'!G1728</f>
        <v>0</v>
      </c>
      <c r="I1721" s="1042">
        <f>'Смета Внутр'!H1728</f>
        <v>0</v>
      </c>
      <c r="J1721" s="1058">
        <f>'Смета Внутр'!I1728</f>
        <v>0</v>
      </c>
    </row>
    <row r="1722" spans="2:10">
      <c r="B1722" s="3330" t="str">
        <f>'Смета Внутр'!B1729</f>
        <v>Итого материалы</v>
      </c>
      <c r="C1722" s="3330"/>
      <c r="D1722" s="3330"/>
      <c r="E1722" s="3330"/>
      <c r="F1722" s="3330"/>
      <c r="G1722" s="3330"/>
      <c r="H1722" s="1042">
        <f>'Смета Внутр'!G1729</f>
        <v>0</v>
      </c>
      <c r="I1722" s="1042">
        <f>'Смета Внутр'!H1729</f>
        <v>0</v>
      </c>
      <c r="J1722" s="1058">
        <f>'Смета Внутр'!I1729</f>
        <v>0</v>
      </c>
    </row>
    <row r="1723" spans="2:10" ht="15" customHeight="1">
      <c r="B1723" s="3002" t="str">
        <f>'Смета Внутр'!B1730</f>
        <v>Работы</v>
      </c>
      <c r="D1723" s="1167"/>
      <c r="H1723">
        <f>'Смета Внутр'!G1730</f>
        <v>0</v>
      </c>
      <c r="I1723">
        <f>'Смета Внутр'!H1730</f>
        <v>0</v>
      </c>
      <c r="J1723" s="3027">
        <f>'Смета Внутр'!I1730</f>
        <v>0</v>
      </c>
    </row>
    <row r="1724" spans="2:10" ht="15" customHeight="1">
      <c r="B1724" s="1042" t="str">
        <f>'Смета Внутр'!B1731</f>
        <v>монтаж мауэрлат</v>
      </c>
      <c r="C1724" s="1042" t="str">
        <f>'Смета Внутр'!C1731</f>
        <v>м.п.</v>
      </c>
      <c r="D1724" s="1058">
        <f>'Смета Внутр'!D1731</f>
        <v>0</v>
      </c>
      <c r="E1724" s="1042">
        <f>'Смета Внутр'!E1731</f>
        <v>250</v>
      </c>
      <c r="F1724" s="1042">
        <f>'Смета Внутр'!F1731</f>
        <v>0</v>
      </c>
      <c r="G1724" s="1042">
        <f t="shared" ref="G1724:G1740" si="72">IF(E1724&gt;F1724,E1724,F1724)</f>
        <v>250</v>
      </c>
      <c r="H1724" s="1042">
        <f>'Смета Внутр'!G1731</f>
        <v>0</v>
      </c>
      <c r="I1724" s="1042">
        <f>'Смета Внутр'!H1731</f>
        <v>0</v>
      </c>
      <c r="J1724" s="1058">
        <f>'Смета Внутр'!I1731</f>
        <v>0</v>
      </c>
    </row>
    <row r="1725" spans="2:10" ht="15" customHeight="1">
      <c r="B1725" s="1042" t="str">
        <f>'Смета Внутр'!B1732</f>
        <v>монтаж стропил</v>
      </c>
      <c r="C1725" s="1042" t="str">
        <f>'Смета Внутр'!C1732</f>
        <v>м2</v>
      </c>
      <c r="D1725" s="1058">
        <f>'Смета Внутр'!D1732</f>
        <v>0</v>
      </c>
      <c r="E1725" s="1042">
        <f>'Смета Внутр'!E1732</f>
        <v>450</v>
      </c>
      <c r="F1725" s="1042">
        <f>'Смета Внутр'!F1732</f>
        <v>0</v>
      </c>
      <c r="G1725" s="1042">
        <f t="shared" si="72"/>
        <v>450</v>
      </c>
      <c r="H1725" s="1042">
        <f>'Смета Внутр'!G1732</f>
        <v>0</v>
      </c>
      <c r="I1725" s="1042">
        <f>'Смета Внутр'!H1732</f>
        <v>0</v>
      </c>
      <c r="J1725" s="1058">
        <f>'Смета Внутр'!I1732</f>
        <v>0</v>
      </c>
    </row>
    <row r="1726" spans="2:10" ht="15" customHeight="1">
      <c r="B1726" s="1042" t="str">
        <f>'Смета Внутр'!B1733</f>
        <v>обрешетка</v>
      </c>
      <c r="C1726" s="1042" t="str">
        <f>'Смета Внутр'!C1733</f>
        <v>м2</v>
      </c>
      <c r="D1726" s="1058">
        <f>'Смета Внутр'!D1733</f>
        <v>0</v>
      </c>
      <c r="E1726" s="1042">
        <f>'Смета Внутр'!E1733</f>
        <v>100</v>
      </c>
      <c r="F1726" s="1042">
        <f>'Смета Внутр'!F1733</f>
        <v>0</v>
      </c>
      <c r="G1726" s="1042">
        <f t="shared" si="72"/>
        <v>100</v>
      </c>
      <c r="H1726" s="1042">
        <f>'Смета Внутр'!G1733</f>
        <v>0</v>
      </c>
      <c r="I1726" s="1042">
        <f>'Смета Внутр'!H1733</f>
        <v>0</v>
      </c>
      <c r="J1726" s="1058">
        <f>'Смета Внутр'!I1733</f>
        <v>0</v>
      </c>
    </row>
    <row r="1727" spans="2:10" ht="15" customHeight="1">
      <c r="B1727" s="1042" t="str">
        <f>'Смета Внутр'!B1734</f>
        <v>контробеш</v>
      </c>
      <c r="C1727" s="1042" t="str">
        <f>'Смета Внутр'!C1734</f>
        <v>м2</v>
      </c>
      <c r="D1727" s="1058">
        <f>'Смета Внутр'!D1734</f>
        <v>0</v>
      </c>
      <c r="E1727" s="1042">
        <f>'Смета Внутр'!E1734</f>
        <v>100</v>
      </c>
      <c r="F1727" s="1042">
        <f>'Смета Внутр'!F1734</f>
        <v>0</v>
      </c>
      <c r="G1727" s="1042">
        <f t="shared" si="72"/>
        <v>100</v>
      </c>
      <c r="H1727" s="1042">
        <f>'Смета Внутр'!G1734</f>
        <v>0</v>
      </c>
      <c r="I1727" s="1042">
        <f>'Смета Внутр'!H1734</f>
        <v>0</v>
      </c>
      <c r="J1727" s="1058">
        <f>'Смета Внутр'!I1734</f>
        <v>0</v>
      </c>
    </row>
    <row r="1728" spans="2:10" ht="15" customHeight="1">
      <c r="B1728" s="1042" t="str">
        <f>'Смета Внутр'!B1735</f>
        <v>мембрана</v>
      </c>
      <c r="C1728" s="1042" t="str">
        <f>'Смета Внутр'!C1735</f>
        <v>м2</v>
      </c>
      <c r="D1728" s="1058">
        <f>'Смета Внутр'!D1735</f>
        <v>0</v>
      </c>
      <c r="E1728" s="1042">
        <f>'Смета Внутр'!E1735</f>
        <v>100</v>
      </c>
      <c r="F1728" s="1042">
        <f>'Смета Внутр'!F1735</f>
        <v>0</v>
      </c>
      <c r="G1728" s="1042">
        <f t="shared" si="72"/>
        <v>100</v>
      </c>
      <c r="H1728" s="1042">
        <f>'Смета Внутр'!G1735</f>
        <v>0</v>
      </c>
      <c r="I1728" s="1042">
        <f>'Смета Внутр'!H1735</f>
        <v>0</v>
      </c>
      <c r="J1728" s="1058">
        <f>'Смета Внутр'!I1735</f>
        <v>0</v>
      </c>
    </row>
    <row r="1729" spans="2:10" ht="15" customHeight="1">
      <c r="B1729" s="1042" t="str">
        <f>'Смета Внутр'!B1736</f>
        <v>пароизоляц</v>
      </c>
      <c r="C1729" s="1042" t="str">
        <f>'Смета Внутр'!C1736</f>
        <v>м2</v>
      </c>
      <c r="D1729" s="1058">
        <f>'Смета Внутр'!D1736</f>
        <v>0</v>
      </c>
      <c r="E1729" s="1042">
        <f>'Смета Внутр'!E1736</f>
        <v>100</v>
      </c>
      <c r="F1729" s="1042">
        <f>'Смета Внутр'!F1736</f>
        <v>0</v>
      </c>
      <c r="G1729" s="1042">
        <f t="shared" si="72"/>
        <v>100</v>
      </c>
      <c r="H1729" s="1042">
        <f>'Смета Внутр'!G1736</f>
        <v>0</v>
      </c>
      <c r="I1729" s="1042">
        <f>'Смета Внутр'!H1736</f>
        <v>0</v>
      </c>
      <c r="J1729" s="1058">
        <f>'Смета Внутр'!I1736</f>
        <v>0</v>
      </c>
    </row>
    <row r="1730" spans="2:10" ht="15" customHeight="1">
      <c r="B1730" s="1042" t="str">
        <f>'Смета Внутр'!B1737</f>
        <v>утеплитель</v>
      </c>
      <c r="C1730" s="1042" t="str">
        <f>'Смета Внутр'!C1737</f>
        <v>м2</v>
      </c>
      <c r="D1730" s="1058">
        <f>'Смета Внутр'!D1737</f>
        <v>0</v>
      </c>
      <c r="E1730" s="1042">
        <f>'Смета Внутр'!E1737</f>
        <v>200</v>
      </c>
      <c r="F1730" s="1042">
        <f>'Смета Внутр'!F1737</f>
        <v>0</v>
      </c>
      <c r="G1730" s="1042">
        <f t="shared" si="72"/>
        <v>200</v>
      </c>
      <c r="H1730" s="1042">
        <f>'Смета Внутр'!G1737</f>
        <v>0</v>
      </c>
      <c r="I1730" s="1042">
        <f>'Смета Внутр'!H1737</f>
        <v>0</v>
      </c>
      <c r="J1730" s="1058">
        <f>'Смета Внутр'!I1737</f>
        <v>0</v>
      </c>
    </row>
    <row r="1731" spans="2:10" ht="15" customHeight="1">
      <c r="B1731" s="1042" t="str">
        <f>'Смета Внутр'!B1738</f>
        <v>Монтаж металлочерепицы</v>
      </c>
      <c r="C1731" s="1042" t="str">
        <f>'Смета Внутр'!C1738</f>
        <v>м2</v>
      </c>
      <c r="D1731" s="1058">
        <f>'Смета Внутр'!D1738</f>
        <v>0</v>
      </c>
      <c r="E1731" s="1042">
        <f>'Смета Внутр'!E1738</f>
        <v>300</v>
      </c>
      <c r="F1731" s="1042">
        <f>'Смета Внутр'!F1738</f>
        <v>0</v>
      </c>
      <c r="G1731" s="1042">
        <f t="shared" si="72"/>
        <v>300</v>
      </c>
      <c r="H1731" s="1042">
        <f>'Смета Внутр'!G1738</f>
        <v>0</v>
      </c>
      <c r="I1731" s="1042">
        <f>'Смета Внутр'!H1738</f>
        <v>0</v>
      </c>
      <c r="J1731" s="1058">
        <f>'Смета Внутр'!I1738</f>
        <v>0</v>
      </c>
    </row>
    <row r="1732" spans="2:10" ht="15" customHeight="1">
      <c r="B1732" s="1042" t="str">
        <f>'Смета Внутр'!B1739</f>
        <v>карнизная планка</v>
      </c>
      <c r="C1732" s="1042" t="str">
        <f>'Смета Внутр'!C1739</f>
        <v>м2</v>
      </c>
      <c r="D1732" s="1058">
        <f>'Смета Внутр'!D1739</f>
        <v>0</v>
      </c>
      <c r="E1732" s="1042">
        <f>'Смета Внутр'!E1739</f>
        <v>100</v>
      </c>
      <c r="F1732" s="1042">
        <f>'Смета Внутр'!F1739</f>
        <v>0</v>
      </c>
      <c r="G1732" s="1042">
        <f t="shared" si="72"/>
        <v>100</v>
      </c>
      <c r="H1732" s="1042">
        <f>'Смета Внутр'!G1739</f>
        <v>0</v>
      </c>
      <c r="I1732" s="1042">
        <f>'Смета Внутр'!H1739</f>
        <v>0</v>
      </c>
      <c r="J1732" s="1058">
        <f>'Смета Внутр'!I1739</f>
        <v>0</v>
      </c>
    </row>
    <row r="1733" spans="2:10" ht="15" customHeight="1">
      <c r="B1733" s="1042" t="str">
        <f>'Смета Внутр'!B1740</f>
        <v>торцевая планка</v>
      </c>
      <c r="C1733" s="1042" t="str">
        <f>'Смета Внутр'!C1740</f>
        <v>м2</v>
      </c>
      <c r="D1733" s="1058">
        <f>'Смета Внутр'!D1740</f>
        <v>0</v>
      </c>
      <c r="E1733" s="1042">
        <f>'Смета Внутр'!E1740</f>
        <v>100</v>
      </c>
      <c r="F1733" s="1042">
        <f>'Смета Внутр'!F1740</f>
        <v>0</v>
      </c>
      <c r="G1733" s="1042">
        <f t="shared" si="72"/>
        <v>100</v>
      </c>
      <c r="H1733" s="1042">
        <f>'Смета Внутр'!G1740</f>
        <v>0</v>
      </c>
      <c r="I1733" s="1042">
        <f>'Смета Внутр'!H1740</f>
        <v>0</v>
      </c>
      <c r="J1733" s="1058">
        <f>'Смета Внутр'!I1740</f>
        <v>0</v>
      </c>
    </row>
    <row r="1734" spans="2:10" ht="15" customHeight="1">
      <c r="B1734" s="1042" t="str">
        <f>'Смета Внутр'!B1741</f>
        <v>желоб водосточный</v>
      </c>
      <c r="C1734" s="1042" t="str">
        <f>'Смета Внутр'!C1741</f>
        <v>м.п.</v>
      </c>
      <c r="D1734" s="1058">
        <f>'Смета Внутр'!D1741</f>
        <v>0</v>
      </c>
      <c r="E1734" s="1042">
        <f>'Смета Внутр'!E1741</f>
        <v>300</v>
      </c>
      <c r="F1734" s="1042">
        <f>'Смета Внутр'!F1741</f>
        <v>0</v>
      </c>
      <c r="G1734" s="1042">
        <f t="shared" si="72"/>
        <v>300</v>
      </c>
      <c r="H1734" s="1042">
        <f>'Смета Внутр'!G1741</f>
        <v>0</v>
      </c>
      <c r="I1734" s="1042">
        <f>'Смета Внутр'!H1741</f>
        <v>0</v>
      </c>
      <c r="J1734" s="1058">
        <f>'Смета Внутр'!I1741</f>
        <v>0</v>
      </c>
    </row>
    <row r="1735" spans="2:10" ht="15" customHeight="1">
      <c r="B1735" s="1042" t="str">
        <f>'Смета Внутр'!B1742</f>
        <v>труба водосточная</v>
      </c>
      <c r="C1735" s="1042" t="str">
        <f>'Смета Внутр'!C1742</f>
        <v>м.п.</v>
      </c>
      <c r="D1735" s="1058">
        <f>'Смета Внутр'!D1742</f>
        <v>0</v>
      </c>
      <c r="E1735" s="1042">
        <f>'Смета Внутр'!E1742</f>
        <v>300</v>
      </c>
      <c r="F1735" s="1042">
        <f>'Смета Внутр'!F1742</f>
        <v>0</v>
      </c>
      <c r="G1735" s="1042">
        <f t="shared" si="72"/>
        <v>300</v>
      </c>
      <c r="H1735" s="1042">
        <f>'Смета Внутр'!G1742</f>
        <v>0</v>
      </c>
      <c r="I1735" s="1042">
        <f>'Смета Внутр'!H1742</f>
        <v>0</v>
      </c>
      <c r="J1735" s="1058">
        <f>'Смета Внутр'!I1742</f>
        <v>0</v>
      </c>
    </row>
    <row r="1736" spans="2:10" ht="15" customHeight="1">
      <c r="B1736" s="1042" t="str">
        <f>'Смета Внутр'!B1743</f>
        <v>ендова внутр/наружн</v>
      </c>
      <c r="C1736" s="1042" t="str">
        <f>'Смета Внутр'!C1743</f>
        <v>м.п.</v>
      </c>
      <c r="D1736" s="1058">
        <f>'Смета Внутр'!D1743</f>
        <v>0</v>
      </c>
      <c r="E1736" s="1042">
        <f>'Смета Внутр'!E1743</f>
        <v>300</v>
      </c>
      <c r="F1736" s="1042">
        <f>'Смета Внутр'!F1743</f>
        <v>0</v>
      </c>
      <c r="G1736" s="1042">
        <f t="shared" si="72"/>
        <v>300</v>
      </c>
      <c r="H1736" s="1042">
        <f>'Смета Внутр'!G1743</f>
        <v>0</v>
      </c>
      <c r="I1736" s="1042">
        <f>'Смета Внутр'!H1743</f>
        <v>0</v>
      </c>
      <c r="J1736" s="1058">
        <f>'Смета Внутр'!I1743</f>
        <v>0</v>
      </c>
    </row>
    <row r="1737" spans="2:10" ht="15" customHeight="1">
      <c r="B1737" s="1042" t="str">
        <f>'Смета Внутр'!B1744</f>
        <v>Монтаж ондулина</v>
      </c>
      <c r="C1737" s="1042" t="str">
        <f>'Смета Внутр'!C1744</f>
        <v>м2</v>
      </c>
      <c r="D1737" s="1058">
        <f>'Смета Внутр'!D1744</f>
        <v>0</v>
      </c>
      <c r="E1737" s="1042">
        <f>'Смета Внутр'!E1744</f>
        <v>300</v>
      </c>
      <c r="F1737" s="1042">
        <f>'Смета Внутр'!F1744</f>
        <v>0</v>
      </c>
      <c r="G1737" s="1042">
        <f t="shared" si="72"/>
        <v>300</v>
      </c>
      <c r="H1737" s="1042">
        <f>'Смета Внутр'!G1744</f>
        <v>0</v>
      </c>
      <c r="I1737" s="1042">
        <f>'Смета Внутр'!H1744</f>
        <v>0</v>
      </c>
      <c r="J1737" s="1058">
        <f>'Смета Внутр'!I1744</f>
        <v>0</v>
      </c>
    </row>
    <row r="1738" spans="2:10" ht="15" customHeight="1">
      <c r="B1738" s="1042" t="str">
        <f>'Смета Внутр'!B1745</f>
        <v>Монтаж фанеры/osb</v>
      </c>
      <c r="C1738" s="1042" t="str">
        <f>'Смета Внутр'!C1745</f>
        <v>м2</v>
      </c>
      <c r="D1738" s="1058">
        <f>'Смета Внутр'!D1745</f>
        <v>0</v>
      </c>
      <c r="E1738" s="1042">
        <f>'Смета Внутр'!E1745</f>
        <v>200</v>
      </c>
      <c r="F1738" s="1042">
        <f>'Смета Внутр'!F1745</f>
        <v>0</v>
      </c>
      <c r="G1738" s="1042">
        <f t="shared" si="72"/>
        <v>200</v>
      </c>
      <c r="H1738" s="1042">
        <f>'Смета Внутр'!G1745</f>
        <v>0</v>
      </c>
      <c r="I1738" s="1042">
        <f>'Смета Внутр'!H1745</f>
        <v>0</v>
      </c>
      <c r="J1738" s="1058">
        <f>'Смета Внутр'!I1745</f>
        <v>0</v>
      </c>
    </row>
    <row r="1739" spans="2:10" ht="15" customHeight="1">
      <c r="B1739" s="1042" t="str">
        <f>'Смета Внутр'!B1746</f>
        <v>монтаж подкладочного ковра</v>
      </c>
      <c r="C1739" s="1042" t="str">
        <f>'Смета Внутр'!C1746</f>
        <v>м2</v>
      </c>
      <c r="D1739" s="1058">
        <f>'Смета Внутр'!D1746</f>
        <v>0</v>
      </c>
      <c r="E1739" s="1042">
        <f>'Смета Внутр'!E1746</f>
        <v>150</v>
      </c>
      <c r="F1739" s="1042">
        <f>'Смета Внутр'!F1746</f>
        <v>0</v>
      </c>
      <c r="G1739" s="1042">
        <f t="shared" si="72"/>
        <v>150</v>
      </c>
      <c r="H1739" s="1042">
        <f>'Смета Внутр'!G1746</f>
        <v>0</v>
      </c>
      <c r="I1739" s="1042">
        <f>'Смета Внутр'!H1746</f>
        <v>0</v>
      </c>
      <c r="J1739" s="1058">
        <f>'Смета Внутр'!I1746</f>
        <v>0</v>
      </c>
    </row>
    <row r="1740" spans="2:10" ht="15" customHeight="1">
      <c r="B1740" s="1042" t="str">
        <f>'Смета Внутр'!B1747</f>
        <v>Монтаж мягкой кровли</v>
      </c>
      <c r="C1740" s="1042" t="str">
        <f>'Смета Внутр'!C1747</f>
        <v>м2</v>
      </c>
      <c r="D1740" s="1058">
        <f>'Смета Внутр'!D1747</f>
        <v>0</v>
      </c>
      <c r="E1740" s="1042">
        <f>'Смета Внутр'!E1747</f>
        <v>350</v>
      </c>
      <c r="F1740" s="1042">
        <f>'Смета Внутр'!F1747</f>
        <v>0</v>
      </c>
      <c r="G1740" s="1042">
        <f t="shared" si="72"/>
        <v>350</v>
      </c>
      <c r="H1740" s="1042">
        <f>'Смета Внутр'!G1747</f>
        <v>0</v>
      </c>
      <c r="I1740" s="1042">
        <f>'Смета Внутр'!H1747</f>
        <v>0</v>
      </c>
      <c r="J1740" s="1058">
        <f>'Смета Внутр'!I1747</f>
        <v>0</v>
      </c>
    </row>
    <row r="1741" spans="2:10" ht="15" customHeight="1">
      <c r="B1741" s="3330" t="str">
        <f>'Смета Внутр'!B1748</f>
        <v>Итого работы</v>
      </c>
      <c r="C1741" s="3330"/>
      <c r="D1741" s="3330"/>
      <c r="E1741" s="3330"/>
      <c r="F1741" s="3330"/>
      <c r="G1741" s="3330"/>
      <c r="H1741" s="1042">
        <f>'Смета Внутр'!G1748</f>
        <v>0</v>
      </c>
      <c r="I1741" s="1042">
        <f>'Смета Внутр'!H1748</f>
        <v>0</v>
      </c>
      <c r="J1741" s="1058">
        <f>'Смета Внутр'!I1748</f>
        <v>0</v>
      </c>
    </row>
    <row r="1742" spans="2:10" ht="15" customHeight="1">
      <c r="B1742" s="3329" t="str">
        <f>'Смета Внутр'!B1749</f>
        <v>Кровля на Эркере</v>
      </c>
      <c r="C1742" s="3329"/>
      <c r="D1742" s="3329"/>
      <c r="H1742">
        <f>'Смета Внутр'!G1749</f>
        <v>0</v>
      </c>
      <c r="I1742">
        <f>'Смета Внутр'!H1749</f>
        <v>0</v>
      </c>
      <c r="J1742" s="3027">
        <f>'Смета Внутр'!I1749</f>
        <v>0</v>
      </c>
    </row>
    <row r="1743" spans="2:10" ht="15" customHeight="1">
      <c r="B1743" s="3002" t="str">
        <f>'Смета Внутр'!B1750</f>
        <v>Материалы</v>
      </c>
      <c r="D1743" s="1167"/>
      <c r="H1743">
        <f>'Смета Внутр'!G1750</f>
        <v>0</v>
      </c>
      <c r="I1743">
        <f>'Смета Внутр'!H1750</f>
        <v>0</v>
      </c>
      <c r="J1743" s="3027">
        <f>'Смета Внутр'!I1750</f>
        <v>0</v>
      </c>
    </row>
    <row r="1744" spans="2:10" ht="15" customHeight="1">
      <c r="B1744" s="1042" t="str">
        <f>'Смета Внутр'!B1751</f>
        <v>Брус естественной влажности, 100*100мм</v>
      </c>
      <c r="C1744" s="1042" t="str">
        <f>'Смета Внутр'!C1751</f>
        <v>м3</v>
      </c>
      <c r="D1744" s="1058">
        <f>'Смета Внутр'!D1751</f>
        <v>0</v>
      </c>
      <c r="E1744" s="1042">
        <f>'Смета Внутр'!E1751</f>
        <v>6500</v>
      </c>
      <c r="F1744" s="1042">
        <f>'Смета Внутр'!F1751</f>
        <v>0</v>
      </c>
      <c r="G1744" s="1042">
        <f t="shared" ref="G1744:G1789" si="73">IF(E1744&gt;F1744,E1744,F1744)</f>
        <v>6500</v>
      </c>
      <c r="H1744" s="1042">
        <f>'Смета Внутр'!G1751</f>
        <v>0</v>
      </c>
      <c r="I1744" s="1042">
        <f>'Смета Внутр'!H1751</f>
        <v>0</v>
      </c>
      <c r="J1744" s="1058">
        <f>'Смета Внутр'!I1751</f>
        <v>0</v>
      </c>
    </row>
    <row r="1745" spans="2:10" ht="15" customHeight="1">
      <c r="B1745" s="1042" t="str">
        <f>'Смета Внутр'!B1752</f>
        <v xml:space="preserve">Болты анкерные с гайкой 12,0 х 280          </v>
      </c>
      <c r="C1745" s="1042" t="str">
        <f>'Смета Внутр'!C1752</f>
        <v>шт</v>
      </c>
      <c r="D1745" s="1058">
        <f>'Смета Внутр'!D1752</f>
        <v>0</v>
      </c>
      <c r="E1745" s="1042">
        <f>'Смета Внутр'!E1752</f>
        <v>27.1</v>
      </c>
      <c r="F1745" s="1042">
        <f>'Смета Внутр'!F1752</f>
        <v>0</v>
      </c>
      <c r="G1745" s="1042">
        <f t="shared" si="73"/>
        <v>27.1</v>
      </c>
      <c r="H1745" s="1042">
        <f>'Смета Внутр'!G1752</f>
        <v>0</v>
      </c>
      <c r="I1745" s="1042">
        <f>'Смета Внутр'!H1752</f>
        <v>0</v>
      </c>
      <c r="J1745" s="1058">
        <f>'Смета Внутр'!I1752</f>
        <v>0</v>
      </c>
    </row>
    <row r="1746" spans="2:10" ht="15" customHeight="1">
      <c r="B1746" s="1042" t="str">
        <f>'Смета Внутр'!B1753</f>
        <v>Доска сухая, 200*50мм</v>
      </c>
      <c r="C1746" s="1042" t="str">
        <f>'Смета Внутр'!C1753</f>
        <v>м3</v>
      </c>
      <c r="D1746" s="1058">
        <f>'Смета Внутр'!D1753</f>
        <v>0</v>
      </c>
      <c r="E1746" s="1042">
        <f>'Смета Внутр'!E1753</f>
        <v>9000</v>
      </c>
      <c r="F1746" s="1042">
        <f>'Смета Внутр'!F1753</f>
        <v>0</v>
      </c>
      <c r="G1746" s="1042">
        <f t="shared" si="73"/>
        <v>9000</v>
      </c>
      <c r="H1746" s="1042">
        <f>'Смета Внутр'!G1753</f>
        <v>0</v>
      </c>
      <c r="I1746" s="1042">
        <f>'Смета Внутр'!H1753</f>
        <v>0</v>
      </c>
      <c r="J1746" s="1058">
        <f>'Смета Внутр'!I1753</f>
        <v>0</v>
      </c>
    </row>
    <row r="1747" spans="2:10" ht="15" customHeight="1">
      <c r="B1747" s="1042" t="str">
        <f>'Смета Внутр'!B1754</f>
        <v>Сосна влаж,100*25мм</v>
      </c>
      <c r="C1747" s="1042" t="str">
        <f>'Смета Внутр'!C1754</f>
        <v>м3</v>
      </c>
      <c r="D1747" s="1058">
        <f>'Смета Внутр'!D1754</f>
        <v>0</v>
      </c>
      <c r="E1747" s="1042">
        <f>'Смета Внутр'!E1754</f>
        <v>6500</v>
      </c>
      <c r="F1747" s="1042">
        <f>'Смета Внутр'!F1754</f>
        <v>0</v>
      </c>
      <c r="G1747" s="1042">
        <f t="shared" si="73"/>
        <v>6500</v>
      </c>
      <c r="H1747" s="1042">
        <f>'Смета Внутр'!G1754</f>
        <v>0</v>
      </c>
      <c r="I1747" s="1042">
        <f>'Смета Внутр'!H1754</f>
        <v>0</v>
      </c>
      <c r="J1747" s="1058">
        <f>'Смета Внутр'!I1754</f>
        <v>0</v>
      </c>
    </row>
    <row r="1748" spans="2:10" ht="15" customHeight="1">
      <c r="B1748" s="1042" t="str">
        <f>'Смета Внутр'!B1755</f>
        <v>Доска сухая, калибр., 35*45мм</v>
      </c>
      <c r="C1748" s="1042" t="str">
        <f>'Смета Внутр'!C1755</f>
        <v>шт</v>
      </c>
      <c r="D1748" s="1058">
        <f>'Смета Внутр'!D1755</f>
        <v>0</v>
      </c>
      <c r="E1748" s="1042">
        <f>'Смета Внутр'!E1755</f>
        <v>12500</v>
      </c>
      <c r="F1748" s="1042">
        <f>'Смета Внутр'!F1755</f>
        <v>0</v>
      </c>
      <c r="G1748" s="1042">
        <f t="shared" si="73"/>
        <v>12500</v>
      </c>
      <c r="H1748" s="1042">
        <f>'Смета Внутр'!G1755</f>
        <v>0</v>
      </c>
      <c r="I1748" s="1042">
        <f>'Смета Внутр'!H1755</f>
        <v>0</v>
      </c>
      <c r="J1748" s="1058">
        <f>'Смета Внутр'!I1755</f>
        <v>0</v>
      </c>
    </row>
    <row r="1749" spans="2:10" ht="15" customHeight="1">
      <c r="B1749" s="1042" t="str">
        <f>'Смета Внутр'!B1756</f>
        <v>нет ветроизоляции</v>
      </c>
      <c r="C1749" s="1042" t="str">
        <f>'Смета Внутр'!C1756</f>
        <v>м2</v>
      </c>
      <c r="D1749" s="1058">
        <f>'Смета Внутр'!D1756</f>
        <v>0</v>
      </c>
      <c r="E1749" s="1042">
        <f>'Смета Внутр'!E1756</f>
        <v>0</v>
      </c>
      <c r="F1749" s="1042">
        <f>'Смета Внутр'!F1756</f>
        <v>0</v>
      </c>
      <c r="G1749" s="1042">
        <f t="shared" si="73"/>
        <v>0</v>
      </c>
      <c r="H1749" s="1042">
        <f>'Смета Внутр'!G1756</f>
        <v>0</v>
      </c>
      <c r="I1749" s="1042">
        <f>'Смета Внутр'!H1756</f>
        <v>0</v>
      </c>
      <c r="J1749" s="1058">
        <f>'Смета Внутр'!I1756</f>
        <v>0</v>
      </c>
    </row>
    <row r="1750" spans="2:10" ht="15" customHeight="1">
      <c r="B1750" s="1042" t="str">
        <f>'Смета Внутр'!B1757</f>
        <v>нет пароизоляции</v>
      </c>
      <c r="C1750" s="1042" t="str">
        <f>'Смета Внутр'!C1757</f>
        <v>м2</v>
      </c>
      <c r="D1750" s="1058">
        <f>'Смета Внутр'!D1757</f>
        <v>0</v>
      </c>
      <c r="E1750" s="1042">
        <f>'Смета Внутр'!E1757</f>
        <v>0</v>
      </c>
      <c r="F1750" s="1042">
        <f>'Смета Внутр'!F1757</f>
        <v>0</v>
      </c>
      <c r="G1750" s="1042">
        <f t="shared" si="73"/>
        <v>0</v>
      </c>
      <c r="H1750" s="1042">
        <f>'Смета Внутр'!G1757</f>
        <v>0</v>
      </c>
      <c r="I1750" s="1042">
        <f>'Смета Внутр'!H1757</f>
        <v>0</v>
      </c>
      <c r="J1750" s="1058">
        <f>'Смета Внутр'!I1757</f>
        <v>0</v>
      </c>
    </row>
    <row r="1751" spans="2:10" ht="15" customHeight="1">
      <c r="B1751" s="1042" t="str">
        <f>'Смета Внутр'!B1758</f>
        <v>Плитный,28кг/м3, технониколь, 100мм</v>
      </c>
      <c r="C1751" s="1042" t="str">
        <f>'Смета Внутр'!C1758</f>
        <v>м3</v>
      </c>
      <c r="D1751" s="1058">
        <f>'Смета Внутр'!D1758</f>
        <v>1.1256598192648954</v>
      </c>
      <c r="E1751" s="1042">
        <f>'Смета Внутр'!E1758</f>
        <v>1700</v>
      </c>
      <c r="F1751" s="1042">
        <f>'Смета Внутр'!F1758</f>
        <v>0</v>
      </c>
      <c r="G1751" s="1042">
        <f t="shared" si="73"/>
        <v>1700</v>
      </c>
      <c r="H1751" s="1042">
        <f>'Смета Внутр'!G1758</f>
        <v>1913.6216927503222</v>
      </c>
      <c r="I1751" s="1042">
        <f>'Смета Внутр'!H1758</f>
        <v>0</v>
      </c>
      <c r="J1751" s="1058">
        <f>'Смета Внутр'!I1758</f>
        <v>0</v>
      </c>
    </row>
    <row r="1752" spans="2:10" ht="15" customHeight="1">
      <c r="B1752" s="1042" t="str">
        <f>'Смета Внутр'!B1759</f>
        <v>металлочерепица</v>
      </c>
      <c r="C1752" s="1042" t="str">
        <f>'Смета Внутр'!C1759</f>
        <v>м2</v>
      </c>
      <c r="D1752" s="1058">
        <f>'Смета Внутр'!D1759</f>
        <v>0</v>
      </c>
      <c r="E1752" s="1042">
        <f>'Смета Внутр'!E1759</f>
        <v>250</v>
      </c>
      <c r="F1752" s="1042">
        <f>'Смета Внутр'!F1759</f>
        <v>0</v>
      </c>
      <c r="G1752" s="1042">
        <f t="shared" si="73"/>
        <v>250</v>
      </c>
      <c r="H1752" s="1042">
        <f>'Смета Внутр'!G1759</f>
        <v>0</v>
      </c>
      <c r="I1752" s="1042">
        <f>'Смета Внутр'!H1759</f>
        <v>0</v>
      </c>
      <c r="J1752" s="1058">
        <f>'Смета Внутр'!I1759</f>
        <v>0</v>
      </c>
    </row>
    <row r="1753" spans="2:10" ht="15" customHeight="1">
      <c r="B1753" s="1042" t="str">
        <f>'Смета Внутр'!B1760</f>
        <v>Карнизная планка</v>
      </c>
      <c r="C1753" s="1042" t="str">
        <f>'Смета Внутр'!C1760</f>
        <v>м.п.</v>
      </c>
      <c r="D1753" s="1058">
        <f>'Смета Внутр'!D1760</f>
        <v>0</v>
      </c>
      <c r="E1753" s="1042">
        <f>'Смета Внутр'!E1760</f>
        <v>200</v>
      </c>
      <c r="F1753" s="1042">
        <f>'Смета Внутр'!F1760</f>
        <v>0</v>
      </c>
      <c r="G1753" s="1042">
        <f t="shared" si="73"/>
        <v>200</v>
      </c>
      <c r="H1753" s="1042">
        <f>'Смета Внутр'!G1760</f>
        <v>0</v>
      </c>
      <c r="I1753" s="1042">
        <f>'Смета Внутр'!H1760</f>
        <v>0</v>
      </c>
      <c r="J1753" s="1058">
        <f>'Смета Внутр'!I1760</f>
        <v>0</v>
      </c>
    </row>
    <row r="1754" spans="2:10" ht="15" customHeight="1">
      <c r="B1754" s="1042" t="str">
        <f>'Смета Внутр'!B1761</f>
        <v>Конек</v>
      </c>
      <c r="C1754" s="1042" t="str">
        <f>'Смета Внутр'!C1761</f>
        <v>м.п.</v>
      </c>
      <c r="D1754" s="1058">
        <f>'Смета Внутр'!D1761</f>
        <v>0</v>
      </c>
      <c r="E1754" s="1042">
        <f>'Смета Внутр'!E1761</f>
        <v>230</v>
      </c>
      <c r="F1754" s="1042">
        <f>'Смета Внутр'!F1761</f>
        <v>0</v>
      </c>
      <c r="G1754" s="1042">
        <f t="shared" si="73"/>
        <v>230</v>
      </c>
      <c r="H1754" s="1042">
        <f>'Смета Внутр'!G1761</f>
        <v>0</v>
      </c>
      <c r="I1754" s="1042">
        <f>'Смета Внутр'!H1761</f>
        <v>0</v>
      </c>
      <c r="J1754" s="1058">
        <f>'Смета Внутр'!I1761</f>
        <v>0</v>
      </c>
    </row>
    <row r="1755" spans="2:10" ht="15" customHeight="1">
      <c r="B1755" s="1042" t="str">
        <f>'Смета Внутр'!B1762</f>
        <v>Ендова нижняя</v>
      </c>
      <c r="C1755" s="1042" t="str">
        <f>'Смета Внутр'!C1762</f>
        <v>м.п</v>
      </c>
      <c r="D1755" s="1058">
        <f>'Смета Внутр'!D1762</f>
        <v>0</v>
      </c>
      <c r="E1755" s="1042">
        <f>'Смета Внутр'!E1762</f>
        <v>160</v>
      </c>
      <c r="F1755" s="1042">
        <f>'Смета Внутр'!F1762</f>
        <v>0</v>
      </c>
      <c r="G1755" s="1042">
        <f t="shared" si="73"/>
        <v>160</v>
      </c>
      <c r="H1755" s="1042">
        <f>'Смета Внутр'!G1762</f>
        <v>0</v>
      </c>
      <c r="I1755" s="1042">
        <f>'Смета Внутр'!H1762</f>
        <v>0</v>
      </c>
      <c r="J1755" s="1058">
        <f>'Смета Внутр'!I1762</f>
        <v>0</v>
      </c>
    </row>
    <row r="1756" spans="2:10" ht="15" customHeight="1">
      <c r="B1756" s="1042" t="str">
        <f>'Смета Внутр'!B1763</f>
        <v>Планка примыкания</v>
      </c>
      <c r="C1756" s="1042" t="str">
        <f>'Смета Внутр'!C1763</f>
        <v>м.п</v>
      </c>
      <c r="D1756" s="1058">
        <f>'Смета Внутр'!D1763</f>
        <v>0</v>
      </c>
      <c r="E1756" s="1042">
        <f>'Смета Внутр'!E1763</f>
        <v>190</v>
      </c>
      <c r="F1756" s="1042">
        <f>'Смета Внутр'!F1763</f>
        <v>0</v>
      </c>
      <c r="G1756" s="1042">
        <f t="shared" si="73"/>
        <v>190</v>
      </c>
      <c r="H1756" s="1042">
        <f>'Смета Внутр'!G1763</f>
        <v>0</v>
      </c>
      <c r="I1756" s="1042">
        <f>'Смета Внутр'!H1763</f>
        <v>0</v>
      </c>
      <c r="J1756" s="1058">
        <f>'Смета Внутр'!I1763</f>
        <v>0</v>
      </c>
    </row>
    <row r="1757" spans="2:10" ht="15" customHeight="1">
      <c r="B1757" s="1042" t="str">
        <f>'Смета Внутр'!B1764</f>
        <v>ондулин</v>
      </c>
      <c r="C1757" s="1042" t="str">
        <f>'Смета Внутр'!C1764</f>
        <v>м2</v>
      </c>
      <c r="D1757" s="1058">
        <f>'Смета Внутр'!D1764</f>
        <v>0</v>
      </c>
      <c r="E1757" s="1042">
        <f>'Смета Внутр'!E1764</f>
        <v>180</v>
      </c>
      <c r="F1757" s="1042">
        <f>'Смета Внутр'!F1764</f>
        <v>0</v>
      </c>
      <c r="G1757" s="1042">
        <f t="shared" si="73"/>
        <v>180</v>
      </c>
      <c r="H1757" s="1042">
        <f>'Смета Внутр'!G1764</f>
        <v>0</v>
      </c>
      <c r="I1757" s="1042">
        <f>'Смета Внутр'!H1764</f>
        <v>0</v>
      </c>
      <c r="J1757" s="1058">
        <f>'Смета Внутр'!I1764</f>
        <v>0</v>
      </c>
    </row>
    <row r="1758" spans="2:10" ht="15" customHeight="1">
      <c r="B1758" s="1042" t="str">
        <f>'Смета Внутр'!B1765</f>
        <v>Карнизная планка</v>
      </c>
      <c r="C1758" s="1042" t="str">
        <f>'Смета Внутр'!C1765</f>
        <v>м.п.</v>
      </c>
      <c r="D1758" s="1058">
        <f>'Смета Внутр'!D1765</f>
        <v>0</v>
      </c>
      <c r="E1758" s="1042">
        <f>'Смета Внутр'!E1765</f>
        <v>190</v>
      </c>
      <c r="F1758" s="1042">
        <f>'Смета Внутр'!F1765</f>
        <v>0</v>
      </c>
      <c r="G1758" s="1042">
        <f t="shared" si="73"/>
        <v>190</v>
      </c>
      <c r="H1758" s="1042">
        <f>'Смета Внутр'!G1765</f>
        <v>0</v>
      </c>
      <c r="I1758" s="1042">
        <f>'Смета Внутр'!H1765</f>
        <v>0</v>
      </c>
      <c r="J1758" s="1058">
        <f>'Смета Внутр'!I1765</f>
        <v>0</v>
      </c>
    </row>
    <row r="1759" spans="2:10" ht="15" customHeight="1">
      <c r="B1759" s="1042" t="str">
        <f>'Смета Внутр'!B1766</f>
        <v>Торцевая планка</v>
      </c>
      <c r="C1759" s="1042" t="str">
        <f>'Смета Внутр'!C1766</f>
        <v>м.п.</v>
      </c>
      <c r="D1759" s="1058">
        <f>'Смета Внутр'!D1766</f>
        <v>0</v>
      </c>
      <c r="E1759" s="1042">
        <f>'Смета Внутр'!E1766</f>
        <v>190</v>
      </c>
      <c r="F1759" s="1042">
        <f>'Смета Внутр'!F1766</f>
        <v>0</v>
      </c>
      <c r="G1759" s="1042">
        <f t="shared" si="73"/>
        <v>190</v>
      </c>
      <c r="H1759" s="1042">
        <f>'Смета Внутр'!G1766</f>
        <v>0</v>
      </c>
      <c r="I1759" s="1042">
        <f>'Смета Внутр'!H1766</f>
        <v>0</v>
      </c>
      <c r="J1759" s="1058">
        <f>'Смета Внутр'!I1766</f>
        <v>0</v>
      </c>
    </row>
    <row r="1760" spans="2:10" ht="15" customHeight="1">
      <c r="B1760" s="1042" t="str">
        <f>'Смета Внутр'!B1767</f>
        <v>Конек</v>
      </c>
      <c r="C1760" s="1042" t="str">
        <f>'Смета Внутр'!C1767</f>
        <v>м.п.</v>
      </c>
      <c r="D1760" s="1058">
        <f>'Смета Внутр'!D1767</f>
        <v>0</v>
      </c>
      <c r="E1760" s="1042">
        <f>'Смета Внутр'!E1767</f>
        <v>200</v>
      </c>
      <c r="F1760" s="1042">
        <f>'Смета Внутр'!F1767</f>
        <v>0</v>
      </c>
      <c r="G1760" s="1042">
        <f t="shared" si="73"/>
        <v>200</v>
      </c>
      <c r="H1760" s="1042">
        <f>'Смета Внутр'!G1767</f>
        <v>0</v>
      </c>
      <c r="I1760" s="1042">
        <f>'Смета Внутр'!H1767</f>
        <v>0</v>
      </c>
      <c r="J1760" s="1058">
        <f>'Смета Внутр'!I1767</f>
        <v>0</v>
      </c>
    </row>
    <row r="1761" spans="2:10" ht="15" customHeight="1">
      <c r="B1761" s="1042" t="str">
        <f>'Смета Внутр'!B1768</f>
        <v>Ендова нижняя</v>
      </c>
      <c r="C1761" s="1042" t="str">
        <f>'Смета Внутр'!C1768</f>
        <v>м.п.</v>
      </c>
      <c r="D1761" s="1058">
        <f>'Смета Внутр'!D1768</f>
        <v>0</v>
      </c>
      <c r="E1761" s="1042">
        <f>'Смета Внутр'!E1768</f>
        <v>160</v>
      </c>
      <c r="F1761" s="1042">
        <f>'Смета Внутр'!F1768</f>
        <v>0</v>
      </c>
      <c r="G1761" s="1042">
        <f t="shared" si="73"/>
        <v>160</v>
      </c>
      <c r="H1761" s="1042">
        <f>'Смета Внутр'!G1768</f>
        <v>0</v>
      </c>
      <c r="I1761" s="1042">
        <f>'Смета Внутр'!H1768</f>
        <v>0</v>
      </c>
      <c r="J1761" s="1058">
        <f>'Смета Внутр'!I1768</f>
        <v>0</v>
      </c>
    </row>
    <row r="1762" spans="2:10" ht="15" customHeight="1">
      <c r="B1762" s="1042" t="str">
        <f>'Смета Внутр'!B1769</f>
        <v>Ендова верхняя</v>
      </c>
      <c r="C1762" s="1042" t="str">
        <f>'Смета Внутр'!C1769</f>
        <v>м.п.</v>
      </c>
      <c r="D1762" s="1058">
        <f>'Смета Внутр'!D1769</f>
        <v>0</v>
      </c>
      <c r="E1762" s="1042">
        <f>'Смета Внутр'!E1769</f>
        <v>190</v>
      </c>
      <c r="F1762" s="1042">
        <f>'Смета Внутр'!F1769</f>
        <v>0</v>
      </c>
      <c r="G1762" s="1042">
        <f t="shared" si="73"/>
        <v>190</v>
      </c>
      <c r="H1762" s="1042">
        <f>'Смета Внутр'!G1769</f>
        <v>0</v>
      </c>
      <c r="I1762" s="1042">
        <f>'Смета Внутр'!H1769</f>
        <v>0</v>
      </c>
      <c r="J1762" s="1058">
        <f>'Смета Внутр'!I1769</f>
        <v>0</v>
      </c>
    </row>
    <row r="1763" spans="2:10" ht="15" customHeight="1">
      <c r="B1763" s="1042" t="str">
        <f>'Смета Внутр'!B1770</f>
        <v>Планка примыкания</v>
      </c>
      <c r="C1763" s="1042" t="str">
        <f>'Смета Внутр'!C1770</f>
        <v>м.п.</v>
      </c>
      <c r="D1763" s="1058">
        <f>'Смета Внутр'!D1770</f>
        <v>0</v>
      </c>
      <c r="E1763" s="1042">
        <f>'Смета Внутр'!E1770</f>
        <v>190</v>
      </c>
      <c r="F1763" s="1042">
        <f>'Смета Внутр'!F1770</f>
        <v>0</v>
      </c>
      <c r="G1763" s="1042">
        <f t="shared" si="73"/>
        <v>190</v>
      </c>
      <c r="H1763" s="1042">
        <f>'Смета Внутр'!G1770</f>
        <v>0</v>
      </c>
      <c r="I1763" s="1042">
        <f>'Смета Внутр'!H1770</f>
        <v>0</v>
      </c>
      <c r="J1763" s="1058">
        <f>'Смета Внутр'!I1770</f>
        <v>0</v>
      </c>
    </row>
    <row r="1764" spans="2:10" ht="15" customHeight="1">
      <c r="B1764" s="1042" t="str">
        <f>'Смета Внутр'!B1771</f>
        <v>Крепеж для ондулина</v>
      </c>
      <c r="C1764" s="1042" t="str">
        <f>'Смета Внутр'!C1771</f>
        <v>шт</v>
      </c>
      <c r="D1764" s="1058">
        <f>'Смета Внутр'!D1771</f>
        <v>0</v>
      </c>
      <c r="E1764" s="1042">
        <f>'Смета Внутр'!E1771</f>
        <v>4.5</v>
      </c>
      <c r="F1764" s="1042">
        <f>'Смета Внутр'!F1771</f>
        <v>0</v>
      </c>
      <c r="G1764" s="1042">
        <f t="shared" si="73"/>
        <v>4.5</v>
      </c>
      <c r="H1764" s="1042">
        <f>'Смета Внутр'!G1771</f>
        <v>0</v>
      </c>
      <c r="I1764" s="1042">
        <f>'Смета Внутр'!H1771</f>
        <v>0</v>
      </c>
      <c r="J1764" s="1058">
        <f>'Смета Внутр'!I1771</f>
        <v>0</v>
      </c>
    </row>
    <row r="1765" spans="2:10" ht="15" customHeight="1">
      <c r="B1765" s="1042" t="str">
        <f>'Смета Внутр'!B1772</f>
        <v>нет</v>
      </c>
      <c r="C1765" s="1042" t="str">
        <f>'Смета Внутр'!C1772</f>
        <v>м2</v>
      </c>
      <c r="D1765" s="1058">
        <f>'Смета Внутр'!D1772</f>
        <v>0</v>
      </c>
      <c r="E1765" s="1042">
        <f>'Смета Внутр'!E1772</f>
        <v>0</v>
      </c>
      <c r="F1765" s="1042">
        <f>'Смета Внутр'!F1772</f>
        <v>0</v>
      </c>
      <c r="G1765" s="1042">
        <f t="shared" si="73"/>
        <v>0</v>
      </c>
      <c r="H1765" s="1042">
        <f>'Смета Внутр'!G1772</f>
        <v>0</v>
      </c>
      <c r="I1765" s="1042">
        <f>'Смета Внутр'!H1772</f>
        <v>0</v>
      </c>
      <c r="J1765" s="1058">
        <f>'Смета Внутр'!I1772</f>
        <v>0</v>
      </c>
    </row>
    <row r="1766" spans="2:10" ht="15" customHeight="1">
      <c r="B1766" s="1042" t="str">
        <f>'Смета Внутр'!B1773</f>
        <v>Рядовая черепица</v>
      </c>
      <c r="C1766" s="1042" t="str">
        <f>'Смета Внутр'!C1773</f>
        <v>м2</v>
      </c>
      <c r="D1766" s="1058">
        <f>'Смета Внутр'!D1773</f>
        <v>0</v>
      </c>
      <c r="E1766" s="1042">
        <f>'Смета Внутр'!E1773</f>
        <v>360</v>
      </c>
      <c r="F1766" s="1042">
        <f>'Смета Внутр'!F1773</f>
        <v>0</v>
      </c>
      <c r="G1766" s="1042">
        <f t="shared" si="73"/>
        <v>360</v>
      </c>
      <c r="H1766" s="1042">
        <f>'Смета Внутр'!G1773</f>
        <v>0</v>
      </c>
      <c r="I1766" s="1042">
        <f>'Смета Внутр'!H1773</f>
        <v>0</v>
      </c>
      <c r="J1766" s="1058">
        <f>'Смета Внутр'!I1773</f>
        <v>0</v>
      </c>
    </row>
    <row r="1767" spans="2:10" ht="15" customHeight="1">
      <c r="B1767" s="1042" t="str">
        <f>'Смета Внутр'!B1774</f>
        <v>Металл оцинк защита (карниз)</v>
      </c>
      <c r="C1767" s="1042" t="str">
        <f>'Смета Внутр'!C1774</f>
        <v>м.п.</v>
      </c>
      <c r="D1767" s="1058">
        <f>'Смета Внутр'!D1774</f>
        <v>0</v>
      </c>
      <c r="E1767" s="1042">
        <f>'Смета Внутр'!E1774</f>
        <v>200</v>
      </c>
      <c r="F1767" s="1042">
        <f>'Смета Внутр'!F1774</f>
        <v>0</v>
      </c>
      <c r="G1767" s="1042">
        <f t="shared" si="73"/>
        <v>200</v>
      </c>
      <c r="H1767" s="1042">
        <f>'Смета Внутр'!G1774</f>
        <v>0</v>
      </c>
      <c r="I1767" s="1042">
        <f>'Смета Внутр'!H1774</f>
        <v>0</v>
      </c>
      <c r="J1767" s="1058">
        <f>'Смета Внутр'!I1774</f>
        <v>0</v>
      </c>
    </row>
    <row r="1768" spans="2:10" ht="15" customHeight="1">
      <c r="B1768" s="1042" t="str">
        <f>'Смета Внутр'!B1775</f>
        <v>Подкладочный ковер</v>
      </c>
      <c r="C1768" s="1042" t="str">
        <f>'Смета Внутр'!C1775</f>
        <v>м.п.</v>
      </c>
      <c r="D1768" s="1058">
        <f>'Смета Внутр'!D1775</f>
        <v>0</v>
      </c>
      <c r="E1768" s="1042">
        <f>'Смета Внутр'!E1775</f>
        <v>220</v>
      </c>
      <c r="F1768" s="1042">
        <f>'Смета Внутр'!F1775</f>
        <v>0</v>
      </c>
      <c r="G1768" s="1042">
        <f t="shared" si="73"/>
        <v>220</v>
      </c>
      <c r="H1768" s="1042">
        <f>'Смета Внутр'!G1775</f>
        <v>0</v>
      </c>
      <c r="I1768" s="1042">
        <f>'Смета Внутр'!H1775</f>
        <v>0</v>
      </c>
      <c r="J1768" s="1058">
        <f>'Смета Внутр'!I1775</f>
        <v>0</v>
      </c>
    </row>
    <row r="1769" spans="2:10" ht="15" customHeight="1">
      <c r="B1769" s="1042" t="str">
        <f>'Смета Внутр'!B1776</f>
        <v>Карнизная самоклеющаяся черепица</v>
      </c>
      <c r="C1769" s="1042" t="str">
        <f>'Смета Внутр'!C1776</f>
        <v>м.п.</v>
      </c>
      <c r="D1769" s="1058">
        <f>'Смета Внутр'!D1776</f>
        <v>0</v>
      </c>
      <c r="E1769" s="1042">
        <f>'Смета Внутр'!E1776</f>
        <v>220</v>
      </c>
      <c r="F1769" s="1042">
        <f>'Смета Внутр'!F1776</f>
        <v>0</v>
      </c>
      <c r="G1769" s="1042">
        <f t="shared" si="73"/>
        <v>220</v>
      </c>
      <c r="H1769" s="1042">
        <f>'Смета Внутр'!G1776</f>
        <v>0</v>
      </c>
      <c r="I1769" s="1042">
        <f>'Смета Внутр'!H1776</f>
        <v>0</v>
      </c>
      <c r="J1769" s="1058">
        <f>'Смета Внутр'!I1776</f>
        <v>0</v>
      </c>
    </row>
    <row r="1770" spans="2:10" ht="15" customHeight="1">
      <c r="B1770" s="1042" t="str">
        <f>'Смета Внутр'!B1777</f>
        <v>Спец ковер ендова нижняя</v>
      </c>
      <c r="C1770" s="1042" t="str">
        <f>'Смета Внутр'!C1777</f>
        <v>м.п.</v>
      </c>
      <c r="D1770" s="1058">
        <f>'Смета Внутр'!D1777</f>
        <v>0</v>
      </c>
      <c r="E1770" s="1042">
        <f>'Смета Внутр'!E1777</f>
        <v>200</v>
      </c>
      <c r="F1770" s="1042">
        <f>'Смета Внутр'!F1777</f>
        <v>0</v>
      </c>
      <c r="G1770" s="1042">
        <f t="shared" si="73"/>
        <v>200</v>
      </c>
      <c r="H1770" s="1042">
        <f>'Смета Внутр'!G1777</f>
        <v>0</v>
      </c>
      <c r="I1770" s="1042">
        <f>'Смета Внутр'!H1777</f>
        <v>0</v>
      </c>
      <c r="J1770" s="1058">
        <f>'Смета Внутр'!I1777</f>
        <v>0</v>
      </c>
    </row>
    <row r="1771" spans="2:10" ht="15" customHeight="1">
      <c r="B1771" s="1042" t="str">
        <f>'Смета Внутр'!B1778</f>
        <v>Коньковой элемент</v>
      </c>
      <c r="C1771" s="1042" t="str">
        <f>'Смета Внутр'!C1778</f>
        <v>м.п.</v>
      </c>
      <c r="D1771" s="1058">
        <f>'Смета Внутр'!D1778</f>
        <v>0</v>
      </c>
      <c r="E1771" s="1042">
        <f>'Смета Внутр'!E1778</f>
        <v>250</v>
      </c>
      <c r="F1771" s="1042">
        <f>'Смета Внутр'!F1778</f>
        <v>0</v>
      </c>
      <c r="G1771" s="1042">
        <f t="shared" si="73"/>
        <v>250</v>
      </c>
      <c r="H1771" s="1042">
        <f>'Смета Внутр'!G1778</f>
        <v>0</v>
      </c>
      <c r="I1771" s="1042">
        <f>'Смета Внутр'!H1778</f>
        <v>0</v>
      </c>
      <c r="J1771" s="1058">
        <f>'Смета Внутр'!I1778</f>
        <v>0</v>
      </c>
    </row>
    <row r="1772" spans="2:10" ht="15" customHeight="1">
      <c r="B1772" s="1042" t="str">
        <f>'Смета Внутр'!B1779</f>
        <v>Планка премыкания</v>
      </c>
      <c r="C1772" s="1042" t="str">
        <f>'Смета Внутр'!C1779</f>
        <v>м.п.</v>
      </c>
      <c r="D1772" s="1058">
        <f>'Смета Внутр'!D1779</f>
        <v>0</v>
      </c>
      <c r="E1772" s="1042">
        <f>'Смета Внутр'!E1779</f>
        <v>200</v>
      </c>
      <c r="F1772" s="1042">
        <f>'Смета Внутр'!F1779</f>
        <v>0</v>
      </c>
      <c r="G1772" s="1042">
        <f t="shared" si="73"/>
        <v>200</v>
      </c>
      <c r="H1772" s="1042">
        <f>'Смета Внутр'!G1779</f>
        <v>0</v>
      </c>
      <c r="I1772" s="1042">
        <f>'Смета Внутр'!H1779</f>
        <v>0</v>
      </c>
      <c r="J1772" s="1058">
        <f>'Смета Внутр'!I1779</f>
        <v>0</v>
      </c>
    </row>
    <row r="1773" spans="2:10" ht="15" customHeight="1">
      <c r="B1773" s="1042" t="str">
        <f>'Смета Внутр'!B1780</f>
        <v>Гвозди для крепления подкладочного ковра</v>
      </c>
      <c r="C1773" s="1042" t="str">
        <f>'Смета Внутр'!C1780</f>
        <v>шт</v>
      </c>
      <c r="D1773" s="1058">
        <f>'Смета Внутр'!D1780</f>
        <v>0</v>
      </c>
      <c r="E1773" s="1042">
        <f>'Смета Внутр'!E1780</f>
        <v>1.2E-2</v>
      </c>
      <c r="F1773" s="1042">
        <f>'Смета Внутр'!F1780</f>
        <v>0</v>
      </c>
      <c r="G1773" s="1042">
        <f t="shared" si="73"/>
        <v>1.2E-2</v>
      </c>
      <c r="H1773" s="1042">
        <f>'Смета Внутр'!G1780</f>
        <v>0</v>
      </c>
      <c r="I1773" s="1042">
        <f>'Смета Внутр'!H1780</f>
        <v>0</v>
      </c>
      <c r="J1773" s="1058">
        <f>'Смета Внутр'!I1780</f>
        <v>0</v>
      </c>
    </row>
    <row r="1774" spans="2:10" ht="15" customHeight="1">
      <c r="B1774" s="1042" t="str">
        <f>'Смета Внутр'!B1781</f>
        <v>Гвозди для крепления черепицы</v>
      </c>
      <c r="C1774" s="1042" t="str">
        <f>'Смета Внутр'!C1781</f>
        <v>шт</v>
      </c>
      <c r="D1774" s="1058">
        <f>'Смета Внутр'!D1781</f>
        <v>0</v>
      </c>
      <c r="E1774" s="1042">
        <f>'Смета Внутр'!E1781</f>
        <v>0.25</v>
      </c>
      <c r="F1774" s="1042">
        <f>'Смета Внутр'!F1781</f>
        <v>0</v>
      </c>
      <c r="G1774" s="1042">
        <f t="shared" si="73"/>
        <v>0.25</v>
      </c>
      <c r="H1774" s="1042">
        <f>'Смета Внутр'!G1781</f>
        <v>0</v>
      </c>
      <c r="I1774" s="1042">
        <f>'Смета Внутр'!H1781</f>
        <v>0</v>
      </c>
      <c r="J1774" s="1058">
        <f>'Смета Внутр'!I1781</f>
        <v>0</v>
      </c>
    </row>
    <row r="1775" spans="2:10" ht="15" customHeight="1">
      <c r="B1775" s="1042" t="str">
        <f>'Смета Внутр'!B1782</f>
        <v>Клей для монтажа черепицы</v>
      </c>
      <c r="C1775" s="1042" t="str">
        <f>'Смета Внутр'!C1782</f>
        <v>кг</v>
      </c>
      <c r="D1775" s="1058">
        <f>'Смета Внутр'!D1782</f>
        <v>0</v>
      </c>
      <c r="E1775" s="1042">
        <f>'Смета Внутр'!E1782</f>
        <v>250</v>
      </c>
      <c r="F1775" s="1042">
        <f>'Смета Внутр'!F1782</f>
        <v>0</v>
      </c>
      <c r="G1775" s="1042">
        <f t="shared" si="73"/>
        <v>250</v>
      </c>
      <c r="H1775" s="1042">
        <f>'Смета Внутр'!G1782</f>
        <v>0</v>
      </c>
      <c r="I1775" s="1042">
        <f>'Смета Внутр'!H1782</f>
        <v>0</v>
      </c>
      <c r="J1775" s="1058">
        <f>'Смета Внутр'!I1782</f>
        <v>0</v>
      </c>
    </row>
    <row r="1776" spans="2:10" ht="15" customHeight="1">
      <c r="B1776" s="1042" t="str">
        <f>'Смета Внутр'!B1783</f>
        <v>желоб</v>
      </c>
      <c r="C1776" s="1042" t="str">
        <f>'Смета Внутр'!C1783</f>
        <v>м.п</v>
      </c>
      <c r="D1776" s="1058">
        <f>'Смета Внутр'!D1783</f>
        <v>0</v>
      </c>
      <c r="E1776" s="1042">
        <f>'Смета Внутр'!E1783</f>
        <v>300</v>
      </c>
      <c r="F1776" s="1042">
        <f>'Смета Внутр'!F1783</f>
        <v>0</v>
      </c>
      <c r="G1776" s="1042">
        <f t="shared" si="73"/>
        <v>300</v>
      </c>
      <c r="H1776" s="1042">
        <f>'Смета Внутр'!G1783</f>
        <v>0</v>
      </c>
      <c r="I1776" s="1042">
        <f>'Смета Внутр'!H1783</f>
        <v>0</v>
      </c>
      <c r="J1776" s="1058">
        <f>'Смета Внутр'!I1783</f>
        <v>0</v>
      </c>
    </row>
    <row r="1777" spans="2:10" ht="15" customHeight="1">
      <c r="B1777" s="1042" t="str">
        <f>'Смета Внутр'!B1784</f>
        <v>отвод</v>
      </c>
      <c r="C1777" s="1042" t="str">
        <f>'Смета Внутр'!C1784</f>
        <v>шт</v>
      </c>
      <c r="D1777" s="1058">
        <f>'Смета Внутр'!D1784</f>
        <v>4</v>
      </c>
      <c r="E1777" s="1042">
        <f>'Смета Внутр'!E1784</f>
        <v>250</v>
      </c>
      <c r="F1777" s="1042">
        <f>'Смета Внутр'!F1784</f>
        <v>0</v>
      </c>
      <c r="G1777" s="1042">
        <f t="shared" si="73"/>
        <v>250</v>
      </c>
      <c r="H1777" s="1042">
        <f>'Смета Внутр'!G1784</f>
        <v>1000</v>
      </c>
      <c r="I1777" s="1042">
        <f>'Смета Внутр'!H1784</f>
        <v>0</v>
      </c>
      <c r="J1777" s="1058">
        <f>'Смета Внутр'!I1784</f>
        <v>0</v>
      </c>
    </row>
    <row r="1778" spans="2:10" ht="15" customHeight="1">
      <c r="B1778" s="1042" t="str">
        <f>'Смета Внутр'!B1785</f>
        <v>труба водосточная</v>
      </c>
      <c r="C1778" s="1042" t="str">
        <f>'Смета Внутр'!C1785</f>
        <v>м.п.</v>
      </c>
      <c r="D1778" s="1058">
        <f>'Смета Внутр'!D1785</f>
        <v>0</v>
      </c>
      <c r="E1778" s="1042">
        <f>'Смета Внутр'!E1785</f>
        <v>300</v>
      </c>
      <c r="F1778" s="1042">
        <f>'Смета Внутр'!F1785</f>
        <v>0</v>
      </c>
      <c r="G1778" s="1042">
        <f t="shared" si="73"/>
        <v>300</v>
      </c>
      <c r="H1778" s="1042">
        <f>'Смета Внутр'!G1785</f>
        <v>0</v>
      </c>
      <c r="I1778" s="1042">
        <f>'Смета Внутр'!H1785</f>
        <v>0</v>
      </c>
      <c r="J1778" s="1058">
        <f>'Смета Внутр'!I1785</f>
        <v>0</v>
      </c>
    </row>
    <row r="1779" spans="2:10" ht="15" customHeight="1">
      <c r="B1779" s="1042" t="str">
        <f>'Смета Внутр'!B1786</f>
        <v>заглушка для желоба</v>
      </c>
      <c r="C1779" s="1042" t="str">
        <f>'Смета Внутр'!C1786</f>
        <v>шт</v>
      </c>
      <c r="D1779" s="1058">
        <f>'Смета Внутр'!D1786</f>
        <v>0</v>
      </c>
      <c r="E1779" s="1042">
        <f>'Смета Внутр'!E1786</f>
        <v>190</v>
      </c>
      <c r="F1779" s="1042">
        <f>'Смета Внутр'!F1786</f>
        <v>0</v>
      </c>
      <c r="G1779" s="1042">
        <f t="shared" si="73"/>
        <v>190</v>
      </c>
      <c r="H1779" s="1042">
        <f>'Смета Внутр'!G1786</f>
        <v>0</v>
      </c>
      <c r="I1779" s="1042">
        <f>'Смета Внутр'!H1786</f>
        <v>0</v>
      </c>
      <c r="J1779" s="1058">
        <f>'Смета Внутр'!I1786</f>
        <v>0</v>
      </c>
    </row>
    <row r="1780" spans="2:10" ht="15" customHeight="1">
      <c r="B1780" s="1042" t="str">
        <f>'Смета Внутр'!B1787</f>
        <v>соеденитель для желоба</v>
      </c>
      <c r="C1780" s="1042" t="str">
        <f>'Смета Внутр'!C1787</f>
        <v>шт</v>
      </c>
      <c r="D1780" s="1058">
        <f>'Смета Внутр'!D1787</f>
        <v>0</v>
      </c>
      <c r="E1780" s="1042">
        <f>'Смета Внутр'!E1787</f>
        <v>180</v>
      </c>
      <c r="F1780" s="1042">
        <f>'Смета Внутр'!F1787</f>
        <v>0</v>
      </c>
      <c r="G1780" s="1042">
        <f t="shared" si="73"/>
        <v>180</v>
      </c>
      <c r="H1780" s="1042">
        <f>'Смета Внутр'!G1787</f>
        <v>0</v>
      </c>
      <c r="I1780" s="1042">
        <f>'Смета Внутр'!H1787</f>
        <v>0</v>
      </c>
      <c r="J1780" s="1058">
        <f>'Смета Внутр'!I1787</f>
        <v>0</v>
      </c>
    </row>
    <row r="1781" spans="2:10" ht="15" customHeight="1">
      <c r="B1781" s="1042" t="str">
        <f>'Смета Внутр'!B1788</f>
        <v>кронштейн для желоба</v>
      </c>
      <c r="C1781" s="1042" t="str">
        <f>'Смета Внутр'!C1788</f>
        <v>шт</v>
      </c>
      <c r="D1781" s="1058">
        <f>'Смета Внутр'!D1788</f>
        <v>0</v>
      </c>
      <c r="E1781" s="1042">
        <f>'Смета Внутр'!E1788</f>
        <v>130</v>
      </c>
      <c r="F1781" s="1042">
        <f>'Смета Внутр'!F1788</f>
        <v>0</v>
      </c>
      <c r="G1781" s="1042">
        <f t="shared" si="73"/>
        <v>130</v>
      </c>
      <c r="H1781" s="1042">
        <f>'Смета Внутр'!G1788</f>
        <v>0</v>
      </c>
      <c r="I1781" s="1042">
        <f>'Смета Внутр'!H1788</f>
        <v>0</v>
      </c>
      <c r="J1781" s="1058">
        <f>'Смета Внутр'!I1788</f>
        <v>0</v>
      </c>
    </row>
    <row r="1782" spans="2:10" ht="15" customHeight="1">
      <c r="B1782" s="1042" t="str">
        <f>'Смета Внутр'!B1789</f>
        <v>переход из желоба в трубу</v>
      </c>
      <c r="C1782" s="1042" t="str">
        <f>'Смета Внутр'!C1789</f>
        <v>шт</v>
      </c>
      <c r="D1782" s="1058">
        <f>'Смета Внутр'!D1789</f>
        <v>2</v>
      </c>
      <c r="E1782" s="1042">
        <f>'Смета Внутр'!E1789</f>
        <v>350</v>
      </c>
      <c r="F1782" s="1042">
        <f>'Смета Внутр'!F1789</f>
        <v>0</v>
      </c>
      <c r="G1782" s="1042">
        <f t="shared" si="73"/>
        <v>350</v>
      </c>
      <c r="H1782" s="1042">
        <f>'Смета Внутр'!G1789</f>
        <v>700</v>
      </c>
      <c r="I1782" s="1042">
        <f>'Смета Внутр'!H1789</f>
        <v>0</v>
      </c>
      <c r="J1782" s="1058">
        <f>'Смета Внутр'!I1789</f>
        <v>0</v>
      </c>
    </row>
    <row r="1783" spans="2:10" ht="15" customHeight="1">
      <c r="B1783" s="1042" t="str">
        <f>'Смета Внутр'!B1790</f>
        <v>лента дельта мульти бэнд</v>
      </c>
      <c r="C1783" s="1042" t="str">
        <f>'Смета Внутр'!C1790</f>
        <v>шт</v>
      </c>
      <c r="D1783" s="1058">
        <f>'Смета Внутр'!D1790</f>
        <v>0</v>
      </c>
      <c r="E1783" s="1042">
        <f>'Смета Внутр'!E1790</f>
        <v>1200</v>
      </c>
      <c r="F1783" s="1042">
        <f>'Смета Внутр'!F1790</f>
        <v>0</v>
      </c>
      <c r="G1783" s="1042">
        <f t="shared" si="73"/>
        <v>1200</v>
      </c>
      <c r="H1783" s="1042">
        <f>'Смета Внутр'!G1790</f>
        <v>0</v>
      </c>
      <c r="I1783" s="1042">
        <f>'Смета Внутр'!H1790</f>
        <v>0</v>
      </c>
      <c r="J1783" s="1058">
        <f>'Смета Внутр'!I1790</f>
        <v>0</v>
      </c>
    </row>
    <row r="1784" spans="2:10" ht="15" customHeight="1">
      <c r="B1784" s="1042" t="str">
        <f>'Смета Внутр'!B1791</f>
        <v>лента дельта sb-60</v>
      </c>
      <c r="C1784" s="1042" t="str">
        <f>'Смета Внутр'!C1791</f>
        <v>шт</v>
      </c>
      <c r="D1784" s="1058">
        <f>'Смета Внутр'!D1791</f>
        <v>0</v>
      </c>
      <c r="E1784" s="1042">
        <f>'Смета Внутр'!E1791</f>
        <v>1100</v>
      </c>
      <c r="F1784" s="1042">
        <f>'Смета Внутр'!F1791</f>
        <v>0</v>
      </c>
      <c r="G1784" s="1042">
        <f t="shared" si="73"/>
        <v>1100</v>
      </c>
      <c r="H1784" s="1042">
        <f>'Смета Внутр'!G1791</f>
        <v>0</v>
      </c>
      <c r="I1784" s="1042">
        <f>'Смета Внутр'!H1791</f>
        <v>0</v>
      </c>
      <c r="J1784" s="1058">
        <f>'Смета Внутр'!I1791</f>
        <v>0</v>
      </c>
    </row>
    <row r="1785" spans="2:10" ht="15" customHeight="1">
      <c r="B1785" s="1042" t="str">
        <f>'Смета Внутр'!B1792</f>
        <v>Кровельный саморез</v>
      </c>
      <c r="C1785" s="1042" t="str">
        <f>'Смета Внутр'!C1792</f>
        <v>шт</v>
      </c>
      <c r="D1785" s="1058">
        <f>'Смета Внутр'!D1792</f>
        <v>0</v>
      </c>
      <c r="E1785" s="1042">
        <f>'Смета Внутр'!E1792</f>
        <v>2</v>
      </c>
      <c r="F1785" s="1042">
        <f>'Смета Внутр'!F1792</f>
        <v>0</v>
      </c>
      <c r="G1785" s="1042">
        <f t="shared" si="73"/>
        <v>2</v>
      </c>
      <c r="H1785" s="1042">
        <f>'Смета Внутр'!G1792</f>
        <v>0</v>
      </c>
      <c r="I1785" s="1042">
        <f>'Смета Внутр'!H1792</f>
        <v>0</v>
      </c>
      <c r="J1785" s="1058">
        <f>'Смета Внутр'!I1792</f>
        <v>0</v>
      </c>
    </row>
    <row r="1786" spans="2:10" ht="15" customHeight="1">
      <c r="B1786" s="1042" t="str">
        <f>'Смета Внутр'!B1793</f>
        <v xml:space="preserve">Гвозди ершоные 3,4 x 60            </v>
      </c>
      <c r="C1786" s="1042" t="str">
        <f>'Смета Внутр'!C1793</f>
        <v>кг</v>
      </c>
      <c r="D1786" s="1058">
        <f>'Смета Внутр'!D1793</f>
        <v>0</v>
      </c>
      <c r="E1786" s="1042">
        <f>'Смета Внутр'!E1793</f>
        <v>75.510000000000005</v>
      </c>
      <c r="F1786" s="1042">
        <f>'Смета Внутр'!F1793</f>
        <v>0</v>
      </c>
      <c r="G1786" s="1042">
        <f t="shared" si="73"/>
        <v>75.510000000000005</v>
      </c>
      <c r="H1786" s="1042">
        <f>'Смета Внутр'!G1793</f>
        <v>0</v>
      </c>
      <c r="I1786" s="1042">
        <f>'Смета Внутр'!H1793</f>
        <v>0</v>
      </c>
      <c r="J1786" s="1058">
        <f>'Смета Внутр'!I1793</f>
        <v>0</v>
      </c>
    </row>
    <row r="1787" spans="2:10" ht="15" customHeight="1">
      <c r="B1787" s="1042" t="str">
        <f>'Смета Внутр'!B1794</f>
        <v xml:space="preserve">Гвозди ершоные 2,8 х 90            </v>
      </c>
      <c r="C1787" s="1042" t="str">
        <f>'Смета Внутр'!C1794</f>
        <v>кг</v>
      </c>
      <c r="D1787" s="1058">
        <f>'Смета Внутр'!D1794</f>
        <v>0</v>
      </c>
      <c r="E1787" s="1042">
        <f>'Смета Внутр'!E1794</f>
        <v>76.489999999999995</v>
      </c>
      <c r="F1787" s="1042">
        <f>'Смета Внутр'!F1794</f>
        <v>0</v>
      </c>
      <c r="G1787" s="1042">
        <f t="shared" si="73"/>
        <v>76.489999999999995</v>
      </c>
      <c r="H1787" s="1042">
        <f>'Смета Внутр'!G1794</f>
        <v>0</v>
      </c>
      <c r="I1787" s="1042">
        <f>'Смета Внутр'!H1794</f>
        <v>0</v>
      </c>
      <c r="J1787" s="1058">
        <f>'Смета Внутр'!I1794</f>
        <v>0</v>
      </c>
    </row>
    <row r="1788" spans="2:10" ht="15" customHeight="1">
      <c r="B1788" s="1042" t="str">
        <f>'Смета Внутр'!B1795</f>
        <v xml:space="preserve">Пластина соеденительная 100х240х2           </v>
      </c>
      <c r="C1788" s="1042" t="str">
        <f>'Смета Внутр'!C1795</f>
        <v>шт</v>
      </c>
      <c r="D1788" s="1058">
        <f>'Смета Внутр'!D1795</f>
        <v>2.2999999999999998</v>
      </c>
      <c r="E1788" s="1042">
        <f>'Смета Внутр'!E1795</f>
        <v>31.54</v>
      </c>
      <c r="F1788" s="1042">
        <f>'Смета Внутр'!F1795</f>
        <v>0</v>
      </c>
      <c r="G1788" s="1042">
        <f t="shared" si="73"/>
        <v>31.54</v>
      </c>
      <c r="H1788" s="1042">
        <f>'Смета Внутр'!G1795</f>
        <v>72.541999999999987</v>
      </c>
      <c r="I1788" s="1042">
        <f>'Смета Внутр'!H1795</f>
        <v>0</v>
      </c>
      <c r="J1788" s="1058">
        <f>'Смета Внутр'!I1795</f>
        <v>0</v>
      </c>
    </row>
    <row r="1789" spans="2:10" ht="15" customHeight="1">
      <c r="B1789" s="1042" t="str">
        <f>'Смета Внутр'!B1796</f>
        <v xml:space="preserve">Уголок усиленный 90х70х55х2,5        </v>
      </c>
      <c r="C1789" s="1042" t="str">
        <f>'Смета Внутр'!C1796</f>
        <v>шт</v>
      </c>
      <c r="D1789" s="1058">
        <f>'Смета Внутр'!D1796</f>
        <v>3.4499999999999997</v>
      </c>
      <c r="E1789" s="1042">
        <f>'Смета Внутр'!E1796</f>
        <v>30</v>
      </c>
      <c r="F1789" s="1042">
        <f>'Смета Внутр'!F1796</f>
        <v>0</v>
      </c>
      <c r="G1789" s="1042">
        <f t="shared" si="73"/>
        <v>30</v>
      </c>
      <c r="H1789" s="1042">
        <f>'Смета Внутр'!G1796</f>
        <v>103.49999999999999</v>
      </c>
      <c r="I1789" s="1042">
        <f>'Смета Внутр'!H1796</f>
        <v>0</v>
      </c>
      <c r="J1789" s="1058">
        <f>'Смета Внутр'!I1796</f>
        <v>0</v>
      </c>
    </row>
    <row r="1790" spans="2:10">
      <c r="B1790" s="3330" t="str">
        <f>'Смета Внутр'!B1797</f>
        <v>Итого материалы</v>
      </c>
      <c r="C1790" s="3330"/>
      <c r="D1790" s="3330"/>
      <c r="E1790" s="3330"/>
      <c r="F1790" s="3330"/>
      <c r="G1790" s="3330"/>
      <c r="H1790" s="1042">
        <f>'Смета Внутр'!G1797</f>
        <v>0</v>
      </c>
      <c r="I1790" s="1042">
        <f>'Смета Внутр'!H1797</f>
        <v>0</v>
      </c>
      <c r="J1790" s="1058">
        <f>'Смета Внутр'!I1797</f>
        <v>0</v>
      </c>
    </row>
    <row r="1791" spans="2:10" ht="15" customHeight="1">
      <c r="B1791" s="3002" t="str">
        <f>'Смета Внутр'!B1798</f>
        <v>Работы</v>
      </c>
      <c r="D1791" s="1167"/>
      <c r="H1791">
        <f>'Смета Внутр'!G1798</f>
        <v>0</v>
      </c>
      <c r="I1791">
        <f>'Смета Внутр'!H1798</f>
        <v>0</v>
      </c>
      <c r="J1791" s="3027">
        <f>'Смета Внутр'!I1798</f>
        <v>0</v>
      </c>
    </row>
    <row r="1792" spans="2:10" ht="15" customHeight="1">
      <c r="B1792" s="1042" t="str">
        <f>'Смета Внутр'!B1799</f>
        <v>монтаж мауэрлат</v>
      </c>
      <c r="C1792" s="1042" t="str">
        <f>'Смета Внутр'!C1799</f>
        <v>м.п.</v>
      </c>
      <c r="D1792" s="1058">
        <f>'Смета Внутр'!D1799</f>
        <v>0</v>
      </c>
      <c r="E1792" s="1042">
        <f>'Смета Внутр'!E1799</f>
        <v>250</v>
      </c>
      <c r="F1792" s="1042">
        <f>'Смета Внутр'!F1799</f>
        <v>0</v>
      </c>
      <c r="G1792" s="1042">
        <f t="shared" ref="G1792:G1806" si="74">IF(E1792&gt;F1792,E1792,F1792)</f>
        <v>250</v>
      </c>
      <c r="H1792" s="1042">
        <f>'Смета Внутр'!G1799</f>
        <v>0</v>
      </c>
      <c r="I1792" s="1042">
        <f>'Смета Внутр'!H1799</f>
        <v>0</v>
      </c>
      <c r="J1792" s="1058">
        <f>'Смета Внутр'!I1799</f>
        <v>0</v>
      </c>
    </row>
    <row r="1793" spans="2:10" ht="15" customHeight="1">
      <c r="B1793" s="1042" t="str">
        <f>'Смета Внутр'!B1800</f>
        <v>монтаж стропил</v>
      </c>
      <c r="C1793" s="1042" t="str">
        <f>'Смета Внутр'!C1800</f>
        <v>м2</v>
      </c>
      <c r="D1793" s="1058">
        <f>'Смета Внутр'!D1800</f>
        <v>0</v>
      </c>
      <c r="E1793" s="1042">
        <f>'Смета Внутр'!E1800</f>
        <v>450</v>
      </c>
      <c r="F1793" s="1042">
        <f>'Смета Внутр'!F1800</f>
        <v>0</v>
      </c>
      <c r="G1793" s="1042">
        <f t="shared" si="74"/>
        <v>450</v>
      </c>
      <c r="H1793" s="1042">
        <f>'Смета Внутр'!G1800</f>
        <v>0</v>
      </c>
      <c r="I1793" s="1042">
        <f>'Смета Внутр'!H1800</f>
        <v>0</v>
      </c>
      <c r="J1793" s="1058">
        <f>'Смета Внутр'!I1800</f>
        <v>0</v>
      </c>
    </row>
    <row r="1794" spans="2:10" ht="15" customHeight="1">
      <c r="B1794" s="1042" t="str">
        <f>'Смета Внутр'!B1801</f>
        <v>обрешетка</v>
      </c>
      <c r="C1794" s="1042" t="str">
        <f>'Смета Внутр'!C1801</f>
        <v>м2</v>
      </c>
      <c r="D1794" s="1058">
        <f>'Смета Внутр'!D1801</f>
        <v>0</v>
      </c>
      <c r="E1794" s="1042">
        <f>'Смета Внутр'!E1801</f>
        <v>100</v>
      </c>
      <c r="F1794" s="1042">
        <f>'Смета Внутр'!F1801</f>
        <v>0</v>
      </c>
      <c r="G1794" s="1042">
        <f t="shared" si="74"/>
        <v>100</v>
      </c>
      <c r="H1794" s="1042">
        <f>'Смета Внутр'!G1801</f>
        <v>0</v>
      </c>
      <c r="I1794" s="1042">
        <f>'Смета Внутр'!H1801</f>
        <v>0</v>
      </c>
      <c r="J1794" s="1058">
        <f>'Смета Внутр'!I1801</f>
        <v>0</v>
      </c>
    </row>
    <row r="1795" spans="2:10" ht="15" customHeight="1">
      <c r="B1795" s="1042" t="str">
        <f>'Смета Внутр'!B1802</f>
        <v>контробеш</v>
      </c>
      <c r="C1795" s="1042" t="str">
        <f>'Смета Внутр'!C1802</f>
        <v>м2</v>
      </c>
      <c r="D1795" s="1058">
        <f>'Смета Внутр'!D1802</f>
        <v>0</v>
      </c>
      <c r="E1795" s="1042">
        <f>'Смета Внутр'!E1802</f>
        <v>100</v>
      </c>
      <c r="F1795" s="1042">
        <f>'Смета Внутр'!F1802</f>
        <v>0</v>
      </c>
      <c r="G1795" s="1042">
        <f t="shared" si="74"/>
        <v>100</v>
      </c>
      <c r="H1795" s="1042">
        <f>'Смета Внутр'!G1802</f>
        <v>0</v>
      </c>
      <c r="I1795" s="1042">
        <f>'Смета Внутр'!H1802</f>
        <v>0</v>
      </c>
      <c r="J1795" s="1058">
        <f>'Смета Внутр'!I1802</f>
        <v>0</v>
      </c>
    </row>
    <row r="1796" spans="2:10" ht="15" customHeight="1">
      <c r="B1796" s="1042" t="str">
        <f>'Смета Внутр'!B1803</f>
        <v>мембрана</v>
      </c>
      <c r="C1796" s="1042" t="str">
        <f>'Смета Внутр'!C1803</f>
        <v>м2</v>
      </c>
      <c r="D1796" s="1058">
        <f>'Смета Внутр'!D1803</f>
        <v>0</v>
      </c>
      <c r="E1796" s="1042">
        <f>'Смета Внутр'!E1803</f>
        <v>100</v>
      </c>
      <c r="F1796" s="1042">
        <f>'Смета Внутр'!F1803</f>
        <v>0</v>
      </c>
      <c r="G1796" s="1042">
        <f t="shared" si="74"/>
        <v>100</v>
      </c>
      <c r="H1796" s="1042">
        <f>'Смета Внутр'!G1803</f>
        <v>0</v>
      </c>
      <c r="I1796" s="1042">
        <f>'Смета Внутр'!H1803</f>
        <v>0</v>
      </c>
      <c r="J1796" s="1058">
        <f>'Смета Внутр'!I1803</f>
        <v>0</v>
      </c>
    </row>
    <row r="1797" spans="2:10" ht="15" customHeight="1">
      <c r="B1797" s="1042" t="str">
        <f>'Смета Внутр'!B1804</f>
        <v>пароизоляц</v>
      </c>
      <c r="C1797" s="1042" t="str">
        <f>'Смета Внутр'!C1804</f>
        <v>м2</v>
      </c>
      <c r="D1797" s="1058">
        <f>'Смета Внутр'!D1804</f>
        <v>0</v>
      </c>
      <c r="E1797" s="1042">
        <f>'Смета Внутр'!E1804</f>
        <v>100</v>
      </c>
      <c r="F1797" s="1042">
        <f>'Смета Внутр'!F1804</f>
        <v>0</v>
      </c>
      <c r="G1797" s="1042">
        <f t="shared" si="74"/>
        <v>100</v>
      </c>
      <c r="H1797" s="1042">
        <f>'Смета Внутр'!G1804</f>
        <v>0</v>
      </c>
      <c r="I1797" s="1042">
        <f>'Смета Внутр'!H1804</f>
        <v>0</v>
      </c>
      <c r="J1797" s="1058">
        <f>'Смета Внутр'!I1804</f>
        <v>0</v>
      </c>
    </row>
    <row r="1798" spans="2:10" ht="15" customHeight="1">
      <c r="B1798" s="1042" t="str">
        <f>'Смета Внутр'!B1805</f>
        <v>утеплитель</v>
      </c>
      <c r="C1798" s="1042" t="str">
        <f>'Смета Внутр'!C1805</f>
        <v>м2</v>
      </c>
      <c r="D1798" s="1058">
        <f>'Смета Внутр'!D1805</f>
        <v>0</v>
      </c>
      <c r="E1798" s="1042">
        <f>'Смета Внутр'!E1805</f>
        <v>200</v>
      </c>
      <c r="F1798" s="1042">
        <f>'Смета Внутр'!F1805</f>
        <v>0</v>
      </c>
      <c r="G1798" s="1042">
        <f t="shared" si="74"/>
        <v>200</v>
      </c>
      <c r="H1798" s="1042">
        <f>'Смета Внутр'!G1805</f>
        <v>0</v>
      </c>
      <c r="I1798" s="1042">
        <f>'Смета Внутр'!H1805</f>
        <v>0</v>
      </c>
      <c r="J1798" s="1058">
        <f>'Смета Внутр'!I1805</f>
        <v>0</v>
      </c>
    </row>
    <row r="1799" spans="2:10" ht="15" customHeight="1">
      <c r="B1799" s="1042" t="str">
        <f>'Смета Внутр'!B1806</f>
        <v>Монтаж металлочерепицы</v>
      </c>
      <c r="C1799" s="1042" t="str">
        <f>'Смета Внутр'!C1806</f>
        <v>м2</v>
      </c>
      <c r="D1799" s="1058">
        <f>'Смета Внутр'!D1806</f>
        <v>0</v>
      </c>
      <c r="E1799" s="1042">
        <f>'Смета Внутр'!E1806</f>
        <v>300</v>
      </c>
      <c r="F1799" s="1042">
        <f>'Смета Внутр'!F1806</f>
        <v>0</v>
      </c>
      <c r="G1799" s="1042">
        <f t="shared" si="74"/>
        <v>300</v>
      </c>
      <c r="H1799" s="1042">
        <f>'Смета Внутр'!G1806</f>
        <v>0</v>
      </c>
      <c r="I1799" s="1042">
        <f>'Смета Внутр'!H1806</f>
        <v>0</v>
      </c>
      <c r="J1799" s="1058">
        <f>'Смета Внутр'!I1806</f>
        <v>0</v>
      </c>
    </row>
    <row r="1800" spans="2:10" ht="15" customHeight="1">
      <c r="B1800" s="1042" t="str">
        <f>'Смета Внутр'!B1807</f>
        <v>карнизная планка</v>
      </c>
      <c r="C1800" s="1042" t="str">
        <f>'Смета Внутр'!C1807</f>
        <v>м2</v>
      </c>
      <c r="D1800" s="1058">
        <f>'Смета Внутр'!D1807</f>
        <v>0</v>
      </c>
      <c r="E1800" s="1042">
        <f>'Смета Внутр'!E1807</f>
        <v>100</v>
      </c>
      <c r="F1800" s="1042">
        <f>'Смета Внутр'!F1807</f>
        <v>0</v>
      </c>
      <c r="G1800" s="1042">
        <f t="shared" si="74"/>
        <v>100</v>
      </c>
      <c r="H1800" s="1042">
        <f>'Смета Внутр'!G1807</f>
        <v>0</v>
      </c>
      <c r="I1800" s="1042">
        <f>'Смета Внутр'!H1807</f>
        <v>0</v>
      </c>
      <c r="J1800" s="1058">
        <f>'Смета Внутр'!I1807</f>
        <v>0</v>
      </c>
    </row>
    <row r="1801" spans="2:10" ht="15" customHeight="1">
      <c r="B1801" s="1042" t="str">
        <f>'Смета Внутр'!B1808</f>
        <v>желоб водосточный</v>
      </c>
      <c r="C1801" s="1042" t="str">
        <f>'Смета Внутр'!C1808</f>
        <v>м.п.</v>
      </c>
      <c r="D1801" s="1058">
        <f>'Смета Внутр'!D1808</f>
        <v>0</v>
      </c>
      <c r="E1801" s="1042">
        <f>'Смета Внутр'!E1808</f>
        <v>300</v>
      </c>
      <c r="F1801" s="1042">
        <f>'Смета Внутр'!F1808</f>
        <v>0</v>
      </c>
      <c r="G1801" s="1042">
        <f t="shared" si="74"/>
        <v>300</v>
      </c>
      <c r="H1801" s="1042">
        <f>'Смета Внутр'!G1808</f>
        <v>0</v>
      </c>
      <c r="I1801" s="1042">
        <f>'Смета Внутр'!H1808</f>
        <v>0</v>
      </c>
      <c r="J1801" s="1058">
        <f>'Смета Внутр'!I1808</f>
        <v>0</v>
      </c>
    </row>
    <row r="1802" spans="2:10" ht="15" customHeight="1">
      <c r="B1802" s="1042" t="str">
        <f>'Смета Внутр'!B1809</f>
        <v>труба водосточная</v>
      </c>
      <c r="C1802" s="1042" t="str">
        <f>'Смета Внутр'!C1809</f>
        <v>м.п.</v>
      </c>
      <c r="D1802" s="1058">
        <f>'Смета Внутр'!D1809</f>
        <v>0</v>
      </c>
      <c r="E1802" s="1042">
        <f>'Смета Внутр'!E1809</f>
        <v>300</v>
      </c>
      <c r="F1802" s="1042">
        <f>'Смета Внутр'!F1809</f>
        <v>0</v>
      </c>
      <c r="G1802" s="1042">
        <f t="shared" si="74"/>
        <v>300</v>
      </c>
      <c r="H1802" s="1042">
        <f>'Смета Внутр'!G1809</f>
        <v>0</v>
      </c>
      <c r="I1802" s="1042">
        <f>'Смета Внутр'!H1809</f>
        <v>0</v>
      </c>
      <c r="J1802" s="1058">
        <f>'Смета Внутр'!I1809</f>
        <v>0</v>
      </c>
    </row>
    <row r="1803" spans="2:10" ht="15" customHeight="1">
      <c r="B1803" s="1042" t="str">
        <f>'Смета Внутр'!B1810</f>
        <v>ендова внутр/наружн</v>
      </c>
      <c r="C1803" s="1042" t="str">
        <f>'Смета Внутр'!C1810</f>
        <v>м.п.</v>
      </c>
      <c r="D1803" s="1058">
        <f>'Смета Внутр'!D1810</f>
        <v>0</v>
      </c>
      <c r="E1803" s="1042">
        <f>'Смета Внутр'!E1810</f>
        <v>300</v>
      </c>
      <c r="F1803" s="1042">
        <f>'Смета Внутр'!F1810</f>
        <v>0</v>
      </c>
      <c r="G1803" s="1042">
        <f t="shared" si="74"/>
        <v>300</v>
      </c>
      <c r="H1803" s="1042">
        <f>'Смета Внутр'!G1810</f>
        <v>0</v>
      </c>
      <c r="I1803" s="1042">
        <f>'Смета Внутр'!H1810</f>
        <v>0</v>
      </c>
      <c r="J1803" s="1058">
        <f>'Смета Внутр'!I1810</f>
        <v>0</v>
      </c>
    </row>
    <row r="1804" spans="2:10" ht="15" customHeight="1">
      <c r="B1804" s="1042" t="str">
        <f>'Смета Внутр'!B1811</f>
        <v>Монтаж фанеры/osb</v>
      </c>
      <c r="C1804" s="1042" t="str">
        <f>'Смета Внутр'!C1811</f>
        <v>м2</v>
      </c>
      <c r="D1804" s="1058">
        <f>'Смета Внутр'!D1811</f>
        <v>0</v>
      </c>
      <c r="E1804" s="1042">
        <f>'Смета Внутр'!E1811</f>
        <v>200</v>
      </c>
      <c r="F1804" s="1042">
        <f>'Смета Внутр'!F1811</f>
        <v>0</v>
      </c>
      <c r="G1804" s="1042">
        <f t="shared" si="74"/>
        <v>200</v>
      </c>
      <c r="H1804" s="1042">
        <f>'Смета Внутр'!G1811</f>
        <v>0</v>
      </c>
      <c r="I1804" s="1042">
        <f>'Смета Внутр'!H1811</f>
        <v>0</v>
      </c>
      <c r="J1804" s="1058">
        <f>'Смета Внутр'!I1811</f>
        <v>0</v>
      </c>
    </row>
    <row r="1805" spans="2:10" ht="15" customHeight="1">
      <c r="B1805" s="1042" t="str">
        <f>'Смета Внутр'!B1812</f>
        <v>монтаж подкладочного ковра</v>
      </c>
      <c r="C1805" s="1042" t="str">
        <f>'Смета Внутр'!C1812</f>
        <v>м2</v>
      </c>
      <c r="D1805" s="1058">
        <f>'Смета Внутр'!D1812</f>
        <v>0</v>
      </c>
      <c r="E1805" s="1042">
        <f>'Смета Внутр'!E1812</f>
        <v>150</v>
      </c>
      <c r="F1805" s="1042">
        <f>'Смета Внутр'!F1812</f>
        <v>0</v>
      </c>
      <c r="G1805" s="1042">
        <f t="shared" si="74"/>
        <v>150</v>
      </c>
      <c r="H1805" s="1042">
        <f>'Смета Внутр'!G1812</f>
        <v>0</v>
      </c>
      <c r="I1805" s="1042">
        <f>'Смета Внутр'!H1812</f>
        <v>0</v>
      </c>
      <c r="J1805" s="1058">
        <f>'Смета Внутр'!I1812</f>
        <v>0</v>
      </c>
    </row>
    <row r="1806" spans="2:10" ht="15" customHeight="1">
      <c r="B1806" s="1042" t="str">
        <f>'Смета Внутр'!B1813</f>
        <v>Монтаж мягкой кровли</v>
      </c>
      <c r="C1806" s="1042" t="str">
        <f>'Смета Внутр'!C1813</f>
        <v>м2</v>
      </c>
      <c r="D1806" s="1058">
        <f>'Смета Внутр'!D1813</f>
        <v>0</v>
      </c>
      <c r="E1806" s="1042">
        <f>'Смета Внутр'!E1813</f>
        <v>350</v>
      </c>
      <c r="F1806" s="1042">
        <f>'Смета Внутр'!F1813</f>
        <v>0</v>
      </c>
      <c r="G1806" s="1042">
        <f t="shared" si="74"/>
        <v>350</v>
      </c>
      <c r="H1806" s="1042">
        <f>'Смета Внутр'!G1813</f>
        <v>0</v>
      </c>
      <c r="I1806" s="1042">
        <f>'Смета Внутр'!H1813</f>
        <v>0</v>
      </c>
      <c r="J1806" s="1058">
        <f>'Смета Внутр'!I1813</f>
        <v>0</v>
      </c>
    </row>
    <row r="1807" spans="2:10" ht="15" customHeight="1">
      <c r="B1807" s="3330" t="str">
        <f>'Смета Внутр'!B1814</f>
        <v>Итого работы</v>
      </c>
      <c r="C1807" s="3330"/>
      <c r="D1807" s="3330"/>
      <c r="E1807" s="3330"/>
      <c r="F1807" s="3330"/>
      <c r="G1807" s="3330"/>
      <c r="H1807" s="1042">
        <f>'Смета Внутр'!G1814</f>
        <v>0</v>
      </c>
      <c r="I1807" s="1042">
        <f>'Смета Внутр'!H1814</f>
        <v>0</v>
      </c>
      <c r="J1807" s="1058">
        <f>'Смета Внутр'!I1814</f>
        <v>0</v>
      </c>
    </row>
    <row r="1808" spans="2:10" ht="15" customHeight="1">
      <c r="B1808" s="3329" t="str">
        <f>'Смета Внутр'!B1815</f>
        <v>Кровля на террасу/веранду</v>
      </c>
      <c r="C1808" s="3329"/>
      <c r="D1808" s="3329"/>
      <c r="H1808">
        <f>'Смета Внутр'!G1815</f>
        <v>0</v>
      </c>
      <c r="I1808">
        <f>'Смета Внутр'!H1815</f>
        <v>0</v>
      </c>
      <c r="J1808" s="3027">
        <f>'Смета Внутр'!I1815</f>
        <v>0</v>
      </c>
    </row>
    <row r="1809" spans="2:10" ht="15" customHeight="1">
      <c r="B1809" s="3002" t="str">
        <f>'Смета Внутр'!B1816</f>
        <v>Материалы</v>
      </c>
      <c r="D1809" s="1167"/>
      <c r="H1809">
        <f>'Смета Внутр'!G1816</f>
        <v>0</v>
      </c>
      <c r="I1809">
        <f>'Смета Внутр'!H1816</f>
        <v>0</v>
      </c>
      <c r="J1809" s="3027">
        <f>'Смета Внутр'!I1816</f>
        <v>0</v>
      </c>
    </row>
    <row r="1810" spans="2:10" ht="15" customHeight="1">
      <c r="B1810" s="1042" t="str">
        <f>'Смета Внутр'!B1817</f>
        <v>Доска сухая, 200*50мм</v>
      </c>
      <c r="C1810" s="1042" t="str">
        <f>'Смета Внутр'!C1817</f>
        <v>м3</v>
      </c>
      <c r="D1810" s="1058">
        <f>'Смета Внутр'!D1817</f>
        <v>0</v>
      </c>
      <c r="E1810" s="1042">
        <f>'Смета Внутр'!E1817</f>
        <v>9000</v>
      </c>
      <c r="F1810" s="1042">
        <f>'Смета Внутр'!F1817</f>
        <v>0</v>
      </c>
      <c r="G1810" s="1042">
        <f t="shared" ref="G1810:G1850" si="75">IF(E1810&gt;F1810,E1810,F1810)</f>
        <v>9000</v>
      </c>
      <c r="H1810" s="1042">
        <f>'Смета Внутр'!G1817</f>
        <v>0</v>
      </c>
      <c r="I1810" s="1042">
        <f>'Смета Внутр'!H1817</f>
        <v>0</v>
      </c>
      <c r="J1810" s="1058">
        <f>'Смета Внутр'!I1817</f>
        <v>0</v>
      </c>
    </row>
    <row r="1811" spans="2:10" ht="15" customHeight="1">
      <c r="B1811" s="1042" t="str">
        <f>'Смета Внутр'!B1818</f>
        <v>Сосна влаж,100*25мм</v>
      </c>
      <c r="C1811" s="1042" t="str">
        <f>'Смета Внутр'!C1818</f>
        <v>м3</v>
      </c>
      <c r="D1811" s="1058">
        <f>'Смета Внутр'!D1818</f>
        <v>0</v>
      </c>
      <c r="E1811" s="1042">
        <f>'Смета Внутр'!E1818</f>
        <v>6500</v>
      </c>
      <c r="F1811" s="1042">
        <f>'Смета Внутр'!F1818</f>
        <v>0</v>
      </c>
      <c r="G1811" s="1042">
        <f t="shared" si="75"/>
        <v>6500</v>
      </c>
      <c r="H1811" s="1042">
        <f>'Смета Внутр'!G1818</f>
        <v>0</v>
      </c>
      <c r="I1811" s="1042">
        <f>'Смета Внутр'!H1818</f>
        <v>0</v>
      </c>
      <c r="J1811" s="1058">
        <f>'Смета Внутр'!I1818</f>
        <v>0</v>
      </c>
    </row>
    <row r="1812" spans="2:10" ht="15" customHeight="1">
      <c r="B1812" s="1042" t="str">
        <f>'Смета Внутр'!B1819</f>
        <v>Доска сухая, калибр., 35*45мм</v>
      </c>
      <c r="C1812" s="1042" t="str">
        <f>'Смета Внутр'!C1819</f>
        <v>шт</v>
      </c>
      <c r="D1812" s="1058">
        <f>'Смета Внутр'!D1819</f>
        <v>0</v>
      </c>
      <c r="E1812" s="1042">
        <f>'Смета Внутр'!E1819</f>
        <v>12500</v>
      </c>
      <c r="F1812" s="1042">
        <f>'Смета Внутр'!F1819</f>
        <v>0</v>
      </c>
      <c r="G1812" s="1042">
        <f t="shared" si="75"/>
        <v>12500</v>
      </c>
      <c r="H1812" s="1042">
        <f>'Смета Внутр'!G1819</f>
        <v>0</v>
      </c>
      <c r="I1812" s="1042">
        <f>'Смета Внутр'!H1819</f>
        <v>0</v>
      </c>
      <c r="J1812" s="1058">
        <f>'Смета Внутр'!I1819</f>
        <v>0</v>
      </c>
    </row>
    <row r="1813" spans="2:10" ht="15" customHeight="1">
      <c r="B1813" s="1042" t="str">
        <f>'Смета Внутр'!B1820</f>
        <v>нет ветроизоляции</v>
      </c>
      <c r="C1813" s="1042" t="str">
        <f>'Смета Внутр'!C1820</f>
        <v>м2</v>
      </c>
      <c r="D1813" s="1058">
        <f>'Смета Внутр'!D1820</f>
        <v>0</v>
      </c>
      <c r="E1813" s="1042">
        <f>'Смета Внутр'!E1820</f>
        <v>0</v>
      </c>
      <c r="F1813" s="1042">
        <f>'Смета Внутр'!F1820</f>
        <v>0</v>
      </c>
      <c r="G1813" s="1042">
        <f t="shared" si="75"/>
        <v>0</v>
      </c>
      <c r="H1813" s="1042">
        <f>'Смета Внутр'!G1820</f>
        <v>0</v>
      </c>
      <c r="I1813" s="1042">
        <f>'Смета Внутр'!H1820</f>
        <v>0</v>
      </c>
      <c r="J1813" s="1058">
        <f>'Смета Внутр'!I1820</f>
        <v>0</v>
      </c>
    </row>
    <row r="1814" spans="2:10" ht="15" customHeight="1">
      <c r="B1814" s="1042" t="str">
        <f>'Смета Внутр'!B1821</f>
        <v>металлочерепица</v>
      </c>
      <c r="C1814" s="1042" t="str">
        <f>'Смета Внутр'!C1821</f>
        <v>м2</v>
      </c>
      <c r="D1814" s="1058">
        <f>'Смета Внутр'!D1821</f>
        <v>0</v>
      </c>
      <c r="E1814" s="1042">
        <f>'Смета Внутр'!E1821</f>
        <v>250</v>
      </c>
      <c r="F1814" s="1042">
        <f>'Смета Внутр'!F1821</f>
        <v>0</v>
      </c>
      <c r="G1814" s="1042">
        <f t="shared" si="75"/>
        <v>250</v>
      </c>
      <c r="H1814" s="1042">
        <f>'Смета Внутр'!G1821</f>
        <v>0</v>
      </c>
      <c r="I1814" s="1042">
        <f>'Смета Внутр'!H1821</f>
        <v>0</v>
      </c>
      <c r="J1814" s="1058">
        <f>'Смета Внутр'!I1821</f>
        <v>0</v>
      </c>
    </row>
    <row r="1815" spans="2:10" ht="15" customHeight="1">
      <c r="B1815" s="1042" t="str">
        <f>'Смета Внутр'!B1822</f>
        <v>карнизная планка</v>
      </c>
      <c r="C1815" s="1042" t="str">
        <f>'Смета Внутр'!C1822</f>
        <v>м.п.</v>
      </c>
      <c r="D1815" s="1058">
        <f>'Смета Внутр'!D1822</f>
        <v>0</v>
      </c>
      <c r="E1815" s="1042">
        <f>'Смета Внутр'!E1822</f>
        <v>200</v>
      </c>
      <c r="F1815" s="1042">
        <f>'Смета Внутр'!F1822</f>
        <v>0</v>
      </c>
      <c r="G1815" s="1042">
        <f t="shared" si="75"/>
        <v>200</v>
      </c>
      <c r="H1815" s="1042">
        <f>'Смета Внутр'!G1822</f>
        <v>0</v>
      </c>
      <c r="I1815" s="1042">
        <f>'Смета Внутр'!H1822</f>
        <v>0</v>
      </c>
      <c r="J1815" s="1058">
        <f>'Смета Внутр'!I1822</f>
        <v>0</v>
      </c>
    </row>
    <row r="1816" spans="2:10" ht="15" customHeight="1">
      <c r="B1816" s="1042" t="str">
        <f>'Смета Внутр'!B1823</f>
        <v>торцевая планка</v>
      </c>
      <c r="C1816" s="1042" t="str">
        <f>'Смета Внутр'!C1823</f>
        <v>м.п.</v>
      </c>
      <c r="D1816" s="1058">
        <f>'Смета Внутр'!D1823</f>
        <v>0</v>
      </c>
      <c r="E1816" s="1042">
        <f>'Смета Внутр'!E1823</f>
        <v>200</v>
      </c>
      <c r="F1816" s="1042">
        <f>'Смета Внутр'!F1823</f>
        <v>0</v>
      </c>
      <c r="G1816" s="1042">
        <f t="shared" si="75"/>
        <v>200</v>
      </c>
      <c r="H1816" s="1042">
        <f>'Смета Внутр'!G1823</f>
        <v>0</v>
      </c>
      <c r="I1816" s="1042">
        <f>'Смета Внутр'!H1823</f>
        <v>0</v>
      </c>
      <c r="J1816" s="1058">
        <f>'Смета Внутр'!I1823</f>
        <v>0</v>
      </c>
    </row>
    <row r="1817" spans="2:10" ht="15" customHeight="1">
      <c r="B1817" s="1042" t="str">
        <f>'Смета Внутр'!B1824</f>
        <v>конек</v>
      </c>
      <c r="C1817" s="1042" t="str">
        <f>'Смета Внутр'!C1824</f>
        <v>м.п.</v>
      </c>
      <c r="D1817" s="1058">
        <f>'Смета Внутр'!D1824</f>
        <v>0</v>
      </c>
      <c r="E1817" s="1042">
        <f>'Смета Внутр'!E1824</f>
        <v>230</v>
      </c>
      <c r="F1817" s="1042">
        <f>'Смета Внутр'!F1824</f>
        <v>0</v>
      </c>
      <c r="G1817" s="1042">
        <f t="shared" si="75"/>
        <v>230</v>
      </c>
      <c r="H1817" s="1042">
        <f>'Смета Внутр'!G1824</f>
        <v>0</v>
      </c>
      <c r="I1817" s="1042">
        <f>'Смета Внутр'!H1824</f>
        <v>0</v>
      </c>
      <c r="J1817" s="1058">
        <f>'Смета Внутр'!I1824</f>
        <v>0</v>
      </c>
    </row>
    <row r="1818" spans="2:10" ht="15" customHeight="1">
      <c r="B1818" s="1042" t="str">
        <f>'Смета Внутр'!B1825</f>
        <v>ондулин</v>
      </c>
      <c r="C1818" s="1042" t="str">
        <f>'Смета Внутр'!C1825</f>
        <v>м2</v>
      </c>
      <c r="D1818" s="1058">
        <f>'Смета Внутр'!D1825</f>
        <v>0</v>
      </c>
      <c r="E1818" s="1042">
        <f>'Смета Внутр'!E1825</f>
        <v>180</v>
      </c>
      <c r="F1818" s="1042">
        <f>'Смета Внутр'!F1825</f>
        <v>0</v>
      </c>
      <c r="G1818" s="1042">
        <f t="shared" si="75"/>
        <v>180</v>
      </c>
      <c r="H1818" s="1042">
        <f>'Смета Внутр'!G1825</f>
        <v>0</v>
      </c>
      <c r="I1818" s="1042">
        <f>'Смета Внутр'!H1825</f>
        <v>0</v>
      </c>
      <c r="J1818" s="1058">
        <f>'Смета Внутр'!I1825</f>
        <v>0</v>
      </c>
    </row>
    <row r="1819" spans="2:10" ht="15" customHeight="1">
      <c r="B1819" s="1042" t="str">
        <f>'Смета Внутр'!B1826</f>
        <v>Карнизная планка</v>
      </c>
      <c r="C1819" s="1042" t="str">
        <f>'Смета Внутр'!C1826</f>
        <v>м.п.</v>
      </c>
      <c r="D1819" s="1058">
        <f>'Смета Внутр'!D1826</f>
        <v>0</v>
      </c>
      <c r="E1819" s="1042">
        <f>'Смета Внутр'!E1826</f>
        <v>190</v>
      </c>
      <c r="F1819" s="1042">
        <f>'Смета Внутр'!F1826</f>
        <v>0</v>
      </c>
      <c r="G1819" s="1042">
        <f t="shared" si="75"/>
        <v>190</v>
      </c>
      <c r="H1819" s="1042">
        <f>'Смета Внутр'!G1826</f>
        <v>0</v>
      </c>
      <c r="I1819" s="1042">
        <f>'Смета Внутр'!H1826</f>
        <v>0</v>
      </c>
      <c r="J1819" s="1058">
        <f>'Смета Внутр'!I1826</f>
        <v>0</v>
      </c>
    </row>
    <row r="1820" spans="2:10" ht="15" customHeight="1">
      <c r="B1820" s="1042" t="str">
        <f>'Смета Внутр'!B1827</f>
        <v>Торцевая планка</v>
      </c>
      <c r="C1820" s="1042" t="str">
        <f>'Смета Внутр'!C1827</f>
        <v>м.п.</v>
      </c>
      <c r="D1820" s="1058">
        <f>'Смета Внутр'!D1827</f>
        <v>0</v>
      </c>
      <c r="E1820" s="1042">
        <f>'Смета Внутр'!E1827</f>
        <v>190</v>
      </c>
      <c r="F1820" s="1042">
        <f>'Смета Внутр'!F1827</f>
        <v>0</v>
      </c>
      <c r="G1820" s="1042">
        <f t="shared" si="75"/>
        <v>190</v>
      </c>
      <c r="H1820" s="1042">
        <f>'Смета Внутр'!G1827</f>
        <v>0</v>
      </c>
      <c r="I1820" s="1042">
        <f>'Смета Внутр'!H1827</f>
        <v>0</v>
      </c>
      <c r="J1820" s="1058">
        <f>'Смета Внутр'!I1827</f>
        <v>0</v>
      </c>
    </row>
    <row r="1821" spans="2:10" ht="15" customHeight="1">
      <c r="B1821" s="1042" t="str">
        <f>'Смета Внутр'!B1828</f>
        <v>Конек</v>
      </c>
      <c r="C1821" s="1042" t="str">
        <f>'Смета Внутр'!C1828</f>
        <v>м.п.</v>
      </c>
      <c r="D1821" s="1058">
        <f>'Смета Внутр'!D1828</f>
        <v>0</v>
      </c>
      <c r="E1821" s="1042">
        <f>'Смета Внутр'!E1828</f>
        <v>200</v>
      </c>
      <c r="F1821" s="1042">
        <f>'Смета Внутр'!F1828</f>
        <v>0</v>
      </c>
      <c r="G1821" s="1042">
        <f t="shared" si="75"/>
        <v>200</v>
      </c>
      <c r="H1821" s="1042">
        <f>'Смета Внутр'!G1828</f>
        <v>0</v>
      </c>
      <c r="I1821" s="1042">
        <f>'Смета Внутр'!H1828</f>
        <v>0</v>
      </c>
      <c r="J1821" s="1058">
        <f>'Смета Внутр'!I1828</f>
        <v>0</v>
      </c>
    </row>
    <row r="1822" spans="2:10" ht="15" customHeight="1">
      <c r="B1822" s="1042" t="str">
        <f>'Смета Внутр'!B1829</f>
        <v>Ендова нижняя</v>
      </c>
      <c r="C1822" s="1042" t="str">
        <f>'Смета Внутр'!C1829</f>
        <v>м.п.</v>
      </c>
      <c r="D1822" s="1058">
        <f>'Смета Внутр'!D1829</f>
        <v>0</v>
      </c>
      <c r="E1822" s="1042">
        <f>'Смета Внутр'!E1829</f>
        <v>160</v>
      </c>
      <c r="F1822" s="1042">
        <f>'Смета Внутр'!F1829</f>
        <v>0</v>
      </c>
      <c r="G1822" s="1042">
        <f t="shared" si="75"/>
        <v>160</v>
      </c>
      <c r="H1822" s="1042">
        <f>'Смета Внутр'!G1829</f>
        <v>0</v>
      </c>
      <c r="I1822" s="1042">
        <f>'Смета Внутр'!H1829</f>
        <v>0</v>
      </c>
      <c r="J1822" s="1058">
        <f>'Смета Внутр'!I1829</f>
        <v>0</v>
      </c>
    </row>
    <row r="1823" spans="2:10" ht="15" customHeight="1">
      <c r="B1823" s="1042" t="str">
        <f>'Смета Внутр'!B1830</f>
        <v>Ендова верхняя</v>
      </c>
      <c r="C1823" s="1042" t="str">
        <f>'Смета Внутр'!C1830</f>
        <v>м.п.</v>
      </c>
      <c r="D1823" s="1058">
        <f>'Смета Внутр'!D1830</f>
        <v>0</v>
      </c>
      <c r="E1823" s="1042">
        <f>'Смета Внутр'!E1830</f>
        <v>190</v>
      </c>
      <c r="F1823" s="1042">
        <f>'Смета Внутр'!F1830</f>
        <v>0</v>
      </c>
      <c r="G1823" s="1042">
        <f t="shared" si="75"/>
        <v>190</v>
      </c>
      <c r="H1823" s="1042">
        <f>'Смета Внутр'!G1830</f>
        <v>0</v>
      </c>
      <c r="I1823" s="1042">
        <f>'Смета Внутр'!H1830</f>
        <v>0</v>
      </c>
      <c r="J1823" s="1058">
        <f>'Смета Внутр'!I1830</f>
        <v>0</v>
      </c>
    </row>
    <row r="1824" spans="2:10" ht="15" customHeight="1">
      <c r="B1824" s="1042" t="str">
        <f>'Смета Внутр'!B1831</f>
        <v>Планка примыкания</v>
      </c>
      <c r="C1824" s="1042" t="str">
        <f>'Смета Внутр'!C1831</f>
        <v>м.п.</v>
      </c>
      <c r="D1824" s="1058">
        <f>'Смета Внутр'!D1831</f>
        <v>0</v>
      </c>
      <c r="E1824" s="1042">
        <f>'Смета Внутр'!E1831</f>
        <v>190</v>
      </c>
      <c r="F1824" s="1042">
        <f>'Смета Внутр'!F1831</f>
        <v>0</v>
      </c>
      <c r="G1824" s="1042">
        <f t="shared" si="75"/>
        <v>190</v>
      </c>
      <c r="H1824" s="1042">
        <f>'Смета Внутр'!G1831</f>
        <v>0</v>
      </c>
      <c r="I1824" s="1042">
        <f>'Смета Внутр'!H1831</f>
        <v>0</v>
      </c>
      <c r="J1824" s="1058">
        <f>'Смета Внутр'!I1831</f>
        <v>0</v>
      </c>
    </row>
    <row r="1825" spans="2:10" ht="15" customHeight="1">
      <c r="B1825" s="1042" t="str">
        <f>'Смета Внутр'!B1832</f>
        <v>Крепеж для ондулина</v>
      </c>
      <c r="C1825" s="1042" t="str">
        <f>'Смета Внутр'!C1832</f>
        <v>шт</v>
      </c>
      <c r="D1825" s="1058">
        <f>'Смета Внутр'!D1832</f>
        <v>0</v>
      </c>
      <c r="E1825" s="1042">
        <f>'Смета Внутр'!E1832</f>
        <v>4.5</v>
      </c>
      <c r="F1825" s="1042">
        <f>'Смета Внутр'!F1832</f>
        <v>0</v>
      </c>
      <c r="G1825" s="1042">
        <f t="shared" si="75"/>
        <v>4.5</v>
      </c>
      <c r="H1825" s="1042">
        <f>'Смета Внутр'!G1832</f>
        <v>0</v>
      </c>
      <c r="I1825" s="1042">
        <f>'Смета Внутр'!H1832</f>
        <v>0</v>
      </c>
      <c r="J1825" s="1058">
        <f>'Смета Внутр'!I1832</f>
        <v>0</v>
      </c>
    </row>
    <row r="1826" spans="2:10" ht="15" customHeight="1">
      <c r="B1826" s="1042" t="str">
        <f>'Смета Внутр'!B1833</f>
        <v>нет</v>
      </c>
      <c r="C1826" s="1042" t="str">
        <f>'Смета Внутр'!C1833</f>
        <v>м2</v>
      </c>
      <c r="D1826" s="1058">
        <f>'Смета Внутр'!D1833</f>
        <v>21.412047449975443</v>
      </c>
      <c r="E1826" s="1042">
        <f>'Смета Внутр'!E1833</f>
        <v>0</v>
      </c>
      <c r="F1826" s="1042">
        <f>'Смета Внутр'!F1833</f>
        <v>0</v>
      </c>
      <c r="G1826" s="1042">
        <f t="shared" si="75"/>
        <v>0</v>
      </c>
      <c r="H1826" s="1042">
        <f>'Смета Внутр'!G1833</f>
        <v>0</v>
      </c>
      <c r="I1826" s="1042">
        <f>'Смета Внутр'!H1833</f>
        <v>0</v>
      </c>
      <c r="J1826" s="1058">
        <f>'Смета Внутр'!I1833</f>
        <v>0</v>
      </c>
    </row>
    <row r="1827" spans="2:10" ht="15" customHeight="1">
      <c r="B1827" s="1042" t="str">
        <f>'Смета Внутр'!B1834</f>
        <v>Рядовая черепица</v>
      </c>
      <c r="C1827" s="1042" t="str">
        <f>'Смета Внутр'!C1834</f>
        <v>м2</v>
      </c>
      <c r="D1827" s="1058">
        <f>'Смета Внутр'!D1834</f>
        <v>0</v>
      </c>
      <c r="E1827" s="1042">
        <f>'Смета Внутр'!E1834</f>
        <v>360</v>
      </c>
      <c r="F1827" s="1042">
        <f>'Смета Внутр'!F1834</f>
        <v>0</v>
      </c>
      <c r="G1827" s="1042">
        <f t="shared" si="75"/>
        <v>360</v>
      </c>
      <c r="H1827" s="1042">
        <f>'Смета Внутр'!G1834</f>
        <v>0</v>
      </c>
      <c r="I1827" s="1042">
        <f>'Смета Внутр'!H1834</f>
        <v>0</v>
      </c>
      <c r="J1827" s="1058">
        <f>'Смета Внутр'!I1834</f>
        <v>0</v>
      </c>
    </row>
    <row r="1828" spans="2:10" ht="15" customHeight="1">
      <c r="B1828" s="1042" t="str">
        <f>'Смета Внутр'!B1835</f>
        <v>Металл оцинк защита (карниз)</v>
      </c>
      <c r="C1828" s="1042" t="str">
        <f>'Смета Внутр'!C1835</f>
        <v>м.п.</v>
      </c>
      <c r="D1828" s="1058">
        <f>'Смета Внутр'!D1835</f>
        <v>0</v>
      </c>
      <c r="E1828" s="1042">
        <f>'Смета Внутр'!E1835</f>
        <v>200</v>
      </c>
      <c r="F1828" s="1042">
        <f>'Смета Внутр'!F1835</f>
        <v>0</v>
      </c>
      <c r="G1828" s="1042">
        <f t="shared" si="75"/>
        <v>200</v>
      </c>
      <c r="H1828" s="1042">
        <f>'Смета Внутр'!G1835</f>
        <v>0</v>
      </c>
      <c r="I1828" s="1042">
        <f>'Смета Внутр'!H1835</f>
        <v>0</v>
      </c>
      <c r="J1828" s="1058">
        <f>'Смета Внутр'!I1835</f>
        <v>0</v>
      </c>
    </row>
    <row r="1829" spans="2:10" ht="15" customHeight="1">
      <c r="B1829" s="1042" t="str">
        <f>'Смета Внутр'!B1836</f>
        <v>Подкладочный ковер</v>
      </c>
      <c r="C1829" s="1042" t="str">
        <f>'Смета Внутр'!C1836</f>
        <v>м.п.</v>
      </c>
      <c r="D1829" s="1058">
        <f>'Смета Внутр'!D1836</f>
        <v>0</v>
      </c>
      <c r="E1829" s="1042">
        <f>'Смета Внутр'!E1836</f>
        <v>220</v>
      </c>
      <c r="F1829" s="1042">
        <f>'Смета Внутр'!F1836</f>
        <v>0</v>
      </c>
      <c r="G1829" s="1042">
        <f t="shared" si="75"/>
        <v>220</v>
      </c>
      <c r="H1829" s="1042">
        <f>'Смета Внутр'!G1836</f>
        <v>0</v>
      </c>
      <c r="I1829" s="1042">
        <f>'Смета Внутр'!H1836</f>
        <v>0</v>
      </c>
      <c r="J1829" s="1058">
        <f>'Смета Внутр'!I1836</f>
        <v>0</v>
      </c>
    </row>
    <row r="1830" spans="2:10" ht="15" customHeight="1">
      <c r="B1830" s="1042" t="str">
        <f>'Смета Внутр'!B1837</f>
        <v>Карнизная самоклеющаяся черепица</v>
      </c>
      <c r="C1830" s="1042" t="str">
        <f>'Смета Внутр'!C1837</f>
        <v>м.п.</v>
      </c>
      <c r="D1830" s="1058">
        <f>'Смета Внутр'!D1837</f>
        <v>0</v>
      </c>
      <c r="E1830" s="1042">
        <f>'Смета Внутр'!E1837</f>
        <v>220</v>
      </c>
      <c r="F1830" s="1042">
        <f>'Смета Внутр'!F1837</f>
        <v>0</v>
      </c>
      <c r="G1830" s="1042">
        <f t="shared" si="75"/>
        <v>220</v>
      </c>
      <c r="H1830" s="1042">
        <f>'Смета Внутр'!G1837</f>
        <v>0</v>
      </c>
      <c r="I1830" s="1042">
        <f>'Смета Внутр'!H1837</f>
        <v>0</v>
      </c>
      <c r="J1830" s="1058">
        <f>'Смета Внутр'!I1837</f>
        <v>0</v>
      </c>
    </row>
    <row r="1831" spans="2:10" ht="15" customHeight="1">
      <c r="B1831" s="1042" t="str">
        <f>'Смета Внутр'!B1838</f>
        <v>Спец ковер ендова нижняя</v>
      </c>
      <c r="C1831" s="1042" t="str">
        <f>'Смета Внутр'!C1838</f>
        <v>м.п.</v>
      </c>
      <c r="D1831" s="1058">
        <f>'Смета Внутр'!D1838</f>
        <v>0</v>
      </c>
      <c r="E1831" s="1042">
        <f>'Смета Внутр'!E1838</f>
        <v>200</v>
      </c>
      <c r="F1831" s="1042">
        <f>'Смета Внутр'!F1838</f>
        <v>0</v>
      </c>
      <c r="G1831" s="1042">
        <f t="shared" si="75"/>
        <v>200</v>
      </c>
      <c r="H1831" s="1042">
        <f>'Смета Внутр'!G1838</f>
        <v>0</v>
      </c>
      <c r="I1831" s="1042">
        <f>'Смета Внутр'!H1838</f>
        <v>0</v>
      </c>
      <c r="J1831" s="1058">
        <f>'Смета Внутр'!I1838</f>
        <v>0</v>
      </c>
    </row>
    <row r="1832" spans="2:10" ht="15" customHeight="1">
      <c r="B1832" s="1042" t="str">
        <f>'Смета Внутр'!B1839</f>
        <v>Коньковой элемент</v>
      </c>
      <c r="C1832" s="1042" t="str">
        <f>'Смета Внутр'!C1839</f>
        <v>м.п.</v>
      </c>
      <c r="D1832" s="1058">
        <f>'Смета Внутр'!D1839</f>
        <v>0</v>
      </c>
      <c r="E1832" s="1042">
        <f>'Смета Внутр'!E1839</f>
        <v>250</v>
      </c>
      <c r="F1832" s="1042">
        <f>'Смета Внутр'!F1839</f>
        <v>0</v>
      </c>
      <c r="G1832" s="1042">
        <f t="shared" si="75"/>
        <v>250</v>
      </c>
      <c r="H1832" s="1042">
        <f>'Смета Внутр'!G1839</f>
        <v>0</v>
      </c>
      <c r="I1832" s="1042">
        <f>'Смета Внутр'!H1839</f>
        <v>0</v>
      </c>
      <c r="J1832" s="1058">
        <f>'Смета Внутр'!I1839</f>
        <v>0</v>
      </c>
    </row>
    <row r="1833" spans="2:10" ht="15" customHeight="1">
      <c r="B1833" s="1042" t="str">
        <f>'Смета Внутр'!B1840</f>
        <v>Планка премыкания</v>
      </c>
      <c r="C1833" s="1042" t="str">
        <f>'Смета Внутр'!C1840</f>
        <v>м.п.</v>
      </c>
      <c r="D1833" s="1058">
        <f>'Смета Внутр'!D1840</f>
        <v>0</v>
      </c>
      <c r="E1833" s="1042">
        <f>'Смета Внутр'!E1840</f>
        <v>200</v>
      </c>
      <c r="F1833" s="1042">
        <f>'Смета Внутр'!F1840</f>
        <v>0</v>
      </c>
      <c r="G1833" s="1042">
        <f t="shared" si="75"/>
        <v>200</v>
      </c>
      <c r="H1833" s="1042">
        <f>'Смета Внутр'!G1840</f>
        <v>0</v>
      </c>
      <c r="I1833" s="1042">
        <f>'Смета Внутр'!H1840</f>
        <v>0</v>
      </c>
      <c r="J1833" s="1058">
        <f>'Смета Внутр'!I1840</f>
        <v>0</v>
      </c>
    </row>
    <row r="1834" spans="2:10" ht="15" customHeight="1">
      <c r="B1834" s="1042" t="str">
        <f>'Смета Внутр'!B1841</f>
        <v>Гвозди для крепления подкладочного ковра</v>
      </c>
      <c r="C1834" s="1042" t="str">
        <f>'Смета Внутр'!C1841</f>
        <v>шт</v>
      </c>
      <c r="D1834" s="1058">
        <f>'Смета Внутр'!D1841</f>
        <v>0</v>
      </c>
      <c r="E1834" s="1042">
        <f>'Смета Внутр'!E1841</f>
        <v>1.2E-2</v>
      </c>
      <c r="F1834" s="1042">
        <f>'Смета Внутр'!F1841</f>
        <v>0</v>
      </c>
      <c r="G1834" s="1042">
        <f t="shared" si="75"/>
        <v>1.2E-2</v>
      </c>
      <c r="H1834" s="1042">
        <f>'Смета Внутр'!G1841</f>
        <v>0</v>
      </c>
      <c r="I1834" s="1042">
        <f>'Смета Внутр'!H1841</f>
        <v>0</v>
      </c>
      <c r="J1834" s="1058">
        <f>'Смета Внутр'!I1841</f>
        <v>0</v>
      </c>
    </row>
    <row r="1835" spans="2:10" ht="15" customHeight="1">
      <c r="B1835" s="1042" t="str">
        <f>'Смета Внутр'!B1842</f>
        <v>Гвозди для крепления черепицы</v>
      </c>
      <c r="C1835" s="1042" t="str">
        <f>'Смета Внутр'!C1842</f>
        <v>шт</v>
      </c>
      <c r="D1835" s="1058">
        <f>'Смета Внутр'!D1842</f>
        <v>0</v>
      </c>
      <c r="E1835" s="1042">
        <f>'Смета Внутр'!E1842</f>
        <v>0.25</v>
      </c>
      <c r="F1835" s="1042">
        <f>'Смета Внутр'!F1842</f>
        <v>0</v>
      </c>
      <c r="G1835" s="1042">
        <f t="shared" si="75"/>
        <v>0.25</v>
      </c>
      <c r="H1835" s="1042">
        <f>'Смета Внутр'!G1842</f>
        <v>0</v>
      </c>
      <c r="I1835" s="1042">
        <f>'Смета Внутр'!H1842</f>
        <v>0</v>
      </c>
      <c r="J1835" s="1058">
        <f>'Смета Внутр'!I1842</f>
        <v>0</v>
      </c>
    </row>
    <row r="1836" spans="2:10" ht="15" customHeight="1">
      <c r="B1836" s="1042" t="str">
        <f>'Смета Внутр'!B1843</f>
        <v>Клей для монтажа черепицы</v>
      </c>
      <c r="C1836" s="1042" t="str">
        <f>'Смета Внутр'!C1843</f>
        <v>кг</v>
      </c>
      <c r="D1836" s="1058">
        <f>'Смета Внутр'!D1843</f>
        <v>0</v>
      </c>
      <c r="E1836" s="1042">
        <f>'Смета Внутр'!E1843</f>
        <v>250</v>
      </c>
      <c r="F1836" s="1042">
        <f>'Смета Внутр'!F1843</f>
        <v>0</v>
      </c>
      <c r="G1836" s="1042">
        <f t="shared" si="75"/>
        <v>250</v>
      </c>
      <c r="H1836" s="1042">
        <f>'Смета Внутр'!G1843</f>
        <v>0</v>
      </c>
      <c r="I1836" s="1042">
        <f>'Смета Внутр'!H1843</f>
        <v>0</v>
      </c>
      <c r="J1836" s="1058">
        <f>'Смета Внутр'!I1843</f>
        <v>0</v>
      </c>
    </row>
    <row r="1837" spans="2:10" ht="15" customHeight="1">
      <c r="B1837" s="1042" t="str">
        <f>'Смета Внутр'!B1844</f>
        <v>желоб</v>
      </c>
      <c r="C1837" s="1042" t="str">
        <f>'Смета Внутр'!C1844</f>
        <v>м.п</v>
      </c>
      <c r="D1837" s="1058">
        <f>'Смета Внутр'!D1844</f>
        <v>7.6</v>
      </c>
      <c r="E1837" s="1042">
        <f>'Смета Внутр'!E1844</f>
        <v>300</v>
      </c>
      <c r="F1837" s="1042">
        <f>'Смета Внутр'!F1844</f>
        <v>0</v>
      </c>
      <c r="G1837" s="1042">
        <f t="shared" si="75"/>
        <v>300</v>
      </c>
      <c r="H1837" s="1042">
        <f>'Смета Внутр'!G1844</f>
        <v>2280</v>
      </c>
      <c r="I1837" s="1042">
        <f>'Смета Внутр'!H1844</f>
        <v>0</v>
      </c>
      <c r="J1837" s="1058">
        <f>'Смета Внутр'!I1844</f>
        <v>0</v>
      </c>
    </row>
    <row r="1838" spans="2:10" ht="15" customHeight="1">
      <c r="B1838" s="1042" t="str">
        <f>'Смета Внутр'!B1845</f>
        <v>отвод</v>
      </c>
      <c r="C1838" s="1042" t="str">
        <f>'Смета Внутр'!C1845</f>
        <v>шт</v>
      </c>
      <c r="D1838" s="1058">
        <f>'Смета Внутр'!D1845</f>
        <v>0</v>
      </c>
      <c r="E1838" s="1042">
        <f>'Смета Внутр'!E1845</f>
        <v>250</v>
      </c>
      <c r="F1838" s="1042">
        <f>'Смета Внутр'!F1845</f>
        <v>0</v>
      </c>
      <c r="G1838" s="1042">
        <f t="shared" si="75"/>
        <v>250</v>
      </c>
      <c r="H1838" s="1042">
        <f>'Смета Внутр'!G1845</f>
        <v>0</v>
      </c>
      <c r="I1838" s="1042">
        <f>'Смета Внутр'!H1845</f>
        <v>0</v>
      </c>
      <c r="J1838" s="1058">
        <f>'Смета Внутр'!I1845</f>
        <v>0</v>
      </c>
    </row>
    <row r="1839" spans="2:10" ht="15" customHeight="1">
      <c r="B1839" s="1042" t="str">
        <f>'Смета Внутр'!B1846</f>
        <v>труба водосточная</v>
      </c>
      <c r="C1839" s="1042" t="str">
        <f>'Смета Внутр'!C1846</f>
        <v>м.п.</v>
      </c>
      <c r="D1839" s="1058">
        <f>'Смета Внутр'!D1846</f>
        <v>3.7</v>
      </c>
      <c r="E1839" s="1042">
        <f>'Смета Внутр'!E1846</f>
        <v>300</v>
      </c>
      <c r="F1839" s="1042">
        <f>'Смета Внутр'!F1846</f>
        <v>0</v>
      </c>
      <c r="G1839" s="1042">
        <f t="shared" si="75"/>
        <v>300</v>
      </c>
      <c r="H1839" s="1042">
        <f>'Смета Внутр'!G1846</f>
        <v>1110</v>
      </c>
      <c r="I1839" s="1042">
        <f>'Смета Внутр'!H1846</f>
        <v>0</v>
      </c>
      <c r="J1839" s="1058">
        <f>'Смета Внутр'!I1846</f>
        <v>0</v>
      </c>
    </row>
    <row r="1840" spans="2:10" ht="15" customHeight="1">
      <c r="B1840" s="1042" t="str">
        <f>'Смета Внутр'!B1847</f>
        <v>заглушка для желоба</v>
      </c>
      <c r="C1840" s="1042" t="str">
        <f>'Смета Внутр'!C1847</f>
        <v>шт</v>
      </c>
      <c r="D1840" s="1058">
        <f>'Смета Внутр'!D1847</f>
        <v>0</v>
      </c>
      <c r="E1840" s="1042">
        <f>'Смета Внутр'!E1847</f>
        <v>190</v>
      </c>
      <c r="F1840" s="1042">
        <f>'Смета Внутр'!F1847</f>
        <v>0</v>
      </c>
      <c r="G1840" s="1042">
        <f t="shared" si="75"/>
        <v>190</v>
      </c>
      <c r="H1840" s="1042">
        <f>'Смета Внутр'!G1847</f>
        <v>0</v>
      </c>
      <c r="I1840" s="1042">
        <f>'Смета Внутр'!H1847</f>
        <v>0</v>
      </c>
      <c r="J1840" s="1058">
        <f>'Смета Внутр'!I1847</f>
        <v>0</v>
      </c>
    </row>
    <row r="1841" spans="2:10" ht="15" customHeight="1">
      <c r="B1841" s="1042" t="str">
        <f>'Смета Внутр'!B1848</f>
        <v>соеденитель для желоба</v>
      </c>
      <c r="C1841" s="1042" t="str">
        <f>'Смета Внутр'!C1848</f>
        <v>шт</v>
      </c>
      <c r="D1841" s="1058">
        <f>'Смета Внутр'!D1848</f>
        <v>0</v>
      </c>
      <c r="E1841" s="1042">
        <f>'Смета Внутр'!E1848</f>
        <v>180</v>
      </c>
      <c r="F1841" s="1042">
        <f>'Смета Внутр'!F1848</f>
        <v>0</v>
      </c>
      <c r="G1841" s="1042">
        <f t="shared" si="75"/>
        <v>180</v>
      </c>
      <c r="H1841" s="1042">
        <f>'Смета Внутр'!G1848</f>
        <v>0</v>
      </c>
      <c r="I1841" s="1042">
        <f>'Смета Внутр'!H1848</f>
        <v>0</v>
      </c>
      <c r="J1841" s="1058">
        <f>'Смета Внутр'!I1848</f>
        <v>0</v>
      </c>
    </row>
    <row r="1842" spans="2:10" ht="15" customHeight="1">
      <c r="B1842" s="1042" t="str">
        <f>'Смета Внутр'!B1849</f>
        <v>кронштейн для желоба</v>
      </c>
      <c r="C1842" s="1042" t="str">
        <f>'Смета Внутр'!C1849</f>
        <v>шт</v>
      </c>
      <c r="D1842" s="1058">
        <f>'Смета Внутр'!D1849</f>
        <v>0</v>
      </c>
      <c r="E1842" s="1042">
        <f>'Смета Внутр'!E1849</f>
        <v>130</v>
      </c>
      <c r="F1842" s="1042">
        <f>'Смета Внутр'!F1849</f>
        <v>0</v>
      </c>
      <c r="G1842" s="1042">
        <f t="shared" si="75"/>
        <v>130</v>
      </c>
      <c r="H1842" s="1042">
        <f>'Смета Внутр'!G1849</f>
        <v>0</v>
      </c>
      <c r="I1842" s="1042">
        <f>'Смета Внутр'!H1849</f>
        <v>0</v>
      </c>
      <c r="J1842" s="1058">
        <f>'Смета Внутр'!I1849</f>
        <v>0</v>
      </c>
    </row>
    <row r="1843" spans="2:10" ht="15" customHeight="1">
      <c r="B1843" s="1042" t="str">
        <f>'Смета Внутр'!B1850</f>
        <v>переход из желоба в трубу</v>
      </c>
      <c r="C1843" s="1042" t="str">
        <f>'Смета Внутр'!C1850</f>
        <v>шт</v>
      </c>
      <c r="D1843" s="1058">
        <f>'Смета Внутр'!D1850</f>
        <v>0</v>
      </c>
      <c r="E1843" s="1042">
        <f>'Смета Внутр'!E1850</f>
        <v>350</v>
      </c>
      <c r="F1843" s="1042">
        <f>'Смета Внутр'!F1850</f>
        <v>0</v>
      </c>
      <c r="G1843" s="1042">
        <f t="shared" si="75"/>
        <v>350</v>
      </c>
      <c r="H1843" s="1042">
        <f>'Смета Внутр'!G1850</f>
        <v>0</v>
      </c>
      <c r="I1843" s="1042">
        <f>'Смета Внутр'!H1850</f>
        <v>0</v>
      </c>
      <c r="J1843" s="1058">
        <f>'Смета Внутр'!I1850</f>
        <v>0</v>
      </c>
    </row>
    <row r="1844" spans="2:10" ht="15" customHeight="1">
      <c r="B1844" s="1042" t="str">
        <f>'Смета Внутр'!B1851</f>
        <v>лента дельта мульти бэнд</v>
      </c>
      <c r="C1844" s="1042" t="str">
        <f>'Смета Внутр'!C1851</f>
        <v>шт</v>
      </c>
      <c r="D1844" s="1058">
        <f>'Смета Внутр'!D1851</f>
        <v>0</v>
      </c>
      <c r="E1844" s="1042">
        <f>'Смета Внутр'!E1851</f>
        <v>1200</v>
      </c>
      <c r="F1844" s="1042">
        <f>'Смета Внутр'!F1851</f>
        <v>0</v>
      </c>
      <c r="G1844" s="1042">
        <f t="shared" si="75"/>
        <v>1200</v>
      </c>
      <c r="H1844" s="1042">
        <f>'Смета Внутр'!G1851</f>
        <v>0</v>
      </c>
      <c r="I1844" s="1042">
        <f>'Смета Внутр'!H1851</f>
        <v>0</v>
      </c>
      <c r="J1844" s="1058">
        <f>'Смета Внутр'!I1851</f>
        <v>0</v>
      </c>
    </row>
    <row r="1845" spans="2:10" ht="15" customHeight="1">
      <c r="B1845" s="1042" t="str">
        <f>'Смета Внутр'!B1852</f>
        <v>лента дельта sb-60</v>
      </c>
      <c r="C1845" s="1042" t="str">
        <f>'Смета Внутр'!C1852</f>
        <v>шт</v>
      </c>
      <c r="D1845" s="1058">
        <f>'Смета Внутр'!D1852</f>
        <v>0</v>
      </c>
      <c r="E1845" s="1042">
        <f>'Смета Внутр'!E1852</f>
        <v>1100</v>
      </c>
      <c r="F1845" s="1042">
        <f>'Смета Внутр'!F1852</f>
        <v>0</v>
      </c>
      <c r="G1845" s="1042">
        <f t="shared" si="75"/>
        <v>1100</v>
      </c>
      <c r="H1845" s="1042">
        <f>'Смета Внутр'!G1852</f>
        <v>0</v>
      </c>
      <c r="I1845" s="1042">
        <f>'Смета Внутр'!H1852</f>
        <v>0</v>
      </c>
      <c r="J1845" s="1058">
        <f>'Смета Внутр'!I1852</f>
        <v>0</v>
      </c>
    </row>
    <row r="1846" spans="2:10" ht="15" customHeight="1">
      <c r="B1846" s="1042" t="str">
        <f>'Смета Внутр'!B1853</f>
        <v>Кровельный саморез</v>
      </c>
      <c r="C1846" s="1042" t="str">
        <f>'Смета Внутр'!C1853</f>
        <v>шт</v>
      </c>
      <c r="D1846" s="1058">
        <f>'Смета Внутр'!D1853</f>
        <v>0</v>
      </c>
      <c r="E1846" s="1042">
        <f>'Смета Внутр'!E1853</f>
        <v>2</v>
      </c>
      <c r="F1846" s="1042">
        <f>'Смета Внутр'!F1853</f>
        <v>0</v>
      </c>
      <c r="G1846" s="1042">
        <f t="shared" si="75"/>
        <v>2</v>
      </c>
      <c r="H1846" s="1042">
        <f>'Смета Внутр'!G1853</f>
        <v>0</v>
      </c>
      <c r="I1846" s="1042">
        <f>'Смета Внутр'!H1853</f>
        <v>0</v>
      </c>
      <c r="J1846" s="1058">
        <f>'Смета Внутр'!I1853</f>
        <v>0</v>
      </c>
    </row>
    <row r="1847" spans="2:10" ht="15" customHeight="1">
      <c r="B1847" s="1042" t="str">
        <f>'Смета Внутр'!B1854</f>
        <v xml:space="preserve">Гвозди ершоные 3,4 x 60            </v>
      </c>
      <c r="C1847" s="1042" t="str">
        <f>'Смета Внутр'!C1854</f>
        <v>кг</v>
      </c>
      <c r="D1847" s="1058">
        <f>'Смета Внутр'!D1854</f>
        <v>0</v>
      </c>
      <c r="E1847" s="1042">
        <f>'Смета Внутр'!E1854</f>
        <v>75.510000000000005</v>
      </c>
      <c r="F1847" s="1042">
        <f>'Смета Внутр'!F1854</f>
        <v>0</v>
      </c>
      <c r="G1847" s="1042">
        <f t="shared" si="75"/>
        <v>75.510000000000005</v>
      </c>
      <c r="H1847" s="1042">
        <f>'Смета Внутр'!G1854</f>
        <v>0</v>
      </c>
      <c r="I1847" s="1042">
        <f>'Смета Внутр'!H1854</f>
        <v>0</v>
      </c>
      <c r="J1847" s="1058">
        <f>'Смета Внутр'!I1854</f>
        <v>0</v>
      </c>
    </row>
    <row r="1848" spans="2:10" ht="15" customHeight="1">
      <c r="B1848" s="1042" t="str">
        <f>'Смета Внутр'!B1855</f>
        <v xml:space="preserve">Гвозди ершоные 2,8 х 90            </v>
      </c>
      <c r="C1848" s="1042" t="str">
        <f>'Смета Внутр'!C1855</f>
        <v>шт</v>
      </c>
      <c r="D1848" s="1058">
        <f>'Смета Внутр'!D1855</f>
        <v>0</v>
      </c>
      <c r="E1848" s="1042">
        <f>'Смета Внутр'!E1855</f>
        <v>76.489999999999995</v>
      </c>
      <c r="F1848" s="1042">
        <f>'Смета Внутр'!F1855</f>
        <v>0</v>
      </c>
      <c r="G1848" s="1042">
        <f t="shared" si="75"/>
        <v>76.489999999999995</v>
      </c>
      <c r="H1848" s="1042">
        <f>'Смета Внутр'!G1855</f>
        <v>0</v>
      </c>
      <c r="I1848" s="1042">
        <f>'Смета Внутр'!H1855</f>
        <v>0</v>
      </c>
      <c r="J1848" s="1058">
        <f>'Смета Внутр'!I1855</f>
        <v>0</v>
      </c>
    </row>
    <row r="1849" spans="2:10" ht="15" customHeight="1">
      <c r="B1849" s="1042" t="str">
        <f>'Смета Внутр'!B1856</f>
        <v xml:space="preserve">Пластина соеденительная 100х240х2           </v>
      </c>
      <c r="C1849" s="1042" t="str">
        <f>'Смета Внутр'!C1856</f>
        <v>шт</v>
      </c>
      <c r="D1849" s="1058">
        <f>'Смета Внутр'!D1856</f>
        <v>0</v>
      </c>
      <c r="E1849" s="1042">
        <f>'Смета Внутр'!E1856</f>
        <v>31.54</v>
      </c>
      <c r="F1849" s="1042">
        <f>'Смета Внутр'!F1856</f>
        <v>0</v>
      </c>
      <c r="G1849" s="1042">
        <f t="shared" si="75"/>
        <v>31.54</v>
      </c>
      <c r="H1849" s="1042">
        <f>'Смета Внутр'!G1856</f>
        <v>0</v>
      </c>
      <c r="I1849" s="1042">
        <f>'Смета Внутр'!H1856</f>
        <v>0</v>
      </c>
      <c r="J1849" s="1058">
        <f>'Смета Внутр'!I1856</f>
        <v>0</v>
      </c>
    </row>
    <row r="1850" spans="2:10" ht="15" customHeight="1">
      <c r="B1850" s="1042" t="str">
        <f>'Смета Внутр'!B1857</f>
        <v xml:space="preserve">Уголок усиленный 90х70х55х2,5        </v>
      </c>
      <c r="C1850" s="1042" t="str">
        <f>'Смета Внутр'!C1857</f>
        <v>шт</v>
      </c>
      <c r="D1850" s="1058">
        <f>'Смета Внутр'!D1857</f>
        <v>0</v>
      </c>
      <c r="E1850" s="1042">
        <f>'Смета Внутр'!E1857</f>
        <v>30</v>
      </c>
      <c r="F1850" s="1042">
        <f>'Смета Внутр'!F1857</f>
        <v>0</v>
      </c>
      <c r="G1850" s="1042">
        <f t="shared" si="75"/>
        <v>30</v>
      </c>
      <c r="H1850" s="1042">
        <f>'Смета Внутр'!G1857</f>
        <v>0</v>
      </c>
      <c r="I1850" s="1042">
        <f>'Смета Внутр'!H1857</f>
        <v>0</v>
      </c>
      <c r="J1850" s="1058">
        <f>'Смета Внутр'!I1857</f>
        <v>0</v>
      </c>
    </row>
    <row r="1851" spans="2:10">
      <c r="B1851" s="3330" t="str">
        <f>'Смета Внутр'!B1858</f>
        <v>Итого материалы</v>
      </c>
      <c r="C1851" s="3330"/>
      <c r="D1851" s="3330"/>
      <c r="E1851" s="3330"/>
      <c r="F1851" s="3330"/>
      <c r="G1851" s="3330"/>
      <c r="H1851" s="1042">
        <f>'Смета Внутр'!G1858</f>
        <v>0</v>
      </c>
      <c r="I1851" s="1042">
        <f>'Смета Внутр'!H1858</f>
        <v>0</v>
      </c>
      <c r="J1851" s="1058">
        <f>'Смета Внутр'!I1858</f>
        <v>0</v>
      </c>
    </row>
    <row r="1852" spans="2:10" ht="15" customHeight="1">
      <c r="B1852" s="3002" t="str">
        <f>'Смета Внутр'!B1859</f>
        <v>Работы</v>
      </c>
      <c r="D1852" s="1167"/>
      <c r="H1852">
        <f>'Смета Внутр'!G1859</f>
        <v>0</v>
      </c>
      <c r="I1852">
        <f>'Смета Внутр'!H1859</f>
        <v>0</v>
      </c>
      <c r="J1852" s="3027">
        <f>'Смета Внутр'!I1859</f>
        <v>0</v>
      </c>
    </row>
    <row r="1853" spans="2:10" ht="15" customHeight="1">
      <c r="B1853" s="1042" t="str">
        <f>'Смета Внутр'!B1860</f>
        <v>монтаж стропил</v>
      </c>
      <c r="C1853" s="1042" t="str">
        <f>'Смета Внутр'!C1860</f>
        <v>м2</v>
      </c>
      <c r="D1853" s="1058">
        <f>'Смета Внутр'!D1860</f>
        <v>0</v>
      </c>
      <c r="E1853" s="1042">
        <f>'Смета Внутр'!E1860</f>
        <v>450</v>
      </c>
      <c r="F1853" s="1042">
        <f>'Смета Внутр'!F1860</f>
        <v>0</v>
      </c>
      <c r="G1853" s="1042">
        <f t="shared" ref="G1853:G1865" si="76">IF(E1853&gt;F1853,E1853,F1853)</f>
        <v>450</v>
      </c>
      <c r="H1853" s="1042">
        <f>'Смета Внутр'!G1860</f>
        <v>0</v>
      </c>
      <c r="I1853" s="1042">
        <f>'Смета Внутр'!H1860</f>
        <v>0</v>
      </c>
      <c r="J1853" s="1058">
        <f>'Смета Внутр'!I1860</f>
        <v>0</v>
      </c>
    </row>
    <row r="1854" spans="2:10" ht="15" customHeight="1">
      <c r="B1854" s="1042" t="str">
        <f>'Смета Внутр'!B1861</f>
        <v>обрешетка</v>
      </c>
      <c r="C1854" s="1042" t="str">
        <f>'Смета Внутр'!C1861</f>
        <v>м2</v>
      </c>
      <c r="D1854" s="1058">
        <f>'Смета Внутр'!D1861</f>
        <v>0</v>
      </c>
      <c r="E1854" s="1042">
        <f>'Смета Внутр'!E1861</f>
        <v>100</v>
      </c>
      <c r="F1854" s="1042">
        <f>'Смета Внутр'!F1861</f>
        <v>0</v>
      </c>
      <c r="G1854" s="1042">
        <f t="shared" si="76"/>
        <v>100</v>
      </c>
      <c r="H1854" s="1042">
        <f>'Смета Внутр'!G1861</f>
        <v>0</v>
      </c>
      <c r="I1854" s="1042">
        <f>'Смета Внутр'!H1861</f>
        <v>0</v>
      </c>
      <c r="J1854" s="1058">
        <f>'Смета Внутр'!I1861</f>
        <v>0</v>
      </c>
    </row>
    <row r="1855" spans="2:10" ht="15" customHeight="1">
      <c r="B1855" s="1042" t="str">
        <f>'Смета Внутр'!B1862</f>
        <v>контробеш</v>
      </c>
      <c r="C1855" s="1042" t="str">
        <f>'Смета Внутр'!C1862</f>
        <v>м2</v>
      </c>
      <c r="D1855" s="1058">
        <f>'Смета Внутр'!D1862</f>
        <v>0</v>
      </c>
      <c r="E1855" s="1042">
        <f>'Смета Внутр'!E1862</f>
        <v>100</v>
      </c>
      <c r="F1855" s="1042">
        <f>'Смета Внутр'!F1862</f>
        <v>0</v>
      </c>
      <c r="G1855" s="1042">
        <f t="shared" si="76"/>
        <v>100</v>
      </c>
      <c r="H1855" s="1042">
        <f>'Смета Внутр'!G1862</f>
        <v>0</v>
      </c>
      <c r="I1855" s="1042">
        <f>'Смета Внутр'!H1862</f>
        <v>0</v>
      </c>
      <c r="J1855" s="1058">
        <f>'Смета Внутр'!I1862</f>
        <v>0</v>
      </c>
    </row>
    <row r="1856" spans="2:10" ht="15" customHeight="1">
      <c r="B1856" s="1042" t="str">
        <f>'Смета Внутр'!B1863</f>
        <v>мембрана</v>
      </c>
      <c r="C1856" s="1042" t="str">
        <f>'Смета Внутр'!C1863</f>
        <v>м2</v>
      </c>
      <c r="D1856" s="1058">
        <f>'Смета Внутр'!D1863</f>
        <v>0</v>
      </c>
      <c r="E1856" s="1042">
        <f>'Смета Внутр'!E1863</f>
        <v>100</v>
      </c>
      <c r="F1856" s="1042">
        <f>'Смета Внутр'!F1863</f>
        <v>0</v>
      </c>
      <c r="G1856" s="1042">
        <f t="shared" si="76"/>
        <v>100</v>
      </c>
      <c r="H1856" s="1042">
        <f>'Смета Внутр'!G1863</f>
        <v>0</v>
      </c>
      <c r="I1856" s="1042">
        <f>'Смета Внутр'!H1863</f>
        <v>0</v>
      </c>
      <c r="J1856" s="1058">
        <f>'Смета Внутр'!I1863</f>
        <v>0</v>
      </c>
    </row>
    <row r="1857" spans="2:10" ht="15" customHeight="1">
      <c r="B1857" s="1042" t="str">
        <f>'Смета Внутр'!B1864</f>
        <v>Монтаж металлочерепицы</v>
      </c>
      <c r="C1857" s="1042" t="str">
        <f>'Смета Внутр'!C1864</f>
        <v>м2</v>
      </c>
      <c r="D1857" s="1058">
        <f>'Смета Внутр'!D1864</f>
        <v>0</v>
      </c>
      <c r="E1857" s="1042">
        <f>'Смета Внутр'!E1864</f>
        <v>300</v>
      </c>
      <c r="F1857" s="1042">
        <f>'Смета Внутр'!F1864</f>
        <v>0</v>
      </c>
      <c r="G1857" s="1042">
        <f t="shared" si="76"/>
        <v>300</v>
      </c>
      <c r="H1857" s="1042">
        <f>'Смета Внутр'!G1864</f>
        <v>0</v>
      </c>
      <c r="I1857" s="1042">
        <f>'Смета Внутр'!H1864</f>
        <v>0</v>
      </c>
      <c r="J1857" s="1058">
        <f>'Смета Внутр'!I1864</f>
        <v>0</v>
      </c>
    </row>
    <row r="1858" spans="2:10" ht="15" customHeight="1">
      <c r="B1858" s="1042" t="str">
        <f>'Смета Внутр'!B1865</f>
        <v>карнизная планка</v>
      </c>
      <c r="C1858" s="1042" t="str">
        <f>'Смета Внутр'!C1865</f>
        <v>м2</v>
      </c>
      <c r="D1858" s="1058">
        <f>'Смета Внутр'!D1865</f>
        <v>0</v>
      </c>
      <c r="E1858" s="1042">
        <f>'Смета Внутр'!E1865</f>
        <v>100</v>
      </c>
      <c r="F1858" s="1042">
        <f>'Смета Внутр'!F1865</f>
        <v>0</v>
      </c>
      <c r="G1858" s="1042">
        <f t="shared" si="76"/>
        <v>100</v>
      </c>
      <c r="H1858" s="1042">
        <f>'Смета Внутр'!G1865</f>
        <v>0</v>
      </c>
      <c r="I1858" s="1042">
        <f>'Смета Внутр'!H1865</f>
        <v>0</v>
      </c>
      <c r="J1858" s="1058">
        <f>'Смета Внутр'!I1865</f>
        <v>0</v>
      </c>
    </row>
    <row r="1859" spans="2:10" ht="15" customHeight="1">
      <c r="B1859" s="1042" t="str">
        <f>'Смета Внутр'!B1866</f>
        <v>торцевая планка</v>
      </c>
      <c r="C1859" s="1042" t="str">
        <f>'Смета Внутр'!C1866</f>
        <v>м2</v>
      </c>
      <c r="D1859" s="1058">
        <f>'Смета Внутр'!D1866</f>
        <v>0</v>
      </c>
      <c r="E1859" s="1042">
        <f>'Смета Внутр'!E1866</f>
        <v>100</v>
      </c>
      <c r="F1859" s="1042">
        <f>'Смета Внутр'!F1866</f>
        <v>0</v>
      </c>
      <c r="G1859" s="1042">
        <f t="shared" si="76"/>
        <v>100</v>
      </c>
      <c r="H1859" s="1042">
        <f>'Смета Внутр'!G1866</f>
        <v>0</v>
      </c>
      <c r="I1859" s="1042">
        <f>'Смета Внутр'!H1866</f>
        <v>0</v>
      </c>
      <c r="J1859" s="1058">
        <f>'Смета Внутр'!I1866</f>
        <v>0</v>
      </c>
    </row>
    <row r="1860" spans="2:10" ht="15" customHeight="1">
      <c r="B1860" s="1042" t="str">
        <f>'Смета Внутр'!B1867</f>
        <v>желоб водосточный</v>
      </c>
      <c r="C1860" s="1042" t="str">
        <f>'Смета Внутр'!C1867</f>
        <v>м.п.</v>
      </c>
      <c r="D1860" s="1058">
        <f>'Смета Внутр'!D1867</f>
        <v>0</v>
      </c>
      <c r="E1860" s="1042">
        <f>'Смета Внутр'!E1867</f>
        <v>300</v>
      </c>
      <c r="F1860" s="1042">
        <f>'Смета Внутр'!F1867</f>
        <v>0</v>
      </c>
      <c r="G1860" s="1042">
        <f t="shared" si="76"/>
        <v>300</v>
      </c>
      <c r="H1860" s="1042">
        <f>'Смета Внутр'!G1867</f>
        <v>0</v>
      </c>
      <c r="I1860" s="1042">
        <f>'Смета Внутр'!H1867</f>
        <v>0</v>
      </c>
      <c r="J1860" s="1058">
        <f>'Смета Внутр'!I1867</f>
        <v>0</v>
      </c>
    </row>
    <row r="1861" spans="2:10" ht="15" customHeight="1">
      <c r="B1861" s="1042" t="str">
        <f>'Смета Внутр'!B1868</f>
        <v>труба водосточная</v>
      </c>
      <c r="C1861" s="1042" t="str">
        <f>'Смета Внутр'!C1868</f>
        <v>м.п.</v>
      </c>
      <c r="D1861" s="1058">
        <f>'Смета Внутр'!D1868</f>
        <v>0</v>
      </c>
      <c r="E1861" s="1042">
        <f>'Смета Внутр'!E1868</f>
        <v>300</v>
      </c>
      <c r="F1861" s="1042">
        <f>'Смета Внутр'!F1868</f>
        <v>0</v>
      </c>
      <c r="G1861" s="1042">
        <f t="shared" si="76"/>
        <v>300</v>
      </c>
      <c r="H1861" s="1042">
        <f>'Смета Внутр'!G1868</f>
        <v>0</v>
      </c>
      <c r="I1861" s="1042">
        <f>'Смета Внутр'!H1868</f>
        <v>0</v>
      </c>
      <c r="J1861" s="1058">
        <f>'Смета Внутр'!I1868</f>
        <v>0</v>
      </c>
    </row>
    <row r="1862" spans="2:10" ht="15" customHeight="1">
      <c r="B1862" s="1042" t="str">
        <f>'Смета Внутр'!B1869</f>
        <v>Монтаж ондулина</v>
      </c>
      <c r="C1862" s="1042" t="str">
        <f>'Смета Внутр'!C1869</f>
        <v>м2</v>
      </c>
      <c r="D1862" s="1058">
        <f>'Смета Внутр'!D1869</f>
        <v>0</v>
      </c>
      <c r="E1862" s="1042">
        <f>'Смета Внутр'!E1869</f>
        <v>300</v>
      </c>
      <c r="F1862" s="1042">
        <f>'Смета Внутр'!F1869</f>
        <v>0</v>
      </c>
      <c r="G1862" s="1042">
        <f t="shared" si="76"/>
        <v>300</v>
      </c>
      <c r="H1862" s="1042">
        <f>'Смета Внутр'!G1869</f>
        <v>0</v>
      </c>
      <c r="I1862" s="1042">
        <f>'Смета Внутр'!H1869</f>
        <v>0</v>
      </c>
      <c r="J1862" s="1058">
        <f>'Смета Внутр'!I1869</f>
        <v>0</v>
      </c>
    </row>
    <row r="1863" spans="2:10" ht="15" customHeight="1">
      <c r="B1863" s="1042" t="str">
        <f>'Смета Внутр'!B1870</f>
        <v>Монтаж фанеры/osb</v>
      </c>
      <c r="C1863" s="1042" t="str">
        <f>'Смета Внутр'!C1870</f>
        <v>м2</v>
      </c>
      <c r="D1863" s="1058">
        <f>'Смета Внутр'!D1870</f>
        <v>0</v>
      </c>
      <c r="E1863" s="1042">
        <f>'Смета Внутр'!E1870</f>
        <v>200</v>
      </c>
      <c r="F1863" s="1042">
        <f>'Смета Внутр'!F1870</f>
        <v>0</v>
      </c>
      <c r="G1863" s="1042">
        <f t="shared" si="76"/>
        <v>200</v>
      </c>
      <c r="H1863" s="1042">
        <f>'Смета Внутр'!G1870</f>
        <v>0</v>
      </c>
      <c r="I1863" s="1042">
        <f>'Смета Внутр'!H1870</f>
        <v>0</v>
      </c>
      <c r="J1863" s="1058">
        <f>'Смета Внутр'!I1870</f>
        <v>0</v>
      </c>
    </row>
    <row r="1864" spans="2:10" ht="15" customHeight="1">
      <c r="B1864" s="1042" t="str">
        <f>'Смета Внутр'!B1871</f>
        <v>монтаж подкладочного ковра</v>
      </c>
      <c r="C1864" s="1042" t="str">
        <f>'Смета Внутр'!C1871</f>
        <v>м2</v>
      </c>
      <c r="D1864" s="1058">
        <f>'Смета Внутр'!D1871</f>
        <v>0</v>
      </c>
      <c r="E1864" s="1042">
        <f>'Смета Внутр'!E1871</f>
        <v>150</v>
      </c>
      <c r="F1864" s="1042">
        <f>'Смета Внутр'!F1871</f>
        <v>0</v>
      </c>
      <c r="G1864" s="1042">
        <f t="shared" si="76"/>
        <v>150</v>
      </c>
      <c r="H1864" s="1042">
        <f>'Смета Внутр'!G1871</f>
        <v>0</v>
      </c>
      <c r="I1864" s="1042">
        <f>'Смета Внутр'!H1871</f>
        <v>0</v>
      </c>
      <c r="J1864" s="1058">
        <f>'Смета Внутр'!I1871</f>
        <v>0</v>
      </c>
    </row>
    <row r="1865" spans="2:10" ht="15" customHeight="1">
      <c r="B1865" s="1042" t="str">
        <f>'Смета Внутр'!B1872</f>
        <v>Монтаж мягкой кровли</v>
      </c>
      <c r="C1865" s="1042" t="str">
        <f>'Смета Внутр'!C1872</f>
        <v>м2</v>
      </c>
      <c r="D1865" s="1058">
        <f>'Смета Внутр'!D1872</f>
        <v>0</v>
      </c>
      <c r="E1865" s="1042">
        <f>'Смета Внутр'!E1872</f>
        <v>350</v>
      </c>
      <c r="F1865" s="1042">
        <f>'Смета Внутр'!F1872</f>
        <v>0</v>
      </c>
      <c r="G1865" s="1042">
        <f t="shared" si="76"/>
        <v>350</v>
      </c>
      <c r="H1865" s="1042">
        <f>'Смета Внутр'!G1872</f>
        <v>0</v>
      </c>
      <c r="I1865" s="1042">
        <f>'Смета Внутр'!H1872</f>
        <v>0</v>
      </c>
      <c r="J1865" s="1058">
        <f>'Смета Внутр'!I1872</f>
        <v>0</v>
      </c>
    </row>
    <row r="1866" spans="2:10" ht="15" customHeight="1">
      <c r="B1866" s="3330" t="str">
        <f>'Смета Внутр'!B1873</f>
        <v>Итого работы</v>
      </c>
      <c r="C1866" s="3330"/>
      <c r="D1866" s="3330"/>
      <c r="E1866" s="3330"/>
      <c r="F1866" s="3330"/>
      <c r="G1866" s="3330"/>
      <c r="H1866" s="1042">
        <f>'Смета Внутр'!G1873</f>
        <v>0</v>
      </c>
      <c r="I1866" s="1042">
        <f>'Смета Внутр'!H1873</f>
        <v>0</v>
      </c>
      <c r="J1866" s="1058">
        <f>'Смета Внутр'!I1873</f>
        <v>0</v>
      </c>
    </row>
    <row r="1867" spans="2:10" ht="15" customHeight="1">
      <c r="B1867" s="3313" t="str">
        <f>'Смета Внутр'!B1874</f>
        <v>Кровля на крыльцо</v>
      </c>
      <c r="C1867" s="3313"/>
      <c r="D1867" s="3313"/>
      <c r="H1867">
        <f>'Смета Внутр'!G1874</f>
        <v>0</v>
      </c>
      <c r="I1867">
        <f>'Смета Внутр'!H1874</f>
        <v>0</v>
      </c>
      <c r="J1867" s="3011">
        <f>'Смета Внутр'!I1874</f>
        <v>0</v>
      </c>
    </row>
    <row r="1868" spans="2:10" ht="15" customHeight="1">
      <c r="B1868" s="3002" t="str">
        <f>'Смета Внутр'!B1875</f>
        <v>Материалы</v>
      </c>
      <c r="H1868">
        <f>'Смета Внутр'!G1875</f>
        <v>0</v>
      </c>
      <c r="I1868">
        <f>'Смета Внутр'!H1875</f>
        <v>0</v>
      </c>
      <c r="J1868" s="3011">
        <f>'Смета Внутр'!I1875</f>
        <v>0</v>
      </c>
    </row>
    <row r="1869" spans="2:10" ht="15" customHeight="1">
      <c r="B1869" s="3007" t="str">
        <f>'Смета Внутр'!B1876</f>
        <v>Доска сухая, 150*50мм</v>
      </c>
      <c r="C1869" s="3007" t="str">
        <f>'Смета Внутр'!C1876</f>
        <v>м3</v>
      </c>
      <c r="D1869" s="3014">
        <f>'Смета Внутр'!D1876</f>
        <v>0.15829097259833563</v>
      </c>
      <c r="E1869" s="1042">
        <f>'Смета Внутр'!E1876</f>
        <v>9000</v>
      </c>
      <c r="F1869" s="1042">
        <f>'Смета Внутр'!F1876</f>
        <v>0</v>
      </c>
      <c r="G1869" s="3007">
        <f t="shared" ref="G1869:G1905" si="77">IF(E1869&gt;F1869,E1869,F1869)</f>
        <v>9000</v>
      </c>
      <c r="H1869" s="1042">
        <f>'Смета Внутр'!G1876</f>
        <v>1424.6187533850207</v>
      </c>
      <c r="I1869" s="1042">
        <f>'Смета Внутр'!H1876</f>
        <v>0</v>
      </c>
      <c r="J1869" s="3014">
        <f>'Смета Внутр'!I1876</f>
        <v>0</v>
      </c>
    </row>
    <row r="1870" spans="2:10" ht="15" customHeight="1">
      <c r="B1870" s="3007" t="str">
        <f>'Смета Внутр'!B1877</f>
        <v>Сосна влаж,100*25мм</v>
      </c>
      <c r="C1870" s="3007" t="str">
        <f>'Смета Внутр'!C1877</f>
        <v>м3</v>
      </c>
      <c r="D1870" s="3014">
        <f>'Смета Внутр'!D1877</f>
        <v>4.6188683504841059E-2</v>
      </c>
      <c r="E1870" s="1042">
        <f>'Смета Внутр'!E1877</f>
        <v>6500</v>
      </c>
      <c r="F1870" s="1042">
        <f>'Смета Внутр'!F1877</f>
        <v>0</v>
      </c>
      <c r="G1870" s="3007">
        <f t="shared" si="77"/>
        <v>6500</v>
      </c>
      <c r="H1870" s="1042">
        <f>'Смета Внутр'!G1877</f>
        <v>300.22644278146686</v>
      </c>
      <c r="I1870" s="1042">
        <f>'Смета Внутр'!H1877</f>
        <v>0</v>
      </c>
      <c r="J1870" s="3014">
        <f>'Смета Внутр'!I1877</f>
        <v>0</v>
      </c>
    </row>
    <row r="1871" spans="2:10" ht="15" customHeight="1">
      <c r="B1871" s="3007" t="str">
        <f>'Смета Внутр'!B1878</f>
        <v>нет</v>
      </c>
      <c r="C1871" s="3007" t="str">
        <f>'Смета Внутр'!C1878</f>
        <v>м2</v>
      </c>
      <c r="D1871" s="3014">
        <f>'Смета Внутр'!D1878</f>
        <v>0</v>
      </c>
      <c r="E1871" s="1042">
        <f>'Смета Внутр'!E1878</f>
        <v>0</v>
      </c>
      <c r="F1871" s="1042">
        <f>'Смета Внутр'!F1878</f>
        <v>0</v>
      </c>
      <c r="G1871" s="3007">
        <f t="shared" si="77"/>
        <v>0</v>
      </c>
      <c r="H1871" s="1042">
        <f>'Смета Внутр'!G1878</f>
        <v>0</v>
      </c>
      <c r="I1871" s="1042">
        <f>'Смета Внутр'!H1878</f>
        <v>0</v>
      </c>
      <c r="J1871" s="3014">
        <f>'Смета Внутр'!I1878</f>
        <v>0</v>
      </c>
    </row>
    <row r="1872" spans="2:10" ht="15" customHeight="1">
      <c r="B1872" s="1042" t="str">
        <f>'Смета Внутр'!B1879</f>
        <v>нет</v>
      </c>
      <c r="C1872" s="1042" t="str">
        <f>'Смета Внутр'!C1879</f>
        <v>м2</v>
      </c>
      <c r="D1872" s="1058">
        <f>'Смета Внутр'!D1879</f>
        <v>7.390189360774567</v>
      </c>
      <c r="E1872" s="1042">
        <f>'Смета Внутр'!E1879</f>
        <v>0</v>
      </c>
      <c r="F1872" s="1042">
        <f>'Смета Внутр'!F1879</f>
        <v>0</v>
      </c>
      <c r="G1872" s="1042">
        <f t="shared" si="77"/>
        <v>0</v>
      </c>
      <c r="H1872" s="1042">
        <f>'Смета Внутр'!G1879</f>
        <v>0</v>
      </c>
      <c r="I1872" s="1042">
        <f>'Смета Внутр'!H1879</f>
        <v>0</v>
      </c>
      <c r="J1872" s="1058">
        <f>'Смета Внутр'!I1879</f>
        <v>0</v>
      </c>
    </row>
    <row r="1873" spans="2:10" ht="15" customHeight="1">
      <c r="B1873" s="3007" t="str">
        <f>'Смета Внутр'!B1880</f>
        <v>Мембраны Tyvek Solid</v>
      </c>
      <c r="C1873" s="3007" t="str">
        <f>'Смета Внутр'!C1880</f>
        <v>м2</v>
      </c>
      <c r="D1873" s="3014">
        <f>'Смета Внутр'!D1880</f>
        <v>7.390189360774567</v>
      </c>
      <c r="E1873" s="1042">
        <f>'Смета Внутр'!E1880</f>
        <v>99</v>
      </c>
      <c r="F1873" s="1042">
        <f>'Смета Внутр'!F1880</f>
        <v>0</v>
      </c>
      <c r="G1873" s="3007">
        <f t="shared" si="77"/>
        <v>99</v>
      </c>
      <c r="H1873" s="1042">
        <f>'Смета Внутр'!G1880</f>
        <v>731.62874671668214</v>
      </c>
      <c r="I1873" s="1042">
        <f>'Смета Внутр'!H1880</f>
        <v>0</v>
      </c>
      <c r="J1873" s="3014">
        <f>'Смета Внутр'!I1880</f>
        <v>0</v>
      </c>
    </row>
    <row r="1874" spans="2:10" ht="15" customHeight="1">
      <c r="B1874" s="3007" t="str">
        <f>'Смета Внутр'!B1881</f>
        <v>металлочерепица</v>
      </c>
      <c r="C1874" s="3007" t="str">
        <f>'Смета Внутр'!C1881</f>
        <v>м2</v>
      </c>
      <c r="D1874" s="3014">
        <f>'Смета Внутр'!D1881</f>
        <v>7.390189360774567</v>
      </c>
      <c r="E1874" s="1042">
        <f>'Смета Внутр'!E1881</f>
        <v>250</v>
      </c>
      <c r="F1874" s="1042">
        <f>'Смета Внутр'!F1881</f>
        <v>0</v>
      </c>
      <c r="G1874" s="3007">
        <f t="shared" si="77"/>
        <v>250</v>
      </c>
      <c r="H1874" s="1042">
        <f>'Смета Внутр'!G1881</f>
        <v>1847.5473401936417</v>
      </c>
      <c r="I1874" s="1042">
        <f>'Смета Внутр'!H1881</f>
        <v>0</v>
      </c>
      <c r="J1874" s="3014">
        <f>'Смета Внутр'!I1881</f>
        <v>0</v>
      </c>
    </row>
    <row r="1875" spans="2:10" ht="15" customHeight="1">
      <c r="B1875" s="3007" t="str">
        <f>'Смета Внутр'!B1882</f>
        <v>карнизная планка</v>
      </c>
      <c r="C1875" s="3007" t="str">
        <f>'Смета Внутр'!C1882</f>
        <v>м.п.</v>
      </c>
      <c r="D1875" s="3014">
        <f>'Смета Внутр'!D1882</f>
        <v>4.18</v>
      </c>
      <c r="E1875" s="1042">
        <f>'Смета Внутр'!E1882</f>
        <v>200</v>
      </c>
      <c r="F1875" s="1042">
        <f>'Смета Внутр'!F1882</f>
        <v>0</v>
      </c>
      <c r="G1875" s="3007">
        <f t="shared" si="77"/>
        <v>200</v>
      </c>
      <c r="H1875" s="1042">
        <f>'Смета Внутр'!G1882</f>
        <v>836</v>
      </c>
      <c r="I1875" s="1042">
        <f>'Смета Внутр'!H1882</f>
        <v>0</v>
      </c>
      <c r="J1875" s="3014">
        <f>'Смета Внутр'!I1882</f>
        <v>0</v>
      </c>
    </row>
    <row r="1876" spans="2:10" ht="15" customHeight="1">
      <c r="B1876" s="3007" t="str">
        <f>'Смета Внутр'!B1883</f>
        <v>торцевая планка</v>
      </c>
      <c r="C1876" s="3007" t="str">
        <f>'Смета Внутр'!C1883</f>
        <v>м.п.</v>
      </c>
      <c r="D1876" s="3014">
        <f>'Смета Внутр'!D1883</f>
        <v>3.5654422354614148</v>
      </c>
      <c r="E1876" s="1042">
        <f>'Смета Внутр'!E1883</f>
        <v>200</v>
      </c>
      <c r="F1876" s="1042">
        <f>'Смета Внутр'!F1883</f>
        <v>0</v>
      </c>
      <c r="G1876" s="3007">
        <f t="shared" si="77"/>
        <v>200</v>
      </c>
      <c r="H1876" s="1042">
        <f>'Смета Внутр'!G1883</f>
        <v>713.08844709228299</v>
      </c>
      <c r="I1876" s="1042">
        <f>'Смета Внутр'!H1883</f>
        <v>0</v>
      </c>
      <c r="J1876" s="3014">
        <f>'Смета Внутр'!I1883</f>
        <v>0</v>
      </c>
    </row>
    <row r="1877" spans="2:10" ht="15" customHeight="1">
      <c r="B1877" s="3007" t="str">
        <f>'Смета Внутр'!B1884</f>
        <v>конек</v>
      </c>
      <c r="C1877" s="3007" t="str">
        <f>'Смета Внутр'!C1884</f>
        <v>м.п.</v>
      </c>
      <c r="D1877" s="3014">
        <f>'Смета Внутр'!D1884</f>
        <v>0</v>
      </c>
      <c r="E1877" s="1042">
        <f>'Смета Внутр'!E1884</f>
        <v>230</v>
      </c>
      <c r="F1877" s="1042">
        <f>'Смета Внутр'!F1884</f>
        <v>0</v>
      </c>
      <c r="G1877" s="3007">
        <f t="shared" si="77"/>
        <v>230</v>
      </c>
      <c r="H1877" s="1042">
        <f>'Смета Внутр'!G1884</f>
        <v>0</v>
      </c>
      <c r="I1877" s="1042">
        <f>'Смета Внутр'!H1884</f>
        <v>0</v>
      </c>
      <c r="J1877" s="3014">
        <f>'Смета Внутр'!I1884</f>
        <v>0</v>
      </c>
    </row>
    <row r="1878" spans="2:10" ht="15" customHeight="1">
      <c r="B1878" s="1042" t="str">
        <f>'Смета Внутр'!B1885</f>
        <v>ондулин</v>
      </c>
      <c r="C1878" s="1042" t="str">
        <f>'Смета Внутр'!C1885</f>
        <v>м2</v>
      </c>
      <c r="D1878" s="1058">
        <f>'Смета Внутр'!D1885</f>
        <v>0</v>
      </c>
      <c r="E1878" s="1042">
        <f>'Смета Внутр'!E1885</f>
        <v>180</v>
      </c>
      <c r="F1878" s="1042">
        <f>'Смета Внутр'!F1885</f>
        <v>0</v>
      </c>
      <c r="G1878" s="1042">
        <f t="shared" si="77"/>
        <v>180</v>
      </c>
      <c r="H1878" s="1042">
        <f>'Смета Внутр'!G1885</f>
        <v>0</v>
      </c>
      <c r="I1878" s="1042">
        <f>'Смета Внутр'!H1885</f>
        <v>0</v>
      </c>
      <c r="J1878" s="1058">
        <f>'Смета Внутр'!I1885</f>
        <v>0</v>
      </c>
    </row>
    <row r="1879" spans="2:10" ht="15" customHeight="1">
      <c r="B1879" s="1042" t="str">
        <f>'Смета Внутр'!B1886</f>
        <v>Карнизная планка</v>
      </c>
      <c r="C1879" s="1042" t="str">
        <f>'Смета Внутр'!C1886</f>
        <v>м.п.</v>
      </c>
      <c r="D1879" s="1058">
        <f>'Смета Внутр'!D1886</f>
        <v>0</v>
      </c>
      <c r="E1879" s="1042">
        <f>'Смета Внутр'!E1886</f>
        <v>190</v>
      </c>
      <c r="F1879" s="1042">
        <f>'Смета Внутр'!F1886</f>
        <v>0</v>
      </c>
      <c r="G1879" s="1042">
        <f t="shared" si="77"/>
        <v>190</v>
      </c>
      <c r="H1879" s="1042">
        <f>'Смета Внутр'!G1886</f>
        <v>0</v>
      </c>
      <c r="I1879" s="1042">
        <f>'Смета Внутр'!H1886</f>
        <v>0</v>
      </c>
      <c r="J1879" s="1058">
        <f>'Смета Внутр'!I1886</f>
        <v>0</v>
      </c>
    </row>
    <row r="1880" spans="2:10" ht="15" customHeight="1">
      <c r="B1880" s="1042" t="str">
        <f>'Смета Внутр'!B1887</f>
        <v>Торцевая планка</v>
      </c>
      <c r="C1880" s="1042" t="str">
        <f>'Смета Внутр'!C1887</f>
        <v>м.п.</v>
      </c>
      <c r="D1880" s="1058">
        <f>'Смета Внутр'!D1887</f>
        <v>0</v>
      </c>
      <c r="E1880" s="1042">
        <f>'Смета Внутр'!E1887</f>
        <v>190</v>
      </c>
      <c r="F1880" s="1042">
        <f>'Смета Внутр'!F1887</f>
        <v>0</v>
      </c>
      <c r="G1880" s="1042">
        <f t="shared" si="77"/>
        <v>190</v>
      </c>
      <c r="H1880" s="1042">
        <f>'Смета Внутр'!G1887</f>
        <v>0</v>
      </c>
      <c r="I1880" s="1042">
        <f>'Смета Внутр'!H1887</f>
        <v>0</v>
      </c>
      <c r="J1880" s="1058">
        <f>'Смета Внутр'!I1887</f>
        <v>0</v>
      </c>
    </row>
    <row r="1881" spans="2:10" ht="15" customHeight="1">
      <c r="B1881" s="1042" t="str">
        <f>'Смета Внутр'!B1888</f>
        <v>Конек</v>
      </c>
      <c r="C1881" s="1042" t="str">
        <f>'Смета Внутр'!C1888</f>
        <v>м.п.</v>
      </c>
      <c r="D1881" s="1058">
        <f>'Смета Внутр'!D1888</f>
        <v>0</v>
      </c>
      <c r="E1881" s="1042">
        <f>'Смета Внутр'!E1888</f>
        <v>200</v>
      </c>
      <c r="F1881" s="1042">
        <f>'Смета Внутр'!F1888</f>
        <v>0</v>
      </c>
      <c r="G1881" s="1042">
        <f t="shared" si="77"/>
        <v>200</v>
      </c>
      <c r="H1881" s="1042">
        <f>'Смета Внутр'!G1888</f>
        <v>0</v>
      </c>
      <c r="I1881" s="1042">
        <f>'Смета Внутр'!H1888</f>
        <v>0</v>
      </c>
      <c r="J1881" s="1058">
        <f>'Смета Внутр'!I1888</f>
        <v>0</v>
      </c>
    </row>
    <row r="1882" spans="2:10" ht="15" customHeight="1">
      <c r="B1882" s="1042" t="str">
        <f>'Смета Внутр'!B1889</f>
        <v>Ендова нижняя</v>
      </c>
      <c r="C1882" s="1042" t="str">
        <f>'Смета Внутр'!C1889</f>
        <v>м.п.</v>
      </c>
      <c r="D1882" s="1058">
        <f>'Смета Внутр'!D1889</f>
        <v>0</v>
      </c>
      <c r="E1882" s="1042">
        <f>'Смета Внутр'!E1889</f>
        <v>160</v>
      </c>
      <c r="F1882" s="1042">
        <f>'Смета Внутр'!F1889</f>
        <v>0</v>
      </c>
      <c r="G1882" s="1042">
        <f t="shared" si="77"/>
        <v>160</v>
      </c>
      <c r="H1882" s="1042">
        <f>'Смета Внутр'!G1889</f>
        <v>0</v>
      </c>
      <c r="I1882" s="1042">
        <f>'Смета Внутр'!H1889</f>
        <v>0</v>
      </c>
      <c r="J1882" s="1058">
        <f>'Смета Внутр'!I1889</f>
        <v>0</v>
      </c>
    </row>
    <row r="1883" spans="2:10" ht="15" customHeight="1">
      <c r="B1883" s="1042" t="str">
        <f>'Смета Внутр'!B1890</f>
        <v>Ендова верхняя</v>
      </c>
      <c r="C1883" s="1042" t="str">
        <f>'Смета Внутр'!C1890</f>
        <v>м.п.</v>
      </c>
      <c r="D1883" s="1058">
        <f>'Смета Внутр'!D1890</f>
        <v>0</v>
      </c>
      <c r="E1883" s="1042">
        <f>'Смета Внутр'!E1890</f>
        <v>190</v>
      </c>
      <c r="F1883" s="1042">
        <f>'Смета Внутр'!F1890</f>
        <v>0</v>
      </c>
      <c r="G1883" s="1042">
        <f t="shared" si="77"/>
        <v>190</v>
      </c>
      <c r="H1883" s="1042">
        <f>'Смета Внутр'!G1890</f>
        <v>0</v>
      </c>
      <c r="I1883" s="1042">
        <f>'Смета Внутр'!H1890</f>
        <v>0</v>
      </c>
      <c r="J1883" s="1058">
        <f>'Смета Внутр'!I1890</f>
        <v>0</v>
      </c>
    </row>
    <row r="1884" spans="2:10" ht="15" customHeight="1">
      <c r="B1884" s="1042" t="str">
        <f>'Смета Внутр'!B1891</f>
        <v>Планка примыкания</v>
      </c>
      <c r="C1884" s="1042" t="str">
        <f>'Смета Внутр'!C1891</f>
        <v>м.п.</v>
      </c>
      <c r="D1884" s="1058">
        <f>'Смета Внутр'!D1891</f>
        <v>0</v>
      </c>
      <c r="E1884" s="1042">
        <f>'Смета Внутр'!E1891</f>
        <v>190</v>
      </c>
      <c r="F1884" s="1042">
        <f>'Смета Внутр'!F1891</f>
        <v>0</v>
      </c>
      <c r="G1884" s="1042">
        <f t="shared" si="77"/>
        <v>190</v>
      </c>
      <c r="H1884" s="1042">
        <f>'Смета Внутр'!G1891</f>
        <v>0</v>
      </c>
      <c r="I1884" s="1042">
        <f>'Смета Внутр'!H1891</f>
        <v>0</v>
      </c>
      <c r="J1884" s="1058">
        <f>'Смета Внутр'!I1891</f>
        <v>0</v>
      </c>
    </row>
    <row r="1885" spans="2:10" ht="15" customHeight="1">
      <c r="B1885" s="1042" t="str">
        <f>'Смета Внутр'!B1892</f>
        <v>Крепеж для ондулина</v>
      </c>
      <c r="C1885" s="1042" t="str">
        <f>'Смета Внутр'!C1892</f>
        <v>шт</v>
      </c>
      <c r="D1885" s="1058">
        <f>'Смета Внутр'!D1892</f>
        <v>0</v>
      </c>
      <c r="E1885" s="1042">
        <f>'Смета Внутр'!E1892</f>
        <v>4.5</v>
      </c>
      <c r="F1885" s="1042">
        <f>'Смета Внутр'!F1892</f>
        <v>0</v>
      </c>
      <c r="G1885" s="1042">
        <f t="shared" si="77"/>
        <v>4.5</v>
      </c>
      <c r="H1885" s="1042">
        <f>'Смета Внутр'!G1892</f>
        <v>0</v>
      </c>
      <c r="I1885" s="1042">
        <f>'Смета Внутр'!H1892</f>
        <v>0</v>
      </c>
      <c r="J1885" s="1058">
        <f>'Смета Внутр'!I1892</f>
        <v>0</v>
      </c>
    </row>
    <row r="1886" spans="2:10" ht="15" customHeight="1">
      <c r="B1886" s="1042" t="str">
        <f>'Смета Внутр'!B1893</f>
        <v>Рядовая черепица</v>
      </c>
      <c r="C1886" s="1042" t="str">
        <f>'Смета Внутр'!C1893</f>
        <v>м2</v>
      </c>
      <c r="D1886" s="1058">
        <f>'Смета Внутр'!D1893</f>
        <v>0</v>
      </c>
      <c r="E1886" s="1042">
        <f>'Смета Внутр'!E1893</f>
        <v>360</v>
      </c>
      <c r="F1886" s="1042">
        <f>'Смета Внутр'!F1893</f>
        <v>0</v>
      </c>
      <c r="G1886" s="1042">
        <f t="shared" si="77"/>
        <v>360</v>
      </c>
      <c r="H1886" s="1042">
        <f>'Смета Внутр'!G1893</f>
        <v>0</v>
      </c>
      <c r="I1886" s="1042">
        <f>'Смета Внутр'!H1893</f>
        <v>0</v>
      </c>
      <c r="J1886" s="1058">
        <f>'Смета Внутр'!I1893</f>
        <v>0</v>
      </c>
    </row>
    <row r="1887" spans="2:10" ht="15" customHeight="1">
      <c r="B1887" s="1042" t="str">
        <f>'Смета Внутр'!B1894</f>
        <v>Металл оцинк защита (карниз)</v>
      </c>
      <c r="C1887" s="1042" t="str">
        <f>'Смета Внутр'!C1894</f>
        <v>м.п.</v>
      </c>
      <c r="D1887" s="1058">
        <f>'Смета Внутр'!D1894</f>
        <v>0</v>
      </c>
      <c r="E1887" s="1042">
        <f>'Смета Внутр'!E1894</f>
        <v>200</v>
      </c>
      <c r="F1887" s="1042">
        <f>'Смета Внутр'!F1894</f>
        <v>0</v>
      </c>
      <c r="G1887" s="1042">
        <f t="shared" si="77"/>
        <v>200</v>
      </c>
      <c r="H1887" s="1042">
        <f>'Смета Внутр'!G1894</f>
        <v>0</v>
      </c>
      <c r="I1887" s="1042">
        <f>'Смета Внутр'!H1894</f>
        <v>0</v>
      </c>
      <c r="J1887" s="1058">
        <f>'Смета Внутр'!I1894</f>
        <v>0</v>
      </c>
    </row>
    <row r="1888" spans="2:10" ht="15" customHeight="1">
      <c r="B1888" s="1042" t="str">
        <f>'Смета Внутр'!B1895</f>
        <v>Подкладочный ковер</v>
      </c>
      <c r="C1888" s="1042" t="str">
        <f>'Смета Внутр'!C1895</f>
        <v>м.п.</v>
      </c>
      <c r="D1888" s="1058">
        <f>'Смета Внутр'!D1895</f>
        <v>0</v>
      </c>
      <c r="E1888" s="1042">
        <f>'Смета Внутр'!E1895</f>
        <v>220</v>
      </c>
      <c r="F1888" s="1042">
        <f>'Смета Внутр'!F1895</f>
        <v>0</v>
      </c>
      <c r="G1888" s="1042">
        <f t="shared" si="77"/>
        <v>220</v>
      </c>
      <c r="H1888" s="1042">
        <f>'Смета Внутр'!G1895</f>
        <v>0</v>
      </c>
      <c r="I1888" s="1042">
        <f>'Смета Внутр'!H1895</f>
        <v>0</v>
      </c>
      <c r="J1888" s="1058">
        <f>'Смета Внутр'!I1895</f>
        <v>0</v>
      </c>
    </row>
    <row r="1889" spans="2:10" ht="15" customHeight="1">
      <c r="B1889" s="1042" t="str">
        <f>'Смета Внутр'!B1896</f>
        <v>Карнизная самоклеющаяся черепица</v>
      </c>
      <c r="C1889" s="1042" t="str">
        <f>'Смета Внутр'!C1896</f>
        <v>м.п.</v>
      </c>
      <c r="D1889" s="1058">
        <f>'Смета Внутр'!D1896</f>
        <v>0</v>
      </c>
      <c r="E1889" s="1042">
        <f>'Смета Внутр'!E1896</f>
        <v>220</v>
      </c>
      <c r="F1889" s="1042">
        <f>'Смета Внутр'!F1896</f>
        <v>0</v>
      </c>
      <c r="G1889" s="1042">
        <f t="shared" si="77"/>
        <v>220</v>
      </c>
      <c r="H1889" s="1042">
        <f>'Смета Внутр'!G1896</f>
        <v>0</v>
      </c>
      <c r="I1889" s="1042">
        <f>'Смета Внутр'!H1896</f>
        <v>0</v>
      </c>
      <c r="J1889" s="1058">
        <f>'Смета Внутр'!I1896</f>
        <v>0</v>
      </c>
    </row>
    <row r="1890" spans="2:10" ht="15" customHeight="1">
      <c r="B1890" s="1042" t="str">
        <f>'Смета Внутр'!B1897</f>
        <v>Спец ковер ендова нижняя</v>
      </c>
      <c r="C1890" s="1042" t="str">
        <f>'Смета Внутр'!C1897</f>
        <v>м.п.</v>
      </c>
      <c r="D1890" s="1058">
        <f>'Смета Внутр'!D1897</f>
        <v>0</v>
      </c>
      <c r="E1890" s="1042">
        <f>'Смета Внутр'!E1897</f>
        <v>200</v>
      </c>
      <c r="F1890" s="1042">
        <f>'Смета Внутр'!F1897</f>
        <v>0</v>
      </c>
      <c r="G1890" s="1042">
        <f t="shared" si="77"/>
        <v>200</v>
      </c>
      <c r="H1890" s="1042">
        <f>'Смета Внутр'!G1897</f>
        <v>0</v>
      </c>
      <c r="I1890" s="1042">
        <f>'Смета Внутр'!H1897</f>
        <v>0</v>
      </c>
      <c r="J1890" s="1058">
        <f>'Смета Внутр'!I1897</f>
        <v>0</v>
      </c>
    </row>
    <row r="1891" spans="2:10" ht="15" customHeight="1">
      <c r="B1891" s="1042" t="str">
        <f>'Смета Внутр'!B1898</f>
        <v>Коньковой элемент</v>
      </c>
      <c r="C1891" s="1042" t="str">
        <f>'Смета Внутр'!C1898</f>
        <v>м.п.</v>
      </c>
      <c r="D1891" s="1058">
        <f>'Смета Внутр'!D1898</f>
        <v>0</v>
      </c>
      <c r="E1891" s="1042">
        <f>'Смета Внутр'!E1898</f>
        <v>250</v>
      </c>
      <c r="F1891" s="1042">
        <f>'Смета Внутр'!F1898</f>
        <v>0</v>
      </c>
      <c r="G1891" s="1042">
        <f t="shared" si="77"/>
        <v>250</v>
      </c>
      <c r="H1891" s="1042">
        <f>'Смета Внутр'!G1898</f>
        <v>0</v>
      </c>
      <c r="I1891" s="1042">
        <f>'Смета Внутр'!H1898</f>
        <v>0</v>
      </c>
      <c r="J1891" s="1058">
        <f>'Смета Внутр'!I1898</f>
        <v>0</v>
      </c>
    </row>
    <row r="1892" spans="2:10" ht="15" customHeight="1">
      <c r="B1892" s="1042" t="str">
        <f>'Смета Внутр'!B1899</f>
        <v>Планка премыкания</v>
      </c>
      <c r="C1892" s="1042" t="str">
        <f>'Смета Внутр'!C1899</f>
        <v>м.п.</v>
      </c>
      <c r="D1892" s="1058">
        <f>'Смета Внутр'!D1899</f>
        <v>0</v>
      </c>
      <c r="E1892" s="1042">
        <f>'Смета Внутр'!E1899</f>
        <v>200</v>
      </c>
      <c r="F1892" s="1042">
        <f>'Смета Внутр'!F1899</f>
        <v>0</v>
      </c>
      <c r="G1892" s="1042">
        <f t="shared" si="77"/>
        <v>200</v>
      </c>
      <c r="H1892" s="1042">
        <f>'Смета Внутр'!G1899</f>
        <v>0</v>
      </c>
      <c r="I1892" s="1042">
        <f>'Смета Внутр'!H1899</f>
        <v>0</v>
      </c>
      <c r="J1892" s="1058">
        <f>'Смета Внутр'!I1899</f>
        <v>0</v>
      </c>
    </row>
    <row r="1893" spans="2:10" ht="15" customHeight="1">
      <c r="B1893" s="1042" t="str">
        <f>'Смета Внутр'!B1900</f>
        <v>Гвозди для крепления подкладочного ковра</v>
      </c>
      <c r="C1893" s="1042" t="str">
        <f>'Смета Внутр'!C1900</f>
        <v>шт</v>
      </c>
      <c r="D1893" s="1058">
        <f>'Смета Внутр'!D1900</f>
        <v>0</v>
      </c>
      <c r="E1893" s="1042">
        <f>'Смета Внутр'!E1900</f>
        <v>1.2E-2</v>
      </c>
      <c r="F1893" s="1042">
        <f>'Смета Внутр'!F1900</f>
        <v>0</v>
      </c>
      <c r="G1893" s="1042">
        <f t="shared" si="77"/>
        <v>1.2E-2</v>
      </c>
      <c r="H1893" s="1042">
        <f>'Смета Внутр'!G1900</f>
        <v>0</v>
      </c>
      <c r="I1893" s="1042">
        <f>'Смета Внутр'!H1900</f>
        <v>0</v>
      </c>
      <c r="J1893" s="1058">
        <f>'Смета Внутр'!I1900</f>
        <v>0</v>
      </c>
    </row>
    <row r="1894" spans="2:10" ht="15" customHeight="1">
      <c r="B1894" s="1042" t="str">
        <f>'Смета Внутр'!B1901</f>
        <v>Гвозди для крепления черепицы</v>
      </c>
      <c r="C1894" s="1042" t="str">
        <f>'Смета Внутр'!C1901</f>
        <v>шт</v>
      </c>
      <c r="D1894" s="1058">
        <f>'Смета Внутр'!D1901</f>
        <v>0</v>
      </c>
      <c r="E1894" s="1042">
        <f>'Смета Внутр'!E1901</f>
        <v>0.25</v>
      </c>
      <c r="F1894" s="1042">
        <f>'Смета Внутр'!F1901</f>
        <v>0</v>
      </c>
      <c r="G1894" s="1042">
        <f t="shared" si="77"/>
        <v>0.25</v>
      </c>
      <c r="H1894" s="1042">
        <f>'Смета Внутр'!G1901</f>
        <v>0</v>
      </c>
      <c r="I1894" s="1042">
        <f>'Смета Внутр'!H1901</f>
        <v>0</v>
      </c>
      <c r="J1894" s="1058">
        <f>'Смета Внутр'!I1901</f>
        <v>0</v>
      </c>
    </row>
    <row r="1895" spans="2:10" ht="15" customHeight="1">
      <c r="B1895" s="1042" t="str">
        <f>'Смета Внутр'!B1902</f>
        <v>Клей для монтажа черепицы</v>
      </c>
      <c r="C1895" s="1042" t="str">
        <f>'Смета Внутр'!C1902</f>
        <v>кг</v>
      </c>
      <c r="D1895" s="1058">
        <f>'Смета Внутр'!D1902</f>
        <v>0</v>
      </c>
      <c r="E1895" s="1042">
        <f>'Смета Внутр'!E1902</f>
        <v>250</v>
      </c>
      <c r="F1895" s="1042">
        <f>'Смета Внутр'!F1902</f>
        <v>0</v>
      </c>
      <c r="G1895" s="1042">
        <f t="shared" si="77"/>
        <v>250</v>
      </c>
      <c r="H1895" s="1042">
        <f>'Смета Внутр'!G1902</f>
        <v>0</v>
      </c>
      <c r="I1895" s="1042">
        <f>'Смета Внутр'!H1902</f>
        <v>0</v>
      </c>
      <c r="J1895" s="1058">
        <f>'Смета Внутр'!I1902</f>
        <v>0</v>
      </c>
    </row>
    <row r="1896" spans="2:10" ht="15" customHeight="1">
      <c r="B1896" s="3007" t="str">
        <f>'Смета Внутр'!B1903</f>
        <v>желоб</v>
      </c>
      <c r="C1896" s="3007" t="str">
        <f>'Смета Внутр'!C1903</f>
        <v>м.п</v>
      </c>
      <c r="D1896" s="3014">
        <f>'Смета Внутр'!D1903</f>
        <v>4.18</v>
      </c>
      <c r="E1896" s="1042">
        <f>'Смета Внутр'!E1903</f>
        <v>300</v>
      </c>
      <c r="F1896" s="1042">
        <f>'Смета Внутр'!F1903</f>
        <v>0</v>
      </c>
      <c r="G1896" s="3007">
        <f t="shared" si="77"/>
        <v>300</v>
      </c>
      <c r="H1896" s="1042">
        <f>'Смета Внутр'!G1903</f>
        <v>1254</v>
      </c>
      <c r="I1896" s="1042">
        <f>'Смета Внутр'!H1903</f>
        <v>0</v>
      </c>
      <c r="J1896" s="3014">
        <f>'Смета Внутр'!I1903</f>
        <v>0</v>
      </c>
    </row>
    <row r="1897" spans="2:10" ht="15" customHeight="1">
      <c r="B1897" s="3007" t="str">
        <f>'Смета Внутр'!B1904</f>
        <v>отвод</v>
      </c>
      <c r="C1897" s="3007" t="str">
        <f>'Смета Внутр'!C1904</f>
        <v>шт</v>
      </c>
      <c r="D1897" s="3014">
        <f>'Смета Внутр'!D1904</f>
        <v>2</v>
      </c>
      <c r="E1897" s="1042">
        <f>'Смета Внутр'!E1904</f>
        <v>250</v>
      </c>
      <c r="F1897" s="1042">
        <f>'Смета Внутр'!F1904</f>
        <v>0</v>
      </c>
      <c r="G1897" s="3007">
        <f t="shared" si="77"/>
        <v>250</v>
      </c>
      <c r="H1897" s="1042">
        <f>'Смета Внутр'!G1904</f>
        <v>500</v>
      </c>
      <c r="I1897" s="1042">
        <f>'Смета Внутр'!H1904</f>
        <v>0</v>
      </c>
      <c r="J1897" s="3014">
        <f>'Смета Внутр'!I1904</f>
        <v>0</v>
      </c>
    </row>
    <row r="1898" spans="2:10" ht="15" customHeight="1">
      <c r="B1898" s="3007" t="str">
        <f>'Смета Внутр'!B1905</f>
        <v>труба водосточная</v>
      </c>
      <c r="C1898" s="3007" t="str">
        <f>'Смета Внутр'!C1905</f>
        <v>м.п.</v>
      </c>
      <c r="D1898" s="3014">
        <f>'Смета Внутр'!D1905</f>
        <v>0</v>
      </c>
      <c r="E1898" s="1042">
        <f>'Смета Внутр'!E1905</f>
        <v>300</v>
      </c>
      <c r="F1898" s="1042">
        <f>'Смета Внутр'!F1905</f>
        <v>0</v>
      </c>
      <c r="G1898" s="3007">
        <f t="shared" si="77"/>
        <v>300</v>
      </c>
      <c r="H1898" s="1042">
        <f>'Смета Внутр'!G1905</f>
        <v>0</v>
      </c>
      <c r="I1898" s="1042">
        <f>'Смета Внутр'!H1905</f>
        <v>0</v>
      </c>
      <c r="J1898" s="3014">
        <f>'Смета Внутр'!I1905</f>
        <v>0</v>
      </c>
    </row>
    <row r="1899" spans="2:10" ht="15" customHeight="1">
      <c r="B1899" s="3007" t="str">
        <f>'Смета Внутр'!B1906</f>
        <v>заглушка для желоба</v>
      </c>
      <c r="C1899" s="3007" t="str">
        <f>'Смета Внутр'!C1906</f>
        <v>шт</v>
      </c>
      <c r="D1899" s="3014">
        <f>'Смета Внутр'!D1906</f>
        <v>2</v>
      </c>
      <c r="E1899" s="1042">
        <f>'Смета Внутр'!E1906</f>
        <v>190</v>
      </c>
      <c r="F1899" s="1042">
        <f>'Смета Внутр'!F1906</f>
        <v>0</v>
      </c>
      <c r="G1899" s="3007">
        <f t="shared" si="77"/>
        <v>190</v>
      </c>
      <c r="H1899" s="1042">
        <f>'Смета Внутр'!G1906</f>
        <v>380</v>
      </c>
      <c r="I1899" s="1042">
        <f>'Смета Внутр'!H1906</f>
        <v>0</v>
      </c>
      <c r="J1899" s="3014">
        <f>'Смета Внутр'!I1906</f>
        <v>0</v>
      </c>
    </row>
    <row r="1900" spans="2:10" ht="15" customHeight="1">
      <c r="B1900" s="3007" t="str">
        <f>'Смета Внутр'!B1907</f>
        <v>соеденитель для желоба</v>
      </c>
      <c r="C1900" s="3007" t="str">
        <f>'Смета Внутр'!C1907</f>
        <v>шт</v>
      </c>
      <c r="D1900" s="3014">
        <f>'Смета Внутр'!D1907</f>
        <v>2</v>
      </c>
      <c r="E1900" s="1042">
        <f>'Смета Внутр'!E1907</f>
        <v>180</v>
      </c>
      <c r="F1900" s="1042">
        <f>'Смета Внутр'!F1907</f>
        <v>0</v>
      </c>
      <c r="G1900" s="3007">
        <f t="shared" si="77"/>
        <v>180</v>
      </c>
      <c r="H1900" s="1042">
        <f>'Смета Внутр'!G1907</f>
        <v>360</v>
      </c>
      <c r="I1900" s="1042">
        <f>'Смета Внутр'!H1907</f>
        <v>0</v>
      </c>
      <c r="J1900" s="3014">
        <f>'Смета Внутр'!I1907</f>
        <v>0</v>
      </c>
    </row>
    <row r="1901" spans="2:10" ht="15" customHeight="1">
      <c r="B1901" s="3007" t="str">
        <f>'Смета Внутр'!B1908</f>
        <v>кронштейн для желоба</v>
      </c>
      <c r="C1901" s="3007" t="str">
        <f>'Смета Внутр'!C1908</f>
        <v>шт</v>
      </c>
      <c r="D1901" s="3014">
        <f>'Смета Внутр'!D1908</f>
        <v>10.45</v>
      </c>
      <c r="E1901" s="1042">
        <f>'Смета Внутр'!E1908</f>
        <v>130</v>
      </c>
      <c r="F1901" s="1042">
        <f>'Смета Внутр'!F1908</f>
        <v>0</v>
      </c>
      <c r="G1901" s="3007">
        <f t="shared" si="77"/>
        <v>130</v>
      </c>
      <c r="H1901" s="1042">
        <f>'Смета Внутр'!G1908</f>
        <v>1358.5</v>
      </c>
      <c r="I1901" s="1042">
        <f>'Смета Внутр'!H1908</f>
        <v>0</v>
      </c>
      <c r="J1901" s="3014">
        <f>'Смета Внутр'!I1908</f>
        <v>0</v>
      </c>
    </row>
    <row r="1902" spans="2:10" ht="15" customHeight="1">
      <c r="B1902" s="3007" t="str">
        <f>'Смета Внутр'!B1909</f>
        <v>переход из желоба в трубу</v>
      </c>
      <c r="C1902" s="3007" t="str">
        <f>'Смета Внутр'!C1909</f>
        <v>шт</v>
      </c>
      <c r="D1902" s="3014">
        <f>'Смета Внутр'!D1909</f>
        <v>2</v>
      </c>
      <c r="E1902" s="1042">
        <f>'Смета Внутр'!E1909</f>
        <v>350</v>
      </c>
      <c r="F1902" s="1042">
        <f>'Смета Внутр'!F1909</f>
        <v>0</v>
      </c>
      <c r="G1902" s="3007">
        <f t="shared" si="77"/>
        <v>350</v>
      </c>
      <c r="H1902" s="1042">
        <f>'Смета Внутр'!G1909</f>
        <v>700</v>
      </c>
      <c r="I1902" s="1042">
        <f>'Смета Внутр'!H1909</f>
        <v>0</v>
      </c>
      <c r="J1902" s="3014">
        <f>'Смета Внутр'!I1909</f>
        <v>0</v>
      </c>
    </row>
    <row r="1903" spans="2:10" ht="15" customHeight="1">
      <c r="B1903" s="3007" t="str">
        <f>'Смета Внутр'!B1910</f>
        <v>лента дельта мульти бэнд</v>
      </c>
      <c r="C1903" s="3007" t="str">
        <f>'Смета Внутр'!C1910</f>
        <v>шт</v>
      </c>
      <c r="D1903" s="3014">
        <f>'Смета Внутр'!D1910</f>
        <v>0.17595688954225161</v>
      </c>
      <c r="E1903" s="1042">
        <f>'Смета Внутр'!E1910</f>
        <v>1200</v>
      </c>
      <c r="F1903" s="1042">
        <f>'Смета Внутр'!F1910</f>
        <v>0</v>
      </c>
      <c r="G1903" s="3007">
        <f t="shared" si="77"/>
        <v>1200</v>
      </c>
      <c r="H1903" s="1042">
        <f>'Смета Внутр'!G1910</f>
        <v>211.14826745070192</v>
      </c>
      <c r="I1903" s="1042">
        <f>'Смета Внутр'!H1910</f>
        <v>0</v>
      </c>
      <c r="J1903" s="3014">
        <f>'Смета Внутр'!I1910</f>
        <v>0</v>
      </c>
    </row>
    <row r="1904" spans="2:10" ht="15" customHeight="1">
      <c r="B1904" s="3007" t="str">
        <f>'Смета Внутр'!B1911</f>
        <v>лента дельта sb-60</v>
      </c>
      <c r="C1904" s="3007" t="str">
        <f>'Смета Внутр'!C1911</f>
        <v>шт</v>
      </c>
      <c r="D1904" s="3014">
        <f>'Смета Внутр'!D1911</f>
        <v>0.13685535853286238</v>
      </c>
      <c r="E1904" s="1042">
        <f>'Смета Внутр'!E1911</f>
        <v>1100</v>
      </c>
      <c r="F1904" s="1042">
        <f>'Смета Внутр'!F1911</f>
        <v>0</v>
      </c>
      <c r="G1904" s="3007">
        <f t="shared" si="77"/>
        <v>1100</v>
      </c>
      <c r="H1904" s="1042">
        <f>'Смета Внутр'!G1911</f>
        <v>150.54089438614861</v>
      </c>
      <c r="I1904" s="1042">
        <f>'Смета Внутр'!H1911</f>
        <v>0</v>
      </c>
      <c r="J1904" s="3014">
        <f>'Смета Внутр'!I1911</f>
        <v>0</v>
      </c>
    </row>
    <row r="1905" spans="2:10" ht="15" customHeight="1">
      <c r="B1905" s="3007" t="str">
        <f>'Смета Внутр'!B1912</f>
        <v>Кровельный саморез</v>
      </c>
      <c r="C1905" s="3007" t="str">
        <f>'Смета Внутр'!C1912</f>
        <v>шт</v>
      </c>
      <c r="D1905" s="3014">
        <f>'Смета Внутр'!D1912</f>
        <v>73.901893607745677</v>
      </c>
      <c r="E1905" s="1042">
        <f>'Смета Внутр'!E1912</f>
        <v>2</v>
      </c>
      <c r="F1905" s="1042">
        <f>'Смета Внутр'!F1912</f>
        <v>0</v>
      </c>
      <c r="G1905" s="3007">
        <f t="shared" si="77"/>
        <v>2</v>
      </c>
      <c r="H1905" s="1042">
        <f>'Смета Внутр'!G1912</f>
        <v>147.80378721549135</v>
      </c>
      <c r="I1905" s="1042">
        <f>'Смета Внутр'!H1912</f>
        <v>0</v>
      </c>
      <c r="J1905" s="3014">
        <f>'Смета Внутр'!I1912</f>
        <v>0</v>
      </c>
    </row>
    <row r="1906" spans="2:10">
      <c r="B1906" s="3311" t="str">
        <f>'Смета Внутр'!B1913</f>
        <v>Итого материалы</v>
      </c>
      <c r="C1906" s="3311"/>
      <c r="D1906" s="3311"/>
      <c r="E1906" s="3311"/>
      <c r="F1906" s="3311"/>
      <c r="G1906" s="3311"/>
      <c r="H1906" s="1042">
        <f>'Смета Внутр'!G1913</f>
        <v>0</v>
      </c>
      <c r="I1906" s="1042">
        <f>'Смета Внутр'!H1913</f>
        <v>0</v>
      </c>
      <c r="J1906" s="3014">
        <f>'Смета Внутр'!I1913</f>
        <v>0</v>
      </c>
    </row>
    <row r="1907" spans="2:10" ht="15" customHeight="1">
      <c r="B1907" s="3002" t="str">
        <f>'Смета Внутр'!B1914</f>
        <v>Работы</v>
      </c>
      <c r="H1907">
        <f>'Смета Внутр'!G1914</f>
        <v>0</v>
      </c>
      <c r="I1907">
        <f>'Смета Внутр'!H1914</f>
        <v>0</v>
      </c>
      <c r="J1907" s="3011">
        <f>'Смета Внутр'!I1914</f>
        <v>0</v>
      </c>
    </row>
    <row r="1908" spans="2:10" ht="15" customHeight="1">
      <c r="B1908" s="3007" t="str">
        <f>'Смета Внутр'!B1915</f>
        <v>монтаж стропил</v>
      </c>
      <c r="C1908" s="3007" t="str">
        <f>'Смета Внутр'!C1915</f>
        <v>м2</v>
      </c>
      <c r="D1908" s="3014">
        <f>'Смета Внутр'!D1915</f>
        <v>6.1584911339788064</v>
      </c>
      <c r="E1908" s="1042">
        <f>'Смета Внутр'!E1915</f>
        <v>450</v>
      </c>
      <c r="F1908" s="1042">
        <f>'Смета Внутр'!F1915</f>
        <v>0</v>
      </c>
      <c r="G1908" s="3007">
        <f t="shared" ref="G1908:G1921" si="78">IF(E1908&gt;F1908,E1908,F1908)</f>
        <v>450</v>
      </c>
      <c r="H1908" s="1042">
        <f>'Смета Внутр'!G1915</f>
        <v>2771.3210102904627</v>
      </c>
      <c r="I1908" s="1042">
        <f>'Смета Внутр'!H1915</f>
        <v>0</v>
      </c>
      <c r="J1908" s="3014">
        <f>'Смета Внутр'!I1915</f>
        <v>0</v>
      </c>
    </row>
    <row r="1909" spans="2:10" ht="15" customHeight="1">
      <c r="B1909" s="3007" t="str">
        <f>'Смета Внутр'!B1916</f>
        <v>обрешетка</v>
      </c>
      <c r="C1909" s="3007" t="str">
        <f>'Смета Внутр'!C1916</f>
        <v>м2</v>
      </c>
      <c r="D1909" s="3014">
        <f>'Смета Внутр'!D1916</f>
        <v>6.1584911339788064</v>
      </c>
      <c r="E1909" s="1042">
        <f>'Смета Внутр'!E1916</f>
        <v>100</v>
      </c>
      <c r="F1909" s="1042">
        <f>'Смета Внутр'!F1916</f>
        <v>0</v>
      </c>
      <c r="G1909" s="3007">
        <f t="shared" si="78"/>
        <v>100</v>
      </c>
      <c r="H1909" s="1042">
        <f>'Смета Внутр'!G1916</f>
        <v>615.84911339788061</v>
      </c>
      <c r="I1909" s="1042">
        <f>'Смета Внутр'!H1916</f>
        <v>0</v>
      </c>
      <c r="J1909" s="3014">
        <f>'Смета Внутр'!I1916</f>
        <v>0</v>
      </c>
    </row>
    <row r="1910" spans="2:10" ht="15" customHeight="1">
      <c r="B1910" s="3007" t="str">
        <f>'Смета Внутр'!B1917</f>
        <v>контробеш</v>
      </c>
      <c r="C1910" s="3007" t="str">
        <f>'Смета Внутр'!C1917</f>
        <v>м2</v>
      </c>
      <c r="D1910" s="3014">
        <f>'Смета Внутр'!D1917</f>
        <v>0</v>
      </c>
      <c r="E1910" s="1042">
        <f>'Смета Внутр'!E1917</f>
        <v>100</v>
      </c>
      <c r="F1910" s="1042">
        <f>'Смета Внутр'!F1917</f>
        <v>0</v>
      </c>
      <c r="G1910" s="3007">
        <f t="shared" si="78"/>
        <v>100</v>
      </c>
      <c r="H1910" s="1042">
        <f>'Смета Внутр'!G1917</f>
        <v>0</v>
      </c>
      <c r="I1910" s="1042">
        <f>'Смета Внутр'!H1917</f>
        <v>0</v>
      </c>
      <c r="J1910" s="3014">
        <f>'Смета Внутр'!I1917</f>
        <v>0</v>
      </c>
    </row>
    <row r="1911" spans="2:10" ht="15" customHeight="1">
      <c r="B1911" s="3007" t="str">
        <f>'Смета Внутр'!B1918</f>
        <v>мембрана</v>
      </c>
      <c r="C1911" s="3007" t="str">
        <f>'Смета Внутр'!C1918</f>
        <v>м2</v>
      </c>
      <c r="D1911" s="3014">
        <f>'Смета Внутр'!D1918</f>
        <v>6.1584911339788064</v>
      </c>
      <c r="E1911" s="1042">
        <f>'Смета Внутр'!E1918</f>
        <v>100</v>
      </c>
      <c r="F1911" s="1042">
        <f>'Смета Внутр'!F1918</f>
        <v>0</v>
      </c>
      <c r="G1911" s="3007">
        <f t="shared" si="78"/>
        <v>100</v>
      </c>
      <c r="H1911" s="1042">
        <f>'Смета Внутр'!G1918</f>
        <v>615.84911339788061</v>
      </c>
      <c r="I1911" s="1042">
        <f>'Смета Внутр'!H1918</f>
        <v>0</v>
      </c>
      <c r="J1911" s="3014">
        <f>'Смета Внутр'!I1918</f>
        <v>0</v>
      </c>
    </row>
    <row r="1912" spans="2:10" ht="15" customHeight="1">
      <c r="B1912" s="3007" t="str">
        <f>'Смета Внутр'!B1919</f>
        <v>Монтаж металлочерепицы</v>
      </c>
      <c r="C1912" s="3007" t="str">
        <f>'Смета Внутр'!C1919</f>
        <v>м2</v>
      </c>
      <c r="D1912" s="3014">
        <f>'Смета Внутр'!D1919</f>
        <v>6.1584911339788064</v>
      </c>
      <c r="E1912" s="1042">
        <f>'Смета Внутр'!E1919</f>
        <v>300</v>
      </c>
      <c r="F1912" s="1042">
        <f>'Смета Внутр'!F1919</f>
        <v>0</v>
      </c>
      <c r="G1912" s="3007">
        <f t="shared" si="78"/>
        <v>300</v>
      </c>
      <c r="H1912" s="1042">
        <f>'Смета Внутр'!G1919</f>
        <v>1847.547340193642</v>
      </c>
      <c r="I1912" s="1042">
        <f>'Смета Внутр'!H1919</f>
        <v>0</v>
      </c>
      <c r="J1912" s="3014">
        <f>'Смета Внутр'!I1919</f>
        <v>0</v>
      </c>
    </row>
    <row r="1913" spans="2:10" ht="15" customHeight="1">
      <c r="B1913" s="3007" t="str">
        <f>'Смета Внутр'!B1920</f>
        <v>карнизная планка</v>
      </c>
      <c r="C1913" s="3007" t="str">
        <f>'Смета Внутр'!C1920</f>
        <v>м2</v>
      </c>
      <c r="D1913" s="3014">
        <f>'Смета Внутр'!D1920</f>
        <v>4.18</v>
      </c>
      <c r="E1913" s="1042">
        <f>'Смета Внутр'!E1920</f>
        <v>100</v>
      </c>
      <c r="F1913" s="1042">
        <f>'Смета Внутр'!F1920</f>
        <v>0</v>
      </c>
      <c r="G1913" s="3007">
        <f t="shared" si="78"/>
        <v>100</v>
      </c>
      <c r="H1913" s="1042">
        <f>'Смета Внутр'!G1920</f>
        <v>418</v>
      </c>
      <c r="I1913" s="1042">
        <f>'Смета Внутр'!H1920</f>
        <v>0</v>
      </c>
      <c r="J1913" s="3014">
        <f>'Смета Внутр'!I1920</f>
        <v>0</v>
      </c>
    </row>
    <row r="1914" spans="2:10" ht="15" customHeight="1">
      <c r="B1914" s="3007" t="str">
        <f>'Смета Внутр'!B1921</f>
        <v>торцевая планка</v>
      </c>
      <c r="C1914" s="3007" t="str">
        <f>'Смета Внутр'!C1921</f>
        <v>м2</v>
      </c>
      <c r="D1914" s="3014">
        <f>'Смета Внутр'!D1921</f>
        <v>3.5654422354614148</v>
      </c>
      <c r="E1914" s="1042">
        <f>'Смета Внутр'!E1921</f>
        <v>100</v>
      </c>
      <c r="F1914" s="1042">
        <f>'Смета Внутр'!F1921</f>
        <v>0</v>
      </c>
      <c r="G1914" s="3007">
        <f t="shared" si="78"/>
        <v>100</v>
      </c>
      <c r="H1914" s="1042">
        <f>'Смета Внутр'!G1921</f>
        <v>356.5442235461415</v>
      </c>
      <c r="I1914" s="1042">
        <f>'Смета Внутр'!H1921</f>
        <v>0</v>
      </c>
      <c r="J1914" s="3014">
        <f>'Смета Внутр'!I1921</f>
        <v>0</v>
      </c>
    </row>
    <row r="1915" spans="2:10" ht="15" customHeight="1">
      <c r="B1915" s="3007" t="str">
        <f>'Смета Внутр'!B1922</f>
        <v>желоб водосточный</v>
      </c>
      <c r="C1915" s="3007" t="str">
        <f>'Смета Внутр'!C1922</f>
        <v>м.п.</v>
      </c>
      <c r="D1915" s="3014">
        <f>'Смета Внутр'!D1922</f>
        <v>4.18</v>
      </c>
      <c r="E1915" s="1042">
        <f>'Смета Внутр'!E1922</f>
        <v>300</v>
      </c>
      <c r="F1915" s="1042">
        <f>'Смета Внутр'!F1922</f>
        <v>0</v>
      </c>
      <c r="G1915" s="3007">
        <f t="shared" si="78"/>
        <v>300</v>
      </c>
      <c r="H1915" s="1042">
        <f>'Смета Внутр'!G1922</f>
        <v>1254</v>
      </c>
      <c r="I1915" s="1042">
        <f>'Смета Внутр'!H1922</f>
        <v>0</v>
      </c>
      <c r="J1915" s="3014">
        <f>'Смета Внутр'!I1922</f>
        <v>0</v>
      </c>
    </row>
    <row r="1916" spans="2:10" ht="15" customHeight="1">
      <c r="B1916" s="3007" t="str">
        <f>'Смета Внутр'!B1923</f>
        <v>труба водосточная</v>
      </c>
      <c r="C1916" s="3007" t="str">
        <f>'Смета Внутр'!C1923</f>
        <v>м.п.</v>
      </c>
      <c r="D1916" s="3014">
        <f>'Смета Внутр'!D1923</f>
        <v>0</v>
      </c>
      <c r="E1916" s="1042">
        <f>'Смета Внутр'!E1923</f>
        <v>300</v>
      </c>
      <c r="F1916" s="1042">
        <f>'Смета Внутр'!F1923</f>
        <v>0</v>
      </c>
      <c r="G1916" s="3007">
        <f t="shared" si="78"/>
        <v>300</v>
      </c>
      <c r="H1916" s="1042">
        <f>'Смета Внутр'!G1923</f>
        <v>0</v>
      </c>
      <c r="I1916" s="1042">
        <f>'Смета Внутр'!H1923</f>
        <v>0</v>
      </c>
      <c r="J1916" s="3014">
        <f>'Смета Внутр'!I1923</f>
        <v>0</v>
      </c>
    </row>
    <row r="1917" spans="2:10" ht="15" customHeight="1">
      <c r="B1917" s="1042" t="str">
        <f>'Смета Внутр'!B1924</f>
        <v>Монтаж ондулина</v>
      </c>
      <c r="C1917" s="1042" t="str">
        <f>'Смета Внутр'!C1924</f>
        <v>м2</v>
      </c>
      <c r="D1917" s="1058">
        <f>'Смета Внутр'!D1924</f>
        <v>0</v>
      </c>
      <c r="E1917" s="1042">
        <f>'Смета Внутр'!E1924</f>
        <v>300</v>
      </c>
      <c r="F1917" s="1042">
        <f>'Смета Внутр'!F1924</f>
        <v>0</v>
      </c>
      <c r="G1917" s="1042">
        <f t="shared" si="78"/>
        <v>300</v>
      </c>
      <c r="H1917" s="1042">
        <f>'Смета Внутр'!G1924</f>
        <v>0</v>
      </c>
      <c r="I1917" s="1042">
        <f>'Смета Внутр'!H1924</f>
        <v>0</v>
      </c>
      <c r="J1917" s="1058">
        <f>'Смета Внутр'!I1924</f>
        <v>0</v>
      </c>
    </row>
    <row r="1918" spans="2:10" ht="15" customHeight="1">
      <c r="B1918" s="1042" t="str">
        <f>'Смета Внутр'!B1925</f>
        <v>Монтаж фанеры/osb</v>
      </c>
      <c r="C1918" s="1042" t="str">
        <f>'Смета Внутр'!C1925</f>
        <v>м2</v>
      </c>
      <c r="D1918" s="1058">
        <f>'Смета Внутр'!D1925</f>
        <v>0</v>
      </c>
      <c r="E1918" s="1042">
        <f>'Смета Внутр'!E1925</f>
        <v>200</v>
      </c>
      <c r="F1918" s="1042">
        <f>'Смета Внутр'!F1925</f>
        <v>0</v>
      </c>
      <c r="G1918" s="1042">
        <f t="shared" si="78"/>
        <v>200</v>
      </c>
      <c r="H1918" s="1042">
        <f>'Смета Внутр'!G1925</f>
        <v>0</v>
      </c>
      <c r="I1918" s="1042">
        <f>'Смета Внутр'!H1925</f>
        <v>0</v>
      </c>
      <c r="J1918" s="1058">
        <f>'Смета Внутр'!I1925</f>
        <v>0</v>
      </c>
    </row>
    <row r="1919" spans="2:10" ht="15" customHeight="1">
      <c r="B1919" s="1042" t="str">
        <f>'Смета Внутр'!B1926</f>
        <v>монтаж подкладочного ковра</v>
      </c>
      <c r="C1919" s="1042" t="str">
        <f>'Смета Внутр'!C1926</f>
        <v>м2</v>
      </c>
      <c r="D1919" s="1058">
        <f>'Смета Внутр'!D1926</f>
        <v>0</v>
      </c>
      <c r="E1919" s="1042">
        <f>'Смета Внутр'!E1926</f>
        <v>150</v>
      </c>
      <c r="F1919" s="1042">
        <f>'Смета Внутр'!F1926</f>
        <v>0</v>
      </c>
      <c r="G1919" s="1042">
        <f t="shared" si="78"/>
        <v>150</v>
      </c>
      <c r="H1919" s="1042">
        <f>'Смета Внутр'!G1926</f>
        <v>0</v>
      </c>
      <c r="I1919" s="1042">
        <f>'Смета Внутр'!H1926</f>
        <v>0</v>
      </c>
      <c r="J1919" s="1058">
        <f>'Смета Внутр'!I1926</f>
        <v>0</v>
      </c>
    </row>
    <row r="1920" spans="2:10" ht="15" customHeight="1">
      <c r="B1920" s="1042" t="str">
        <f>'Смета Внутр'!B1927</f>
        <v>Монтаж мягкой кровли</v>
      </c>
      <c r="C1920" s="1042" t="str">
        <f>'Смета Внутр'!C1927</f>
        <v>м2</v>
      </c>
      <c r="D1920" s="1058">
        <f>'Смета Внутр'!D1927</f>
        <v>0</v>
      </c>
      <c r="E1920" s="1042">
        <f>'Смета Внутр'!E1927</f>
        <v>350</v>
      </c>
      <c r="F1920" s="1042">
        <f>'Смета Внутр'!F1927</f>
        <v>0</v>
      </c>
      <c r="G1920" s="1042">
        <f t="shared" si="78"/>
        <v>350</v>
      </c>
      <c r="H1920" s="1042">
        <f>'Смета Внутр'!G1927</f>
        <v>0</v>
      </c>
      <c r="I1920" s="1042">
        <f>'Смета Внутр'!H1927</f>
        <v>0</v>
      </c>
      <c r="J1920" s="1058">
        <f>'Смета Внутр'!I1927</f>
        <v>0</v>
      </c>
    </row>
    <row r="1921" spans="2:10" ht="15" customHeight="1">
      <c r="B1921" s="1042" t="str">
        <f>'Смета Внутр'!B1928</f>
        <v>Монтаж планки примыкания</v>
      </c>
      <c r="C1921" s="1042" t="str">
        <f>'Смета Внутр'!C1928</f>
        <v>м.п.</v>
      </c>
      <c r="D1921" s="1058">
        <f>'Смета Внутр'!D1928</f>
        <v>0</v>
      </c>
      <c r="E1921" s="1042">
        <f>'Смета Внутр'!E1928</f>
        <v>200</v>
      </c>
      <c r="F1921" s="1042">
        <f>'Смета Внутр'!F1928</f>
        <v>0</v>
      </c>
      <c r="G1921" s="1042">
        <f t="shared" si="78"/>
        <v>200</v>
      </c>
      <c r="H1921" s="1042">
        <f>'Смета Внутр'!G1928</f>
        <v>0</v>
      </c>
      <c r="I1921" s="1042">
        <f>'Смета Внутр'!H1928</f>
        <v>0</v>
      </c>
      <c r="J1921" s="1058">
        <f>'Смета Внутр'!I1928</f>
        <v>0</v>
      </c>
    </row>
    <row r="1922" spans="2:10" ht="15" customHeight="1">
      <c r="B1922" s="3311" t="str">
        <f>'Смета Внутр'!B1929</f>
        <v>Итого работы</v>
      </c>
      <c r="C1922" s="3311"/>
      <c r="D1922" s="3311"/>
      <c r="E1922" s="3311"/>
      <c r="F1922" s="3311"/>
      <c r="G1922" s="3311"/>
      <c r="H1922" s="1042">
        <f>'Смета Внутр'!G1929</f>
        <v>0</v>
      </c>
      <c r="I1922" s="1042">
        <f>'Смета Внутр'!H1929</f>
        <v>0</v>
      </c>
      <c r="J1922" s="3014">
        <f>'Смета Внутр'!I1929</f>
        <v>0</v>
      </c>
    </row>
    <row r="1923" spans="2:10" ht="15" customHeight="1">
      <c r="B1923" s="3329" t="str">
        <f>'Смета Внутр'!B1930</f>
        <v>Окна и двери</v>
      </c>
      <c r="C1923" s="3329"/>
      <c r="D1923" s="3329"/>
      <c r="H1923">
        <f>'Смета Внутр'!G1930</f>
        <v>0</v>
      </c>
      <c r="I1923">
        <f>'Смета Внутр'!H1930</f>
        <v>0</v>
      </c>
      <c r="J1923" s="3027">
        <f>'Смета Внутр'!I1930</f>
        <v>0</v>
      </c>
    </row>
    <row r="1924" spans="2:10" ht="15" customHeight="1">
      <c r="B1924" s="3002" t="str">
        <f>'Смета Внутр'!B1931</f>
        <v>Материалы</v>
      </c>
      <c r="D1924" s="1167"/>
      <c r="H1924">
        <f>'Смета Внутр'!G1931</f>
        <v>0</v>
      </c>
      <c r="I1924">
        <f>'Смета Внутр'!H1931</f>
        <v>0</v>
      </c>
      <c r="J1924" s="3027">
        <f>'Смета Внутр'!I1931</f>
        <v>0</v>
      </c>
    </row>
    <row r="1925" spans="2:10" ht="15" customHeight="1">
      <c r="B1925" s="1042" t="str">
        <f>'Смета Внутр'!B1932</f>
        <v xml:space="preserve">окна   </v>
      </c>
      <c r="C1925" s="1042" t="str">
        <f>'Смета Внутр'!C1932</f>
        <v>м2</v>
      </c>
      <c r="D1925" s="1058">
        <f>'Смета Внутр'!D1932</f>
        <v>1.2</v>
      </c>
      <c r="E1925" s="1042">
        <f>'Смета Внутр'!E1932</f>
        <v>3500</v>
      </c>
      <c r="F1925" s="1042">
        <f>'Смета Внутр'!F1932</f>
        <v>0</v>
      </c>
      <c r="G1925" s="1042">
        <f t="shared" ref="G1925:G1944" si="79">IF(E1925&gt;F1925,E1925,F1925)</f>
        <v>3500</v>
      </c>
      <c r="H1925" s="1042">
        <f>'Смета Внутр'!G1932</f>
        <v>4200</v>
      </c>
      <c r="I1925" s="1042">
        <f>'Смета Внутр'!H1932</f>
        <v>0</v>
      </c>
      <c r="J1925" s="1058">
        <f>'Смета Внутр'!I1932</f>
        <v>0</v>
      </c>
    </row>
    <row r="1926" spans="2:10" ht="15" customHeight="1">
      <c r="B1926" s="1042" t="str">
        <f>'Смета Внутр'!B1933</f>
        <v>подоконник</v>
      </c>
      <c r="C1926" s="1042" t="str">
        <f>'Смета Внутр'!C1933</f>
        <v>м.п.</v>
      </c>
      <c r="D1926" s="1058">
        <f>'Смета Внутр'!D1933</f>
        <v>1</v>
      </c>
      <c r="E1926" s="1042">
        <f>'Смета Внутр'!E1933</f>
        <v>200</v>
      </c>
      <c r="F1926" s="1042">
        <f>'Смета Внутр'!F1933</f>
        <v>0</v>
      </c>
      <c r="G1926" s="1042">
        <f t="shared" si="79"/>
        <v>200</v>
      </c>
      <c r="H1926" s="1042">
        <f>'Смета Внутр'!G1933</f>
        <v>200</v>
      </c>
      <c r="I1926" s="1042">
        <f>'Смета Внутр'!H1933</f>
        <v>0</v>
      </c>
      <c r="J1926" s="1058">
        <f>'Смета Внутр'!I1933</f>
        <v>0</v>
      </c>
    </row>
    <row r="1927" spans="2:10" ht="15" customHeight="1">
      <c r="B1927" s="1042" t="str">
        <f>'Смета Внутр'!B1934</f>
        <v>направляющие для откосов внутр</v>
      </c>
      <c r="C1927" s="1042" t="str">
        <f>'Смета Внутр'!C1934</f>
        <v>шт</v>
      </c>
      <c r="D1927" s="1058">
        <f>'Смета Внутр'!D1934</f>
        <v>3.4000000000000004</v>
      </c>
      <c r="E1927" s="1042">
        <f>'Смета Внутр'!E1934</f>
        <v>50</v>
      </c>
      <c r="F1927" s="1042">
        <f>'Смета Внутр'!F1934</f>
        <v>0</v>
      </c>
      <c r="G1927" s="1042">
        <f t="shared" si="79"/>
        <v>50</v>
      </c>
      <c r="H1927" s="1042">
        <f>'Смета Внутр'!G1934</f>
        <v>170.00000000000003</v>
      </c>
      <c r="I1927" s="1042">
        <f>'Смета Внутр'!H1934</f>
        <v>0</v>
      </c>
      <c r="J1927" s="1058">
        <f>'Смета Внутр'!I1934</f>
        <v>0</v>
      </c>
    </row>
    <row r="1928" spans="2:10" ht="15" customHeight="1">
      <c r="B1928" s="1042" t="str">
        <f>'Смета Внутр'!B1935</f>
        <v>откосы внутр</v>
      </c>
      <c r="C1928" s="1042" t="str">
        <f>'Смета Внутр'!C1935</f>
        <v>шт</v>
      </c>
      <c r="D1928" s="1058">
        <f>'Смета Внутр'!D1935</f>
        <v>3.4000000000000004</v>
      </c>
      <c r="E1928" s="1042">
        <f>'Смета Внутр'!E1935</f>
        <v>100</v>
      </c>
      <c r="F1928" s="1042">
        <f>'Смета Внутр'!F1935</f>
        <v>0</v>
      </c>
      <c r="G1928" s="1042">
        <f t="shared" si="79"/>
        <v>100</v>
      </c>
      <c r="H1928" s="1042">
        <f>'Смета Внутр'!G1935</f>
        <v>340.00000000000006</v>
      </c>
      <c r="I1928" s="1042">
        <f>'Смета Внутр'!H1935</f>
        <v>0</v>
      </c>
      <c r="J1928" s="1058">
        <f>'Смета Внутр'!I1935</f>
        <v>0</v>
      </c>
    </row>
    <row r="1929" spans="2:10" ht="15" customHeight="1">
      <c r="B1929" s="1042" t="str">
        <f>'Смета Внутр'!B1936</f>
        <v>уголок для откосов внутр</v>
      </c>
      <c r="C1929" s="1042" t="str">
        <f>'Смета Внутр'!C1936</f>
        <v>шт</v>
      </c>
      <c r="D1929" s="1058">
        <f>'Смета Внутр'!D1936</f>
        <v>3.4000000000000004</v>
      </c>
      <c r="E1929" s="1042">
        <f>'Смета Внутр'!E1936</f>
        <v>50</v>
      </c>
      <c r="F1929" s="1042">
        <f>'Смета Внутр'!F1936</f>
        <v>0</v>
      </c>
      <c r="G1929" s="1042">
        <f t="shared" si="79"/>
        <v>50</v>
      </c>
      <c r="H1929" s="1042">
        <f>'Смета Внутр'!G1936</f>
        <v>170.00000000000003</v>
      </c>
      <c r="I1929" s="1042">
        <f>'Смета Внутр'!H1936</f>
        <v>0</v>
      </c>
      <c r="J1929" s="1058">
        <f>'Смета Внутр'!I1936</f>
        <v>0</v>
      </c>
    </row>
    <row r="1930" spans="2:10" ht="15" customHeight="1">
      <c r="B1930" s="1042" t="str">
        <f>'Смета Внутр'!B1937</f>
        <v>отлив</v>
      </c>
      <c r="C1930" s="1042" t="str">
        <f>'Смета Внутр'!C1937</f>
        <v>шт</v>
      </c>
      <c r="D1930" s="1058">
        <f>'Смета Внутр'!D1937</f>
        <v>0</v>
      </c>
      <c r="E1930" s="1042">
        <f>'Смета Внутр'!E1937</f>
        <v>130</v>
      </c>
      <c r="F1930" s="1042">
        <f>'Смета Внутр'!F1937</f>
        <v>0</v>
      </c>
      <c r="G1930" s="1042">
        <f t="shared" si="79"/>
        <v>130</v>
      </c>
      <c r="H1930" s="1042">
        <f>'Смета Внутр'!G1937</f>
        <v>0</v>
      </c>
      <c r="I1930" s="1042">
        <f>'Смета Внутр'!H1937</f>
        <v>0</v>
      </c>
      <c r="J1930" s="1058">
        <f>'Смета Внутр'!I1937</f>
        <v>0</v>
      </c>
    </row>
    <row r="1931" spans="2:10" ht="15" customHeight="1">
      <c r="B1931" s="1042" t="str">
        <f>'Смета Внутр'!B1938</f>
        <v>откосы нар</v>
      </c>
      <c r="C1931" s="1042" t="str">
        <f>'Смета Внутр'!C1938</f>
        <v>шт</v>
      </c>
      <c r="D1931" s="1058">
        <f>'Смета Внутр'!D1938</f>
        <v>0</v>
      </c>
      <c r="E1931" s="1042">
        <f>'Смета Внутр'!E1938</f>
        <v>150</v>
      </c>
      <c r="F1931" s="1042">
        <f>'Смета Внутр'!F1938</f>
        <v>0</v>
      </c>
      <c r="G1931" s="1042">
        <f t="shared" si="79"/>
        <v>150</v>
      </c>
      <c r="H1931" s="1042">
        <f>'Смета Внутр'!G1938</f>
        <v>0</v>
      </c>
      <c r="I1931" s="1042">
        <f>'Смета Внутр'!H1938</f>
        <v>0</v>
      </c>
      <c r="J1931" s="1058">
        <f>'Смета Внутр'!I1938</f>
        <v>0</v>
      </c>
    </row>
    <row r="1932" spans="2:10" ht="15" customHeight="1">
      <c r="B1932" s="1042" t="str">
        <f>'Смета Внутр'!B1939</f>
        <v>направляющие для откосов нар</v>
      </c>
      <c r="C1932" s="1042" t="str">
        <f>'Смета Внутр'!C1939</f>
        <v>шт</v>
      </c>
      <c r="D1932" s="1058">
        <f>'Смета Внутр'!D1939</f>
        <v>0</v>
      </c>
      <c r="E1932" s="1042">
        <f>'Смета Внутр'!E1939</f>
        <v>80</v>
      </c>
      <c r="F1932" s="1042">
        <f>'Смета Внутр'!F1939</f>
        <v>0</v>
      </c>
      <c r="G1932" s="1042">
        <f t="shared" si="79"/>
        <v>80</v>
      </c>
      <c r="H1932" s="1042">
        <f>'Смета Внутр'!G1939</f>
        <v>0</v>
      </c>
      <c r="I1932" s="1042">
        <f>'Смета Внутр'!H1939</f>
        <v>0</v>
      </c>
      <c r="J1932" s="1058">
        <f>'Смета Внутр'!I1939</f>
        <v>0</v>
      </c>
    </row>
    <row r="1933" spans="2:10" ht="15" customHeight="1">
      <c r="B1933" s="1042" t="str">
        <f>'Смета Внутр'!B1940</f>
        <v>уголок для откосов нар</v>
      </c>
      <c r="C1933" s="1042" t="str">
        <f>'Смета Внутр'!C1940</f>
        <v>шт</v>
      </c>
      <c r="D1933" s="1058">
        <f>'Смета Внутр'!D1940</f>
        <v>0</v>
      </c>
      <c r="E1933" s="1042">
        <f>'Смета Внутр'!E1940</f>
        <v>60</v>
      </c>
      <c r="F1933" s="1042">
        <f>'Смета Внутр'!F1940</f>
        <v>0</v>
      </c>
      <c r="G1933" s="1042">
        <f t="shared" si="79"/>
        <v>60</v>
      </c>
      <c r="H1933" s="1042">
        <f>'Смета Внутр'!G1940</f>
        <v>0</v>
      </c>
      <c r="I1933" s="1042">
        <f>'Смета Внутр'!H1940</f>
        <v>0</v>
      </c>
      <c r="J1933" s="1058">
        <f>'Смета Внутр'!I1940</f>
        <v>0</v>
      </c>
    </row>
    <row r="1934" spans="2:10" ht="15" customHeight="1">
      <c r="B1934" s="1042" t="str">
        <f>'Смета Внутр'!B1941</f>
        <v>ветроизоляция окон</v>
      </c>
      <c r="C1934" s="1042" t="str">
        <f>'Смета Внутр'!C1941</f>
        <v>м.п.</v>
      </c>
      <c r="D1934" s="1058">
        <f>'Смета Внутр'!D1941</f>
        <v>0</v>
      </c>
      <c r="E1934" s="1042">
        <f>'Смета Внутр'!E1941</f>
        <v>40</v>
      </c>
      <c r="F1934" s="1042">
        <f>'Смета Внутр'!F1941</f>
        <v>0</v>
      </c>
      <c r="G1934" s="1042">
        <f t="shared" si="79"/>
        <v>40</v>
      </c>
      <c r="H1934" s="1042">
        <f>'Смета Внутр'!G1941</f>
        <v>0</v>
      </c>
      <c r="I1934" s="1042">
        <f>'Смета Внутр'!H1941</f>
        <v>0</v>
      </c>
      <c r="J1934" s="1058">
        <f>'Смета Внутр'!I1941</f>
        <v>0</v>
      </c>
    </row>
    <row r="1935" spans="2:10" ht="15" customHeight="1">
      <c r="B1935" s="1042" t="str">
        <f>'Смета Внутр'!B1942</f>
        <v>пароизоляция окон</v>
      </c>
      <c r="C1935" s="1042" t="str">
        <f>'Смета Внутр'!C1942</f>
        <v>шт</v>
      </c>
      <c r="D1935" s="1058">
        <f>'Смета Внутр'!D1942</f>
        <v>3.4000000000000004</v>
      </c>
      <c r="E1935" s="1042">
        <f>'Смета Внутр'!E1942</f>
        <v>40</v>
      </c>
      <c r="F1935" s="1042">
        <f>'Смета Внутр'!F1942</f>
        <v>0</v>
      </c>
      <c r="G1935" s="1042">
        <f t="shared" si="79"/>
        <v>40</v>
      </c>
      <c r="H1935" s="1042">
        <f>'Смета Внутр'!G1942</f>
        <v>136</v>
      </c>
      <c r="I1935" s="1042">
        <f>'Смета Внутр'!H1942</f>
        <v>0</v>
      </c>
      <c r="J1935" s="1058">
        <f>'Смета Внутр'!I1942</f>
        <v>0</v>
      </c>
    </row>
    <row r="1936" spans="2:10" ht="15" customHeight="1">
      <c r="B1936" s="1042" t="str">
        <f>'Смета Внутр'!B1943</f>
        <v>крепления</v>
      </c>
      <c r="C1936" s="1042" t="str">
        <f>'Смета Внутр'!C1943</f>
        <v>шт</v>
      </c>
      <c r="D1936" s="1058">
        <f>'Смета Внутр'!D1943</f>
        <v>8</v>
      </c>
      <c r="E1936" s="1042">
        <f>'Смета Внутр'!E1943</f>
        <v>15</v>
      </c>
      <c r="F1936" s="1042">
        <f>'Смета Внутр'!F1943</f>
        <v>0</v>
      </c>
      <c r="G1936" s="1042">
        <f t="shared" si="79"/>
        <v>15</v>
      </c>
      <c r="H1936" s="1042">
        <f>'Смета Внутр'!G1943</f>
        <v>120</v>
      </c>
      <c r="I1936" s="1042">
        <f>'Смета Внутр'!H1943</f>
        <v>0</v>
      </c>
      <c r="J1936" s="1058">
        <f>'Смета Внутр'!I1943</f>
        <v>0</v>
      </c>
    </row>
    <row r="1937" spans="2:10" ht="15" customHeight="1">
      <c r="B1937" s="1042" t="str">
        <f>'Смета Внутр'!B1944</f>
        <v>Пена монтажная, всесезонняя 800мл</v>
      </c>
      <c r="C1937" s="1042" t="str">
        <f>'Смета Внутр'!C1944</f>
        <v>шт</v>
      </c>
      <c r="D1937" s="1058">
        <f>'Смета Внутр'!D1944</f>
        <v>1</v>
      </c>
      <c r="E1937" s="1042">
        <f>'Смета Внутр'!E1944</f>
        <v>300</v>
      </c>
      <c r="F1937" s="1042">
        <f>'Смета Внутр'!F1944</f>
        <v>0</v>
      </c>
      <c r="G1937" s="1042">
        <f t="shared" si="79"/>
        <v>300</v>
      </c>
      <c r="H1937" s="1042">
        <f>'Смета Внутр'!G1944</f>
        <v>300</v>
      </c>
      <c r="I1937" s="1042">
        <f>'Смета Внутр'!H1944</f>
        <v>0</v>
      </c>
      <c r="J1937" s="1058">
        <f>'Смета Внутр'!I1944</f>
        <v>0</v>
      </c>
    </row>
    <row r="1938" spans="2:10" ht="15" customHeight="1">
      <c r="B1938" s="1042" t="str">
        <f>'Смета Внутр'!B1945</f>
        <v>Французские окна</v>
      </c>
      <c r="C1938" s="1042" t="str">
        <f>'Смета Внутр'!C1945</f>
        <v>м2</v>
      </c>
      <c r="D1938" s="1058">
        <f>'Смета Внутр'!D1945</f>
        <v>0</v>
      </c>
      <c r="E1938" s="1042">
        <f>'Смета Внутр'!E1945</f>
        <v>6000</v>
      </c>
      <c r="F1938" s="1042">
        <f>'Смета Внутр'!F1945</f>
        <v>0</v>
      </c>
      <c r="G1938" s="1042">
        <f t="shared" si="79"/>
        <v>6000</v>
      </c>
      <c r="H1938" s="1042">
        <f>'Смета Внутр'!G1945</f>
        <v>0</v>
      </c>
      <c r="I1938" s="1042">
        <f>'Смета Внутр'!H1945</f>
        <v>0</v>
      </c>
      <c r="J1938" s="1058">
        <f>'Смета Внутр'!I1945</f>
        <v>0</v>
      </c>
    </row>
    <row r="1939" spans="2:10" ht="15" customHeight="1">
      <c r="B1939" s="1042" t="str">
        <f>'Смета Внутр'!B1946</f>
        <v>анкерный болт для крепления окно фр</v>
      </c>
      <c r="C1939" s="1042" t="str">
        <f>'Смета Внутр'!C1946</f>
        <v>шт</v>
      </c>
      <c r="D1939" s="1058">
        <f>'Смета Внутр'!D1946</f>
        <v>0</v>
      </c>
      <c r="E1939" s="1042">
        <f>'Смета Внутр'!E1946</f>
        <v>20</v>
      </c>
      <c r="F1939" s="1042">
        <f>'Смета Внутр'!F1946</f>
        <v>0</v>
      </c>
      <c r="G1939" s="1042">
        <f t="shared" si="79"/>
        <v>20</v>
      </c>
      <c r="H1939" s="1042">
        <f>'Смета Внутр'!G1946</f>
        <v>0</v>
      </c>
      <c r="I1939" s="1042">
        <f>'Смета Внутр'!H1946</f>
        <v>0</v>
      </c>
      <c r="J1939" s="1058">
        <f>'Смета Внутр'!I1946</f>
        <v>0</v>
      </c>
    </row>
    <row r="1940" spans="2:10" ht="15" customHeight="1">
      <c r="B1940" s="1042" t="str">
        <f>'Смета Внутр'!B1947</f>
        <v>Пена монтажная, всесезонняя 800мл</v>
      </c>
      <c r="C1940" s="1042" t="str">
        <f>'Смета Внутр'!C1947</f>
        <v>шт</v>
      </c>
      <c r="D1940" s="1058">
        <f>'Смета Внутр'!D1947</f>
        <v>0</v>
      </c>
      <c r="E1940" s="1042">
        <f>'Смета Внутр'!E1947</f>
        <v>300</v>
      </c>
      <c r="F1940" s="1042">
        <f>'Смета Внутр'!F1947</f>
        <v>0</v>
      </c>
      <c r="G1940" s="1042">
        <f t="shared" si="79"/>
        <v>300</v>
      </c>
      <c r="H1940" s="1042">
        <f>'Смета Внутр'!G1947</f>
        <v>0</v>
      </c>
      <c r="I1940" s="1042">
        <f>'Смета Внутр'!H1947</f>
        <v>0</v>
      </c>
      <c r="J1940" s="1058">
        <f>'Смета Внутр'!I1947</f>
        <v>0</v>
      </c>
    </row>
    <row r="1941" spans="2:10" ht="15" customHeight="1">
      <c r="B1941" s="1042" t="str">
        <f>'Смета Внутр'!B1948</f>
        <v>пластины для крепления</v>
      </c>
      <c r="C1941" s="1042" t="str">
        <f>'Смета Внутр'!C1948</f>
        <v>шт</v>
      </c>
      <c r="D1941" s="1058">
        <f>'Смета Внутр'!D1948</f>
        <v>0</v>
      </c>
      <c r="E1941" s="1042">
        <f>'Смета Внутр'!E1948</f>
        <v>25</v>
      </c>
      <c r="F1941" s="1042">
        <f>'Смета Внутр'!F1948</f>
        <v>0</v>
      </c>
      <c r="G1941" s="1042">
        <f t="shared" si="79"/>
        <v>25</v>
      </c>
      <c r="H1941" s="1042">
        <f>'Смета Внутр'!G1948</f>
        <v>0</v>
      </c>
      <c r="I1941" s="1042">
        <f>'Смета Внутр'!H1948</f>
        <v>0</v>
      </c>
      <c r="J1941" s="1058">
        <f>'Смета Внутр'!I1948</f>
        <v>0</v>
      </c>
    </row>
    <row r="1942" spans="2:10" ht="15" customHeight="1">
      <c r="B1942" s="1042" t="str">
        <f>'Смета Внутр'!B1949</f>
        <v>Двери входные</v>
      </c>
      <c r="C1942" s="1042" t="str">
        <f>'Смета Внутр'!C1949</f>
        <v>шт</v>
      </c>
      <c r="D1942" s="1058">
        <f>'Смета Внутр'!D1949</f>
        <v>0</v>
      </c>
      <c r="E1942" s="1042">
        <f>'Смета Внутр'!E1949</f>
        <v>12000</v>
      </c>
      <c r="F1942" s="1042">
        <f>'Смета Внутр'!F1949</f>
        <v>0</v>
      </c>
      <c r="G1942" s="1042">
        <f t="shared" si="79"/>
        <v>12000</v>
      </c>
      <c r="H1942" s="1042">
        <f>'Смета Внутр'!G1949</f>
        <v>0</v>
      </c>
      <c r="I1942" s="1042">
        <f>'Смета Внутр'!H1949</f>
        <v>0</v>
      </c>
      <c r="J1942" s="1058">
        <f>'Смета Внутр'!I1949</f>
        <v>0</v>
      </c>
    </row>
    <row r="1943" spans="2:10" ht="15" customHeight="1">
      <c r="B1943" s="1042" t="str">
        <f>'Смета Внутр'!B1950</f>
        <v>Анкер болт, 12*200</v>
      </c>
      <c r="C1943" s="1042" t="str">
        <f>'Смета Внутр'!C1950</f>
        <v>шт</v>
      </c>
      <c r="D1943" s="1058">
        <f>'Смета Внутр'!D1950</f>
        <v>0</v>
      </c>
      <c r="E1943" s="1042">
        <f>'Смета Внутр'!E1950</f>
        <v>0</v>
      </c>
      <c r="F1943" s="1042">
        <f>'Смета Внутр'!F1950</f>
        <v>0</v>
      </c>
      <c r="G1943" s="1042">
        <f t="shared" si="79"/>
        <v>0</v>
      </c>
      <c r="H1943" s="1042">
        <f>'Смета Внутр'!G1950</f>
        <v>0</v>
      </c>
      <c r="I1943" s="1042">
        <f>'Смета Внутр'!H1950</f>
        <v>0</v>
      </c>
      <c r="J1943" s="1058">
        <f>'Смета Внутр'!I1950</f>
        <v>0</v>
      </c>
    </row>
    <row r="1944" spans="2:10" ht="15" customHeight="1">
      <c r="B1944" s="1042" t="str">
        <f>'Смета Внутр'!B1951</f>
        <v>Пена монтажная</v>
      </c>
      <c r="C1944" s="1042" t="str">
        <f>'Смета Внутр'!C1951</f>
        <v>шт</v>
      </c>
      <c r="D1944" s="1058">
        <f>'Смета Внутр'!D1951</f>
        <v>0</v>
      </c>
      <c r="E1944" s="1042">
        <f>'Смета Внутр'!E1951</f>
        <v>0</v>
      </c>
      <c r="F1944" s="1042">
        <f>'Смета Внутр'!F1951</f>
        <v>0</v>
      </c>
      <c r="G1944" s="1042">
        <f t="shared" si="79"/>
        <v>0</v>
      </c>
      <c r="H1944" s="1042">
        <f>'Смета Внутр'!G1951</f>
        <v>0</v>
      </c>
      <c r="I1944" s="1042">
        <f>'Смета Внутр'!H1951</f>
        <v>0</v>
      </c>
      <c r="J1944" s="1058">
        <f>'Смета Внутр'!I1951</f>
        <v>0</v>
      </c>
    </row>
    <row r="1945" spans="2:10">
      <c r="B1945" s="3330" t="str">
        <f>'Смета Внутр'!B1952</f>
        <v>Итого материалы</v>
      </c>
      <c r="C1945" s="3330"/>
      <c r="D1945" s="3330"/>
      <c r="E1945" s="3330"/>
      <c r="F1945" s="3330"/>
      <c r="G1945" s="3330"/>
      <c r="H1945" s="1042">
        <f>'Смета Внутр'!G1952</f>
        <v>0</v>
      </c>
      <c r="I1945" s="1042">
        <f>'Смета Внутр'!H1952</f>
        <v>0</v>
      </c>
      <c r="J1945" s="1058">
        <f>'Смета Внутр'!I1952</f>
        <v>0</v>
      </c>
    </row>
    <row r="1946" spans="2:10" ht="15" customHeight="1">
      <c r="B1946" s="3002" t="str">
        <f>'Смета Внутр'!B1953</f>
        <v>Работы</v>
      </c>
      <c r="D1946" s="1167"/>
      <c r="H1946">
        <f>'Смета Внутр'!G1953</f>
        <v>0</v>
      </c>
      <c r="I1946">
        <f>'Смета Внутр'!H1953</f>
        <v>0</v>
      </c>
      <c r="J1946" s="3027">
        <f>'Смета Внутр'!I1953</f>
        <v>0</v>
      </c>
    </row>
    <row r="1947" spans="2:10" ht="15" customHeight="1">
      <c r="B1947" s="1042" t="str">
        <f>'Смета Внутр'!B1954</f>
        <v>монтаж окон</v>
      </c>
      <c r="C1947" s="1042" t="str">
        <f>'Смета Внутр'!C1954</f>
        <v>шт</v>
      </c>
      <c r="D1947" s="1058">
        <f>'Смета Внутр'!D1954</f>
        <v>1</v>
      </c>
      <c r="E1947" s="1042">
        <f>'Смета Внутр'!E1954</f>
        <v>1000</v>
      </c>
      <c r="F1947" s="1042">
        <f>'Смета Внутр'!F1954</f>
        <v>0</v>
      </c>
      <c r="G1947" s="1042">
        <f t="shared" ref="G1947:G1959" si="80">IF(E1947&gt;F1947,E1947,F1947)</f>
        <v>1000</v>
      </c>
      <c r="H1947" s="1042">
        <f>'Смета Внутр'!G1954</f>
        <v>1000</v>
      </c>
      <c r="I1947" s="1042">
        <f>'Смета Внутр'!H1954</f>
        <v>0</v>
      </c>
      <c r="J1947" s="1058">
        <f>'Смета Внутр'!I1954</f>
        <v>0</v>
      </c>
    </row>
    <row r="1948" spans="2:10" ht="15" customHeight="1">
      <c r="B1948" s="1042" t="str">
        <f>'Смета Внутр'!B1955</f>
        <v>монтаж подоконника</v>
      </c>
      <c r="C1948" s="1042" t="str">
        <f>'Смета Внутр'!C1955</f>
        <v>шт</v>
      </c>
      <c r="D1948" s="1058">
        <f>'Смета Внутр'!D1955</f>
        <v>1</v>
      </c>
      <c r="E1948" s="1042">
        <f>'Смета Внутр'!E1955</f>
        <v>400</v>
      </c>
      <c r="F1948" s="1042">
        <f>'Смета Внутр'!F1955</f>
        <v>0</v>
      </c>
      <c r="G1948" s="1042">
        <f t="shared" si="80"/>
        <v>400</v>
      </c>
      <c r="H1948" s="1042">
        <f>'Смета Внутр'!G1955</f>
        <v>400</v>
      </c>
      <c r="I1948" s="1042">
        <f>'Смета Внутр'!H1955</f>
        <v>0</v>
      </c>
      <c r="J1948" s="1058">
        <f>'Смета Внутр'!I1955</f>
        <v>0</v>
      </c>
    </row>
    <row r="1949" spans="2:10" ht="15" customHeight="1">
      <c r="B1949" s="1042" t="str">
        <f>'Смета Внутр'!B1956</f>
        <v>монтаж откосов вн</v>
      </c>
      <c r="C1949" s="1042" t="str">
        <f>'Смета Внутр'!C1956</f>
        <v>шт</v>
      </c>
      <c r="D1949" s="1058">
        <f>'Смета Внутр'!D1956</f>
        <v>3.4000000000000004</v>
      </c>
      <c r="E1949" s="1042">
        <f>'Смета Внутр'!E1956</f>
        <v>150</v>
      </c>
      <c r="F1949" s="1042">
        <f>'Смета Внутр'!F1956</f>
        <v>0</v>
      </c>
      <c r="G1949" s="1042">
        <f t="shared" si="80"/>
        <v>150</v>
      </c>
      <c r="H1949" s="1042">
        <f>'Смета Внутр'!G1956</f>
        <v>510.00000000000006</v>
      </c>
      <c r="I1949" s="1042">
        <f>'Смета Внутр'!H1956</f>
        <v>0</v>
      </c>
      <c r="J1949" s="1058">
        <f>'Смета Внутр'!I1956</f>
        <v>0</v>
      </c>
    </row>
    <row r="1950" spans="2:10" ht="15" customHeight="1">
      <c r="B1950" s="1042" t="str">
        <f>'Смета Внутр'!B1957</f>
        <v>монтаж направл вн</v>
      </c>
      <c r="C1950" s="1042" t="str">
        <f>'Смета Внутр'!C1957</f>
        <v>шт</v>
      </c>
      <c r="D1950" s="1058">
        <f>'Смета Внутр'!D1957</f>
        <v>3.4000000000000004</v>
      </c>
      <c r="E1950" s="1042">
        <f>'Смета Внутр'!E1957</f>
        <v>50</v>
      </c>
      <c r="F1950" s="1042">
        <f>'Смета Внутр'!F1957</f>
        <v>0</v>
      </c>
      <c r="G1950" s="1042">
        <f t="shared" si="80"/>
        <v>50</v>
      </c>
      <c r="H1950" s="1042">
        <f>'Смета Внутр'!G1957</f>
        <v>170.00000000000003</v>
      </c>
      <c r="I1950" s="1042">
        <f>'Смета Внутр'!H1957</f>
        <v>0</v>
      </c>
      <c r="J1950" s="1058">
        <f>'Смета Внутр'!I1957</f>
        <v>0</v>
      </c>
    </row>
    <row r="1951" spans="2:10" ht="15" customHeight="1">
      <c r="B1951" s="1042" t="str">
        <f>'Смета Внутр'!B1958</f>
        <v>монтаж уголков вн</v>
      </c>
      <c r="C1951" s="1042" t="str">
        <f>'Смета Внутр'!C1958</f>
        <v>шт</v>
      </c>
      <c r="D1951" s="1058">
        <f>'Смета Внутр'!D1958</f>
        <v>3.4000000000000004</v>
      </c>
      <c r="E1951" s="1042">
        <f>'Смета Внутр'!E1958</f>
        <v>50</v>
      </c>
      <c r="F1951" s="1042">
        <f>'Смета Внутр'!F1958</f>
        <v>0</v>
      </c>
      <c r="G1951" s="1042">
        <f t="shared" si="80"/>
        <v>50</v>
      </c>
      <c r="H1951" s="1042">
        <f>'Смета Внутр'!G1958</f>
        <v>170.00000000000003</v>
      </c>
      <c r="I1951" s="1042">
        <f>'Смета Внутр'!H1958</f>
        <v>0</v>
      </c>
      <c r="J1951" s="1058">
        <f>'Смета Внутр'!I1958</f>
        <v>0</v>
      </c>
    </row>
    <row r="1952" spans="2:10" ht="15" customHeight="1">
      <c r="B1952" s="1042" t="str">
        <f>'Смета Внутр'!B1959</f>
        <v>монтаж отлива</v>
      </c>
      <c r="C1952" s="1042" t="str">
        <f>'Смета Внутр'!C1959</f>
        <v>шт</v>
      </c>
      <c r="D1952" s="1058">
        <f>'Смета Внутр'!D1959</f>
        <v>0</v>
      </c>
      <c r="E1952" s="1042">
        <f>'Смета Внутр'!E1959</f>
        <v>150</v>
      </c>
      <c r="F1952" s="1042">
        <f>'Смета Внутр'!F1959</f>
        <v>0</v>
      </c>
      <c r="G1952" s="1042">
        <f t="shared" si="80"/>
        <v>150</v>
      </c>
      <c r="H1952" s="1042">
        <f>'Смета Внутр'!G1959</f>
        <v>0</v>
      </c>
      <c r="I1952" s="1042">
        <f>'Смета Внутр'!H1959</f>
        <v>0</v>
      </c>
      <c r="J1952" s="1058">
        <f>'Смета Внутр'!I1959</f>
        <v>0</v>
      </c>
    </row>
    <row r="1953" spans="2:10" ht="15" customHeight="1">
      <c r="B1953" s="1042" t="str">
        <f>'Смета Внутр'!B1960</f>
        <v>монтаж откосов</v>
      </c>
      <c r="C1953" s="1042" t="str">
        <f>'Смета Внутр'!C1960</f>
        <v>шт</v>
      </c>
      <c r="D1953" s="1058">
        <f>'Смета Внутр'!D1960</f>
        <v>0</v>
      </c>
      <c r="E1953" s="1042">
        <f>'Смета Внутр'!E1960</f>
        <v>250</v>
      </c>
      <c r="F1953" s="1042">
        <f>'Смета Внутр'!F1960</f>
        <v>0</v>
      </c>
      <c r="G1953" s="1042">
        <f t="shared" si="80"/>
        <v>250</v>
      </c>
      <c r="H1953" s="1042">
        <f>'Смета Внутр'!G1960</f>
        <v>0</v>
      </c>
      <c r="I1953" s="1042">
        <f>'Смета Внутр'!H1960</f>
        <v>0</v>
      </c>
      <c r="J1953" s="1058">
        <f>'Смета Внутр'!I1960</f>
        <v>0</v>
      </c>
    </row>
    <row r="1954" spans="2:10" ht="15" customHeight="1">
      <c r="B1954" s="1042" t="str">
        <f>'Смета Внутр'!B1961</f>
        <v>монтаж направляющ</v>
      </c>
      <c r="C1954" s="1042" t="str">
        <f>'Смета Внутр'!C1961</f>
        <v>шт</v>
      </c>
      <c r="D1954" s="1058">
        <f>'Смета Внутр'!D1961</f>
        <v>0</v>
      </c>
      <c r="E1954" s="1042">
        <f>'Смета Внутр'!E1961</f>
        <v>50</v>
      </c>
      <c r="F1954" s="1042">
        <f>'Смета Внутр'!F1961</f>
        <v>0</v>
      </c>
      <c r="G1954" s="1042">
        <f t="shared" si="80"/>
        <v>50</v>
      </c>
      <c r="H1954" s="1042">
        <f>'Смета Внутр'!G1961</f>
        <v>0</v>
      </c>
      <c r="I1954" s="1042">
        <f>'Смета Внутр'!H1961</f>
        <v>0</v>
      </c>
      <c r="J1954" s="1058">
        <f>'Смета Внутр'!I1961</f>
        <v>0</v>
      </c>
    </row>
    <row r="1955" spans="2:10" ht="15" customHeight="1">
      <c r="B1955" s="1042" t="str">
        <f>'Смета Внутр'!B1962</f>
        <v>монтаж уголков</v>
      </c>
      <c r="C1955" s="1042" t="str">
        <f>'Смета Внутр'!C1962</f>
        <v>шт</v>
      </c>
      <c r="D1955" s="1058">
        <f>'Смета Внутр'!D1962</f>
        <v>0</v>
      </c>
      <c r="E1955" s="1042">
        <f>'Смета Внутр'!E1962</f>
        <v>50</v>
      </c>
      <c r="F1955" s="1042">
        <f>'Смета Внутр'!F1962</f>
        <v>0</v>
      </c>
      <c r="G1955" s="1042">
        <f t="shared" si="80"/>
        <v>50</v>
      </c>
      <c r="H1955" s="1042">
        <f>'Смета Внутр'!G1962</f>
        <v>0</v>
      </c>
      <c r="I1955" s="1042">
        <f>'Смета Внутр'!H1962</f>
        <v>0</v>
      </c>
      <c r="J1955" s="1058">
        <f>'Смета Внутр'!I1962</f>
        <v>0</v>
      </c>
    </row>
    <row r="1956" spans="2:10" ht="15" customHeight="1">
      <c r="B1956" s="1042" t="str">
        <f>'Смета Внутр'!B1963</f>
        <v>монтаж ветроизоляции</v>
      </c>
      <c r="C1956" s="1042" t="str">
        <f>'Смета Внутр'!C1963</f>
        <v>м.п.</v>
      </c>
      <c r="D1956" s="1058">
        <f>'Смета Внутр'!D1963</f>
        <v>0</v>
      </c>
      <c r="E1956" s="1042">
        <f>'Смета Внутр'!E1963</f>
        <v>50</v>
      </c>
      <c r="F1956" s="1042">
        <f>'Смета Внутр'!F1963</f>
        <v>0</v>
      </c>
      <c r="G1956" s="1042">
        <f t="shared" si="80"/>
        <v>50</v>
      </c>
      <c r="H1956" s="1042">
        <f>'Смета Внутр'!G1963</f>
        <v>0</v>
      </c>
      <c r="I1956" s="1042">
        <f>'Смета Внутр'!H1963</f>
        <v>0</v>
      </c>
      <c r="J1956" s="1058">
        <f>'Смета Внутр'!I1963</f>
        <v>0</v>
      </c>
    </row>
    <row r="1957" spans="2:10" ht="15" customHeight="1">
      <c r="B1957" s="1042" t="str">
        <f>'Смета Внутр'!B1964</f>
        <v>монтаж пароизоляции</v>
      </c>
      <c r="C1957" s="1042" t="str">
        <f>'Смета Внутр'!C1964</f>
        <v>м.п.</v>
      </c>
      <c r="D1957" s="1058">
        <f>'Смета Внутр'!D1964</f>
        <v>3.4000000000000004</v>
      </c>
      <c r="E1957" s="1042">
        <f>'Смета Внутр'!E1964</f>
        <v>50</v>
      </c>
      <c r="F1957" s="1042">
        <f>'Смета Внутр'!F1964</f>
        <v>0</v>
      </c>
      <c r="G1957" s="1042">
        <f t="shared" si="80"/>
        <v>50</v>
      </c>
      <c r="H1957" s="1042">
        <f>'Смета Внутр'!G1964</f>
        <v>170.00000000000003</v>
      </c>
      <c r="I1957" s="1042">
        <f>'Смета Внутр'!H1964</f>
        <v>0</v>
      </c>
      <c r="J1957" s="1058">
        <f>'Смета Внутр'!I1964</f>
        <v>0</v>
      </c>
    </row>
    <row r="1958" spans="2:10" ht="15" customHeight="1">
      <c r="B1958" s="1042" t="str">
        <f>'Смета Внутр'!B1965</f>
        <v>Двери входные</v>
      </c>
      <c r="C1958" s="1042" t="str">
        <f>'Смета Внутр'!C1965</f>
        <v>шт</v>
      </c>
      <c r="D1958" s="1058">
        <f>'Смета Внутр'!D1965</f>
        <v>0</v>
      </c>
      <c r="E1958" s="1042">
        <f>'Смета Внутр'!E1965</f>
        <v>2000</v>
      </c>
      <c r="F1958" s="1042">
        <f>'Смета Внутр'!F1965</f>
        <v>0</v>
      </c>
      <c r="G1958" s="1042">
        <f t="shared" si="80"/>
        <v>2000</v>
      </c>
      <c r="H1958" s="1042">
        <f>'Смета Внутр'!G1965</f>
        <v>0</v>
      </c>
      <c r="I1958" s="1042">
        <f>'Смета Внутр'!H1965</f>
        <v>0</v>
      </c>
      <c r="J1958" s="1058">
        <f>'Смета Внутр'!I1965</f>
        <v>0</v>
      </c>
    </row>
    <row r="1959" spans="2:10" ht="15" customHeight="1">
      <c r="B1959" s="1042" t="str">
        <f>'Смета Внутр'!B1966</f>
        <v>монтаж франццзских окон</v>
      </c>
      <c r="C1959" s="1042" t="str">
        <f>'Смета Внутр'!C1966</f>
        <v>шт</v>
      </c>
      <c r="D1959" s="1058">
        <f>'Смета Внутр'!D1966</f>
        <v>0</v>
      </c>
      <c r="E1959" s="1042">
        <f>'Смета Внутр'!E1966</f>
        <v>4500</v>
      </c>
      <c r="F1959" s="1042">
        <f>'Смета Внутр'!F1966</f>
        <v>0</v>
      </c>
      <c r="G1959" s="1042">
        <f t="shared" si="80"/>
        <v>4500</v>
      </c>
      <c r="H1959" s="1042">
        <f>'Смета Внутр'!G1966</f>
        <v>0</v>
      </c>
      <c r="I1959" s="1042">
        <f>'Смета Внутр'!H1966</f>
        <v>0</v>
      </c>
      <c r="J1959" s="1058">
        <f>'Смета Внутр'!I1966</f>
        <v>0</v>
      </c>
    </row>
    <row r="1960" spans="2:10" ht="15" customHeight="1">
      <c r="B1960" s="3330" t="str">
        <f>'Смета Внутр'!B1967</f>
        <v>Итого работы</v>
      </c>
      <c r="C1960" s="3330"/>
      <c r="D1960" s="3330"/>
      <c r="E1960" s="3330"/>
      <c r="F1960" s="3330"/>
      <c r="G1960" s="3330"/>
      <c r="H1960" s="1042">
        <f>'Смета Внутр'!G1967</f>
        <v>0</v>
      </c>
      <c r="I1960" s="1042">
        <f>'Смета Внутр'!H1967</f>
        <v>0</v>
      </c>
      <c r="J1960" s="1058">
        <f>'Смета Внутр'!I1967</f>
        <v>0</v>
      </c>
    </row>
    <row r="1961" spans="2:10" ht="15" customHeight="1">
      <c r="B1961" s="3329" t="str">
        <f>'Смета Внутр'!B1968</f>
        <v>Лестница деревянная</v>
      </c>
      <c r="C1961" s="3329"/>
      <c r="D1961" s="3329"/>
      <c r="H1961">
        <f>'Смета Внутр'!G1968</f>
        <v>0</v>
      </c>
      <c r="I1961">
        <f>'Смета Внутр'!H1968</f>
        <v>0</v>
      </c>
      <c r="J1961" s="3027">
        <f>'Смета Внутр'!I1968</f>
        <v>0</v>
      </c>
    </row>
    <row r="1962" spans="2:10" ht="15" customHeight="1">
      <c r="B1962" s="3002" t="str">
        <f>'Смета Внутр'!B1969</f>
        <v>Материалы</v>
      </c>
      <c r="D1962" s="1167"/>
      <c r="H1962">
        <f>'Смета Внутр'!G1969</f>
        <v>0</v>
      </c>
      <c r="I1962">
        <f>'Смета Внутр'!H1969</f>
        <v>0</v>
      </c>
      <c r="J1962" s="3027">
        <f>'Смета Внутр'!I1969</f>
        <v>0</v>
      </c>
    </row>
    <row r="1963" spans="2:10" ht="15" customHeight="1">
      <c r="B1963" s="1042" t="str">
        <f>'Смета Внутр'!B1970</f>
        <v>ступени хвоя</v>
      </c>
      <c r="C1963" s="1042" t="str">
        <f>'Смета Внутр'!C1970</f>
        <v>шт</v>
      </c>
      <c r="D1963" s="1058">
        <f>'Смета Внутр'!D1970</f>
        <v>18</v>
      </c>
      <c r="E1963" s="1042">
        <f>'Смета Внутр'!E1970</f>
        <v>400</v>
      </c>
      <c r="F1963" s="1042">
        <f>'Смета Внутр'!F1970</f>
        <v>0</v>
      </c>
      <c r="G1963" s="1042">
        <f t="shared" ref="G1963:G1972" si="81">IF(E1963&gt;F1963,E1963,F1963)</f>
        <v>400</v>
      </c>
      <c r="H1963" s="1042">
        <f>'Смета Внутр'!G1970</f>
        <v>7200</v>
      </c>
      <c r="I1963" s="1042">
        <f>'Смета Внутр'!H1970</f>
        <v>0</v>
      </c>
      <c r="J1963" s="1058">
        <f>'Смета Внутр'!I1970</f>
        <v>0</v>
      </c>
    </row>
    <row r="1964" spans="2:10" ht="15" customHeight="1">
      <c r="B1964" s="1042" t="str">
        <f>'Смета Внутр'!B1971</f>
        <v>площадка хвоя</v>
      </c>
      <c r="C1964" s="1042" t="str">
        <f>'Смета Внутр'!C1971</f>
        <v>шт</v>
      </c>
      <c r="D1964" s="1058">
        <f>'Смета Внутр'!D1971</f>
        <v>1</v>
      </c>
      <c r="E1964" s="1042">
        <f>'Смета Внутр'!E1971</f>
        <v>2000</v>
      </c>
      <c r="F1964" s="1042">
        <f>'Смета Внутр'!F1971</f>
        <v>0</v>
      </c>
      <c r="G1964" s="1042">
        <f t="shared" si="81"/>
        <v>2000</v>
      </c>
      <c r="H1964" s="1042">
        <f>'Смета Внутр'!G1971</f>
        <v>2000</v>
      </c>
      <c r="I1964" s="1042">
        <f>'Смета Внутр'!H1971</f>
        <v>0</v>
      </c>
      <c r="J1964" s="1058">
        <f>'Смета Внутр'!I1971</f>
        <v>0</v>
      </c>
    </row>
    <row r="1965" spans="2:10" ht="15" customHeight="1">
      <c r="B1965" s="1042" t="str">
        <f>'Смета Внутр'!B1972</f>
        <v>столб под площадку, 2м</v>
      </c>
      <c r="C1965" s="1042" t="str">
        <f>'Смета Внутр'!C1972</f>
        <v>шт</v>
      </c>
      <c r="D1965" s="1058">
        <f>'Смета Внутр'!D1972</f>
        <v>4</v>
      </c>
      <c r="E1965" s="1042">
        <f>'Смета Внутр'!E1972</f>
        <v>1000</v>
      </c>
      <c r="F1965" s="1042">
        <f>'Смета Внутр'!F1972</f>
        <v>0</v>
      </c>
      <c r="G1965" s="1042">
        <f t="shared" si="81"/>
        <v>1000</v>
      </c>
      <c r="H1965" s="1042">
        <f>'Смета Внутр'!G1972</f>
        <v>4000</v>
      </c>
      <c r="I1965" s="1042">
        <f>'Смета Внутр'!H1972</f>
        <v>0</v>
      </c>
      <c r="J1965" s="1058">
        <f>'Смета Внутр'!I1972</f>
        <v>0</v>
      </c>
    </row>
    <row r="1966" spans="2:10" ht="15" customHeight="1">
      <c r="B1966" s="1042" t="str">
        <f>'Смета Внутр'!B1973</f>
        <v>столб обвязка перил 1 и 2 этажа</v>
      </c>
      <c r="C1966" s="1042" t="str">
        <f>'Смета Внутр'!C1973</f>
        <v>шт</v>
      </c>
      <c r="D1966" s="1058">
        <f>'Смета Внутр'!D1973</f>
        <v>1</v>
      </c>
      <c r="E1966" s="1042">
        <f>'Смета Внутр'!E1973</f>
        <v>900</v>
      </c>
      <c r="F1966" s="1042">
        <f>'Смета Внутр'!F1973</f>
        <v>0</v>
      </c>
      <c r="G1966" s="1042">
        <f t="shared" si="81"/>
        <v>900</v>
      </c>
      <c r="H1966" s="1042">
        <f>'Смета Внутр'!G1973</f>
        <v>900</v>
      </c>
      <c r="I1966" s="1042">
        <f>'Смета Внутр'!H1973</f>
        <v>0</v>
      </c>
      <c r="J1966" s="1058">
        <f>'Смета Внутр'!I1973</f>
        <v>0</v>
      </c>
    </row>
    <row r="1967" spans="2:10" ht="15" customHeight="1">
      <c r="B1967" s="1042" t="str">
        <f>'Смета Внутр'!B1974</f>
        <v>балясина 80*80, первая</v>
      </c>
      <c r="C1967" s="1042" t="str">
        <f>'Смета Внутр'!C1974</f>
        <v>шт</v>
      </c>
      <c r="D1967" s="1058">
        <f>'Смета Внутр'!D1974</f>
        <v>2</v>
      </c>
      <c r="E1967" s="1042">
        <f>'Смета Внутр'!E1974</f>
        <v>500</v>
      </c>
      <c r="F1967" s="1042">
        <f>'Смета Внутр'!F1974</f>
        <v>0</v>
      </c>
      <c r="G1967" s="1042">
        <f t="shared" si="81"/>
        <v>500</v>
      </c>
      <c r="H1967" s="1042">
        <f>'Смета Внутр'!G1974</f>
        <v>1000</v>
      </c>
      <c r="I1967" s="1042">
        <f>'Смета Внутр'!H1974</f>
        <v>0</v>
      </c>
      <c r="J1967" s="1058">
        <f>'Смета Внутр'!I1974</f>
        <v>0</v>
      </c>
    </row>
    <row r="1968" spans="2:10" ht="15" customHeight="1">
      <c r="B1968" s="1042" t="str">
        <f>'Смета Внутр'!B1975</f>
        <v>тетева, 3м.п.</v>
      </c>
      <c r="C1968" s="1042" t="str">
        <f>'Смета Внутр'!C1975</f>
        <v>шт</v>
      </c>
      <c r="D1968" s="1058">
        <f>'Смета Внутр'!D1975</f>
        <v>4</v>
      </c>
      <c r="E1968" s="1042">
        <f>'Смета Внутр'!E1975</f>
        <v>1500</v>
      </c>
      <c r="F1968" s="1042">
        <f>'Смета Внутр'!F1975</f>
        <v>0</v>
      </c>
      <c r="G1968" s="1042">
        <f t="shared" si="81"/>
        <v>1500</v>
      </c>
      <c r="H1968" s="1042">
        <f>'Смета Внутр'!G1975</f>
        <v>6000</v>
      </c>
      <c r="I1968" s="1042">
        <f>'Смета Внутр'!H1975</f>
        <v>0</v>
      </c>
      <c r="J1968" s="1058">
        <f>'Смета Внутр'!I1975</f>
        <v>0</v>
      </c>
    </row>
    <row r="1969" spans="2:10" ht="15" customHeight="1">
      <c r="B1969" s="1042" t="str">
        <f>'Смета Внутр'!B1976</f>
        <v>крепления для ступеней, болт</v>
      </c>
      <c r="C1969" s="1042" t="str">
        <f>'Смета Внутр'!C1976</f>
        <v>шт</v>
      </c>
      <c r="D1969" s="1058">
        <f>'Смета Внутр'!D1976</f>
        <v>108</v>
      </c>
      <c r="E1969" s="1042">
        <f>'Смета Внутр'!E1976</f>
        <v>15</v>
      </c>
      <c r="F1969" s="1042">
        <f>'Смета Внутр'!F1976</f>
        <v>0</v>
      </c>
      <c r="G1969" s="1042">
        <f t="shared" si="81"/>
        <v>15</v>
      </c>
      <c r="H1969" s="1042">
        <f>'Смета Внутр'!G1976</f>
        <v>1620</v>
      </c>
      <c r="I1969" s="1042">
        <f>'Смета Внутр'!H1976</f>
        <v>0</v>
      </c>
      <c r="J1969" s="1058">
        <f>'Смета Внутр'!I1976</f>
        <v>0</v>
      </c>
    </row>
    <row r="1970" spans="2:10" ht="15" customHeight="1">
      <c r="B1970" s="1042" t="str">
        <f>'Смета Внутр'!B1977</f>
        <v>крепления для площадки</v>
      </c>
      <c r="C1970" s="1042" t="str">
        <f>'Смета Внутр'!C1977</f>
        <v>шт</v>
      </c>
      <c r="D1970" s="1058">
        <f>'Смета Внутр'!D1977</f>
        <v>8</v>
      </c>
      <c r="E1970" s="1042">
        <f>'Смета Внутр'!E1977</f>
        <v>20</v>
      </c>
      <c r="F1970" s="1042">
        <f>'Смета Внутр'!F1977</f>
        <v>0</v>
      </c>
      <c r="G1970" s="1042">
        <f t="shared" si="81"/>
        <v>20</v>
      </c>
      <c r="H1970" s="1042">
        <f>'Смета Внутр'!G1977</f>
        <v>160</v>
      </c>
      <c r="I1970" s="1042">
        <f>'Смета Внутр'!H1977</f>
        <v>0</v>
      </c>
      <c r="J1970" s="1058">
        <f>'Смета Внутр'!I1977</f>
        <v>0</v>
      </c>
    </row>
    <row r="1971" spans="2:10" ht="15" customHeight="1">
      <c r="B1971" s="1042" t="str">
        <f>'Смета Внутр'!B1978</f>
        <v>поручни</v>
      </c>
      <c r="C1971" s="1042" t="str">
        <f>'Смета Внутр'!C1978</f>
        <v>шт</v>
      </c>
      <c r="D1971" s="1058">
        <f>'Смета Внутр'!D1978</f>
        <v>4</v>
      </c>
      <c r="E1971" s="1042">
        <f>'Смета Внутр'!E1978</f>
        <v>200</v>
      </c>
      <c r="F1971" s="1042">
        <f>'Смета Внутр'!F1978</f>
        <v>0</v>
      </c>
      <c r="G1971" s="1042">
        <f t="shared" si="81"/>
        <v>200</v>
      </c>
      <c r="H1971" s="1042">
        <f>'Смета Внутр'!G1978</f>
        <v>800</v>
      </c>
      <c r="I1971" s="1042">
        <f>'Смета Внутр'!H1978</f>
        <v>0</v>
      </c>
      <c r="J1971" s="1058">
        <f>'Смета Внутр'!I1978</f>
        <v>0</v>
      </c>
    </row>
    <row r="1972" spans="2:10" ht="15" customHeight="1">
      <c r="B1972" s="1042" t="str">
        <f>'Смета Внутр'!B1979</f>
        <v>балясины</v>
      </c>
      <c r="C1972" s="1042" t="str">
        <f>'Смета Внутр'!C1979</f>
        <v>шт</v>
      </c>
      <c r="D1972" s="1058">
        <f>'Смета Внутр'!D1979</f>
        <v>25</v>
      </c>
      <c r="E1972" s="1042">
        <f>'Смета Внутр'!E1979</f>
        <v>100</v>
      </c>
      <c r="F1972" s="1042">
        <f>'Смета Внутр'!F1979</f>
        <v>0</v>
      </c>
      <c r="G1972" s="1042">
        <f t="shared" si="81"/>
        <v>100</v>
      </c>
      <c r="H1972" s="1042">
        <f>'Смета Внутр'!G1979</f>
        <v>2500</v>
      </c>
      <c r="I1972" s="1042">
        <f>'Смета Внутр'!H1979</f>
        <v>0</v>
      </c>
      <c r="J1972" s="1058">
        <f>'Смета Внутр'!I1979</f>
        <v>0</v>
      </c>
    </row>
    <row r="1973" spans="2:10">
      <c r="B1973" s="3330" t="str">
        <f>'Смета Внутр'!B1980</f>
        <v>Итого материалы</v>
      </c>
      <c r="C1973" s="3330"/>
      <c r="D1973" s="3330"/>
      <c r="E1973" s="3330"/>
      <c r="F1973" s="3330"/>
      <c r="G1973" s="3330"/>
      <c r="H1973" s="1042">
        <f>'Смета Внутр'!G1980</f>
        <v>0</v>
      </c>
      <c r="I1973" s="1042">
        <f>'Смета Внутр'!H1980</f>
        <v>0</v>
      </c>
      <c r="J1973" s="1058">
        <f>'Смета Внутр'!I1980</f>
        <v>0</v>
      </c>
    </row>
    <row r="1974" spans="2:10" ht="15" customHeight="1">
      <c r="B1974" s="3002" t="str">
        <f>'Смета Внутр'!B1981</f>
        <v>Работы</v>
      </c>
      <c r="D1974" s="1167"/>
      <c r="H1974">
        <f>'Смета Внутр'!G1981</f>
        <v>0</v>
      </c>
      <c r="I1974">
        <f>'Смета Внутр'!H1981</f>
        <v>0</v>
      </c>
      <c r="J1974" s="3027">
        <f>'Смета Внутр'!I1981</f>
        <v>0</v>
      </c>
    </row>
    <row r="1975" spans="2:10" ht="15" customHeight="1">
      <c r="B1975" s="1042" t="str">
        <f>'Смета Внутр'!B1982</f>
        <v>сборка лестницы</v>
      </c>
      <c r="C1975" s="1042" t="str">
        <f>'Смета Внутр'!C1982</f>
        <v>шт</v>
      </c>
      <c r="D1975" s="1058">
        <f>'Смета Внутр'!D1982</f>
        <v>1</v>
      </c>
      <c r="E1975" s="1042">
        <f>'Смета Внутр'!E1982</f>
        <v>20000</v>
      </c>
      <c r="F1975" s="1042">
        <f>'Смета Внутр'!F1982</f>
        <v>0</v>
      </c>
      <c r="G1975" s="1042">
        <f>IF(E1975&gt;F1975,E1975,F1975)</f>
        <v>20000</v>
      </c>
      <c r="H1975" s="1042">
        <f>'Смета Внутр'!G1982</f>
        <v>20000</v>
      </c>
      <c r="I1975" s="1042">
        <f>'Смета Внутр'!H1982</f>
        <v>0</v>
      </c>
      <c r="J1975" s="1058">
        <f>'Смета Внутр'!I1982</f>
        <v>0</v>
      </c>
    </row>
    <row r="1976" spans="2:10" ht="15" customHeight="1">
      <c r="B1976" s="3330" t="str">
        <f>'Смета Внутр'!B1983</f>
        <v>Итого работы</v>
      </c>
      <c r="C1976" s="3330"/>
      <c r="D1976" s="3330"/>
      <c r="E1976" s="3330"/>
      <c r="F1976" s="3330"/>
      <c r="G1976" s="3330"/>
      <c r="H1976" s="1042">
        <f>'Смета Внутр'!G1983</f>
        <v>0</v>
      </c>
      <c r="I1976" s="1042">
        <f>'Смета Внутр'!H1983</f>
        <v>0</v>
      </c>
      <c r="J1976" s="1058">
        <f>'Смета Внутр'!I1983</f>
        <v>0</v>
      </c>
    </row>
    <row r="1977" spans="2:10" ht="15" customHeight="1">
      <c r="B1977" s="3331" t="str">
        <f>'Смета Внутр'!B1984</f>
        <v>Лестница бетонная</v>
      </c>
      <c r="C1977" s="3331"/>
      <c r="D1977" s="3331"/>
      <c r="E1977" s="3331"/>
      <c r="F1977" s="3331"/>
      <c r="G1977" s="3331"/>
      <c r="H1977" s="3331"/>
      <c r="I1977" s="3331"/>
      <c r="J1977" s="3331"/>
    </row>
    <row r="1978" spans="2:10" ht="15" customHeight="1">
      <c r="B1978" s="3332" t="str">
        <f>'Смета Внутр'!B1985</f>
        <v>Материалы</v>
      </c>
      <c r="C1978" s="3332"/>
      <c r="D1978" s="3332"/>
      <c r="E1978" s="3332"/>
      <c r="F1978" s="3332"/>
      <c r="G1978" s="3332"/>
      <c r="H1978" s="3332"/>
      <c r="I1978" s="3332"/>
      <c r="J1978" s="3332"/>
    </row>
    <row r="1979" spans="2:10" ht="15" customHeight="1">
      <c r="B1979" s="2702" t="str">
        <f>'Смета Внутр'!B1986</f>
        <v>Арматура А1 8 мм</v>
      </c>
      <c r="C1979" s="2702" t="str">
        <f>'Смета Внутр'!C1986</f>
        <v>м.п.</v>
      </c>
      <c r="D1979" s="2702">
        <f>'Смета Внутр'!D1986</f>
        <v>52</v>
      </c>
      <c r="E1979" s="2702">
        <f>'Смета Внутр'!E1986</f>
        <v>17.538</v>
      </c>
      <c r="F1979" s="2702">
        <f>'Смета Внутр'!F1986</f>
        <v>0</v>
      </c>
      <c r="G1979" s="1042">
        <f t="shared" ref="G1979:G1986" si="82">IF(E1979&gt;F1979,E1979,F1979)</f>
        <v>17.538</v>
      </c>
      <c r="H1979" s="2702">
        <f>'Смета Внутр'!H1986</f>
        <v>0</v>
      </c>
      <c r="I1979" s="2702">
        <f>'Смета Внутр'!I1986</f>
        <v>0</v>
      </c>
      <c r="J1979" s="2421">
        <f>'Смета Внутр'!I1986</f>
        <v>0</v>
      </c>
    </row>
    <row r="1980" spans="2:10" ht="15" customHeight="1">
      <c r="B1980" s="2702" t="str">
        <f>'Смета Внутр'!B1987</f>
        <v>Доска 50/150</v>
      </c>
      <c r="C1980" s="2702" t="str">
        <f>'Смета Внутр'!C1987</f>
        <v>м.п.</v>
      </c>
      <c r="D1980" s="2702">
        <f>'Смета Внутр'!D1987</f>
        <v>10</v>
      </c>
      <c r="E1980" s="2702">
        <f>'Смета Внутр'!E1987</f>
        <v>67.5</v>
      </c>
      <c r="F1980" s="2702">
        <f>'Смета Внутр'!F1987</f>
        <v>0</v>
      </c>
      <c r="G1980" s="1042">
        <f t="shared" si="82"/>
        <v>67.5</v>
      </c>
      <c r="H1980" s="2702">
        <f>'Смета Внутр'!H1987</f>
        <v>0</v>
      </c>
      <c r="I1980" s="2702">
        <f>'Смета Внутр'!I1987</f>
        <v>0</v>
      </c>
      <c r="J1980" s="2421">
        <f>'Смета Внутр'!I1987</f>
        <v>0</v>
      </c>
    </row>
    <row r="1981" spans="2:10" ht="15" customHeight="1">
      <c r="B1981" s="2702" t="str">
        <f>'Смета Внутр'!B1988</f>
        <v>OSB-3 КНР (для наружных работ), 12мм</v>
      </c>
      <c r="C1981" s="2702" t="str">
        <f>'Смета Внутр'!C1988</f>
        <v>м2</v>
      </c>
      <c r="D1981" s="2702">
        <f>'Смета Внутр'!D1988</f>
        <v>7</v>
      </c>
      <c r="E1981" s="2702">
        <f>'Смета Внутр'!E1988</f>
        <v>245</v>
      </c>
      <c r="F1981" s="2702">
        <f>'Смета Внутр'!F1988</f>
        <v>0</v>
      </c>
      <c r="G1981" s="1042">
        <f t="shared" si="82"/>
        <v>245</v>
      </c>
      <c r="H1981" s="2702">
        <f>'Смета Внутр'!H1988</f>
        <v>0</v>
      </c>
      <c r="I1981" s="2702">
        <f>'Смета Внутр'!I1988</f>
        <v>0</v>
      </c>
      <c r="J1981" s="2421">
        <f>'Смета Внутр'!I1988</f>
        <v>0</v>
      </c>
    </row>
    <row r="1982" spans="2:10" ht="15" customHeight="1">
      <c r="B1982" s="2702" t="str">
        <f>'Смета Внутр'!B1989</f>
        <v>Бетон, м350</v>
      </c>
      <c r="C1982" s="2702" t="str">
        <f>'Смета Внутр'!C1989</f>
        <v>м3</v>
      </c>
      <c r="D1982" s="2702">
        <f>'Смета Внутр'!D1989</f>
        <v>0.42399999999999999</v>
      </c>
      <c r="E1982" s="2702">
        <f>'Смета Внутр'!E1989</f>
        <v>3500</v>
      </c>
      <c r="F1982" s="2702">
        <f>'Смета Внутр'!F1989</f>
        <v>0</v>
      </c>
      <c r="G1982" s="1042">
        <f t="shared" si="82"/>
        <v>3500</v>
      </c>
      <c r="H1982" s="2702">
        <f>'Смета Внутр'!H1989</f>
        <v>0</v>
      </c>
      <c r="I1982" s="2702">
        <f>'Смета Внутр'!I1989</f>
        <v>0</v>
      </c>
      <c r="J1982" s="2421">
        <f>'Смета Внутр'!I1989</f>
        <v>0</v>
      </c>
    </row>
    <row r="1983" spans="2:10" ht="15" customHeight="1">
      <c r="B1983" s="2702" t="str">
        <f>'Смета Внутр'!B1990</f>
        <v xml:space="preserve">Саморезы 3,5 x 55            </v>
      </c>
      <c r="C1983" s="2702" t="str">
        <f>'Смета Внутр'!C1990</f>
        <v>кг</v>
      </c>
      <c r="D1983" s="2702">
        <f>'Смета Внутр'!D1990</f>
        <v>1</v>
      </c>
      <c r="E1983" s="2702">
        <f>'Смета Внутр'!E1990</f>
        <v>105.62</v>
      </c>
      <c r="F1983" s="2702">
        <f>'Смета Внутр'!F1990</f>
        <v>0</v>
      </c>
      <c r="G1983" s="1042">
        <f t="shared" si="82"/>
        <v>105.62</v>
      </c>
      <c r="H1983" s="2702">
        <f>'Смета Внутр'!H1990</f>
        <v>0</v>
      </c>
      <c r="I1983" s="2702">
        <f>'Смета Внутр'!I1990</f>
        <v>0</v>
      </c>
      <c r="J1983" s="2421">
        <f>'Смета Внутр'!I1990</f>
        <v>0</v>
      </c>
    </row>
    <row r="1984" spans="2:10" ht="15" customHeight="1">
      <c r="B1984" s="2702" t="str">
        <f>'Смета Внутр'!B1991</f>
        <v>Нет техники</v>
      </c>
      <c r="C1984" s="2702" t="str">
        <f>'Смета Внутр'!C1991</f>
        <v>час</v>
      </c>
      <c r="D1984" s="2702">
        <f>'Смета Внутр'!D1991</f>
        <v>0</v>
      </c>
      <c r="E1984" s="2702">
        <f>'Смета Внутр'!E1991</f>
        <v>0</v>
      </c>
      <c r="F1984" s="2702">
        <f>'Смета Внутр'!F1991</f>
        <v>0</v>
      </c>
      <c r="G1984" s="1042">
        <f t="shared" si="82"/>
        <v>0</v>
      </c>
      <c r="H1984" s="2702">
        <f>'Смета Внутр'!H1991</f>
        <v>0</v>
      </c>
      <c r="I1984" s="2702">
        <f>'Смета Внутр'!I1991</f>
        <v>0</v>
      </c>
      <c r="J1984" s="2421">
        <f>'Смета Внутр'!I1991</f>
        <v>0</v>
      </c>
    </row>
    <row r="1985" spans="2:10" ht="15" customHeight="1">
      <c r="B1985" s="2702" t="str">
        <f>'Смета Внутр'!B1992</f>
        <v>Манипулятор 5т</v>
      </c>
      <c r="C1985" s="2702" t="str">
        <f>'Смета Внутр'!C1992</f>
        <v>шт.</v>
      </c>
      <c r="D1985" s="2702">
        <f>'Смета Внутр'!D1992</f>
        <v>3</v>
      </c>
      <c r="E1985" s="2702">
        <f>'Смета Внутр'!E1992</f>
        <v>2500</v>
      </c>
      <c r="F1985" s="2702">
        <f>'Смета Внутр'!F1992</f>
        <v>0</v>
      </c>
      <c r="G1985" s="1042">
        <f t="shared" si="82"/>
        <v>2500</v>
      </c>
      <c r="H1985" s="2702">
        <f>'Смета Внутр'!H1992</f>
        <v>0</v>
      </c>
      <c r="I1985" s="2702">
        <f>'Смета Внутр'!I1992</f>
        <v>0</v>
      </c>
      <c r="J1985" s="2421">
        <f>'Смета Внутр'!I1992</f>
        <v>0</v>
      </c>
    </row>
    <row r="1986" spans="2:10" ht="15" customHeight="1">
      <c r="B1986" s="2702" t="str">
        <f>'Смета Внутр'!B1993</f>
        <v>Доп. Расходы</v>
      </c>
      <c r="C1986" s="2702" t="str">
        <f>'Смета Внутр'!C1993</f>
        <v>руб.</v>
      </c>
      <c r="D1986" s="2702">
        <f>'Смета Внутр'!D1993</f>
        <v>1</v>
      </c>
      <c r="E1986" s="2702">
        <f>'Смета Внутр'!E1993</f>
        <v>2000</v>
      </c>
      <c r="F1986" s="2702">
        <f>'Смета Внутр'!F1993</f>
        <v>0</v>
      </c>
      <c r="G1986" s="1042">
        <f t="shared" si="82"/>
        <v>2000</v>
      </c>
      <c r="H1986" s="2702">
        <f>'Смета Внутр'!H1993</f>
        <v>0</v>
      </c>
      <c r="I1986" s="2702">
        <f>'Смета Внутр'!I1993</f>
        <v>0</v>
      </c>
      <c r="J1986" s="2421">
        <f>'Смета Внутр'!I1993</f>
        <v>0</v>
      </c>
    </row>
    <row r="1987" spans="2:10" ht="15" customHeight="1">
      <c r="B1987" s="3337" t="str">
        <f>'Смета Внутр'!B1994</f>
        <v>Итого материалы</v>
      </c>
      <c r="C1987" s="3337"/>
      <c r="D1987" s="3337"/>
      <c r="E1987" s="3337"/>
      <c r="F1987" s="3337"/>
      <c r="G1987" s="3337"/>
      <c r="H1987" s="2294"/>
      <c r="I1987" s="2294"/>
      <c r="J1987" s="2421">
        <f>'Смета Внутр'!I1994</f>
        <v>0</v>
      </c>
    </row>
    <row r="1988" spans="2:10" ht="15" customHeight="1">
      <c r="B1988" s="3332" t="str">
        <f>'Смета Внутр'!B1995</f>
        <v>Работы</v>
      </c>
      <c r="C1988" s="3332"/>
      <c r="D1988" s="3332"/>
      <c r="E1988" s="3332"/>
      <c r="F1988" s="3332"/>
      <c r="G1988" s="3332"/>
      <c r="H1988" s="3332"/>
      <c r="I1988" s="3332"/>
      <c r="J1988" s="3332"/>
    </row>
    <row r="1989" spans="2:10" ht="15" customHeight="1">
      <c r="B1989" s="2702" t="str">
        <f>'Смета Внутр'!B1996</f>
        <v>Монтаж лестницы</v>
      </c>
      <c r="C1989" s="2702" t="str">
        <f>'Смета Внутр'!C1996</f>
        <v>руб.</v>
      </c>
      <c r="D1989" s="2702">
        <f>'Смета Внутр'!D1996</f>
        <v>1</v>
      </c>
      <c r="E1989" s="2702">
        <f>'Смета Внутр'!E1996</f>
        <v>50000</v>
      </c>
      <c r="F1989" s="2702">
        <f>'Смета Внутр'!F1996</f>
        <v>0</v>
      </c>
      <c r="G1989" s="1042">
        <f>IF(E1989&gt;F1989,E1989,F1989)</f>
        <v>50000</v>
      </c>
      <c r="H1989" s="2702">
        <f>'Смета Внутр'!H1996</f>
        <v>0</v>
      </c>
      <c r="I1989" s="2702">
        <f>'Смета Внутр'!I1996</f>
        <v>0</v>
      </c>
      <c r="J1989" s="2421">
        <f>'Смета Внутр'!I1996</f>
        <v>0</v>
      </c>
    </row>
    <row r="1990" spans="2:10" ht="15" customHeight="1">
      <c r="B1990" s="3338" t="str">
        <f>'Смета Внутр'!B1997</f>
        <v>Итого работы</v>
      </c>
      <c r="C1990" s="3338"/>
      <c r="D1990" s="3338"/>
      <c r="E1990" s="3338"/>
      <c r="F1990" s="3338"/>
      <c r="G1990" s="3338"/>
      <c r="H1990" s="2294"/>
      <c r="I1990" s="2294"/>
      <c r="J1990" s="2421">
        <f>'Смета Внутр'!I1997</f>
        <v>0</v>
      </c>
    </row>
    <row r="1991" spans="2:10" ht="15" customHeight="1">
      <c r="B1991" s="3335" t="str">
        <f>'Смета Внутр'!B1998</f>
        <v>Лестница готовая</v>
      </c>
      <c r="C1991" s="3335"/>
      <c r="D1991" s="3335"/>
      <c r="E1991" s="3335"/>
      <c r="F1991" s="3335"/>
      <c r="G1991" s="3335"/>
      <c r="H1991" s="3335"/>
      <c r="I1991" s="3335"/>
      <c r="J1991" s="3335"/>
    </row>
    <row r="1992" spans="2:10" ht="15" customHeight="1">
      <c r="B1992" s="3332" t="str">
        <f>'Смета Внутр'!B1999</f>
        <v>Материалы</v>
      </c>
      <c r="C1992" s="3332"/>
      <c r="D1992" s="3332"/>
      <c r="E1992" s="3332"/>
      <c r="F1992" s="3332"/>
      <c r="G1992" s="3332"/>
      <c r="H1992" s="3332"/>
      <c r="I1992" s="3332"/>
      <c r="J1992" s="3332"/>
    </row>
    <row r="1993" spans="2:10" ht="15" customHeight="1">
      <c r="B1993" s="2702" t="str">
        <f>'Смета Внутр'!B2000</f>
        <v>Бетонная лестница 2</v>
      </c>
      <c r="C1993" s="2702" t="str">
        <f>'Смета Внутр'!C2000</f>
        <v>шт.</v>
      </c>
      <c r="D1993" s="2702">
        <f>'Смета Внутр'!D2000</f>
        <v>1</v>
      </c>
      <c r="E1993" s="2702">
        <f>'Смета Внутр'!E2000</f>
        <v>30000</v>
      </c>
      <c r="F1993" s="2702">
        <f>'Смета Внутр'!F2000</f>
        <v>0</v>
      </c>
      <c r="G1993" s="1042">
        <f>IF(E1993&gt;F1993,E1993,F1993)</f>
        <v>30000</v>
      </c>
      <c r="H1993" s="2702">
        <f>'Смета Внутр'!H2000</f>
        <v>0</v>
      </c>
      <c r="I1993" s="2702">
        <f>'Смета Внутр'!I2000</f>
        <v>0</v>
      </c>
      <c r="J1993" s="2421">
        <f>'Смета Внутр'!I2000</f>
        <v>0</v>
      </c>
    </row>
    <row r="1994" spans="2:10" ht="15" customHeight="1">
      <c r="B1994" s="2702" t="str">
        <f>'Смета Внутр'!B2001</f>
        <v xml:space="preserve">Нет </v>
      </c>
      <c r="C1994" s="2702" t="str">
        <f>'Смета Внутр'!C2001</f>
        <v>шт.</v>
      </c>
      <c r="D1994" s="2702">
        <f>'Смета Внутр'!D2001</f>
        <v>2</v>
      </c>
      <c r="E1994" s="2702">
        <f>'Смета Внутр'!E2001</f>
        <v>0</v>
      </c>
      <c r="F1994" s="2702">
        <f>'Смета Внутр'!F2001</f>
        <v>0</v>
      </c>
      <c r="G1994" s="1042">
        <f>IF(E1994&gt;F1994,E1994,F1994)</f>
        <v>0</v>
      </c>
      <c r="H1994" s="2702">
        <f>'Смета Внутр'!H2001</f>
        <v>0</v>
      </c>
      <c r="I1994" s="2702">
        <f>'Смета Внутр'!I2001</f>
        <v>0</v>
      </c>
      <c r="J1994" s="2421">
        <f>'Смета Внутр'!I2001</f>
        <v>0</v>
      </c>
    </row>
    <row r="1995" spans="2:10" ht="15" customHeight="1">
      <c r="B1995" s="2702" t="str">
        <f>'Смета Внутр'!B2002</f>
        <v>Доп. Расходы</v>
      </c>
      <c r="C1995" s="2702" t="str">
        <f>'Смета Внутр'!C2002</f>
        <v>руб.</v>
      </c>
      <c r="D1995" s="2702">
        <f>'Смета Внутр'!D2002</f>
        <v>1</v>
      </c>
      <c r="E1995" s="2702">
        <f>'Смета Внутр'!E2002</f>
        <v>2000</v>
      </c>
      <c r="F1995" s="2702">
        <f>'Смета Внутр'!F2002</f>
        <v>0</v>
      </c>
      <c r="G1995" s="1042">
        <f>IF(E1995&gt;F1995,E1995,F1995)</f>
        <v>2000</v>
      </c>
      <c r="H1995" s="2702">
        <f>'Смета Внутр'!H2002</f>
        <v>0</v>
      </c>
      <c r="I1995" s="2702">
        <f>'Смета Внутр'!I2002</f>
        <v>0</v>
      </c>
      <c r="J1995" s="2421">
        <f>'Смета Внутр'!I2002</f>
        <v>0</v>
      </c>
    </row>
    <row r="1996" spans="2:10" ht="15" customHeight="1">
      <c r="B1996" s="2702" t="str">
        <f>'Смета Внутр'!B2003</f>
        <v>Нет техники</v>
      </c>
      <c r="C1996" s="2702" t="str">
        <f>'Смета Внутр'!C2003</f>
        <v>час</v>
      </c>
      <c r="D1996" s="2702">
        <f>'Смета Внутр'!D2003</f>
        <v>0</v>
      </c>
      <c r="E1996" s="2702">
        <f>'Смета Внутр'!E2003</f>
        <v>0</v>
      </c>
      <c r="F1996" s="2702">
        <f>'Смета Внутр'!F2003</f>
        <v>0</v>
      </c>
      <c r="G1996" s="1042">
        <f>IF(E1996&gt;F1996,E1996,F1996)</f>
        <v>0</v>
      </c>
      <c r="H1996" s="2702">
        <f>'Смета Внутр'!H2003</f>
        <v>0</v>
      </c>
      <c r="I1996" s="2702">
        <f>'Смета Внутр'!I2003</f>
        <v>0</v>
      </c>
      <c r="J1996" s="2421">
        <f>'Смета Внутр'!I2003</f>
        <v>0</v>
      </c>
    </row>
    <row r="1997" spans="2:10" ht="15" customHeight="1">
      <c r="B1997" s="2702" t="str">
        <f>'Смета Внутр'!B2004</f>
        <v>Нет техники</v>
      </c>
      <c r="C1997" s="2702" t="str">
        <f>'Смета Внутр'!C2004</f>
        <v>шт.</v>
      </c>
      <c r="D1997" s="2702">
        <f>'Смета Внутр'!D2004</f>
        <v>3</v>
      </c>
      <c r="E1997" s="2702">
        <f>'Смета Внутр'!E2004</f>
        <v>0</v>
      </c>
      <c r="F1997" s="2702">
        <f>'Смета Внутр'!F2004</f>
        <v>0</v>
      </c>
      <c r="G1997" s="1042">
        <f>IF(E1997&gt;F1997,E1997,F1997)</f>
        <v>0</v>
      </c>
      <c r="H1997" s="2702">
        <f>'Смета Внутр'!H2004</f>
        <v>0</v>
      </c>
      <c r="I1997" s="2702">
        <f>'Смета Внутр'!I2004</f>
        <v>0</v>
      </c>
      <c r="J1997" s="2421">
        <f>'Смета Внутр'!I2004</f>
        <v>0</v>
      </c>
    </row>
    <row r="1998" spans="2:10" ht="15" customHeight="1">
      <c r="B1998" s="3330" t="str">
        <f>'Смета Внутр'!B2005</f>
        <v>Итого материалы</v>
      </c>
      <c r="C1998" s="3330"/>
      <c r="D1998" s="3330"/>
      <c r="E1998" s="3330"/>
      <c r="F1998" s="3330"/>
      <c r="G1998" s="3330"/>
      <c r="H1998" s="2294"/>
      <c r="I1998" s="2294"/>
      <c r="J1998" s="2421">
        <f>'Смета Внутр'!I2005</f>
        <v>0</v>
      </c>
    </row>
    <row r="1999" spans="2:10" ht="15" customHeight="1">
      <c r="B1999" s="3332" t="str">
        <f>'Смета Внутр'!B2006</f>
        <v>Работы</v>
      </c>
      <c r="C1999" s="3332"/>
      <c r="D1999" s="3332"/>
      <c r="E1999" s="3332"/>
      <c r="F1999" s="3332"/>
      <c r="G1999" s="3332"/>
      <c r="H1999" s="3332"/>
      <c r="I1999" s="3332"/>
      <c r="J1999" s="3332"/>
    </row>
    <row r="2000" spans="2:10" ht="15" customHeight="1">
      <c r="B2000" s="2702" t="str">
        <f>'Смета Внутр'!B2007</f>
        <v>Монтаж готовой бетонной лестницы 2</v>
      </c>
      <c r="C2000" s="2702" t="str">
        <f>'Смета Внутр'!C2007</f>
        <v>руб.</v>
      </c>
      <c r="D2000" s="2702">
        <f>'Смета Внутр'!D2007</f>
        <v>1</v>
      </c>
      <c r="E2000" s="2702">
        <f>'Смета Внутр'!E2007</f>
        <v>10000</v>
      </c>
      <c r="F2000" s="2702">
        <f>'Смета Внутр'!F2007</f>
        <v>0</v>
      </c>
      <c r="G2000" s="1042">
        <f>IF(E2000&gt;F2000,E2000,F2000)</f>
        <v>10000</v>
      </c>
      <c r="H2000" s="2702">
        <f>'Смета Внутр'!H2007</f>
        <v>0</v>
      </c>
      <c r="I2000" s="2702">
        <f>'Смета Внутр'!I2007</f>
        <v>0</v>
      </c>
      <c r="J2000" s="2702">
        <f>'Смета Внутр'!I2007</f>
        <v>0</v>
      </c>
    </row>
    <row r="2001" spans="2:10" ht="15" customHeight="1">
      <c r="B2001" s="3330" t="str">
        <f>'Смета Внутр'!B2008</f>
        <v>Итого работы</v>
      </c>
      <c r="C2001" s="3330"/>
      <c r="D2001" s="3330"/>
      <c r="E2001" s="3330"/>
      <c r="F2001" s="3330"/>
      <c r="G2001" s="3330"/>
      <c r="H2001" s="2294"/>
      <c r="I2001" s="2294"/>
      <c r="J2001" s="2421">
        <f>'Смета Внутр'!I2008</f>
        <v>0</v>
      </c>
    </row>
    <row r="2002" spans="2:10" ht="15" customHeight="1">
      <c r="B2002" s="3336" t="str">
        <f>'Смета Внутр'!B2009</f>
        <v>Мансардные окна</v>
      </c>
      <c r="C2002" s="3336"/>
      <c r="D2002" s="3336"/>
      <c r="H2002">
        <f>'Смета Внутр'!G2009</f>
        <v>0</v>
      </c>
      <c r="I2002">
        <f>'Смета Внутр'!H2009</f>
        <v>0</v>
      </c>
      <c r="J2002" s="3027">
        <f>'Смета Внутр'!I2009</f>
        <v>0</v>
      </c>
    </row>
    <row r="2003" spans="2:10" ht="15" customHeight="1">
      <c r="B2003" s="3002" t="str">
        <f>'Смета Внутр'!B2010</f>
        <v>Материалы</v>
      </c>
      <c r="D2003" s="1167"/>
      <c r="H2003">
        <f>'Смета Внутр'!G2010</f>
        <v>0</v>
      </c>
      <c r="I2003">
        <f>'Смета Внутр'!H2010</f>
        <v>0</v>
      </c>
      <c r="J2003" s="3027">
        <f>'Смета Внутр'!I2010</f>
        <v>0</v>
      </c>
    </row>
    <row r="2004" spans="2:10" ht="15" customHeight="1">
      <c r="B2004" s="1042" t="str">
        <f>'Смета Внутр'!B2011</f>
        <v>MR10 78X160</v>
      </c>
      <c r="C2004" s="1042" t="str">
        <f>'Смета Внутр'!C2011</f>
        <v>шт</v>
      </c>
      <c r="D2004" s="1058">
        <f>'Смета Внутр'!D2011</f>
        <v>1</v>
      </c>
      <c r="E2004" s="1042">
        <f>'Смета Внутр'!E2011</f>
        <v>22353</v>
      </c>
      <c r="F2004" s="1042">
        <f>'Смета Внутр'!F2011</f>
        <v>0</v>
      </c>
      <c r="G2004" s="1042">
        <f>IF(E2004&gt;F2004,E2004,F2004)</f>
        <v>22353</v>
      </c>
      <c r="H2004" s="1042">
        <f>'Смета Внутр'!G2011</f>
        <v>22353</v>
      </c>
      <c r="I2004" s="1042">
        <f>'Смета Внутр'!H2011</f>
        <v>0</v>
      </c>
      <c r="J2004" s="1058">
        <f>'Смета Внутр'!I2011</f>
        <v>0</v>
      </c>
    </row>
    <row r="2005" spans="2:10" ht="15" customHeight="1">
      <c r="B2005" s="1042" t="str">
        <f>'Смета Внутр'!B2012</f>
        <v>MR08 78X140</v>
      </c>
      <c r="C2005" s="1042" t="str">
        <f>'Смета Внутр'!C2012</f>
        <v>шт</v>
      </c>
      <c r="D2005" s="1058">
        <f>'Смета Внутр'!D2012</f>
        <v>2</v>
      </c>
      <c r="E2005" s="1042">
        <f>'Смета Внутр'!E2012</f>
        <v>21506</v>
      </c>
      <c r="F2005" s="1042">
        <f>'Смета Внутр'!F2012</f>
        <v>0</v>
      </c>
      <c r="G2005" s="1042">
        <f>IF(E2005&gt;F2005,E2005,F2005)</f>
        <v>21506</v>
      </c>
      <c r="H2005" s="1042">
        <f>'Смета Внутр'!G2012</f>
        <v>43012</v>
      </c>
      <c r="I2005" s="1042">
        <f>'Смета Внутр'!H2012</f>
        <v>0</v>
      </c>
      <c r="J2005" s="1058">
        <f>'Смета Внутр'!I2012</f>
        <v>0</v>
      </c>
    </row>
    <row r="2006" spans="2:10" ht="15" customHeight="1">
      <c r="B2006" s="1042" t="str">
        <f>'Смета Внутр'!B2013</f>
        <v>MR10 78X160</v>
      </c>
      <c r="C2006" s="1042" t="str">
        <f>'Смета Внутр'!C2013</f>
        <v>шт</v>
      </c>
      <c r="D2006" s="1058">
        <f>'Смета Внутр'!D2013</f>
        <v>5</v>
      </c>
      <c r="E2006" s="1042">
        <f>'Смета Внутр'!E2013</f>
        <v>22353</v>
      </c>
      <c r="F2006" s="1042">
        <f>'Смета Внутр'!F2013</f>
        <v>0</v>
      </c>
      <c r="G2006" s="1042">
        <f>IF(E2006&gt;F2006,E2006,F2006)</f>
        <v>22353</v>
      </c>
      <c r="H2006" s="1042">
        <f>'Смета Внутр'!G2013</f>
        <v>111765</v>
      </c>
      <c r="I2006" s="1042">
        <f>'Смета Внутр'!H2013</f>
        <v>0</v>
      </c>
      <c r="J2006" s="1058">
        <f>'Смета Внутр'!I2013</f>
        <v>0</v>
      </c>
    </row>
    <row r="2007" spans="2:10" ht="15" customHeight="1">
      <c r="B2007" s="1042" t="str">
        <f>'Смета Внутр'!B2014</f>
        <v>MR04 78X98</v>
      </c>
      <c r="C2007" s="1042" t="str">
        <f>'Смета Внутр'!C2014</f>
        <v>шт</v>
      </c>
      <c r="D2007" s="1058">
        <f>'Смета Внутр'!D2014</f>
        <v>0</v>
      </c>
      <c r="E2007" s="1042">
        <f>'Смета Внутр'!E2014</f>
        <v>18658</v>
      </c>
      <c r="F2007" s="1042">
        <f>'Смета Внутр'!F2014</f>
        <v>0</v>
      </c>
      <c r="G2007" s="1042">
        <f>IF(E2007&gt;F2007,E2007,F2007)</f>
        <v>18658</v>
      </c>
      <c r="H2007" s="1042">
        <f>'Смета Внутр'!G2014</f>
        <v>0</v>
      </c>
      <c r="I2007" s="1042">
        <f>'Смета Внутр'!H2014</f>
        <v>0</v>
      </c>
      <c r="J2007" s="1058">
        <f>'Смета Внутр'!I2014</f>
        <v>0</v>
      </c>
    </row>
    <row r="2008" spans="2:10">
      <c r="B2008" s="3330" t="str">
        <f>'Смета Внутр'!B2015</f>
        <v>Итого материалы</v>
      </c>
      <c r="C2008" s="3330"/>
      <c r="D2008" s="3330"/>
      <c r="E2008" s="3330"/>
      <c r="F2008" s="3330"/>
      <c r="G2008" s="3330"/>
      <c r="H2008" s="1042">
        <f>'Смета Внутр'!G2015</f>
        <v>0</v>
      </c>
      <c r="I2008" s="1042">
        <f>'Смета Внутр'!H2015</f>
        <v>0</v>
      </c>
      <c r="J2008" s="1058">
        <f>'Смета Внутр'!I2015</f>
        <v>0</v>
      </c>
    </row>
    <row r="2009" spans="2:10" ht="15" customHeight="1">
      <c r="B2009" s="3002" t="str">
        <f>'Смета Внутр'!B2016</f>
        <v>Работы</v>
      </c>
      <c r="D2009" s="1167"/>
      <c r="H2009">
        <f>'Смета Внутр'!G2016</f>
        <v>0</v>
      </c>
      <c r="I2009">
        <f>'Смета Внутр'!H2016</f>
        <v>0</v>
      </c>
      <c r="J2009" s="3027">
        <f>'Смета Внутр'!I2016</f>
        <v>0</v>
      </c>
    </row>
    <row r="2010" spans="2:10" ht="15" customHeight="1">
      <c r="B2010" s="1042" t="str">
        <f>'Смета Внутр'!B2017</f>
        <v>MR10 78X160</v>
      </c>
      <c r="C2010" s="1042" t="str">
        <f>'Смета Внутр'!C2017</f>
        <v>шт</v>
      </c>
      <c r="D2010" s="1058">
        <f>'Смета Внутр'!D2017</f>
        <v>1</v>
      </c>
      <c r="E2010" s="1042">
        <f>'Смета Внутр'!E2017</f>
        <v>4200</v>
      </c>
      <c r="F2010" s="1042">
        <f>'Смета Внутр'!F2017</f>
        <v>0</v>
      </c>
      <c r="G2010" s="1042">
        <f>IF(E2010&gt;F2010,E2010,F2010)</f>
        <v>4200</v>
      </c>
      <c r="H2010" s="1042">
        <f>'Смета Внутр'!G2017</f>
        <v>4200</v>
      </c>
      <c r="I2010" s="1042">
        <f>'Смета Внутр'!H2017</f>
        <v>0</v>
      </c>
      <c r="J2010" s="1058">
        <f>'Смета Внутр'!I2017</f>
        <v>0</v>
      </c>
    </row>
    <row r="2011" spans="2:10" ht="15" customHeight="1">
      <c r="B2011" s="1042" t="str">
        <f>'Смета Внутр'!B2018</f>
        <v>MR08 78X140</v>
      </c>
      <c r="C2011" s="1042" t="str">
        <f>'Смета Внутр'!C2018</f>
        <v>шт</v>
      </c>
      <c r="D2011" s="1058">
        <f>'Смета Внутр'!D2018</f>
        <v>2</v>
      </c>
      <c r="E2011" s="1042">
        <f>'Смета Внутр'!E2018</f>
        <v>4000</v>
      </c>
      <c r="F2011" s="1042">
        <f>'Смета Внутр'!F2018</f>
        <v>0</v>
      </c>
      <c r="G2011" s="1042">
        <f>IF(E2011&gt;F2011,E2011,F2011)</f>
        <v>4000</v>
      </c>
      <c r="H2011" s="1042">
        <f>'Смета Внутр'!G2018</f>
        <v>8000</v>
      </c>
      <c r="I2011" s="1042">
        <f>'Смета Внутр'!H2018</f>
        <v>0</v>
      </c>
      <c r="J2011" s="1058">
        <f>'Смета Внутр'!I2018</f>
        <v>0</v>
      </c>
    </row>
    <row r="2012" spans="2:10" ht="15" customHeight="1">
      <c r="B2012" s="1042" t="str">
        <f>'Смета Внутр'!B2019</f>
        <v>MR10 78X160</v>
      </c>
      <c r="C2012" s="1042" t="str">
        <f>'Смета Внутр'!C2019</f>
        <v>шт</v>
      </c>
      <c r="D2012" s="1058">
        <f>'Смета Внутр'!D2019</f>
        <v>5</v>
      </c>
      <c r="E2012" s="1042">
        <f>'Смета Внутр'!E2019</f>
        <v>4200</v>
      </c>
      <c r="F2012" s="1042">
        <f>'Смета Внутр'!F2019</f>
        <v>0</v>
      </c>
      <c r="G2012" s="1042">
        <f>IF(E2012&gt;F2012,E2012,F2012)</f>
        <v>4200</v>
      </c>
      <c r="H2012" s="1042">
        <f>'Смета Внутр'!G2019</f>
        <v>21000</v>
      </c>
      <c r="I2012" s="1042">
        <f>'Смета Внутр'!H2019</f>
        <v>0</v>
      </c>
      <c r="J2012" s="1058">
        <f>'Смета Внутр'!I2019</f>
        <v>0</v>
      </c>
    </row>
    <row r="2013" spans="2:10" ht="15" customHeight="1">
      <c r="B2013" s="1042" t="str">
        <f>'Смета Внутр'!B2020</f>
        <v>MR04 78X98</v>
      </c>
      <c r="C2013" s="1042" t="str">
        <f>'Смета Внутр'!C2020</f>
        <v>шт</v>
      </c>
      <c r="D2013" s="1058">
        <f>'Смета Внутр'!D2020</f>
        <v>0</v>
      </c>
      <c r="E2013" s="1042">
        <f>'Смета Внутр'!E2020</f>
        <v>3700</v>
      </c>
      <c r="F2013" s="1042">
        <f>'Смета Внутр'!F2020</f>
        <v>0</v>
      </c>
      <c r="G2013" s="1042">
        <f>IF(E2013&gt;F2013,E2013,F2013)</f>
        <v>3700</v>
      </c>
      <c r="H2013" s="1042">
        <f>'Смета Внутр'!G2020</f>
        <v>0</v>
      </c>
      <c r="I2013" s="1042">
        <f>'Смета Внутр'!H2020</f>
        <v>0</v>
      </c>
      <c r="J2013" s="1058">
        <f>'Смета Внутр'!I2020</f>
        <v>0</v>
      </c>
    </row>
    <row r="2014" spans="2:10" ht="15" customHeight="1">
      <c r="B2014" s="3330" t="str">
        <f>'Смета Внутр'!B2021</f>
        <v>Итого работы</v>
      </c>
      <c r="C2014" s="3330"/>
      <c r="D2014" s="3330"/>
      <c r="E2014" s="3330"/>
      <c r="F2014" s="3330"/>
      <c r="G2014" s="3330"/>
      <c r="H2014" s="1042">
        <f>'Смета Внутр'!G2021</f>
        <v>0</v>
      </c>
      <c r="I2014" s="1042">
        <f>'Смета Внутр'!H2021</f>
        <v>0</v>
      </c>
      <c r="J2014" s="1058">
        <f>'Смета Внутр'!I2021</f>
        <v>0</v>
      </c>
    </row>
    <row r="2015" spans="2:10" ht="15" customHeight="1">
      <c r="B2015" s="3329" t="str">
        <f>'Смета Внутр'!B2022</f>
        <v>Отделка внешняя</v>
      </c>
      <c r="C2015" s="3329"/>
      <c r="D2015" s="3329"/>
      <c r="H2015">
        <f>'Смета Внутр'!G2022</f>
        <v>0</v>
      </c>
      <c r="I2015">
        <f>'Смета Внутр'!H2022</f>
        <v>0</v>
      </c>
      <c r="J2015" s="3027">
        <f>'Смета Внутр'!I2022</f>
        <v>0</v>
      </c>
    </row>
    <row r="2016" spans="2:10" ht="15" customHeight="1">
      <c r="B2016" s="3002" t="str">
        <f>'Смета Внутр'!B2023</f>
        <v>Материалы</v>
      </c>
      <c r="D2016" s="1167"/>
      <c r="H2016">
        <f>'Смета Внутр'!G2023</f>
        <v>0</v>
      </c>
      <c r="I2016">
        <f>'Смета Внутр'!H2023</f>
        <v>0</v>
      </c>
      <c r="J2016" s="3027">
        <f>'Смета Внутр'!I2023</f>
        <v>0</v>
      </c>
    </row>
    <row r="2017" spans="2:10" ht="15" customHeight="1">
      <c r="B2017" s="3339" t="str">
        <f>'Смета Внутр'!B2024</f>
        <v>дом, стены</v>
      </c>
      <c r="C2017" s="3339"/>
      <c r="D2017" s="3339"/>
      <c r="E2017" s="3339"/>
      <c r="F2017" s="3339"/>
      <c r="G2017" s="3339"/>
      <c r="H2017" s="1042">
        <f>'Смета Внутр'!G2024</f>
        <v>0</v>
      </c>
      <c r="I2017" s="1042">
        <f>'Смета Внутр'!H2024</f>
        <v>0</v>
      </c>
      <c r="J2017" s="3030">
        <f>'Смета Внутр'!I2024</f>
        <v>0</v>
      </c>
    </row>
    <row r="2018" spans="2:10" ht="15" customHeight="1">
      <c r="B2018" s="1042" t="str">
        <f>'Смета Внутр'!B2025</f>
        <v>Г-образный профиль 40*40, 9мм</v>
      </c>
      <c r="C2018" s="1042" t="str">
        <f>'Смета Внутр'!C2025</f>
        <v>м.п.</v>
      </c>
      <c r="D2018" s="1058">
        <f>'Смета Внутр'!D2025</f>
        <v>243.53999999999996</v>
      </c>
      <c r="E2018" s="1042">
        <f>'Смета Внутр'!E2025</f>
        <v>47</v>
      </c>
      <c r="F2018" s="1042">
        <f>'Смета Внутр'!F2025</f>
        <v>0</v>
      </c>
      <c r="G2018" s="1042">
        <f t="shared" ref="G2018:G2041" si="83">IF(E2018&gt;F2018,E2018,F2018)</f>
        <v>47</v>
      </c>
      <c r="H2018" s="1042">
        <f>'Смета Внутр'!G2025</f>
        <v>11446.379999999997</v>
      </c>
      <c r="I2018" s="1042">
        <f>'Смета Внутр'!H2025</f>
        <v>0</v>
      </c>
      <c r="J2018" s="1058">
        <f>'Смета Внутр'!I2025</f>
        <v>0</v>
      </c>
    </row>
    <row r="2019" spans="2:10" ht="15" customHeight="1">
      <c r="B2019" s="1042" t="str">
        <f>'Смета Внутр'!B2026</f>
        <v>Фасадный кронштейн КК 90</v>
      </c>
      <c r="C2019" s="1042" t="str">
        <f>'Смета Внутр'!C2026</f>
        <v>шт</v>
      </c>
      <c r="D2019" s="1058">
        <f>'Смета Внутр'!D2026</f>
        <v>584.49599999999987</v>
      </c>
      <c r="E2019" s="1042">
        <f>'Смета Внутр'!E2026</f>
        <v>15</v>
      </c>
      <c r="F2019" s="1042">
        <f>'Смета Внутр'!F2026</f>
        <v>0</v>
      </c>
      <c r="G2019" s="1042">
        <f t="shared" si="83"/>
        <v>15</v>
      </c>
      <c r="H2019" s="1042">
        <f>'Смета Внутр'!G2026</f>
        <v>8767.4399999999987</v>
      </c>
      <c r="I2019" s="1042">
        <f>'Смета Внутр'!H2026</f>
        <v>0</v>
      </c>
      <c r="J2019" s="1058">
        <f>'Смета Внутр'!I2026</f>
        <v>0</v>
      </c>
    </row>
    <row r="2020" spans="2:10" ht="15" customHeight="1">
      <c r="B2020" s="1042" t="str">
        <f>'Смета Внутр'!B2027</f>
        <v xml:space="preserve">Саморезы 3,5 x 45            </v>
      </c>
      <c r="C2020" s="1042" t="str">
        <f>'Смета Внутр'!C2027</f>
        <v>шт</v>
      </c>
      <c r="D2020" s="1058">
        <f>'Смета Внутр'!D2027</f>
        <v>1168.9919999999997</v>
      </c>
      <c r="E2020" s="1042">
        <f>'Смета Внутр'!E2027</f>
        <v>0.25</v>
      </c>
      <c r="F2020" s="1042">
        <f>'Смета Внутр'!F2027</f>
        <v>0</v>
      </c>
      <c r="G2020" s="1042">
        <f t="shared" si="83"/>
        <v>0.25</v>
      </c>
      <c r="H2020" s="1042">
        <f>'Смета Внутр'!G2027</f>
        <v>292.24799999999993</v>
      </c>
      <c r="I2020" s="1042">
        <f>'Смета Внутр'!H2027</f>
        <v>0</v>
      </c>
      <c r="J2020" s="1058">
        <f>'Смета Внутр'!I2027</f>
        <v>0</v>
      </c>
    </row>
    <row r="2021" spans="2:10" ht="15" customHeight="1">
      <c r="B2021" s="1042" t="str">
        <f>'Смета Внутр'!B2028</f>
        <v xml:space="preserve">Болты анкерные с гайкой 10,0 х 97           </v>
      </c>
      <c r="C2021" s="1042" t="str">
        <f>'Смета Внутр'!C2028</f>
        <v>шт</v>
      </c>
      <c r="D2021" s="1058">
        <f>'Смета Внутр'!D2028</f>
        <v>1168.9919999999997</v>
      </c>
      <c r="E2021" s="1042">
        <f>'Смета Внутр'!E2028</f>
        <v>7.4</v>
      </c>
      <c r="F2021" s="1042">
        <f>'Смета Внутр'!F2028</f>
        <v>0</v>
      </c>
      <c r="G2021" s="1042">
        <f t="shared" si="83"/>
        <v>7.4</v>
      </c>
      <c r="H2021" s="1042">
        <f>'Смета Внутр'!G2028</f>
        <v>8650.5407999999989</v>
      </c>
      <c r="I2021" s="1042">
        <f>'Смета Внутр'!H2028</f>
        <v>0</v>
      </c>
      <c r="J2021" s="1058">
        <f>'Смета Внутр'!I2028</f>
        <v>0</v>
      </c>
    </row>
    <row r="2022" spans="2:10" ht="15" customHeight="1">
      <c r="B2022" s="1042" t="str">
        <f>'Смета Внутр'!B2029</f>
        <v>0,7НФ/150/75 Аренберг</v>
      </c>
      <c r="C2022" s="1042" t="str">
        <f>'Смета Внутр'!C2029</f>
        <v>м2</v>
      </c>
      <c r="D2022" s="1058">
        <f>'Смета Внутр'!D2029</f>
        <v>95.04</v>
      </c>
      <c r="E2022" s="1042">
        <f>'Смета Внутр'!E2029</f>
        <v>1052</v>
      </c>
      <c r="F2022" s="1042">
        <f>'Смета Внутр'!F2029</f>
        <v>0</v>
      </c>
      <c r="G2022" s="1042">
        <f t="shared" si="83"/>
        <v>1052</v>
      </c>
      <c r="H2022" s="1042">
        <f>'Смета Внутр'!G2029</f>
        <v>99982.080000000002</v>
      </c>
      <c r="I2022" s="1042">
        <f>'Смета Внутр'!H2029</f>
        <v>0</v>
      </c>
      <c r="J2022" s="1058">
        <f>'Смета Внутр'!I2029</f>
        <v>0</v>
      </c>
    </row>
    <row r="2023" spans="2:10" ht="15" customHeight="1">
      <c r="B2023" s="1042" t="str">
        <f>'Смета Внутр'!B2030</f>
        <v>Цемент, мешок, 50кг</v>
      </c>
      <c r="C2023" s="1042" t="str">
        <f>'Смета Внутр'!C2030</f>
        <v>меш</v>
      </c>
      <c r="D2023" s="1058">
        <f>'Смета Внутр'!D2030</f>
        <v>532.22400000000005</v>
      </c>
      <c r="E2023" s="1042">
        <f>'Смета Внутр'!E2030</f>
        <v>250</v>
      </c>
      <c r="F2023" s="1042">
        <f>'Смета Внутр'!F2030</f>
        <v>0</v>
      </c>
      <c r="G2023" s="1042">
        <f t="shared" si="83"/>
        <v>250</v>
      </c>
      <c r="H2023" s="1042">
        <f>'Смета Внутр'!G2030</f>
        <v>133056</v>
      </c>
      <c r="I2023" s="1042">
        <f>'Смета Внутр'!H2030</f>
        <v>0</v>
      </c>
      <c r="J2023" s="1058">
        <f>'Смета Внутр'!I2030</f>
        <v>0</v>
      </c>
    </row>
    <row r="2024" spans="2:10" ht="15" customHeight="1">
      <c r="B2024" s="1042" t="str">
        <f>'Смета Внутр'!B2031</f>
        <v>Песок, м3</v>
      </c>
      <c r="C2024" s="1042" t="str">
        <f>'Смета Внутр'!C2031</f>
        <v>м3</v>
      </c>
      <c r="D2024" s="1058">
        <f>'Смета Внутр'!D2031</f>
        <v>38.016000000000005</v>
      </c>
      <c r="E2024" s="1042">
        <f>'Смета Внутр'!E2031</f>
        <v>250</v>
      </c>
      <c r="F2024" s="1042">
        <f>'Смета Внутр'!F2031</f>
        <v>0</v>
      </c>
      <c r="G2024" s="1042">
        <f t="shared" si="83"/>
        <v>250</v>
      </c>
      <c r="H2024" s="1042">
        <f>'Смета Внутр'!G2031</f>
        <v>9504.0000000000018</v>
      </c>
      <c r="I2024" s="1042">
        <f>'Смета Внутр'!H2031</f>
        <v>0</v>
      </c>
      <c r="J2024" s="1058">
        <f>'Смета Внутр'!I2031</f>
        <v>0</v>
      </c>
    </row>
    <row r="2025" spans="2:10" ht="15" customHeight="1">
      <c r="B2025" s="1042" t="str">
        <f>'Смета Внутр'!B2032</f>
        <v>Кладочная сетка, 100*100/150*150/200*200мм</v>
      </c>
      <c r="C2025" s="1042" t="str">
        <f>'Смета Внутр'!C2032</f>
        <v>м2</v>
      </c>
      <c r="D2025" s="1058">
        <f>'Смета Внутр'!D2032</f>
        <v>19.8</v>
      </c>
      <c r="E2025" s="1042">
        <f>'Смета Внутр'!E2032</f>
        <v>70</v>
      </c>
      <c r="F2025" s="1042">
        <f>'Смета Внутр'!F2032</f>
        <v>0</v>
      </c>
      <c r="G2025" s="1042">
        <f t="shared" si="83"/>
        <v>70</v>
      </c>
      <c r="H2025" s="1042">
        <f>'Смета Внутр'!G2032</f>
        <v>1386</v>
      </c>
      <c r="I2025" s="1042">
        <f>'Смета Внутр'!H2032</f>
        <v>0</v>
      </c>
      <c r="J2025" s="1058">
        <f>'Смета Внутр'!I2032</f>
        <v>0</v>
      </c>
    </row>
    <row r="2026" spans="2:10" ht="15" customHeight="1">
      <c r="B2026" s="1042" t="str">
        <f>'Смета Внутр'!B2033</f>
        <v>сайдинг виниловый</v>
      </c>
      <c r="C2026" s="1042" t="str">
        <f>'Смета Внутр'!C2033</f>
        <v>м2</v>
      </c>
      <c r="D2026" s="1058">
        <f>'Смета Внутр'!D2033</f>
        <v>0</v>
      </c>
      <c r="E2026" s="1042">
        <f>'Смета Внутр'!E2033</f>
        <v>350</v>
      </c>
      <c r="F2026" s="1042">
        <f>'Смета Внутр'!F2033</f>
        <v>0</v>
      </c>
      <c r="G2026" s="1042">
        <f t="shared" si="83"/>
        <v>350</v>
      </c>
      <c r="H2026" s="1042">
        <f>'Смета Внутр'!G2033</f>
        <v>0</v>
      </c>
      <c r="I2026" s="1042">
        <f>'Смета Внутр'!H2033</f>
        <v>0</v>
      </c>
      <c r="J2026" s="1058">
        <f>'Смета Внутр'!I2033</f>
        <v>0</v>
      </c>
    </row>
    <row r="2027" spans="2:10" ht="15" customHeight="1">
      <c r="B2027" s="1042" t="str">
        <f>'Смета Внутр'!B2034</f>
        <v>доборные элементы для винил сайдинга</v>
      </c>
      <c r="C2027" s="1042" t="str">
        <f>'Смета Внутр'!C2034</f>
        <v>шт</v>
      </c>
      <c r="D2027" s="1058">
        <f>'Смета Внутр'!D2034</f>
        <v>0</v>
      </c>
      <c r="E2027" s="1042">
        <f>'Смета Внутр'!E2034</f>
        <v>300</v>
      </c>
      <c r="F2027" s="1042">
        <f>'Смета Внутр'!F2034</f>
        <v>0</v>
      </c>
      <c r="G2027" s="1042">
        <f t="shared" si="83"/>
        <v>300</v>
      </c>
      <c r="H2027" s="1042">
        <f>'Смета Внутр'!G2034</f>
        <v>0</v>
      </c>
      <c r="I2027" s="1042">
        <f>'Смета Внутр'!H2034</f>
        <v>0</v>
      </c>
      <c r="J2027" s="1058">
        <f>'Смета Внутр'!I2034</f>
        <v>0</v>
      </c>
    </row>
    <row r="2028" spans="2:10" ht="15" customHeight="1">
      <c r="B2028" s="1042" t="str">
        <f>'Смета Внутр'!B2035</f>
        <v>сайдинг металлический</v>
      </c>
      <c r="C2028" s="1042" t="str">
        <f>'Смета Внутр'!C2035</f>
        <v>м2</v>
      </c>
      <c r="D2028" s="1058">
        <f>'Смета Внутр'!D2035</f>
        <v>0</v>
      </c>
      <c r="E2028" s="1042">
        <f>'Смета Внутр'!E2035</f>
        <v>550</v>
      </c>
      <c r="F2028" s="1042">
        <f>'Смета Внутр'!F2035</f>
        <v>0</v>
      </c>
      <c r="G2028" s="1042">
        <f t="shared" si="83"/>
        <v>550</v>
      </c>
      <c r="H2028" s="1042">
        <f>'Смета Внутр'!G2035</f>
        <v>0</v>
      </c>
      <c r="I2028" s="1042">
        <f>'Смета Внутр'!H2035</f>
        <v>0</v>
      </c>
      <c r="J2028" s="1058">
        <f>'Смета Внутр'!I2035</f>
        <v>0</v>
      </c>
    </row>
    <row r="2029" spans="2:10" ht="15" customHeight="1">
      <c r="B2029" s="1042" t="str">
        <f>'Смета Внутр'!B2036</f>
        <v>доборные элементы для метал сайдинга</v>
      </c>
      <c r="C2029" s="1042" t="str">
        <f>'Смета Внутр'!C2036</f>
        <v>шт</v>
      </c>
      <c r="D2029" s="1058">
        <f>'Смета Внутр'!D2036</f>
        <v>0</v>
      </c>
      <c r="E2029" s="1042">
        <f>'Смета Внутр'!E2036</f>
        <v>350</v>
      </c>
      <c r="F2029" s="1042">
        <f>'Смета Внутр'!F2036</f>
        <v>0</v>
      </c>
      <c r="G2029" s="1042">
        <f t="shared" si="83"/>
        <v>350</v>
      </c>
      <c r="H2029" s="1042">
        <f>'Смета Внутр'!G2036</f>
        <v>0</v>
      </c>
      <c r="I2029" s="1042">
        <f>'Смета Внутр'!H2036</f>
        <v>0</v>
      </c>
      <c r="J2029" s="1058">
        <f>'Смета Внутр'!I2036</f>
        <v>0</v>
      </c>
    </row>
    <row r="2030" spans="2:10" ht="15" customHeight="1">
      <c r="B2030" s="1042">
        <f>'Смета Внутр'!B2037</f>
        <v>0</v>
      </c>
      <c r="C2030" s="1042" t="str">
        <f>'Смета Внутр'!C2037</f>
        <v>м2</v>
      </c>
      <c r="D2030" s="1058">
        <f>'Смета Внутр'!D2037</f>
        <v>0</v>
      </c>
      <c r="E2030" s="1042">
        <f>'Смета Внутр'!E2037</f>
        <v>0</v>
      </c>
      <c r="F2030" s="1042">
        <f>'Смета Внутр'!F2037</f>
        <v>0</v>
      </c>
      <c r="G2030" s="1042">
        <f t="shared" si="83"/>
        <v>0</v>
      </c>
      <c r="H2030" s="1042">
        <f>'Смета Внутр'!G2037</f>
        <v>0</v>
      </c>
      <c r="I2030" s="1042">
        <f>'Смета Внутр'!H2037</f>
        <v>0</v>
      </c>
      <c r="J2030" s="1058">
        <f>'Смета Внутр'!I2037</f>
        <v>0</v>
      </c>
    </row>
    <row r="2031" spans="2:10" ht="15" customHeight="1">
      <c r="B2031" s="1042" t="str">
        <f>'Смета Внутр'!B2038</f>
        <v>крепления для планкена, змейка</v>
      </c>
      <c r="C2031" s="1042" t="str">
        <f>'Смета Внутр'!C2038</f>
        <v>шт</v>
      </c>
      <c r="D2031" s="1058">
        <f>'Смета Внутр'!D2038</f>
        <v>0</v>
      </c>
      <c r="E2031" s="1042">
        <f>'Смета Внутр'!E2038</f>
        <v>15</v>
      </c>
      <c r="F2031" s="1042">
        <f>'Смета Внутр'!F2038</f>
        <v>0</v>
      </c>
      <c r="G2031" s="1042">
        <f t="shared" si="83"/>
        <v>15</v>
      </c>
      <c r="H2031" s="1042">
        <f>'Смета Внутр'!G2038</f>
        <v>0</v>
      </c>
      <c r="I2031" s="1042">
        <f>'Смета Внутр'!H2038</f>
        <v>0</v>
      </c>
      <c r="J2031" s="1058">
        <f>'Смета Внутр'!I2038</f>
        <v>0</v>
      </c>
    </row>
    <row r="2032" spans="2:10" ht="15" customHeight="1">
      <c r="B2032" s="1042">
        <f>'Смета Внутр'!B2039</f>
        <v>0</v>
      </c>
      <c r="C2032" s="1042" t="str">
        <f>'Смета Внутр'!C2039</f>
        <v>м2</v>
      </c>
      <c r="D2032" s="1058">
        <f>'Смета Внутр'!D2039</f>
        <v>0</v>
      </c>
      <c r="E2032" s="1042">
        <f>'Смета Внутр'!E2039</f>
        <v>1000</v>
      </c>
      <c r="F2032" s="1042">
        <f>'Смета Внутр'!F2039</f>
        <v>0</v>
      </c>
      <c r="G2032" s="1042">
        <f t="shared" si="83"/>
        <v>1000</v>
      </c>
      <c r="H2032" s="1042">
        <f>'Смета Внутр'!G2039</f>
        <v>0</v>
      </c>
      <c r="I2032" s="1042">
        <f>'Смета Внутр'!H2039</f>
        <v>0</v>
      </c>
      <c r="J2032" s="1058">
        <f>'Смета Внутр'!I2039</f>
        <v>0</v>
      </c>
    </row>
    <row r="2033" spans="2:10" ht="15" customHeight="1">
      <c r="B2033" s="1042">
        <f>'Смета Внутр'!B2040</f>
        <v>0</v>
      </c>
      <c r="C2033" s="1042" t="str">
        <f>'Смета Внутр'!C2040</f>
        <v>м2</v>
      </c>
      <c r="D2033" s="1058">
        <f>'Смета Внутр'!D2040</f>
        <v>0</v>
      </c>
      <c r="E2033" s="1042">
        <f>'Смета Внутр'!E2040</f>
        <v>0</v>
      </c>
      <c r="F2033" s="1042">
        <f>'Смета Внутр'!F2040</f>
        <v>0</v>
      </c>
      <c r="G2033" s="1042">
        <f t="shared" si="83"/>
        <v>0</v>
      </c>
      <c r="H2033" s="1042">
        <f>'Смета Внутр'!G2040</f>
        <v>0</v>
      </c>
      <c r="I2033" s="1042">
        <f>'Смета Внутр'!H2040</f>
        <v>0</v>
      </c>
      <c r="J2033" s="1058">
        <f>'Смета Внутр'!I2040</f>
        <v>0</v>
      </c>
    </row>
    <row r="2034" spans="2:10" ht="15" customHeight="1">
      <c r="B2034" s="1042" t="str">
        <f>'Смета Внутр'!B2041</f>
        <v xml:space="preserve">клей для камня </v>
      </c>
      <c r="C2034" s="1042" t="str">
        <f>'Смета Внутр'!C2041</f>
        <v>меш</v>
      </c>
      <c r="D2034" s="1058">
        <f>'Смета Внутр'!D2041</f>
        <v>0</v>
      </c>
      <c r="E2034" s="1042">
        <f>'Смета Внутр'!E2041</f>
        <v>250</v>
      </c>
      <c r="F2034" s="1042">
        <f>'Смета Внутр'!F2041</f>
        <v>0</v>
      </c>
      <c r="G2034" s="1042">
        <f t="shared" si="83"/>
        <v>250</v>
      </c>
      <c r="H2034" s="1042">
        <f>'Смета Внутр'!G2041</f>
        <v>0</v>
      </c>
      <c r="I2034" s="1042">
        <f>'Смета Внутр'!H2041</f>
        <v>0</v>
      </c>
      <c r="J2034" s="1058">
        <f>'Смета Внутр'!I2041</f>
        <v>0</v>
      </c>
    </row>
    <row r="2035" spans="2:10" ht="15" customHeight="1">
      <c r="B2035" s="1042" t="str">
        <f>'Смета Внутр'!B2042</f>
        <v>Грунт  1</v>
      </c>
      <c r="C2035" s="1042" t="str">
        <f>'Смета Внутр'!C2042</f>
        <v>л</v>
      </c>
      <c r="D2035" s="1058">
        <f>'Смета Внутр'!D2042</f>
        <v>95.04</v>
      </c>
      <c r="E2035" s="1042">
        <f>'Смета Внутр'!E2042</f>
        <v>100</v>
      </c>
      <c r="F2035" s="1042">
        <f>'Смета Внутр'!F2042</f>
        <v>0</v>
      </c>
      <c r="G2035" s="1042">
        <f t="shared" si="83"/>
        <v>100</v>
      </c>
      <c r="H2035" s="1042">
        <f>'Смета Внутр'!G2042</f>
        <v>9504</v>
      </c>
      <c r="I2035" s="1042">
        <f>'Смета Внутр'!H2042</f>
        <v>0</v>
      </c>
      <c r="J2035" s="1058">
        <f>'Смета Внутр'!I2042</f>
        <v>0</v>
      </c>
    </row>
    <row r="2036" spans="2:10" ht="15" customHeight="1">
      <c r="B2036" s="1042" t="str">
        <f>'Смета Внутр'!B2043</f>
        <v>"Тонерол" Антисептик  бесцветный  1л</v>
      </c>
      <c r="C2036" s="1042" t="str">
        <f>'Смета Внутр'!C2043</f>
        <v>л</v>
      </c>
      <c r="D2036" s="1058">
        <f>'Смета Внутр'!D2043</f>
        <v>0</v>
      </c>
      <c r="E2036" s="1042">
        <f>'Смета Внутр'!E2043</f>
        <v>305</v>
      </c>
      <c r="F2036" s="1042">
        <f>'Смета Внутр'!F2043</f>
        <v>0</v>
      </c>
      <c r="G2036" s="1042">
        <f t="shared" si="83"/>
        <v>305</v>
      </c>
      <c r="H2036" s="1042">
        <f>'Смета Внутр'!G2043</f>
        <v>0</v>
      </c>
      <c r="I2036" s="1042">
        <f>'Смета Внутр'!H2043</f>
        <v>0</v>
      </c>
      <c r="J2036" s="1058">
        <f>'Смета Внутр'!I2043</f>
        <v>0</v>
      </c>
    </row>
    <row r="2037" spans="2:10" ht="15" customHeight="1">
      <c r="B2037" s="1042" t="str">
        <f>'Смета Внутр'!B2044</f>
        <v>Лак для поверхностей 1</v>
      </c>
      <c r="C2037" s="1042" t="str">
        <f>'Смета Внутр'!C2044</f>
        <v>л</v>
      </c>
      <c r="D2037" s="1058">
        <f>'Смета Внутр'!D2044</f>
        <v>0</v>
      </c>
      <c r="E2037" s="1042">
        <f>'Смета Внутр'!E2044</f>
        <v>120</v>
      </c>
      <c r="F2037" s="1042">
        <f>'Смета Внутр'!F2044</f>
        <v>0</v>
      </c>
      <c r="G2037" s="1042">
        <f t="shared" si="83"/>
        <v>120</v>
      </c>
      <c r="H2037" s="1042">
        <f>'Смета Внутр'!G2044</f>
        <v>0</v>
      </c>
      <c r="I2037" s="1042">
        <f>'Смета Внутр'!H2044</f>
        <v>0</v>
      </c>
      <c r="J2037" s="1058">
        <f>'Смета Внутр'!I2044</f>
        <v>0</v>
      </c>
    </row>
    <row r="2038" spans="2:10" ht="15" customHeight="1">
      <c r="B2038" s="1042" t="str">
        <f>'Смета Внутр'!B2045</f>
        <v>Плитный,28кг/м3, технониколь, 100мм</v>
      </c>
      <c r="C2038" s="1042" t="str">
        <f>'Смета Внутр'!C2045</f>
        <v>м3</v>
      </c>
      <c r="D2038" s="1058">
        <f>'Смета Внутр'!D2045</f>
        <v>11.88</v>
      </c>
      <c r="E2038" s="1042">
        <f>'Смета Внутр'!E2045</f>
        <v>1700</v>
      </c>
      <c r="F2038" s="1042">
        <f>'Смета Внутр'!F2045</f>
        <v>0</v>
      </c>
      <c r="G2038" s="1042">
        <f t="shared" si="83"/>
        <v>1700</v>
      </c>
      <c r="H2038" s="1042">
        <f>'Смета Внутр'!G2045</f>
        <v>20196</v>
      </c>
      <c r="I2038" s="1042">
        <f>'Смета Внутр'!H2045</f>
        <v>0</v>
      </c>
      <c r="J2038" s="1058">
        <f>'Смета Внутр'!I2045</f>
        <v>0</v>
      </c>
    </row>
    <row r="2039" spans="2:10" ht="15" customHeight="1">
      <c r="B2039" s="1042">
        <f>'Смета Внутр'!B2046</f>
        <v>0</v>
      </c>
      <c r="C2039" s="1042" t="str">
        <f>'Смета Внутр'!C2046</f>
        <v>меш</v>
      </c>
      <c r="D2039" s="1058">
        <f>'Смета Внутр'!D2046</f>
        <v>0</v>
      </c>
      <c r="E2039" s="1042">
        <f>'Смета Внутр'!E2046</f>
        <v>0</v>
      </c>
      <c r="F2039" s="1042">
        <f>'Смета Внутр'!F2046</f>
        <v>0</v>
      </c>
      <c r="G2039" s="1042">
        <f t="shared" si="83"/>
        <v>0</v>
      </c>
      <c r="H2039" s="1042">
        <f>'Смета Внутр'!G2046</f>
        <v>0</v>
      </c>
      <c r="I2039" s="1042">
        <f>'Смета Внутр'!H2046</f>
        <v>0</v>
      </c>
      <c r="J2039" s="1058">
        <f>'Смета Внутр'!I2046</f>
        <v>0</v>
      </c>
    </row>
    <row r="2040" spans="2:10" ht="15" customHeight="1">
      <c r="B2040" s="1042" t="str">
        <f>'Смета Внутр'!B2047</f>
        <v>Сетка штукатурная ПВС 40 Оцинкованная рулон</v>
      </c>
      <c r="C2040" s="1042" t="str">
        <f>'Смета Внутр'!C2047</f>
        <v>м2</v>
      </c>
      <c r="D2040" s="1058">
        <f>'Смета Внутр'!D2047</f>
        <v>0</v>
      </c>
      <c r="E2040" s="1042">
        <f>'Смета Внутр'!E2047</f>
        <v>15</v>
      </c>
      <c r="F2040" s="1042">
        <f>'Смета Внутр'!F2047</f>
        <v>0</v>
      </c>
      <c r="G2040" s="1042">
        <f t="shared" si="83"/>
        <v>15</v>
      </c>
      <c r="H2040" s="1042">
        <f>'Смета Внутр'!G2047</f>
        <v>0</v>
      </c>
      <c r="I2040" s="1042">
        <f>'Смета Внутр'!H2047</f>
        <v>0</v>
      </c>
      <c r="J2040" s="1058">
        <f>'Смета Внутр'!I2047</f>
        <v>0</v>
      </c>
    </row>
    <row r="2041" spans="2:10" ht="15" customHeight="1">
      <c r="B2041" s="1042" t="str">
        <f>'Смета Внутр'!B2048</f>
        <v>Штукатурка для наружних работ</v>
      </c>
      <c r="C2041" s="1042" t="str">
        <f>'Смета Внутр'!C2048</f>
        <v>м2</v>
      </c>
      <c r="D2041" s="1058">
        <f>'Смета Внутр'!D2048</f>
        <v>0</v>
      </c>
      <c r="E2041" s="1042">
        <f>'Смета Внутр'!E2048</f>
        <v>390</v>
      </c>
      <c r="F2041" s="1042">
        <f>'Смета Внутр'!F2048</f>
        <v>0</v>
      </c>
      <c r="G2041" s="1042">
        <f t="shared" si="83"/>
        <v>390</v>
      </c>
      <c r="H2041" s="1042">
        <f>'Смета Внутр'!G2048</f>
        <v>0</v>
      </c>
      <c r="I2041" s="1042">
        <f>'Смета Внутр'!H2048</f>
        <v>0</v>
      </c>
      <c r="J2041" s="1058">
        <f>'Смета Внутр'!I2048</f>
        <v>0</v>
      </c>
    </row>
    <row r="2042" spans="2:10" ht="15" customHeight="1">
      <c r="B2042" s="3339" t="str">
        <f>'Смета Внутр'!B2049</f>
        <v>цоколь</v>
      </c>
      <c r="C2042" s="3339"/>
      <c r="D2042" s="3339"/>
      <c r="E2042" s="3339"/>
      <c r="F2042" s="3339"/>
      <c r="G2042" s="3339"/>
      <c r="H2042" s="1042">
        <f>'Смета Внутр'!G2049</f>
        <v>0</v>
      </c>
      <c r="I2042" s="1042">
        <f>'Смета Внутр'!H2049</f>
        <v>0</v>
      </c>
      <c r="J2042" s="3030">
        <f>'Смета Внутр'!I2049</f>
        <v>0</v>
      </c>
    </row>
    <row r="2043" spans="2:10" ht="15" customHeight="1">
      <c r="B2043" s="1042" t="str">
        <f>'Смета Внутр'!B2050</f>
        <v>отлив металлический</v>
      </c>
      <c r="C2043" s="1042" t="str">
        <f>'Смета Внутр'!C2050</f>
        <v>м.п.</v>
      </c>
      <c r="D2043" s="1058">
        <f>'Смета Внутр'!D2050</f>
        <v>56</v>
      </c>
      <c r="E2043" s="1042">
        <f>'Смета Внутр'!E2050</f>
        <v>100</v>
      </c>
      <c r="F2043" s="1042">
        <f>'Смета Внутр'!F2050</f>
        <v>0</v>
      </c>
      <c r="G2043" s="1042">
        <f t="shared" ref="G2043:G2053" si="84">IF(E2043&gt;F2043,E2043,F2043)</f>
        <v>100</v>
      </c>
      <c r="H2043" s="1042">
        <f>'Смета Внутр'!G2050</f>
        <v>5600</v>
      </c>
      <c r="I2043" s="1042">
        <f>'Смета Внутр'!H2050</f>
        <v>0</v>
      </c>
      <c r="J2043" s="1058">
        <f>'Смета Внутр'!I2050</f>
        <v>0</v>
      </c>
    </row>
    <row r="2044" spans="2:10" ht="15" customHeight="1">
      <c r="B2044" s="1042" t="str">
        <f>'Смета Внутр'!B2051</f>
        <v>сайдинг металлический</v>
      </c>
      <c r="C2044" s="1042" t="str">
        <f>'Смета Внутр'!C2051</f>
        <v>м2</v>
      </c>
      <c r="D2044" s="1058">
        <f>'Смета Внутр'!D2051</f>
        <v>0</v>
      </c>
      <c r="E2044" s="1042">
        <f>'Смета Внутр'!E2051</f>
        <v>550</v>
      </c>
      <c r="F2044" s="1042">
        <f>'Смета Внутр'!F2051</f>
        <v>0</v>
      </c>
      <c r="G2044" s="1042">
        <f t="shared" si="84"/>
        <v>550</v>
      </c>
      <c r="H2044" s="1042">
        <f>'Смета Внутр'!G2051</f>
        <v>0</v>
      </c>
      <c r="I2044" s="1042">
        <f>'Смета Внутр'!H2051</f>
        <v>0</v>
      </c>
      <c r="J2044" s="1058">
        <f>'Смета Внутр'!I2051</f>
        <v>0</v>
      </c>
    </row>
    <row r="2045" spans="2:10" ht="15" customHeight="1">
      <c r="B2045" s="1042" t="str">
        <f>'Смета Внутр'!B2052</f>
        <v>камень природный</v>
      </c>
      <c r="C2045" s="1042" t="str">
        <f>'Смета Внутр'!C2052</f>
        <v>м2</v>
      </c>
      <c r="D2045" s="1058">
        <f>'Смета Внутр'!D2052</f>
        <v>22.400000000000002</v>
      </c>
      <c r="E2045" s="1042">
        <f>'Смета Внутр'!E2052</f>
        <v>600</v>
      </c>
      <c r="F2045" s="1042">
        <f>'Смета Внутр'!F2052</f>
        <v>0</v>
      </c>
      <c r="G2045" s="1042">
        <f t="shared" si="84"/>
        <v>600</v>
      </c>
      <c r="H2045" s="1042">
        <f>'Смета Внутр'!G2052</f>
        <v>13440.000000000002</v>
      </c>
      <c r="I2045" s="1042">
        <f>'Смета Внутр'!H2052</f>
        <v>0</v>
      </c>
      <c r="J2045" s="1058">
        <f>'Смета Внутр'!I2052</f>
        <v>0</v>
      </c>
    </row>
    <row r="2046" spans="2:10" ht="15" customHeight="1">
      <c r="B2046" s="1042" t="str">
        <f>'Смета Внутр'!B2053</f>
        <v>камень искуственный</v>
      </c>
      <c r="C2046" s="1042" t="str">
        <f>'Смета Внутр'!C2053</f>
        <v>м2</v>
      </c>
      <c r="D2046" s="1058">
        <f>'Смета Внутр'!D2053</f>
        <v>0</v>
      </c>
      <c r="E2046" s="1042">
        <f>'Смета Внутр'!E2053</f>
        <v>1000</v>
      </c>
      <c r="F2046" s="1042">
        <f>'Смета Внутр'!F2053</f>
        <v>0</v>
      </c>
      <c r="G2046" s="1042">
        <f t="shared" si="84"/>
        <v>1000</v>
      </c>
      <c r="H2046" s="1042">
        <f>'Смета Внутр'!G2053</f>
        <v>0</v>
      </c>
      <c r="I2046" s="1042">
        <f>'Смета Внутр'!H2053</f>
        <v>0</v>
      </c>
      <c r="J2046" s="1058">
        <f>'Смета Внутр'!I2053</f>
        <v>0</v>
      </c>
    </row>
    <row r="2047" spans="2:10" ht="15" customHeight="1">
      <c r="B2047" s="1042" t="str">
        <f>'Смета Внутр'!B2054</f>
        <v xml:space="preserve">клей для камня </v>
      </c>
      <c r="C2047" s="1042" t="str">
        <f>'Смета Внутр'!C2054</f>
        <v>меш</v>
      </c>
      <c r="D2047" s="1058">
        <f>'Смета Внутр'!D2054</f>
        <v>7.4666666666666677</v>
      </c>
      <c r="E2047" s="1042">
        <f>'Смета Внутр'!E2054</f>
        <v>250</v>
      </c>
      <c r="F2047" s="1042">
        <f>'Смета Внутр'!F2054</f>
        <v>0</v>
      </c>
      <c r="G2047" s="1042">
        <f t="shared" si="84"/>
        <v>250</v>
      </c>
      <c r="H2047" s="1042">
        <f>'Смета Внутр'!G2054</f>
        <v>1866.666666666667</v>
      </c>
      <c r="I2047" s="1042">
        <f>'Смета Внутр'!H2054</f>
        <v>0</v>
      </c>
      <c r="J2047" s="1058">
        <f>'Смета Внутр'!I2054</f>
        <v>0</v>
      </c>
    </row>
    <row r="2048" spans="2:10" ht="15" customHeight="1">
      <c r="B2048" s="1042" t="str">
        <f>'Смета Внутр'!B2055</f>
        <v>Грунт  1</v>
      </c>
      <c r="C2048" s="1042" t="str">
        <f>'Смета Внутр'!C2055</f>
        <v>л</v>
      </c>
      <c r="D2048" s="1058">
        <f>'Смета Внутр'!D2055</f>
        <v>0</v>
      </c>
      <c r="E2048" s="1042">
        <f>'Смета Внутр'!E2055</f>
        <v>100</v>
      </c>
      <c r="F2048" s="1042">
        <f>'Смета Внутр'!F2055</f>
        <v>0</v>
      </c>
      <c r="G2048" s="1042">
        <f t="shared" si="84"/>
        <v>100</v>
      </c>
      <c r="H2048" s="1042">
        <f>'Смета Внутр'!G2055</f>
        <v>0</v>
      </c>
      <c r="I2048" s="1042">
        <f>'Смета Внутр'!H2055</f>
        <v>0</v>
      </c>
      <c r="J2048" s="1058">
        <f>'Смета Внутр'!I2055</f>
        <v>0</v>
      </c>
    </row>
    <row r="2049" spans="2:10" ht="15" customHeight="1">
      <c r="B2049" s="1042" t="str">
        <f>'Смета Внутр'!B2056</f>
        <v>нет</v>
      </c>
      <c r="C2049" s="1042" t="str">
        <f>'Смета Внутр'!C2056</f>
        <v>м.п.</v>
      </c>
      <c r="D2049" s="1058">
        <f>'Смета Внутр'!D2056</f>
        <v>45.280000000000008</v>
      </c>
      <c r="E2049" s="1042">
        <f>'Смета Внутр'!E2056</f>
        <v>0</v>
      </c>
      <c r="F2049" s="1042">
        <f>'Смета Внутр'!F2056</f>
        <v>0</v>
      </c>
      <c r="G2049" s="1042">
        <f t="shared" si="84"/>
        <v>0</v>
      </c>
      <c r="H2049" s="1042">
        <f>'Смета Внутр'!G2056</f>
        <v>0</v>
      </c>
      <c r="I2049" s="1042">
        <f>'Смета Внутр'!H2056</f>
        <v>0</v>
      </c>
      <c r="J2049" s="1058">
        <f>'Смета Внутр'!I2056</f>
        <v>0</v>
      </c>
    </row>
    <row r="2050" spans="2:10" ht="15" customHeight="1">
      <c r="B2050" s="1042" t="str">
        <f>'Смета Внутр'!B2057</f>
        <v>Фасадный кронштейн КК 120</v>
      </c>
      <c r="C2050" s="1042" t="str">
        <f>'Смета Внутр'!C2057</f>
        <v>шт</v>
      </c>
      <c r="D2050" s="1058">
        <f>'Смета Внутр'!D2057</f>
        <v>168</v>
      </c>
      <c r="E2050" s="1042">
        <f>'Смета Внутр'!E2057</f>
        <v>19</v>
      </c>
      <c r="F2050" s="1042">
        <f>'Смета Внутр'!F2057</f>
        <v>0</v>
      </c>
      <c r="G2050" s="1042">
        <f t="shared" si="84"/>
        <v>19</v>
      </c>
      <c r="H2050" s="1042">
        <f>'Смета Внутр'!G2057</f>
        <v>3192</v>
      </c>
      <c r="I2050" s="1042">
        <f>'Смета Внутр'!H2057</f>
        <v>0</v>
      </c>
      <c r="J2050" s="1058">
        <f>'Смета Внутр'!I2057</f>
        <v>0</v>
      </c>
    </row>
    <row r="2051" spans="2:10" ht="15" customHeight="1">
      <c r="B2051" s="1042" t="str">
        <f>'Смета Внутр'!B2058</f>
        <v xml:space="preserve">Болты анкерные с гайкой 10,0 х 97           </v>
      </c>
      <c r="C2051" s="1042" t="str">
        <f>'Смета Внутр'!C2058</f>
        <v>шт</v>
      </c>
      <c r="D2051" s="1058">
        <f>'Смета Внутр'!D2058</f>
        <v>336</v>
      </c>
      <c r="E2051" s="1042">
        <f>'Смета Внутр'!E2058</f>
        <v>7.4</v>
      </c>
      <c r="F2051" s="1042">
        <f>'Смета Внутр'!F2058</f>
        <v>0</v>
      </c>
      <c r="G2051" s="1042">
        <f t="shared" si="84"/>
        <v>7.4</v>
      </c>
      <c r="H2051" s="1042">
        <f>'Смета Внутр'!G2058</f>
        <v>2486.4</v>
      </c>
      <c r="I2051" s="1042">
        <f>'Смета Внутр'!H2058</f>
        <v>0</v>
      </c>
      <c r="J2051" s="1058">
        <f>'Смета Внутр'!I2058</f>
        <v>0</v>
      </c>
    </row>
    <row r="2052" spans="2:10" ht="15" customHeight="1">
      <c r="B2052" s="1042" t="str">
        <f>'Смета Внутр'!B2059</f>
        <v xml:space="preserve">Саморезы 3,5 x 45            </v>
      </c>
      <c r="C2052" s="1042" t="str">
        <f>'Смета Внутр'!C2059</f>
        <v>шт</v>
      </c>
      <c r="D2052" s="1058">
        <f>'Смета Внутр'!D2059</f>
        <v>336</v>
      </c>
      <c r="E2052" s="1042">
        <f>'Смета Внутр'!E2059</f>
        <v>0.25</v>
      </c>
      <c r="F2052" s="1042">
        <f>'Смета Внутр'!F2059</f>
        <v>0</v>
      </c>
      <c r="G2052" s="1042">
        <f t="shared" si="84"/>
        <v>0.25</v>
      </c>
      <c r="H2052" s="1042">
        <f>'Смета Внутр'!G2059</f>
        <v>84</v>
      </c>
      <c r="I2052" s="1042">
        <f>'Смета Внутр'!H2059</f>
        <v>0</v>
      </c>
      <c r="J2052" s="1058">
        <f>'Смета Внутр'!I2059</f>
        <v>0</v>
      </c>
    </row>
    <row r="2053" spans="2:10" ht="15" customHeight="1">
      <c r="B2053" s="1042" t="str">
        <f>'Смета Внутр'!B2060</f>
        <v>Плоский шифер 8 мм</v>
      </c>
      <c r="C2053" s="1042" t="str">
        <f>'Смета Внутр'!C2060</f>
        <v>м2</v>
      </c>
      <c r="D2053" s="1058">
        <f>'Смета Внутр'!D2060</f>
        <v>0</v>
      </c>
      <c r="E2053" s="1042">
        <f>'Смета Внутр'!E2060</f>
        <v>85</v>
      </c>
      <c r="F2053" s="1042">
        <f>'Смета Внутр'!F2060</f>
        <v>0</v>
      </c>
      <c r="G2053" s="1042">
        <f t="shared" si="84"/>
        <v>85</v>
      </c>
      <c r="H2053" s="1042">
        <f>'Смета Внутр'!G2060</f>
        <v>0</v>
      </c>
      <c r="I2053" s="1042">
        <f>'Смета Внутр'!H2060</f>
        <v>0</v>
      </c>
      <c r="J2053" s="1058">
        <f>'Смета Внутр'!I2060</f>
        <v>0</v>
      </c>
    </row>
    <row r="2054" spans="2:10" ht="15" customHeight="1">
      <c r="B2054" s="1042" t="str">
        <f>'Смета Внутр'!B2061</f>
        <v>кровля, подшивка свесов</v>
      </c>
      <c r="C2054" s="1042"/>
      <c r="D2054" s="1058"/>
      <c r="E2054" s="1042"/>
      <c r="F2054" s="1042"/>
      <c r="G2054" s="1042"/>
      <c r="H2054" s="1042">
        <f>'Смета Внутр'!G2061</f>
        <v>0</v>
      </c>
      <c r="I2054" s="1042">
        <f>'Смета Внутр'!H2061</f>
        <v>0</v>
      </c>
      <c r="J2054" s="1058">
        <f>'Смета Внутр'!I2061</f>
        <v>0</v>
      </c>
    </row>
    <row r="2055" spans="2:10" ht="15" customHeight="1">
      <c r="B2055" s="1042" t="str">
        <f>'Смета Внутр'!B2062</f>
        <v>планкен</v>
      </c>
      <c r="C2055" s="1042" t="str">
        <f>'Смета Внутр'!C2062</f>
        <v>м2</v>
      </c>
      <c r="D2055" s="1058">
        <f>'Смета Внутр'!D2062</f>
        <v>0</v>
      </c>
      <c r="E2055" s="1042">
        <f>'Смета Внутр'!E2062</f>
        <v>0</v>
      </c>
      <c r="F2055" s="1042">
        <f>'Смета Внутр'!F2062</f>
        <v>0</v>
      </c>
      <c r="G2055" s="1042">
        <f t="shared" ref="G2055:G2061" si="85">IF(E2055&gt;F2055,E2055,F2055)</f>
        <v>0</v>
      </c>
      <c r="H2055" s="1042">
        <f>'Смета Внутр'!G2062</f>
        <v>0</v>
      </c>
      <c r="I2055" s="1042">
        <f>'Смета Внутр'!H2062</f>
        <v>0</v>
      </c>
      <c r="J2055" s="1058">
        <f>'Смета Внутр'!I2062</f>
        <v>0</v>
      </c>
    </row>
    <row r="2056" spans="2:10" ht="15" customHeight="1">
      <c r="B2056" s="1042" t="str">
        <f>'Смета Внутр'!B2063</f>
        <v>Доска сухая, калибр., 35*45мм</v>
      </c>
      <c r="C2056" s="1042" t="str">
        <f>'Смета Внутр'!C2063</f>
        <v>м.п.</v>
      </c>
      <c r="D2056" s="1058">
        <f>'Смета Внутр'!D2063</f>
        <v>112</v>
      </c>
      <c r="E2056" s="1042">
        <f>'Смета Внутр'!E2063</f>
        <v>19.6875</v>
      </c>
      <c r="F2056" s="1042">
        <f>'Смета Внутр'!F2063</f>
        <v>0</v>
      </c>
      <c r="G2056" s="1042">
        <f t="shared" si="85"/>
        <v>19.6875</v>
      </c>
      <c r="H2056" s="1042">
        <f>'Смета Внутр'!G2063</f>
        <v>2205</v>
      </c>
      <c r="I2056" s="1042">
        <f>'Смета Внутр'!H2063</f>
        <v>0</v>
      </c>
      <c r="J2056" s="1058">
        <f>'Смета Внутр'!I2063</f>
        <v>0</v>
      </c>
    </row>
    <row r="2057" spans="2:10" ht="15" customHeight="1">
      <c r="B2057" s="1042" t="str">
        <f>'Смета Внутр'!B2064</f>
        <v>сайдинг</v>
      </c>
      <c r="C2057" s="1042" t="str">
        <f>'Смета Внутр'!C2064</f>
        <v>м2</v>
      </c>
      <c r="D2057" s="1058">
        <f>'Смета Внутр'!D2064</f>
        <v>0</v>
      </c>
      <c r="E2057" s="1042">
        <f>'Смета Внутр'!E2064</f>
        <v>350</v>
      </c>
      <c r="F2057" s="1042">
        <f>'Смета Внутр'!F2064</f>
        <v>0</v>
      </c>
      <c r="G2057" s="1042">
        <f t="shared" si="85"/>
        <v>350</v>
      </c>
      <c r="H2057" s="1042">
        <f>'Смета Внутр'!G2064</f>
        <v>0</v>
      </c>
      <c r="I2057" s="1042">
        <f>'Смета Внутр'!H2064</f>
        <v>0</v>
      </c>
      <c r="J2057" s="1058">
        <f>'Смета Внутр'!I2064</f>
        <v>0</v>
      </c>
    </row>
    <row r="2058" spans="2:10" ht="15" customHeight="1">
      <c r="B2058" s="1042" t="str">
        <f>'Смета Внутр'!B2065</f>
        <v>торцевая планка винил</v>
      </c>
      <c r="C2058" s="1042" t="str">
        <f>'Смета Внутр'!C2065</f>
        <v>м.п.</v>
      </c>
      <c r="D2058" s="1058">
        <f>'Смета Внутр'!D2065</f>
        <v>0</v>
      </c>
      <c r="E2058" s="1042">
        <f>'Смета Внутр'!E2065</f>
        <v>60</v>
      </c>
      <c r="F2058" s="1042">
        <f>'Смета Внутр'!F2065</f>
        <v>0</v>
      </c>
      <c r="G2058" s="1042">
        <f t="shared" si="85"/>
        <v>60</v>
      </c>
      <c r="H2058" s="1042">
        <f>'Смета Внутр'!G2065</f>
        <v>0</v>
      </c>
      <c r="I2058" s="1042">
        <f>'Смета Внутр'!H2065</f>
        <v>0</v>
      </c>
      <c r="J2058" s="1058">
        <f>'Смета Внутр'!I2065</f>
        <v>0</v>
      </c>
    </row>
    <row r="2059" spans="2:10" ht="15" customHeight="1">
      <c r="B2059" s="1042" t="str">
        <f>'Смета Внутр'!B2066</f>
        <v>стартовый профиль для сайдинга</v>
      </c>
      <c r="C2059" s="1042" t="str">
        <f>'Смета Внутр'!C2066</f>
        <v>м.п.</v>
      </c>
      <c r="D2059" s="1058">
        <f>'Смета Внутр'!D2066</f>
        <v>0</v>
      </c>
      <c r="E2059" s="1042">
        <f>'Смета Внутр'!E2066</f>
        <v>40</v>
      </c>
      <c r="F2059" s="1042">
        <f>'Смета Внутр'!F2066</f>
        <v>0</v>
      </c>
      <c r="G2059" s="1042">
        <f t="shared" si="85"/>
        <v>40</v>
      </c>
      <c r="H2059" s="1042">
        <f>'Смета Внутр'!G2066</f>
        <v>0</v>
      </c>
      <c r="I2059" s="1042">
        <f>'Смета Внутр'!H2066</f>
        <v>0</v>
      </c>
      <c r="J2059" s="1058">
        <f>'Смета Внутр'!I2066</f>
        <v>0</v>
      </c>
    </row>
    <row r="2060" spans="2:10" ht="15" customHeight="1">
      <c r="B2060" s="1042" t="str">
        <f>'Смета Внутр'!B2067</f>
        <v xml:space="preserve">Саморезы 3,5 x 45            </v>
      </c>
      <c r="C2060" s="1042" t="str">
        <f>'Смета Внутр'!C2067</f>
        <v>шт</v>
      </c>
      <c r="D2060" s="1058">
        <f>'Смета Внутр'!D2067</f>
        <v>336</v>
      </c>
      <c r="E2060" s="1042">
        <f>'Смета Внутр'!E2067</f>
        <v>0.25</v>
      </c>
      <c r="F2060" s="1042">
        <f>'Смета Внутр'!F2067</f>
        <v>0</v>
      </c>
      <c r="G2060" s="1042">
        <f t="shared" si="85"/>
        <v>0.25</v>
      </c>
      <c r="H2060" s="1042">
        <f>'Смета Внутр'!G2067</f>
        <v>84</v>
      </c>
      <c r="I2060" s="1042">
        <f>'Смета Внутр'!H2067</f>
        <v>0</v>
      </c>
      <c r="J2060" s="1058">
        <f>'Смета Внутр'!I2067</f>
        <v>0</v>
      </c>
    </row>
    <row r="2061" spans="2:10" ht="15" customHeight="1">
      <c r="B2061" s="1042" t="str">
        <f>'Смета Внутр'!B2068</f>
        <v xml:space="preserve">Саморезы 4,2 х 75            </v>
      </c>
      <c r="C2061" s="1042" t="str">
        <f>'Смета Внутр'!C2068</f>
        <v>шт</v>
      </c>
      <c r="D2061" s="1058">
        <f>'Смета Внутр'!D2068</f>
        <v>0</v>
      </c>
      <c r="E2061" s="1042">
        <f>'Смета Внутр'!E2068</f>
        <v>0.45</v>
      </c>
      <c r="F2061" s="1042">
        <f>'Смета Внутр'!F2068</f>
        <v>0</v>
      </c>
      <c r="G2061" s="1042">
        <f t="shared" si="85"/>
        <v>0.45</v>
      </c>
      <c r="H2061" s="1042">
        <f>'Смета Внутр'!G2068</f>
        <v>0</v>
      </c>
      <c r="I2061" s="1042">
        <f>'Смета Внутр'!H2068</f>
        <v>0</v>
      </c>
      <c r="J2061" s="1058">
        <f>'Смета Внутр'!I2068</f>
        <v>0</v>
      </c>
    </row>
    <row r="2062" spans="2:10">
      <c r="B2062" s="3330" t="str">
        <f>'Смета Внутр'!B2069</f>
        <v>Итого материалы</v>
      </c>
      <c r="C2062" s="3330"/>
      <c r="D2062" s="3330"/>
      <c r="E2062" s="3330"/>
      <c r="F2062" s="3330"/>
      <c r="G2062" s="3330"/>
      <c r="H2062" s="1042">
        <f>'Смета Внутр'!G2069</f>
        <v>0</v>
      </c>
      <c r="I2062" s="1042">
        <f>'Смета Внутр'!H2069</f>
        <v>0</v>
      </c>
      <c r="J2062" s="1058">
        <f>'Смета Внутр'!I2069</f>
        <v>0</v>
      </c>
    </row>
    <row r="2063" spans="2:10" ht="15" customHeight="1">
      <c r="B2063" s="3002" t="str">
        <f>'Смета Внутр'!B2070</f>
        <v>Работы</v>
      </c>
      <c r="D2063" s="1167"/>
      <c r="H2063">
        <f>'Смета Внутр'!G2070</f>
        <v>0</v>
      </c>
      <c r="I2063">
        <f>'Смета Внутр'!H2070</f>
        <v>0</v>
      </c>
      <c r="J2063" s="3027">
        <f>'Смета Внутр'!I2070</f>
        <v>0</v>
      </c>
    </row>
    <row r="2064" spans="2:10" ht="15" customHeight="1">
      <c r="B2064" s="3339" t="str">
        <f>'Смета Внутр'!B2071</f>
        <v>стены</v>
      </c>
      <c r="C2064" s="3339"/>
      <c r="D2064" s="3339"/>
      <c r="E2064" s="3339"/>
      <c r="F2064" s="3339"/>
      <c r="G2064" s="3339"/>
      <c r="H2064" s="1042">
        <f>'Смета Внутр'!G2071</f>
        <v>0</v>
      </c>
      <c r="I2064" s="1042">
        <f>'Смета Внутр'!H2071</f>
        <v>0</v>
      </c>
      <c r="J2064" s="3030">
        <f>'Смета Внутр'!I2071</f>
        <v>0</v>
      </c>
    </row>
    <row r="2065" spans="2:10" ht="15" customHeight="1">
      <c r="B2065" s="1042" t="str">
        <f>'Смета Внутр'!B2072</f>
        <v>кладка кирпича облицов</v>
      </c>
      <c r="C2065" s="1042" t="str">
        <f>'Смета Внутр'!C2072</f>
        <v>м2</v>
      </c>
      <c r="D2065" s="1058">
        <f>'Смета Внутр'!D2072</f>
        <v>118.8</v>
      </c>
      <c r="E2065" s="1042">
        <f>'Смета Внутр'!E2072</f>
        <v>500</v>
      </c>
      <c r="F2065" s="1042">
        <f>'Смета Внутр'!F2072</f>
        <v>0</v>
      </c>
      <c r="G2065" s="1042">
        <f t="shared" ref="G2065:G2078" si="86">IF(E2065&gt;F2065,E2065,F2065)</f>
        <v>500</v>
      </c>
      <c r="H2065" s="1042">
        <f>'Смета Внутр'!G2072</f>
        <v>59400</v>
      </c>
      <c r="I2065" s="1042">
        <f>'Смета Внутр'!H2072</f>
        <v>0</v>
      </c>
      <c r="J2065" s="1058">
        <f>'Смета Внутр'!I2072</f>
        <v>0</v>
      </c>
    </row>
    <row r="2066" spans="2:10" ht="15" customHeight="1">
      <c r="B2066" s="1042" t="str">
        <f>'Смета Внутр'!B2073</f>
        <v>монтаж подсистемы</v>
      </c>
      <c r="C2066" s="1042" t="str">
        <f>'Смета Внутр'!C2073</f>
        <v>м2</v>
      </c>
      <c r="D2066" s="1058">
        <f>'Смета Внутр'!D2073</f>
        <v>118.8</v>
      </c>
      <c r="E2066" s="1042">
        <f>'Смета Внутр'!E2073</f>
        <v>200</v>
      </c>
      <c r="F2066" s="1042">
        <f>'Смета Внутр'!F2073</f>
        <v>0</v>
      </c>
      <c r="G2066" s="1042">
        <f t="shared" si="86"/>
        <v>200</v>
      </c>
      <c r="H2066" s="1042">
        <f>'Смета Внутр'!G2073</f>
        <v>23760</v>
      </c>
      <c r="I2066" s="1042">
        <f>'Смета Внутр'!H2073</f>
        <v>0</v>
      </c>
      <c r="J2066" s="1058">
        <f>'Смета Внутр'!I2073</f>
        <v>0</v>
      </c>
    </row>
    <row r="2067" spans="2:10" ht="15" customHeight="1">
      <c r="B2067" s="1042" t="str">
        <f>'Смета Внутр'!B2074</f>
        <v>сайдинг виниловый</v>
      </c>
      <c r="C2067" s="1042" t="str">
        <f>'Смета Внутр'!C2074</f>
        <v>м2</v>
      </c>
      <c r="D2067" s="1058">
        <f>'Смета Внутр'!D2074</f>
        <v>0</v>
      </c>
      <c r="E2067" s="1042">
        <f>'Смета Внутр'!E2074</f>
        <v>300</v>
      </c>
      <c r="F2067" s="1042">
        <f>'Смета Внутр'!F2074</f>
        <v>0</v>
      </c>
      <c r="G2067" s="1042">
        <f t="shared" si="86"/>
        <v>300</v>
      </c>
      <c r="H2067" s="1042">
        <f>'Смета Внутр'!G2074</f>
        <v>0</v>
      </c>
      <c r="I2067" s="1042">
        <f>'Смета Внутр'!H2074</f>
        <v>0</v>
      </c>
      <c r="J2067" s="1058">
        <f>'Смета Внутр'!I2074</f>
        <v>0</v>
      </c>
    </row>
    <row r="2068" spans="2:10" ht="15" customHeight="1">
      <c r="B2068" s="1042" t="str">
        <f>'Смета Внутр'!B2075</f>
        <v>сайдинг металл</v>
      </c>
      <c r="C2068" s="1042" t="str">
        <f>'Смета Внутр'!C2075</f>
        <v>м2</v>
      </c>
      <c r="D2068" s="1058">
        <f>'Смета Внутр'!D2075</f>
        <v>0</v>
      </c>
      <c r="E2068" s="1042">
        <f>'Смета Внутр'!E2075</f>
        <v>350</v>
      </c>
      <c r="F2068" s="1042">
        <f>'Смета Внутр'!F2075</f>
        <v>0</v>
      </c>
      <c r="G2068" s="1042">
        <f t="shared" si="86"/>
        <v>350</v>
      </c>
      <c r="H2068" s="1042">
        <f>'Смета Внутр'!G2075</f>
        <v>0</v>
      </c>
      <c r="I2068" s="1042">
        <f>'Смета Внутр'!H2075</f>
        <v>0</v>
      </c>
      <c r="J2068" s="1058">
        <f>'Смета Внутр'!I2075</f>
        <v>0</v>
      </c>
    </row>
    <row r="2069" spans="2:10" ht="15" customHeight="1">
      <c r="B2069" s="1042" t="str">
        <f>'Смета Внутр'!B2076</f>
        <v>планкен</v>
      </c>
      <c r="C2069" s="1042" t="str">
        <f>'Смета Внутр'!C2076</f>
        <v>м2</v>
      </c>
      <c r="D2069" s="1058">
        <f>'Смета Внутр'!D2076</f>
        <v>0</v>
      </c>
      <c r="E2069" s="1042">
        <f>'Смета Внутр'!E2076</f>
        <v>500</v>
      </c>
      <c r="F2069" s="1042">
        <f>'Смета Внутр'!F2076</f>
        <v>0</v>
      </c>
      <c r="G2069" s="1042">
        <f t="shared" si="86"/>
        <v>500</v>
      </c>
      <c r="H2069" s="1042">
        <f>'Смета Внутр'!G2076</f>
        <v>0</v>
      </c>
      <c r="I2069" s="1042">
        <f>'Смета Внутр'!H2076</f>
        <v>0</v>
      </c>
      <c r="J2069" s="1058">
        <f>'Смета Внутр'!I2076</f>
        <v>0</v>
      </c>
    </row>
    <row r="2070" spans="2:10" ht="15" customHeight="1">
      <c r="B2070" s="1042" t="str">
        <f>'Смета Внутр'!B2077</f>
        <v>камень</v>
      </c>
      <c r="C2070" s="1042" t="str">
        <f>'Смета Внутр'!C2077</f>
        <v>м2</v>
      </c>
      <c r="D2070" s="1058">
        <f>'Смета Внутр'!D2077</f>
        <v>0</v>
      </c>
      <c r="E2070" s="1042">
        <f>'Смета Внутр'!E2077</f>
        <v>600</v>
      </c>
      <c r="F2070" s="1042">
        <f>'Смета Внутр'!F2077</f>
        <v>0</v>
      </c>
      <c r="G2070" s="1042">
        <f t="shared" si="86"/>
        <v>600</v>
      </c>
      <c r="H2070" s="1042">
        <f>'Смета Внутр'!G2077</f>
        <v>0</v>
      </c>
      <c r="I2070" s="1042">
        <f>'Смета Внутр'!H2077</f>
        <v>0</v>
      </c>
      <c r="J2070" s="1058">
        <f>'Смета Внутр'!I2077</f>
        <v>0</v>
      </c>
    </row>
    <row r="2071" spans="2:10" ht="15" customHeight="1">
      <c r="B2071" s="1042" t="str">
        <f>'Смета Внутр'!B2078</f>
        <v>окрашивание поверхности</v>
      </c>
      <c r="C2071" s="1042" t="str">
        <f>'Смета Внутр'!C2078</f>
        <v>м2</v>
      </c>
      <c r="D2071" s="1058">
        <f>'Смета Внутр'!D2078</f>
        <v>0</v>
      </c>
      <c r="E2071" s="1042">
        <f>'Смета Внутр'!E2078</f>
        <v>200</v>
      </c>
      <c r="F2071" s="1042">
        <f>'Смета Внутр'!F2078</f>
        <v>0</v>
      </c>
      <c r="G2071" s="1042">
        <f t="shared" si="86"/>
        <v>200</v>
      </c>
      <c r="H2071" s="1042">
        <f>'Смета Внутр'!G2078</f>
        <v>0</v>
      </c>
      <c r="I2071" s="1042">
        <f>'Смета Внутр'!H2078</f>
        <v>0</v>
      </c>
      <c r="J2071" s="1058">
        <f>'Смета Внутр'!I2078</f>
        <v>0</v>
      </c>
    </row>
    <row r="2072" spans="2:10" ht="15" customHeight="1">
      <c r="B2072" s="1042" t="str">
        <f>'Смета Внутр'!B2079</f>
        <v>лакирование пов-ти</v>
      </c>
      <c r="C2072" s="1042" t="str">
        <f>'Смета Внутр'!C2079</f>
        <v>м2</v>
      </c>
      <c r="D2072" s="1058">
        <f>'Смета Внутр'!D2079</f>
        <v>0</v>
      </c>
      <c r="E2072" s="1042">
        <f>'Смета Внутр'!E2079</f>
        <v>300</v>
      </c>
      <c r="F2072" s="1042">
        <f>'Смета Внутр'!F2079</f>
        <v>0</v>
      </c>
      <c r="G2072" s="1042">
        <f t="shared" si="86"/>
        <v>300</v>
      </c>
      <c r="H2072" s="1042">
        <f>'Смета Внутр'!G2079</f>
        <v>0</v>
      </c>
      <c r="I2072" s="1042">
        <f>'Смета Внутр'!H2079</f>
        <v>0</v>
      </c>
      <c r="J2072" s="1058">
        <f>'Смета Внутр'!I2079</f>
        <v>0</v>
      </c>
    </row>
    <row r="2073" spans="2:10" ht="15" customHeight="1">
      <c r="B2073" s="1042" t="str">
        <f>'Смета Внутр'!B2080</f>
        <v>монтаж плоский шифер</v>
      </c>
      <c r="C2073" s="1042" t="str">
        <f>'Смета Внутр'!C2080</f>
        <v>м2</v>
      </c>
      <c r="D2073" s="1058">
        <f>'Смета Внутр'!D2080</f>
        <v>0</v>
      </c>
      <c r="E2073" s="1042">
        <f>'Смета Внутр'!E2080</f>
        <v>120</v>
      </c>
      <c r="F2073" s="1042">
        <f>'Смета Внутр'!F2080</f>
        <v>0</v>
      </c>
      <c r="G2073" s="1042">
        <f t="shared" si="86"/>
        <v>120</v>
      </c>
      <c r="H2073" s="1042">
        <f>'Смета Внутр'!G2080</f>
        <v>0</v>
      </c>
      <c r="I2073" s="1042">
        <f>'Смета Внутр'!H2080</f>
        <v>0</v>
      </c>
      <c r="J2073" s="1058">
        <f>'Смета Внутр'!I2080</f>
        <v>0</v>
      </c>
    </row>
    <row r="2074" spans="2:10" ht="15" customHeight="1">
      <c r="B2074" s="1042" t="str">
        <f>'Смета Внутр'!B2081</f>
        <v>имитация бруса</v>
      </c>
      <c r="C2074" s="1042" t="str">
        <f>'Смета Внутр'!C2081</f>
        <v>м2</v>
      </c>
      <c r="D2074" s="1058">
        <f>'Смета Внутр'!D2081</f>
        <v>0</v>
      </c>
      <c r="E2074" s="1042">
        <f>'Смета Внутр'!E2081</f>
        <v>400</v>
      </c>
      <c r="F2074" s="1042">
        <f>'Смета Внутр'!F2081</f>
        <v>0</v>
      </c>
      <c r="G2074" s="1042">
        <f t="shared" si="86"/>
        <v>400</v>
      </c>
      <c r="H2074" s="1042">
        <f>'Смета Внутр'!G2081</f>
        <v>0</v>
      </c>
      <c r="I2074" s="1042">
        <f>'Смета Внутр'!H2081</f>
        <v>0</v>
      </c>
      <c r="J2074" s="1058">
        <f>'Смета Внутр'!I2081</f>
        <v>0</v>
      </c>
    </row>
    <row r="2075" spans="2:10" ht="15" customHeight="1">
      <c r="B2075" s="1042" t="str">
        <f>'Смета Внутр'!B2082</f>
        <v>Утепление наружних стен</v>
      </c>
      <c r="C2075" s="1042" t="str">
        <f>'Смета Внутр'!C2082</f>
        <v>м2</v>
      </c>
      <c r="D2075" s="1058">
        <f>'Смета Внутр'!D2082</f>
        <v>118.8</v>
      </c>
      <c r="E2075" s="1042">
        <f>'Смета Внутр'!E2082</f>
        <v>200</v>
      </c>
      <c r="F2075" s="1042">
        <f>'Смета Внутр'!F2082</f>
        <v>0</v>
      </c>
      <c r="G2075" s="1042">
        <f t="shared" si="86"/>
        <v>200</v>
      </c>
      <c r="H2075" s="1042">
        <f>'Смета Внутр'!G2082</f>
        <v>23760</v>
      </c>
      <c r="I2075" s="1042">
        <f>'Смета Внутр'!H2082</f>
        <v>0</v>
      </c>
      <c r="J2075" s="1058">
        <f>'Смета Внутр'!I2082</f>
        <v>0</v>
      </c>
    </row>
    <row r="2076" spans="2:10" ht="15" customHeight="1">
      <c r="B2076" s="1042" t="str">
        <f>'Смета Внутр'!B2083</f>
        <v>Оштукатуривание поверхности, подготовка</v>
      </c>
      <c r="C2076" s="1042" t="str">
        <f>'Смета Внутр'!C2083</f>
        <v>м2</v>
      </c>
      <c r="D2076" s="1058">
        <f>'Смета Внутр'!D2083</f>
        <v>0</v>
      </c>
      <c r="E2076" s="1042">
        <f>'Смета Внутр'!E2083</f>
        <v>400</v>
      </c>
      <c r="F2076" s="1042">
        <f>'Смета Внутр'!F2083</f>
        <v>0</v>
      </c>
      <c r="G2076" s="1042">
        <f t="shared" si="86"/>
        <v>400</v>
      </c>
      <c r="H2076" s="1042">
        <f>'Смета Внутр'!G2083</f>
        <v>0</v>
      </c>
      <c r="I2076" s="1042">
        <f>'Смета Внутр'!H2083</f>
        <v>0</v>
      </c>
      <c r="J2076" s="1058">
        <f>'Смета Внутр'!I2083</f>
        <v>0</v>
      </c>
    </row>
    <row r="2077" spans="2:10" ht="15" customHeight="1">
      <c r="B2077" s="1042" t="str">
        <f>'Смета Внутр'!B2084</f>
        <v>Наклейка сетки</v>
      </c>
      <c r="C2077" s="1042" t="str">
        <f>'Смета Внутр'!C2084</f>
        <v>м2</v>
      </c>
      <c r="D2077" s="1058">
        <f>'Смета Внутр'!D2084</f>
        <v>0</v>
      </c>
      <c r="E2077" s="1042">
        <f>'Смета Внутр'!E2084</f>
        <v>200</v>
      </c>
      <c r="F2077" s="1042">
        <f>'Смета Внутр'!F2084</f>
        <v>0</v>
      </c>
      <c r="G2077" s="1042">
        <f t="shared" si="86"/>
        <v>200</v>
      </c>
      <c r="H2077" s="1042">
        <f>'Смета Внутр'!G2084</f>
        <v>0</v>
      </c>
      <c r="I2077" s="1042">
        <f>'Смета Внутр'!H2084</f>
        <v>0</v>
      </c>
      <c r="J2077" s="1058">
        <f>'Смета Внутр'!I2084</f>
        <v>0</v>
      </c>
    </row>
    <row r="2078" spans="2:10" ht="15" customHeight="1">
      <c r="B2078" s="1042" t="str">
        <f>'Смета Внутр'!B2085</f>
        <v>Нанесение декоративной штукатурки</v>
      </c>
      <c r="C2078" s="1042" t="str">
        <f>'Смета Внутр'!C2085</f>
        <v>м2</v>
      </c>
      <c r="D2078" s="1058">
        <f>'Смета Внутр'!D2085</f>
        <v>0</v>
      </c>
      <c r="E2078" s="1042">
        <f>'Смета Внутр'!E2085</f>
        <v>600</v>
      </c>
      <c r="F2078" s="1042">
        <f>'Смета Внутр'!F2085</f>
        <v>0</v>
      </c>
      <c r="G2078" s="1042">
        <f t="shared" si="86"/>
        <v>600</v>
      </c>
      <c r="H2078" s="1042">
        <f>'Смета Внутр'!G2085</f>
        <v>0</v>
      </c>
      <c r="I2078" s="1042">
        <f>'Смета Внутр'!H2085</f>
        <v>0</v>
      </c>
      <c r="J2078" s="1058">
        <f>'Смета Внутр'!I2085</f>
        <v>0</v>
      </c>
    </row>
    <row r="2079" spans="2:10" ht="15" customHeight="1">
      <c r="B2079" s="3339" t="str">
        <f>'Смета Внутр'!B2086</f>
        <v>цоколь</v>
      </c>
      <c r="C2079" s="3339"/>
      <c r="D2079" s="3339"/>
      <c r="E2079" s="3339"/>
      <c r="F2079" s="3339"/>
      <c r="G2079" s="3339"/>
      <c r="H2079" s="1042">
        <f>'Смета Внутр'!G2086</f>
        <v>0</v>
      </c>
      <c r="I2079" s="1042">
        <f>'Смета Внутр'!H2086</f>
        <v>0</v>
      </c>
      <c r="J2079" s="3030">
        <f>'Смета Внутр'!I2086</f>
        <v>0</v>
      </c>
    </row>
    <row r="2080" spans="2:10" ht="15" customHeight="1">
      <c r="B2080" s="1042" t="str">
        <f>'Смета Внутр'!B2087</f>
        <v>монтаж подсистемы</v>
      </c>
      <c r="C2080" s="1042" t="str">
        <f>'Смета Внутр'!C2087</f>
        <v>м2</v>
      </c>
      <c r="D2080" s="1058">
        <f>'Смета Внутр'!D2087</f>
        <v>0</v>
      </c>
      <c r="E2080" s="1042">
        <f>'Смета Внутр'!E2087</f>
        <v>200</v>
      </c>
      <c r="F2080" s="1042">
        <f>'Смета Внутр'!F2087</f>
        <v>0</v>
      </c>
      <c r="G2080" s="1042">
        <f t="shared" ref="G2080:G2085" si="87">IF(E2080&gt;F2080,E2080,F2080)</f>
        <v>200</v>
      </c>
      <c r="H2080" s="1042">
        <f>'Смета Внутр'!G2087</f>
        <v>0</v>
      </c>
      <c r="I2080" s="1042">
        <f>'Смета Внутр'!H2087</f>
        <v>0</v>
      </c>
      <c r="J2080" s="1058">
        <f>'Смета Внутр'!I2087</f>
        <v>0</v>
      </c>
    </row>
    <row r="2081" spans="2:10" ht="15" customHeight="1">
      <c r="B2081" s="1042" t="str">
        <f>'Смета Внутр'!B2088</f>
        <v>монтаж отлив</v>
      </c>
      <c r="C2081" s="1042" t="str">
        <f>'Смета Внутр'!C2088</f>
        <v>м.п.</v>
      </c>
      <c r="D2081" s="1058">
        <f>'Смета Внутр'!D2088</f>
        <v>56</v>
      </c>
      <c r="E2081" s="1042">
        <f>'Смета Внутр'!E2088</f>
        <v>120</v>
      </c>
      <c r="F2081" s="1042">
        <f>'Смета Внутр'!F2088</f>
        <v>0</v>
      </c>
      <c r="G2081" s="1042">
        <f t="shared" si="87"/>
        <v>120</v>
      </c>
      <c r="H2081" s="1042">
        <f>'Смета Внутр'!G2088</f>
        <v>6720</v>
      </c>
      <c r="I2081" s="1042">
        <f>'Смета Внутр'!H2088</f>
        <v>0</v>
      </c>
      <c r="J2081" s="1058">
        <f>'Смета Внутр'!I2088</f>
        <v>0</v>
      </c>
    </row>
    <row r="2082" spans="2:10" ht="15" customHeight="1">
      <c r="B2082" s="1042" t="str">
        <f>'Смета Внутр'!B2089</f>
        <v>монтаж плоский шифер</v>
      </c>
      <c r="C2082" s="1042" t="str">
        <f>'Смета Внутр'!C2089</f>
        <v>м2</v>
      </c>
      <c r="D2082" s="1058">
        <f>'Смета Внутр'!D2089</f>
        <v>22.400000000000002</v>
      </c>
      <c r="E2082" s="1042">
        <f>'Смета Внутр'!E2089</f>
        <v>120</v>
      </c>
      <c r="F2082" s="1042">
        <f>'Смета Внутр'!F2089</f>
        <v>0</v>
      </c>
      <c r="G2082" s="1042">
        <f t="shared" si="87"/>
        <v>120</v>
      </c>
      <c r="H2082" s="1042">
        <f>'Смета Внутр'!G2089</f>
        <v>2688.0000000000005</v>
      </c>
      <c r="I2082" s="1042">
        <f>'Смета Внутр'!H2089</f>
        <v>0</v>
      </c>
      <c r="J2082" s="1058">
        <f>'Смета Внутр'!I2089</f>
        <v>0</v>
      </c>
    </row>
    <row r="2083" spans="2:10" ht="15" customHeight="1">
      <c r="B2083" s="1042" t="str">
        <f>'Смета Внутр'!B2090</f>
        <v>сайдинг металл сайдинг</v>
      </c>
      <c r="C2083" s="1042" t="str">
        <f>'Смета Внутр'!C2090</f>
        <v>м2</v>
      </c>
      <c r="D2083" s="1058">
        <f>'Смета Внутр'!D2090</f>
        <v>0</v>
      </c>
      <c r="E2083" s="1042">
        <f>'Смета Внутр'!E2090</f>
        <v>350</v>
      </c>
      <c r="F2083" s="1042">
        <f>'Смета Внутр'!F2090</f>
        <v>0</v>
      </c>
      <c r="G2083" s="1042">
        <f t="shared" si="87"/>
        <v>350</v>
      </c>
      <c r="H2083" s="1042">
        <f>'Смета Внутр'!G2090</f>
        <v>0</v>
      </c>
      <c r="I2083" s="1042">
        <f>'Смета Внутр'!H2090</f>
        <v>0</v>
      </c>
      <c r="J2083" s="1058">
        <f>'Смета Внутр'!I2090</f>
        <v>0</v>
      </c>
    </row>
    <row r="2084" spans="2:10" ht="15" customHeight="1">
      <c r="B2084" s="1042" t="str">
        <f>'Смета Внутр'!B2091</f>
        <v>монтаж камень природ</v>
      </c>
      <c r="C2084" s="1042" t="str">
        <f>'Смета Внутр'!C2091</f>
        <v>м2</v>
      </c>
      <c r="D2084" s="1058">
        <f>'Смета Внутр'!D2091</f>
        <v>22.400000000000002</v>
      </c>
      <c r="E2084" s="1042">
        <f>'Смета Внутр'!E2091</f>
        <v>900</v>
      </c>
      <c r="F2084" s="1042">
        <f>'Смета Внутр'!F2091</f>
        <v>0</v>
      </c>
      <c r="G2084" s="1042">
        <f t="shared" si="87"/>
        <v>900</v>
      </c>
      <c r="H2084" s="1042">
        <f>'Смета Внутр'!G2091</f>
        <v>20160.000000000004</v>
      </c>
      <c r="I2084" s="1042">
        <f>'Смета Внутр'!H2091</f>
        <v>0</v>
      </c>
      <c r="J2084" s="1058">
        <f>'Смета Внутр'!I2091</f>
        <v>0</v>
      </c>
    </row>
    <row r="2085" spans="2:10" ht="15" customHeight="1">
      <c r="B2085" s="1042" t="str">
        <f>'Смета Внутр'!B2092</f>
        <v>монтаж камень искуст-ый</v>
      </c>
      <c r="C2085" s="1042" t="str">
        <f>'Смета Внутр'!C2092</f>
        <v>м2</v>
      </c>
      <c r="D2085" s="1058">
        <f>'Смета Внутр'!D2092</f>
        <v>0</v>
      </c>
      <c r="E2085" s="1042">
        <f>'Смета Внутр'!E2092</f>
        <v>800</v>
      </c>
      <c r="F2085" s="1042">
        <f>'Смета Внутр'!F2092</f>
        <v>0</v>
      </c>
      <c r="G2085" s="1042">
        <f t="shared" si="87"/>
        <v>800</v>
      </c>
      <c r="H2085" s="1042">
        <f>'Смета Внутр'!G2092</f>
        <v>0</v>
      </c>
      <c r="I2085" s="1042">
        <f>'Смета Внутр'!H2092</f>
        <v>0</v>
      </c>
      <c r="J2085" s="1058">
        <f>'Смета Внутр'!I2092</f>
        <v>0</v>
      </c>
    </row>
    <row r="2086" spans="2:10" ht="15" customHeight="1">
      <c r="B2086" s="1042" t="str">
        <f>'Смета Внутр'!B2093</f>
        <v>карнизы</v>
      </c>
      <c r="C2086" s="1042"/>
      <c r="D2086" s="1058"/>
      <c r="E2086" s="1042"/>
      <c r="F2086" s="1042"/>
      <c r="G2086" s="1042"/>
      <c r="H2086" s="1042">
        <f>'Смета Внутр'!G2093</f>
        <v>0</v>
      </c>
      <c r="I2086" s="1042">
        <f>'Смета Внутр'!H2093</f>
        <v>0</v>
      </c>
      <c r="J2086" s="1058">
        <f>'Смета Внутр'!I2093</f>
        <v>0</v>
      </c>
    </row>
    <row r="2087" spans="2:10" ht="15" customHeight="1">
      <c r="B2087" s="1042" t="str">
        <f>'Смета Внутр'!B2094</f>
        <v>планкен</v>
      </c>
      <c r="C2087" s="1042" t="str">
        <f>'Смета Внутр'!C2094</f>
        <v>м2</v>
      </c>
      <c r="D2087" s="1058">
        <f>'Смета Внутр'!D2094</f>
        <v>0</v>
      </c>
      <c r="E2087" s="1042">
        <f>'Смета Внутр'!E2094</f>
        <v>600</v>
      </c>
      <c r="F2087" s="1042">
        <f>'Смета Внутр'!F2094</f>
        <v>0</v>
      </c>
      <c r="G2087" s="1042">
        <f>IF(E2087&gt;F2087,E2087,F2087)</f>
        <v>600</v>
      </c>
      <c r="H2087" s="1042">
        <f>'Смета Внутр'!G2094</f>
        <v>0</v>
      </c>
      <c r="I2087" s="1042">
        <f>'Смета Внутр'!H2094</f>
        <v>0</v>
      </c>
      <c r="J2087" s="1058">
        <f>'Смета Внутр'!I2094</f>
        <v>0</v>
      </c>
    </row>
    <row r="2088" spans="2:10" ht="15" customHeight="1">
      <c r="B2088" s="1042" t="str">
        <f>'Смета Внутр'!B2095</f>
        <v>сайдинг</v>
      </c>
      <c r="C2088" s="1042" t="str">
        <f>'Смета Внутр'!C2095</f>
        <v>м2</v>
      </c>
      <c r="D2088" s="1058">
        <f>'Смета Внутр'!D2095</f>
        <v>0</v>
      </c>
      <c r="E2088" s="1042">
        <f>'Смета Внутр'!E2095</f>
        <v>500</v>
      </c>
      <c r="F2088" s="1042">
        <f>'Смета Внутр'!F2095</f>
        <v>0</v>
      </c>
      <c r="G2088" s="1042">
        <f>IF(E2088&gt;F2088,E2088,F2088)</f>
        <v>500</v>
      </c>
      <c r="H2088" s="1042">
        <f>'Смета Внутр'!G2095</f>
        <v>0</v>
      </c>
      <c r="I2088" s="1042">
        <f>'Смета Внутр'!H2095</f>
        <v>0</v>
      </c>
      <c r="J2088" s="1058">
        <f>'Смета Внутр'!I2095</f>
        <v>0</v>
      </c>
    </row>
    <row r="2089" spans="2:10" ht="15" customHeight="1">
      <c r="B2089" s="1042" t="str">
        <f>'Смета Внутр'!B2096</f>
        <v>монтаж леса стрительные</v>
      </c>
      <c r="C2089" s="1042" t="str">
        <f>'Смета Внутр'!C2096</f>
        <v>м2</v>
      </c>
      <c r="D2089" s="1058">
        <f>'Смета Внутр'!D2096</f>
        <v>118.8</v>
      </c>
      <c r="E2089" s="1042">
        <f>'Смета Внутр'!E2096</f>
        <v>100</v>
      </c>
      <c r="F2089" s="1042">
        <f>'Смета Внутр'!F2096</f>
        <v>0</v>
      </c>
      <c r="G2089" s="1042">
        <f>IF(E2089&gt;F2089,E2089,F2089)</f>
        <v>100</v>
      </c>
      <c r="H2089" s="1042">
        <f>'Смета Внутр'!G2096</f>
        <v>11880</v>
      </c>
      <c r="I2089" s="1042">
        <f>'Смета Внутр'!H2096</f>
        <v>0</v>
      </c>
      <c r="J2089" s="1058">
        <f>'Смета Внутр'!I2096</f>
        <v>0</v>
      </c>
    </row>
    <row r="2090" spans="2:10" ht="15" customHeight="1">
      <c r="B2090" s="3330" t="str">
        <f>'Смета Внутр'!B2097</f>
        <v>Итого работы</v>
      </c>
      <c r="C2090" s="3330"/>
      <c r="D2090" s="3330"/>
      <c r="E2090" s="3330"/>
      <c r="F2090" s="3330"/>
      <c r="G2090" s="3330"/>
      <c r="H2090" s="1042">
        <f>'Смета Внутр'!G2097</f>
        <v>0</v>
      </c>
      <c r="I2090" s="1042">
        <f>'Смета Внутр'!H2097</f>
        <v>0</v>
      </c>
      <c r="J2090" s="1058">
        <f>'Смета Внутр'!I2097</f>
        <v>0</v>
      </c>
    </row>
    <row r="2091" spans="2:10" ht="15" customHeight="1">
      <c r="B2091" s="3313" t="str">
        <f>'Смета Внутр'!B2098</f>
        <v>Чистовая отделка</v>
      </c>
      <c r="C2091" s="3313"/>
      <c r="D2091" s="3313"/>
      <c r="H2091">
        <f>'Смета Внутр'!G2098</f>
        <v>0</v>
      </c>
      <c r="I2091">
        <f>'Смета Внутр'!H2098</f>
        <v>0</v>
      </c>
      <c r="J2091" s="3011">
        <f>'Смета Внутр'!I2098</f>
        <v>0</v>
      </c>
    </row>
    <row r="2092" spans="2:10" ht="15" customHeight="1">
      <c r="B2092" s="3002" t="str">
        <f>'Смета Внутр'!B2099</f>
        <v>Материалы</v>
      </c>
      <c r="H2092">
        <f>'Смета Внутр'!G2099</f>
        <v>0</v>
      </c>
      <c r="I2092">
        <f>'Смета Внутр'!H2099</f>
        <v>0</v>
      </c>
      <c r="J2092" s="3011">
        <f>'Смета Внутр'!I2099</f>
        <v>0</v>
      </c>
    </row>
    <row r="2093" spans="2:10" ht="15" customHeight="1">
      <c r="B2093" s="3326" t="str">
        <f>'Смета Внутр'!B2100</f>
        <v>Стены</v>
      </c>
      <c r="C2093" s="3326"/>
      <c r="D2093" s="3326"/>
      <c r="E2093" s="3326"/>
      <c r="F2093" s="3326"/>
      <c r="G2093" s="3326"/>
      <c r="H2093" s="1042">
        <f>'Смета Внутр'!G2100</f>
        <v>0</v>
      </c>
      <c r="I2093" s="1042">
        <f>'Смета Внутр'!H2100</f>
        <v>0</v>
      </c>
      <c r="J2093" s="3012">
        <f>'Смета Внутр'!I2100</f>
        <v>0</v>
      </c>
    </row>
    <row r="2094" spans="2:10" ht="15" customHeight="1">
      <c r="B2094" s="1042" t="str">
        <f>'Смета Внутр'!B2101</f>
        <v>ГКЛ, 12мм</v>
      </c>
      <c r="C2094" s="1042" t="str">
        <f>'Смета Внутр'!C2101</f>
        <v>м2</v>
      </c>
      <c r="D2094" s="1058">
        <f>'Смета Внутр'!D2101</f>
        <v>0</v>
      </c>
      <c r="E2094" s="1042">
        <f>'Смета Внутр'!E2101</f>
        <v>90</v>
      </c>
      <c r="F2094" s="1042">
        <f>'Смета Внутр'!F2101</f>
        <v>0</v>
      </c>
      <c r="G2094" s="1042">
        <f t="shared" ref="G2094:G2117" si="88">IF(E2094&gt;F2094,E2094,F2094)</f>
        <v>90</v>
      </c>
      <c r="H2094" s="1042">
        <f>'Смета Внутр'!G2101</f>
        <v>0</v>
      </c>
      <c r="I2094" s="1042">
        <f>'Смета Внутр'!H2101</f>
        <v>0</v>
      </c>
      <c r="J2094" s="1058">
        <f>'Смета Внутр'!I2101</f>
        <v>0</v>
      </c>
    </row>
    <row r="2095" spans="2:10" ht="15" customHeight="1">
      <c r="B2095" s="1042" t="str">
        <f>'Смета Внутр'!B2102</f>
        <v>профиль 60/27/3000</v>
      </c>
      <c r="C2095" s="1042" t="str">
        <f>'Смета Внутр'!C2102</f>
        <v>шт</v>
      </c>
      <c r="D2095" s="1058">
        <f>'Смета Внутр'!D2102</f>
        <v>0</v>
      </c>
      <c r="E2095" s="1042">
        <f>'Смета Внутр'!E2102</f>
        <v>100</v>
      </c>
      <c r="F2095" s="1042">
        <f>'Смета Внутр'!F2102</f>
        <v>0</v>
      </c>
      <c r="G2095" s="1042">
        <f t="shared" si="88"/>
        <v>100</v>
      </c>
      <c r="H2095" s="1042">
        <f>'Смета Внутр'!G2102</f>
        <v>0</v>
      </c>
      <c r="I2095" s="1042">
        <f>'Смета Внутр'!H2102</f>
        <v>0</v>
      </c>
      <c r="J2095" s="1058">
        <f>'Смета Внутр'!I2102</f>
        <v>0</v>
      </c>
    </row>
    <row r="2096" spans="2:10" ht="15" customHeight="1">
      <c r="B2096" s="1042" t="str">
        <f>'Смета Внутр'!B2103</f>
        <v>профиль 27/28/3000</v>
      </c>
      <c r="C2096" s="1042" t="str">
        <f>'Смета Внутр'!C2103</f>
        <v>шт</v>
      </c>
      <c r="D2096" s="1058">
        <f>'Смета Внутр'!D2103</f>
        <v>0</v>
      </c>
      <c r="E2096" s="1042">
        <f>'Смета Внутр'!E2103</f>
        <v>100</v>
      </c>
      <c r="F2096" s="1042">
        <f>'Смета Внутр'!F2103</f>
        <v>0</v>
      </c>
      <c r="G2096" s="1042">
        <f t="shared" si="88"/>
        <v>100</v>
      </c>
      <c r="H2096" s="1042">
        <f>'Смета Внутр'!G2103</f>
        <v>0</v>
      </c>
      <c r="I2096" s="1042">
        <f>'Смета Внутр'!H2103</f>
        <v>0</v>
      </c>
      <c r="J2096" s="1058">
        <f>'Смета Внутр'!I2103</f>
        <v>0</v>
      </c>
    </row>
    <row r="2097" spans="2:10" ht="15" customHeight="1">
      <c r="B2097" s="1042" t="str">
        <f>'Смета Внутр'!B2104</f>
        <v>подвес прямой</v>
      </c>
      <c r="C2097" s="1042" t="str">
        <f>'Смета Внутр'!C2104</f>
        <v>шт</v>
      </c>
      <c r="D2097" s="1058">
        <f>'Смета Внутр'!D2104</f>
        <v>0</v>
      </c>
      <c r="E2097" s="1042">
        <f>'Смета Внутр'!E2104</f>
        <v>9</v>
      </c>
      <c r="F2097" s="1042">
        <f>'Смета Внутр'!F2104</f>
        <v>0</v>
      </c>
      <c r="G2097" s="1042">
        <f t="shared" si="88"/>
        <v>9</v>
      </c>
      <c r="H2097" s="1042">
        <f>'Смета Внутр'!G2104</f>
        <v>0</v>
      </c>
      <c r="I2097" s="1042">
        <f>'Смета Внутр'!H2104</f>
        <v>0</v>
      </c>
      <c r="J2097" s="1058">
        <f>'Смета Внутр'!I2104</f>
        <v>0</v>
      </c>
    </row>
    <row r="2098" spans="2:10" ht="15" customHeight="1">
      <c r="B2098" s="1042" t="str">
        <f>'Смета Внутр'!B2105</f>
        <v>саморез металл/металл, 13мм</v>
      </c>
      <c r="C2098" s="1042" t="str">
        <f>'Смета Внутр'!C2105</f>
        <v>шт</v>
      </c>
      <c r="D2098" s="1058">
        <f>'Смета Внутр'!D2105</f>
        <v>0</v>
      </c>
      <c r="E2098" s="1042">
        <f>'Смета Внутр'!E2105</f>
        <v>2.5000000000000001E-2</v>
      </c>
      <c r="F2098" s="1042">
        <f>'Смета Внутр'!F2105</f>
        <v>0</v>
      </c>
      <c r="G2098" s="1042">
        <f t="shared" si="88"/>
        <v>2.5000000000000001E-2</v>
      </c>
      <c r="H2098" s="1042">
        <f>'Смета Внутр'!G2105</f>
        <v>0</v>
      </c>
      <c r="I2098" s="1042">
        <f>'Смета Внутр'!H2105</f>
        <v>0</v>
      </c>
      <c r="J2098" s="1058">
        <f>'Смета Внутр'!I2105</f>
        <v>0</v>
      </c>
    </row>
    <row r="2099" spans="2:10" ht="15" customHeight="1">
      <c r="B2099" s="1042" t="str">
        <f>'Смета Внутр'!B2106</f>
        <v>саморез гкл/металл, 25мм</v>
      </c>
      <c r="C2099" s="1042" t="str">
        <f>'Смета Внутр'!C2106</f>
        <v>шт</v>
      </c>
      <c r="D2099" s="1058">
        <f>'Смета Внутр'!D2106</f>
        <v>0</v>
      </c>
      <c r="E2099" s="1042">
        <f>'Смета Внутр'!E2106</f>
        <v>2.5000000000000001E-2</v>
      </c>
      <c r="F2099" s="1042">
        <f>'Смета Внутр'!F2106</f>
        <v>0</v>
      </c>
      <c r="G2099" s="1042">
        <f t="shared" si="88"/>
        <v>2.5000000000000001E-2</v>
      </c>
      <c r="H2099" s="1042">
        <f>'Смета Внутр'!G2106</f>
        <v>0</v>
      </c>
      <c r="I2099" s="1042">
        <f>'Смета Внутр'!H2106</f>
        <v>0</v>
      </c>
      <c r="J2099" s="1058">
        <f>'Смета Внутр'!I2106</f>
        <v>0</v>
      </c>
    </row>
    <row r="2100" spans="2:10" ht="15" customHeight="1">
      <c r="B2100" s="1042" t="str">
        <f>'Смета Внутр'!B2107</f>
        <v>грунтовка, 10л</v>
      </c>
      <c r="C2100" s="1042" t="str">
        <f>'Смета Внутр'!C2107</f>
        <v>шт</v>
      </c>
      <c r="D2100" s="1058">
        <f>'Смета Внутр'!D2107</f>
        <v>0</v>
      </c>
      <c r="E2100" s="1042">
        <f>'Смета Внутр'!E2107</f>
        <v>500</v>
      </c>
      <c r="F2100" s="1042">
        <f>'Смета Внутр'!F2107</f>
        <v>0</v>
      </c>
      <c r="G2100" s="1042">
        <f t="shared" si="88"/>
        <v>500</v>
      </c>
      <c r="H2100" s="1042">
        <f>'Смета Внутр'!G2107</f>
        <v>0</v>
      </c>
      <c r="I2100" s="1042">
        <f>'Смета Внутр'!H2107</f>
        <v>0</v>
      </c>
      <c r="J2100" s="1058">
        <f>'Смета Внутр'!I2107</f>
        <v>0</v>
      </c>
    </row>
    <row r="2101" spans="2:10" ht="15" customHeight="1">
      <c r="B2101" s="1042" t="str">
        <f>'Смета Внутр'!B2108</f>
        <v>шпаклевка для швов, 25кг</v>
      </c>
      <c r="C2101" s="1042" t="str">
        <f>'Смета Внутр'!C2108</f>
        <v>шт</v>
      </c>
      <c r="D2101" s="1058">
        <f>'Смета Внутр'!D2108</f>
        <v>0</v>
      </c>
      <c r="E2101" s="1042">
        <f>'Смета Внутр'!E2108</f>
        <v>500</v>
      </c>
      <c r="F2101" s="1042">
        <f>'Смета Внутр'!F2108</f>
        <v>0</v>
      </c>
      <c r="G2101" s="1042">
        <f t="shared" si="88"/>
        <v>500</v>
      </c>
      <c r="H2101" s="1042">
        <f>'Смета Внутр'!G2108</f>
        <v>0</v>
      </c>
      <c r="I2101" s="1042">
        <f>'Смета Внутр'!H2108</f>
        <v>0</v>
      </c>
      <c r="J2101" s="1058">
        <f>'Смета Внутр'!I2108</f>
        <v>0</v>
      </c>
    </row>
    <row r="2102" spans="2:10" ht="15" customHeight="1">
      <c r="B2102" s="1042" t="str">
        <f>'Смета Внутр'!B2109</f>
        <v>шпаклевка финишная, 25кг</v>
      </c>
      <c r="C2102" s="1042" t="str">
        <f>'Смета Внутр'!C2109</f>
        <v>шт</v>
      </c>
      <c r="D2102" s="1058">
        <f>'Смета Внутр'!D2109</f>
        <v>0</v>
      </c>
      <c r="E2102" s="1042">
        <f>'Смета Внутр'!E2109</f>
        <v>400</v>
      </c>
      <c r="F2102" s="1042">
        <f>'Смета Внутр'!F2109</f>
        <v>0</v>
      </c>
      <c r="G2102" s="1042">
        <f t="shared" si="88"/>
        <v>400</v>
      </c>
      <c r="H2102" s="1042">
        <f>'Смета Внутр'!G2109</f>
        <v>0</v>
      </c>
      <c r="I2102" s="1042">
        <f>'Смета Внутр'!H2109</f>
        <v>0</v>
      </c>
      <c r="J2102" s="1058">
        <f>'Смета Внутр'!I2109</f>
        <v>0</v>
      </c>
    </row>
    <row r="2103" spans="2:10" ht="15" customHeight="1">
      <c r="B2103" s="1042" t="str">
        <f>'Смета Внутр'!B2110</f>
        <v>серпянка для швов, 50м.п.</v>
      </c>
      <c r="C2103" s="1042" t="str">
        <f>'Смета Внутр'!C2110</f>
        <v>шт</v>
      </c>
      <c r="D2103" s="1058">
        <f>'Смета Внутр'!D2110</f>
        <v>0</v>
      </c>
      <c r="E2103" s="1042">
        <f>'Смета Внутр'!E2110</f>
        <v>100</v>
      </c>
      <c r="F2103" s="1042">
        <f>'Смета Внутр'!F2110</f>
        <v>0</v>
      </c>
      <c r="G2103" s="1042">
        <f t="shared" si="88"/>
        <v>100</v>
      </c>
      <c r="H2103" s="1042">
        <f>'Смета Внутр'!G2110</f>
        <v>0</v>
      </c>
      <c r="I2103" s="1042">
        <f>'Смета Внутр'!H2110</f>
        <v>0</v>
      </c>
      <c r="J2103" s="1058">
        <f>'Смета Внутр'!I2110</f>
        <v>0</v>
      </c>
    </row>
    <row r="2104" spans="2:10" ht="15" customHeight="1">
      <c r="B2104" s="1042" t="str">
        <f>'Смета Внутр'!B2111</f>
        <v>обои</v>
      </c>
      <c r="C2104" s="1042" t="str">
        <f>'Смета Внутр'!C2111</f>
        <v>м2</v>
      </c>
      <c r="D2104" s="1058">
        <f>'Смета Внутр'!D2111</f>
        <v>0</v>
      </c>
      <c r="E2104" s="1042">
        <f>'Смета Внутр'!E2111</f>
        <v>30</v>
      </c>
      <c r="F2104" s="1042">
        <f>'Смета Внутр'!F2111</f>
        <v>0</v>
      </c>
      <c r="G2104" s="1042">
        <f t="shared" si="88"/>
        <v>30</v>
      </c>
      <c r="H2104" s="1042">
        <f>'Смета Внутр'!G2111</f>
        <v>0</v>
      </c>
      <c r="I2104" s="1042">
        <f>'Смета Внутр'!H2111</f>
        <v>0</v>
      </c>
      <c r="J2104" s="1058">
        <f>'Смета Внутр'!I2111</f>
        <v>0</v>
      </c>
    </row>
    <row r="2105" spans="2:10" ht="15" customHeight="1">
      <c r="B2105" s="1042" t="str">
        <f>'Смета Внутр'!B2112</f>
        <v>клей обойный</v>
      </c>
      <c r="C2105" s="1042" t="str">
        <f>'Смета Внутр'!C2112</f>
        <v>шт</v>
      </c>
      <c r="D2105" s="1058">
        <f>'Смета Внутр'!D2112</f>
        <v>0</v>
      </c>
      <c r="E2105" s="1042">
        <f>'Смета Внутр'!E2112</f>
        <v>120</v>
      </c>
      <c r="F2105" s="1042">
        <f>'Смета Внутр'!F2112</f>
        <v>0</v>
      </c>
      <c r="G2105" s="1042">
        <f t="shared" si="88"/>
        <v>120</v>
      </c>
      <c r="H2105" s="1042">
        <f>'Смета Внутр'!G2112</f>
        <v>0</v>
      </c>
      <c r="I2105" s="1042">
        <f>'Смета Внутр'!H2112</f>
        <v>0</v>
      </c>
      <c r="J2105" s="1058">
        <f>'Смета Внутр'!I2112</f>
        <v>0</v>
      </c>
    </row>
    <row r="2106" spans="2:10" ht="15" customHeight="1">
      <c r="B2106" s="1042" t="str">
        <f>'Смета Внутр'!B2113</f>
        <v>краска для стен, 10л</v>
      </c>
      <c r="C2106" s="1042" t="str">
        <f>'Смета Внутр'!C2113</f>
        <v>шт</v>
      </c>
      <c r="D2106" s="1058">
        <f>'Смета Внутр'!D2113</f>
        <v>0</v>
      </c>
      <c r="E2106" s="1042">
        <f>'Смета Внутр'!E2113</f>
        <v>900</v>
      </c>
      <c r="F2106" s="1042">
        <f>'Смета Внутр'!F2113</f>
        <v>0</v>
      </c>
      <c r="G2106" s="1042">
        <f t="shared" si="88"/>
        <v>900</v>
      </c>
      <c r="H2106" s="1042">
        <f>'Смета Внутр'!G2113</f>
        <v>0</v>
      </c>
      <c r="I2106" s="1042">
        <f>'Смета Внутр'!H2113</f>
        <v>0</v>
      </c>
      <c r="J2106" s="1058">
        <f>'Смета Внутр'!I2113</f>
        <v>0</v>
      </c>
    </row>
    <row r="2107" spans="2:10" ht="15" customHeight="1">
      <c r="B2107" s="1042" t="str">
        <f>'Смета Внутр'!B2114</f>
        <v>имитация бруса</v>
      </c>
      <c r="C2107" s="1042" t="str">
        <f>'Смета Внутр'!C2114</f>
        <v>м2</v>
      </c>
      <c r="D2107" s="1058">
        <f>'Смета Внутр'!D2114</f>
        <v>0</v>
      </c>
      <c r="E2107" s="1042">
        <f>'Смета Внутр'!E2114</f>
        <v>350</v>
      </c>
      <c r="F2107" s="1042">
        <f>'Смета Внутр'!F2114</f>
        <v>0</v>
      </c>
      <c r="G2107" s="1042">
        <f t="shared" si="88"/>
        <v>350</v>
      </c>
      <c r="H2107" s="1042">
        <f>'Смета Внутр'!G2114</f>
        <v>0</v>
      </c>
      <c r="I2107" s="1042">
        <f>'Смета Внутр'!H2114</f>
        <v>0</v>
      </c>
      <c r="J2107" s="1058">
        <f>'Смета Внутр'!I2114</f>
        <v>0</v>
      </c>
    </row>
    <row r="2108" spans="2:10" ht="15" customHeight="1">
      <c r="B2108" s="1042" t="str">
        <f>'Смета Внутр'!B2115</f>
        <v>блокхаус</v>
      </c>
      <c r="C2108" s="1042" t="str">
        <f>'Смета Внутр'!C2115</f>
        <v>м2</v>
      </c>
      <c r="D2108" s="1058">
        <f>'Смета Внутр'!D2115</f>
        <v>0</v>
      </c>
      <c r="E2108" s="1042">
        <f>'Смета Внутр'!E2115</f>
        <v>500</v>
      </c>
      <c r="F2108" s="1042">
        <f>'Смета Внутр'!F2115</f>
        <v>0</v>
      </c>
      <c r="G2108" s="1042">
        <f t="shared" si="88"/>
        <v>500</v>
      </c>
      <c r="H2108" s="1042">
        <f>'Смета Внутр'!G2115</f>
        <v>0</v>
      </c>
      <c r="I2108" s="1042">
        <f>'Смета Внутр'!H2115</f>
        <v>0</v>
      </c>
      <c r="J2108" s="1058">
        <f>'Смета Внутр'!I2115</f>
        <v>0</v>
      </c>
    </row>
    <row r="2109" spans="2:10" ht="15" customHeight="1">
      <c r="B2109" s="3007" t="str">
        <f>'Смета Внутр'!B2116</f>
        <v>вагонка</v>
      </c>
      <c r="C2109" s="3007" t="str">
        <f>'Смета Внутр'!C2116</f>
        <v>м2</v>
      </c>
      <c r="D2109" s="3014">
        <f>'Смета Внутр'!D2116</f>
        <v>0</v>
      </c>
      <c r="E2109" s="1042">
        <f>'Смета Внутр'!E2116</f>
        <v>250</v>
      </c>
      <c r="F2109" s="1042">
        <f>'Смета Внутр'!F2116</f>
        <v>0</v>
      </c>
      <c r="G2109" s="3007">
        <f t="shared" si="88"/>
        <v>250</v>
      </c>
      <c r="H2109" s="1042">
        <f>'Смета Внутр'!G2116</f>
        <v>0</v>
      </c>
      <c r="I2109" s="1042">
        <f>'Смета Внутр'!H2116</f>
        <v>0</v>
      </c>
      <c r="J2109" s="3014">
        <f>'Смета Внутр'!I2116</f>
        <v>0</v>
      </c>
    </row>
    <row r="2110" spans="2:10" ht="15" customHeight="1">
      <c r="B2110" s="1042" t="str">
        <f>'Смета Внутр'!B2117</f>
        <v>подсистема, брусок</v>
      </c>
      <c r="C2110" s="1042" t="str">
        <f>'Смета Внутр'!C2117</f>
        <v>м.п.</v>
      </c>
      <c r="D2110" s="1058">
        <f>'Смета Внутр'!D2117</f>
        <v>0</v>
      </c>
      <c r="E2110" s="1042">
        <f>'Смета Внутр'!E2117</f>
        <v>6</v>
      </c>
      <c r="F2110" s="1042">
        <f>'Смета Внутр'!F2117</f>
        <v>0</v>
      </c>
      <c r="G2110" s="1042">
        <f t="shared" si="88"/>
        <v>6</v>
      </c>
      <c r="H2110" s="1042">
        <f>'Смета Внутр'!G2117</f>
        <v>0</v>
      </c>
      <c r="I2110" s="1042">
        <f>'Смета Внутр'!H2117</f>
        <v>0</v>
      </c>
      <c r="J2110" s="1058">
        <f>'Смета Внутр'!I2117</f>
        <v>0</v>
      </c>
    </row>
    <row r="2111" spans="2:10" ht="15" customHeight="1">
      <c r="B2111" s="1042" t="str">
        <f>'Смета Внутр'!B2118</f>
        <v>уголок крепежный</v>
      </c>
      <c r="C2111" s="1042" t="str">
        <f>'Смета Внутр'!C2118</f>
        <v>шт</v>
      </c>
      <c r="D2111" s="1058">
        <f>'Смета Внутр'!D2118</f>
        <v>0</v>
      </c>
      <c r="E2111" s="1042">
        <f>'Смета Внутр'!E2118</f>
        <v>8</v>
      </c>
      <c r="F2111" s="1042">
        <f>'Смета Внутр'!F2118</f>
        <v>0</v>
      </c>
      <c r="G2111" s="1042">
        <f t="shared" si="88"/>
        <v>8</v>
      </c>
      <c r="H2111" s="1042">
        <f>'Смета Внутр'!G2118</f>
        <v>0</v>
      </c>
      <c r="I2111" s="1042">
        <f>'Смета Внутр'!H2118</f>
        <v>0</v>
      </c>
      <c r="J2111" s="1058">
        <f>'Смета Внутр'!I2118</f>
        <v>0</v>
      </c>
    </row>
    <row r="2112" spans="2:10" ht="15" customHeight="1">
      <c r="B2112" s="1042" t="str">
        <f>'Смета Внутр'!B2119</f>
        <v>гвозди/саморезы для крепления подсистемы</v>
      </c>
      <c r="C2112" s="1042" t="str">
        <f>'Смета Внутр'!C2119</f>
        <v>шт</v>
      </c>
      <c r="D2112" s="1058">
        <f>'Смета Внутр'!D2119</f>
        <v>0</v>
      </c>
      <c r="E2112" s="1042">
        <f>'Смета Внутр'!E2119</f>
        <v>0.02</v>
      </c>
      <c r="F2112" s="1042">
        <f>'Смета Внутр'!F2119</f>
        <v>0</v>
      </c>
      <c r="G2112" s="1042">
        <f t="shared" si="88"/>
        <v>0.02</v>
      </c>
      <c r="H2112" s="1042">
        <f>'Смета Внутр'!G2119</f>
        <v>0</v>
      </c>
      <c r="I2112" s="1042">
        <f>'Смета Внутр'!H2119</f>
        <v>0</v>
      </c>
      <c r="J2112" s="1058">
        <f>'Смета Внутр'!I2119</f>
        <v>0</v>
      </c>
    </row>
    <row r="2113" spans="2:10" ht="15" customHeight="1">
      <c r="B2113" s="3007" t="str">
        <f>'Смета Внутр'!B2120</f>
        <v>гвозди/саморезы для крепления</v>
      </c>
      <c r="C2113" s="3007" t="str">
        <f>'Смета Внутр'!C2120</f>
        <v>шт</v>
      </c>
      <c r="D2113" s="3014">
        <f>'Смета Внутр'!D2120</f>
        <v>0</v>
      </c>
      <c r="E2113" s="1042">
        <f>'Смета Внутр'!E2120</f>
        <v>0.02</v>
      </c>
      <c r="F2113" s="1042">
        <f>'Смета Внутр'!F2120</f>
        <v>0</v>
      </c>
      <c r="G2113" s="3007">
        <f t="shared" si="88"/>
        <v>0.02</v>
      </c>
      <c r="H2113" s="1042">
        <f>'Смета Внутр'!G2120</f>
        <v>0</v>
      </c>
      <c r="I2113" s="1042">
        <f>'Смета Внутр'!H2120</f>
        <v>0</v>
      </c>
      <c r="J2113" s="3014">
        <f>'Смета Внутр'!I2120</f>
        <v>0</v>
      </c>
    </row>
    <row r="2114" spans="2:10" ht="15" customHeight="1">
      <c r="B2114" s="1042" t="str">
        <f>'Смета Внутр'!B2121</f>
        <v>Монтаж евровагонка</v>
      </c>
      <c r="C2114" s="1042" t="str">
        <f>'Смета Внутр'!C2121</f>
        <v>м2</v>
      </c>
      <c r="D2114" s="1058">
        <f>'Смета Внутр'!D2121</f>
        <v>0</v>
      </c>
      <c r="E2114" s="1042">
        <f>'Смета Внутр'!E2121</f>
        <v>400</v>
      </c>
      <c r="F2114" s="1042">
        <f>'Смета Внутр'!F2121</f>
        <v>0</v>
      </c>
      <c r="G2114" s="1042">
        <f t="shared" si="88"/>
        <v>400</v>
      </c>
      <c r="H2114" s="1042">
        <f>'Смета Внутр'!G2121</f>
        <v>0</v>
      </c>
      <c r="I2114" s="1042">
        <f>'Смета Внутр'!H2121</f>
        <v>0</v>
      </c>
      <c r="J2114" s="1058">
        <f>'Смета Внутр'!I2121</f>
        <v>0</v>
      </c>
    </row>
    <row r="2115" spans="2:10" ht="15" customHeight="1">
      <c r="B2115" s="1042" t="str">
        <f>'Смета Внутр'!B2122</f>
        <v>Монтаж вагонка штиль</v>
      </c>
      <c r="C2115" s="1042" t="str">
        <f>'Смета Внутр'!C2122</f>
        <v>м2</v>
      </c>
      <c r="D2115" s="1058">
        <f>'Смета Внутр'!D2122</f>
        <v>0</v>
      </c>
      <c r="E2115" s="1042">
        <f>'Смета Внутр'!E2122</f>
        <v>400</v>
      </c>
      <c r="F2115" s="1042">
        <f>'Смета Внутр'!F2122</f>
        <v>0</v>
      </c>
      <c r="G2115" s="1042">
        <f t="shared" si="88"/>
        <v>400</v>
      </c>
      <c r="H2115" s="1042">
        <f>'Смета Внутр'!G2122</f>
        <v>0</v>
      </c>
      <c r="I2115" s="1042">
        <f>'Смета Внутр'!H2122</f>
        <v>0</v>
      </c>
      <c r="J2115" s="1058">
        <f>'Смета Внутр'!I2122</f>
        <v>0</v>
      </c>
    </row>
    <row r="2116" spans="2:10" ht="15" customHeight="1">
      <c r="B2116" s="1042" t="str">
        <f>'Смета Внутр'!B2123</f>
        <v>Монтаж софт лайн</v>
      </c>
      <c r="C2116" s="1042" t="str">
        <f>'Смета Внутр'!C2123</f>
        <v>м2</v>
      </c>
      <c r="D2116" s="1058">
        <f>'Смета Внутр'!D2123</f>
        <v>0</v>
      </c>
      <c r="E2116" s="1042">
        <f>'Смета Внутр'!E2123</f>
        <v>400</v>
      </c>
      <c r="F2116" s="1042">
        <f>'Смета Внутр'!F2123</f>
        <v>0</v>
      </c>
      <c r="G2116" s="1042">
        <f t="shared" si="88"/>
        <v>400</v>
      </c>
      <c r="H2116" s="1042">
        <f>'Смета Внутр'!G2123</f>
        <v>0</v>
      </c>
      <c r="I2116" s="1042">
        <f>'Смета Внутр'!H2123</f>
        <v>0</v>
      </c>
      <c r="J2116" s="1058">
        <f>'Смета Внутр'!I2123</f>
        <v>0</v>
      </c>
    </row>
    <row r="2117" spans="2:10" ht="15" customHeight="1">
      <c r="B2117" s="1042" t="str">
        <f>'Смета Внутр'!B2124</f>
        <v>Монтаж блокхаус</v>
      </c>
      <c r="C2117" s="1042" t="str">
        <f>'Смета Внутр'!C2124</f>
        <v>м2</v>
      </c>
      <c r="D2117" s="1058">
        <f>'Смета Внутр'!D2124</f>
        <v>0</v>
      </c>
      <c r="E2117" s="1042">
        <f>'Смета Внутр'!E2124</f>
        <v>400</v>
      </c>
      <c r="F2117" s="1042">
        <f>'Смета Внутр'!F2124</f>
        <v>0</v>
      </c>
      <c r="G2117" s="1042">
        <f t="shared" si="88"/>
        <v>400</v>
      </c>
      <c r="H2117" s="1042">
        <f>'Смета Внутр'!G2124</f>
        <v>0</v>
      </c>
      <c r="I2117" s="1042">
        <f>'Смета Внутр'!H2124</f>
        <v>0</v>
      </c>
      <c r="J2117" s="1058">
        <f>'Смета Внутр'!I2124</f>
        <v>0</v>
      </c>
    </row>
    <row r="2118" spans="2:10" ht="15" customHeight="1">
      <c r="B2118" s="3326" t="str">
        <f>'Смета Внутр'!B2125</f>
        <v>Потолок</v>
      </c>
      <c r="C2118" s="3326"/>
      <c r="D2118" s="3326"/>
      <c r="E2118" s="3326"/>
      <c r="F2118" s="3326"/>
      <c r="G2118" s="3326"/>
      <c r="H2118" s="1042">
        <f>'Смета Внутр'!G2125</f>
        <v>0</v>
      </c>
      <c r="I2118" s="1042">
        <f>'Смета Внутр'!H2125</f>
        <v>0</v>
      </c>
      <c r="J2118" s="3012">
        <f>'Смета Внутр'!I2125</f>
        <v>0</v>
      </c>
    </row>
    <row r="2119" spans="2:10" ht="15" customHeight="1">
      <c r="B2119" s="1042" t="str">
        <f>'Смета Внутр'!B2126</f>
        <v>ГКЛ, 9мм</v>
      </c>
      <c r="C2119" s="1042" t="str">
        <f>'Смета Внутр'!C2126</f>
        <v>м2</v>
      </c>
      <c r="D2119" s="1058">
        <f>'Смета Внутр'!D2126</f>
        <v>0</v>
      </c>
      <c r="E2119" s="1042">
        <f>'Смета Внутр'!E2126</f>
        <v>80</v>
      </c>
      <c r="F2119" s="1042">
        <f>'Смета Внутр'!F2126</f>
        <v>0</v>
      </c>
      <c r="G2119" s="1042">
        <f t="shared" ref="G2119:G2141" si="89">IF(E2119&gt;F2119,E2119,F2119)</f>
        <v>80</v>
      </c>
      <c r="H2119" s="1042">
        <f>'Смета Внутр'!G2126</f>
        <v>0</v>
      </c>
      <c r="I2119" s="1042">
        <f>'Смета Внутр'!H2126</f>
        <v>0</v>
      </c>
      <c r="J2119" s="1058">
        <f>'Смета Внутр'!I2126</f>
        <v>0</v>
      </c>
    </row>
    <row r="2120" spans="2:10" ht="15" customHeight="1">
      <c r="B2120" s="1042" t="str">
        <f>'Смета Внутр'!B2127</f>
        <v>профиль 60/27/3000</v>
      </c>
      <c r="C2120" s="1042" t="str">
        <f>'Смета Внутр'!C2127</f>
        <v>шт</v>
      </c>
      <c r="D2120" s="1058">
        <f>'Смета Внутр'!D2127</f>
        <v>0</v>
      </c>
      <c r="E2120" s="1042">
        <f>'Смета Внутр'!E2127</f>
        <v>100</v>
      </c>
      <c r="F2120" s="1042">
        <f>'Смета Внутр'!F2127</f>
        <v>0</v>
      </c>
      <c r="G2120" s="1042">
        <f t="shared" si="89"/>
        <v>100</v>
      </c>
      <c r="H2120" s="1042">
        <f>'Смета Внутр'!G2127</f>
        <v>0</v>
      </c>
      <c r="I2120" s="1042">
        <f>'Смета Внутр'!H2127</f>
        <v>0</v>
      </c>
      <c r="J2120" s="1058">
        <f>'Смета Внутр'!I2127</f>
        <v>0</v>
      </c>
    </row>
    <row r="2121" spans="2:10" ht="15" customHeight="1">
      <c r="B2121" s="1042" t="str">
        <f>'Смета Внутр'!B2128</f>
        <v>профиль 27/28/3000</v>
      </c>
      <c r="C2121" s="1042" t="str">
        <f>'Смета Внутр'!C2128</f>
        <v>шт</v>
      </c>
      <c r="D2121" s="1058">
        <f>'Смета Внутр'!D2128</f>
        <v>0</v>
      </c>
      <c r="E2121" s="1042">
        <f>'Смета Внутр'!E2128</f>
        <v>100</v>
      </c>
      <c r="F2121" s="1042">
        <f>'Смета Внутр'!F2128</f>
        <v>0</v>
      </c>
      <c r="G2121" s="1042">
        <f t="shared" si="89"/>
        <v>100</v>
      </c>
      <c r="H2121" s="1042">
        <f>'Смета Внутр'!G2128</f>
        <v>0</v>
      </c>
      <c r="I2121" s="1042">
        <f>'Смета Внутр'!H2128</f>
        <v>0</v>
      </c>
      <c r="J2121" s="1058">
        <f>'Смета Внутр'!I2128</f>
        <v>0</v>
      </c>
    </row>
    <row r="2122" spans="2:10" ht="15" customHeight="1">
      <c r="B2122" s="1042" t="str">
        <f>'Смета Внутр'!B2129</f>
        <v>подвес прямой</v>
      </c>
      <c r="C2122" s="1042" t="str">
        <f>'Смета Внутр'!C2129</f>
        <v>шт</v>
      </c>
      <c r="D2122" s="1058">
        <f>'Смета Внутр'!D2129</f>
        <v>0</v>
      </c>
      <c r="E2122" s="1042">
        <f>'Смета Внутр'!E2129</f>
        <v>9</v>
      </c>
      <c r="F2122" s="1042">
        <f>'Смета Внутр'!F2129</f>
        <v>0</v>
      </c>
      <c r="G2122" s="1042">
        <f t="shared" si="89"/>
        <v>9</v>
      </c>
      <c r="H2122" s="1042">
        <f>'Смета Внутр'!G2129</f>
        <v>0</v>
      </c>
      <c r="I2122" s="1042">
        <f>'Смета Внутр'!H2129</f>
        <v>0</v>
      </c>
      <c r="J2122" s="1058">
        <f>'Смета Внутр'!I2129</f>
        <v>0</v>
      </c>
    </row>
    <row r="2123" spans="2:10" ht="15" customHeight="1">
      <c r="B2123" s="1042" t="str">
        <f>'Смета Внутр'!B2130</f>
        <v>саморез металл/металл, 13мм</v>
      </c>
      <c r="C2123" s="1042" t="str">
        <f>'Смета Внутр'!C2130</f>
        <v>шт</v>
      </c>
      <c r="D2123" s="1058">
        <f>'Смета Внутр'!D2130</f>
        <v>0</v>
      </c>
      <c r="E2123" s="1042">
        <f>'Смета Внутр'!E2130</f>
        <v>2.5000000000000001E-2</v>
      </c>
      <c r="F2123" s="1042">
        <f>'Смета Внутр'!F2130</f>
        <v>0</v>
      </c>
      <c r="G2123" s="1042">
        <f t="shared" si="89"/>
        <v>2.5000000000000001E-2</v>
      </c>
      <c r="H2123" s="1042">
        <f>'Смета Внутр'!G2130</f>
        <v>0</v>
      </c>
      <c r="I2123" s="1042">
        <f>'Смета Внутр'!H2130</f>
        <v>0</v>
      </c>
      <c r="J2123" s="1058">
        <f>'Смета Внутр'!I2130</f>
        <v>0</v>
      </c>
    </row>
    <row r="2124" spans="2:10" ht="15" customHeight="1">
      <c r="B2124" s="1042" t="str">
        <f>'Смета Внутр'!B2131</f>
        <v>саморез гкл/металл, 25мм</v>
      </c>
      <c r="C2124" s="1042" t="str">
        <f>'Смета Внутр'!C2131</f>
        <v>шт</v>
      </c>
      <c r="D2124" s="1058">
        <f>'Смета Внутр'!D2131</f>
        <v>0</v>
      </c>
      <c r="E2124" s="1042">
        <f>'Смета Внутр'!E2131</f>
        <v>2.5000000000000001E-2</v>
      </c>
      <c r="F2124" s="1042">
        <f>'Смета Внутр'!F2131</f>
        <v>0</v>
      </c>
      <c r="G2124" s="1042">
        <f t="shared" si="89"/>
        <v>2.5000000000000001E-2</v>
      </c>
      <c r="H2124" s="1042">
        <f>'Смета Внутр'!G2131</f>
        <v>0</v>
      </c>
      <c r="I2124" s="1042">
        <f>'Смета Внутр'!H2131</f>
        <v>0</v>
      </c>
      <c r="J2124" s="1058">
        <f>'Смета Внутр'!I2131</f>
        <v>0</v>
      </c>
    </row>
    <row r="2125" spans="2:10" ht="15" customHeight="1">
      <c r="B2125" s="1042" t="str">
        <f>'Смета Внутр'!B2132</f>
        <v>грунтовка, 10л</v>
      </c>
      <c r="C2125" s="1042" t="str">
        <f>'Смета Внутр'!C2132</f>
        <v>шт</v>
      </c>
      <c r="D2125" s="1058">
        <f>'Смета Внутр'!D2132</f>
        <v>0</v>
      </c>
      <c r="E2125" s="1042">
        <f>'Смета Внутр'!E2132</f>
        <v>500</v>
      </c>
      <c r="F2125" s="1042">
        <f>'Смета Внутр'!F2132</f>
        <v>0</v>
      </c>
      <c r="G2125" s="1042">
        <f t="shared" si="89"/>
        <v>500</v>
      </c>
      <c r="H2125" s="1042">
        <f>'Смета Внутр'!G2132</f>
        <v>0</v>
      </c>
      <c r="I2125" s="1042">
        <f>'Смета Внутр'!H2132</f>
        <v>0</v>
      </c>
      <c r="J2125" s="1058">
        <f>'Смета Внутр'!I2132</f>
        <v>0</v>
      </c>
    </row>
    <row r="2126" spans="2:10" ht="15" customHeight="1">
      <c r="B2126" s="1042" t="str">
        <f>'Смета Внутр'!B2133</f>
        <v>шпаклевка для швов, 25кг</v>
      </c>
      <c r="C2126" s="1042" t="str">
        <f>'Смета Внутр'!C2133</f>
        <v>шт</v>
      </c>
      <c r="D2126" s="1058">
        <f>'Смета Внутр'!D2133</f>
        <v>0</v>
      </c>
      <c r="E2126" s="1042">
        <f>'Смета Внутр'!E2133</f>
        <v>500</v>
      </c>
      <c r="F2126" s="1042">
        <f>'Смета Внутр'!F2133</f>
        <v>0</v>
      </c>
      <c r="G2126" s="1042">
        <f t="shared" si="89"/>
        <v>500</v>
      </c>
      <c r="H2126" s="1042">
        <f>'Смета Внутр'!G2133</f>
        <v>0</v>
      </c>
      <c r="I2126" s="1042">
        <f>'Смета Внутр'!H2133</f>
        <v>0</v>
      </c>
      <c r="J2126" s="1058">
        <f>'Смета Внутр'!I2133</f>
        <v>0</v>
      </c>
    </row>
    <row r="2127" spans="2:10" ht="15" customHeight="1">
      <c r="B2127" s="1042" t="str">
        <f>'Смета Внутр'!B2134</f>
        <v>шпаклевка финишная, 25кг</v>
      </c>
      <c r="C2127" s="1042" t="str">
        <f>'Смета Внутр'!C2134</f>
        <v>шт</v>
      </c>
      <c r="D2127" s="1058">
        <f>'Смета Внутр'!D2134</f>
        <v>0</v>
      </c>
      <c r="E2127" s="1042">
        <f>'Смета Внутр'!E2134</f>
        <v>400</v>
      </c>
      <c r="F2127" s="1042">
        <f>'Смета Внутр'!F2134</f>
        <v>0</v>
      </c>
      <c r="G2127" s="1042">
        <f t="shared" si="89"/>
        <v>400</v>
      </c>
      <c r="H2127" s="1042">
        <f>'Смета Внутр'!G2134</f>
        <v>0</v>
      </c>
      <c r="I2127" s="1042">
        <f>'Смета Внутр'!H2134</f>
        <v>0</v>
      </c>
      <c r="J2127" s="1058">
        <f>'Смета Внутр'!I2134</f>
        <v>0</v>
      </c>
    </row>
    <row r="2128" spans="2:10" ht="15" customHeight="1">
      <c r="B2128" s="1042" t="str">
        <f>'Смета Внутр'!B2135</f>
        <v>серпянка для швов, 50м.п.</v>
      </c>
      <c r="C2128" s="1042" t="str">
        <f>'Смета Внутр'!C2135</f>
        <v>шт</v>
      </c>
      <c r="D2128" s="1058">
        <f>'Смета Внутр'!D2135</f>
        <v>0</v>
      </c>
      <c r="E2128" s="1042">
        <f>'Смета Внутр'!E2135</f>
        <v>100</v>
      </c>
      <c r="F2128" s="1042">
        <f>'Смета Внутр'!F2135</f>
        <v>0</v>
      </c>
      <c r="G2128" s="1042">
        <f t="shared" si="89"/>
        <v>100</v>
      </c>
      <c r="H2128" s="1042">
        <f>'Смета Внутр'!G2135</f>
        <v>0</v>
      </c>
      <c r="I2128" s="1042">
        <f>'Смета Внутр'!H2135</f>
        <v>0</v>
      </c>
      <c r="J2128" s="1058">
        <f>'Смета Внутр'!I2135</f>
        <v>0</v>
      </c>
    </row>
    <row r="2129" spans="2:10" ht="15" customHeight="1">
      <c r="B2129" s="1042" t="str">
        <f>'Смета Внутр'!B2136</f>
        <v>краска для потолков, 10л</v>
      </c>
      <c r="C2129" s="1042" t="str">
        <f>'Смета Внутр'!C2136</f>
        <v>шт</v>
      </c>
      <c r="D2129" s="1058">
        <f>'Смета Внутр'!D2136</f>
        <v>0</v>
      </c>
      <c r="E2129" s="1042">
        <f>'Смета Внутр'!E2136</f>
        <v>1200</v>
      </c>
      <c r="F2129" s="1042">
        <f>'Смета Внутр'!F2136</f>
        <v>0</v>
      </c>
      <c r="G2129" s="1042">
        <f t="shared" si="89"/>
        <v>1200</v>
      </c>
      <c r="H2129" s="1042">
        <f>'Смета Внутр'!G2136</f>
        <v>0</v>
      </c>
      <c r="I2129" s="1042">
        <f>'Смета Внутр'!H2136</f>
        <v>0</v>
      </c>
      <c r="J2129" s="1058">
        <f>'Смета Внутр'!I2136</f>
        <v>0</v>
      </c>
    </row>
    <row r="2130" spans="2:10" ht="15" customHeight="1">
      <c r="B2130" s="1042" t="str">
        <f>'Смета Внутр'!B2137</f>
        <v>багет 1мп</v>
      </c>
      <c r="C2130" s="1042" t="str">
        <f>'Смета Внутр'!C2137</f>
        <v>м.п.</v>
      </c>
      <c r="D2130" s="1058">
        <f>'Смета Внутр'!D2137</f>
        <v>0</v>
      </c>
      <c r="E2130" s="1042">
        <f>'Смета Внутр'!E2137</f>
        <v>10</v>
      </c>
      <c r="F2130" s="1042">
        <f>'Смета Внутр'!F2137</f>
        <v>0</v>
      </c>
      <c r="G2130" s="1042">
        <f t="shared" si="89"/>
        <v>10</v>
      </c>
      <c r="H2130" s="1042">
        <f>'Смета Внутр'!G2137</f>
        <v>0</v>
      </c>
      <c r="I2130" s="1042">
        <f>'Смета Внутр'!H2137</f>
        <v>0</v>
      </c>
      <c r="J2130" s="1058">
        <f>'Смета Внутр'!I2137</f>
        <v>0</v>
      </c>
    </row>
    <row r="2131" spans="2:10" ht="15" customHeight="1">
      <c r="B2131" s="1042" t="str">
        <f>'Смета Внутр'!B2138</f>
        <v>шпаклевка для багета, 5 кг</v>
      </c>
      <c r="C2131" s="1042" t="str">
        <f>'Смета Внутр'!C2138</f>
        <v>шт</v>
      </c>
      <c r="D2131" s="1058">
        <f>'Смета Внутр'!D2138</f>
        <v>0</v>
      </c>
      <c r="E2131" s="1042">
        <f>'Смета Внутр'!E2138</f>
        <v>100</v>
      </c>
      <c r="F2131" s="1042">
        <f>'Смета Внутр'!F2138</f>
        <v>0</v>
      </c>
      <c r="G2131" s="1042">
        <f t="shared" si="89"/>
        <v>100</v>
      </c>
      <c r="H2131" s="1042">
        <f>'Смета Внутр'!G2138</f>
        <v>0</v>
      </c>
      <c r="I2131" s="1042">
        <f>'Смета Внутр'!H2138</f>
        <v>0</v>
      </c>
      <c r="J2131" s="1058">
        <f>'Смета Внутр'!I2138</f>
        <v>0</v>
      </c>
    </row>
    <row r="2132" spans="2:10" ht="15" customHeight="1">
      <c r="B2132" s="1042" t="str">
        <f>'Смета Внутр'!B2139</f>
        <v>краска для багета, 5 л</v>
      </c>
      <c r="C2132" s="1042" t="str">
        <f>'Смета Внутр'!C2139</f>
        <v>шт</v>
      </c>
      <c r="D2132" s="1058">
        <f>'Смета Внутр'!D2139</f>
        <v>0</v>
      </c>
      <c r="E2132" s="1042">
        <f>'Смета Внутр'!E2139</f>
        <v>190</v>
      </c>
      <c r="F2132" s="1042">
        <f>'Смета Внутр'!F2139</f>
        <v>0</v>
      </c>
      <c r="G2132" s="1042">
        <f t="shared" si="89"/>
        <v>190</v>
      </c>
      <c r="H2132" s="1042">
        <f>'Смета Внутр'!G2139</f>
        <v>0</v>
      </c>
      <c r="I2132" s="1042">
        <f>'Смета Внутр'!H2139</f>
        <v>0</v>
      </c>
      <c r="J2132" s="1058">
        <f>'Смета Внутр'!I2139</f>
        <v>0</v>
      </c>
    </row>
    <row r="2133" spans="2:10" ht="15" customHeight="1">
      <c r="B2133" s="1042" t="str">
        <f>'Смета Внутр'!B2140</f>
        <v>наждачная бумага финишная</v>
      </c>
      <c r="C2133" s="1042" t="str">
        <f>'Смета Внутр'!C2140</f>
        <v>м2</v>
      </c>
      <c r="D2133" s="1058">
        <f>'Смета Внутр'!D2140</f>
        <v>0</v>
      </c>
      <c r="E2133" s="1042">
        <f>'Смета Внутр'!E2140</f>
        <v>120</v>
      </c>
      <c r="F2133" s="1042">
        <f>'Смета Внутр'!F2140</f>
        <v>0</v>
      </c>
      <c r="G2133" s="1042">
        <f t="shared" si="89"/>
        <v>120</v>
      </c>
      <c r="H2133" s="1042">
        <f>'Смета Внутр'!G2140</f>
        <v>0</v>
      </c>
      <c r="I2133" s="1042">
        <f>'Смета Внутр'!H2140</f>
        <v>0</v>
      </c>
      <c r="J2133" s="1058">
        <f>'Смета Внутр'!I2140</f>
        <v>0</v>
      </c>
    </row>
    <row r="2134" spans="2:10" ht="15" customHeight="1">
      <c r="B2134" s="1042" t="str">
        <f>'Смета Внутр'!B2141</f>
        <v>натяжной потолок</v>
      </c>
      <c r="C2134" s="1042" t="str">
        <f>'Смета Внутр'!C2141</f>
        <v>м2</v>
      </c>
      <c r="D2134" s="1058">
        <f>'Смета Внутр'!D2141</f>
        <v>0</v>
      </c>
      <c r="E2134" s="1042">
        <f>'Смета Внутр'!E2141</f>
        <v>400</v>
      </c>
      <c r="F2134" s="1042">
        <f>'Смета Внутр'!F2141</f>
        <v>0</v>
      </c>
      <c r="G2134" s="1042">
        <f t="shared" si="89"/>
        <v>400</v>
      </c>
      <c r="H2134" s="1042">
        <f>'Смета Внутр'!G2141</f>
        <v>0</v>
      </c>
      <c r="I2134" s="1042">
        <f>'Смета Внутр'!H2141</f>
        <v>0</v>
      </c>
      <c r="J2134" s="1058">
        <f>'Смета Внутр'!I2141</f>
        <v>0</v>
      </c>
    </row>
    <row r="2135" spans="2:10" ht="15" customHeight="1">
      <c r="B2135" s="1042" t="str">
        <f>'Смета Внутр'!B2142</f>
        <v>имитация бруса</v>
      </c>
      <c r="C2135" s="1042" t="str">
        <f>'Смета Внутр'!C2142</f>
        <v>м2</v>
      </c>
      <c r="D2135" s="1058">
        <f>'Смета Внутр'!D2142</f>
        <v>0</v>
      </c>
      <c r="E2135" s="1042">
        <f>'Смета Внутр'!E2142</f>
        <v>350</v>
      </c>
      <c r="F2135" s="1042">
        <f>'Смета Внутр'!F2142</f>
        <v>0</v>
      </c>
      <c r="G2135" s="1042">
        <f t="shared" si="89"/>
        <v>350</v>
      </c>
      <c r="H2135" s="1042">
        <f>'Смета Внутр'!G2142</f>
        <v>0</v>
      </c>
      <c r="I2135" s="1042">
        <f>'Смета Внутр'!H2142</f>
        <v>0</v>
      </c>
      <c r="J2135" s="1058">
        <f>'Смета Внутр'!I2142</f>
        <v>0</v>
      </c>
    </row>
    <row r="2136" spans="2:10" ht="15" customHeight="1">
      <c r="B2136" s="1042" t="str">
        <f>'Смета Внутр'!B2143</f>
        <v>блокхаус</v>
      </c>
      <c r="C2136" s="1042" t="str">
        <f>'Смета Внутр'!C2143</f>
        <v>м2</v>
      </c>
      <c r="D2136" s="1058">
        <f>'Смета Внутр'!D2143</f>
        <v>0</v>
      </c>
      <c r="E2136" s="1042">
        <f>'Смета Внутр'!E2143</f>
        <v>500</v>
      </c>
      <c r="F2136" s="1042">
        <f>'Смета Внутр'!F2143</f>
        <v>0</v>
      </c>
      <c r="G2136" s="1042">
        <f t="shared" si="89"/>
        <v>500</v>
      </c>
      <c r="H2136" s="1042">
        <f>'Смета Внутр'!G2143</f>
        <v>0</v>
      </c>
      <c r="I2136" s="1042">
        <f>'Смета Внутр'!H2143</f>
        <v>0</v>
      </c>
      <c r="J2136" s="1058">
        <f>'Смета Внутр'!I2143</f>
        <v>0</v>
      </c>
    </row>
    <row r="2137" spans="2:10" ht="15" customHeight="1">
      <c r="B2137" s="3007" t="str">
        <f>'Смета Внутр'!B2144</f>
        <v>вагонка</v>
      </c>
      <c r="C2137" s="3007" t="str">
        <f>'Смета Внутр'!C2144</f>
        <v>м2</v>
      </c>
      <c r="D2137" s="3014">
        <f>'Смета Внутр'!D2144</f>
        <v>0</v>
      </c>
      <c r="E2137" s="1042">
        <f>'Смета Внутр'!E2144</f>
        <v>250</v>
      </c>
      <c r="F2137" s="1042">
        <f>'Смета Внутр'!F2144</f>
        <v>0</v>
      </c>
      <c r="G2137" s="3007">
        <f t="shared" si="89"/>
        <v>250</v>
      </c>
      <c r="H2137" s="1042">
        <f>'Смета Внутр'!G2144</f>
        <v>0</v>
      </c>
      <c r="I2137" s="1042">
        <f>'Смета Внутр'!H2144</f>
        <v>0</v>
      </c>
      <c r="J2137" s="3014">
        <f>'Смета Внутр'!I2144</f>
        <v>0</v>
      </c>
    </row>
    <row r="2138" spans="2:10" ht="15" customHeight="1">
      <c r="B2138" s="1042" t="str">
        <f>'Смета Внутр'!B2145</f>
        <v>подсистема, брусок</v>
      </c>
      <c r="C2138" s="1042" t="str">
        <f>'Смета Внутр'!C2145</f>
        <v>м.п.</v>
      </c>
      <c r="D2138" s="1058">
        <f>'Смета Внутр'!D2145</f>
        <v>0</v>
      </c>
      <c r="E2138" s="1042">
        <f>'Смета Внутр'!E2145</f>
        <v>6</v>
      </c>
      <c r="F2138" s="1042">
        <f>'Смета Внутр'!F2145</f>
        <v>0</v>
      </c>
      <c r="G2138" s="1042">
        <f t="shared" si="89"/>
        <v>6</v>
      </c>
      <c r="H2138" s="1042">
        <f>'Смета Внутр'!G2145</f>
        <v>0</v>
      </c>
      <c r="I2138" s="1042">
        <f>'Смета Внутр'!H2145</f>
        <v>0</v>
      </c>
      <c r="J2138" s="1058">
        <f>'Смета Внутр'!I2145</f>
        <v>0</v>
      </c>
    </row>
    <row r="2139" spans="2:10" ht="15" customHeight="1">
      <c r="B2139" s="1042" t="str">
        <f>'Смета Внутр'!B2146</f>
        <v>уголок крепежный</v>
      </c>
      <c r="C2139" s="1042" t="str">
        <f>'Смета Внутр'!C2146</f>
        <v>шт</v>
      </c>
      <c r="D2139" s="1058">
        <f>'Смета Внутр'!D2146</f>
        <v>0</v>
      </c>
      <c r="E2139" s="1042">
        <f>'Смета Внутр'!E2146</f>
        <v>8</v>
      </c>
      <c r="F2139" s="1042">
        <f>'Смета Внутр'!F2146</f>
        <v>0</v>
      </c>
      <c r="G2139" s="1042">
        <f t="shared" si="89"/>
        <v>8</v>
      </c>
      <c r="H2139" s="1042">
        <f>'Смета Внутр'!G2146</f>
        <v>0</v>
      </c>
      <c r="I2139" s="1042">
        <f>'Смета Внутр'!H2146</f>
        <v>0</v>
      </c>
      <c r="J2139" s="1058">
        <f>'Смета Внутр'!I2146</f>
        <v>0</v>
      </c>
    </row>
    <row r="2140" spans="2:10" ht="15" customHeight="1">
      <c r="B2140" s="1042" t="str">
        <f>'Смета Внутр'!B2147</f>
        <v>гвозди/саморезы для крепления подсистемы</v>
      </c>
      <c r="C2140" s="1042" t="str">
        <f>'Смета Внутр'!C2147</f>
        <v>шт</v>
      </c>
      <c r="D2140" s="1058">
        <f>'Смета Внутр'!D2147</f>
        <v>0</v>
      </c>
      <c r="E2140" s="1042">
        <f>'Смета Внутр'!E2147</f>
        <v>0.02</v>
      </c>
      <c r="F2140" s="1042">
        <f>'Смета Внутр'!F2147</f>
        <v>0</v>
      </c>
      <c r="G2140" s="1042">
        <f t="shared" si="89"/>
        <v>0.02</v>
      </c>
      <c r="H2140" s="1042">
        <f>'Смета Внутр'!G2147</f>
        <v>0</v>
      </c>
      <c r="I2140" s="1042">
        <f>'Смета Внутр'!H2147</f>
        <v>0</v>
      </c>
      <c r="J2140" s="1058">
        <f>'Смета Внутр'!I2147</f>
        <v>0</v>
      </c>
    </row>
    <row r="2141" spans="2:10" ht="15" customHeight="1">
      <c r="B2141" s="3007" t="str">
        <f>'Смета Внутр'!B2148</f>
        <v>гвозди/саморезы для крепления</v>
      </c>
      <c r="C2141" s="3007" t="str">
        <f>'Смета Внутр'!C2148</f>
        <v>шт</v>
      </c>
      <c r="D2141" s="3014">
        <f>'Смета Внутр'!D2148</f>
        <v>0</v>
      </c>
      <c r="E2141" s="1042">
        <f>'Смета Внутр'!E2148</f>
        <v>0.02</v>
      </c>
      <c r="F2141" s="1042">
        <f>'Смета Внутр'!F2148</f>
        <v>0</v>
      </c>
      <c r="G2141" s="3007">
        <f t="shared" si="89"/>
        <v>0.02</v>
      </c>
      <c r="H2141" s="1042">
        <f>'Смета Внутр'!G2148</f>
        <v>0</v>
      </c>
      <c r="I2141" s="1042">
        <f>'Смета Внутр'!H2148</f>
        <v>0</v>
      </c>
      <c r="J2141" s="3014">
        <f>'Смета Внутр'!I2148</f>
        <v>0</v>
      </c>
    </row>
    <row r="2142" spans="2:10" ht="15" customHeight="1">
      <c r="B2142" s="3339" t="str">
        <f>'Смета Внутр'!B2149</f>
        <v>Пол</v>
      </c>
      <c r="C2142" s="3339"/>
      <c r="D2142" s="3339"/>
      <c r="E2142" s="3339"/>
      <c r="F2142" s="3339"/>
      <c r="G2142" s="3339"/>
      <c r="H2142" s="1042">
        <f>'Смета Внутр'!G2149</f>
        <v>0</v>
      </c>
      <c r="I2142" s="1042">
        <f>'Смета Внутр'!H2149</f>
        <v>0</v>
      </c>
      <c r="J2142" s="3030">
        <f>'Смета Внутр'!I2149</f>
        <v>0</v>
      </c>
    </row>
    <row r="2143" spans="2:10" ht="15" customHeight="1">
      <c r="B2143" s="1042" t="str">
        <f>'Смета Внутр'!B2150</f>
        <v>подложка под покрытие</v>
      </c>
      <c r="C2143" s="1042" t="str">
        <f>'Смета Внутр'!C2150</f>
        <v>м2</v>
      </c>
      <c r="D2143" s="1058">
        <f>'Смета Внутр'!D2150</f>
        <v>0</v>
      </c>
      <c r="E2143" s="1042">
        <f>'Смета Внутр'!E2150</f>
        <v>50</v>
      </c>
      <c r="F2143" s="1042">
        <f>'Смета Внутр'!F2150</f>
        <v>0</v>
      </c>
      <c r="G2143" s="1042">
        <f t="shared" ref="G2143:G2152" si="90">IF(E2143&gt;F2143,E2143,F2143)</f>
        <v>50</v>
      </c>
      <c r="H2143" s="1042">
        <f>'Смета Внутр'!G2150</f>
        <v>0</v>
      </c>
      <c r="I2143" s="1042">
        <f>'Смета Внутр'!H2150</f>
        <v>0</v>
      </c>
      <c r="J2143" s="1058">
        <f>'Смета Внутр'!I2150</f>
        <v>0</v>
      </c>
    </row>
    <row r="2144" spans="2:10" ht="15" customHeight="1">
      <c r="B2144" s="1042" t="str">
        <f>'Смета Внутр'!B2151</f>
        <v>линолеум</v>
      </c>
      <c r="C2144" s="1042" t="str">
        <f>'Смета Внутр'!C2151</f>
        <v>м2</v>
      </c>
      <c r="D2144" s="1058">
        <f>'Смета Внутр'!D2151</f>
        <v>0</v>
      </c>
      <c r="E2144" s="1042">
        <f>'Смета Внутр'!E2151</f>
        <v>350</v>
      </c>
      <c r="F2144" s="1042">
        <f>'Смета Внутр'!F2151</f>
        <v>0</v>
      </c>
      <c r="G2144" s="1042">
        <f t="shared" si="90"/>
        <v>350</v>
      </c>
      <c r="H2144" s="1042">
        <f>'Смета Внутр'!G2151</f>
        <v>0</v>
      </c>
      <c r="I2144" s="1042">
        <f>'Смета Внутр'!H2151</f>
        <v>0</v>
      </c>
      <c r="J2144" s="1058">
        <f>'Смета Внутр'!I2151</f>
        <v>0</v>
      </c>
    </row>
    <row r="2145" spans="2:10" ht="15" customHeight="1">
      <c r="B2145" s="1042" t="str">
        <f>'Смета Внутр'!B2152</f>
        <v>ламинат</v>
      </c>
      <c r="C2145" s="1042" t="str">
        <f>'Смета Внутр'!C2152</f>
        <v>м2</v>
      </c>
      <c r="D2145" s="1058">
        <f>'Смета Внутр'!D2152</f>
        <v>94</v>
      </c>
      <c r="E2145" s="1042">
        <f>'Смета Внутр'!E2152</f>
        <v>450</v>
      </c>
      <c r="F2145" s="1042">
        <f>'Смета Внутр'!F2152</f>
        <v>0</v>
      </c>
      <c r="G2145" s="1042">
        <f t="shared" si="90"/>
        <v>450</v>
      </c>
      <c r="H2145" s="1042">
        <f>'Смета Внутр'!G2152</f>
        <v>42300</v>
      </c>
      <c r="I2145" s="1042">
        <f>'Смета Внутр'!H2152</f>
        <v>0</v>
      </c>
      <c r="J2145" s="1058">
        <f>'Смета Внутр'!I2152</f>
        <v>0</v>
      </c>
    </row>
    <row r="2146" spans="2:10" ht="15" customHeight="1">
      <c r="B2146" s="1042" t="str">
        <f>'Смета Внутр'!B2153</f>
        <v>уголки, расходные материалы</v>
      </c>
      <c r="C2146" s="1042" t="str">
        <f>'Смета Внутр'!C2153</f>
        <v>шт</v>
      </c>
      <c r="D2146" s="1058">
        <f>'Смета Внутр'!D2153</f>
        <v>0</v>
      </c>
      <c r="E2146" s="1042">
        <f>'Смета Внутр'!E2153</f>
        <v>35</v>
      </c>
      <c r="F2146" s="1042">
        <f>'Смета Внутр'!F2153</f>
        <v>0</v>
      </c>
      <c r="G2146" s="1042">
        <f t="shared" si="90"/>
        <v>35</v>
      </c>
      <c r="H2146" s="1042">
        <f>'Смета Внутр'!G2153</f>
        <v>0</v>
      </c>
      <c r="I2146" s="1042">
        <f>'Смета Внутр'!H2153</f>
        <v>0</v>
      </c>
      <c r="J2146" s="1058">
        <f>'Смета Внутр'!I2153</f>
        <v>0</v>
      </c>
    </row>
    <row r="2147" spans="2:10" ht="15" customHeight="1">
      <c r="B2147" s="1042" t="str">
        <f>'Смета Внутр'!B2154</f>
        <v>плинтус</v>
      </c>
      <c r="C2147" s="1042" t="str">
        <f>'Смета Внутр'!C2154</f>
        <v>м.п.</v>
      </c>
      <c r="D2147" s="1058">
        <f>'Смета Внутр'!D2154</f>
        <v>0</v>
      </c>
      <c r="E2147" s="1042">
        <f>'Смета Внутр'!E2154</f>
        <v>35</v>
      </c>
      <c r="F2147" s="1042">
        <f>'Смета Внутр'!F2154</f>
        <v>0</v>
      </c>
      <c r="G2147" s="1042">
        <f t="shared" si="90"/>
        <v>35</v>
      </c>
      <c r="H2147" s="1042">
        <f>'Смета Внутр'!G2154</f>
        <v>0</v>
      </c>
      <c r="I2147" s="1042">
        <f>'Смета Внутр'!H2154</f>
        <v>0</v>
      </c>
      <c r="J2147" s="1058">
        <f>'Смета Внутр'!I2154</f>
        <v>0</v>
      </c>
    </row>
    <row r="2148" spans="2:10" ht="15" customHeight="1">
      <c r="B2148" s="1042" t="str">
        <f>'Смета Внутр'!B2155</f>
        <v>кафель</v>
      </c>
      <c r="C2148" s="1042" t="str">
        <f>'Смета Внутр'!C2155</f>
        <v>м2</v>
      </c>
      <c r="D2148" s="1058">
        <f>'Смета Внутр'!D2155</f>
        <v>0</v>
      </c>
      <c r="E2148" s="1042">
        <f>'Смета Внутр'!E2155</f>
        <v>500</v>
      </c>
      <c r="F2148" s="1042">
        <f>'Смета Внутр'!F2155</f>
        <v>0</v>
      </c>
      <c r="G2148" s="1042">
        <f t="shared" si="90"/>
        <v>500</v>
      </c>
      <c r="H2148" s="1042">
        <f>'Смета Внутр'!G2155</f>
        <v>0</v>
      </c>
      <c r="I2148" s="1042">
        <f>'Смета Внутр'!H2155</f>
        <v>0</v>
      </c>
      <c r="J2148" s="1058">
        <f>'Смета Внутр'!I2155</f>
        <v>0</v>
      </c>
    </row>
    <row r="2149" spans="2:10" ht="15" customHeight="1">
      <c r="B2149" s="1042" t="str">
        <f>'Смета Внутр'!B2156</f>
        <v>клей для кафеля, 25кг</v>
      </c>
      <c r="C2149" s="1042" t="str">
        <f>'Смета Внутр'!C2156</f>
        <v>шт</v>
      </c>
      <c r="D2149" s="1058">
        <f>'Смета Внутр'!D2156</f>
        <v>0</v>
      </c>
      <c r="E2149" s="1042">
        <f>'Смета Внутр'!E2156</f>
        <v>250</v>
      </c>
      <c r="F2149" s="1042">
        <f>'Смета Внутр'!F2156</f>
        <v>0</v>
      </c>
      <c r="G2149" s="1042">
        <f t="shared" si="90"/>
        <v>250</v>
      </c>
      <c r="H2149" s="1042">
        <f>'Смета Внутр'!G2156</f>
        <v>0</v>
      </c>
      <c r="I2149" s="1042">
        <f>'Смета Внутр'!H2156</f>
        <v>0</v>
      </c>
      <c r="J2149" s="1058">
        <f>'Смета Внутр'!I2156</f>
        <v>0</v>
      </c>
    </row>
    <row r="2150" spans="2:10" ht="15" customHeight="1">
      <c r="B2150" s="1042" t="str">
        <f>'Смета Внутр'!B2157</f>
        <v>грунтовка, 10л</v>
      </c>
      <c r="C2150" s="1042" t="str">
        <f>'Смета Внутр'!C2157</f>
        <v>шт</v>
      </c>
      <c r="D2150" s="1058">
        <f>'Смета Внутр'!D2157</f>
        <v>0</v>
      </c>
      <c r="E2150" s="1042">
        <f>'Смета Внутр'!E2157</f>
        <v>500</v>
      </c>
      <c r="F2150" s="1042">
        <f>'Смета Внутр'!F2157</f>
        <v>0</v>
      </c>
      <c r="G2150" s="1042">
        <f t="shared" si="90"/>
        <v>500</v>
      </c>
      <c r="H2150" s="1042">
        <f>'Смета Внутр'!G2157</f>
        <v>0</v>
      </c>
      <c r="I2150" s="1042">
        <f>'Смета Внутр'!H2157</f>
        <v>0</v>
      </c>
      <c r="J2150" s="1058">
        <f>'Смета Внутр'!I2157</f>
        <v>0</v>
      </c>
    </row>
    <row r="2151" spans="2:10" ht="15" customHeight="1">
      <c r="B2151" s="1042" t="str">
        <f>'Смета Внутр'!B2158</f>
        <v>крестики, 100шт</v>
      </c>
      <c r="C2151" s="1042" t="str">
        <f>'Смета Внутр'!C2158</f>
        <v>шт</v>
      </c>
      <c r="D2151" s="1058">
        <f>'Смета Внутр'!D2158</f>
        <v>0</v>
      </c>
      <c r="E2151" s="1042">
        <f>'Смета Внутр'!E2158</f>
        <v>200</v>
      </c>
      <c r="F2151" s="1042">
        <f>'Смета Внутр'!F2158</f>
        <v>0</v>
      </c>
      <c r="G2151" s="1042">
        <f t="shared" si="90"/>
        <v>200</v>
      </c>
      <c r="H2151" s="1042">
        <f>'Смета Внутр'!G2158</f>
        <v>0</v>
      </c>
      <c r="I2151" s="1042">
        <f>'Смета Внутр'!H2158</f>
        <v>0</v>
      </c>
      <c r="J2151" s="1058">
        <f>'Смета Внутр'!I2158</f>
        <v>0</v>
      </c>
    </row>
    <row r="2152" spans="2:10" ht="15" customHeight="1">
      <c r="B2152" s="1042" t="str">
        <f>'Смета Внутр'!B2159</f>
        <v>затирка для швов</v>
      </c>
      <c r="C2152" s="1042" t="str">
        <f>'Смета Внутр'!C2159</f>
        <v>шт</v>
      </c>
      <c r="D2152" s="1058">
        <f>'Смета Внутр'!D2159</f>
        <v>0</v>
      </c>
      <c r="E2152" s="1042">
        <f>'Смета Внутр'!E2159</f>
        <v>400</v>
      </c>
      <c r="F2152" s="1042">
        <f>'Смета Внутр'!F2159</f>
        <v>0</v>
      </c>
      <c r="G2152" s="1042">
        <f t="shared" si="90"/>
        <v>400</v>
      </c>
      <c r="H2152" s="1042">
        <f>'Смета Внутр'!G2159</f>
        <v>0</v>
      </c>
      <c r="I2152" s="1042">
        <f>'Смета Внутр'!H2159</f>
        <v>0</v>
      </c>
      <c r="J2152" s="1058">
        <f>'Смета Внутр'!I2159</f>
        <v>0</v>
      </c>
    </row>
    <row r="2153" spans="2:10" ht="15" customHeight="1">
      <c r="B2153" s="3339" t="str">
        <f>'Смета Внутр'!B2160</f>
        <v>санузел/ванная</v>
      </c>
      <c r="C2153" s="3339"/>
      <c r="D2153" s="3339"/>
      <c r="E2153" s="3339"/>
      <c r="F2153" s="3339"/>
      <c r="G2153" s="3339"/>
      <c r="H2153" s="1042">
        <f>'Смета Внутр'!G2160</f>
        <v>0</v>
      </c>
      <c r="I2153" s="1042">
        <f>'Смета Внутр'!H2160</f>
        <v>0</v>
      </c>
      <c r="J2153" s="3030">
        <f>'Смета Внутр'!I2160</f>
        <v>0</v>
      </c>
    </row>
    <row r="2154" spans="2:10" ht="15" customHeight="1">
      <c r="B2154" s="1042" t="str">
        <f>'Смета Внутр'!B2161</f>
        <v>кафель стены</v>
      </c>
      <c r="C2154" s="1042" t="str">
        <f>'Смета Внутр'!C2161</f>
        <v>м2</v>
      </c>
      <c r="D2154" s="1058">
        <f>'Смета Внутр'!D2161</f>
        <v>0</v>
      </c>
      <c r="E2154" s="1042">
        <f>'Смета Внутр'!E2161</f>
        <v>500</v>
      </c>
      <c r="F2154" s="1042">
        <f>'Смета Внутр'!F2161</f>
        <v>0</v>
      </c>
      <c r="G2154" s="1042">
        <f t="shared" ref="G2154:G2164" si="91">IF(E2154&gt;F2154,E2154,F2154)</f>
        <v>500</v>
      </c>
      <c r="H2154" s="1042">
        <f>'Смета Внутр'!G2161</f>
        <v>0</v>
      </c>
      <c r="I2154" s="1042">
        <f>'Смета Внутр'!H2161</f>
        <v>0</v>
      </c>
      <c r="J2154" s="1058">
        <f>'Смета Внутр'!I2161</f>
        <v>0</v>
      </c>
    </row>
    <row r="2155" spans="2:10" ht="15" customHeight="1">
      <c r="B2155" s="1042" t="str">
        <f>'Смета Внутр'!B2162</f>
        <v>кафель потолок</v>
      </c>
      <c r="C2155" s="1042" t="str">
        <f>'Смета Внутр'!C2162</f>
        <v>м2</v>
      </c>
      <c r="D2155" s="1058">
        <f>'Смета Внутр'!D2162</f>
        <v>0</v>
      </c>
      <c r="E2155" s="1042">
        <f>'Смета Внутр'!E2162</f>
        <v>500</v>
      </c>
      <c r="F2155" s="1042">
        <f>'Смета Внутр'!F2162</f>
        <v>0</v>
      </c>
      <c r="G2155" s="1042">
        <f t="shared" si="91"/>
        <v>500</v>
      </c>
      <c r="H2155" s="1042">
        <f>'Смета Внутр'!G2162</f>
        <v>0</v>
      </c>
      <c r="I2155" s="1042">
        <f>'Смета Внутр'!H2162</f>
        <v>0</v>
      </c>
      <c r="J2155" s="1058">
        <f>'Смета Внутр'!I2162</f>
        <v>0</v>
      </c>
    </row>
    <row r="2156" spans="2:10" ht="15" customHeight="1">
      <c r="B2156" s="1042" t="str">
        <f>'Смета Внутр'!B2163</f>
        <v>кафель пол</v>
      </c>
      <c r="C2156" s="1042" t="str">
        <f>'Смета Внутр'!C2163</f>
        <v>м2</v>
      </c>
      <c r="D2156" s="1058">
        <f>'Смета Внутр'!D2163</f>
        <v>0</v>
      </c>
      <c r="E2156" s="1042">
        <f>'Смета Внутр'!E2163</f>
        <v>500</v>
      </c>
      <c r="F2156" s="1042">
        <f>'Смета Внутр'!F2163</f>
        <v>0</v>
      </c>
      <c r="G2156" s="1042">
        <f t="shared" si="91"/>
        <v>500</v>
      </c>
      <c r="H2156" s="1042">
        <f>'Смета Внутр'!G2163</f>
        <v>0</v>
      </c>
      <c r="I2156" s="1042">
        <f>'Смета Внутр'!H2163</f>
        <v>0</v>
      </c>
      <c r="J2156" s="1058">
        <f>'Смета Внутр'!I2163</f>
        <v>0</v>
      </c>
    </row>
    <row r="2157" spans="2:10" ht="15" customHeight="1">
      <c r="B2157" s="1042" t="str">
        <f>'Смета Внутр'!B2164</f>
        <v>клей для кафеля, 25кг</v>
      </c>
      <c r="C2157" s="1042" t="str">
        <f>'Смета Внутр'!C2164</f>
        <v>шт</v>
      </c>
      <c r="D2157" s="1058">
        <f>'Смета Внутр'!D2164</f>
        <v>0</v>
      </c>
      <c r="E2157" s="1042">
        <f>'Смета Внутр'!E2164</f>
        <v>250</v>
      </c>
      <c r="F2157" s="1042">
        <f>'Смета Внутр'!F2164</f>
        <v>0</v>
      </c>
      <c r="G2157" s="1042">
        <f t="shared" si="91"/>
        <v>250</v>
      </c>
      <c r="H2157" s="1042">
        <f>'Смета Внутр'!G2164</f>
        <v>0</v>
      </c>
      <c r="I2157" s="1042">
        <f>'Смета Внутр'!H2164</f>
        <v>0</v>
      </c>
      <c r="J2157" s="1058">
        <f>'Смета Внутр'!I2164</f>
        <v>0</v>
      </c>
    </row>
    <row r="2158" spans="2:10" ht="15" customHeight="1">
      <c r="B2158" s="1042" t="str">
        <f>'Смета Внутр'!B2165</f>
        <v>грунтовка, 10л</v>
      </c>
      <c r="C2158" s="1042" t="str">
        <f>'Смета Внутр'!C2165</f>
        <v>шт</v>
      </c>
      <c r="D2158" s="1058">
        <f>'Смета Внутр'!D2165</f>
        <v>0</v>
      </c>
      <c r="E2158" s="1042">
        <f>'Смета Внутр'!E2165</f>
        <v>500</v>
      </c>
      <c r="F2158" s="1042">
        <f>'Смета Внутр'!F2165</f>
        <v>0</v>
      </c>
      <c r="G2158" s="1042">
        <f t="shared" si="91"/>
        <v>500</v>
      </c>
      <c r="H2158" s="1042">
        <f>'Смета Внутр'!G2165</f>
        <v>0</v>
      </c>
      <c r="I2158" s="1042">
        <f>'Смета Внутр'!H2165</f>
        <v>0</v>
      </c>
      <c r="J2158" s="1058">
        <f>'Смета Внутр'!I2165</f>
        <v>0</v>
      </c>
    </row>
    <row r="2159" spans="2:10" ht="15" customHeight="1">
      <c r="B2159" s="1042" t="str">
        <f>'Смета Внутр'!B2166</f>
        <v>крестики, 100 шт</v>
      </c>
      <c r="C2159" s="1042" t="str">
        <f>'Смета Внутр'!C2166</f>
        <v>шт</v>
      </c>
      <c r="D2159" s="1058">
        <f>'Смета Внутр'!D2166</f>
        <v>0</v>
      </c>
      <c r="E2159" s="1042">
        <f>'Смета Внутр'!E2166</f>
        <v>200</v>
      </c>
      <c r="F2159" s="1042">
        <f>'Смета Внутр'!F2166</f>
        <v>0</v>
      </c>
      <c r="G2159" s="1042">
        <f t="shared" si="91"/>
        <v>200</v>
      </c>
      <c r="H2159" s="1042">
        <f>'Смета Внутр'!G2166</f>
        <v>0</v>
      </c>
      <c r="I2159" s="1042">
        <f>'Смета Внутр'!H2166</f>
        <v>0</v>
      </c>
      <c r="J2159" s="1058">
        <f>'Смета Внутр'!I2166</f>
        <v>0</v>
      </c>
    </row>
    <row r="2160" spans="2:10" ht="15" customHeight="1">
      <c r="B2160" s="1042" t="str">
        <f>'Смета Внутр'!B2167</f>
        <v>затирка для швов</v>
      </c>
      <c r="C2160" s="1042" t="str">
        <f>'Смета Внутр'!C2167</f>
        <v>шт</v>
      </c>
      <c r="D2160" s="1058">
        <f>'Смета Внутр'!D2167</f>
        <v>0</v>
      </c>
      <c r="E2160" s="1042">
        <f>'Смета Внутр'!E2167</f>
        <v>400</v>
      </c>
      <c r="F2160" s="1042">
        <f>'Смета Внутр'!F2167</f>
        <v>0</v>
      </c>
      <c r="G2160" s="1042">
        <f t="shared" si="91"/>
        <v>400</v>
      </c>
      <c r="H2160" s="1042">
        <f>'Смета Внутр'!G2167</f>
        <v>0</v>
      </c>
      <c r="I2160" s="1042">
        <f>'Смета Внутр'!H2167</f>
        <v>0</v>
      </c>
      <c r="J2160" s="1058">
        <f>'Смета Внутр'!I2167</f>
        <v>0</v>
      </c>
    </row>
    <row r="2161" spans="2:10" ht="15" customHeight="1">
      <c r="B2161" s="1042" t="str">
        <f>'Смета Внутр'!B2168</f>
        <v>стеновые панели пластик стены</v>
      </c>
      <c r="C2161" s="1042" t="str">
        <f>'Смета Внутр'!C2168</f>
        <v>м2</v>
      </c>
      <c r="D2161" s="1058">
        <f>'Смета Внутр'!D2168</f>
        <v>0</v>
      </c>
      <c r="E2161" s="1042">
        <f>'Смета Внутр'!E2168</f>
        <v>250</v>
      </c>
      <c r="F2161" s="1042">
        <f>'Смета Внутр'!F2168</f>
        <v>0</v>
      </c>
      <c r="G2161" s="1042">
        <f t="shared" si="91"/>
        <v>250</v>
      </c>
      <c r="H2161" s="1042">
        <f>'Смета Внутр'!G2168</f>
        <v>0</v>
      </c>
      <c r="I2161" s="1042">
        <f>'Смета Внутр'!H2168</f>
        <v>0</v>
      </c>
      <c r="J2161" s="1058">
        <f>'Смета Внутр'!I2168</f>
        <v>0</v>
      </c>
    </row>
    <row r="2162" spans="2:10" ht="15" customHeight="1">
      <c r="B2162" s="1042" t="str">
        <f>'Смета Внутр'!B2169</f>
        <v>стеновые панели пластик потолок</v>
      </c>
      <c r="C2162" s="1042" t="str">
        <f>'Смета Внутр'!C2169</f>
        <v>м2</v>
      </c>
      <c r="D2162" s="1058">
        <f>'Смета Внутр'!D2169</f>
        <v>0</v>
      </c>
      <c r="E2162" s="1042">
        <f>'Смета Внутр'!E2169</f>
        <v>250</v>
      </c>
      <c r="F2162" s="1042">
        <f>'Смета Внутр'!F2169</f>
        <v>0</v>
      </c>
      <c r="G2162" s="1042">
        <f t="shared" si="91"/>
        <v>250</v>
      </c>
      <c r="H2162" s="1042">
        <f>'Смета Внутр'!G2169</f>
        <v>0</v>
      </c>
      <c r="I2162" s="1042">
        <f>'Смета Внутр'!H2169</f>
        <v>0</v>
      </c>
      <c r="J2162" s="1058">
        <f>'Смета Внутр'!I2169</f>
        <v>0</v>
      </c>
    </row>
    <row r="2163" spans="2:10" ht="15" customHeight="1">
      <c r="B2163" s="1042" t="str">
        <f>'Смета Внутр'!B2170</f>
        <v>скобы для крепления панелей, 1000шт/уп</v>
      </c>
      <c r="C2163" s="1042" t="str">
        <f>'Смета Внутр'!C2170</f>
        <v>шт</v>
      </c>
      <c r="D2163" s="1058">
        <f>'Смета Внутр'!D2170</f>
        <v>0</v>
      </c>
      <c r="E2163" s="1042">
        <f>'Смета Внутр'!E2170</f>
        <v>120</v>
      </c>
      <c r="F2163" s="1042">
        <f>'Смета Внутр'!F2170</f>
        <v>0</v>
      </c>
      <c r="G2163" s="1042">
        <f t="shared" si="91"/>
        <v>120</v>
      </c>
      <c r="H2163" s="1042">
        <f>'Смета Внутр'!G2170</f>
        <v>0</v>
      </c>
      <c r="I2163" s="1042">
        <f>'Смета Внутр'!H2170</f>
        <v>0</v>
      </c>
      <c r="J2163" s="1058">
        <f>'Смета Внутр'!I2170</f>
        <v>0</v>
      </c>
    </row>
    <row r="2164" spans="2:10" ht="15" customHeight="1">
      <c r="B2164" s="1042" t="str">
        <f>'Смета Внутр'!B2171</f>
        <v>натяжной потолок</v>
      </c>
      <c r="C2164" s="1042" t="str">
        <f>'Смета Внутр'!C2171</f>
        <v>м2</v>
      </c>
      <c r="D2164" s="1058">
        <f>'Смета Внутр'!D2171</f>
        <v>0</v>
      </c>
      <c r="E2164" s="1042">
        <f>'Смета Внутр'!E2171</f>
        <v>400</v>
      </c>
      <c r="F2164" s="1042">
        <f>'Смета Внутр'!F2171</f>
        <v>0</v>
      </c>
      <c r="G2164" s="1042">
        <f t="shared" si="91"/>
        <v>400</v>
      </c>
      <c r="H2164" s="1042">
        <f>'Смета Внутр'!G2171</f>
        <v>0</v>
      </c>
      <c r="I2164" s="1042">
        <f>'Смета Внутр'!H2171</f>
        <v>0</v>
      </c>
      <c r="J2164" s="1058">
        <f>'Смета Внутр'!I2171</f>
        <v>0</v>
      </c>
    </row>
    <row r="2165" spans="2:10" ht="15" customHeight="1">
      <c r="B2165" s="1042" t="str">
        <f>'Смета Внутр'!B2172</f>
        <v xml:space="preserve">Двери межкомнатные </v>
      </c>
      <c r="C2165" s="1042"/>
      <c r="D2165" s="1058"/>
      <c r="E2165" s="1042"/>
      <c r="F2165" s="1042"/>
      <c r="G2165" s="1042"/>
      <c r="H2165" s="1042">
        <f>'Смета Внутр'!G2172</f>
        <v>0</v>
      </c>
      <c r="I2165" s="1042">
        <f>'Смета Внутр'!H2172</f>
        <v>0</v>
      </c>
      <c r="J2165" s="1058">
        <f>'Смета Внутр'!I2172</f>
        <v>0</v>
      </c>
    </row>
    <row r="2166" spans="2:10" ht="15" customHeight="1">
      <c r="B2166" s="1042" t="str">
        <f>'Смета Внутр'!B2173</f>
        <v xml:space="preserve">двери межкомнатные </v>
      </c>
      <c r="C2166" s="1042" t="str">
        <f>'Смета Внутр'!C2173</f>
        <v>шт</v>
      </c>
      <c r="D2166" s="1058">
        <f>'Смета Внутр'!D2173</f>
        <v>0</v>
      </c>
      <c r="E2166" s="1042">
        <f>'Смета Внутр'!E2173</f>
        <v>1900</v>
      </c>
      <c r="F2166" s="1042">
        <f>'Смета Внутр'!F2173</f>
        <v>0</v>
      </c>
      <c r="G2166" s="1042">
        <f t="shared" ref="G2166:G2171" si="92">IF(E2166&gt;F2166,E2166,F2166)</f>
        <v>1900</v>
      </c>
      <c r="H2166" s="1042">
        <f>'Смета Внутр'!G2173</f>
        <v>0</v>
      </c>
      <c r="I2166" s="1042">
        <f>'Смета Внутр'!H2173</f>
        <v>0</v>
      </c>
      <c r="J2166" s="1058">
        <f>'Смета Внутр'!I2173</f>
        <v>0</v>
      </c>
    </row>
    <row r="2167" spans="2:10" ht="15" customHeight="1">
      <c r="B2167" s="1042" t="str">
        <f>'Смета Внутр'!B2174</f>
        <v>пена монтажная для дверей</v>
      </c>
      <c r="C2167" s="1042" t="str">
        <f>'Смета Внутр'!C2174</f>
        <v>шт</v>
      </c>
      <c r="D2167" s="1058">
        <f>'Смета Внутр'!D2174</f>
        <v>0</v>
      </c>
      <c r="E2167" s="1042">
        <f>'Смета Внутр'!E2174</f>
        <v>250</v>
      </c>
      <c r="F2167" s="1042">
        <f>'Смета Внутр'!F2174</f>
        <v>0</v>
      </c>
      <c r="G2167" s="1042">
        <f t="shared" si="92"/>
        <v>250</v>
      </c>
      <c r="H2167" s="1042">
        <f>'Смета Внутр'!G2174</f>
        <v>0</v>
      </c>
      <c r="I2167" s="1042">
        <f>'Смета Внутр'!H2174</f>
        <v>0</v>
      </c>
      <c r="J2167" s="1058">
        <f>'Смета Внутр'!I2174</f>
        <v>0</v>
      </c>
    </row>
    <row r="2168" spans="2:10" ht="15" customHeight="1">
      <c r="B2168" s="1042" t="str">
        <f>'Смета Внутр'!B2175</f>
        <v xml:space="preserve">порожки металлические </v>
      </c>
      <c r="C2168" s="1042" t="str">
        <f>'Смета Внутр'!C2175</f>
        <v>шт</v>
      </c>
      <c r="D2168" s="1058">
        <f>'Смета Внутр'!D2175</f>
        <v>0</v>
      </c>
      <c r="E2168" s="1042">
        <f>'Смета Внутр'!E2175</f>
        <v>100</v>
      </c>
      <c r="F2168" s="1042">
        <f>'Смета Внутр'!F2175</f>
        <v>0</v>
      </c>
      <c r="G2168" s="1042">
        <f t="shared" si="92"/>
        <v>100</v>
      </c>
      <c r="H2168" s="1042">
        <f>'Смета Внутр'!G2175</f>
        <v>0</v>
      </c>
      <c r="I2168" s="1042">
        <f>'Смета Внутр'!H2175</f>
        <v>0</v>
      </c>
      <c r="J2168" s="1058">
        <f>'Смета Внутр'!I2175</f>
        <v>0</v>
      </c>
    </row>
    <row r="2169" spans="2:10" ht="15" customHeight="1">
      <c r="B2169" s="1042" t="str">
        <f>'Смета Внутр'!B2176</f>
        <v>отбойник для дверей</v>
      </c>
      <c r="C2169" s="1042" t="str">
        <f>'Смета Внутр'!C2176</f>
        <v>шт</v>
      </c>
      <c r="D2169" s="1058">
        <f>'Смета Внутр'!D2176</f>
        <v>0</v>
      </c>
      <c r="E2169" s="1042">
        <f>'Смета Внутр'!E2176</f>
        <v>100</v>
      </c>
      <c r="F2169" s="1042">
        <f>'Смета Внутр'!F2176</f>
        <v>0</v>
      </c>
      <c r="G2169" s="1042">
        <f t="shared" si="92"/>
        <v>100</v>
      </c>
      <c r="H2169" s="1042">
        <f>'Смета Внутр'!G2176</f>
        <v>0</v>
      </c>
      <c r="I2169" s="1042">
        <f>'Смета Внутр'!H2176</f>
        <v>0</v>
      </c>
      <c r="J2169" s="1058">
        <f>'Смета Внутр'!I2176</f>
        <v>0</v>
      </c>
    </row>
    <row r="2170" spans="2:10" ht="15" customHeight="1">
      <c r="B2170" s="1042" t="str">
        <f>'Смета Внутр'!B2177</f>
        <v>коробка для дверей</v>
      </c>
      <c r="C2170" s="1042" t="str">
        <f>'Смета Внутр'!C2177</f>
        <v>шт</v>
      </c>
      <c r="D2170" s="1058">
        <f>'Смета Внутр'!D2177</f>
        <v>0</v>
      </c>
      <c r="E2170" s="1042">
        <f>'Смета Внутр'!E2177</f>
        <v>250</v>
      </c>
      <c r="F2170" s="1042">
        <f>'Смета Внутр'!F2177</f>
        <v>0</v>
      </c>
      <c r="G2170" s="1042">
        <f t="shared" si="92"/>
        <v>250</v>
      </c>
      <c r="H2170" s="1042">
        <f>'Смета Внутр'!G2177</f>
        <v>0</v>
      </c>
      <c r="I2170" s="1042">
        <f>'Смета Внутр'!H2177</f>
        <v>0</v>
      </c>
      <c r="J2170" s="1058">
        <f>'Смета Внутр'!I2177</f>
        <v>0</v>
      </c>
    </row>
    <row r="2171" spans="2:10" ht="15" customHeight="1">
      <c r="B2171" s="1042" t="str">
        <f>'Смета Внутр'!B2178</f>
        <v>наличник на дверь, комплект</v>
      </c>
      <c r="C2171" s="1042" t="str">
        <f>'Смета Внутр'!C2178</f>
        <v>шт</v>
      </c>
      <c r="D2171" s="1058">
        <f>'Смета Внутр'!D2178</f>
        <v>0</v>
      </c>
      <c r="E2171" s="1042">
        <f>'Смета Внутр'!E2178</f>
        <v>500</v>
      </c>
      <c r="F2171" s="1042">
        <f>'Смета Внутр'!F2178</f>
        <v>0</v>
      </c>
      <c r="G2171" s="1042">
        <f t="shared" si="92"/>
        <v>500</v>
      </c>
      <c r="H2171" s="1042">
        <f>'Смета Внутр'!G2178</f>
        <v>0</v>
      </c>
      <c r="I2171" s="1042">
        <f>'Смета Внутр'!H2178</f>
        <v>0</v>
      </c>
      <c r="J2171" s="1058">
        <f>'Смета Внутр'!I2178</f>
        <v>0</v>
      </c>
    </row>
    <row r="2172" spans="2:10">
      <c r="B2172" s="3311" t="str">
        <f>'Смета Внутр'!B2179</f>
        <v>Итого материалы</v>
      </c>
      <c r="C2172" s="3311"/>
      <c r="D2172" s="3311"/>
      <c r="E2172" s="3311"/>
      <c r="F2172" s="3311"/>
      <c r="G2172" s="3311"/>
      <c r="H2172" s="1042">
        <f>'Смета Внутр'!G2179</f>
        <v>0</v>
      </c>
      <c r="I2172" s="1042">
        <f>'Смета Внутр'!H2179</f>
        <v>0</v>
      </c>
      <c r="J2172" s="3014">
        <f>'Смета Внутр'!I2179</f>
        <v>0</v>
      </c>
    </row>
    <row r="2173" spans="2:10" ht="15" customHeight="1">
      <c r="B2173" s="3002" t="str">
        <f>'Смета Внутр'!B2180</f>
        <v>Работы</v>
      </c>
      <c r="H2173">
        <f>'Смета Внутр'!G2180</f>
        <v>0</v>
      </c>
      <c r="I2173">
        <f>'Смета Внутр'!H2180</f>
        <v>0</v>
      </c>
      <c r="J2173" s="3011">
        <f>'Смета Внутр'!I2180</f>
        <v>0</v>
      </c>
    </row>
    <row r="2174" spans="2:10" ht="15" customHeight="1">
      <c r="B2174" s="3326" t="str">
        <f>'Смета Внутр'!B2181</f>
        <v>стены</v>
      </c>
      <c r="C2174" s="3326"/>
      <c r="D2174" s="3326"/>
      <c r="E2174" s="3326"/>
      <c r="F2174" s="3326"/>
      <c r="G2174" s="3326"/>
      <c r="H2174" s="1042">
        <f>'Смета Внутр'!G2181</f>
        <v>0</v>
      </c>
      <c r="I2174" s="1042">
        <f>'Смета Внутр'!H2181</f>
        <v>0</v>
      </c>
      <c r="J2174" s="3012">
        <f>'Смета Внутр'!I2181</f>
        <v>0</v>
      </c>
    </row>
    <row r="2175" spans="2:10" ht="15" customHeight="1">
      <c r="B2175" s="1042" t="str">
        <f>'Смета Внутр'!B2182</f>
        <v>монтаж гкл стены</v>
      </c>
      <c r="C2175" s="1042" t="str">
        <f>'Смета Внутр'!C2182</f>
        <v>м2</v>
      </c>
      <c r="D2175" s="1058">
        <f>'Смета Внутр'!D2182</f>
        <v>0</v>
      </c>
      <c r="E2175" s="1042">
        <f>'Смета Внутр'!E2182</f>
        <v>100</v>
      </c>
      <c r="F2175" s="1042">
        <f>'Смета Внутр'!F2182</f>
        <v>0</v>
      </c>
      <c r="G2175" s="1042">
        <f t="shared" ref="G2175:G2184" si="93">IF(E2175&gt;F2175,E2175,F2175)</f>
        <v>100</v>
      </c>
      <c r="H2175" s="1042">
        <f>'Смета Внутр'!G2182</f>
        <v>0</v>
      </c>
      <c r="I2175" s="1042">
        <f>'Смета Внутр'!H2182</f>
        <v>0</v>
      </c>
      <c r="J2175" s="1058">
        <f>'Смета Внутр'!I2182</f>
        <v>0</v>
      </c>
    </row>
    <row r="2176" spans="2:10" ht="15" customHeight="1">
      <c r="B2176" s="1042" t="str">
        <f>'Смета Внутр'!B2183</f>
        <v>монтаж подсистемы</v>
      </c>
      <c r="C2176" s="1042" t="str">
        <f>'Смета Внутр'!C2183</f>
        <v>м2</v>
      </c>
      <c r="D2176" s="1058">
        <f>'Смета Внутр'!D2183</f>
        <v>0</v>
      </c>
      <c r="E2176" s="1042">
        <f>'Смета Внутр'!E2183</f>
        <v>90</v>
      </c>
      <c r="F2176" s="1042">
        <f>'Смета Внутр'!F2183</f>
        <v>0</v>
      </c>
      <c r="G2176" s="1042">
        <f t="shared" si="93"/>
        <v>90</v>
      </c>
      <c r="H2176" s="1042">
        <f>'Смета Внутр'!G2183</f>
        <v>0</v>
      </c>
      <c r="I2176" s="1042">
        <f>'Смета Внутр'!H2183</f>
        <v>0</v>
      </c>
      <c r="J2176" s="1058">
        <f>'Смета Внутр'!I2183</f>
        <v>0</v>
      </c>
    </row>
    <row r="2177" spans="2:10" ht="15" customHeight="1">
      <c r="B2177" s="1042" t="str">
        <f>'Смета Внутр'!B2184</f>
        <v>шпаклевка швов стены</v>
      </c>
      <c r="C2177" s="1042" t="str">
        <f>'Смета Внутр'!C2184</f>
        <v>м2</v>
      </c>
      <c r="D2177" s="1058">
        <f>'Смета Внутр'!D2184</f>
        <v>0</v>
      </c>
      <c r="E2177" s="1042">
        <f>'Смета Внутр'!E2184</f>
        <v>50</v>
      </c>
      <c r="F2177" s="1042">
        <f>'Смета Внутр'!F2184</f>
        <v>0</v>
      </c>
      <c r="G2177" s="1042">
        <f t="shared" si="93"/>
        <v>50</v>
      </c>
      <c r="H2177" s="1042">
        <f>'Смета Внутр'!G2184</f>
        <v>0</v>
      </c>
      <c r="I2177" s="1042">
        <f>'Смета Внутр'!H2184</f>
        <v>0</v>
      </c>
      <c r="J2177" s="1058">
        <f>'Смета Внутр'!I2184</f>
        <v>0</v>
      </c>
    </row>
    <row r="2178" spans="2:10" ht="15" customHeight="1">
      <c r="B2178" s="1042" t="str">
        <f>'Смета Внутр'!B2185</f>
        <v>шпаклевка финишная стены</v>
      </c>
      <c r="C2178" s="1042" t="str">
        <f>'Смета Внутр'!C2185</f>
        <v>м2</v>
      </c>
      <c r="D2178" s="1058">
        <f>'Смета Внутр'!D2185</f>
        <v>0</v>
      </c>
      <c r="E2178" s="1042">
        <f>'Смета Внутр'!E2185</f>
        <v>100</v>
      </c>
      <c r="F2178" s="1042">
        <f>'Смета Внутр'!F2185</f>
        <v>0</v>
      </c>
      <c r="G2178" s="1042">
        <f t="shared" si="93"/>
        <v>100</v>
      </c>
      <c r="H2178" s="1042">
        <f>'Смета Внутр'!G2185</f>
        <v>0</v>
      </c>
      <c r="I2178" s="1042">
        <f>'Смета Внутр'!H2185</f>
        <v>0</v>
      </c>
      <c r="J2178" s="1058">
        <f>'Смета Внутр'!I2185</f>
        <v>0</v>
      </c>
    </row>
    <row r="2179" spans="2:10" ht="15" customHeight="1">
      <c r="B2179" s="1042" t="str">
        <f>'Смета Внутр'!B2186</f>
        <v>оклейка обои</v>
      </c>
      <c r="C2179" s="1042" t="str">
        <f>'Смета Внутр'!C2186</f>
        <v>м2</v>
      </c>
      <c r="D2179" s="1058">
        <f>'Смета Внутр'!D2186</f>
        <v>0</v>
      </c>
      <c r="E2179" s="1042">
        <f>'Смета Внутр'!E2186</f>
        <v>120</v>
      </c>
      <c r="F2179" s="1042">
        <f>'Смета Внутр'!F2186</f>
        <v>0</v>
      </c>
      <c r="G2179" s="1042">
        <f t="shared" si="93"/>
        <v>120</v>
      </c>
      <c r="H2179" s="1042">
        <f>'Смета Внутр'!G2186</f>
        <v>0</v>
      </c>
      <c r="I2179" s="1042">
        <f>'Смета Внутр'!H2186</f>
        <v>0</v>
      </c>
      <c r="J2179" s="1058">
        <f>'Смета Внутр'!I2186</f>
        <v>0</v>
      </c>
    </row>
    <row r="2180" spans="2:10" ht="15" customHeight="1">
      <c r="B2180" s="1042" t="str">
        <f>'Смета Внутр'!B2187</f>
        <v>покраска стен</v>
      </c>
      <c r="C2180" s="1042" t="str">
        <f>'Смета Внутр'!C2187</f>
        <v>м2</v>
      </c>
      <c r="D2180" s="1058">
        <f>'Смета Внутр'!D2187</f>
        <v>0</v>
      </c>
      <c r="E2180" s="1042">
        <f>'Смета Внутр'!E2187</f>
        <v>100</v>
      </c>
      <c r="F2180" s="1042">
        <f>'Смета Внутр'!F2187</f>
        <v>0</v>
      </c>
      <c r="G2180" s="1042">
        <f t="shared" si="93"/>
        <v>100</v>
      </c>
      <c r="H2180" s="1042">
        <f>'Смета Внутр'!G2187</f>
        <v>0</v>
      </c>
      <c r="I2180" s="1042">
        <f>'Смета Внутр'!H2187</f>
        <v>0</v>
      </c>
      <c r="J2180" s="1058">
        <f>'Смета Внутр'!I2187</f>
        <v>0</v>
      </c>
    </row>
    <row r="2181" spans="2:10" ht="15" customHeight="1">
      <c r="B2181" s="1042" t="str">
        <f>'Смета Внутр'!B2188</f>
        <v>имитация бруса</v>
      </c>
      <c r="C2181" s="1042" t="str">
        <f>'Смета Внутр'!C2188</f>
        <v>м2</v>
      </c>
      <c r="D2181" s="1058">
        <f>'Смета Внутр'!D2188</f>
        <v>0</v>
      </c>
      <c r="E2181" s="1042">
        <f>'Смета Внутр'!E2188</f>
        <v>400</v>
      </c>
      <c r="F2181" s="1042">
        <f>'Смета Внутр'!F2188</f>
        <v>0</v>
      </c>
      <c r="G2181" s="1042">
        <f t="shared" si="93"/>
        <v>400</v>
      </c>
      <c r="H2181" s="1042">
        <f>'Смета Внутр'!G2188</f>
        <v>0</v>
      </c>
      <c r="I2181" s="1042">
        <f>'Смета Внутр'!H2188</f>
        <v>0</v>
      </c>
      <c r="J2181" s="1058">
        <f>'Смета Внутр'!I2188</f>
        <v>0</v>
      </c>
    </row>
    <row r="2182" spans="2:10" ht="15" customHeight="1">
      <c r="B2182" s="1042" t="str">
        <f>'Смета Внутр'!B2189</f>
        <v>блокхаус</v>
      </c>
      <c r="C2182" s="1042" t="str">
        <f>'Смета Внутр'!C2189</f>
        <v>м2</v>
      </c>
      <c r="D2182" s="1058">
        <f>'Смета Внутр'!D2189</f>
        <v>0</v>
      </c>
      <c r="E2182" s="1042">
        <f>'Смета Внутр'!E2189</f>
        <v>400</v>
      </c>
      <c r="F2182" s="1042">
        <f>'Смета Внутр'!F2189</f>
        <v>0</v>
      </c>
      <c r="G2182" s="1042">
        <f t="shared" si="93"/>
        <v>400</v>
      </c>
      <c r="H2182" s="1042">
        <f>'Смета Внутр'!G2189</f>
        <v>0</v>
      </c>
      <c r="I2182" s="1042">
        <f>'Смета Внутр'!H2189</f>
        <v>0</v>
      </c>
      <c r="J2182" s="1058">
        <f>'Смета Внутр'!I2189</f>
        <v>0</v>
      </c>
    </row>
    <row r="2183" spans="2:10" ht="15" customHeight="1">
      <c r="B2183" s="3007" t="str">
        <f>'Смета Внутр'!B2190</f>
        <v>вагонка</v>
      </c>
      <c r="C2183" s="3007" t="str">
        <f>'Смета Внутр'!C2190</f>
        <v>м2</v>
      </c>
      <c r="D2183" s="3014">
        <f>'Смета Внутр'!D2190</f>
        <v>0</v>
      </c>
      <c r="E2183" s="1042">
        <f>'Смета Внутр'!E2190</f>
        <v>400</v>
      </c>
      <c r="F2183" s="1042">
        <f>'Смета Внутр'!F2190</f>
        <v>0</v>
      </c>
      <c r="G2183" s="3007">
        <f t="shared" si="93"/>
        <v>400</v>
      </c>
      <c r="H2183" s="1042">
        <f>'Смета Внутр'!G2190</f>
        <v>0</v>
      </c>
      <c r="I2183" s="1042">
        <f>'Смета Внутр'!H2190</f>
        <v>0</v>
      </c>
      <c r="J2183" s="3014">
        <f>'Смета Внутр'!I2190</f>
        <v>0</v>
      </c>
    </row>
    <row r="2184" spans="2:10" ht="15" customHeight="1">
      <c r="B2184" s="1042" t="str">
        <f>'Смета Внутр'!B2191</f>
        <v>подсистема, брусок</v>
      </c>
      <c r="C2184" s="1042" t="str">
        <f>'Смета Внутр'!C2191</f>
        <v>м2</v>
      </c>
      <c r="D2184" s="1058">
        <f>'Смета Внутр'!D2191</f>
        <v>0</v>
      </c>
      <c r="E2184" s="1042">
        <f>'Смета Внутр'!E2191</f>
        <v>100</v>
      </c>
      <c r="F2184" s="1042">
        <f>'Смета Внутр'!F2191</f>
        <v>0</v>
      </c>
      <c r="G2184" s="1042">
        <f t="shared" si="93"/>
        <v>100</v>
      </c>
      <c r="H2184" s="1042">
        <f>'Смета Внутр'!G2191</f>
        <v>0</v>
      </c>
      <c r="I2184" s="1042">
        <f>'Смета Внутр'!H2191</f>
        <v>0</v>
      </c>
      <c r="J2184" s="1058">
        <f>'Смета Внутр'!I2191</f>
        <v>0</v>
      </c>
    </row>
    <row r="2185" spans="2:10" ht="15" customHeight="1">
      <c r="B2185" s="3326" t="str">
        <f>'Смета Внутр'!B2192</f>
        <v>потолок</v>
      </c>
      <c r="C2185" s="3326"/>
      <c r="D2185" s="3326"/>
      <c r="E2185" s="3326"/>
      <c r="F2185" s="3326"/>
      <c r="G2185" s="3326"/>
      <c r="H2185" s="1042">
        <f>'Смета Внутр'!G2192</f>
        <v>0</v>
      </c>
      <c r="I2185" s="1042">
        <f>'Смета Внутр'!H2192</f>
        <v>0</v>
      </c>
      <c r="J2185" s="3012">
        <f>'Смета Внутр'!I2192</f>
        <v>0</v>
      </c>
    </row>
    <row r="2186" spans="2:10" ht="15" customHeight="1">
      <c r="B2186" s="1042" t="str">
        <f>'Смета Внутр'!B2193</f>
        <v>монтаж гкл потолок</v>
      </c>
      <c r="C2186" s="1042" t="str">
        <f>'Смета Внутр'!C2193</f>
        <v>м2</v>
      </c>
      <c r="D2186" s="1058">
        <f>'Смета Внутр'!D2193</f>
        <v>0</v>
      </c>
      <c r="E2186" s="1042">
        <f>'Смета Внутр'!E2193</f>
        <v>150</v>
      </c>
      <c r="F2186" s="1042">
        <f>'Смета Внутр'!F2193</f>
        <v>0</v>
      </c>
      <c r="G2186" s="1042">
        <f t="shared" ref="G2186:G2198" si="94">IF(E2186&gt;F2186,E2186,F2186)</f>
        <v>150</v>
      </c>
      <c r="H2186" s="1042">
        <f>'Смета Внутр'!G2193</f>
        <v>0</v>
      </c>
      <c r="I2186" s="1042">
        <f>'Смета Внутр'!H2193</f>
        <v>0</v>
      </c>
      <c r="J2186" s="1058">
        <f>'Смета Внутр'!I2193</f>
        <v>0</v>
      </c>
    </row>
    <row r="2187" spans="2:10" ht="15" customHeight="1">
      <c r="B2187" s="1042" t="str">
        <f>'Смета Внутр'!B2194</f>
        <v>монтаж подсистемы</v>
      </c>
      <c r="C2187" s="1042" t="str">
        <f>'Смета Внутр'!C2194</f>
        <v>м2</v>
      </c>
      <c r="D2187" s="1058">
        <f>'Смета Внутр'!D2194</f>
        <v>0</v>
      </c>
      <c r="E2187" s="1042">
        <f>'Смета Внутр'!E2194</f>
        <v>120</v>
      </c>
      <c r="F2187" s="1042">
        <f>'Смета Внутр'!F2194</f>
        <v>0</v>
      </c>
      <c r="G2187" s="1042">
        <f t="shared" si="94"/>
        <v>120</v>
      </c>
      <c r="H2187" s="1042">
        <f>'Смета Внутр'!G2194</f>
        <v>0</v>
      </c>
      <c r="I2187" s="1042">
        <f>'Смета Внутр'!H2194</f>
        <v>0</v>
      </c>
      <c r="J2187" s="1058">
        <f>'Смета Внутр'!I2194</f>
        <v>0</v>
      </c>
    </row>
    <row r="2188" spans="2:10" ht="15" customHeight="1">
      <c r="B2188" s="1042" t="str">
        <f>'Смета Внутр'!B2195</f>
        <v>шпаклевка швов потолок</v>
      </c>
      <c r="C2188" s="1042" t="str">
        <f>'Смета Внутр'!C2195</f>
        <v>м2</v>
      </c>
      <c r="D2188" s="1058">
        <f>'Смета Внутр'!D2195</f>
        <v>0</v>
      </c>
      <c r="E2188" s="1042">
        <f>'Смета Внутр'!E2195</f>
        <v>80</v>
      </c>
      <c r="F2188" s="1042">
        <f>'Смета Внутр'!F2195</f>
        <v>0</v>
      </c>
      <c r="G2188" s="1042">
        <f t="shared" si="94"/>
        <v>80</v>
      </c>
      <c r="H2188" s="1042">
        <f>'Смета Внутр'!G2195</f>
        <v>0</v>
      </c>
      <c r="I2188" s="1042">
        <f>'Смета Внутр'!H2195</f>
        <v>0</v>
      </c>
      <c r="J2188" s="1058">
        <f>'Смета Внутр'!I2195</f>
        <v>0</v>
      </c>
    </row>
    <row r="2189" spans="2:10" ht="15" customHeight="1">
      <c r="B2189" s="1042" t="str">
        <f>'Смета Внутр'!B2196</f>
        <v>шпаклевка финишная пот</v>
      </c>
      <c r="C2189" s="1042" t="str">
        <f>'Смета Внутр'!C2196</f>
        <v>м2</v>
      </c>
      <c r="D2189" s="1058">
        <f>'Смета Внутр'!D2196</f>
        <v>0</v>
      </c>
      <c r="E2189" s="1042">
        <f>'Смета Внутр'!E2196</f>
        <v>100</v>
      </c>
      <c r="F2189" s="1042">
        <f>'Смета Внутр'!F2196</f>
        <v>0</v>
      </c>
      <c r="G2189" s="1042">
        <f t="shared" si="94"/>
        <v>100</v>
      </c>
      <c r="H2189" s="1042">
        <f>'Смета Внутр'!G2196</f>
        <v>0</v>
      </c>
      <c r="I2189" s="1042">
        <f>'Смета Внутр'!H2196</f>
        <v>0</v>
      </c>
      <c r="J2189" s="1058">
        <f>'Смета Внутр'!I2196</f>
        <v>0</v>
      </c>
    </row>
    <row r="2190" spans="2:10" ht="15" customHeight="1">
      <c r="B2190" s="1042" t="str">
        <f>'Смета Внутр'!B2197</f>
        <v>окраска потолка</v>
      </c>
      <c r="C2190" s="1042" t="str">
        <f>'Смета Внутр'!C2197</f>
        <v>м2</v>
      </c>
      <c r="D2190" s="1058">
        <f>'Смета Внутр'!D2197</f>
        <v>0</v>
      </c>
      <c r="E2190" s="1042">
        <f>'Смета Внутр'!E2197</f>
        <v>150</v>
      </c>
      <c r="F2190" s="1042">
        <f>'Смета Внутр'!F2197</f>
        <v>0</v>
      </c>
      <c r="G2190" s="1042">
        <f t="shared" si="94"/>
        <v>150</v>
      </c>
      <c r="H2190" s="1042">
        <f>'Смета Внутр'!G2197</f>
        <v>0</v>
      </c>
      <c r="I2190" s="1042">
        <f>'Смета Внутр'!H2197</f>
        <v>0</v>
      </c>
      <c r="J2190" s="1058">
        <f>'Смета Внутр'!I2197</f>
        <v>0</v>
      </c>
    </row>
    <row r="2191" spans="2:10" ht="15" customHeight="1">
      <c r="B2191" s="1042" t="str">
        <f>'Смета Внутр'!B2198</f>
        <v>натяжной потолок</v>
      </c>
      <c r="C2191" s="1042" t="str">
        <f>'Смета Внутр'!C2198</f>
        <v>м2</v>
      </c>
      <c r="D2191" s="1058">
        <f>'Смета Внутр'!D2198</f>
        <v>0</v>
      </c>
      <c r="E2191" s="1042">
        <f>'Смета Внутр'!E2198</f>
        <v>300</v>
      </c>
      <c r="F2191" s="1042">
        <f>'Смета Внутр'!F2198</f>
        <v>0</v>
      </c>
      <c r="G2191" s="1042">
        <f t="shared" si="94"/>
        <v>300</v>
      </c>
      <c r="H2191" s="1042">
        <f>'Смета Внутр'!G2198</f>
        <v>0</v>
      </c>
      <c r="I2191" s="1042">
        <f>'Смета Внутр'!H2198</f>
        <v>0</v>
      </c>
      <c r="J2191" s="1058">
        <f>'Смета Внутр'!I2198</f>
        <v>0</v>
      </c>
    </row>
    <row r="2192" spans="2:10" ht="15" customHeight="1">
      <c r="B2192" s="1042" t="str">
        <f>'Смета Внутр'!B2199</f>
        <v>багем монтаж</v>
      </c>
      <c r="C2192" s="1042" t="str">
        <f>'Смета Внутр'!C2199</f>
        <v>м.п.</v>
      </c>
      <c r="D2192" s="1058">
        <f>'Смета Внутр'!D2199</f>
        <v>0</v>
      </c>
      <c r="E2192" s="1042">
        <f>'Смета Внутр'!E2199</f>
        <v>50</v>
      </c>
      <c r="F2192" s="1042">
        <f>'Смета Внутр'!F2199</f>
        <v>0</v>
      </c>
      <c r="G2192" s="1042">
        <f t="shared" si="94"/>
        <v>50</v>
      </c>
      <c r="H2192" s="1042">
        <f>'Смета Внутр'!G2199</f>
        <v>0</v>
      </c>
      <c r="I2192" s="1042">
        <f>'Смета Внутр'!H2199</f>
        <v>0</v>
      </c>
      <c r="J2192" s="1058">
        <f>'Смета Внутр'!I2199</f>
        <v>0</v>
      </c>
    </row>
    <row r="2193" spans="2:10" ht="15" customHeight="1">
      <c r="B2193" s="1042" t="str">
        <f>'Смета Внутр'!B2200</f>
        <v>багет шпаклевка</v>
      </c>
      <c r="C2193" s="1042" t="str">
        <f>'Смета Внутр'!C2200</f>
        <v>м.п.</v>
      </c>
      <c r="D2193" s="1058">
        <f>'Смета Внутр'!D2200</f>
        <v>0</v>
      </c>
      <c r="E2193" s="1042">
        <f>'Смета Внутр'!E2200</f>
        <v>50</v>
      </c>
      <c r="F2193" s="1042">
        <f>'Смета Внутр'!F2200</f>
        <v>0</v>
      </c>
      <c r="G2193" s="1042">
        <f t="shared" si="94"/>
        <v>50</v>
      </c>
      <c r="H2193" s="1042">
        <f>'Смета Внутр'!G2200</f>
        <v>0</v>
      </c>
      <c r="I2193" s="1042">
        <f>'Смета Внутр'!H2200</f>
        <v>0</v>
      </c>
      <c r="J2193" s="1058">
        <f>'Смета Внутр'!I2200</f>
        <v>0</v>
      </c>
    </row>
    <row r="2194" spans="2:10" ht="15" customHeight="1">
      <c r="B2194" s="1042" t="str">
        <f>'Смета Внутр'!B2201</f>
        <v>багет покраска</v>
      </c>
      <c r="C2194" s="1042" t="str">
        <f>'Смета Внутр'!C2201</f>
        <v>м.п.</v>
      </c>
      <c r="D2194" s="1058">
        <f>'Смета Внутр'!D2201</f>
        <v>0</v>
      </c>
      <c r="E2194" s="1042">
        <f>'Смета Внутр'!E2201</f>
        <v>50</v>
      </c>
      <c r="F2194" s="1042">
        <f>'Смета Внутр'!F2201</f>
        <v>0</v>
      </c>
      <c r="G2194" s="1042">
        <f t="shared" si="94"/>
        <v>50</v>
      </c>
      <c r="H2194" s="1042">
        <f>'Смета Внутр'!G2201</f>
        <v>0</v>
      </c>
      <c r="I2194" s="1042">
        <f>'Смета Внутр'!H2201</f>
        <v>0</v>
      </c>
      <c r="J2194" s="1058">
        <f>'Смета Внутр'!I2201</f>
        <v>0</v>
      </c>
    </row>
    <row r="2195" spans="2:10" ht="15" customHeight="1">
      <c r="B2195" s="1042" t="str">
        <f>'Смета Внутр'!B2202</f>
        <v>имитация бруса</v>
      </c>
      <c r="C2195" s="1042" t="str">
        <f>'Смета Внутр'!C2202</f>
        <v>м2</v>
      </c>
      <c r="D2195" s="1058">
        <f>'Смета Внутр'!D2202</f>
        <v>0</v>
      </c>
      <c r="E2195" s="1042">
        <f>'Смета Внутр'!E2202</f>
        <v>400</v>
      </c>
      <c r="F2195" s="1042">
        <f>'Смета Внутр'!F2202</f>
        <v>0</v>
      </c>
      <c r="G2195" s="1042">
        <f t="shared" si="94"/>
        <v>400</v>
      </c>
      <c r="H2195" s="1042">
        <f>'Смета Внутр'!G2202</f>
        <v>0</v>
      </c>
      <c r="I2195" s="1042">
        <f>'Смета Внутр'!H2202</f>
        <v>0</v>
      </c>
      <c r="J2195" s="1058">
        <f>'Смета Внутр'!I2202</f>
        <v>0</v>
      </c>
    </row>
    <row r="2196" spans="2:10" ht="15" customHeight="1">
      <c r="B2196" s="1042" t="str">
        <f>'Смета Внутр'!B2203</f>
        <v>блокхаус</v>
      </c>
      <c r="C2196" s="1042" t="str">
        <f>'Смета Внутр'!C2203</f>
        <v>м2</v>
      </c>
      <c r="D2196" s="1058">
        <f>'Смета Внутр'!D2203</f>
        <v>0</v>
      </c>
      <c r="E2196" s="1042">
        <f>'Смета Внутр'!E2203</f>
        <v>400</v>
      </c>
      <c r="F2196" s="1042">
        <f>'Смета Внутр'!F2203</f>
        <v>0</v>
      </c>
      <c r="G2196" s="1042">
        <f t="shared" si="94"/>
        <v>400</v>
      </c>
      <c r="H2196" s="1042">
        <f>'Смета Внутр'!G2203</f>
        <v>0</v>
      </c>
      <c r="I2196" s="1042">
        <f>'Смета Внутр'!H2203</f>
        <v>0</v>
      </c>
      <c r="J2196" s="1058">
        <f>'Смета Внутр'!I2203</f>
        <v>0</v>
      </c>
    </row>
    <row r="2197" spans="2:10" ht="15" customHeight="1">
      <c r="B2197" s="3007" t="str">
        <f>'Смета Внутр'!B2204</f>
        <v>вагонка</v>
      </c>
      <c r="C2197" s="3007" t="str">
        <f>'Смета Внутр'!C2204</f>
        <v>м2</v>
      </c>
      <c r="D2197" s="3014">
        <f>'Смета Внутр'!D2204</f>
        <v>0</v>
      </c>
      <c r="E2197" s="1042">
        <f>'Смета Внутр'!E2204</f>
        <v>400</v>
      </c>
      <c r="F2197" s="1042">
        <f>'Смета Внутр'!F2204</f>
        <v>0</v>
      </c>
      <c r="G2197" s="3007">
        <f t="shared" si="94"/>
        <v>400</v>
      </c>
      <c r="H2197" s="1042">
        <f>'Смета Внутр'!G2204</f>
        <v>0</v>
      </c>
      <c r="I2197" s="1042">
        <f>'Смета Внутр'!H2204</f>
        <v>0</v>
      </c>
      <c r="J2197" s="3014">
        <f>'Смета Внутр'!I2204</f>
        <v>0</v>
      </c>
    </row>
    <row r="2198" spans="2:10" ht="15" customHeight="1">
      <c r="B2198" s="1042" t="str">
        <f>'Смета Внутр'!B2205</f>
        <v>подсистема, брусок</v>
      </c>
      <c r="C2198" s="1042" t="str">
        <f>'Смета Внутр'!C2205</f>
        <v>м2</v>
      </c>
      <c r="D2198" s="1058">
        <f>'Смета Внутр'!D2205</f>
        <v>0</v>
      </c>
      <c r="E2198" s="1042">
        <f>'Смета Внутр'!E2205</f>
        <v>100</v>
      </c>
      <c r="F2198" s="1042">
        <f>'Смета Внутр'!F2205</f>
        <v>0</v>
      </c>
      <c r="G2198" s="1042">
        <f t="shared" si="94"/>
        <v>100</v>
      </c>
      <c r="H2198" s="1042">
        <f>'Смета Внутр'!G2205</f>
        <v>0</v>
      </c>
      <c r="I2198" s="1042">
        <f>'Смета Внутр'!H2205</f>
        <v>0</v>
      </c>
      <c r="J2198" s="1058">
        <f>'Смета Внутр'!I2205</f>
        <v>0</v>
      </c>
    </row>
    <row r="2199" spans="2:10" ht="15" customHeight="1">
      <c r="B2199" s="3339" t="str">
        <f>'Смета Внутр'!B2206</f>
        <v>пол</v>
      </c>
      <c r="C2199" s="3339"/>
      <c r="D2199" s="3339"/>
      <c r="E2199" s="3339"/>
      <c r="F2199" s="3339"/>
      <c r="G2199" s="3339"/>
      <c r="H2199" s="1042">
        <f>'Смета Внутр'!G2206</f>
        <v>0</v>
      </c>
      <c r="I2199" s="1042">
        <f>'Смета Внутр'!H2206</f>
        <v>0</v>
      </c>
      <c r="J2199" s="3030">
        <f>'Смета Внутр'!I2206</f>
        <v>0</v>
      </c>
    </row>
    <row r="2200" spans="2:10" ht="15" customHeight="1">
      <c r="B2200" s="1042" t="str">
        <f>'Смета Внутр'!B2207</f>
        <v>подложка</v>
      </c>
      <c r="C2200" s="1042" t="str">
        <f>'Смета Внутр'!C2207</f>
        <v>м2</v>
      </c>
      <c r="D2200" s="1058">
        <f>'Смета Внутр'!D2207</f>
        <v>94</v>
      </c>
      <c r="E2200" s="1042">
        <f>'Смета Внутр'!E2207</f>
        <v>30</v>
      </c>
      <c r="F2200" s="1042">
        <f>'Смета Внутр'!F2207</f>
        <v>0</v>
      </c>
      <c r="G2200" s="1042">
        <f>IF(E2200&gt;F2200,E2200,F2200)</f>
        <v>30</v>
      </c>
      <c r="H2200" s="1042">
        <f>'Смета Внутр'!G2207</f>
        <v>2820</v>
      </c>
      <c r="I2200" s="1042">
        <f>'Смета Внутр'!H2207</f>
        <v>0</v>
      </c>
      <c r="J2200" s="1058">
        <f>'Смета Внутр'!I2207</f>
        <v>0</v>
      </c>
    </row>
    <row r="2201" spans="2:10" ht="15" customHeight="1">
      <c r="B2201" s="1042" t="str">
        <f>'Смета Внутр'!B2208</f>
        <v>линолеум</v>
      </c>
      <c r="C2201" s="1042" t="str">
        <f>'Смета Внутр'!C2208</f>
        <v>м2</v>
      </c>
      <c r="D2201" s="1058">
        <f>'Смета Внутр'!D2208</f>
        <v>0</v>
      </c>
      <c r="E2201" s="1042">
        <f>'Смета Внутр'!E2208</f>
        <v>150</v>
      </c>
      <c r="F2201" s="1042">
        <f>'Смета Внутр'!F2208</f>
        <v>0</v>
      </c>
      <c r="G2201" s="1042">
        <f>IF(E2201&gt;F2201,E2201,F2201)</f>
        <v>150</v>
      </c>
      <c r="H2201" s="1042">
        <f>'Смета Внутр'!G2208</f>
        <v>0</v>
      </c>
      <c r="I2201" s="1042">
        <f>'Смета Внутр'!H2208</f>
        <v>0</v>
      </c>
      <c r="J2201" s="1058">
        <f>'Смета Внутр'!I2208</f>
        <v>0</v>
      </c>
    </row>
    <row r="2202" spans="2:10" ht="15" customHeight="1">
      <c r="B2202" s="1042" t="str">
        <f>'Смета Внутр'!B2209</f>
        <v>ламинат</v>
      </c>
      <c r="C2202" s="1042" t="str">
        <f>'Смета Внутр'!C2209</f>
        <v>м2</v>
      </c>
      <c r="D2202" s="1058">
        <f>'Смета Внутр'!D2209</f>
        <v>94</v>
      </c>
      <c r="E2202" s="1042">
        <f>'Смета Внутр'!E2209</f>
        <v>150</v>
      </c>
      <c r="F2202" s="1042">
        <f>'Смета Внутр'!F2209</f>
        <v>0</v>
      </c>
      <c r="G2202" s="1042">
        <f>IF(E2202&gt;F2202,E2202,F2202)</f>
        <v>150</v>
      </c>
      <c r="H2202" s="1042">
        <f>'Смета Внутр'!G2209</f>
        <v>14100</v>
      </c>
      <c r="I2202" s="1042">
        <f>'Смета Внутр'!H2209</f>
        <v>0</v>
      </c>
      <c r="J2202" s="1058">
        <f>'Смета Внутр'!I2209</f>
        <v>0</v>
      </c>
    </row>
    <row r="2203" spans="2:10" ht="15" customHeight="1">
      <c r="B2203" s="1042" t="str">
        <f>'Смета Внутр'!B2210</f>
        <v>плинтус</v>
      </c>
      <c r="C2203" s="1042" t="str">
        <f>'Смета Внутр'!C2210</f>
        <v>м.п.</v>
      </c>
      <c r="D2203" s="1058">
        <f>'Смета Внутр'!D2210</f>
        <v>0</v>
      </c>
      <c r="E2203" s="1042">
        <f>'Смета Внутр'!E2210</f>
        <v>150</v>
      </c>
      <c r="F2203" s="1042">
        <f>'Смета Внутр'!F2210</f>
        <v>0</v>
      </c>
      <c r="G2203" s="1042">
        <f>IF(E2203&gt;F2203,E2203,F2203)</f>
        <v>150</v>
      </c>
      <c r="H2203" s="1042">
        <f>'Смета Внутр'!G2210</f>
        <v>0</v>
      </c>
      <c r="I2203" s="1042">
        <f>'Смета Внутр'!H2210</f>
        <v>0</v>
      </c>
      <c r="J2203" s="1058">
        <f>'Смета Внутр'!I2210</f>
        <v>0</v>
      </c>
    </row>
    <row r="2204" spans="2:10" ht="15" customHeight="1">
      <c r="B2204" s="1042" t="str">
        <f>'Смета Внутр'!B2211</f>
        <v>кафель</v>
      </c>
      <c r="C2204" s="1042" t="str">
        <f>'Смета Внутр'!C2211</f>
        <v>м2</v>
      </c>
      <c r="D2204" s="1058">
        <f>'Смета Внутр'!D2211</f>
        <v>0</v>
      </c>
      <c r="E2204" s="1042">
        <f>'Смета Внутр'!E2211</f>
        <v>600</v>
      </c>
      <c r="F2204" s="1042">
        <f>'Смета Внутр'!F2211</f>
        <v>0</v>
      </c>
      <c r="G2204" s="1042">
        <f>IF(E2204&gt;F2204,E2204,F2204)</f>
        <v>600</v>
      </c>
      <c r="H2204" s="1042">
        <f>'Смета Внутр'!G2211</f>
        <v>0</v>
      </c>
      <c r="I2204" s="1042">
        <f>'Смета Внутр'!H2211</f>
        <v>0</v>
      </c>
      <c r="J2204" s="1058">
        <f>'Смета Внутр'!I2211</f>
        <v>0</v>
      </c>
    </row>
    <row r="2205" spans="2:10" ht="15" customHeight="1">
      <c r="B2205" s="3339" t="str">
        <f>'Смета Внутр'!B2212</f>
        <v>санузел/ванная</v>
      </c>
      <c r="C2205" s="3339"/>
      <c r="D2205" s="3339"/>
      <c r="E2205" s="3339"/>
      <c r="F2205" s="3339"/>
      <c r="G2205" s="3339"/>
      <c r="H2205" s="1042">
        <f>'Смета Внутр'!G2212</f>
        <v>0</v>
      </c>
      <c r="I2205" s="1042">
        <f>'Смета Внутр'!H2212</f>
        <v>0</v>
      </c>
      <c r="J2205" s="3030">
        <f>'Смета Внутр'!I2212</f>
        <v>0</v>
      </c>
    </row>
    <row r="2206" spans="2:10" ht="15" customHeight="1">
      <c r="B2206" s="1042" t="str">
        <f>'Смета Внутр'!B2213</f>
        <v>кафель стены</v>
      </c>
      <c r="C2206" s="1042" t="str">
        <f>'Смета Внутр'!C2213</f>
        <v>м2</v>
      </c>
      <c r="D2206" s="1058">
        <f>'Смета Внутр'!D2213</f>
        <v>0</v>
      </c>
      <c r="E2206" s="1042">
        <f>'Смета Внутр'!E2213</f>
        <v>600</v>
      </c>
      <c r="F2206" s="1042">
        <f>'Смета Внутр'!F2213</f>
        <v>0</v>
      </c>
      <c r="G2206" s="1042">
        <f t="shared" ref="G2206:G2211" si="95">IF(E2206&gt;F2206,E2206,F2206)</f>
        <v>600</v>
      </c>
      <c r="H2206" s="1042">
        <f>'Смета Внутр'!G2213</f>
        <v>0</v>
      </c>
      <c r="I2206" s="1042">
        <f>'Смета Внутр'!H2213</f>
        <v>0</v>
      </c>
      <c r="J2206" s="1058">
        <f>'Смета Внутр'!I2213</f>
        <v>0</v>
      </c>
    </row>
    <row r="2207" spans="2:10" ht="15" customHeight="1">
      <c r="B2207" s="1042" t="str">
        <f>'Смета Внутр'!B2214</f>
        <v>кафель потолок</v>
      </c>
      <c r="C2207" s="1042" t="str">
        <f>'Смета Внутр'!C2214</f>
        <v>м2</v>
      </c>
      <c r="D2207" s="1058">
        <f>'Смета Внутр'!D2214</f>
        <v>0</v>
      </c>
      <c r="E2207" s="1042">
        <f>'Смета Внутр'!E2214</f>
        <v>600</v>
      </c>
      <c r="F2207" s="1042">
        <f>'Смета Внутр'!F2214</f>
        <v>0</v>
      </c>
      <c r="G2207" s="1042">
        <f t="shared" si="95"/>
        <v>600</v>
      </c>
      <c r="H2207" s="1042">
        <f>'Смета Внутр'!G2214</f>
        <v>0</v>
      </c>
      <c r="I2207" s="1042">
        <f>'Смета Внутр'!H2214</f>
        <v>0</v>
      </c>
      <c r="J2207" s="1058">
        <f>'Смета Внутр'!I2214</f>
        <v>0</v>
      </c>
    </row>
    <row r="2208" spans="2:10" ht="15" customHeight="1">
      <c r="B2208" s="1042" t="str">
        <f>'Смета Внутр'!B2215</f>
        <v>кафель пол</v>
      </c>
      <c r="C2208" s="1042" t="str">
        <f>'Смета Внутр'!C2215</f>
        <v>м2</v>
      </c>
      <c r="D2208" s="1058">
        <f>'Смета Внутр'!D2215</f>
        <v>0</v>
      </c>
      <c r="E2208" s="1042">
        <f>'Смета Внутр'!E2215</f>
        <v>600</v>
      </c>
      <c r="F2208" s="1042">
        <f>'Смета Внутр'!F2215</f>
        <v>0</v>
      </c>
      <c r="G2208" s="1042">
        <f t="shared" si="95"/>
        <v>600</v>
      </c>
      <c r="H2208" s="1042">
        <f>'Смета Внутр'!G2215</f>
        <v>0</v>
      </c>
      <c r="I2208" s="1042">
        <f>'Смета Внутр'!H2215</f>
        <v>0</v>
      </c>
      <c r="J2208" s="1058">
        <f>'Смета Внутр'!I2215</f>
        <v>0</v>
      </c>
    </row>
    <row r="2209" spans="2:10" ht="15" customHeight="1">
      <c r="B2209" s="1042" t="str">
        <f>'Смета Внутр'!B2216</f>
        <v>панели пластик стены</v>
      </c>
      <c r="C2209" s="1042" t="str">
        <f>'Смета Внутр'!C2216</f>
        <v>м2</v>
      </c>
      <c r="D2209" s="1058">
        <f>'Смета Внутр'!D2216</f>
        <v>0</v>
      </c>
      <c r="E2209" s="1042">
        <f>'Смета Внутр'!E2216</f>
        <v>150</v>
      </c>
      <c r="F2209" s="1042">
        <f>'Смета Внутр'!F2216</f>
        <v>0</v>
      </c>
      <c r="G2209" s="1042">
        <f t="shared" si="95"/>
        <v>150</v>
      </c>
      <c r="H2209" s="1042">
        <f>'Смета Внутр'!G2216</f>
        <v>0</v>
      </c>
      <c r="I2209" s="1042">
        <f>'Смета Внутр'!H2216</f>
        <v>0</v>
      </c>
      <c r="J2209" s="1058">
        <f>'Смета Внутр'!I2216</f>
        <v>0</v>
      </c>
    </row>
    <row r="2210" spans="2:10" ht="15" customHeight="1">
      <c r="B2210" s="1042" t="str">
        <f>'Смета Внутр'!B2217</f>
        <v>панели пластик потолок</v>
      </c>
      <c r="C2210" s="1042" t="str">
        <f>'Смета Внутр'!C2217</f>
        <v>м2</v>
      </c>
      <c r="D2210" s="1058">
        <f>'Смета Внутр'!D2217</f>
        <v>0</v>
      </c>
      <c r="E2210" s="1042">
        <f>'Смета Внутр'!E2217</f>
        <v>150</v>
      </c>
      <c r="F2210" s="1042">
        <f>'Смета Внутр'!F2217</f>
        <v>0</v>
      </c>
      <c r="G2210" s="1042">
        <f t="shared" si="95"/>
        <v>150</v>
      </c>
      <c r="H2210" s="1042">
        <f>'Смета Внутр'!G2217</f>
        <v>0</v>
      </c>
      <c r="I2210" s="1042">
        <f>'Смета Внутр'!H2217</f>
        <v>0</v>
      </c>
      <c r="J2210" s="1058">
        <f>'Смета Внутр'!I2217</f>
        <v>0</v>
      </c>
    </row>
    <row r="2211" spans="2:10" ht="15" customHeight="1">
      <c r="B2211" s="1042" t="str">
        <f>'Смета Внутр'!B2218</f>
        <v>натяжной потолок</v>
      </c>
      <c r="C2211" s="1042" t="str">
        <f>'Смета Внутр'!C2218</f>
        <v>м2</v>
      </c>
      <c r="D2211" s="1058">
        <f>'Смета Внутр'!D2218</f>
        <v>0</v>
      </c>
      <c r="E2211" s="1042">
        <f>'Смета Внутр'!E2218</f>
        <v>300</v>
      </c>
      <c r="F2211" s="1042">
        <f>'Смета Внутр'!F2218</f>
        <v>0</v>
      </c>
      <c r="G2211" s="1042">
        <f t="shared" si="95"/>
        <v>300</v>
      </c>
      <c r="H2211" s="1042">
        <f>'Смета Внутр'!G2218</f>
        <v>0</v>
      </c>
      <c r="I2211" s="1042">
        <f>'Смета Внутр'!H2218</f>
        <v>0</v>
      </c>
      <c r="J2211" s="1058">
        <f>'Смета Внутр'!I2218</f>
        <v>0</v>
      </c>
    </row>
    <row r="2212" spans="2:10" ht="15" customHeight="1">
      <c r="B2212" s="1042" t="str">
        <f>'Смета Внутр'!B2219</f>
        <v xml:space="preserve">Двери межкомнатные </v>
      </c>
      <c r="C2212" s="1042"/>
      <c r="D2212" s="1058"/>
      <c r="E2212" s="1042"/>
      <c r="F2212" s="1042"/>
      <c r="G2212" s="1042"/>
      <c r="H2212" s="1042">
        <f>'Смета Внутр'!G2219</f>
        <v>0</v>
      </c>
      <c r="I2212" s="1042">
        <f>'Смета Внутр'!H2219</f>
        <v>0</v>
      </c>
      <c r="J2212" s="1058">
        <f>'Смета Внутр'!I2219</f>
        <v>0</v>
      </c>
    </row>
    <row r="2213" spans="2:10" ht="15" customHeight="1">
      <c r="B2213" s="1042" t="str">
        <f>'Смета Внутр'!B2220</f>
        <v>устанвка дверей</v>
      </c>
      <c r="C2213" s="1042" t="str">
        <f>'Смета Внутр'!C2220</f>
        <v>шт</v>
      </c>
      <c r="D2213" s="1058">
        <f>'Смета Внутр'!D2220</f>
        <v>0</v>
      </c>
      <c r="E2213" s="1042">
        <f>'Смета Внутр'!E2220</f>
        <v>1200</v>
      </c>
      <c r="F2213" s="1042">
        <f>'Смета Внутр'!F2220</f>
        <v>0</v>
      </c>
      <c r="G2213" s="1042">
        <f>IF(E2213&gt;F2213,E2213,F2213)</f>
        <v>1200</v>
      </c>
      <c r="H2213" s="1042">
        <f>'Смета Внутр'!G2220</f>
        <v>0</v>
      </c>
      <c r="I2213" s="1042">
        <f>'Смета Внутр'!H2220</f>
        <v>0</v>
      </c>
      <c r="J2213" s="1058">
        <f>'Смета Внутр'!I2220</f>
        <v>0</v>
      </c>
    </row>
    <row r="2214" spans="2:10" ht="15" customHeight="1">
      <c r="B2214" s="1042" t="str">
        <f>'Смета Внутр'!B2221</f>
        <v>монтаж коробки</v>
      </c>
      <c r="C2214" s="1042" t="str">
        <f>'Смета Внутр'!C2221</f>
        <v>шт</v>
      </c>
      <c r="D2214" s="1058">
        <f>'Смета Внутр'!D2221</f>
        <v>0</v>
      </c>
      <c r="E2214" s="1042">
        <f>'Смета Внутр'!E2221</f>
        <v>250</v>
      </c>
      <c r="F2214" s="1042">
        <f>'Смета Внутр'!F2221</f>
        <v>0</v>
      </c>
      <c r="G2214" s="1042">
        <f>IF(E2214&gt;F2214,E2214,F2214)</f>
        <v>250</v>
      </c>
      <c r="H2214" s="1042">
        <f>'Смета Внутр'!G2221</f>
        <v>0</v>
      </c>
      <c r="I2214" s="1042">
        <f>'Смета Внутр'!H2221</f>
        <v>0</v>
      </c>
      <c r="J2214" s="1058">
        <f>'Смета Внутр'!I2221</f>
        <v>0</v>
      </c>
    </row>
    <row r="2215" spans="2:10" ht="15" customHeight="1">
      <c r="B2215" s="1042" t="str">
        <f>'Смета Внутр'!B2222</f>
        <v>монтаж наличников</v>
      </c>
      <c r="C2215" s="1042" t="str">
        <f>'Смета Внутр'!C2222</f>
        <v>шт</v>
      </c>
      <c r="D2215" s="1058">
        <f>'Смета Внутр'!D2222</f>
        <v>0</v>
      </c>
      <c r="E2215" s="1042">
        <f>'Смета Внутр'!E2222</f>
        <v>250</v>
      </c>
      <c r="F2215" s="1042">
        <f>'Смета Внутр'!F2222</f>
        <v>0</v>
      </c>
      <c r="G2215" s="1042">
        <f>IF(E2215&gt;F2215,E2215,F2215)</f>
        <v>250</v>
      </c>
      <c r="H2215" s="1042">
        <f>'Смета Внутр'!G2222</f>
        <v>0</v>
      </c>
      <c r="I2215" s="1042">
        <f>'Смета Внутр'!H2222</f>
        <v>0</v>
      </c>
      <c r="J2215" s="1058">
        <f>'Смета Внутр'!I2222</f>
        <v>0</v>
      </c>
    </row>
    <row r="2216" spans="2:10" ht="15" customHeight="1">
      <c r="B2216" s="1042" t="str">
        <f>'Смета Внутр'!B2223</f>
        <v>монтаж порожков</v>
      </c>
      <c r="C2216" s="1042" t="str">
        <f>'Смета Внутр'!C2223</f>
        <v>шт</v>
      </c>
      <c r="D2216" s="1058">
        <f>'Смета Внутр'!D2223</f>
        <v>0</v>
      </c>
      <c r="E2216" s="1042">
        <f>'Смета Внутр'!E2223</f>
        <v>100</v>
      </c>
      <c r="F2216" s="1042">
        <f>'Смета Внутр'!F2223</f>
        <v>0</v>
      </c>
      <c r="G2216" s="1042">
        <f>IF(E2216&gt;F2216,E2216,F2216)</f>
        <v>100</v>
      </c>
      <c r="H2216" s="1042">
        <f>'Смета Внутр'!G2223</f>
        <v>0</v>
      </c>
      <c r="I2216" s="1042">
        <f>'Смета Внутр'!H2223</f>
        <v>0</v>
      </c>
      <c r="J2216" s="1058">
        <f>'Смета Внутр'!I2223</f>
        <v>0</v>
      </c>
    </row>
    <row r="2217" spans="2:10" ht="15" customHeight="1">
      <c r="B2217" s="1042" t="str">
        <f>'Смета Внутр'!B2224</f>
        <v>монтаж отбойников</v>
      </c>
      <c r="C2217" s="1042" t="str">
        <f>'Смета Внутр'!C2224</f>
        <v>шт</v>
      </c>
      <c r="D2217" s="1058">
        <f>'Смета Внутр'!D2224</f>
        <v>0</v>
      </c>
      <c r="E2217" s="1042">
        <f>'Смета Внутр'!E2224</f>
        <v>80</v>
      </c>
      <c r="F2217" s="1042">
        <f>'Смета Внутр'!F2224</f>
        <v>0</v>
      </c>
      <c r="G2217" s="1042">
        <f>IF(E2217&gt;F2217,E2217,F2217)</f>
        <v>80</v>
      </c>
      <c r="H2217" s="1042">
        <f>'Смета Внутр'!G2224</f>
        <v>0</v>
      </c>
      <c r="I2217" s="1042">
        <f>'Смета Внутр'!H2224</f>
        <v>0</v>
      </c>
      <c r="J2217" s="1058">
        <f>'Смета Внутр'!I2224</f>
        <v>0</v>
      </c>
    </row>
    <row r="2218" spans="2:10" ht="15" customHeight="1">
      <c r="B2218" s="3311" t="str">
        <f>'Смета Внутр'!B2225</f>
        <v>Итого работы</v>
      </c>
      <c r="C2218" s="3311"/>
      <c r="D2218" s="3311"/>
      <c r="E2218" s="3311"/>
      <c r="F2218" s="3311"/>
      <c r="G2218" s="3311"/>
      <c r="H2218" s="1042">
        <f>'Смета Внутр'!G2225</f>
        <v>0</v>
      </c>
      <c r="I2218" s="1042">
        <f>'Смета Внутр'!H2225</f>
        <v>0</v>
      </c>
      <c r="J2218" s="3014">
        <f>'Смета Внутр'!I2225</f>
        <v>0</v>
      </c>
    </row>
    <row r="2219" spans="2:10" ht="15" customHeight="1">
      <c r="B2219" s="3329" t="str">
        <f>'Смета Внутр'!B2226</f>
        <v>Электрика</v>
      </c>
      <c r="C2219" s="3329"/>
      <c r="D2219" s="3329"/>
      <c r="H2219">
        <f>'Смета Внутр'!G2226</f>
        <v>0</v>
      </c>
      <c r="I2219">
        <f>'Смета Внутр'!H2226</f>
        <v>0</v>
      </c>
      <c r="J2219" s="3027">
        <f>'Смета Внутр'!I2226</f>
        <v>0</v>
      </c>
    </row>
    <row r="2220" spans="2:10" ht="15" customHeight="1">
      <c r="B2220" s="3002" t="str">
        <f>'Смета Внутр'!B2227</f>
        <v>Материалы</v>
      </c>
      <c r="D2220" s="1167"/>
      <c r="H2220">
        <f>'Смета Внутр'!G2227</f>
        <v>0</v>
      </c>
      <c r="I2220">
        <f>'Смета Внутр'!H2227</f>
        <v>0</v>
      </c>
      <c r="J2220" s="3027">
        <f>'Смета Внутр'!I2227</f>
        <v>0</v>
      </c>
    </row>
    <row r="2221" spans="2:10" ht="15" customHeight="1">
      <c r="B2221" s="1042" t="str">
        <f>'Смета Внутр'!B2228</f>
        <v>Кабель ВВГнг(А)-LS 3х2,5 0,66</v>
      </c>
      <c r="C2221" s="1042" t="str">
        <f>'Смета Внутр'!C2228</f>
        <v>м.п.</v>
      </c>
      <c r="D2221" s="1058">
        <f>'Смета Внутр'!D2228</f>
        <v>111.4</v>
      </c>
      <c r="E2221" s="1042">
        <f>'Смета Внутр'!E2228</f>
        <v>47.36</v>
      </c>
      <c r="F2221" s="1042">
        <f>'Смета Внутр'!F2228</f>
        <v>0</v>
      </c>
      <c r="G2221" s="1042">
        <f t="shared" ref="G2221:G2237" si="96">IF(E2221&gt;F2221,E2221,F2221)</f>
        <v>47.36</v>
      </c>
      <c r="H2221" s="1042">
        <f>'Смета Внутр'!G2228</f>
        <v>5275.9040000000005</v>
      </c>
      <c r="I2221" s="1042">
        <f>'Смета Внутр'!H2228</f>
        <v>0</v>
      </c>
      <c r="J2221" s="1058">
        <f>'Смета Внутр'!I2228</f>
        <v>0</v>
      </c>
    </row>
    <row r="2222" spans="2:10" ht="15" customHeight="1">
      <c r="B2222" s="1042" t="str">
        <f>'Смета Внутр'!B2229</f>
        <v>Труба ПВХ гофрировонная гибкая 20</v>
      </c>
      <c r="C2222" s="1042" t="str">
        <f>'Смета Внутр'!C2229</f>
        <v>м.п.</v>
      </c>
      <c r="D2222" s="1058">
        <f>'Смета Внутр'!D2229</f>
        <v>122.54000000000002</v>
      </c>
      <c r="E2222" s="1042">
        <f>'Смета Внутр'!E2229</f>
        <v>5.0199999999999996</v>
      </c>
      <c r="F2222" s="1042">
        <f>'Смета Внутр'!F2229</f>
        <v>0</v>
      </c>
      <c r="G2222" s="1042">
        <f t="shared" si="96"/>
        <v>5.0199999999999996</v>
      </c>
      <c r="H2222" s="1042">
        <f>'Смета Внутр'!G2229</f>
        <v>615.1508</v>
      </c>
      <c r="I2222" s="1042">
        <f>'Смета Внутр'!H2229</f>
        <v>0</v>
      </c>
      <c r="J2222" s="1058">
        <f>'Смета Внутр'!I2229</f>
        <v>0</v>
      </c>
    </row>
    <row r="2223" spans="2:10" ht="15" customHeight="1">
      <c r="B2223" s="1042" t="str">
        <f>'Смета Внутр'!B2230</f>
        <v>Кабель ВВГнг(А)-LS 3х1,5 0,66</v>
      </c>
      <c r="C2223" s="1042" t="str">
        <f>'Смета Внутр'!C2230</f>
        <v>м.п.</v>
      </c>
      <c r="D2223" s="1058">
        <f>'Смета Внутр'!D2230</f>
        <v>186.8</v>
      </c>
      <c r="E2223" s="1042">
        <f>'Смета Внутр'!E2230</f>
        <v>29.81</v>
      </c>
      <c r="F2223" s="1042">
        <f>'Смета Внутр'!F2230</f>
        <v>0</v>
      </c>
      <c r="G2223" s="1042">
        <f t="shared" si="96"/>
        <v>29.81</v>
      </c>
      <c r="H2223" s="1042">
        <f>'Смета Внутр'!G2230</f>
        <v>5568.5079999999998</v>
      </c>
      <c r="I2223" s="1042">
        <f>'Смета Внутр'!H2230</f>
        <v>0</v>
      </c>
      <c r="J2223" s="1058">
        <f>'Смета Внутр'!I2230</f>
        <v>0</v>
      </c>
    </row>
    <row r="2224" spans="2:10" ht="15" customHeight="1">
      <c r="B2224" s="1042" t="str">
        <f>'Смета Внутр'!B2231</f>
        <v>Труба ПВХ гофрировонная гибкая 25</v>
      </c>
      <c r="C2224" s="1042" t="str">
        <f>'Смета Внутр'!C2231</f>
        <v>м.п.</v>
      </c>
      <c r="D2224" s="1058">
        <f>'Смета Внутр'!D2231</f>
        <v>205.48000000000002</v>
      </c>
      <c r="E2224" s="1042">
        <f>'Смета Внутр'!E2231</f>
        <v>6.38</v>
      </c>
      <c r="F2224" s="1042">
        <f>'Смета Внутр'!F2231</f>
        <v>0</v>
      </c>
      <c r="G2224" s="1042">
        <f t="shared" si="96"/>
        <v>6.38</v>
      </c>
      <c r="H2224" s="1042">
        <f>'Смета Внутр'!G2231</f>
        <v>1310.9624000000001</v>
      </c>
      <c r="I2224" s="1042">
        <f>'Смета Внутр'!H2231</f>
        <v>0</v>
      </c>
      <c r="J2224" s="1058">
        <f>'Смета Внутр'!I2231</f>
        <v>0</v>
      </c>
    </row>
    <row r="2225" spans="2:10" ht="15" customHeight="1">
      <c r="B2225" s="1042" t="str">
        <f>'Смета Внутр'!B2232</f>
        <v>Кабель ВВГнг(А)-LS 3х4 0,66</v>
      </c>
      <c r="C2225" s="1042" t="str">
        <f>'Смета Внутр'!C2232</f>
        <v>м.п.</v>
      </c>
      <c r="D2225" s="1058">
        <f>'Смета Внутр'!D2232</f>
        <v>75</v>
      </c>
      <c r="E2225" s="1042">
        <f>'Смета Внутр'!E2232</f>
        <v>68</v>
      </c>
      <c r="F2225" s="1042">
        <f>'Смета Внутр'!F2232</f>
        <v>0</v>
      </c>
      <c r="G2225" s="1042">
        <f t="shared" si="96"/>
        <v>68</v>
      </c>
      <c r="H2225" s="1042">
        <f>'Смета Внутр'!G2232</f>
        <v>5100</v>
      </c>
      <c r="I2225" s="1042">
        <f>'Смета Внутр'!H2232</f>
        <v>0</v>
      </c>
      <c r="J2225" s="1058">
        <f>'Смета Внутр'!I2232</f>
        <v>0</v>
      </c>
    </row>
    <row r="2226" spans="2:10" ht="15" customHeight="1">
      <c r="B2226" s="1042" t="str">
        <f>'Смета Внутр'!B2233</f>
        <v>Труба ПВХ гофрировонная гибкая 32</v>
      </c>
      <c r="C2226" s="1042" t="str">
        <f>'Смета Внутр'!C2233</f>
        <v>м.п.</v>
      </c>
      <c r="D2226" s="1058">
        <f>'Смета Внутр'!D2233</f>
        <v>82.5</v>
      </c>
      <c r="E2226" s="1042">
        <f>'Смета Внутр'!E2233</f>
        <v>6.38</v>
      </c>
      <c r="F2226" s="1042">
        <f>'Смета Внутр'!F2233</f>
        <v>0</v>
      </c>
      <c r="G2226" s="1042">
        <f t="shared" si="96"/>
        <v>6.38</v>
      </c>
      <c r="H2226" s="1042">
        <f>'Смета Внутр'!G2233</f>
        <v>526.35</v>
      </c>
      <c r="I2226" s="1042">
        <f>'Смета Внутр'!H2233</f>
        <v>0</v>
      </c>
      <c r="J2226" s="1058">
        <f>'Смета Внутр'!I2233</f>
        <v>0</v>
      </c>
    </row>
    <row r="2227" spans="2:10" ht="15" customHeight="1">
      <c r="B2227" s="1042" t="str">
        <f>'Смета Внутр'!B2234</f>
        <v>крепления для гофры</v>
      </c>
      <c r="C2227" s="1042" t="str">
        <f>'Смета Внутр'!C2234</f>
        <v>шт</v>
      </c>
      <c r="D2227" s="1058">
        <f>'Смета Внутр'!D2234</f>
        <v>400</v>
      </c>
      <c r="E2227" s="1042">
        <f>'Смета Внутр'!E2234</f>
        <v>1</v>
      </c>
      <c r="F2227" s="1042">
        <f>'Смета Внутр'!F2234</f>
        <v>0</v>
      </c>
      <c r="G2227" s="1042">
        <f t="shared" si="96"/>
        <v>1</v>
      </c>
      <c r="H2227" s="1042">
        <f>'Смета Внутр'!G2234</f>
        <v>400</v>
      </c>
      <c r="I2227" s="1042">
        <f>'Смета Внутр'!H2234</f>
        <v>0</v>
      </c>
      <c r="J2227" s="1058">
        <f>'Смета Внутр'!I2234</f>
        <v>0</v>
      </c>
    </row>
    <row r="2228" spans="2:10" ht="15" customHeight="1">
      <c r="B2228" s="1042" t="str">
        <f>'Смета Внутр'!B2235</f>
        <v>саморез для крепления гофры</v>
      </c>
      <c r="C2228" s="1042" t="str">
        <f>'Смета Внутр'!C2235</f>
        <v>шт</v>
      </c>
      <c r="D2228" s="1058">
        <f>'Смета Внутр'!D2235</f>
        <v>800</v>
      </c>
      <c r="E2228" s="1042">
        <f>'Смета Внутр'!E2235</f>
        <v>0.25</v>
      </c>
      <c r="F2228" s="1042">
        <f>'Смета Внутр'!F2235</f>
        <v>0</v>
      </c>
      <c r="G2228" s="1042">
        <f t="shared" si="96"/>
        <v>0.25</v>
      </c>
      <c r="H2228" s="1042">
        <f>'Смета Внутр'!G2235</f>
        <v>200</v>
      </c>
      <c r="I2228" s="1042">
        <f>'Смета Внутр'!H2235</f>
        <v>0</v>
      </c>
      <c r="J2228" s="1058">
        <f>'Смета Внутр'!I2235</f>
        <v>0</v>
      </c>
    </row>
    <row r="2229" spans="2:10" ht="15" customHeight="1">
      <c r="B2229" s="1042" t="str">
        <f>'Смета Внутр'!B2236</f>
        <v>Коробка распределения</v>
      </c>
      <c r="C2229" s="1042" t="str">
        <f>'Смета Внутр'!C2236</f>
        <v>шт</v>
      </c>
      <c r="D2229" s="1058">
        <f>'Смета Внутр'!D2236</f>
        <v>6</v>
      </c>
      <c r="E2229" s="1042">
        <f>'Смета Внутр'!E2236</f>
        <v>20</v>
      </c>
      <c r="F2229" s="1042">
        <f>'Смета Внутр'!F2236</f>
        <v>0</v>
      </c>
      <c r="G2229" s="1042">
        <f t="shared" si="96"/>
        <v>20</v>
      </c>
      <c r="H2229" s="1042">
        <f>'Смета Внутр'!G2236</f>
        <v>120</v>
      </c>
      <c r="I2229" s="1042">
        <f>'Смета Внутр'!H2236</f>
        <v>0</v>
      </c>
      <c r="J2229" s="1058">
        <f>'Смета Внутр'!I2236</f>
        <v>0</v>
      </c>
    </row>
    <row r="2230" spans="2:10" ht="15" customHeight="1">
      <c r="B2230" s="1042" t="str">
        <f>'Смета Внутр'!B2237</f>
        <v>Вага</v>
      </c>
      <c r="C2230" s="1042" t="str">
        <f>'Смета Внутр'!C2237</f>
        <v>шт</v>
      </c>
      <c r="D2230" s="1058">
        <f>'Смета Внутр'!D2237</f>
        <v>480</v>
      </c>
      <c r="E2230" s="1042">
        <f>'Смета Внутр'!E2237</f>
        <v>10</v>
      </c>
      <c r="F2230" s="1042">
        <f>'Смета Внутр'!F2237</f>
        <v>0</v>
      </c>
      <c r="G2230" s="1042">
        <f t="shared" si="96"/>
        <v>10</v>
      </c>
      <c r="H2230" s="1042">
        <f>'Смета Внутр'!G2237</f>
        <v>4800</v>
      </c>
      <c r="I2230" s="1042">
        <f>'Смета Внутр'!H2237</f>
        <v>0</v>
      </c>
      <c r="J2230" s="1058">
        <f>'Смета Внутр'!I2237</f>
        <v>0</v>
      </c>
    </row>
    <row r="2231" spans="2:10" ht="15" customHeight="1">
      <c r="B2231" s="1042" t="str">
        <f>'Смета Внутр'!B2238</f>
        <v>Щиток электрический</v>
      </c>
      <c r="C2231" s="1042" t="str">
        <f>'Смета Внутр'!C2238</f>
        <v>шт</v>
      </c>
      <c r="D2231" s="1058">
        <f>'Смета Внутр'!D2238</f>
        <v>1</v>
      </c>
      <c r="E2231" s="1042">
        <f>'Смета Внутр'!E2238</f>
        <v>1200</v>
      </c>
      <c r="F2231" s="1042">
        <f>'Смета Внутр'!F2238</f>
        <v>0</v>
      </c>
      <c r="G2231" s="1042">
        <f t="shared" si="96"/>
        <v>1200</v>
      </c>
      <c r="H2231" s="1042">
        <f>'Смета Внутр'!G2238</f>
        <v>1200</v>
      </c>
      <c r="I2231" s="1042">
        <f>'Смета Внутр'!H2238</f>
        <v>0</v>
      </c>
      <c r="J2231" s="1058">
        <f>'Смета Внутр'!I2238</f>
        <v>0</v>
      </c>
    </row>
    <row r="2232" spans="2:10" ht="15" customHeight="1">
      <c r="B2232" s="1042" t="str">
        <f>'Смета Внутр'!B2239</f>
        <v>автомат, 3 полюса, 32амп</v>
      </c>
      <c r="C2232" s="1042" t="str">
        <f>'Смета Внутр'!C2239</f>
        <v>шт</v>
      </c>
      <c r="D2232" s="1058">
        <f>'Смета Внутр'!D2239</f>
        <v>2</v>
      </c>
      <c r="E2232" s="1042">
        <f>'Смета Внутр'!E2239</f>
        <v>180</v>
      </c>
      <c r="F2232" s="1042">
        <f>'Смета Внутр'!F2239</f>
        <v>0</v>
      </c>
      <c r="G2232" s="1042">
        <f t="shared" si="96"/>
        <v>180</v>
      </c>
      <c r="H2232" s="1042">
        <f>'Смета Внутр'!G2239</f>
        <v>360</v>
      </c>
      <c r="I2232" s="1042">
        <f>'Смета Внутр'!H2239</f>
        <v>0</v>
      </c>
      <c r="J2232" s="1058">
        <f>'Смета Внутр'!I2239</f>
        <v>0</v>
      </c>
    </row>
    <row r="2233" spans="2:10" ht="15" customHeight="1">
      <c r="B2233" s="1042" t="str">
        <f>'Смета Внутр'!B2240</f>
        <v>автомат, 1 полюс, 16амп</v>
      </c>
      <c r="C2233" s="1042" t="str">
        <f>'Смета Внутр'!C2240</f>
        <v>шт</v>
      </c>
      <c r="D2233" s="1058">
        <f>'Смета Внутр'!D2240</f>
        <v>20</v>
      </c>
      <c r="E2233" s="1042">
        <f>'Смета Внутр'!E2240</f>
        <v>70</v>
      </c>
      <c r="F2233" s="1042">
        <f>'Смета Внутр'!F2240</f>
        <v>0</v>
      </c>
      <c r="G2233" s="1042">
        <f t="shared" si="96"/>
        <v>70</v>
      </c>
      <c r="H2233" s="1042">
        <f>'Смета Внутр'!G2240</f>
        <v>1400</v>
      </c>
      <c r="I2233" s="1042">
        <f>'Смета Внутр'!H2240</f>
        <v>0</v>
      </c>
      <c r="J2233" s="1058">
        <f>'Смета Внутр'!I2240</f>
        <v>0</v>
      </c>
    </row>
    <row r="2234" spans="2:10" ht="15" customHeight="1">
      <c r="B2234" s="1042" t="str">
        <f>'Смета Внутр'!B2241</f>
        <v>автомат, 1 полюс, 25 амп</v>
      </c>
      <c r="C2234" s="1042" t="str">
        <f>'Смета Внутр'!C2241</f>
        <v>шт</v>
      </c>
      <c r="D2234" s="1058">
        <f>'Смета Внутр'!D2241</f>
        <v>2</v>
      </c>
      <c r="E2234" s="1042">
        <f>'Смета Внутр'!E2241</f>
        <v>167</v>
      </c>
      <c r="F2234" s="1042">
        <f>'Смета Внутр'!F2241</f>
        <v>0</v>
      </c>
      <c r="G2234" s="1042">
        <f t="shared" si="96"/>
        <v>167</v>
      </c>
      <c r="H2234" s="1042">
        <f>'Смета Внутр'!G2241</f>
        <v>334</v>
      </c>
      <c r="I2234" s="1042">
        <f>'Смета Внутр'!H2241</f>
        <v>0</v>
      </c>
      <c r="J2234" s="1058">
        <f>'Смета Внутр'!I2241</f>
        <v>0</v>
      </c>
    </row>
    <row r="2235" spans="2:10" ht="15" customHeight="1">
      <c r="B2235" s="1042" t="str">
        <f>'Смета Внутр'!B2242</f>
        <v>Коробка электрическая</v>
      </c>
      <c r="C2235" s="1042" t="str">
        <f>'Смета Внутр'!C2242</f>
        <v>шт</v>
      </c>
      <c r="D2235" s="1058">
        <f>'Смета Внутр'!D2242</f>
        <v>60</v>
      </c>
      <c r="E2235" s="1042">
        <f>'Смета Внутр'!E2242</f>
        <v>6</v>
      </c>
      <c r="F2235" s="1042">
        <f>'Смета Внутр'!F2242</f>
        <v>0</v>
      </c>
      <c r="G2235" s="1042">
        <f t="shared" si="96"/>
        <v>6</v>
      </c>
      <c r="H2235" s="1042">
        <f>'Смета Внутр'!G2242</f>
        <v>360</v>
      </c>
      <c r="I2235" s="1042">
        <f>'Смета Внутр'!H2242</f>
        <v>0</v>
      </c>
      <c r="J2235" s="1058">
        <f>'Смета Внутр'!I2242</f>
        <v>0</v>
      </c>
    </row>
    <row r="2236" spans="2:10" ht="15" customHeight="1">
      <c r="B2236" s="1042" t="str">
        <f>'Смета Внутр'!B2243</f>
        <v>Розетка 2</v>
      </c>
      <c r="C2236" s="1042" t="str">
        <f>'Смета Внутр'!C2243</f>
        <v>шт</v>
      </c>
      <c r="D2236" s="1058">
        <f>'Смета Внутр'!D2243</f>
        <v>40</v>
      </c>
      <c r="E2236" s="1042">
        <f>'Смета Внутр'!E2243</f>
        <v>100</v>
      </c>
      <c r="F2236" s="1042">
        <f>'Смета Внутр'!F2243</f>
        <v>0</v>
      </c>
      <c r="G2236" s="1042">
        <f t="shared" si="96"/>
        <v>100</v>
      </c>
      <c r="H2236" s="1042">
        <f>'Смета Внутр'!G2243</f>
        <v>4000</v>
      </c>
      <c r="I2236" s="1042">
        <f>'Смета Внутр'!H2243</f>
        <v>0</v>
      </c>
      <c r="J2236" s="1058">
        <f>'Смета Внутр'!I2243</f>
        <v>0</v>
      </c>
    </row>
    <row r="2237" spans="2:10" ht="15" customHeight="1">
      <c r="B2237" s="1042" t="str">
        <f>'Смета Внутр'!B2244</f>
        <v>Выключатель 3</v>
      </c>
      <c r="C2237" s="1042" t="str">
        <f>'Смета Внутр'!C2244</f>
        <v>шт</v>
      </c>
      <c r="D2237" s="1058">
        <f>'Смета Внутр'!D2244</f>
        <v>20</v>
      </c>
      <c r="E2237" s="1042">
        <f>'Смета Внутр'!E2244</f>
        <v>100</v>
      </c>
      <c r="F2237" s="1042">
        <f>'Смета Внутр'!F2244</f>
        <v>0</v>
      </c>
      <c r="G2237" s="1042">
        <f t="shared" si="96"/>
        <v>100</v>
      </c>
      <c r="H2237" s="1042">
        <f>'Смета Внутр'!G2244</f>
        <v>2000</v>
      </c>
      <c r="I2237" s="1042">
        <f>'Смета Внутр'!H2244</f>
        <v>0</v>
      </c>
      <c r="J2237" s="1058">
        <f>'Смета Внутр'!I2244</f>
        <v>0</v>
      </c>
    </row>
    <row r="2238" spans="2:10">
      <c r="B2238" s="3330" t="str">
        <f>'Смета Внутр'!B2245</f>
        <v>Итого материалы</v>
      </c>
      <c r="C2238" s="3330"/>
      <c r="D2238" s="3330"/>
      <c r="E2238" s="3330"/>
      <c r="F2238" s="3330"/>
      <c r="G2238" s="3330"/>
      <c r="H2238" s="1042">
        <f>'Смета Внутр'!G2245</f>
        <v>0</v>
      </c>
      <c r="I2238" s="1042">
        <f>'Смета Внутр'!H2245</f>
        <v>0</v>
      </c>
      <c r="J2238" s="1058">
        <f>'Смета Внутр'!I2245</f>
        <v>0</v>
      </c>
    </row>
    <row r="2239" spans="2:10" ht="15" customHeight="1">
      <c r="B2239" s="3002" t="str">
        <f>'Смета Внутр'!B2246</f>
        <v>Работы</v>
      </c>
      <c r="D2239" s="1167"/>
      <c r="H2239">
        <f>'Смета Внутр'!G2246</f>
        <v>0</v>
      </c>
      <c r="I2239">
        <f>'Смета Внутр'!H2246</f>
        <v>0</v>
      </c>
      <c r="J2239" s="3027">
        <f>'Смета Внутр'!I2246</f>
        <v>0</v>
      </c>
    </row>
    <row r="2240" spans="2:10" ht="15" customHeight="1">
      <c r="B2240" s="1042" t="str">
        <f>'Смета Внутр'!B2247</f>
        <v>монтаж кабеля</v>
      </c>
      <c r="C2240" s="1042" t="str">
        <f>'Смета Внутр'!C2247</f>
        <v>м.п.</v>
      </c>
      <c r="D2240" s="1058">
        <f>'Смета Внутр'!D2247</f>
        <v>373.20000000000005</v>
      </c>
      <c r="E2240" s="1042">
        <f>'Смета Внутр'!E2247</f>
        <v>100</v>
      </c>
      <c r="F2240" s="1042">
        <f>'Смета Внутр'!F2247</f>
        <v>0</v>
      </c>
      <c r="G2240" s="1042">
        <f t="shared" ref="G2240:G2247" si="97">IF(E2240&gt;F2240,E2240,F2240)</f>
        <v>100</v>
      </c>
      <c r="H2240" s="1042">
        <f>'Смета Внутр'!G2247</f>
        <v>37320.000000000007</v>
      </c>
      <c r="I2240" s="1042">
        <f>'Смета Внутр'!H2247</f>
        <v>0</v>
      </c>
      <c r="J2240" s="1058">
        <f>'Смета Внутр'!I2247</f>
        <v>0</v>
      </c>
    </row>
    <row r="2241" spans="2:10" ht="15" customHeight="1">
      <c r="B2241" s="1042" t="str">
        <f>'Смета Внутр'!B2248</f>
        <v>монтаж гофры</v>
      </c>
      <c r="C2241" s="1042" t="str">
        <f>'Смета Внутр'!C2248</f>
        <v>м.п.</v>
      </c>
      <c r="D2241" s="1058">
        <f>'Смета Внутр'!D2248</f>
        <v>373.20000000000005</v>
      </c>
      <c r="E2241" s="1042">
        <f>'Смета Внутр'!E2248</f>
        <v>50</v>
      </c>
      <c r="F2241" s="1042">
        <f>'Смета Внутр'!F2248</f>
        <v>0</v>
      </c>
      <c r="G2241" s="1042">
        <f t="shared" si="97"/>
        <v>50</v>
      </c>
      <c r="H2241" s="1042">
        <f>'Смета Внутр'!G2248</f>
        <v>18660.000000000004</v>
      </c>
      <c r="I2241" s="1042">
        <f>'Смета Внутр'!H2248</f>
        <v>0</v>
      </c>
      <c r="J2241" s="1058">
        <f>'Смета Внутр'!I2248</f>
        <v>0</v>
      </c>
    </row>
    <row r="2242" spans="2:10" ht="15" customHeight="1">
      <c r="B2242" s="1042" t="str">
        <f>'Смета Внутр'!B2249</f>
        <v>монтаж коробок распр</v>
      </c>
      <c r="C2242" s="1042" t="str">
        <f>'Смета Внутр'!C2249</f>
        <v>шт.</v>
      </c>
      <c r="D2242" s="1058">
        <f>'Смета Внутр'!D2249</f>
        <v>6</v>
      </c>
      <c r="E2242" s="1042">
        <f>'Смета Внутр'!E2249</f>
        <v>500</v>
      </c>
      <c r="F2242" s="1042">
        <f>'Смета Внутр'!F2249</f>
        <v>0</v>
      </c>
      <c r="G2242" s="1042">
        <f t="shared" si="97"/>
        <v>500</v>
      </c>
      <c r="H2242" s="1042">
        <f>'Смета Внутр'!G2249</f>
        <v>3000</v>
      </c>
      <c r="I2242" s="1042">
        <f>'Смета Внутр'!H2249</f>
        <v>0</v>
      </c>
      <c r="J2242" s="1058">
        <f>'Смета Внутр'!I2249</f>
        <v>0</v>
      </c>
    </row>
    <row r="2243" spans="2:10" ht="15" customHeight="1">
      <c r="B2243" s="1042" t="str">
        <f>'Смета Внутр'!B2250</f>
        <v>монтаж коробок роз</v>
      </c>
      <c r="C2243" s="1042" t="str">
        <f>'Смета Внутр'!C2250</f>
        <v>шт.</v>
      </c>
      <c r="D2243" s="1058">
        <f>'Смета Внутр'!D2250</f>
        <v>40</v>
      </c>
      <c r="E2243" s="1042">
        <f>'Смета Внутр'!E2250</f>
        <v>200</v>
      </c>
      <c r="F2243" s="1042">
        <f>'Смета Внутр'!F2250</f>
        <v>0</v>
      </c>
      <c r="G2243" s="1042">
        <f t="shared" si="97"/>
        <v>200</v>
      </c>
      <c r="H2243" s="1042">
        <f>'Смета Внутр'!G2250</f>
        <v>8000</v>
      </c>
      <c r="I2243" s="1042">
        <f>'Смета Внутр'!H2250</f>
        <v>0</v>
      </c>
      <c r="J2243" s="1058">
        <f>'Смета Внутр'!I2250</f>
        <v>0</v>
      </c>
    </row>
    <row r="2244" spans="2:10" ht="15" customHeight="1">
      <c r="B2244" s="1042" t="str">
        <f>'Смета Внутр'!B2251</f>
        <v>монтаж коробок выкл</v>
      </c>
      <c r="C2244" s="1042" t="str">
        <f>'Смета Внутр'!C2251</f>
        <v>шт.</v>
      </c>
      <c r="D2244" s="1058">
        <f>'Смета Внутр'!D2251</f>
        <v>20</v>
      </c>
      <c r="E2244" s="1042">
        <f>'Смета Внутр'!E2251</f>
        <v>200</v>
      </c>
      <c r="F2244" s="1042">
        <f>'Смета Внутр'!F2251</f>
        <v>0</v>
      </c>
      <c r="G2244" s="1042">
        <f t="shared" si="97"/>
        <v>200</v>
      </c>
      <c r="H2244" s="1042">
        <f>'Смета Внутр'!G2251</f>
        <v>4000</v>
      </c>
      <c r="I2244" s="1042">
        <f>'Смета Внутр'!H2251</f>
        <v>0</v>
      </c>
      <c r="J2244" s="1058">
        <f>'Смета Внутр'!I2251</f>
        <v>0</v>
      </c>
    </row>
    <row r="2245" spans="2:10" ht="15" customHeight="1">
      <c r="B2245" s="1042" t="str">
        <f>'Смета Внутр'!B2252</f>
        <v>монтаж щитка</v>
      </c>
      <c r="C2245" s="1042" t="str">
        <f>'Смета Внутр'!C2252</f>
        <v>шт.</v>
      </c>
      <c r="D2245" s="1058">
        <f>'Смета Внутр'!D2252</f>
        <v>1</v>
      </c>
      <c r="E2245" s="1042">
        <f>'Смета Внутр'!E2252</f>
        <v>6000</v>
      </c>
      <c r="F2245" s="1042">
        <f>'Смета Внутр'!F2252</f>
        <v>0</v>
      </c>
      <c r="G2245" s="1042">
        <f t="shared" si="97"/>
        <v>6000</v>
      </c>
      <c r="H2245" s="1042">
        <f>'Смета Внутр'!G2252</f>
        <v>6000</v>
      </c>
      <c r="I2245" s="1042">
        <f>'Смета Внутр'!H2252</f>
        <v>0</v>
      </c>
      <c r="J2245" s="1058">
        <f>'Смета Внутр'!I2252</f>
        <v>0</v>
      </c>
    </row>
    <row r="2246" spans="2:10" ht="15" customHeight="1">
      <c r="B2246" s="1042" t="str">
        <f>'Смета Внутр'!B2253</f>
        <v>установка розеток</v>
      </c>
      <c r="C2246" s="1042" t="str">
        <f>'Смета Внутр'!C2253</f>
        <v>шт.</v>
      </c>
      <c r="D2246" s="1058">
        <f>'Смета Внутр'!D2253</f>
        <v>40</v>
      </c>
      <c r="E2246" s="1042">
        <f>'Смета Внутр'!E2253</f>
        <v>250</v>
      </c>
      <c r="F2246" s="1042">
        <f>'Смета Внутр'!F2253</f>
        <v>0</v>
      </c>
      <c r="G2246" s="1042">
        <f t="shared" si="97"/>
        <v>250</v>
      </c>
      <c r="H2246" s="1042">
        <f>'Смета Внутр'!G2253</f>
        <v>10000</v>
      </c>
      <c r="I2246" s="1042">
        <f>'Смета Внутр'!H2253</f>
        <v>0</v>
      </c>
      <c r="J2246" s="1058">
        <f>'Смета Внутр'!I2253</f>
        <v>0</v>
      </c>
    </row>
    <row r="2247" spans="2:10" ht="15" customHeight="1">
      <c r="B2247" s="1042" t="str">
        <f>'Смета Внутр'!B2254</f>
        <v>установка выключателей</v>
      </c>
      <c r="C2247" s="1042" t="str">
        <f>'Смета Внутр'!C2254</f>
        <v>шт.</v>
      </c>
      <c r="D2247" s="1058">
        <f>'Смета Внутр'!D2254</f>
        <v>20</v>
      </c>
      <c r="E2247" s="1042">
        <f>'Смета Внутр'!E2254</f>
        <v>250</v>
      </c>
      <c r="F2247" s="1042">
        <f>'Смета Внутр'!F2254</f>
        <v>0</v>
      </c>
      <c r="G2247" s="1042">
        <f t="shared" si="97"/>
        <v>250</v>
      </c>
      <c r="H2247" s="1042">
        <f>'Смета Внутр'!G2254</f>
        <v>5000</v>
      </c>
      <c r="I2247" s="1042">
        <f>'Смета Внутр'!H2254</f>
        <v>0</v>
      </c>
      <c r="J2247" s="1058">
        <f>'Смета Внутр'!I2254</f>
        <v>0</v>
      </c>
    </row>
    <row r="2248" spans="2:10" ht="15" customHeight="1">
      <c r="B2248" s="3330" t="str">
        <f>'Смета Внутр'!B2255</f>
        <v>Итого работы</v>
      </c>
      <c r="C2248" s="3330"/>
      <c r="D2248" s="3330"/>
      <c r="E2248" s="3330"/>
      <c r="F2248" s="3330"/>
      <c r="G2248" s="3330"/>
      <c r="H2248" s="1042">
        <f>'Смета Внутр'!G2255</f>
        <v>0</v>
      </c>
      <c r="I2248" s="1042">
        <f>'Смета Внутр'!H2255</f>
        <v>0</v>
      </c>
      <c r="J2248" s="1058">
        <f>'Смета Внутр'!I2255</f>
        <v>0</v>
      </c>
    </row>
    <row r="2249" spans="2:10" ht="15" customHeight="1">
      <c r="B2249" s="3340" t="str">
        <f>'Смета Внутр'!B2256</f>
        <v>Отопление радиаторное, холодное и горячее водоснабжение</v>
      </c>
      <c r="C2249" s="3340"/>
      <c r="D2249" s="3340"/>
      <c r="H2249">
        <f>'Смета Внутр'!G2256</f>
        <v>0</v>
      </c>
      <c r="I2249">
        <f>'Смета Внутр'!H2256</f>
        <v>0</v>
      </c>
      <c r="J2249" s="3027">
        <f>'Смета Внутр'!I2256</f>
        <v>0</v>
      </c>
    </row>
    <row r="2250" spans="2:10" ht="15" customHeight="1">
      <c r="B2250" s="3002" t="str">
        <f>'Смета Внутр'!B2257</f>
        <v>Материалы</v>
      </c>
      <c r="D2250" s="1167"/>
      <c r="H2250">
        <f>'Смета Внутр'!G2257</f>
        <v>0</v>
      </c>
      <c r="I2250">
        <f>'Смета Внутр'!H2257</f>
        <v>0</v>
      </c>
      <c r="J2250" s="3027">
        <f>'Смета Внутр'!I2257</f>
        <v>0</v>
      </c>
    </row>
    <row r="2251" spans="2:10" ht="15" customHeight="1">
      <c r="B2251" s="1042" t="str">
        <f>'Смета Внутр'!B2258</f>
        <v>труба диам 25/32 отопление</v>
      </c>
      <c r="C2251" s="1042" t="str">
        <f>'Смета Внутр'!C2258</f>
        <v>м.п.</v>
      </c>
      <c r="D2251" s="1058">
        <f>'Смета Внутр'!D2258</f>
        <v>150.80000000000001</v>
      </c>
      <c r="E2251" s="1042">
        <f>'Смета Внутр'!E2258</f>
        <v>40</v>
      </c>
      <c r="F2251" s="1042">
        <f>'Смета Внутр'!F2258</f>
        <v>0</v>
      </c>
      <c r="G2251" s="1042">
        <f t="shared" ref="G2251:G2261" si="98">IF(E2251&gt;F2251,E2251,F2251)</f>
        <v>40</v>
      </c>
      <c r="H2251" s="1042">
        <f>'Смета Внутр'!G2258</f>
        <v>6032</v>
      </c>
      <c r="I2251" s="1042">
        <f>'Смета Внутр'!H2258</f>
        <v>0</v>
      </c>
      <c r="J2251" s="1058">
        <f>'Смета Внутр'!I2258</f>
        <v>0</v>
      </c>
    </row>
    <row r="2252" spans="2:10" ht="15" customHeight="1">
      <c r="B2252" s="1042" t="str">
        <f>'Смета Внутр'!B2259</f>
        <v>соеденители для трубы</v>
      </c>
      <c r="C2252" s="1042" t="str">
        <f>'Смета Внутр'!C2259</f>
        <v>шт</v>
      </c>
      <c r="D2252" s="1058">
        <f>'Смета Внутр'!D2259</f>
        <v>50.266666666666673</v>
      </c>
      <c r="E2252" s="1042">
        <f>'Смета Внутр'!E2259</f>
        <v>10</v>
      </c>
      <c r="F2252" s="1042">
        <f>'Смета Внутр'!F2259</f>
        <v>0</v>
      </c>
      <c r="G2252" s="1042">
        <f t="shared" si="98"/>
        <v>10</v>
      </c>
      <c r="H2252" s="1042">
        <f>'Смета Внутр'!G2259</f>
        <v>502.66666666666674</v>
      </c>
      <c r="I2252" s="1042">
        <f>'Смета Внутр'!H2259</f>
        <v>0</v>
      </c>
      <c r="J2252" s="1058">
        <f>'Смета Внутр'!I2259</f>
        <v>0</v>
      </c>
    </row>
    <row r="2253" spans="2:10" ht="15" customHeight="1">
      <c r="B2253" s="1042" t="str">
        <f>'Смета Внутр'!B2260</f>
        <v>уголок 90 град</v>
      </c>
      <c r="C2253" s="1042" t="str">
        <f>'Смета Внутр'!C2260</f>
        <v>шт</v>
      </c>
      <c r="D2253" s="1058">
        <f>'Смета Внутр'!D2260</f>
        <v>60.320000000000007</v>
      </c>
      <c r="E2253" s="1042">
        <f>'Смета Внутр'!E2260</f>
        <v>10</v>
      </c>
      <c r="F2253" s="1042">
        <f>'Смета Внутр'!F2260</f>
        <v>0</v>
      </c>
      <c r="G2253" s="1042">
        <f t="shared" si="98"/>
        <v>10</v>
      </c>
      <c r="H2253" s="1042">
        <f>'Смета Внутр'!G2260</f>
        <v>603.20000000000005</v>
      </c>
      <c r="I2253" s="1042">
        <f>'Смета Внутр'!H2260</f>
        <v>0</v>
      </c>
      <c r="J2253" s="1058">
        <f>'Смета Внутр'!I2260</f>
        <v>0</v>
      </c>
    </row>
    <row r="2254" spans="2:10" ht="15" customHeight="1">
      <c r="B2254" s="1042" t="str">
        <f>'Смета Внутр'!B2261</f>
        <v>радиаторы, 1 секция</v>
      </c>
      <c r="C2254" s="1042" t="str">
        <f>'Смета Внутр'!C2261</f>
        <v>шт</v>
      </c>
      <c r="D2254" s="1058">
        <f>'Смета Внутр'!D2261</f>
        <v>50</v>
      </c>
      <c r="E2254" s="1042">
        <f>'Смета Внутр'!E2261</f>
        <v>300</v>
      </c>
      <c r="F2254" s="1042">
        <f>'Смета Внутр'!F2261</f>
        <v>0</v>
      </c>
      <c r="G2254" s="1042">
        <f t="shared" si="98"/>
        <v>300</v>
      </c>
      <c r="H2254" s="1042">
        <f>'Смета Внутр'!G2261</f>
        <v>15000</v>
      </c>
      <c r="I2254" s="1042">
        <f>'Смета Внутр'!H2261</f>
        <v>0</v>
      </c>
      <c r="J2254" s="1058">
        <f>'Смета Внутр'!I2261</f>
        <v>0</v>
      </c>
    </row>
    <row r="2255" spans="2:10" ht="15" customHeight="1">
      <c r="B2255" s="1042" t="str">
        <f>'Смета Внутр'!B2262</f>
        <v>комплектующие для радиаторов</v>
      </c>
      <c r="C2255" s="1042" t="str">
        <f>'Смета Внутр'!C2262</f>
        <v>шт</v>
      </c>
      <c r="D2255" s="1058">
        <f>'Смета Внутр'!D2262</f>
        <v>50</v>
      </c>
      <c r="E2255" s="1042">
        <f>'Смета Внутр'!E2262</f>
        <v>250</v>
      </c>
      <c r="F2255" s="1042">
        <f>'Смета Внутр'!F2262</f>
        <v>0</v>
      </c>
      <c r="G2255" s="1042">
        <f t="shared" si="98"/>
        <v>250</v>
      </c>
      <c r="H2255" s="1042">
        <f>'Смета Внутр'!G2262</f>
        <v>12500</v>
      </c>
      <c r="I2255" s="1042">
        <f>'Смета Внутр'!H2262</f>
        <v>0</v>
      </c>
      <c r="J2255" s="1058">
        <f>'Смета Внутр'!I2262</f>
        <v>0</v>
      </c>
    </row>
    <row r="2256" spans="2:10" ht="15" customHeight="1">
      <c r="B2256" s="1042" t="str">
        <f>'Смета Внутр'!B2263</f>
        <v>кран американка ду 25/32 для радиаторов</v>
      </c>
      <c r="C2256" s="1042" t="str">
        <f>'Смета Внутр'!C2263</f>
        <v>шт</v>
      </c>
      <c r="D2256" s="1058">
        <f>'Смета Внутр'!D2263</f>
        <v>100</v>
      </c>
      <c r="E2256" s="1042">
        <f>'Смета Внутр'!E2263</f>
        <v>300</v>
      </c>
      <c r="F2256" s="1042">
        <f>'Смета Внутр'!F2263</f>
        <v>0</v>
      </c>
      <c r="G2256" s="1042">
        <f t="shared" si="98"/>
        <v>300</v>
      </c>
      <c r="H2256" s="1042">
        <f>'Смета Внутр'!G2263</f>
        <v>30000</v>
      </c>
      <c r="I2256" s="1042">
        <f>'Смета Внутр'!H2263</f>
        <v>0</v>
      </c>
      <c r="J2256" s="1058">
        <f>'Смета Внутр'!I2263</f>
        <v>0</v>
      </c>
    </row>
    <row r="2257" spans="2:10" ht="15" customHeight="1">
      <c r="B2257" s="1042" t="str">
        <f>'Смета Внутр'!B2264</f>
        <v>кран гайка/резьба ду 25/32</v>
      </c>
      <c r="C2257" s="1042" t="str">
        <f>'Смета Внутр'!C2264</f>
        <v>шт</v>
      </c>
      <c r="D2257" s="1058">
        <f>'Смета Внутр'!D2264</f>
        <v>100</v>
      </c>
      <c r="E2257" s="1042">
        <f>'Смета Внутр'!E2264</f>
        <v>200</v>
      </c>
      <c r="F2257" s="1042">
        <f>'Смета Внутр'!F2264</f>
        <v>0</v>
      </c>
      <c r="G2257" s="1042">
        <f t="shared" si="98"/>
        <v>200</v>
      </c>
      <c r="H2257" s="1042">
        <f>'Смета Внутр'!G2264</f>
        <v>20000</v>
      </c>
      <c r="I2257" s="1042">
        <f>'Смета Внутр'!H2264</f>
        <v>0</v>
      </c>
      <c r="J2257" s="1058">
        <f>'Смета Внутр'!I2264</f>
        <v>0</v>
      </c>
    </row>
    <row r="2258" spans="2:10" ht="15" customHeight="1">
      <c r="B2258" s="1042" t="str">
        <f>'Смета Внутр'!B2265</f>
        <v>труба диам 20 вода</v>
      </c>
      <c r="C2258" s="1042" t="str">
        <f>'Смета Внутр'!C2265</f>
        <v>м.п.</v>
      </c>
      <c r="D2258" s="1058">
        <f>'Смета Внутр'!D2265</f>
        <v>30</v>
      </c>
      <c r="E2258" s="1042">
        <f>'Смета Внутр'!E2265</f>
        <v>36</v>
      </c>
      <c r="F2258" s="1042">
        <f>'Смета Внутр'!F2265</f>
        <v>0</v>
      </c>
      <c r="G2258" s="1042">
        <f t="shared" si="98"/>
        <v>36</v>
      </c>
      <c r="H2258" s="1042">
        <f>'Смета Внутр'!G2265</f>
        <v>1080</v>
      </c>
      <c r="I2258" s="1042">
        <f>'Смета Внутр'!H2265</f>
        <v>0</v>
      </c>
      <c r="J2258" s="1058">
        <f>'Смета Внутр'!I2265</f>
        <v>0</v>
      </c>
    </row>
    <row r="2259" spans="2:10" ht="15" customHeight="1">
      <c r="B2259" s="1042" t="str">
        <f>'Смета Внутр'!B2266</f>
        <v>комплектующие для хол и гор водоснаб</v>
      </c>
      <c r="C2259" s="1042" t="str">
        <f>'Смета Внутр'!C2266</f>
        <v>шт</v>
      </c>
      <c r="D2259" s="1058">
        <f>'Смета Внутр'!D2266</f>
        <v>1</v>
      </c>
      <c r="E2259" s="1042">
        <f>'Смета Внутр'!E2266</f>
        <v>100</v>
      </c>
      <c r="F2259" s="1042">
        <f>'Смета Внутр'!F2266</f>
        <v>0</v>
      </c>
      <c r="G2259" s="1042">
        <f t="shared" si="98"/>
        <v>100</v>
      </c>
      <c r="H2259" s="1042">
        <f>'Смета Внутр'!G2266</f>
        <v>100</v>
      </c>
      <c r="I2259" s="1042">
        <f>'Смета Внутр'!H2266</f>
        <v>0</v>
      </c>
      <c r="J2259" s="1058">
        <f>'Смета Внутр'!I2266</f>
        <v>0</v>
      </c>
    </row>
    <row r="2260" spans="2:10" ht="15" customHeight="1">
      <c r="B2260" s="1042" t="str">
        <f>'Смета Внутр'!B2267</f>
        <v>соеденители для трубы</v>
      </c>
      <c r="C2260" s="1042" t="str">
        <f>'Смета Внутр'!C2267</f>
        <v>шт</v>
      </c>
      <c r="D2260" s="1058">
        <f>'Смета Внутр'!D2267</f>
        <v>10</v>
      </c>
      <c r="E2260" s="1042">
        <f>'Смета Внутр'!E2267</f>
        <v>10</v>
      </c>
      <c r="F2260" s="1042">
        <f>'Смета Внутр'!F2267</f>
        <v>0</v>
      </c>
      <c r="G2260" s="1042">
        <f t="shared" si="98"/>
        <v>10</v>
      </c>
      <c r="H2260" s="1042">
        <f>'Смета Внутр'!G2267</f>
        <v>100</v>
      </c>
      <c r="I2260" s="1042">
        <f>'Смета Внутр'!H2267</f>
        <v>0</v>
      </c>
      <c r="J2260" s="1058">
        <f>'Смета Внутр'!I2267</f>
        <v>0</v>
      </c>
    </row>
    <row r="2261" spans="2:10" ht="15" customHeight="1">
      <c r="B2261" s="1042" t="str">
        <f>'Смета Внутр'!B2268</f>
        <v>уголок 90 град</v>
      </c>
      <c r="C2261" s="1042" t="str">
        <f>'Смета Внутр'!C2268</f>
        <v>шт</v>
      </c>
      <c r="D2261" s="1058">
        <f>'Смета Внутр'!D2268</f>
        <v>15</v>
      </c>
      <c r="E2261" s="1042">
        <f>'Смета Внутр'!E2268</f>
        <v>10</v>
      </c>
      <c r="F2261" s="1042">
        <f>'Смета Внутр'!F2268</f>
        <v>0</v>
      </c>
      <c r="G2261" s="1042">
        <f t="shared" si="98"/>
        <v>10</v>
      </c>
      <c r="H2261" s="1042">
        <f>'Смета Внутр'!G2268</f>
        <v>150</v>
      </c>
      <c r="I2261" s="1042">
        <f>'Смета Внутр'!H2268</f>
        <v>0</v>
      </c>
      <c r="J2261" s="1058">
        <f>'Смета Внутр'!I2268</f>
        <v>0</v>
      </c>
    </row>
    <row r="2262" spans="2:10">
      <c r="B2262" s="3330" t="str">
        <f>'Смета Внутр'!B2269</f>
        <v>Итого материалы</v>
      </c>
      <c r="C2262" s="3330"/>
      <c r="D2262" s="3330"/>
      <c r="E2262" s="3330"/>
      <c r="F2262" s="3330"/>
      <c r="G2262" s="3330"/>
      <c r="H2262" s="1042">
        <f>'Смета Внутр'!G2269</f>
        <v>0</v>
      </c>
      <c r="I2262" s="1042">
        <f>'Смета Внутр'!H2269</f>
        <v>0</v>
      </c>
      <c r="J2262" s="1058">
        <f>'Смета Внутр'!I2269</f>
        <v>0</v>
      </c>
    </row>
    <row r="2263" spans="2:10" ht="15" customHeight="1">
      <c r="B2263" s="3002" t="str">
        <f>'Смета Внутр'!B2270</f>
        <v>Работы</v>
      </c>
      <c r="D2263" s="1167"/>
      <c r="H2263">
        <f>'Смета Внутр'!G2270</f>
        <v>0</v>
      </c>
      <c r="I2263">
        <f>'Смета Внутр'!H2270</f>
        <v>0</v>
      </c>
      <c r="J2263" s="3027">
        <f>'Смета Внутр'!I2270</f>
        <v>0</v>
      </c>
    </row>
    <row r="2264" spans="2:10" ht="15" customHeight="1">
      <c r="B2264" s="1042" t="str">
        <f>'Смета Внутр'!B2271</f>
        <v>монтаж трубы</v>
      </c>
      <c r="C2264" s="1042" t="str">
        <f>'Смета Внутр'!C2271</f>
        <v>м.п.</v>
      </c>
      <c r="D2264" s="1058">
        <f>'Смета Внутр'!D2271</f>
        <v>180.8</v>
      </c>
      <c r="E2264" s="1042">
        <f>'Смета Внутр'!E2271</f>
        <v>200</v>
      </c>
      <c r="F2264" s="1042">
        <f>'Смета Внутр'!F2271</f>
        <v>0</v>
      </c>
      <c r="G2264" s="1042">
        <f>IF(E2264&gt;F2264,E2264,F2264)</f>
        <v>200</v>
      </c>
      <c r="H2264" s="1042">
        <f>'Смета Внутр'!G2271</f>
        <v>36160</v>
      </c>
      <c r="I2264" s="1042">
        <f>'Смета Внутр'!H2271</f>
        <v>0</v>
      </c>
      <c r="J2264" s="1058">
        <f>'Смета Внутр'!I2271</f>
        <v>0</v>
      </c>
    </row>
    <row r="2265" spans="2:10" ht="15" customHeight="1">
      <c r="B2265" s="1042" t="str">
        <f>'Смета Внутр'!B2272</f>
        <v>установка радиаторов</v>
      </c>
      <c r="C2265" s="1042" t="str">
        <f>'Смета Внутр'!C2272</f>
        <v>шт</v>
      </c>
      <c r="D2265" s="1058">
        <f>'Смета Внутр'!D2272</f>
        <v>5</v>
      </c>
      <c r="E2265" s="1042">
        <f>'Смета Внутр'!E2272</f>
        <v>1000</v>
      </c>
      <c r="F2265" s="1042">
        <f>'Смета Внутр'!F2272</f>
        <v>0</v>
      </c>
      <c r="G2265" s="1042">
        <f>IF(E2265&gt;F2265,E2265,F2265)</f>
        <v>1000</v>
      </c>
      <c r="H2265" s="1042">
        <f>'Смета Внутр'!G2272</f>
        <v>5000</v>
      </c>
      <c r="I2265" s="1042">
        <f>'Смета Внутр'!H2272</f>
        <v>0</v>
      </c>
      <c r="J2265" s="1058">
        <f>'Смета Внутр'!I2272</f>
        <v>0</v>
      </c>
    </row>
    <row r="2266" spans="2:10" ht="15" customHeight="1">
      <c r="B2266" s="1042" t="str">
        <f>'Смета Внутр'!B2273</f>
        <v>монтаж трубы</v>
      </c>
      <c r="C2266" s="1042" t="str">
        <f>'Смета Внутр'!C2273</f>
        <v>м.п.</v>
      </c>
      <c r="D2266" s="1058">
        <f>'Смета Внутр'!D2273</f>
        <v>30</v>
      </c>
      <c r="E2266" s="1042">
        <f>'Смета Внутр'!E2273</f>
        <v>200</v>
      </c>
      <c r="F2266" s="1042">
        <f>'Смета Внутр'!F2273</f>
        <v>0</v>
      </c>
      <c r="G2266" s="1042">
        <f>IF(E2266&gt;F2266,E2266,F2266)</f>
        <v>200</v>
      </c>
      <c r="H2266" s="1042">
        <f>'Смета Внутр'!G2273</f>
        <v>6000</v>
      </c>
      <c r="I2266" s="1042">
        <f>'Смета Внутр'!H2273</f>
        <v>0</v>
      </c>
      <c r="J2266" s="1058">
        <f>'Смета Внутр'!I2273</f>
        <v>0</v>
      </c>
    </row>
    <row r="2267" spans="2:10" ht="15" customHeight="1">
      <c r="B2267" s="3330" t="str">
        <f>'Смета Внутр'!B2274</f>
        <v>Итого работы</v>
      </c>
      <c r="C2267" s="3330"/>
      <c r="D2267" s="3330"/>
      <c r="E2267" s="3330"/>
      <c r="F2267" s="3330"/>
      <c r="G2267" s="3330"/>
      <c r="H2267" s="1042">
        <f>'Смета Внутр'!G2274</f>
        <v>0</v>
      </c>
      <c r="I2267" s="1042">
        <f>'Смета Внутр'!H2274</f>
        <v>0</v>
      </c>
      <c r="J2267" s="1058">
        <f>'Смета Внутр'!I2274</f>
        <v>0</v>
      </c>
    </row>
    <row r="2268" spans="2:10" ht="15" customHeight="1">
      <c r="B2268" s="3329" t="str">
        <f>'Смета Внутр'!B2275</f>
        <v>Скважина</v>
      </c>
      <c r="C2268" s="3329"/>
      <c r="D2268" s="3329"/>
      <c r="H2268">
        <f>'Смета Внутр'!G2275</f>
        <v>0</v>
      </c>
      <c r="I2268">
        <f>'Смета Внутр'!H2275</f>
        <v>0</v>
      </c>
      <c r="J2268" s="3027">
        <f>'Смета Внутр'!I2275</f>
        <v>0</v>
      </c>
    </row>
    <row r="2269" spans="2:10" ht="15" customHeight="1">
      <c r="B2269" s="3002" t="str">
        <f>'Смета Внутр'!B2276</f>
        <v>Материалы</v>
      </c>
      <c r="D2269" s="1167"/>
      <c r="H2269">
        <f>'Смета Внутр'!G2276</f>
        <v>0</v>
      </c>
      <c r="I2269">
        <f>'Смета Внутр'!H2276</f>
        <v>0</v>
      </c>
      <c r="J2269" s="3027">
        <f>'Смета Внутр'!I2276</f>
        <v>0</v>
      </c>
    </row>
    <row r="2270" spans="2:10" ht="15" customHeight="1">
      <c r="B2270" s="1042" t="str">
        <f>'Смета Внутр'!B2277</f>
        <v>насос малыш</v>
      </c>
      <c r="C2270" s="1042" t="str">
        <f>'Смета Внутр'!C2277</f>
        <v>шт</v>
      </c>
      <c r="D2270" s="1058">
        <f>'Смета Внутр'!D2277</f>
        <v>1</v>
      </c>
      <c r="E2270" s="1042">
        <f>'Смета Внутр'!E2277</f>
        <v>2500</v>
      </c>
      <c r="F2270" s="1042">
        <f>'Смета Внутр'!F2277</f>
        <v>0</v>
      </c>
      <c r="G2270" s="1042">
        <f t="shared" ref="G2270:G2278" si="99">IF(E2270&gt;F2270,E2270,F2270)</f>
        <v>2500</v>
      </c>
      <c r="H2270" s="1042">
        <f>'Смета Внутр'!G2277</f>
        <v>2500</v>
      </c>
      <c r="I2270" s="1042">
        <f>'Смета Внутр'!H2277</f>
        <v>0</v>
      </c>
      <c r="J2270" s="1058">
        <f>'Смета Внутр'!I2277</f>
        <v>0</v>
      </c>
    </row>
    <row r="2271" spans="2:10" ht="15" customHeight="1">
      <c r="B2271" s="1042" t="str">
        <f>'Смета Внутр'!B2278</f>
        <v>шланг для насоса</v>
      </c>
      <c r="C2271" s="1042" t="str">
        <f>'Смета Внутр'!C2278</f>
        <v>м.п.</v>
      </c>
      <c r="D2271" s="1058">
        <f>'Смета Внутр'!D2278</f>
        <v>72</v>
      </c>
      <c r="E2271" s="1042">
        <f>'Смета Внутр'!E2278</f>
        <v>19</v>
      </c>
      <c r="F2271" s="1042">
        <f>'Смета Внутр'!F2278</f>
        <v>0</v>
      </c>
      <c r="G2271" s="1042">
        <f t="shared" si="99"/>
        <v>19</v>
      </c>
      <c r="H2271" s="1042">
        <f>'Смета Внутр'!G2278</f>
        <v>1368</v>
      </c>
      <c r="I2271" s="1042">
        <f>'Смета Внутр'!H2278</f>
        <v>0</v>
      </c>
      <c r="J2271" s="1058">
        <f>'Смета Внутр'!I2278</f>
        <v>0</v>
      </c>
    </row>
    <row r="2272" spans="2:10" ht="15" customHeight="1">
      <c r="B2272" s="1042" t="str">
        <f>'Смета Внутр'!B2279</f>
        <v>тросик для насоса</v>
      </c>
      <c r="C2272" s="1042" t="str">
        <f>'Смета Внутр'!C2279</f>
        <v>м.п.</v>
      </c>
      <c r="D2272" s="1058">
        <f>'Смета Внутр'!D2279</f>
        <v>72</v>
      </c>
      <c r="E2272" s="1042">
        <f>'Смета Внутр'!E2279</f>
        <v>5</v>
      </c>
      <c r="F2272" s="1042">
        <f>'Смета Внутр'!F2279</f>
        <v>0</v>
      </c>
      <c r="G2272" s="1042">
        <f t="shared" si="99"/>
        <v>5</v>
      </c>
      <c r="H2272" s="1042">
        <f>'Смета Внутр'!G2279</f>
        <v>360</v>
      </c>
      <c r="I2272" s="1042">
        <f>'Смета Внутр'!H2279</f>
        <v>0</v>
      </c>
      <c r="J2272" s="1058">
        <f>'Смета Внутр'!I2279</f>
        <v>0</v>
      </c>
    </row>
    <row r="2273" spans="2:10" ht="15" customHeight="1">
      <c r="B2273" s="1042" t="str">
        <f>'Смета Внутр'!B2280</f>
        <v>изолента</v>
      </c>
      <c r="C2273" s="1042" t="str">
        <f>'Смета Внутр'!C2280</f>
        <v>рул</v>
      </c>
      <c r="D2273" s="1058">
        <f>'Смета Внутр'!D2280</f>
        <v>1</v>
      </c>
      <c r="E2273" s="1042">
        <f>'Смета Внутр'!E2280</f>
        <v>100</v>
      </c>
      <c r="F2273" s="1042">
        <f>'Смета Внутр'!F2280</f>
        <v>0</v>
      </c>
      <c r="G2273" s="1042">
        <f t="shared" si="99"/>
        <v>100</v>
      </c>
      <c r="H2273" s="1042">
        <f>'Смета Внутр'!G2280</f>
        <v>100</v>
      </c>
      <c r="I2273" s="1042">
        <f>'Смета Внутр'!H2280</f>
        <v>0</v>
      </c>
      <c r="J2273" s="1058">
        <f>'Смета Внутр'!I2280</f>
        <v>0</v>
      </c>
    </row>
    <row r="2274" spans="2:10" ht="15" customHeight="1">
      <c r="B2274" s="1042" t="str">
        <f>'Смета Внутр'!B2281</f>
        <v>гидроаккумулятор, 80л</v>
      </c>
      <c r="C2274" s="1042" t="str">
        <f>'Смета Внутр'!C2281</f>
        <v>шт</v>
      </c>
      <c r="D2274" s="1058">
        <f>'Смета Внутр'!D2281</f>
        <v>1</v>
      </c>
      <c r="E2274" s="1042">
        <f>'Смета Внутр'!E2281</f>
        <v>8000</v>
      </c>
      <c r="F2274" s="1042">
        <f>'Смета Внутр'!F2281</f>
        <v>0</v>
      </c>
      <c r="G2274" s="1042">
        <f t="shared" si="99"/>
        <v>8000</v>
      </c>
      <c r="H2274" s="1042">
        <f>'Смета Внутр'!G2281</f>
        <v>8000</v>
      </c>
      <c r="I2274" s="1042">
        <f>'Смета Внутр'!H2281</f>
        <v>0</v>
      </c>
      <c r="J2274" s="1058">
        <f>'Смета Внутр'!I2281</f>
        <v>0</v>
      </c>
    </row>
    <row r="2275" spans="2:10" ht="15" customHeight="1">
      <c r="B2275" s="1042" t="str">
        <f>'Смета Внутр'!B2282</f>
        <v>автоматика</v>
      </c>
      <c r="C2275" s="1042" t="str">
        <f>'Смета Внутр'!C2282</f>
        <v>шт</v>
      </c>
      <c r="D2275" s="1058">
        <f>'Смета Внутр'!D2282</f>
        <v>1</v>
      </c>
      <c r="E2275" s="1042">
        <f>'Смета Внутр'!E2282</f>
        <v>10000</v>
      </c>
      <c r="F2275" s="1042">
        <f>'Смета Внутр'!F2282</f>
        <v>0</v>
      </c>
      <c r="G2275" s="1042">
        <f t="shared" si="99"/>
        <v>10000</v>
      </c>
      <c r="H2275" s="1042">
        <f>'Смета Внутр'!G2282</f>
        <v>10000</v>
      </c>
      <c r="I2275" s="1042">
        <f>'Смета Внутр'!H2282</f>
        <v>0</v>
      </c>
      <c r="J2275" s="1058">
        <f>'Смета Внутр'!I2282</f>
        <v>0</v>
      </c>
    </row>
    <row r="2276" spans="2:10" ht="15" customHeight="1">
      <c r="B2276" s="1042" t="str">
        <f>'Смета Внутр'!B2283</f>
        <v>пнд труба</v>
      </c>
      <c r="C2276" s="1042" t="str">
        <f>'Смета Внутр'!C2283</f>
        <v>м.п.</v>
      </c>
      <c r="D2276" s="1058">
        <f>'Смета Внутр'!D2283</f>
        <v>72</v>
      </c>
      <c r="E2276" s="1042">
        <f>'Смета Внутр'!E2283</f>
        <v>35</v>
      </c>
      <c r="F2276" s="1042">
        <f>'Смета Внутр'!F2283</f>
        <v>0</v>
      </c>
      <c r="G2276" s="1042">
        <f t="shared" si="99"/>
        <v>35</v>
      </c>
      <c r="H2276" s="1042">
        <f>'Смета Внутр'!G2283</f>
        <v>2520</v>
      </c>
      <c r="I2276" s="1042">
        <f>'Смета Внутр'!H2283</f>
        <v>0</v>
      </c>
      <c r="J2276" s="1058">
        <f>'Смета Внутр'!I2283</f>
        <v>0</v>
      </c>
    </row>
    <row r="2277" spans="2:10" ht="15" customHeight="1">
      <c r="B2277" s="1042" t="str">
        <f>'Смета Внутр'!B2284</f>
        <v>скорлупа утепления двойная</v>
      </c>
      <c r="C2277" s="1042" t="str">
        <f>'Смета Внутр'!C2284</f>
        <v>м.п.</v>
      </c>
      <c r="D2277" s="1058">
        <f>'Смета Внутр'!D2284</f>
        <v>10</v>
      </c>
      <c r="E2277" s="1042">
        <f>'Смета Внутр'!E2284</f>
        <v>500</v>
      </c>
      <c r="F2277" s="1042">
        <f>'Смета Внутр'!F2284</f>
        <v>0</v>
      </c>
      <c r="G2277" s="1042">
        <f t="shared" si="99"/>
        <v>500</v>
      </c>
      <c r="H2277" s="1042">
        <f>'Смета Внутр'!G2284</f>
        <v>5000</v>
      </c>
      <c r="I2277" s="1042">
        <f>'Смета Внутр'!H2284</f>
        <v>0</v>
      </c>
      <c r="J2277" s="1058">
        <f>'Смета Внутр'!I2284</f>
        <v>0</v>
      </c>
    </row>
    <row r="2278" spans="2:10" ht="15" customHeight="1">
      <c r="B2278" s="1042" t="str">
        <f>'Смета Внутр'!B2285</f>
        <v>скважинный адаптер</v>
      </c>
      <c r="C2278" s="1042" t="str">
        <f>'Смета Внутр'!C2285</f>
        <v>шт</v>
      </c>
      <c r="D2278" s="1058">
        <f>'Смета Внутр'!D2285</f>
        <v>1</v>
      </c>
      <c r="E2278" s="1042">
        <f>'Смета Внутр'!E2285</f>
        <v>3000</v>
      </c>
      <c r="F2278" s="1042">
        <f>'Смета Внутр'!F2285</f>
        <v>0</v>
      </c>
      <c r="G2278" s="1042">
        <f t="shared" si="99"/>
        <v>3000</v>
      </c>
      <c r="H2278" s="1042">
        <f>'Смета Внутр'!G2285</f>
        <v>3000</v>
      </c>
      <c r="I2278" s="1042">
        <f>'Смета Внутр'!H2285</f>
        <v>0</v>
      </c>
      <c r="J2278" s="1058">
        <f>'Смета Внутр'!I2285</f>
        <v>0</v>
      </c>
    </row>
    <row r="2279" spans="2:10">
      <c r="B2279" s="3330" t="str">
        <f>'Смета Внутр'!B2286</f>
        <v>Итого материалы</v>
      </c>
      <c r="C2279" s="3330"/>
      <c r="D2279" s="3330"/>
      <c r="E2279" s="3330"/>
      <c r="F2279" s="3330"/>
      <c r="G2279" s="3330"/>
      <c r="H2279" s="1042">
        <f>'Смета Внутр'!G2286</f>
        <v>0</v>
      </c>
      <c r="I2279" s="1042">
        <f>'Смета Внутр'!H2286</f>
        <v>0</v>
      </c>
      <c r="J2279" s="1058">
        <f>'Смета Внутр'!I2286</f>
        <v>0</v>
      </c>
    </row>
    <row r="2280" spans="2:10" ht="15" customHeight="1">
      <c r="B2280" s="3002" t="str">
        <f>'Смета Внутр'!B2287</f>
        <v>Работы</v>
      </c>
      <c r="D2280" s="1167"/>
      <c r="H2280">
        <f>'Смета Внутр'!G2287</f>
        <v>0</v>
      </c>
      <c r="I2280">
        <f>'Смета Внутр'!H2287</f>
        <v>0</v>
      </c>
      <c r="J2280" s="3027">
        <f>'Смета Внутр'!I2287</f>
        <v>0</v>
      </c>
    </row>
    <row r="2281" spans="2:10" ht="15" customHeight="1">
      <c r="B2281" s="1042" t="str">
        <f>'Смета Внутр'!B2288</f>
        <v xml:space="preserve">контроль за земляными </v>
      </c>
      <c r="C2281" s="1042" t="str">
        <f>'Смета Внутр'!C2288</f>
        <v>шт</v>
      </c>
      <c r="D2281" s="1058">
        <f>'Смета Внутр'!D2288</f>
        <v>1</v>
      </c>
      <c r="E2281" s="1042">
        <f>'Смета Внутр'!E2288</f>
        <v>1500</v>
      </c>
      <c r="F2281" s="1042">
        <f>'Смета Внутр'!F2288</f>
        <v>0</v>
      </c>
      <c r="G2281" s="1042">
        <f t="shared" ref="G2281:G2286" si="100">IF(E2281&gt;F2281,E2281,F2281)</f>
        <v>1500</v>
      </c>
      <c r="H2281" s="1042">
        <f>'Смета Внутр'!G2288</f>
        <v>1500</v>
      </c>
      <c r="I2281" s="1042">
        <f>'Смета Внутр'!H2288</f>
        <v>0</v>
      </c>
      <c r="J2281" s="1058">
        <f>'Смета Внутр'!I2288</f>
        <v>0</v>
      </c>
    </row>
    <row r="2282" spans="2:10" ht="15" customHeight="1">
      <c r="B2282" s="1042" t="str">
        <f>'Смета Внутр'!B2289</f>
        <v>контроль за бурением</v>
      </c>
      <c r="C2282" s="1042" t="str">
        <f>'Смета Внутр'!C2289</f>
        <v>шт</v>
      </c>
      <c r="D2282" s="1058">
        <f>'Смета Внутр'!D2289</f>
        <v>1</v>
      </c>
      <c r="E2282" s="1042">
        <f>'Смета Внутр'!E2289</f>
        <v>1500</v>
      </c>
      <c r="F2282" s="1042">
        <f>'Смета Внутр'!F2289</f>
        <v>0</v>
      </c>
      <c r="G2282" s="1042">
        <f t="shared" si="100"/>
        <v>1500</v>
      </c>
      <c r="H2282" s="1042">
        <f>'Смета Внутр'!G2289</f>
        <v>1500</v>
      </c>
      <c r="I2282" s="1042">
        <f>'Смета Внутр'!H2289</f>
        <v>0</v>
      </c>
      <c r="J2282" s="1058">
        <f>'Смета Внутр'!I2289</f>
        <v>0</v>
      </c>
    </row>
    <row r="2283" spans="2:10" ht="15" customHeight="1">
      <c r="B2283" s="1042" t="str">
        <f>'Смета Внутр'!B2290</f>
        <v>установка скваж адап</v>
      </c>
      <c r="C2283" s="1042" t="str">
        <f>'Смета Внутр'!C2290</f>
        <v>шт</v>
      </c>
      <c r="D2283" s="1058">
        <f>'Смета Внутр'!D2290</f>
        <v>1</v>
      </c>
      <c r="E2283" s="1042">
        <f>'Смета Внутр'!E2290</f>
        <v>3000</v>
      </c>
      <c r="F2283" s="1042">
        <f>'Смета Внутр'!F2290</f>
        <v>0</v>
      </c>
      <c r="G2283" s="1042">
        <f t="shared" si="100"/>
        <v>3000</v>
      </c>
      <c r="H2283" s="1042">
        <f>'Смета Внутр'!G2290</f>
        <v>3000</v>
      </c>
      <c r="I2283" s="1042">
        <f>'Смета Внутр'!H2290</f>
        <v>0</v>
      </c>
      <c r="J2283" s="1058">
        <f>'Смета Внутр'!I2290</f>
        <v>0</v>
      </c>
    </row>
    <row r="2284" spans="2:10" ht="15" customHeight="1">
      <c r="B2284" s="1042" t="str">
        <f>'Смета Внутр'!B2291</f>
        <v>установка гидроаккум</v>
      </c>
      <c r="C2284" s="1042" t="str">
        <f>'Смета Внутр'!C2291</f>
        <v>шт</v>
      </c>
      <c r="D2284" s="1058">
        <f>'Смета Внутр'!D2291</f>
        <v>1</v>
      </c>
      <c r="E2284" s="1042">
        <f>'Смета Внутр'!E2291</f>
        <v>2500</v>
      </c>
      <c r="F2284" s="1042">
        <f>'Смета Внутр'!F2291</f>
        <v>0</v>
      </c>
      <c r="G2284" s="1042">
        <f t="shared" si="100"/>
        <v>2500</v>
      </c>
      <c r="H2284" s="1042">
        <f>'Смета Внутр'!G2291</f>
        <v>2500</v>
      </c>
      <c r="I2284" s="1042">
        <f>'Смета Внутр'!H2291</f>
        <v>0</v>
      </c>
      <c r="J2284" s="1058">
        <f>'Смета Внутр'!I2291</f>
        <v>0</v>
      </c>
    </row>
    <row r="2285" spans="2:10" ht="15" customHeight="1">
      <c r="B2285" s="1042" t="str">
        <f>'Смета Внутр'!B2292</f>
        <v>монтаж автоматики</v>
      </c>
      <c r="C2285" s="1042" t="str">
        <f>'Смета Внутр'!C2292</f>
        <v>шт</v>
      </c>
      <c r="D2285" s="1058">
        <f>'Смета Внутр'!D2292</f>
        <v>1</v>
      </c>
      <c r="E2285" s="1042">
        <f>'Смета Внутр'!E2292</f>
        <v>4000</v>
      </c>
      <c r="F2285" s="1042">
        <f>'Смета Внутр'!F2292</f>
        <v>0</v>
      </c>
      <c r="G2285" s="1042">
        <f t="shared" si="100"/>
        <v>4000</v>
      </c>
      <c r="H2285" s="1042">
        <f>'Смета Внутр'!G2292</f>
        <v>4000</v>
      </c>
      <c r="I2285" s="1042">
        <f>'Смета Внутр'!H2292</f>
        <v>0</v>
      </c>
      <c r="J2285" s="1058">
        <f>'Смета Внутр'!I2292</f>
        <v>0</v>
      </c>
    </row>
    <row r="2286" spans="2:10" ht="15" customHeight="1">
      <c r="B2286" s="1042" t="str">
        <f>'Смета Внутр'!B2293</f>
        <v>прокладка пнд с утепл</v>
      </c>
      <c r="C2286" s="1042" t="str">
        <f>'Смета Внутр'!C2293</f>
        <v>м.п.</v>
      </c>
      <c r="D2286" s="1058">
        <f>'Смета Внутр'!D2293</f>
        <v>10</v>
      </c>
      <c r="E2286" s="1042">
        <f>'Смета Внутр'!E2293</f>
        <v>500</v>
      </c>
      <c r="F2286" s="1042">
        <f>'Смета Внутр'!F2293</f>
        <v>0</v>
      </c>
      <c r="G2286" s="1042">
        <f t="shared" si="100"/>
        <v>500</v>
      </c>
      <c r="H2286" s="1042">
        <f>'Смета Внутр'!G2293</f>
        <v>5000</v>
      </c>
      <c r="I2286" s="1042">
        <f>'Смета Внутр'!H2293</f>
        <v>0</v>
      </c>
      <c r="J2286" s="1058">
        <f>'Смета Внутр'!I2293</f>
        <v>0</v>
      </c>
    </row>
    <row r="2287" spans="2:10" ht="15" customHeight="1">
      <c r="B2287" s="3330" t="str">
        <f>'Смета Внутр'!B2294</f>
        <v>Итого работы</v>
      </c>
      <c r="C2287" s="3330"/>
      <c r="D2287" s="3330"/>
      <c r="E2287" s="3330"/>
      <c r="F2287" s="3330"/>
      <c r="G2287" s="3330"/>
      <c r="H2287" s="1042">
        <f>'Смета Внутр'!G2294</f>
        <v>0</v>
      </c>
      <c r="I2287" s="1042">
        <f>'Смета Внутр'!H2294</f>
        <v>0</v>
      </c>
      <c r="J2287" s="1058">
        <f>'Смета Внутр'!I2294</f>
        <v>0</v>
      </c>
    </row>
    <row r="2288" spans="2:10" ht="15" customHeight="1">
      <c r="B2288" s="3329" t="str">
        <f>'Смета Внутр'!B2295</f>
        <v>Септик с утепленной канализацией</v>
      </c>
      <c r="C2288" s="3329"/>
      <c r="D2288" s="3329"/>
      <c r="H2288">
        <f>'Смета Внутр'!G2295</f>
        <v>0</v>
      </c>
      <c r="I2288">
        <f>'Смета Внутр'!H2295</f>
        <v>0</v>
      </c>
      <c r="J2288" s="3027">
        <f>'Смета Внутр'!I2295</f>
        <v>0</v>
      </c>
    </row>
    <row r="2289" spans="2:10" ht="15" customHeight="1">
      <c r="B2289" s="3002" t="str">
        <f>'Смета Внутр'!B2296</f>
        <v>Материалы</v>
      </c>
      <c r="D2289" s="1167"/>
      <c r="H2289">
        <f>'Смета Внутр'!G2296</f>
        <v>0</v>
      </c>
      <c r="I2289">
        <f>'Смета Внутр'!H2296</f>
        <v>0</v>
      </c>
      <c r="J2289" s="3027">
        <f>'Смета Внутр'!I2296</f>
        <v>0</v>
      </c>
    </row>
    <row r="2290" spans="2:10" ht="15" customHeight="1">
      <c r="B2290" s="1042" t="str">
        <f>'Смета Внутр'!B2297</f>
        <v>дно бетонное, диаметр 1,5м.п.</v>
      </c>
      <c r="C2290" s="1042" t="str">
        <f>'Смета Внутр'!C2297</f>
        <v>шт</v>
      </c>
      <c r="D2290" s="1058">
        <f>'Смета Внутр'!D2297</f>
        <v>1</v>
      </c>
      <c r="E2290" s="1042">
        <f>'Смета Внутр'!E2297</f>
        <v>2000</v>
      </c>
      <c r="F2290" s="1042">
        <f>'Смета Внутр'!F2297</f>
        <v>0</v>
      </c>
      <c r="G2290" s="1042">
        <f t="shared" ref="G2290:G2302" si="101">IF(E2290&gt;F2290,E2290,F2290)</f>
        <v>2000</v>
      </c>
      <c r="H2290" s="1042">
        <f>'Смета Внутр'!G2297</f>
        <v>2000</v>
      </c>
      <c r="I2290" s="1042">
        <f>'Смета Внутр'!H2297</f>
        <v>0</v>
      </c>
      <c r="J2290" s="1058">
        <f>'Смета Внутр'!I2297</f>
        <v>0</v>
      </c>
    </row>
    <row r="2291" spans="2:10" ht="15" customHeight="1">
      <c r="B2291" s="1042" t="str">
        <f>'Смета Внутр'!B2298</f>
        <v>кольцо бетонное, диаметр 1,5м.п.</v>
      </c>
      <c r="C2291" s="1042" t="str">
        <f>'Смета Внутр'!C2298</f>
        <v>шт</v>
      </c>
      <c r="D2291" s="1058">
        <f>'Смета Внутр'!D2298</f>
        <v>3</v>
      </c>
      <c r="E2291" s="1042">
        <f>'Смета Внутр'!E2298</f>
        <v>2800</v>
      </c>
      <c r="F2291" s="1042">
        <f>'Смета Внутр'!F2298</f>
        <v>0</v>
      </c>
      <c r="G2291" s="1042">
        <f t="shared" si="101"/>
        <v>2800</v>
      </c>
      <c r="H2291" s="1042">
        <f>'Смета Внутр'!G2298</f>
        <v>8400</v>
      </c>
      <c r="I2291" s="1042">
        <f>'Смета Внутр'!H2298</f>
        <v>0</v>
      </c>
      <c r="J2291" s="1058">
        <f>'Смета Внутр'!I2298</f>
        <v>0</v>
      </c>
    </row>
    <row r="2292" spans="2:10" ht="15" customHeight="1">
      <c r="B2292" s="1042" t="str">
        <f>'Смета Внутр'!B2299</f>
        <v>крышка бетонная, диаметр 1,5м.п.</v>
      </c>
      <c r="C2292" s="1042" t="str">
        <f>'Смета Внутр'!C2299</f>
        <v>шт</v>
      </c>
      <c r="D2292" s="1058">
        <f>'Смета Внутр'!D2299</f>
        <v>1</v>
      </c>
      <c r="E2292" s="1042">
        <f>'Смета Внутр'!E2299</f>
        <v>4000</v>
      </c>
      <c r="F2292" s="1042">
        <f>'Смета Внутр'!F2299</f>
        <v>0</v>
      </c>
      <c r="G2292" s="1042">
        <f t="shared" si="101"/>
        <v>4000</v>
      </c>
      <c r="H2292" s="1042">
        <f>'Смета Внутр'!G2299</f>
        <v>4000</v>
      </c>
      <c r="I2292" s="1042">
        <f>'Смета Внутр'!H2299</f>
        <v>0</v>
      </c>
      <c r="J2292" s="1058">
        <f>'Смета Внутр'!I2299</f>
        <v>0</v>
      </c>
    </row>
    <row r="2293" spans="2:10" ht="15" customHeight="1">
      <c r="B2293" s="1042" t="str">
        <f>'Смета Внутр'!B2300</f>
        <v>Нет люка для крышки</v>
      </c>
      <c r="C2293" s="1042" t="str">
        <f>'Смета Внутр'!C2300</f>
        <v>шт</v>
      </c>
      <c r="D2293" s="1058">
        <f>'Смета Внутр'!D2300</f>
        <v>0</v>
      </c>
      <c r="E2293" s="1042">
        <f>'Смета Внутр'!E2300</f>
        <v>0</v>
      </c>
      <c r="F2293" s="1042">
        <f>'Смета Внутр'!F2300</f>
        <v>0</v>
      </c>
      <c r="G2293" s="1042">
        <f t="shared" si="101"/>
        <v>0</v>
      </c>
      <c r="H2293" s="1042">
        <f>'Смета Внутр'!G2300</f>
        <v>0</v>
      </c>
      <c r="I2293" s="1042">
        <f>'Смета Внутр'!H2300</f>
        <v>0</v>
      </c>
      <c r="J2293" s="1058">
        <f>'Смета Внутр'!I2300</f>
        <v>0</v>
      </c>
    </row>
    <row r="2294" spans="2:10" ht="15" customHeight="1">
      <c r="B2294" s="1042" t="str">
        <f>'Смета Внутр'!B2301</f>
        <v>Горловина для септика бетонная</v>
      </c>
      <c r="C2294" s="1042" t="str">
        <f>'Смета Внутр'!C2301</f>
        <v>шт</v>
      </c>
      <c r="D2294" s="1058">
        <f>'Смета Внутр'!D2301</f>
        <v>1</v>
      </c>
      <c r="E2294" s="1042">
        <f>'Смета Внутр'!E2301</f>
        <v>1000</v>
      </c>
      <c r="F2294" s="1042">
        <f>'Смета Внутр'!F2301</f>
        <v>0</v>
      </c>
      <c r="G2294" s="1042">
        <f t="shared" si="101"/>
        <v>1000</v>
      </c>
      <c r="H2294" s="1042">
        <f>'Смета Внутр'!G2301</f>
        <v>1000</v>
      </c>
      <c r="I2294" s="1042">
        <f>'Смета Внутр'!H2301</f>
        <v>0</v>
      </c>
      <c r="J2294" s="1058">
        <f>'Смета Внутр'!I2301</f>
        <v>0</v>
      </c>
    </row>
    <row r="2295" spans="2:10" ht="15" customHeight="1">
      <c r="B2295" s="1042" t="str">
        <f>'Смета Внутр'!B2302</f>
        <v>Труба канализационная D110</v>
      </c>
      <c r="C2295" s="1042" t="str">
        <f>'Смета Внутр'!C2302</f>
        <v>м.п.</v>
      </c>
      <c r="D2295" s="1058">
        <f>'Смета Внутр'!D2302</f>
        <v>10</v>
      </c>
      <c r="E2295" s="1042">
        <f>'Смета Внутр'!E2302</f>
        <v>70</v>
      </c>
      <c r="F2295" s="1042">
        <f>'Смета Внутр'!F2302</f>
        <v>0</v>
      </c>
      <c r="G2295" s="1042">
        <f t="shared" si="101"/>
        <v>70</v>
      </c>
      <c r="H2295" s="1042">
        <f>'Смета Внутр'!G2302</f>
        <v>700</v>
      </c>
      <c r="I2295" s="1042">
        <f>'Смета Внутр'!H2302</f>
        <v>0</v>
      </c>
      <c r="J2295" s="1058">
        <f>'Смета Внутр'!I2302</f>
        <v>0</v>
      </c>
    </row>
    <row r="2296" spans="2:10" ht="15" customHeight="1">
      <c r="B2296" s="1042" t="str">
        <f>'Смета Внутр'!B2303</f>
        <v>утепление для канализационной трубы</v>
      </c>
      <c r="C2296" s="1042" t="str">
        <f>'Смета Внутр'!C2303</f>
        <v>м.п.</v>
      </c>
      <c r="D2296" s="1058">
        <f>'Смета Внутр'!D2303</f>
        <v>8</v>
      </c>
      <c r="E2296" s="1042">
        <f>'Смета Внутр'!E2303</f>
        <v>300</v>
      </c>
      <c r="F2296" s="1042">
        <f>'Смета Внутр'!F2303</f>
        <v>0</v>
      </c>
      <c r="G2296" s="1042">
        <f t="shared" si="101"/>
        <v>300</v>
      </c>
      <c r="H2296" s="1042">
        <f>'Смета Внутр'!G2303</f>
        <v>2400</v>
      </c>
      <c r="I2296" s="1042">
        <f>'Смета Внутр'!H2303</f>
        <v>0</v>
      </c>
      <c r="J2296" s="1058">
        <f>'Смета Внутр'!I2303</f>
        <v>0</v>
      </c>
    </row>
    <row r="2297" spans="2:10" ht="15" customHeight="1">
      <c r="B2297" s="1042" t="str">
        <f>'Смета Внутр'!B2304</f>
        <v>раствор для бетонирования</v>
      </c>
      <c r="C2297" s="1042" t="str">
        <f>'Смета Внутр'!C2304</f>
        <v>шт</v>
      </c>
      <c r="D2297" s="1058">
        <f>'Смета Внутр'!D2304</f>
        <v>3</v>
      </c>
      <c r="E2297" s="1042">
        <f>'Смета Внутр'!E2304</f>
        <v>100</v>
      </c>
      <c r="F2297" s="1042">
        <f>'Смета Внутр'!F2304</f>
        <v>0</v>
      </c>
      <c r="G2297" s="1042">
        <f t="shared" si="101"/>
        <v>100</v>
      </c>
      <c r="H2297" s="1042">
        <f>'Смета Внутр'!G2304</f>
        <v>300</v>
      </c>
      <c r="I2297" s="1042">
        <f>'Смета Внутр'!H2304</f>
        <v>0</v>
      </c>
      <c r="J2297" s="1058">
        <f>'Смета Внутр'!I2304</f>
        <v>0</v>
      </c>
    </row>
    <row r="2298" spans="2:10" ht="15" customHeight="1">
      <c r="B2298" s="1042" t="str">
        <f>'Смета Внутр'!B2305</f>
        <v>скотч для скорлупы утепления</v>
      </c>
      <c r="C2298" s="1042" t="str">
        <f>'Смета Внутр'!C2305</f>
        <v>шт</v>
      </c>
      <c r="D2298" s="1058">
        <f>'Смета Внутр'!D2305</f>
        <v>3</v>
      </c>
      <c r="E2298" s="1042">
        <f>'Смета Внутр'!E2305</f>
        <v>100</v>
      </c>
      <c r="F2298" s="1042">
        <f>'Смета Внутр'!F2305</f>
        <v>0</v>
      </c>
      <c r="G2298" s="1042">
        <f t="shared" si="101"/>
        <v>100</v>
      </c>
      <c r="H2298" s="1042">
        <f>'Смета Внутр'!G2305</f>
        <v>300</v>
      </c>
      <c r="I2298" s="1042">
        <f>'Смета Внутр'!H2305</f>
        <v>0</v>
      </c>
      <c r="J2298" s="1058">
        <f>'Смета Внутр'!I2305</f>
        <v>0</v>
      </c>
    </row>
    <row r="2299" spans="2:10" ht="15" customHeight="1">
      <c r="B2299" s="1042" t="str">
        <f>'Смета Внутр'!B2306</f>
        <v>дно бетонное, диаметр 2м.п.</v>
      </c>
      <c r="C2299" s="1042" t="str">
        <f>'Смета Внутр'!C2306</f>
        <v>шт</v>
      </c>
      <c r="D2299" s="1058">
        <f>'Смета Внутр'!D2306</f>
        <v>1</v>
      </c>
      <c r="E2299" s="1042">
        <f>'Смета Внутр'!E2306</f>
        <v>2000</v>
      </c>
      <c r="F2299" s="1042">
        <f>'Смета Внутр'!F2306</f>
        <v>0</v>
      </c>
      <c r="G2299" s="1042">
        <f t="shared" si="101"/>
        <v>2000</v>
      </c>
      <c r="H2299" s="1042">
        <f>'Смета Внутр'!G2306</f>
        <v>2000</v>
      </c>
      <c r="I2299" s="1042">
        <f>'Смета Внутр'!H2306</f>
        <v>0</v>
      </c>
      <c r="J2299" s="1058">
        <f>'Смета Внутр'!I2306</f>
        <v>0</v>
      </c>
    </row>
    <row r="2300" spans="2:10" ht="15" customHeight="1">
      <c r="B2300" s="1042" t="str">
        <f>'Смета Внутр'!B2307</f>
        <v>кольцо бетонное, диаметр 2м.п.</v>
      </c>
      <c r="C2300" s="1042" t="str">
        <f>'Смета Внутр'!C2307</f>
        <v>шт</v>
      </c>
      <c r="D2300" s="1058">
        <f>'Смета Внутр'!D2307</f>
        <v>3</v>
      </c>
      <c r="E2300" s="1042">
        <f>'Смета Внутр'!E2307</f>
        <v>3300</v>
      </c>
      <c r="F2300" s="1042">
        <f>'Смета Внутр'!F2307</f>
        <v>0</v>
      </c>
      <c r="G2300" s="1042">
        <f t="shared" si="101"/>
        <v>3300</v>
      </c>
      <c r="H2300" s="1042">
        <f>'Смета Внутр'!G2307</f>
        <v>9900</v>
      </c>
      <c r="I2300" s="1042">
        <f>'Смета Внутр'!H2307</f>
        <v>0</v>
      </c>
      <c r="J2300" s="1058">
        <f>'Смета Внутр'!I2307</f>
        <v>0</v>
      </c>
    </row>
    <row r="2301" spans="2:10" ht="15" customHeight="1">
      <c r="B2301" s="1042" t="str">
        <f>'Смета Внутр'!B2308</f>
        <v>крышка бетонная, диаметр 2м.п.</v>
      </c>
      <c r="C2301" s="1042" t="str">
        <f>'Смета Внутр'!C2308</f>
        <v>шт</v>
      </c>
      <c r="D2301" s="1058">
        <f>'Смета Внутр'!D2308</f>
        <v>1</v>
      </c>
      <c r="E2301" s="1042">
        <f>'Смета Внутр'!E2308</f>
        <v>4000</v>
      </c>
      <c r="F2301" s="1042">
        <f>'Смета Внутр'!F2308</f>
        <v>0</v>
      </c>
      <c r="G2301" s="1042">
        <f t="shared" si="101"/>
        <v>4000</v>
      </c>
      <c r="H2301" s="1042">
        <f>'Смета Внутр'!G2308</f>
        <v>4000</v>
      </c>
      <c r="I2301" s="1042">
        <f>'Смета Внутр'!H2308</f>
        <v>0</v>
      </c>
      <c r="J2301" s="1058">
        <f>'Смета Внутр'!I2308</f>
        <v>0</v>
      </c>
    </row>
    <row r="2302" spans="2:10" ht="15" customHeight="1">
      <c r="B2302" s="1042" t="str">
        <f>'Смета Внутр'!B2309</f>
        <v>Нет люка для крышки</v>
      </c>
      <c r="C2302" s="1042" t="str">
        <f>'Смета Внутр'!C2309</f>
        <v>шт</v>
      </c>
      <c r="D2302" s="1058">
        <f>'Смета Внутр'!D2309</f>
        <v>0</v>
      </c>
      <c r="E2302" s="1042">
        <f>'Смета Внутр'!E2309</f>
        <v>0</v>
      </c>
      <c r="F2302" s="1042">
        <f>'Смета Внутр'!F2309</f>
        <v>0</v>
      </c>
      <c r="G2302" s="1042">
        <f t="shared" si="101"/>
        <v>0</v>
      </c>
      <c r="H2302" s="1042">
        <f>'Смета Внутр'!G2309</f>
        <v>0</v>
      </c>
      <c r="I2302" s="1042">
        <f>'Смета Внутр'!H2309</f>
        <v>0</v>
      </c>
      <c r="J2302" s="1058">
        <f>'Смета Внутр'!I2309</f>
        <v>0</v>
      </c>
    </row>
    <row r="2303" spans="2:10">
      <c r="B2303" s="3330" t="str">
        <f>'Смета Внутр'!B2310</f>
        <v>Итого материалы</v>
      </c>
      <c r="C2303" s="3330"/>
      <c r="D2303" s="3330"/>
      <c r="E2303" s="3330"/>
      <c r="F2303" s="3330"/>
      <c r="G2303" s="3330"/>
      <c r="H2303" s="1042">
        <f>'Смета Внутр'!G2310</f>
        <v>0</v>
      </c>
      <c r="I2303" s="1042">
        <f>'Смета Внутр'!H2310</f>
        <v>0</v>
      </c>
      <c r="J2303" s="1058">
        <f>'Смета Внутр'!I2310</f>
        <v>0</v>
      </c>
    </row>
    <row r="2304" spans="2:10" ht="15" customHeight="1">
      <c r="B2304" s="3002" t="str">
        <f>'Смета Внутр'!B2311</f>
        <v>Работы</v>
      </c>
      <c r="D2304" s="1167"/>
      <c r="H2304">
        <f>'Смета Внутр'!G2311</f>
        <v>0</v>
      </c>
      <c r="I2304">
        <f>'Смета Внутр'!H2311</f>
        <v>0</v>
      </c>
      <c r="J2304" s="3027">
        <f>'Смета Внутр'!I2311</f>
        <v>0</v>
      </c>
    </row>
    <row r="2305" spans="2:10" ht="15" customHeight="1">
      <c r="B2305" s="1042" t="str">
        <f>'Смета Внутр'!B2312</f>
        <v>монтаж дна</v>
      </c>
      <c r="C2305" s="1042" t="str">
        <f>'Смета Внутр'!C2312</f>
        <v>шт</v>
      </c>
      <c r="D2305" s="1058">
        <f>'Смета Внутр'!D2312</f>
        <v>2</v>
      </c>
      <c r="E2305" s="1042">
        <f>'Смета Внутр'!E2312</f>
        <v>1000</v>
      </c>
      <c r="F2305" s="1042">
        <f>'Смета Внутр'!F2312</f>
        <v>0</v>
      </c>
      <c r="G2305" s="1042">
        <f t="shared" ref="G2305:G2311" si="102">IF(E2305&gt;F2305,E2305,F2305)</f>
        <v>1000</v>
      </c>
      <c r="H2305" s="1042">
        <f>'Смета Внутр'!G2312</f>
        <v>2000</v>
      </c>
      <c r="I2305" s="1042">
        <f>'Смета Внутр'!H2312</f>
        <v>0</v>
      </c>
      <c r="J2305" s="1058">
        <f>'Смета Внутр'!I2312</f>
        <v>0</v>
      </c>
    </row>
    <row r="2306" spans="2:10" ht="15" customHeight="1">
      <c r="B2306" s="1042" t="str">
        <f>'Смета Внутр'!B2313</f>
        <v>монтаж колец</v>
      </c>
      <c r="C2306" s="1042" t="str">
        <f>'Смета Внутр'!C2313</f>
        <v>шт</v>
      </c>
      <c r="D2306" s="1058">
        <f>'Смета Внутр'!D2313</f>
        <v>6</v>
      </c>
      <c r="E2306" s="1042">
        <f>'Смета Внутр'!E2313</f>
        <v>1000</v>
      </c>
      <c r="F2306" s="1042">
        <f>'Смета Внутр'!F2313</f>
        <v>0</v>
      </c>
      <c r="G2306" s="1042">
        <f t="shared" si="102"/>
        <v>1000</v>
      </c>
      <c r="H2306" s="1042">
        <f>'Смета Внутр'!G2313</f>
        <v>6000</v>
      </c>
      <c r="I2306" s="1042">
        <f>'Смета Внутр'!H2313</f>
        <v>0</v>
      </c>
      <c r="J2306" s="1058">
        <f>'Смета Внутр'!I2313</f>
        <v>0</v>
      </c>
    </row>
    <row r="2307" spans="2:10" ht="15" customHeight="1">
      <c r="B2307" s="1042" t="str">
        <f>'Смета Внутр'!B2314</f>
        <v>монтаж крышки</v>
      </c>
      <c r="C2307" s="1042" t="str">
        <f>'Смета Внутр'!C2314</f>
        <v>шт</v>
      </c>
      <c r="D2307" s="1058">
        <f>'Смета Внутр'!D2314</f>
        <v>2</v>
      </c>
      <c r="E2307" s="1042">
        <f>'Смета Внутр'!E2314</f>
        <v>1000</v>
      </c>
      <c r="F2307" s="1042">
        <f>'Смета Внутр'!F2314</f>
        <v>0</v>
      </c>
      <c r="G2307" s="1042">
        <f t="shared" si="102"/>
        <v>1000</v>
      </c>
      <c r="H2307" s="1042">
        <f>'Смета Внутр'!G2314</f>
        <v>2000</v>
      </c>
      <c r="I2307" s="1042">
        <f>'Смета Внутр'!H2314</f>
        <v>0</v>
      </c>
      <c r="J2307" s="1058">
        <f>'Смета Внутр'!I2314</f>
        <v>0</v>
      </c>
    </row>
    <row r="2308" spans="2:10" ht="15" customHeight="1">
      <c r="B2308" s="1042" t="str">
        <f>'Смета Внутр'!B2315</f>
        <v>монтаж люка</v>
      </c>
      <c r="C2308" s="1042" t="str">
        <f>'Смета Внутр'!C2315</f>
        <v>шт</v>
      </c>
      <c r="D2308" s="1058">
        <f>'Смета Внутр'!D2315</f>
        <v>0</v>
      </c>
      <c r="E2308" s="1042">
        <f>'Смета Внутр'!E2315</f>
        <v>1000</v>
      </c>
      <c r="F2308" s="1042">
        <f>'Смета Внутр'!F2315</f>
        <v>0</v>
      </c>
      <c r="G2308" s="1042">
        <f t="shared" si="102"/>
        <v>1000</v>
      </c>
      <c r="H2308" s="1042">
        <f>'Смета Внутр'!G2315</f>
        <v>0</v>
      </c>
      <c r="I2308" s="1042">
        <f>'Смета Внутр'!H2315</f>
        <v>0</v>
      </c>
      <c r="J2308" s="1058">
        <f>'Смета Внутр'!I2315</f>
        <v>0</v>
      </c>
    </row>
    <row r="2309" spans="2:10" ht="15" customHeight="1">
      <c r="B2309" s="1042" t="str">
        <f>'Смета Внутр'!B2316</f>
        <v>монтаж горловины</v>
      </c>
      <c r="C2309" s="1042" t="str">
        <f>'Смета Внутр'!C2316</f>
        <v>м.п.</v>
      </c>
      <c r="D2309" s="1058">
        <f>'Смета Внутр'!D2316</f>
        <v>1</v>
      </c>
      <c r="E2309" s="1042">
        <f>'Смета Внутр'!E2316</f>
        <v>800</v>
      </c>
      <c r="F2309" s="1042">
        <f>'Смета Внутр'!F2316</f>
        <v>0</v>
      </c>
      <c r="G2309" s="1042">
        <f t="shared" si="102"/>
        <v>800</v>
      </c>
      <c r="H2309" s="1042">
        <f>'Смета Внутр'!G2316</f>
        <v>800</v>
      </c>
      <c r="I2309" s="1042">
        <f>'Смета Внутр'!H2316</f>
        <v>0</v>
      </c>
      <c r="J2309" s="1058">
        <f>'Смета Внутр'!I2316</f>
        <v>0</v>
      </c>
    </row>
    <row r="2310" spans="2:10" ht="15" customHeight="1">
      <c r="B2310" s="1042" t="str">
        <f>'Смета Внутр'!B2317</f>
        <v>м/ж ут-ной канал</v>
      </c>
      <c r="C2310" s="1042" t="str">
        <f>'Смета Внутр'!C2317</f>
        <v>шт</v>
      </c>
      <c r="D2310" s="1058">
        <f>'Смета Внутр'!D2317</f>
        <v>10</v>
      </c>
      <c r="E2310" s="1042">
        <f>'Смета Внутр'!E2317</f>
        <v>500</v>
      </c>
      <c r="F2310" s="1042">
        <f>'Смета Внутр'!F2317</f>
        <v>0</v>
      </c>
      <c r="G2310" s="1042">
        <f t="shared" si="102"/>
        <v>500</v>
      </c>
      <c r="H2310" s="1042">
        <f>'Смета Внутр'!G2317</f>
        <v>5000</v>
      </c>
      <c r="I2310" s="1042">
        <f>'Смета Внутр'!H2317</f>
        <v>0</v>
      </c>
      <c r="J2310" s="1058">
        <f>'Смета Внутр'!I2317</f>
        <v>0</v>
      </c>
    </row>
    <row r="2311" spans="2:10" ht="15" customHeight="1">
      <c r="B2311" s="1042" t="str">
        <f>'Смета Внутр'!B2318</f>
        <v>бетонирование</v>
      </c>
      <c r="C2311" s="1042" t="str">
        <f>'Смета Внутр'!C2318</f>
        <v>шт</v>
      </c>
      <c r="D2311" s="1058">
        <f>'Смета Внутр'!D2318</f>
        <v>1</v>
      </c>
      <c r="E2311" s="1042">
        <f>'Смета Внутр'!E2318</f>
        <v>2500</v>
      </c>
      <c r="F2311" s="1042">
        <f>'Смета Внутр'!F2318</f>
        <v>0</v>
      </c>
      <c r="G2311" s="1042">
        <f t="shared" si="102"/>
        <v>2500</v>
      </c>
      <c r="H2311" s="1042">
        <f>'Смета Внутр'!G2318</f>
        <v>2500</v>
      </c>
      <c r="I2311" s="1042">
        <f>'Смета Внутр'!H2318</f>
        <v>0</v>
      </c>
      <c r="J2311" s="1058">
        <f>'Смета Внутр'!I2318</f>
        <v>0</v>
      </c>
    </row>
    <row r="2312" spans="2:10" ht="15" customHeight="1">
      <c r="B2312" s="3330" t="str">
        <f>'Смета Внутр'!B2319</f>
        <v>Итого работы</v>
      </c>
      <c r="C2312" s="3330"/>
      <c r="D2312" s="3330"/>
      <c r="E2312" s="3330"/>
      <c r="F2312" s="3330"/>
      <c r="G2312" s="3330"/>
      <c r="H2312" s="1042">
        <f>'Смета Внутр'!G2319</f>
        <v>0</v>
      </c>
      <c r="I2312" s="1042">
        <f>'Смета Внутр'!H2319</f>
        <v>0</v>
      </c>
      <c r="J2312" s="1058">
        <f>'Смета Внутр'!I2319</f>
        <v>0</v>
      </c>
    </row>
    <row r="2313" spans="2:10" ht="15" customHeight="1">
      <c r="B2313" s="3329" t="str">
        <f>'Смета Внутр'!B2320</f>
        <v>Котельная</v>
      </c>
      <c r="C2313" s="3329"/>
      <c r="D2313" s="3329"/>
      <c r="H2313">
        <f>'Смета Внутр'!G2320</f>
        <v>0</v>
      </c>
      <c r="I2313">
        <f>'Смета Внутр'!H2320</f>
        <v>0</v>
      </c>
      <c r="J2313" s="3027">
        <f>'Смета Внутр'!I2320</f>
        <v>0</v>
      </c>
    </row>
    <row r="2314" spans="2:10" ht="15" customHeight="1">
      <c r="B2314" s="3002" t="str">
        <f>'Смета Внутр'!B2321</f>
        <v>Материалы</v>
      </c>
      <c r="D2314" s="1167"/>
      <c r="H2314">
        <f>'Смета Внутр'!G2321</f>
        <v>0</v>
      </c>
      <c r="I2314">
        <f>'Смета Внутр'!H2321</f>
        <v>0</v>
      </c>
      <c r="J2314" s="3027">
        <f>'Смета Внутр'!I2321</f>
        <v>0</v>
      </c>
    </row>
    <row r="2315" spans="2:10" ht="15" customHeight="1">
      <c r="B2315" s="1042" t="str">
        <f>'Смета Внутр'!B2322</f>
        <v>котел</v>
      </c>
      <c r="C2315" s="1042" t="str">
        <f>'Смета Внутр'!C2322</f>
        <v>шт</v>
      </c>
      <c r="D2315" s="1058">
        <f>'Смета Внутр'!D2322</f>
        <v>1</v>
      </c>
      <c r="E2315" s="1042">
        <f>'Смета Внутр'!E2322</f>
        <v>30000</v>
      </c>
      <c r="F2315" s="1042">
        <f>'Смета Внутр'!F2322</f>
        <v>0</v>
      </c>
      <c r="G2315" s="1042">
        <f t="shared" ref="G2315:G2328" si="103">IF(E2315&gt;F2315,E2315,F2315)</f>
        <v>30000</v>
      </c>
      <c r="H2315" s="1042">
        <f>'Смета Внутр'!G2322</f>
        <v>30000</v>
      </c>
      <c r="I2315" s="1042">
        <f>'Смета Внутр'!H2322</f>
        <v>0</v>
      </c>
      <c r="J2315" s="1058">
        <f>'Смета Внутр'!I2322</f>
        <v>0</v>
      </c>
    </row>
    <row r="2316" spans="2:10" ht="15" customHeight="1">
      <c r="B2316" s="1042" t="str">
        <f>'Смета Внутр'!B2323</f>
        <v>бойлер</v>
      </c>
      <c r="C2316" s="1042" t="str">
        <f>'Смета Внутр'!C2323</f>
        <v>шт</v>
      </c>
      <c r="D2316" s="1058">
        <f>'Смета Внутр'!D2323</f>
        <v>1</v>
      </c>
      <c r="E2316" s="1042">
        <f>'Смета Внутр'!E2323</f>
        <v>10000</v>
      </c>
      <c r="F2316" s="1042">
        <f>'Смета Внутр'!F2323</f>
        <v>0</v>
      </c>
      <c r="G2316" s="1042">
        <f t="shared" si="103"/>
        <v>10000</v>
      </c>
      <c r="H2316" s="1042">
        <f>'Смета Внутр'!G2323</f>
        <v>10000</v>
      </c>
      <c r="I2316" s="1042">
        <f>'Смета Внутр'!H2323</f>
        <v>0</v>
      </c>
      <c r="J2316" s="1058">
        <f>'Смета Внутр'!I2323</f>
        <v>0</v>
      </c>
    </row>
    <row r="2317" spans="2:10" ht="15" customHeight="1">
      <c r="B2317" s="1042" t="str">
        <f>'Смета Внутр'!B2324</f>
        <v>гребенка</v>
      </c>
      <c r="C2317" s="1042" t="str">
        <f>'Смета Внутр'!C2324</f>
        <v>шт</v>
      </c>
      <c r="D2317" s="1058">
        <f>'Смета Внутр'!D2324</f>
        <v>1</v>
      </c>
      <c r="E2317" s="1042">
        <f>'Смета Внутр'!E2324</f>
        <v>5000</v>
      </c>
      <c r="F2317" s="1042">
        <f>'Смета Внутр'!F2324</f>
        <v>0</v>
      </c>
      <c r="G2317" s="1042">
        <f t="shared" si="103"/>
        <v>5000</v>
      </c>
      <c r="H2317" s="1042">
        <f>'Смета Внутр'!G2324</f>
        <v>5000</v>
      </c>
      <c r="I2317" s="1042">
        <f>'Смета Внутр'!H2324</f>
        <v>0</v>
      </c>
      <c r="J2317" s="1058">
        <f>'Смета Внутр'!I2324</f>
        <v>0</v>
      </c>
    </row>
    <row r="2318" spans="2:10" ht="15" customHeight="1">
      <c r="B2318" s="1042" t="str">
        <f>'Смета Внутр'!B2325</f>
        <v>насос на отопление</v>
      </c>
      <c r="C2318" s="1042" t="str">
        <f>'Смета Внутр'!C2325</f>
        <v>шт</v>
      </c>
      <c r="D2318" s="1058">
        <f>'Смета Внутр'!D2325</f>
        <v>1</v>
      </c>
      <c r="E2318" s="1042">
        <f>'Смета Внутр'!E2325</f>
        <v>3500</v>
      </c>
      <c r="F2318" s="1042">
        <f>'Смета Внутр'!F2325</f>
        <v>0</v>
      </c>
      <c r="G2318" s="1042">
        <f t="shared" si="103"/>
        <v>3500</v>
      </c>
      <c r="H2318" s="1042">
        <f>'Смета Внутр'!G2325</f>
        <v>3500</v>
      </c>
      <c r="I2318" s="1042">
        <f>'Смета Внутр'!H2325</f>
        <v>0</v>
      </c>
      <c r="J2318" s="1058">
        <f>'Смета Внутр'!I2325</f>
        <v>0</v>
      </c>
    </row>
    <row r="2319" spans="2:10" ht="15" customHeight="1">
      <c r="B2319" s="1042" t="str">
        <f>'Смета Внутр'!B2326</f>
        <v>насос на горячее водоснабжение</v>
      </c>
      <c r="C2319" s="1042" t="str">
        <f>'Смета Внутр'!C2326</f>
        <v>шт</v>
      </c>
      <c r="D2319" s="1058">
        <f>'Смета Внутр'!D2326</f>
        <v>1</v>
      </c>
      <c r="E2319" s="1042">
        <f>'Смета Внутр'!E2326</f>
        <v>2500</v>
      </c>
      <c r="F2319" s="1042">
        <f>'Смета Внутр'!F2326</f>
        <v>0</v>
      </c>
      <c r="G2319" s="1042">
        <f t="shared" si="103"/>
        <v>2500</v>
      </c>
      <c r="H2319" s="1042">
        <f>'Смета Внутр'!G2326</f>
        <v>2500</v>
      </c>
      <c r="I2319" s="1042">
        <f>'Смета Внутр'!H2326</f>
        <v>0</v>
      </c>
      <c r="J2319" s="1058">
        <f>'Смета Внутр'!I2326</f>
        <v>0</v>
      </c>
    </row>
    <row r="2320" spans="2:10" ht="15" customHeight="1">
      <c r="B2320" s="1042" t="str">
        <f>'Смета Внутр'!B2327</f>
        <v>датчик давления</v>
      </c>
      <c r="C2320" s="1042" t="str">
        <f>'Смета Внутр'!C2327</f>
        <v>шт</v>
      </c>
      <c r="D2320" s="1058">
        <f>'Смета Внутр'!D2327</f>
        <v>2</v>
      </c>
      <c r="E2320" s="1042">
        <f>'Смета Внутр'!E2327</f>
        <v>700</v>
      </c>
      <c r="F2320" s="1042">
        <f>'Смета Внутр'!F2327</f>
        <v>0</v>
      </c>
      <c r="G2320" s="1042">
        <f t="shared" si="103"/>
        <v>700</v>
      </c>
      <c r="H2320" s="1042">
        <f>'Смета Внутр'!G2327</f>
        <v>1400</v>
      </c>
      <c r="I2320" s="1042">
        <f>'Смета Внутр'!H2327</f>
        <v>0</v>
      </c>
      <c r="J2320" s="1058">
        <f>'Смета Внутр'!I2327</f>
        <v>0</v>
      </c>
    </row>
    <row r="2321" spans="2:10" ht="15" customHeight="1">
      <c r="B2321" s="1042" t="str">
        <f>'Смета Внутр'!B2328</f>
        <v>сбросной клапан</v>
      </c>
      <c r="C2321" s="1042" t="str">
        <f>'Смета Внутр'!C2328</f>
        <v>шт</v>
      </c>
      <c r="D2321" s="1058">
        <f>'Смета Внутр'!D2328</f>
        <v>1</v>
      </c>
      <c r="E2321" s="1042">
        <f>'Смета Внутр'!E2328</f>
        <v>1500</v>
      </c>
      <c r="F2321" s="1042">
        <f>'Смета Внутр'!F2328</f>
        <v>0</v>
      </c>
      <c r="G2321" s="1042">
        <f t="shared" si="103"/>
        <v>1500</v>
      </c>
      <c r="H2321" s="1042">
        <f>'Смета Внутр'!G2328</f>
        <v>1500</v>
      </c>
      <c r="I2321" s="1042">
        <f>'Смета Внутр'!H2328</f>
        <v>0</v>
      </c>
      <c r="J2321" s="1058">
        <f>'Смета Внутр'!I2328</f>
        <v>0</v>
      </c>
    </row>
    <row r="2322" spans="2:10" ht="15" customHeight="1">
      <c r="B2322" s="1042" t="str">
        <f>'Смета Внутр'!B2329</f>
        <v>труба, черная ду 32</v>
      </c>
      <c r="C2322" s="1042" t="str">
        <f>'Смета Внутр'!C2329</f>
        <v>м.п.</v>
      </c>
      <c r="D2322" s="1058">
        <f>'Смета Внутр'!D2329</f>
        <v>20</v>
      </c>
      <c r="E2322" s="1042">
        <f>'Смета Внутр'!E2329</f>
        <v>100</v>
      </c>
      <c r="F2322" s="1042">
        <f>'Смета Внутр'!F2329</f>
        <v>0</v>
      </c>
      <c r="G2322" s="1042">
        <f t="shared" si="103"/>
        <v>100</v>
      </c>
      <c r="H2322" s="1042">
        <f>'Смета Внутр'!G2329</f>
        <v>2000</v>
      </c>
      <c r="I2322" s="1042">
        <f>'Смета Внутр'!H2329</f>
        <v>0</v>
      </c>
      <c r="J2322" s="1058">
        <f>'Смета Внутр'!I2329</f>
        <v>0</v>
      </c>
    </row>
    <row r="2323" spans="2:10" ht="15" customHeight="1">
      <c r="B2323" s="1042" t="str">
        <f>'Смета Внутр'!B2330</f>
        <v>угол ду 32</v>
      </c>
      <c r="C2323" s="1042" t="str">
        <f>'Смета Внутр'!C2330</f>
        <v>шт</v>
      </c>
      <c r="D2323" s="1058">
        <f>'Смета Внутр'!D2330</f>
        <v>10</v>
      </c>
      <c r="E2323" s="1042">
        <f>'Смета Внутр'!E2330</f>
        <v>12</v>
      </c>
      <c r="F2323" s="1042">
        <f>'Смета Внутр'!F2330</f>
        <v>0</v>
      </c>
      <c r="G2323" s="1042">
        <f t="shared" si="103"/>
        <v>12</v>
      </c>
      <c r="H2323" s="1042">
        <f>'Смета Внутр'!G2330</f>
        <v>120</v>
      </c>
      <c r="I2323" s="1042">
        <f>'Смета Внутр'!H2330</f>
        <v>0</v>
      </c>
      <c r="J2323" s="1058">
        <f>'Смета Внутр'!I2330</f>
        <v>0</v>
      </c>
    </row>
    <row r="2324" spans="2:10" ht="15" customHeight="1">
      <c r="B2324" s="1042" t="str">
        <f>'Смета Внутр'!B2331</f>
        <v>бочонок ду 32</v>
      </c>
      <c r="C2324" s="1042" t="str">
        <f>'Смета Внутр'!C2331</f>
        <v>шт</v>
      </c>
      <c r="D2324" s="1058">
        <f>'Смета Внутр'!D2331</f>
        <v>10</v>
      </c>
      <c r="E2324" s="1042">
        <f>'Смета Внутр'!E2331</f>
        <v>16</v>
      </c>
      <c r="F2324" s="1042">
        <f>'Смета Внутр'!F2331</f>
        <v>0</v>
      </c>
      <c r="G2324" s="1042">
        <f t="shared" si="103"/>
        <v>16</v>
      </c>
      <c r="H2324" s="1042">
        <f>'Смета Внутр'!G2331</f>
        <v>160</v>
      </c>
      <c r="I2324" s="1042">
        <f>'Смета Внутр'!H2331</f>
        <v>0</v>
      </c>
      <c r="J2324" s="1058">
        <f>'Смета Внутр'!I2331</f>
        <v>0</v>
      </c>
    </row>
    <row r="2325" spans="2:10" ht="15" customHeight="1">
      <c r="B2325" s="1042" t="str">
        <f>'Смета Внутр'!B2332</f>
        <v>резьба ду 32</v>
      </c>
      <c r="C2325" s="1042" t="str">
        <f>'Смета Внутр'!C2332</f>
        <v>шт</v>
      </c>
      <c r="D2325" s="1058">
        <f>'Смета Внутр'!D2332</f>
        <v>10</v>
      </c>
      <c r="E2325" s="1042">
        <f>'Смета Внутр'!E2332</f>
        <v>12</v>
      </c>
      <c r="F2325" s="1042">
        <f>'Смета Внутр'!F2332</f>
        <v>0</v>
      </c>
      <c r="G2325" s="1042">
        <f t="shared" si="103"/>
        <v>12</v>
      </c>
      <c r="H2325" s="1042">
        <f>'Смета Внутр'!G2332</f>
        <v>120</v>
      </c>
      <c r="I2325" s="1042">
        <f>'Смета Внутр'!H2332</f>
        <v>0</v>
      </c>
      <c r="J2325" s="1058">
        <f>'Смета Внутр'!I2332</f>
        <v>0</v>
      </c>
    </row>
    <row r="2326" spans="2:10" ht="15" customHeight="1">
      <c r="B2326" s="1042" t="str">
        <f>'Смета Внутр'!B2333</f>
        <v>переод с ду 32на 20</v>
      </c>
      <c r="C2326" s="1042" t="str">
        <f>'Смета Внутр'!C2333</f>
        <v>шт</v>
      </c>
      <c r="D2326" s="1058">
        <f>'Смета Внутр'!D2333</f>
        <v>5</v>
      </c>
      <c r="E2326" s="1042">
        <f>'Смета Внутр'!E2333</f>
        <v>16</v>
      </c>
      <c r="F2326" s="1042">
        <f>'Смета Внутр'!F2333</f>
        <v>0</v>
      </c>
      <c r="G2326" s="1042">
        <f t="shared" si="103"/>
        <v>16</v>
      </c>
      <c r="H2326" s="1042">
        <f>'Смета Внутр'!G2333</f>
        <v>80</v>
      </c>
      <c r="I2326" s="1042">
        <f>'Смета Внутр'!H2333</f>
        <v>0</v>
      </c>
      <c r="J2326" s="1058">
        <f>'Смета Внутр'!I2333</f>
        <v>0</v>
      </c>
    </row>
    <row r="2327" spans="2:10" ht="15" customHeight="1">
      <c r="B2327" s="1042" t="str">
        <f>'Смета Внутр'!B2334</f>
        <v>электроды, пачка</v>
      </c>
      <c r="C2327" s="1042" t="str">
        <f>'Смета Внутр'!C2334</f>
        <v>шт</v>
      </c>
      <c r="D2327" s="1058">
        <f>'Смета Внутр'!D2334</f>
        <v>1</v>
      </c>
      <c r="E2327" s="1042">
        <f>'Смета Внутр'!E2334</f>
        <v>800</v>
      </c>
      <c r="F2327" s="1042">
        <f>'Смета Внутр'!F2334</f>
        <v>0</v>
      </c>
      <c r="G2327" s="1042">
        <f t="shared" si="103"/>
        <v>800</v>
      </c>
      <c r="H2327" s="1042">
        <f>'Смета Внутр'!G2334</f>
        <v>800</v>
      </c>
      <c r="I2327" s="1042">
        <f>'Смета Внутр'!H2334</f>
        <v>0</v>
      </c>
      <c r="J2327" s="1058">
        <f>'Смета Внутр'!I2334</f>
        <v>0</v>
      </c>
    </row>
    <row r="2328" spans="2:10" ht="15" customHeight="1">
      <c r="B2328" s="1042" t="str">
        <f>'Смета Внутр'!B2335</f>
        <v>лен</v>
      </c>
      <c r="C2328" s="1042" t="str">
        <f>'Смета Внутр'!C2335</f>
        <v>рулон</v>
      </c>
      <c r="D2328" s="1058">
        <f>'Смета Внутр'!D2335</f>
        <v>1</v>
      </c>
      <c r="E2328" s="1042">
        <f>'Смета Внутр'!E2335</f>
        <v>200</v>
      </c>
      <c r="F2328" s="1042">
        <f>'Смета Внутр'!F2335</f>
        <v>0</v>
      </c>
      <c r="G2328" s="1042">
        <f t="shared" si="103"/>
        <v>200</v>
      </c>
      <c r="H2328" s="1042">
        <f>'Смета Внутр'!G2335</f>
        <v>200</v>
      </c>
      <c r="I2328" s="1042">
        <f>'Смета Внутр'!H2335</f>
        <v>0</v>
      </c>
      <c r="J2328" s="1058">
        <f>'Смета Внутр'!I2335</f>
        <v>0</v>
      </c>
    </row>
    <row r="2329" spans="2:10">
      <c r="B2329" s="3330" t="str">
        <f>'Смета Внутр'!B2336</f>
        <v>Итого материалы</v>
      </c>
      <c r="C2329" s="3330"/>
      <c r="D2329" s="3330"/>
      <c r="E2329" s="3330"/>
      <c r="F2329" s="3330"/>
      <c r="G2329" s="3330"/>
      <c r="H2329" s="1042">
        <f>'Смета Внутр'!G2336</f>
        <v>0</v>
      </c>
      <c r="I2329" s="1042">
        <f>'Смета Внутр'!H2336</f>
        <v>0</v>
      </c>
      <c r="J2329" s="1058">
        <f>'Смета Внутр'!I2336</f>
        <v>0</v>
      </c>
    </row>
    <row r="2330" spans="2:10">
      <c r="B2330" s="3002" t="str">
        <f>'Смета Внутр'!B2337</f>
        <v>Работы</v>
      </c>
      <c r="D2330" s="1167"/>
      <c r="H2330">
        <f>'Смета Внутр'!G2337</f>
        <v>0</v>
      </c>
      <c r="I2330">
        <f>'Смета Внутр'!H2337</f>
        <v>0</v>
      </c>
      <c r="J2330" s="3027">
        <f>'Смета Внутр'!I2337</f>
        <v>0</v>
      </c>
    </row>
    <row r="2331" spans="2:10">
      <c r="B2331" s="1042" t="str">
        <f>'Смета Внутр'!B2338</f>
        <v>котел установка</v>
      </c>
      <c r="C2331" s="1042" t="str">
        <f>'Смета Внутр'!C2338</f>
        <v>шт</v>
      </c>
      <c r="D2331" s="1058">
        <f>'Смета Внутр'!D2338</f>
        <v>1</v>
      </c>
      <c r="E2331" s="1042">
        <f>'Смета Внутр'!E2338</f>
        <v>3500</v>
      </c>
      <c r="F2331" s="1042">
        <f>'Смета Внутр'!F2338</f>
        <v>0</v>
      </c>
      <c r="G2331" s="1042">
        <f t="shared" ref="G2331:G2338" si="104">IF(E2331&gt;F2331,E2331,F2331)</f>
        <v>3500</v>
      </c>
      <c r="H2331" s="1042">
        <f>'Смета Внутр'!G2338</f>
        <v>3500</v>
      </c>
      <c r="I2331" s="1042">
        <f>'Смета Внутр'!H2338</f>
        <v>0</v>
      </c>
      <c r="J2331" s="1058">
        <f>'Смета Внутр'!I2338</f>
        <v>0</v>
      </c>
    </row>
    <row r="2332" spans="2:10">
      <c r="B2332" s="1042" t="str">
        <f>'Смета Внутр'!B2339</f>
        <v>бойлер установка</v>
      </c>
      <c r="C2332" s="1042" t="str">
        <f>'Смета Внутр'!C2339</f>
        <v>шт</v>
      </c>
      <c r="D2332" s="1058">
        <f>'Смета Внутр'!D2339</f>
        <v>1</v>
      </c>
      <c r="E2332" s="1042">
        <f>'Смета Внутр'!E2339</f>
        <v>2500</v>
      </c>
      <c r="F2332" s="1042">
        <f>'Смета Внутр'!F2339</f>
        <v>0</v>
      </c>
      <c r="G2332" s="1042">
        <f t="shared" si="104"/>
        <v>2500</v>
      </c>
      <c r="H2332" s="1042">
        <f>'Смета Внутр'!G2339</f>
        <v>2500</v>
      </c>
      <c r="I2332" s="1042">
        <f>'Смета Внутр'!H2339</f>
        <v>0</v>
      </c>
      <c r="J2332" s="1058">
        <f>'Смета Внутр'!I2339</f>
        <v>0</v>
      </c>
    </row>
    <row r="2333" spans="2:10">
      <c r="B2333" s="1042" t="str">
        <f>'Смета Внутр'!B2340</f>
        <v>гребенка установка</v>
      </c>
      <c r="C2333" s="1042" t="str">
        <f>'Смета Внутр'!C2340</f>
        <v>шт</v>
      </c>
      <c r="D2333" s="1058">
        <f>'Смета Внутр'!D2340</f>
        <v>1</v>
      </c>
      <c r="E2333" s="1042">
        <f>'Смета Внутр'!E2340</f>
        <v>2000</v>
      </c>
      <c r="F2333" s="1042">
        <f>'Смета Внутр'!F2340</f>
        <v>0</v>
      </c>
      <c r="G2333" s="1042">
        <f t="shared" si="104"/>
        <v>2000</v>
      </c>
      <c r="H2333" s="1042">
        <f>'Смета Внутр'!G2340</f>
        <v>2000</v>
      </c>
      <c r="I2333" s="1042">
        <f>'Смета Внутр'!H2340</f>
        <v>0</v>
      </c>
      <c r="J2333" s="1058">
        <f>'Смета Внутр'!I2340</f>
        <v>0</v>
      </c>
    </row>
    <row r="2334" spans="2:10">
      <c r="B2334" s="1042" t="str">
        <f>'Смета Внутр'!B2341</f>
        <v>насос установка на отопл</v>
      </c>
      <c r="C2334" s="1042" t="str">
        <f>'Смета Внутр'!C2341</f>
        <v>шт</v>
      </c>
      <c r="D2334" s="1058">
        <f>'Смета Внутр'!D2341</f>
        <v>1</v>
      </c>
      <c r="E2334" s="1042">
        <f>'Смета Внутр'!E2341</f>
        <v>1000</v>
      </c>
      <c r="F2334" s="1042">
        <f>'Смета Внутр'!F2341</f>
        <v>0</v>
      </c>
      <c r="G2334" s="1042">
        <f t="shared" si="104"/>
        <v>1000</v>
      </c>
      <c r="H2334" s="1042">
        <f>'Смета Внутр'!G2341</f>
        <v>1000</v>
      </c>
      <c r="I2334" s="1042">
        <f>'Смета Внутр'!H2341</f>
        <v>0</v>
      </c>
      <c r="J2334" s="1058">
        <f>'Смета Внутр'!I2341</f>
        <v>0</v>
      </c>
    </row>
    <row r="2335" spans="2:10">
      <c r="B2335" s="1042" t="str">
        <f>'Смета Внутр'!B2342</f>
        <v>насос установка на гвс</v>
      </c>
      <c r="C2335" s="1042" t="str">
        <f>'Смета Внутр'!C2342</f>
        <v>шт</v>
      </c>
      <c r="D2335" s="1058">
        <f>'Смета Внутр'!D2342</f>
        <v>1</v>
      </c>
      <c r="E2335" s="1042">
        <f>'Смета Внутр'!E2342</f>
        <v>1000</v>
      </c>
      <c r="F2335" s="1042">
        <f>'Смета Внутр'!F2342</f>
        <v>0</v>
      </c>
      <c r="G2335" s="1042">
        <f t="shared" si="104"/>
        <v>1000</v>
      </c>
      <c r="H2335" s="1042">
        <f>'Смета Внутр'!G2342</f>
        <v>1000</v>
      </c>
      <c r="I2335" s="1042">
        <f>'Смета Внутр'!H2342</f>
        <v>0</v>
      </c>
      <c r="J2335" s="1058">
        <f>'Смета Внутр'!I2342</f>
        <v>0</v>
      </c>
    </row>
    <row r="2336" spans="2:10">
      <c r="B2336" s="1042" t="str">
        <f>'Смета Внутр'!B2343</f>
        <v>монтаж сбросного клапана</v>
      </c>
      <c r="C2336" s="1042" t="str">
        <f>'Смета Внутр'!C2343</f>
        <v>шт</v>
      </c>
      <c r="D2336" s="1058">
        <f>'Смета Внутр'!D2343</f>
        <v>1</v>
      </c>
      <c r="E2336" s="1042">
        <f>'Смета Внутр'!E2343</f>
        <v>900</v>
      </c>
      <c r="F2336" s="1042">
        <f>'Смета Внутр'!F2343</f>
        <v>0</v>
      </c>
      <c r="G2336" s="1042">
        <f t="shared" si="104"/>
        <v>900</v>
      </c>
      <c r="H2336" s="1042">
        <f>'Смета Внутр'!G2343</f>
        <v>900</v>
      </c>
      <c r="I2336" s="1042">
        <f>'Смета Внутр'!H2343</f>
        <v>0</v>
      </c>
      <c r="J2336" s="1058">
        <f>'Смета Внутр'!I2343</f>
        <v>0</v>
      </c>
    </row>
    <row r="2337" spans="2:10">
      <c r="B2337" s="1042" t="str">
        <f>'Смета Внутр'!B2344</f>
        <v>монтаж датчика</v>
      </c>
      <c r="C2337" s="1042" t="str">
        <f>'Смета Внутр'!C2344</f>
        <v>шт</v>
      </c>
      <c r="D2337" s="1058">
        <f>'Смета Внутр'!D2344</f>
        <v>2</v>
      </c>
      <c r="E2337" s="1042">
        <f>'Смета Внутр'!E2344</f>
        <v>700</v>
      </c>
      <c r="F2337" s="1042">
        <f>'Смета Внутр'!F2344</f>
        <v>0</v>
      </c>
      <c r="G2337" s="1042">
        <f t="shared" si="104"/>
        <v>700</v>
      </c>
      <c r="H2337" s="1042">
        <f>'Смета Внутр'!G2344</f>
        <v>1400</v>
      </c>
      <c r="I2337" s="1042">
        <f>'Смета Внутр'!H2344</f>
        <v>0</v>
      </c>
      <c r="J2337" s="1058">
        <f>'Смета Внутр'!I2344</f>
        <v>0</v>
      </c>
    </row>
    <row r="2338" spans="2:10">
      <c r="B2338" s="1042" t="str">
        <f>'Смета Внутр'!B2345</f>
        <v>труба обвязка</v>
      </c>
      <c r="C2338" s="1042" t="str">
        <f>'Смета Внутр'!C2345</f>
        <v>м.п.</v>
      </c>
      <c r="D2338" s="1058">
        <f>'Смета Внутр'!D2345</f>
        <v>20</v>
      </c>
      <c r="E2338" s="1042">
        <f>'Смета Внутр'!E2345</f>
        <v>500</v>
      </c>
      <c r="F2338" s="1042">
        <f>'Смета Внутр'!F2345</f>
        <v>0</v>
      </c>
      <c r="G2338" s="1042">
        <f t="shared" si="104"/>
        <v>500</v>
      </c>
      <c r="H2338" s="1042">
        <f>'Смета Внутр'!G2345</f>
        <v>10000</v>
      </c>
      <c r="I2338" s="1042">
        <f>'Смета Внутр'!H2345</f>
        <v>0</v>
      </c>
      <c r="J2338" s="1058">
        <f>'Смета Внутр'!I2345</f>
        <v>0</v>
      </c>
    </row>
    <row r="2339" spans="2:10">
      <c r="B2339" s="3330" t="str">
        <f>'Смета Внутр'!B2346</f>
        <v>Итого работы</v>
      </c>
      <c r="C2339" s="3330"/>
      <c r="D2339" s="3330"/>
      <c r="E2339" s="3330"/>
      <c r="F2339" s="3330"/>
      <c r="G2339" s="3330"/>
      <c r="H2339" s="1042">
        <f>'Смета Внутр'!G2346</f>
        <v>0</v>
      </c>
      <c r="I2339" s="1042">
        <f>'Смета Внутр'!H2346</f>
        <v>0</v>
      </c>
      <c r="J2339" s="1058">
        <f>'Смета Внутр'!I2346</f>
        <v>0</v>
      </c>
    </row>
    <row r="2340" spans="2:10" ht="19">
      <c r="B2340" s="3329" t="str">
        <f>'Смета Внутр'!B2347</f>
        <v>Транспорт</v>
      </c>
      <c r="C2340" s="3329"/>
      <c r="D2340" s="3329"/>
      <c r="H2340">
        <f>'Смета Внутр'!G2347</f>
        <v>0</v>
      </c>
      <c r="I2340">
        <f>'Смета Внутр'!H2347</f>
        <v>0</v>
      </c>
      <c r="J2340" s="3027">
        <f>'Смета Внутр'!I2347</f>
        <v>0</v>
      </c>
    </row>
    <row r="2341" spans="2:10">
      <c r="B2341" s="1042" t="str">
        <f>'Смета Внутр'!B2348</f>
        <v>Нет техники</v>
      </c>
      <c r="C2341" s="1042" t="str">
        <f>'Смета Внутр'!C2348</f>
        <v>ед.</v>
      </c>
      <c r="D2341" s="1058">
        <f>'Смета Внутр'!D2348</f>
        <v>0</v>
      </c>
      <c r="E2341" s="1042">
        <f>'Смета Внутр'!E2348</f>
        <v>0</v>
      </c>
      <c r="F2341" s="1042">
        <f>'Смета Внутр'!F2348</f>
        <v>0</v>
      </c>
      <c r="G2341" s="1042">
        <f t="shared" ref="G2341:G2372" si="105">IF(E2341&gt;F2341,E2341,F2341)</f>
        <v>0</v>
      </c>
      <c r="H2341" s="1042">
        <f>'Смета Внутр'!G2348</f>
        <v>0</v>
      </c>
      <c r="I2341" s="1042">
        <f>'Смета Внутр'!H2348</f>
        <v>0</v>
      </c>
      <c r="J2341" s="1058">
        <f>'Смета Внутр'!I2348</f>
        <v>0</v>
      </c>
    </row>
    <row r="2342" spans="2:10">
      <c r="B2342" s="1042" t="str">
        <f>'Смета Внутр'!B2349</f>
        <v>Нет техники</v>
      </c>
      <c r="C2342" s="1042" t="str">
        <f>'Смета Внутр'!C2349</f>
        <v>ед.</v>
      </c>
      <c r="D2342" s="1058">
        <f>'Смета Внутр'!D2349</f>
        <v>0</v>
      </c>
      <c r="E2342" s="1042">
        <f>'Смета Внутр'!E2349</f>
        <v>0</v>
      </c>
      <c r="F2342" s="1042">
        <f>'Смета Внутр'!F2349</f>
        <v>0</v>
      </c>
      <c r="G2342" s="1042">
        <f t="shared" si="105"/>
        <v>0</v>
      </c>
      <c r="H2342" s="1042">
        <f>'Смета Внутр'!G2349</f>
        <v>0</v>
      </c>
      <c r="I2342" s="1042">
        <f>'Смета Внутр'!H2349</f>
        <v>0</v>
      </c>
      <c r="J2342" s="1058">
        <f>'Смета Внутр'!I2349</f>
        <v>0</v>
      </c>
    </row>
    <row r="2343" spans="2:10">
      <c r="B2343" s="1042" t="str">
        <f>'Смета Внутр'!B2350</f>
        <v>Нет техники</v>
      </c>
      <c r="C2343" s="1042" t="str">
        <f>'Смета Внутр'!C2350</f>
        <v>ед.</v>
      </c>
      <c r="D2343" s="1058">
        <f>'Смета Внутр'!D2350</f>
        <v>0</v>
      </c>
      <c r="E2343" s="1042">
        <f>'Смета Внутр'!E2350</f>
        <v>0</v>
      </c>
      <c r="F2343" s="1042">
        <f>'Смета Внутр'!F2350</f>
        <v>0</v>
      </c>
      <c r="G2343" s="1042">
        <f t="shared" si="105"/>
        <v>0</v>
      </c>
      <c r="H2343" s="1042">
        <f>'Смета Внутр'!G2350</f>
        <v>0</v>
      </c>
      <c r="I2343" s="1042">
        <f>'Смета Внутр'!H2350</f>
        <v>0</v>
      </c>
      <c r="J2343" s="1058">
        <f>'Смета Внутр'!I2350</f>
        <v>0</v>
      </c>
    </row>
    <row r="2344" spans="2:10">
      <c r="B2344" s="1042" t="str">
        <f>'Смета Внутр'!B2351</f>
        <v>Нет техники</v>
      </c>
      <c r="C2344" s="1042" t="str">
        <f>'Смета Внутр'!C2351</f>
        <v>ед.</v>
      </c>
      <c r="D2344" s="1058">
        <f>'Смета Внутр'!D2351</f>
        <v>0</v>
      </c>
      <c r="E2344" s="1042">
        <f>'Смета Внутр'!E2351</f>
        <v>0</v>
      </c>
      <c r="F2344" s="1042">
        <f>'Смета Внутр'!F2351</f>
        <v>0</v>
      </c>
      <c r="G2344" s="1042">
        <f t="shared" si="105"/>
        <v>0</v>
      </c>
      <c r="H2344" s="1042">
        <f>'Смета Внутр'!G2351</f>
        <v>0</v>
      </c>
      <c r="I2344" s="1042">
        <f>'Смета Внутр'!H2351</f>
        <v>0</v>
      </c>
      <c r="J2344" s="1058">
        <f>'Смета Внутр'!I2351</f>
        <v>0</v>
      </c>
    </row>
    <row r="2345" spans="2:10">
      <c r="B2345" s="1042" t="str">
        <f>'Смета Внутр'!B2352</f>
        <v>Нет техники</v>
      </c>
      <c r="C2345" s="1042" t="str">
        <f>'Смета Внутр'!C2352</f>
        <v>ед.</v>
      </c>
      <c r="D2345" s="1058">
        <f>'Смета Внутр'!D2352</f>
        <v>4</v>
      </c>
      <c r="E2345" s="1042">
        <f>'Смета Внутр'!E2352</f>
        <v>0</v>
      </c>
      <c r="F2345" s="1042">
        <f>'Смета Внутр'!F2352</f>
        <v>0</v>
      </c>
      <c r="G2345" s="1042">
        <f t="shared" si="105"/>
        <v>0</v>
      </c>
      <c r="H2345" s="1042">
        <f>'Смета Внутр'!G2352</f>
        <v>0</v>
      </c>
      <c r="I2345" s="1042">
        <f>'Смета Внутр'!H2352</f>
        <v>0</v>
      </c>
      <c r="J2345" s="1058">
        <f>'Смета Внутр'!I2352</f>
        <v>0</v>
      </c>
    </row>
    <row r="2346" spans="2:10">
      <c r="B2346" s="1042" t="str">
        <f>'Смета Внутр'!B2353</f>
        <v>Нет техники</v>
      </c>
      <c r="C2346" s="1042" t="str">
        <f>'Смета Внутр'!C2353</f>
        <v>ед.</v>
      </c>
      <c r="D2346" s="1058">
        <f>'Смета Внутр'!D2353</f>
        <v>4</v>
      </c>
      <c r="E2346" s="1042">
        <f>'Смета Внутр'!E2353</f>
        <v>0</v>
      </c>
      <c r="F2346" s="1042">
        <f>'Смета Внутр'!F2353</f>
        <v>0</v>
      </c>
      <c r="G2346" s="1042">
        <f t="shared" si="105"/>
        <v>0</v>
      </c>
      <c r="H2346" s="1042">
        <f>'Смета Внутр'!G2353</f>
        <v>0</v>
      </c>
      <c r="I2346" s="1042">
        <f>'Смета Внутр'!H2353</f>
        <v>0</v>
      </c>
      <c r="J2346" s="1058">
        <f>'Смета Внутр'!I2353</f>
        <v>0</v>
      </c>
    </row>
    <row r="2347" spans="2:10">
      <c r="B2347" s="1042" t="str">
        <f>'Смета Внутр'!B2354</f>
        <v>Нет техники</v>
      </c>
      <c r="C2347" s="1042" t="str">
        <f>'Смета Внутр'!C2354</f>
        <v>ед.</v>
      </c>
      <c r="D2347" s="1058">
        <f>'Смета Внутр'!D2354</f>
        <v>6</v>
      </c>
      <c r="E2347" s="1042">
        <f>'Смета Внутр'!E2354</f>
        <v>0</v>
      </c>
      <c r="F2347" s="1042">
        <f>'Смета Внутр'!F2354</f>
        <v>0</v>
      </c>
      <c r="G2347" s="1042">
        <f t="shared" si="105"/>
        <v>0</v>
      </c>
      <c r="H2347" s="1042">
        <f>'Смета Внутр'!G2354</f>
        <v>0</v>
      </c>
      <c r="I2347" s="1042">
        <f>'Смета Внутр'!H2354</f>
        <v>0</v>
      </c>
      <c r="J2347" s="1058">
        <f>'Смета Внутр'!I2354</f>
        <v>0</v>
      </c>
    </row>
    <row r="2348" spans="2:10">
      <c r="B2348" s="1042" t="str">
        <f>'Смета Внутр'!B2355</f>
        <v>Нет техники</v>
      </c>
      <c r="C2348" s="1042" t="str">
        <f>'Смета Внутр'!C2355</f>
        <v>ед.</v>
      </c>
      <c r="D2348" s="1058">
        <f>'Смета Внутр'!D2355</f>
        <v>4</v>
      </c>
      <c r="E2348" s="1042">
        <f>'Смета Внутр'!E2355</f>
        <v>0</v>
      </c>
      <c r="F2348" s="1042">
        <f>'Смета Внутр'!F2355</f>
        <v>0</v>
      </c>
      <c r="G2348" s="1042">
        <f t="shared" si="105"/>
        <v>0</v>
      </c>
      <c r="H2348" s="1042">
        <f>'Смета Внутр'!G2355</f>
        <v>0</v>
      </c>
      <c r="I2348" s="1042">
        <f>'Смета Внутр'!H2355</f>
        <v>0</v>
      </c>
      <c r="J2348" s="1058">
        <f>'Смета Внутр'!I2355</f>
        <v>0</v>
      </c>
    </row>
    <row r="2349" spans="2:10">
      <c r="B2349" s="1042" t="str">
        <f>'Смета Внутр'!B2356</f>
        <v>Нет техники</v>
      </c>
      <c r="C2349" s="1042" t="str">
        <f>'Смета Внутр'!C2356</f>
        <v>ед.</v>
      </c>
      <c r="D2349" s="1058">
        <f>'Смета Внутр'!D2356</f>
        <v>0</v>
      </c>
      <c r="E2349" s="1042">
        <f>'Смета Внутр'!E2356</f>
        <v>0</v>
      </c>
      <c r="F2349" s="1042">
        <f>'Смета Внутр'!F2356</f>
        <v>0</v>
      </c>
      <c r="G2349" s="1042">
        <f t="shared" si="105"/>
        <v>0</v>
      </c>
      <c r="H2349" s="1042">
        <f>'Смета Внутр'!G2356</f>
        <v>0</v>
      </c>
      <c r="I2349" s="1042">
        <f>'Смета Внутр'!H2356</f>
        <v>0</v>
      </c>
      <c r="J2349" s="1058">
        <f>'Смета Внутр'!I2356</f>
        <v>0</v>
      </c>
    </row>
    <row r="2350" spans="2:10">
      <c r="B2350" s="1042" t="str">
        <f>'Смета Внутр'!B2357</f>
        <v>Нет техники</v>
      </c>
      <c r="C2350" s="1042" t="str">
        <f>'Смета Внутр'!C2357</f>
        <v>ед.</v>
      </c>
      <c r="D2350" s="1058">
        <f>'Смета Внутр'!D2357</f>
        <v>4</v>
      </c>
      <c r="E2350" s="1042">
        <f>'Смета Внутр'!E2357</f>
        <v>0</v>
      </c>
      <c r="F2350" s="1042">
        <f>'Смета Внутр'!F2357</f>
        <v>0</v>
      </c>
      <c r="G2350" s="1042">
        <f t="shared" si="105"/>
        <v>0</v>
      </c>
      <c r="H2350" s="1042">
        <f>'Смета Внутр'!G2357</f>
        <v>0</v>
      </c>
      <c r="I2350" s="1042">
        <f>'Смета Внутр'!H2357</f>
        <v>0</v>
      </c>
      <c r="J2350" s="1058">
        <f>'Смета Внутр'!I2357</f>
        <v>0</v>
      </c>
    </row>
    <row r="2351" spans="2:10">
      <c r="B2351" s="1042" t="str">
        <f>'Смета Внутр'!B2358</f>
        <v>Нет техники</v>
      </c>
      <c r="C2351" s="1042" t="str">
        <f>'Смета Внутр'!C2358</f>
        <v>ед.</v>
      </c>
      <c r="D2351" s="1058">
        <f>'Смета Внутр'!D2358</f>
        <v>4</v>
      </c>
      <c r="E2351" s="1042">
        <f>'Смета Внутр'!E2358</f>
        <v>0</v>
      </c>
      <c r="F2351" s="1042">
        <f>'Смета Внутр'!F2358</f>
        <v>0</v>
      </c>
      <c r="G2351" s="1042">
        <f t="shared" si="105"/>
        <v>0</v>
      </c>
      <c r="H2351" s="1042">
        <f>'Смета Внутр'!G2358</f>
        <v>0</v>
      </c>
      <c r="I2351" s="1042">
        <f>'Смета Внутр'!H2358</f>
        <v>0</v>
      </c>
      <c r="J2351" s="1058">
        <f>'Смета Внутр'!I2358</f>
        <v>0</v>
      </c>
    </row>
    <row r="2352" spans="2:10">
      <c r="B2352" s="1042" t="str">
        <f>'Смета Внутр'!B2359</f>
        <v>Нет техники</v>
      </c>
      <c r="C2352" s="1042" t="str">
        <f>'Смета Внутр'!C2359</f>
        <v>ед.</v>
      </c>
      <c r="D2352" s="1058">
        <f>'Смета Внутр'!D2359</f>
        <v>6</v>
      </c>
      <c r="E2352" s="1042">
        <f>'Смета Внутр'!E2359</f>
        <v>0</v>
      </c>
      <c r="F2352" s="1042">
        <f>'Смета Внутр'!F2359</f>
        <v>0</v>
      </c>
      <c r="G2352" s="1042">
        <f t="shared" si="105"/>
        <v>0</v>
      </c>
      <c r="H2352" s="1042">
        <f>'Смета Внутр'!G2359</f>
        <v>0</v>
      </c>
      <c r="I2352" s="1042">
        <f>'Смета Внутр'!H2359</f>
        <v>0</v>
      </c>
      <c r="J2352" s="1058">
        <f>'Смета Внутр'!I2359</f>
        <v>0</v>
      </c>
    </row>
    <row r="2353" spans="2:10">
      <c r="B2353" s="1042" t="str">
        <f>'Смета Внутр'!B2360</f>
        <v>Нет техники</v>
      </c>
      <c r="C2353" s="1042" t="str">
        <f>'Смета Внутр'!C2360</f>
        <v>ед.</v>
      </c>
      <c r="D2353" s="1058">
        <f>'Смета Внутр'!D2360</f>
        <v>4</v>
      </c>
      <c r="E2353" s="1042">
        <f>'Смета Внутр'!E2360</f>
        <v>0</v>
      </c>
      <c r="F2353" s="1042">
        <f>'Смета Внутр'!F2360</f>
        <v>0</v>
      </c>
      <c r="G2353" s="1042">
        <f t="shared" si="105"/>
        <v>0</v>
      </c>
      <c r="H2353" s="1042">
        <f>'Смета Внутр'!G2360</f>
        <v>0</v>
      </c>
      <c r="I2353" s="1042">
        <f>'Смета Внутр'!H2360</f>
        <v>0</v>
      </c>
      <c r="J2353" s="1058">
        <f>'Смета Внутр'!I2360</f>
        <v>0</v>
      </c>
    </row>
    <row r="2354" spans="2:10">
      <c r="B2354" s="1042" t="str">
        <f>'Смета Внутр'!B2361</f>
        <v>Нет техники</v>
      </c>
      <c r="C2354" s="1042" t="str">
        <f>'Смета Внутр'!C2361</f>
        <v>ед.</v>
      </c>
      <c r="D2354" s="1058">
        <f>'Смета Внутр'!D2361</f>
        <v>0</v>
      </c>
      <c r="E2354" s="1042">
        <f>'Смета Внутр'!E2361</f>
        <v>0</v>
      </c>
      <c r="F2354" s="1042">
        <f>'Смета Внутр'!F2361</f>
        <v>0</v>
      </c>
      <c r="G2354" s="1042">
        <f t="shared" si="105"/>
        <v>0</v>
      </c>
      <c r="H2354" s="1042">
        <f>'Смета Внутр'!G2361</f>
        <v>0</v>
      </c>
      <c r="I2354" s="1042">
        <f>'Смета Внутр'!H2361</f>
        <v>0</v>
      </c>
      <c r="J2354" s="1058">
        <f>'Смета Внутр'!I2361</f>
        <v>0</v>
      </c>
    </row>
    <row r="2355" spans="2:10">
      <c r="B2355" s="1042" t="str">
        <f>'Смета Внутр'!B2362</f>
        <v>Нет техники</v>
      </c>
      <c r="C2355" s="1042" t="str">
        <f>'Смета Внутр'!C2362</f>
        <v>ед.</v>
      </c>
      <c r="D2355" s="1058">
        <f>'Смета Внутр'!D2362</f>
        <v>3</v>
      </c>
      <c r="E2355" s="1042">
        <f>'Смета Внутр'!E2362</f>
        <v>0</v>
      </c>
      <c r="F2355" s="1042">
        <f>'Смета Внутр'!F2362</f>
        <v>0</v>
      </c>
      <c r="G2355" s="1042">
        <f t="shared" si="105"/>
        <v>0</v>
      </c>
      <c r="H2355" s="1042">
        <f>'Смета Внутр'!G2362</f>
        <v>0</v>
      </c>
      <c r="I2355" s="1042">
        <f>'Смета Внутр'!H2362</f>
        <v>0</v>
      </c>
      <c r="J2355" s="1058">
        <f>'Смета Внутр'!I2362</f>
        <v>0</v>
      </c>
    </row>
    <row r="2356" spans="2:10">
      <c r="B2356" s="1042" t="str">
        <f>'Смета Внутр'!B2363</f>
        <v>Нет техники</v>
      </c>
      <c r="C2356" s="1042" t="str">
        <f>'Смета Внутр'!C2363</f>
        <v>ед.</v>
      </c>
      <c r="D2356" s="1058">
        <f>'Смета Внутр'!D2363</f>
        <v>0</v>
      </c>
      <c r="E2356" s="1042">
        <f>'Смета Внутр'!E2363</f>
        <v>0</v>
      </c>
      <c r="F2356" s="1042">
        <f>'Смета Внутр'!F2363</f>
        <v>0</v>
      </c>
      <c r="G2356" s="1042">
        <f t="shared" si="105"/>
        <v>0</v>
      </c>
      <c r="H2356" s="1042">
        <f>'Смета Внутр'!G2363</f>
        <v>0</v>
      </c>
      <c r="I2356" s="1042">
        <f>'Смета Внутр'!H2363</f>
        <v>0</v>
      </c>
      <c r="J2356" s="1058">
        <f>'Смета Внутр'!I2363</f>
        <v>0</v>
      </c>
    </row>
    <row r="2357" spans="2:10">
      <c r="B2357" s="1042" t="str">
        <f>'Смета Внутр'!B2364</f>
        <v>Нет техники</v>
      </c>
      <c r="C2357" s="1042" t="str">
        <f>'Смета Внутр'!C2364</f>
        <v>ед.</v>
      </c>
      <c r="D2357" s="1058">
        <f>'Смета Внутр'!D2364</f>
        <v>0</v>
      </c>
      <c r="E2357" s="1042">
        <f>'Смета Внутр'!E2364</f>
        <v>0</v>
      </c>
      <c r="F2357" s="1042">
        <f>'Смета Внутр'!F2364</f>
        <v>0</v>
      </c>
      <c r="G2357" s="1042">
        <f t="shared" si="105"/>
        <v>0</v>
      </c>
      <c r="H2357" s="1042">
        <f>'Смета Внутр'!G2364</f>
        <v>0</v>
      </c>
      <c r="I2357" s="1042">
        <f>'Смета Внутр'!H2364</f>
        <v>0</v>
      </c>
      <c r="J2357" s="1058">
        <f>'Смета Внутр'!I2364</f>
        <v>0</v>
      </c>
    </row>
    <row r="2358" spans="2:10">
      <c r="B2358" s="1042" t="str">
        <f>'Смета Внутр'!B2365</f>
        <v>Нет техники</v>
      </c>
      <c r="C2358" s="1042" t="str">
        <f>'Смета Внутр'!C2365</f>
        <v>ед.</v>
      </c>
      <c r="D2358" s="1058">
        <f>'Смета Внутр'!D2365</f>
        <v>0</v>
      </c>
      <c r="E2358" s="1042">
        <f>'Смета Внутр'!E2365</f>
        <v>0</v>
      </c>
      <c r="F2358" s="1042">
        <f>'Смета Внутр'!F2365</f>
        <v>0</v>
      </c>
      <c r="G2358" s="1042">
        <f t="shared" si="105"/>
        <v>0</v>
      </c>
      <c r="H2358" s="1042">
        <f>'Смета Внутр'!G2365</f>
        <v>0</v>
      </c>
      <c r="I2358" s="1042">
        <f>'Смета Внутр'!H2365</f>
        <v>0</v>
      </c>
      <c r="J2358" s="1058">
        <f>'Смета Внутр'!I2365</f>
        <v>0</v>
      </c>
    </row>
    <row r="2359" spans="2:10">
      <c r="B2359" s="1042" t="str">
        <f>'Смета Внутр'!B2366</f>
        <v>Нет техники</v>
      </c>
      <c r="C2359" s="1042" t="str">
        <f>'Смета Внутр'!C2366</f>
        <v>ед.</v>
      </c>
      <c r="D2359" s="1058">
        <f>'Смета Внутр'!D2366</f>
        <v>0</v>
      </c>
      <c r="E2359" s="1042">
        <f>'Смета Внутр'!E2366</f>
        <v>0</v>
      </c>
      <c r="F2359" s="1042">
        <f>'Смета Внутр'!F2366</f>
        <v>0</v>
      </c>
      <c r="G2359" s="1042">
        <f t="shared" si="105"/>
        <v>0</v>
      </c>
      <c r="H2359" s="1042">
        <f>'Смета Внутр'!G2366</f>
        <v>0</v>
      </c>
      <c r="I2359" s="1042">
        <f>'Смета Внутр'!H2366</f>
        <v>0</v>
      </c>
      <c r="J2359" s="1058">
        <f>'Смета Внутр'!I2366</f>
        <v>0</v>
      </c>
    </row>
    <row r="2360" spans="2:10">
      <c r="B2360" s="1042" t="str">
        <f>'Смета Внутр'!B2367</f>
        <v>Нет техники</v>
      </c>
      <c r="C2360" s="1042" t="str">
        <f>'Смета Внутр'!C2367</f>
        <v>ед.</v>
      </c>
      <c r="D2360" s="1058">
        <f>'Смета Внутр'!D2367</f>
        <v>2</v>
      </c>
      <c r="E2360" s="1042">
        <f>'Смета Внутр'!E2367</f>
        <v>0</v>
      </c>
      <c r="F2360" s="1042">
        <f>'Смета Внутр'!F2367</f>
        <v>0</v>
      </c>
      <c r="G2360" s="1042">
        <f t="shared" si="105"/>
        <v>0</v>
      </c>
      <c r="H2360" s="1042">
        <f>'Смета Внутр'!G2367</f>
        <v>0</v>
      </c>
      <c r="I2360" s="1042">
        <f>'Смета Внутр'!H2367</f>
        <v>0</v>
      </c>
      <c r="J2360" s="1058">
        <f>'Смета Внутр'!I2367</f>
        <v>0</v>
      </c>
    </row>
    <row r="2361" spans="2:10">
      <c r="B2361" s="1042" t="str">
        <f>'Смета Внутр'!B2368</f>
        <v>Нет техники</v>
      </c>
      <c r="C2361" s="1042" t="str">
        <f>'Смета Внутр'!C2368</f>
        <v>ед.</v>
      </c>
      <c r="D2361" s="1058">
        <f>'Смета Внутр'!D2368</f>
        <v>2</v>
      </c>
      <c r="E2361" s="1042">
        <f>'Смета Внутр'!E2368</f>
        <v>0</v>
      </c>
      <c r="F2361" s="1042">
        <f>'Смета Внутр'!F2368</f>
        <v>0</v>
      </c>
      <c r="G2361" s="1042">
        <f t="shared" si="105"/>
        <v>0</v>
      </c>
      <c r="H2361" s="1042">
        <f>'Смета Внутр'!G2368</f>
        <v>0</v>
      </c>
      <c r="I2361" s="1042">
        <f>'Смета Внутр'!H2368</f>
        <v>0</v>
      </c>
      <c r="J2361" s="1058">
        <f>'Смета Внутр'!I2368</f>
        <v>0</v>
      </c>
    </row>
    <row r="2362" spans="2:10">
      <c r="B2362" s="1042" t="str">
        <f>'Смета Внутр'!B2369</f>
        <v>Нет техники</v>
      </c>
      <c r="C2362" s="1042" t="str">
        <f>'Смета Внутр'!C2369</f>
        <v>ед.</v>
      </c>
      <c r="D2362" s="1058">
        <f>'Смета Внутр'!D2369</f>
        <v>0</v>
      </c>
      <c r="E2362" s="1042">
        <f>'Смета Внутр'!E2369</f>
        <v>0</v>
      </c>
      <c r="F2362" s="1042">
        <f>'Смета Внутр'!F2369</f>
        <v>0</v>
      </c>
      <c r="G2362" s="1042">
        <f t="shared" si="105"/>
        <v>0</v>
      </c>
      <c r="H2362" s="1042">
        <f>'Смета Внутр'!G2369</f>
        <v>0</v>
      </c>
      <c r="I2362" s="1042">
        <f>'Смета Внутр'!H2369</f>
        <v>0</v>
      </c>
      <c r="J2362" s="1058">
        <f>'Смета Внутр'!I2369</f>
        <v>0</v>
      </c>
    </row>
    <row r="2363" spans="2:10">
      <c r="B2363" s="1042" t="str">
        <f>'Смета Внутр'!B2370</f>
        <v>Нет техники</v>
      </c>
      <c r="C2363" s="1042" t="str">
        <f>'Смета Внутр'!C2370</f>
        <v>ед.</v>
      </c>
      <c r="D2363" s="1058">
        <f>'Смета Внутр'!D2370</f>
        <v>0</v>
      </c>
      <c r="E2363" s="1042">
        <f>'Смета Внутр'!E2370</f>
        <v>0</v>
      </c>
      <c r="F2363" s="1042">
        <f>'Смета Внутр'!F2370</f>
        <v>0</v>
      </c>
      <c r="G2363" s="1042">
        <f t="shared" si="105"/>
        <v>0</v>
      </c>
      <c r="H2363" s="1042">
        <f>'Смета Внутр'!G2370</f>
        <v>0</v>
      </c>
      <c r="I2363" s="1042">
        <f>'Смета Внутр'!H2370</f>
        <v>0</v>
      </c>
      <c r="J2363" s="1058">
        <f>'Смета Внутр'!I2370</f>
        <v>0</v>
      </c>
    </row>
    <row r="2364" spans="2:10">
      <c r="B2364" s="1042" t="str">
        <f>'Смета Внутр'!B2371</f>
        <v>Нет техники</v>
      </c>
      <c r="C2364" s="1042" t="str">
        <f>'Смета Внутр'!C2371</f>
        <v>ед.</v>
      </c>
      <c r="D2364" s="1058">
        <f>'Смета Внутр'!D2371</f>
        <v>0</v>
      </c>
      <c r="E2364" s="1042">
        <f>'Смета Внутр'!E2371</f>
        <v>0</v>
      </c>
      <c r="F2364" s="1042">
        <f>'Смета Внутр'!F2371</f>
        <v>0</v>
      </c>
      <c r="G2364" s="1042">
        <f t="shared" si="105"/>
        <v>0</v>
      </c>
      <c r="H2364" s="1042">
        <f>'Смета Внутр'!G2371</f>
        <v>0</v>
      </c>
      <c r="I2364" s="1042">
        <f>'Смета Внутр'!H2371</f>
        <v>0</v>
      </c>
      <c r="J2364" s="1058">
        <f>'Смета Внутр'!I2371</f>
        <v>0</v>
      </c>
    </row>
    <row r="2365" spans="2:10">
      <c r="B2365" s="1042" t="str">
        <f>'Смета Внутр'!B2372</f>
        <v>Нет техники</v>
      </c>
      <c r="C2365" s="1042" t="str">
        <f>'Смета Внутр'!C2372</f>
        <v>ед.</v>
      </c>
      <c r="D2365" s="1058">
        <f>'Смета Внутр'!D2372</f>
        <v>0</v>
      </c>
      <c r="E2365" s="1042">
        <f>'Смета Внутр'!E2372</f>
        <v>15000</v>
      </c>
      <c r="F2365" s="1042">
        <f>'Смета Внутр'!F2372</f>
        <v>0</v>
      </c>
      <c r="G2365" s="1042">
        <f t="shared" si="105"/>
        <v>15000</v>
      </c>
      <c r="H2365" s="1042">
        <f>'Смета Внутр'!G2372</f>
        <v>0</v>
      </c>
      <c r="I2365" s="1042">
        <f>'Смета Внутр'!H2372</f>
        <v>0</v>
      </c>
      <c r="J2365" s="1058">
        <f>'Смета Внутр'!I2372</f>
        <v>0</v>
      </c>
    </row>
    <row r="2366" spans="2:10">
      <c r="B2366" s="1042" t="str">
        <f>'Смета Внутр'!B2373</f>
        <v>Нет техники</v>
      </c>
      <c r="C2366" s="1042" t="str">
        <f>'Смета Внутр'!C2373</f>
        <v>ед.</v>
      </c>
      <c r="D2366" s="1058">
        <f>'Смета Внутр'!D2373</f>
        <v>0</v>
      </c>
      <c r="E2366" s="1042">
        <f>'Смета Внутр'!E2373</f>
        <v>3000</v>
      </c>
      <c r="F2366" s="1042">
        <f>'Смета Внутр'!F2373</f>
        <v>0</v>
      </c>
      <c r="G2366" s="1042">
        <f t="shared" si="105"/>
        <v>3000</v>
      </c>
      <c r="H2366" s="1042">
        <f>'Смета Внутр'!G2373</f>
        <v>0</v>
      </c>
      <c r="I2366" s="1042">
        <f>'Смета Внутр'!H2373</f>
        <v>0</v>
      </c>
      <c r="J2366" s="1058">
        <f>'Смета Внутр'!I2373</f>
        <v>0</v>
      </c>
    </row>
    <row r="2367" spans="2:10">
      <c r="B2367" s="1042" t="str">
        <f>'Смета Внутр'!B2374</f>
        <v>Нет техники</v>
      </c>
      <c r="C2367" s="1042" t="str">
        <f>'Смета Внутр'!C2374</f>
        <v>ед.</v>
      </c>
      <c r="D2367" s="1058">
        <f>'Смета Внутр'!D2374</f>
        <v>0</v>
      </c>
      <c r="E2367" s="1042">
        <f>'Смета Внутр'!E2374</f>
        <v>0</v>
      </c>
      <c r="F2367" s="1042">
        <f>'Смета Внутр'!F2374</f>
        <v>0</v>
      </c>
      <c r="G2367" s="1042">
        <f t="shared" si="105"/>
        <v>0</v>
      </c>
      <c r="H2367" s="1042">
        <f>'Смета Внутр'!G2374</f>
        <v>0</v>
      </c>
      <c r="I2367" s="1042">
        <f>'Смета Внутр'!H2374</f>
        <v>0</v>
      </c>
      <c r="J2367" s="1058">
        <f>'Смета Внутр'!I2374</f>
        <v>0</v>
      </c>
    </row>
    <row r="2368" spans="2:10">
      <c r="B2368" s="1042" t="str">
        <f>'Смета Внутр'!B2375</f>
        <v>Нет техники</v>
      </c>
      <c r="C2368" s="1042" t="str">
        <f>'Смета Внутр'!C2375</f>
        <v>ед.</v>
      </c>
      <c r="D2368" s="1058">
        <f>'Смета Внутр'!D2375</f>
        <v>0</v>
      </c>
      <c r="E2368" s="1042">
        <f>'Смета Внутр'!E2375</f>
        <v>0</v>
      </c>
      <c r="F2368" s="1042">
        <f>'Смета Внутр'!F2375</f>
        <v>0</v>
      </c>
      <c r="G2368" s="1042">
        <f t="shared" si="105"/>
        <v>0</v>
      </c>
      <c r="H2368" s="1042">
        <f>'Смета Внутр'!G2375</f>
        <v>0</v>
      </c>
      <c r="I2368" s="1042">
        <f>'Смета Внутр'!H2375</f>
        <v>0</v>
      </c>
      <c r="J2368" s="1058">
        <f>'Смета Внутр'!I2375</f>
        <v>0</v>
      </c>
    </row>
    <row r="2369" spans="2:10">
      <c r="B2369" s="1042" t="str">
        <f>'Смета Внутр'!B2376</f>
        <v>Нет техники</v>
      </c>
      <c r="C2369" s="1042" t="str">
        <f>'Смета Внутр'!C2376</f>
        <v>ед.</v>
      </c>
      <c r="D2369" s="1058">
        <f>'Смета Внутр'!D2376</f>
        <v>0</v>
      </c>
      <c r="E2369" s="1042">
        <f>'Смета Внутр'!E2376</f>
        <v>0</v>
      </c>
      <c r="F2369" s="1042">
        <f>'Смета Внутр'!F2376</f>
        <v>0</v>
      </c>
      <c r="G2369" s="1042">
        <f t="shared" si="105"/>
        <v>0</v>
      </c>
      <c r="H2369" s="1042">
        <f>'Смета Внутр'!G2376</f>
        <v>0</v>
      </c>
      <c r="I2369" s="1042">
        <f>'Смета Внутр'!H2376</f>
        <v>0</v>
      </c>
      <c r="J2369" s="1058">
        <f>'Смета Внутр'!I2376</f>
        <v>0</v>
      </c>
    </row>
    <row r="2370" spans="2:10">
      <c r="B2370" s="1042" t="str">
        <f>'Смета Внутр'!B2377</f>
        <v>Нет техники</v>
      </c>
      <c r="C2370" s="1042" t="str">
        <f>'Смета Внутр'!C2377</f>
        <v>ед.</v>
      </c>
      <c r="D2370" s="1058">
        <f>'Смета Внутр'!D2377</f>
        <v>0</v>
      </c>
      <c r="E2370" s="1042">
        <f>'Смета Внутр'!E2377</f>
        <v>0</v>
      </c>
      <c r="F2370" s="1042">
        <f>'Смета Внутр'!F2377</f>
        <v>0</v>
      </c>
      <c r="G2370" s="1042">
        <f t="shared" si="105"/>
        <v>0</v>
      </c>
      <c r="H2370" s="1042">
        <f>'Смета Внутр'!G2377</f>
        <v>0</v>
      </c>
      <c r="I2370" s="1042">
        <f>'Смета Внутр'!H2377</f>
        <v>0</v>
      </c>
      <c r="J2370" s="1058">
        <f>'Смета Внутр'!I2377</f>
        <v>0</v>
      </c>
    </row>
    <row r="2371" spans="2:10">
      <c r="B2371" s="1042" t="str">
        <f>'Смета Внутр'!B2378</f>
        <v>Нет техники</v>
      </c>
      <c r="C2371" s="1042" t="str">
        <f>'Смета Внутр'!C2378</f>
        <v>ед.</v>
      </c>
      <c r="D2371" s="1058">
        <f>'Смета Внутр'!D2378</f>
        <v>6</v>
      </c>
      <c r="E2371" s="1042">
        <f>'Смета Внутр'!E2378</f>
        <v>0</v>
      </c>
      <c r="F2371" s="1042">
        <f>'Смета Внутр'!F2378</f>
        <v>0</v>
      </c>
      <c r="G2371" s="1042">
        <f t="shared" si="105"/>
        <v>0</v>
      </c>
      <c r="H2371" s="1042">
        <f>'Смета Внутр'!G2378</f>
        <v>0</v>
      </c>
      <c r="I2371" s="1042">
        <f>'Смета Внутр'!H2378</f>
        <v>0</v>
      </c>
      <c r="J2371" s="1058">
        <f>'Смета Внутр'!I2378</f>
        <v>0</v>
      </c>
    </row>
    <row r="2372" spans="2:10">
      <c r="B2372" s="1042" t="str">
        <f>'Смета Внутр'!B2379</f>
        <v>Нет техники</v>
      </c>
      <c r="C2372" s="1042" t="str">
        <f>'Смета Внутр'!C2379</f>
        <v>ед.</v>
      </c>
      <c r="D2372" s="1058">
        <f>'Смета Внутр'!D2379</f>
        <v>0</v>
      </c>
      <c r="E2372" s="1042">
        <f>'Смета Внутр'!E2379</f>
        <v>0</v>
      </c>
      <c r="F2372" s="1042">
        <f>'Смета Внутр'!F2379</f>
        <v>0</v>
      </c>
      <c r="G2372" s="1042">
        <f t="shared" si="105"/>
        <v>0</v>
      </c>
      <c r="H2372" s="1042">
        <f>'Смета Внутр'!G2379</f>
        <v>0</v>
      </c>
      <c r="I2372" s="1042">
        <f>'Смета Внутр'!H2379</f>
        <v>0</v>
      </c>
      <c r="J2372" s="1058">
        <f>'Смета Внутр'!I2379</f>
        <v>0</v>
      </c>
    </row>
    <row r="2373" spans="2:10">
      <c r="B2373" s="1042" t="str">
        <f>'Смета Внутр'!B2380</f>
        <v>Нет техники</v>
      </c>
      <c r="C2373" s="1042" t="str">
        <f>'Смета Внутр'!C2380</f>
        <v>ед.</v>
      </c>
      <c r="D2373" s="1058">
        <f>'Смета Внутр'!D2380</f>
        <v>6</v>
      </c>
      <c r="E2373" s="1042">
        <f>'Смета Внутр'!E2380</f>
        <v>0</v>
      </c>
      <c r="F2373" s="1042">
        <f>'Смета Внутр'!F2380</f>
        <v>0</v>
      </c>
      <c r="G2373" s="1042">
        <f t="shared" ref="G2373:G2404" si="106">IF(E2373&gt;F2373,E2373,F2373)</f>
        <v>0</v>
      </c>
      <c r="H2373" s="1042">
        <f>'Смета Внутр'!G2380</f>
        <v>0</v>
      </c>
      <c r="I2373" s="1042">
        <f>'Смета Внутр'!H2380</f>
        <v>0</v>
      </c>
      <c r="J2373" s="1058">
        <f>'Смета Внутр'!I2380</f>
        <v>0</v>
      </c>
    </row>
    <row r="2374" spans="2:10">
      <c r="B2374" s="1042" t="str">
        <f>'Смета Внутр'!B2381</f>
        <v>Нет техники</v>
      </c>
      <c r="C2374" s="1042" t="str">
        <f>'Смета Внутр'!C2381</f>
        <v>ед.</v>
      </c>
      <c r="D2374" s="1058">
        <f>'Смета Внутр'!D2381</f>
        <v>0</v>
      </c>
      <c r="E2374" s="1042">
        <f>'Смета Внутр'!E2381</f>
        <v>0</v>
      </c>
      <c r="F2374" s="1042">
        <f>'Смета Внутр'!F2381</f>
        <v>0</v>
      </c>
      <c r="G2374" s="1042">
        <f t="shared" si="106"/>
        <v>0</v>
      </c>
      <c r="H2374" s="1042">
        <f>'Смета Внутр'!G2381</f>
        <v>0</v>
      </c>
      <c r="I2374" s="1042">
        <f>'Смета Внутр'!H2381</f>
        <v>0</v>
      </c>
      <c r="J2374" s="1058">
        <f>'Смета Внутр'!I2381</f>
        <v>0</v>
      </c>
    </row>
    <row r="2375" spans="2:10">
      <c r="B2375" s="1042" t="str">
        <f>'Смета Внутр'!B2382</f>
        <v>Нет техники</v>
      </c>
      <c r="C2375" s="1042" t="str">
        <f>'Смета Внутр'!C2382</f>
        <v>ед.</v>
      </c>
      <c r="D2375" s="1058">
        <f>'Смета Внутр'!D2382</f>
        <v>6</v>
      </c>
      <c r="E2375" s="1042">
        <f>'Смета Внутр'!E2382</f>
        <v>0</v>
      </c>
      <c r="F2375" s="1042">
        <f>'Смета Внутр'!F2382</f>
        <v>0</v>
      </c>
      <c r="G2375" s="1042">
        <f t="shared" si="106"/>
        <v>0</v>
      </c>
      <c r="H2375" s="1042">
        <f>'Смета Внутр'!G2382</f>
        <v>0</v>
      </c>
      <c r="I2375" s="1042">
        <f>'Смета Внутр'!H2382</f>
        <v>0</v>
      </c>
      <c r="J2375" s="1058">
        <f>'Смета Внутр'!I2382</f>
        <v>0</v>
      </c>
    </row>
    <row r="2376" spans="2:10">
      <c r="B2376" s="1042" t="str">
        <f>'Смета Внутр'!B2383</f>
        <v>Нет техники</v>
      </c>
      <c r="C2376" s="1042" t="str">
        <f>'Смета Внутр'!C2383</f>
        <v>ед.</v>
      </c>
      <c r="D2376" s="1058">
        <f>'Смета Внутр'!D2383</f>
        <v>0</v>
      </c>
      <c r="E2376" s="1042">
        <f>'Смета Внутр'!E2383</f>
        <v>0</v>
      </c>
      <c r="F2376" s="1042">
        <f>'Смета Внутр'!F2383</f>
        <v>0</v>
      </c>
      <c r="G2376" s="1042">
        <f t="shared" si="106"/>
        <v>0</v>
      </c>
      <c r="H2376" s="1042">
        <f>'Смета Внутр'!G2383</f>
        <v>0</v>
      </c>
      <c r="I2376" s="1042">
        <f>'Смета Внутр'!H2383</f>
        <v>0</v>
      </c>
      <c r="J2376" s="1058">
        <f>'Смета Внутр'!I2383</f>
        <v>0</v>
      </c>
    </row>
    <row r="2377" spans="2:10">
      <c r="B2377" s="1042" t="str">
        <f>'Смета Внутр'!B2384</f>
        <v>Нет техники</v>
      </c>
      <c r="C2377" s="1042" t="str">
        <f>'Смета Внутр'!C2384</f>
        <v>ед.</v>
      </c>
      <c r="D2377" s="1058">
        <f>'Смета Внутр'!D2384</f>
        <v>6</v>
      </c>
      <c r="E2377" s="1042">
        <f>'Смета Внутр'!E2384</f>
        <v>0</v>
      </c>
      <c r="F2377" s="1042">
        <f>'Смета Внутр'!F2384</f>
        <v>0</v>
      </c>
      <c r="G2377" s="1042">
        <f t="shared" si="106"/>
        <v>0</v>
      </c>
      <c r="H2377" s="1042">
        <f>'Смета Внутр'!G2384</f>
        <v>0</v>
      </c>
      <c r="I2377" s="1042">
        <f>'Смета Внутр'!H2384</f>
        <v>0</v>
      </c>
      <c r="J2377" s="1058">
        <f>'Смета Внутр'!I2384</f>
        <v>0</v>
      </c>
    </row>
    <row r="2378" spans="2:10">
      <c r="B2378" s="1042" t="str">
        <f>'Смета Внутр'!B2385</f>
        <v>Нет техники</v>
      </c>
      <c r="C2378" s="1042" t="str">
        <f>'Смета Внутр'!C2385</f>
        <v>ед.</v>
      </c>
      <c r="D2378" s="1058">
        <f>'Смета Внутр'!D2385</f>
        <v>0</v>
      </c>
      <c r="E2378" s="1042">
        <f>'Смета Внутр'!E2385</f>
        <v>0</v>
      </c>
      <c r="F2378" s="1042">
        <f>'Смета Внутр'!F2385</f>
        <v>0</v>
      </c>
      <c r="G2378" s="1042">
        <f t="shared" si="106"/>
        <v>0</v>
      </c>
      <c r="H2378" s="1042">
        <f>'Смета Внутр'!G2385</f>
        <v>0</v>
      </c>
      <c r="I2378" s="1042">
        <f>'Смета Внутр'!H2385</f>
        <v>0</v>
      </c>
      <c r="J2378" s="1058">
        <f>'Смета Внутр'!I2385</f>
        <v>0</v>
      </c>
    </row>
    <row r="2379" spans="2:10">
      <c r="B2379" s="1042" t="str">
        <f>'Смета Внутр'!B2386</f>
        <v>Нет техники</v>
      </c>
      <c r="C2379" s="1042" t="str">
        <f>'Смета Внутр'!C2386</f>
        <v>ед.</v>
      </c>
      <c r="D2379" s="1058">
        <f>'Смета Внутр'!D2386</f>
        <v>6</v>
      </c>
      <c r="E2379" s="1042">
        <f>'Смета Внутр'!E2386</f>
        <v>0</v>
      </c>
      <c r="F2379" s="1042">
        <f>'Смета Внутр'!F2386</f>
        <v>0</v>
      </c>
      <c r="G2379" s="1042">
        <f t="shared" si="106"/>
        <v>0</v>
      </c>
      <c r="H2379" s="1042">
        <f>'Смета Внутр'!G2386</f>
        <v>0</v>
      </c>
      <c r="I2379" s="1042">
        <f>'Смета Внутр'!H2386</f>
        <v>0</v>
      </c>
      <c r="J2379" s="1058">
        <f>'Смета Внутр'!I2386</f>
        <v>0</v>
      </c>
    </row>
    <row r="2380" spans="2:10">
      <c r="B2380" s="1042" t="str">
        <f>'Смета Внутр'!B2387</f>
        <v>Нет техники</v>
      </c>
      <c r="C2380" s="1042" t="str">
        <f>'Смета Внутр'!C2387</f>
        <v>ед.</v>
      </c>
      <c r="D2380" s="1058">
        <f>'Смета Внутр'!D2387</f>
        <v>0</v>
      </c>
      <c r="E2380" s="1042">
        <f>'Смета Внутр'!E2387</f>
        <v>0</v>
      </c>
      <c r="F2380" s="1042">
        <f>'Смета Внутр'!F2387</f>
        <v>0</v>
      </c>
      <c r="G2380" s="1042">
        <f t="shared" si="106"/>
        <v>0</v>
      </c>
      <c r="H2380" s="1042">
        <f>'Смета Внутр'!G2387</f>
        <v>0</v>
      </c>
      <c r="I2380" s="1042">
        <f>'Смета Внутр'!H2387</f>
        <v>0</v>
      </c>
      <c r="J2380" s="1058">
        <f>'Смета Внутр'!I2387</f>
        <v>0</v>
      </c>
    </row>
    <row r="2381" spans="2:10">
      <c r="B2381" s="1042" t="str">
        <f>'Смета Внутр'!B2388</f>
        <v>Газель</v>
      </c>
      <c r="C2381" s="1042" t="str">
        <f>'Смета Внутр'!C2388</f>
        <v>ед.</v>
      </c>
      <c r="D2381" s="1058">
        <f>'Смета Внутр'!D2388</f>
        <v>1</v>
      </c>
      <c r="E2381" s="1042">
        <f>'Смета Внутр'!E2388</f>
        <v>1700</v>
      </c>
      <c r="F2381" s="1042">
        <f>'Смета Внутр'!F2388</f>
        <v>0</v>
      </c>
      <c r="G2381" s="1042">
        <f t="shared" si="106"/>
        <v>1700</v>
      </c>
      <c r="H2381" s="1042">
        <f>'Смета Внутр'!G2388</f>
        <v>0</v>
      </c>
      <c r="I2381" s="1042">
        <f>'Смета Внутр'!H2388</f>
        <v>0</v>
      </c>
      <c r="J2381" s="1058">
        <f>'Смета Внутр'!I2388</f>
        <v>0</v>
      </c>
    </row>
    <row r="2382" spans="2:10">
      <c r="B2382" s="1042" t="str">
        <f>'Смета Внутр'!B2389</f>
        <v>Доставка материала Фура</v>
      </c>
      <c r="C2382" s="1042" t="str">
        <f>'Смета Внутр'!C2389</f>
        <v>ед.</v>
      </c>
      <c r="D2382" s="1058">
        <f>'Смета Внутр'!D2389</f>
        <v>0</v>
      </c>
      <c r="E2382" s="1042">
        <f>'Смета Внутр'!E2389</f>
        <v>2500</v>
      </c>
      <c r="F2382" s="1042">
        <f>'Смета Внутр'!F2389</f>
        <v>0</v>
      </c>
      <c r="G2382" s="1042">
        <f t="shared" si="106"/>
        <v>2500</v>
      </c>
      <c r="H2382" s="1042">
        <f>'Смета Внутр'!G2389</f>
        <v>0</v>
      </c>
      <c r="I2382" s="1042">
        <f>'Смета Внутр'!H2389</f>
        <v>0</v>
      </c>
      <c r="J2382" s="1058">
        <f>'Смета Внутр'!I2389</f>
        <v>0</v>
      </c>
    </row>
    <row r="2383" spans="2:10">
      <c r="B2383" s="1042" t="str">
        <f>'Смета Внутр'!B2390</f>
        <v>Воровайка</v>
      </c>
      <c r="C2383" s="1042" t="str">
        <f>'Смета Внутр'!C2390</f>
        <v>ед.</v>
      </c>
      <c r="D2383" s="1058">
        <f>'Смета Внутр'!D2390</f>
        <v>0</v>
      </c>
      <c r="E2383" s="1042">
        <f>'Смета Внутр'!E2390</f>
        <v>3500</v>
      </c>
      <c r="F2383" s="1042">
        <f>'Смета Внутр'!F2390</f>
        <v>0</v>
      </c>
      <c r="G2383" s="1042">
        <f t="shared" si="106"/>
        <v>3500</v>
      </c>
      <c r="H2383" s="1042">
        <f>'Смета Внутр'!G2390</f>
        <v>0</v>
      </c>
      <c r="I2383" s="1042">
        <f>'Смета Внутр'!H2390</f>
        <v>0</v>
      </c>
      <c r="J2383" s="1058">
        <f>'Смета Внутр'!I2390</f>
        <v>0</v>
      </c>
    </row>
    <row r="2384" spans="2:10">
      <c r="B2384" s="1042" t="str">
        <f>'Смета Внутр'!B2391</f>
        <v>Нет техники</v>
      </c>
      <c r="C2384" s="1042" t="str">
        <f>'Смета Внутр'!C2391</f>
        <v>ед.</v>
      </c>
      <c r="D2384" s="1058">
        <f>'Смета Внутр'!D2391</f>
        <v>4</v>
      </c>
      <c r="E2384" s="1042">
        <f>'Смета Внутр'!E2391</f>
        <v>0</v>
      </c>
      <c r="F2384" s="1042">
        <f>'Смета Внутр'!F2391</f>
        <v>0</v>
      </c>
      <c r="G2384" s="1042">
        <f t="shared" si="106"/>
        <v>0</v>
      </c>
      <c r="H2384" s="1042">
        <f>'Смета Внутр'!G2391</f>
        <v>0</v>
      </c>
      <c r="I2384" s="1042">
        <f>'Смета Внутр'!H2391</f>
        <v>0</v>
      </c>
      <c r="J2384" s="1058">
        <f>'Смета Внутр'!I2391</f>
        <v>0</v>
      </c>
    </row>
    <row r="2385" spans="2:10">
      <c r="B2385" s="1042" t="str">
        <f>'Смета Внутр'!B2392</f>
        <v>Нет техники</v>
      </c>
      <c r="C2385" s="1042" t="str">
        <f>'Смета Внутр'!C2392</f>
        <v>ед.</v>
      </c>
      <c r="D2385" s="1058">
        <f>'Смета Внутр'!D2392</f>
        <v>0</v>
      </c>
      <c r="E2385" s="1042">
        <f>'Смета Внутр'!E2392</f>
        <v>0</v>
      </c>
      <c r="F2385" s="1042">
        <f>'Смета Внутр'!F2392</f>
        <v>0</v>
      </c>
      <c r="G2385" s="1042">
        <f t="shared" si="106"/>
        <v>0</v>
      </c>
      <c r="H2385" s="1042">
        <f>'Смета Внутр'!G2392</f>
        <v>0</v>
      </c>
      <c r="I2385" s="1042">
        <f>'Смета Внутр'!H2392</f>
        <v>0</v>
      </c>
      <c r="J2385" s="1058">
        <f>'Смета Внутр'!I2392</f>
        <v>0</v>
      </c>
    </row>
    <row r="2386" spans="2:10">
      <c r="B2386" s="1042" t="str">
        <f>'Смета Внутр'!B2393</f>
        <v>Нет техники</v>
      </c>
      <c r="C2386" s="1042" t="str">
        <f>'Смета Внутр'!C2393</f>
        <v>ед.</v>
      </c>
      <c r="D2386" s="1058">
        <f>'Смета Внутр'!D2393</f>
        <v>4</v>
      </c>
      <c r="E2386" s="1042">
        <f>'Смета Внутр'!E2393</f>
        <v>0</v>
      </c>
      <c r="F2386" s="1042">
        <f>'Смета Внутр'!F2393</f>
        <v>0</v>
      </c>
      <c r="G2386" s="1042">
        <f t="shared" si="106"/>
        <v>0</v>
      </c>
      <c r="H2386" s="1042">
        <f>'Смета Внутр'!G2393</f>
        <v>0</v>
      </c>
      <c r="I2386" s="1042">
        <f>'Смета Внутр'!H2393</f>
        <v>0</v>
      </c>
      <c r="J2386" s="1058">
        <f>'Смета Внутр'!I2393</f>
        <v>0</v>
      </c>
    </row>
    <row r="2387" spans="2:10">
      <c r="B2387" s="1042" t="str">
        <f>'Смета Внутр'!B2394</f>
        <v>Нет техники</v>
      </c>
      <c r="C2387" s="1042" t="str">
        <f>'Смета Внутр'!C2394</f>
        <v>ед.</v>
      </c>
      <c r="D2387" s="1058">
        <f>'Смета Внутр'!D2394</f>
        <v>0</v>
      </c>
      <c r="E2387" s="1042">
        <f>'Смета Внутр'!E2394</f>
        <v>0</v>
      </c>
      <c r="F2387" s="1042">
        <f>'Смета Внутр'!F2394</f>
        <v>0</v>
      </c>
      <c r="G2387" s="1042">
        <f t="shared" si="106"/>
        <v>0</v>
      </c>
      <c r="H2387" s="1042">
        <f>'Смета Внутр'!G2394</f>
        <v>0</v>
      </c>
      <c r="I2387" s="1042">
        <f>'Смета Внутр'!H2394</f>
        <v>0</v>
      </c>
      <c r="J2387" s="1058">
        <f>'Смета Внутр'!I2394</f>
        <v>0</v>
      </c>
    </row>
    <row r="2388" spans="2:10">
      <c r="B2388" s="1042" t="str">
        <f>'Смета Внутр'!B2395</f>
        <v>Манипулятор 5т</v>
      </c>
      <c r="C2388" s="1042" t="str">
        <f>'Смета Внутр'!C2395</f>
        <v>ед.</v>
      </c>
      <c r="D2388" s="1058">
        <f>'Смета Внутр'!D2395</f>
        <v>4</v>
      </c>
      <c r="E2388" s="1042">
        <f>'Смета Внутр'!E2395</f>
        <v>2500</v>
      </c>
      <c r="F2388" s="1042">
        <f>'Смета Внутр'!F2395</f>
        <v>0</v>
      </c>
      <c r="G2388" s="1042">
        <f t="shared" si="106"/>
        <v>2500</v>
      </c>
      <c r="H2388" s="1042">
        <f>'Смета Внутр'!G2395</f>
        <v>0</v>
      </c>
      <c r="I2388" s="1042">
        <f>'Смета Внутр'!H2395</f>
        <v>0</v>
      </c>
      <c r="J2388" s="1058">
        <f>'Смета Внутр'!I2395</f>
        <v>0</v>
      </c>
    </row>
    <row r="2389" spans="2:10">
      <c r="B2389" s="1042" t="str">
        <f>'Смета Внутр'!B2396</f>
        <v>Нет техники</v>
      </c>
      <c r="C2389" s="1042" t="str">
        <f>'Смета Внутр'!C2396</f>
        <v>ед.</v>
      </c>
      <c r="D2389" s="1058">
        <f>'Смета Внутр'!D2396</f>
        <v>0</v>
      </c>
      <c r="E2389" s="1042">
        <f>'Смета Внутр'!E2396</f>
        <v>0</v>
      </c>
      <c r="F2389" s="1042">
        <f>'Смета Внутр'!F2396</f>
        <v>0</v>
      </c>
      <c r="G2389" s="1042">
        <f t="shared" si="106"/>
        <v>0</v>
      </c>
      <c r="H2389" s="1042">
        <f>'Смета Внутр'!G2396</f>
        <v>0</v>
      </c>
      <c r="I2389" s="1042">
        <f>'Смета Внутр'!H2396</f>
        <v>0</v>
      </c>
      <c r="J2389" s="1058">
        <f>'Смета Внутр'!I2396</f>
        <v>0</v>
      </c>
    </row>
    <row r="2390" spans="2:10">
      <c r="B2390" s="1042" t="str">
        <f>'Смета Внутр'!B2397</f>
        <v>Нет техники</v>
      </c>
      <c r="C2390" s="1042" t="str">
        <f>'Смета Внутр'!C2397</f>
        <v>ед.</v>
      </c>
      <c r="D2390" s="1058">
        <f>'Смета Внутр'!D2397</f>
        <v>4</v>
      </c>
      <c r="E2390" s="1042">
        <f>'Смета Внутр'!E2397</f>
        <v>0</v>
      </c>
      <c r="F2390" s="1042">
        <f>'Смета Внутр'!F2397</f>
        <v>0</v>
      </c>
      <c r="G2390" s="1042">
        <f t="shared" si="106"/>
        <v>0</v>
      </c>
      <c r="H2390" s="1042">
        <f>'Смета Внутр'!G2397</f>
        <v>0</v>
      </c>
      <c r="I2390" s="1042">
        <f>'Смета Внутр'!H2397</f>
        <v>0</v>
      </c>
      <c r="J2390" s="1058">
        <f>'Смета Внутр'!I2397</f>
        <v>0</v>
      </c>
    </row>
    <row r="2391" spans="2:10">
      <c r="B2391" s="1042" t="str">
        <f>'Смета Внутр'!B2398</f>
        <v>Нет техники</v>
      </c>
      <c r="C2391" s="1042" t="str">
        <f>'Смета Внутр'!C2398</f>
        <v>ед.</v>
      </c>
      <c r="D2391" s="1058">
        <f>'Смета Внутр'!D2398</f>
        <v>0</v>
      </c>
      <c r="E2391" s="1042">
        <f>'Смета Внутр'!E2398</f>
        <v>0</v>
      </c>
      <c r="F2391" s="1042">
        <f>'Смета Внутр'!F2398</f>
        <v>0</v>
      </c>
      <c r="G2391" s="1042">
        <f t="shared" si="106"/>
        <v>0</v>
      </c>
      <c r="H2391" s="1042">
        <f>'Смета Внутр'!G2398</f>
        <v>0</v>
      </c>
      <c r="I2391" s="1042">
        <f>'Смета Внутр'!H2398</f>
        <v>0</v>
      </c>
      <c r="J2391" s="1058">
        <f>'Смета Внутр'!I2398</f>
        <v>0</v>
      </c>
    </row>
    <row r="2392" spans="2:10">
      <c r="B2392" s="1042" t="str">
        <f>'Смета Внутр'!B2399</f>
        <v>Нет техники</v>
      </c>
      <c r="C2392" s="1042" t="str">
        <f>'Смета Внутр'!C2399</f>
        <v>ед.</v>
      </c>
      <c r="D2392" s="1058">
        <f>'Смета Внутр'!D2399</f>
        <v>2</v>
      </c>
      <c r="E2392" s="1042">
        <f>'Смета Внутр'!E2399</f>
        <v>0</v>
      </c>
      <c r="F2392" s="1042">
        <f>'Смета Внутр'!F2399</f>
        <v>0</v>
      </c>
      <c r="G2392" s="1042">
        <f t="shared" si="106"/>
        <v>0</v>
      </c>
      <c r="H2392" s="1042">
        <f>'Смета Внутр'!G2399</f>
        <v>0</v>
      </c>
      <c r="I2392" s="1042">
        <f>'Смета Внутр'!H2399</f>
        <v>0</v>
      </c>
      <c r="J2392" s="1058">
        <f>'Смета Внутр'!I2399</f>
        <v>0</v>
      </c>
    </row>
    <row r="2393" spans="2:10">
      <c r="B2393" s="1042" t="str">
        <f>'Смета Внутр'!B2400</f>
        <v>Нет техники</v>
      </c>
      <c r="C2393" s="1042" t="str">
        <f>'Смета Внутр'!C2400</f>
        <v>ед.</v>
      </c>
      <c r="D2393" s="1058">
        <f>'Смета Внутр'!D2400</f>
        <v>0</v>
      </c>
      <c r="E2393" s="1042">
        <f>'Смета Внутр'!E2400</f>
        <v>0</v>
      </c>
      <c r="F2393" s="1042">
        <f>'Смета Внутр'!F2400</f>
        <v>0</v>
      </c>
      <c r="G2393" s="1042">
        <f t="shared" si="106"/>
        <v>0</v>
      </c>
      <c r="H2393" s="1042">
        <f>'Смета Внутр'!G2400</f>
        <v>0</v>
      </c>
      <c r="I2393" s="1042">
        <f>'Смета Внутр'!H2400</f>
        <v>0</v>
      </c>
      <c r="J2393" s="1058">
        <f>'Смета Внутр'!I2400</f>
        <v>0</v>
      </c>
    </row>
    <row r="2394" spans="2:10">
      <c r="B2394" s="1042" t="str">
        <f>'Смета Внутр'!B2401</f>
        <v>Нет техники</v>
      </c>
      <c r="C2394" s="1042" t="str">
        <f>'Смета Внутр'!C2401</f>
        <v>ед.</v>
      </c>
      <c r="D2394" s="1058">
        <f>'Смета Внутр'!D2401</f>
        <v>1</v>
      </c>
      <c r="E2394" s="1042">
        <f>'Смета Внутр'!E2401</f>
        <v>0</v>
      </c>
      <c r="F2394" s="1042">
        <f>'Смета Внутр'!F2401</f>
        <v>0</v>
      </c>
      <c r="G2394" s="1042">
        <f t="shared" si="106"/>
        <v>0</v>
      </c>
      <c r="H2394" s="1042">
        <f>'Смета Внутр'!G2401</f>
        <v>0</v>
      </c>
      <c r="I2394" s="1042">
        <f>'Смета Внутр'!H2401</f>
        <v>0</v>
      </c>
      <c r="J2394" s="1058">
        <f>'Смета Внутр'!I2401</f>
        <v>0</v>
      </c>
    </row>
    <row r="2395" spans="2:10">
      <c r="B2395" s="1042" t="str">
        <f>'Смета Внутр'!B2402</f>
        <v>Нет техники</v>
      </c>
      <c r="C2395" s="1042" t="str">
        <f>'Смета Внутр'!C2402</f>
        <v>ед.</v>
      </c>
      <c r="D2395" s="1058">
        <f>'Смета Внутр'!D2402</f>
        <v>0</v>
      </c>
      <c r="E2395" s="1042">
        <f>'Смета Внутр'!E2402</f>
        <v>0</v>
      </c>
      <c r="F2395" s="1042">
        <f>'Смета Внутр'!F2402</f>
        <v>0</v>
      </c>
      <c r="G2395" s="1042">
        <f t="shared" si="106"/>
        <v>0</v>
      </c>
      <c r="H2395" s="1042">
        <f>'Смета Внутр'!G2402</f>
        <v>0</v>
      </c>
      <c r="I2395" s="1042">
        <f>'Смета Внутр'!H2402</f>
        <v>0</v>
      </c>
      <c r="J2395" s="1058">
        <f>'Смета Внутр'!I2402</f>
        <v>0</v>
      </c>
    </row>
    <row r="2396" spans="2:10">
      <c r="B2396" s="1042" t="str">
        <f>'Смета Внутр'!B2403</f>
        <v>Нет техники</v>
      </c>
      <c r="C2396" s="1042" t="str">
        <f>'Смета Внутр'!C2403</f>
        <v>ед.</v>
      </c>
      <c r="D2396" s="1058">
        <f>'Смета Внутр'!D2403</f>
        <v>1</v>
      </c>
      <c r="E2396" s="1042">
        <f>'Смета Внутр'!E2403</f>
        <v>0</v>
      </c>
      <c r="F2396" s="1042">
        <f>'Смета Внутр'!F2403</f>
        <v>0</v>
      </c>
      <c r="G2396" s="1042">
        <f t="shared" si="106"/>
        <v>0</v>
      </c>
      <c r="H2396" s="1042">
        <f>'Смета Внутр'!G2403</f>
        <v>0</v>
      </c>
      <c r="I2396" s="1042">
        <f>'Смета Внутр'!H2403</f>
        <v>0</v>
      </c>
      <c r="J2396" s="1058">
        <f>'Смета Внутр'!I2403</f>
        <v>0</v>
      </c>
    </row>
    <row r="2397" spans="2:10">
      <c r="B2397" s="1042" t="str">
        <f>'Смета Внутр'!B2404</f>
        <v>Нет техники</v>
      </c>
      <c r="C2397" s="1042" t="str">
        <f>'Смета Внутр'!C2404</f>
        <v>ед.</v>
      </c>
      <c r="D2397" s="1058">
        <f>'Смета Внутр'!D2404</f>
        <v>0</v>
      </c>
      <c r="E2397" s="1042">
        <f>'Смета Внутр'!E2404</f>
        <v>0</v>
      </c>
      <c r="F2397" s="1042">
        <f>'Смета Внутр'!F2404</f>
        <v>0</v>
      </c>
      <c r="G2397" s="1042">
        <f t="shared" si="106"/>
        <v>0</v>
      </c>
      <c r="H2397" s="1042">
        <f>'Смета Внутр'!G2404</f>
        <v>0</v>
      </c>
      <c r="I2397" s="1042">
        <f>'Смета Внутр'!H2404</f>
        <v>0</v>
      </c>
      <c r="J2397" s="1058">
        <f>'Смета Внутр'!I2404</f>
        <v>0</v>
      </c>
    </row>
    <row r="2398" spans="2:10">
      <c r="B2398" s="1042" t="str">
        <f>'Смета Внутр'!B2405</f>
        <v>Нет техники</v>
      </c>
      <c r="C2398" s="1042" t="str">
        <f>'Смета Внутр'!C2405</f>
        <v>ед.</v>
      </c>
      <c r="D2398" s="1058">
        <f>'Смета Внутр'!D2405</f>
        <v>1</v>
      </c>
      <c r="E2398" s="1042">
        <f>'Смета Внутр'!E2405</f>
        <v>0</v>
      </c>
      <c r="F2398" s="1042">
        <f>'Смета Внутр'!F2405</f>
        <v>0</v>
      </c>
      <c r="G2398" s="1042">
        <f t="shared" si="106"/>
        <v>0</v>
      </c>
      <c r="H2398" s="1042">
        <f>'Смета Внутр'!G2405</f>
        <v>0</v>
      </c>
      <c r="I2398" s="1042">
        <f>'Смета Внутр'!H2405</f>
        <v>0</v>
      </c>
      <c r="J2398" s="1058">
        <f>'Смета Внутр'!I2405</f>
        <v>0</v>
      </c>
    </row>
    <row r="2399" spans="2:10">
      <c r="B2399" s="1042" t="str">
        <f>'Смета Внутр'!B2406</f>
        <v>Нет техники</v>
      </c>
      <c r="C2399" s="1042" t="str">
        <f>'Смета Внутр'!C2406</f>
        <v>ед.</v>
      </c>
      <c r="D2399" s="1058">
        <f>'Смета Внутр'!D2406</f>
        <v>0</v>
      </c>
      <c r="E2399" s="1042">
        <f>'Смета Внутр'!E2406</f>
        <v>0</v>
      </c>
      <c r="F2399" s="1042">
        <f>'Смета Внутр'!F2406</f>
        <v>0</v>
      </c>
      <c r="G2399" s="1042">
        <f t="shared" si="106"/>
        <v>0</v>
      </c>
      <c r="H2399" s="1042">
        <f>'Смета Внутр'!G2406</f>
        <v>0</v>
      </c>
      <c r="I2399" s="1042">
        <f>'Смета Внутр'!H2406</f>
        <v>0</v>
      </c>
      <c r="J2399" s="1058">
        <f>'Смета Внутр'!I2406</f>
        <v>0</v>
      </c>
    </row>
    <row r="2400" spans="2:10">
      <c r="B2400" s="1042" t="str">
        <f>'Смета Внутр'!B2407</f>
        <v>Экскаватор погрузчик</v>
      </c>
      <c r="C2400" s="1042" t="str">
        <f>'Смета Внутр'!C2407</f>
        <v>ед.</v>
      </c>
      <c r="D2400" s="1058">
        <f>'Смета Внутр'!D2407</f>
        <v>5</v>
      </c>
      <c r="E2400" s="1042">
        <f>'Смета Внутр'!E2407</f>
        <v>2200</v>
      </c>
      <c r="F2400" s="1042">
        <f>'Смета Внутр'!F2407</f>
        <v>0</v>
      </c>
      <c r="G2400" s="1042">
        <f t="shared" si="106"/>
        <v>2200</v>
      </c>
      <c r="H2400" s="1042">
        <f>'Смета Внутр'!G2407</f>
        <v>0</v>
      </c>
      <c r="I2400" s="1042">
        <f>'Смета Внутр'!H2407</f>
        <v>0</v>
      </c>
      <c r="J2400" s="1058">
        <f>'Смета Внутр'!I2407</f>
        <v>0</v>
      </c>
    </row>
    <row r="2401" spans="2:10">
      <c r="B2401" s="1042" t="str">
        <f>'Смета Внутр'!B2408</f>
        <v>Манипулятор 5т</v>
      </c>
      <c r="C2401" s="1042" t="str">
        <f>'Смета Внутр'!C2408</f>
        <v>ед.</v>
      </c>
      <c r="D2401" s="1058">
        <f>'Смета Внутр'!D2408</f>
        <v>3</v>
      </c>
      <c r="E2401" s="1042">
        <f>'Смета Внутр'!E2408</f>
        <v>2500</v>
      </c>
      <c r="F2401" s="1042">
        <f>'Смета Внутр'!F2408</f>
        <v>0</v>
      </c>
      <c r="G2401" s="1042">
        <f t="shared" si="106"/>
        <v>2500</v>
      </c>
      <c r="H2401" s="1042">
        <f>'Смета Внутр'!G2408</f>
        <v>0</v>
      </c>
      <c r="I2401" s="1042">
        <f>'Смета Внутр'!H2408</f>
        <v>0</v>
      </c>
      <c r="J2401" s="1058">
        <f>'Смета Внутр'!I2408</f>
        <v>0</v>
      </c>
    </row>
    <row r="2402" spans="2:10">
      <c r="B2402" s="1042" t="str">
        <f>'Смета Внутр'!B2409</f>
        <v>Нет техники</v>
      </c>
      <c r="C2402" s="1042" t="str">
        <f>'Смета Внутр'!C2409</f>
        <v>ед.</v>
      </c>
      <c r="D2402" s="1058">
        <f>'Смета Внутр'!D2409</f>
        <v>4</v>
      </c>
      <c r="E2402" s="1042">
        <f>'Смета Внутр'!E2409</f>
        <v>0</v>
      </c>
      <c r="F2402" s="1042">
        <f>'Смета Внутр'!F2409</f>
        <v>0</v>
      </c>
      <c r="G2402" s="1042">
        <f t="shared" si="106"/>
        <v>0</v>
      </c>
      <c r="H2402" s="1042">
        <f>'Смета Внутр'!G2409</f>
        <v>0</v>
      </c>
      <c r="I2402" s="1042">
        <f>'Смета Внутр'!H2409</f>
        <v>0</v>
      </c>
      <c r="J2402" s="1058">
        <f>'Смета Внутр'!I2409</f>
        <v>0</v>
      </c>
    </row>
    <row r="2403" spans="2:10">
      <c r="B2403" s="1042" t="str">
        <f>'Смета Внутр'!B2410</f>
        <v>Нет техники</v>
      </c>
      <c r="C2403" s="1042" t="str">
        <f>'Смета Внутр'!C2410</f>
        <v>ед.</v>
      </c>
      <c r="D2403" s="1058">
        <f>'Смета Внутр'!D2410</f>
        <v>0</v>
      </c>
      <c r="E2403" s="1042">
        <f>'Смета Внутр'!E2410</f>
        <v>0</v>
      </c>
      <c r="F2403" s="1042">
        <f>'Смета Внутр'!F2410</f>
        <v>0</v>
      </c>
      <c r="G2403" s="1042">
        <f t="shared" si="106"/>
        <v>0</v>
      </c>
      <c r="H2403" s="1042">
        <f>'Смета Внутр'!G2410</f>
        <v>0</v>
      </c>
      <c r="I2403" s="1042">
        <f>'Смета Внутр'!H2410</f>
        <v>0</v>
      </c>
      <c r="J2403" s="1058">
        <f>'Смета Внутр'!I2410</f>
        <v>0</v>
      </c>
    </row>
    <row r="2404" spans="2:10">
      <c r="B2404" s="1042" t="str">
        <f>'Смета Внутр'!B2411</f>
        <v>Нет техники</v>
      </c>
      <c r="C2404" s="1042" t="str">
        <f>'Смета Внутр'!C2411</f>
        <v>ед.</v>
      </c>
      <c r="D2404" s="1058">
        <f>'Смета Внутр'!D2411</f>
        <v>0</v>
      </c>
      <c r="E2404" s="1042">
        <f>'Смета Внутр'!E2411</f>
        <v>0</v>
      </c>
      <c r="F2404" s="1042">
        <f>'Смета Внутр'!F2411</f>
        <v>0</v>
      </c>
      <c r="G2404" s="1042">
        <f t="shared" si="106"/>
        <v>0</v>
      </c>
      <c r="H2404" s="1042">
        <f>'Смета Внутр'!G2411</f>
        <v>0</v>
      </c>
      <c r="I2404" s="1042">
        <f>'Смета Внутр'!H2411</f>
        <v>0</v>
      </c>
      <c r="J2404" s="1058">
        <f>'Смета Внутр'!I2411</f>
        <v>0</v>
      </c>
    </row>
    <row r="2405" spans="2:10">
      <c r="B2405" s="1042" t="str">
        <f>'Смета Внутр'!B2412</f>
        <v>Нет техники</v>
      </c>
      <c r="C2405" s="1042" t="str">
        <f>'Смета Внутр'!C2412</f>
        <v>ед.</v>
      </c>
      <c r="D2405" s="1058">
        <f>'Смета Внутр'!D2412</f>
        <v>0</v>
      </c>
      <c r="E2405" s="1042">
        <f>'Смета Внутр'!E2412</f>
        <v>0</v>
      </c>
      <c r="F2405" s="1042">
        <f>'Смета Внутр'!F2412</f>
        <v>0</v>
      </c>
      <c r="G2405" s="1042">
        <f t="shared" ref="G2405:G2436" si="107">IF(E2405&gt;F2405,E2405,F2405)</f>
        <v>0</v>
      </c>
      <c r="H2405" s="1042">
        <f>'Смета Внутр'!G2412</f>
        <v>0</v>
      </c>
      <c r="I2405" s="1042">
        <f>'Смета Внутр'!H2412</f>
        <v>0</v>
      </c>
      <c r="J2405" s="1058">
        <f>'Смета Внутр'!I2412</f>
        <v>0</v>
      </c>
    </row>
    <row r="2406" spans="2:10">
      <c r="B2406" s="1042" t="str">
        <f>'Смета Внутр'!B2413</f>
        <v>Нет техники</v>
      </c>
      <c r="C2406" s="1042" t="str">
        <f>'Смета Внутр'!C2413</f>
        <v>ед.</v>
      </c>
      <c r="D2406" s="1058">
        <f>'Смета Внутр'!D2413</f>
        <v>4</v>
      </c>
      <c r="E2406" s="1042">
        <f>'Смета Внутр'!E2413</f>
        <v>0</v>
      </c>
      <c r="F2406" s="1042">
        <f>'Смета Внутр'!F2413</f>
        <v>0</v>
      </c>
      <c r="G2406" s="1042">
        <f t="shared" si="107"/>
        <v>0</v>
      </c>
      <c r="H2406" s="1042">
        <f>'Смета Внутр'!G2413</f>
        <v>0</v>
      </c>
      <c r="I2406" s="1042">
        <f>'Смета Внутр'!H2413</f>
        <v>0</v>
      </c>
      <c r="J2406" s="1058">
        <f>'Смета Внутр'!I2413</f>
        <v>0</v>
      </c>
    </row>
    <row r="2407" spans="2:10">
      <c r="B2407" s="1042" t="str">
        <f>'Смета Внутр'!B2414</f>
        <v>Нет техники</v>
      </c>
      <c r="C2407" s="1042" t="str">
        <f>'Смета Внутр'!C2414</f>
        <v>ед.</v>
      </c>
      <c r="D2407" s="1058">
        <f>'Смета Внутр'!D2414</f>
        <v>0</v>
      </c>
      <c r="E2407" s="1042">
        <f>'Смета Внутр'!E2414</f>
        <v>0</v>
      </c>
      <c r="F2407" s="1042">
        <f>'Смета Внутр'!F2414</f>
        <v>0</v>
      </c>
      <c r="G2407" s="1042">
        <f t="shared" si="107"/>
        <v>0</v>
      </c>
      <c r="H2407" s="1042">
        <f>'Смета Внутр'!G2414</f>
        <v>0</v>
      </c>
      <c r="I2407" s="1042">
        <f>'Смета Внутр'!H2414</f>
        <v>0</v>
      </c>
      <c r="J2407" s="1058">
        <f>'Смета Внутр'!I2414</f>
        <v>0</v>
      </c>
    </row>
    <row r="2408" spans="2:10">
      <c r="B2408" s="1042" t="str">
        <f>'Смета Внутр'!B2415</f>
        <v>Вывоз мусора, камаз</v>
      </c>
      <c r="C2408" s="1042" t="str">
        <f>'Смета Внутр'!C2415</f>
        <v>ед.</v>
      </c>
      <c r="D2408" s="1058">
        <f>'Смета Внутр'!D2415</f>
        <v>4</v>
      </c>
      <c r="E2408" s="1042">
        <f>'Смета Внутр'!E2415</f>
        <v>2000</v>
      </c>
      <c r="F2408" s="1042">
        <f>'Смета Внутр'!F2415</f>
        <v>0</v>
      </c>
      <c r="G2408" s="1042">
        <f t="shared" si="107"/>
        <v>2000</v>
      </c>
      <c r="H2408" s="1042">
        <f>'Смета Внутр'!G2415</f>
        <v>0</v>
      </c>
      <c r="I2408" s="1042">
        <f>'Смета Внутр'!H2415</f>
        <v>0</v>
      </c>
      <c r="J2408" s="1058">
        <f>'Смета Внутр'!I2415</f>
        <v>0</v>
      </c>
    </row>
    <row r="2409" spans="2:10">
      <c r="B2409" s="1042" t="str">
        <f>'Смета Внутр'!B2417</f>
        <v>Экскаватор погрузчик, бурение</v>
      </c>
      <c r="C2409" s="1042" t="str">
        <f>'Смета Внутр'!C2417</f>
        <v>час</v>
      </c>
      <c r="D2409" s="1058">
        <f>'Смета Внутр'!D2417</f>
        <v>4</v>
      </c>
      <c r="E2409" s="1042">
        <f>'Смета Внутр'!E2417</f>
        <v>300</v>
      </c>
      <c r="F2409" s="1042">
        <f>'Смета Внутр'!F2417</f>
        <v>0</v>
      </c>
      <c r="G2409" s="1042">
        <f t="shared" si="107"/>
        <v>300</v>
      </c>
      <c r="H2409" s="1042">
        <f>'Смета Внутр'!G2417</f>
        <v>0</v>
      </c>
      <c r="I2409" s="1042">
        <f>'Смета Внутр'!H2417</f>
        <v>0</v>
      </c>
      <c r="J2409" s="1058">
        <f>'Смета Внутр'!I2417</f>
        <v>0</v>
      </c>
    </row>
    <row r="2410" spans="2:10">
      <c r="B2410" s="1042" t="str">
        <f>'Смета Внутр'!B2418</f>
        <v>Нет техники</v>
      </c>
      <c r="C2410" s="1042" t="str">
        <f>'Смета Внутр'!C2418</f>
        <v>ед.</v>
      </c>
      <c r="D2410" s="1058">
        <f>'Смета Внутр'!D2418</f>
        <v>4</v>
      </c>
      <c r="E2410" s="1042">
        <f>'Смета Внутр'!E2418</f>
        <v>0</v>
      </c>
      <c r="F2410" s="1042">
        <f>'Смета Внутр'!F2418</f>
        <v>0</v>
      </c>
      <c r="G2410" s="1042">
        <f t="shared" si="107"/>
        <v>0</v>
      </c>
      <c r="H2410" s="1042">
        <f>'Смета Внутр'!G2418</f>
        <v>0</v>
      </c>
      <c r="I2410" s="1042">
        <f>'Смета Внутр'!H2418</f>
        <v>0</v>
      </c>
      <c r="J2410" s="1058">
        <f>'Смета Внутр'!I2418</f>
        <v>0</v>
      </c>
    </row>
    <row r="2411" spans="2:10">
      <c r="B2411" s="1042" t="str">
        <f>'Смета Внутр'!B2419</f>
        <v>Нет техники</v>
      </c>
      <c r="C2411" s="1042" t="str">
        <f>'Смета Внутр'!C2419</f>
        <v>ед.</v>
      </c>
      <c r="D2411" s="1058">
        <f>'Смета Внутр'!D2419</f>
        <v>0</v>
      </c>
      <c r="E2411" s="1042">
        <f>'Смета Внутр'!E2419</f>
        <v>0</v>
      </c>
      <c r="F2411" s="1042">
        <f>'Смета Внутр'!F2419</f>
        <v>0</v>
      </c>
      <c r="G2411" s="1042">
        <f t="shared" si="107"/>
        <v>0</v>
      </c>
      <c r="H2411" s="1042">
        <f>'Смета Внутр'!G2419</f>
        <v>0</v>
      </c>
      <c r="I2411" s="1042">
        <f>'Смета Внутр'!H2419</f>
        <v>0</v>
      </c>
      <c r="J2411" s="1058">
        <f>'Смета Внутр'!I2419</f>
        <v>0</v>
      </c>
    </row>
    <row r="2412" spans="2:10">
      <c r="B2412" s="1042" t="str">
        <f>'Смета Внутр'!B2420</f>
        <v>Нет техники</v>
      </c>
      <c r="C2412" s="1042" t="str">
        <f>'Смета Внутр'!C2420</f>
        <v>ед.</v>
      </c>
      <c r="D2412" s="1058">
        <f>'Смета Внутр'!D2420</f>
        <v>1</v>
      </c>
      <c r="E2412" s="1042">
        <f>'Смета Внутр'!E2420</f>
        <v>0</v>
      </c>
      <c r="F2412" s="1042">
        <f>'Смета Внутр'!F2420</f>
        <v>0</v>
      </c>
      <c r="G2412" s="1042">
        <f t="shared" si="107"/>
        <v>0</v>
      </c>
      <c r="H2412" s="1042">
        <f>'Смета Внутр'!G2420</f>
        <v>0</v>
      </c>
      <c r="I2412" s="1042">
        <f>'Смета Внутр'!H2420</f>
        <v>0</v>
      </c>
      <c r="J2412" s="1058">
        <f>'Смета Внутр'!I2420</f>
        <v>0</v>
      </c>
    </row>
    <row r="2413" spans="2:10">
      <c r="B2413" s="1042" t="str">
        <f>'Смета Внутр'!B2421</f>
        <v>Нет техники</v>
      </c>
      <c r="C2413" s="1042" t="str">
        <f>'Смета Внутр'!C2421</f>
        <v>ед.</v>
      </c>
      <c r="D2413" s="1058">
        <f>'Смета Внутр'!D2421</f>
        <v>0</v>
      </c>
      <c r="E2413" s="1042">
        <f>'Смета Внутр'!E2421</f>
        <v>0</v>
      </c>
      <c r="F2413" s="1042">
        <f>'Смета Внутр'!F2421</f>
        <v>0</v>
      </c>
      <c r="G2413" s="1042">
        <f t="shared" si="107"/>
        <v>0</v>
      </c>
      <c r="H2413" s="1042">
        <f>'Смета Внутр'!G2421</f>
        <v>0</v>
      </c>
      <c r="I2413" s="1042">
        <f>'Смета Внутр'!H2421</f>
        <v>0</v>
      </c>
      <c r="J2413" s="1058">
        <f>'Смета Внутр'!I2421</f>
        <v>0</v>
      </c>
    </row>
    <row r="2414" spans="2:10">
      <c r="B2414" s="1042" t="str">
        <f>'Смета Внутр'!B2422</f>
        <v>Нет техники</v>
      </c>
      <c r="C2414" s="1042" t="str">
        <f>'Смета Внутр'!C2422</f>
        <v>ед.</v>
      </c>
      <c r="D2414" s="1058">
        <f>'Смета Внутр'!D2422</f>
        <v>0</v>
      </c>
      <c r="E2414" s="1042">
        <f>'Смета Внутр'!E2422</f>
        <v>0</v>
      </c>
      <c r="F2414" s="1042">
        <f>'Смета Внутр'!F2422</f>
        <v>0</v>
      </c>
      <c r="G2414" s="1042">
        <f t="shared" si="107"/>
        <v>0</v>
      </c>
      <c r="H2414" s="1042">
        <f>'Смета Внутр'!G2422</f>
        <v>0</v>
      </c>
      <c r="I2414" s="1042">
        <f>'Смета Внутр'!H2422</f>
        <v>0</v>
      </c>
      <c r="J2414" s="1058">
        <f>'Смета Внутр'!I2422</f>
        <v>0</v>
      </c>
    </row>
    <row r="2415" spans="2:10">
      <c r="B2415" s="1042" t="str">
        <f>'Смета Внутр'!B2423</f>
        <v>Нет техники</v>
      </c>
      <c r="C2415" s="1042" t="str">
        <f>'Смета Внутр'!C2423</f>
        <v>ед.</v>
      </c>
      <c r="D2415" s="1058">
        <f>'Смета Внутр'!D2423</f>
        <v>0</v>
      </c>
      <c r="E2415" s="1042">
        <f>'Смета Внутр'!E2423</f>
        <v>0</v>
      </c>
      <c r="F2415" s="1042">
        <f>'Смета Внутр'!F2423</f>
        <v>0</v>
      </c>
      <c r="G2415" s="1042">
        <f t="shared" si="107"/>
        <v>0</v>
      </c>
      <c r="H2415" s="1042">
        <f>'Смета Внутр'!G2423</f>
        <v>0</v>
      </c>
      <c r="I2415" s="1042">
        <f>'Смета Внутр'!H2423</f>
        <v>0</v>
      </c>
      <c r="J2415" s="1058">
        <f>'Смета Внутр'!I2423</f>
        <v>0</v>
      </c>
    </row>
    <row r="2416" spans="2:10">
      <c r="B2416" s="1042" t="str">
        <f>'Смета Внутр'!B2424</f>
        <v>Нет техники</v>
      </c>
      <c r="C2416" s="1042" t="str">
        <f>'Смета Внутр'!C2424</f>
        <v>ед.</v>
      </c>
      <c r="D2416" s="1058">
        <f>'Смета Внутр'!D2424</f>
        <v>3</v>
      </c>
      <c r="E2416" s="1042">
        <f>'Смета Внутр'!E2424</f>
        <v>0</v>
      </c>
      <c r="F2416" s="1042">
        <f>'Смета Внутр'!F2424</f>
        <v>0</v>
      </c>
      <c r="G2416" s="1042">
        <f t="shared" si="107"/>
        <v>0</v>
      </c>
      <c r="H2416" s="1042">
        <f>'Смета Внутр'!G2424</f>
        <v>0</v>
      </c>
      <c r="I2416" s="1042">
        <f>'Смета Внутр'!H2424</f>
        <v>0</v>
      </c>
      <c r="J2416" s="1058">
        <f>'Смета Внутр'!I2424</f>
        <v>0</v>
      </c>
    </row>
    <row r="2417" spans="2:10">
      <c r="B2417" s="1042" t="str">
        <f>'Смета Внутр'!B2425</f>
        <v>Нет техники</v>
      </c>
      <c r="C2417" s="1042" t="str">
        <f>'Смета Внутр'!C2425</f>
        <v>ед.</v>
      </c>
      <c r="D2417" s="1058">
        <f>'Смета Внутр'!D2425</f>
        <v>0</v>
      </c>
      <c r="E2417" s="1042">
        <f>'Смета Внутр'!E2425</f>
        <v>0</v>
      </c>
      <c r="F2417" s="1042">
        <f>'Смета Внутр'!F2425</f>
        <v>0</v>
      </c>
      <c r="G2417" s="1042">
        <f t="shared" si="107"/>
        <v>0</v>
      </c>
      <c r="H2417" s="1042">
        <f>'Смета Внутр'!G2425</f>
        <v>0</v>
      </c>
      <c r="I2417" s="1042">
        <f>'Смета Внутр'!H2425</f>
        <v>0</v>
      </c>
      <c r="J2417" s="1058">
        <f>'Смета Внутр'!I2425</f>
        <v>0</v>
      </c>
    </row>
    <row r="2418" spans="2:10">
      <c r="B2418" s="1042" t="str">
        <f>'Смета Внутр'!B2426</f>
        <v>Нет техники</v>
      </c>
      <c r="C2418" s="1042" t="str">
        <f>'Смета Внутр'!C2426</f>
        <v>ед.</v>
      </c>
      <c r="D2418" s="1058">
        <f>'Смета Внутр'!D2426</f>
        <v>3</v>
      </c>
      <c r="E2418" s="1042">
        <f>'Смета Внутр'!E2426</f>
        <v>0</v>
      </c>
      <c r="F2418" s="1042">
        <f>'Смета Внутр'!F2426</f>
        <v>0</v>
      </c>
      <c r="G2418" s="1042">
        <f t="shared" si="107"/>
        <v>0</v>
      </c>
      <c r="H2418" s="1042">
        <f>'Смета Внутр'!G2426</f>
        <v>0</v>
      </c>
      <c r="I2418" s="1042">
        <f>'Смета Внутр'!H2426</f>
        <v>0</v>
      </c>
      <c r="J2418" s="1058">
        <f>'Смета Внутр'!I2426</f>
        <v>0</v>
      </c>
    </row>
    <row r="2419" spans="2:10">
      <c r="B2419" s="1042" t="str">
        <f>'Смета Внутр'!B2427</f>
        <v>Нет техники</v>
      </c>
      <c r="C2419" s="1042" t="str">
        <f>'Смета Внутр'!C2427</f>
        <v>ед.</v>
      </c>
      <c r="D2419" s="1058">
        <f>'Смета Внутр'!D2427</f>
        <v>0</v>
      </c>
      <c r="E2419" s="1042">
        <f>'Смета Внутр'!E2427</f>
        <v>0</v>
      </c>
      <c r="F2419" s="1042">
        <f>'Смета Внутр'!F2427</f>
        <v>0</v>
      </c>
      <c r="G2419" s="1042">
        <f t="shared" si="107"/>
        <v>0</v>
      </c>
      <c r="H2419" s="1042">
        <f>'Смета Внутр'!G2427</f>
        <v>0</v>
      </c>
      <c r="I2419" s="1042">
        <f>'Смета Внутр'!H2427</f>
        <v>0</v>
      </c>
      <c r="J2419" s="1058">
        <f>'Смета Внутр'!I2427</f>
        <v>0</v>
      </c>
    </row>
    <row r="2420" spans="2:10">
      <c r="B2420" s="1042" t="str">
        <f>'Смета Внутр'!B2428</f>
        <v>Нет техники</v>
      </c>
      <c r="C2420" s="1042" t="str">
        <f>'Смета Внутр'!C2428</f>
        <v>ед.</v>
      </c>
      <c r="D2420" s="1058">
        <f>'Смета Внутр'!D2428</f>
        <v>0</v>
      </c>
      <c r="E2420" s="1042">
        <f>'Смета Внутр'!E2428</f>
        <v>0</v>
      </c>
      <c r="F2420" s="1042">
        <f>'Смета Внутр'!F2428</f>
        <v>0</v>
      </c>
      <c r="G2420" s="1042">
        <f t="shared" si="107"/>
        <v>0</v>
      </c>
      <c r="H2420" s="1042">
        <f>'Смета Внутр'!G2428</f>
        <v>0</v>
      </c>
      <c r="I2420" s="1042">
        <f>'Смета Внутр'!H2428</f>
        <v>0</v>
      </c>
      <c r="J2420" s="1058">
        <f>'Смета Внутр'!I2428</f>
        <v>0</v>
      </c>
    </row>
    <row r="2421" spans="2:10">
      <c r="B2421" s="1042" t="str">
        <f>'Смета Внутр'!B2429</f>
        <v>Нет техники</v>
      </c>
      <c r="C2421" s="1042" t="str">
        <f>'Смета Внутр'!C2429</f>
        <v>ед.</v>
      </c>
      <c r="D2421" s="1058">
        <f>'Смета Внутр'!D2429</f>
        <v>0</v>
      </c>
      <c r="E2421" s="1042">
        <f>'Смета Внутр'!E2429</f>
        <v>0</v>
      </c>
      <c r="F2421" s="1042">
        <f>'Смета Внутр'!F2429</f>
        <v>0</v>
      </c>
      <c r="G2421" s="1042">
        <f t="shared" si="107"/>
        <v>0</v>
      </c>
      <c r="H2421" s="1042">
        <f>'Смета Внутр'!G2429</f>
        <v>0</v>
      </c>
      <c r="I2421" s="1042">
        <f>'Смета Внутр'!H2429</f>
        <v>0</v>
      </c>
      <c r="J2421" s="1058">
        <f>'Смета Внутр'!I2429</f>
        <v>0</v>
      </c>
    </row>
    <row r="2422" spans="2:10">
      <c r="B2422" s="1042" t="str">
        <f>'Смета Внутр'!B2430</f>
        <v>Нет техники</v>
      </c>
      <c r="C2422" s="1042" t="str">
        <f>'Смета Внутр'!C2430</f>
        <v>ед.</v>
      </c>
      <c r="D2422" s="1058">
        <f>'Смета Внутр'!D2430</f>
        <v>0</v>
      </c>
      <c r="E2422" s="1042">
        <f>'Смета Внутр'!E2430</f>
        <v>0</v>
      </c>
      <c r="F2422" s="1042">
        <f>'Смета Внутр'!F2430</f>
        <v>0</v>
      </c>
      <c r="G2422" s="1042">
        <f t="shared" si="107"/>
        <v>0</v>
      </c>
      <c r="H2422" s="1042">
        <f>'Смета Внутр'!G2430</f>
        <v>0</v>
      </c>
      <c r="I2422" s="1042">
        <f>'Смета Внутр'!H2430</f>
        <v>0</v>
      </c>
      <c r="J2422" s="1058">
        <f>'Смета Внутр'!I2430</f>
        <v>0</v>
      </c>
    </row>
    <row r="2423" spans="2:10">
      <c r="B2423" s="1042" t="str">
        <f>'Смета Внутр'!B2431</f>
        <v>Нет техники</v>
      </c>
      <c r="C2423" s="1042" t="str">
        <f>'Смета Внутр'!C2431</f>
        <v>ед.</v>
      </c>
      <c r="D2423" s="1058">
        <f>'Смета Внутр'!D2431</f>
        <v>0</v>
      </c>
      <c r="E2423" s="1042">
        <f>'Смета Внутр'!E2431</f>
        <v>0</v>
      </c>
      <c r="F2423" s="1042">
        <f>'Смета Внутр'!F2431</f>
        <v>0</v>
      </c>
      <c r="G2423" s="1042">
        <f t="shared" si="107"/>
        <v>0</v>
      </c>
      <c r="H2423" s="1042">
        <f>'Смета Внутр'!G2431</f>
        <v>0</v>
      </c>
      <c r="I2423" s="1042">
        <f>'Смета Внутр'!H2431</f>
        <v>0</v>
      </c>
      <c r="J2423" s="1058">
        <f>'Смета Внутр'!I2431</f>
        <v>0</v>
      </c>
    </row>
    <row r="2424" spans="2:10">
      <c r="B2424" s="1042" t="str">
        <f>'Смета Внутр'!B2432</f>
        <v>Нет техники</v>
      </c>
      <c r="C2424" s="1042" t="str">
        <f>'Смета Внутр'!C2432</f>
        <v>ед.</v>
      </c>
      <c r="D2424" s="1058">
        <f>'Смета Внутр'!D2432</f>
        <v>0</v>
      </c>
      <c r="E2424" s="1042">
        <f>'Смета Внутр'!E2432</f>
        <v>0</v>
      </c>
      <c r="F2424" s="1042">
        <f>'Смета Внутр'!F2432</f>
        <v>0</v>
      </c>
      <c r="G2424" s="1042">
        <f t="shared" si="107"/>
        <v>0</v>
      </c>
      <c r="H2424" s="1042">
        <f>'Смета Внутр'!G2432</f>
        <v>0</v>
      </c>
      <c r="I2424" s="1042">
        <f>'Смета Внутр'!H2432</f>
        <v>0</v>
      </c>
      <c r="J2424" s="1058">
        <f>'Смета Внутр'!I2432</f>
        <v>0</v>
      </c>
    </row>
    <row r="2425" spans="2:10">
      <c r="B2425" s="1042" t="str">
        <f>'Смета Внутр'!B2433</f>
        <v>Экскаватор погрузчик, бурение</v>
      </c>
      <c r="C2425" s="1042" t="str">
        <f>'Смета Внутр'!C2433</f>
        <v>ед.</v>
      </c>
      <c r="D2425" s="1058">
        <f>'Смета Внутр'!D2433</f>
        <v>0</v>
      </c>
      <c r="E2425" s="1042">
        <f>'Смета Внутр'!E2433</f>
        <v>300</v>
      </c>
      <c r="F2425" s="1042">
        <f>'Смета Внутр'!F2433</f>
        <v>0</v>
      </c>
      <c r="G2425" s="1042">
        <f t="shared" si="107"/>
        <v>300</v>
      </c>
      <c r="H2425" s="1042">
        <f>'Смета Внутр'!G2433</f>
        <v>0</v>
      </c>
      <c r="I2425" s="1042">
        <f>'Смета Внутр'!H2433</f>
        <v>0</v>
      </c>
      <c r="J2425" s="1058">
        <f>'Смета Внутр'!I2433</f>
        <v>0</v>
      </c>
    </row>
    <row r="2426" spans="2:10">
      <c r="B2426" s="1042" t="str">
        <f>'Смета Внутр'!B2434</f>
        <v>Нет техники</v>
      </c>
      <c r="C2426" s="1042" t="str">
        <f>'Смета Внутр'!C2434</f>
        <v>ед.</v>
      </c>
      <c r="D2426" s="1058">
        <f>'Смета Внутр'!D2434</f>
        <v>0</v>
      </c>
      <c r="E2426" s="1042">
        <f>'Смета Внутр'!E2434</f>
        <v>0</v>
      </c>
      <c r="F2426" s="1042">
        <f>'Смета Внутр'!F2434</f>
        <v>0</v>
      </c>
      <c r="G2426" s="1042">
        <f t="shared" si="107"/>
        <v>0</v>
      </c>
      <c r="H2426" s="1042">
        <f>'Смета Внутр'!G2434</f>
        <v>0</v>
      </c>
      <c r="I2426" s="1042">
        <f>'Смета Внутр'!H2434</f>
        <v>0</v>
      </c>
      <c r="J2426" s="1058">
        <f>'Смета Внутр'!I2434</f>
        <v>0</v>
      </c>
    </row>
    <row r="2427" spans="2:10">
      <c r="B2427" s="1042" t="str">
        <f>'Смета Внутр'!B2435</f>
        <v>Нет техники</v>
      </c>
      <c r="C2427" s="1042">
        <f>'Смета Внутр'!C2435</f>
        <v>0</v>
      </c>
      <c r="D2427" s="1058">
        <f>'Смета Внутр'!D2435</f>
        <v>2</v>
      </c>
      <c r="E2427" s="1042">
        <f>'Смета Внутр'!E2435</f>
        <v>0</v>
      </c>
      <c r="F2427" s="1042">
        <f>'Смета Внутр'!F2435</f>
        <v>0</v>
      </c>
      <c r="G2427" s="1042">
        <f t="shared" si="107"/>
        <v>0</v>
      </c>
      <c r="H2427" s="1042">
        <f>'Смета Внутр'!G2435</f>
        <v>0</v>
      </c>
      <c r="I2427" s="1042">
        <f>'Смета Внутр'!H2435</f>
        <v>0</v>
      </c>
      <c r="J2427" s="1058">
        <f>'Смета Внутр'!I2435</f>
        <v>0</v>
      </c>
    </row>
    <row r="2428" spans="2:10">
      <c r="B2428" s="1042" t="str">
        <f>'Смета Внутр'!B2436</f>
        <v>Нет техники</v>
      </c>
      <c r="C2428" s="1042">
        <f>'Смета Внутр'!C2436</f>
        <v>0</v>
      </c>
      <c r="D2428" s="1058">
        <f>'Смета Внутр'!D2436</f>
        <v>2</v>
      </c>
      <c r="E2428" s="1042">
        <f>'Смета Внутр'!E2436</f>
        <v>0</v>
      </c>
      <c r="F2428" s="1042">
        <f>'Смета Внутр'!F2436</f>
        <v>0</v>
      </c>
      <c r="G2428" s="1042">
        <f t="shared" si="107"/>
        <v>0</v>
      </c>
      <c r="H2428" s="1042">
        <f>'Смета Внутр'!G2436</f>
        <v>0</v>
      </c>
      <c r="I2428" s="1042">
        <f>'Смета Внутр'!H2436</f>
        <v>0</v>
      </c>
      <c r="J2428" s="1058">
        <f>'Смета Внутр'!I2436</f>
        <v>0</v>
      </c>
    </row>
    <row r="2429" spans="2:10">
      <c r="B2429" s="1042" t="str">
        <f>'Смета Внутр'!B2437</f>
        <v>Нет техники</v>
      </c>
      <c r="C2429" s="1042" t="str">
        <f>'Смета Внутр'!C2437</f>
        <v>час</v>
      </c>
      <c r="D2429" s="1058">
        <f>'Смета Внутр'!D2437</f>
        <v>0</v>
      </c>
      <c r="E2429" s="1042">
        <f>'Смета Внутр'!E2437</f>
        <v>0</v>
      </c>
      <c r="F2429" s="1042">
        <f>'Смета Внутр'!F2437</f>
        <v>0</v>
      </c>
      <c r="G2429" s="1042">
        <f t="shared" si="107"/>
        <v>0</v>
      </c>
      <c r="H2429" s="1042">
        <f>'Смета Внутр'!G2437</f>
        <v>0</v>
      </c>
      <c r="I2429" s="1042">
        <f>'Смета Внутр'!H2437</f>
        <v>0</v>
      </c>
      <c r="J2429" s="1058">
        <f>'Смета Внутр'!I2437</f>
        <v>0</v>
      </c>
    </row>
    <row r="2430" spans="2:10">
      <c r="B2430" s="1042" t="str">
        <f>'Смета Внутр'!B2438</f>
        <v>Манипулятор 5т</v>
      </c>
      <c r="C2430" s="1042" t="str">
        <f>'Смета Внутр'!C2438</f>
        <v>шт.</v>
      </c>
      <c r="D2430" s="1058">
        <f>'Смета Внутр'!D2438</f>
        <v>3</v>
      </c>
      <c r="E2430" s="1042">
        <f>'Смета Внутр'!E2438</f>
        <v>2500</v>
      </c>
      <c r="F2430" s="1042">
        <f>'Смета Внутр'!F2438</f>
        <v>0</v>
      </c>
      <c r="G2430" s="1042">
        <f t="shared" si="107"/>
        <v>2500</v>
      </c>
      <c r="H2430" s="1042">
        <f>'Смета Внутр'!G2438</f>
        <v>0</v>
      </c>
      <c r="I2430" s="1042">
        <f>'Смета Внутр'!H2438</f>
        <v>0</v>
      </c>
      <c r="J2430" s="1058">
        <f>'Смета Внутр'!I2438</f>
        <v>0</v>
      </c>
    </row>
    <row r="2431" spans="2:10">
      <c r="B2431" s="1042" t="str">
        <f>'Смета Внутр'!B2439</f>
        <v>Нет техники</v>
      </c>
      <c r="C2431" s="1042" t="str">
        <f>'Смета Внутр'!C2439</f>
        <v>час</v>
      </c>
      <c r="D2431" s="1058">
        <f>'Смета Внутр'!D2439</f>
        <v>0</v>
      </c>
      <c r="E2431" s="1042">
        <f>'Смета Внутр'!E2439</f>
        <v>0</v>
      </c>
      <c r="F2431" s="1042">
        <f>'Смета Внутр'!F2439</f>
        <v>0</v>
      </c>
      <c r="G2431" s="1042">
        <f t="shared" si="107"/>
        <v>0</v>
      </c>
      <c r="H2431" s="1042">
        <f>'Смета Внутр'!G2439</f>
        <v>0</v>
      </c>
      <c r="I2431" s="1042">
        <f>'Смета Внутр'!H2439</f>
        <v>0</v>
      </c>
      <c r="J2431" s="1058">
        <f>'Смета Внутр'!I2439</f>
        <v>0</v>
      </c>
    </row>
    <row r="2432" spans="2:10">
      <c r="B2432" s="1042" t="str">
        <f>'Смета Внутр'!B2440</f>
        <v>Нет техники</v>
      </c>
      <c r="C2432" s="1042" t="str">
        <f>'Смета Внутр'!C2440</f>
        <v>шт.</v>
      </c>
      <c r="D2432" s="1058">
        <f>'Смета Внутр'!D2440</f>
        <v>3</v>
      </c>
      <c r="E2432" s="1042">
        <f>'Смета Внутр'!E2440</f>
        <v>0</v>
      </c>
      <c r="F2432" s="1042">
        <f>'Смета Внутр'!F2440</f>
        <v>0</v>
      </c>
      <c r="G2432" s="1042">
        <f t="shared" si="107"/>
        <v>0</v>
      </c>
      <c r="H2432" s="1042">
        <f>'Смета Внутр'!G2440</f>
        <v>0</v>
      </c>
      <c r="I2432" s="1042">
        <f>'Смета Внутр'!H2440</f>
        <v>0</v>
      </c>
      <c r="J2432" s="1058">
        <f>'Смета Внутр'!I2440</f>
        <v>0</v>
      </c>
    </row>
    <row r="2433" spans="2:10">
      <c r="B2433" s="3330" t="str">
        <f>'Смета Внутр'!B2441</f>
        <v>Итого, рублей</v>
      </c>
      <c r="C2433" s="3330"/>
      <c r="D2433" s="3330"/>
      <c r="E2433" s="3330"/>
      <c r="F2433" s="3330"/>
      <c r="G2433" s="3330"/>
      <c r="H2433" s="1042">
        <f>'Смета Внутр'!G2441</f>
        <v>0</v>
      </c>
      <c r="I2433" s="1042">
        <f>'Смета Внутр'!H2441</f>
        <v>0</v>
      </c>
      <c r="J2433" s="1058">
        <f>'Смета Внутр'!I2441</f>
        <v>0</v>
      </c>
    </row>
    <row r="2434" spans="2:10" ht="19">
      <c r="B2434" s="3313" t="str">
        <f>'Смета Внутр'!B2442</f>
        <v>Расходные материалы</v>
      </c>
      <c r="C2434" s="3313"/>
      <c r="D2434" s="3313"/>
      <c r="H2434">
        <f>'Смета Внутр'!G2442</f>
        <v>0</v>
      </c>
      <c r="I2434">
        <f>'Смета Внутр'!H2442</f>
        <v>15000</v>
      </c>
      <c r="J2434" s="3011">
        <f>J2474</f>
        <v>15000</v>
      </c>
    </row>
    <row r="2435" spans="2:10">
      <c r="B2435" s="1042" t="str">
        <f>'Смета Внутр'!B2443</f>
        <v>расходные материалы котельная</v>
      </c>
      <c r="C2435" s="1042" t="str">
        <f>'Смета Внутр'!C2443</f>
        <v>рублей</v>
      </c>
      <c r="D2435" s="1058">
        <f>'Смета Внутр'!D2443</f>
        <v>1</v>
      </c>
      <c r="E2435" s="1042">
        <f>'Смета Внутр'!E2443</f>
        <v>5000</v>
      </c>
      <c r="F2435" s="1042">
        <f>'Смета Внутр'!F2443</f>
        <v>0</v>
      </c>
      <c r="G2435" s="1042">
        <f t="shared" ref="G2435:G2473" si="108">IF(E2435&gt;F2435,E2435,F2435)</f>
        <v>5000</v>
      </c>
      <c r="H2435" s="1042">
        <f>'Смета Внутр'!G2443</f>
        <v>0</v>
      </c>
      <c r="I2435" s="1042">
        <f>'Смета Внутр'!H2443</f>
        <v>0</v>
      </c>
      <c r="J2435" s="1058">
        <f>'Смета Внутр'!I2443</f>
        <v>0</v>
      </c>
    </row>
    <row r="2436" spans="2:10">
      <c r="B2436" s="1042" t="str">
        <f>'Смета Внутр'!B2444</f>
        <v>расходные материалы скважина</v>
      </c>
      <c r="C2436" s="1042" t="str">
        <f>'Смета Внутр'!C2444</f>
        <v>рублей</v>
      </c>
      <c r="D2436" s="1058">
        <f>'Смета Внутр'!D2444</f>
        <v>1</v>
      </c>
      <c r="E2436" s="1042">
        <f>'Смета Внутр'!E2444</f>
        <v>5000</v>
      </c>
      <c r="F2436" s="1042">
        <f>'Смета Внутр'!F2444</f>
        <v>0</v>
      </c>
      <c r="G2436" s="1042">
        <f t="shared" si="108"/>
        <v>5000</v>
      </c>
      <c r="H2436" s="1042">
        <f>'Смета Внутр'!G2444</f>
        <v>0</v>
      </c>
      <c r="I2436" s="1042">
        <f>'Смета Внутр'!H2444</f>
        <v>0</v>
      </c>
      <c r="J2436" s="1058">
        <f>'Смета Внутр'!I2444</f>
        <v>0</v>
      </c>
    </row>
    <row r="2437" spans="2:10">
      <c r="B2437" s="1042" t="str">
        <f>'Смета Внутр'!B2445</f>
        <v>расходные материалы для отопления</v>
      </c>
      <c r="C2437" s="1042" t="str">
        <f>'Смета Внутр'!C2445</f>
        <v>рублей</v>
      </c>
      <c r="D2437" s="1058">
        <f>'Смета Внутр'!D2445</f>
        <v>1</v>
      </c>
      <c r="E2437" s="1042">
        <f>'Смета Внутр'!E2445</f>
        <v>5000</v>
      </c>
      <c r="F2437" s="1042">
        <f>'Смета Внутр'!F2445</f>
        <v>0</v>
      </c>
      <c r="G2437" s="1042">
        <f t="shared" si="108"/>
        <v>5000</v>
      </c>
      <c r="H2437" s="1042">
        <f>'Смета Внутр'!G2445</f>
        <v>0</v>
      </c>
      <c r="I2437" s="1042">
        <f>'Смета Внутр'!H2445</f>
        <v>0</v>
      </c>
      <c r="J2437" s="1058">
        <f>'Смета Внутр'!I2445</f>
        <v>0</v>
      </c>
    </row>
    <row r="2438" spans="2:10">
      <c r="B2438" s="1042" t="str">
        <f>'Смета Внутр'!B2446</f>
        <v>расходные материалы для электрики</v>
      </c>
      <c r="C2438" s="1042" t="str">
        <f>'Смета Внутр'!C2446</f>
        <v>рублей</v>
      </c>
      <c r="D2438" s="1058">
        <f>'Смета Внутр'!D2446</f>
        <v>1</v>
      </c>
      <c r="E2438" s="1042">
        <f>'Смета Внутр'!E2446</f>
        <v>5000</v>
      </c>
      <c r="F2438" s="1042">
        <f>'Смета Внутр'!F2446</f>
        <v>0</v>
      </c>
      <c r="G2438" s="1042">
        <f t="shared" si="108"/>
        <v>5000</v>
      </c>
      <c r="H2438" s="1042">
        <f>'Смета Внутр'!G2446</f>
        <v>0</v>
      </c>
      <c r="I2438" s="1042">
        <f>'Смета Внутр'!H2446</f>
        <v>0</v>
      </c>
      <c r="J2438" s="1058">
        <f>'Смета Внутр'!I2446</f>
        <v>0</v>
      </c>
    </row>
    <row r="2439" spans="2:10">
      <c r="B2439" s="1042" t="str">
        <f>'Смета Внутр'!B2447</f>
        <v>расходные материалы плита ушп</v>
      </c>
      <c r="C2439" s="1042" t="str">
        <f>'Смета Внутр'!C2447</f>
        <v>рублей</v>
      </c>
      <c r="D2439" s="1058">
        <f>'Смета Внутр'!D2447</f>
        <v>1</v>
      </c>
      <c r="E2439" s="1042">
        <f>'Смета Внутр'!E2447</f>
        <v>12000</v>
      </c>
      <c r="F2439" s="1042">
        <f>'Смета Внутр'!F2447</f>
        <v>0</v>
      </c>
      <c r="G2439" s="1042">
        <f t="shared" si="108"/>
        <v>12000</v>
      </c>
      <c r="H2439" s="1042">
        <f>'Смета Внутр'!G2447</f>
        <v>0</v>
      </c>
      <c r="I2439" s="1042">
        <f>'Смета Внутр'!H2447</f>
        <v>0</v>
      </c>
      <c r="J2439" s="1058">
        <f>'Смета Внутр'!I2447</f>
        <v>0</v>
      </c>
    </row>
    <row r="2440" spans="2:10">
      <c r="B2440" s="3007" t="str">
        <f>'Смета Внутр'!B2448</f>
        <v>расходные материалы свайноростверковый фундамент</v>
      </c>
      <c r="C2440" s="3007" t="str">
        <f>'Смета Внутр'!C2448</f>
        <v>рублей</v>
      </c>
      <c r="D2440" s="3014">
        <f>'Смета Внутр'!D2448</f>
        <v>1</v>
      </c>
      <c r="E2440" s="1042">
        <f>'Смета Внутр'!E2448</f>
        <v>8000</v>
      </c>
      <c r="F2440" s="1042">
        <f>'Смета Внутр'!F2448</f>
        <v>0</v>
      </c>
      <c r="G2440" s="3007">
        <f t="shared" si="108"/>
        <v>8000</v>
      </c>
      <c r="H2440" s="1042">
        <f>'Смета Внутр'!G2448</f>
        <v>0</v>
      </c>
      <c r="I2440" s="1042">
        <f>'Смета Внутр'!H2448</f>
        <v>0</v>
      </c>
      <c r="J2440" s="3014">
        <f>'Смета Внутр'!I2448</f>
        <v>0</v>
      </c>
    </row>
    <row r="2441" spans="2:10">
      <c r="B2441" s="1042" t="str">
        <f>'Смета Внутр'!B2449</f>
        <v>расходные материалы свайноростверковый фундамент</v>
      </c>
      <c r="C2441" s="1042" t="str">
        <f>'Смета Внутр'!C2449</f>
        <v>рублей</v>
      </c>
      <c r="D2441" s="1058">
        <f>'Смета Внутр'!D2449</f>
        <v>1</v>
      </c>
      <c r="E2441" s="1042">
        <f>'Смета Внутр'!E2449</f>
        <v>8000</v>
      </c>
      <c r="F2441" s="1042">
        <f>'Смета Внутр'!F2449</f>
        <v>0</v>
      </c>
      <c r="G2441" s="1042">
        <f t="shared" si="108"/>
        <v>8000</v>
      </c>
      <c r="H2441" s="1042">
        <f>'Смета Внутр'!G2449</f>
        <v>0</v>
      </c>
      <c r="I2441" s="1042">
        <f>'Смета Внутр'!H2449</f>
        <v>0</v>
      </c>
      <c r="J2441" s="1058">
        <f>'Смета Внутр'!I2449</f>
        <v>0</v>
      </c>
    </row>
    <row r="2442" spans="2:10">
      <c r="B2442" s="1042" t="str">
        <f>'Смета Внутр'!B2450</f>
        <v>расходные материалы сип панели</v>
      </c>
      <c r="C2442" s="1042" t="str">
        <f>'Смета Внутр'!C2450</f>
        <v>рублей</v>
      </c>
      <c r="D2442" s="1058">
        <f>'Смета Внутр'!D2450</f>
        <v>1</v>
      </c>
      <c r="E2442" s="1042">
        <f>'Смета Внутр'!E2450</f>
        <v>3000</v>
      </c>
      <c r="F2442" s="1042">
        <f>'Смета Внутр'!F2450</f>
        <v>0</v>
      </c>
      <c r="G2442" s="1042">
        <f t="shared" si="108"/>
        <v>3000</v>
      </c>
      <c r="H2442" s="1042">
        <f>'Смета Внутр'!G2450</f>
        <v>0</v>
      </c>
      <c r="I2442" s="1042">
        <f>'Смета Внутр'!H2450</f>
        <v>0</v>
      </c>
      <c r="J2442" s="1058">
        <f>'Смета Внутр'!I2450</f>
        <v>0</v>
      </c>
    </row>
    <row r="2443" spans="2:10">
      <c r="B2443" s="1042" t="str">
        <f>'Смета Внутр'!B2451</f>
        <v>расходные материалы каркасный дом</v>
      </c>
      <c r="C2443" s="1042" t="str">
        <f>'Смета Внутр'!C2451</f>
        <v>рублей</v>
      </c>
      <c r="D2443" s="1058">
        <f>'Смета Внутр'!D2451</f>
        <v>1</v>
      </c>
      <c r="E2443" s="1042">
        <f>'Смета Внутр'!E2451</f>
        <v>12000</v>
      </c>
      <c r="F2443" s="1042">
        <f>'Смета Внутр'!F2451</f>
        <v>0</v>
      </c>
      <c r="G2443" s="1042">
        <f t="shared" si="108"/>
        <v>12000</v>
      </c>
      <c r="H2443" s="1042">
        <f>'Смета Внутр'!G2451</f>
        <v>0</v>
      </c>
      <c r="I2443" s="1042">
        <f>'Смета Внутр'!H2451</f>
        <v>0</v>
      </c>
      <c r="J2443" s="1058">
        <f>'Смета Внутр'!I2451</f>
        <v>0</v>
      </c>
    </row>
    <row r="2444" spans="2:10">
      <c r="B2444" s="1042" t="str">
        <f>'Смета Внутр'!B2452</f>
        <v>расходные материалы каменные дома</v>
      </c>
      <c r="C2444" s="1042" t="str">
        <f>'Смета Внутр'!C2452</f>
        <v>рублей</v>
      </c>
      <c r="D2444" s="1058">
        <f>'Смета Внутр'!D2452</f>
        <v>1</v>
      </c>
      <c r="E2444" s="1042">
        <f>'Смета Внутр'!E2452</f>
        <v>15000</v>
      </c>
      <c r="F2444" s="1042">
        <f>'Смета Внутр'!F2452</f>
        <v>0</v>
      </c>
      <c r="G2444" s="1042">
        <f t="shared" si="108"/>
        <v>15000</v>
      </c>
      <c r="H2444" s="1042">
        <f>'Смета Внутр'!G2452</f>
        <v>0</v>
      </c>
      <c r="I2444" s="1042">
        <f>'Смета Внутр'!H2452</f>
        <v>0</v>
      </c>
      <c r="J2444" s="1058">
        <f>'Смета Внутр'!I2452</f>
        <v>0</v>
      </c>
    </row>
    <row r="2445" spans="2:10">
      <c r="B2445" s="1042" t="str">
        <f>'Смета Внутр'!B2453</f>
        <v>расходные материалы каменные дома</v>
      </c>
      <c r="C2445" s="1042" t="str">
        <f>'Смета Внутр'!C2453</f>
        <v>рублей</v>
      </c>
      <c r="D2445" s="1058">
        <f>'Смета Внутр'!D2453</f>
        <v>1</v>
      </c>
      <c r="E2445" s="1042">
        <f>'Смета Внутр'!E2453</f>
        <v>0</v>
      </c>
      <c r="F2445" s="1042">
        <f>'Смета Внутр'!F2453</f>
        <v>0</v>
      </c>
      <c r="G2445" s="1042">
        <f t="shared" si="108"/>
        <v>0</v>
      </c>
      <c r="H2445" s="1042">
        <f>'Смета Внутр'!G2453</f>
        <v>0</v>
      </c>
      <c r="I2445" s="1042">
        <f>'Смета Внутр'!H2453</f>
        <v>0</v>
      </c>
      <c r="J2445" s="1058">
        <f>'Смета Внутр'!I2453</f>
        <v>0</v>
      </c>
    </row>
    <row r="2446" spans="2:10">
      <c r="B2446" s="1042" t="str">
        <f>'Смета Внутр'!B2454</f>
        <v>расходные материалы каменные дома</v>
      </c>
      <c r="C2446" s="1042" t="str">
        <f>'Смета Внутр'!C2454</f>
        <v>рублей</v>
      </c>
      <c r="D2446" s="1058">
        <f>'Смета Внутр'!D2454</f>
        <v>1</v>
      </c>
      <c r="E2446" s="1042">
        <f>'Смета Внутр'!E2454</f>
        <v>15000</v>
      </c>
      <c r="F2446" s="1042">
        <f>'Смета Внутр'!F2454</f>
        <v>0</v>
      </c>
      <c r="G2446" s="1042">
        <f t="shared" si="108"/>
        <v>15000</v>
      </c>
      <c r="H2446" s="1042">
        <f>'Смета Внутр'!G2454</f>
        <v>15000</v>
      </c>
      <c r="I2446" s="1042">
        <f>'Смета Внутр'!H2454</f>
        <v>15000</v>
      </c>
      <c r="J2446" s="1058">
        <f>'Смета Внутр'!I2454</f>
        <v>15000</v>
      </c>
    </row>
    <row r="2447" spans="2:10">
      <c r="B2447" s="1042" t="str">
        <f>'Смета Внутр'!B2455</f>
        <v>расходные материалы дома из леса</v>
      </c>
      <c r="C2447" s="1042" t="str">
        <f>'Смета Внутр'!C2455</f>
        <v>рублей</v>
      </c>
      <c r="D2447" s="1058">
        <f>'Смета Внутр'!D2455</f>
        <v>1</v>
      </c>
      <c r="E2447" s="1042">
        <f>'Смета Внутр'!E2455</f>
        <v>3000</v>
      </c>
      <c r="F2447" s="1042">
        <f>'Смета Внутр'!F2455</f>
        <v>0</v>
      </c>
      <c r="G2447" s="1042">
        <f t="shared" si="108"/>
        <v>3000</v>
      </c>
      <c r="H2447" s="1042">
        <f>'Смета Внутр'!G2455</f>
        <v>0</v>
      </c>
      <c r="I2447" s="1042">
        <f>'Смета Внутр'!H2455</f>
        <v>0</v>
      </c>
      <c r="J2447" s="1058">
        <f>'Смета Внутр'!I2455</f>
        <v>0</v>
      </c>
    </row>
    <row r="2448" spans="2:10">
      <c r="B2448" s="1042" t="str">
        <f>'Смета Внутр'!B2456</f>
        <v>расходные материалы дома из леса</v>
      </c>
      <c r="C2448" s="1042" t="str">
        <f>'Смета Внутр'!C2456</f>
        <v>рублей</v>
      </c>
      <c r="D2448" s="1058">
        <f>'Смета Внутр'!D2456</f>
        <v>1</v>
      </c>
      <c r="E2448" s="1042">
        <f>'Смета Внутр'!E2456</f>
        <v>3000</v>
      </c>
      <c r="F2448" s="1042">
        <f>'Смета Внутр'!F2456</f>
        <v>0</v>
      </c>
      <c r="G2448" s="1042">
        <f t="shared" si="108"/>
        <v>3000</v>
      </c>
      <c r="H2448" s="1042">
        <f>'Смета Внутр'!G2456</f>
        <v>0</v>
      </c>
      <c r="I2448" s="1042">
        <f>'Смета Внутр'!H2456</f>
        <v>0</v>
      </c>
      <c r="J2448" s="1058">
        <f>'Смета Внутр'!I2456</f>
        <v>0</v>
      </c>
    </row>
    <row r="2449" spans="2:10">
      <c r="B2449" s="1042" t="str">
        <f>'Смета Внутр'!B2457</f>
        <v>расходные материалы дома из леса</v>
      </c>
      <c r="C2449" s="1042" t="str">
        <f>'Смета Внутр'!C2457</f>
        <v>рублей</v>
      </c>
      <c r="D2449" s="1058">
        <f>'Смета Внутр'!D2457</f>
        <v>1</v>
      </c>
      <c r="E2449" s="1042">
        <f>'Смета Внутр'!E2457</f>
        <v>3000</v>
      </c>
      <c r="F2449" s="1042">
        <f>'Смета Внутр'!F2457</f>
        <v>0</v>
      </c>
      <c r="G2449" s="1042">
        <f t="shared" si="108"/>
        <v>3000</v>
      </c>
      <c r="H2449" s="1042">
        <f>'Смета Внутр'!G2457</f>
        <v>0</v>
      </c>
      <c r="I2449" s="1042">
        <f>'Смета Внутр'!H2457</f>
        <v>0</v>
      </c>
      <c r="J2449" s="1058">
        <f>'Смета Внутр'!I2457</f>
        <v>0</v>
      </c>
    </row>
    <row r="2450" spans="2:10">
      <c r="B2450" s="3007" t="str">
        <f>'Смета Внутр'!B2458</f>
        <v>расходные материалы дома из леса</v>
      </c>
      <c r="C2450" s="3007" t="str">
        <f>'Смета Внутр'!C2458</f>
        <v>рублей</v>
      </c>
      <c r="D2450" s="3014">
        <f>'Смета Внутр'!D2458</f>
        <v>1</v>
      </c>
      <c r="E2450" s="1042">
        <f>'Смета Внутр'!E2458</f>
        <v>3000</v>
      </c>
      <c r="F2450" s="1042">
        <f>'Смета Внутр'!F2458</f>
        <v>0</v>
      </c>
      <c r="G2450" s="3007">
        <f t="shared" si="108"/>
        <v>3000</v>
      </c>
      <c r="H2450" s="1042">
        <f>'Смета Внутр'!G2458</f>
        <v>0</v>
      </c>
      <c r="I2450" s="1042">
        <f>'Смета Внутр'!H2458</f>
        <v>0</v>
      </c>
      <c r="J2450" s="3014">
        <f>'Смета Внутр'!I2458</f>
        <v>0</v>
      </c>
    </row>
    <row r="2451" spans="2:10">
      <c r="B2451" s="1042" t="str">
        <f>'Смета Внутр'!B2459</f>
        <v>расходные материалы дома из леса</v>
      </c>
      <c r="C2451" s="1042" t="str">
        <f>'Смета Внутр'!C2459</f>
        <v>рублей</v>
      </c>
      <c r="D2451" s="1058">
        <f>'Смета Внутр'!D2459</f>
        <v>1</v>
      </c>
      <c r="E2451" s="1042">
        <f>'Смета Внутр'!E2459</f>
        <v>3000</v>
      </c>
      <c r="F2451" s="1042">
        <f>'Смета Внутр'!F2459</f>
        <v>0</v>
      </c>
      <c r="G2451" s="1042">
        <f t="shared" si="108"/>
        <v>3000</v>
      </c>
      <c r="H2451" s="1042">
        <f>'Смета Внутр'!G2459</f>
        <v>0</v>
      </c>
      <c r="I2451" s="1042">
        <f>'Смета Внутр'!H2459</f>
        <v>0</v>
      </c>
      <c r="J2451" s="1058">
        <f>'Смета Внутр'!I2459</f>
        <v>0</v>
      </c>
    </row>
    <row r="2452" spans="2:10">
      <c r="B2452" s="1042" t="str">
        <f>'Смета Внутр'!B2460</f>
        <v>расходные материалы эркер</v>
      </c>
      <c r="C2452" s="1042" t="str">
        <f>'Смета Внутр'!C2460</f>
        <v>рублей</v>
      </c>
      <c r="D2452" s="1058">
        <f>'Смета Внутр'!D2460</f>
        <v>1</v>
      </c>
      <c r="E2452" s="1042">
        <f>'Смета Внутр'!E2460</f>
        <v>3000</v>
      </c>
      <c r="F2452" s="1042">
        <f>'Смета Внутр'!F2460</f>
        <v>0</v>
      </c>
      <c r="G2452" s="1042">
        <f t="shared" si="108"/>
        <v>3000</v>
      </c>
      <c r="H2452" s="1042">
        <f>'Смета Внутр'!G2460</f>
        <v>0</v>
      </c>
      <c r="I2452" s="1042">
        <f>'Смета Внутр'!H2460</f>
        <v>0</v>
      </c>
      <c r="J2452" s="1058">
        <f>'Смета Внутр'!I2460</f>
        <v>0</v>
      </c>
    </row>
    <row r="2453" spans="2:10">
      <c r="B2453" s="1042" t="str">
        <f>'Смета Внутр'!B2461</f>
        <v>расходные материалы двускатная кровля</v>
      </c>
      <c r="C2453" s="1042" t="str">
        <f>'Смета Внутр'!C2461</f>
        <v>рублей</v>
      </c>
      <c r="D2453" s="1058">
        <f>'Смета Внутр'!D2461</f>
        <v>1</v>
      </c>
      <c r="E2453" s="1042">
        <f>'Смета Внутр'!E2461</f>
        <v>0</v>
      </c>
      <c r="F2453" s="1042">
        <f>'Смета Внутр'!F2461</f>
        <v>0</v>
      </c>
      <c r="G2453" s="1042">
        <f t="shared" si="108"/>
        <v>0</v>
      </c>
      <c r="H2453" s="1042">
        <f>'Смета Внутр'!G2461</f>
        <v>0</v>
      </c>
      <c r="I2453" s="1042">
        <f>'Смета Внутр'!H2461</f>
        <v>0</v>
      </c>
      <c r="J2453" s="1058">
        <f>'Смета Внутр'!I2461</f>
        <v>0</v>
      </c>
    </row>
    <row r="2454" spans="2:10">
      <c r="B2454" s="1042" t="str">
        <f>'Смета Внутр'!B2462</f>
        <v>расходные материалы вальмовая кровля</v>
      </c>
      <c r="C2454" s="1042" t="str">
        <f>'Смета Внутр'!C2462</f>
        <v>рублей</v>
      </c>
      <c r="D2454" s="1058">
        <f>'Смета Внутр'!D2462</f>
        <v>1</v>
      </c>
      <c r="E2454" s="1042">
        <f>'Смета Внутр'!E2462</f>
        <v>10000</v>
      </c>
      <c r="F2454" s="1042">
        <f>'Смета Внутр'!F2462</f>
        <v>0</v>
      </c>
      <c r="G2454" s="1042">
        <f t="shared" si="108"/>
        <v>10000</v>
      </c>
      <c r="H2454" s="1042">
        <f>'Смета Внутр'!G2462</f>
        <v>0</v>
      </c>
      <c r="I2454" s="1042">
        <f>'Смета Внутр'!H2462</f>
        <v>0</v>
      </c>
      <c r="J2454" s="1058">
        <f>'Смета Внутр'!I2462</f>
        <v>0</v>
      </c>
    </row>
    <row r="2455" spans="2:10">
      <c r="B2455" s="1042" t="str">
        <f>'Смета Внутр'!B2463</f>
        <v>расходные материалы полувальмовая кровля</v>
      </c>
      <c r="C2455" s="1042" t="str">
        <f>'Смета Внутр'!C2463</f>
        <v>рублей</v>
      </c>
      <c r="D2455" s="1058">
        <f>'Смета Внутр'!D2463</f>
        <v>1</v>
      </c>
      <c r="E2455" s="1042">
        <f>'Смета Внутр'!E2463</f>
        <v>10000</v>
      </c>
      <c r="F2455" s="1042">
        <f>'Смета Внутр'!F2463</f>
        <v>0</v>
      </c>
      <c r="G2455" s="1042">
        <f t="shared" si="108"/>
        <v>10000</v>
      </c>
      <c r="H2455" s="1042">
        <f>'Смета Внутр'!G2463</f>
        <v>0</v>
      </c>
      <c r="I2455" s="1042">
        <f>'Смета Внутр'!H2463</f>
        <v>0</v>
      </c>
      <c r="J2455" s="1058">
        <f>'Смета Внутр'!I2463</f>
        <v>0</v>
      </c>
    </row>
    <row r="2456" spans="2:10">
      <c r="B2456" s="1042" t="str">
        <f>'Смета Внутр'!B2464</f>
        <v>расходные материалы элементы кровель</v>
      </c>
      <c r="C2456" s="1042" t="str">
        <f>'Смета Внутр'!C2464</f>
        <v>рублей</v>
      </c>
      <c r="D2456" s="1058">
        <f>'Смета Внутр'!D2464</f>
        <v>1</v>
      </c>
      <c r="E2456" s="1042">
        <f>'Смета Внутр'!E2464</f>
        <v>10000</v>
      </c>
      <c r="F2456" s="1042">
        <f>'Смета Внутр'!F2464</f>
        <v>0</v>
      </c>
      <c r="G2456" s="1042">
        <f t="shared" si="108"/>
        <v>10000</v>
      </c>
      <c r="H2456" s="1042">
        <f>'Смета Внутр'!G2464</f>
        <v>0</v>
      </c>
      <c r="I2456" s="1042">
        <f>'Смета Внутр'!H2464</f>
        <v>0</v>
      </c>
      <c r="J2456" s="1058">
        <f>'Смета Внутр'!I2464</f>
        <v>0</v>
      </c>
    </row>
    <row r="2457" spans="2:10">
      <c r="B2457" s="1042" t="str">
        <f>'Смета Внутр'!B2465</f>
        <v>расходные материалы пристройки</v>
      </c>
      <c r="C2457" s="1042" t="str">
        <f>'Смета Внутр'!C2465</f>
        <v>рублей</v>
      </c>
      <c r="D2457" s="1058">
        <f>'Смета Внутр'!D2465</f>
        <v>1</v>
      </c>
      <c r="E2457" s="1042">
        <f>'Смета Внутр'!E2465</f>
        <v>10000</v>
      </c>
      <c r="F2457" s="1042">
        <f>'Смета Внутр'!F2465</f>
        <v>0</v>
      </c>
      <c r="G2457" s="1042">
        <f t="shared" si="108"/>
        <v>10000</v>
      </c>
      <c r="H2457" s="1042">
        <f>'Смета Внутр'!G2465</f>
        <v>0</v>
      </c>
      <c r="I2457" s="1042">
        <f>'Смета Внутр'!H2465</f>
        <v>0</v>
      </c>
      <c r="J2457" s="1058">
        <f>'Смета Внутр'!I2465</f>
        <v>0</v>
      </c>
    </row>
    <row r="2458" spans="2:10">
      <c r="B2458" s="1042" t="str">
        <f>'Смета Внутр'!B2466</f>
        <v>расходные материалы веранда</v>
      </c>
      <c r="C2458" s="1042" t="str">
        <f>'Смета Внутр'!C2466</f>
        <v>рублей</v>
      </c>
      <c r="D2458" s="1058">
        <f>'Смета Внутр'!D2466</f>
        <v>1</v>
      </c>
      <c r="E2458" s="1042">
        <f>'Смета Внутр'!E2466</f>
        <v>0</v>
      </c>
      <c r="F2458" s="1042">
        <f>'Смета Внутр'!F2466</f>
        <v>0</v>
      </c>
      <c r="G2458" s="1042">
        <f t="shared" si="108"/>
        <v>0</v>
      </c>
      <c r="H2458" s="1042">
        <f>'Смета Внутр'!G2466</f>
        <v>0</v>
      </c>
      <c r="I2458" s="1042">
        <f>'Смета Внутр'!H2466</f>
        <v>0</v>
      </c>
      <c r="J2458" s="1058">
        <f>'Смета Внутр'!I2466</f>
        <v>0</v>
      </c>
    </row>
    <row r="2459" spans="2:10">
      <c r="B2459" s="1042" t="str">
        <f>'Смета Внутр'!B2467</f>
        <v>расходные материалы для септика</v>
      </c>
      <c r="C2459" s="1042" t="str">
        <f>'Смета Внутр'!C2467</f>
        <v>рублей</v>
      </c>
      <c r="D2459" s="1058">
        <f>'Смета Внутр'!D2467</f>
        <v>1</v>
      </c>
      <c r="E2459" s="1042">
        <f>'Смета Внутр'!E2467</f>
        <v>5000</v>
      </c>
      <c r="F2459" s="1042">
        <f>'Смета Внутр'!F2467</f>
        <v>0</v>
      </c>
      <c r="G2459" s="1042">
        <f t="shared" si="108"/>
        <v>5000</v>
      </c>
      <c r="H2459" s="1042">
        <f>'Смета Внутр'!G2467</f>
        <v>0</v>
      </c>
      <c r="I2459" s="1042">
        <f>'Смета Внутр'!H2467</f>
        <v>0</v>
      </c>
      <c r="J2459" s="1058">
        <f>'Смета Внутр'!I2467</f>
        <v>0</v>
      </c>
    </row>
    <row r="2460" spans="2:10">
      <c r="B2460" s="1042" t="str">
        <f>'Смета Внутр'!B2468</f>
        <v>расходные материалы односкатная кровля</v>
      </c>
      <c r="C2460" s="1042" t="str">
        <f>'Смета Внутр'!C2468</f>
        <v>рублей</v>
      </c>
      <c r="D2460" s="1058">
        <f>'Смета Внутр'!D2468</f>
        <v>1</v>
      </c>
      <c r="E2460" s="1042">
        <f>'Смета Внутр'!E2468</f>
        <v>10000</v>
      </c>
      <c r="F2460" s="1042">
        <f>'Смета Внутр'!F2468</f>
        <v>0</v>
      </c>
      <c r="G2460" s="1042">
        <f t="shared" si="108"/>
        <v>10000</v>
      </c>
      <c r="H2460" s="1042">
        <f>'Смета Внутр'!G2468</f>
        <v>0</v>
      </c>
      <c r="I2460" s="1042">
        <f>'Смета Внутр'!H2468</f>
        <v>0</v>
      </c>
      <c r="J2460" s="1058">
        <f>'Смета Внутр'!I2468</f>
        <v>0</v>
      </c>
    </row>
    <row r="2461" spans="2:10">
      <c r="B2461" s="1042" t="str">
        <f>'Смета Внутр'!B2469</f>
        <v>Расходные материалы винтовые сваи</v>
      </c>
      <c r="C2461" s="1042" t="str">
        <f>'Смета Внутр'!C2469</f>
        <v>рублей</v>
      </c>
      <c r="D2461" s="1058">
        <f>'Смета Внутр'!D2469</f>
        <v>1</v>
      </c>
      <c r="E2461" s="1042">
        <f>'Смета Внутр'!E2469</f>
        <v>6000</v>
      </c>
      <c r="F2461" s="1042">
        <f>'Смета Внутр'!F2469</f>
        <v>0</v>
      </c>
      <c r="G2461" s="1042">
        <f t="shared" si="108"/>
        <v>6000</v>
      </c>
      <c r="H2461" s="1042">
        <f>'Смета Внутр'!G2469</f>
        <v>0</v>
      </c>
      <c r="I2461" s="1042">
        <f>'Смета Внутр'!H2469</f>
        <v>0</v>
      </c>
      <c r="J2461" s="1058">
        <f>'Смета Внутр'!I2469</f>
        <v>0</v>
      </c>
    </row>
    <row r="2462" spans="2:10">
      <c r="B2462" s="1042" t="str">
        <f>'Смета Внутр'!B2470</f>
        <v>расходные материалы окна</v>
      </c>
      <c r="C2462" s="1042" t="str">
        <f>'Смета Внутр'!C2470</f>
        <v>рублей</v>
      </c>
      <c r="D2462" s="1058">
        <f>'Смета Внутр'!D2470</f>
        <v>1</v>
      </c>
      <c r="E2462" s="1042">
        <f>'Смета Внутр'!E2470</f>
        <v>5000</v>
      </c>
      <c r="F2462" s="1042">
        <f>'Смета Внутр'!F2470</f>
        <v>0</v>
      </c>
      <c r="G2462" s="1042">
        <f t="shared" si="108"/>
        <v>5000</v>
      </c>
      <c r="H2462" s="1042">
        <f>'Смета Внутр'!G2470</f>
        <v>0</v>
      </c>
      <c r="I2462" s="1042">
        <f>'Смета Внутр'!H2470</f>
        <v>0</v>
      </c>
      <c r="J2462" s="1058">
        <f>'Смета Внутр'!I2470</f>
        <v>0</v>
      </c>
    </row>
    <row r="2463" spans="2:10">
      <c r="B2463" s="1042" t="str">
        <f>'Смета Внутр'!B2471</f>
        <v>расходные материалы лестница</v>
      </c>
      <c r="C2463" s="1042" t="str">
        <f>'Смета Внутр'!C2471</f>
        <v>рублей</v>
      </c>
      <c r="D2463" s="1058">
        <f>'Смета Внутр'!D2471</f>
        <v>1</v>
      </c>
      <c r="E2463" s="1042">
        <f>'Смета Внутр'!E2471</f>
        <v>5000</v>
      </c>
      <c r="F2463" s="1042">
        <f>'Смета Внутр'!F2471</f>
        <v>0</v>
      </c>
      <c r="G2463" s="1042">
        <f t="shared" si="108"/>
        <v>5000</v>
      </c>
      <c r="H2463" s="1042">
        <f>'Смета Внутр'!G2471</f>
        <v>0</v>
      </c>
      <c r="I2463" s="1042">
        <f>'Смета Внутр'!H2471</f>
        <v>0</v>
      </c>
      <c r="J2463" s="1058">
        <f>'Смета Внутр'!I2471</f>
        <v>0</v>
      </c>
    </row>
    <row r="2464" spans="2:10">
      <c r="B2464" s="1042" t="str">
        <f>'Смета Внутр'!B2472</f>
        <v>расходные материалы отделка внешняя</v>
      </c>
      <c r="C2464" s="1042" t="str">
        <f>'Смета Внутр'!C2472</f>
        <v>рублей</v>
      </c>
      <c r="D2464" s="1058">
        <f>'Смета Внутр'!D2472</f>
        <v>1</v>
      </c>
      <c r="E2464" s="1042">
        <f>'Смета Внутр'!E2472</f>
        <v>3000</v>
      </c>
      <c r="F2464" s="1042">
        <f>'Смета Внутр'!F2472</f>
        <v>0</v>
      </c>
      <c r="G2464" s="1042">
        <f t="shared" si="108"/>
        <v>3000</v>
      </c>
      <c r="H2464" s="1042">
        <f>'Смета Внутр'!G2472</f>
        <v>0</v>
      </c>
      <c r="I2464" s="1042">
        <f>'Смета Внутр'!H2472</f>
        <v>0</v>
      </c>
      <c r="J2464" s="1058">
        <f>'Смета Внутр'!I2472</f>
        <v>0</v>
      </c>
    </row>
    <row r="2465" spans="2:10">
      <c r="B2465" s="3007" t="str">
        <f>'Смета Внутр'!B2473</f>
        <v>расходные материалы чистовая отделка</v>
      </c>
      <c r="C2465" s="3007" t="str">
        <f>'Смета Внутр'!C2473</f>
        <v>рублей</v>
      </c>
      <c r="D2465" s="3014">
        <f>'Смета Внутр'!D2473</f>
        <v>1</v>
      </c>
      <c r="E2465" s="1042">
        <f>'Смета Внутр'!E2473</f>
        <v>5000</v>
      </c>
      <c r="F2465" s="1042">
        <f>'Смета Внутр'!F2473</f>
        <v>0</v>
      </c>
      <c r="G2465" s="3007">
        <f t="shared" si="108"/>
        <v>5000</v>
      </c>
      <c r="H2465" s="1042">
        <f>'Смета Внутр'!G2473</f>
        <v>0</v>
      </c>
      <c r="I2465" s="1042">
        <f>'Смета Внутр'!H2473</f>
        <v>0</v>
      </c>
      <c r="J2465" s="3014">
        <f>'Смета Внутр'!I2473</f>
        <v>0</v>
      </c>
    </row>
    <row r="2466" spans="2:10">
      <c r="B2466" s="1042" t="str">
        <f>'Смета Внутр'!B2474</f>
        <v>расходные материалы балкон</v>
      </c>
      <c r="C2466" s="1042" t="str">
        <f>'Смета Внутр'!C2474</f>
        <v>рублей</v>
      </c>
      <c r="D2466" s="1058">
        <f>'Смета Внутр'!D2474</f>
        <v>0</v>
      </c>
      <c r="E2466" s="1042">
        <f>'Смета Внутр'!E2474</f>
        <v>0</v>
      </c>
      <c r="F2466" s="1042">
        <f>'Смета Внутр'!F2474</f>
        <v>0</v>
      </c>
      <c r="G2466" s="1042">
        <f t="shared" si="108"/>
        <v>0</v>
      </c>
      <c r="H2466" s="1042">
        <f>'Смета Внутр'!G2474</f>
        <v>0</v>
      </c>
      <c r="I2466" s="1042">
        <f>'Смета Внутр'!H2474</f>
        <v>0</v>
      </c>
      <c r="J2466" s="1058">
        <f>'Смета Внутр'!I2474</f>
        <v>0</v>
      </c>
    </row>
    <row r="2467" spans="2:10">
      <c r="B2467" s="1042" t="str">
        <f>'Смета Внутр'!B2475</f>
        <v>расходные материалы перекрытие</v>
      </c>
      <c r="C2467" s="1042" t="str">
        <f>'Смета Внутр'!C2475</f>
        <v>рублей</v>
      </c>
      <c r="D2467" s="1058">
        <f>'Смета Внутр'!D2475</f>
        <v>1</v>
      </c>
      <c r="E2467" s="1042">
        <f>'Смета Внутр'!E2475</f>
        <v>5000</v>
      </c>
      <c r="F2467" s="1042">
        <f>'Смета Внутр'!F2475</f>
        <v>0</v>
      </c>
      <c r="G2467" s="1042">
        <f t="shared" si="108"/>
        <v>5000</v>
      </c>
      <c r="H2467" s="1042">
        <f>'Смета Внутр'!G2475</f>
        <v>0</v>
      </c>
      <c r="I2467" s="1042">
        <f>'Смета Внутр'!H2475</f>
        <v>0</v>
      </c>
      <c r="J2467" s="1058">
        <f>'Смета Внутр'!I2475</f>
        <v>0</v>
      </c>
    </row>
    <row r="2468" spans="2:10">
      <c r="B2468" s="3007" t="str">
        <f>'Смета Внутр'!B2476</f>
        <v>расходные материалы цокольный этаж</v>
      </c>
      <c r="C2468" s="3007" t="str">
        <f>'Смета Внутр'!C2476</f>
        <v>рублей</v>
      </c>
      <c r="D2468" s="3014">
        <f>'Смета Внутр'!D2476</f>
        <v>0</v>
      </c>
      <c r="E2468" s="1042">
        <f>'Смета Внутр'!E2476</f>
        <v>5000</v>
      </c>
      <c r="F2468" s="1042">
        <f>'Смета Внутр'!F2476</f>
        <v>0</v>
      </c>
      <c r="G2468" s="3007">
        <f t="shared" si="108"/>
        <v>5000</v>
      </c>
      <c r="H2468" s="1042">
        <f>'Смета Внутр'!G2476</f>
        <v>0</v>
      </c>
      <c r="I2468" s="1042">
        <f>'Смета Внутр'!H2476</f>
        <v>0</v>
      </c>
      <c r="J2468" s="3014">
        <f>'Смета Внутр'!I2476</f>
        <v>0</v>
      </c>
    </row>
    <row r="2469" spans="2:10">
      <c r="B2469" s="3007" t="str">
        <f>'Смета Внутр'!B2477</f>
        <v>Расходные материалы крыльцо</v>
      </c>
      <c r="C2469" s="3007" t="str">
        <f>'Смета Внутр'!C2477</f>
        <v>рублей</v>
      </c>
      <c r="D2469" s="3014">
        <f>'Смета Внутр'!D2477</f>
        <v>1</v>
      </c>
      <c r="E2469" s="1042">
        <f>'Смета Внутр'!E2477</f>
        <v>5000</v>
      </c>
      <c r="F2469" s="1042">
        <f>'Смета Внутр'!F2477</f>
        <v>0</v>
      </c>
      <c r="G2469" s="3007">
        <f t="shared" si="108"/>
        <v>5000</v>
      </c>
      <c r="H2469" s="1042">
        <f>'Смета Внутр'!G2477</f>
        <v>0</v>
      </c>
      <c r="I2469" s="1042">
        <f>'Смета Внутр'!H2477</f>
        <v>0</v>
      </c>
      <c r="J2469" s="3014">
        <f>'Смета Внутр'!I2477</f>
        <v>0</v>
      </c>
    </row>
    <row r="2470" spans="2:10">
      <c r="B2470" s="3007" t="str">
        <f>'Смета Внутр'!B2478</f>
        <v>расходные материалы каркасный дом</v>
      </c>
      <c r="C2470" s="3007">
        <f>'Смета Внутр'!C2478</f>
        <v>0</v>
      </c>
      <c r="D2470" s="3014">
        <f>'Смета Внутр'!D2478</f>
        <v>1</v>
      </c>
      <c r="E2470" s="1042">
        <f>'Смета Внутр'!E2478</f>
        <v>12000</v>
      </c>
      <c r="F2470" s="1042">
        <f>'Смета Внутр'!F2478</f>
        <v>0</v>
      </c>
      <c r="G2470" s="3007">
        <f t="shared" si="108"/>
        <v>12000</v>
      </c>
      <c r="H2470" s="1042">
        <f>'Смета Внутр'!G2478</f>
        <v>0</v>
      </c>
      <c r="I2470" s="1042">
        <f>'Смета Внутр'!H2478</f>
        <v>0</v>
      </c>
      <c r="J2470" s="3014">
        <f>'Смета Внутр'!I2478</f>
        <v>0</v>
      </c>
    </row>
    <row r="2471" spans="2:10">
      <c r="B2471" s="3007" t="str">
        <f>'Смета Внутр'!B2479</f>
        <v>расходные материалы каркасный дом</v>
      </c>
      <c r="C2471" s="3007">
        <f>'Смета Внутр'!C2479</f>
        <v>0</v>
      </c>
      <c r="D2471" s="3014">
        <f>'Смета Внутр'!D2479</f>
        <v>1</v>
      </c>
      <c r="E2471" s="1042">
        <f>'Смета Внутр'!E2479</f>
        <v>12000</v>
      </c>
      <c r="F2471" s="1042">
        <f>'Смета Внутр'!F2479</f>
        <v>0</v>
      </c>
      <c r="G2471" s="3007">
        <f t="shared" si="108"/>
        <v>12000</v>
      </c>
      <c r="H2471" s="1042">
        <f>'Смета Внутр'!G2479</f>
        <v>0</v>
      </c>
      <c r="I2471" s="1042">
        <f>'Смета Внутр'!H2479</f>
        <v>0</v>
      </c>
      <c r="J2471" s="3014">
        <f>'Смета Внутр'!I2479</f>
        <v>0</v>
      </c>
    </row>
    <row r="2472" spans="2:10">
      <c r="B2472" s="3007" t="str">
        <f>'Смета Внутр'!B2480</f>
        <v>Доп. Расходы</v>
      </c>
      <c r="C2472" s="3007" t="str">
        <f>'Смета Внутр'!C2480</f>
        <v>руб.</v>
      </c>
      <c r="D2472" s="3014">
        <f>'Смета Внутр'!D2480</f>
        <v>1</v>
      </c>
      <c r="E2472" s="1042">
        <f>'Смета Внутр'!E2480</f>
        <v>2000</v>
      </c>
      <c r="F2472" s="1042">
        <f>'Смета Внутр'!F2480</f>
        <v>0</v>
      </c>
      <c r="G2472" s="3007">
        <f t="shared" si="108"/>
        <v>2000</v>
      </c>
      <c r="H2472" s="1042">
        <f>'Смета Внутр'!G2480</f>
        <v>0</v>
      </c>
      <c r="I2472" s="1042">
        <f>'Смета Внутр'!H2480</f>
        <v>0</v>
      </c>
      <c r="J2472" s="3014">
        <f>'Смета Внутр'!I2480</f>
        <v>0</v>
      </c>
    </row>
    <row r="2473" spans="2:10">
      <c r="B2473" s="3007" t="str">
        <f>'Смета Внутр'!B2481</f>
        <v>Доп. Расходы</v>
      </c>
      <c r="C2473" s="3007" t="str">
        <f>'Смета Внутр'!C2481</f>
        <v>руб.</v>
      </c>
      <c r="D2473" s="3014">
        <f>'Смета Внутр'!D2481</f>
        <v>1</v>
      </c>
      <c r="E2473" s="1042">
        <f>'Смета Внутр'!E2481</f>
        <v>2000</v>
      </c>
      <c r="F2473" s="1042">
        <f>'Смета Внутр'!F2481</f>
        <v>0</v>
      </c>
      <c r="G2473" s="3007">
        <f t="shared" si="108"/>
        <v>2000</v>
      </c>
      <c r="H2473" s="1042">
        <f>'Смета Внутр'!G2481</f>
        <v>0</v>
      </c>
      <c r="I2473" s="1042">
        <f>'Смета Внутр'!H2481</f>
        <v>0</v>
      </c>
      <c r="J2473" s="3014">
        <f>'Смета Внутр'!I2481</f>
        <v>0</v>
      </c>
    </row>
    <row r="2474" spans="2:10">
      <c r="B2474" s="3311" t="str">
        <f>'Смета Внутр'!B2482</f>
        <v>Итого, рублей</v>
      </c>
      <c r="C2474" s="3311"/>
      <c r="D2474" s="3311"/>
      <c r="E2474" s="3311"/>
      <c r="F2474" s="3311"/>
      <c r="G2474" s="3311"/>
      <c r="H2474" s="1042">
        <f>'Смета Внутр'!G2482</f>
        <v>15000</v>
      </c>
      <c r="I2474" s="1042">
        <f>'Смета Внутр'!H2482</f>
        <v>15000</v>
      </c>
      <c r="J2474" s="3014">
        <f>'Смета Внутр'!I2482</f>
        <v>15000</v>
      </c>
    </row>
    <row r="2475" spans="2:10" ht="19">
      <c r="B2475" s="3329" t="str">
        <f>'Смета Внутр'!B2483</f>
        <v>Командировочные расходы</v>
      </c>
      <c r="C2475" s="3329"/>
      <c r="D2475" s="3329"/>
      <c r="H2475">
        <f>'Смета Внутр'!G2483</f>
        <v>0</v>
      </c>
      <c r="I2475">
        <f>'Смета Внутр'!H2483</f>
        <v>0</v>
      </c>
      <c r="J2475" s="3027">
        <f>'Смета Внутр'!I2483</f>
        <v>0</v>
      </c>
    </row>
    <row r="2476" spans="2:10">
      <c r="B2476" s="1042" t="str">
        <f>'Смета Внутр'!B2484</f>
        <v>Командировочные расходы</v>
      </c>
      <c r="C2476" s="1042" t="str">
        <f>'Смета Внутр'!C2484</f>
        <v>рублей</v>
      </c>
      <c r="D2476" s="1058">
        <f>'Смета Внутр'!D2484</f>
        <v>1</v>
      </c>
      <c r="E2476" s="1042">
        <f>'Смета Внутр'!E2484</f>
        <v>0</v>
      </c>
      <c r="F2476" s="1042">
        <f>'Смета Внутр'!F2484</f>
        <v>0</v>
      </c>
      <c r="G2476" s="1042">
        <f t="shared" ref="G2476:G2487" si="109">IF(E2476&gt;F2476,E2476,F2476)</f>
        <v>0</v>
      </c>
      <c r="H2476" s="1042">
        <f>'Смета Внутр'!G2484</f>
        <v>0</v>
      </c>
      <c r="I2476" s="1042">
        <f>'Смета Внутр'!H2484</f>
        <v>0</v>
      </c>
      <c r="J2476" s="1058">
        <f>'Смета Внутр'!I2484</f>
        <v>0</v>
      </c>
    </row>
    <row r="2477" spans="2:10">
      <c r="B2477" s="1042" t="str">
        <f>'Смета Внутр'!B2485</f>
        <v>Командировочные расходы</v>
      </c>
      <c r="C2477" s="1042" t="str">
        <f>'Смета Внутр'!C2485</f>
        <v>рублей</v>
      </c>
      <c r="D2477" s="1058">
        <f>'Смета Внутр'!D2485</f>
        <v>1</v>
      </c>
      <c r="E2477" s="1042">
        <f>'Смета Внутр'!E2485</f>
        <v>0</v>
      </c>
      <c r="F2477" s="1042">
        <f>'Смета Внутр'!F2485</f>
        <v>0</v>
      </c>
      <c r="G2477" s="1042">
        <f t="shared" si="109"/>
        <v>0</v>
      </c>
      <c r="H2477" s="1042">
        <f>'Смета Внутр'!G2485</f>
        <v>0</v>
      </c>
      <c r="I2477" s="1042">
        <f>'Смета Внутр'!H2485</f>
        <v>0</v>
      </c>
      <c r="J2477" s="1058">
        <f>'Смета Внутр'!I2485</f>
        <v>0</v>
      </c>
    </row>
    <row r="2478" spans="2:10">
      <c r="B2478" s="1042" t="str">
        <f>'Смета Внутр'!B2486</f>
        <v>Командировочные расходы</v>
      </c>
      <c r="C2478" s="1042" t="str">
        <f>'Смета Внутр'!C2486</f>
        <v>рублей</v>
      </c>
      <c r="D2478" s="1058">
        <f>'Смета Внутр'!D2486</f>
        <v>1</v>
      </c>
      <c r="E2478" s="1042">
        <f>'Смета Внутр'!E2486</f>
        <v>0</v>
      </c>
      <c r="F2478" s="1042">
        <f>'Смета Внутр'!F2486</f>
        <v>0</v>
      </c>
      <c r="G2478" s="1042">
        <f t="shared" si="109"/>
        <v>0</v>
      </c>
      <c r="H2478" s="1042">
        <f>'Смета Внутр'!G2486</f>
        <v>0</v>
      </c>
      <c r="I2478" s="1042">
        <f>'Смета Внутр'!H2486</f>
        <v>0</v>
      </c>
      <c r="J2478" s="1058">
        <f>'Смета Внутр'!I2486</f>
        <v>0</v>
      </c>
    </row>
    <row r="2479" spans="2:10">
      <c r="B2479" s="1042" t="str">
        <f>'Смета Внутр'!B2487</f>
        <v>Командировочные расходы</v>
      </c>
      <c r="C2479" s="1042" t="str">
        <f>'Смета Внутр'!C2487</f>
        <v>рублей</v>
      </c>
      <c r="D2479" s="1058">
        <f>'Смета Внутр'!D2487</f>
        <v>1</v>
      </c>
      <c r="E2479" s="1042">
        <f>'Смета Внутр'!E2487</f>
        <v>0</v>
      </c>
      <c r="F2479" s="1042">
        <f>'Смета Внутр'!F2487</f>
        <v>0</v>
      </c>
      <c r="G2479" s="1042">
        <f t="shared" si="109"/>
        <v>0</v>
      </c>
      <c r="H2479" s="1042">
        <f>'Смета Внутр'!G2487</f>
        <v>0</v>
      </c>
      <c r="I2479" s="1042">
        <f>'Смета Внутр'!H2487</f>
        <v>0</v>
      </c>
      <c r="J2479" s="1058">
        <f>'Смета Внутр'!I2487</f>
        <v>0</v>
      </c>
    </row>
    <row r="2480" spans="2:10">
      <c r="B2480" s="1042" t="str">
        <f>'Смета Внутр'!B2488</f>
        <v>Командировочные расходы</v>
      </c>
      <c r="C2480" s="1042" t="str">
        <f>'Смета Внутр'!C2488</f>
        <v>рублей</v>
      </c>
      <c r="D2480" s="1058">
        <f>'Смета Внутр'!D2488</f>
        <v>1</v>
      </c>
      <c r="E2480" s="1042">
        <f>'Смета Внутр'!E2488</f>
        <v>0</v>
      </c>
      <c r="F2480" s="1042">
        <f>'Смета Внутр'!F2488</f>
        <v>0</v>
      </c>
      <c r="G2480" s="1042">
        <f t="shared" si="109"/>
        <v>0</v>
      </c>
      <c r="H2480" s="1042">
        <f>'Смета Внутр'!G2488</f>
        <v>0</v>
      </c>
      <c r="I2480" s="1042">
        <f>'Смета Внутр'!H2488</f>
        <v>0</v>
      </c>
      <c r="J2480" s="1058">
        <f>'Смета Внутр'!I2488</f>
        <v>0</v>
      </c>
    </row>
    <row r="2481" spans="2:10">
      <c r="B2481" s="1042" t="str">
        <f>'Смета Внутр'!B2489</f>
        <v>Командировочные расходы</v>
      </c>
      <c r="C2481" s="1042" t="str">
        <f>'Смета Внутр'!C2489</f>
        <v>рублей</v>
      </c>
      <c r="D2481" s="1058">
        <f>'Смета Внутр'!D2489</f>
        <v>1</v>
      </c>
      <c r="E2481" s="1042">
        <f>'Смета Внутр'!E2489</f>
        <v>0</v>
      </c>
      <c r="F2481" s="1042">
        <f>'Смета Внутр'!F2489</f>
        <v>0</v>
      </c>
      <c r="G2481" s="1042">
        <f t="shared" si="109"/>
        <v>0</v>
      </c>
      <c r="H2481" s="1042">
        <f>'Смета Внутр'!G2489</f>
        <v>0</v>
      </c>
      <c r="I2481" s="1042">
        <f>'Смета Внутр'!H2489</f>
        <v>0</v>
      </c>
      <c r="J2481" s="1058">
        <f>'Смета Внутр'!I2489</f>
        <v>0</v>
      </c>
    </row>
    <row r="2482" spans="2:10">
      <c r="B2482" s="1042" t="str">
        <f>'Смета Внутр'!B2490</f>
        <v>Командировочные расходы</v>
      </c>
      <c r="C2482" s="1042" t="str">
        <f>'Смета Внутр'!C2490</f>
        <v>рублей</v>
      </c>
      <c r="D2482" s="1058">
        <f>'Смета Внутр'!D2490</f>
        <v>1</v>
      </c>
      <c r="E2482" s="1042">
        <f>'Смета Внутр'!E2490</f>
        <v>0</v>
      </c>
      <c r="F2482" s="1042">
        <f>'Смета Внутр'!F2490</f>
        <v>0</v>
      </c>
      <c r="G2482" s="1042">
        <f t="shared" si="109"/>
        <v>0</v>
      </c>
      <c r="H2482" s="1042">
        <f>'Смета Внутр'!G2490</f>
        <v>0</v>
      </c>
      <c r="I2482" s="1042">
        <f>'Смета Внутр'!H2490</f>
        <v>0</v>
      </c>
      <c r="J2482" s="1058">
        <f>'Смета Внутр'!I2490</f>
        <v>0</v>
      </c>
    </row>
    <row r="2483" spans="2:10">
      <c r="B2483" s="1042" t="str">
        <f>'Смета Внутр'!B2491</f>
        <v>Командировочные расходы</v>
      </c>
      <c r="C2483" s="1042" t="str">
        <f>'Смета Внутр'!C2491</f>
        <v>рублей</v>
      </c>
      <c r="D2483" s="1058">
        <f>'Смета Внутр'!D2491</f>
        <v>1</v>
      </c>
      <c r="E2483" s="1042">
        <f>'Смета Внутр'!E2491</f>
        <v>0</v>
      </c>
      <c r="F2483" s="1042">
        <f>'Смета Внутр'!F2491</f>
        <v>0</v>
      </c>
      <c r="G2483" s="1042">
        <f t="shared" si="109"/>
        <v>0</v>
      </c>
      <c r="H2483" s="1042">
        <f>'Смета Внутр'!G2491</f>
        <v>0</v>
      </c>
      <c r="I2483" s="1042">
        <f>'Смета Внутр'!H2491</f>
        <v>0</v>
      </c>
      <c r="J2483" s="1058">
        <f>'Смета Внутр'!I2491</f>
        <v>0</v>
      </c>
    </row>
    <row r="2484" spans="2:10">
      <c r="B2484" s="1042" t="str">
        <f>'Смета Внутр'!B2492</f>
        <v>Командировочные расходы</v>
      </c>
      <c r="C2484" s="1042" t="str">
        <f>'Смета Внутр'!C2492</f>
        <v>рублей</v>
      </c>
      <c r="D2484" s="1058">
        <f>'Смета Внутр'!D2492</f>
        <v>1</v>
      </c>
      <c r="E2484" s="1042">
        <f>'Смета Внутр'!E2492</f>
        <v>0</v>
      </c>
      <c r="F2484" s="1042">
        <f>'Смета Внутр'!F2492</f>
        <v>0</v>
      </c>
      <c r="G2484" s="1042">
        <f t="shared" si="109"/>
        <v>0</v>
      </c>
      <c r="H2484" s="1042">
        <f>'Смета Внутр'!G2492</f>
        <v>0</v>
      </c>
      <c r="I2484" s="1042">
        <f>'Смета Внутр'!H2492</f>
        <v>0</v>
      </c>
      <c r="J2484" s="1058">
        <f>'Смета Внутр'!I2492</f>
        <v>0</v>
      </c>
    </row>
    <row r="2485" spans="2:10">
      <c r="B2485" s="1042" t="str">
        <f>'Смета Внутр'!B2493</f>
        <v>Командировочные расходы</v>
      </c>
      <c r="C2485" s="1042" t="str">
        <f>'Смета Внутр'!C2493</f>
        <v>рублей</v>
      </c>
      <c r="D2485" s="1058">
        <f>'Смета Внутр'!D2493</f>
        <v>1</v>
      </c>
      <c r="E2485" s="1042">
        <f>'Смета Внутр'!E2493</f>
        <v>0</v>
      </c>
      <c r="F2485" s="1042">
        <f>'Смета Внутр'!F2493</f>
        <v>0</v>
      </c>
      <c r="G2485" s="1042">
        <f t="shared" si="109"/>
        <v>0</v>
      </c>
      <c r="H2485" s="1042">
        <f>'Смета Внутр'!G2493</f>
        <v>0</v>
      </c>
      <c r="I2485" s="1042">
        <f>'Смета Внутр'!H2493</f>
        <v>0</v>
      </c>
      <c r="J2485" s="1058">
        <f>'Смета Внутр'!I2493</f>
        <v>0</v>
      </c>
    </row>
    <row r="2486" spans="2:10">
      <c r="B2486" s="1042" t="str">
        <f>'Смета Внутр'!B2494</f>
        <v>Командировочные расходы</v>
      </c>
      <c r="C2486" s="1042">
        <f>'Смета Внутр'!C2494</f>
        <v>0</v>
      </c>
      <c r="D2486" s="1058">
        <f>'Смета Внутр'!D2494</f>
        <v>1</v>
      </c>
      <c r="E2486" s="1042">
        <f>'Смета Внутр'!E2494</f>
        <v>0</v>
      </c>
      <c r="F2486" s="1042">
        <f>'Смета Внутр'!F2494</f>
        <v>0</v>
      </c>
      <c r="G2486" s="1042">
        <f t="shared" si="109"/>
        <v>0</v>
      </c>
      <c r="H2486" s="1042">
        <f>'Смета Внутр'!G2494</f>
        <v>0</v>
      </c>
      <c r="I2486" s="1042">
        <f>'Смета Внутр'!H2494</f>
        <v>0</v>
      </c>
      <c r="J2486" s="1058">
        <f>'Смета Внутр'!I2494</f>
        <v>0</v>
      </c>
    </row>
    <row r="2487" spans="2:10">
      <c r="B2487" s="1042" t="str">
        <f>'Смета Внутр'!B2495</f>
        <v>Командировочные расходы</v>
      </c>
      <c r="C2487" s="1042">
        <f>'Смета Внутр'!C2495</f>
        <v>0</v>
      </c>
      <c r="D2487" s="1058">
        <f>'Смета Внутр'!D2495</f>
        <v>1</v>
      </c>
      <c r="E2487" s="1042">
        <f>'Смета Внутр'!E2495</f>
        <v>0</v>
      </c>
      <c r="F2487" s="1042">
        <f>'Смета Внутр'!F2495</f>
        <v>0</v>
      </c>
      <c r="G2487" s="1042">
        <f t="shared" si="109"/>
        <v>0</v>
      </c>
      <c r="H2487" s="1042">
        <f>'Смета Внутр'!G2495</f>
        <v>0</v>
      </c>
      <c r="I2487" s="1042">
        <f>'Смета Внутр'!H2495</f>
        <v>0</v>
      </c>
      <c r="J2487" s="1058">
        <f>'Смета Внутр'!I2495</f>
        <v>0</v>
      </c>
    </row>
    <row r="2488" spans="2:10">
      <c r="B2488" s="3330" t="str">
        <f>'Смета Внутр'!B2496</f>
        <v>Итого, рублей</v>
      </c>
      <c r="C2488" s="3330"/>
      <c r="D2488" s="3330"/>
      <c r="E2488" s="3330"/>
      <c r="F2488" s="3330"/>
      <c r="G2488" s="3330"/>
      <c r="H2488" s="1042">
        <f>'Смета Внутр'!G2496</f>
        <v>0</v>
      </c>
      <c r="I2488" s="1042">
        <f>'Смета Внутр'!H2496</f>
        <v>0</v>
      </c>
      <c r="J2488" s="1058">
        <f>'Смета Внутр'!I2496</f>
        <v>0</v>
      </c>
    </row>
    <row r="2490" spans="2:10">
      <c r="B2490" s="3307" t="str">
        <f>'Смета Внутр'!B2498</f>
        <v>Всего материалов, рублей</v>
      </c>
      <c r="C2490" s="3307"/>
      <c r="D2490" s="3307"/>
      <c r="E2490" s="3307"/>
      <c r="F2490" s="3307"/>
      <c r="G2490" s="3307"/>
      <c r="H2490">
        <f>'Смета Внутр'!G2498</f>
        <v>728424.68621438311</v>
      </c>
      <c r="I2490">
        <f>'Смета Внутр'!H2498</f>
        <v>645423.27619999996</v>
      </c>
      <c r="J2490" s="3026">
        <f>'Смета для Зак укр'!F2348</f>
        <v>728424.68621438311</v>
      </c>
    </row>
    <row r="2491" spans="2:10">
      <c r="B2491" s="3307" t="str">
        <f>'Смета Внутр'!B2499</f>
        <v>Всего работы, рублей</v>
      </c>
      <c r="C2491" s="3307"/>
      <c r="D2491" s="3307"/>
      <c r="E2491" s="3307"/>
      <c r="F2491" s="3307"/>
      <c r="G2491" s="3307"/>
      <c r="H2491">
        <f>'Смета Внутр'!G2499</f>
        <v>307133.60000000003</v>
      </c>
      <c r="I2491">
        <f>'Смета Внутр'!H2499</f>
        <v>247133.60000000003</v>
      </c>
      <c r="J2491" s="3026">
        <f>'Смета для Зак укр'!F2349</f>
        <v>307133.60000000003</v>
      </c>
    </row>
    <row r="2492" spans="2:10">
      <c r="B2492" s="3307" t="str">
        <f>'Смета Внутр'!E2500</f>
        <v>Всего транспортные расходы, рублей</v>
      </c>
      <c r="C2492" s="3307"/>
      <c r="D2492" s="3307"/>
      <c r="E2492" s="3307"/>
      <c r="F2492" s="3307"/>
      <c r="G2492" s="3307"/>
      <c r="H2492">
        <f>'Смета Внутр'!G2500</f>
        <v>0</v>
      </c>
      <c r="I2492">
        <f>'Смета Внутр'!H2500</f>
        <v>0</v>
      </c>
      <c r="J2492" s="3026">
        <f>'Смета для Зак укр'!F2350</f>
        <v>0</v>
      </c>
    </row>
    <row r="2493" spans="2:10">
      <c r="B2493" s="3307" t="s">
        <v>4676</v>
      </c>
      <c r="C2493" s="3307"/>
      <c r="D2493" s="3307"/>
      <c r="E2493" s="3307"/>
      <c r="F2493" s="3307"/>
      <c r="G2493" s="3307"/>
      <c r="H2493">
        <f>'Смета Внутр'!G2501</f>
        <v>15000</v>
      </c>
      <c r="I2493">
        <f>'Смета Внутр'!H2501</f>
        <v>15000</v>
      </c>
      <c r="J2493" s="3026">
        <f>'Смета для Зак укр'!F2351</f>
        <v>15000</v>
      </c>
    </row>
    <row r="2494" spans="2:10">
      <c r="B2494" s="3307" t="str">
        <f>'Смета Внутр'!B2502</f>
        <v>Всего, командировочные расходы, рублей</v>
      </c>
      <c r="C2494" s="3307"/>
      <c r="D2494" s="3307"/>
      <c r="E2494" s="3307"/>
      <c r="F2494" s="3307"/>
      <c r="G2494" s="3307"/>
      <c r="H2494">
        <f>'Смета Внутр'!G2502</f>
        <v>0</v>
      </c>
      <c r="I2494">
        <f>'Смета Внутр'!H2502</f>
        <v>0</v>
      </c>
      <c r="J2494" s="3026">
        <f>'Смета для Зак укр'!F2352</f>
        <v>0</v>
      </c>
    </row>
    <row r="2495" spans="2:10">
      <c r="B2495" s="3307" t="str">
        <f>'Смета Внутр'!B2503</f>
        <v>Всего работ и материалов, рублей</v>
      </c>
      <c r="C2495" s="3307"/>
      <c r="D2495" s="3307"/>
      <c r="E2495" s="3307"/>
      <c r="F2495" s="3307"/>
      <c r="G2495" s="3307"/>
      <c r="H2495">
        <f>'Смета Внутр'!G2503</f>
        <v>1050558.2862143831</v>
      </c>
      <c r="I2495">
        <f>'Смета Внутр'!H2503</f>
        <v>907556.87620000006</v>
      </c>
      <c r="J2495" s="3026">
        <f>'Смета для Зак укр'!F2353</f>
        <v>1050558.2862143831</v>
      </c>
    </row>
    <row r="2496" spans="2:10">
      <c r="B2496" s="3002" t="str">
        <f>'Смета Внутр'!B2504</f>
        <v>Составил: Инженер             _________________</v>
      </c>
    </row>
    <row r="2497" spans="2:2">
      <c r="B2497" s="3002" t="str">
        <f>'Смета Внутр'!B2505</f>
        <v>С перечнем работ и материалов, ознакомлен, с итоговой стоимостью согласен.</v>
      </c>
    </row>
    <row r="2498" spans="2:2">
      <c r="B2498" s="3002" t="str">
        <f>'Смета Внутр'!B2506</f>
        <v>Подпись Заказчика              _________________</v>
      </c>
    </row>
    <row r="2499" spans="2:2">
      <c r="B2499" s="3002" t="str">
        <f>'Смета Внутр'!B2507</f>
        <v>Подпись Подрядчика          _________________</v>
      </c>
    </row>
  </sheetData>
  <autoFilter ref="J11:J2488" xr:uid="{00000000-0009-0000-0000-00000E000000}"/>
  <mergeCells count="178">
    <mergeCell ref="B2488:G2488"/>
    <mergeCell ref="B2490:G2490"/>
    <mergeCell ref="B2491:G2491"/>
    <mergeCell ref="B2492:G2492"/>
    <mergeCell ref="B2493:G2493"/>
    <mergeCell ref="B2494:G2494"/>
    <mergeCell ref="B2495:G2495"/>
    <mergeCell ref="B2312:G2312"/>
    <mergeCell ref="B2313:D2313"/>
    <mergeCell ref="B2329:G2329"/>
    <mergeCell ref="B2339:G2339"/>
    <mergeCell ref="B2340:D2340"/>
    <mergeCell ref="B2433:G2433"/>
    <mergeCell ref="B2434:D2434"/>
    <mergeCell ref="B2474:G2474"/>
    <mergeCell ref="B2475:D2475"/>
    <mergeCell ref="B2248:G2248"/>
    <mergeCell ref="B2249:D2249"/>
    <mergeCell ref="B2262:G2262"/>
    <mergeCell ref="B2267:G2267"/>
    <mergeCell ref="B2268:D2268"/>
    <mergeCell ref="B2279:G2279"/>
    <mergeCell ref="B2287:G2287"/>
    <mergeCell ref="B2288:D2288"/>
    <mergeCell ref="B2303:G2303"/>
    <mergeCell ref="B2153:G2153"/>
    <mergeCell ref="B2172:G2172"/>
    <mergeCell ref="B2174:G2174"/>
    <mergeCell ref="B2185:G2185"/>
    <mergeCell ref="B2199:G2199"/>
    <mergeCell ref="B2205:G2205"/>
    <mergeCell ref="B2218:G2218"/>
    <mergeCell ref="B2219:D2219"/>
    <mergeCell ref="B2238:G2238"/>
    <mergeCell ref="B2042:G2042"/>
    <mergeCell ref="B2062:G2062"/>
    <mergeCell ref="B2064:G2064"/>
    <mergeCell ref="B2079:G2079"/>
    <mergeCell ref="B2090:G2090"/>
    <mergeCell ref="B2091:D2091"/>
    <mergeCell ref="B2093:G2093"/>
    <mergeCell ref="B2118:G2118"/>
    <mergeCell ref="B2142:G2142"/>
    <mergeCell ref="B1992:J1992"/>
    <mergeCell ref="B1998:G1998"/>
    <mergeCell ref="B1999:J1999"/>
    <mergeCell ref="B2001:G2001"/>
    <mergeCell ref="B2002:D2002"/>
    <mergeCell ref="B2008:G2008"/>
    <mergeCell ref="B2014:G2014"/>
    <mergeCell ref="B2015:D2015"/>
    <mergeCell ref="B2017:G2017"/>
    <mergeCell ref="B1961:D1961"/>
    <mergeCell ref="B1973:G1973"/>
    <mergeCell ref="B1976:G1976"/>
    <mergeCell ref="B1977:J1977"/>
    <mergeCell ref="B1978:J1978"/>
    <mergeCell ref="B1987:G1987"/>
    <mergeCell ref="B1988:J1988"/>
    <mergeCell ref="B1990:G1990"/>
    <mergeCell ref="B1991:J1991"/>
    <mergeCell ref="B1808:D1808"/>
    <mergeCell ref="B1851:G1851"/>
    <mergeCell ref="B1866:G1866"/>
    <mergeCell ref="B1867:D1867"/>
    <mergeCell ref="B1906:G1906"/>
    <mergeCell ref="B1922:G1922"/>
    <mergeCell ref="B1923:D1923"/>
    <mergeCell ref="B1945:G1945"/>
    <mergeCell ref="B1960:G1960"/>
    <mergeCell ref="B1615:D1615"/>
    <mergeCell ref="B1657:G1657"/>
    <mergeCell ref="B1672:G1672"/>
    <mergeCell ref="B1673:D1673"/>
    <mergeCell ref="B1722:G1722"/>
    <mergeCell ref="B1741:G1741"/>
    <mergeCell ref="B1742:D1742"/>
    <mergeCell ref="B1790:G1790"/>
    <mergeCell ref="B1807:G1807"/>
    <mergeCell ref="B1402:D1402"/>
    <mergeCell ref="B1456:G1456"/>
    <mergeCell ref="B1475:G1475"/>
    <mergeCell ref="B1476:D1476"/>
    <mergeCell ref="B1523:G1523"/>
    <mergeCell ref="B1541:G1541"/>
    <mergeCell ref="B1542:D1542"/>
    <mergeCell ref="B1594:G1594"/>
    <mergeCell ref="B1614:G1614"/>
    <mergeCell ref="B1282:D1282"/>
    <mergeCell ref="B1302:G1302"/>
    <mergeCell ref="B1305:G1305"/>
    <mergeCell ref="B1306:D1306"/>
    <mergeCell ref="B1319:G1319"/>
    <mergeCell ref="B1327:G1327"/>
    <mergeCell ref="B1328:D1328"/>
    <mergeCell ref="B1382:G1382"/>
    <mergeCell ref="B1401:G1401"/>
    <mergeCell ref="B859:D859"/>
    <mergeCell ref="B884:G884"/>
    <mergeCell ref="B895:G895"/>
    <mergeCell ref="B896:D896"/>
    <mergeCell ref="B1195:G1195"/>
    <mergeCell ref="B1241:G1241"/>
    <mergeCell ref="B1242:D1242"/>
    <mergeCell ref="B1270:G1270"/>
    <mergeCell ref="B1281:G1281"/>
    <mergeCell ref="B748:D748"/>
    <mergeCell ref="B773:G773"/>
    <mergeCell ref="B784:G784"/>
    <mergeCell ref="B785:D785"/>
    <mergeCell ref="B810:G810"/>
    <mergeCell ref="B821:G821"/>
    <mergeCell ref="B822:D822"/>
    <mergeCell ref="B847:G847"/>
    <mergeCell ref="B858:G858"/>
    <mergeCell ref="B599:D599"/>
    <mergeCell ref="B645:G645"/>
    <mergeCell ref="B658:G658"/>
    <mergeCell ref="B659:D659"/>
    <mergeCell ref="B701:G701"/>
    <mergeCell ref="B710:G710"/>
    <mergeCell ref="B711:D711"/>
    <mergeCell ref="B736:G736"/>
    <mergeCell ref="B747:G747"/>
    <mergeCell ref="B451:J451"/>
    <mergeCell ref="B505:G505"/>
    <mergeCell ref="B506:J506"/>
    <mergeCell ref="B528:G528"/>
    <mergeCell ref="B529:J529"/>
    <mergeCell ref="B533:G533"/>
    <mergeCell ref="B534:D534"/>
    <mergeCell ref="B585:G585"/>
    <mergeCell ref="B598:G598"/>
    <mergeCell ref="B351:G351"/>
    <mergeCell ref="B367:G367"/>
    <mergeCell ref="B368:J368"/>
    <mergeCell ref="B369:J369"/>
    <mergeCell ref="B422:G422"/>
    <mergeCell ref="B423:J423"/>
    <mergeCell ref="B445:G445"/>
    <mergeCell ref="B446:J446"/>
    <mergeCell ref="B450:G450"/>
    <mergeCell ref="B236:G236"/>
    <mergeCell ref="B255:G255"/>
    <mergeCell ref="B256:D256"/>
    <mergeCell ref="B281:G281"/>
    <mergeCell ref="B301:G301"/>
    <mergeCell ref="B302:D302"/>
    <mergeCell ref="B322:G322"/>
    <mergeCell ref="B330:G330"/>
    <mergeCell ref="B331:D331"/>
    <mergeCell ref="B149:G149"/>
    <mergeCell ref="B158:G158"/>
    <mergeCell ref="B159:D159"/>
    <mergeCell ref="B167:G167"/>
    <mergeCell ref="B176:G176"/>
    <mergeCell ref="B177:D177"/>
    <mergeCell ref="B196:G196"/>
    <mergeCell ref="B213:G213"/>
    <mergeCell ref="B214:D214"/>
    <mergeCell ref="B87:G87"/>
    <mergeCell ref="B98:G98"/>
    <mergeCell ref="B99:D99"/>
    <mergeCell ref="B112:G112"/>
    <mergeCell ref="B122:G122"/>
    <mergeCell ref="B123:D123"/>
    <mergeCell ref="B131:G131"/>
    <mergeCell ref="B140:G140"/>
    <mergeCell ref="B141:D141"/>
    <mergeCell ref="B8:J8"/>
    <mergeCell ref="B9:J9"/>
    <mergeCell ref="B12:D12"/>
    <mergeCell ref="B23:G23"/>
    <mergeCell ref="B33:G33"/>
    <mergeCell ref="B34:D34"/>
    <mergeCell ref="B54:G54"/>
    <mergeCell ref="B70:G70"/>
    <mergeCell ref="B71:D71"/>
  </mergeCells>
  <pageMargins left="0.7" right="0.7" top="0.75" bottom="0.7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171</vt:i4>
      </vt:variant>
    </vt:vector>
  </HeadingPairs>
  <TitlesOfParts>
    <vt:vector size="186" baseType="lpstr">
      <vt:lpstr>Право</vt:lpstr>
      <vt:lpstr>Прайс лист</vt:lpstr>
      <vt:lpstr>Ввод данных</vt:lpstr>
      <vt:lpstr>пристройка</vt:lpstr>
      <vt:lpstr>дома</vt:lpstr>
      <vt:lpstr>отделка</vt:lpstr>
      <vt:lpstr>перекрытие</vt:lpstr>
      <vt:lpstr>фундамент</vt:lpstr>
      <vt:lpstr>крыша</vt:lpstr>
      <vt:lpstr>Спецификация</vt:lpstr>
      <vt:lpstr>связи1</vt:lpstr>
      <vt:lpstr>инженерка</vt:lpstr>
      <vt:lpstr>Смета Внутр</vt:lpstr>
      <vt:lpstr>Смета для Зак укр</vt:lpstr>
      <vt:lpstr>Смета для Зак расш</vt:lpstr>
      <vt:lpstr>CR02_55X78</vt:lpstr>
      <vt:lpstr>H_боковых_стен_дома_одинаковая</vt:lpstr>
      <vt:lpstr>аааааа</vt:lpstr>
      <vt:lpstr>ававав</vt:lpstr>
      <vt:lpstr>ап</vt:lpstr>
      <vt:lpstr>апап</vt:lpstr>
      <vt:lpstr>апапапп</vt:lpstr>
      <vt:lpstr>апарппнр</vt:lpstr>
      <vt:lpstr>Арматура_М6_каждый_3_й_ряд__2_нити</vt:lpstr>
      <vt:lpstr>Арматура_М8</vt:lpstr>
      <vt:lpstr>Арматура_стальная_Ø_6</vt:lpstr>
      <vt:lpstr>Бетон__м200</vt:lpstr>
      <vt:lpstr>Блок_хаус</vt:lpstr>
      <vt:lpstr>Блоки_ФБС</vt:lpstr>
      <vt:lpstr>бревна</vt:lpstr>
      <vt:lpstr>Брус</vt:lpstr>
      <vt:lpstr>Брус_естественной_влажности__200_100мм</vt:lpstr>
      <vt:lpstr>БрусКлееный</vt:lpstr>
      <vt:lpstr>БрусПрофилированный</vt:lpstr>
      <vt:lpstr>БрусПрофилированныйсухой</vt:lpstr>
      <vt:lpstr>вавава</vt:lpstr>
      <vt:lpstr>вавававввв</vt:lpstr>
      <vt:lpstr>вваенр</vt:lpstr>
      <vt:lpstr>ввв</vt:lpstr>
      <vt:lpstr>ввввв</vt:lpstr>
      <vt:lpstr>ввввыывывыв</vt:lpstr>
      <vt:lpstr>вент_зазор</vt:lpstr>
      <vt:lpstr>ВинтовыеСваи</vt:lpstr>
      <vt:lpstr>Выключатель_1</vt:lpstr>
      <vt:lpstr>выпуски</vt:lpstr>
      <vt:lpstr>высота</vt:lpstr>
      <vt:lpstr>высота1этажа</vt:lpstr>
      <vt:lpstr>выше_основной_кровли</vt:lpstr>
      <vt:lpstr>выысота</vt:lpstr>
      <vt:lpstr>Газобетон</vt:lpstr>
      <vt:lpstr>ддд</vt:lpstr>
      <vt:lpstr>Декоративнаяштукатурка</vt:lpstr>
      <vt:lpstr>Деревянное_перекрытие__брус</vt:lpstr>
      <vt:lpstr>ДикоеБревно</vt:lpstr>
      <vt:lpstr>длина</vt:lpstr>
      <vt:lpstr>Дом_из_кирпича</vt:lpstr>
      <vt:lpstr>Дом_из_одного_материала</vt:lpstr>
      <vt:lpstr>Доска_сухая__200_50мм</vt:lpstr>
      <vt:lpstr>Доставка</vt:lpstr>
      <vt:lpstr>Дренажный_колодец_D300</vt:lpstr>
      <vt:lpstr>Евровагонка</vt:lpstr>
      <vt:lpstr>Евровагонка.</vt:lpstr>
      <vt:lpstr>ееее</vt:lpstr>
      <vt:lpstr>ен</vt:lpstr>
      <vt:lpstr>Имитация_бруса</vt:lpstr>
      <vt:lpstr>каркасарматуры</vt:lpstr>
      <vt:lpstr>Каркасный</vt:lpstr>
      <vt:lpstr>Каркасный_дом</vt:lpstr>
      <vt:lpstr>Кирпич</vt:lpstr>
      <vt:lpstr>КирпичОблицовочный</vt:lpstr>
      <vt:lpstr>Клей_монтажный_ВК_100</vt:lpstr>
      <vt:lpstr>Коллектор_1</vt:lpstr>
      <vt:lpstr>Конек_по_центру_дома</vt:lpstr>
      <vt:lpstr>Контрлаги_считать</vt:lpstr>
      <vt:lpstr>Лен_джут_10х0_5х2000</vt:lpstr>
      <vt:lpstr>ЛенточныйФундамент</vt:lpstr>
      <vt:lpstr>м.п.</vt:lpstr>
      <vt:lpstr>мансара</vt:lpstr>
      <vt:lpstr>МатериалБревно</vt:lpstr>
      <vt:lpstr>МатериалБрус</vt:lpstr>
      <vt:lpstr>Металлочерепица</vt:lpstr>
      <vt:lpstr>Монтаж_свай_гидравлика</vt:lpstr>
      <vt:lpstr>монтаж_свай_гидравликой</vt:lpstr>
      <vt:lpstr>натяжной</vt:lpstr>
      <vt:lpstr>Не_буду_считать</vt:lpstr>
      <vt:lpstr>Не_использовать_S_в_доме_под_балкон_терассу</vt:lpstr>
      <vt:lpstr>Не_считать_конопатку_дома</vt:lpstr>
      <vt:lpstr>нет</vt:lpstr>
      <vt:lpstr>Нет_анкерных_болтов</vt:lpstr>
      <vt:lpstr>нет_ветроизоляции</vt:lpstr>
      <vt:lpstr>нет_выбора</vt:lpstr>
      <vt:lpstr>Нет_гвоздей_ершоных</vt:lpstr>
      <vt:lpstr>Нет_гвоздей_строительных</vt:lpstr>
      <vt:lpstr>Нет_гидроизоляции</vt:lpstr>
      <vt:lpstr>Нет_гофры</vt:lpstr>
      <vt:lpstr>Нет_грунтовки</vt:lpstr>
      <vt:lpstr>Нет_дна_бетонного</vt:lpstr>
      <vt:lpstr>Нет_кабеля</vt:lpstr>
      <vt:lpstr>Нет_колец_бетонных</vt:lpstr>
      <vt:lpstr>Нет_краски</vt:lpstr>
      <vt:lpstr>Нет_кровли_на_пристройке</vt:lpstr>
      <vt:lpstr>Нет_кронштейна</vt:lpstr>
      <vt:lpstr>Нет_крышки_бетонной</vt:lpstr>
      <vt:lpstr>Нет_лака</vt:lpstr>
      <vt:lpstr>Нет_люка_для_крышки</vt:lpstr>
      <vt:lpstr>Нет_материала</vt:lpstr>
      <vt:lpstr>Нет_наждачной_бумаги</vt:lpstr>
      <vt:lpstr>Нет_накладки</vt:lpstr>
      <vt:lpstr>Нет_наличника</vt:lpstr>
      <vt:lpstr>Нет_огнебиозащиты</vt:lpstr>
      <vt:lpstr>нет_пароизоляции</vt:lpstr>
      <vt:lpstr>Нет_перекрестного_пола</vt:lpstr>
      <vt:lpstr>Нет_перекрытия</vt:lpstr>
      <vt:lpstr>Нет_перемычки</vt:lpstr>
      <vt:lpstr>Нет_пластин</vt:lpstr>
      <vt:lpstr>Нет_плоского_шифера</vt:lpstr>
      <vt:lpstr>нет_подсистемы</vt:lpstr>
      <vt:lpstr>Нет_покрытия</vt:lpstr>
      <vt:lpstr>Нет_саморезов</vt:lpstr>
      <vt:lpstr>Нет_уголков</vt:lpstr>
      <vt:lpstr>Нет_утеплителя</vt:lpstr>
      <vt:lpstr>Нет_фундамента</vt:lpstr>
      <vt:lpstr>ннн</vt:lpstr>
      <vt:lpstr>ноль</vt:lpstr>
      <vt:lpstr>номер</vt:lpstr>
      <vt:lpstr>обвязочный_брус</vt:lpstr>
      <vt:lpstr>Оголовкок_150_150</vt:lpstr>
      <vt:lpstr>Один_полноценный_этаж</vt:lpstr>
      <vt:lpstr>ОтделкаДеревом</vt:lpstr>
      <vt:lpstr>Открытый_монтаж_проводки</vt:lpstr>
      <vt:lpstr>Оцилиндрованное_бревно_сосна_200мм</vt:lpstr>
      <vt:lpstr>ОцилиндрованноеБревно</vt:lpstr>
      <vt:lpstr>папап</vt:lpstr>
      <vt:lpstr>Пенобетон</vt:lpstr>
      <vt:lpstr>Пенобетон_60x30x20</vt:lpstr>
      <vt:lpstr>пепепе</vt:lpstr>
      <vt:lpstr>перегородкинесущие</vt:lpstr>
      <vt:lpstr>перекрытие</vt:lpstr>
      <vt:lpstr>Перекрытие_0_этажа_делать</vt:lpstr>
      <vt:lpstr>перемычка</vt:lpstr>
      <vt:lpstr>Планкен</vt:lpstr>
      <vt:lpstr>ппп</vt:lpstr>
      <vt:lpstr>пппррол</vt:lpstr>
      <vt:lpstr>пппуууу</vt:lpstr>
      <vt:lpstr>прпролл</vt:lpstr>
      <vt:lpstr>Различные_выпуски_по_длине_в_доме</vt:lpstr>
      <vt:lpstr>размер_стен_каркас</vt:lpstr>
      <vt:lpstr>раствор</vt:lpstr>
      <vt:lpstr>Розетка_1</vt:lpstr>
      <vt:lpstr>сайдинг_металлический</vt:lpstr>
      <vt:lpstr>Сейсмопояс_Арматура_М6_4_нити</vt:lpstr>
      <vt:lpstr>септик</vt:lpstr>
      <vt:lpstr>сип_панели</vt:lpstr>
      <vt:lpstr>Сиппанели</vt:lpstr>
      <vt:lpstr>Система_отопления_однотрубная</vt:lpstr>
      <vt:lpstr>Слияние_с_боковой_стеной_дома</vt:lpstr>
      <vt:lpstr>Сосна_влаж__200_50мм</vt:lpstr>
      <vt:lpstr>Сосна_влаж__50_50мм</vt:lpstr>
      <vt:lpstr>ссс</vt:lpstr>
      <vt:lpstr>стены_монолит</vt:lpstr>
      <vt:lpstr>Считать</vt:lpstr>
      <vt:lpstr>Считать_по_проекту__высотам</vt:lpstr>
      <vt:lpstr>Считать_сверление_для_скрытой_проводки</vt:lpstr>
      <vt:lpstr>Термоблок__фактурованный_200х390х390</vt:lpstr>
      <vt:lpstr>толщина_стен_газобет</vt:lpstr>
      <vt:lpstr>Труба_гофрированная_одностенная_d_63</vt:lpstr>
      <vt:lpstr>Труба_теплого_пола_1</vt:lpstr>
      <vt:lpstr>укукукук</vt:lpstr>
      <vt:lpstr>ууу</vt:lpstr>
      <vt:lpstr>фанера</vt:lpstr>
      <vt:lpstr>фы</vt:lpstr>
      <vt:lpstr>Хомут_для_сейсмопояса_Арматура_М6__шаг_600мм</vt:lpstr>
      <vt:lpstr>цокольныйжтаж</vt:lpstr>
      <vt:lpstr>шаг</vt:lpstr>
      <vt:lpstr>шаг_перекрытий</vt:lpstr>
      <vt:lpstr>шаг1</vt:lpstr>
      <vt:lpstr>ширина</vt:lpstr>
      <vt:lpstr>шифер_плоский_на_все_стены</vt:lpstr>
      <vt:lpstr>ШиферПлоский</vt:lpstr>
      <vt:lpstr>Шкант</vt:lpstr>
      <vt:lpstr>Шлифовка_стен_дома_внурти</vt:lpstr>
      <vt:lpstr>Шлифовка_стен_дома_снаружи</vt:lpstr>
      <vt:lpstr>Штиль</vt:lpstr>
      <vt:lpstr>ыыыукке</vt:lpstr>
      <vt:lpstr>ыыыыыыыыыы</vt:lpstr>
      <vt:lpstr>Экскаватор_погрузчик</vt:lpstr>
    </vt:vector>
  </TitlesOfParts>
  <Company>Krokoz™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2021-07-22T07:18:49Z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2017-06-24T17:02:23Z</dcterms:created>
  <dc:creator>ELENA</dc:creator>
  <dc:description/>
  <dc:language>en-US</dc:language>
  <cp:lastModifiedBy>пк</cp:lastModifiedBy>
  <cp:lastPrinted>2017-10-07T14:28:52Z</cp:lastPrinted>
  <dcterms:modified xsi:type="dcterms:W3CDTF">2021-03-05T05:56:26Z</dcterms:modified>
  <cp:revision>0</cp:revision>
  <dc:subject/>
  <dc:title/>
</cp:coreProperties>
</file>